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C:\Users\Callonnecg\Github\ThreeME\data\shocks\"/>
    </mc:Choice>
  </mc:AlternateContent>
  <xr:revisionPtr revIDLastSave="0" documentId="13_ncr:1_{B6FCEB63-DC65-4B30-8A8F-30EC401AAE76}" xr6:coauthVersionLast="47" xr6:coauthVersionMax="47" xr10:uidLastSave="{00000000-0000-0000-0000-000000000000}"/>
  <bookViews>
    <workbookView xWindow="-110" yWindow="-110" windowWidth="19420" windowHeight="10420" activeTab="2" xr2:uid="{7E3F3BF3-E1E4-459A-903D-C1C5ABCAE11A}"/>
  </bookViews>
  <sheets>
    <sheet name="Cibles THREEME" sheetId="52" r:id="rId1"/>
    <sheet name="Cibles THREEME AMS" sheetId="108" r:id="rId2"/>
    <sheet name="Cibles ThreeME v2 " sheetId="115" r:id="rId3"/>
    <sheet name="Cibles ThreeME v2 AMS" sheetId="113" r:id="rId4"/>
    <sheet name="Cibles ThreeME v3" sheetId="107" r:id="rId5"/>
    <sheet name="Cibles ThreeME v3 AMS" sheetId="109" r:id="rId6"/>
    <sheet name="brouillon" sheetId="104" r:id="rId7"/>
    <sheet name="Bilan_enerdata_2015" sheetId="110" r:id="rId8"/>
    <sheet name="Bilan 2015" sheetId="111" r:id="rId9"/>
    <sheet name="Bilan 2020" sheetId="106" r:id="rId10"/>
    <sheet name="Bilan 2023" sheetId="93" r:id="rId11"/>
    <sheet name="Bilan 2025" sheetId="92" r:id="rId12"/>
    <sheet name="Bilan 2028" sheetId="91" r:id="rId13"/>
    <sheet name="Bilan 2030" sheetId="90" r:id="rId14"/>
    <sheet name="Bilan 2033" sheetId="89" r:id="rId15"/>
    <sheet name="Bilan 2035" sheetId="88" r:id="rId16"/>
    <sheet name="Bilan 2038" sheetId="87" r:id="rId17"/>
    <sheet name="Bilan 2040" sheetId="86" r:id="rId18"/>
    <sheet name="Bilan 2045" sheetId="85" r:id="rId19"/>
    <sheet name="Bilan 2050" sheetId="70" r:id="rId20"/>
    <sheet name="Bilan 2023 AMS" sheetId="102" r:id="rId21"/>
    <sheet name="Bilan 2025 AMS" sheetId="101" r:id="rId22"/>
    <sheet name="Bilan 2028 AMS" sheetId="100" r:id="rId23"/>
    <sheet name="Bilan 2030 AMS" sheetId="99" r:id="rId24"/>
    <sheet name="Bilan 2033 AMS" sheetId="98" r:id="rId25"/>
    <sheet name="Bilan 2035 AMS" sheetId="97" r:id="rId26"/>
    <sheet name="Bilan 2038 AMS" sheetId="96" r:id="rId27"/>
    <sheet name="Bilan 2040 AMS" sheetId="95" r:id="rId28"/>
    <sheet name="Bilan 2045 AMS" sheetId="69" r:id="rId29"/>
    <sheet name="Bilan 2050 AMS" sheetId="118" r:id="rId30"/>
    <sheet name="Bilan_E_KP_AME_2020" sheetId="121" r:id="rId31"/>
    <sheet name="Bilan_E_KP_AME_2023" sheetId="122" r:id="rId32"/>
    <sheet name="Bilan_E_KP_AME_2025" sheetId="123" r:id="rId33"/>
    <sheet name="Bilan_E_KP_AME_2028" sheetId="124" r:id="rId34"/>
    <sheet name="Bilan_E_KP_AME_2030" sheetId="125" r:id="rId35"/>
    <sheet name="Bilan_E_KP_AME_2033" sheetId="126" r:id="rId36"/>
    <sheet name="Bilan_E_KP_AME_2035" sheetId="127" r:id="rId37"/>
    <sheet name="Bilan_E_KP_AME_2038" sheetId="128" r:id="rId38"/>
    <sheet name="Bilan_E_KP_AME_2040" sheetId="129" r:id="rId39"/>
    <sheet name="Bilan_E_KP_AME_2043" sheetId="130" r:id="rId40"/>
    <sheet name="Bilan_E_KP_AME_2045" sheetId="131" r:id="rId41"/>
    <sheet name="Bilan_E_KP_AME_2050" sheetId="132" r:id="rId42"/>
    <sheet name="Bilan_E_KP_AME" sheetId="120" r:id="rId43"/>
    <sheet name="Bilan_E_AME_Met_2020" sheetId="47" r:id="rId44"/>
    <sheet name="Bilan_E_AME_Met_2023" sheetId="53" r:id="rId45"/>
    <sheet name="Bilan_E_AME_Met_2025" sheetId="56" r:id="rId46"/>
    <sheet name="Bilan_E_AME_Met_2028" sheetId="71" r:id="rId47"/>
    <sheet name="Bilan_E_AME_Met_2030" sheetId="72" r:id="rId48"/>
    <sheet name="Bilan_E_AME_Met_2033" sheetId="73" r:id="rId49"/>
    <sheet name="Bilan_E_AME_Met_2035" sheetId="74" r:id="rId50"/>
    <sheet name="Bilan_E_AME_Met_2038" sheetId="75" r:id="rId51"/>
    <sheet name="Bilan_E_AME_Met_2040" sheetId="76" r:id="rId52"/>
    <sheet name="Bilan_E_AME_Met_2045" sheetId="61" r:id="rId53"/>
    <sheet name="Bilan_E_AME_Met_2050" sheetId="57" r:id="rId54"/>
    <sheet name="Bilan_E_KP_AMS" sheetId="133" r:id="rId55"/>
    <sheet name="Bilan_E_KP_AMS_2023" sheetId="134" r:id="rId56"/>
    <sheet name="Bilan_E_KP_AMS_2025" sheetId="135" r:id="rId57"/>
    <sheet name="Bilan_E_KP_AMS_2028" sheetId="136" r:id="rId58"/>
    <sheet name="Bilan_E_KP_AMS_2030" sheetId="137" r:id="rId59"/>
    <sheet name="Bilan_E_KP_AMS_2033" sheetId="138" r:id="rId60"/>
    <sheet name="Bilan_E_KP_AMS_2035" sheetId="139" r:id="rId61"/>
    <sheet name="Bilan_E_KP_AMS_2038" sheetId="140" r:id="rId62"/>
    <sheet name="Bilan_E_KP_AMS_2040" sheetId="141" r:id="rId63"/>
    <sheet name="Bilan_E_KP_AMS_2043" sheetId="142" r:id="rId64"/>
    <sheet name="Bilan_E_KP_AMS_2045" sheetId="143" r:id="rId65"/>
    <sheet name="Bilan_E_KP_AMS_2050" sheetId="144" r:id="rId66"/>
    <sheet name="Bilan_E_AMS_Met_2023" sheetId="77" r:id="rId67"/>
    <sheet name="Bilan_E_AMS_Met_2025" sheetId="78" r:id="rId68"/>
    <sheet name="Bilan_E_AMS_Met_2028" sheetId="79" r:id="rId69"/>
    <sheet name="Bilan_E_AMS_Met_2030" sheetId="80" r:id="rId70"/>
    <sheet name="Bilan_E_AMS_Met_2033" sheetId="81" r:id="rId71"/>
    <sheet name="Bilan_E_AMS_Met_2035" sheetId="82" r:id="rId72"/>
    <sheet name="Bilan_E_AMS_Met_2038" sheetId="83" r:id="rId73"/>
    <sheet name="Bilan_E_AMS_Met_2040" sheetId="84" r:id="rId74"/>
    <sheet name="Bilan_E_AMS_Met_2045" sheetId="66" r:id="rId75"/>
    <sheet name="Bilan_E_AMS_Met_2050" sheetId="64" r:id="rId76"/>
    <sheet name="Bilan_E_AMS_Met" sheetId="63" r:id="rId77"/>
    <sheet name="P1_G4-G5" sheetId="49" r:id="rId78"/>
    <sheet name="P1_G6" sheetId="50" r:id="rId79"/>
    <sheet name="bilan énergie format SDS" sheetId="44" r:id="rId80"/>
    <sheet name="Demande Format Medpro" sheetId="43" r:id="rId81"/>
    <sheet name="Format demande MedPro_2015" sheetId="7" r:id="rId82"/>
    <sheet name="Corrections Bilan enerdata" sheetId="10" r:id="rId83"/>
    <sheet name="Modèle tertiaire_2015" sheetId="8" r:id="rId84"/>
    <sheet name="Modèle tertiaire_2020" sheetId="22" r:id="rId85"/>
    <sheet name="Modèle tertiaire_2025" sheetId="23" r:id="rId86"/>
    <sheet name="Modèle tertiaire_2030" sheetId="24" r:id="rId87"/>
    <sheet name="Modèle tertiaire_2050" sheetId="25" r:id="rId88"/>
    <sheet name="Modèle résidentiel ch_2015" sheetId="11" r:id="rId89"/>
    <sheet name="Modèle résidentiel ch_2020" sheetId="30" r:id="rId90"/>
    <sheet name="Modèle résidentiel ch_2025" sheetId="29" r:id="rId91"/>
    <sheet name="Modèle résidentiel ch_2030" sheetId="28" r:id="rId92"/>
    <sheet name="Modèle résidentiel ch_2050" sheetId="27" r:id="rId93"/>
    <sheet name="Modèle résidentiel hch_2015" sheetId="26" r:id="rId94"/>
    <sheet name="Modèle résidentiel hch_2020" sheetId="34" r:id="rId95"/>
    <sheet name="Modèle résidentiel hch_2025" sheetId="33" r:id="rId96"/>
    <sheet name="Modèle résidentiel hch_2030" sheetId="32" r:id="rId97"/>
    <sheet name="Modèle résidentiel hch_2050" sheetId="31" r:id="rId98"/>
    <sheet name="Mix énergie_2015" sheetId="12" r:id="rId99"/>
    <sheet name="Bilans_E_AMS_Kyoto_2050" sheetId="117" r:id="rId100"/>
    <sheet name="Bilan 2050 AMS_ancien" sheetId="65" r:id="rId101"/>
    <sheet name="Bilans_E_AMS_Kyoto" sheetId="116" r:id="rId102"/>
  </sheets>
  <externalReferences>
    <externalReference r:id="rId103"/>
    <externalReference r:id="rId104"/>
    <externalReference r:id="rId105"/>
    <externalReference r:id="rId106"/>
    <externalReference r:id="rId107"/>
    <externalReference r:id="rId108"/>
    <externalReference r:id="rId109"/>
  </externalReferences>
  <definedNames>
    <definedName name="__123Graph_A" localSheetId="0">[1]Base_série!#REF!</definedName>
    <definedName name="__123Graph_A" localSheetId="1">[1]Base_série!#REF!</definedName>
    <definedName name="__123Graph_A" localSheetId="78">[1]Base_série!#REF!</definedName>
    <definedName name="__123Graph_A">[1]Base_série!#REF!</definedName>
    <definedName name="__123Graph_AFacture" localSheetId="0">[1]Base_série!#REF!</definedName>
    <definedName name="__123Graph_AFacture" localSheetId="1">[1]Base_série!#REF!</definedName>
    <definedName name="__123Graph_AFacture" localSheetId="78">[1]Base_série!#REF!</definedName>
    <definedName name="__123Graph_AFacture">[1]Base_série!#REF!</definedName>
    <definedName name="__123Graph_APrix" localSheetId="78">[1]Base_série!#REF!</definedName>
    <definedName name="__123Graph_APrix">[1]Base_série!#REF!</definedName>
    <definedName name="__123Graph_APrix_brut" localSheetId="78">[1]Base_série!#REF!</definedName>
    <definedName name="__123Graph_APrix_brut">[1]Base_série!#REF!</definedName>
    <definedName name="__123Graph_B" localSheetId="78">[1]Base_série!#REF!</definedName>
    <definedName name="__123Graph_B">[1]Base_série!#REF!</definedName>
    <definedName name="__123Graph_BFacture" localSheetId="78">[1]Base_série!#REF!</definedName>
    <definedName name="__123Graph_BFacture">[1]Base_série!#REF!</definedName>
    <definedName name="__123Graph_BPrix" localSheetId="78">[1]Base_série!#REF!</definedName>
    <definedName name="__123Graph_BPrix">[1]Base_série!#REF!</definedName>
    <definedName name="__123Graph_BPrix_brut" localSheetId="78">[1]Base_série!#REF!</definedName>
    <definedName name="__123Graph_BPrix_brut">[1]Base_série!#REF!</definedName>
    <definedName name="__123Graph_C" localSheetId="78">[1]Base_série!#REF!</definedName>
    <definedName name="__123Graph_C">[1]Base_série!#REF!</definedName>
    <definedName name="__123Graph_CFacture" localSheetId="78">[1]Base_série!#REF!</definedName>
    <definedName name="__123Graph_CFacture">[1]Base_série!#REF!</definedName>
    <definedName name="__123Graph_CPrix" localSheetId="78">[1]Base_série!#REF!</definedName>
    <definedName name="__123Graph_CPrix">[1]Base_série!#REF!</definedName>
    <definedName name="__123Graph_CPrix_brut" localSheetId="78">[1]Base_série!#REF!</definedName>
    <definedName name="__123Graph_CPrix_brut">[1]Base_série!#REF!</definedName>
    <definedName name="__123Graph_DFacture" localSheetId="78">[1]Base_série!#REF!</definedName>
    <definedName name="__123Graph_DFacture">[1]Base_série!#REF!</definedName>
    <definedName name="__123Graph_DPrix" localSheetId="78">[1]Base_série!#REF!</definedName>
    <definedName name="__123Graph_DPrix">[1]Base_série!#REF!</definedName>
    <definedName name="__123Graph_EFacture" localSheetId="78">[1]Base_série!#REF!</definedName>
    <definedName name="__123Graph_EFacture">[1]Base_série!#REF!</definedName>
    <definedName name="__123Graph_FFacture" localSheetId="78">[1]Base_série!#REF!</definedName>
    <definedName name="__123Graph_FFacture">[1]Base_série!#REF!</definedName>
    <definedName name="__123Graph_X" localSheetId="78">[1]Base_série!#REF!</definedName>
    <definedName name="__123Graph_X">[1]Base_série!#REF!</definedName>
    <definedName name="__123Graph_XFacture" localSheetId="78">[1]Base_série!#REF!</definedName>
    <definedName name="__123Graph_XFacture">[1]Base_série!#REF!</definedName>
    <definedName name="__123Graph_XPrix" localSheetId="78">[1]Base_série!#REF!</definedName>
    <definedName name="__123Graph_XPrix">[1]Base_série!#REF!</definedName>
    <definedName name="__123Graph_XPrix_brut" localSheetId="78">[1]Base_série!#REF!</definedName>
    <definedName name="__123Graph_XPrix_brut">[1]Base_série!#REF!</definedName>
    <definedName name="_Order1" hidden="1">255</definedName>
    <definedName name="_Order2" hidden="1">255</definedName>
    <definedName name="a" localSheetId="77">#REF!</definedName>
    <definedName name="a" localSheetId="78">#REF!</definedName>
    <definedName name="a">#REF!</definedName>
    <definedName name="Branche_usage">#REF!</definedName>
    <definedName name="Brut_imp_qu" localSheetId="77">#REF!</definedName>
    <definedName name="Brut_imp_qu" localSheetId="78">#REF!</definedName>
    <definedName name="Brut_imp_qu">#REF!</definedName>
    <definedName name="CMS_imp_qu" localSheetId="77">#REF!</definedName>
    <definedName name="CMS_imp_qu" localSheetId="78">#REF!</definedName>
    <definedName name="CMS_imp_qu">#REF!</definedName>
    <definedName name="communes" localSheetId="78">#REF!</definedName>
    <definedName name="communes">#REF!</definedName>
    <definedName name="d">[2]dép_loi2000!$A$1:$E$347</definedName>
    <definedName name="dép_loi2000">[3]dép_loi2000!$A$1:$E$347</definedName>
    <definedName name="El" localSheetId="77">#REF!</definedName>
    <definedName name="El" localSheetId="78">#REF!</definedName>
    <definedName name="El">#REF!</definedName>
    <definedName name="Elec_exp_qu" localSheetId="77">#REF!</definedName>
    <definedName name="Elec_exp_qu" localSheetId="78">#REF!</definedName>
    <definedName name="Elec_exp_qu">#REF!</definedName>
    <definedName name="Elec_imp_qu" localSheetId="77">#REF!</definedName>
    <definedName name="Elec_imp_qu" localSheetId="78">#REF!</definedName>
    <definedName name="Elec_imp_qu">#REF!</definedName>
    <definedName name="energies">#REF!</definedName>
    <definedName name="fe_comb">#REF!</definedName>
    <definedName name="ff" localSheetId="77">[1]Base_série!#REF!</definedName>
    <definedName name="ff" localSheetId="78">[1]Base_série!#REF!</definedName>
    <definedName name="ff">[1]Base_série!#REF!</definedName>
    <definedName name="g" localSheetId="77">#REF!</definedName>
    <definedName name="g" localSheetId="78">#REF!</definedName>
    <definedName name="g">#REF!</definedName>
    <definedName name="g5bis" localSheetId="78">#REF!</definedName>
    <definedName name="g5bis">#REF!</definedName>
    <definedName name="Gaz_imp_qu" localSheetId="77">#REF!</definedName>
    <definedName name="Gaz_imp_qu" localSheetId="78">#REF!</definedName>
    <definedName name="Gaz_imp_qu">#REF!</definedName>
    <definedName name="m" localSheetId="78">[1]Base_série!#REF!</definedName>
    <definedName name="m">[1]Base_série!#REF!</definedName>
    <definedName name="mm" localSheetId="77">[1]Base_série!#REF!</definedName>
    <definedName name="mm" localSheetId="78">[1]Base_série!#REF!</definedName>
    <definedName name="mm">[1]Base_série!#REF!</definedName>
    <definedName name="Perimetre_geo">#REF!</definedName>
    <definedName name="pp" localSheetId="77">#REF!</definedName>
    <definedName name="pp" localSheetId="78">#REF!</definedName>
    <definedName name="pp">#REF!</definedName>
    <definedName name="Raff_exp_qu" localSheetId="77">#REF!</definedName>
    <definedName name="Raff_exp_qu" localSheetId="78">#REF!</definedName>
    <definedName name="Raff_exp_qu">#REF!</definedName>
    <definedName name="Raff_imp_qu" localSheetId="77">#REF!</definedName>
    <definedName name="Raff_imp_qu" localSheetId="78">#REF!</definedName>
    <definedName name="Raff_imp_qu">#REF!</definedName>
    <definedName name="Secteur">#REF!</definedName>
    <definedName name="Tab_climat">[4]Feuil1!$A$1:$P$445</definedName>
    <definedName name="Tab_fact">'[5]chiffres pour fig8'!$A$7:$AE$49</definedName>
    <definedName name="TypeVariable">#REF!</definedName>
    <definedName name="uu" localSheetId="77">#REF!</definedName>
    <definedName name="uu" localSheetId="78">#REF!</definedName>
    <definedName name="uu">#REF!</definedName>
    <definedName name="_xlnm.Print_Area" localSheetId="77">'P1_G4-G5'!$A$4:$J$24</definedName>
    <definedName name="_xlnm.Print_Area" localSheetId="78">P1_G6!#REF!</definedName>
    <definedName name="zze" localSheetId="78">#REF!</definedName>
    <definedName name="zze">#REF!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2" i="108" l="1"/>
  <c r="BA12" i="108"/>
  <c r="AZ12" i="108"/>
  <c r="AZ10" i="108"/>
  <c r="AY10" i="108"/>
  <c r="BA10" i="108"/>
  <c r="BE10" i="108"/>
  <c r="BE13" i="108"/>
  <c r="BE12" i="108"/>
  <c r="BB10" i="108"/>
  <c r="AX10" i="108"/>
  <c r="AW10" i="108"/>
  <c r="AV10" i="108"/>
  <c r="AX12" i="108"/>
  <c r="AW12" i="108"/>
  <c r="AV12" i="108"/>
  <c r="AZ13" i="108"/>
  <c r="AY13" i="108"/>
  <c r="AX13" i="108"/>
  <c r="AW13" i="108"/>
  <c r="AV13" i="108"/>
  <c r="BA13" i="108"/>
  <c r="BB13" i="108"/>
  <c r="BC13" i="108"/>
  <c r="BD28" i="108"/>
  <c r="C9" i="111"/>
  <c r="C8" i="111"/>
  <c r="C7" i="111"/>
  <c r="C9" i="106"/>
  <c r="C8" i="106"/>
  <c r="C7" i="106"/>
  <c r="E19" i="111"/>
  <c r="E18" i="111"/>
  <c r="E17" i="111"/>
  <c r="E16" i="111"/>
  <c r="E13" i="111"/>
  <c r="E12" i="111"/>
  <c r="E10" i="111" s="1"/>
  <c r="E11" i="111"/>
  <c r="E19" i="106"/>
  <c r="E18" i="106"/>
  <c r="E17" i="106"/>
  <c r="E16" i="106"/>
  <c r="E13" i="106"/>
  <c r="E12" i="106"/>
  <c r="E11" i="106"/>
  <c r="C9" i="85"/>
  <c r="G9" i="85" s="1"/>
  <c r="C8" i="85"/>
  <c r="G8" i="85" s="1"/>
  <c r="C7" i="85"/>
  <c r="E11" i="86"/>
  <c r="C9" i="86"/>
  <c r="G9" i="86" s="1"/>
  <c r="C8" i="86"/>
  <c r="G8" i="86" s="1"/>
  <c r="C7" i="86"/>
  <c r="E12" i="87"/>
  <c r="G12" i="87" s="1"/>
  <c r="E11" i="87"/>
  <c r="G11" i="87" s="1"/>
  <c r="C9" i="87"/>
  <c r="G9" i="87" s="1"/>
  <c r="C8" i="87"/>
  <c r="G8" i="87" s="1"/>
  <c r="C7" i="87"/>
  <c r="G7" i="87" s="1"/>
  <c r="C9" i="88"/>
  <c r="C8" i="88"/>
  <c r="G8" i="88" s="1"/>
  <c r="C7" i="88"/>
  <c r="G7" i="88" s="1"/>
  <c r="C9" i="89"/>
  <c r="C8" i="89"/>
  <c r="C7" i="89"/>
  <c r="C9" i="90"/>
  <c r="G9" i="90" s="1"/>
  <c r="C8" i="90"/>
  <c r="G8" i="90" s="1"/>
  <c r="C7" i="90"/>
  <c r="G7" i="90" s="1"/>
  <c r="E19" i="91"/>
  <c r="G19" i="91" s="1"/>
  <c r="E18" i="91"/>
  <c r="E17" i="91"/>
  <c r="E16" i="91"/>
  <c r="C9" i="91"/>
  <c r="C8" i="91"/>
  <c r="C7" i="91"/>
  <c r="E16" i="92"/>
  <c r="G16" i="92" s="1"/>
  <c r="E13" i="92"/>
  <c r="E12" i="92"/>
  <c r="G12" i="92" s="1"/>
  <c r="C9" i="92"/>
  <c r="G9" i="92" s="1"/>
  <c r="C8" i="92"/>
  <c r="C7" i="92"/>
  <c r="E19" i="93"/>
  <c r="C9" i="93"/>
  <c r="G9" i="93" s="1"/>
  <c r="C8" i="93"/>
  <c r="C7" i="93"/>
  <c r="E57" i="85"/>
  <c r="C47" i="85" s="1"/>
  <c r="E56" i="85"/>
  <c r="E55" i="85"/>
  <c r="E54" i="85"/>
  <c r="E53" i="85"/>
  <c r="C45" i="85" s="1"/>
  <c r="E52" i="85"/>
  <c r="X46" i="85"/>
  <c r="W46" i="85"/>
  <c r="V46" i="85"/>
  <c r="U46" i="85"/>
  <c r="T46" i="85"/>
  <c r="X44" i="85"/>
  <c r="V44" i="85"/>
  <c r="T44" i="85"/>
  <c r="W43" i="85"/>
  <c r="V43" i="85"/>
  <c r="U43" i="85"/>
  <c r="T43" i="85"/>
  <c r="Y43" i="85" s="1"/>
  <c r="C43" i="85"/>
  <c r="G43" i="85" s="1"/>
  <c r="Q43" i="85" s="1"/>
  <c r="Z43" i="85" s="1"/>
  <c r="X42" i="85"/>
  <c r="X5" i="85" s="1"/>
  <c r="E42" i="85"/>
  <c r="F41" i="85" s="1"/>
  <c r="X41" i="85"/>
  <c r="W41" i="85"/>
  <c r="V41" i="85"/>
  <c r="U41" i="85"/>
  <c r="T41" i="85"/>
  <c r="L41" i="85"/>
  <c r="C41" i="85"/>
  <c r="X40" i="85"/>
  <c r="W40" i="85"/>
  <c r="V40" i="85"/>
  <c r="U40" i="85"/>
  <c r="T40" i="85"/>
  <c r="C40" i="85"/>
  <c r="X39" i="85"/>
  <c r="W39" i="85"/>
  <c r="V39" i="85"/>
  <c r="U39" i="85"/>
  <c r="T39" i="85"/>
  <c r="X37" i="85"/>
  <c r="W37" i="85"/>
  <c r="V37" i="85"/>
  <c r="U37" i="85"/>
  <c r="T37" i="85"/>
  <c r="C34" i="85"/>
  <c r="C46" i="85" s="1"/>
  <c r="G46" i="85" s="1"/>
  <c r="Q46" i="85" s="1"/>
  <c r="C33" i="85"/>
  <c r="C32" i="85"/>
  <c r="X30" i="85"/>
  <c r="W30" i="85"/>
  <c r="V30" i="85"/>
  <c r="U30" i="85"/>
  <c r="T30" i="85"/>
  <c r="M30" i="85"/>
  <c r="K30" i="85"/>
  <c r="F30" i="85"/>
  <c r="C30" i="85"/>
  <c r="C29" i="85"/>
  <c r="C27" i="85"/>
  <c r="C26" i="85"/>
  <c r="D30" i="85" s="1"/>
  <c r="O24" i="85"/>
  <c r="N24" i="85"/>
  <c r="M24" i="85"/>
  <c r="K24" i="85"/>
  <c r="E24" i="85"/>
  <c r="P23" i="85"/>
  <c r="O23" i="85"/>
  <c r="N23" i="85"/>
  <c r="L23" i="85"/>
  <c r="K23" i="85"/>
  <c r="E23" i="85"/>
  <c r="X22" i="85"/>
  <c r="W22" i="85"/>
  <c r="V22" i="85"/>
  <c r="U22" i="85"/>
  <c r="T22" i="85"/>
  <c r="O21" i="85"/>
  <c r="N21" i="85"/>
  <c r="M21" i="85"/>
  <c r="L21" i="85"/>
  <c r="K21" i="85"/>
  <c r="E21" i="85"/>
  <c r="G21" i="85" s="1"/>
  <c r="C21" i="85"/>
  <c r="C19" i="85"/>
  <c r="E19" i="85" s="1"/>
  <c r="C18" i="85"/>
  <c r="E18" i="85" s="1"/>
  <c r="G18" i="85" s="1"/>
  <c r="C17" i="85"/>
  <c r="E17" i="85" s="1"/>
  <c r="G17" i="85" s="1"/>
  <c r="C16" i="85"/>
  <c r="E16" i="85" s="1"/>
  <c r="G16" i="85" s="1"/>
  <c r="C14" i="85"/>
  <c r="G14" i="85" s="1"/>
  <c r="X13" i="85"/>
  <c r="W13" i="85"/>
  <c r="V13" i="85"/>
  <c r="U13" i="85"/>
  <c r="T13" i="85"/>
  <c r="M13" i="85"/>
  <c r="L13" i="85"/>
  <c r="K13" i="85"/>
  <c r="I13" i="85"/>
  <c r="F13" i="85"/>
  <c r="C13" i="85"/>
  <c r="E13" i="85" s="1"/>
  <c r="C12" i="85"/>
  <c r="C11" i="85"/>
  <c r="C10" i="85"/>
  <c r="E57" i="86"/>
  <c r="C47" i="86" s="1"/>
  <c r="C23" i="86" s="1"/>
  <c r="E56" i="86"/>
  <c r="E55" i="86"/>
  <c r="E54" i="86"/>
  <c r="C42" i="86" s="1"/>
  <c r="G42" i="86" s="1"/>
  <c r="Q42" i="86" s="1"/>
  <c r="Z42" i="86" s="1"/>
  <c r="E53" i="86"/>
  <c r="C45" i="86" s="1"/>
  <c r="E52" i="86"/>
  <c r="X46" i="86"/>
  <c r="W46" i="86"/>
  <c r="V46" i="86"/>
  <c r="U46" i="86"/>
  <c r="T46" i="86"/>
  <c r="X44" i="86"/>
  <c r="V44" i="86"/>
  <c r="T44" i="86"/>
  <c r="Y44" i="86" s="1"/>
  <c r="W43" i="86"/>
  <c r="Y43" i="86" s="1"/>
  <c r="V43" i="86"/>
  <c r="U43" i="86"/>
  <c r="C43" i="86" s="1"/>
  <c r="G43" i="86" s="1"/>
  <c r="Q43" i="86" s="1"/>
  <c r="Z43" i="86" s="1"/>
  <c r="T43" i="86"/>
  <c r="X42" i="86"/>
  <c r="Y42" i="86" s="1"/>
  <c r="E42" i="86"/>
  <c r="F41" i="86" s="1"/>
  <c r="X41" i="86"/>
  <c r="W41" i="86"/>
  <c r="V41" i="86"/>
  <c r="U41" i="86"/>
  <c r="T41" i="86"/>
  <c r="L41" i="86"/>
  <c r="C41" i="86"/>
  <c r="X40" i="86"/>
  <c r="W40" i="86"/>
  <c r="V40" i="86"/>
  <c r="U40" i="86"/>
  <c r="T40" i="86"/>
  <c r="C40" i="86"/>
  <c r="X39" i="86"/>
  <c r="W39" i="86"/>
  <c r="V39" i="86"/>
  <c r="U39" i="86"/>
  <c r="T39" i="86"/>
  <c r="Y39" i="86" s="1"/>
  <c r="X37" i="86"/>
  <c r="W37" i="86"/>
  <c r="V37" i="86"/>
  <c r="U37" i="86"/>
  <c r="T37" i="86"/>
  <c r="C34" i="86"/>
  <c r="C33" i="86"/>
  <c r="C32" i="86"/>
  <c r="X30" i="86"/>
  <c r="W30" i="86"/>
  <c r="V30" i="86"/>
  <c r="U30" i="86"/>
  <c r="T30" i="86"/>
  <c r="M30" i="86"/>
  <c r="K30" i="86"/>
  <c r="F30" i="86"/>
  <c r="C30" i="86"/>
  <c r="C29" i="86"/>
  <c r="C27" i="86"/>
  <c r="C26" i="86"/>
  <c r="O24" i="86"/>
  <c r="N24" i="86"/>
  <c r="M24" i="86"/>
  <c r="K24" i="86"/>
  <c r="E24" i="86"/>
  <c r="F22" i="86" s="1"/>
  <c r="P23" i="86"/>
  <c r="O23" i="86"/>
  <c r="N23" i="86"/>
  <c r="L23" i="86"/>
  <c r="K23" i="86"/>
  <c r="E23" i="86"/>
  <c r="X22" i="86"/>
  <c r="W22" i="86"/>
  <c r="V22" i="86"/>
  <c r="U22" i="86"/>
  <c r="T22" i="86"/>
  <c r="T5" i="86" s="1"/>
  <c r="O21" i="86"/>
  <c r="N21" i="86"/>
  <c r="M21" i="86"/>
  <c r="L21" i="86"/>
  <c r="K21" i="86"/>
  <c r="E21" i="86"/>
  <c r="C21" i="86"/>
  <c r="C19" i="86"/>
  <c r="E19" i="86" s="1"/>
  <c r="G19" i="86" s="1"/>
  <c r="C18" i="86"/>
  <c r="E18" i="86" s="1"/>
  <c r="G18" i="86" s="1"/>
  <c r="C17" i="86"/>
  <c r="E17" i="86" s="1"/>
  <c r="G17" i="86" s="1"/>
  <c r="C16" i="86"/>
  <c r="E16" i="86" s="1"/>
  <c r="G16" i="86" s="1"/>
  <c r="C14" i="86"/>
  <c r="G14" i="86" s="1"/>
  <c r="X13" i="86"/>
  <c r="W13" i="86"/>
  <c r="V13" i="86"/>
  <c r="U13" i="86"/>
  <c r="T13" i="86"/>
  <c r="M13" i="86"/>
  <c r="L13" i="86"/>
  <c r="K13" i="86"/>
  <c r="I13" i="86"/>
  <c r="F13" i="86"/>
  <c r="C13" i="86"/>
  <c r="E13" i="86" s="1"/>
  <c r="C12" i="86"/>
  <c r="E12" i="86" s="1"/>
  <c r="C11" i="86"/>
  <c r="C10" i="86"/>
  <c r="E57" i="87"/>
  <c r="C47" i="87" s="1"/>
  <c r="E56" i="87"/>
  <c r="E55" i="87"/>
  <c r="E54" i="87"/>
  <c r="E53" i="87"/>
  <c r="E52" i="87"/>
  <c r="X46" i="87"/>
  <c r="W46" i="87"/>
  <c r="W5" i="87" s="1"/>
  <c r="V46" i="87"/>
  <c r="U46" i="87"/>
  <c r="Y46" i="87" s="1"/>
  <c r="T46" i="87"/>
  <c r="X44" i="87"/>
  <c r="V44" i="87"/>
  <c r="T44" i="87"/>
  <c r="W43" i="87"/>
  <c r="V43" i="87"/>
  <c r="U43" i="87"/>
  <c r="T43" i="87"/>
  <c r="C42" i="87" s="1"/>
  <c r="X42" i="87"/>
  <c r="Y42" i="87" s="1"/>
  <c r="E42" i="87"/>
  <c r="F41" i="87" s="1"/>
  <c r="X41" i="87"/>
  <c r="W41" i="87"/>
  <c r="V41" i="87"/>
  <c r="U41" i="87"/>
  <c r="T41" i="87"/>
  <c r="L41" i="87"/>
  <c r="C41" i="87"/>
  <c r="G41" i="87" s="1"/>
  <c r="X40" i="87"/>
  <c r="W40" i="87"/>
  <c r="V40" i="87"/>
  <c r="V5" i="87" s="1"/>
  <c r="U40" i="87"/>
  <c r="T40" i="87"/>
  <c r="Y40" i="87" s="1"/>
  <c r="C40" i="87"/>
  <c r="G40" i="87" s="1"/>
  <c r="Z40" i="87" s="1"/>
  <c r="X39" i="87"/>
  <c r="W39" i="87"/>
  <c r="Y39" i="87" s="1"/>
  <c r="V39" i="87"/>
  <c r="U39" i="87"/>
  <c r="T39" i="87"/>
  <c r="X37" i="87"/>
  <c r="W37" i="87"/>
  <c r="V37" i="87"/>
  <c r="U37" i="87"/>
  <c r="T37" i="87"/>
  <c r="C34" i="87"/>
  <c r="C33" i="87"/>
  <c r="C32" i="87"/>
  <c r="X30" i="87"/>
  <c r="W30" i="87"/>
  <c r="V30" i="87"/>
  <c r="U30" i="87"/>
  <c r="T30" i="87"/>
  <c r="M30" i="87"/>
  <c r="K30" i="87"/>
  <c r="F30" i="87"/>
  <c r="C30" i="87"/>
  <c r="C29" i="87"/>
  <c r="C27" i="87"/>
  <c r="C26" i="87"/>
  <c r="O24" i="87"/>
  <c r="N24" i="87"/>
  <c r="M24" i="87"/>
  <c r="K24" i="87"/>
  <c r="E24" i="87"/>
  <c r="P23" i="87"/>
  <c r="O23" i="87"/>
  <c r="N23" i="87"/>
  <c r="L23" i="87"/>
  <c r="K23" i="87"/>
  <c r="E23" i="87"/>
  <c r="X22" i="87"/>
  <c r="W22" i="87"/>
  <c r="V22" i="87"/>
  <c r="U22" i="87"/>
  <c r="T22" i="87"/>
  <c r="O21" i="87"/>
  <c r="N21" i="87"/>
  <c r="M21" i="87"/>
  <c r="L21" i="87"/>
  <c r="K21" i="87"/>
  <c r="E21" i="87"/>
  <c r="C21" i="87"/>
  <c r="G21" i="87" s="1"/>
  <c r="C19" i="87"/>
  <c r="E19" i="87" s="1"/>
  <c r="C18" i="87"/>
  <c r="E18" i="87" s="1"/>
  <c r="C17" i="87"/>
  <c r="E17" i="87" s="1"/>
  <c r="C16" i="87"/>
  <c r="E16" i="87" s="1"/>
  <c r="C14" i="87"/>
  <c r="X13" i="87"/>
  <c r="W13" i="87"/>
  <c r="V13" i="87"/>
  <c r="U13" i="87"/>
  <c r="T13" i="87"/>
  <c r="S13" i="87" s="1"/>
  <c r="M13" i="87"/>
  <c r="L13" i="87"/>
  <c r="K13" i="87"/>
  <c r="I13" i="87"/>
  <c r="F13" i="87"/>
  <c r="C13" i="87"/>
  <c r="E13" i="87" s="1"/>
  <c r="C12" i="87"/>
  <c r="C11" i="87"/>
  <c r="C10" i="87"/>
  <c r="E57" i="88"/>
  <c r="C47" i="88" s="1"/>
  <c r="E56" i="88"/>
  <c r="E55" i="88"/>
  <c r="E54" i="88"/>
  <c r="E53" i="88"/>
  <c r="C45" i="88" s="1"/>
  <c r="G45" i="88" s="1"/>
  <c r="Q45" i="88" s="1"/>
  <c r="Z45" i="88" s="1"/>
  <c r="E52" i="88"/>
  <c r="X46" i="88"/>
  <c r="W46" i="88"/>
  <c r="V46" i="88"/>
  <c r="U46" i="88"/>
  <c r="T46" i="88"/>
  <c r="X44" i="88"/>
  <c r="V44" i="88"/>
  <c r="T44" i="88"/>
  <c r="W43" i="88"/>
  <c r="V43" i="88"/>
  <c r="U43" i="88"/>
  <c r="T43" i="88"/>
  <c r="X42" i="88"/>
  <c r="Y42" i="88" s="1"/>
  <c r="E42" i="88"/>
  <c r="X41" i="88"/>
  <c r="W41" i="88"/>
  <c r="V41" i="88"/>
  <c r="U41" i="88"/>
  <c r="T41" i="88"/>
  <c r="L41" i="88"/>
  <c r="C41" i="88"/>
  <c r="G41" i="88" s="1"/>
  <c r="X40" i="88"/>
  <c r="W40" i="88"/>
  <c r="Y40" i="88" s="1"/>
  <c r="V40" i="88"/>
  <c r="U40" i="88"/>
  <c r="T40" i="88"/>
  <c r="C40" i="88"/>
  <c r="G40" i="88" s="1"/>
  <c r="X39" i="88"/>
  <c r="W39" i="88"/>
  <c r="V39" i="88"/>
  <c r="U39" i="88"/>
  <c r="T39" i="88"/>
  <c r="Y39" i="88" s="1"/>
  <c r="X37" i="88"/>
  <c r="W37" i="88"/>
  <c r="V37" i="88"/>
  <c r="C37" i="88" s="1"/>
  <c r="U37" i="88"/>
  <c r="T37" i="88"/>
  <c r="C34" i="88"/>
  <c r="C33" i="88"/>
  <c r="C32" i="88"/>
  <c r="X30" i="88"/>
  <c r="W30" i="88"/>
  <c r="V30" i="88"/>
  <c r="U30" i="88"/>
  <c r="T30" i="88"/>
  <c r="S30" i="88" s="1"/>
  <c r="M30" i="88"/>
  <c r="K30" i="88"/>
  <c r="F30" i="88"/>
  <c r="C30" i="88"/>
  <c r="C29" i="88"/>
  <c r="C27" i="88"/>
  <c r="C26" i="88"/>
  <c r="O24" i="88"/>
  <c r="N24" i="88"/>
  <c r="M24" i="88"/>
  <c r="K24" i="88"/>
  <c r="E24" i="88"/>
  <c r="F22" i="88" s="1"/>
  <c r="P23" i="88"/>
  <c r="O23" i="88"/>
  <c r="N23" i="88"/>
  <c r="L23" i="88"/>
  <c r="K23" i="88"/>
  <c r="E23" i="88"/>
  <c r="X22" i="88"/>
  <c r="W22" i="88"/>
  <c r="V22" i="88"/>
  <c r="U22" i="88"/>
  <c r="T22" i="88"/>
  <c r="O21" i="88"/>
  <c r="N21" i="88"/>
  <c r="M21" i="88"/>
  <c r="L21" i="88"/>
  <c r="K21" i="88"/>
  <c r="E21" i="88"/>
  <c r="C21" i="88"/>
  <c r="C19" i="88"/>
  <c r="C18" i="88"/>
  <c r="C17" i="88"/>
  <c r="E17" i="88" s="1"/>
  <c r="C16" i="88"/>
  <c r="E16" i="88" s="1"/>
  <c r="C14" i="88"/>
  <c r="G14" i="88" s="1"/>
  <c r="X13" i="88"/>
  <c r="W13" i="88"/>
  <c r="V13" i="88"/>
  <c r="U13" i="88"/>
  <c r="T13" i="88"/>
  <c r="S13" i="88" s="1"/>
  <c r="M13" i="88"/>
  <c r="L13" i="88"/>
  <c r="K13" i="88"/>
  <c r="I13" i="88"/>
  <c r="F13" i="88"/>
  <c r="C13" i="88"/>
  <c r="C12" i="88"/>
  <c r="E12" i="88" s="1"/>
  <c r="C11" i="88"/>
  <c r="C10" i="88"/>
  <c r="E57" i="89"/>
  <c r="C47" i="89" s="1"/>
  <c r="G47" i="89" s="1"/>
  <c r="Q47" i="89" s="1"/>
  <c r="Z47" i="89" s="1"/>
  <c r="E56" i="89"/>
  <c r="E55" i="89"/>
  <c r="E54" i="89"/>
  <c r="E53" i="89"/>
  <c r="C45" i="89" s="1"/>
  <c r="E52" i="89"/>
  <c r="X46" i="89"/>
  <c r="W46" i="89"/>
  <c r="V46" i="89"/>
  <c r="U46" i="89"/>
  <c r="T46" i="89"/>
  <c r="Y46" i="89" s="1"/>
  <c r="X44" i="89"/>
  <c r="V44" i="89"/>
  <c r="T44" i="89"/>
  <c r="Y44" i="89" s="1"/>
  <c r="W43" i="89"/>
  <c r="V43" i="89"/>
  <c r="U43" i="89"/>
  <c r="C43" i="89" s="1"/>
  <c r="G43" i="89" s="1"/>
  <c r="Q43" i="89" s="1"/>
  <c r="Z43" i="89" s="1"/>
  <c r="T43" i="89"/>
  <c r="X42" i="89"/>
  <c r="Y42" i="89" s="1"/>
  <c r="E42" i="89"/>
  <c r="X41" i="89"/>
  <c r="W41" i="89"/>
  <c r="V41" i="89"/>
  <c r="Y41" i="89" s="1"/>
  <c r="U41" i="89"/>
  <c r="T41" i="89"/>
  <c r="L41" i="89"/>
  <c r="C41" i="89"/>
  <c r="X40" i="89"/>
  <c r="W40" i="89"/>
  <c r="V40" i="89"/>
  <c r="U40" i="89"/>
  <c r="T40" i="89"/>
  <c r="C40" i="89"/>
  <c r="G40" i="89" s="1"/>
  <c r="X39" i="89"/>
  <c r="W39" i="89"/>
  <c r="V39" i="89"/>
  <c r="U39" i="89"/>
  <c r="T39" i="89"/>
  <c r="X37" i="89"/>
  <c r="W37" i="89"/>
  <c r="V37" i="89"/>
  <c r="U37" i="89"/>
  <c r="T37" i="89"/>
  <c r="C34" i="89"/>
  <c r="C33" i="89"/>
  <c r="C32" i="89"/>
  <c r="X30" i="89"/>
  <c r="W30" i="89"/>
  <c r="V30" i="89"/>
  <c r="U30" i="89"/>
  <c r="T30" i="89"/>
  <c r="M30" i="89"/>
  <c r="K30" i="89"/>
  <c r="F30" i="89"/>
  <c r="C30" i="89"/>
  <c r="C29" i="89"/>
  <c r="C27" i="89"/>
  <c r="C26" i="89"/>
  <c r="D30" i="89" s="1"/>
  <c r="O24" i="89"/>
  <c r="N24" i="89"/>
  <c r="M24" i="89"/>
  <c r="K24" i="89"/>
  <c r="E24" i="89"/>
  <c r="P23" i="89"/>
  <c r="O23" i="89"/>
  <c r="N23" i="89"/>
  <c r="L23" i="89"/>
  <c r="K23" i="89"/>
  <c r="E23" i="89"/>
  <c r="X22" i="89"/>
  <c r="W22" i="89"/>
  <c r="V22" i="89"/>
  <c r="U22" i="89"/>
  <c r="T22" i="89"/>
  <c r="S22" i="89" s="1"/>
  <c r="O21" i="89"/>
  <c r="N21" i="89"/>
  <c r="M21" i="89"/>
  <c r="L21" i="89"/>
  <c r="K21" i="89"/>
  <c r="E21" i="89"/>
  <c r="C21" i="89"/>
  <c r="C19" i="89"/>
  <c r="E19" i="89" s="1"/>
  <c r="G19" i="89" s="1"/>
  <c r="C18" i="89"/>
  <c r="E18" i="89" s="1"/>
  <c r="G18" i="89" s="1"/>
  <c r="C17" i="89"/>
  <c r="E17" i="89" s="1"/>
  <c r="G17" i="89" s="1"/>
  <c r="C16" i="89"/>
  <c r="E16" i="89" s="1"/>
  <c r="G16" i="89" s="1"/>
  <c r="C14" i="89"/>
  <c r="G14" i="89" s="1"/>
  <c r="X13" i="89"/>
  <c r="W13" i="89"/>
  <c r="V13" i="89"/>
  <c r="U13" i="89"/>
  <c r="T13" i="89"/>
  <c r="M13" i="89"/>
  <c r="L13" i="89"/>
  <c r="K13" i="89"/>
  <c r="I13" i="89"/>
  <c r="F13" i="89"/>
  <c r="C13" i="89"/>
  <c r="E13" i="89" s="1"/>
  <c r="C12" i="89"/>
  <c r="E12" i="89" s="1"/>
  <c r="C11" i="89"/>
  <c r="E11" i="89" s="1"/>
  <c r="C10" i="89"/>
  <c r="E57" i="90"/>
  <c r="C47" i="90" s="1"/>
  <c r="E56" i="90"/>
  <c r="E55" i="90"/>
  <c r="E54" i="90"/>
  <c r="E53" i="90"/>
  <c r="E52" i="90"/>
  <c r="X46" i="90"/>
  <c r="W46" i="90"/>
  <c r="V46" i="90"/>
  <c r="U46" i="90"/>
  <c r="T46" i="90"/>
  <c r="X44" i="90"/>
  <c r="V44" i="90"/>
  <c r="T44" i="90"/>
  <c r="W43" i="90"/>
  <c r="V43" i="90"/>
  <c r="U43" i="90"/>
  <c r="T43" i="90"/>
  <c r="Y43" i="90" s="1"/>
  <c r="X42" i="90"/>
  <c r="Y42" i="90" s="1"/>
  <c r="E42" i="90"/>
  <c r="F41" i="90" s="1"/>
  <c r="X41" i="90"/>
  <c r="W41" i="90"/>
  <c r="V41" i="90"/>
  <c r="U41" i="90"/>
  <c r="T41" i="90"/>
  <c r="L41" i="90"/>
  <c r="C41" i="90"/>
  <c r="G41" i="90" s="1"/>
  <c r="X40" i="90"/>
  <c r="W40" i="90"/>
  <c r="V40" i="90"/>
  <c r="Y40" i="90" s="1"/>
  <c r="U40" i="90"/>
  <c r="T40" i="90"/>
  <c r="C40" i="90"/>
  <c r="X39" i="90"/>
  <c r="W39" i="90"/>
  <c r="V39" i="90"/>
  <c r="U39" i="90"/>
  <c r="T39" i="90"/>
  <c r="X37" i="90"/>
  <c r="W37" i="90"/>
  <c r="V37" i="90"/>
  <c r="U37" i="90"/>
  <c r="Y37" i="90" s="1"/>
  <c r="T37" i="90"/>
  <c r="C34" i="90"/>
  <c r="C33" i="90"/>
  <c r="C32" i="90"/>
  <c r="X30" i="90"/>
  <c r="W30" i="90"/>
  <c r="V30" i="90"/>
  <c r="U30" i="90"/>
  <c r="T30" i="90"/>
  <c r="S30" i="90" s="1"/>
  <c r="M30" i="90"/>
  <c r="K30" i="90"/>
  <c r="F30" i="90"/>
  <c r="F35" i="90" s="1"/>
  <c r="C30" i="90"/>
  <c r="C29" i="90"/>
  <c r="C27" i="90"/>
  <c r="C26" i="90"/>
  <c r="O24" i="90"/>
  <c r="N24" i="90"/>
  <c r="M24" i="90"/>
  <c r="K24" i="90"/>
  <c r="E24" i="90"/>
  <c r="P23" i="90"/>
  <c r="O23" i="90"/>
  <c r="N23" i="90"/>
  <c r="L23" i="90"/>
  <c r="K23" i="90"/>
  <c r="E23" i="90"/>
  <c r="X22" i="90"/>
  <c r="W22" i="90"/>
  <c r="V22" i="90"/>
  <c r="U22" i="90"/>
  <c r="T22" i="90"/>
  <c r="O21" i="90"/>
  <c r="N21" i="90"/>
  <c r="M21" i="90"/>
  <c r="L21" i="90"/>
  <c r="K21" i="90"/>
  <c r="E21" i="90"/>
  <c r="C21" i="90"/>
  <c r="C19" i="90"/>
  <c r="E19" i="90" s="1"/>
  <c r="G19" i="90" s="1"/>
  <c r="C18" i="90"/>
  <c r="E18" i="90" s="1"/>
  <c r="G18" i="90" s="1"/>
  <c r="C17" i="90"/>
  <c r="C16" i="90"/>
  <c r="C14" i="90"/>
  <c r="G14" i="90" s="1"/>
  <c r="X13" i="90"/>
  <c r="W13" i="90"/>
  <c r="V13" i="90"/>
  <c r="V5" i="90" s="1"/>
  <c r="U13" i="90"/>
  <c r="U5" i="90" s="1"/>
  <c r="T13" i="90"/>
  <c r="M13" i="90"/>
  <c r="L13" i="90"/>
  <c r="K13" i="90"/>
  <c r="I13" i="90"/>
  <c r="F13" i="90"/>
  <c r="C13" i="90"/>
  <c r="E13" i="90" s="1"/>
  <c r="G13" i="90" s="1"/>
  <c r="C12" i="90"/>
  <c r="E12" i="90" s="1"/>
  <c r="C11" i="90"/>
  <c r="C10" i="90"/>
  <c r="E57" i="91"/>
  <c r="C47" i="91" s="1"/>
  <c r="E56" i="91"/>
  <c r="E55" i="91"/>
  <c r="E54" i="91"/>
  <c r="C42" i="91" s="1"/>
  <c r="G42" i="91" s="1"/>
  <c r="Q42" i="91" s="1"/>
  <c r="Z42" i="91" s="1"/>
  <c r="E53" i="91"/>
  <c r="E52" i="91"/>
  <c r="X46" i="91"/>
  <c r="W46" i="91"/>
  <c r="V46" i="91"/>
  <c r="U46" i="91"/>
  <c r="T46" i="91"/>
  <c r="Y46" i="91" s="1"/>
  <c r="C46" i="91"/>
  <c r="X44" i="91"/>
  <c r="V44" i="91"/>
  <c r="Y44" i="91" s="1"/>
  <c r="Z44" i="91" s="1"/>
  <c r="T44" i="91"/>
  <c r="W43" i="91"/>
  <c r="V43" i="91"/>
  <c r="U43" i="91"/>
  <c r="T43" i="91"/>
  <c r="Y43" i="91" s="1"/>
  <c r="X42" i="91"/>
  <c r="E42" i="91"/>
  <c r="X41" i="91"/>
  <c r="W41" i="91"/>
  <c r="V41" i="91"/>
  <c r="U41" i="91"/>
  <c r="T41" i="91"/>
  <c r="Y41" i="91" s="1"/>
  <c r="L41" i="91"/>
  <c r="C41" i="91"/>
  <c r="G41" i="91" s="1"/>
  <c r="Z41" i="91" s="1"/>
  <c r="X40" i="91"/>
  <c r="W40" i="91"/>
  <c r="V40" i="91"/>
  <c r="U40" i="91"/>
  <c r="T40" i="91"/>
  <c r="C40" i="91"/>
  <c r="X39" i="91"/>
  <c r="W39" i="91"/>
  <c r="V39" i="91"/>
  <c r="U39" i="91"/>
  <c r="T39" i="91"/>
  <c r="Y39" i="91" s="1"/>
  <c r="X37" i="91"/>
  <c r="X5" i="91" s="1"/>
  <c r="W37" i="91"/>
  <c r="C37" i="91" s="1"/>
  <c r="V37" i="91"/>
  <c r="U37" i="91"/>
  <c r="S41" i="91" s="1"/>
  <c r="T37" i="91"/>
  <c r="C34" i="91"/>
  <c r="C33" i="91"/>
  <c r="C32" i="91"/>
  <c r="X30" i="91"/>
  <c r="W30" i="91"/>
  <c r="V30" i="91"/>
  <c r="U30" i="91"/>
  <c r="T30" i="91"/>
  <c r="S30" i="91" s="1"/>
  <c r="M30" i="91"/>
  <c r="K30" i="91"/>
  <c r="F30" i="91"/>
  <c r="F35" i="91" s="1"/>
  <c r="C30" i="91"/>
  <c r="C29" i="91"/>
  <c r="C27" i="91"/>
  <c r="C26" i="91"/>
  <c r="O24" i="91"/>
  <c r="N24" i="91"/>
  <c r="M24" i="91"/>
  <c r="K24" i="91"/>
  <c r="E24" i="91"/>
  <c r="F22" i="91" s="1"/>
  <c r="C24" i="91"/>
  <c r="G24" i="91" s="1"/>
  <c r="P23" i="91"/>
  <c r="O23" i="91"/>
  <c r="N23" i="91"/>
  <c r="L23" i="91"/>
  <c r="K23" i="91"/>
  <c r="E23" i="91"/>
  <c r="X22" i="91"/>
  <c r="W22" i="91"/>
  <c r="V22" i="91"/>
  <c r="V5" i="91" s="1"/>
  <c r="U22" i="91"/>
  <c r="U5" i="91" s="1"/>
  <c r="T22" i="91"/>
  <c r="T5" i="91" s="1"/>
  <c r="O21" i="91"/>
  <c r="N21" i="91"/>
  <c r="M21" i="91"/>
  <c r="L21" i="91"/>
  <c r="K21" i="91"/>
  <c r="E21" i="91"/>
  <c r="C21" i="91"/>
  <c r="C19" i="91"/>
  <c r="C18" i="91"/>
  <c r="G18" i="91" s="1"/>
  <c r="C17" i="91"/>
  <c r="G17" i="91" s="1"/>
  <c r="C16" i="91"/>
  <c r="G16" i="91" s="1"/>
  <c r="C14" i="91"/>
  <c r="G14" i="91" s="1"/>
  <c r="X13" i="91"/>
  <c r="W13" i="91"/>
  <c r="V13" i="91"/>
  <c r="U13" i="91"/>
  <c r="T13" i="91"/>
  <c r="M13" i="91"/>
  <c r="L13" i="91"/>
  <c r="K13" i="91"/>
  <c r="I13" i="91"/>
  <c r="F13" i="91"/>
  <c r="C13" i="91"/>
  <c r="C12" i="91"/>
  <c r="C11" i="91"/>
  <c r="E11" i="91" s="1"/>
  <c r="C10" i="91"/>
  <c r="D13" i="91" s="1"/>
  <c r="E57" i="92"/>
  <c r="E56" i="92"/>
  <c r="E55" i="92"/>
  <c r="E54" i="92"/>
  <c r="E53" i="92"/>
  <c r="E52" i="92"/>
  <c r="Q47" i="92"/>
  <c r="Z47" i="92" s="1"/>
  <c r="X46" i="92"/>
  <c r="W46" i="92"/>
  <c r="V46" i="92"/>
  <c r="U46" i="92"/>
  <c r="T46" i="92"/>
  <c r="Y46" i="92" s="1"/>
  <c r="X44" i="92"/>
  <c r="V44" i="92"/>
  <c r="T44" i="92"/>
  <c r="Y44" i="92" s="1"/>
  <c r="Z44" i="92" s="1"/>
  <c r="Q44" i="92"/>
  <c r="W43" i="92"/>
  <c r="V43" i="92"/>
  <c r="U43" i="92"/>
  <c r="C43" i="92" s="1"/>
  <c r="G43" i="92" s="1"/>
  <c r="Q43" i="92" s="1"/>
  <c r="Z43" i="92" s="1"/>
  <c r="T43" i="92"/>
  <c r="C42" i="92" s="1"/>
  <c r="G42" i="92" s="1"/>
  <c r="Q42" i="92" s="1"/>
  <c r="Z42" i="92" s="1"/>
  <c r="X42" i="92"/>
  <c r="E42" i="92"/>
  <c r="X41" i="92"/>
  <c r="W41" i="92"/>
  <c r="V41" i="92"/>
  <c r="U41" i="92"/>
  <c r="T41" i="92"/>
  <c r="L41" i="92"/>
  <c r="C41" i="92"/>
  <c r="X40" i="92"/>
  <c r="W40" i="92"/>
  <c r="V40" i="92"/>
  <c r="U40" i="92"/>
  <c r="Y40" i="92" s="1"/>
  <c r="T40" i="92"/>
  <c r="C40" i="92"/>
  <c r="X39" i="92"/>
  <c r="W39" i="92"/>
  <c r="V39" i="92"/>
  <c r="Y39" i="92" s="1"/>
  <c r="U39" i="92"/>
  <c r="T39" i="92"/>
  <c r="S41" i="92" s="1"/>
  <c r="X37" i="92"/>
  <c r="W37" i="92"/>
  <c r="V37" i="92"/>
  <c r="U37" i="92"/>
  <c r="T37" i="92"/>
  <c r="Y37" i="92" s="1"/>
  <c r="C34" i="92"/>
  <c r="C33" i="92"/>
  <c r="C32" i="92"/>
  <c r="X30" i="92"/>
  <c r="W30" i="92"/>
  <c r="W5" i="92" s="1"/>
  <c r="V30" i="92"/>
  <c r="U30" i="92"/>
  <c r="T30" i="92"/>
  <c r="M30" i="92"/>
  <c r="K30" i="92"/>
  <c r="F30" i="92"/>
  <c r="C30" i="92"/>
  <c r="C29" i="92"/>
  <c r="C27" i="92"/>
  <c r="C26" i="92"/>
  <c r="D30" i="92" s="1"/>
  <c r="F35" i="92" s="1"/>
  <c r="O24" i="92"/>
  <c r="N24" i="92"/>
  <c r="M24" i="92"/>
  <c r="K24" i="92"/>
  <c r="E24" i="92"/>
  <c r="P23" i="92"/>
  <c r="O23" i="92"/>
  <c r="N23" i="92"/>
  <c r="L23" i="92"/>
  <c r="K23" i="92"/>
  <c r="E23" i="92"/>
  <c r="C23" i="92"/>
  <c r="G23" i="92" s="1"/>
  <c r="X22" i="92"/>
  <c r="X5" i="92" s="1"/>
  <c r="W22" i="92"/>
  <c r="V22" i="92"/>
  <c r="S22" i="92" s="1"/>
  <c r="U22" i="92"/>
  <c r="T22" i="92"/>
  <c r="O21" i="92"/>
  <c r="N21" i="92"/>
  <c r="M21" i="92"/>
  <c r="L21" i="92"/>
  <c r="K21" i="92"/>
  <c r="E21" i="92"/>
  <c r="F22" i="92" s="1"/>
  <c r="C21" i="92"/>
  <c r="D22" i="92" s="1"/>
  <c r="C19" i="92"/>
  <c r="E19" i="92" s="1"/>
  <c r="C18" i="92"/>
  <c r="C46" i="92" s="1"/>
  <c r="G46" i="92" s="1"/>
  <c r="Q46" i="92" s="1"/>
  <c r="C17" i="92"/>
  <c r="C16" i="92"/>
  <c r="C14" i="92"/>
  <c r="G14" i="92" s="1"/>
  <c r="X13" i="92"/>
  <c r="W13" i="92"/>
  <c r="V13" i="92"/>
  <c r="U13" i="92"/>
  <c r="T13" i="92"/>
  <c r="S13" i="92" s="1"/>
  <c r="M13" i="92"/>
  <c r="L13" i="92"/>
  <c r="K13" i="92"/>
  <c r="I13" i="92"/>
  <c r="F13" i="92"/>
  <c r="C13" i="92"/>
  <c r="C12" i="92"/>
  <c r="C11" i="92"/>
  <c r="E11" i="92" s="1"/>
  <c r="G11" i="92" s="1"/>
  <c r="C10" i="92"/>
  <c r="E57" i="93"/>
  <c r="C47" i="93" s="1"/>
  <c r="E56" i="93"/>
  <c r="E55" i="93"/>
  <c r="E54" i="93"/>
  <c r="E53" i="93"/>
  <c r="C45" i="93" s="1"/>
  <c r="E52" i="93"/>
  <c r="X46" i="93"/>
  <c r="W46" i="93"/>
  <c r="V46" i="93"/>
  <c r="U46" i="93"/>
  <c r="T46" i="93"/>
  <c r="X44" i="93"/>
  <c r="V44" i="93"/>
  <c r="T44" i="93"/>
  <c r="W43" i="93"/>
  <c r="V43" i="93"/>
  <c r="U43" i="93"/>
  <c r="C43" i="93" s="1"/>
  <c r="G43" i="93" s="1"/>
  <c r="Q43" i="93" s="1"/>
  <c r="Z43" i="93" s="1"/>
  <c r="T43" i="93"/>
  <c r="X42" i="93"/>
  <c r="Y42" i="93" s="1"/>
  <c r="E42" i="93"/>
  <c r="X41" i="93"/>
  <c r="W41" i="93"/>
  <c r="V41" i="93"/>
  <c r="U41" i="93"/>
  <c r="T41" i="93"/>
  <c r="L41" i="93"/>
  <c r="C41" i="93"/>
  <c r="G41" i="93" s="1"/>
  <c r="X40" i="93"/>
  <c r="W40" i="93"/>
  <c r="V40" i="93"/>
  <c r="U40" i="93"/>
  <c r="T40" i="93"/>
  <c r="C40" i="93"/>
  <c r="X39" i="93"/>
  <c r="W39" i="93"/>
  <c r="V39" i="93"/>
  <c r="U39" i="93"/>
  <c r="T39" i="93"/>
  <c r="C39" i="93" s="1"/>
  <c r="G39" i="93" s="1"/>
  <c r="X37" i="93"/>
  <c r="W37" i="93"/>
  <c r="V37" i="93"/>
  <c r="U37" i="93"/>
  <c r="T37" i="93"/>
  <c r="C34" i="93"/>
  <c r="C33" i="93"/>
  <c r="C32" i="93"/>
  <c r="X30" i="93"/>
  <c r="W30" i="93"/>
  <c r="V30" i="93"/>
  <c r="U30" i="93"/>
  <c r="T30" i="93"/>
  <c r="S30" i="93" s="1"/>
  <c r="M30" i="93"/>
  <c r="K30" i="93"/>
  <c r="F30" i="93"/>
  <c r="C30" i="93"/>
  <c r="C29" i="93"/>
  <c r="C27" i="93"/>
  <c r="C26" i="93"/>
  <c r="O24" i="93"/>
  <c r="N24" i="93"/>
  <c r="M24" i="93"/>
  <c r="K24" i="93"/>
  <c r="E24" i="93"/>
  <c r="F22" i="93" s="1"/>
  <c r="P23" i="93"/>
  <c r="O23" i="93"/>
  <c r="N23" i="93"/>
  <c r="L23" i="93"/>
  <c r="K23" i="93"/>
  <c r="E23" i="93"/>
  <c r="X22" i="93"/>
  <c r="W22" i="93"/>
  <c r="V22" i="93"/>
  <c r="U22" i="93"/>
  <c r="T22" i="93"/>
  <c r="S22" i="93" s="1"/>
  <c r="O21" i="93"/>
  <c r="N21" i="93"/>
  <c r="M21" i="93"/>
  <c r="L21" i="93"/>
  <c r="K21" i="93"/>
  <c r="E21" i="93"/>
  <c r="C21" i="93"/>
  <c r="C19" i="93"/>
  <c r="C18" i="93"/>
  <c r="E18" i="93" s="1"/>
  <c r="C17" i="93"/>
  <c r="E17" i="93" s="1"/>
  <c r="G17" i="93" s="1"/>
  <c r="C16" i="93"/>
  <c r="E16" i="93" s="1"/>
  <c r="C14" i="93"/>
  <c r="G14" i="93" s="1"/>
  <c r="X13" i="93"/>
  <c r="W13" i="93"/>
  <c r="S13" i="93" s="1"/>
  <c r="V13" i="93"/>
  <c r="U13" i="93"/>
  <c r="T13" i="93"/>
  <c r="M13" i="93"/>
  <c r="L13" i="93"/>
  <c r="K13" i="93"/>
  <c r="I13" i="93"/>
  <c r="F13" i="93"/>
  <c r="C13" i="93"/>
  <c r="E13" i="93" s="1"/>
  <c r="C12" i="93"/>
  <c r="E12" i="93" s="1"/>
  <c r="C11" i="93"/>
  <c r="E11" i="93" s="1"/>
  <c r="C10" i="93"/>
  <c r="G8" i="93"/>
  <c r="Y47" i="93"/>
  <c r="Y45" i="93"/>
  <c r="G44" i="93"/>
  <c r="F41" i="93"/>
  <c r="G40" i="93"/>
  <c r="Y39" i="93"/>
  <c r="Y38" i="93"/>
  <c r="C38" i="93"/>
  <c r="G38" i="93" s="1"/>
  <c r="Z36" i="93"/>
  <c r="Y36" i="93"/>
  <c r="G21" i="93"/>
  <c r="G15" i="93"/>
  <c r="G7" i="93"/>
  <c r="T5" i="93"/>
  <c r="Y47" i="92"/>
  <c r="G47" i="92"/>
  <c r="C47" i="92"/>
  <c r="Y45" i="92"/>
  <c r="C45" i="92"/>
  <c r="C24" i="92" s="1"/>
  <c r="G24" i="92" s="1"/>
  <c r="G44" i="92"/>
  <c r="Y42" i="92"/>
  <c r="Y41" i="92"/>
  <c r="Z41" i="92" s="1"/>
  <c r="G41" i="92"/>
  <c r="F41" i="92"/>
  <c r="G40" i="92"/>
  <c r="Z40" i="92" s="1"/>
  <c r="Z38" i="92"/>
  <c r="Y38" i="92"/>
  <c r="G38" i="92"/>
  <c r="C38" i="92"/>
  <c r="C37" i="92"/>
  <c r="Y36" i="92"/>
  <c r="Z36" i="92" s="1"/>
  <c r="G21" i="92"/>
  <c r="G15" i="92"/>
  <c r="G13" i="92"/>
  <c r="G8" i="92"/>
  <c r="G7" i="92"/>
  <c r="U5" i="92"/>
  <c r="Y47" i="91"/>
  <c r="G46" i="91"/>
  <c r="Q46" i="91" s="1"/>
  <c r="Z46" i="91" s="1"/>
  <c r="Y45" i="91"/>
  <c r="C45" i="91"/>
  <c r="G45" i="91" s="1"/>
  <c r="Q45" i="91" s="1"/>
  <c r="Z45" i="91" s="1"/>
  <c r="G44" i="91"/>
  <c r="Q44" i="91" s="1"/>
  <c r="Y42" i="91"/>
  <c r="F41" i="91"/>
  <c r="Y40" i="91"/>
  <c r="Z40" i="91" s="1"/>
  <c r="G40" i="91"/>
  <c r="Y38" i="91"/>
  <c r="C38" i="91"/>
  <c r="G38" i="91" s="1"/>
  <c r="Z38" i="91" s="1"/>
  <c r="Y37" i="91"/>
  <c r="Y36" i="91"/>
  <c r="Z36" i="91" s="1"/>
  <c r="D30" i="91"/>
  <c r="G21" i="91"/>
  <c r="G15" i="91"/>
  <c r="S13" i="91"/>
  <c r="G9" i="91"/>
  <c r="G8" i="91"/>
  <c r="G7" i="91"/>
  <c r="Y47" i="90"/>
  <c r="Y45" i="90"/>
  <c r="C45" i="90"/>
  <c r="G45" i="90" s="1"/>
  <c r="Q45" i="90" s="1"/>
  <c r="Z45" i="90" s="1"/>
  <c r="Y44" i="90"/>
  <c r="Z44" i="90" s="1"/>
  <c r="G44" i="90"/>
  <c r="Q44" i="90" s="1"/>
  <c r="Y41" i="90"/>
  <c r="G40" i="90"/>
  <c r="Y39" i="90"/>
  <c r="Y38" i="90"/>
  <c r="C38" i="90"/>
  <c r="G38" i="90" s="1"/>
  <c r="Z38" i="90" s="1"/>
  <c r="Y36" i="90"/>
  <c r="Z36" i="90" s="1"/>
  <c r="D30" i="90"/>
  <c r="G21" i="90"/>
  <c r="G15" i="90"/>
  <c r="Y47" i="89"/>
  <c r="Y45" i="89"/>
  <c r="G44" i="89"/>
  <c r="Q44" i="89" s="1"/>
  <c r="Y43" i="89"/>
  <c r="G41" i="89"/>
  <c r="F41" i="89"/>
  <c r="Y38" i="89"/>
  <c r="G38" i="89"/>
  <c r="C38" i="89"/>
  <c r="Z36" i="89"/>
  <c r="Y36" i="89"/>
  <c r="G15" i="89"/>
  <c r="G9" i="89"/>
  <c r="G8" i="89"/>
  <c r="G7" i="89"/>
  <c r="Y47" i="88"/>
  <c r="Y46" i="88"/>
  <c r="Y45" i="88"/>
  <c r="G44" i="88"/>
  <c r="Q44" i="88" s="1"/>
  <c r="F41" i="88"/>
  <c r="Y38" i="88"/>
  <c r="C38" i="88"/>
  <c r="G38" i="88" s="1"/>
  <c r="Z38" i="88" s="1"/>
  <c r="Y36" i="88"/>
  <c r="Z36" i="88" s="1"/>
  <c r="D30" i="88"/>
  <c r="F35" i="88" s="1"/>
  <c r="G21" i="88"/>
  <c r="G15" i="88"/>
  <c r="G9" i="88"/>
  <c r="Y47" i="87"/>
  <c r="Y45" i="87"/>
  <c r="C45" i="87"/>
  <c r="C24" i="87" s="1"/>
  <c r="G24" i="87" s="1"/>
  <c r="G44" i="87"/>
  <c r="Q44" i="87" s="1"/>
  <c r="Y38" i="87"/>
  <c r="C38" i="87"/>
  <c r="G38" i="87" s="1"/>
  <c r="Z38" i="87" s="1"/>
  <c r="Y36" i="87"/>
  <c r="Z36" i="87" s="1"/>
  <c r="G15" i="87"/>
  <c r="G14" i="87"/>
  <c r="Y47" i="86"/>
  <c r="Y46" i="86"/>
  <c r="Y45" i="86"/>
  <c r="G44" i="86"/>
  <c r="Q44" i="86" s="1"/>
  <c r="Y41" i="86"/>
  <c r="G41" i="86"/>
  <c r="G40" i="86"/>
  <c r="Y38" i="86"/>
  <c r="C38" i="86"/>
  <c r="G38" i="86" s="1"/>
  <c r="Y36" i="86"/>
  <c r="Z36" i="86" s="1"/>
  <c r="G21" i="86"/>
  <c r="G15" i="86"/>
  <c r="S13" i="86"/>
  <c r="G7" i="86"/>
  <c r="Y47" i="85"/>
  <c r="Y45" i="85"/>
  <c r="Y44" i="85"/>
  <c r="G44" i="85"/>
  <c r="Z44" i="85" s="1"/>
  <c r="G41" i="85"/>
  <c r="G40" i="85"/>
  <c r="Y38" i="85"/>
  <c r="G38" i="85"/>
  <c r="Z38" i="85" s="1"/>
  <c r="C38" i="85"/>
  <c r="Z36" i="85"/>
  <c r="Y36" i="85"/>
  <c r="S30" i="85"/>
  <c r="G15" i="85"/>
  <c r="W5" i="85"/>
  <c r="C16" i="70"/>
  <c r="E16" i="70" s="1"/>
  <c r="C41" i="70"/>
  <c r="L41" i="70"/>
  <c r="C14" i="70"/>
  <c r="C21" i="70"/>
  <c r="E57" i="70"/>
  <c r="E56" i="70"/>
  <c r="E55" i="70"/>
  <c r="E54" i="70"/>
  <c r="E53" i="70"/>
  <c r="E52" i="70"/>
  <c r="X46" i="70"/>
  <c r="W46" i="70"/>
  <c r="V46" i="70"/>
  <c r="U46" i="70"/>
  <c r="T46" i="70"/>
  <c r="X44" i="70"/>
  <c r="V44" i="70"/>
  <c r="T44" i="70"/>
  <c r="Q44" i="70"/>
  <c r="W43" i="70"/>
  <c r="V43" i="70"/>
  <c r="U43" i="70"/>
  <c r="T43" i="70"/>
  <c r="C43" i="70" s="1"/>
  <c r="X42" i="70"/>
  <c r="E42" i="70"/>
  <c r="X41" i="70"/>
  <c r="W41" i="70"/>
  <c r="V41" i="70"/>
  <c r="U41" i="70"/>
  <c r="T41" i="70"/>
  <c r="X40" i="70"/>
  <c r="W40" i="70"/>
  <c r="V40" i="70"/>
  <c r="U40" i="70"/>
  <c r="T40" i="70"/>
  <c r="C40" i="70"/>
  <c r="X39" i="70"/>
  <c r="W39" i="70"/>
  <c r="V39" i="70"/>
  <c r="U39" i="70"/>
  <c r="T39" i="70"/>
  <c r="X37" i="70"/>
  <c r="W37" i="70"/>
  <c r="V37" i="70"/>
  <c r="U37" i="70"/>
  <c r="T37" i="70"/>
  <c r="C34" i="70"/>
  <c r="C33" i="70"/>
  <c r="C32" i="70"/>
  <c r="X30" i="70"/>
  <c r="W30" i="70"/>
  <c r="V30" i="70"/>
  <c r="U30" i="70"/>
  <c r="T30" i="70"/>
  <c r="M30" i="70"/>
  <c r="K30" i="70"/>
  <c r="F30" i="70"/>
  <c r="C30" i="70"/>
  <c r="C29" i="70"/>
  <c r="C27" i="70"/>
  <c r="C26" i="70"/>
  <c r="O24" i="70"/>
  <c r="N24" i="70"/>
  <c r="M24" i="70"/>
  <c r="K24" i="70"/>
  <c r="E24" i="70"/>
  <c r="P23" i="70"/>
  <c r="O23" i="70"/>
  <c r="N23" i="70"/>
  <c r="L23" i="70"/>
  <c r="K23" i="70"/>
  <c r="E23" i="70"/>
  <c r="X22" i="70"/>
  <c r="W22" i="70"/>
  <c r="V22" i="70"/>
  <c r="U22" i="70"/>
  <c r="T22" i="70"/>
  <c r="O21" i="70"/>
  <c r="N21" i="70"/>
  <c r="M21" i="70"/>
  <c r="L21" i="70"/>
  <c r="K21" i="70"/>
  <c r="E21" i="70"/>
  <c r="C19" i="70"/>
  <c r="E19" i="70" s="1"/>
  <c r="C18" i="70"/>
  <c r="C17" i="70"/>
  <c r="X13" i="70"/>
  <c r="W13" i="70"/>
  <c r="V13" i="70"/>
  <c r="U13" i="70"/>
  <c r="T13" i="70"/>
  <c r="M13" i="70"/>
  <c r="L13" i="70"/>
  <c r="K13" i="70"/>
  <c r="I13" i="70"/>
  <c r="F13" i="70"/>
  <c r="C13" i="70"/>
  <c r="E13" i="70" s="1"/>
  <c r="C12" i="70"/>
  <c r="C11" i="70"/>
  <c r="E11" i="70" s="1"/>
  <c r="C10" i="70"/>
  <c r="C9" i="70"/>
  <c r="C8" i="70"/>
  <c r="C7" i="70"/>
  <c r="DC25" i="108"/>
  <c r="DC24" i="108"/>
  <c r="DC23" i="108"/>
  <c r="DC22" i="108"/>
  <c r="DC21" i="108"/>
  <c r="DC20" i="108"/>
  <c r="DC19" i="108"/>
  <c r="DC18" i="108"/>
  <c r="DC17" i="108"/>
  <c r="DC6" i="108"/>
  <c r="DD25" i="108"/>
  <c r="DD24" i="108"/>
  <c r="DD23" i="108"/>
  <c r="DD22" i="108"/>
  <c r="DD21" i="108"/>
  <c r="DD20" i="108"/>
  <c r="DD19" i="108"/>
  <c r="DD18" i="108"/>
  <c r="DD17" i="108"/>
  <c r="DD6" i="108"/>
  <c r="DE25" i="108"/>
  <c r="DE24" i="108"/>
  <c r="DE23" i="108"/>
  <c r="DE22" i="108"/>
  <c r="DE21" i="108"/>
  <c r="DE20" i="108"/>
  <c r="DE19" i="108"/>
  <c r="DE18" i="108"/>
  <c r="DE17" i="108"/>
  <c r="DE6" i="108"/>
  <c r="DF25" i="108"/>
  <c r="DF24" i="108"/>
  <c r="DF23" i="108"/>
  <c r="DF22" i="108"/>
  <c r="DF21" i="108"/>
  <c r="DF20" i="108"/>
  <c r="DF19" i="108"/>
  <c r="DF18" i="108"/>
  <c r="DF17" i="108"/>
  <c r="DF6" i="108"/>
  <c r="DG25" i="108"/>
  <c r="DG24" i="108"/>
  <c r="DG23" i="108"/>
  <c r="DG22" i="108"/>
  <c r="DG21" i="108"/>
  <c r="DG20" i="108"/>
  <c r="DG19" i="108"/>
  <c r="DG18" i="108"/>
  <c r="DG17" i="108"/>
  <c r="DG6" i="108"/>
  <c r="DH25" i="108"/>
  <c r="DH24" i="108"/>
  <c r="DH23" i="108"/>
  <c r="DH22" i="108"/>
  <c r="DH21" i="108"/>
  <c r="DH20" i="108"/>
  <c r="DH19" i="108"/>
  <c r="DH18" i="108"/>
  <c r="DH17" i="108"/>
  <c r="DH6" i="108"/>
  <c r="DI25" i="108"/>
  <c r="DI24" i="108"/>
  <c r="DI23" i="108"/>
  <c r="DI22" i="108"/>
  <c r="DI21" i="108"/>
  <c r="DI20" i="108"/>
  <c r="DI19" i="108"/>
  <c r="DI18" i="108"/>
  <c r="DI17" i="108"/>
  <c r="DI6" i="108"/>
  <c r="DJ25" i="108"/>
  <c r="DJ24" i="108"/>
  <c r="DJ23" i="108"/>
  <c r="DJ22" i="108"/>
  <c r="DJ21" i="108"/>
  <c r="DJ20" i="108"/>
  <c r="DJ19" i="108"/>
  <c r="DJ18" i="108"/>
  <c r="DJ17" i="108"/>
  <c r="DJ6" i="108"/>
  <c r="DK25" i="108"/>
  <c r="DK24" i="108"/>
  <c r="DK23" i="108"/>
  <c r="DK22" i="108"/>
  <c r="DK21" i="108"/>
  <c r="DK20" i="108"/>
  <c r="DK19" i="108"/>
  <c r="DK18" i="108"/>
  <c r="DK17" i="108"/>
  <c r="DK6" i="108"/>
  <c r="DC7" i="108"/>
  <c r="DD7" i="108" s="1"/>
  <c r="DE7" i="108" s="1"/>
  <c r="DF7" i="108" s="1"/>
  <c r="DG7" i="108" s="1"/>
  <c r="DH7" i="108" s="1"/>
  <c r="DI7" i="108" s="1"/>
  <c r="DJ7" i="108" s="1"/>
  <c r="DK7" i="108" s="1"/>
  <c r="DK5" i="108"/>
  <c r="DJ5" i="108"/>
  <c r="DI5" i="108"/>
  <c r="DH5" i="108"/>
  <c r="DG5" i="108"/>
  <c r="DF5" i="108"/>
  <c r="DE5" i="108"/>
  <c r="DD5" i="108"/>
  <c r="DC5" i="108"/>
  <c r="DK4" i="108"/>
  <c r="DJ4" i="108"/>
  <c r="DI4" i="108"/>
  <c r="DH4" i="108"/>
  <c r="DG4" i="108"/>
  <c r="DF4" i="108"/>
  <c r="DE4" i="108"/>
  <c r="DD4" i="108"/>
  <c r="DC4" i="108"/>
  <c r="DL19" i="108"/>
  <c r="BX25" i="108"/>
  <c r="BX24" i="108"/>
  <c r="BX23" i="108"/>
  <c r="BX22" i="108"/>
  <c r="BX21" i="108"/>
  <c r="BX20" i="108"/>
  <c r="BX19" i="108"/>
  <c r="BX18" i="108"/>
  <c r="BX17" i="108"/>
  <c r="BX7" i="108"/>
  <c r="BX6" i="108"/>
  <c r="BX5" i="108"/>
  <c r="BX4" i="108"/>
  <c r="BY25" i="108"/>
  <c r="BY24" i="108"/>
  <c r="BY23" i="108"/>
  <c r="BY22" i="108"/>
  <c r="BY21" i="108"/>
  <c r="BY20" i="108"/>
  <c r="BY19" i="108"/>
  <c r="BY18" i="108"/>
  <c r="BY17" i="108"/>
  <c r="BY7" i="108"/>
  <c r="BY6" i="108"/>
  <c r="BY5" i="108"/>
  <c r="BY4" i="108"/>
  <c r="BZ25" i="108"/>
  <c r="BZ24" i="108"/>
  <c r="BZ23" i="108"/>
  <c r="BZ22" i="108"/>
  <c r="BZ21" i="108"/>
  <c r="BZ20" i="108"/>
  <c r="BZ19" i="108"/>
  <c r="BZ18" i="108"/>
  <c r="BZ17" i="108"/>
  <c r="BZ7" i="108"/>
  <c r="BZ6" i="108"/>
  <c r="BZ5" i="108"/>
  <c r="BZ4" i="108"/>
  <c r="CA25" i="108"/>
  <c r="CA24" i="108"/>
  <c r="CA23" i="108"/>
  <c r="CA22" i="108"/>
  <c r="CA21" i="108"/>
  <c r="CA20" i="108"/>
  <c r="CA19" i="108"/>
  <c r="CA18" i="108"/>
  <c r="CA17" i="108"/>
  <c r="CA7" i="108"/>
  <c r="CA6" i="108"/>
  <c r="CA5" i="108"/>
  <c r="CA4" i="108"/>
  <c r="CB25" i="108"/>
  <c r="CB24" i="108"/>
  <c r="CB23" i="108"/>
  <c r="CB22" i="108"/>
  <c r="CB21" i="108"/>
  <c r="CB20" i="108"/>
  <c r="CB19" i="108"/>
  <c r="CB18" i="108"/>
  <c r="CB17" i="108"/>
  <c r="CB7" i="108"/>
  <c r="CB6" i="108"/>
  <c r="CB5" i="108"/>
  <c r="CB4" i="108"/>
  <c r="CC25" i="108"/>
  <c r="CC24" i="108"/>
  <c r="CC23" i="108"/>
  <c r="CC22" i="108"/>
  <c r="CC21" i="108"/>
  <c r="CC20" i="108"/>
  <c r="CC19" i="108"/>
  <c r="CC18" i="108"/>
  <c r="CC17" i="108"/>
  <c r="CC7" i="108"/>
  <c r="CC6" i="108"/>
  <c r="CC5" i="108"/>
  <c r="CC4" i="108"/>
  <c r="CD25" i="108"/>
  <c r="CD24" i="108"/>
  <c r="CD23" i="108"/>
  <c r="CD22" i="108"/>
  <c r="CD21" i="108"/>
  <c r="CD20" i="108"/>
  <c r="CD19" i="108"/>
  <c r="CD18" i="108"/>
  <c r="CD17" i="108"/>
  <c r="CD7" i="108"/>
  <c r="CD6" i="108"/>
  <c r="CD5" i="108"/>
  <c r="CD4" i="108"/>
  <c r="CE25" i="108"/>
  <c r="CE24" i="108"/>
  <c r="CE23" i="108"/>
  <c r="CE22" i="108"/>
  <c r="CE21" i="108"/>
  <c r="CE20" i="108"/>
  <c r="CE19" i="108"/>
  <c r="CE18" i="108"/>
  <c r="CE17" i="108"/>
  <c r="CE7" i="108"/>
  <c r="CE6" i="108"/>
  <c r="CE5" i="108"/>
  <c r="CE4" i="108"/>
  <c r="CF25" i="108"/>
  <c r="CF24" i="108"/>
  <c r="CF23" i="108"/>
  <c r="CF22" i="108"/>
  <c r="CF21" i="108"/>
  <c r="CF20" i="108"/>
  <c r="CF19" i="108"/>
  <c r="CF18" i="108"/>
  <c r="CF17" i="108"/>
  <c r="CF7" i="108"/>
  <c r="CF6" i="108"/>
  <c r="CF5" i="108"/>
  <c r="CF4" i="108"/>
  <c r="AV27" i="108"/>
  <c r="AV26" i="108"/>
  <c r="AV25" i="108"/>
  <c r="AV24" i="108"/>
  <c r="AV23" i="108"/>
  <c r="AV22" i="108"/>
  <c r="AV21" i="108"/>
  <c r="AV20" i="108"/>
  <c r="AV19" i="108"/>
  <c r="AV7" i="108"/>
  <c r="AV5" i="108" s="1"/>
  <c r="AV6" i="108"/>
  <c r="AV4" i="108"/>
  <c r="AW27" i="108"/>
  <c r="AW26" i="108"/>
  <c r="AW25" i="108"/>
  <c r="AW24" i="108"/>
  <c r="AW23" i="108"/>
  <c r="AW22" i="108"/>
  <c r="AW21" i="108"/>
  <c r="AW20" i="108"/>
  <c r="AW19" i="108"/>
  <c r="AW7" i="108"/>
  <c r="AW6" i="108"/>
  <c r="AW5" i="108"/>
  <c r="AW4" i="108"/>
  <c r="AX27" i="108"/>
  <c r="AX26" i="108"/>
  <c r="AX25" i="108"/>
  <c r="AX24" i="108"/>
  <c r="AX23" i="108"/>
  <c r="AX22" i="108"/>
  <c r="AX21" i="108"/>
  <c r="AX20" i="108"/>
  <c r="AX19" i="108"/>
  <c r="AX7" i="108"/>
  <c r="AX6" i="108"/>
  <c r="AX5" i="108"/>
  <c r="AX4" i="108"/>
  <c r="AY27" i="108"/>
  <c r="AY26" i="108"/>
  <c r="AY25" i="108"/>
  <c r="AY24" i="108"/>
  <c r="AY23" i="108"/>
  <c r="AY22" i="108"/>
  <c r="AY21" i="108"/>
  <c r="AY20" i="108"/>
  <c r="AY19" i="108"/>
  <c r="AY7" i="108"/>
  <c r="AY6" i="108"/>
  <c r="AY4" i="108" s="1"/>
  <c r="AY5" i="108"/>
  <c r="AZ27" i="108"/>
  <c r="AZ26" i="108"/>
  <c r="AZ25" i="108"/>
  <c r="AZ24" i="108"/>
  <c r="AZ23" i="108"/>
  <c r="AZ22" i="108"/>
  <c r="AZ21" i="108"/>
  <c r="AZ20" i="108"/>
  <c r="AZ19" i="108"/>
  <c r="AZ7" i="108"/>
  <c r="AZ6" i="108"/>
  <c r="AZ4" i="108" s="1"/>
  <c r="AZ5" i="108"/>
  <c r="BA27" i="108"/>
  <c r="BA26" i="108"/>
  <c r="BA25" i="108"/>
  <c r="BA24" i="108"/>
  <c r="BA23" i="108"/>
  <c r="BA22" i="108"/>
  <c r="BA21" i="108"/>
  <c r="BA20" i="108"/>
  <c r="BA19" i="108"/>
  <c r="BA7" i="108"/>
  <c r="BA5" i="108" s="1"/>
  <c r="BA6" i="108"/>
  <c r="BA4" i="108" s="1"/>
  <c r="BB27" i="108"/>
  <c r="BB26" i="108"/>
  <c r="BB25" i="108"/>
  <c r="BB18" i="108" s="1"/>
  <c r="BB24" i="108"/>
  <c r="BB23" i="108"/>
  <c r="BB22" i="108"/>
  <c r="BB21" i="108"/>
  <c r="BB20" i="108"/>
  <c r="BB19" i="108"/>
  <c r="BB7" i="108"/>
  <c r="BB6" i="108"/>
  <c r="BB5" i="108"/>
  <c r="BB4" i="108"/>
  <c r="BC27" i="108"/>
  <c r="BC26" i="108"/>
  <c r="BC25" i="108"/>
  <c r="BC24" i="108"/>
  <c r="BC23" i="108"/>
  <c r="BC22" i="108"/>
  <c r="BC21" i="108"/>
  <c r="BC20" i="108"/>
  <c r="BC19" i="108"/>
  <c r="BC7" i="108"/>
  <c r="BC6" i="108"/>
  <c r="BC5" i="108"/>
  <c r="BC4" i="108"/>
  <c r="AX3" i="108"/>
  <c r="BD27" i="108"/>
  <c r="BD26" i="108"/>
  <c r="BD25" i="108"/>
  <c r="BD24" i="108"/>
  <c r="BD23" i="108"/>
  <c r="BD22" i="108"/>
  <c r="BD21" i="108"/>
  <c r="BD20" i="108"/>
  <c r="BD19" i="108"/>
  <c r="BD7" i="108"/>
  <c r="BD6" i="108"/>
  <c r="BD4" i="108" s="1"/>
  <c r="BD5" i="108"/>
  <c r="AH27" i="108"/>
  <c r="AH26" i="108"/>
  <c r="AH25" i="108"/>
  <c r="AH24" i="108"/>
  <c r="AH23" i="108"/>
  <c r="AH22" i="108"/>
  <c r="AH21" i="108"/>
  <c r="AH20" i="108"/>
  <c r="AH19" i="108"/>
  <c r="AH7" i="108"/>
  <c r="AH5" i="108" s="1"/>
  <c r="AH6" i="108"/>
  <c r="AH4" i="108" s="1"/>
  <c r="AI27" i="108"/>
  <c r="AI26" i="108"/>
  <c r="AI25" i="108"/>
  <c r="AI24" i="108"/>
  <c r="AI23" i="108"/>
  <c r="AI22" i="108"/>
  <c r="AI21" i="108"/>
  <c r="AI20" i="108"/>
  <c r="AI19" i="108"/>
  <c r="AI7" i="108"/>
  <c r="AI6" i="108"/>
  <c r="AI4" i="108" s="1"/>
  <c r="AI5" i="108"/>
  <c r="AJ27" i="108"/>
  <c r="AJ26" i="108"/>
  <c r="AJ25" i="108"/>
  <c r="AJ24" i="108"/>
  <c r="AJ23" i="108"/>
  <c r="AJ22" i="108"/>
  <c r="AJ21" i="108"/>
  <c r="AJ20" i="108"/>
  <c r="AJ19" i="108"/>
  <c r="AJ7" i="108"/>
  <c r="AJ5" i="108" s="1"/>
  <c r="AJ6" i="108"/>
  <c r="AJ4" i="108" s="1"/>
  <c r="AK27" i="108"/>
  <c r="AK26" i="108"/>
  <c r="AK25" i="108"/>
  <c r="AK24" i="108"/>
  <c r="AK23" i="108"/>
  <c r="AK22" i="108"/>
  <c r="AK21" i="108"/>
  <c r="AK20" i="108"/>
  <c r="AK19" i="108"/>
  <c r="AK7" i="108"/>
  <c r="AK5" i="108" s="1"/>
  <c r="AK6" i="108"/>
  <c r="AK4" i="108" s="1"/>
  <c r="AL27" i="108"/>
  <c r="AL26" i="108"/>
  <c r="AL25" i="108"/>
  <c r="AL24" i="108"/>
  <c r="AL23" i="108"/>
  <c r="AL22" i="108"/>
  <c r="AL21" i="108"/>
  <c r="AL20" i="108"/>
  <c r="AL19" i="108"/>
  <c r="AL7" i="108"/>
  <c r="AL5" i="108" s="1"/>
  <c r="AL6" i="108"/>
  <c r="AL4" i="108" s="1"/>
  <c r="AM27" i="108"/>
  <c r="AM26" i="108"/>
  <c r="AM25" i="108"/>
  <c r="AM24" i="108"/>
  <c r="AM23" i="108"/>
  <c r="AM22" i="108"/>
  <c r="AM21" i="108"/>
  <c r="AM20" i="108"/>
  <c r="AM19" i="108"/>
  <c r="AM7" i="108"/>
  <c r="AM5" i="108" s="1"/>
  <c r="AM6" i="108"/>
  <c r="AM4" i="108" s="1"/>
  <c r="AN27" i="108"/>
  <c r="AN26" i="108"/>
  <c r="AN25" i="108"/>
  <c r="AN24" i="108"/>
  <c r="AN23" i="108"/>
  <c r="AN22" i="108"/>
  <c r="AN21" i="108"/>
  <c r="AN20" i="108"/>
  <c r="AN19" i="108"/>
  <c r="AN7" i="108"/>
  <c r="AN5" i="108" s="1"/>
  <c r="AN6" i="108"/>
  <c r="AN4" i="108" s="1"/>
  <c r="AO27" i="108"/>
  <c r="AO26" i="108"/>
  <c r="AO25" i="108"/>
  <c r="AO24" i="108"/>
  <c r="AO23" i="108"/>
  <c r="AO22" i="108"/>
  <c r="AO21" i="108"/>
  <c r="AO20" i="108"/>
  <c r="AO19" i="108"/>
  <c r="AO7" i="108"/>
  <c r="AO5" i="108" s="1"/>
  <c r="AO6" i="108"/>
  <c r="AO4" i="108" s="1"/>
  <c r="AP27" i="108"/>
  <c r="AP26" i="108"/>
  <c r="AP25" i="108"/>
  <c r="AP24" i="108"/>
  <c r="AP23" i="108"/>
  <c r="AP22" i="108"/>
  <c r="AP21" i="108"/>
  <c r="AP20" i="108"/>
  <c r="AP19" i="108"/>
  <c r="AP7" i="108"/>
  <c r="AP5" i="108" s="1"/>
  <c r="AP6" i="108"/>
  <c r="AP4" i="108" s="1"/>
  <c r="AU34" i="52"/>
  <c r="AT34" i="52"/>
  <c r="AU33" i="52"/>
  <c r="AT33" i="52"/>
  <c r="AG34" i="52"/>
  <c r="AF34" i="52"/>
  <c r="AG33" i="52"/>
  <c r="AF33" i="52"/>
  <c r="AT33" i="108"/>
  <c r="AU33" i="108"/>
  <c r="AT34" i="108"/>
  <c r="AU34" i="108"/>
  <c r="BE34" i="108"/>
  <c r="BE33" i="108"/>
  <c r="D38" i="108"/>
  <c r="D34" i="108"/>
  <c r="D33" i="108"/>
  <c r="D32" i="108"/>
  <c r="D31" i="108"/>
  <c r="D30" i="108"/>
  <c r="D29" i="108"/>
  <c r="D5" i="108"/>
  <c r="D4" i="108"/>
  <c r="E38" i="108"/>
  <c r="E34" i="108"/>
  <c r="E33" i="108"/>
  <c r="E32" i="108"/>
  <c r="E31" i="108"/>
  <c r="E30" i="108"/>
  <c r="E29" i="108"/>
  <c r="E5" i="108"/>
  <c r="E4" i="108"/>
  <c r="F38" i="108"/>
  <c r="F34" i="108"/>
  <c r="F33" i="108"/>
  <c r="F32" i="108"/>
  <c r="F31" i="108"/>
  <c r="F30" i="108"/>
  <c r="F29" i="108"/>
  <c r="F5" i="108"/>
  <c r="F4" i="108"/>
  <c r="G38" i="108"/>
  <c r="G34" i="108"/>
  <c r="G33" i="108"/>
  <c r="G32" i="108"/>
  <c r="G31" i="108"/>
  <c r="G30" i="108"/>
  <c r="G29" i="108"/>
  <c r="G5" i="108"/>
  <c r="G4" i="108"/>
  <c r="H38" i="108"/>
  <c r="H34" i="108"/>
  <c r="H33" i="108"/>
  <c r="H32" i="108"/>
  <c r="H31" i="108"/>
  <c r="H30" i="108"/>
  <c r="H29" i="108"/>
  <c r="H5" i="108"/>
  <c r="H4" i="108"/>
  <c r="I38" i="108"/>
  <c r="I34" i="108"/>
  <c r="I33" i="108"/>
  <c r="I32" i="108"/>
  <c r="I31" i="108"/>
  <c r="I30" i="108"/>
  <c r="I29" i="108"/>
  <c r="I5" i="108"/>
  <c r="I4" i="108"/>
  <c r="J38" i="108"/>
  <c r="J34" i="108"/>
  <c r="J33" i="108"/>
  <c r="J32" i="108"/>
  <c r="J31" i="108"/>
  <c r="J30" i="108"/>
  <c r="J29" i="108"/>
  <c r="J5" i="108"/>
  <c r="J4" i="108"/>
  <c r="K38" i="108"/>
  <c r="K34" i="108"/>
  <c r="K33" i="108"/>
  <c r="K32" i="108"/>
  <c r="K31" i="108"/>
  <c r="K30" i="108"/>
  <c r="K29" i="108"/>
  <c r="K5" i="108"/>
  <c r="K4" i="108"/>
  <c r="L38" i="108"/>
  <c r="L34" i="108"/>
  <c r="L33" i="108"/>
  <c r="L32" i="108"/>
  <c r="L31" i="108"/>
  <c r="L30" i="108"/>
  <c r="L29" i="108"/>
  <c r="L5" i="108"/>
  <c r="L4" i="108"/>
  <c r="M29" i="108"/>
  <c r="E17" i="70"/>
  <c r="E12" i="70"/>
  <c r="E58" i="95"/>
  <c r="E57" i="95"/>
  <c r="E56" i="95"/>
  <c r="E55" i="95"/>
  <c r="E54" i="95"/>
  <c r="E53" i="95"/>
  <c r="C45" i="95" s="1"/>
  <c r="C24" i="95" s="1"/>
  <c r="E52" i="95"/>
  <c r="X46" i="95"/>
  <c r="W46" i="95"/>
  <c r="V46" i="95"/>
  <c r="U46" i="95"/>
  <c r="Y46" i="95" s="1"/>
  <c r="T46" i="95"/>
  <c r="X44" i="95"/>
  <c r="V44" i="95"/>
  <c r="T44" i="95"/>
  <c r="W43" i="95"/>
  <c r="V43" i="95"/>
  <c r="U43" i="95"/>
  <c r="T43" i="95"/>
  <c r="X42" i="95"/>
  <c r="Y42" i="95" s="1"/>
  <c r="E42" i="95"/>
  <c r="X41" i="95"/>
  <c r="Y41" i="95" s="1"/>
  <c r="W41" i="95"/>
  <c r="V41" i="95"/>
  <c r="U41" i="95"/>
  <c r="T41" i="95"/>
  <c r="L41" i="95"/>
  <c r="E41" i="95"/>
  <c r="F41" i="95" s="1"/>
  <c r="C41" i="95"/>
  <c r="X40" i="95"/>
  <c r="W40" i="95"/>
  <c r="V40" i="95"/>
  <c r="U40" i="95"/>
  <c r="T40" i="95"/>
  <c r="C40" i="95"/>
  <c r="X39" i="95"/>
  <c r="W39" i="95"/>
  <c r="V39" i="95"/>
  <c r="U39" i="95"/>
  <c r="T39" i="95"/>
  <c r="Y39" i="95" s="1"/>
  <c r="X37" i="95"/>
  <c r="W37" i="95"/>
  <c r="V37" i="95"/>
  <c r="U37" i="95"/>
  <c r="S41" i="95" s="1"/>
  <c r="T37" i="95"/>
  <c r="C34" i="95"/>
  <c r="C33" i="95"/>
  <c r="C32" i="95"/>
  <c r="X30" i="95"/>
  <c r="W30" i="95"/>
  <c r="V30" i="95"/>
  <c r="V5" i="95" s="1"/>
  <c r="U30" i="95"/>
  <c r="T30" i="95"/>
  <c r="M30" i="95"/>
  <c r="K30" i="95"/>
  <c r="F30" i="95"/>
  <c r="C30" i="95"/>
  <c r="C29" i="95"/>
  <c r="C27" i="95"/>
  <c r="C26" i="95"/>
  <c r="O24" i="95"/>
  <c r="N24" i="95"/>
  <c r="M24" i="95"/>
  <c r="K24" i="95"/>
  <c r="E24" i="95"/>
  <c r="P23" i="95"/>
  <c r="O23" i="95"/>
  <c r="N23" i="95"/>
  <c r="M23" i="95"/>
  <c r="L23" i="95"/>
  <c r="K23" i="95"/>
  <c r="E23" i="95"/>
  <c r="X22" i="95"/>
  <c r="W22" i="95"/>
  <c r="V22" i="95"/>
  <c r="U22" i="95"/>
  <c r="T22" i="95"/>
  <c r="S22" i="95" s="1"/>
  <c r="L22" i="95"/>
  <c r="K22" i="95"/>
  <c r="E22" i="95"/>
  <c r="F22" i="95" s="1"/>
  <c r="C22" i="95"/>
  <c r="O21" i="95"/>
  <c r="N21" i="95"/>
  <c r="M21" i="95"/>
  <c r="L21" i="95"/>
  <c r="K21" i="95"/>
  <c r="E21" i="95"/>
  <c r="C21" i="95"/>
  <c r="C19" i="95"/>
  <c r="C18" i="95"/>
  <c r="C17" i="95"/>
  <c r="C16" i="95"/>
  <c r="C14" i="95"/>
  <c r="X13" i="95"/>
  <c r="W13" i="95"/>
  <c r="V13" i="95"/>
  <c r="U13" i="95"/>
  <c r="T13" i="95"/>
  <c r="S13" i="95" s="1"/>
  <c r="M13" i="95"/>
  <c r="L13" i="95"/>
  <c r="K13" i="95"/>
  <c r="I13" i="95"/>
  <c r="F13" i="95"/>
  <c r="C13" i="95"/>
  <c r="E13" i="95" s="1"/>
  <c r="C12" i="95"/>
  <c r="C11" i="95"/>
  <c r="C10" i="95"/>
  <c r="C9" i="95"/>
  <c r="C8" i="95"/>
  <c r="C7" i="95"/>
  <c r="E58" i="96"/>
  <c r="E57" i="96"/>
  <c r="E56" i="96"/>
  <c r="E55" i="96"/>
  <c r="E54" i="96"/>
  <c r="E53" i="96"/>
  <c r="E52" i="96"/>
  <c r="X46" i="96"/>
  <c r="W46" i="96"/>
  <c r="V46" i="96"/>
  <c r="U46" i="96"/>
  <c r="T46" i="96"/>
  <c r="Y46" i="96" s="1"/>
  <c r="C46" i="96"/>
  <c r="G46" i="96" s="1"/>
  <c r="Q46" i="96" s="1"/>
  <c r="Z46" i="96" s="1"/>
  <c r="Q45" i="96"/>
  <c r="Z45" i="96" s="1"/>
  <c r="X44" i="96"/>
  <c r="V44" i="96"/>
  <c r="T44" i="96"/>
  <c r="W43" i="96"/>
  <c r="V43" i="96"/>
  <c r="Y43" i="96" s="1"/>
  <c r="U43" i="96"/>
  <c r="T43" i="96"/>
  <c r="C43" i="96"/>
  <c r="X42" i="96"/>
  <c r="Y42" i="96" s="1"/>
  <c r="E42" i="96"/>
  <c r="F41" i="96" s="1"/>
  <c r="X41" i="96"/>
  <c r="W41" i="96"/>
  <c r="V41" i="96"/>
  <c r="U41" i="96"/>
  <c r="Y41" i="96" s="1"/>
  <c r="Z41" i="96" s="1"/>
  <c r="T41" i="96"/>
  <c r="L41" i="96"/>
  <c r="E41" i="96"/>
  <c r="C41" i="96"/>
  <c r="G41" i="96" s="1"/>
  <c r="X40" i="96"/>
  <c r="W40" i="96"/>
  <c r="V40" i="96"/>
  <c r="Y40" i="96" s="1"/>
  <c r="Z40" i="96" s="1"/>
  <c r="U40" i="96"/>
  <c r="T40" i="96"/>
  <c r="C40" i="96"/>
  <c r="X39" i="96"/>
  <c r="W39" i="96"/>
  <c r="V39" i="96"/>
  <c r="U39" i="96"/>
  <c r="T39" i="96"/>
  <c r="X37" i="96"/>
  <c r="W37" i="96"/>
  <c r="V37" i="96"/>
  <c r="U37" i="96"/>
  <c r="T37" i="96"/>
  <c r="C34" i="96"/>
  <c r="C33" i="96"/>
  <c r="C32" i="96"/>
  <c r="X30" i="96"/>
  <c r="X5" i="96" s="1"/>
  <c r="W30" i="96"/>
  <c r="V30" i="96"/>
  <c r="U30" i="96"/>
  <c r="T30" i="96"/>
  <c r="M30" i="96"/>
  <c r="K30" i="96"/>
  <c r="F30" i="96"/>
  <c r="F35" i="96" s="1"/>
  <c r="C30" i="96"/>
  <c r="C29" i="96"/>
  <c r="C27" i="96"/>
  <c r="C26" i="96"/>
  <c r="O24" i="96"/>
  <c r="N24" i="96"/>
  <c r="M24" i="96"/>
  <c r="K24" i="96"/>
  <c r="E24" i="96"/>
  <c r="P23" i="96"/>
  <c r="O23" i="96"/>
  <c r="N23" i="96"/>
  <c r="M23" i="96"/>
  <c r="L23" i="96"/>
  <c r="K23" i="96"/>
  <c r="E23" i="96"/>
  <c r="C23" i="96"/>
  <c r="X22" i="96"/>
  <c r="W22" i="96"/>
  <c r="V22" i="96"/>
  <c r="U22" i="96"/>
  <c r="T22" i="96"/>
  <c r="T5" i="96" s="1"/>
  <c r="L22" i="96"/>
  <c r="K22" i="96"/>
  <c r="E22" i="96"/>
  <c r="C22" i="96"/>
  <c r="O21" i="96"/>
  <c r="N21" i="96"/>
  <c r="M21" i="96"/>
  <c r="L21" i="96"/>
  <c r="K21" i="96"/>
  <c r="E21" i="96"/>
  <c r="C21" i="96"/>
  <c r="G21" i="96" s="1"/>
  <c r="C19" i="96"/>
  <c r="C18" i="96"/>
  <c r="C17" i="96"/>
  <c r="C16" i="96"/>
  <c r="C14" i="96"/>
  <c r="X13" i="96"/>
  <c r="W13" i="96"/>
  <c r="V13" i="96"/>
  <c r="U13" i="96"/>
  <c r="T13" i="96"/>
  <c r="M13" i="96"/>
  <c r="L13" i="96"/>
  <c r="K13" i="96"/>
  <c r="I13" i="96"/>
  <c r="F13" i="96"/>
  <c r="C13" i="96"/>
  <c r="C12" i="96"/>
  <c r="C11" i="96"/>
  <c r="C10" i="96"/>
  <c r="C9" i="96"/>
  <c r="G9" i="96" s="1"/>
  <c r="C8" i="96"/>
  <c r="C7" i="96"/>
  <c r="G7" i="96" s="1"/>
  <c r="E58" i="97"/>
  <c r="E57" i="97"/>
  <c r="E56" i="97"/>
  <c r="E55" i="97"/>
  <c r="E54" i="97"/>
  <c r="E53" i="97"/>
  <c r="E52" i="97"/>
  <c r="X46" i="97"/>
  <c r="W46" i="97"/>
  <c r="V46" i="97"/>
  <c r="U46" i="97"/>
  <c r="T46" i="97"/>
  <c r="Y46" i="97" s="1"/>
  <c r="C46" i="97"/>
  <c r="X44" i="97"/>
  <c r="V44" i="97"/>
  <c r="T44" i="97"/>
  <c r="W43" i="97"/>
  <c r="V43" i="97"/>
  <c r="U43" i="97"/>
  <c r="T43" i="97"/>
  <c r="C43" i="97"/>
  <c r="G43" i="97" s="1"/>
  <c r="Q43" i="97" s="1"/>
  <c r="Z43" i="97" s="1"/>
  <c r="X42" i="97"/>
  <c r="E42" i="97"/>
  <c r="X41" i="97"/>
  <c r="W41" i="97"/>
  <c r="V41" i="97"/>
  <c r="U41" i="97"/>
  <c r="T41" i="97"/>
  <c r="L41" i="97"/>
  <c r="E41" i="97"/>
  <c r="F41" i="97" s="1"/>
  <c r="C41" i="97"/>
  <c r="X40" i="97"/>
  <c r="W40" i="97"/>
  <c r="V40" i="97"/>
  <c r="U40" i="97"/>
  <c r="T40" i="97"/>
  <c r="C40" i="97"/>
  <c r="G40" i="97" s="1"/>
  <c r="X39" i="97"/>
  <c r="W39" i="97"/>
  <c r="V39" i="97"/>
  <c r="U39" i="97"/>
  <c r="T39" i="97"/>
  <c r="X37" i="97"/>
  <c r="W37" i="97"/>
  <c r="V37" i="97"/>
  <c r="U37" i="97"/>
  <c r="T37" i="97"/>
  <c r="C34" i="97"/>
  <c r="C33" i="97"/>
  <c r="C32" i="97"/>
  <c r="X30" i="97"/>
  <c r="W30" i="97"/>
  <c r="V30" i="97"/>
  <c r="U30" i="97"/>
  <c r="T30" i="97"/>
  <c r="M30" i="97"/>
  <c r="K30" i="97"/>
  <c r="F30" i="97"/>
  <c r="C30" i="97"/>
  <c r="C29" i="97"/>
  <c r="C27" i="97"/>
  <c r="C26" i="97"/>
  <c r="O24" i="97"/>
  <c r="N24" i="97"/>
  <c r="M24" i="97"/>
  <c r="K24" i="97"/>
  <c r="E24" i="97"/>
  <c r="C24" i="97"/>
  <c r="P23" i="97"/>
  <c r="O23" i="97"/>
  <c r="N23" i="97"/>
  <c r="M23" i="97"/>
  <c r="L23" i="97"/>
  <c r="K23" i="97"/>
  <c r="E23" i="97"/>
  <c r="X22" i="97"/>
  <c r="W22" i="97"/>
  <c r="V22" i="97"/>
  <c r="U22" i="97"/>
  <c r="T22" i="97"/>
  <c r="L22" i="97"/>
  <c r="K22" i="97"/>
  <c r="E22" i="97"/>
  <c r="C22" i="97"/>
  <c r="G22" i="97" s="1"/>
  <c r="O21" i="97"/>
  <c r="N21" i="97"/>
  <c r="M21" i="97"/>
  <c r="L21" i="97"/>
  <c r="K21" i="97"/>
  <c r="E21" i="97"/>
  <c r="F22" i="97" s="1"/>
  <c r="C21" i="97"/>
  <c r="C19" i="97"/>
  <c r="C18" i="97"/>
  <c r="C17" i="97"/>
  <c r="C16" i="97"/>
  <c r="C14" i="97"/>
  <c r="G14" i="97" s="1"/>
  <c r="X13" i="97"/>
  <c r="W13" i="97"/>
  <c r="V13" i="97"/>
  <c r="U13" i="97"/>
  <c r="T13" i="97"/>
  <c r="M13" i="97"/>
  <c r="L13" i="97"/>
  <c r="K13" i="97"/>
  <c r="I13" i="97"/>
  <c r="F13" i="97"/>
  <c r="C13" i="97"/>
  <c r="C12" i="97"/>
  <c r="C11" i="97"/>
  <c r="C10" i="97"/>
  <c r="C9" i="97"/>
  <c r="G9" i="97" s="1"/>
  <c r="C8" i="97"/>
  <c r="G8" i="97" s="1"/>
  <c r="C7" i="97"/>
  <c r="E58" i="98"/>
  <c r="E57" i="98"/>
  <c r="E56" i="98"/>
  <c r="E55" i="98"/>
  <c r="E54" i="98"/>
  <c r="E53" i="98"/>
  <c r="E52" i="98"/>
  <c r="X46" i="98"/>
  <c r="W46" i="98"/>
  <c r="V46" i="98"/>
  <c r="U46" i="98"/>
  <c r="T46" i="98"/>
  <c r="X44" i="98"/>
  <c r="V44" i="98"/>
  <c r="T44" i="98"/>
  <c r="W43" i="98"/>
  <c r="V43" i="98"/>
  <c r="U43" i="98"/>
  <c r="Y43" i="98" s="1"/>
  <c r="T43" i="98"/>
  <c r="X42" i="98"/>
  <c r="E42" i="98"/>
  <c r="X41" i="98"/>
  <c r="W41" i="98"/>
  <c r="V41" i="98"/>
  <c r="U41" i="98"/>
  <c r="T41" i="98"/>
  <c r="Y41" i="98" s="1"/>
  <c r="L41" i="98"/>
  <c r="E41" i="98"/>
  <c r="C41" i="98"/>
  <c r="X40" i="98"/>
  <c r="W40" i="98"/>
  <c r="V40" i="98"/>
  <c r="U40" i="98"/>
  <c r="T40" i="98"/>
  <c r="C40" i="98"/>
  <c r="X39" i="98"/>
  <c r="W39" i="98"/>
  <c r="V39" i="98"/>
  <c r="U39" i="98"/>
  <c r="T39" i="98"/>
  <c r="X37" i="98"/>
  <c r="W37" i="98"/>
  <c r="V37" i="98"/>
  <c r="U37" i="98"/>
  <c r="T37" i="98"/>
  <c r="Y37" i="98" s="1"/>
  <c r="C34" i="98"/>
  <c r="C46" i="98" s="1"/>
  <c r="C33" i="98"/>
  <c r="C32" i="98"/>
  <c r="X30" i="98"/>
  <c r="W30" i="98"/>
  <c r="V30" i="98"/>
  <c r="U30" i="98"/>
  <c r="T30" i="98"/>
  <c r="M30" i="98"/>
  <c r="K30" i="98"/>
  <c r="F30" i="98"/>
  <c r="C30" i="98"/>
  <c r="D30" i="98" s="1"/>
  <c r="F35" i="98" s="1"/>
  <c r="C29" i="98"/>
  <c r="C27" i="98"/>
  <c r="C26" i="98"/>
  <c r="O24" i="98"/>
  <c r="N24" i="98"/>
  <c r="M24" i="98"/>
  <c r="K24" i="98"/>
  <c r="E24" i="98"/>
  <c r="P23" i="98"/>
  <c r="O23" i="98"/>
  <c r="N23" i="98"/>
  <c r="M23" i="98"/>
  <c r="L23" i="98"/>
  <c r="K23" i="98"/>
  <c r="E23" i="98"/>
  <c r="X22" i="98"/>
  <c r="X5" i="98" s="1"/>
  <c r="W22" i="98"/>
  <c r="V22" i="98"/>
  <c r="U22" i="98"/>
  <c r="T22" i="98"/>
  <c r="L22" i="98"/>
  <c r="K22" i="98"/>
  <c r="E22" i="98"/>
  <c r="G22" i="98" s="1"/>
  <c r="C22" i="98"/>
  <c r="O21" i="98"/>
  <c r="N21" i="98"/>
  <c r="M21" i="98"/>
  <c r="L21" i="98"/>
  <c r="K21" i="98"/>
  <c r="E21" i="98"/>
  <c r="C21" i="98"/>
  <c r="C19" i="98"/>
  <c r="C18" i="98"/>
  <c r="C17" i="98"/>
  <c r="C16" i="98"/>
  <c r="C14" i="98"/>
  <c r="X13" i="98"/>
  <c r="W13" i="98"/>
  <c r="V13" i="98"/>
  <c r="U13" i="98"/>
  <c r="T13" i="98"/>
  <c r="S13" i="98" s="1"/>
  <c r="M13" i="98"/>
  <c r="L13" i="98"/>
  <c r="K13" i="98"/>
  <c r="I13" i="98"/>
  <c r="F13" i="98"/>
  <c r="C13" i="98"/>
  <c r="E13" i="98" s="1"/>
  <c r="C12" i="98"/>
  <c r="C11" i="98"/>
  <c r="C10" i="98"/>
  <c r="C9" i="98"/>
  <c r="G9" i="98" s="1"/>
  <c r="C8" i="98"/>
  <c r="G8" i="98" s="1"/>
  <c r="C7" i="98"/>
  <c r="G7" i="98" s="1"/>
  <c r="E58" i="99"/>
  <c r="E57" i="99"/>
  <c r="E56" i="99"/>
  <c r="E55" i="99"/>
  <c r="E54" i="99"/>
  <c r="E53" i="99"/>
  <c r="C45" i="99" s="1"/>
  <c r="C24" i="99" s="1"/>
  <c r="E52" i="99"/>
  <c r="X46" i="99"/>
  <c r="W46" i="99"/>
  <c r="Y46" i="99" s="1"/>
  <c r="V46" i="99"/>
  <c r="U46" i="99"/>
  <c r="T46" i="99"/>
  <c r="C46" i="99"/>
  <c r="G46" i="99" s="1"/>
  <c r="Q46" i="99" s="1"/>
  <c r="Z46" i="99" s="1"/>
  <c r="X44" i="99"/>
  <c r="V44" i="99"/>
  <c r="T44" i="99"/>
  <c r="W43" i="99"/>
  <c r="V43" i="99"/>
  <c r="U43" i="99"/>
  <c r="T43" i="99"/>
  <c r="X42" i="99"/>
  <c r="Y42" i="99" s="1"/>
  <c r="E42" i="99"/>
  <c r="F41" i="99" s="1"/>
  <c r="X41" i="99"/>
  <c r="W41" i="99"/>
  <c r="V41" i="99"/>
  <c r="U41" i="99"/>
  <c r="T41" i="99"/>
  <c r="L41" i="99"/>
  <c r="E41" i="99"/>
  <c r="C41" i="99"/>
  <c r="X40" i="99"/>
  <c r="W40" i="99"/>
  <c r="V40" i="99"/>
  <c r="Y40" i="99" s="1"/>
  <c r="U40" i="99"/>
  <c r="T40" i="99"/>
  <c r="C40" i="99"/>
  <c r="G40" i="99" s="1"/>
  <c r="Z40" i="99" s="1"/>
  <c r="X39" i="99"/>
  <c r="W39" i="99"/>
  <c r="W5" i="99" s="1"/>
  <c r="V39" i="99"/>
  <c r="U39" i="99"/>
  <c r="T39" i="99"/>
  <c r="X37" i="99"/>
  <c r="W37" i="99"/>
  <c r="V37" i="99"/>
  <c r="U37" i="99"/>
  <c r="T37" i="99"/>
  <c r="C34" i="99"/>
  <c r="C33" i="99"/>
  <c r="C32" i="99"/>
  <c r="X30" i="99"/>
  <c r="W30" i="99"/>
  <c r="V30" i="99"/>
  <c r="U30" i="99"/>
  <c r="T30" i="99"/>
  <c r="M30" i="99"/>
  <c r="K30" i="99"/>
  <c r="F30" i="99"/>
  <c r="C30" i="99"/>
  <c r="C29" i="99"/>
  <c r="C27" i="99"/>
  <c r="C26" i="99"/>
  <c r="O24" i="99"/>
  <c r="N24" i="99"/>
  <c r="M24" i="99"/>
  <c r="K24" i="99"/>
  <c r="E24" i="99"/>
  <c r="P23" i="99"/>
  <c r="O23" i="99"/>
  <c r="N23" i="99"/>
  <c r="M23" i="99"/>
  <c r="L23" i="99"/>
  <c r="K23" i="99"/>
  <c r="E23" i="99"/>
  <c r="F22" i="99" s="1"/>
  <c r="X22" i="99"/>
  <c r="W22" i="99"/>
  <c r="V22" i="99"/>
  <c r="U22" i="99"/>
  <c r="T22" i="99"/>
  <c r="L22" i="99"/>
  <c r="K22" i="99"/>
  <c r="E22" i="99"/>
  <c r="C22" i="99"/>
  <c r="O21" i="99"/>
  <c r="N21" i="99"/>
  <c r="M21" i="99"/>
  <c r="L21" i="99"/>
  <c r="K21" i="99"/>
  <c r="E21" i="99"/>
  <c r="C21" i="99"/>
  <c r="C19" i="99"/>
  <c r="C18" i="99"/>
  <c r="C17" i="99"/>
  <c r="E17" i="99" s="1"/>
  <c r="G17" i="99" s="1"/>
  <c r="C16" i="99"/>
  <c r="C14" i="99"/>
  <c r="G14" i="99" s="1"/>
  <c r="X13" i="99"/>
  <c r="X5" i="99" s="1"/>
  <c r="W13" i="99"/>
  <c r="V13" i="99"/>
  <c r="U13" i="99"/>
  <c r="T13" i="99"/>
  <c r="M13" i="99"/>
  <c r="L13" i="99"/>
  <c r="K13" i="99"/>
  <c r="I13" i="99"/>
  <c r="F13" i="99"/>
  <c r="C13" i="99"/>
  <c r="C12" i="99"/>
  <c r="C11" i="99"/>
  <c r="C10" i="99"/>
  <c r="C9" i="99"/>
  <c r="C8" i="99"/>
  <c r="C7" i="99"/>
  <c r="G7" i="99" s="1"/>
  <c r="E58" i="100"/>
  <c r="E57" i="100"/>
  <c r="E56" i="100"/>
  <c r="E55" i="100"/>
  <c r="E54" i="100"/>
  <c r="E53" i="100"/>
  <c r="E52" i="100"/>
  <c r="X46" i="100"/>
  <c r="W46" i="100"/>
  <c r="V46" i="100"/>
  <c r="U46" i="100"/>
  <c r="T46" i="100"/>
  <c r="X44" i="100"/>
  <c r="V44" i="100"/>
  <c r="T44" i="100"/>
  <c r="W43" i="100"/>
  <c r="V43" i="100"/>
  <c r="U43" i="100"/>
  <c r="T43" i="100"/>
  <c r="C43" i="100"/>
  <c r="X42" i="100"/>
  <c r="E42" i="100"/>
  <c r="C42" i="100"/>
  <c r="G42" i="100" s="1"/>
  <c r="Q42" i="100" s="1"/>
  <c r="X41" i="100"/>
  <c r="W41" i="100"/>
  <c r="V41" i="100"/>
  <c r="U41" i="100"/>
  <c r="T41" i="100"/>
  <c r="L41" i="100"/>
  <c r="E41" i="100"/>
  <c r="C41" i="100"/>
  <c r="G41" i="100" s="1"/>
  <c r="X40" i="100"/>
  <c r="W40" i="100"/>
  <c r="V40" i="100"/>
  <c r="U40" i="100"/>
  <c r="T40" i="100"/>
  <c r="Y40" i="100" s="1"/>
  <c r="C40" i="100"/>
  <c r="G40" i="100" s="1"/>
  <c r="X39" i="100"/>
  <c r="W39" i="100"/>
  <c r="V39" i="100"/>
  <c r="U39" i="100"/>
  <c r="T39" i="100"/>
  <c r="X37" i="100"/>
  <c r="W37" i="100"/>
  <c r="V37" i="100"/>
  <c r="U37" i="100"/>
  <c r="T37" i="100"/>
  <c r="C34" i="100"/>
  <c r="C33" i="100"/>
  <c r="C32" i="100"/>
  <c r="X30" i="100"/>
  <c r="W30" i="100"/>
  <c r="V30" i="100"/>
  <c r="U30" i="100"/>
  <c r="T30" i="100"/>
  <c r="M30" i="100"/>
  <c r="K30" i="100"/>
  <c r="F30" i="100"/>
  <c r="C30" i="100"/>
  <c r="C29" i="100"/>
  <c r="C27" i="100"/>
  <c r="C26" i="100"/>
  <c r="O24" i="100"/>
  <c r="N24" i="100"/>
  <c r="M24" i="100"/>
  <c r="K24" i="100"/>
  <c r="E24" i="100"/>
  <c r="P23" i="100"/>
  <c r="O23" i="100"/>
  <c r="N23" i="100"/>
  <c r="M23" i="100"/>
  <c r="L23" i="100"/>
  <c r="K23" i="100"/>
  <c r="E23" i="100"/>
  <c r="X22" i="100"/>
  <c r="W22" i="100"/>
  <c r="V22" i="100"/>
  <c r="U22" i="100"/>
  <c r="T22" i="100"/>
  <c r="L22" i="100"/>
  <c r="K22" i="100"/>
  <c r="E22" i="100"/>
  <c r="G22" i="100" s="1"/>
  <c r="C22" i="100"/>
  <c r="O21" i="100"/>
  <c r="N21" i="100"/>
  <c r="M21" i="100"/>
  <c r="L21" i="100"/>
  <c r="K21" i="100"/>
  <c r="E21" i="100"/>
  <c r="C21" i="100"/>
  <c r="C19" i="100"/>
  <c r="C18" i="100"/>
  <c r="C17" i="100"/>
  <c r="E17" i="100" s="1"/>
  <c r="C16" i="100"/>
  <c r="C14" i="100"/>
  <c r="G14" i="100" s="1"/>
  <c r="X13" i="100"/>
  <c r="W13" i="100"/>
  <c r="V13" i="100"/>
  <c r="U13" i="100"/>
  <c r="T13" i="100"/>
  <c r="M13" i="100"/>
  <c r="L13" i="100"/>
  <c r="K13" i="100"/>
  <c r="I13" i="100"/>
  <c r="F13" i="100"/>
  <c r="C13" i="100"/>
  <c r="C12" i="100"/>
  <c r="E12" i="100" s="1"/>
  <c r="C11" i="100"/>
  <c r="C10" i="100"/>
  <c r="C9" i="100"/>
  <c r="G9" i="100" s="1"/>
  <c r="C8" i="100"/>
  <c r="G8" i="100" s="1"/>
  <c r="C7" i="100"/>
  <c r="E58" i="101"/>
  <c r="E57" i="101"/>
  <c r="E56" i="101"/>
  <c r="E55" i="101"/>
  <c r="E54" i="101"/>
  <c r="C42" i="101" s="1"/>
  <c r="G42" i="101" s="1"/>
  <c r="Q42" i="101" s="1"/>
  <c r="Z42" i="101" s="1"/>
  <c r="E53" i="101"/>
  <c r="C45" i="101" s="1"/>
  <c r="C24" i="101" s="1"/>
  <c r="G24" i="101" s="1"/>
  <c r="E52" i="101"/>
  <c r="X46" i="101"/>
  <c r="W46" i="101"/>
  <c r="V46" i="101"/>
  <c r="U46" i="101"/>
  <c r="T46" i="101"/>
  <c r="X44" i="101"/>
  <c r="V44" i="101"/>
  <c r="Y44" i="101" s="1"/>
  <c r="T44" i="101"/>
  <c r="W43" i="101"/>
  <c r="V43" i="101"/>
  <c r="U43" i="101"/>
  <c r="T43" i="101"/>
  <c r="X42" i="101"/>
  <c r="Y42" i="101" s="1"/>
  <c r="E42" i="101"/>
  <c r="X41" i="101"/>
  <c r="Y41" i="101" s="1"/>
  <c r="W41" i="101"/>
  <c r="V41" i="101"/>
  <c r="U41" i="101"/>
  <c r="T41" i="101"/>
  <c r="L41" i="101"/>
  <c r="E41" i="101"/>
  <c r="C41" i="101"/>
  <c r="X40" i="101"/>
  <c r="W40" i="101"/>
  <c r="V40" i="101"/>
  <c r="U40" i="101"/>
  <c r="T40" i="101"/>
  <c r="C40" i="101"/>
  <c r="X39" i="101"/>
  <c r="W39" i="101"/>
  <c r="V39" i="101"/>
  <c r="U39" i="101"/>
  <c r="T39" i="101"/>
  <c r="X37" i="101"/>
  <c r="W37" i="101"/>
  <c r="V37" i="101"/>
  <c r="Y37" i="101" s="1"/>
  <c r="U37" i="101"/>
  <c r="T37" i="101"/>
  <c r="C34" i="101"/>
  <c r="C33" i="101"/>
  <c r="C32" i="101"/>
  <c r="X30" i="101"/>
  <c r="W30" i="101"/>
  <c r="V30" i="101"/>
  <c r="V5" i="101" s="1"/>
  <c r="U30" i="101"/>
  <c r="S30" i="101" s="1"/>
  <c r="T30" i="101"/>
  <c r="M30" i="101"/>
  <c r="K30" i="101"/>
  <c r="F30" i="101"/>
  <c r="C30" i="101"/>
  <c r="C29" i="101"/>
  <c r="C27" i="101"/>
  <c r="C26" i="101"/>
  <c r="O24" i="101"/>
  <c r="N24" i="101"/>
  <c r="M24" i="101"/>
  <c r="K24" i="101"/>
  <c r="E24" i="101"/>
  <c r="P23" i="101"/>
  <c r="O23" i="101"/>
  <c r="N23" i="101"/>
  <c r="M23" i="101"/>
  <c r="L23" i="101"/>
  <c r="K23" i="101"/>
  <c r="E23" i="101"/>
  <c r="X22" i="101"/>
  <c r="X5" i="101" s="1"/>
  <c r="W22" i="101"/>
  <c r="W5" i="101" s="1"/>
  <c r="V22" i="101"/>
  <c r="U22" i="101"/>
  <c r="T22" i="101"/>
  <c r="S22" i="101" s="1"/>
  <c r="L22" i="101"/>
  <c r="K22" i="101"/>
  <c r="E22" i="101"/>
  <c r="C22" i="101"/>
  <c r="O21" i="101"/>
  <c r="N21" i="101"/>
  <c r="M21" i="101"/>
  <c r="L21" i="101"/>
  <c r="K21" i="101"/>
  <c r="E21" i="101"/>
  <c r="C21" i="101"/>
  <c r="C19" i="101"/>
  <c r="C18" i="101"/>
  <c r="C17" i="101"/>
  <c r="E17" i="101" s="1"/>
  <c r="C16" i="101"/>
  <c r="E16" i="101" s="1"/>
  <c r="G16" i="101" s="1"/>
  <c r="C14" i="101"/>
  <c r="X13" i="101"/>
  <c r="W13" i="101"/>
  <c r="V13" i="101"/>
  <c r="U13" i="101"/>
  <c r="U5" i="101" s="1"/>
  <c r="T13" i="101"/>
  <c r="M13" i="101"/>
  <c r="L13" i="101"/>
  <c r="K13" i="101"/>
  <c r="I13" i="101"/>
  <c r="F13" i="101"/>
  <c r="C13" i="101"/>
  <c r="G13" i="101" s="1"/>
  <c r="C12" i="101"/>
  <c r="C11" i="101"/>
  <c r="C10" i="101"/>
  <c r="C9" i="101"/>
  <c r="C8" i="101"/>
  <c r="G8" i="101" s="1"/>
  <c r="C7" i="101"/>
  <c r="E58" i="102"/>
  <c r="E57" i="102"/>
  <c r="E56" i="102"/>
  <c r="E55" i="102"/>
  <c r="C36" i="102" s="1"/>
  <c r="P21" i="102" s="1"/>
  <c r="E54" i="102"/>
  <c r="C42" i="102" s="1"/>
  <c r="E53" i="102"/>
  <c r="C45" i="102" s="1"/>
  <c r="G45" i="102" s="1"/>
  <c r="E52" i="102"/>
  <c r="X46" i="102"/>
  <c r="W46" i="102"/>
  <c r="V46" i="102"/>
  <c r="U46" i="102"/>
  <c r="T46" i="102"/>
  <c r="Y46" i="102" s="1"/>
  <c r="C46" i="102"/>
  <c r="G46" i="102" s="1"/>
  <c r="Q46" i="102" s="1"/>
  <c r="Z46" i="102" s="1"/>
  <c r="Q45" i="102"/>
  <c r="Z45" i="102" s="1"/>
  <c r="X44" i="102"/>
  <c r="V44" i="102"/>
  <c r="T44" i="102"/>
  <c r="W43" i="102"/>
  <c r="V43" i="102"/>
  <c r="U43" i="102"/>
  <c r="T43" i="102"/>
  <c r="C43" i="102"/>
  <c r="X42" i="102"/>
  <c r="Y42" i="102" s="1"/>
  <c r="E42" i="102"/>
  <c r="F41" i="102" s="1"/>
  <c r="X41" i="102"/>
  <c r="W41" i="102"/>
  <c r="V41" i="102"/>
  <c r="U41" i="102"/>
  <c r="T41" i="102"/>
  <c r="L41" i="102"/>
  <c r="E41" i="102"/>
  <c r="C41" i="102"/>
  <c r="G41" i="102" s="1"/>
  <c r="Z41" i="102" s="1"/>
  <c r="X40" i="102"/>
  <c r="X5" i="102" s="1"/>
  <c r="W40" i="102"/>
  <c r="V40" i="102"/>
  <c r="Y40" i="102" s="1"/>
  <c r="Z40" i="102" s="1"/>
  <c r="U40" i="102"/>
  <c r="T40" i="102"/>
  <c r="C40" i="102"/>
  <c r="G40" i="102" s="1"/>
  <c r="X39" i="102"/>
  <c r="W39" i="102"/>
  <c r="V39" i="102"/>
  <c r="U39" i="102"/>
  <c r="T39" i="102"/>
  <c r="X37" i="102"/>
  <c r="W37" i="102"/>
  <c r="V37" i="102"/>
  <c r="U37" i="102"/>
  <c r="T37" i="102"/>
  <c r="C34" i="102"/>
  <c r="C33" i="102"/>
  <c r="C32" i="102"/>
  <c r="X30" i="102"/>
  <c r="W30" i="102"/>
  <c r="V30" i="102"/>
  <c r="U30" i="102"/>
  <c r="T30" i="102"/>
  <c r="M30" i="102"/>
  <c r="K30" i="102"/>
  <c r="F30" i="102"/>
  <c r="F35" i="102" s="1"/>
  <c r="C30" i="102"/>
  <c r="C29" i="102"/>
  <c r="C27" i="102"/>
  <c r="C26" i="102"/>
  <c r="O24" i="102"/>
  <c r="N24" i="102"/>
  <c r="M24" i="102"/>
  <c r="K24" i="102"/>
  <c r="E24" i="102"/>
  <c r="C24" i="102"/>
  <c r="G24" i="102" s="1"/>
  <c r="P23" i="102"/>
  <c r="O23" i="102"/>
  <c r="N23" i="102"/>
  <c r="M23" i="102"/>
  <c r="L23" i="102"/>
  <c r="K23" i="102"/>
  <c r="E23" i="102"/>
  <c r="C23" i="102"/>
  <c r="G23" i="102" s="1"/>
  <c r="X22" i="102"/>
  <c r="W22" i="102"/>
  <c r="V22" i="102"/>
  <c r="U22" i="102"/>
  <c r="T22" i="102"/>
  <c r="L22" i="102"/>
  <c r="K22" i="102"/>
  <c r="E22" i="102"/>
  <c r="C22" i="102"/>
  <c r="G22" i="102" s="1"/>
  <c r="O21" i="102"/>
  <c r="N21" i="102"/>
  <c r="M21" i="102"/>
  <c r="L21" i="102"/>
  <c r="K21" i="102"/>
  <c r="E21" i="102"/>
  <c r="C21" i="102"/>
  <c r="G21" i="102" s="1"/>
  <c r="H22" i="102" s="1"/>
  <c r="J22" i="102" s="1"/>
  <c r="C19" i="102"/>
  <c r="E19" i="102" s="1"/>
  <c r="C18" i="102"/>
  <c r="C17" i="102"/>
  <c r="C16" i="102"/>
  <c r="C14" i="102"/>
  <c r="X13" i="102"/>
  <c r="W13" i="102"/>
  <c r="V13" i="102"/>
  <c r="U13" i="102"/>
  <c r="T13" i="102"/>
  <c r="M13" i="102"/>
  <c r="L13" i="102"/>
  <c r="K13" i="102"/>
  <c r="I13" i="102"/>
  <c r="F13" i="102"/>
  <c r="C13" i="102"/>
  <c r="C12" i="102"/>
  <c r="E12" i="102" s="1"/>
  <c r="C11" i="102"/>
  <c r="C10" i="102"/>
  <c r="C9" i="102"/>
  <c r="G9" i="102" s="1"/>
  <c r="C8" i="102"/>
  <c r="G8" i="102" s="1"/>
  <c r="C7" i="102"/>
  <c r="D13" i="102" s="1"/>
  <c r="E19" i="97"/>
  <c r="G19" i="97" s="1"/>
  <c r="E18" i="97"/>
  <c r="G18" i="97" s="1"/>
  <c r="E17" i="97"/>
  <c r="G17" i="97" s="1"/>
  <c r="E16" i="97"/>
  <c r="G16" i="97" s="1"/>
  <c r="E13" i="97"/>
  <c r="E19" i="98"/>
  <c r="E18" i="98"/>
  <c r="E17" i="98"/>
  <c r="G17" i="98" s="1"/>
  <c r="E12" i="98"/>
  <c r="E11" i="98"/>
  <c r="E16" i="99"/>
  <c r="G16" i="99" s="1"/>
  <c r="E13" i="99"/>
  <c r="G13" i="99" s="1"/>
  <c r="E19" i="100"/>
  <c r="G19" i="100" s="1"/>
  <c r="E18" i="100"/>
  <c r="E13" i="101"/>
  <c r="E12" i="101"/>
  <c r="G12" i="101" s="1"/>
  <c r="E11" i="101"/>
  <c r="E17" i="102"/>
  <c r="G17" i="102" s="1"/>
  <c r="E16" i="102"/>
  <c r="G16" i="102" s="1"/>
  <c r="E13" i="102"/>
  <c r="G13" i="102" s="1"/>
  <c r="E11" i="102"/>
  <c r="E17" i="96"/>
  <c r="G17" i="96" s="1"/>
  <c r="E16" i="96"/>
  <c r="G16" i="96" s="1"/>
  <c r="E13" i="96"/>
  <c r="G13" i="96" s="1"/>
  <c r="E12" i="96"/>
  <c r="G12" i="96" s="1"/>
  <c r="E11" i="96"/>
  <c r="G11" i="96" s="1"/>
  <c r="E17" i="95"/>
  <c r="E12" i="95"/>
  <c r="E11" i="95"/>
  <c r="G11" i="95" s="1"/>
  <c r="Z47" i="102"/>
  <c r="Y47" i="102"/>
  <c r="C47" i="102"/>
  <c r="G47" i="102" s="1"/>
  <c r="Q47" i="102" s="1"/>
  <c r="Y45" i="102"/>
  <c r="Y44" i="102"/>
  <c r="Z44" i="102" s="1"/>
  <c r="G44" i="102"/>
  <c r="Q44" i="102" s="1"/>
  <c r="C44" i="102"/>
  <c r="Y43" i="102"/>
  <c r="G43" i="102"/>
  <c r="Q43" i="102" s="1"/>
  <c r="Z43" i="102" s="1"/>
  <c r="Y41" i="102"/>
  <c r="G39" i="102"/>
  <c r="C39" i="102"/>
  <c r="Y38" i="102"/>
  <c r="G38" i="102"/>
  <c r="Z38" i="102" s="1"/>
  <c r="C38" i="102"/>
  <c r="Y36" i="102"/>
  <c r="G36" i="102"/>
  <c r="E33" i="102"/>
  <c r="G33" i="102" s="1"/>
  <c r="S30" i="102"/>
  <c r="D30" i="102"/>
  <c r="F22" i="102"/>
  <c r="G15" i="102"/>
  <c r="G14" i="102"/>
  <c r="G12" i="102"/>
  <c r="G11" i="102"/>
  <c r="Y47" i="101"/>
  <c r="C47" i="101"/>
  <c r="C23" i="101" s="1"/>
  <c r="Y45" i="101"/>
  <c r="C44" i="101"/>
  <c r="G44" i="101" s="1"/>
  <c r="Y40" i="101"/>
  <c r="Z40" i="101" s="1"/>
  <c r="G40" i="101"/>
  <c r="Y38" i="101"/>
  <c r="G38" i="101"/>
  <c r="C38" i="101"/>
  <c r="Y36" i="101"/>
  <c r="G36" i="101"/>
  <c r="Z36" i="101" s="1"/>
  <c r="C36" i="101"/>
  <c r="F35" i="101"/>
  <c r="E29" i="101" s="1"/>
  <c r="G29" i="101" s="1"/>
  <c r="D30" i="101"/>
  <c r="P21" i="101"/>
  <c r="G21" i="101"/>
  <c r="G17" i="101"/>
  <c r="G15" i="101"/>
  <c r="G14" i="101"/>
  <c r="G11" i="101"/>
  <c r="G9" i="101"/>
  <c r="Y47" i="100"/>
  <c r="C47" i="100"/>
  <c r="C23" i="100" s="1"/>
  <c r="G23" i="100" s="1"/>
  <c r="Y46" i="100"/>
  <c r="Y45" i="100"/>
  <c r="G45" i="100"/>
  <c r="Q45" i="100" s="1"/>
  <c r="Z45" i="100" s="1"/>
  <c r="C45" i="100"/>
  <c r="C24" i="100" s="1"/>
  <c r="G24" i="100" s="1"/>
  <c r="Y44" i="100"/>
  <c r="Y43" i="100"/>
  <c r="G43" i="100"/>
  <c r="Q43" i="100" s="1"/>
  <c r="Z43" i="100" s="1"/>
  <c r="Z42" i="100"/>
  <c r="Y42" i="100"/>
  <c r="F41" i="100"/>
  <c r="Y39" i="100"/>
  <c r="C39" i="100"/>
  <c r="G39" i="100" s="1"/>
  <c r="Z39" i="100" s="1"/>
  <c r="Y38" i="100"/>
  <c r="C38" i="100"/>
  <c r="G38" i="100" s="1"/>
  <c r="Z38" i="100" s="1"/>
  <c r="Y36" i="100"/>
  <c r="S30" i="100"/>
  <c r="S22" i="100"/>
  <c r="D22" i="100"/>
  <c r="G15" i="100"/>
  <c r="G12" i="100"/>
  <c r="G7" i="100"/>
  <c r="Y47" i="99"/>
  <c r="C47" i="99"/>
  <c r="G47" i="99" s="1"/>
  <c r="Q47" i="99" s="1"/>
  <c r="Z47" i="99" s="1"/>
  <c r="Y45" i="99"/>
  <c r="G45" i="99"/>
  <c r="Q45" i="99" s="1"/>
  <c r="Z45" i="99" s="1"/>
  <c r="Y44" i="99"/>
  <c r="G44" i="99"/>
  <c r="C44" i="99"/>
  <c r="G41" i="99"/>
  <c r="C39" i="99"/>
  <c r="G39" i="99" s="1"/>
  <c r="Y38" i="99"/>
  <c r="Z38" i="99" s="1"/>
  <c r="G38" i="99"/>
  <c r="C38" i="99"/>
  <c r="Y36" i="99"/>
  <c r="C36" i="99"/>
  <c r="G24" i="99"/>
  <c r="G21" i="99"/>
  <c r="G15" i="99"/>
  <c r="G8" i="99"/>
  <c r="Y47" i="98"/>
  <c r="C47" i="98"/>
  <c r="G46" i="98"/>
  <c r="Q46" i="98" s="1"/>
  <c r="Y45" i="98"/>
  <c r="G45" i="98"/>
  <c r="Q45" i="98" s="1"/>
  <c r="Z45" i="98" s="1"/>
  <c r="C45" i="98"/>
  <c r="C24" i="98" s="1"/>
  <c r="G24" i="98" s="1"/>
  <c r="Y44" i="98"/>
  <c r="Y42" i="98"/>
  <c r="G40" i="98"/>
  <c r="C39" i="98"/>
  <c r="G39" i="98" s="1"/>
  <c r="Y38" i="98"/>
  <c r="G38" i="98"/>
  <c r="Z38" i="98" s="1"/>
  <c r="C38" i="98"/>
  <c r="Y36" i="98"/>
  <c r="G36" i="98"/>
  <c r="C36" i="98"/>
  <c r="E33" i="98"/>
  <c r="G33" i="98" s="1"/>
  <c r="S30" i="98"/>
  <c r="S22" i="98"/>
  <c r="F22" i="98"/>
  <c r="P21" i="98"/>
  <c r="G21" i="98"/>
  <c r="G18" i="98"/>
  <c r="G15" i="98"/>
  <c r="G14" i="98"/>
  <c r="G13" i="98"/>
  <c r="G12" i="98"/>
  <c r="G11" i="98"/>
  <c r="Y47" i="97"/>
  <c r="C47" i="97"/>
  <c r="C23" i="97" s="1"/>
  <c r="G23" i="97" s="1"/>
  <c r="G46" i="97"/>
  <c r="Q46" i="97" s="1"/>
  <c r="Z46" i="97" s="1"/>
  <c r="Z45" i="97"/>
  <c r="Y45" i="97"/>
  <c r="G45" i="97"/>
  <c r="Q45" i="97" s="1"/>
  <c r="C45" i="97"/>
  <c r="Y42" i="97"/>
  <c r="G41" i="97"/>
  <c r="Z40" i="97"/>
  <c r="Y40" i="97"/>
  <c r="Y38" i="97"/>
  <c r="G38" i="97"/>
  <c r="C38" i="97"/>
  <c r="Y37" i="97"/>
  <c r="C37" i="97"/>
  <c r="G37" i="97" s="1"/>
  <c r="Z37" i="97" s="1"/>
  <c r="Y36" i="97"/>
  <c r="G24" i="97"/>
  <c r="G21" i="97"/>
  <c r="G15" i="97"/>
  <c r="G13" i="97"/>
  <c r="U5" i="97"/>
  <c r="Z47" i="96"/>
  <c r="Y47" i="96"/>
  <c r="C47" i="96"/>
  <c r="G47" i="96" s="1"/>
  <c r="Q47" i="96" s="1"/>
  <c r="Y45" i="96"/>
  <c r="C45" i="96"/>
  <c r="G45" i="96" s="1"/>
  <c r="Y44" i="96"/>
  <c r="Z44" i="96" s="1"/>
  <c r="G44" i="96"/>
  <c r="Q44" i="96" s="1"/>
  <c r="C44" i="96"/>
  <c r="G43" i="96"/>
  <c r="Q43" i="96" s="1"/>
  <c r="Z43" i="96" s="1"/>
  <c r="G40" i="96"/>
  <c r="Y39" i="96"/>
  <c r="G39" i="96"/>
  <c r="Z39" i="96" s="1"/>
  <c r="C39" i="96"/>
  <c r="Y38" i="96"/>
  <c r="C38" i="96"/>
  <c r="G38" i="96" s="1"/>
  <c r="Z38" i="96" s="1"/>
  <c r="Y36" i="96"/>
  <c r="E33" i="96"/>
  <c r="G33" i="96" s="1"/>
  <c r="E31" i="96"/>
  <c r="G31" i="96" s="1"/>
  <c r="S30" i="96"/>
  <c r="D30" i="96"/>
  <c r="S22" i="96"/>
  <c r="G22" i="96"/>
  <c r="F22" i="96"/>
  <c r="G15" i="96"/>
  <c r="G14" i="96"/>
  <c r="Y47" i="95"/>
  <c r="G47" i="95"/>
  <c r="Q47" i="95" s="1"/>
  <c r="Z47" i="95" s="1"/>
  <c r="C47" i="95"/>
  <c r="C23" i="95" s="1"/>
  <c r="Y45" i="95"/>
  <c r="G45" i="95"/>
  <c r="Q45" i="95" s="1"/>
  <c r="Z45" i="95" s="1"/>
  <c r="Y44" i="95"/>
  <c r="C44" i="95"/>
  <c r="G44" i="95" s="1"/>
  <c r="G41" i="95"/>
  <c r="Z41" i="95" s="1"/>
  <c r="G40" i="95"/>
  <c r="C39" i="95"/>
  <c r="G39" i="95" s="1"/>
  <c r="Z39" i="95" s="1"/>
  <c r="Y38" i="95"/>
  <c r="C38" i="95"/>
  <c r="G38" i="95" s="1"/>
  <c r="Z38" i="95" s="1"/>
  <c r="Y36" i="95"/>
  <c r="C36" i="95"/>
  <c r="G24" i="95"/>
  <c r="G21" i="95"/>
  <c r="G17" i="95"/>
  <c r="G15" i="95"/>
  <c r="G14" i="95"/>
  <c r="G12" i="95"/>
  <c r="G9" i="95"/>
  <c r="G8" i="95"/>
  <c r="X5" i="95"/>
  <c r="W5" i="95"/>
  <c r="E19" i="69"/>
  <c r="E18" i="69"/>
  <c r="E17" i="69"/>
  <c r="G17" i="69" s="1"/>
  <c r="E16" i="69"/>
  <c r="E13" i="69"/>
  <c r="E12" i="69"/>
  <c r="E11" i="69"/>
  <c r="C9" i="69"/>
  <c r="G9" i="69" s="1"/>
  <c r="C8" i="69"/>
  <c r="G8" i="69" s="1"/>
  <c r="C7" i="69"/>
  <c r="G7" i="69" s="1"/>
  <c r="E58" i="69"/>
  <c r="E57" i="69"/>
  <c r="E56" i="69"/>
  <c r="E55" i="69"/>
  <c r="E54" i="69"/>
  <c r="E53" i="69"/>
  <c r="E52" i="69"/>
  <c r="Q47" i="69"/>
  <c r="X46" i="69"/>
  <c r="W46" i="69"/>
  <c r="V46" i="69"/>
  <c r="U46" i="69"/>
  <c r="T46" i="69"/>
  <c r="X44" i="69"/>
  <c r="V44" i="69"/>
  <c r="T44" i="69"/>
  <c r="C44" i="69" s="1"/>
  <c r="G44" i="69" s="1"/>
  <c r="Q44" i="69" s="1"/>
  <c r="W43" i="69"/>
  <c r="V43" i="69"/>
  <c r="C43" i="69" s="1"/>
  <c r="G43" i="69" s="1"/>
  <c r="U43" i="69"/>
  <c r="T43" i="69"/>
  <c r="X42" i="69"/>
  <c r="E42" i="69"/>
  <c r="C42" i="69"/>
  <c r="G42" i="69" s="1"/>
  <c r="Q42" i="69" s="1"/>
  <c r="Z42" i="69" s="1"/>
  <c r="X41" i="69"/>
  <c r="W41" i="69"/>
  <c r="V41" i="69"/>
  <c r="U41" i="69"/>
  <c r="T41" i="69"/>
  <c r="Y41" i="69" s="1"/>
  <c r="L41" i="69"/>
  <c r="E41" i="69"/>
  <c r="C41" i="69"/>
  <c r="X40" i="69"/>
  <c r="W40" i="69"/>
  <c r="V40" i="69"/>
  <c r="U40" i="69"/>
  <c r="U5" i="69" s="1"/>
  <c r="T40" i="69"/>
  <c r="Y40" i="69" s="1"/>
  <c r="C40" i="69"/>
  <c r="G40" i="69" s="1"/>
  <c r="Z40" i="69" s="1"/>
  <c r="X39" i="69"/>
  <c r="C39" i="69" s="1"/>
  <c r="G39" i="69" s="1"/>
  <c r="W39" i="69"/>
  <c r="V39" i="69"/>
  <c r="U39" i="69"/>
  <c r="T39" i="69"/>
  <c r="X37" i="69"/>
  <c r="W37" i="69"/>
  <c r="V37" i="69"/>
  <c r="U37" i="69"/>
  <c r="T37" i="69"/>
  <c r="C37" i="69" s="1"/>
  <c r="G37" i="69" s="1"/>
  <c r="C34" i="69"/>
  <c r="C33" i="69"/>
  <c r="C32" i="69"/>
  <c r="X30" i="69"/>
  <c r="W30" i="69"/>
  <c r="W5" i="69" s="1"/>
  <c r="V30" i="69"/>
  <c r="U30" i="69"/>
  <c r="T30" i="69"/>
  <c r="M30" i="69"/>
  <c r="K30" i="69"/>
  <c r="F30" i="69"/>
  <c r="C30" i="69"/>
  <c r="C29" i="69"/>
  <c r="C27" i="69"/>
  <c r="C26" i="69"/>
  <c r="O24" i="69"/>
  <c r="N24" i="69"/>
  <c r="M24" i="69"/>
  <c r="K24" i="69"/>
  <c r="E24" i="69"/>
  <c r="P23" i="69"/>
  <c r="O23" i="69"/>
  <c r="N23" i="69"/>
  <c r="M23" i="69"/>
  <c r="L23" i="69"/>
  <c r="K23" i="69"/>
  <c r="E23" i="69"/>
  <c r="C23" i="69"/>
  <c r="X22" i="69"/>
  <c r="W22" i="69"/>
  <c r="V22" i="69"/>
  <c r="U22" i="69"/>
  <c r="T22" i="69"/>
  <c r="L22" i="69"/>
  <c r="K22" i="69"/>
  <c r="E22" i="69"/>
  <c r="F22" i="69" s="1"/>
  <c r="C22" i="69"/>
  <c r="O21" i="69"/>
  <c r="N21" i="69"/>
  <c r="M21" i="69"/>
  <c r="L21" i="69"/>
  <c r="K21" i="69"/>
  <c r="E21" i="69"/>
  <c r="C21" i="69"/>
  <c r="C19" i="69"/>
  <c r="C18" i="69"/>
  <c r="C46" i="69" s="1"/>
  <c r="G46" i="69" s="1"/>
  <c r="C17" i="69"/>
  <c r="C16" i="69"/>
  <c r="C14" i="69"/>
  <c r="G14" i="69" s="1"/>
  <c r="X13" i="69"/>
  <c r="W13" i="69"/>
  <c r="V13" i="69"/>
  <c r="V5" i="69" s="1"/>
  <c r="U13" i="69"/>
  <c r="T13" i="69"/>
  <c r="M13" i="69"/>
  <c r="L13" i="69"/>
  <c r="K13" i="69"/>
  <c r="I13" i="69"/>
  <c r="F13" i="69"/>
  <c r="C13" i="69"/>
  <c r="C12" i="69"/>
  <c r="C11" i="69"/>
  <c r="C10" i="69"/>
  <c r="Y47" i="69"/>
  <c r="C47" i="69"/>
  <c r="G47" i="69" s="1"/>
  <c r="Y46" i="69"/>
  <c r="Y45" i="69"/>
  <c r="C45" i="69"/>
  <c r="G45" i="69" s="1"/>
  <c r="Y43" i="69"/>
  <c r="Y42" i="69"/>
  <c r="F41" i="69"/>
  <c r="G41" i="69"/>
  <c r="Y38" i="69"/>
  <c r="C38" i="69"/>
  <c r="G38" i="69" s="1"/>
  <c r="Z38" i="69" s="1"/>
  <c r="Y36" i="69"/>
  <c r="C36" i="69"/>
  <c r="G36" i="69" s="1"/>
  <c r="S22" i="69"/>
  <c r="P21" i="69"/>
  <c r="G21" i="69"/>
  <c r="G15" i="69"/>
  <c r="E10" i="106" l="1"/>
  <c r="E10" i="92"/>
  <c r="G10" i="92" s="1"/>
  <c r="G20" i="92" s="1"/>
  <c r="Z46" i="92"/>
  <c r="D41" i="91"/>
  <c r="G37" i="91"/>
  <c r="Q38" i="91" s="1"/>
  <c r="R41" i="91" s="1"/>
  <c r="C24" i="93"/>
  <c r="G24" i="93" s="1"/>
  <c r="G45" i="93"/>
  <c r="Q45" i="93" s="1"/>
  <c r="Z45" i="93" s="1"/>
  <c r="H22" i="92"/>
  <c r="J22" i="92" s="1"/>
  <c r="Q22" i="92" s="1"/>
  <c r="E27" i="91"/>
  <c r="G27" i="91" s="1"/>
  <c r="E26" i="91"/>
  <c r="G26" i="91" s="1"/>
  <c r="E33" i="91"/>
  <c r="E29" i="91"/>
  <c r="G29" i="91" s="1"/>
  <c r="E32" i="91"/>
  <c r="G32" i="91" s="1"/>
  <c r="E31" i="91"/>
  <c r="G31" i="91" s="1"/>
  <c r="E28" i="91"/>
  <c r="G28" i="91" s="1"/>
  <c r="C23" i="91"/>
  <c r="G47" i="91"/>
  <c r="Q47" i="91" s="1"/>
  <c r="Z47" i="91" s="1"/>
  <c r="S5" i="91"/>
  <c r="D41" i="92"/>
  <c r="G32" i="92"/>
  <c r="C5" i="91"/>
  <c r="C49" i="91" s="1"/>
  <c r="E34" i="92"/>
  <c r="G34" i="92" s="1"/>
  <c r="E30" i="92"/>
  <c r="G30" i="92" s="1"/>
  <c r="E28" i="92"/>
  <c r="G28" i="92" s="1"/>
  <c r="E29" i="92"/>
  <c r="G29" i="92" s="1"/>
  <c r="E31" i="92"/>
  <c r="G31" i="92" s="1"/>
  <c r="E27" i="92"/>
  <c r="G27" i="92" s="1"/>
  <c r="Q38" i="92"/>
  <c r="R41" i="92" s="1"/>
  <c r="G33" i="91"/>
  <c r="Z40" i="88"/>
  <c r="Z41" i="89"/>
  <c r="W5" i="91"/>
  <c r="U5" i="93"/>
  <c r="Y37" i="93"/>
  <c r="Y40" i="93"/>
  <c r="S41" i="88"/>
  <c r="W5" i="86"/>
  <c r="E12" i="91"/>
  <c r="E10" i="91" s="1"/>
  <c r="Z41" i="86"/>
  <c r="T5" i="92"/>
  <c r="D13" i="92"/>
  <c r="G19" i="92"/>
  <c r="E26" i="92"/>
  <c r="G26" i="92" s="1"/>
  <c r="C39" i="92"/>
  <c r="G39" i="92" s="1"/>
  <c r="Z39" i="92" s="1"/>
  <c r="Z38" i="93"/>
  <c r="Y43" i="93"/>
  <c r="C43" i="91"/>
  <c r="G43" i="91" s="1"/>
  <c r="Q43" i="91" s="1"/>
  <c r="Z43" i="91" s="1"/>
  <c r="Y43" i="88"/>
  <c r="D30" i="87"/>
  <c r="F35" i="87" s="1"/>
  <c r="E31" i="87" s="1"/>
  <c r="G31" i="87" s="1"/>
  <c r="G11" i="86"/>
  <c r="X5" i="86"/>
  <c r="S30" i="86"/>
  <c r="Y46" i="85"/>
  <c r="Z46" i="85" s="1"/>
  <c r="E13" i="91"/>
  <c r="G13" i="91" s="1"/>
  <c r="D13" i="89"/>
  <c r="G45" i="92"/>
  <c r="Q45" i="92" s="1"/>
  <c r="Z45" i="92" s="1"/>
  <c r="S41" i="85"/>
  <c r="Y37" i="85"/>
  <c r="G37" i="92"/>
  <c r="F22" i="90"/>
  <c r="X5" i="90"/>
  <c r="T5" i="88"/>
  <c r="V5" i="85"/>
  <c r="S22" i="86"/>
  <c r="S5" i="86" s="1"/>
  <c r="S22" i="91"/>
  <c r="E30" i="91"/>
  <c r="G30" i="91" s="1"/>
  <c r="Y41" i="93"/>
  <c r="S22" i="90"/>
  <c r="C39" i="90"/>
  <c r="G39" i="90" s="1"/>
  <c r="Z39" i="90" s="1"/>
  <c r="T5" i="89"/>
  <c r="Y37" i="89"/>
  <c r="Y40" i="89"/>
  <c r="Z40" i="89" s="1"/>
  <c r="U5" i="88"/>
  <c r="Y41" i="88"/>
  <c r="Z41" i="88" s="1"/>
  <c r="C46" i="86"/>
  <c r="G46" i="86" s="1"/>
  <c r="Q46" i="86" s="1"/>
  <c r="Z46" i="86" s="1"/>
  <c r="S13" i="85"/>
  <c r="E18" i="92"/>
  <c r="G18" i="92" s="1"/>
  <c r="D13" i="88"/>
  <c r="C46" i="89"/>
  <c r="G46" i="89" s="1"/>
  <c r="Q46" i="89" s="1"/>
  <c r="Z46" i="89" s="1"/>
  <c r="G13" i="86"/>
  <c r="C42" i="93"/>
  <c r="G42" i="93" s="1"/>
  <c r="Q42" i="93" s="1"/>
  <c r="Z42" i="93" s="1"/>
  <c r="C37" i="90"/>
  <c r="D41" i="90" s="1"/>
  <c r="T5" i="87"/>
  <c r="F35" i="85"/>
  <c r="E33" i="85" s="1"/>
  <c r="G33" i="85" s="1"/>
  <c r="E10" i="86"/>
  <c r="G10" i="86" s="1"/>
  <c r="F22" i="85"/>
  <c r="G21" i="89"/>
  <c r="U5" i="87"/>
  <c r="G11" i="91"/>
  <c r="E34" i="91"/>
  <c r="G34" i="91" s="1"/>
  <c r="E32" i="92"/>
  <c r="Y44" i="93"/>
  <c r="Z44" i="93" s="1"/>
  <c r="U5" i="89"/>
  <c r="F35" i="89"/>
  <c r="E30" i="89" s="1"/>
  <c r="G30" i="89" s="1"/>
  <c r="V5" i="88"/>
  <c r="Y44" i="88"/>
  <c r="Z44" i="88" s="1"/>
  <c r="S30" i="92"/>
  <c r="S5" i="92" s="1"/>
  <c r="Y40" i="85"/>
  <c r="C42" i="90"/>
  <c r="G42" i="90" s="1"/>
  <c r="Q42" i="90" s="1"/>
  <c r="Z42" i="90" s="1"/>
  <c r="G12" i="88"/>
  <c r="G42" i="87"/>
  <c r="Q42" i="87" s="1"/>
  <c r="Z42" i="87" s="1"/>
  <c r="Z38" i="86"/>
  <c r="G18" i="93"/>
  <c r="C46" i="93"/>
  <c r="G46" i="93" s="1"/>
  <c r="Q46" i="93" s="1"/>
  <c r="Z46" i="93" s="1"/>
  <c r="V5" i="89"/>
  <c r="C46" i="88"/>
  <c r="G46" i="88" s="1"/>
  <c r="Q46" i="88" s="1"/>
  <c r="Z46" i="88" s="1"/>
  <c r="W5" i="88"/>
  <c r="F22" i="87"/>
  <c r="S30" i="87"/>
  <c r="Y37" i="87"/>
  <c r="Z41" i="87"/>
  <c r="T5" i="85"/>
  <c r="C42" i="85"/>
  <c r="G42" i="85" s="1"/>
  <c r="Q42" i="85" s="1"/>
  <c r="Z42" i="85" s="1"/>
  <c r="V5" i="92"/>
  <c r="X5" i="93"/>
  <c r="C42" i="88"/>
  <c r="G42" i="88" s="1"/>
  <c r="Q42" i="88" s="1"/>
  <c r="Z42" i="88" s="1"/>
  <c r="U5" i="86"/>
  <c r="G45" i="87"/>
  <c r="Q45" i="87" s="1"/>
  <c r="Z45" i="87" s="1"/>
  <c r="Z39" i="93"/>
  <c r="G16" i="93"/>
  <c r="G11" i="90"/>
  <c r="Z41" i="90"/>
  <c r="E17" i="92"/>
  <c r="G17" i="92" s="1"/>
  <c r="H13" i="92" s="1"/>
  <c r="J13" i="92" s="1"/>
  <c r="Q13" i="92" s="1"/>
  <c r="C39" i="91"/>
  <c r="G39" i="91" s="1"/>
  <c r="Z39" i="91" s="1"/>
  <c r="E33" i="92"/>
  <c r="G33" i="92" s="1"/>
  <c r="Y43" i="92"/>
  <c r="C46" i="90"/>
  <c r="G46" i="90" s="1"/>
  <c r="Q46" i="90" s="1"/>
  <c r="W5" i="89"/>
  <c r="C39" i="87"/>
  <c r="G39" i="87" s="1"/>
  <c r="Z39" i="87" s="1"/>
  <c r="C37" i="86"/>
  <c r="D41" i="86" s="1"/>
  <c r="Y40" i="86"/>
  <c r="Z40" i="86" s="1"/>
  <c r="U5" i="85"/>
  <c r="Q38" i="85"/>
  <c r="R41" i="85" s="1"/>
  <c r="E11" i="90"/>
  <c r="D13" i="85"/>
  <c r="G11" i="93"/>
  <c r="C37" i="85"/>
  <c r="G37" i="85" s="1"/>
  <c r="C39" i="86"/>
  <c r="G39" i="86" s="1"/>
  <c r="Z39" i="86" s="1"/>
  <c r="Y46" i="93"/>
  <c r="Y46" i="90"/>
  <c r="E10" i="89"/>
  <c r="G10" i="89" s="1"/>
  <c r="G20" i="89" s="1"/>
  <c r="X5" i="89"/>
  <c r="F22" i="89"/>
  <c r="S30" i="89"/>
  <c r="S22" i="87"/>
  <c r="Y41" i="87"/>
  <c r="Y44" i="87"/>
  <c r="Z44" i="87" s="1"/>
  <c r="C39" i="85"/>
  <c r="G39" i="85" s="1"/>
  <c r="Y41" i="85"/>
  <c r="Z41" i="85" s="1"/>
  <c r="G12" i="86"/>
  <c r="G12" i="93"/>
  <c r="S13" i="90"/>
  <c r="X5" i="88"/>
  <c r="Z38" i="89"/>
  <c r="S41" i="93"/>
  <c r="S5" i="93" s="1"/>
  <c r="Y39" i="89"/>
  <c r="C42" i="89"/>
  <c r="G42" i="89" s="1"/>
  <c r="Q42" i="89" s="1"/>
  <c r="Z42" i="89" s="1"/>
  <c r="V5" i="86"/>
  <c r="G37" i="90"/>
  <c r="Q38" i="90" s="1"/>
  <c r="E34" i="90"/>
  <c r="G34" i="90" s="1"/>
  <c r="E30" i="90"/>
  <c r="G30" i="90" s="1"/>
  <c r="E28" i="90"/>
  <c r="G28" i="90" s="1"/>
  <c r="E33" i="90"/>
  <c r="G33" i="90" s="1"/>
  <c r="E27" i="90"/>
  <c r="G27" i="90" s="1"/>
  <c r="E32" i="90"/>
  <c r="G32" i="90" s="1"/>
  <c r="E29" i="90"/>
  <c r="G29" i="90" s="1"/>
  <c r="E31" i="90"/>
  <c r="G31" i="90" s="1"/>
  <c r="E26" i="90"/>
  <c r="G26" i="90" s="1"/>
  <c r="G47" i="90"/>
  <c r="Q47" i="90" s="1"/>
  <c r="Z47" i="90" s="1"/>
  <c r="C23" i="90"/>
  <c r="Z46" i="90"/>
  <c r="Z40" i="90"/>
  <c r="G12" i="90"/>
  <c r="T5" i="90"/>
  <c r="D13" i="90"/>
  <c r="S41" i="90"/>
  <c r="S5" i="90" s="1"/>
  <c r="C43" i="90"/>
  <c r="G43" i="90" s="1"/>
  <c r="Q43" i="90" s="1"/>
  <c r="Z43" i="90" s="1"/>
  <c r="C24" i="90"/>
  <c r="G24" i="90" s="1"/>
  <c r="W5" i="90"/>
  <c r="E16" i="90"/>
  <c r="G16" i="90" s="1"/>
  <c r="E17" i="90"/>
  <c r="G17" i="90" s="1"/>
  <c r="E29" i="89"/>
  <c r="G29" i="89" s="1"/>
  <c r="C24" i="89"/>
  <c r="G24" i="89" s="1"/>
  <c r="G45" i="89"/>
  <c r="Q45" i="89" s="1"/>
  <c r="Z45" i="89" s="1"/>
  <c r="S13" i="89"/>
  <c r="G12" i="89"/>
  <c r="C39" i="89"/>
  <c r="G39" i="89" s="1"/>
  <c r="S41" i="89"/>
  <c r="Z44" i="89"/>
  <c r="G13" i="89"/>
  <c r="C23" i="89"/>
  <c r="G11" i="89"/>
  <c r="H13" i="89" s="1"/>
  <c r="J13" i="89" s="1"/>
  <c r="Q13" i="89" s="1"/>
  <c r="C37" i="89"/>
  <c r="E27" i="88"/>
  <c r="G27" i="88" s="1"/>
  <c r="E26" i="88"/>
  <c r="G26" i="88" s="1"/>
  <c r="E32" i="88"/>
  <c r="G32" i="88" s="1"/>
  <c r="E30" i="88"/>
  <c r="E33" i="88"/>
  <c r="G33" i="88" s="1"/>
  <c r="E31" i="88"/>
  <c r="G31" i="88" s="1"/>
  <c r="E28" i="88"/>
  <c r="G28" i="88" s="1"/>
  <c r="E29" i="88"/>
  <c r="G29" i="88" s="1"/>
  <c r="Q38" i="88"/>
  <c r="R41" i="88" s="1"/>
  <c r="G30" i="88"/>
  <c r="G13" i="88"/>
  <c r="G47" i="88"/>
  <c r="Q47" i="88" s="1"/>
  <c r="Z47" i="88" s="1"/>
  <c r="C23" i="88"/>
  <c r="G37" i="88"/>
  <c r="C43" i="88"/>
  <c r="G43" i="88" s="1"/>
  <c r="Q43" i="88" s="1"/>
  <c r="Z43" i="88" s="1"/>
  <c r="Y37" i="88"/>
  <c r="C24" i="88"/>
  <c r="G24" i="88" s="1"/>
  <c r="E11" i="88"/>
  <c r="E13" i="88"/>
  <c r="S22" i="88"/>
  <c r="S5" i="88" s="1"/>
  <c r="G17" i="88"/>
  <c r="E34" i="88"/>
  <c r="G34" i="88" s="1"/>
  <c r="E18" i="88"/>
  <c r="G18" i="88"/>
  <c r="E19" i="88"/>
  <c r="G19" i="88" s="1"/>
  <c r="C39" i="88"/>
  <c r="G39" i="88" s="1"/>
  <c r="Z39" i="88" s="1"/>
  <c r="G16" i="88"/>
  <c r="E10" i="87"/>
  <c r="G10" i="87" s="1"/>
  <c r="G20" i="87" s="1"/>
  <c r="G47" i="87"/>
  <c r="Q47" i="87" s="1"/>
  <c r="Z47" i="87" s="1"/>
  <c r="C23" i="87"/>
  <c r="E32" i="87"/>
  <c r="G32" i="87" s="1"/>
  <c r="E29" i="87"/>
  <c r="G29" i="87" s="1"/>
  <c r="E30" i="87"/>
  <c r="G30" i="87" s="1"/>
  <c r="E28" i="87"/>
  <c r="G28" i="87" s="1"/>
  <c r="E27" i="87"/>
  <c r="G27" i="87" s="1"/>
  <c r="D13" i="87"/>
  <c r="G19" i="87"/>
  <c r="E26" i="87"/>
  <c r="G26" i="87" s="1"/>
  <c r="S41" i="87"/>
  <c r="C43" i="87"/>
  <c r="G43" i="87" s="1"/>
  <c r="Q43" i="87" s="1"/>
  <c r="Z43" i="87" s="1"/>
  <c r="G13" i="87"/>
  <c r="X5" i="87"/>
  <c r="Y43" i="87"/>
  <c r="C37" i="87"/>
  <c r="G16" i="87"/>
  <c r="G17" i="87"/>
  <c r="E34" i="87"/>
  <c r="G34" i="87" s="1"/>
  <c r="G18" i="87"/>
  <c r="C46" i="87"/>
  <c r="G46" i="87" s="1"/>
  <c r="Q46" i="87" s="1"/>
  <c r="Z46" i="87" s="1"/>
  <c r="G45" i="86"/>
  <c r="Q45" i="86" s="1"/>
  <c r="Z45" i="86" s="1"/>
  <c r="C24" i="86"/>
  <c r="G24" i="86" s="1"/>
  <c r="D22" i="86"/>
  <c r="G23" i="86"/>
  <c r="H22" i="86" s="1"/>
  <c r="J22" i="86" s="1"/>
  <c r="Q22" i="86" s="1"/>
  <c r="D30" i="86"/>
  <c r="F35" i="86" s="1"/>
  <c r="Y37" i="86"/>
  <c r="D13" i="86"/>
  <c r="S41" i="86"/>
  <c r="Z44" i="86"/>
  <c r="G47" i="86"/>
  <c r="Q47" i="86" s="1"/>
  <c r="Z47" i="86" s="1"/>
  <c r="E26" i="85"/>
  <c r="G26" i="85" s="1"/>
  <c r="H41" i="85"/>
  <c r="Z37" i="85"/>
  <c r="S5" i="85"/>
  <c r="C5" i="85"/>
  <c r="C49" i="85" s="1"/>
  <c r="C24" i="85"/>
  <c r="G24" i="85" s="1"/>
  <c r="G45" i="85"/>
  <c r="Q45" i="85" s="1"/>
  <c r="Z45" i="85" s="1"/>
  <c r="G12" i="85"/>
  <c r="Z40" i="85"/>
  <c r="C23" i="85"/>
  <c r="G47" i="85"/>
  <c r="Q47" i="85" s="1"/>
  <c r="Z47" i="85" s="1"/>
  <c r="S22" i="85"/>
  <c r="G13" i="85"/>
  <c r="Y42" i="85"/>
  <c r="Y39" i="85"/>
  <c r="Z39" i="85" s="1"/>
  <c r="E11" i="85"/>
  <c r="D41" i="85"/>
  <c r="E12" i="85"/>
  <c r="G7" i="85"/>
  <c r="Q44" i="85"/>
  <c r="G19" i="85"/>
  <c r="Z40" i="93"/>
  <c r="Z41" i="93"/>
  <c r="C23" i="93"/>
  <c r="G47" i="93"/>
  <c r="Q47" i="93" s="1"/>
  <c r="Z47" i="93" s="1"/>
  <c r="W5" i="93"/>
  <c r="E10" i="93"/>
  <c r="D30" i="93"/>
  <c r="F35" i="93" s="1"/>
  <c r="E34" i="93" s="1"/>
  <c r="G34" i="93" s="1"/>
  <c r="V5" i="93"/>
  <c r="D13" i="93"/>
  <c r="G19" i="93"/>
  <c r="Q44" i="93"/>
  <c r="C37" i="93"/>
  <c r="G18" i="100"/>
  <c r="G19" i="98"/>
  <c r="C46" i="70"/>
  <c r="C42" i="70"/>
  <c r="F18" i="108"/>
  <c r="D12" i="108"/>
  <c r="D11" i="108"/>
  <c r="D10" i="108"/>
  <c r="D13" i="108"/>
  <c r="D19" i="108"/>
  <c r="D14" i="108"/>
  <c r="D17" i="108"/>
  <c r="D13" i="98"/>
  <c r="H18" i="108" s="1"/>
  <c r="D18" i="108"/>
  <c r="AI3" i="108"/>
  <c r="BA18" i="108"/>
  <c r="AZ18" i="108"/>
  <c r="AV18" i="108"/>
  <c r="G7" i="102"/>
  <c r="H14" i="108"/>
  <c r="G8" i="96"/>
  <c r="AY18" i="108"/>
  <c r="AX18" i="108"/>
  <c r="AW18" i="108"/>
  <c r="G13" i="69"/>
  <c r="BC18" i="108"/>
  <c r="AI18" i="108"/>
  <c r="AX34" i="108"/>
  <c r="AX33" i="108"/>
  <c r="AW3" i="108"/>
  <c r="AW33" i="108" s="1"/>
  <c r="AZ3" i="108"/>
  <c r="AZ34" i="108" s="1"/>
  <c r="AV3" i="108"/>
  <c r="AV33" i="108" s="1"/>
  <c r="BB3" i="108"/>
  <c r="BB33" i="108" s="1"/>
  <c r="BC3" i="108"/>
  <c r="BC34" i="108" s="1"/>
  <c r="BD18" i="108"/>
  <c r="BA3" i="108"/>
  <c r="BA33" i="108" s="1"/>
  <c r="AY3" i="108"/>
  <c r="AY33" i="108" s="1"/>
  <c r="AH3" i="108"/>
  <c r="BD3" i="108"/>
  <c r="BD33" i="108" s="1"/>
  <c r="BD34" i="108"/>
  <c r="AK3" i="108"/>
  <c r="AH18" i="108"/>
  <c r="G3" i="108"/>
  <c r="AN3" i="108"/>
  <c r="AJ18" i="108"/>
  <c r="AL18" i="108"/>
  <c r="AM18" i="108"/>
  <c r="AK18" i="108"/>
  <c r="AN18" i="108"/>
  <c r="AJ3" i="108"/>
  <c r="AO3" i="108"/>
  <c r="AP3" i="108"/>
  <c r="AL3" i="108"/>
  <c r="AO18" i="108"/>
  <c r="AM3" i="108"/>
  <c r="AP18" i="108"/>
  <c r="E3" i="108"/>
  <c r="K28" i="108"/>
  <c r="K3" i="108"/>
  <c r="F3" i="108"/>
  <c r="L3" i="108"/>
  <c r="D3" i="108"/>
  <c r="H3" i="108"/>
  <c r="H28" i="108"/>
  <c r="F28" i="108"/>
  <c r="E28" i="108"/>
  <c r="J28" i="108"/>
  <c r="J3" i="108"/>
  <c r="I28" i="108"/>
  <c r="I3" i="108"/>
  <c r="G28" i="108"/>
  <c r="D28" i="108"/>
  <c r="L28" i="108"/>
  <c r="E18" i="70"/>
  <c r="E10" i="70" s="1"/>
  <c r="Z44" i="99"/>
  <c r="Q44" i="99"/>
  <c r="H22" i="97"/>
  <c r="J22" i="97" s="1"/>
  <c r="G36" i="99"/>
  <c r="P21" i="99"/>
  <c r="G47" i="98"/>
  <c r="Q47" i="98" s="1"/>
  <c r="Z47" i="98" s="1"/>
  <c r="C23" i="98"/>
  <c r="G41" i="98"/>
  <c r="Z41" i="98" s="1"/>
  <c r="F41" i="98"/>
  <c r="C43" i="95"/>
  <c r="G43" i="95" s="1"/>
  <c r="Q43" i="95" s="1"/>
  <c r="Z43" i="95" s="1"/>
  <c r="Y43" i="95"/>
  <c r="G45" i="101"/>
  <c r="Q45" i="101" s="1"/>
  <c r="Z45" i="101" s="1"/>
  <c r="S22" i="102"/>
  <c r="T5" i="102"/>
  <c r="C36" i="96"/>
  <c r="G19" i="102"/>
  <c r="Z39" i="102"/>
  <c r="D13" i="100"/>
  <c r="F14" i="108" s="1"/>
  <c r="E11" i="100"/>
  <c r="S13" i="100"/>
  <c r="X5" i="100"/>
  <c r="C46" i="100"/>
  <c r="G46" i="100" s="1"/>
  <c r="Q46" i="100" s="1"/>
  <c r="Z46" i="100" s="1"/>
  <c r="E26" i="97"/>
  <c r="G26" i="97" s="1"/>
  <c r="E32" i="97"/>
  <c r="G32" i="97" s="1"/>
  <c r="Y41" i="97"/>
  <c r="Z41" i="97" s="1"/>
  <c r="V5" i="97"/>
  <c r="Y37" i="100"/>
  <c r="C37" i="100"/>
  <c r="G37" i="100" s="1"/>
  <c r="Z37" i="100" s="1"/>
  <c r="S41" i="100"/>
  <c r="C43" i="98"/>
  <c r="G43" i="98" s="1"/>
  <c r="Q43" i="98" s="1"/>
  <c r="Z43" i="98" s="1"/>
  <c r="C42" i="98"/>
  <c r="G42" i="98" s="1"/>
  <c r="Q42" i="98" s="1"/>
  <c r="Z42" i="98" s="1"/>
  <c r="E11" i="97"/>
  <c r="G11" i="97"/>
  <c r="X5" i="97"/>
  <c r="U5" i="98"/>
  <c r="D30" i="97"/>
  <c r="F35" i="97" s="1"/>
  <c r="E27" i="97" s="1"/>
  <c r="G27" i="97" s="1"/>
  <c r="G47" i="97"/>
  <c r="Q47" i="97" s="1"/>
  <c r="Z47" i="97" s="1"/>
  <c r="D22" i="102"/>
  <c r="Y37" i="99"/>
  <c r="S41" i="99"/>
  <c r="C37" i="99"/>
  <c r="G37" i="99" s="1"/>
  <c r="Z37" i="99" s="1"/>
  <c r="U5" i="99"/>
  <c r="Q38" i="95"/>
  <c r="R41" i="95" s="1"/>
  <c r="Y39" i="101"/>
  <c r="C39" i="101"/>
  <c r="G39" i="101" s="1"/>
  <c r="Z39" i="101" s="1"/>
  <c r="E18" i="102"/>
  <c r="G18" i="102"/>
  <c r="T5" i="101"/>
  <c r="S13" i="101"/>
  <c r="S5" i="101" s="1"/>
  <c r="Q22" i="102"/>
  <c r="E19" i="95"/>
  <c r="E11" i="99"/>
  <c r="P21" i="95"/>
  <c r="E32" i="96"/>
  <c r="G32" i="96" s="1"/>
  <c r="E29" i="96"/>
  <c r="G29" i="96" s="1"/>
  <c r="E26" i="96"/>
  <c r="G26" i="96" s="1"/>
  <c r="E34" i="96"/>
  <c r="G34" i="96" s="1"/>
  <c r="E28" i="96"/>
  <c r="G28" i="96" s="1"/>
  <c r="E27" i="96"/>
  <c r="G27" i="96" s="1"/>
  <c r="E30" i="96"/>
  <c r="G30" i="96" s="1"/>
  <c r="Y37" i="96"/>
  <c r="C37" i="96"/>
  <c r="G37" i="96" s="1"/>
  <c r="Z37" i="96" s="1"/>
  <c r="S41" i="96"/>
  <c r="E12" i="97"/>
  <c r="G12" i="97" s="1"/>
  <c r="F22" i="100"/>
  <c r="E26" i="102"/>
  <c r="G26" i="102" s="1"/>
  <c r="E32" i="102"/>
  <c r="G32" i="102" s="1"/>
  <c r="E29" i="102"/>
  <c r="G29" i="102" s="1"/>
  <c r="E31" i="102"/>
  <c r="G31" i="102" s="1"/>
  <c r="E28" i="102"/>
  <c r="G28" i="102" s="1"/>
  <c r="E27" i="102"/>
  <c r="G27" i="102" s="1"/>
  <c r="E34" i="102"/>
  <c r="G34" i="102" s="1"/>
  <c r="E30" i="102"/>
  <c r="G30" i="102" s="1"/>
  <c r="D13" i="101"/>
  <c r="E17" i="108" s="1"/>
  <c r="G7" i="101"/>
  <c r="C46" i="95"/>
  <c r="G46" i="95" s="1"/>
  <c r="Q46" i="95" s="1"/>
  <c r="Z46" i="95" s="1"/>
  <c r="E18" i="95"/>
  <c r="E12" i="99"/>
  <c r="G12" i="99" s="1"/>
  <c r="C42" i="95"/>
  <c r="G42" i="95" s="1"/>
  <c r="Q42" i="95" s="1"/>
  <c r="Z42" i="95" s="1"/>
  <c r="G36" i="95"/>
  <c r="D30" i="100"/>
  <c r="F35" i="100" s="1"/>
  <c r="E34" i="100" s="1"/>
  <c r="G34" i="100" s="1"/>
  <c r="E32" i="100"/>
  <c r="G32" i="100" s="1"/>
  <c r="Y41" i="100"/>
  <c r="Z41" i="100" s="1"/>
  <c r="C44" i="100"/>
  <c r="G44" i="100" s="1"/>
  <c r="Y46" i="98"/>
  <c r="Z46" i="98" s="1"/>
  <c r="Y44" i="97"/>
  <c r="C44" i="97"/>
  <c r="G44" i="97" s="1"/>
  <c r="C36" i="97"/>
  <c r="E18" i="96"/>
  <c r="G18" i="96" s="1"/>
  <c r="E19" i="101"/>
  <c r="E13" i="100"/>
  <c r="G13" i="100" s="1"/>
  <c r="F41" i="101"/>
  <c r="G41" i="101"/>
  <c r="Z41" i="101" s="1"/>
  <c r="Q44" i="101"/>
  <c r="Z44" i="101"/>
  <c r="E16" i="100"/>
  <c r="G16" i="100" s="1"/>
  <c r="Y37" i="102"/>
  <c r="C37" i="102"/>
  <c r="S41" i="102"/>
  <c r="Y39" i="98"/>
  <c r="Z39" i="98" s="1"/>
  <c r="S41" i="98"/>
  <c r="E31" i="101"/>
  <c r="G31" i="101" s="1"/>
  <c r="E28" i="101"/>
  <c r="G28" i="101" s="1"/>
  <c r="E27" i="101"/>
  <c r="G27" i="101" s="1"/>
  <c r="E32" i="101"/>
  <c r="G32" i="101" s="1"/>
  <c r="E33" i="101"/>
  <c r="G33" i="101" s="1"/>
  <c r="U5" i="102"/>
  <c r="Z44" i="95"/>
  <c r="Q44" i="95"/>
  <c r="G22" i="99"/>
  <c r="S30" i="95"/>
  <c r="S5" i="95" s="1"/>
  <c r="U5" i="95"/>
  <c r="G23" i="95"/>
  <c r="D22" i="95"/>
  <c r="G11" i="100"/>
  <c r="E26" i="101"/>
  <c r="G26" i="101" s="1"/>
  <c r="Z40" i="100"/>
  <c r="E26" i="98"/>
  <c r="G26" i="98" s="1"/>
  <c r="E32" i="98"/>
  <c r="G32" i="98" s="1"/>
  <c r="E31" i="98"/>
  <c r="G31" i="98" s="1"/>
  <c r="E28" i="98"/>
  <c r="G28" i="98" s="1"/>
  <c r="E27" i="98"/>
  <c r="G27" i="98" s="1"/>
  <c r="E34" i="98"/>
  <c r="G34" i="98" s="1"/>
  <c r="E30" i="98"/>
  <c r="G17" i="100"/>
  <c r="Z38" i="101"/>
  <c r="G42" i="102"/>
  <c r="Q42" i="102" s="1"/>
  <c r="Z42" i="102" s="1"/>
  <c r="D13" i="99"/>
  <c r="S13" i="99"/>
  <c r="C23" i="99"/>
  <c r="G23" i="99" s="1"/>
  <c r="E16" i="98"/>
  <c r="E10" i="98" s="1"/>
  <c r="G16" i="98"/>
  <c r="W5" i="96"/>
  <c r="E16" i="95"/>
  <c r="G16" i="95" s="1"/>
  <c r="G30" i="98"/>
  <c r="G9" i="99"/>
  <c r="E18" i="101"/>
  <c r="Y43" i="101"/>
  <c r="C43" i="101"/>
  <c r="G43" i="101" s="1"/>
  <c r="Q43" i="101" s="1"/>
  <c r="Z43" i="101" s="1"/>
  <c r="D30" i="99"/>
  <c r="F35" i="99" s="1"/>
  <c r="C42" i="99"/>
  <c r="G42" i="99" s="1"/>
  <c r="Q42" i="99" s="1"/>
  <c r="Z42" i="99" s="1"/>
  <c r="C42" i="96"/>
  <c r="G42" i="96" s="1"/>
  <c r="Q42" i="96" s="1"/>
  <c r="Z42" i="96" s="1"/>
  <c r="G7" i="95"/>
  <c r="D13" i="95"/>
  <c r="K17" i="108" s="1"/>
  <c r="C5" i="95"/>
  <c r="C49" i="95" s="1"/>
  <c r="G23" i="101"/>
  <c r="D22" i="101"/>
  <c r="T5" i="99"/>
  <c r="S22" i="99"/>
  <c r="C24" i="96"/>
  <c r="G24" i="96" s="1"/>
  <c r="C37" i="95"/>
  <c r="G37" i="95" s="1"/>
  <c r="Z37" i="95" s="1"/>
  <c r="S13" i="96"/>
  <c r="S5" i="96" s="1"/>
  <c r="Z38" i="97"/>
  <c r="V5" i="99"/>
  <c r="G47" i="101"/>
  <c r="Q47" i="101" s="1"/>
  <c r="Z47" i="101" s="1"/>
  <c r="E18" i="99"/>
  <c r="S13" i="102"/>
  <c r="S5" i="102" s="1"/>
  <c r="Y39" i="102"/>
  <c r="W5" i="100"/>
  <c r="Y43" i="99"/>
  <c r="C43" i="99"/>
  <c r="G43" i="99" s="1"/>
  <c r="Q43" i="99" s="1"/>
  <c r="Z43" i="99" s="1"/>
  <c r="V5" i="98"/>
  <c r="C44" i="98"/>
  <c r="G44" i="98" s="1"/>
  <c r="S41" i="97"/>
  <c r="E19" i="96"/>
  <c r="G19" i="96"/>
  <c r="T5" i="95"/>
  <c r="C37" i="101"/>
  <c r="U5" i="96"/>
  <c r="G13" i="95"/>
  <c r="G22" i="95"/>
  <c r="H22" i="95" s="1"/>
  <c r="J22" i="95" s="1"/>
  <c r="Q22" i="95" s="1"/>
  <c r="T5" i="98"/>
  <c r="E19" i="99"/>
  <c r="E34" i="101"/>
  <c r="G34" i="101" s="1"/>
  <c r="C46" i="101"/>
  <c r="G46" i="101" s="1"/>
  <c r="Q46" i="101" s="1"/>
  <c r="G21" i="100"/>
  <c r="H22" i="100" s="1"/>
  <c r="J22" i="100" s="1"/>
  <c r="U5" i="100"/>
  <c r="T5" i="100"/>
  <c r="W5" i="98"/>
  <c r="D22" i="97"/>
  <c r="S22" i="97"/>
  <c r="S30" i="97"/>
  <c r="Y43" i="97"/>
  <c r="C42" i="97"/>
  <c r="G42" i="97" s="1"/>
  <c r="Q42" i="97" s="1"/>
  <c r="Z42" i="97" s="1"/>
  <c r="C36" i="100"/>
  <c r="C5" i="102"/>
  <c r="C49" i="102" s="1"/>
  <c r="Z36" i="98"/>
  <c r="Z36" i="102"/>
  <c r="V5" i="102"/>
  <c r="E30" i="101"/>
  <c r="G30" i="101" s="1"/>
  <c r="S41" i="101"/>
  <c r="V5" i="100"/>
  <c r="C37" i="98"/>
  <c r="C5" i="98" s="1"/>
  <c r="C49" i="98" s="1"/>
  <c r="Y39" i="97"/>
  <c r="C39" i="97"/>
  <c r="G39" i="97" s="1"/>
  <c r="D30" i="95"/>
  <c r="F35" i="95" s="1"/>
  <c r="Y40" i="95"/>
  <c r="Z40" i="95" s="1"/>
  <c r="W5" i="102"/>
  <c r="G22" i="101"/>
  <c r="F22" i="101"/>
  <c r="Y46" i="101"/>
  <c r="S30" i="99"/>
  <c r="Y39" i="99"/>
  <c r="Z39" i="99" s="1"/>
  <c r="Y41" i="99"/>
  <c r="Z41" i="99" s="1"/>
  <c r="E29" i="98"/>
  <c r="G29" i="98" s="1"/>
  <c r="Y40" i="98"/>
  <c r="Z40" i="98" s="1"/>
  <c r="D13" i="97"/>
  <c r="G7" i="97"/>
  <c r="T5" i="97"/>
  <c r="S13" i="97"/>
  <c r="S5" i="97" s="1"/>
  <c r="W5" i="97"/>
  <c r="D13" i="96"/>
  <c r="J18" i="108" s="1"/>
  <c r="V5" i="96"/>
  <c r="G23" i="96"/>
  <c r="H22" i="96" s="1"/>
  <c r="J22" i="96" s="1"/>
  <c r="Y37" i="95"/>
  <c r="G47" i="100"/>
  <c r="Q47" i="100" s="1"/>
  <c r="Z47" i="100" s="1"/>
  <c r="Q45" i="69"/>
  <c r="Z45" i="69" s="1"/>
  <c r="Q43" i="69"/>
  <c r="Z43" i="69" s="1"/>
  <c r="Q46" i="69"/>
  <c r="Z46" i="69" s="1"/>
  <c r="S41" i="69"/>
  <c r="Y37" i="69"/>
  <c r="S13" i="69"/>
  <c r="S5" i="69" s="1"/>
  <c r="Z47" i="69"/>
  <c r="T5" i="69"/>
  <c r="C24" i="69"/>
  <c r="G24" i="69" s="1"/>
  <c r="S30" i="69"/>
  <c r="H41" i="69"/>
  <c r="Z36" i="69"/>
  <c r="C5" i="69"/>
  <c r="C49" i="69" s="1"/>
  <c r="F35" i="69"/>
  <c r="E27" i="69" s="1"/>
  <c r="G27" i="69" s="1"/>
  <c r="Q38" i="69"/>
  <c r="R41" i="69" s="1"/>
  <c r="G12" i="69"/>
  <c r="Z37" i="69"/>
  <c r="Z41" i="69"/>
  <c r="X5" i="69"/>
  <c r="D41" i="69"/>
  <c r="G16" i="69"/>
  <c r="G22" i="69"/>
  <c r="G11" i="69"/>
  <c r="Y39" i="69"/>
  <c r="Z39" i="69" s="1"/>
  <c r="Y44" i="69"/>
  <c r="Z44" i="69" s="1"/>
  <c r="D13" i="69"/>
  <c r="L17" i="108" s="1"/>
  <c r="G23" i="69"/>
  <c r="G19" i="69"/>
  <c r="D30" i="69"/>
  <c r="G18" i="69"/>
  <c r="Q5" i="92" l="1"/>
  <c r="R13" i="92"/>
  <c r="E49" i="91"/>
  <c r="G10" i="91"/>
  <c r="G20" i="86"/>
  <c r="H13" i="86"/>
  <c r="J13" i="86" s="1"/>
  <c r="Q13" i="86" s="1"/>
  <c r="E30" i="85"/>
  <c r="G30" i="85" s="1"/>
  <c r="C5" i="90"/>
  <c r="C49" i="90" s="1"/>
  <c r="E34" i="85"/>
  <c r="G34" i="85" s="1"/>
  <c r="E33" i="87"/>
  <c r="G33" i="87" s="1"/>
  <c r="H30" i="87" s="1"/>
  <c r="J30" i="87" s="1"/>
  <c r="Q30" i="87" s="1"/>
  <c r="R30" i="87" s="1"/>
  <c r="E27" i="89"/>
  <c r="G27" i="89" s="1"/>
  <c r="H30" i="92"/>
  <c r="J30" i="92" s="1"/>
  <c r="Q30" i="92" s="1"/>
  <c r="R30" i="92" s="1"/>
  <c r="C5" i="92"/>
  <c r="C49" i="92" s="1"/>
  <c r="E31" i="85"/>
  <c r="G31" i="85" s="1"/>
  <c r="E10" i="90"/>
  <c r="E49" i="90" s="1"/>
  <c r="E10" i="88"/>
  <c r="E49" i="88" s="1"/>
  <c r="E32" i="89"/>
  <c r="G32" i="89" s="1"/>
  <c r="G12" i="91"/>
  <c r="H30" i="91"/>
  <c r="J30" i="91" s="1"/>
  <c r="Q30" i="91" s="1"/>
  <c r="R30" i="91" s="1"/>
  <c r="E28" i="85"/>
  <c r="G28" i="85" s="1"/>
  <c r="E34" i="89"/>
  <c r="G34" i="89" s="1"/>
  <c r="Z37" i="91"/>
  <c r="H41" i="91"/>
  <c r="G37" i="86"/>
  <c r="Q38" i="86" s="1"/>
  <c r="R41" i="86" s="1"/>
  <c r="E27" i="85"/>
  <c r="G27" i="85" s="1"/>
  <c r="H30" i="85" s="1"/>
  <c r="J30" i="85" s="1"/>
  <c r="Q30" i="85" s="1"/>
  <c r="R30" i="85" s="1"/>
  <c r="H41" i="92"/>
  <c r="Z37" i="92"/>
  <c r="E32" i="85"/>
  <c r="G32" i="85" s="1"/>
  <c r="Z39" i="89"/>
  <c r="E33" i="89"/>
  <c r="G33" i="89" s="1"/>
  <c r="E29" i="85"/>
  <c r="G29" i="85" s="1"/>
  <c r="E26" i="89"/>
  <c r="G26" i="89" s="1"/>
  <c r="H30" i="89" s="1"/>
  <c r="J30" i="89" s="1"/>
  <c r="Q30" i="89" s="1"/>
  <c r="R30" i="89" s="1"/>
  <c r="E28" i="89"/>
  <c r="G28" i="89" s="1"/>
  <c r="G23" i="91"/>
  <c r="H22" i="91" s="1"/>
  <c r="J22" i="91" s="1"/>
  <c r="Q22" i="91" s="1"/>
  <c r="D22" i="91"/>
  <c r="R22" i="92"/>
  <c r="Q51" i="92"/>
  <c r="C5" i="86"/>
  <c r="C49" i="86" s="1"/>
  <c r="E31" i="89"/>
  <c r="G31" i="89" s="1"/>
  <c r="E49" i="92"/>
  <c r="H30" i="90"/>
  <c r="J30" i="90" s="1"/>
  <c r="Q30" i="90" s="1"/>
  <c r="R30" i="90" s="1"/>
  <c r="R41" i="90"/>
  <c r="H41" i="90"/>
  <c r="Z37" i="90"/>
  <c r="G23" i="90"/>
  <c r="H22" i="90" s="1"/>
  <c r="J22" i="90" s="1"/>
  <c r="Q22" i="90" s="1"/>
  <c r="D22" i="90"/>
  <c r="R13" i="89"/>
  <c r="G23" i="89"/>
  <c r="H22" i="89" s="1"/>
  <c r="J22" i="89" s="1"/>
  <c r="Q22" i="89" s="1"/>
  <c r="D22" i="89"/>
  <c r="C5" i="89"/>
  <c r="C49" i="89" s="1"/>
  <c r="G37" i="89"/>
  <c r="D41" i="89"/>
  <c r="S5" i="89"/>
  <c r="G10" i="88"/>
  <c r="H30" i="88"/>
  <c r="J30" i="88" s="1"/>
  <c r="Q30" i="88" s="1"/>
  <c r="R30" i="88" s="1"/>
  <c r="C5" i="88"/>
  <c r="C49" i="88" s="1"/>
  <c r="G11" i="88"/>
  <c r="D41" i="88"/>
  <c r="Z37" i="88"/>
  <c r="H41" i="88"/>
  <c r="D22" i="88"/>
  <c r="G23" i="88"/>
  <c r="H22" i="88" s="1"/>
  <c r="J22" i="88" s="1"/>
  <c r="Q22" i="88" s="1"/>
  <c r="H13" i="87"/>
  <c r="J13" i="87" s="1"/>
  <c r="Q13" i="87" s="1"/>
  <c r="C5" i="87"/>
  <c r="C49" i="87" s="1"/>
  <c r="G37" i="87"/>
  <c r="D41" i="87"/>
  <c r="S5" i="87"/>
  <c r="G23" i="87"/>
  <c r="H22" i="87" s="1"/>
  <c r="J22" i="87" s="1"/>
  <c r="Q22" i="87" s="1"/>
  <c r="D22" i="87"/>
  <c r="E27" i="86"/>
  <c r="G27" i="86" s="1"/>
  <c r="E32" i="86"/>
  <c r="G32" i="86" s="1"/>
  <c r="E26" i="86"/>
  <c r="E33" i="86"/>
  <c r="G33" i="86" s="1"/>
  <c r="E34" i="86"/>
  <c r="G34" i="86" s="1"/>
  <c r="E29" i="86"/>
  <c r="G29" i="86" s="1"/>
  <c r="E31" i="86"/>
  <c r="G31" i="86" s="1"/>
  <c r="E28" i="86"/>
  <c r="G28" i="86" s="1"/>
  <c r="E30" i="86"/>
  <c r="G30" i="86" s="1"/>
  <c r="R13" i="86"/>
  <c r="H41" i="86"/>
  <c r="Z37" i="86"/>
  <c r="R22" i="86"/>
  <c r="D22" i="85"/>
  <c r="G23" i="85"/>
  <c r="H22" i="85" s="1"/>
  <c r="J22" i="85" s="1"/>
  <c r="Q22" i="85" s="1"/>
  <c r="E10" i="85"/>
  <c r="G11" i="85"/>
  <c r="G10" i="93"/>
  <c r="G13" i="93"/>
  <c r="E32" i="93"/>
  <c r="G32" i="93" s="1"/>
  <c r="E27" i="93"/>
  <c r="G27" i="93" s="1"/>
  <c r="E26" i="93"/>
  <c r="G26" i="93" s="1"/>
  <c r="E28" i="93"/>
  <c r="G28" i="93" s="1"/>
  <c r="E31" i="93"/>
  <c r="G31" i="93" s="1"/>
  <c r="E33" i="93"/>
  <c r="G33" i="93" s="1"/>
  <c r="E30" i="93"/>
  <c r="G30" i="93" s="1"/>
  <c r="D22" i="93"/>
  <c r="G23" i="93"/>
  <c r="H22" i="93" s="1"/>
  <c r="J22" i="93" s="1"/>
  <c r="Q22" i="93" s="1"/>
  <c r="E29" i="93"/>
  <c r="G29" i="93" s="1"/>
  <c r="G37" i="93"/>
  <c r="D41" i="93"/>
  <c r="C5" i="93"/>
  <c r="C49" i="93" s="1"/>
  <c r="E10" i="102"/>
  <c r="G19" i="95"/>
  <c r="K18" i="108"/>
  <c r="DG10" i="108"/>
  <c r="G19" i="101"/>
  <c r="J17" i="108"/>
  <c r="G19" i="99"/>
  <c r="G18" i="101"/>
  <c r="G18" i="95"/>
  <c r="E14" i="108"/>
  <c r="G18" i="99"/>
  <c r="D9" i="108"/>
  <c r="AZ17" i="108"/>
  <c r="K11" i="108"/>
  <c r="K10" i="108"/>
  <c r="K19" i="108"/>
  <c r="K13" i="108"/>
  <c r="K12" i="108"/>
  <c r="J19" i="108"/>
  <c r="J13" i="108"/>
  <c r="J12" i="108"/>
  <c r="J11" i="108"/>
  <c r="J10" i="108"/>
  <c r="H17" i="108"/>
  <c r="J14" i="108"/>
  <c r="I13" i="108"/>
  <c r="I12" i="108"/>
  <c r="I11" i="108"/>
  <c r="I10" i="108"/>
  <c r="I17" i="108"/>
  <c r="I14" i="108"/>
  <c r="I19" i="108"/>
  <c r="E10" i="96"/>
  <c r="L14" i="108"/>
  <c r="L18" i="108"/>
  <c r="I18" i="108"/>
  <c r="F17" i="108"/>
  <c r="E10" i="97"/>
  <c r="BB34" i="108"/>
  <c r="AP17" i="108"/>
  <c r="E10" i="100"/>
  <c r="G10" i="100" s="1"/>
  <c r="E18" i="108"/>
  <c r="G17" i="108"/>
  <c r="G19" i="108"/>
  <c r="G13" i="108"/>
  <c r="G12" i="108"/>
  <c r="G11" i="108"/>
  <c r="G10" i="108"/>
  <c r="G18" i="108"/>
  <c r="H19" i="108"/>
  <c r="H10" i="108"/>
  <c r="H13" i="108"/>
  <c r="H12" i="108"/>
  <c r="H11" i="108"/>
  <c r="F10" i="108"/>
  <c r="F12" i="108"/>
  <c r="F11" i="108"/>
  <c r="F19" i="108"/>
  <c r="F13" i="108"/>
  <c r="G14" i="108"/>
  <c r="E19" i="108"/>
  <c r="E13" i="108"/>
  <c r="E12" i="108"/>
  <c r="E11" i="108"/>
  <c r="E10" i="108"/>
  <c r="K14" i="108"/>
  <c r="L13" i="108"/>
  <c r="L12" i="108"/>
  <c r="L19" i="108"/>
  <c r="L11" i="108"/>
  <c r="L10" i="108"/>
  <c r="BA34" i="108"/>
  <c r="AW34" i="108"/>
  <c r="AZ33" i="108"/>
  <c r="AY34" i="108"/>
  <c r="BC33" i="108"/>
  <c r="AV34" i="108"/>
  <c r="G10" i="70"/>
  <c r="R22" i="95"/>
  <c r="E49" i="98"/>
  <c r="G10" i="98"/>
  <c r="Q22" i="96"/>
  <c r="E33" i="95"/>
  <c r="G33" i="95" s="1"/>
  <c r="E31" i="95"/>
  <c r="G31" i="95" s="1"/>
  <c r="E32" i="95"/>
  <c r="G32" i="95" s="1"/>
  <c r="E26" i="95"/>
  <c r="G26" i="95" s="1"/>
  <c r="E29" i="95"/>
  <c r="G29" i="95" s="1"/>
  <c r="E28" i="95"/>
  <c r="G28" i="95" s="1"/>
  <c r="E27" i="95"/>
  <c r="G27" i="95" s="1"/>
  <c r="E31" i="99"/>
  <c r="G31" i="99" s="1"/>
  <c r="E28" i="99"/>
  <c r="G28" i="99" s="1"/>
  <c r="E34" i="99"/>
  <c r="G34" i="99" s="1"/>
  <c r="E30" i="99"/>
  <c r="G30" i="99" s="1"/>
  <c r="E29" i="99"/>
  <c r="G29" i="99" s="1"/>
  <c r="E26" i="99"/>
  <c r="G26" i="99" s="1"/>
  <c r="E32" i="99"/>
  <c r="G32" i="99" s="1"/>
  <c r="H30" i="101"/>
  <c r="J30" i="101" s="1"/>
  <c r="Q30" i="101" s="1"/>
  <c r="R30" i="101" s="1"/>
  <c r="D41" i="97"/>
  <c r="G36" i="97"/>
  <c r="P21" i="97"/>
  <c r="C5" i="97" s="1"/>
  <c r="C49" i="97" s="1"/>
  <c r="E10" i="99"/>
  <c r="P21" i="96"/>
  <c r="C5" i="96" s="1"/>
  <c r="C49" i="96" s="1"/>
  <c r="G36" i="96"/>
  <c r="D41" i="96"/>
  <c r="Z39" i="97"/>
  <c r="D41" i="101"/>
  <c r="G37" i="101"/>
  <c r="C5" i="101"/>
  <c r="C49" i="101" s="1"/>
  <c r="Z44" i="97"/>
  <c r="Q44" i="97"/>
  <c r="S5" i="100"/>
  <c r="E33" i="99"/>
  <c r="G33" i="99" s="1"/>
  <c r="D41" i="99"/>
  <c r="E27" i="99"/>
  <c r="G27" i="99" s="1"/>
  <c r="C5" i="99"/>
  <c r="C49" i="99" s="1"/>
  <c r="H30" i="98"/>
  <c r="J30" i="98" s="1"/>
  <c r="Q30" i="98" s="1"/>
  <c r="R30" i="98" s="1"/>
  <c r="D22" i="99"/>
  <c r="R22" i="102"/>
  <c r="Q51" i="102"/>
  <c r="Z44" i="100"/>
  <c r="Q44" i="100"/>
  <c r="Z46" i="101"/>
  <c r="H30" i="96"/>
  <c r="J30" i="96" s="1"/>
  <c r="Q30" i="96" s="1"/>
  <c r="R30" i="96" s="1"/>
  <c r="Q44" i="98"/>
  <c r="Z44" i="98"/>
  <c r="H22" i="99"/>
  <c r="J22" i="99" s="1"/>
  <c r="Q22" i="99" s="1"/>
  <c r="G37" i="102"/>
  <c r="D41" i="102"/>
  <c r="E28" i="100"/>
  <c r="G28" i="100" s="1"/>
  <c r="E31" i="100"/>
  <c r="G31" i="100" s="1"/>
  <c r="E33" i="100"/>
  <c r="G33" i="100" s="1"/>
  <c r="E34" i="97"/>
  <c r="G34" i="97" s="1"/>
  <c r="E30" i="97"/>
  <c r="G30" i="97" s="1"/>
  <c r="E31" i="97"/>
  <c r="G31" i="97" s="1"/>
  <c r="E28" i="97"/>
  <c r="G28" i="97" s="1"/>
  <c r="H30" i="97" s="1"/>
  <c r="J30" i="97" s="1"/>
  <c r="Q30" i="97" s="1"/>
  <c r="R30" i="97" s="1"/>
  <c r="E29" i="97"/>
  <c r="G29" i="97" s="1"/>
  <c r="C5" i="100"/>
  <c r="C49" i="100" s="1"/>
  <c r="H30" i="102"/>
  <c r="J30" i="102" s="1"/>
  <c r="Q30" i="102" s="1"/>
  <c r="R30" i="102" s="1"/>
  <c r="D22" i="96"/>
  <c r="E26" i="100"/>
  <c r="G26" i="100" s="1"/>
  <c r="G11" i="99"/>
  <c r="G37" i="98"/>
  <c r="D41" i="98"/>
  <c r="P21" i="100"/>
  <c r="Q22" i="100" s="1"/>
  <c r="D41" i="100"/>
  <c r="G36" i="100"/>
  <c r="S5" i="99"/>
  <c r="E34" i="95"/>
  <c r="G34" i="95" s="1"/>
  <c r="E27" i="100"/>
  <c r="G27" i="100" s="1"/>
  <c r="S5" i="98"/>
  <c r="E29" i="100"/>
  <c r="G29" i="100" s="1"/>
  <c r="E49" i="102"/>
  <c r="Z36" i="99"/>
  <c r="H41" i="99"/>
  <c r="Q38" i="99"/>
  <c r="R41" i="99" s="1"/>
  <c r="E10" i="101"/>
  <c r="H22" i="101"/>
  <c r="J22" i="101" s="1"/>
  <c r="Q22" i="101" s="1"/>
  <c r="E30" i="95"/>
  <c r="G30" i="95" s="1"/>
  <c r="E10" i="95"/>
  <c r="Z36" i="95"/>
  <c r="H41" i="95"/>
  <c r="D41" i="95"/>
  <c r="E33" i="97"/>
  <c r="G33" i="97" s="1"/>
  <c r="E30" i="100"/>
  <c r="G30" i="100" s="1"/>
  <c r="G23" i="98"/>
  <c r="H22" i="98" s="1"/>
  <c r="J22" i="98" s="1"/>
  <c r="Q22" i="98" s="1"/>
  <c r="D22" i="98"/>
  <c r="H22" i="69"/>
  <c r="J22" i="69" s="1"/>
  <c r="Q22" i="69" s="1"/>
  <c r="E10" i="69"/>
  <c r="D22" i="69"/>
  <c r="R22" i="69"/>
  <c r="G10" i="69"/>
  <c r="DK16" i="108" s="1"/>
  <c r="E26" i="69"/>
  <c r="G26" i="69" s="1"/>
  <c r="E30" i="69"/>
  <c r="G30" i="69" s="1"/>
  <c r="E34" i="69"/>
  <c r="G34" i="69" s="1"/>
  <c r="E33" i="69"/>
  <c r="G33" i="69" s="1"/>
  <c r="E31" i="69"/>
  <c r="G31" i="69" s="1"/>
  <c r="E29" i="69"/>
  <c r="G29" i="69" s="1"/>
  <c r="E28" i="69"/>
  <c r="G28" i="69" s="1"/>
  <c r="E32" i="69"/>
  <c r="G32" i="69" s="1"/>
  <c r="Q51" i="91" l="1"/>
  <c r="R22" i="91"/>
  <c r="E49" i="87"/>
  <c r="G10" i="90"/>
  <c r="H13" i="90" s="1"/>
  <c r="J13" i="90" s="1"/>
  <c r="Q13" i="90" s="1"/>
  <c r="G20" i="91"/>
  <c r="H13" i="91"/>
  <c r="J13" i="91" s="1"/>
  <c r="Q13" i="91" s="1"/>
  <c r="E49" i="89"/>
  <c r="R22" i="90"/>
  <c r="Q51" i="90"/>
  <c r="G20" i="90"/>
  <c r="H41" i="89"/>
  <c r="Z37" i="89"/>
  <c r="Q38" i="89"/>
  <c r="R41" i="89" s="1"/>
  <c r="R22" i="89"/>
  <c r="Q51" i="89"/>
  <c r="Q51" i="88"/>
  <c r="R22" i="88"/>
  <c r="G20" i="88"/>
  <c r="H13" i="88"/>
  <c r="J13" i="88" s="1"/>
  <c r="Q13" i="88" s="1"/>
  <c r="R22" i="87"/>
  <c r="Q51" i="87"/>
  <c r="H41" i="87"/>
  <c r="Z37" i="87"/>
  <c r="Q38" i="87"/>
  <c r="R41" i="87" s="1"/>
  <c r="Q5" i="87"/>
  <c r="R13" i="87"/>
  <c r="G26" i="86"/>
  <c r="H30" i="86" s="1"/>
  <c r="J30" i="86" s="1"/>
  <c r="Q30" i="86" s="1"/>
  <c r="E49" i="86"/>
  <c r="G10" i="85"/>
  <c r="E49" i="85"/>
  <c r="Q51" i="85"/>
  <c r="R22" i="85"/>
  <c r="Z37" i="93"/>
  <c r="H41" i="93"/>
  <c r="Q38" i="93"/>
  <c r="R41" i="93" s="1"/>
  <c r="E49" i="93"/>
  <c r="G20" i="93"/>
  <c r="H13" i="93"/>
  <c r="J13" i="93" s="1"/>
  <c r="Q13" i="93" s="1"/>
  <c r="R22" i="93"/>
  <c r="H30" i="93"/>
  <c r="J30" i="93" s="1"/>
  <c r="Q30" i="93" s="1"/>
  <c r="R30" i="93" s="1"/>
  <c r="DE8" i="108"/>
  <c r="DE13" i="108"/>
  <c r="DE10" i="108"/>
  <c r="DE15" i="108"/>
  <c r="DE14" i="108"/>
  <c r="DE16" i="108"/>
  <c r="DE12" i="108"/>
  <c r="DE11" i="108"/>
  <c r="DE9" i="108"/>
  <c r="BD12" i="108"/>
  <c r="G10" i="96"/>
  <c r="DF12" i="108"/>
  <c r="DG15" i="108"/>
  <c r="DG14" i="108"/>
  <c r="DG8" i="108"/>
  <c r="DG9" i="108"/>
  <c r="DG16" i="108"/>
  <c r="DG11" i="108"/>
  <c r="DG13" i="108"/>
  <c r="DG12" i="108"/>
  <c r="DF11" i="108"/>
  <c r="DD11" i="108"/>
  <c r="DJ10" i="108"/>
  <c r="DF10" i="108"/>
  <c r="AL17" i="108"/>
  <c r="G10" i="97"/>
  <c r="CC8" i="108" s="1"/>
  <c r="K9" i="108"/>
  <c r="DJ11" i="108"/>
  <c r="DK8" i="108"/>
  <c r="DK9" i="108"/>
  <c r="DK14" i="108"/>
  <c r="DK15" i="108"/>
  <c r="DK13" i="108"/>
  <c r="DK12" i="108"/>
  <c r="DK10" i="108"/>
  <c r="DK11" i="108"/>
  <c r="CF8" i="108"/>
  <c r="G10" i="102"/>
  <c r="BB9" i="108"/>
  <c r="AN10" i="108"/>
  <c r="AX9" i="108"/>
  <c r="AJ9" i="108"/>
  <c r="AJ14" i="108"/>
  <c r="AX11" i="108"/>
  <c r="AJ12" i="108"/>
  <c r="AX15" i="108"/>
  <c r="AJ15" i="108"/>
  <c r="AX16" i="108"/>
  <c r="AX14" i="108"/>
  <c r="AJ16" i="108"/>
  <c r="AJ11" i="108"/>
  <c r="BD9" i="108"/>
  <c r="AP9" i="108"/>
  <c r="AP15" i="108"/>
  <c r="BD15" i="108"/>
  <c r="AP16" i="108"/>
  <c r="AP10" i="108"/>
  <c r="BD16" i="108"/>
  <c r="AP14" i="108"/>
  <c r="BD14" i="108"/>
  <c r="BD10" i="108"/>
  <c r="E49" i="96"/>
  <c r="E9" i="108"/>
  <c r="H13" i="97"/>
  <c r="AL9" i="108"/>
  <c r="AZ9" i="108"/>
  <c r="AL16" i="108"/>
  <c r="AL15" i="108"/>
  <c r="AZ15" i="108"/>
  <c r="AL11" i="108"/>
  <c r="AZ16" i="108"/>
  <c r="AL10" i="108"/>
  <c r="AZ11" i="108"/>
  <c r="AL12" i="108"/>
  <c r="AZ14" i="108"/>
  <c r="AL14" i="108"/>
  <c r="H9" i="108"/>
  <c r="AP12" i="108"/>
  <c r="I9" i="108"/>
  <c r="J9" i="108"/>
  <c r="AJ17" i="108"/>
  <c r="F9" i="108"/>
  <c r="BD17" i="108"/>
  <c r="BD11" i="108"/>
  <c r="G9" i="108"/>
  <c r="G20" i="97"/>
  <c r="AM9" i="108"/>
  <c r="BA9" i="108"/>
  <c r="AM11" i="108"/>
  <c r="AM16" i="108"/>
  <c r="AP11" i="108"/>
  <c r="AJ10" i="108"/>
  <c r="L9" i="108"/>
  <c r="AX17" i="108"/>
  <c r="R22" i="100"/>
  <c r="Z37" i="98"/>
  <c r="Q38" i="98"/>
  <c r="R41" i="98" s="1"/>
  <c r="H41" i="98"/>
  <c r="H30" i="95"/>
  <c r="J30" i="95" s="1"/>
  <c r="Q30" i="95" s="1"/>
  <c r="H41" i="96"/>
  <c r="Z36" i="96"/>
  <c r="Q38" i="96"/>
  <c r="R41" i="96" s="1"/>
  <c r="E49" i="97"/>
  <c r="G10" i="95"/>
  <c r="E49" i="95"/>
  <c r="Z36" i="97"/>
  <c r="H41" i="97"/>
  <c r="Q38" i="97"/>
  <c r="R41" i="97" s="1"/>
  <c r="G20" i="100"/>
  <c r="H13" i="100"/>
  <c r="BZ8" i="108" s="1"/>
  <c r="G10" i="101"/>
  <c r="DD10" i="108" s="1"/>
  <c r="E49" i="101"/>
  <c r="Q22" i="97"/>
  <c r="Z37" i="102"/>
  <c r="Q38" i="102"/>
  <c r="R41" i="102" s="1"/>
  <c r="H41" i="102"/>
  <c r="E49" i="100"/>
  <c r="Q51" i="101"/>
  <c r="R22" i="101"/>
  <c r="R22" i="99"/>
  <c r="H30" i="99"/>
  <c r="J30" i="99" s="1"/>
  <c r="Q30" i="99" s="1"/>
  <c r="R30" i="99" s="1"/>
  <c r="Q51" i="96"/>
  <c r="R22" i="96"/>
  <c r="H30" i="100"/>
  <c r="J30" i="100" s="1"/>
  <c r="Q30" i="100" s="1"/>
  <c r="R30" i="100" s="1"/>
  <c r="G20" i="98"/>
  <c r="H13" i="98"/>
  <c r="E49" i="99"/>
  <c r="G10" i="99"/>
  <c r="H41" i="100"/>
  <c r="Z36" i="100"/>
  <c r="Q38" i="100"/>
  <c r="R41" i="100" s="1"/>
  <c r="Q51" i="98"/>
  <c r="R22" i="98"/>
  <c r="Z37" i="101"/>
  <c r="H41" i="101"/>
  <c r="Q38" i="101"/>
  <c r="R41" i="101" s="1"/>
  <c r="E49" i="69"/>
  <c r="H30" i="69"/>
  <c r="J30" i="69" s="1"/>
  <c r="Q30" i="69" s="1"/>
  <c r="G20" i="69"/>
  <c r="H13" i="69"/>
  <c r="Q5" i="91" l="1"/>
  <c r="R13" i="91"/>
  <c r="Q5" i="90"/>
  <c r="R13" i="90"/>
  <c r="Q5" i="89"/>
  <c r="Q5" i="88"/>
  <c r="R13" i="88"/>
  <c r="R30" i="86"/>
  <c r="Q5" i="86"/>
  <c r="Q51" i="86"/>
  <c r="G20" i="85"/>
  <c r="H13" i="85"/>
  <c r="J13" i="85" s="1"/>
  <c r="Q13" i="85" s="1"/>
  <c r="Q51" i="93"/>
  <c r="Q5" i="93"/>
  <c r="R13" i="93"/>
  <c r="DI8" i="108"/>
  <c r="DI16" i="108"/>
  <c r="DI14" i="108"/>
  <c r="DI12" i="108"/>
  <c r="DI9" i="108"/>
  <c r="DI15" i="108"/>
  <c r="DI11" i="108"/>
  <c r="DI13" i="108"/>
  <c r="DI10" i="108"/>
  <c r="AN17" i="108"/>
  <c r="DC8" i="108"/>
  <c r="DC15" i="108"/>
  <c r="DC10" i="108"/>
  <c r="DC9" i="108"/>
  <c r="AV15" i="108"/>
  <c r="AH11" i="108"/>
  <c r="AH16" i="108"/>
  <c r="AH17" i="108"/>
  <c r="DC13" i="108"/>
  <c r="AH12" i="108"/>
  <c r="DC11" i="108"/>
  <c r="AH10" i="108"/>
  <c r="AV17" i="108"/>
  <c r="DC16" i="108"/>
  <c r="G20" i="102"/>
  <c r="AV9" i="108"/>
  <c r="H13" i="102"/>
  <c r="DC12" i="108"/>
  <c r="AH9" i="108"/>
  <c r="DC14" i="108"/>
  <c r="AH15" i="108"/>
  <c r="AV16" i="108"/>
  <c r="AV14" i="108"/>
  <c r="AH14" i="108"/>
  <c r="AV11" i="108"/>
  <c r="H13" i="96"/>
  <c r="AN13" i="108" s="1"/>
  <c r="AN8" i="108" s="1"/>
  <c r="AN14" i="108"/>
  <c r="BY8" i="108"/>
  <c r="G20" i="96"/>
  <c r="BB12" i="108"/>
  <c r="AN12" i="108"/>
  <c r="CF16" i="108"/>
  <c r="CF9" i="108"/>
  <c r="CF15" i="108"/>
  <c r="CF11" i="108"/>
  <c r="CF13" i="108"/>
  <c r="CF14" i="108"/>
  <c r="CF12" i="108"/>
  <c r="CF10" i="108"/>
  <c r="DF8" i="108"/>
  <c r="DF16" i="108"/>
  <c r="DF9" i="108"/>
  <c r="DF13" i="108"/>
  <c r="DF14" i="108"/>
  <c r="DF15" i="108"/>
  <c r="DJ8" i="108"/>
  <c r="DJ16" i="108"/>
  <c r="DJ15" i="108"/>
  <c r="DJ14" i="108"/>
  <c r="DJ9" i="108"/>
  <c r="DJ12" i="108"/>
  <c r="DJ13" i="108"/>
  <c r="BB14" i="108"/>
  <c r="BB8" i="108" s="1"/>
  <c r="AN11" i="108"/>
  <c r="BA14" i="108"/>
  <c r="DH8" i="108"/>
  <c r="BA11" i="108"/>
  <c r="AM14" i="108"/>
  <c r="BA16" i="108"/>
  <c r="AM10" i="108"/>
  <c r="DH14" i="108"/>
  <c r="DH12" i="108"/>
  <c r="AM12" i="108"/>
  <c r="AM17" i="108"/>
  <c r="AM15" i="108"/>
  <c r="DH11" i="108"/>
  <c r="BA17" i="108"/>
  <c r="DH9" i="108"/>
  <c r="DH16" i="108"/>
  <c r="DH10" i="108"/>
  <c r="DH15" i="108"/>
  <c r="BA15" i="108"/>
  <c r="DH13" i="108"/>
  <c r="CB15" i="108"/>
  <c r="CB9" i="108"/>
  <c r="CB16" i="108"/>
  <c r="CB14" i="108"/>
  <c r="CB13" i="108"/>
  <c r="CB12" i="108"/>
  <c r="CB10" i="108"/>
  <c r="CB11" i="108"/>
  <c r="CB8" i="108"/>
  <c r="CC14" i="108"/>
  <c r="CC16" i="108"/>
  <c r="CC11" i="108"/>
  <c r="CC9" i="108"/>
  <c r="CC15" i="108"/>
  <c r="CC10" i="108"/>
  <c r="CC12" i="108"/>
  <c r="CC13" i="108"/>
  <c r="BB11" i="108"/>
  <c r="BB15" i="108"/>
  <c r="BB16" i="108"/>
  <c r="BZ16" i="108"/>
  <c r="BZ15" i="108"/>
  <c r="BZ10" i="108"/>
  <c r="BZ13" i="108"/>
  <c r="BZ14" i="108"/>
  <c r="BZ9" i="108"/>
  <c r="BZ11" i="108"/>
  <c r="BZ12" i="108"/>
  <c r="AN15" i="108"/>
  <c r="BB17" i="108"/>
  <c r="DD8" i="108"/>
  <c r="DD12" i="108"/>
  <c r="DD15" i="108"/>
  <c r="DD14" i="108"/>
  <c r="DD9" i="108"/>
  <c r="DD13" i="108"/>
  <c r="DD16" i="108"/>
  <c r="AN16" i="108"/>
  <c r="AN9" i="108"/>
  <c r="AW9" i="108"/>
  <c r="AI9" i="108"/>
  <c r="AI17" i="108"/>
  <c r="AI11" i="108"/>
  <c r="AI14" i="108"/>
  <c r="AW15" i="108"/>
  <c r="AW11" i="108"/>
  <c r="AI10" i="108"/>
  <c r="AW17" i="108"/>
  <c r="AW16" i="108"/>
  <c r="AI12" i="108"/>
  <c r="AI16" i="108"/>
  <c r="AW14" i="108"/>
  <c r="AI15" i="108"/>
  <c r="J13" i="69"/>
  <c r="Q13" i="69" s="1"/>
  <c r="Q5" i="69" s="1"/>
  <c r="AP13" i="108"/>
  <c r="AP8" i="108" s="1"/>
  <c r="BD13" i="108"/>
  <c r="J13" i="96"/>
  <c r="Q13" i="96" s="1"/>
  <c r="R13" i="96" s="1"/>
  <c r="J13" i="97"/>
  <c r="Q13" i="97" s="1"/>
  <c r="R13" i="97" s="1"/>
  <c r="AM13" i="108"/>
  <c r="BD8" i="108"/>
  <c r="AK9" i="108"/>
  <c r="AY9" i="108"/>
  <c r="AK17" i="108"/>
  <c r="AK15" i="108"/>
  <c r="AY14" i="108"/>
  <c r="AK12" i="108"/>
  <c r="AY11" i="108"/>
  <c r="AK11" i="108"/>
  <c r="AK16" i="108"/>
  <c r="AK10" i="108"/>
  <c r="AY16" i="108"/>
  <c r="AK14" i="108"/>
  <c r="AY17" i="108"/>
  <c r="AY15" i="108"/>
  <c r="BC9" i="108"/>
  <c r="AO9" i="108"/>
  <c r="BC15" i="108"/>
  <c r="BC17" i="108"/>
  <c r="AO12" i="108"/>
  <c r="BC16" i="108"/>
  <c r="BC12" i="108"/>
  <c r="AO16" i="108"/>
  <c r="BC10" i="108"/>
  <c r="AO14" i="108"/>
  <c r="BC14" i="108"/>
  <c r="AO11" i="108"/>
  <c r="AO10" i="108"/>
  <c r="BC11" i="108"/>
  <c r="AO17" i="108"/>
  <c r="AO15" i="108"/>
  <c r="J13" i="98"/>
  <c r="Q13" i="98" s="1"/>
  <c r="Q5" i="98" s="1"/>
  <c r="AL13" i="108"/>
  <c r="AL8" i="108" s="1"/>
  <c r="AZ8" i="108"/>
  <c r="J13" i="100"/>
  <c r="Q13" i="100" s="1"/>
  <c r="Q5" i="100" s="1"/>
  <c r="AJ13" i="108"/>
  <c r="AJ8" i="108" s="1"/>
  <c r="AX8" i="108"/>
  <c r="Q51" i="97"/>
  <c r="R22" i="97"/>
  <c r="G20" i="101"/>
  <c r="H13" i="101"/>
  <c r="Q51" i="99"/>
  <c r="R30" i="95"/>
  <c r="Q51" i="95"/>
  <c r="G20" i="99"/>
  <c r="H13" i="99"/>
  <c r="G20" i="95"/>
  <c r="H13" i="95"/>
  <c r="Q51" i="100"/>
  <c r="R13" i="69"/>
  <c r="R30" i="69"/>
  <c r="Q51" i="69"/>
  <c r="Q5" i="85" l="1"/>
  <c r="R13" i="85"/>
  <c r="Q5" i="96"/>
  <c r="AM8" i="108"/>
  <c r="BA8" i="108"/>
  <c r="CD8" i="108"/>
  <c r="BY16" i="108"/>
  <c r="BY9" i="108"/>
  <c r="BY14" i="108"/>
  <c r="BY15" i="108"/>
  <c r="BY12" i="108"/>
  <c r="BY11" i="108"/>
  <c r="BY13" i="108"/>
  <c r="BY10" i="108"/>
  <c r="CE16" i="108"/>
  <c r="CE9" i="108"/>
  <c r="CE15" i="108"/>
  <c r="CE14" i="108"/>
  <c r="CE12" i="108"/>
  <c r="CE11" i="108"/>
  <c r="CE10" i="108"/>
  <c r="CE13" i="108"/>
  <c r="CE8" i="108"/>
  <c r="CA16" i="108"/>
  <c r="CA15" i="108"/>
  <c r="CA13" i="108"/>
  <c r="CA9" i="108"/>
  <c r="CA10" i="108"/>
  <c r="CA14" i="108"/>
  <c r="CA12" i="108"/>
  <c r="CA11" i="108"/>
  <c r="CA8" i="108"/>
  <c r="CD16" i="108"/>
  <c r="CD9" i="108"/>
  <c r="CD13" i="108"/>
  <c r="CD12" i="108"/>
  <c r="CD14" i="108"/>
  <c r="CD10" i="108"/>
  <c r="CD11" i="108"/>
  <c r="CD15" i="108"/>
  <c r="BX16" i="108"/>
  <c r="BX9" i="108"/>
  <c r="BX12" i="108"/>
  <c r="BX15" i="108"/>
  <c r="BX14" i="108"/>
  <c r="BX11" i="108"/>
  <c r="BX10" i="108"/>
  <c r="BX13" i="108"/>
  <c r="J13" i="102"/>
  <c r="Q13" i="102" s="1"/>
  <c r="AV8" i="108"/>
  <c r="AH13" i="108"/>
  <c r="AH8" i="108" s="1"/>
  <c r="BX8" i="108"/>
  <c r="J13" i="95"/>
  <c r="Q13" i="95" s="1"/>
  <c r="AO13" i="108"/>
  <c r="AO8" i="108" s="1"/>
  <c r="Q5" i="97"/>
  <c r="J13" i="101"/>
  <c r="Q13" i="101" s="1"/>
  <c r="R13" i="101" s="1"/>
  <c r="AW8" i="108"/>
  <c r="AI13" i="108"/>
  <c r="AI8" i="108" s="1"/>
  <c r="J13" i="99"/>
  <c r="Q13" i="99" s="1"/>
  <c r="R13" i="99" s="1"/>
  <c r="AY8" i="108"/>
  <c r="AK13" i="108"/>
  <c r="R13" i="98"/>
  <c r="R13" i="100"/>
  <c r="AK8" i="108"/>
  <c r="BC8" i="108"/>
  <c r="R13" i="95"/>
  <c r="Q5" i="95"/>
  <c r="Q5" i="102" l="1"/>
  <c r="R13" i="102"/>
  <c r="Q5" i="99"/>
  <c r="Q5" i="101"/>
  <c r="E58" i="65"/>
  <c r="C37" i="65" s="1"/>
  <c r="G37" i="65" s="1"/>
  <c r="E57" i="65"/>
  <c r="E56" i="65"/>
  <c r="E55" i="65"/>
  <c r="C36" i="65" s="1"/>
  <c r="E54" i="65"/>
  <c r="E53" i="65"/>
  <c r="E52" i="65"/>
  <c r="Y47" i="65"/>
  <c r="C47" i="65"/>
  <c r="G47" i="65" s="1"/>
  <c r="Q47" i="65" s="1"/>
  <c r="Z47" i="65" s="1"/>
  <c r="X46" i="65"/>
  <c r="W46" i="65"/>
  <c r="V46" i="65"/>
  <c r="U46" i="65"/>
  <c r="T46" i="65"/>
  <c r="Y46" i="65" s="1"/>
  <c r="Y45" i="65"/>
  <c r="Q45" i="65"/>
  <c r="Z45" i="65" s="1"/>
  <c r="G45" i="65"/>
  <c r="C45" i="65"/>
  <c r="X44" i="65"/>
  <c r="V44" i="65"/>
  <c r="T44" i="65"/>
  <c r="Y44" i="65" s="1"/>
  <c r="C44" i="65"/>
  <c r="G44" i="65" s="1"/>
  <c r="Y43" i="65"/>
  <c r="W43" i="65"/>
  <c r="C42" i="65" s="1"/>
  <c r="G42" i="65" s="1"/>
  <c r="Q42" i="65" s="1"/>
  <c r="Z42" i="65" s="1"/>
  <c r="V43" i="65"/>
  <c r="U43" i="65"/>
  <c r="T43" i="65"/>
  <c r="C43" i="65"/>
  <c r="G43" i="65" s="1"/>
  <c r="Q43" i="65" s="1"/>
  <c r="Z43" i="65" s="1"/>
  <c r="X42" i="65"/>
  <c r="Y42" i="65" s="1"/>
  <c r="E42" i="65"/>
  <c r="X41" i="65"/>
  <c r="W41" i="65"/>
  <c r="V41" i="65"/>
  <c r="U41" i="65"/>
  <c r="T41" i="65"/>
  <c r="Y41" i="65" s="1"/>
  <c r="L41" i="65"/>
  <c r="E41" i="65"/>
  <c r="F41" i="65" s="1"/>
  <c r="C41" i="65"/>
  <c r="G41" i="65" s="1"/>
  <c r="X40" i="65"/>
  <c r="W40" i="65"/>
  <c r="V40" i="65"/>
  <c r="U40" i="65"/>
  <c r="Y40" i="65" s="1"/>
  <c r="Z40" i="65" s="1"/>
  <c r="T40" i="65"/>
  <c r="G40" i="65"/>
  <c r="C40" i="65"/>
  <c r="X39" i="65"/>
  <c r="W39" i="65"/>
  <c r="V39" i="65"/>
  <c r="U39" i="65"/>
  <c r="T39" i="65"/>
  <c r="Y39" i="65" s="1"/>
  <c r="C39" i="65"/>
  <c r="G39" i="65" s="1"/>
  <c r="Y38" i="65"/>
  <c r="C38" i="65"/>
  <c r="G38" i="65" s="1"/>
  <c r="Z38" i="65" s="1"/>
  <c r="X37" i="65"/>
  <c r="W37" i="65"/>
  <c r="V37" i="65"/>
  <c r="U37" i="65"/>
  <c r="T37" i="65"/>
  <c r="S41" i="65" s="1"/>
  <c r="Y36" i="65"/>
  <c r="C34" i="65"/>
  <c r="C33" i="65"/>
  <c r="C32" i="65"/>
  <c r="X30" i="65"/>
  <c r="W30" i="65"/>
  <c r="V30" i="65"/>
  <c r="U30" i="65"/>
  <c r="T30" i="65"/>
  <c r="S30" i="65"/>
  <c r="M30" i="65"/>
  <c r="K30" i="65"/>
  <c r="F30" i="65"/>
  <c r="C30" i="65"/>
  <c r="C29" i="65"/>
  <c r="C27" i="65"/>
  <c r="C26" i="65"/>
  <c r="O24" i="65"/>
  <c r="N24" i="65"/>
  <c r="M24" i="65"/>
  <c r="K24" i="65"/>
  <c r="E24" i="65"/>
  <c r="C24" i="65"/>
  <c r="G24" i="65" s="1"/>
  <c r="P23" i="65"/>
  <c r="O23" i="65"/>
  <c r="N23" i="65"/>
  <c r="M23" i="65"/>
  <c r="L23" i="65"/>
  <c r="K23" i="65"/>
  <c r="E23" i="65"/>
  <c r="X22" i="65"/>
  <c r="W22" i="65"/>
  <c r="V22" i="65"/>
  <c r="U22" i="65"/>
  <c r="T22" i="65"/>
  <c r="S22" i="65"/>
  <c r="L22" i="65"/>
  <c r="K22" i="65"/>
  <c r="E22" i="65"/>
  <c r="F22" i="65" s="1"/>
  <c r="C22" i="65"/>
  <c r="O21" i="65"/>
  <c r="N21" i="65"/>
  <c r="M21" i="65"/>
  <c r="L21" i="65"/>
  <c r="K21" i="65"/>
  <c r="G21" i="65"/>
  <c r="E21" i="65"/>
  <c r="C21" i="65"/>
  <c r="C19" i="65"/>
  <c r="E19" i="65" s="1"/>
  <c r="E18" i="65"/>
  <c r="C18" i="65"/>
  <c r="C46" i="65" s="1"/>
  <c r="G46" i="65" s="1"/>
  <c r="Q46" i="65" s="1"/>
  <c r="C17" i="65"/>
  <c r="E17" i="65" s="1"/>
  <c r="G17" i="65" s="1"/>
  <c r="C16" i="65"/>
  <c r="G15" i="65"/>
  <c r="C14" i="65"/>
  <c r="G14" i="65" s="1"/>
  <c r="X13" i="65"/>
  <c r="X5" i="65" s="1"/>
  <c r="W13" i="65"/>
  <c r="W5" i="65" s="1"/>
  <c r="V13" i="65"/>
  <c r="V5" i="65" s="1"/>
  <c r="U13" i="65"/>
  <c r="S13" i="65" s="1"/>
  <c r="T13" i="65"/>
  <c r="M13" i="65"/>
  <c r="L13" i="65"/>
  <c r="K13" i="65"/>
  <c r="I13" i="65"/>
  <c r="F13" i="65"/>
  <c r="E13" i="65"/>
  <c r="G13" i="65" s="1"/>
  <c r="C13" i="65"/>
  <c r="C12" i="65"/>
  <c r="E12" i="65" s="1"/>
  <c r="C11" i="65"/>
  <c r="C10" i="65"/>
  <c r="C9" i="65"/>
  <c r="G9" i="65" s="1"/>
  <c r="C8" i="65"/>
  <c r="G8" i="65" s="1"/>
  <c r="C7" i="65"/>
  <c r="D13" i="65" s="1"/>
  <c r="T5" i="65"/>
  <c r="E58" i="118"/>
  <c r="E57" i="118"/>
  <c r="E56" i="118"/>
  <c r="E55" i="118"/>
  <c r="E54" i="118"/>
  <c r="E53" i="118"/>
  <c r="E52" i="118"/>
  <c r="X46" i="118"/>
  <c r="W46" i="118"/>
  <c r="V46" i="118"/>
  <c r="U46" i="118"/>
  <c r="T46" i="118"/>
  <c r="X44" i="118"/>
  <c r="V44" i="118"/>
  <c r="T44" i="118"/>
  <c r="W43" i="118"/>
  <c r="V43" i="118"/>
  <c r="U43" i="118"/>
  <c r="T43" i="118"/>
  <c r="C43" i="118"/>
  <c r="X42" i="118"/>
  <c r="E42" i="118"/>
  <c r="C42" i="118"/>
  <c r="X41" i="118"/>
  <c r="W41" i="118"/>
  <c r="V41" i="118"/>
  <c r="U41" i="118"/>
  <c r="T41" i="118"/>
  <c r="L41" i="118"/>
  <c r="E41" i="118"/>
  <c r="C41" i="118"/>
  <c r="X40" i="118"/>
  <c r="W40" i="118"/>
  <c r="V40" i="118"/>
  <c r="U40" i="118"/>
  <c r="T40" i="118"/>
  <c r="C40" i="118"/>
  <c r="X39" i="118"/>
  <c r="W39" i="118"/>
  <c r="V39" i="118"/>
  <c r="U39" i="118"/>
  <c r="T39" i="118"/>
  <c r="X37" i="118"/>
  <c r="W37" i="118"/>
  <c r="V37" i="118"/>
  <c r="U37" i="118"/>
  <c r="T37" i="118"/>
  <c r="C34" i="118"/>
  <c r="C46" i="118" s="1"/>
  <c r="C33" i="118"/>
  <c r="C32" i="118"/>
  <c r="X30" i="118"/>
  <c r="W30" i="118"/>
  <c r="V30" i="118"/>
  <c r="U30" i="118"/>
  <c r="T30" i="118"/>
  <c r="M30" i="118"/>
  <c r="K30" i="118"/>
  <c r="F30" i="118"/>
  <c r="C30" i="118"/>
  <c r="C29" i="118"/>
  <c r="C27" i="118"/>
  <c r="C26" i="118"/>
  <c r="O24" i="118"/>
  <c r="N24" i="118"/>
  <c r="M24" i="118"/>
  <c r="K24" i="118"/>
  <c r="E24" i="118"/>
  <c r="P23" i="118"/>
  <c r="O23" i="118"/>
  <c r="N23" i="118"/>
  <c r="M23" i="118"/>
  <c r="L23" i="118"/>
  <c r="K23" i="118"/>
  <c r="E23" i="118"/>
  <c r="X22" i="118"/>
  <c r="W22" i="118"/>
  <c r="V22" i="118"/>
  <c r="U22" i="118"/>
  <c r="T22" i="118"/>
  <c r="L22" i="118"/>
  <c r="K22" i="118"/>
  <c r="E22" i="118"/>
  <c r="C22" i="118"/>
  <c r="O21" i="118"/>
  <c r="N21" i="118"/>
  <c r="M21" i="118"/>
  <c r="L21" i="118"/>
  <c r="K21" i="118"/>
  <c r="E21" i="118"/>
  <c r="C21" i="118"/>
  <c r="C19" i="118"/>
  <c r="C18" i="118"/>
  <c r="C17" i="118"/>
  <c r="C16" i="118"/>
  <c r="C14" i="118"/>
  <c r="X13" i="118"/>
  <c r="W13" i="118"/>
  <c r="V13" i="118"/>
  <c r="U13" i="118"/>
  <c r="T13" i="118"/>
  <c r="M13" i="118"/>
  <c r="L13" i="118"/>
  <c r="K13" i="118"/>
  <c r="I13" i="118"/>
  <c r="F13" i="118"/>
  <c r="C13" i="118"/>
  <c r="C12" i="118"/>
  <c r="C11" i="118"/>
  <c r="C10" i="118"/>
  <c r="C9" i="118"/>
  <c r="C8" i="118"/>
  <c r="C7" i="118"/>
  <c r="U2" i="77"/>
  <c r="T2" i="77"/>
  <c r="S2" i="77"/>
  <c r="R2" i="77"/>
  <c r="Q2" i="77"/>
  <c r="P2" i="77"/>
  <c r="O2" i="77"/>
  <c r="N2" i="77"/>
  <c r="M2" i="77"/>
  <c r="L2" i="77"/>
  <c r="K2" i="77"/>
  <c r="J2" i="77"/>
  <c r="I2" i="77"/>
  <c r="H2" i="77"/>
  <c r="G2" i="77"/>
  <c r="F2" i="77"/>
  <c r="E2" i="77"/>
  <c r="D2" i="77"/>
  <c r="W1" i="77"/>
  <c r="U1" i="77"/>
  <c r="T1" i="77"/>
  <c r="S1" i="77"/>
  <c r="R1" i="77"/>
  <c r="Q1" i="77"/>
  <c r="P1" i="77"/>
  <c r="O1" i="77"/>
  <c r="N1" i="77"/>
  <c r="M1" i="77"/>
  <c r="L1" i="77"/>
  <c r="K1" i="77"/>
  <c r="J1" i="77"/>
  <c r="I1" i="77"/>
  <c r="H1" i="77"/>
  <c r="G1" i="77"/>
  <c r="F1" i="77"/>
  <c r="E1" i="77"/>
  <c r="D1" i="77"/>
  <c r="W371" i="77" a="1"/>
  <c r="Z44" i="65" l="1"/>
  <c r="Q44" i="65"/>
  <c r="S5" i="65"/>
  <c r="G11" i="65"/>
  <c r="G36" i="65"/>
  <c r="P21" i="65"/>
  <c r="C5" i="65" s="1"/>
  <c r="C49" i="65" s="1"/>
  <c r="D41" i="65"/>
  <c r="Z39" i="65"/>
  <c r="D22" i="65"/>
  <c r="Z41" i="65"/>
  <c r="Z46" i="65"/>
  <c r="E11" i="65"/>
  <c r="G19" i="65"/>
  <c r="G7" i="65"/>
  <c r="G12" i="65"/>
  <c r="E16" i="65"/>
  <c r="G16" i="65" s="1"/>
  <c r="G22" i="65"/>
  <c r="H22" i="65" s="1"/>
  <c r="J22" i="65" s="1"/>
  <c r="Q22" i="65" s="1"/>
  <c r="Q38" i="65"/>
  <c r="R41" i="65" s="1"/>
  <c r="U5" i="65"/>
  <c r="C23" i="65"/>
  <c r="G23" i="65" s="1"/>
  <c r="Y37" i="65"/>
  <c r="Z37" i="65" s="1"/>
  <c r="D30" i="65"/>
  <c r="F35" i="65" s="1"/>
  <c r="G18" i="65"/>
  <c r="W371" i="77"/>
  <c r="E19" i="118"/>
  <c r="E18" i="118"/>
  <c r="E17" i="118"/>
  <c r="E16" i="118"/>
  <c r="E13" i="118"/>
  <c r="E12" i="118"/>
  <c r="E11" i="118"/>
  <c r="W115" i="77" a="1"/>
  <c r="W331" i="77" a="1"/>
  <c r="W300" i="77" a="1"/>
  <c r="W335" i="77" a="1"/>
  <c r="W263" i="77" a="1"/>
  <c r="W189" i="77" a="1"/>
  <c r="W296" i="77" a="1"/>
  <c r="W409" i="77" a="1"/>
  <c r="W74" i="77" a="1"/>
  <c r="W223" i="77" a="1"/>
  <c r="W219" i="77" a="1"/>
  <c r="W185" i="77" a="1"/>
  <c r="W406" i="77" a="1"/>
  <c r="W368" i="77" a="1"/>
  <c r="W295" i="77" a="1"/>
  <c r="W226" i="77" a="1"/>
  <c r="W330" i="77" a="1"/>
  <c r="W407" i="77" a="1"/>
  <c r="W34" i="77" a="1"/>
  <c r="W39" i="77" a="1"/>
  <c r="W408" i="77" a="1"/>
  <c r="W73" i="77" a="1"/>
  <c r="W112" i="77" a="1"/>
  <c r="W72" i="77" a="1"/>
  <c r="W183" i="77" a="1"/>
  <c r="W293" i="77" a="1"/>
  <c r="W372" i="77" a="1"/>
  <c r="W259" i="77" a="1"/>
  <c r="W75" i="77" a="1"/>
  <c r="W76" i="77" a="1"/>
  <c r="W78" i="77" a="1"/>
  <c r="W404" i="77" a="1"/>
  <c r="W332" i="77" a="1"/>
  <c r="W111" i="77" a="1"/>
  <c r="W145" i="77" a="1"/>
  <c r="W369" i="77" a="1"/>
  <c r="W109" i="77" a="1"/>
  <c r="W150" i="77" a="1"/>
  <c r="W71" i="77" a="1"/>
  <c r="W297" i="77" a="1"/>
  <c r="W108" i="77" a="1"/>
  <c r="W147" i="77" a="1"/>
  <c r="W148" i="77" a="1"/>
  <c r="W294" i="77" a="1"/>
  <c r="W370" i="77" a="1"/>
  <c r="W113" i="77" a="1"/>
  <c r="W261" i="77" a="1"/>
  <c r="W220" i="77" a="1"/>
  <c r="W411" i="77" a="1"/>
  <c r="W187" i="77" a="1"/>
  <c r="W337" i="77" a="1"/>
  <c r="W260" i="77" a="1"/>
  <c r="W36" i="77" a="1"/>
  <c r="W110" i="77" a="1"/>
  <c r="W41" i="77" a="1"/>
  <c r="W149" i="77" a="1"/>
  <c r="W256" i="77" a="1"/>
  <c r="W152" i="77" a="1"/>
  <c r="W35" i="77" a="1"/>
  <c r="W257" i="77" a="1"/>
  <c r="W222" i="77" a="1"/>
  <c r="W186" i="77" a="1"/>
  <c r="W184" i="77" a="1"/>
  <c r="W224" i="77" a="1"/>
  <c r="W298" i="77" a="1"/>
  <c r="W405" i="77" a="1"/>
  <c r="W333" i="77" a="1"/>
  <c r="W38" i="77" a="1"/>
  <c r="W334" i="77" a="1"/>
  <c r="W146" i="77" a="1"/>
  <c r="W374" i="77" a="1"/>
  <c r="W258" i="77" a="1"/>
  <c r="W221" i="77" a="1"/>
  <c r="W182" i="77" a="1"/>
  <c r="W37" i="77" a="1"/>
  <c r="W367" i="77" a="1"/>
  <c r="E10" i="65" l="1"/>
  <c r="G10" i="65" s="1"/>
  <c r="G20" i="65" s="1"/>
  <c r="E34" i="65"/>
  <c r="G34" i="65" s="1"/>
  <c r="E33" i="65"/>
  <c r="G33" i="65" s="1"/>
  <c r="E28" i="65"/>
  <c r="G28" i="65" s="1"/>
  <c r="E31" i="65"/>
  <c r="G31" i="65" s="1"/>
  <c r="E29" i="65"/>
  <c r="G29" i="65" s="1"/>
  <c r="E30" i="65"/>
  <c r="G30" i="65" s="1"/>
  <c r="E32" i="65"/>
  <c r="G32" i="65" s="1"/>
  <c r="E26" i="65"/>
  <c r="G26" i="65" s="1"/>
  <c r="E27" i="65"/>
  <c r="G27" i="65" s="1"/>
  <c r="R22" i="65"/>
  <c r="H41" i="65"/>
  <c r="Z36" i="65"/>
  <c r="W256" i="77"/>
  <c r="W222" i="77"/>
  <c r="W220" i="77"/>
  <c r="W115" i="77"/>
  <c r="W113" i="77"/>
  <c r="W184" i="77"/>
  <c r="W110" i="77"/>
  <c r="W333" i="77"/>
  <c r="W189" i="77"/>
  <c r="W405" i="77"/>
  <c r="W78" i="77"/>
  <c r="W148" i="77"/>
  <c r="W38" i="77"/>
  <c r="W297" i="77"/>
  <c r="W146" i="77"/>
  <c r="W372" i="77"/>
  <c r="W71" i="77"/>
  <c r="W112" i="77"/>
  <c r="W409" i="77"/>
  <c r="W261" i="77"/>
  <c r="W74" i="77"/>
  <c r="W330" i="77"/>
  <c r="W72" i="77"/>
  <c r="W182" i="77"/>
  <c r="W35" i="77"/>
  <c r="W76" i="77"/>
  <c r="W374" i="77"/>
  <c r="W226" i="77"/>
  <c r="W367" i="77"/>
  <c r="W258" i="77"/>
  <c r="W224" i="77"/>
  <c r="W369" i="77"/>
  <c r="W407" i="77"/>
  <c r="W41" i="77"/>
  <c r="W331" i="77"/>
  <c r="W219" i="77"/>
  <c r="W223" i="77"/>
  <c r="W186" i="77"/>
  <c r="W149" i="77"/>
  <c r="W335" i="77"/>
  <c r="W406" i="77"/>
  <c r="W34" i="77"/>
  <c r="W295" i="77"/>
  <c r="W183" i="77"/>
  <c r="W108" i="77"/>
  <c r="W185" i="77"/>
  <c r="W404" i="77"/>
  <c r="W296" i="77"/>
  <c r="W145" i="77"/>
  <c r="W300" i="77"/>
  <c r="W370" i="77"/>
  <c r="W411" i="77"/>
  <c r="W259" i="77"/>
  <c r="W147" i="77"/>
  <c r="W73" i="77"/>
  <c r="W152" i="77"/>
  <c r="W150" i="77"/>
  <c r="W334" i="77"/>
  <c r="W187" i="77"/>
  <c r="W111" i="77"/>
  <c r="W257" i="77"/>
  <c r="W298" i="77"/>
  <c r="W332" i="77"/>
  <c r="W109" i="77"/>
  <c r="W75" i="77"/>
  <c r="W337" i="77"/>
  <c r="W36" i="77"/>
  <c r="W293" i="77"/>
  <c r="W368" i="77"/>
  <c r="W408" i="77"/>
  <c r="W221" i="77"/>
  <c r="W263" i="77"/>
  <c r="W260" i="77"/>
  <c r="W37" i="77"/>
  <c r="W39" i="77"/>
  <c r="W294" i="77"/>
  <c r="G7" i="118"/>
  <c r="CG7" i="108"/>
  <c r="CG5" i="108"/>
  <c r="AF33" i="108"/>
  <c r="AG33" i="108"/>
  <c r="AF34" i="108"/>
  <c r="AG34" i="108"/>
  <c r="M45" i="108"/>
  <c r="M44" i="108"/>
  <c r="M42" i="108"/>
  <c r="CG24" i="108"/>
  <c r="DL20" i="108"/>
  <c r="CG20" i="108"/>
  <c r="BE7" i="108"/>
  <c r="AQ7" i="108"/>
  <c r="BE6" i="108"/>
  <c r="AQ6" i="108"/>
  <c r="M5" i="108"/>
  <c r="CG4" i="108"/>
  <c r="M4" i="108"/>
  <c r="C36" i="118"/>
  <c r="P21" i="118" s="1"/>
  <c r="G16" i="118"/>
  <c r="G22" i="118"/>
  <c r="C47" i="118"/>
  <c r="C23" i="118" s="1"/>
  <c r="C45" i="118"/>
  <c r="C44" i="118"/>
  <c r="G44" i="118" s="1"/>
  <c r="Q44" i="118" s="1"/>
  <c r="Y42" i="118"/>
  <c r="G40" i="118"/>
  <c r="C37" i="118"/>
  <c r="G46" i="118"/>
  <c r="Q46" i="118" s="1"/>
  <c r="S30" i="118"/>
  <c r="G21" i="118"/>
  <c r="G17" i="118"/>
  <c r="S13" i="118"/>
  <c r="G12" i="118"/>
  <c r="G9" i="118"/>
  <c r="G8" i="118"/>
  <c r="I9" i="109"/>
  <c r="I7" i="109"/>
  <c r="D9" i="109"/>
  <c r="D7" i="109"/>
  <c r="I9" i="107"/>
  <c r="I7" i="107"/>
  <c r="D9" i="107"/>
  <c r="D7" i="107"/>
  <c r="G19" i="118"/>
  <c r="G18" i="118"/>
  <c r="G13" i="118"/>
  <c r="Y47" i="118"/>
  <c r="Y45" i="118"/>
  <c r="Y38" i="118"/>
  <c r="C38" i="118"/>
  <c r="G38" i="118" s="1"/>
  <c r="Y36" i="118"/>
  <c r="G15" i="118"/>
  <c r="G14" i="118"/>
  <c r="U2" i="117"/>
  <c r="T2" i="117"/>
  <c r="S2" i="117"/>
  <c r="R2" i="117"/>
  <c r="Q2" i="117"/>
  <c r="P2" i="117"/>
  <c r="O2" i="117"/>
  <c r="N2" i="117"/>
  <c r="M2" i="117"/>
  <c r="L2" i="117"/>
  <c r="K2" i="117"/>
  <c r="J2" i="117"/>
  <c r="H2" i="117"/>
  <c r="F2" i="117"/>
  <c r="E2" i="117"/>
  <c r="D2" i="117"/>
  <c r="U1" i="117"/>
  <c r="W1" i="117" s="1"/>
  <c r="T1" i="117"/>
  <c r="S1" i="117"/>
  <c r="R1" i="117"/>
  <c r="Q1" i="117"/>
  <c r="P1" i="117"/>
  <c r="O1" i="117"/>
  <c r="N1" i="117"/>
  <c r="M1" i="117"/>
  <c r="L1" i="117"/>
  <c r="K1" i="117"/>
  <c r="J1" i="117"/>
  <c r="H1" i="117"/>
  <c r="F1" i="117"/>
  <c r="E1" i="117"/>
  <c r="D1" i="117"/>
  <c r="E488" i="116"/>
  <c r="B488" i="116"/>
  <c r="E487" i="116"/>
  <c r="E486" i="116"/>
  <c r="E485" i="116"/>
  <c r="E484" i="116"/>
  <c r="E483" i="116"/>
  <c r="E482" i="116"/>
  <c r="B482" i="116"/>
  <c r="B483" i="116" s="1"/>
  <c r="B484" i="116" s="1"/>
  <c r="B485" i="116" s="1"/>
  <c r="B486" i="116" s="1"/>
  <c r="B487" i="116" s="1"/>
  <c r="E481" i="116"/>
  <c r="E480" i="116"/>
  <c r="C480" i="116"/>
  <c r="C481" i="116" s="1"/>
  <c r="C482" i="116" s="1"/>
  <c r="C483" i="116" s="1"/>
  <c r="C484" i="116" s="1"/>
  <c r="C485" i="116" s="1"/>
  <c r="C486" i="116" s="1"/>
  <c r="C487" i="116" s="1"/>
  <c r="C488" i="116" s="1"/>
  <c r="E478" i="116"/>
  <c r="E477" i="116"/>
  <c r="E476" i="116"/>
  <c r="E475" i="116"/>
  <c r="E474" i="116"/>
  <c r="E473" i="116"/>
  <c r="E472" i="116"/>
  <c r="E471" i="116"/>
  <c r="E470" i="116"/>
  <c r="E469" i="116"/>
  <c r="E468" i="116"/>
  <c r="E467" i="116"/>
  <c r="E466" i="116"/>
  <c r="E464" i="116"/>
  <c r="E463" i="116"/>
  <c r="E462" i="116"/>
  <c r="E461" i="116"/>
  <c r="B461" i="116"/>
  <c r="B462" i="116" s="1"/>
  <c r="B463" i="116" s="1"/>
  <c r="B464" i="116" s="1"/>
  <c r="B466" i="116" s="1"/>
  <c r="B467" i="116" s="1"/>
  <c r="B468" i="116" s="1"/>
  <c r="B469" i="116" s="1"/>
  <c r="B470" i="116" s="1"/>
  <c r="B471" i="116" s="1"/>
  <c r="B472" i="116" s="1"/>
  <c r="B473" i="116" s="1"/>
  <c r="B474" i="116" s="1"/>
  <c r="B475" i="116" s="1"/>
  <c r="B476" i="116" s="1"/>
  <c r="B477" i="116" s="1"/>
  <c r="B478" i="116" s="1"/>
  <c r="B480" i="116" s="1"/>
  <c r="B481" i="116" s="1"/>
  <c r="E460" i="116"/>
  <c r="C460" i="116"/>
  <c r="C461" i="116" s="1"/>
  <c r="C462" i="116" s="1"/>
  <c r="C463" i="116" s="1"/>
  <c r="C464" i="116" s="1"/>
  <c r="C466" i="116" s="1"/>
  <c r="C467" i="116" s="1"/>
  <c r="C468" i="116" s="1"/>
  <c r="C469" i="116" s="1"/>
  <c r="C470" i="116" s="1"/>
  <c r="C471" i="116" s="1"/>
  <c r="C472" i="116" s="1"/>
  <c r="C473" i="116" s="1"/>
  <c r="C474" i="116" s="1"/>
  <c r="C475" i="116" s="1"/>
  <c r="C476" i="116" s="1"/>
  <c r="C477" i="116" s="1"/>
  <c r="C478" i="116" s="1"/>
  <c r="B460" i="116"/>
  <c r="E459" i="116"/>
  <c r="C459" i="116"/>
  <c r="B459" i="116"/>
  <c r="E458" i="116"/>
  <c r="E451" i="116"/>
  <c r="E450" i="116"/>
  <c r="E449" i="116"/>
  <c r="E448" i="116"/>
  <c r="E447" i="116"/>
  <c r="E446" i="116"/>
  <c r="E445" i="116"/>
  <c r="E444" i="116"/>
  <c r="C444" i="116"/>
  <c r="C445" i="116" s="1"/>
  <c r="C446" i="116" s="1"/>
  <c r="C447" i="116" s="1"/>
  <c r="C448" i="116" s="1"/>
  <c r="C449" i="116" s="1"/>
  <c r="C450" i="116" s="1"/>
  <c r="C451" i="116" s="1"/>
  <c r="B444" i="116"/>
  <c r="B445" i="116" s="1"/>
  <c r="B446" i="116" s="1"/>
  <c r="B447" i="116" s="1"/>
  <c r="B448" i="116" s="1"/>
  <c r="B449" i="116" s="1"/>
  <c r="B450" i="116" s="1"/>
  <c r="B451" i="116" s="1"/>
  <c r="E443" i="116"/>
  <c r="C443" i="116"/>
  <c r="E441" i="116"/>
  <c r="E440" i="116"/>
  <c r="E439" i="116"/>
  <c r="E438" i="116"/>
  <c r="E437" i="116"/>
  <c r="E436" i="116"/>
  <c r="B436" i="116"/>
  <c r="B437" i="116" s="1"/>
  <c r="B438" i="116" s="1"/>
  <c r="B439" i="116" s="1"/>
  <c r="B440" i="116" s="1"/>
  <c r="B441" i="116" s="1"/>
  <c r="B443" i="116" s="1"/>
  <c r="E435" i="116"/>
  <c r="E434" i="116"/>
  <c r="E433" i="116"/>
  <c r="E432" i="116"/>
  <c r="E431" i="116"/>
  <c r="E430" i="116"/>
  <c r="E429" i="116"/>
  <c r="B429" i="116"/>
  <c r="B430" i="116" s="1"/>
  <c r="B431" i="116" s="1"/>
  <c r="B432" i="116" s="1"/>
  <c r="B433" i="116" s="1"/>
  <c r="B434" i="116" s="1"/>
  <c r="B435" i="116" s="1"/>
  <c r="E427" i="116"/>
  <c r="E426" i="116"/>
  <c r="E425" i="116"/>
  <c r="E424" i="116"/>
  <c r="E423" i="116"/>
  <c r="E422" i="116"/>
  <c r="C422" i="116"/>
  <c r="C423" i="116" s="1"/>
  <c r="C424" i="116" s="1"/>
  <c r="C425" i="116" s="1"/>
  <c r="C426" i="116" s="1"/>
  <c r="C427" i="116" s="1"/>
  <c r="C429" i="116" s="1"/>
  <c r="C430" i="116" s="1"/>
  <c r="C431" i="116" s="1"/>
  <c r="C432" i="116" s="1"/>
  <c r="C433" i="116" s="1"/>
  <c r="C434" i="116" s="1"/>
  <c r="C435" i="116" s="1"/>
  <c r="C436" i="116" s="1"/>
  <c r="C437" i="116" s="1"/>
  <c r="C438" i="116" s="1"/>
  <c r="C439" i="116" s="1"/>
  <c r="C440" i="116" s="1"/>
  <c r="C441" i="116" s="1"/>
  <c r="B422" i="116"/>
  <c r="B423" i="116" s="1"/>
  <c r="B424" i="116" s="1"/>
  <c r="B425" i="116" s="1"/>
  <c r="B426" i="116" s="1"/>
  <c r="B427" i="116" s="1"/>
  <c r="E421" i="116"/>
  <c r="E414" i="116"/>
  <c r="E413" i="116"/>
  <c r="E412" i="116"/>
  <c r="E411" i="116"/>
  <c r="C411" i="116"/>
  <c r="C412" i="116" s="1"/>
  <c r="C413" i="116" s="1"/>
  <c r="C414" i="116" s="1"/>
  <c r="E410" i="116"/>
  <c r="E409" i="116"/>
  <c r="C409" i="116"/>
  <c r="C410" i="116" s="1"/>
  <c r="E408" i="116"/>
  <c r="E407" i="116"/>
  <c r="C407" i="116"/>
  <c r="C408" i="116" s="1"/>
  <c r="E406" i="116"/>
  <c r="C406" i="116"/>
  <c r="E404" i="116"/>
  <c r="E403" i="116"/>
  <c r="E402" i="116"/>
  <c r="E401" i="116"/>
  <c r="E400" i="116"/>
  <c r="E399" i="116"/>
  <c r="E398" i="116"/>
  <c r="E397" i="116"/>
  <c r="E396" i="116"/>
  <c r="E395" i="116"/>
  <c r="E394" i="116"/>
  <c r="E393" i="116"/>
  <c r="E392" i="116"/>
  <c r="E390" i="116"/>
  <c r="B390" i="116"/>
  <c r="B392" i="116" s="1"/>
  <c r="B393" i="116" s="1"/>
  <c r="B394" i="116" s="1"/>
  <c r="B395" i="116" s="1"/>
  <c r="B396" i="116" s="1"/>
  <c r="B397" i="116" s="1"/>
  <c r="B398" i="116" s="1"/>
  <c r="B399" i="116" s="1"/>
  <c r="B400" i="116" s="1"/>
  <c r="B401" i="116" s="1"/>
  <c r="B402" i="116" s="1"/>
  <c r="B403" i="116" s="1"/>
  <c r="B404" i="116" s="1"/>
  <c r="B406" i="116" s="1"/>
  <c r="B407" i="116" s="1"/>
  <c r="B408" i="116" s="1"/>
  <c r="B409" i="116" s="1"/>
  <c r="B410" i="116" s="1"/>
  <c r="B411" i="116" s="1"/>
  <c r="B412" i="116" s="1"/>
  <c r="B413" i="116" s="1"/>
  <c r="B414" i="116" s="1"/>
  <c r="E389" i="116"/>
  <c r="E388" i="116"/>
  <c r="E387" i="116"/>
  <c r="C387" i="116"/>
  <c r="C388" i="116" s="1"/>
  <c r="C389" i="116" s="1"/>
  <c r="C390" i="116" s="1"/>
  <c r="C392" i="116" s="1"/>
  <c r="C393" i="116" s="1"/>
  <c r="C394" i="116" s="1"/>
  <c r="C395" i="116" s="1"/>
  <c r="C396" i="116" s="1"/>
  <c r="C397" i="116" s="1"/>
  <c r="C398" i="116" s="1"/>
  <c r="C399" i="116" s="1"/>
  <c r="C400" i="116" s="1"/>
  <c r="C401" i="116" s="1"/>
  <c r="C402" i="116" s="1"/>
  <c r="C403" i="116" s="1"/>
  <c r="C404" i="116" s="1"/>
  <c r="E386" i="116"/>
  <c r="C386" i="116"/>
  <c r="E385" i="116"/>
  <c r="C385" i="116"/>
  <c r="B385" i="116"/>
  <c r="B386" i="116" s="1"/>
  <c r="B387" i="116" s="1"/>
  <c r="B388" i="116" s="1"/>
  <c r="B389" i="116" s="1"/>
  <c r="E384" i="116"/>
  <c r="E377" i="116"/>
  <c r="E376" i="116"/>
  <c r="E375" i="116"/>
  <c r="E374" i="116"/>
  <c r="E373" i="116"/>
  <c r="E372" i="116"/>
  <c r="E371" i="116"/>
  <c r="E370" i="116"/>
  <c r="E369" i="116"/>
  <c r="C369" i="116"/>
  <c r="C370" i="116" s="1"/>
  <c r="C371" i="116" s="1"/>
  <c r="C372" i="116" s="1"/>
  <c r="C373" i="116" s="1"/>
  <c r="C374" i="116" s="1"/>
  <c r="C375" i="116" s="1"/>
  <c r="C376" i="116" s="1"/>
  <c r="C377" i="116" s="1"/>
  <c r="E367" i="116"/>
  <c r="E366" i="116"/>
  <c r="E365" i="116"/>
  <c r="E364" i="116"/>
  <c r="E363" i="116"/>
  <c r="E362" i="116"/>
  <c r="E361" i="116"/>
  <c r="E360" i="116"/>
  <c r="E359" i="116"/>
  <c r="E358" i="116"/>
  <c r="E357" i="116"/>
  <c r="E356" i="116"/>
  <c r="E355" i="116"/>
  <c r="E353" i="116"/>
  <c r="E352" i="116"/>
  <c r="E351" i="116"/>
  <c r="E350" i="116"/>
  <c r="E349" i="116"/>
  <c r="C349" i="116"/>
  <c r="C350" i="116" s="1"/>
  <c r="C351" i="116" s="1"/>
  <c r="C352" i="116" s="1"/>
  <c r="C353" i="116" s="1"/>
  <c r="C355" i="116" s="1"/>
  <c r="C356" i="116" s="1"/>
  <c r="C357" i="116" s="1"/>
  <c r="C358" i="116" s="1"/>
  <c r="C359" i="116" s="1"/>
  <c r="C360" i="116" s="1"/>
  <c r="C361" i="116" s="1"/>
  <c r="C362" i="116" s="1"/>
  <c r="C363" i="116" s="1"/>
  <c r="C364" i="116" s="1"/>
  <c r="C365" i="116" s="1"/>
  <c r="C366" i="116" s="1"/>
  <c r="C367" i="116" s="1"/>
  <c r="B349" i="116"/>
  <c r="B350" i="116" s="1"/>
  <c r="B351" i="116" s="1"/>
  <c r="B352" i="116" s="1"/>
  <c r="B353" i="116" s="1"/>
  <c r="B355" i="116" s="1"/>
  <c r="B356" i="116" s="1"/>
  <c r="B357" i="116" s="1"/>
  <c r="B358" i="116" s="1"/>
  <c r="B359" i="116" s="1"/>
  <c r="B360" i="116" s="1"/>
  <c r="B361" i="116" s="1"/>
  <c r="B362" i="116" s="1"/>
  <c r="B363" i="116" s="1"/>
  <c r="B364" i="116" s="1"/>
  <c r="B365" i="116" s="1"/>
  <c r="B366" i="116" s="1"/>
  <c r="B367" i="116" s="1"/>
  <c r="B369" i="116" s="1"/>
  <c r="B370" i="116" s="1"/>
  <c r="B371" i="116" s="1"/>
  <c r="B372" i="116" s="1"/>
  <c r="B373" i="116" s="1"/>
  <c r="B374" i="116" s="1"/>
  <c r="B375" i="116" s="1"/>
  <c r="B376" i="116" s="1"/>
  <c r="B377" i="116" s="1"/>
  <c r="E348" i="116"/>
  <c r="C348" i="116"/>
  <c r="B348" i="116"/>
  <c r="E347" i="116"/>
  <c r="E340" i="116"/>
  <c r="E339" i="116"/>
  <c r="E338" i="116"/>
  <c r="E337" i="116"/>
  <c r="E336" i="116"/>
  <c r="E335" i="116"/>
  <c r="C335" i="116"/>
  <c r="C336" i="116" s="1"/>
  <c r="C337" i="116" s="1"/>
  <c r="C338" i="116" s="1"/>
  <c r="C339" i="116" s="1"/>
  <c r="C340" i="116" s="1"/>
  <c r="B335" i="116"/>
  <c r="B336" i="116" s="1"/>
  <c r="B337" i="116" s="1"/>
  <c r="B338" i="116" s="1"/>
  <c r="B339" i="116" s="1"/>
  <c r="B340" i="116" s="1"/>
  <c r="E334" i="116"/>
  <c r="E333" i="116"/>
  <c r="C333" i="116"/>
  <c r="C334" i="116" s="1"/>
  <c r="E332" i="116"/>
  <c r="C332" i="116"/>
  <c r="E330" i="116"/>
  <c r="E329" i="116"/>
  <c r="B329" i="116"/>
  <c r="B330" i="116" s="1"/>
  <c r="B332" i="116" s="1"/>
  <c r="B333" i="116" s="1"/>
  <c r="B334" i="116" s="1"/>
  <c r="E328" i="116"/>
  <c r="E327" i="116"/>
  <c r="E326" i="116"/>
  <c r="E325" i="116"/>
  <c r="E324" i="116"/>
  <c r="E323" i="116"/>
  <c r="E322" i="116"/>
  <c r="B322" i="116"/>
  <c r="B323" i="116" s="1"/>
  <c r="B324" i="116" s="1"/>
  <c r="B325" i="116" s="1"/>
  <c r="B326" i="116" s="1"/>
  <c r="B327" i="116" s="1"/>
  <c r="B328" i="116" s="1"/>
  <c r="E321" i="116"/>
  <c r="E320" i="116"/>
  <c r="E319" i="116"/>
  <c r="E318" i="116"/>
  <c r="C318" i="116"/>
  <c r="C319" i="116" s="1"/>
  <c r="C320" i="116" s="1"/>
  <c r="C321" i="116" s="1"/>
  <c r="C322" i="116" s="1"/>
  <c r="C323" i="116" s="1"/>
  <c r="C324" i="116" s="1"/>
  <c r="C325" i="116" s="1"/>
  <c r="C326" i="116" s="1"/>
  <c r="C327" i="116" s="1"/>
  <c r="C328" i="116" s="1"/>
  <c r="C329" i="116" s="1"/>
  <c r="C330" i="116" s="1"/>
  <c r="E316" i="116"/>
  <c r="B316" i="116"/>
  <c r="B318" i="116" s="1"/>
  <c r="B319" i="116" s="1"/>
  <c r="B320" i="116" s="1"/>
  <c r="B321" i="116" s="1"/>
  <c r="E315" i="116"/>
  <c r="E314" i="116"/>
  <c r="E313" i="116"/>
  <c r="B313" i="116"/>
  <c r="B314" i="116" s="1"/>
  <c r="B315" i="116" s="1"/>
  <c r="E312" i="116"/>
  <c r="B312" i="116"/>
  <c r="E311" i="116"/>
  <c r="C311" i="116"/>
  <c r="C312" i="116" s="1"/>
  <c r="C313" i="116" s="1"/>
  <c r="C314" i="116" s="1"/>
  <c r="C315" i="116" s="1"/>
  <c r="C316" i="116" s="1"/>
  <c r="B311" i="116"/>
  <c r="E310" i="116"/>
  <c r="E303" i="116"/>
  <c r="E302" i="116"/>
  <c r="E301" i="116"/>
  <c r="E300" i="116"/>
  <c r="E299" i="116"/>
  <c r="E298" i="116"/>
  <c r="C298" i="116"/>
  <c r="C299" i="116" s="1"/>
  <c r="C300" i="116" s="1"/>
  <c r="C301" i="116" s="1"/>
  <c r="C302" i="116" s="1"/>
  <c r="C303" i="116" s="1"/>
  <c r="B298" i="116"/>
  <c r="B299" i="116" s="1"/>
  <c r="B300" i="116" s="1"/>
  <c r="B301" i="116" s="1"/>
  <c r="B302" i="116" s="1"/>
  <c r="B303" i="116" s="1"/>
  <c r="E297" i="116"/>
  <c r="E296" i="116"/>
  <c r="C296" i="116"/>
  <c r="C297" i="116" s="1"/>
  <c r="E295" i="116"/>
  <c r="C295" i="116"/>
  <c r="E293" i="116"/>
  <c r="E292" i="116"/>
  <c r="E291" i="116"/>
  <c r="E290" i="116"/>
  <c r="E289" i="116"/>
  <c r="E288" i="116"/>
  <c r="E287" i="116"/>
  <c r="E286" i="116"/>
  <c r="E285" i="116"/>
  <c r="E284" i="116"/>
  <c r="E283" i="116"/>
  <c r="E282" i="116"/>
  <c r="E281" i="116"/>
  <c r="E279" i="116"/>
  <c r="C279" i="116"/>
  <c r="C281" i="116" s="1"/>
  <c r="C282" i="116" s="1"/>
  <c r="C283" i="116" s="1"/>
  <c r="C284" i="116" s="1"/>
  <c r="C285" i="116" s="1"/>
  <c r="C286" i="116" s="1"/>
  <c r="C287" i="116" s="1"/>
  <c r="C288" i="116" s="1"/>
  <c r="C289" i="116" s="1"/>
  <c r="C290" i="116" s="1"/>
  <c r="C291" i="116" s="1"/>
  <c r="C292" i="116" s="1"/>
  <c r="C293" i="116" s="1"/>
  <c r="B279" i="116"/>
  <c r="B281" i="116" s="1"/>
  <c r="B282" i="116" s="1"/>
  <c r="B283" i="116" s="1"/>
  <c r="B284" i="116" s="1"/>
  <c r="B285" i="116" s="1"/>
  <c r="B286" i="116" s="1"/>
  <c r="B287" i="116" s="1"/>
  <c r="B288" i="116" s="1"/>
  <c r="B289" i="116" s="1"/>
  <c r="B290" i="116" s="1"/>
  <c r="B291" i="116" s="1"/>
  <c r="B292" i="116" s="1"/>
  <c r="B293" i="116" s="1"/>
  <c r="B295" i="116" s="1"/>
  <c r="B296" i="116" s="1"/>
  <c r="B297" i="116" s="1"/>
  <c r="E278" i="116"/>
  <c r="C278" i="116"/>
  <c r="E277" i="116"/>
  <c r="E276" i="116"/>
  <c r="C276" i="116"/>
  <c r="C277" i="116" s="1"/>
  <c r="E275" i="116"/>
  <c r="C275" i="116"/>
  <c r="B275" i="116"/>
  <c r="B276" i="116" s="1"/>
  <c r="B277" i="116" s="1"/>
  <c r="B278" i="116" s="1"/>
  <c r="E274" i="116"/>
  <c r="C274" i="116"/>
  <c r="B274" i="116"/>
  <c r="E273" i="116"/>
  <c r="A273" i="116"/>
  <c r="E266" i="116"/>
  <c r="C266" i="116"/>
  <c r="E265" i="116"/>
  <c r="E264" i="116"/>
  <c r="E263" i="116"/>
  <c r="E262" i="116"/>
  <c r="E261" i="116"/>
  <c r="B261" i="116"/>
  <c r="B262" i="116" s="1"/>
  <c r="B263" i="116" s="1"/>
  <c r="B264" i="116" s="1"/>
  <c r="B265" i="116" s="1"/>
  <c r="B266" i="116" s="1"/>
  <c r="E260" i="116"/>
  <c r="C260" i="116"/>
  <c r="C261" i="116" s="1"/>
  <c r="C262" i="116" s="1"/>
  <c r="C263" i="116" s="1"/>
  <c r="C264" i="116" s="1"/>
  <c r="C265" i="116" s="1"/>
  <c r="E259" i="116"/>
  <c r="E258" i="116"/>
  <c r="C258" i="116"/>
  <c r="C259" i="116" s="1"/>
  <c r="E256" i="116"/>
  <c r="E255" i="116"/>
  <c r="E254" i="116"/>
  <c r="E253" i="116"/>
  <c r="E252" i="116"/>
  <c r="E251" i="116"/>
  <c r="C251" i="116"/>
  <c r="C252" i="116" s="1"/>
  <c r="C253" i="116" s="1"/>
  <c r="C254" i="116" s="1"/>
  <c r="C255" i="116" s="1"/>
  <c r="C256" i="116" s="1"/>
  <c r="B251" i="116"/>
  <c r="B252" i="116" s="1"/>
  <c r="B253" i="116" s="1"/>
  <c r="B254" i="116" s="1"/>
  <c r="B255" i="116" s="1"/>
  <c r="B256" i="116" s="1"/>
  <c r="B258" i="116" s="1"/>
  <c r="B259" i="116" s="1"/>
  <c r="B260" i="116" s="1"/>
  <c r="E250" i="116"/>
  <c r="E249" i="116"/>
  <c r="E248" i="116"/>
  <c r="E247" i="116"/>
  <c r="E246" i="116"/>
  <c r="A246" i="116"/>
  <c r="A247" i="116" s="1"/>
  <c r="A248" i="116" s="1"/>
  <c r="A249" i="116" s="1"/>
  <c r="A250" i="116" s="1"/>
  <c r="A251" i="116" s="1"/>
  <c r="A252" i="116" s="1"/>
  <c r="A253" i="116" s="1"/>
  <c r="A254" i="116" s="1"/>
  <c r="A255" i="116" s="1"/>
  <c r="A256" i="116" s="1"/>
  <c r="A258" i="116" s="1"/>
  <c r="A259" i="116" s="1"/>
  <c r="A260" i="116" s="1"/>
  <c r="A261" i="116" s="1"/>
  <c r="A262" i="116" s="1"/>
  <c r="E245" i="116"/>
  <c r="E244" i="116"/>
  <c r="C244" i="116"/>
  <c r="C245" i="116" s="1"/>
  <c r="C246" i="116" s="1"/>
  <c r="C247" i="116" s="1"/>
  <c r="C248" i="116" s="1"/>
  <c r="C249" i="116" s="1"/>
  <c r="C250" i="116" s="1"/>
  <c r="E242" i="116"/>
  <c r="E241" i="116"/>
  <c r="C241" i="116"/>
  <c r="C242" i="116" s="1"/>
  <c r="E240" i="116"/>
  <c r="E239" i="116"/>
  <c r="E238" i="116"/>
  <c r="C238" i="116"/>
  <c r="C239" i="116" s="1"/>
  <c r="C240" i="116" s="1"/>
  <c r="B238" i="116"/>
  <c r="B239" i="116" s="1"/>
  <c r="B240" i="116" s="1"/>
  <c r="B241" i="116" s="1"/>
  <c r="B242" i="116" s="1"/>
  <c r="B244" i="116" s="1"/>
  <c r="B245" i="116" s="1"/>
  <c r="B246" i="116" s="1"/>
  <c r="B247" i="116" s="1"/>
  <c r="B248" i="116" s="1"/>
  <c r="B249" i="116" s="1"/>
  <c r="B250" i="116" s="1"/>
  <c r="E237" i="116"/>
  <c r="C237" i="116"/>
  <c r="B237" i="116"/>
  <c r="E236" i="116"/>
  <c r="E229" i="116"/>
  <c r="E228" i="116"/>
  <c r="E227" i="116"/>
  <c r="E226" i="116"/>
  <c r="E225" i="116"/>
  <c r="E224" i="116"/>
  <c r="C224" i="116"/>
  <c r="C225" i="116" s="1"/>
  <c r="C226" i="116" s="1"/>
  <c r="C227" i="116" s="1"/>
  <c r="C228" i="116" s="1"/>
  <c r="C229" i="116" s="1"/>
  <c r="E223" i="116"/>
  <c r="C223" i="116"/>
  <c r="E222" i="116"/>
  <c r="C222" i="116"/>
  <c r="E221" i="116"/>
  <c r="C221" i="116"/>
  <c r="E219" i="116"/>
  <c r="E218" i="116"/>
  <c r="E217" i="116"/>
  <c r="E216" i="116"/>
  <c r="E215" i="116"/>
  <c r="E214" i="116"/>
  <c r="E213" i="116"/>
  <c r="E212" i="116"/>
  <c r="E211" i="116"/>
  <c r="E210" i="116"/>
  <c r="E209" i="116"/>
  <c r="A209" i="116"/>
  <c r="A210" i="116" s="1"/>
  <c r="A211" i="116" s="1"/>
  <c r="A212" i="116" s="1"/>
  <c r="A213" i="116" s="1"/>
  <c r="A214" i="116" s="1"/>
  <c r="A215" i="116" s="1"/>
  <c r="A216" i="116" s="1"/>
  <c r="A217" i="116" s="1"/>
  <c r="A218" i="116" s="1"/>
  <c r="A219" i="116" s="1"/>
  <c r="A221" i="116" s="1"/>
  <c r="A222" i="116" s="1"/>
  <c r="A223" i="116" s="1"/>
  <c r="A224" i="116" s="1"/>
  <c r="A225" i="116" s="1"/>
  <c r="A226" i="116" s="1"/>
  <c r="A227" i="116" s="1"/>
  <c r="A228" i="116" s="1"/>
  <c r="A229" i="116" s="1"/>
  <c r="E208" i="116"/>
  <c r="C208" i="116"/>
  <c r="C209" i="116" s="1"/>
  <c r="C210" i="116" s="1"/>
  <c r="C211" i="116" s="1"/>
  <c r="C212" i="116" s="1"/>
  <c r="C213" i="116" s="1"/>
  <c r="C214" i="116" s="1"/>
  <c r="C215" i="116" s="1"/>
  <c r="C216" i="116" s="1"/>
  <c r="C217" i="116" s="1"/>
  <c r="C218" i="116" s="1"/>
  <c r="C219" i="116" s="1"/>
  <c r="E207" i="116"/>
  <c r="E205" i="116"/>
  <c r="E204" i="116"/>
  <c r="C204" i="116"/>
  <c r="C205" i="116" s="1"/>
  <c r="C207" i="116" s="1"/>
  <c r="E203" i="116"/>
  <c r="B203" i="116"/>
  <c r="B204" i="116" s="1"/>
  <c r="B205" i="116" s="1"/>
  <c r="B207" i="116" s="1"/>
  <c r="B208" i="116" s="1"/>
  <c r="B209" i="116" s="1"/>
  <c r="B210" i="116" s="1"/>
  <c r="B211" i="116" s="1"/>
  <c r="B212" i="116" s="1"/>
  <c r="B213" i="116" s="1"/>
  <c r="B214" i="116" s="1"/>
  <c r="B215" i="116" s="1"/>
  <c r="B216" i="116" s="1"/>
  <c r="B217" i="116" s="1"/>
  <c r="B218" i="116" s="1"/>
  <c r="B219" i="116" s="1"/>
  <c r="B221" i="116" s="1"/>
  <c r="B222" i="116" s="1"/>
  <c r="B223" i="116" s="1"/>
  <c r="B224" i="116" s="1"/>
  <c r="B225" i="116" s="1"/>
  <c r="B226" i="116" s="1"/>
  <c r="B227" i="116" s="1"/>
  <c r="B228" i="116" s="1"/>
  <c r="B229" i="116" s="1"/>
  <c r="A203" i="116"/>
  <c r="A204" i="116" s="1"/>
  <c r="A205" i="116" s="1"/>
  <c r="A207" i="116" s="1"/>
  <c r="A208" i="116" s="1"/>
  <c r="E202" i="116"/>
  <c r="E201" i="116"/>
  <c r="C201" i="116"/>
  <c r="C202" i="116" s="1"/>
  <c r="C203" i="116" s="1"/>
  <c r="E200" i="116"/>
  <c r="C200" i="116"/>
  <c r="B200" i="116"/>
  <c r="B201" i="116" s="1"/>
  <c r="B202" i="116" s="1"/>
  <c r="A200" i="116"/>
  <c r="A201" i="116" s="1"/>
  <c r="A202" i="116" s="1"/>
  <c r="E199" i="116"/>
  <c r="E192" i="116"/>
  <c r="E191" i="116"/>
  <c r="E190" i="116"/>
  <c r="E189" i="116"/>
  <c r="C189" i="116"/>
  <c r="C190" i="116" s="1"/>
  <c r="C191" i="116" s="1"/>
  <c r="C192" i="116" s="1"/>
  <c r="E188" i="116"/>
  <c r="E187" i="116"/>
  <c r="E186" i="116"/>
  <c r="E185" i="116"/>
  <c r="C185" i="116"/>
  <c r="C186" i="116" s="1"/>
  <c r="C187" i="116" s="1"/>
  <c r="C188" i="116" s="1"/>
  <c r="E184" i="116"/>
  <c r="C184" i="116"/>
  <c r="E182" i="116"/>
  <c r="E181" i="116"/>
  <c r="E180" i="116"/>
  <c r="E179" i="116"/>
  <c r="E178" i="116"/>
  <c r="E177" i="116"/>
  <c r="E176" i="116"/>
  <c r="E175" i="116"/>
  <c r="B175" i="116"/>
  <c r="B176" i="116" s="1"/>
  <c r="B177" i="116" s="1"/>
  <c r="B178" i="116" s="1"/>
  <c r="B179" i="116" s="1"/>
  <c r="B180" i="116" s="1"/>
  <c r="B181" i="116" s="1"/>
  <c r="B182" i="116" s="1"/>
  <c r="B184" i="116" s="1"/>
  <c r="B185" i="116" s="1"/>
  <c r="B186" i="116" s="1"/>
  <c r="B187" i="116" s="1"/>
  <c r="B188" i="116" s="1"/>
  <c r="B189" i="116" s="1"/>
  <c r="B190" i="116" s="1"/>
  <c r="B191" i="116" s="1"/>
  <c r="B192" i="116" s="1"/>
  <c r="E174" i="116"/>
  <c r="E173" i="116"/>
  <c r="C173" i="116"/>
  <c r="C174" i="116" s="1"/>
  <c r="C175" i="116" s="1"/>
  <c r="C176" i="116" s="1"/>
  <c r="C177" i="116" s="1"/>
  <c r="C178" i="116" s="1"/>
  <c r="C179" i="116" s="1"/>
  <c r="C180" i="116" s="1"/>
  <c r="C181" i="116" s="1"/>
  <c r="C182" i="116" s="1"/>
  <c r="E172" i="116"/>
  <c r="E171" i="116"/>
  <c r="E170" i="116"/>
  <c r="E168" i="116"/>
  <c r="B168" i="116"/>
  <c r="B170" i="116" s="1"/>
  <c r="B171" i="116" s="1"/>
  <c r="B172" i="116" s="1"/>
  <c r="B173" i="116" s="1"/>
  <c r="B174" i="116" s="1"/>
  <c r="A168" i="116"/>
  <c r="A170" i="116" s="1"/>
  <c r="A171" i="116" s="1"/>
  <c r="A172" i="116" s="1"/>
  <c r="A173" i="116" s="1"/>
  <c r="A174" i="116" s="1"/>
  <c r="A175" i="116" s="1"/>
  <c r="A176" i="116" s="1"/>
  <c r="A177" i="116" s="1"/>
  <c r="A178" i="116" s="1"/>
  <c r="A179" i="116" s="1"/>
  <c r="A180" i="116" s="1"/>
  <c r="A181" i="116" s="1"/>
  <c r="A182" i="116" s="1"/>
  <c r="A184" i="116" s="1"/>
  <c r="A185" i="116" s="1"/>
  <c r="A186" i="116" s="1"/>
  <c r="A187" i="116" s="1"/>
  <c r="E167" i="116"/>
  <c r="E166" i="116"/>
  <c r="E165" i="116"/>
  <c r="E164" i="116"/>
  <c r="A164" i="116"/>
  <c r="A165" i="116" s="1"/>
  <c r="A166" i="116" s="1"/>
  <c r="A167" i="116" s="1"/>
  <c r="E163" i="116"/>
  <c r="C163" i="116"/>
  <c r="C164" i="116" s="1"/>
  <c r="C165" i="116" s="1"/>
  <c r="C166" i="116" s="1"/>
  <c r="C167" i="116" s="1"/>
  <c r="C168" i="116" s="1"/>
  <c r="C170" i="116" s="1"/>
  <c r="C171" i="116" s="1"/>
  <c r="C172" i="116" s="1"/>
  <c r="B163" i="116"/>
  <c r="B164" i="116" s="1"/>
  <c r="B165" i="116" s="1"/>
  <c r="B166" i="116" s="1"/>
  <c r="B167" i="116" s="1"/>
  <c r="A163" i="116"/>
  <c r="E162" i="116"/>
  <c r="E155" i="116"/>
  <c r="E154" i="116"/>
  <c r="E153" i="116"/>
  <c r="E152" i="116"/>
  <c r="E151" i="116"/>
  <c r="E150" i="116"/>
  <c r="E149" i="116"/>
  <c r="E148" i="116"/>
  <c r="C148" i="116"/>
  <c r="C149" i="116" s="1"/>
  <c r="C150" i="116" s="1"/>
  <c r="C151" i="116" s="1"/>
  <c r="C152" i="116" s="1"/>
  <c r="C153" i="116" s="1"/>
  <c r="C154" i="116" s="1"/>
  <c r="C155" i="116" s="1"/>
  <c r="E147" i="116"/>
  <c r="C147" i="116"/>
  <c r="E145" i="116"/>
  <c r="E144" i="116"/>
  <c r="C144" i="116"/>
  <c r="C145" i="116" s="1"/>
  <c r="E143" i="116"/>
  <c r="E142" i="116"/>
  <c r="E141" i="116"/>
  <c r="E140" i="116"/>
  <c r="E139" i="116"/>
  <c r="E138" i="116"/>
  <c r="E137" i="116"/>
  <c r="E136" i="116"/>
  <c r="E135" i="116"/>
  <c r="E134" i="116"/>
  <c r="B134" i="116"/>
  <c r="B135" i="116" s="1"/>
  <c r="B136" i="116" s="1"/>
  <c r="B137" i="116" s="1"/>
  <c r="B138" i="116" s="1"/>
  <c r="B139" i="116" s="1"/>
  <c r="B140" i="116" s="1"/>
  <c r="B141" i="116" s="1"/>
  <c r="B142" i="116" s="1"/>
  <c r="B143" i="116" s="1"/>
  <c r="B144" i="116" s="1"/>
  <c r="B145" i="116" s="1"/>
  <c r="B147" i="116" s="1"/>
  <c r="B148" i="116" s="1"/>
  <c r="B149" i="116" s="1"/>
  <c r="B150" i="116" s="1"/>
  <c r="B151" i="116" s="1"/>
  <c r="B152" i="116" s="1"/>
  <c r="B153" i="116" s="1"/>
  <c r="B154" i="116" s="1"/>
  <c r="B155" i="116" s="1"/>
  <c r="E133" i="116"/>
  <c r="E131" i="116"/>
  <c r="C131" i="116"/>
  <c r="C133" i="116" s="1"/>
  <c r="C134" i="116" s="1"/>
  <c r="C135" i="116" s="1"/>
  <c r="C136" i="116" s="1"/>
  <c r="C137" i="116" s="1"/>
  <c r="C138" i="116" s="1"/>
  <c r="C139" i="116" s="1"/>
  <c r="C140" i="116" s="1"/>
  <c r="C141" i="116" s="1"/>
  <c r="C142" i="116" s="1"/>
  <c r="C143" i="116" s="1"/>
  <c r="E130" i="116"/>
  <c r="E129" i="116"/>
  <c r="E128" i="116"/>
  <c r="E127" i="116"/>
  <c r="B127" i="116"/>
  <c r="B128" i="116" s="1"/>
  <c r="B129" i="116" s="1"/>
  <c r="B130" i="116" s="1"/>
  <c r="B131" i="116" s="1"/>
  <c r="B133" i="116" s="1"/>
  <c r="E126" i="116"/>
  <c r="C126" i="116"/>
  <c r="C127" i="116" s="1"/>
  <c r="C128" i="116" s="1"/>
  <c r="C129" i="116" s="1"/>
  <c r="C130" i="116" s="1"/>
  <c r="B126" i="116"/>
  <c r="E125" i="116"/>
  <c r="A125" i="116"/>
  <c r="A162" i="116" s="1"/>
  <c r="A199" i="116" s="1"/>
  <c r="A236" i="116" s="1"/>
  <c r="A237" i="116" s="1"/>
  <c r="A238" i="116" s="1"/>
  <c r="A239" i="116" s="1"/>
  <c r="A240" i="116" s="1"/>
  <c r="A241" i="116" s="1"/>
  <c r="A242" i="116" s="1"/>
  <c r="A244" i="116" s="1"/>
  <c r="A245" i="116" s="1"/>
  <c r="E118" i="116"/>
  <c r="E117" i="116"/>
  <c r="E116" i="116"/>
  <c r="E115" i="116"/>
  <c r="E114" i="116"/>
  <c r="C114" i="116"/>
  <c r="C115" i="116" s="1"/>
  <c r="C116" i="116" s="1"/>
  <c r="C117" i="116" s="1"/>
  <c r="C118" i="116" s="1"/>
  <c r="E113" i="116"/>
  <c r="E112" i="116"/>
  <c r="E111" i="116"/>
  <c r="E110" i="116"/>
  <c r="C110" i="116"/>
  <c r="C111" i="116" s="1"/>
  <c r="C112" i="116" s="1"/>
  <c r="C113" i="116" s="1"/>
  <c r="E108" i="116"/>
  <c r="E107" i="116"/>
  <c r="E106" i="116"/>
  <c r="E105" i="116"/>
  <c r="E104" i="116"/>
  <c r="E103" i="116"/>
  <c r="E102" i="116"/>
  <c r="E101" i="116"/>
  <c r="E100" i="116"/>
  <c r="E99" i="116"/>
  <c r="A99" i="116"/>
  <c r="A100" i="116" s="1"/>
  <c r="A101" i="116" s="1"/>
  <c r="A102" i="116" s="1"/>
  <c r="A103" i="116" s="1"/>
  <c r="A104" i="116" s="1"/>
  <c r="A105" i="116" s="1"/>
  <c r="A106" i="116" s="1"/>
  <c r="A107" i="116" s="1"/>
  <c r="A108" i="116" s="1"/>
  <c r="A110" i="116" s="1"/>
  <c r="A111" i="116" s="1"/>
  <c r="A112" i="116" s="1"/>
  <c r="A113" i="116" s="1"/>
  <c r="A114" i="116" s="1"/>
  <c r="A115" i="116" s="1"/>
  <c r="A116" i="116" s="1"/>
  <c r="A117" i="116" s="1"/>
  <c r="E98" i="116"/>
  <c r="E97" i="116"/>
  <c r="E96" i="116"/>
  <c r="E94" i="116"/>
  <c r="E93" i="116"/>
  <c r="E92" i="116"/>
  <c r="A92" i="116"/>
  <c r="A93" i="116" s="1"/>
  <c r="A94" i="116" s="1"/>
  <c r="A96" i="116" s="1"/>
  <c r="A97" i="116" s="1"/>
  <c r="A98" i="116" s="1"/>
  <c r="E91" i="116"/>
  <c r="E90" i="116"/>
  <c r="C90" i="116"/>
  <c r="C91" i="116" s="1"/>
  <c r="C92" i="116" s="1"/>
  <c r="C93" i="116" s="1"/>
  <c r="C94" i="116" s="1"/>
  <c r="C96" i="116" s="1"/>
  <c r="C97" i="116" s="1"/>
  <c r="C98" i="116" s="1"/>
  <c r="C99" i="116" s="1"/>
  <c r="C100" i="116" s="1"/>
  <c r="C101" i="116" s="1"/>
  <c r="C102" i="116" s="1"/>
  <c r="C103" i="116" s="1"/>
  <c r="C104" i="116" s="1"/>
  <c r="C105" i="116" s="1"/>
  <c r="C106" i="116" s="1"/>
  <c r="C107" i="116" s="1"/>
  <c r="C108" i="116" s="1"/>
  <c r="B90" i="116"/>
  <c r="B91" i="116" s="1"/>
  <c r="B92" i="116" s="1"/>
  <c r="B93" i="116" s="1"/>
  <c r="B94" i="116" s="1"/>
  <c r="B96" i="116" s="1"/>
  <c r="B97" i="116" s="1"/>
  <c r="B98" i="116" s="1"/>
  <c r="B99" i="116" s="1"/>
  <c r="B100" i="116" s="1"/>
  <c r="B101" i="116" s="1"/>
  <c r="B102" i="116" s="1"/>
  <c r="B103" i="116" s="1"/>
  <c r="B104" i="116" s="1"/>
  <c r="B105" i="116" s="1"/>
  <c r="B106" i="116" s="1"/>
  <c r="B107" i="116" s="1"/>
  <c r="B108" i="116" s="1"/>
  <c r="B110" i="116" s="1"/>
  <c r="B111" i="116" s="1"/>
  <c r="B112" i="116" s="1"/>
  <c r="B113" i="116" s="1"/>
  <c r="B114" i="116" s="1"/>
  <c r="B115" i="116" s="1"/>
  <c r="B116" i="116" s="1"/>
  <c r="B117" i="116" s="1"/>
  <c r="B118" i="116" s="1"/>
  <c r="A90" i="116"/>
  <c r="A91" i="116" s="1"/>
  <c r="E89" i="116"/>
  <c r="C89" i="116"/>
  <c r="B89" i="116"/>
  <c r="A89" i="116"/>
  <c r="E88" i="116"/>
  <c r="A88" i="116"/>
  <c r="C77" i="116"/>
  <c r="C78" i="116" s="1"/>
  <c r="C79" i="116" s="1"/>
  <c r="C80" i="116" s="1"/>
  <c r="C81" i="116" s="1"/>
  <c r="C74" i="116"/>
  <c r="C75" i="116" s="1"/>
  <c r="C76" i="116" s="1"/>
  <c r="C73" i="116"/>
  <c r="B64" i="116"/>
  <c r="B65" i="116" s="1"/>
  <c r="B66" i="116" s="1"/>
  <c r="B67" i="116" s="1"/>
  <c r="B68" i="116" s="1"/>
  <c r="B69" i="116" s="1"/>
  <c r="B70" i="116" s="1"/>
  <c r="B71" i="116" s="1"/>
  <c r="B73" i="116" s="1"/>
  <c r="B74" i="116" s="1"/>
  <c r="B75" i="116" s="1"/>
  <c r="B76" i="116" s="1"/>
  <c r="B77" i="116" s="1"/>
  <c r="B78" i="116" s="1"/>
  <c r="B79" i="116" s="1"/>
  <c r="B80" i="116" s="1"/>
  <c r="B81" i="116" s="1"/>
  <c r="C54" i="116"/>
  <c r="C55" i="116" s="1"/>
  <c r="C56" i="116" s="1"/>
  <c r="C57" i="116" s="1"/>
  <c r="C59" i="116" s="1"/>
  <c r="C60" i="116" s="1"/>
  <c r="C61" i="116" s="1"/>
  <c r="C62" i="116" s="1"/>
  <c r="C63" i="116" s="1"/>
  <c r="C64" i="116" s="1"/>
  <c r="C65" i="116" s="1"/>
  <c r="C66" i="116" s="1"/>
  <c r="C67" i="116" s="1"/>
  <c r="C68" i="116" s="1"/>
  <c r="C69" i="116" s="1"/>
  <c r="C70" i="116" s="1"/>
  <c r="C71" i="116" s="1"/>
  <c r="C53" i="116"/>
  <c r="B53" i="116"/>
  <c r="B54" i="116" s="1"/>
  <c r="B55" i="116" s="1"/>
  <c r="B56" i="116" s="1"/>
  <c r="B57" i="116" s="1"/>
  <c r="B59" i="116" s="1"/>
  <c r="B60" i="116" s="1"/>
  <c r="B61" i="116" s="1"/>
  <c r="B62" i="116" s="1"/>
  <c r="B63" i="116" s="1"/>
  <c r="C52" i="116"/>
  <c r="B52" i="116"/>
  <c r="C38" i="116"/>
  <c r="C39" i="116" s="1"/>
  <c r="C40" i="116" s="1"/>
  <c r="C41" i="116" s="1"/>
  <c r="C42" i="116" s="1"/>
  <c r="C43" i="116" s="1"/>
  <c r="C44" i="116" s="1"/>
  <c r="C36" i="116"/>
  <c r="C37" i="116" s="1"/>
  <c r="B23" i="116"/>
  <c r="B24" i="116" s="1"/>
  <c r="B25" i="116" s="1"/>
  <c r="B26" i="116" s="1"/>
  <c r="B27" i="116" s="1"/>
  <c r="B28" i="116" s="1"/>
  <c r="B29" i="116" s="1"/>
  <c r="B30" i="116" s="1"/>
  <c r="B31" i="116" s="1"/>
  <c r="B32" i="116" s="1"/>
  <c r="B33" i="116" s="1"/>
  <c r="B34" i="116" s="1"/>
  <c r="B36" i="116" s="1"/>
  <c r="B37" i="116" s="1"/>
  <c r="B38" i="116" s="1"/>
  <c r="B39" i="116" s="1"/>
  <c r="B40" i="116" s="1"/>
  <c r="B41" i="116" s="1"/>
  <c r="B42" i="116" s="1"/>
  <c r="B43" i="116" s="1"/>
  <c r="B44" i="116" s="1"/>
  <c r="B22" i="116"/>
  <c r="C20" i="116"/>
  <c r="C22" i="116" s="1"/>
  <c r="C23" i="116" s="1"/>
  <c r="C24" i="116" s="1"/>
  <c r="C25" i="116" s="1"/>
  <c r="C26" i="116" s="1"/>
  <c r="C27" i="116" s="1"/>
  <c r="C28" i="116" s="1"/>
  <c r="C29" i="116" s="1"/>
  <c r="C30" i="116" s="1"/>
  <c r="C31" i="116" s="1"/>
  <c r="C32" i="116" s="1"/>
  <c r="C33" i="116" s="1"/>
  <c r="C34" i="116" s="1"/>
  <c r="C19" i="116"/>
  <c r="C15" i="116"/>
  <c r="C16" i="116" s="1"/>
  <c r="C17" i="116" s="1"/>
  <c r="C18" i="116" s="1"/>
  <c r="B15" i="116"/>
  <c r="B16" i="116" s="1"/>
  <c r="B17" i="116" s="1"/>
  <c r="B18" i="116" s="1"/>
  <c r="B19" i="116" s="1"/>
  <c r="B20" i="116" s="1"/>
  <c r="Y2" i="116"/>
  <c r="X2" i="116"/>
  <c r="W2" i="116"/>
  <c r="V2" i="116"/>
  <c r="U2" i="116"/>
  <c r="T2" i="116"/>
  <c r="S2" i="116"/>
  <c r="R2" i="116"/>
  <c r="Q2" i="116"/>
  <c r="P2" i="116"/>
  <c r="O2" i="116"/>
  <c r="N2" i="116"/>
  <c r="M2" i="116"/>
  <c r="L2" i="116"/>
  <c r="K2" i="116"/>
  <c r="J2" i="116"/>
  <c r="I2" i="116"/>
  <c r="H2" i="116"/>
  <c r="Y1" i="116"/>
  <c r="AA1" i="116" s="1"/>
  <c r="X1" i="116"/>
  <c r="W1" i="116"/>
  <c r="V1" i="116"/>
  <c r="U1" i="116"/>
  <c r="T1" i="116"/>
  <c r="S1" i="116"/>
  <c r="R1" i="116"/>
  <c r="Q1" i="116"/>
  <c r="P1" i="116"/>
  <c r="O1" i="116"/>
  <c r="N1" i="116"/>
  <c r="M1" i="116"/>
  <c r="L1" i="116"/>
  <c r="K1" i="116"/>
  <c r="J1" i="116"/>
  <c r="I1" i="116"/>
  <c r="H1" i="116"/>
  <c r="E22" i="113"/>
  <c r="F22" i="113"/>
  <c r="G22" i="113"/>
  <c r="H22" i="113"/>
  <c r="I22" i="113"/>
  <c r="E23" i="113"/>
  <c r="F23" i="113"/>
  <c r="G23" i="113"/>
  <c r="H23" i="113"/>
  <c r="I23" i="113"/>
  <c r="E32" i="113"/>
  <c r="F32" i="113"/>
  <c r="G32" i="113"/>
  <c r="H32" i="113"/>
  <c r="I32" i="113"/>
  <c r="E33" i="113"/>
  <c r="F33" i="113"/>
  <c r="G33" i="113"/>
  <c r="H33" i="113"/>
  <c r="I33" i="113"/>
  <c r="E34" i="113"/>
  <c r="F34" i="113"/>
  <c r="G34" i="113"/>
  <c r="H34" i="113"/>
  <c r="I34" i="113"/>
  <c r="E35" i="113"/>
  <c r="F35" i="113"/>
  <c r="G35" i="113"/>
  <c r="H35" i="113"/>
  <c r="I35" i="113"/>
  <c r="E36" i="113"/>
  <c r="F36" i="113"/>
  <c r="G36" i="113"/>
  <c r="H36" i="113"/>
  <c r="I36" i="113"/>
  <c r="E37" i="113"/>
  <c r="F37" i="113"/>
  <c r="G37" i="113"/>
  <c r="H37" i="113"/>
  <c r="I37" i="113"/>
  <c r="D37" i="113"/>
  <c r="D36" i="113"/>
  <c r="D35" i="113"/>
  <c r="D34" i="113"/>
  <c r="D33" i="113"/>
  <c r="D32" i="113"/>
  <c r="D23" i="113"/>
  <c r="D22" i="113"/>
  <c r="E22" i="115"/>
  <c r="F22" i="115"/>
  <c r="G22" i="115"/>
  <c r="H22" i="115"/>
  <c r="I22" i="115"/>
  <c r="E23" i="115"/>
  <c r="F23" i="115"/>
  <c r="G23" i="115"/>
  <c r="H23" i="115"/>
  <c r="I23" i="115"/>
  <c r="E32" i="115"/>
  <c r="F32" i="115"/>
  <c r="G32" i="115"/>
  <c r="H32" i="115"/>
  <c r="I32" i="115"/>
  <c r="E33" i="115"/>
  <c r="F33" i="115"/>
  <c r="G33" i="115"/>
  <c r="H33" i="115"/>
  <c r="I33" i="115"/>
  <c r="E34" i="115"/>
  <c r="F34" i="115"/>
  <c r="G34" i="115"/>
  <c r="H34" i="115"/>
  <c r="I34" i="115"/>
  <c r="E35" i="115"/>
  <c r="F35" i="115"/>
  <c r="G35" i="115"/>
  <c r="H35" i="115"/>
  <c r="I35" i="115"/>
  <c r="E36" i="115"/>
  <c r="F36" i="115"/>
  <c r="G36" i="115"/>
  <c r="H36" i="115"/>
  <c r="I36" i="115"/>
  <c r="E37" i="115"/>
  <c r="F37" i="115"/>
  <c r="G37" i="115"/>
  <c r="H37" i="115"/>
  <c r="I37" i="115"/>
  <c r="D37" i="115"/>
  <c r="D36" i="115"/>
  <c r="D35" i="115"/>
  <c r="D34" i="115"/>
  <c r="D33" i="115"/>
  <c r="D32" i="115"/>
  <c r="I75" i="115"/>
  <c r="D75" i="115"/>
  <c r="E75" i="115" s="1"/>
  <c r="F75" i="115" s="1"/>
  <c r="G75" i="115" s="1"/>
  <c r="H75" i="115" s="1"/>
  <c r="D71" i="115"/>
  <c r="D59" i="115"/>
  <c r="I56" i="115"/>
  <c r="D56" i="115"/>
  <c r="E56" i="115" s="1"/>
  <c r="F56" i="115" s="1"/>
  <c r="G56" i="115" s="1"/>
  <c r="H56" i="115" s="1"/>
  <c r="D52" i="115"/>
  <c r="I18" i="115"/>
  <c r="E18" i="115" s="1"/>
  <c r="D18" i="115"/>
  <c r="D74" i="115" s="1"/>
  <c r="I17" i="115"/>
  <c r="D17" i="115"/>
  <c r="D73" i="115" s="1"/>
  <c r="I16" i="115"/>
  <c r="D16" i="115"/>
  <c r="D72" i="115" s="1"/>
  <c r="I15" i="115"/>
  <c r="D15" i="115"/>
  <c r="I14" i="115"/>
  <c r="E14" i="115" s="1"/>
  <c r="D14" i="115"/>
  <c r="D70" i="115" s="1"/>
  <c r="I13" i="115"/>
  <c r="D13" i="115"/>
  <c r="D69" i="115" s="1"/>
  <c r="I4" i="115"/>
  <c r="I60" i="115" s="1"/>
  <c r="D4" i="115"/>
  <c r="D60" i="115" s="1"/>
  <c r="I3" i="115"/>
  <c r="I59" i="115" s="1"/>
  <c r="D3" i="115"/>
  <c r="D40" i="115" s="1"/>
  <c r="C62" i="115"/>
  <c r="C63" i="115" s="1"/>
  <c r="C64" i="115" s="1"/>
  <c r="C65" i="115" s="1"/>
  <c r="C66" i="115" s="1"/>
  <c r="C67" i="115" s="1"/>
  <c r="C68" i="115" s="1"/>
  <c r="C43" i="115"/>
  <c r="C44" i="115" s="1"/>
  <c r="C45" i="115" s="1"/>
  <c r="C46" i="115" s="1"/>
  <c r="C47" i="115" s="1"/>
  <c r="C48" i="115" s="1"/>
  <c r="C49" i="115" s="1"/>
  <c r="C26" i="115"/>
  <c r="C27" i="115" s="1"/>
  <c r="C28" i="115" s="1"/>
  <c r="C29" i="115" s="1"/>
  <c r="C30" i="115" s="1"/>
  <c r="C31" i="115" s="1"/>
  <c r="C25" i="115"/>
  <c r="E16" i="115"/>
  <c r="E13" i="115"/>
  <c r="C6" i="115"/>
  <c r="C7" i="115" s="1"/>
  <c r="C8" i="115" s="1"/>
  <c r="C9" i="115" s="1"/>
  <c r="C10" i="115" s="1"/>
  <c r="C11" i="115" s="1"/>
  <c r="C12" i="115" s="1"/>
  <c r="E56" i="113"/>
  <c r="F56" i="113" s="1"/>
  <c r="G56" i="113" s="1"/>
  <c r="H56" i="113" s="1"/>
  <c r="I56" i="113"/>
  <c r="D56" i="113"/>
  <c r="I75" i="113"/>
  <c r="D75" i="113"/>
  <c r="C62" i="113"/>
  <c r="C63" i="113" s="1"/>
  <c r="C64" i="113" s="1"/>
  <c r="C65" i="113" s="1"/>
  <c r="C66" i="113" s="1"/>
  <c r="C67" i="113" s="1"/>
  <c r="C68" i="113" s="1"/>
  <c r="C26" i="111"/>
  <c r="D4" i="113"/>
  <c r="D41" i="113" s="1"/>
  <c r="F33" i="110"/>
  <c r="C40" i="111"/>
  <c r="P30" i="111"/>
  <c r="C28" i="111"/>
  <c r="F30" i="111"/>
  <c r="I51" i="113"/>
  <c r="I50" i="113"/>
  <c r="C43" i="113"/>
  <c r="C44" i="113" s="1"/>
  <c r="C45" i="113" s="1"/>
  <c r="C46" i="113" s="1"/>
  <c r="C47" i="113" s="1"/>
  <c r="C48" i="113" s="1"/>
  <c r="C49" i="113" s="1"/>
  <c r="C25" i="113"/>
  <c r="C26" i="113" s="1"/>
  <c r="C27" i="113" s="1"/>
  <c r="C28" i="113" s="1"/>
  <c r="C29" i="113" s="1"/>
  <c r="C30" i="113" s="1"/>
  <c r="C31" i="113" s="1"/>
  <c r="I18" i="113"/>
  <c r="I74" i="113" s="1"/>
  <c r="I17" i="113"/>
  <c r="I73" i="113" s="1"/>
  <c r="I16" i="113"/>
  <c r="I15" i="113"/>
  <c r="I71" i="113" s="1"/>
  <c r="I14" i="113"/>
  <c r="I70" i="113" s="1"/>
  <c r="I13" i="113"/>
  <c r="I69" i="113" s="1"/>
  <c r="I4" i="113"/>
  <c r="I3" i="113"/>
  <c r="I59" i="113" s="1"/>
  <c r="C6" i="113"/>
  <c r="C7" i="113" s="1"/>
  <c r="C8" i="113" s="1"/>
  <c r="C9" i="113" s="1"/>
  <c r="C10" i="113" s="1"/>
  <c r="C11" i="113" s="1"/>
  <c r="C12" i="113" s="1"/>
  <c r="AA184" i="116" a="1"/>
  <c r="W37" i="117" a="1"/>
  <c r="H13" i="65" l="1"/>
  <c r="J13" i="65" s="1"/>
  <c r="Q13" i="65" s="1"/>
  <c r="H30" i="65"/>
  <c r="J30" i="65" s="1"/>
  <c r="Q30" i="65" s="1"/>
  <c r="Q5" i="65"/>
  <c r="R13" i="65"/>
  <c r="E49" i="65"/>
  <c r="G24" i="118"/>
  <c r="C24" i="118"/>
  <c r="G36" i="118"/>
  <c r="Z36" i="118"/>
  <c r="F41" i="118"/>
  <c r="Y39" i="118"/>
  <c r="C39" i="118"/>
  <c r="G42" i="118"/>
  <c r="Q42" i="118" s="1"/>
  <c r="Z42" i="118" s="1"/>
  <c r="Y41" i="118"/>
  <c r="G41" i="118"/>
  <c r="BE5" i="108" s="1"/>
  <c r="AM4" i="113" s="1"/>
  <c r="Y40" i="118"/>
  <c r="F22" i="118"/>
  <c r="Y37" i="118"/>
  <c r="G43" i="118"/>
  <c r="W5" i="118"/>
  <c r="V5" i="118"/>
  <c r="U5" i="118"/>
  <c r="X5" i="118"/>
  <c r="Y46" i="118"/>
  <c r="Z46" i="118" s="1"/>
  <c r="S41" i="118"/>
  <c r="D30" i="118"/>
  <c r="T5" i="118"/>
  <c r="Z38" i="118"/>
  <c r="S22" i="118"/>
  <c r="D13" i="118"/>
  <c r="M17" i="108" s="1"/>
  <c r="AA184" i="116"/>
  <c r="W37" i="117"/>
  <c r="A118" i="116"/>
  <c r="A263" i="116"/>
  <c r="A264" i="116" s="1"/>
  <c r="A265" i="116" s="1"/>
  <c r="A266" i="116" s="1"/>
  <c r="A188" i="116"/>
  <c r="A189" i="116" s="1"/>
  <c r="A190" i="116" s="1"/>
  <c r="A191" i="116" s="1"/>
  <c r="A192" i="116" s="1"/>
  <c r="A310" i="116"/>
  <c r="A274" i="116"/>
  <c r="A275" i="116" s="1"/>
  <c r="A276" i="116" s="1"/>
  <c r="A277" i="116" s="1"/>
  <c r="A278" i="116" s="1"/>
  <c r="A279" i="116" s="1"/>
  <c r="A281" i="116" s="1"/>
  <c r="A282" i="116" s="1"/>
  <c r="A283" i="116" s="1"/>
  <c r="A284" i="116" s="1"/>
  <c r="A285" i="116" s="1"/>
  <c r="A286" i="116" s="1"/>
  <c r="A287" i="116" s="1"/>
  <c r="A288" i="116" s="1"/>
  <c r="A289" i="116" s="1"/>
  <c r="A290" i="116" s="1"/>
  <c r="A291" i="116" s="1"/>
  <c r="A292" i="116" s="1"/>
  <c r="A293" i="116" s="1"/>
  <c r="A295" i="116" s="1"/>
  <c r="A126" i="116"/>
  <c r="A127" i="116" s="1"/>
  <c r="A128" i="116" s="1"/>
  <c r="A129" i="116" s="1"/>
  <c r="A130" i="116" s="1"/>
  <c r="A131" i="116" s="1"/>
  <c r="A133" i="116" s="1"/>
  <c r="A134" i="116" s="1"/>
  <c r="A135" i="116" s="1"/>
  <c r="A136" i="116" s="1"/>
  <c r="A137" i="116" s="1"/>
  <c r="A138" i="116" s="1"/>
  <c r="A139" i="116" s="1"/>
  <c r="A140" i="116" s="1"/>
  <c r="A141" i="116" s="1"/>
  <c r="A142" i="116" s="1"/>
  <c r="A143" i="116" s="1"/>
  <c r="A144" i="116" s="1"/>
  <c r="A145" i="116" s="1"/>
  <c r="A147" i="116" s="1"/>
  <c r="A148" i="116" s="1"/>
  <c r="A149" i="116" s="1"/>
  <c r="Z40" i="118"/>
  <c r="G47" i="118"/>
  <c r="Y43" i="118"/>
  <c r="Y44" i="118"/>
  <c r="Z44" i="118" s="1"/>
  <c r="G45" i="118"/>
  <c r="D51" i="115"/>
  <c r="D55" i="115"/>
  <c r="I70" i="115"/>
  <c r="I51" i="115"/>
  <c r="I71" i="115"/>
  <c r="I52" i="115"/>
  <c r="I73" i="115"/>
  <c r="I54" i="115"/>
  <c r="D50" i="115"/>
  <c r="D54" i="115"/>
  <c r="I69" i="115"/>
  <c r="I50" i="115"/>
  <c r="I72" i="115"/>
  <c r="I53" i="115"/>
  <c r="I74" i="115"/>
  <c r="I55" i="115"/>
  <c r="I40" i="115"/>
  <c r="I41" i="115"/>
  <c r="E15" i="115"/>
  <c r="E17" i="115"/>
  <c r="D41" i="115"/>
  <c r="D53" i="115"/>
  <c r="F16" i="115"/>
  <c r="F18" i="115"/>
  <c r="D22" i="115"/>
  <c r="E3" i="115"/>
  <c r="D23" i="115"/>
  <c r="E4" i="115"/>
  <c r="F13" i="115"/>
  <c r="F14" i="115"/>
  <c r="F15" i="115"/>
  <c r="F17" i="115"/>
  <c r="E50" i="115"/>
  <c r="F50" i="115" s="1"/>
  <c r="G50" i="115" s="1"/>
  <c r="H50" i="115" s="1"/>
  <c r="E69" i="115"/>
  <c r="F69" i="115" s="1"/>
  <c r="G69" i="115" s="1"/>
  <c r="H69" i="115" s="1"/>
  <c r="E70" i="115"/>
  <c r="F70" i="115" s="1"/>
  <c r="G70" i="115" s="1"/>
  <c r="H70" i="115" s="1"/>
  <c r="E51" i="115"/>
  <c r="F51" i="115" s="1"/>
  <c r="G51" i="115" s="1"/>
  <c r="H51" i="115" s="1"/>
  <c r="E71" i="115"/>
  <c r="F71" i="115" s="1"/>
  <c r="G71" i="115" s="1"/>
  <c r="H71" i="115" s="1"/>
  <c r="E52" i="115"/>
  <c r="F52" i="115" s="1"/>
  <c r="G52" i="115" s="1"/>
  <c r="H52" i="115" s="1"/>
  <c r="E53" i="115"/>
  <c r="F53" i="115" s="1"/>
  <c r="G53" i="115" s="1"/>
  <c r="H53" i="115" s="1"/>
  <c r="E73" i="115"/>
  <c r="F73" i="115" s="1"/>
  <c r="G73" i="115" s="1"/>
  <c r="H73" i="115" s="1"/>
  <c r="E55" i="115"/>
  <c r="F55" i="115" s="1"/>
  <c r="G55" i="115" s="1"/>
  <c r="H55" i="115" s="1"/>
  <c r="E54" i="115"/>
  <c r="F54" i="115" s="1"/>
  <c r="G54" i="115" s="1"/>
  <c r="H54" i="115" s="1"/>
  <c r="I72" i="113"/>
  <c r="I53" i="113"/>
  <c r="I54" i="113"/>
  <c r="I60" i="113"/>
  <c r="I41" i="113"/>
  <c r="AM41" i="113"/>
  <c r="I52" i="113"/>
  <c r="I55" i="113"/>
  <c r="E75" i="113"/>
  <c r="F75" i="113" s="1"/>
  <c r="G75" i="113" s="1"/>
  <c r="H75" i="113" s="1"/>
  <c r="I40" i="113"/>
  <c r="AA191" i="116" a="1"/>
  <c r="AA223" i="116" a="1"/>
  <c r="AA113" i="116" a="1"/>
  <c r="AA263" i="116" a="1"/>
  <c r="AA117" i="116" a="1"/>
  <c r="W34" i="117" a="1"/>
  <c r="AA189" i="116" a="1"/>
  <c r="AA222" i="116" a="1"/>
  <c r="W35" i="117" a="1"/>
  <c r="AA226" i="116" a="1"/>
  <c r="W38" i="117" a="1"/>
  <c r="AA110" i="116" a="1"/>
  <c r="AA225" i="116" a="1"/>
  <c r="AA265" i="116" a="1"/>
  <c r="AA115" i="116" a="1"/>
  <c r="AA114" i="116" a="1"/>
  <c r="AA258" i="116" a="1"/>
  <c r="W36" i="117" a="1"/>
  <c r="AA260" i="116" a="1"/>
  <c r="AA221" i="116" a="1"/>
  <c r="AA112" i="116" a="1"/>
  <c r="AA187" i="116" a="1"/>
  <c r="AA186" i="116" a="1"/>
  <c r="AA224" i="116" a="1"/>
  <c r="AA185" i="116" a="1"/>
  <c r="AA261" i="116" a="1"/>
  <c r="AA262" i="116" a="1"/>
  <c r="AA111" i="116" a="1"/>
  <c r="AA228" i="116" a="1"/>
  <c r="W41" i="117" a="1"/>
  <c r="W39" i="117" a="1"/>
  <c r="AA259" i="116" a="1"/>
  <c r="R30" i="65" l="1"/>
  <c r="Q51" i="65"/>
  <c r="Q47" i="118"/>
  <c r="Z47" i="118" s="1"/>
  <c r="G39" i="118"/>
  <c r="F35" i="118"/>
  <c r="E34" i="118" s="1"/>
  <c r="M38" i="108"/>
  <c r="P38" i="108" s="1"/>
  <c r="M33" i="108"/>
  <c r="P33" i="108" s="1"/>
  <c r="M34" i="108"/>
  <c r="P34" i="108" s="1"/>
  <c r="M32" i="108"/>
  <c r="P32" i="108" s="1"/>
  <c r="M30" i="108"/>
  <c r="P30" i="108" s="1"/>
  <c r="M31" i="108"/>
  <c r="P31" i="108" s="1"/>
  <c r="AQ5" i="108"/>
  <c r="Q45" i="118"/>
  <c r="Z45" i="118" s="1"/>
  <c r="M28" i="108"/>
  <c r="P28" i="108" s="1" a="1"/>
  <c r="P28" i="108" s="1"/>
  <c r="Z41" i="118"/>
  <c r="Z43" i="118"/>
  <c r="Q43" i="118"/>
  <c r="E10" i="118"/>
  <c r="M12" i="108"/>
  <c r="M14" i="108"/>
  <c r="M19" i="108"/>
  <c r="M13" i="108"/>
  <c r="M11" i="108"/>
  <c r="M10" i="108"/>
  <c r="M18" i="108"/>
  <c r="S5" i="118"/>
  <c r="E32" i="118"/>
  <c r="E30" i="118"/>
  <c r="E33" i="118"/>
  <c r="E28" i="118"/>
  <c r="G11" i="118"/>
  <c r="AA114" i="116"/>
  <c r="AA263" i="116"/>
  <c r="AA223" i="116"/>
  <c r="AA189" i="116"/>
  <c r="AA224" i="116"/>
  <c r="AA226" i="116"/>
  <c r="AA110" i="116"/>
  <c r="AA191" i="116"/>
  <c r="AA115" i="116"/>
  <c r="AA185" i="116"/>
  <c r="AA261" i="116"/>
  <c r="AA222" i="116"/>
  <c r="W41" i="117"/>
  <c r="AA259" i="116"/>
  <c r="W34" i="117"/>
  <c r="AA228" i="116"/>
  <c r="AA186" i="116"/>
  <c r="AA258" i="116"/>
  <c r="AA262" i="116"/>
  <c r="AA225" i="116"/>
  <c r="AA265" i="116"/>
  <c r="W38" i="117"/>
  <c r="AA221" i="116"/>
  <c r="W39" i="117"/>
  <c r="W35" i="117"/>
  <c r="AA260" i="116"/>
  <c r="AA117" i="116"/>
  <c r="W36" i="117"/>
  <c r="AA111" i="116"/>
  <c r="AA112" i="116"/>
  <c r="AA113" i="116"/>
  <c r="AA187" i="116"/>
  <c r="A296" i="116"/>
  <c r="D22" i="118"/>
  <c r="G23" i="118"/>
  <c r="C5" i="118"/>
  <c r="C49" i="118" s="1"/>
  <c r="A150" i="116"/>
  <c r="G37" i="118"/>
  <c r="Q38" i="118" s="1"/>
  <c r="D41" i="118"/>
  <c r="A347" i="116"/>
  <c r="A311" i="116"/>
  <c r="A312" i="116" s="1"/>
  <c r="A313" i="116" s="1"/>
  <c r="A314" i="116" s="1"/>
  <c r="A315" i="116" s="1"/>
  <c r="A316" i="116" s="1"/>
  <c r="A318" i="116" s="1"/>
  <c r="A319" i="116" s="1"/>
  <c r="A320" i="116" s="1"/>
  <c r="A321" i="116" s="1"/>
  <c r="A322" i="116" s="1"/>
  <c r="A323" i="116" s="1"/>
  <c r="A324" i="116" s="1"/>
  <c r="A325" i="116" s="1"/>
  <c r="A326" i="116" s="1"/>
  <c r="A327" i="116" s="1"/>
  <c r="A328" i="116" s="1"/>
  <c r="A329" i="116" s="1"/>
  <c r="A330" i="116" s="1"/>
  <c r="A332" i="116" s="1"/>
  <c r="F3" i="115"/>
  <c r="G14" i="115"/>
  <c r="F4" i="115"/>
  <c r="E74" i="115"/>
  <c r="F74" i="115" s="1"/>
  <c r="G74" i="115" s="1"/>
  <c r="H74" i="115" s="1"/>
  <c r="E72" i="115"/>
  <c r="F72" i="115" s="1"/>
  <c r="G72" i="115" s="1"/>
  <c r="H72" i="115" s="1"/>
  <c r="G17" i="115"/>
  <c r="E41" i="115"/>
  <c r="F41" i="115" s="1"/>
  <c r="G41" i="115" s="1"/>
  <c r="H41" i="115" s="1"/>
  <c r="G16" i="115"/>
  <c r="E60" i="115"/>
  <c r="F60" i="115" s="1"/>
  <c r="G60" i="115" s="1"/>
  <c r="H60" i="115" s="1"/>
  <c r="G18" i="115"/>
  <c r="G15" i="115"/>
  <c r="G13" i="115"/>
  <c r="E40" i="115"/>
  <c r="F40" i="115" s="1"/>
  <c r="G40" i="115" s="1"/>
  <c r="H40" i="115" s="1"/>
  <c r="E59" i="115"/>
  <c r="F59" i="115" s="1"/>
  <c r="G59" i="115" s="1"/>
  <c r="H59" i="115" s="1"/>
  <c r="I17" i="109"/>
  <c r="AC8" i="109"/>
  <c r="I8" i="109"/>
  <c r="AM6" i="109"/>
  <c r="AM23" i="109" s="1"/>
  <c r="AA6" i="109"/>
  <c r="X6" i="109"/>
  <c r="Y6" i="109" s="1"/>
  <c r="Z6" i="109" s="1"/>
  <c r="I6" i="109"/>
  <c r="I23" i="109" s="1"/>
  <c r="D6" i="109"/>
  <c r="AM5" i="109"/>
  <c r="V5" i="109"/>
  <c r="S5" i="109"/>
  <c r="I5" i="109"/>
  <c r="I22" i="109" s="1"/>
  <c r="D5" i="109"/>
  <c r="AM4" i="109"/>
  <c r="Q4" i="109"/>
  <c r="N4" i="109"/>
  <c r="O4" i="109" s="1"/>
  <c r="P4" i="109" s="1"/>
  <c r="I4" i="109"/>
  <c r="D4" i="109"/>
  <c r="I3" i="109"/>
  <c r="I20" i="109"/>
  <c r="AC18" i="108"/>
  <c r="L45" i="108"/>
  <c r="L44" i="108"/>
  <c r="L42" i="108"/>
  <c r="AB22" i="108"/>
  <c r="AB21" i="108"/>
  <c r="AB20" i="108"/>
  <c r="AB17" i="108"/>
  <c r="BR25" i="108"/>
  <c r="AH56" i="113" s="1"/>
  <c r="AH17" i="113"/>
  <c r="AH16" i="113"/>
  <c r="AH5" i="109"/>
  <c r="AB4" i="108"/>
  <c r="K45" i="108"/>
  <c r="K44" i="108"/>
  <c r="K42" i="108"/>
  <c r="AA23" i="108"/>
  <c r="AA22" i="108"/>
  <c r="AA20" i="108"/>
  <c r="AA19" i="108"/>
  <c r="AA18" i="108"/>
  <c r="CT24" i="108"/>
  <c r="AC17" i="113"/>
  <c r="AC16" i="113"/>
  <c r="AC6" i="109"/>
  <c r="AC5" i="109"/>
  <c r="AC4" i="113"/>
  <c r="J45" i="108"/>
  <c r="J44" i="108"/>
  <c r="J42" i="108"/>
  <c r="Z23" i="108"/>
  <c r="Z22" i="108"/>
  <c r="Z21" i="108"/>
  <c r="Z18" i="108"/>
  <c r="AA17" i="109"/>
  <c r="AA16" i="113"/>
  <c r="CS20" i="108"/>
  <c r="AA14" i="113"/>
  <c r="AA4" i="113"/>
  <c r="CS6" i="108"/>
  <c r="Z4" i="108"/>
  <c r="I45" i="108"/>
  <c r="I44" i="108"/>
  <c r="I42" i="108"/>
  <c r="Y23" i="108"/>
  <c r="Y22" i="108"/>
  <c r="Y21" i="108"/>
  <c r="Y20" i="108"/>
  <c r="Y18" i="108"/>
  <c r="CR25" i="108"/>
  <c r="X75" i="113" s="1"/>
  <c r="BO25" i="108"/>
  <c r="X56" i="113" s="1"/>
  <c r="X18" i="113"/>
  <c r="X17" i="113"/>
  <c r="X16" i="113"/>
  <c r="X14" i="113"/>
  <c r="X4" i="113"/>
  <c r="X41" i="113"/>
  <c r="H45" i="108"/>
  <c r="H44" i="108"/>
  <c r="H42" i="108"/>
  <c r="X22" i="108"/>
  <c r="X21" i="108"/>
  <c r="X20" i="108"/>
  <c r="X19" i="108"/>
  <c r="BN25" i="108"/>
  <c r="V56" i="113" s="1"/>
  <c r="W56" i="113" s="1"/>
  <c r="BN22" i="108"/>
  <c r="V16" i="113"/>
  <c r="CQ20" i="108"/>
  <c r="V8" i="109"/>
  <c r="V14" i="113"/>
  <c r="V4" i="113"/>
  <c r="X5" i="108"/>
  <c r="G45" i="108"/>
  <c r="G44" i="108"/>
  <c r="G42" i="108"/>
  <c r="O38" i="108"/>
  <c r="O34" i="108"/>
  <c r="W21" i="108"/>
  <c r="O32" i="108"/>
  <c r="O31" i="108"/>
  <c r="O30" i="108"/>
  <c r="O29" i="108"/>
  <c r="S18" i="113"/>
  <c r="S17" i="113"/>
  <c r="CP20" i="108"/>
  <c r="S15" i="113"/>
  <c r="S14" i="113"/>
  <c r="CP17" i="108"/>
  <c r="S4" i="113"/>
  <c r="S3" i="113"/>
  <c r="O3" i="108"/>
  <c r="F45" i="108"/>
  <c r="F44" i="108"/>
  <c r="F42" i="108"/>
  <c r="V23" i="108"/>
  <c r="V22" i="108"/>
  <c r="V21" i="108"/>
  <c r="V20" i="108"/>
  <c r="V17" i="108"/>
  <c r="CO25" i="108"/>
  <c r="Q75" i="113" s="1"/>
  <c r="Q18" i="113"/>
  <c r="Q17" i="113"/>
  <c r="CO23" i="108"/>
  <c r="Q16" i="113"/>
  <c r="Q54" i="113"/>
  <c r="Q72" i="113"/>
  <c r="CO20" i="108"/>
  <c r="Q14" i="113"/>
  <c r="Q4" i="113"/>
  <c r="CO6" i="108"/>
  <c r="V4" i="108"/>
  <c r="E45" i="108"/>
  <c r="E44" i="108"/>
  <c r="E42" i="108"/>
  <c r="U21" i="108"/>
  <c r="U20" i="108"/>
  <c r="U19" i="108"/>
  <c r="U18" i="108"/>
  <c r="BK25" i="108"/>
  <c r="N56" i="113" s="1"/>
  <c r="N17" i="109"/>
  <c r="BK23" i="108"/>
  <c r="N16" i="113"/>
  <c r="N15" i="113"/>
  <c r="N14" i="113"/>
  <c r="U11" i="108"/>
  <c r="U8" i="108"/>
  <c r="N4" i="113"/>
  <c r="N5" i="109"/>
  <c r="U4" i="108"/>
  <c r="D45" i="108"/>
  <c r="C45" i="108"/>
  <c r="B45" i="108"/>
  <c r="C44" i="108"/>
  <c r="B44" i="108"/>
  <c r="C42" i="108"/>
  <c r="B42" i="108"/>
  <c r="AB23" i="108"/>
  <c r="C38" i="108"/>
  <c r="S23" i="108" s="1"/>
  <c r="C34" i="108"/>
  <c r="C33" i="108"/>
  <c r="N33" i="108" s="1"/>
  <c r="N32" i="108"/>
  <c r="C32" i="108"/>
  <c r="N31" i="108"/>
  <c r="Y19" i="108"/>
  <c r="C31" i="108"/>
  <c r="S19" i="108" s="1"/>
  <c r="N30" i="108"/>
  <c r="C30" i="108"/>
  <c r="N29" i="108"/>
  <c r="C29" i="108"/>
  <c r="CT25" i="108"/>
  <c r="AC75" i="113" s="1"/>
  <c r="AU27" i="108"/>
  <c r="AG27" i="108"/>
  <c r="AU26" i="108"/>
  <c r="AG26" i="108"/>
  <c r="DB25" i="108"/>
  <c r="BW25" i="108"/>
  <c r="BQ25" i="108"/>
  <c r="AC56" i="113" s="1"/>
  <c r="BI25" i="108"/>
  <c r="AU25" i="108"/>
  <c r="AG25" i="108"/>
  <c r="DB24" i="108"/>
  <c r="CL24" i="108"/>
  <c r="BW24" i="108"/>
  <c r="BV24" i="108"/>
  <c r="BI24" i="108"/>
  <c r="AU24" i="108"/>
  <c r="AG24" i="108"/>
  <c r="DB23" i="108"/>
  <c r="CL23" i="108" s="1"/>
  <c r="BW23" i="108"/>
  <c r="BI23" i="108" s="1"/>
  <c r="AU23" i="108"/>
  <c r="AG23" i="108"/>
  <c r="AC23" i="108"/>
  <c r="X23" i="108"/>
  <c r="W23" i="108"/>
  <c r="U23" i="108"/>
  <c r="DB22" i="108"/>
  <c r="CL25" i="108" s="1"/>
  <c r="CX22" i="108"/>
  <c r="CX24" i="108" s="1"/>
  <c r="CT22" i="108"/>
  <c r="BQ22" i="108"/>
  <c r="BW22" i="108"/>
  <c r="BM22" i="108"/>
  <c r="BL22" i="108"/>
  <c r="AU22" i="108"/>
  <c r="AT22" i="108"/>
  <c r="AG22" i="108"/>
  <c r="AF22" i="108"/>
  <c r="U22" i="108"/>
  <c r="CO21" i="108"/>
  <c r="DB21" i="108"/>
  <c r="CS21" i="108"/>
  <c r="CL21" i="108"/>
  <c r="BL21" i="108"/>
  <c r="BW21" i="108"/>
  <c r="BI21" i="108" s="1"/>
  <c r="AU21" i="108"/>
  <c r="AG21" i="108"/>
  <c r="AA21" i="108"/>
  <c r="S21" i="108"/>
  <c r="DB20" i="108"/>
  <c r="DA20" i="108"/>
  <c r="BW20" i="108"/>
  <c r="BV20" i="108"/>
  <c r="AU20" i="108"/>
  <c r="AG20" i="108"/>
  <c r="AD20" i="108"/>
  <c r="AD22" i="108" s="1"/>
  <c r="AD23" i="108" s="1"/>
  <c r="AD25" i="108" s="1"/>
  <c r="AC20" i="108"/>
  <c r="Z20" i="108"/>
  <c r="W20" i="108"/>
  <c r="S20" i="108"/>
  <c r="DB19" i="108"/>
  <c r="CN19" i="108"/>
  <c r="CL19" i="108"/>
  <c r="BK19" i="108"/>
  <c r="BW19" i="108"/>
  <c r="BI19" i="108" s="1"/>
  <c r="BM19" i="108"/>
  <c r="AU19" i="108"/>
  <c r="AG19" i="108"/>
  <c r="AG18" i="108" s="1"/>
  <c r="AD19" i="108"/>
  <c r="AB19" i="108"/>
  <c r="Z19" i="108"/>
  <c r="W19" i="108"/>
  <c r="V19" i="108"/>
  <c r="C19" i="108"/>
  <c r="B19" i="108"/>
  <c r="CR18" i="108"/>
  <c r="DB18" i="108"/>
  <c r="CX18" i="108"/>
  <c r="CX19" i="108" s="1"/>
  <c r="CX21" i="108" s="1"/>
  <c r="BW18" i="108"/>
  <c r="BB51" i="108"/>
  <c r="S18" i="108"/>
  <c r="DB17" i="108"/>
  <c r="BW17" i="108"/>
  <c r="BR17" i="108"/>
  <c r="AA17" i="108"/>
  <c r="Z17" i="108"/>
  <c r="Y17" i="108"/>
  <c r="S17" i="108"/>
  <c r="B17" i="108"/>
  <c r="R13" i="108" s="1"/>
  <c r="U15" i="108"/>
  <c r="S15" i="108"/>
  <c r="R15" i="108"/>
  <c r="CX13" i="108"/>
  <c r="CX14" i="108" s="1"/>
  <c r="CX15" i="108" s="1"/>
  <c r="CX16" i="108" s="1"/>
  <c r="C13" i="108"/>
  <c r="S11" i="108" s="1"/>
  <c r="B13" i="108"/>
  <c r="R11" i="108" s="1"/>
  <c r="U10" i="108"/>
  <c r="C12" i="108"/>
  <c r="S10" i="108" s="1"/>
  <c r="B12" i="108"/>
  <c r="AD11" i="108"/>
  <c r="AD13" i="108" s="1"/>
  <c r="AD14" i="108" s="1"/>
  <c r="AD15" i="108" s="1"/>
  <c r="AD16" i="108" s="1"/>
  <c r="C11" i="108"/>
  <c r="B11" i="108"/>
  <c r="R9" i="108" s="1"/>
  <c r="R10" i="108"/>
  <c r="C10" i="108"/>
  <c r="B10" i="108"/>
  <c r="CX9" i="108"/>
  <c r="CX10" i="108" s="1"/>
  <c r="CX11" i="108" s="1"/>
  <c r="AD9" i="108"/>
  <c r="AD10" i="108" s="1"/>
  <c r="U9" i="108"/>
  <c r="S9" i="108"/>
  <c r="S8" i="108"/>
  <c r="R8" i="108"/>
  <c r="CP7" i="108"/>
  <c r="CO7" i="108"/>
  <c r="CN7" i="108"/>
  <c r="CK7" i="108"/>
  <c r="BW7" i="108"/>
  <c r="AU7" i="108"/>
  <c r="AT7" i="108"/>
  <c r="AG7" i="108"/>
  <c r="AF7" i="108"/>
  <c r="DB6" i="108"/>
  <c r="CP6" i="108"/>
  <c r="BW6" i="108"/>
  <c r="AU6" i="108"/>
  <c r="CL6" i="108" s="1"/>
  <c r="AT6" i="108"/>
  <c r="AG6" i="108"/>
  <c r="AG4" i="108" s="1"/>
  <c r="AF6" i="108"/>
  <c r="DL5" i="108"/>
  <c r="DB5" i="108"/>
  <c r="CL5" i="108" s="1"/>
  <c r="DA5" i="108"/>
  <c r="BW5" i="108"/>
  <c r="BS5" i="108"/>
  <c r="AU5" i="108"/>
  <c r="BI5" i="108" s="1"/>
  <c r="AT5" i="108"/>
  <c r="AG5" i="108"/>
  <c r="AF5" i="108"/>
  <c r="S5" i="108"/>
  <c r="AC5" i="108"/>
  <c r="AA5" i="108"/>
  <c r="Z5" i="108"/>
  <c r="Y5" i="108"/>
  <c r="W5" i="108"/>
  <c r="C5" i="108"/>
  <c r="B5" i="108"/>
  <c r="B3" i="108" s="1"/>
  <c r="DL4" i="108"/>
  <c r="DA4" i="108"/>
  <c r="CX4" i="108"/>
  <c r="CX5" i="108" s="1"/>
  <c r="BW4" i="108"/>
  <c r="BV4" i="108"/>
  <c r="AD4" i="108"/>
  <c r="AD5" i="108" s="1"/>
  <c r="AC4" i="108"/>
  <c r="M3" i="108"/>
  <c r="P3" i="108" s="1"/>
  <c r="C4" i="108"/>
  <c r="S4" i="108" s="1"/>
  <c r="B4" i="108"/>
  <c r="R4" i="108" s="1"/>
  <c r="AG3" i="108"/>
  <c r="N3" i="108"/>
  <c r="C3" i="108"/>
  <c r="DA20" i="52"/>
  <c r="BV24" i="52"/>
  <c r="BV20" i="52"/>
  <c r="BV4" i="52"/>
  <c r="AT22" i="52"/>
  <c r="BH20" i="52" s="1"/>
  <c r="AT7" i="52"/>
  <c r="AT5" i="52" s="1"/>
  <c r="D4" i="107" s="1"/>
  <c r="AT6" i="52"/>
  <c r="AF22" i="52"/>
  <c r="AF7" i="52"/>
  <c r="AF5" i="52" s="1"/>
  <c r="AF6" i="52"/>
  <c r="B45" i="52"/>
  <c r="B44" i="52"/>
  <c r="B42" i="52"/>
  <c r="B19" i="52"/>
  <c r="R15" i="52" s="1"/>
  <c r="B18" i="52"/>
  <c r="R14" i="52" s="1"/>
  <c r="B13" i="52"/>
  <c r="R11" i="52" s="1"/>
  <c r="B12" i="52"/>
  <c r="R10" i="52" s="1"/>
  <c r="B11" i="52"/>
  <c r="R9" i="52" s="1"/>
  <c r="B10" i="52"/>
  <c r="B5" i="52"/>
  <c r="R5" i="52" s="1"/>
  <c r="B4" i="52"/>
  <c r="G33" i="110"/>
  <c r="H33" i="110"/>
  <c r="I33" i="110"/>
  <c r="J33" i="110"/>
  <c r="K33" i="110"/>
  <c r="L33" i="110"/>
  <c r="M33" i="110"/>
  <c r="N33" i="110"/>
  <c r="O33" i="110"/>
  <c r="P33" i="110"/>
  <c r="Q33" i="110"/>
  <c r="R33" i="110"/>
  <c r="S33" i="110"/>
  <c r="D33" i="110"/>
  <c r="E33" i="110"/>
  <c r="E57" i="111"/>
  <c r="E56" i="111"/>
  <c r="E55" i="111"/>
  <c r="E54" i="111"/>
  <c r="C42" i="111" s="1"/>
  <c r="G42" i="111" s="1"/>
  <c r="Q42" i="111" s="1"/>
  <c r="Z42" i="111" s="1"/>
  <c r="E53" i="111"/>
  <c r="E52" i="111"/>
  <c r="X46" i="111"/>
  <c r="W46" i="111"/>
  <c r="V46" i="111"/>
  <c r="U46" i="111"/>
  <c r="T46" i="111"/>
  <c r="X44" i="111"/>
  <c r="V44" i="111"/>
  <c r="T44" i="111"/>
  <c r="Y44" i="111" s="1"/>
  <c r="Q44" i="111"/>
  <c r="W43" i="111"/>
  <c r="V43" i="111"/>
  <c r="U43" i="111"/>
  <c r="C43" i="111" s="1"/>
  <c r="G43" i="111" s="1"/>
  <c r="Q43" i="111" s="1"/>
  <c r="T43" i="111"/>
  <c r="X42" i="111"/>
  <c r="E42" i="111"/>
  <c r="X41" i="111"/>
  <c r="W41" i="111"/>
  <c r="Y41" i="111" s="1"/>
  <c r="V41" i="111"/>
  <c r="U41" i="111"/>
  <c r="T41" i="111"/>
  <c r="L41" i="111"/>
  <c r="C41" i="111"/>
  <c r="X40" i="111"/>
  <c r="W40" i="111"/>
  <c r="V40" i="111"/>
  <c r="U40" i="111"/>
  <c r="T40" i="111"/>
  <c r="G40" i="111"/>
  <c r="X39" i="111"/>
  <c r="W39" i="111"/>
  <c r="V39" i="111"/>
  <c r="U39" i="111"/>
  <c r="U5" i="111" s="1"/>
  <c r="T39" i="111"/>
  <c r="X37" i="111"/>
  <c r="W37" i="111"/>
  <c r="V37" i="111"/>
  <c r="S41" i="111" s="1"/>
  <c r="U37" i="111"/>
  <c r="T37" i="111"/>
  <c r="E36" i="111"/>
  <c r="C34" i="111"/>
  <c r="C33" i="111"/>
  <c r="C32" i="111"/>
  <c r="X30" i="111"/>
  <c r="W30" i="111"/>
  <c r="S30" i="111" s="1"/>
  <c r="V30" i="111"/>
  <c r="U30" i="111"/>
  <c r="T30" i="111"/>
  <c r="M30" i="111"/>
  <c r="K30" i="111"/>
  <c r="C30" i="111"/>
  <c r="C29" i="111"/>
  <c r="C27" i="111"/>
  <c r="O24" i="111"/>
  <c r="N24" i="111"/>
  <c r="M24" i="111"/>
  <c r="K24" i="111"/>
  <c r="E24" i="111"/>
  <c r="C24" i="111"/>
  <c r="P23" i="111"/>
  <c r="O23" i="111"/>
  <c r="N23" i="111"/>
  <c r="L23" i="111"/>
  <c r="K23" i="111"/>
  <c r="E23" i="111"/>
  <c r="X22" i="111"/>
  <c r="W22" i="111"/>
  <c r="V22" i="111"/>
  <c r="U22" i="111"/>
  <c r="T22" i="111"/>
  <c r="S22" i="111" s="1"/>
  <c r="O21" i="111"/>
  <c r="M21" i="111"/>
  <c r="L21" i="111"/>
  <c r="K21" i="111"/>
  <c r="C21" i="111"/>
  <c r="C19" i="111"/>
  <c r="C18" i="111"/>
  <c r="C17" i="111"/>
  <c r="X13" i="111"/>
  <c r="W13" i="111"/>
  <c r="V13" i="111"/>
  <c r="S13" i="111" s="1"/>
  <c r="U13" i="111"/>
  <c r="T13" i="111"/>
  <c r="M13" i="111"/>
  <c r="L13" i="111"/>
  <c r="K13" i="111"/>
  <c r="I13" i="111"/>
  <c r="F13" i="111"/>
  <c r="C13" i="111"/>
  <c r="C12" i="111"/>
  <c r="C11" i="111"/>
  <c r="C10" i="111"/>
  <c r="G9" i="111"/>
  <c r="B18" i="108"/>
  <c r="R14" i="108" s="1"/>
  <c r="B14" i="108"/>
  <c r="R12" i="108" s="1"/>
  <c r="Y46" i="111"/>
  <c r="Y40" i="111"/>
  <c r="X5" i="111"/>
  <c r="G7" i="111"/>
  <c r="Y42" i="111"/>
  <c r="Y47" i="111"/>
  <c r="C47" i="111"/>
  <c r="G47" i="111" s="1"/>
  <c r="Q47" i="111" s="1"/>
  <c r="Y45" i="111"/>
  <c r="C45" i="111"/>
  <c r="G45" i="111" s="1"/>
  <c r="Q45" i="111" s="1"/>
  <c r="G44" i="111"/>
  <c r="G41" i="111"/>
  <c r="Y38" i="111"/>
  <c r="C38" i="111"/>
  <c r="G38" i="111" s="1"/>
  <c r="Z38" i="111" s="1"/>
  <c r="Y36" i="111"/>
  <c r="Z36" i="111" s="1"/>
  <c r="F41" i="111"/>
  <c r="F22" i="111"/>
  <c r="G21" i="111"/>
  <c r="G17" i="111"/>
  <c r="G16" i="111"/>
  <c r="G15" i="111"/>
  <c r="G14" i="111"/>
  <c r="G11" i="111"/>
  <c r="G8" i="111"/>
  <c r="S13" i="110"/>
  <c r="S14" i="110"/>
  <c r="S15" i="110"/>
  <c r="S23" i="110"/>
  <c r="S24" i="110"/>
  <c r="S25" i="110"/>
  <c r="S27" i="110"/>
  <c r="S28" i="110"/>
  <c r="S29" i="110"/>
  <c r="S31" i="110"/>
  <c r="S20" i="110"/>
  <c r="K22" i="110"/>
  <c r="J41" i="110"/>
  <c r="E42" i="110"/>
  <c r="I42" i="110"/>
  <c r="L39" i="110"/>
  <c r="M39" i="110"/>
  <c r="N39" i="110" s="1"/>
  <c r="O39" i="110" s="1"/>
  <c r="P39" i="110" s="1"/>
  <c r="P40" i="110" s="1"/>
  <c r="K39" i="110"/>
  <c r="K34" i="110"/>
  <c r="L34" i="110"/>
  <c r="M34" i="110"/>
  <c r="N34" i="110"/>
  <c r="O34" i="110"/>
  <c r="K35" i="110"/>
  <c r="L35" i="110"/>
  <c r="L26" i="110" s="1"/>
  <c r="M35" i="110"/>
  <c r="N35" i="110"/>
  <c r="O35" i="110"/>
  <c r="K36" i="110"/>
  <c r="L36" i="110"/>
  <c r="M36" i="110"/>
  <c r="N36" i="110"/>
  <c r="O36" i="110"/>
  <c r="K37" i="110"/>
  <c r="L37" i="110"/>
  <c r="M37" i="110"/>
  <c r="N37" i="110"/>
  <c r="S37" i="110" s="1"/>
  <c r="O37" i="110"/>
  <c r="K38" i="110"/>
  <c r="L38" i="110"/>
  <c r="M38" i="110"/>
  <c r="N38" i="110"/>
  <c r="O38" i="110"/>
  <c r="M40" i="110"/>
  <c r="J38" i="110"/>
  <c r="S38" i="110" s="1"/>
  <c r="J37" i="110"/>
  <c r="J36" i="110"/>
  <c r="S36" i="110" s="1"/>
  <c r="J35" i="110"/>
  <c r="S35" i="110" s="1"/>
  <c r="E40" i="110"/>
  <c r="F40" i="110"/>
  <c r="F42" i="110" s="1"/>
  <c r="G40" i="110"/>
  <c r="G42" i="110" s="1"/>
  <c r="H40" i="110"/>
  <c r="H42" i="110" s="1"/>
  <c r="I40" i="110"/>
  <c r="D40" i="110"/>
  <c r="D42" i="110" s="1"/>
  <c r="E18" i="110"/>
  <c r="F18" i="110"/>
  <c r="G18" i="110"/>
  <c r="H18" i="110"/>
  <c r="I18" i="110"/>
  <c r="D18" i="110"/>
  <c r="J34" i="110"/>
  <c r="S34" i="110" s="1"/>
  <c r="L17" i="110"/>
  <c r="M17" i="110" s="1"/>
  <c r="N17" i="110" s="1"/>
  <c r="O17" i="110" s="1"/>
  <c r="P17" i="110" s="1"/>
  <c r="Q17" i="110" s="1"/>
  <c r="R17" i="110" s="1"/>
  <c r="K17" i="110"/>
  <c r="K12" i="110"/>
  <c r="K18" i="110" s="1"/>
  <c r="L12" i="110"/>
  <c r="L18" i="110" s="1"/>
  <c r="M12" i="110"/>
  <c r="M18" i="110" s="1"/>
  <c r="N12" i="110"/>
  <c r="O12" i="110"/>
  <c r="O18" i="110" s="1"/>
  <c r="K16" i="110"/>
  <c r="L16" i="110"/>
  <c r="M16" i="110"/>
  <c r="N16" i="110"/>
  <c r="O16" i="110"/>
  <c r="J16" i="110"/>
  <c r="S16" i="110" s="1"/>
  <c r="J12" i="110"/>
  <c r="E32" i="110"/>
  <c r="F32" i="110"/>
  <c r="G32" i="110"/>
  <c r="H32" i="110"/>
  <c r="I32" i="110"/>
  <c r="N32" i="110"/>
  <c r="P32" i="110"/>
  <c r="Q32" i="110"/>
  <c r="R32" i="110"/>
  <c r="D32" i="110"/>
  <c r="J30" i="110"/>
  <c r="S30" i="110" s="1"/>
  <c r="O22" i="110"/>
  <c r="L22" i="110"/>
  <c r="J22" i="110"/>
  <c r="S22" i="110" s="1"/>
  <c r="O21" i="110"/>
  <c r="O32" i="110" s="1"/>
  <c r="N21" i="110"/>
  <c r="M21" i="110"/>
  <c r="M32" i="110" s="1"/>
  <c r="L21" i="110"/>
  <c r="K21" i="110"/>
  <c r="J21" i="110"/>
  <c r="AA149" i="116" a="1"/>
  <c r="AA295" i="116" a="1"/>
  <c r="AA148" i="116" a="1"/>
  <c r="AA147" i="116" a="1"/>
  <c r="AA188" i="116" a="1"/>
  <c r="CK5" i="108" l="1"/>
  <c r="D60" i="113"/>
  <c r="E60" i="113" s="1"/>
  <c r="F60" i="113" s="1"/>
  <c r="G60" i="113" s="1"/>
  <c r="H60" i="113" s="1"/>
  <c r="Q53" i="113"/>
  <c r="X73" i="113"/>
  <c r="Q73" i="113"/>
  <c r="Q51" i="113"/>
  <c r="R51" i="113" s="1"/>
  <c r="V53" i="113"/>
  <c r="V72" i="113"/>
  <c r="AC22" i="109"/>
  <c r="AB6" i="109"/>
  <c r="O5" i="109"/>
  <c r="P5" i="109" s="1"/>
  <c r="O16" i="113"/>
  <c r="S71" i="113"/>
  <c r="X7" i="109"/>
  <c r="X25" i="109" s="1"/>
  <c r="X13" i="113"/>
  <c r="X9" i="109"/>
  <c r="X26" i="109" s="1"/>
  <c r="X74" i="113"/>
  <c r="X55" i="113"/>
  <c r="BC48" i="108"/>
  <c r="AC14" i="113"/>
  <c r="AC70" i="113" s="1"/>
  <c r="CQ21" i="108"/>
  <c r="N41" i="113"/>
  <c r="BY28" i="108"/>
  <c r="CN20" i="108"/>
  <c r="CN23" i="108"/>
  <c r="CN25" i="108"/>
  <c r="N75" i="113" s="1"/>
  <c r="O75" i="113" s="1"/>
  <c r="P75" i="113" s="1"/>
  <c r="CO17" i="108"/>
  <c r="Q15" i="113"/>
  <c r="O15" i="113" s="1"/>
  <c r="R17" i="113"/>
  <c r="S51" i="113"/>
  <c r="V41" i="113"/>
  <c r="W41" i="113" s="1"/>
  <c r="CR6" i="108"/>
  <c r="X54" i="113"/>
  <c r="S4" i="109"/>
  <c r="R4" i="109" s="1"/>
  <c r="X5" i="109"/>
  <c r="X22" i="109" s="1"/>
  <c r="AZ51" i="108"/>
  <c r="V9" i="109"/>
  <c r="V13" i="113"/>
  <c r="V7" i="109"/>
  <c r="W7" i="109" s="1"/>
  <c r="V18" i="113"/>
  <c r="AB14" i="113"/>
  <c r="AB16" i="113"/>
  <c r="BP25" i="108"/>
  <c r="AA56" i="113" s="1"/>
  <c r="AB56" i="113" s="1"/>
  <c r="V4" i="109"/>
  <c r="W4" i="109" s="1"/>
  <c r="AA5" i="109"/>
  <c r="AA22" i="109" s="1"/>
  <c r="W4" i="108"/>
  <c r="W3" i="108" s="1"/>
  <c r="W30" i="108" s="1"/>
  <c r="N51" i="113"/>
  <c r="N71" i="113"/>
  <c r="BK22" i="108"/>
  <c r="N17" i="113"/>
  <c r="S41" i="113"/>
  <c r="CQ6" i="108"/>
  <c r="AA60" i="113"/>
  <c r="AB4" i="113"/>
  <c r="BP20" i="108"/>
  <c r="CE28" i="108"/>
  <c r="AC50" i="113"/>
  <c r="X4" i="109"/>
  <c r="Q17" i="109"/>
  <c r="O17" i="109" s="1"/>
  <c r="P17" i="109" s="1"/>
  <c r="BK21" i="108"/>
  <c r="N53" i="113"/>
  <c r="O53" i="113" s="1"/>
  <c r="P53" i="113" s="1"/>
  <c r="Q41" i="113"/>
  <c r="R41" i="113" s="1"/>
  <c r="AY53" i="108"/>
  <c r="S9" i="109"/>
  <c r="T9" i="109" s="1"/>
  <c r="U9" i="109" s="1"/>
  <c r="S13" i="113"/>
  <c r="S7" i="109"/>
  <c r="S74" i="113"/>
  <c r="S55" i="113"/>
  <c r="X70" i="113"/>
  <c r="Y70" i="113" s="1"/>
  <c r="Z70" i="113" s="1"/>
  <c r="Y14" i="113"/>
  <c r="Y16" i="113"/>
  <c r="BQ19" i="108"/>
  <c r="AC15" i="113"/>
  <c r="AA16" i="108"/>
  <c r="AA48" i="108" s="1"/>
  <c r="S3" i="109"/>
  <c r="AA4" i="109"/>
  <c r="S17" i="109"/>
  <c r="BZ28" i="108"/>
  <c r="Q50" i="113"/>
  <c r="N72" i="113"/>
  <c r="O72" i="113" s="1"/>
  <c r="P72" i="113" s="1"/>
  <c r="Q9" i="109"/>
  <c r="Q7" i="109"/>
  <c r="R7" i="109" s="1"/>
  <c r="Q13" i="113"/>
  <c r="Q36" i="113" s="1"/>
  <c r="R18" i="113"/>
  <c r="Q74" i="113"/>
  <c r="Q55" i="113"/>
  <c r="S40" i="113"/>
  <c r="S22" i="113"/>
  <c r="S52" i="113"/>
  <c r="S54" i="113"/>
  <c r="R54" i="113" s="1"/>
  <c r="CA28" i="108"/>
  <c r="X60" i="113"/>
  <c r="Y4" i="113"/>
  <c r="BO20" i="108"/>
  <c r="BO23" i="108"/>
  <c r="CD28" i="108"/>
  <c r="AA50" i="113"/>
  <c r="AC51" i="113"/>
  <c r="AC53" i="113"/>
  <c r="AC4" i="109"/>
  <c r="N8" i="109"/>
  <c r="V17" i="109"/>
  <c r="BN18" i="108"/>
  <c r="V51" i="113"/>
  <c r="BA47" i="108"/>
  <c r="Q52" i="113"/>
  <c r="CP19" i="108"/>
  <c r="CP25" i="108"/>
  <c r="S75" i="113" s="1"/>
  <c r="S73" i="113"/>
  <c r="AL33" i="108"/>
  <c r="AL34" i="108"/>
  <c r="V70" i="113"/>
  <c r="W14" i="113"/>
  <c r="W16" i="113"/>
  <c r="CR20" i="108"/>
  <c r="AA69" i="113"/>
  <c r="BP19" i="108"/>
  <c r="AA15" i="113"/>
  <c r="AA35" i="113" s="1"/>
  <c r="BP22" i="108"/>
  <c r="AA17" i="113"/>
  <c r="Y17" i="113" s="1"/>
  <c r="AC60" i="113"/>
  <c r="AC72" i="113"/>
  <c r="Q8" i="109"/>
  <c r="X17" i="109"/>
  <c r="Y17" i="109" s="1"/>
  <c r="Z17" i="109" s="1"/>
  <c r="N70" i="113"/>
  <c r="O14" i="113"/>
  <c r="O4" i="113"/>
  <c r="N60" i="113"/>
  <c r="N9" i="109"/>
  <c r="N13" i="113"/>
  <c r="N7" i="109"/>
  <c r="O7" i="109" s="1"/>
  <c r="P7" i="109" s="1"/>
  <c r="N18" i="113"/>
  <c r="S59" i="113"/>
  <c r="V60" i="113"/>
  <c r="W4" i="113"/>
  <c r="BN20" i="108"/>
  <c r="BN23" i="108"/>
  <c r="CC28" i="108"/>
  <c r="BP18" i="108"/>
  <c r="AA51" i="113"/>
  <c r="BP21" i="108"/>
  <c r="AA53" i="113"/>
  <c r="AB53" i="113" s="1"/>
  <c r="AC41" i="113"/>
  <c r="N6" i="109"/>
  <c r="N23" i="109" s="1"/>
  <c r="S8" i="109"/>
  <c r="CN21" i="108"/>
  <c r="BK18" i="108"/>
  <c r="N52" i="113"/>
  <c r="O52" i="113" s="1"/>
  <c r="P52" i="113" s="1"/>
  <c r="S70" i="113"/>
  <c r="T14" i="113"/>
  <c r="CP21" i="108"/>
  <c r="S16" i="113"/>
  <c r="R16" i="113" s="1"/>
  <c r="CQ23" i="108"/>
  <c r="CR17" i="108"/>
  <c r="CR19" i="108"/>
  <c r="X15" i="113"/>
  <c r="Y16" i="108"/>
  <c r="Y48" i="108" s="1"/>
  <c r="CS18" i="108"/>
  <c r="AA70" i="113"/>
  <c r="AA72" i="113"/>
  <c r="AC7" i="109"/>
  <c r="AC25" i="109" s="1"/>
  <c r="AC13" i="113"/>
  <c r="AC69" i="113" s="1"/>
  <c r="AC9" i="109"/>
  <c r="AC18" i="113"/>
  <c r="Q6" i="109"/>
  <c r="R6" i="109" s="1"/>
  <c r="AC17" i="109"/>
  <c r="AB17" i="109" s="1"/>
  <c r="CT6" i="108"/>
  <c r="BN21" i="108"/>
  <c r="AJ33" i="108"/>
  <c r="Q70" i="113"/>
  <c r="R14" i="113"/>
  <c r="Q35" i="113"/>
  <c r="BL25" i="108"/>
  <c r="Q56" i="113" s="1"/>
  <c r="O56" i="113" s="1"/>
  <c r="P56" i="113" s="1"/>
  <c r="S23" i="113"/>
  <c r="T4" i="113"/>
  <c r="S60" i="113"/>
  <c r="CB28" i="108"/>
  <c r="V50" i="113"/>
  <c r="AL51" i="108"/>
  <c r="BO18" i="108"/>
  <c r="X51" i="113"/>
  <c r="X53" i="113"/>
  <c r="AA41" i="113"/>
  <c r="AC52" i="113"/>
  <c r="AC54" i="113"/>
  <c r="AD56" i="113"/>
  <c r="AE56" i="113" s="1"/>
  <c r="AF56" i="113" s="1"/>
  <c r="AG56" i="113" s="1"/>
  <c r="S6" i="109"/>
  <c r="S23" i="109" s="1"/>
  <c r="T23" i="109" s="1"/>
  <c r="U23" i="109" s="1"/>
  <c r="X8" i="109"/>
  <c r="W8" i="109" s="1"/>
  <c r="BM17" i="108"/>
  <c r="S50" i="113"/>
  <c r="T50" i="113" s="1"/>
  <c r="U50" i="113" s="1"/>
  <c r="W18" i="108"/>
  <c r="R4" i="113"/>
  <c r="Q60" i="113"/>
  <c r="BL20" i="108"/>
  <c r="BL23" i="108"/>
  <c r="CQ17" i="108"/>
  <c r="V69" i="113"/>
  <c r="BN19" i="108"/>
  <c r="V15" i="113"/>
  <c r="T15" i="113" s="1"/>
  <c r="CQ22" i="108"/>
  <c r="V17" i="113"/>
  <c r="T17" i="113" s="1"/>
  <c r="X72" i="113"/>
  <c r="AA13" i="113"/>
  <c r="AA7" i="109"/>
  <c r="Y7" i="109" s="1"/>
  <c r="Z7" i="109" s="1"/>
  <c r="AA9" i="109"/>
  <c r="AA18" i="113"/>
  <c r="Y18" i="113" s="1"/>
  <c r="AC71" i="113"/>
  <c r="AC73" i="113"/>
  <c r="Q5" i="109"/>
  <c r="Q22" i="109" s="1"/>
  <c r="V6" i="109"/>
  <c r="V23" i="109" s="1"/>
  <c r="AA8" i="109"/>
  <c r="AB8" i="109" s="1"/>
  <c r="AH8" i="109"/>
  <c r="CU19" i="108"/>
  <c r="AH73" i="113"/>
  <c r="AH4" i="113"/>
  <c r="AH41" i="113" s="1"/>
  <c r="AH4" i="109"/>
  <c r="AD4" i="109" s="1"/>
  <c r="AE4" i="109" s="1"/>
  <c r="AF4" i="109" s="1"/>
  <c r="AG4" i="109" s="1"/>
  <c r="AH13" i="113"/>
  <c r="AH50" i="113" s="1"/>
  <c r="AH9" i="109"/>
  <c r="AH7" i="109"/>
  <c r="AH18" i="113"/>
  <c r="AH54" i="113"/>
  <c r="AD54" i="113" s="1"/>
  <c r="AE54" i="113" s="1"/>
  <c r="AF54" i="113" s="1"/>
  <c r="AG54" i="113" s="1"/>
  <c r="AH6" i="109"/>
  <c r="AH23" i="109" s="1"/>
  <c r="AI23" i="109" s="1"/>
  <c r="AJ23" i="109" s="1"/>
  <c r="AK23" i="109" s="1"/>
  <c r="AL23" i="109" s="1"/>
  <c r="BR18" i="108"/>
  <c r="AH14" i="113"/>
  <c r="AH51" i="113" s="1"/>
  <c r="AD51" i="113" s="1"/>
  <c r="AE51" i="113" s="1"/>
  <c r="AF51" i="113" s="1"/>
  <c r="AG51" i="113" s="1"/>
  <c r="BR20" i="108"/>
  <c r="BR23" i="108"/>
  <c r="CU23" i="108"/>
  <c r="CU20" i="108"/>
  <c r="AD16" i="113"/>
  <c r="CF28" i="108"/>
  <c r="CU17" i="108"/>
  <c r="BR19" i="108"/>
  <c r="AH15" i="113"/>
  <c r="AH52" i="113" s="1"/>
  <c r="AD52" i="113" s="1"/>
  <c r="AE52" i="113" s="1"/>
  <c r="AF52" i="113" s="1"/>
  <c r="AG52" i="113" s="1"/>
  <c r="AD17" i="113"/>
  <c r="AH53" i="113"/>
  <c r="AD53" i="113" s="1"/>
  <c r="AE53" i="113" s="1"/>
  <c r="AF53" i="113" s="1"/>
  <c r="AG53" i="113" s="1"/>
  <c r="AH72" i="113"/>
  <c r="AH17" i="109"/>
  <c r="AD17" i="109" s="1"/>
  <c r="AE17" i="109" s="1"/>
  <c r="AF17" i="109" s="1"/>
  <c r="AG17" i="109" s="1"/>
  <c r="CU25" i="108"/>
  <c r="AH75" i="113" s="1"/>
  <c r="AD75" i="113" s="1"/>
  <c r="AE75" i="113" s="1"/>
  <c r="AF75" i="113" s="1"/>
  <c r="AG75" i="113" s="1"/>
  <c r="BR24" i="108"/>
  <c r="P29" i="108"/>
  <c r="G30" i="118"/>
  <c r="G34" i="118"/>
  <c r="CG25" i="108"/>
  <c r="E29" i="118"/>
  <c r="H22" i="118"/>
  <c r="J22" i="118" s="1"/>
  <c r="Q22" i="118" s="1"/>
  <c r="R22" i="118" s="1"/>
  <c r="BE22" i="108"/>
  <c r="BS20" i="108" s="1"/>
  <c r="AQ22" i="108"/>
  <c r="G28" i="118"/>
  <c r="CG23" i="108"/>
  <c r="Z39" i="118"/>
  <c r="G32" i="118"/>
  <c r="CG17" i="108"/>
  <c r="G33" i="118"/>
  <c r="CG6" i="108"/>
  <c r="E31" i="118"/>
  <c r="G31" i="118" s="1"/>
  <c r="E27" i="118"/>
  <c r="E49" i="118" s="1"/>
  <c r="E26" i="118"/>
  <c r="M48" i="108"/>
  <c r="G10" i="118"/>
  <c r="H13" i="118" s="1"/>
  <c r="AA149" i="116"/>
  <c r="AA147" i="116"/>
  <c r="AA188" i="116"/>
  <c r="AA295" i="116"/>
  <c r="AA148" i="116"/>
  <c r="A297" i="116"/>
  <c r="A333" i="116"/>
  <c r="A384" i="116"/>
  <c r="A348" i="116"/>
  <c r="A349" i="116" s="1"/>
  <c r="A350" i="116" s="1"/>
  <c r="A351" i="116" s="1"/>
  <c r="A352" i="116" s="1"/>
  <c r="A353" i="116" s="1"/>
  <c r="A355" i="116" s="1"/>
  <c r="A356" i="116" s="1"/>
  <c r="A357" i="116" s="1"/>
  <c r="A358" i="116" s="1"/>
  <c r="A359" i="116" s="1"/>
  <c r="A360" i="116" s="1"/>
  <c r="A361" i="116" s="1"/>
  <c r="A362" i="116" s="1"/>
  <c r="A363" i="116" s="1"/>
  <c r="A364" i="116" s="1"/>
  <c r="A365" i="116" s="1"/>
  <c r="A366" i="116" s="1"/>
  <c r="A367" i="116" s="1"/>
  <c r="A369" i="116" s="1"/>
  <c r="A151" i="116"/>
  <c r="H41" i="118"/>
  <c r="Z37" i="118"/>
  <c r="R41" i="118"/>
  <c r="H15" i="115"/>
  <c r="H14" i="115"/>
  <c r="G3" i="115"/>
  <c r="H17" i="115"/>
  <c r="H13" i="115"/>
  <c r="H16" i="115"/>
  <c r="H18" i="115"/>
  <c r="G4" i="115"/>
  <c r="E4" i="113"/>
  <c r="V24" i="109"/>
  <c r="S26" i="109"/>
  <c r="I24" i="109"/>
  <c r="I25" i="109"/>
  <c r="G19" i="111"/>
  <c r="G18" i="111"/>
  <c r="B14" i="52"/>
  <c r="R12" i="52" s="1"/>
  <c r="B17" i="52"/>
  <c r="R13" i="52" s="1"/>
  <c r="I26" i="109"/>
  <c r="I21" i="109"/>
  <c r="AB22" i="109"/>
  <c r="E4" i="109"/>
  <c r="AB5" i="109"/>
  <c r="D22" i="109"/>
  <c r="E5" i="109"/>
  <c r="Y5" i="109"/>
  <c r="Z5" i="109" s="1"/>
  <c r="AA23" i="109"/>
  <c r="AD8" i="109"/>
  <c r="AE8" i="109" s="1"/>
  <c r="AF8" i="109" s="1"/>
  <c r="AG8" i="109" s="1"/>
  <c r="V26" i="109"/>
  <c r="AB4" i="109"/>
  <c r="AI5" i="109"/>
  <c r="AJ5" i="109" s="1"/>
  <c r="AK5" i="109" s="1"/>
  <c r="AL5" i="109" s="1"/>
  <c r="T5" i="109"/>
  <c r="U5" i="109" s="1"/>
  <c r="AM22" i="109"/>
  <c r="X23" i="109"/>
  <c r="N22" i="109"/>
  <c r="W5" i="109"/>
  <c r="V22" i="109"/>
  <c r="W22" i="109" s="1"/>
  <c r="E6" i="109"/>
  <c r="D23" i="109"/>
  <c r="V25" i="109"/>
  <c r="AC23" i="109"/>
  <c r="T8" i="109"/>
  <c r="U8" i="109" s="1"/>
  <c r="R5" i="109"/>
  <c r="AD5" i="109"/>
  <c r="AE5" i="109" s="1"/>
  <c r="AF5" i="109" s="1"/>
  <c r="AG5" i="109" s="1"/>
  <c r="S22" i="109"/>
  <c r="Y8" i="109"/>
  <c r="Z8" i="109" s="1"/>
  <c r="AC21" i="108"/>
  <c r="AC22" i="108"/>
  <c r="AC17" i="108"/>
  <c r="CU6" i="108"/>
  <c r="CU18" i="108"/>
  <c r="CU24" i="108"/>
  <c r="BQ18" i="108"/>
  <c r="CT19" i="108"/>
  <c r="CT18" i="108"/>
  <c r="CS19" i="108"/>
  <c r="Z16" i="108"/>
  <c r="Z47" i="108" s="1"/>
  <c r="AM34" i="108"/>
  <c r="CR24" i="108"/>
  <c r="BO19" i="108"/>
  <c r="CQ5" i="108"/>
  <c r="BN5" i="108"/>
  <c r="AL49" i="108"/>
  <c r="AL54" i="108"/>
  <c r="BN24" i="108"/>
  <c r="X18" i="108"/>
  <c r="CQ24" i="108"/>
  <c r="BN4" i="108"/>
  <c r="CQ19" i="108"/>
  <c r="W22" i="108"/>
  <c r="CP22" i="108"/>
  <c r="O33" i="108"/>
  <c r="BM21" i="108"/>
  <c r="BM20" i="108"/>
  <c r="V18" i="108"/>
  <c r="CO24" i="108"/>
  <c r="BL24" i="108"/>
  <c r="V16" i="108"/>
  <c r="V45" i="108" s="1"/>
  <c r="BK24" i="108"/>
  <c r="CN22" i="108"/>
  <c r="CN24" i="108"/>
  <c r="AC3" i="108"/>
  <c r="AC31" i="108" s="1"/>
  <c r="R7" i="108"/>
  <c r="R34" i="108" s="1"/>
  <c r="AJ51" i="108"/>
  <c r="AG53" i="108"/>
  <c r="AG54" i="108"/>
  <c r="AG47" i="108"/>
  <c r="Z3" i="108"/>
  <c r="Z31" i="108" s="1"/>
  <c r="R5" i="108"/>
  <c r="BK5" i="108"/>
  <c r="CN5" i="108"/>
  <c r="AP33" i="108"/>
  <c r="R3" i="108"/>
  <c r="S3" i="108"/>
  <c r="AA4" i="108"/>
  <c r="CO5" i="108"/>
  <c r="BL5" i="108"/>
  <c r="AG50" i="108"/>
  <c r="CL20" i="108"/>
  <c r="BI20" i="108"/>
  <c r="BR5" i="108"/>
  <c r="CU5" i="108"/>
  <c r="X4" i="108"/>
  <c r="Y4" i="108"/>
  <c r="B9" i="108"/>
  <c r="BA49" i="108"/>
  <c r="BA48" i="108"/>
  <c r="U17" i="108"/>
  <c r="AI34" i="108"/>
  <c r="CO18" i="108"/>
  <c r="BL18" i="108"/>
  <c r="AB18" i="108"/>
  <c r="CP5" i="108"/>
  <c r="BM5" i="108"/>
  <c r="AY48" i="108"/>
  <c r="BM18" i="108"/>
  <c r="CP18" i="108"/>
  <c r="AK34" i="108"/>
  <c r="AB5" i="108"/>
  <c r="AB3" i="108" s="1"/>
  <c r="CR7" i="108"/>
  <c r="O28" i="108" a="1"/>
  <c r="O28" i="108" s="1"/>
  <c r="W17" i="108"/>
  <c r="CN6" i="108"/>
  <c r="AK49" i="108"/>
  <c r="AU4" i="108"/>
  <c r="DB4" i="108"/>
  <c r="AO34" i="108"/>
  <c r="CR5" i="108"/>
  <c r="BO5" i="108"/>
  <c r="BP5" i="108"/>
  <c r="BL17" i="108"/>
  <c r="CN18" i="108"/>
  <c r="AN33" i="108"/>
  <c r="BC49" i="108"/>
  <c r="BC52" i="108"/>
  <c r="BC50" i="108"/>
  <c r="U5" i="108"/>
  <c r="AG49" i="108"/>
  <c r="AY50" i="108"/>
  <c r="BM4" i="108"/>
  <c r="CP4" i="108"/>
  <c r="V5" i="108"/>
  <c r="AA47" i="108"/>
  <c r="AA44" i="108"/>
  <c r="CP24" i="108"/>
  <c r="BM24" i="108"/>
  <c r="BM25" i="108"/>
  <c r="S56" i="113" s="1"/>
  <c r="T56" i="113" s="1"/>
  <c r="U56" i="113" s="1"/>
  <c r="AY54" i="108"/>
  <c r="CV5" i="108"/>
  <c r="AN50" i="108"/>
  <c r="BB47" i="108"/>
  <c r="BP17" i="108"/>
  <c r="AZ54" i="108"/>
  <c r="CS5" i="108"/>
  <c r="CQ7" i="108"/>
  <c r="BN17" i="108"/>
  <c r="CS17" i="108"/>
  <c r="AO54" i="108"/>
  <c r="CT17" i="108"/>
  <c r="BQ17" i="108"/>
  <c r="AG48" i="108"/>
  <c r="BI18" i="108"/>
  <c r="CL18" i="108"/>
  <c r="BK20" i="108"/>
  <c r="BL19" i="108"/>
  <c r="CO19" i="108"/>
  <c r="AG52" i="108"/>
  <c r="BI22" i="108"/>
  <c r="CL22" i="108"/>
  <c r="AM52" i="108"/>
  <c r="CR23" i="108"/>
  <c r="CQ18" i="108"/>
  <c r="AZ49" i="108"/>
  <c r="CT21" i="108"/>
  <c r="BQ21" i="108"/>
  <c r="BC51" i="108"/>
  <c r="BC53" i="108"/>
  <c r="CT23" i="108"/>
  <c r="BQ23" i="108"/>
  <c r="BO17" i="108"/>
  <c r="AI49" i="108"/>
  <c r="AW47" i="108"/>
  <c r="AP52" i="108"/>
  <c r="CU21" i="108"/>
  <c r="BR21" i="108"/>
  <c r="BD50" i="108"/>
  <c r="X17" i="108"/>
  <c r="AN49" i="108"/>
  <c r="BB49" i="108"/>
  <c r="CS22" i="108"/>
  <c r="CS25" i="108"/>
  <c r="AA75" i="113" s="1"/>
  <c r="AB75" i="113" s="1"/>
  <c r="CT4" i="108"/>
  <c r="BQ4" i="108"/>
  <c r="CL7" i="108"/>
  <c r="CV20" i="108"/>
  <c r="AL47" i="108"/>
  <c r="AZ47" i="108"/>
  <c r="AG51" i="108"/>
  <c r="BD52" i="108"/>
  <c r="CU22" i="108"/>
  <c r="BR22" i="108"/>
  <c r="AC19" i="108"/>
  <c r="N34" i="108"/>
  <c r="S22" i="108"/>
  <c r="S16" i="108" s="1"/>
  <c r="BK17" i="108"/>
  <c r="CN17" i="108"/>
  <c r="AY49" i="108"/>
  <c r="CK20" i="108"/>
  <c r="BH20" i="108"/>
  <c r="BA51" i="108"/>
  <c r="CR21" i="108"/>
  <c r="BO21" i="108"/>
  <c r="BB53" i="108"/>
  <c r="CS23" i="108"/>
  <c r="BP23" i="108"/>
  <c r="BA54" i="108"/>
  <c r="AL48" i="108"/>
  <c r="AZ48" i="108"/>
  <c r="AL50" i="108"/>
  <c r="AZ50" i="108"/>
  <c r="AY52" i="108"/>
  <c r="BB54" i="108"/>
  <c r="CS24" i="108"/>
  <c r="BP24" i="108"/>
  <c r="C28" i="108"/>
  <c r="N28" i="108" s="1" a="1"/>
  <c r="N28" i="108" s="1"/>
  <c r="BA50" i="108"/>
  <c r="AZ52" i="108"/>
  <c r="BO24" i="108"/>
  <c r="BC54" i="108"/>
  <c r="BB48" i="108"/>
  <c r="BB50" i="108"/>
  <c r="BA52" i="108"/>
  <c r="CR22" i="108"/>
  <c r="BO22" i="108"/>
  <c r="BQ24" i="108"/>
  <c r="AX48" i="108"/>
  <c r="CT20" i="108"/>
  <c r="BQ20" i="108"/>
  <c r="AN52" i="108"/>
  <c r="BB52" i="108"/>
  <c r="CP23" i="108"/>
  <c r="BM23" i="108"/>
  <c r="BI17" i="108"/>
  <c r="BW28" i="108"/>
  <c r="CL17" i="108"/>
  <c r="AU18" i="108"/>
  <c r="AU47" i="108" s="1"/>
  <c r="AY47" i="108"/>
  <c r="AY51" i="108"/>
  <c r="AL53" i="108"/>
  <c r="AZ53" i="108"/>
  <c r="CQ25" i="108"/>
  <c r="V75" i="113" s="1"/>
  <c r="W75" i="113" s="1"/>
  <c r="CO22" i="108"/>
  <c r="D5" i="107"/>
  <c r="D6" i="107"/>
  <c r="D22" i="107"/>
  <c r="CK20" i="52"/>
  <c r="CK7" i="52"/>
  <c r="B3" i="52"/>
  <c r="R4" i="52"/>
  <c r="R3" i="52" s="1"/>
  <c r="R8" i="52"/>
  <c r="C37" i="111"/>
  <c r="C23" i="111"/>
  <c r="C46" i="111"/>
  <c r="G46" i="111" s="1"/>
  <c r="Q46" i="111" s="1"/>
  <c r="N18" i="110"/>
  <c r="J18" i="110"/>
  <c r="S21" i="110"/>
  <c r="J40" i="110"/>
  <c r="J42" i="110"/>
  <c r="S12" i="110"/>
  <c r="S18" i="110"/>
  <c r="G24" i="111"/>
  <c r="K41" i="110"/>
  <c r="L41" i="110" s="1"/>
  <c r="S17" i="110"/>
  <c r="K40" i="110"/>
  <c r="K32" i="110"/>
  <c r="V5" i="111"/>
  <c r="Z43" i="111"/>
  <c r="S5" i="111"/>
  <c r="W5" i="111"/>
  <c r="Y37" i="111"/>
  <c r="C39" i="111"/>
  <c r="Z44" i="111"/>
  <c r="T5" i="111"/>
  <c r="Z45" i="111"/>
  <c r="Z47" i="111"/>
  <c r="Z41" i="111"/>
  <c r="Z40" i="111"/>
  <c r="D13" i="111"/>
  <c r="G12" i="111"/>
  <c r="G13" i="111"/>
  <c r="D30" i="111"/>
  <c r="G37" i="111"/>
  <c r="Y39" i="111"/>
  <c r="Y43" i="111"/>
  <c r="M41" i="110"/>
  <c r="Q39" i="110"/>
  <c r="Q40" i="110" s="1"/>
  <c r="N40" i="110"/>
  <c r="O40" i="110"/>
  <c r="L40" i="110"/>
  <c r="L42" i="110" s="1"/>
  <c r="J26" i="110"/>
  <c r="L32" i="110"/>
  <c r="AA150" i="116" a="1"/>
  <c r="AA332" i="116" a="1"/>
  <c r="AA296" i="116" a="1"/>
  <c r="AC26" i="109" l="1"/>
  <c r="T7" i="109"/>
  <c r="U7" i="109" s="1"/>
  <c r="AB7" i="109"/>
  <c r="Q25" i="109"/>
  <c r="W9" i="109"/>
  <c r="AA25" i="109"/>
  <c r="O51" i="113"/>
  <c r="P51" i="113" s="1"/>
  <c r="R73" i="113"/>
  <c r="W70" i="113"/>
  <c r="R70" i="113"/>
  <c r="W60" i="113"/>
  <c r="T41" i="113"/>
  <c r="U41" i="113" s="1"/>
  <c r="AD50" i="113"/>
  <c r="AE50" i="113" s="1"/>
  <c r="AF50" i="113" s="1"/>
  <c r="AG50" i="113" s="1"/>
  <c r="R60" i="113"/>
  <c r="R55" i="113"/>
  <c r="X24" i="109"/>
  <c r="W6" i="109"/>
  <c r="AH24" i="109"/>
  <c r="O8" i="109"/>
  <c r="P8" i="109" s="1"/>
  <c r="N25" i="109"/>
  <c r="O25" i="109" s="1"/>
  <c r="O22" i="109"/>
  <c r="P22" i="109" s="1"/>
  <c r="AB60" i="113"/>
  <c r="AD73" i="113"/>
  <c r="AE73" i="113" s="1"/>
  <c r="AF73" i="113" s="1"/>
  <c r="AG73" i="113" s="1"/>
  <c r="Y72" i="113"/>
  <c r="Z72" i="113" s="1"/>
  <c r="V52" i="113"/>
  <c r="T52" i="113" s="1"/>
  <c r="U52" i="113" s="1"/>
  <c r="N24" i="109"/>
  <c r="AC36" i="113"/>
  <c r="T51" i="113"/>
  <c r="U51" i="113" s="1"/>
  <c r="AD72" i="113"/>
  <c r="AE72" i="113" s="1"/>
  <c r="AF72" i="113" s="1"/>
  <c r="AG72" i="113" s="1"/>
  <c r="N26" i="109"/>
  <c r="O60" i="113"/>
  <c r="P60" i="113" s="1"/>
  <c r="R52" i="113"/>
  <c r="Q24" i="109"/>
  <c r="R24" i="109" s="1"/>
  <c r="Y56" i="113"/>
  <c r="Z56" i="113" s="1"/>
  <c r="Q69" i="113"/>
  <c r="Q26" i="109"/>
  <c r="R26" i="109" s="1"/>
  <c r="R8" i="109"/>
  <c r="T70" i="113"/>
  <c r="U70" i="113" s="1"/>
  <c r="W51" i="113"/>
  <c r="Y4" i="109"/>
  <c r="Z4" i="109" s="1"/>
  <c r="Y46" i="108"/>
  <c r="Y44" i="108"/>
  <c r="Y47" i="108"/>
  <c r="AA46" i="108"/>
  <c r="AA45" i="108"/>
  <c r="AA43" i="108"/>
  <c r="Y43" i="108"/>
  <c r="Y45" i="108"/>
  <c r="Z44" i="108"/>
  <c r="Z43" i="108"/>
  <c r="Z18" i="113"/>
  <c r="U17" i="113"/>
  <c r="Z17" i="113"/>
  <c r="U15" i="113"/>
  <c r="P15" i="113"/>
  <c r="Y41" i="113"/>
  <c r="Z41" i="113" s="1"/>
  <c r="AB41" i="113"/>
  <c r="AC37" i="113"/>
  <c r="AC55" i="113"/>
  <c r="AC74" i="113"/>
  <c r="X34" i="113"/>
  <c r="Y15" i="113"/>
  <c r="P4" i="113"/>
  <c r="N73" i="113"/>
  <c r="O73" i="113" s="1"/>
  <c r="P73" i="113" s="1"/>
  <c r="N36" i="113"/>
  <c r="O17" i="113"/>
  <c r="X69" i="113"/>
  <c r="Y69" i="113" s="1"/>
  <c r="Z69" i="113" s="1"/>
  <c r="X32" i="113"/>
  <c r="Y13" i="113"/>
  <c r="Y35" i="113" s="1"/>
  <c r="AA26" i="109"/>
  <c r="AB26" i="109" s="1"/>
  <c r="AD7" i="109"/>
  <c r="AE7" i="109" s="1"/>
  <c r="AF7" i="109" s="1"/>
  <c r="AG7" i="109" s="1"/>
  <c r="Y23" i="109"/>
  <c r="Z23" i="109" s="1"/>
  <c r="Y53" i="113"/>
  <c r="Z53" i="113" s="1"/>
  <c r="AA34" i="113"/>
  <c r="AB15" i="113"/>
  <c r="S24" i="109"/>
  <c r="T24" i="109" s="1"/>
  <c r="U24" i="109" s="1"/>
  <c r="AC35" i="113"/>
  <c r="AI33" i="108"/>
  <c r="BA53" i="108"/>
  <c r="BC47" i="108"/>
  <c r="Q3" i="113"/>
  <c r="Q3" i="109"/>
  <c r="S25" i="109"/>
  <c r="T25" i="109" s="1"/>
  <c r="R9" i="109"/>
  <c r="AA32" i="113"/>
  <c r="AB13" i="113"/>
  <c r="Y51" i="113"/>
  <c r="Z51" i="113" s="1"/>
  <c r="Q33" i="113"/>
  <c r="AC32" i="113"/>
  <c r="P14" i="113"/>
  <c r="Z16" i="113"/>
  <c r="S32" i="113"/>
  <c r="T13" i="113"/>
  <c r="T34" i="113" s="1"/>
  <c r="AA33" i="113"/>
  <c r="S69" i="113"/>
  <c r="T69" i="113" s="1"/>
  <c r="U69" i="113" s="1"/>
  <c r="AC33" i="113"/>
  <c r="W72" i="113"/>
  <c r="AA3" i="113"/>
  <c r="AA3" i="109"/>
  <c r="N33" i="113"/>
  <c r="AB69" i="113"/>
  <c r="T75" i="113"/>
  <c r="U75" i="113" s="1"/>
  <c r="R50" i="113"/>
  <c r="X35" i="113"/>
  <c r="N34" i="113"/>
  <c r="AN34" i="108"/>
  <c r="Y22" i="109"/>
  <c r="Z22" i="109" s="1"/>
  <c r="Q71" i="113"/>
  <c r="R71" i="113" s="1"/>
  <c r="Q34" i="113"/>
  <c r="R15" i="113"/>
  <c r="R37" i="113" s="1"/>
  <c r="CQ4" i="108"/>
  <c r="Q23" i="109"/>
  <c r="R23" i="109" s="1"/>
  <c r="AJ34" i="108"/>
  <c r="AO33" i="108"/>
  <c r="S35" i="113"/>
  <c r="T16" i="113"/>
  <c r="O70" i="113"/>
  <c r="P70" i="113" s="1"/>
  <c r="AB50" i="113"/>
  <c r="Y33" i="113"/>
  <c r="Z14" i="113"/>
  <c r="O71" i="113"/>
  <c r="P71" i="113" s="1"/>
  <c r="X71" i="113"/>
  <c r="S21" i="109"/>
  <c r="T4" i="109"/>
  <c r="U4" i="109" s="1"/>
  <c r="S36" i="113"/>
  <c r="AX50" i="108"/>
  <c r="V36" i="113"/>
  <c r="W17" i="113"/>
  <c r="Y75" i="113"/>
  <c r="Z75" i="113" s="1"/>
  <c r="T17" i="109"/>
  <c r="U17" i="109" s="1"/>
  <c r="X33" i="113"/>
  <c r="AK33" i="108"/>
  <c r="V37" i="113"/>
  <c r="V55" i="113"/>
  <c r="W55" i="113" s="1"/>
  <c r="W18" i="113"/>
  <c r="V74" i="113"/>
  <c r="T74" i="113" s="1"/>
  <c r="U74" i="113" s="1"/>
  <c r="AA73" i="113"/>
  <c r="AM33" i="108"/>
  <c r="V3" i="113"/>
  <c r="V3" i="109"/>
  <c r="U14" i="113"/>
  <c r="AA21" i="109"/>
  <c r="AA71" i="113"/>
  <c r="AB71" i="113" s="1"/>
  <c r="S34" i="113"/>
  <c r="W53" i="113"/>
  <c r="AC3" i="113"/>
  <c r="AC3" i="109"/>
  <c r="V71" i="113"/>
  <c r="V34" i="113"/>
  <c r="W15" i="113"/>
  <c r="T60" i="113"/>
  <c r="U60" i="113" s="1"/>
  <c r="AB70" i="113"/>
  <c r="S33" i="113"/>
  <c r="AB51" i="113"/>
  <c r="N37" i="113"/>
  <c r="N74" i="113"/>
  <c r="O74" i="113" s="1"/>
  <c r="P74" i="113" s="1"/>
  <c r="O18" i="113"/>
  <c r="N55" i="113"/>
  <c r="O55" i="113" s="1"/>
  <c r="P55" i="113" s="1"/>
  <c r="AB72" i="113"/>
  <c r="R74" i="113"/>
  <c r="S20" i="109"/>
  <c r="V54" i="113"/>
  <c r="W54" i="113" s="1"/>
  <c r="V32" i="113"/>
  <c r="W13" i="113"/>
  <c r="X52" i="113"/>
  <c r="Y55" i="113"/>
  <c r="Z55" i="113" s="1"/>
  <c r="N3" i="113"/>
  <c r="N3" i="109"/>
  <c r="AB9" i="109"/>
  <c r="AA24" i="109"/>
  <c r="U4" i="113"/>
  <c r="V35" i="113"/>
  <c r="Z4" i="113"/>
  <c r="V73" i="113"/>
  <c r="W73" i="113" s="1"/>
  <c r="W74" i="113"/>
  <c r="AA52" i="113"/>
  <c r="AB52" i="113" s="1"/>
  <c r="V44" i="108"/>
  <c r="AJ49" i="108"/>
  <c r="X3" i="113"/>
  <c r="X3" i="109"/>
  <c r="AC24" i="109"/>
  <c r="AD24" i="109" s="1"/>
  <c r="O6" i="109"/>
  <c r="P6" i="109" s="1"/>
  <c r="N69" i="113"/>
  <c r="O69" i="113" s="1"/>
  <c r="P69" i="113" s="1"/>
  <c r="N32" i="113"/>
  <c r="O13" i="113"/>
  <c r="V33" i="113"/>
  <c r="Y60" i="113"/>
  <c r="Z60" i="113" s="1"/>
  <c r="Q37" i="113"/>
  <c r="AA54" i="113"/>
  <c r="AB54" i="113" s="1"/>
  <c r="N50" i="113"/>
  <c r="O50" i="113" s="1"/>
  <c r="P50" i="113" s="1"/>
  <c r="R75" i="113"/>
  <c r="AL52" i="108"/>
  <c r="T6" i="109"/>
  <c r="U6" i="109" s="1"/>
  <c r="Y9" i="109"/>
  <c r="Z9" i="109" s="1"/>
  <c r="R56" i="113"/>
  <c r="N54" i="113"/>
  <c r="O54" i="113" s="1"/>
  <c r="P54" i="113" s="1"/>
  <c r="X50" i="113"/>
  <c r="Y50" i="113" s="1"/>
  <c r="Z50" i="113" s="1"/>
  <c r="O9" i="109"/>
  <c r="P9" i="109" s="1"/>
  <c r="Q32" i="113"/>
  <c r="R13" i="113"/>
  <c r="AC34" i="113"/>
  <c r="T18" i="113"/>
  <c r="R17" i="109"/>
  <c r="S72" i="113"/>
  <c r="S53" i="113"/>
  <c r="X37" i="113"/>
  <c r="P16" i="113"/>
  <c r="V46" i="108"/>
  <c r="AA74" i="113"/>
  <c r="AA55" i="113"/>
  <c r="AA37" i="113"/>
  <c r="AB18" i="113"/>
  <c r="X36" i="113"/>
  <c r="AA36" i="113"/>
  <c r="AB17" i="113"/>
  <c r="AB33" i="113" s="1"/>
  <c r="W17" i="109"/>
  <c r="S37" i="113"/>
  <c r="X21" i="109"/>
  <c r="O41" i="113"/>
  <c r="P41" i="113" s="1"/>
  <c r="N35" i="113"/>
  <c r="AI4" i="109"/>
  <c r="AJ4" i="109" s="1"/>
  <c r="AK4" i="109" s="1"/>
  <c r="AL4" i="109" s="1"/>
  <c r="AP34" i="108"/>
  <c r="AD9" i="109"/>
  <c r="AE9" i="109" s="1"/>
  <c r="AF9" i="109" s="1"/>
  <c r="AG9" i="109" s="1"/>
  <c r="AH26" i="109"/>
  <c r="AD26" i="109" s="1"/>
  <c r="AH35" i="113"/>
  <c r="AH25" i="109"/>
  <c r="AD25" i="109" s="1"/>
  <c r="AI41" i="113"/>
  <c r="AJ41" i="113" s="1"/>
  <c r="AK41" i="113" s="1"/>
  <c r="AL41" i="113" s="1"/>
  <c r="AD41" i="113"/>
  <c r="AE41" i="113" s="1"/>
  <c r="AF41" i="113" s="1"/>
  <c r="AG41" i="113" s="1"/>
  <c r="AH3" i="113"/>
  <c r="AH3" i="109"/>
  <c r="AH22" i="109"/>
  <c r="AI22" i="109" s="1"/>
  <c r="AJ22" i="109" s="1"/>
  <c r="AK22" i="109" s="1"/>
  <c r="AL22" i="109" s="1"/>
  <c r="AH69" i="113"/>
  <c r="AD69" i="113" s="1"/>
  <c r="AE69" i="113" s="1"/>
  <c r="AF69" i="113" s="1"/>
  <c r="AG69" i="113" s="1"/>
  <c r="AH70" i="113"/>
  <c r="AD70" i="113" s="1"/>
  <c r="AE70" i="113" s="1"/>
  <c r="AF70" i="113" s="1"/>
  <c r="AG70" i="113" s="1"/>
  <c r="AH33" i="113"/>
  <c r="AD14" i="113"/>
  <c r="BD54" i="108"/>
  <c r="AH37" i="113"/>
  <c r="AD18" i="113"/>
  <c r="AH74" i="113"/>
  <c r="AH55" i="113"/>
  <c r="AD6" i="109"/>
  <c r="AE6" i="109" s="1"/>
  <c r="AF6" i="109" s="1"/>
  <c r="AG6" i="109" s="1"/>
  <c r="AE16" i="113"/>
  <c r="AI6" i="109"/>
  <c r="AJ6" i="109" s="1"/>
  <c r="AK6" i="109" s="1"/>
  <c r="AL6" i="109" s="1"/>
  <c r="AE17" i="113"/>
  <c r="AH32" i="113"/>
  <c r="AD13" i="113"/>
  <c r="AH71" i="113"/>
  <c r="AD71" i="113" s="1"/>
  <c r="AE71" i="113" s="1"/>
  <c r="AF71" i="113" s="1"/>
  <c r="AG71" i="113" s="1"/>
  <c r="AH34" i="113"/>
  <c r="AD15" i="113"/>
  <c r="AH36" i="113"/>
  <c r="AH60" i="113"/>
  <c r="AH23" i="113"/>
  <c r="AD4" i="113"/>
  <c r="AI4" i="113"/>
  <c r="AJ4" i="113" s="1"/>
  <c r="AK4" i="113" s="1"/>
  <c r="AL4" i="113" s="1"/>
  <c r="G29" i="118"/>
  <c r="CG18" i="108"/>
  <c r="G26" i="118"/>
  <c r="CG19" i="108"/>
  <c r="G27" i="118"/>
  <c r="CG21" i="108"/>
  <c r="CG22" i="108"/>
  <c r="J13" i="118"/>
  <c r="Q13" i="118" s="1"/>
  <c r="R13" i="118" s="1"/>
  <c r="CG9" i="108"/>
  <c r="CG13" i="108"/>
  <c r="CG10" i="108"/>
  <c r="CG16" i="108"/>
  <c r="CG14" i="108"/>
  <c r="CG11" i="108"/>
  <c r="CG15" i="108"/>
  <c r="CG8" i="108"/>
  <c r="CG12" i="108"/>
  <c r="AQ13" i="108"/>
  <c r="DL12" i="108"/>
  <c r="BE9" i="108"/>
  <c r="AQ9" i="108"/>
  <c r="DL8" i="108"/>
  <c r="AQ15" i="108"/>
  <c r="DL14" i="108"/>
  <c r="DL11" i="108"/>
  <c r="AQ10" i="108"/>
  <c r="BE16" i="108"/>
  <c r="AQ17" i="108"/>
  <c r="BE11" i="108"/>
  <c r="BE17" i="108"/>
  <c r="AQ12" i="108"/>
  <c r="AQ11" i="108"/>
  <c r="DL13" i="108"/>
  <c r="BE15" i="108"/>
  <c r="DL16" i="108"/>
  <c r="DL15" i="108"/>
  <c r="AQ14" i="108"/>
  <c r="DL9" i="108"/>
  <c r="DL10" i="108"/>
  <c r="AQ16" i="108"/>
  <c r="BE14" i="108"/>
  <c r="G20" i="118"/>
  <c r="R25" i="109"/>
  <c r="B9" i="52"/>
  <c r="AA296" i="116"/>
  <c r="AA332" i="116"/>
  <c r="AA150" i="116"/>
  <c r="A298" i="116"/>
  <c r="A421" i="116"/>
  <c r="A385" i="116"/>
  <c r="A386" i="116" s="1"/>
  <c r="A387" i="116" s="1"/>
  <c r="A388" i="116" s="1"/>
  <c r="A389" i="116" s="1"/>
  <c r="A390" i="116" s="1"/>
  <c r="A392" i="116" s="1"/>
  <c r="A393" i="116" s="1"/>
  <c r="A394" i="116" s="1"/>
  <c r="A395" i="116" s="1"/>
  <c r="A396" i="116" s="1"/>
  <c r="A397" i="116" s="1"/>
  <c r="A398" i="116" s="1"/>
  <c r="A399" i="116" s="1"/>
  <c r="A400" i="116" s="1"/>
  <c r="A401" i="116" s="1"/>
  <c r="A402" i="116" s="1"/>
  <c r="A403" i="116" s="1"/>
  <c r="A404" i="116" s="1"/>
  <c r="A406" i="116" s="1"/>
  <c r="A334" i="116"/>
  <c r="A152" i="116"/>
  <c r="A370" i="116"/>
  <c r="H4" i="115"/>
  <c r="H3" i="115"/>
  <c r="BV7" i="108"/>
  <c r="BH5" i="108" s="1"/>
  <c r="BV5" i="108"/>
  <c r="BV7" i="52"/>
  <c r="BH5" i="52" s="1"/>
  <c r="BV5" i="52"/>
  <c r="F35" i="111"/>
  <c r="E29" i="111" s="1"/>
  <c r="B38" i="108"/>
  <c r="R23" i="108" s="1"/>
  <c r="B33" i="108"/>
  <c r="R21" i="108" s="1"/>
  <c r="B32" i="108"/>
  <c r="R20" i="108" s="1"/>
  <c r="B31" i="108"/>
  <c r="R19" i="108" s="1"/>
  <c r="B30" i="108"/>
  <c r="R18" i="108" s="1"/>
  <c r="B34" i="108"/>
  <c r="R22" i="108" s="1"/>
  <c r="B32" i="52"/>
  <c r="R20" i="52" s="1"/>
  <c r="B38" i="52"/>
  <c r="R23" i="52" s="1"/>
  <c r="B31" i="52"/>
  <c r="R19" i="52" s="1"/>
  <c r="B34" i="52"/>
  <c r="R22" i="52" s="1"/>
  <c r="B29" i="108"/>
  <c r="B30" i="52"/>
  <c r="R18" i="52" s="1"/>
  <c r="B33" i="52"/>
  <c r="R21" i="52" s="1"/>
  <c r="B29" i="52"/>
  <c r="F4" i="113"/>
  <c r="Y24" i="109"/>
  <c r="T26" i="109"/>
  <c r="Y25" i="109"/>
  <c r="AB25" i="109"/>
  <c r="W24" i="109"/>
  <c r="R37" i="108"/>
  <c r="R41" i="108"/>
  <c r="Y26" i="109"/>
  <c r="R7" i="52"/>
  <c r="W25" i="109"/>
  <c r="T22" i="109"/>
  <c r="U22" i="109" s="1"/>
  <c r="AD23" i="109"/>
  <c r="AE23" i="109" s="1"/>
  <c r="AF23" i="109" s="1"/>
  <c r="AG23" i="109" s="1"/>
  <c r="R22" i="109"/>
  <c r="W26" i="109"/>
  <c r="W23" i="109"/>
  <c r="O23" i="109"/>
  <c r="P23" i="109" s="1"/>
  <c r="E23" i="109"/>
  <c r="F6" i="109"/>
  <c r="F4" i="109"/>
  <c r="AB23" i="109"/>
  <c r="AB24" i="109"/>
  <c r="E22" i="109"/>
  <c r="F5" i="109"/>
  <c r="AC30" i="108"/>
  <c r="BD53" i="108"/>
  <c r="AP51" i="108"/>
  <c r="AP54" i="108"/>
  <c r="CU4" i="108"/>
  <c r="BR4" i="108"/>
  <c r="AO47" i="108"/>
  <c r="AO53" i="108"/>
  <c r="AO50" i="108"/>
  <c r="Z45" i="108"/>
  <c r="Z30" i="108"/>
  <c r="Z48" i="108"/>
  <c r="AN53" i="108"/>
  <c r="AN48" i="108"/>
  <c r="AN51" i="108"/>
  <c r="Z46" i="108"/>
  <c r="CS4" i="108"/>
  <c r="BP4" i="108"/>
  <c r="AN54" i="108"/>
  <c r="AN47" i="108"/>
  <c r="BO4" i="108"/>
  <c r="CR4" i="108"/>
  <c r="W31" i="108"/>
  <c r="V48" i="108"/>
  <c r="V43" i="108"/>
  <c r="V47" i="108"/>
  <c r="AI47" i="108"/>
  <c r="S46" i="108"/>
  <c r="S43" i="108"/>
  <c r="S45" i="108"/>
  <c r="S47" i="108"/>
  <c r="S44" i="108"/>
  <c r="AK47" i="108"/>
  <c r="R36" i="108"/>
  <c r="AX49" i="108"/>
  <c r="BQ5" i="108"/>
  <c r="CT5" i="108"/>
  <c r="S30" i="108"/>
  <c r="AK53" i="108"/>
  <c r="AM51" i="108"/>
  <c r="AI50" i="108"/>
  <c r="AJ50" i="108"/>
  <c r="AI48" i="108"/>
  <c r="AX52" i="108"/>
  <c r="R40" i="108"/>
  <c r="AU50" i="108"/>
  <c r="AX47" i="108"/>
  <c r="AJ52" i="108"/>
  <c r="W16" i="108"/>
  <c r="W43" i="108" s="1"/>
  <c r="CS7" i="108"/>
  <c r="AW54" i="108"/>
  <c r="AW51" i="108"/>
  <c r="AW53" i="108"/>
  <c r="AW52" i="108"/>
  <c r="U3" i="108"/>
  <c r="U16" i="108"/>
  <c r="U43" i="108" s="1"/>
  <c r="AK48" i="108"/>
  <c r="BD49" i="108"/>
  <c r="BD48" i="108"/>
  <c r="BD47" i="108"/>
  <c r="AW48" i="108"/>
  <c r="AJ48" i="108"/>
  <c r="BD51" i="108"/>
  <c r="AW49" i="108"/>
  <c r="AX51" i="108"/>
  <c r="AJ47" i="108"/>
  <c r="S48" i="108"/>
  <c r="AU3" i="108"/>
  <c r="CL4" i="108"/>
  <c r="BI4" i="108"/>
  <c r="BL4" i="108"/>
  <c r="CO4" i="108"/>
  <c r="AK52" i="108"/>
  <c r="X16" i="108"/>
  <c r="CN4" i="108"/>
  <c r="BK4" i="108"/>
  <c r="AM53" i="108"/>
  <c r="AM50" i="108"/>
  <c r="AM54" i="108"/>
  <c r="AP47" i="108"/>
  <c r="AP50" i="108"/>
  <c r="AP49" i="108"/>
  <c r="AP53" i="108"/>
  <c r="AP48" i="108"/>
  <c r="AU52" i="108"/>
  <c r="S31" i="108"/>
  <c r="AB30" i="108"/>
  <c r="R35" i="108"/>
  <c r="AK54" i="108"/>
  <c r="AJ53" i="108"/>
  <c r="AJ54" i="108"/>
  <c r="Y3" i="108"/>
  <c r="Y30" i="108" s="1"/>
  <c r="R38" i="108"/>
  <c r="AK51" i="108"/>
  <c r="AU48" i="108"/>
  <c r="V3" i="108"/>
  <c r="V31" i="108" s="1"/>
  <c r="AB31" i="108"/>
  <c r="R39" i="108"/>
  <c r="X3" i="108"/>
  <c r="AU54" i="108"/>
  <c r="AU53" i="108"/>
  <c r="AU49" i="108"/>
  <c r="AU51" i="108"/>
  <c r="AI52" i="108"/>
  <c r="AI51" i="108"/>
  <c r="AI53" i="108"/>
  <c r="AI54" i="108"/>
  <c r="AW50" i="108"/>
  <c r="AB16" i="108"/>
  <c r="AB44" i="108" s="1"/>
  <c r="AK50" i="108"/>
  <c r="R31" i="108"/>
  <c r="AM47" i="108"/>
  <c r="AM49" i="108"/>
  <c r="AM48" i="108"/>
  <c r="AX54" i="108"/>
  <c r="AX53" i="108"/>
  <c r="AC16" i="108"/>
  <c r="AO49" i="108"/>
  <c r="AO48" i="108"/>
  <c r="AO52" i="108"/>
  <c r="AO51" i="108"/>
  <c r="AA3" i="108"/>
  <c r="AA30" i="108" s="1"/>
  <c r="R30" i="108"/>
  <c r="D23" i="107"/>
  <c r="D41" i="111"/>
  <c r="K42" i="110"/>
  <c r="J32" i="110"/>
  <c r="S26" i="110"/>
  <c r="S32" i="110" s="1"/>
  <c r="G39" i="111"/>
  <c r="Q38" i="111" s="1"/>
  <c r="R41" i="111" s="1"/>
  <c r="Z46" i="111"/>
  <c r="G23" i="111"/>
  <c r="H22" i="111" s="1"/>
  <c r="J22" i="111" s="1"/>
  <c r="Q22" i="111" s="1"/>
  <c r="R22" i="111" s="1"/>
  <c r="D22" i="111"/>
  <c r="Z39" i="111"/>
  <c r="E28" i="111"/>
  <c r="E31" i="111"/>
  <c r="G31" i="111" s="1"/>
  <c r="E32" i="111"/>
  <c r="E30" i="111"/>
  <c r="E33" i="111"/>
  <c r="Z37" i="111"/>
  <c r="E26" i="111"/>
  <c r="E27" i="111"/>
  <c r="E34" i="111"/>
  <c r="C5" i="111"/>
  <c r="M42" i="110"/>
  <c r="N41" i="110"/>
  <c r="R39" i="110"/>
  <c r="R40" i="110" s="1"/>
  <c r="BD25" i="52"/>
  <c r="AH18" i="115" s="1"/>
  <c r="BC25" i="52"/>
  <c r="BB25" i="52"/>
  <c r="AA18" i="115" s="1"/>
  <c r="BA25" i="52"/>
  <c r="X18" i="115" s="1"/>
  <c r="AZ25" i="52"/>
  <c r="V18" i="115" s="1"/>
  <c r="AY25" i="52"/>
  <c r="AX25" i="52"/>
  <c r="AW25" i="52"/>
  <c r="AV25" i="52"/>
  <c r="AU25" i="52"/>
  <c r="I17" i="107" s="1"/>
  <c r="AP26" i="52"/>
  <c r="AP25" i="52"/>
  <c r="AO26" i="52"/>
  <c r="AO25" i="52"/>
  <c r="AN26" i="52"/>
  <c r="AN25" i="52"/>
  <c r="AM26" i="52"/>
  <c r="AM25" i="52"/>
  <c r="AL26" i="52"/>
  <c r="AL25" i="52"/>
  <c r="AK26" i="52"/>
  <c r="AK25" i="52"/>
  <c r="AJ26" i="52"/>
  <c r="AJ25" i="52"/>
  <c r="AI26" i="52"/>
  <c r="AI25" i="52"/>
  <c r="AH26" i="52"/>
  <c r="AH25" i="52"/>
  <c r="AG25" i="52"/>
  <c r="AG26" i="52"/>
  <c r="AQ7" i="52"/>
  <c r="AQ6" i="52"/>
  <c r="AP7" i="52"/>
  <c r="AP5" i="52" s="1"/>
  <c r="AP6" i="52"/>
  <c r="AP4" i="52" s="1"/>
  <c r="AO7" i="52"/>
  <c r="AO5" i="52" s="1"/>
  <c r="AO6" i="52"/>
  <c r="AO4" i="52" s="1"/>
  <c r="AN7" i="52"/>
  <c r="AN5" i="52" s="1"/>
  <c r="AN6" i="52"/>
  <c r="AN4" i="52" s="1"/>
  <c r="AM7" i="52"/>
  <c r="AM5" i="52" s="1"/>
  <c r="AM6" i="52"/>
  <c r="AM4" i="52" s="1"/>
  <c r="AL7" i="52"/>
  <c r="AL5" i="52" s="1"/>
  <c r="AL6" i="52"/>
  <c r="AL4" i="52" s="1"/>
  <c r="AK7" i="52"/>
  <c r="AK5" i="52" s="1"/>
  <c r="AK6" i="52"/>
  <c r="AK4" i="52" s="1"/>
  <c r="AJ7" i="52"/>
  <c r="AJ5" i="52" s="1"/>
  <c r="AJ6" i="52"/>
  <c r="AJ4" i="52" s="1"/>
  <c r="AI7" i="52"/>
  <c r="AI5" i="52" s="1"/>
  <c r="AI6" i="52"/>
  <c r="AI4" i="52" s="1"/>
  <c r="AH7" i="52"/>
  <c r="AH5" i="52" s="1"/>
  <c r="AH6" i="52"/>
  <c r="AH4" i="52" s="1"/>
  <c r="AG7" i="52"/>
  <c r="AG5" i="52" s="1"/>
  <c r="AG6" i="52"/>
  <c r="AG4" i="52" s="1"/>
  <c r="AG23" i="52"/>
  <c r="DK24" i="52"/>
  <c r="DK23" i="52"/>
  <c r="DJ24" i="52"/>
  <c r="DJ23" i="52"/>
  <c r="DI24" i="52"/>
  <c r="DI23" i="52"/>
  <c r="DH24" i="52"/>
  <c r="DH23" i="52"/>
  <c r="DG24" i="52"/>
  <c r="DG23" i="52"/>
  <c r="DF24" i="52"/>
  <c r="DF23" i="52"/>
  <c r="DE24" i="52"/>
  <c r="DE23" i="52"/>
  <c r="DD24" i="52"/>
  <c r="DD23" i="52"/>
  <c r="DC24" i="52"/>
  <c r="DC23" i="52"/>
  <c r="DB24" i="52"/>
  <c r="DB23" i="52"/>
  <c r="CG24" i="52"/>
  <c r="CF24" i="52"/>
  <c r="CF23" i="52"/>
  <c r="CE24" i="52"/>
  <c r="CE23" i="52"/>
  <c r="CD24" i="52"/>
  <c r="CD23" i="52"/>
  <c r="CC24" i="52"/>
  <c r="CC23" i="52"/>
  <c r="CB24" i="52"/>
  <c r="CB23" i="52"/>
  <c r="CA24" i="52"/>
  <c r="CA23" i="52"/>
  <c r="BZ24" i="52"/>
  <c r="BZ23" i="52"/>
  <c r="BY24" i="52"/>
  <c r="BY23" i="52"/>
  <c r="BX24" i="52"/>
  <c r="BX23" i="52"/>
  <c r="BW23" i="52"/>
  <c r="BW24" i="52"/>
  <c r="BD26" i="52"/>
  <c r="BC26" i="52"/>
  <c r="BB26" i="52"/>
  <c r="BA26" i="52"/>
  <c r="AZ26" i="52"/>
  <c r="AY26" i="52"/>
  <c r="BM24" i="52" s="1"/>
  <c r="AX26" i="52"/>
  <c r="AW26" i="52"/>
  <c r="CN24" i="52" s="1"/>
  <c r="AV26" i="52"/>
  <c r="AU26" i="52"/>
  <c r="CG4" i="52"/>
  <c r="CF7" i="52"/>
  <c r="CF6" i="52"/>
  <c r="CF5" i="52"/>
  <c r="CF4" i="52"/>
  <c r="CE7" i="52"/>
  <c r="CE6" i="52"/>
  <c r="CE5" i="52"/>
  <c r="CE4" i="52"/>
  <c r="CD7" i="52"/>
  <c r="CD6" i="52"/>
  <c r="CD5" i="52"/>
  <c r="CD4" i="52"/>
  <c r="CC7" i="52"/>
  <c r="CC6" i="52"/>
  <c r="CC5" i="52"/>
  <c r="CC4" i="52"/>
  <c r="CB7" i="52"/>
  <c r="CB6" i="52"/>
  <c r="CB5" i="52"/>
  <c r="CB4" i="52"/>
  <c r="CA7" i="52"/>
  <c r="CA6" i="52"/>
  <c r="CA5" i="52"/>
  <c r="CA4" i="52"/>
  <c r="BZ7" i="52"/>
  <c r="BZ6" i="52"/>
  <c r="BZ5" i="52"/>
  <c r="BZ4" i="52"/>
  <c r="BY7" i="52"/>
  <c r="BY6" i="52"/>
  <c r="BY5" i="52"/>
  <c r="BY4" i="52"/>
  <c r="BX7" i="52"/>
  <c r="BX6" i="52"/>
  <c r="BX5" i="52"/>
  <c r="BX4" i="52"/>
  <c r="BW5" i="52"/>
  <c r="BW7" i="52"/>
  <c r="BW6" i="52"/>
  <c r="DC7" i="52"/>
  <c r="DD7" i="52" s="1"/>
  <c r="DE7" i="52" s="1"/>
  <c r="DF7" i="52" s="1"/>
  <c r="DG7" i="52" s="1"/>
  <c r="DH7" i="52" s="1"/>
  <c r="DI7" i="52" s="1"/>
  <c r="DJ7" i="52" s="1"/>
  <c r="DK7" i="52" s="1"/>
  <c r="DL7" i="52" s="1"/>
  <c r="BE7" i="52"/>
  <c r="BE6" i="52"/>
  <c r="AM5" i="107" s="1"/>
  <c r="BD7" i="52"/>
  <c r="BD5" i="52" s="1"/>
  <c r="BD6" i="52"/>
  <c r="AH5" i="107" s="1"/>
  <c r="BC7" i="52"/>
  <c r="AC6" i="107" s="1"/>
  <c r="BC6" i="52"/>
  <c r="AC5" i="107" s="1"/>
  <c r="BB7" i="52"/>
  <c r="AA6" i="107" s="1"/>
  <c r="BB6" i="52"/>
  <c r="AA5" i="107" s="1"/>
  <c r="BA7" i="52"/>
  <c r="X6" i="107" s="1"/>
  <c r="BA6" i="52"/>
  <c r="X5" i="107" s="1"/>
  <c r="AZ7" i="52"/>
  <c r="AZ6" i="52"/>
  <c r="V5" i="107" s="1"/>
  <c r="AY7" i="52"/>
  <c r="S6" i="107" s="1"/>
  <c r="AY6" i="52"/>
  <c r="AY4" i="52" s="1"/>
  <c r="AX7" i="52"/>
  <c r="Q6" i="107" s="1"/>
  <c r="AX6" i="52"/>
  <c r="Q5" i="107" s="1"/>
  <c r="AW7" i="52"/>
  <c r="N6" i="107" s="1"/>
  <c r="AW6" i="52"/>
  <c r="AV7" i="52"/>
  <c r="AV6" i="52"/>
  <c r="L5" i="107" s="1"/>
  <c r="AU7" i="52"/>
  <c r="AU5" i="52" s="1"/>
  <c r="I4" i="107" s="1"/>
  <c r="E4" i="107" s="1"/>
  <c r="AU6" i="52"/>
  <c r="I5" i="107" s="1"/>
  <c r="E5" i="107" s="1"/>
  <c r="DB6" i="52"/>
  <c r="DL20" i="52"/>
  <c r="DK25" i="52"/>
  <c r="DK6" i="52"/>
  <c r="DK22" i="52"/>
  <c r="DK21" i="52"/>
  <c r="DK20" i="52"/>
  <c r="DK19" i="52"/>
  <c r="DK18" i="52"/>
  <c r="DK17" i="52"/>
  <c r="DJ25" i="52"/>
  <c r="DJ6" i="52"/>
  <c r="DJ22" i="52"/>
  <c r="DJ21" i="52"/>
  <c r="DJ20" i="52"/>
  <c r="DJ19" i="52"/>
  <c r="DJ18" i="52"/>
  <c r="DJ17" i="52"/>
  <c r="DI25" i="52"/>
  <c r="DI6" i="52"/>
  <c r="DI22" i="52"/>
  <c r="AA73" i="115" s="1"/>
  <c r="DI21" i="52"/>
  <c r="DI20" i="52"/>
  <c r="DI19" i="52"/>
  <c r="DI18" i="52"/>
  <c r="DI17" i="52"/>
  <c r="DH25" i="52"/>
  <c r="DH6" i="52"/>
  <c r="DH22" i="52"/>
  <c r="DH21" i="52"/>
  <c r="DH20" i="52"/>
  <c r="DH19" i="52"/>
  <c r="DH18" i="52"/>
  <c r="X70" i="115" s="1"/>
  <c r="DH17" i="52"/>
  <c r="DG25" i="52"/>
  <c r="DG6" i="52"/>
  <c r="DG22" i="52"/>
  <c r="DG21" i="52"/>
  <c r="DG20" i="52"/>
  <c r="DG19" i="52"/>
  <c r="DG18" i="52"/>
  <c r="DG17" i="52"/>
  <c r="DF25" i="52"/>
  <c r="DF6" i="52"/>
  <c r="DF22" i="52"/>
  <c r="S73" i="115" s="1"/>
  <c r="DF21" i="52"/>
  <c r="DF20" i="52"/>
  <c r="DF19" i="52"/>
  <c r="DF18" i="52"/>
  <c r="DF17" i="52"/>
  <c r="DE25" i="52"/>
  <c r="DE6" i="52"/>
  <c r="DE22" i="52"/>
  <c r="DE21" i="52"/>
  <c r="Q72" i="115" s="1"/>
  <c r="DE20" i="52"/>
  <c r="DE19" i="52"/>
  <c r="DE18" i="52"/>
  <c r="DE17" i="52"/>
  <c r="DD25" i="52"/>
  <c r="DD6" i="52"/>
  <c r="DD22" i="52"/>
  <c r="DD21" i="52"/>
  <c r="DD20" i="52"/>
  <c r="DD19" i="52"/>
  <c r="N71" i="115" s="1"/>
  <c r="DD18" i="52"/>
  <c r="N70" i="115" s="1"/>
  <c r="DD17" i="52"/>
  <c r="DC25" i="52"/>
  <c r="DC6" i="52"/>
  <c r="DC22" i="52"/>
  <c r="DC21" i="52"/>
  <c r="DC20" i="52"/>
  <c r="DC19" i="52"/>
  <c r="DC18" i="52"/>
  <c r="DC17" i="52"/>
  <c r="DL5" i="52"/>
  <c r="DB5" i="52" s="1"/>
  <c r="DL4" i="52"/>
  <c r="DB4" i="52" s="1"/>
  <c r="DK5" i="52"/>
  <c r="DA5" i="52" s="1"/>
  <c r="DK4" i="52"/>
  <c r="DA4" i="52" s="1"/>
  <c r="DJ5" i="52"/>
  <c r="DJ4" i="52"/>
  <c r="DI5" i="52"/>
  <c r="DI4" i="52"/>
  <c r="DH5" i="52"/>
  <c r="DH4" i="52"/>
  <c r="DG5" i="52"/>
  <c r="DG4" i="52"/>
  <c r="DF5" i="52"/>
  <c r="DF4" i="52"/>
  <c r="DE5" i="52"/>
  <c r="DE4" i="52"/>
  <c r="DD5" i="52"/>
  <c r="DD4" i="52"/>
  <c r="DC5" i="52"/>
  <c r="DC4" i="52"/>
  <c r="CG20" i="52"/>
  <c r="CF25" i="52"/>
  <c r="CF22" i="52"/>
  <c r="CF21" i="52"/>
  <c r="CF20" i="52"/>
  <c r="CF19" i="52"/>
  <c r="CF18" i="52"/>
  <c r="AH51" i="115" s="1"/>
  <c r="CF17" i="52"/>
  <c r="CE25" i="52"/>
  <c r="CE22" i="52"/>
  <c r="CE21" i="52"/>
  <c r="CE20" i="52"/>
  <c r="CE19" i="52"/>
  <c r="CE18" i="52"/>
  <c r="CE17" i="52"/>
  <c r="CD25" i="52"/>
  <c r="CD22" i="52"/>
  <c r="AA54" i="115" s="1"/>
  <c r="CD21" i="52"/>
  <c r="CD20" i="52"/>
  <c r="CD19" i="52"/>
  <c r="AA52" i="115" s="1"/>
  <c r="CD18" i="52"/>
  <c r="AA51" i="115" s="1"/>
  <c r="CD17" i="52"/>
  <c r="CC25" i="52"/>
  <c r="CC22" i="52"/>
  <c r="CC21" i="52"/>
  <c r="CC20" i="52"/>
  <c r="CC19" i="52"/>
  <c r="CC18" i="52"/>
  <c r="CC17" i="52"/>
  <c r="CB25" i="52"/>
  <c r="CB22" i="52"/>
  <c r="CB21" i="52"/>
  <c r="V53" i="115" s="1"/>
  <c r="CB20" i="52"/>
  <c r="CB19" i="52"/>
  <c r="CB18" i="52"/>
  <c r="CB17" i="52"/>
  <c r="CA25" i="52"/>
  <c r="CA22" i="52"/>
  <c r="CA21" i="52"/>
  <c r="CA20" i="52"/>
  <c r="CA19" i="52"/>
  <c r="S52" i="115" s="1"/>
  <c r="CA18" i="52"/>
  <c r="S51" i="115" s="1"/>
  <c r="CA17" i="52"/>
  <c r="BZ25" i="52"/>
  <c r="BZ22" i="52"/>
  <c r="BZ21" i="52"/>
  <c r="BZ20" i="52"/>
  <c r="BZ19" i="52"/>
  <c r="BZ18" i="52"/>
  <c r="BZ17" i="52"/>
  <c r="BY25" i="52"/>
  <c r="BY22" i="52"/>
  <c r="BY21" i="52"/>
  <c r="BY20" i="52"/>
  <c r="BY19" i="52"/>
  <c r="N52" i="115" s="1"/>
  <c r="BY18" i="52"/>
  <c r="N51" i="115" s="1"/>
  <c r="BY17" i="52"/>
  <c r="BX25" i="52"/>
  <c r="BX22" i="52"/>
  <c r="BX21" i="52"/>
  <c r="BX20" i="52"/>
  <c r="BX19" i="52"/>
  <c r="BX18" i="52"/>
  <c r="BX17" i="52"/>
  <c r="BW4" i="52"/>
  <c r="BW17" i="52"/>
  <c r="BW19" i="52"/>
  <c r="BW25" i="52"/>
  <c r="BW22" i="52"/>
  <c r="BW21" i="52"/>
  <c r="BW20" i="52"/>
  <c r="BW18" i="52"/>
  <c r="DB25" i="52"/>
  <c r="DB22" i="52"/>
  <c r="DB21" i="52"/>
  <c r="DB20" i="52"/>
  <c r="DB19" i="52"/>
  <c r="DB17" i="52"/>
  <c r="DB18" i="52"/>
  <c r="CX18" i="52"/>
  <c r="CX19" i="52" s="1"/>
  <c r="CX21" i="52" s="1"/>
  <c r="CX22" i="52" s="1"/>
  <c r="CX24" i="52" s="1"/>
  <c r="CX9" i="52"/>
  <c r="CX10" i="52" s="1"/>
  <c r="CX11" i="52" s="1"/>
  <c r="CX13" i="52" s="1"/>
  <c r="CX14" i="52" s="1"/>
  <c r="CX15" i="52" s="1"/>
  <c r="CX16" i="52" s="1"/>
  <c r="CX4" i="52"/>
  <c r="CX5" i="52" s="1"/>
  <c r="AU27" i="52"/>
  <c r="AU24" i="52"/>
  <c r="AU23" i="52"/>
  <c r="AU22" i="52"/>
  <c r="CL20" i="52" s="1"/>
  <c r="AU21" i="52"/>
  <c r="AU20" i="52"/>
  <c r="AU19" i="52"/>
  <c r="BD27" i="52"/>
  <c r="BD24" i="52"/>
  <c r="AH17" i="115" s="1"/>
  <c r="BD23" i="52"/>
  <c r="AH16" i="115" s="1"/>
  <c r="BD22" i="52"/>
  <c r="BD21" i="52"/>
  <c r="BD20" i="52"/>
  <c r="AH14" i="115" s="1"/>
  <c r="BD19" i="52"/>
  <c r="BB27" i="52"/>
  <c r="BB24" i="52"/>
  <c r="AA17" i="115" s="1"/>
  <c r="BB23" i="52"/>
  <c r="BB22" i="52"/>
  <c r="BB21" i="52"/>
  <c r="AA15" i="115" s="1"/>
  <c r="BB20" i="52"/>
  <c r="AA14" i="115" s="1"/>
  <c r="BB19" i="52"/>
  <c r="AZ27" i="52"/>
  <c r="AZ24" i="52"/>
  <c r="AZ23" i="52"/>
  <c r="V16" i="115" s="1"/>
  <c r="AZ22" i="52"/>
  <c r="AZ21" i="52"/>
  <c r="AZ20" i="52"/>
  <c r="AZ19" i="52"/>
  <c r="AP27" i="52"/>
  <c r="AP24" i="52"/>
  <c r="AP23" i="52"/>
  <c r="AP22" i="52"/>
  <c r="AP21" i="52"/>
  <c r="AP20" i="52"/>
  <c r="AP19" i="52"/>
  <c r="AN27" i="52"/>
  <c r="AN24" i="52"/>
  <c r="AN23" i="52"/>
  <c r="AN22" i="52"/>
  <c r="AN21" i="52"/>
  <c r="AN20" i="52"/>
  <c r="AN19" i="52"/>
  <c r="AM27" i="52"/>
  <c r="AM24" i="52"/>
  <c r="AM23" i="52"/>
  <c r="AM22" i="52"/>
  <c r="AM21" i="52"/>
  <c r="AM20" i="52"/>
  <c r="AM19" i="52"/>
  <c r="AL27" i="52"/>
  <c r="AL24" i="52"/>
  <c r="AL23" i="52"/>
  <c r="AL22" i="52"/>
  <c r="AL21" i="52"/>
  <c r="AL20" i="52"/>
  <c r="AL19" i="52"/>
  <c r="F45" i="52"/>
  <c r="F44" i="52"/>
  <c r="F42" i="52"/>
  <c r="F38" i="52"/>
  <c r="V23" i="52" s="1"/>
  <c r="F34" i="52"/>
  <c r="V22" i="52" s="1"/>
  <c r="F33" i="52"/>
  <c r="V21" i="52" s="1"/>
  <c r="F32" i="52"/>
  <c r="V20" i="52" s="1"/>
  <c r="F31" i="52"/>
  <c r="V19" i="52" s="1"/>
  <c r="F30" i="52"/>
  <c r="V18" i="52" s="1"/>
  <c r="F29" i="52"/>
  <c r="V17" i="52" s="1"/>
  <c r="F5" i="52"/>
  <c r="V5" i="52" s="1"/>
  <c r="F4" i="52"/>
  <c r="H45" i="52"/>
  <c r="H44" i="52"/>
  <c r="H42" i="52"/>
  <c r="H38" i="52"/>
  <c r="X23" i="52" s="1"/>
  <c r="H34" i="52"/>
  <c r="X22" i="52" s="1"/>
  <c r="H33" i="52"/>
  <c r="X21" i="52" s="1"/>
  <c r="H32" i="52"/>
  <c r="X20" i="52" s="1"/>
  <c r="H31" i="52"/>
  <c r="X19" i="52" s="1"/>
  <c r="H30" i="52"/>
  <c r="X18" i="52" s="1"/>
  <c r="H29" i="52"/>
  <c r="X17" i="52" s="1"/>
  <c r="H5" i="52"/>
  <c r="X5" i="52" s="1"/>
  <c r="H4" i="52"/>
  <c r="I45" i="52"/>
  <c r="I44" i="52"/>
  <c r="I42" i="52"/>
  <c r="I38" i="52"/>
  <c r="Y23" i="52" s="1"/>
  <c r="I34" i="52"/>
  <c r="Y22" i="52" s="1"/>
  <c r="I33" i="52"/>
  <c r="Y21" i="52" s="1"/>
  <c r="I32" i="52"/>
  <c r="Y20" i="52" s="1"/>
  <c r="I31" i="52"/>
  <c r="Y19" i="52" s="1"/>
  <c r="I30" i="52"/>
  <c r="Y18" i="52" s="1"/>
  <c r="I29" i="52"/>
  <c r="Y17" i="52" s="1"/>
  <c r="I5" i="52"/>
  <c r="Y5" i="52" s="1"/>
  <c r="I4" i="52"/>
  <c r="J45" i="52"/>
  <c r="J44" i="52"/>
  <c r="J42" i="52"/>
  <c r="J38" i="52"/>
  <c r="Z23" i="52" s="1"/>
  <c r="J34" i="52"/>
  <c r="Z22" i="52" s="1"/>
  <c r="J33" i="52"/>
  <c r="Z21" i="52" s="1"/>
  <c r="J32" i="52"/>
  <c r="Z20" i="52" s="1"/>
  <c r="J31" i="52"/>
  <c r="Z19" i="52" s="1"/>
  <c r="J30" i="52"/>
  <c r="Z18" i="52" s="1"/>
  <c r="J29" i="52"/>
  <c r="Z17" i="52" s="1"/>
  <c r="J5" i="52"/>
  <c r="Z5" i="52" s="1"/>
  <c r="J4" i="52"/>
  <c r="K45" i="52"/>
  <c r="K44" i="52"/>
  <c r="K42" i="52"/>
  <c r="K38" i="52"/>
  <c r="AA23" i="52" s="1"/>
  <c r="K34" i="52"/>
  <c r="AA22" i="52" s="1"/>
  <c r="K33" i="52"/>
  <c r="AA21" i="52" s="1"/>
  <c r="K32" i="52"/>
  <c r="AA20" i="52" s="1"/>
  <c r="K31" i="52"/>
  <c r="AA19" i="52" s="1"/>
  <c r="K30" i="52"/>
  <c r="AA18" i="52" s="1"/>
  <c r="K29" i="52"/>
  <c r="AA17" i="52" s="1"/>
  <c r="K5" i="52"/>
  <c r="AA5" i="52" s="1"/>
  <c r="K4" i="52"/>
  <c r="L45" i="52"/>
  <c r="L44" i="52"/>
  <c r="L42" i="52"/>
  <c r="L38" i="52"/>
  <c r="AB23" i="52" s="1"/>
  <c r="L34" i="52"/>
  <c r="AB22" i="52" s="1"/>
  <c r="L33" i="52"/>
  <c r="AB21" i="52" s="1"/>
  <c r="L32" i="52"/>
  <c r="AB20" i="52" s="1"/>
  <c r="L31" i="52"/>
  <c r="AB19" i="52" s="1"/>
  <c r="L30" i="52"/>
  <c r="AB18" i="52" s="1"/>
  <c r="L29" i="52"/>
  <c r="AB17" i="52" s="1"/>
  <c r="L5" i="52"/>
  <c r="AB5" i="52" s="1"/>
  <c r="L4" i="52"/>
  <c r="AG27" i="52"/>
  <c r="AG24" i="52"/>
  <c r="AG22" i="52"/>
  <c r="AG21" i="52"/>
  <c r="AG20" i="52"/>
  <c r="AG19" i="52"/>
  <c r="C38" i="52"/>
  <c r="M45" i="52"/>
  <c r="M44" i="52"/>
  <c r="M42" i="52"/>
  <c r="C45" i="52"/>
  <c r="C44" i="52"/>
  <c r="C42" i="52"/>
  <c r="D38" i="52"/>
  <c r="D34" i="52"/>
  <c r="D33" i="52"/>
  <c r="D32" i="52"/>
  <c r="D31" i="52"/>
  <c r="D30" i="52"/>
  <c r="D29" i="52"/>
  <c r="D5" i="52"/>
  <c r="D4" i="52"/>
  <c r="M5" i="52"/>
  <c r="M4" i="52"/>
  <c r="C34" i="52"/>
  <c r="N34" i="52" s="1"/>
  <c r="C33" i="52"/>
  <c r="N33" i="52" s="1"/>
  <c r="C32" i="52"/>
  <c r="N32" i="52" s="1"/>
  <c r="C31" i="52"/>
  <c r="N31" i="52" s="1"/>
  <c r="C30" i="52"/>
  <c r="N30" i="52" s="1"/>
  <c r="C29" i="52"/>
  <c r="N29" i="52" s="1"/>
  <c r="U22" i="47"/>
  <c r="C41" i="106"/>
  <c r="C42" i="106"/>
  <c r="C5" i="52"/>
  <c r="U25" i="47"/>
  <c r="C4" i="52"/>
  <c r="C19" i="52"/>
  <c r="C13" i="52"/>
  <c r="C12" i="52"/>
  <c r="C11" i="52"/>
  <c r="C10" i="52"/>
  <c r="E24" i="106"/>
  <c r="C32" i="106"/>
  <c r="D30" i="106" s="1"/>
  <c r="C24" i="106"/>
  <c r="G21" i="106"/>
  <c r="X30" i="106"/>
  <c r="W30" i="106"/>
  <c r="V30" i="106"/>
  <c r="U30" i="106"/>
  <c r="S30" i="106" s="1"/>
  <c r="T30" i="106"/>
  <c r="E40" i="106"/>
  <c r="G40" i="106" s="1"/>
  <c r="C46" i="106"/>
  <c r="G46" i="106" s="1"/>
  <c r="Q46" i="106" s="1"/>
  <c r="X46" i="106"/>
  <c r="W46" i="106"/>
  <c r="V46" i="106"/>
  <c r="U46" i="106"/>
  <c r="Y46" i="106" s="1"/>
  <c r="T46" i="106"/>
  <c r="X44" i="106"/>
  <c r="V44" i="106"/>
  <c r="T44" i="106"/>
  <c r="Y44" i="106" s="1"/>
  <c r="W43" i="106"/>
  <c r="V43" i="106"/>
  <c r="U43" i="106"/>
  <c r="T43" i="106"/>
  <c r="G42" i="106" s="1"/>
  <c r="Q42" i="106" s="1"/>
  <c r="X42" i="106"/>
  <c r="X41" i="106"/>
  <c r="W41" i="106"/>
  <c r="V41" i="106"/>
  <c r="U41" i="106"/>
  <c r="T41" i="106"/>
  <c r="X40" i="106"/>
  <c r="W40" i="106"/>
  <c r="Y40" i="106" s="1"/>
  <c r="V40" i="106"/>
  <c r="U40" i="106"/>
  <c r="T40" i="106"/>
  <c r="X39" i="106"/>
  <c r="X5" i="106" s="1"/>
  <c r="W39" i="106"/>
  <c r="V39" i="106"/>
  <c r="U39" i="106"/>
  <c r="T39" i="106"/>
  <c r="T5" i="106" s="1"/>
  <c r="X37" i="106"/>
  <c r="W37" i="106"/>
  <c r="V37" i="106"/>
  <c r="U37" i="106"/>
  <c r="C37" i="106" s="1"/>
  <c r="G37" i="106" s="1"/>
  <c r="T37" i="106"/>
  <c r="Y41" i="106"/>
  <c r="Q47" i="106"/>
  <c r="Q45" i="106"/>
  <c r="Q44" i="106"/>
  <c r="L41" i="106"/>
  <c r="G47" i="106"/>
  <c r="G45" i="106"/>
  <c r="G44" i="106"/>
  <c r="C40" i="106"/>
  <c r="C47" i="106"/>
  <c r="C45" i="106"/>
  <c r="C38" i="106"/>
  <c r="G38" i="106" s="1"/>
  <c r="Z38" i="106" s="1"/>
  <c r="C34" i="106"/>
  <c r="C33" i="106"/>
  <c r="C30" i="106"/>
  <c r="C29" i="106"/>
  <c r="C27" i="106"/>
  <c r="C26" i="106"/>
  <c r="E23" i="106"/>
  <c r="C23" i="106"/>
  <c r="O24" i="106"/>
  <c r="N24" i="106"/>
  <c r="M24" i="106"/>
  <c r="K24" i="106"/>
  <c r="P23" i="106"/>
  <c r="O23" i="106"/>
  <c r="N23" i="106"/>
  <c r="L23" i="106"/>
  <c r="K23" i="106"/>
  <c r="O21" i="106"/>
  <c r="N21" i="106"/>
  <c r="M21" i="106"/>
  <c r="L21" i="106"/>
  <c r="K21" i="106"/>
  <c r="T22" i="106"/>
  <c r="E56" i="106"/>
  <c r="E55" i="106"/>
  <c r="E54" i="106"/>
  <c r="E53" i="106"/>
  <c r="E52" i="106"/>
  <c r="G16" i="106"/>
  <c r="G15" i="106"/>
  <c r="G14" i="106"/>
  <c r="E42" i="106"/>
  <c r="E36" i="106"/>
  <c r="G13" i="106"/>
  <c r="G12" i="106"/>
  <c r="C21" i="106"/>
  <c r="C19" i="106"/>
  <c r="C18" i="106"/>
  <c r="C17" i="106"/>
  <c r="C13" i="106"/>
  <c r="C12" i="106"/>
  <c r="C11" i="106"/>
  <c r="C10" i="106"/>
  <c r="C17" i="108"/>
  <c r="S13" i="108" s="1"/>
  <c r="C14" i="108"/>
  <c r="E57" i="106"/>
  <c r="M30" i="106"/>
  <c r="K30" i="106"/>
  <c r="F30" i="106"/>
  <c r="X22" i="106"/>
  <c r="W22" i="106"/>
  <c r="V22" i="106"/>
  <c r="U22" i="106"/>
  <c r="X13" i="106"/>
  <c r="W13" i="106"/>
  <c r="V13" i="106"/>
  <c r="U13" i="106"/>
  <c r="T13" i="106"/>
  <c r="M13" i="106"/>
  <c r="L13" i="106"/>
  <c r="K13" i="106"/>
  <c r="I13" i="106"/>
  <c r="F13" i="106"/>
  <c r="Y47" i="106"/>
  <c r="Y45" i="106"/>
  <c r="Y42" i="106"/>
  <c r="Y38" i="106"/>
  <c r="Y36" i="106"/>
  <c r="AV27" i="52"/>
  <c r="AV24" i="52"/>
  <c r="L17" i="115" s="1"/>
  <c r="AV23" i="52"/>
  <c r="AV21" i="52"/>
  <c r="AV20" i="52"/>
  <c r="L14" i="115" s="1"/>
  <c r="AV19" i="52"/>
  <c r="AW27" i="52"/>
  <c r="CN25" i="52" s="1"/>
  <c r="N75" i="115" s="1"/>
  <c r="AW24" i="52"/>
  <c r="N17" i="115" s="1"/>
  <c r="AW23" i="52"/>
  <c r="AW22" i="52"/>
  <c r="AW21" i="52"/>
  <c r="N15" i="115" s="1"/>
  <c r="AW20" i="52"/>
  <c r="N14" i="115" s="1"/>
  <c r="AW19" i="52"/>
  <c r="AX27" i="52"/>
  <c r="AX24" i="52"/>
  <c r="AX23" i="52"/>
  <c r="Q16" i="115" s="1"/>
  <c r="AX22" i="52"/>
  <c r="BL20" i="52" s="1"/>
  <c r="AX21" i="52"/>
  <c r="Q15" i="115" s="1"/>
  <c r="AX20" i="52"/>
  <c r="AX19" i="52"/>
  <c r="AY27" i="52"/>
  <c r="AY24" i="52"/>
  <c r="S17" i="115" s="1"/>
  <c r="AY23" i="52"/>
  <c r="S16" i="115" s="1"/>
  <c r="AY22" i="52"/>
  <c r="AY21" i="52"/>
  <c r="S15" i="115" s="1"/>
  <c r="AY20" i="52"/>
  <c r="S14" i="115" s="1"/>
  <c r="AY19" i="52"/>
  <c r="BA27" i="52"/>
  <c r="BA24" i="52"/>
  <c r="X17" i="115" s="1"/>
  <c r="BA23" i="52"/>
  <c r="X16" i="115" s="1"/>
  <c r="BA22" i="52"/>
  <c r="BA21" i="52"/>
  <c r="X15" i="115" s="1"/>
  <c r="BA20" i="52"/>
  <c r="X14" i="115" s="1"/>
  <c r="BA19" i="52"/>
  <c r="BC27" i="52"/>
  <c r="CT25" i="52" s="1"/>
  <c r="AC75" i="115" s="1"/>
  <c r="BC24" i="52"/>
  <c r="AC17" i="115" s="1"/>
  <c r="BC23" i="52"/>
  <c r="BC22" i="52"/>
  <c r="BC21" i="52"/>
  <c r="AC15" i="115" s="1"/>
  <c r="BC20" i="52"/>
  <c r="AC14" i="115" s="1"/>
  <c r="BC19" i="52"/>
  <c r="AO27" i="52"/>
  <c r="AO24" i="52"/>
  <c r="AO23" i="52"/>
  <c r="AO22" i="52"/>
  <c r="AO21" i="52"/>
  <c r="AO20" i="52"/>
  <c r="AO19" i="52"/>
  <c r="AJ27" i="52"/>
  <c r="AJ24" i="52"/>
  <c r="AJ23" i="52"/>
  <c r="AJ22" i="52"/>
  <c r="AJ21" i="52"/>
  <c r="AJ20" i="52"/>
  <c r="AJ19" i="52"/>
  <c r="AK27" i="52"/>
  <c r="AK24" i="52"/>
  <c r="AK23" i="52"/>
  <c r="AK22" i="52"/>
  <c r="AK21" i="52"/>
  <c r="AK20" i="52"/>
  <c r="AK19" i="52"/>
  <c r="AI27" i="52"/>
  <c r="AI24" i="52"/>
  <c r="AI23" i="52"/>
  <c r="AI22" i="52"/>
  <c r="AI21" i="52"/>
  <c r="AI20" i="52"/>
  <c r="AI19" i="52"/>
  <c r="AH27" i="52"/>
  <c r="AH24" i="52"/>
  <c r="AH23" i="52"/>
  <c r="AH21" i="52"/>
  <c r="AH20" i="52"/>
  <c r="AH19" i="52"/>
  <c r="U14" i="108"/>
  <c r="D44" i="108"/>
  <c r="AA333" i="116" a="1"/>
  <c r="AA297" i="116" a="1"/>
  <c r="AA369" i="116" a="1"/>
  <c r="AA151" i="116" a="1"/>
  <c r="Q71" i="115" l="1"/>
  <c r="O71" i="115" s="1"/>
  <c r="P71" i="115" s="1"/>
  <c r="R15" i="115"/>
  <c r="S17" i="107"/>
  <c r="S18" i="115"/>
  <c r="M14" i="115"/>
  <c r="J14" i="115"/>
  <c r="N69" i="115"/>
  <c r="O52" i="115"/>
  <c r="P52" i="115" s="1"/>
  <c r="AC71" i="115"/>
  <c r="Y15" i="115"/>
  <c r="Q13" i="115"/>
  <c r="Q9" i="107"/>
  <c r="Q7" i="107"/>
  <c r="L73" i="115"/>
  <c r="Y70" i="115"/>
  <c r="Z70" i="115" s="1"/>
  <c r="AB73" i="115"/>
  <c r="AH70" i="115"/>
  <c r="N18" i="115"/>
  <c r="L9" i="107"/>
  <c r="L7" i="107"/>
  <c r="L13" i="115"/>
  <c r="X36" i="115"/>
  <c r="Y17" i="115"/>
  <c r="O51" i="115"/>
  <c r="P51" i="115" s="1"/>
  <c r="AH72" i="115"/>
  <c r="AH4" i="107"/>
  <c r="AH4" i="115"/>
  <c r="X37" i="115"/>
  <c r="Y18" i="115"/>
  <c r="X55" i="115"/>
  <c r="Y55" i="115" s="1"/>
  <c r="Z55" i="115" s="1"/>
  <c r="X74" i="115"/>
  <c r="V71" i="115"/>
  <c r="W71" i="115" s="1"/>
  <c r="CQ20" i="52"/>
  <c r="L54" i="115"/>
  <c r="BL18" i="52"/>
  <c r="Q14" i="115"/>
  <c r="O14" i="115" s="1"/>
  <c r="O75" i="115"/>
  <c r="P75" i="115" s="1"/>
  <c r="V35" i="115"/>
  <c r="W16" i="115"/>
  <c r="AH15" i="115"/>
  <c r="AH34" i="115" s="1"/>
  <c r="Q53" i="115"/>
  <c r="AC54" i="115"/>
  <c r="AD54" i="115" s="1"/>
  <c r="AE54" i="115" s="1"/>
  <c r="AF54" i="115" s="1"/>
  <c r="AG54" i="115" s="1"/>
  <c r="X71" i="115"/>
  <c r="AK34" i="52"/>
  <c r="Q18" i="115"/>
  <c r="AH36" i="115"/>
  <c r="X73" i="115"/>
  <c r="Y73" i="115" s="1"/>
  <c r="Z73" i="115" s="1"/>
  <c r="CM21" i="52"/>
  <c r="L16" i="115"/>
  <c r="L53" i="115" s="1"/>
  <c r="M17" i="115"/>
  <c r="J17" i="115"/>
  <c r="X50" i="115"/>
  <c r="CT21" i="52"/>
  <c r="AC16" i="115"/>
  <c r="L50" i="115"/>
  <c r="N54" i="115"/>
  <c r="X51" i="115"/>
  <c r="Y51" i="115" s="1"/>
  <c r="Z51" i="115" s="1"/>
  <c r="AH53" i="115"/>
  <c r="L69" i="115"/>
  <c r="S69" i="115"/>
  <c r="V72" i="115"/>
  <c r="AH34" i="52"/>
  <c r="AN34" i="52"/>
  <c r="AH37" i="115"/>
  <c r="AH74" i="115"/>
  <c r="AH55" i="115"/>
  <c r="CQ22" i="52"/>
  <c r="V17" i="115"/>
  <c r="V73" i="115" s="1"/>
  <c r="AD14" i="115"/>
  <c r="AA7" i="107"/>
  <c r="AA9" i="107"/>
  <c r="AA13" i="115"/>
  <c r="AA34" i="115" s="1"/>
  <c r="AA70" i="115"/>
  <c r="AB14" i="115"/>
  <c r="AA71" i="115"/>
  <c r="AB15" i="115"/>
  <c r="AH33" i="52"/>
  <c r="S34" i="115"/>
  <c r="N9" i="107"/>
  <c r="N13" i="115"/>
  <c r="N7" i="107"/>
  <c r="AD17" i="115"/>
  <c r="CS21" i="52"/>
  <c r="AA16" i="115"/>
  <c r="L51" i="115"/>
  <c r="S53" i="115"/>
  <c r="T53" i="115" s="1"/>
  <c r="U53" i="115" s="1"/>
  <c r="X52" i="115"/>
  <c r="Y52" i="115" s="1"/>
  <c r="Z52" i="115" s="1"/>
  <c r="AH54" i="115"/>
  <c r="L70" i="115"/>
  <c r="N73" i="115"/>
  <c r="S70" i="115"/>
  <c r="AC73" i="115"/>
  <c r="AH41" i="115"/>
  <c r="AI33" i="52"/>
  <c r="AO33" i="52"/>
  <c r="X35" i="115"/>
  <c r="N50" i="115"/>
  <c r="AH35" i="115"/>
  <c r="R16" i="115"/>
  <c r="AC70" i="115"/>
  <c r="AD70" i="115" s="1"/>
  <c r="AE70" i="115" s="1"/>
  <c r="AF70" i="115" s="1"/>
  <c r="AG70" i="115" s="1"/>
  <c r="AA53" i="115"/>
  <c r="AA74" i="115"/>
  <c r="AA55" i="115"/>
  <c r="S35" i="115"/>
  <c r="T16" i="115"/>
  <c r="O15" i="115"/>
  <c r="V13" i="115"/>
  <c r="V69" i="115" s="1"/>
  <c r="W69" i="115" s="1"/>
  <c r="V7" i="107"/>
  <c r="V9" i="107"/>
  <c r="AB17" i="115"/>
  <c r="Q50" i="115"/>
  <c r="S54" i="115"/>
  <c r="AC51" i="115"/>
  <c r="AD51" i="115" s="1"/>
  <c r="AE51" i="115" s="1"/>
  <c r="AF51" i="115" s="1"/>
  <c r="AG51" i="115" s="1"/>
  <c r="S71" i="115"/>
  <c r="Q54" i="115"/>
  <c r="R54" i="115" s="1"/>
  <c r="AC9" i="107"/>
  <c r="AC7" i="107"/>
  <c r="AC13" i="115"/>
  <c r="AC36" i="115" s="1"/>
  <c r="S13" i="115"/>
  <c r="S7" i="107"/>
  <c r="S9" i="107"/>
  <c r="AM34" i="52"/>
  <c r="AB54" i="115"/>
  <c r="AN33" i="52"/>
  <c r="X9" i="107"/>
  <c r="X13" i="115"/>
  <c r="X7" i="107"/>
  <c r="T17" i="115"/>
  <c r="BK20" i="52"/>
  <c r="CQ18" i="52"/>
  <c r="V14" i="115"/>
  <c r="Q51" i="115"/>
  <c r="R51" i="115" s="1"/>
  <c r="X53" i="115"/>
  <c r="Y53" i="115" s="1"/>
  <c r="Z53" i="115" s="1"/>
  <c r="AC52" i="115"/>
  <c r="AJ33" i="52"/>
  <c r="X72" i="115"/>
  <c r="V74" i="115"/>
  <c r="V55" i="115"/>
  <c r="W18" i="115"/>
  <c r="V54" i="115"/>
  <c r="AH73" i="115"/>
  <c r="AM33" i="52"/>
  <c r="BL22" i="52"/>
  <c r="Q17" i="115"/>
  <c r="O17" i="115" s="1"/>
  <c r="S3" i="115"/>
  <c r="S33" i="115"/>
  <c r="AC17" i="107"/>
  <c r="AC18" i="115"/>
  <c r="X33" i="115"/>
  <c r="Y14" i="115"/>
  <c r="CN21" i="52"/>
  <c r="N16" i="115"/>
  <c r="N53" i="115" s="1"/>
  <c r="O53" i="115" s="1"/>
  <c r="P53" i="115" s="1"/>
  <c r="CQ19" i="52"/>
  <c r="V15" i="115"/>
  <c r="V52" i="115" s="1"/>
  <c r="AH7" i="107"/>
  <c r="AH9" i="107"/>
  <c r="AH13" i="115"/>
  <c r="Q52" i="115"/>
  <c r="R52" i="115" s="1"/>
  <c r="X54" i="115"/>
  <c r="Y54" i="115" s="1"/>
  <c r="Z54" i="115" s="1"/>
  <c r="L72" i="115"/>
  <c r="S72" i="115"/>
  <c r="T72" i="115" s="1"/>
  <c r="U72" i="115" s="1"/>
  <c r="X69" i="115"/>
  <c r="AH69" i="115"/>
  <c r="S40" i="115"/>
  <c r="AJ34" i="52"/>
  <c r="L17" i="107"/>
  <c r="L18" i="115"/>
  <c r="O24" i="109"/>
  <c r="W71" i="113"/>
  <c r="R69" i="113"/>
  <c r="AB55" i="113"/>
  <c r="R32" i="113"/>
  <c r="Y52" i="113"/>
  <c r="Z52" i="113" s="1"/>
  <c r="O26" i="109"/>
  <c r="AB74" i="113"/>
  <c r="Y21" i="109"/>
  <c r="Z21" i="109" s="1"/>
  <c r="W37" i="113"/>
  <c r="AD55" i="113"/>
  <c r="AE55" i="113" s="1"/>
  <c r="AF55" i="113" s="1"/>
  <c r="AG55" i="113" s="1"/>
  <c r="AB32" i="113"/>
  <c r="T72" i="113"/>
  <c r="U72" i="113" s="1"/>
  <c r="R72" i="113"/>
  <c r="W69" i="113"/>
  <c r="O36" i="113"/>
  <c r="P17" i="113"/>
  <c r="R35" i="113"/>
  <c r="T37" i="113"/>
  <c r="U18" i="113"/>
  <c r="W32" i="113"/>
  <c r="Y54" i="113"/>
  <c r="Z54" i="113" s="1"/>
  <c r="AB34" i="113"/>
  <c r="AB37" i="113"/>
  <c r="O34" i="113"/>
  <c r="X20" i="109"/>
  <c r="Y3" i="109"/>
  <c r="Z3" i="109" s="1"/>
  <c r="T54" i="113"/>
  <c r="U54" i="113" s="1"/>
  <c r="R33" i="113"/>
  <c r="X40" i="113"/>
  <c r="X22" i="113"/>
  <c r="X23" i="113"/>
  <c r="X59" i="113"/>
  <c r="Y3" i="113"/>
  <c r="W34" i="113"/>
  <c r="T33" i="113"/>
  <c r="T73" i="113"/>
  <c r="U73" i="113" s="1"/>
  <c r="Q20" i="109"/>
  <c r="R20" i="109" s="1"/>
  <c r="R3" i="109"/>
  <c r="Q21" i="109"/>
  <c r="R21" i="109" s="1"/>
  <c r="T32" i="113"/>
  <c r="U13" i="113"/>
  <c r="U34" i="113" s="1"/>
  <c r="W33" i="113"/>
  <c r="T55" i="113"/>
  <c r="U55" i="113" s="1"/>
  <c r="V20" i="109"/>
  <c r="T3" i="109"/>
  <c r="U3" i="109" s="1"/>
  <c r="W3" i="109"/>
  <c r="V21" i="109"/>
  <c r="W21" i="109" s="1"/>
  <c r="Y71" i="113"/>
  <c r="Z71" i="113" s="1"/>
  <c r="R34" i="113"/>
  <c r="AB3" i="109"/>
  <c r="AA20" i="109"/>
  <c r="Q22" i="113"/>
  <c r="R3" i="113"/>
  <c r="Q59" i="113"/>
  <c r="R59" i="113" s="1"/>
  <c r="Q23" i="113"/>
  <c r="Q40" i="113"/>
  <c r="R40" i="113" s="1"/>
  <c r="AB35" i="113"/>
  <c r="W35" i="113"/>
  <c r="V22" i="113"/>
  <c r="V40" i="113"/>
  <c r="V23" i="113"/>
  <c r="W3" i="113"/>
  <c r="V59" i="113"/>
  <c r="T3" i="113"/>
  <c r="AA22" i="113"/>
  <c r="AA40" i="113"/>
  <c r="AA59" i="113"/>
  <c r="AA23" i="113"/>
  <c r="AB3" i="113"/>
  <c r="O33" i="113"/>
  <c r="Y34" i="113"/>
  <c r="Z15" i="113"/>
  <c r="Y36" i="113"/>
  <c r="AC20" i="109"/>
  <c r="AC21" i="109"/>
  <c r="AB21" i="109" s="1"/>
  <c r="T36" i="113"/>
  <c r="O35" i="113"/>
  <c r="Y74" i="113"/>
  <c r="Z74" i="113" s="1"/>
  <c r="O3" i="109"/>
  <c r="P3" i="109" s="1"/>
  <c r="N20" i="109"/>
  <c r="N21" i="109"/>
  <c r="AC40" i="113"/>
  <c r="AC22" i="113"/>
  <c r="AC23" i="113"/>
  <c r="AC59" i="113"/>
  <c r="T35" i="113"/>
  <c r="U16" i="113"/>
  <c r="AD74" i="113"/>
  <c r="AE74" i="113" s="1"/>
  <c r="AF74" i="113" s="1"/>
  <c r="AG74" i="113" s="1"/>
  <c r="P13" i="113"/>
  <c r="O32" i="113"/>
  <c r="N40" i="113"/>
  <c r="N22" i="113"/>
  <c r="N59" i="113"/>
  <c r="O59" i="113" s="1"/>
  <c r="P59" i="113" s="1"/>
  <c r="O3" i="113"/>
  <c r="N23" i="113"/>
  <c r="O37" i="113"/>
  <c r="P18" i="113"/>
  <c r="AB73" i="113"/>
  <c r="Y73" i="113"/>
  <c r="Z73" i="113" s="1"/>
  <c r="W50" i="113"/>
  <c r="Y32" i="113"/>
  <c r="Z13" i="113"/>
  <c r="Z32" i="113" s="1"/>
  <c r="AB36" i="113"/>
  <c r="T53" i="113"/>
  <c r="U53" i="113" s="1"/>
  <c r="R53" i="113"/>
  <c r="W52" i="113"/>
  <c r="T71" i="113"/>
  <c r="U71" i="113" s="1"/>
  <c r="W36" i="113"/>
  <c r="R36" i="113"/>
  <c r="Y37" i="113"/>
  <c r="AD22" i="109"/>
  <c r="AE22" i="109" s="1"/>
  <c r="AF22" i="109" s="1"/>
  <c r="AG22" i="109" s="1"/>
  <c r="AE13" i="113"/>
  <c r="AD32" i="113"/>
  <c r="AE4" i="113"/>
  <c r="AF16" i="113"/>
  <c r="AD33" i="113"/>
  <c r="AE14" i="113"/>
  <c r="AD35" i="113"/>
  <c r="AD60" i="113"/>
  <c r="AE60" i="113" s="1"/>
  <c r="AF60" i="113" s="1"/>
  <c r="AG60" i="113" s="1"/>
  <c r="AH20" i="109"/>
  <c r="AH21" i="109"/>
  <c r="AD21" i="109" s="1"/>
  <c r="AE21" i="109" s="1"/>
  <c r="AF21" i="109" s="1"/>
  <c r="AG21" i="109" s="1"/>
  <c r="AD3" i="109"/>
  <c r="AE3" i="109" s="1"/>
  <c r="AF3" i="109" s="1"/>
  <c r="AG3" i="109" s="1"/>
  <c r="AF17" i="113"/>
  <c r="AD36" i="113"/>
  <c r="AH59" i="113"/>
  <c r="AH22" i="113"/>
  <c r="AH40" i="113"/>
  <c r="AD3" i="113"/>
  <c r="AD34" i="113"/>
  <c r="AE15" i="113"/>
  <c r="AE18" i="113"/>
  <c r="AD37" i="113"/>
  <c r="AQ23" i="108"/>
  <c r="DL21" i="108"/>
  <c r="AQ21" i="108"/>
  <c r="BE21" i="108"/>
  <c r="DL18" i="108"/>
  <c r="CG28" i="108"/>
  <c r="H30" i="118"/>
  <c r="BE20" i="108" s="1"/>
  <c r="T21" i="108"/>
  <c r="T5" i="108"/>
  <c r="D42" i="108"/>
  <c r="T20" i="108"/>
  <c r="T23" i="108"/>
  <c r="CG29" i="108"/>
  <c r="CG26" i="108"/>
  <c r="AA297" i="116"/>
  <c r="AA151" i="116"/>
  <c r="AA333" i="116"/>
  <c r="AA369" i="116"/>
  <c r="A299" i="116"/>
  <c r="A407" i="116"/>
  <c r="A153" i="116"/>
  <c r="A154" i="116" s="1"/>
  <c r="A422" i="116"/>
  <c r="A423" i="116" s="1"/>
  <c r="A424" i="116" s="1"/>
  <c r="A425" i="116" s="1"/>
  <c r="A426" i="116" s="1"/>
  <c r="A427" i="116" s="1"/>
  <c r="A429" i="116" s="1"/>
  <c r="A430" i="116" s="1"/>
  <c r="A431" i="116" s="1"/>
  <c r="A432" i="116" s="1"/>
  <c r="A433" i="116" s="1"/>
  <c r="A434" i="116" s="1"/>
  <c r="A435" i="116" s="1"/>
  <c r="A436" i="116" s="1"/>
  <c r="A437" i="116" s="1"/>
  <c r="A438" i="116" s="1"/>
  <c r="A439" i="116" s="1"/>
  <c r="A440" i="116" s="1"/>
  <c r="A441" i="116" s="1"/>
  <c r="A443" i="116" s="1"/>
  <c r="A458" i="116"/>
  <c r="A459" i="116" s="1"/>
  <c r="A460" i="116" s="1"/>
  <c r="A461" i="116" s="1"/>
  <c r="A462" i="116" s="1"/>
  <c r="A463" i="116" s="1"/>
  <c r="A464" i="116" s="1"/>
  <c r="A466" i="116" s="1"/>
  <c r="A467" i="116" s="1"/>
  <c r="A468" i="116" s="1"/>
  <c r="A469" i="116" s="1"/>
  <c r="A470" i="116" s="1"/>
  <c r="A471" i="116" s="1"/>
  <c r="A472" i="116" s="1"/>
  <c r="A473" i="116" s="1"/>
  <c r="A474" i="116" s="1"/>
  <c r="A475" i="116" s="1"/>
  <c r="A476" i="116" s="1"/>
  <c r="A477" i="116" s="1"/>
  <c r="A478" i="116" s="1"/>
  <c r="A480" i="116" s="1"/>
  <c r="A371" i="116"/>
  <c r="A335" i="116"/>
  <c r="G33" i="111"/>
  <c r="BV6" i="108"/>
  <c r="BV6" i="52"/>
  <c r="G26" i="111"/>
  <c r="BV19" i="108"/>
  <c r="BV19" i="52"/>
  <c r="G30" i="111"/>
  <c r="BV22" i="52"/>
  <c r="BV22" i="108"/>
  <c r="G27" i="111"/>
  <c r="BV21" i="108"/>
  <c r="BV21" i="52"/>
  <c r="G28" i="111"/>
  <c r="BV23" i="108"/>
  <c r="BV23" i="52"/>
  <c r="R17" i="52"/>
  <c r="R16" i="52" s="1"/>
  <c r="R2" i="52" s="1"/>
  <c r="R25" i="52" s="1"/>
  <c r="B28" i="52"/>
  <c r="B2" i="52" s="1"/>
  <c r="B41" i="52" s="1"/>
  <c r="G32" i="111"/>
  <c r="BV17" i="108"/>
  <c r="BV17" i="52"/>
  <c r="G29" i="111"/>
  <c r="BV18" i="52"/>
  <c r="BV18" i="108"/>
  <c r="G34" i="111"/>
  <c r="BV25" i="52"/>
  <c r="BV25" i="108"/>
  <c r="R17" i="108"/>
  <c r="B28" i="108"/>
  <c r="B2" i="108" s="1"/>
  <c r="G4" i="113"/>
  <c r="Z26" i="109"/>
  <c r="U25" i="109"/>
  <c r="Z25" i="109"/>
  <c r="U26" i="109"/>
  <c r="Z24" i="109"/>
  <c r="AE26" i="109"/>
  <c r="P25" i="109"/>
  <c r="AE25" i="109"/>
  <c r="P24" i="109"/>
  <c r="P26" i="109"/>
  <c r="AE24" i="109"/>
  <c r="E49" i="111"/>
  <c r="S12" i="108"/>
  <c r="C18" i="52"/>
  <c r="C18" i="108"/>
  <c r="S14" i="108" s="1"/>
  <c r="G19" i="106"/>
  <c r="U12" i="108"/>
  <c r="C49" i="111"/>
  <c r="B48" i="108"/>
  <c r="B48" i="52"/>
  <c r="G17" i="106"/>
  <c r="U13" i="108"/>
  <c r="G4" i="109"/>
  <c r="F22" i="109"/>
  <c r="G5" i="109"/>
  <c r="G6" i="109"/>
  <c r="F23" i="109"/>
  <c r="U30" i="108"/>
  <c r="X31" i="108"/>
  <c r="AC45" i="108"/>
  <c r="U31" i="108"/>
  <c r="X30" i="108"/>
  <c r="CT7" i="108"/>
  <c r="AB46" i="108"/>
  <c r="AB47" i="108"/>
  <c r="AB48" i="108"/>
  <c r="AB43" i="108"/>
  <c r="AB45" i="108"/>
  <c r="W44" i="108"/>
  <c r="W47" i="108"/>
  <c r="W48" i="108"/>
  <c r="W45" i="108"/>
  <c r="W46" i="108"/>
  <c r="U47" i="108"/>
  <c r="U45" i="108"/>
  <c r="U46" i="108"/>
  <c r="U48" i="108"/>
  <c r="U44" i="108"/>
  <c r="AC48" i="108"/>
  <c r="AC44" i="108"/>
  <c r="AC46" i="108"/>
  <c r="AC47" i="108"/>
  <c r="AC43" i="108"/>
  <c r="Y31" i="108"/>
  <c r="AA31" i="108"/>
  <c r="X48" i="108"/>
  <c r="X44" i="108"/>
  <c r="X45" i="108"/>
  <c r="X46" i="108"/>
  <c r="X47" i="108"/>
  <c r="V30" i="108"/>
  <c r="X43" i="108"/>
  <c r="F5" i="107"/>
  <c r="CS25" i="52"/>
  <c r="AA75" i="115" s="1"/>
  <c r="F4" i="107"/>
  <c r="CT17" i="52"/>
  <c r="CO21" i="52"/>
  <c r="CT6" i="52"/>
  <c r="BO17" i="52"/>
  <c r="CL25" i="52"/>
  <c r="CL24" i="52"/>
  <c r="CT24" i="52"/>
  <c r="CP23" i="52"/>
  <c r="CL23" i="52"/>
  <c r="CT23" i="52"/>
  <c r="BJ25" i="52"/>
  <c r="L56" i="115" s="1"/>
  <c r="BD4" i="52"/>
  <c r="BM23" i="52"/>
  <c r="BQ23" i="52"/>
  <c r="CU5" i="52"/>
  <c r="BA4" i="52"/>
  <c r="BI23" i="52"/>
  <c r="AZ4" i="52"/>
  <c r="Y5" i="107"/>
  <c r="Z5" i="107" s="1"/>
  <c r="BC4" i="52"/>
  <c r="CQ25" i="52"/>
  <c r="V75" i="115" s="1"/>
  <c r="BR24" i="52"/>
  <c r="BL23" i="52"/>
  <c r="CP22" i="52"/>
  <c r="CM22" i="52"/>
  <c r="CR18" i="52"/>
  <c r="CR22" i="52"/>
  <c r="S8" i="107"/>
  <c r="CP25" i="52"/>
  <c r="S75" i="115" s="1"/>
  <c r="T75" i="115" s="1"/>
  <c r="U75" i="115" s="1"/>
  <c r="CM18" i="52"/>
  <c r="CM25" i="52"/>
  <c r="L75" i="115" s="1"/>
  <c r="CU18" i="52"/>
  <c r="CU22" i="52"/>
  <c r="I8" i="107"/>
  <c r="BK19" i="52"/>
  <c r="BK25" i="52"/>
  <c r="N56" i="115" s="1"/>
  <c r="BO25" i="52"/>
  <c r="X56" i="115" s="1"/>
  <c r="CN20" i="52"/>
  <c r="CV7" i="52"/>
  <c r="BP24" i="52"/>
  <c r="BI24" i="52"/>
  <c r="CP24" i="52"/>
  <c r="CP18" i="52"/>
  <c r="CO25" i="52"/>
  <c r="Q75" i="115" s="1"/>
  <c r="CT18" i="52"/>
  <c r="CT22" i="52"/>
  <c r="CR25" i="52"/>
  <c r="X75" i="115" s="1"/>
  <c r="CN18" i="52"/>
  <c r="CN22" i="52"/>
  <c r="BP18" i="52"/>
  <c r="BP22" i="52"/>
  <c r="CU25" i="52"/>
  <c r="AH75" i="115" s="1"/>
  <c r="AD75" i="115" s="1"/>
  <c r="AE75" i="115" s="1"/>
  <c r="AF75" i="115" s="1"/>
  <c r="AG75" i="115" s="1"/>
  <c r="BM22" i="52"/>
  <c r="BN25" i="52"/>
  <c r="V56" i="115" s="1"/>
  <c r="W56" i="115" s="1"/>
  <c r="BR25" i="52"/>
  <c r="AH56" i="115" s="1"/>
  <c r="CU17" i="52"/>
  <c r="AW5" i="52"/>
  <c r="CQ23" i="52"/>
  <c r="CU23" i="52"/>
  <c r="AV4" i="52"/>
  <c r="AB6" i="107"/>
  <c r="BQ24" i="52"/>
  <c r="CM23" i="52"/>
  <c r="AH17" i="107"/>
  <c r="CR20" i="52"/>
  <c r="BM17" i="52"/>
  <c r="CP21" i="52"/>
  <c r="CU20" i="52"/>
  <c r="BM25" i="52"/>
  <c r="S56" i="115" s="1"/>
  <c r="BQ25" i="52"/>
  <c r="AC56" i="115" s="1"/>
  <c r="J5" i="107"/>
  <c r="K5" i="107" s="1"/>
  <c r="Y6" i="107"/>
  <c r="Z6" i="107" s="1"/>
  <c r="CM24" i="52"/>
  <c r="CQ24" i="52"/>
  <c r="CU24" i="52"/>
  <c r="BJ23" i="52"/>
  <c r="BN23" i="52"/>
  <c r="BR23" i="52"/>
  <c r="BN24" i="52"/>
  <c r="BL21" i="52"/>
  <c r="CO22" i="52"/>
  <c r="V17" i="107"/>
  <c r="CP20" i="52"/>
  <c r="CT20" i="52"/>
  <c r="CR21" i="52"/>
  <c r="Q8" i="107"/>
  <c r="CS20" i="52"/>
  <c r="CU21" i="52"/>
  <c r="CL18" i="52"/>
  <c r="CL22" i="52"/>
  <c r="BL25" i="52"/>
  <c r="Q56" i="115" s="1"/>
  <c r="R56" i="115" s="1"/>
  <c r="BP19" i="52"/>
  <c r="BP25" i="52"/>
  <c r="AA56" i="115" s="1"/>
  <c r="BQ20" i="52"/>
  <c r="CM19" i="52"/>
  <c r="CM6" i="52"/>
  <c r="CO6" i="52"/>
  <c r="CQ6" i="52"/>
  <c r="CR6" i="52"/>
  <c r="CU6" i="52"/>
  <c r="AX4" i="52"/>
  <c r="CQ7" i="52"/>
  <c r="BB4" i="52"/>
  <c r="AD5" i="107"/>
  <c r="AE5" i="107" s="1"/>
  <c r="AF5" i="107" s="1"/>
  <c r="AG5" i="107" s="1"/>
  <c r="BK24" i="52"/>
  <c r="BO24" i="52"/>
  <c r="CN17" i="52"/>
  <c r="CS17" i="52"/>
  <c r="CM7" i="52"/>
  <c r="L6" i="107"/>
  <c r="M6" i="107" s="1"/>
  <c r="R6" i="107"/>
  <c r="CO24" i="52"/>
  <c r="BL24" i="52"/>
  <c r="BI22" i="52"/>
  <c r="BR22" i="52"/>
  <c r="BQ21" i="52"/>
  <c r="BO18" i="52"/>
  <c r="BJ18" i="52"/>
  <c r="CP7" i="52"/>
  <c r="O6" i="107"/>
  <c r="P6" i="107" s="1"/>
  <c r="N17" i="107"/>
  <c r="M17" i="107" s="1"/>
  <c r="CN23" i="52"/>
  <c r="X17" i="107"/>
  <c r="CR23" i="52"/>
  <c r="CR19" i="52"/>
  <c r="X8" i="107"/>
  <c r="CO17" i="52"/>
  <c r="BJ19" i="52"/>
  <c r="BN17" i="52"/>
  <c r="BN21" i="52"/>
  <c r="AH8" i="107"/>
  <c r="BR19" i="52"/>
  <c r="CN6" i="52"/>
  <c r="N5" i="107"/>
  <c r="O5" i="107" s="1"/>
  <c r="P5" i="107" s="1"/>
  <c r="CP4" i="52"/>
  <c r="S3" i="107"/>
  <c r="BI20" i="52"/>
  <c r="BQ22" i="52"/>
  <c r="BK22" i="52"/>
  <c r="BP21" i="52"/>
  <c r="BK21" i="52"/>
  <c r="BO20" i="52"/>
  <c r="BO19" i="52"/>
  <c r="BN18" i="52"/>
  <c r="BI5" i="52"/>
  <c r="CT7" i="52"/>
  <c r="CO7" i="52"/>
  <c r="CS24" i="52"/>
  <c r="CU19" i="52"/>
  <c r="CS18" i="52"/>
  <c r="R7" i="107"/>
  <c r="W5" i="107"/>
  <c r="AB5" i="107"/>
  <c r="Q17" i="107"/>
  <c r="R17" i="107" s="1"/>
  <c r="CO23" i="52"/>
  <c r="AA17" i="107"/>
  <c r="CS23" i="52"/>
  <c r="CN5" i="52"/>
  <c r="AC23" i="107"/>
  <c r="AC8" i="107"/>
  <c r="CT19" i="52"/>
  <c r="CP17" i="52"/>
  <c r="CN19" i="52"/>
  <c r="BJ21" i="52"/>
  <c r="CS19" i="52"/>
  <c r="AA8" i="107"/>
  <c r="I6" i="107"/>
  <c r="CL7" i="52"/>
  <c r="AV5" i="52"/>
  <c r="AX5" i="52"/>
  <c r="AY5" i="52"/>
  <c r="AZ5" i="52"/>
  <c r="BA5" i="52"/>
  <c r="BB5" i="52"/>
  <c r="BC5" i="52"/>
  <c r="AI5" i="107"/>
  <c r="AJ5" i="107" s="1"/>
  <c r="AK5" i="107" s="1"/>
  <c r="AL5" i="107" s="1"/>
  <c r="AM6" i="107"/>
  <c r="AM22" i="107" s="1"/>
  <c r="BI19" i="52"/>
  <c r="BP23" i="52"/>
  <c r="BK23" i="52"/>
  <c r="BO22" i="52"/>
  <c r="BJ22" i="52"/>
  <c r="BO21" i="52"/>
  <c r="BN20" i="52"/>
  <c r="BM19" i="52"/>
  <c r="BR18" i="52"/>
  <c r="BM18" i="52"/>
  <c r="BQ17" i="52"/>
  <c r="BL17" i="52"/>
  <c r="BM4" i="52"/>
  <c r="CL6" i="52"/>
  <c r="CS7" i="52"/>
  <c r="CN7" i="52"/>
  <c r="CQ4" i="52"/>
  <c r="CL19" i="52"/>
  <c r="CR24" i="52"/>
  <c r="CS22" i="52"/>
  <c r="CQ17" i="52"/>
  <c r="V6" i="107"/>
  <c r="W6" i="107" s="1"/>
  <c r="CR17" i="52"/>
  <c r="CO19" i="52"/>
  <c r="BJ17" i="52"/>
  <c r="V8" i="107"/>
  <c r="BN19" i="52"/>
  <c r="BP20" i="52"/>
  <c r="BR17" i="52"/>
  <c r="BR21" i="52"/>
  <c r="BI17" i="52"/>
  <c r="CL21" i="52"/>
  <c r="BI21" i="52"/>
  <c r="AU4" i="52"/>
  <c r="AW4" i="52"/>
  <c r="BI18" i="52"/>
  <c r="BJ24" i="52"/>
  <c r="BO23" i="52"/>
  <c r="BN22" i="52"/>
  <c r="BM21" i="52"/>
  <c r="BR20" i="52"/>
  <c r="BM20" i="52"/>
  <c r="BQ19" i="52"/>
  <c r="BL19" i="52"/>
  <c r="BQ18" i="52"/>
  <c r="BK18" i="52"/>
  <c r="BP17" i="52"/>
  <c r="BK17" i="52"/>
  <c r="CL5" i="52"/>
  <c r="CR7" i="52"/>
  <c r="CL17" i="52"/>
  <c r="CQ21" i="52"/>
  <c r="CO20" i="52"/>
  <c r="CP19" i="52"/>
  <c r="CO18" i="52"/>
  <c r="CM17" i="52"/>
  <c r="N8" i="107"/>
  <c r="S5" i="107"/>
  <c r="T5" i="107" s="1"/>
  <c r="U5" i="107" s="1"/>
  <c r="CP6" i="52"/>
  <c r="BR5" i="52"/>
  <c r="CU7" i="52"/>
  <c r="CS6" i="52"/>
  <c r="AH6" i="107"/>
  <c r="H41" i="111"/>
  <c r="S39" i="110"/>
  <c r="S40" i="110" s="1"/>
  <c r="S42" i="110" s="1"/>
  <c r="G10" i="111"/>
  <c r="O41" i="110"/>
  <c r="N42" i="110"/>
  <c r="J17" i="107"/>
  <c r="K17" i="107" s="1"/>
  <c r="AC22" i="107"/>
  <c r="AA23" i="107"/>
  <c r="AA22" i="107"/>
  <c r="Q22" i="107"/>
  <c r="X23" i="107"/>
  <c r="Q23" i="107"/>
  <c r="X22" i="107"/>
  <c r="Y14" i="108"/>
  <c r="G9" i="106"/>
  <c r="G11" i="106"/>
  <c r="C17" i="52"/>
  <c r="G7" i="106"/>
  <c r="C5" i="106"/>
  <c r="C48" i="108" s="1"/>
  <c r="C14" i="52"/>
  <c r="AA14" i="108"/>
  <c r="G8" i="106"/>
  <c r="G18" i="106"/>
  <c r="BI25" i="52"/>
  <c r="BW28" i="52"/>
  <c r="CD28" i="52"/>
  <c r="CE28" i="52"/>
  <c r="BX28" i="52"/>
  <c r="BY28" i="52"/>
  <c r="CB28" i="52"/>
  <c r="CF28" i="52"/>
  <c r="CA28" i="52"/>
  <c r="CC28" i="52"/>
  <c r="BZ28" i="52"/>
  <c r="AN3" i="52"/>
  <c r="BB18" i="52"/>
  <c r="AZ18" i="52"/>
  <c r="BD18" i="52"/>
  <c r="AP3" i="52"/>
  <c r="AP33" i="52" s="1"/>
  <c r="AU18" i="52"/>
  <c r="AU53" i="52" s="1"/>
  <c r="AL18" i="52"/>
  <c r="H3" i="52"/>
  <c r="AN18" i="52"/>
  <c r="AM18" i="52"/>
  <c r="J3" i="52"/>
  <c r="AL3" i="52"/>
  <c r="AL34" i="52" s="1"/>
  <c r="AM3" i="52"/>
  <c r="AP18" i="52"/>
  <c r="L28" i="52"/>
  <c r="L3" i="52"/>
  <c r="J28" i="52"/>
  <c r="V16" i="52"/>
  <c r="V44" i="52" s="1"/>
  <c r="H28" i="52"/>
  <c r="K28" i="52"/>
  <c r="I28" i="52"/>
  <c r="F28" i="52"/>
  <c r="K3" i="52"/>
  <c r="I3" i="52"/>
  <c r="F3" i="52"/>
  <c r="AA16" i="52"/>
  <c r="AA45" i="52" s="1"/>
  <c r="Y16" i="52"/>
  <c r="Y47" i="52" s="1"/>
  <c r="Z16" i="52"/>
  <c r="AB16" i="52"/>
  <c r="AB45" i="52" s="1"/>
  <c r="X16" i="52"/>
  <c r="X45" i="52" s="1"/>
  <c r="Z4" i="52"/>
  <c r="V4" i="52"/>
  <c r="Y4" i="52"/>
  <c r="AB4" i="52"/>
  <c r="X4" i="52"/>
  <c r="AA4" i="52"/>
  <c r="AG18" i="52"/>
  <c r="AX18" i="52"/>
  <c r="C28" i="52"/>
  <c r="N28" i="52" s="1" a="1"/>
  <c r="N28" i="52" s="1"/>
  <c r="AO3" i="52"/>
  <c r="AO34" i="52" s="1"/>
  <c r="BC18" i="52"/>
  <c r="AW18" i="52"/>
  <c r="AY18" i="52"/>
  <c r="BA18" i="52"/>
  <c r="C3" i="52"/>
  <c r="N3" i="52" s="1"/>
  <c r="G41" i="106"/>
  <c r="Z41" i="106" s="1"/>
  <c r="F41" i="106"/>
  <c r="C43" i="106"/>
  <c r="G43" i="106" s="1"/>
  <c r="Q43" i="106" s="1"/>
  <c r="W5" i="106"/>
  <c r="C39" i="106"/>
  <c r="G39" i="106" s="1"/>
  <c r="H41" i="106" s="1"/>
  <c r="U5" i="106"/>
  <c r="F22" i="106"/>
  <c r="G23" i="106"/>
  <c r="Z36" i="106"/>
  <c r="G24" i="106"/>
  <c r="Z42" i="106"/>
  <c r="Z43" i="106"/>
  <c r="Z40" i="106"/>
  <c r="S13" i="106"/>
  <c r="Z47" i="106"/>
  <c r="F35" i="106"/>
  <c r="Z46" i="106"/>
  <c r="D22" i="106"/>
  <c r="Y37" i="106"/>
  <c r="S41" i="106"/>
  <c r="D13" i="106"/>
  <c r="V5" i="106"/>
  <c r="S22" i="106"/>
  <c r="Y39" i="106"/>
  <c r="Y43" i="106"/>
  <c r="Z44" i="106"/>
  <c r="AO18" i="52"/>
  <c r="AJ3" i="52"/>
  <c r="AK3" i="52"/>
  <c r="AK33" i="52" s="1"/>
  <c r="AJ18" i="52"/>
  <c r="AI3" i="52"/>
  <c r="AI34" i="52" s="1"/>
  <c r="AK18" i="52"/>
  <c r="AI18" i="52"/>
  <c r="AH3" i="52"/>
  <c r="Z14" i="108"/>
  <c r="V14" i="108"/>
  <c r="W13" i="108"/>
  <c r="X13" i="108"/>
  <c r="AC13" i="108"/>
  <c r="AB13" i="108"/>
  <c r="T12" i="108"/>
  <c r="L18" i="52"/>
  <c r="AB14" i="52" s="1"/>
  <c r="I14" i="52"/>
  <c r="Y12" i="52" s="1"/>
  <c r="H18" i="52"/>
  <c r="X14" i="52" s="1"/>
  <c r="AA334" i="116" a="1"/>
  <c r="AA370" i="116" a="1"/>
  <c r="AA152" i="116" a="1"/>
  <c r="AA298" i="116" a="1"/>
  <c r="AA406" i="116" a="1"/>
  <c r="J53" i="115" l="1"/>
  <c r="K53" i="115" s="1"/>
  <c r="M53" i="115"/>
  <c r="P17" i="115"/>
  <c r="P14" i="115"/>
  <c r="W73" i="115"/>
  <c r="T73" i="115"/>
  <c r="U73" i="115" s="1"/>
  <c r="W52" i="115"/>
  <c r="T52" i="115"/>
  <c r="U52" i="115" s="1"/>
  <c r="V4" i="115"/>
  <c r="Z17" i="115"/>
  <c r="W54" i="115"/>
  <c r="AC35" i="115"/>
  <c r="AD16" i="115"/>
  <c r="AD36" i="115" s="1"/>
  <c r="AV34" i="52"/>
  <c r="L4" i="115"/>
  <c r="V50" i="115"/>
  <c r="W50" i="115" s="1"/>
  <c r="AC37" i="115"/>
  <c r="AC55" i="115"/>
  <c r="AD55" i="115" s="1"/>
  <c r="AE55" i="115" s="1"/>
  <c r="AF55" i="115" s="1"/>
  <c r="AG55" i="115" s="1"/>
  <c r="AD18" i="115"/>
  <c r="AC74" i="115"/>
  <c r="AD74" i="115" s="1"/>
  <c r="AE74" i="115" s="1"/>
  <c r="AF74" i="115" s="1"/>
  <c r="AG74" i="115" s="1"/>
  <c r="T71" i="115"/>
  <c r="U71" i="115" s="1"/>
  <c r="N34" i="115"/>
  <c r="Q35" i="115"/>
  <c r="AD73" i="115"/>
  <c r="AE73" i="115" s="1"/>
  <c r="AF73" i="115" s="1"/>
  <c r="AG73" i="115" s="1"/>
  <c r="AB71" i="115"/>
  <c r="AD33" i="115"/>
  <c r="AE14" i="115"/>
  <c r="AH71" i="115"/>
  <c r="AD71" i="115" s="1"/>
  <c r="AE71" i="115" s="1"/>
  <c r="AF71" i="115" s="1"/>
  <c r="AG71" i="115" s="1"/>
  <c r="AL33" i="52"/>
  <c r="AH33" i="115"/>
  <c r="BJ4" i="52"/>
  <c r="L3" i="115"/>
  <c r="O56" i="115"/>
  <c r="P56" i="115" s="1"/>
  <c r="AH3" i="107"/>
  <c r="AH21" i="107" s="1"/>
  <c r="AH3" i="115"/>
  <c r="M18" i="115"/>
  <c r="J18" i="115"/>
  <c r="L74" i="115"/>
  <c r="L55" i="115"/>
  <c r="W55" i="115"/>
  <c r="S32" i="115"/>
  <c r="T13" i="115"/>
  <c r="T35" i="115"/>
  <c r="U16" i="115"/>
  <c r="N33" i="115"/>
  <c r="AH52" i="115"/>
  <c r="AD52" i="115" s="1"/>
  <c r="AE52" i="115" s="1"/>
  <c r="AF52" i="115" s="1"/>
  <c r="AG52" i="115" s="1"/>
  <c r="AC33" i="115"/>
  <c r="AC72" i="115"/>
  <c r="AD72" i="115" s="1"/>
  <c r="AE72" i="115" s="1"/>
  <c r="AF72" i="115" s="1"/>
  <c r="AG72" i="115" s="1"/>
  <c r="AH60" i="115"/>
  <c r="M13" i="115"/>
  <c r="J13" i="115"/>
  <c r="Y69" i="115"/>
  <c r="Z69" i="115" s="1"/>
  <c r="O54" i="115"/>
  <c r="P54" i="115" s="1"/>
  <c r="AX34" i="52"/>
  <c r="Q4" i="115"/>
  <c r="P15" i="115"/>
  <c r="Z18" i="115"/>
  <c r="J56" i="115"/>
  <c r="K56" i="115" s="1"/>
  <c r="M56" i="115"/>
  <c r="T36" i="115"/>
  <c r="U17" i="115"/>
  <c r="N35" i="115"/>
  <c r="O16" i="115"/>
  <c r="AA32" i="115"/>
  <c r="AB13" i="115"/>
  <c r="AB36" i="115" s="1"/>
  <c r="Y74" i="115"/>
  <c r="Z74" i="115" s="1"/>
  <c r="V33" i="115"/>
  <c r="W14" i="115"/>
  <c r="M73" i="115"/>
  <c r="J73" i="115"/>
  <c r="K73" i="115" s="1"/>
  <c r="Y75" i="115"/>
  <c r="Z75" i="115" s="1"/>
  <c r="AB75" i="115"/>
  <c r="W74" i="115"/>
  <c r="AC69" i="115"/>
  <c r="AD69" i="115" s="1"/>
  <c r="AE69" i="115" s="1"/>
  <c r="AF69" i="115" s="1"/>
  <c r="AG69" i="115" s="1"/>
  <c r="AE17" i="115"/>
  <c r="AA69" i="115"/>
  <c r="K17" i="115"/>
  <c r="Y71" i="115"/>
  <c r="Z71" i="115" s="1"/>
  <c r="AC53" i="115"/>
  <c r="AD53" i="115" s="1"/>
  <c r="AE53" i="115" s="1"/>
  <c r="AF53" i="115" s="1"/>
  <c r="AG53" i="115" s="1"/>
  <c r="S37" i="115"/>
  <c r="S74" i="115"/>
  <c r="T74" i="115" s="1"/>
  <c r="U74" i="115" s="1"/>
  <c r="S55" i="115"/>
  <c r="T55" i="115" s="1"/>
  <c r="U55" i="115" s="1"/>
  <c r="T18" i="115"/>
  <c r="AD56" i="115"/>
  <c r="AE56" i="115" s="1"/>
  <c r="AF56" i="115" s="1"/>
  <c r="AG56" i="115" s="1"/>
  <c r="AP34" i="52"/>
  <c r="AH32" i="115"/>
  <c r="T14" i="115"/>
  <c r="V37" i="115"/>
  <c r="S36" i="115"/>
  <c r="T54" i="115"/>
  <c r="U54" i="115" s="1"/>
  <c r="W53" i="115"/>
  <c r="O73" i="115"/>
  <c r="P73" i="115" s="1"/>
  <c r="AA33" i="115"/>
  <c r="R72" i="115"/>
  <c r="W72" i="115"/>
  <c r="V51" i="115"/>
  <c r="Q69" i="115"/>
  <c r="R69" i="115" s="1"/>
  <c r="Q32" i="115"/>
  <c r="R13" i="115"/>
  <c r="M72" i="115"/>
  <c r="J72" i="115"/>
  <c r="K72" i="115" s="1"/>
  <c r="AA72" i="115"/>
  <c r="AA35" i="115"/>
  <c r="AB16" i="115"/>
  <c r="AB35" i="115" s="1"/>
  <c r="Q74" i="115"/>
  <c r="Q37" i="115"/>
  <c r="R18" i="115"/>
  <c r="Q55" i="115"/>
  <c r="Q70" i="115"/>
  <c r="Q33" i="115"/>
  <c r="R14" i="115"/>
  <c r="Q3" i="107"/>
  <c r="R3" i="107" s="1"/>
  <c r="AX33" i="52"/>
  <c r="Q3" i="115"/>
  <c r="M50" i="115"/>
  <c r="J50" i="115"/>
  <c r="K50" i="115" s="1"/>
  <c r="K14" i="115"/>
  <c r="Y56" i="115"/>
  <c r="Z56" i="115" s="1"/>
  <c r="AB56" i="115"/>
  <c r="T56" i="115"/>
  <c r="U56" i="115" s="1"/>
  <c r="N4" i="107"/>
  <c r="AW34" i="52"/>
  <c r="N4" i="115"/>
  <c r="W75" i="115"/>
  <c r="Y72" i="115"/>
  <c r="Z72" i="115" s="1"/>
  <c r="R50" i="115"/>
  <c r="M70" i="115"/>
  <c r="J70" i="115"/>
  <c r="K70" i="115" s="1"/>
  <c r="AB70" i="115"/>
  <c r="V36" i="115"/>
  <c r="W17" i="115"/>
  <c r="T69" i="115"/>
  <c r="U69" i="115" s="1"/>
  <c r="AA50" i="115"/>
  <c r="Y50" i="115" s="1"/>
  <c r="Z50" i="115" s="1"/>
  <c r="M54" i="115"/>
  <c r="J54" i="115"/>
  <c r="K54" i="115" s="1"/>
  <c r="V70" i="115"/>
  <c r="W70" i="115" s="1"/>
  <c r="N37" i="115"/>
  <c r="O18" i="115"/>
  <c r="N74" i="115"/>
  <c r="O74" i="115" s="1"/>
  <c r="P74" i="115" s="1"/>
  <c r="N55" i="115"/>
  <c r="O55" i="115" s="1"/>
  <c r="P55" i="115" s="1"/>
  <c r="Y34" i="115"/>
  <c r="Z15" i="115"/>
  <c r="AB51" i="115"/>
  <c r="N3" i="115"/>
  <c r="R75" i="115"/>
  <c r="AC3" i="107"/>
  <c r="AD3" i="107" s="1"/>
  <c r="AE3" i="107" s="1"/>
  <c r="AF3" i="107" s="1"/>
  <c r="AG3" i="107" s="1"/>
  <c r="BC33" i="52"/>
  <c r="AC3" i="115"/>
  <c r="S59" i="115"/>
  <c r="AH50" i="115"/>
  <c r="X32" i="115"/>
  <c r="Y13" i="115"/>
  <c r="Y33" i="115" s="1"/>
  <c r="AB52" i="115"/>
  <c r="AB18" i="115"/>
  <c r="O50" i="115"/>
  <c r="P50" i="115" s="1"/>
  <c r="N32" i="115"/>
  <c r="O13" i="115"/>
  <c r="AD15" i="115"/>
  <c r="N72" i="115"/>
  <c r="O72" i="115" s="1"/>
  <c r="P72" i="115" s="1"/>
  <c r="S50" i="115"/>
  <c r="X34" i="115"/>
  <c r="X4" i="115"/>
  <c r="X3" i="107"/>
  <c r="X3" i="115"/>
  <c r="AY34" i="52"/>
  <c r="S4" i="115"/>
  <c r="Z14" i="115"/>
  <c r="V32" i="115"/>
  <c r="W13" i="115"/>
  <c r="W35" i="115" s="1"/>
  <c r="AC4" i="115"/>
  <c r="CS4" i="52"/>
  <c r="BB33" i="52"/>
  <c r="AA3" i="115"/>
  <c r="M75" i="115"/>
  <c r="J75" i="115"/>
  <c r="K75" i="115" s="1"/>
  <c r="V34" i="115"/>
  <c r="W15" i="115"/>
  <c r="W34" i="115" s="1"/>
  <c r="AC32" i="115"/>
  <c r="AD13" i="115"/>
  <c r="AB55" i="115"/>
  <c r="Y16" i="115"/>
  <c r="AC50" i="115"/>
  <c r="AD50" i="115" s="1"/>
  <c r="AE50" i="115" s="1"/>
  <c r="AF50" i="115" s="1"/>
  <c r="AG50" i="115" s="1"/>
  <c r="AC34" i="115"/>
  <c r="M69" i="115"/>
  <c r="J69" i="115"/>
  <c r="K69" i="115" s="1"/>
  <c r="M16" i="115"/>
  <c r="J16" i="115"/>
  <c r="R53" i="115"/>
  <c r="Q34" i="115"/>
  <c r="M51" i="115"/>
  <c r="J51" i="115"/>
  <c r="K51" i="115" s="1"/>
  <c r="BB34" i="52"/>
  <c r="AA4" i="115"/>
  <c r="V3" i="107"/>
  <c r="W3" i="107" s="1"/>
  <c r="AZ33" i="52"/>
  <c r="V3" i="115"/>
  <c r="Q73" i="115"/>
  <c r="R73" i="115" s="1"/>
  <c r="Q36" i="115"/>
  <c r="R17" i="115"/>
  <c r="R36" i="115" s="1"/>
  <c r="AA36" i="115"/>
  <c r="AA37" i="115"/>
  <c r="T15" i="115"/>
  <c r="N36" i="115"/>
  <c r="R71" i="115"/>
  <c r="O40" i="113"/>
  <c r="P40" i="113" s="1"/>
  <c r="AD20" i="109"/>
  <c r="AE20" i="109" s="1"/>
  <c r="AF20" i="109" s="1"/>
  <c r="AG20" i="109" s="1"/>
  <c r="O20" i="109"/>
  <c r="P20" i="109" s="1"/>
  <c r="AB59" i="113"/>
  <c r="AD59" i="113"/>
  <c r="AE59" i="113" s="1"/>
  <c r="AF59" i="113" s="1"/>
  <c r="AG59" i="113" s="1"/>
  <c r="U37" i="113"/>
  <c r="P32" i="113"/>
  <c r="Y40" i="113"/>
  <c r="Z40" i="113" s="1"/>
  <c r="AB20" i="109"/>
  <c r="Z34" i="113"/>
  <c r="W40" i="113"/>
  <c r="T40" i="113"/>
  <c r="U40" i="113" s="1"/>
  <c r="Z37" i="113"/>
  <c r="O21" i="109"/>
  <c r="P21" i="109" s="1"/>
  <c r="AB22" i="113"/>
  <c r="AB23" i="113"/>
  <c r="U33" i="113"/>
  <c r="Z36" i="113"/>
  <c r="Y20" i="109"/>
  <c r="Z20" i="109" s="1"/>
  <c r="P36" i="113"/>
  <c r="O22" i="113"/>
  <c r="P3" i="113"/>
  <c r="O23" i="113"/>
  <c r="U35" i="113"/>
  <c r="AB40" i="113"/>
  <c r="T20" i="109"/>
  <c r="U20" i="109" s="1"/>
  <c r="W20" i="109"/>
  <c r="Z33" i="113"/>
  <c r="Y22" i="113"/>
  <c r="Y23" i="113"/>
  <c r="Z3" i="113"/>
  <c r="P37" i="113"/>
  <c r="U36" i="113"/>
  <c r="T22" i="113"/>
  <c r="T23" i="113"/>
  <c r="U3" i="113"/>
  <c r="R22" i="113"/>
  <c r="R23" i="113"/>
  <c r="Y59" i="113"/>
  <c r="Z59" i="113" s="1"/>
  <c r="P34" i="113"/>
  <c r="W59" i="113"/>
  <c r="T59" i="113"/>
  <c r="U59" i="113" s="1"/>
  <c r="U32" i="113"/>
  <c r="AD40" i="113"/>
  <c r="AE40" i="113" s="1"/>
  <c r="AF40" i="113" s="1"/>
  <c r="AG40" i="113" s="1"/>
  <c r="P35" i="113"/>
  <c r="W22" i="113"/>
  <c r="W23" i="113"/>
  <c r="P33" i="113"/>
  <c r="Z35" i="113"/>
  <c r="T21" i="109"/>
  <c r="U21" i="109" s="1"/>
  <c r="AD22" i="113"/>
  <c r="AE3" i="113"/>
  <c r="AE23" i="113" s="1"/>
  <c r="AF4" i="113"/>
  <c r="AD23" i="113"/>
  <c r="AE34" i="113"/>
  <c r="AF15" i="113"/>
  <c r="AE33" i="113"/>
  <c r="AF14" i="113"/>
  <c r="AG16" i="113"/>
  <c r="AG17" i="113"/>
  <c r="AE35" i="113"/>
  <c r="AE36" i="113"/>
  <c r="AE37" i="113"/>
  <c r="AF18" i="113"/>
  <c r="AE32" i="113"/>
  <c r="AF13" i="113"/>
  <c r="AM14" i="113"/>
  <c r="CV18" i="108"/>
  <c r="BS18" i="108"/>
  <c r="AM70" i="113"/>
  <c r="AI70" i="113" s="1"/>
  <c r="AJ70" i="113" s="1"/>
  <c r="AK70" i="113" s="1"/>
  <c r="AL70" i="113" s="1"/>
  <c r="J30" i="118"/>
  <c r="Q30" i="118" s="1"/>
  <c r="BE24" i="108"/>
  <c r="AQ4" i="108"/>
  <c r="AQ26" i="108"/>
  <c r="BE25" i="108"/>
  <c r="AQ25" i="108"/>
  <c r="DL17" i="108"/>
  <c r="DL23" i="108"/>
  <c r="BE19" i="108"/>
  <c r="DL25" i="108"/>
  <c r="AQ19" i="108"/>
  <c r="AQ27" i="108"/>
  <c r="DL22" i="108"/>
  <c r="BE27" i="108"/>
  <c r="CV25" i="108" s="1"/>
  <c r="AM75" i="113" s="1"/>
  <c r="AI75" i="113" s="1"/>
  <c r="AJ75" i="113" s="1"/>
  <c r="AK75" i="113" s="1"/>
  <c r="AL75" i="113" s="1"/>
  <c r="AQ24" i="108"/>
  <c r="DL6" i="108"/>
  <c r="DL24" i="108"/>
  <c r="BE4" i="108"/>
  <c r="BE26" i="108"/>
  <c r="BE23" i="108"/>
  <c r="AM15" i="113"/>
  <c r="CV19" i="108"/>
  <c r="BS19" i="108"/>
  <c r="AQ20" i="108"/>
  <c r="T18" i="108"/>
  <c r="L6" i="109"/>
  <c r="CM7" i="108"/>
  <c r="L5" i="109"/>
  <c r="T22" i="108"/>
  <c r="T19" i="108"/>
  <c r="D48" i="108"/>
  <c r="C9" i="108"/>
  <c r="N9" i="108" s="1"/>
  <c r="AB14" i="108"/>
  <c r="AA298" i="116"/>
  <c r="AA406" i="116"/>
  <c r="AA334" i="116"/>
  <c r="AA370" i="116"/>
  <c r="AA152" i="116"/>
  <c r="V13" i="108"/>
  <c r="A408" i="116"/>
  <c r="AC14" i="108"/>
  <c r="A300" i="116"/>
  <c r="Z13" i="108"/>
  <c r="A336" i="116"/>
  <c r="A155" i="116"/>
  <c r="AA12" i="108"/>
  <c r="A444" i="116"/>
  <c r="AA13" i="108"/>
  <c r="A372" i="116"/>
  <c r="A481" i="116"/>
  <c r="B47" i="52"/>
  <c r="B39" i="52"/>
  <c r="H30" i="111"/>
  <c r="J30" i="111" s="1"/>
  <c r="Q30" i="111" s="1"/>
  <c r="R16" i="108"/>
  <c r="R43" i="108" s="1"/>
  <c r="AT19" i="52"/>
  <c r="AF19" i="52"/>
  <c r="AT25" i="52"/>
  <c r="AT20" i="108"/>
  <c r="D14" i="113" s="1"/>
  <c r="AF4" i="108"/>
  <c r="DA6" i="108"/>
  <c r="CK6" i="108" s="1"/>
  <c r="AT27" i="108"/>
  <c r="AF27" i="108"/>
  <c r="AF21" i="108"/>
  <c r="AT21" i="108"/>
  <c r="D15" i="113" s="1"/>
  <c r="AF21" i="52"/>
  <c r="B41" i="108"/>
  <c r="B39" i="108"/>
  <c r="B47" i="108"/>
  <c r="AT26" i="108"/>
  <c r="AT23" i="52"/>
  <c r="DA21" i="52"/>
  <c r="AT24" i="108"/>
  <c r="D17" i="113" s="1"/>
  <c r="AF24" i="52"/>
  <c r="H4" i="113"/>
  <c r="AF26" i="109"/>
  <c r="AF25" i="109"/>
  <c r="AF24" i="109"/>
  <c r="T10" i="108"/>
  <c r="T11" i="108"/>
  <c r="T9" i="108"/>
  <c r="T15" i="108"/>
  <c r="E2" i="108"/>
  <c r="T14" i="108"/>
  <c r="X14" i="108"/>
  <c r="AB9" i="108"/>
  <c r="AB10" i="108"/>
  <c r="AB11" i="108"/>
  <c r="AB15" i="108"/>
  <c r="AC11" i="108"/>
  <c r="AC15" i="108"/>
  <c r="AC10" i="108"/>
  <c r="AC9" i="108"/>
  <c r="U7" i="108"/>
  <c r="U38" i="108" s="1"/>
  <c r="X12" i="108"/>
  <c r="S7" i="108"/>
  <c r="S40" i="108" s="1"/>
  <c r="Y10" i="108"/>
  <c r="Y11" i="108"/>
  <c r="Y15" i="108"/>
  <c r="Y9" i="108"/>
  <c r="Y13" i="108"/>
  <c r="Z12" i="108"/>
  <c r="AT9" i="52"/>
  <c r="D5" i="115" s="1"/>
  <c r="AT9" i="108"/>
  <c r="D5" i="113" s="1"/>
  <c r="AF9" i="52"/>
  <c r="AF9" i="108"/>
  <c r="DA8" i="108"/>
  <c r="DA8" i="52"/>
  <c r="DA13" i="52"/>
  <c r="AF15" i="108"/>
  <c r="AF16" i="108"/>
  <c r="DA14" i="108"/>
  <c r="AF14" i="52"/>
  <c r="AT15" i="108"/>
  <c r="D10" i="113" s="1"/>
  <c r="AT16" i="52"/>
  <c r="AF15" i="52"/>
  <c r="AT15" i="52"/>
  <c r="AF10" i="108"/>
  <c r="AT16" i="108"/>
  <c r="D11" i="113" s="1"/>
  <c r="AT10" i="108"/>
  <c r="D6" i="113" s="1"/>
  <c r="DA9" i="108"/>
  <c r="DA15" i="52"/>
  <c r="DA12" i="52"/>
  <c r="DA14" i="52"/>
  <c r="AT10" i="52"/>
  <c r="AT14" i="52"/>
  <c r="AF14" i="108"/>
  <c r="AF10" i="52"/>
  <c r="DA9" i="52"/>
  <c r="DA13" i="108"/>
  <c r="DA12" i="108"/>
  <c r="AF16" i="52"/>
  <c r="AT14" i="108"/>
  <c r="D9" i="113" s="1"/>
  <c r="DA15" i="108"/>
  <c r="AT17" i="52"/>
  <c r="AT12" i="52"/>
  <c r="AF12" i="52"/>
  <c r="AF17" i="108"/>
  <c r="DA10" i="52"/>
  <c r="AF12" i="108"/>
  <c r="AF17" i="52"/>
  <c r="AT17" i="108"/>
  <c r="D12" i="113" s="1"/>
  <c r="AT11" i="108"/>
  <c r="DA11" i="52"/>
  <c r="AF11" i="108"/>
  <c r="AT12" i="108"/>
  <c r="D8" i="113" s="1"/>
  <c r="DA11" i="108"/>
  <c r="AT11" i="52"/>
  <c r="DA10" i="108"/>
  <c r="DA16" i="108"/>
  <c r="DA16" i="52"/>
  <c r="AF11" i="52"/>
  <c r="W14" i="108"/>
  <c r="AA11" i="108"/>
  <c r="AA15" i="108"/>
  <c r="AA9" i="108"/>
  <c r="AA10" i="108"/>
  <c r="T13" i="108"/>
  <c r="Y12" i="108"/>
  <c r="W12" i="108"/>
  <c r="AC12" i="108"/>
  <c r="X15" i="108"/>
  <c r="X9" i="108"/>
  <c r="X10" i="108"/>
  <c r="X11" i="108"/>
  <c r="W10" i="108"/>
  <c r="W11" i="108"/>
  <c r="W15" i="108"/>
  <c r="W9" i="108"/>
  <c r="Z15" i="108"/>
  <c r="Z10" i="108"/>
  <c r="Z9" i="108"/>
  <c r="Z11" i="108"/>
  <c r="V15" i="108"/>
  <c r="V10" i="108"/>
  <c r="V9" i="108"/>
  <c r="V11" i="108"/>
  <c r="AB12" i="108"/>
  <c r="V12" i="108"/>
  <c r="H6" i="109"/>
  <c r="G23" i="109"/>
  <c r="H5" i="109"/>
  <c r="H22" i="109" s="1"/>
  <c r="G22" i="109"/>
  <c r="H4" i="109"/>
  <c r="DL7" i="108"/>
  <c r="AM60" i="113" s="1"/>
  <c r="AI60" i="113" s="1"/>
  <c r="AJ60" i="113" s="1"/>
  <c r="AK60" i="113" s="1"/>
  <c r="AL60" i="113" s="1"/>
  <c r="CU7" i="108"/>
  <c r="I22" i="107"/>
  <c r="E6" i="107"/>
  <c r="G4" i="107"/>
  <c r="BL4" i="52"/>
  <c r="G5" i="107"/>
  <c r="AM23" i="107"/>
  <c r="AI6" i="107"/>
  <c r="AJ6" i="107" s="1"/>
  <c r="AK6" i="107" s="1"/>
  <c r="AL6" i="107" s="1"/>
  <c r="T8" i="107"/>
  <c r="U8" i="107" s="1"/>
  <c r="AB8" i="107"/>
  <c r="AD17" i="107"/>
  <c r="AE17" i="107" s="1"/>
  <c r="AF17" i="107" s="1"/>
  <c r="AG17" i="107" s="1"/>
  <c r="M7" i="107"/>
  <c r="M9" i="107"/>
  <c r="Y7" i="107"/>
  <c r="Z7" i="107" s="1"/>
  <c r="BQ4" i="52"/>
  <c r="T9" i="107"/>
  <c r="U9" i="107" s="1"/>
  <c r="N22" i="107"/>
  <c r="AC26" i="107"/>
  <c r="CT4" i="52"/>
  <c r="CM4" i="52"/>
  <c r="Q26" i="107"/>
  <c r="R8" i="107"/>
  <c r="L3" i="107"/>
  <c r="CU4" i="52"/>
  <c r="AH20" i="107"/>
  <c r="C9" i="52"/>
  <c r="N9" i="52" s="1"/>
  <c r="O17" i="107"/>
  <c r="P17" i="107" s="1"/>
  <c r="O8" i="107"/>
  <c r="P8" i="107" s="1"/>
  <c r="BK5" i="52"/>
  <c r="BR4" i="52"/>
  <c r="CR4" i="52"/>
  <c r="BD3" i="52"/>
  <c r="BD34" i="52" s="1"/>
  <c r="BO4" i="52"/>
  <c r="N26" i="107"/>
  <c r="N24" i="107"/>
  <c r="CO4" i="52"/>
  <c r="AZ3" i="52"/>
  <c r="AZ34" i="52" s="1"/>
  <c r="BN4" i="52"/>
  <c r="I24" i="107"/>
  <c r="J9" i="107"/>
  <c r="K9" i="107" s="1"/>
  <c r="AA25" i="107"/>
  <c r="AH26" i="107"/>
  <c r="AB22" i="107"/>
  <c r="Y17" i="107"/>
  <c r="Z17" i="107" s="1"/>
  <c r="BP4" i="52"/>
  <c r="AH24" i="107"/>
  <c r="V26" i="107"/>
  <c r="X24" i="107"/>
  <c r="O9" i="107"/>
  <c r="P9" i="107" s="1"/>
  <c r="AA24" i="107"/>
  <c r="Q25" i="107"/>
  <c r="BB3" i="52"/>
  <c r="AD7" i="107"/>
  <c r="AE7" i="107" s="1"/>
  <c r="AF7" i="107" s="1"/>
  <c r="AG7" i="107" s="1"/>
  <c r="AA3" i="107"/>
  <c r="Q24" i="107"/>
  <c r="V23" i="107"/>
  <c r="W17" i="107"/>
  <c r="AD6" i="107"/>
  <c r="AE6" i="107" s="1"/>
  <c r="AF6" i="107" s="1"/>
  <c r="AG6" i="107" s="1"/>
  <c r="AA26" i="107"/>
  <c r="Y23" i="107"/>
  <c r="S26" i="107"/>
  <c r="AH25" i="107"/>
  <c r="AD8" i="107"/>
  <c r="AE8" i="107" s="1"/>
  <c r="AF8" i="107" s="1"/>
  <c r="AG8" i="107" s="1"/>
  <c r="T17" i="107"/>
  <c r="U17" i="107" s="1"/>
  <c r="AD9" i="107"/>
  <c r="AE9" i="107" s="1"/>
  <c r="AF9" i="107" s="1"/>
  <c r="AG9" i="107" s="1"/>
  <c r="Y9" i="107"/>
  <c r="Z9" i="107" s="1"/>
  <c r="O7" i="107"/>
  <c r="P7" i="107" s="1"/>
  <c r="S25" i="107"/>
  <c r="AH22" i="107"/>
  <c r="V25" i="107"/>
  <c r="T6" i="107"/>
  <c r="U6" i="107" s="1"/>
  <c r="N3" i="107"/>
  <c r="N21" i="107" s="1"/>
  <c r="BK4" i="52"/>
  <c r="AW3" i="52"/>
  <c r="AW33" i="52" s="1"/>
  <c r="CN4" i="52"/>
  <c r="W7" i="107"/>
  <c r="W8" i="107"/>
  <c r="I25" i="107"/>
  <c r="X26" i="107"/>
  <c r="S24" i="107"/>
  <c r="Y8" i="107"/>
  <c r="Z8" i="107" s="1"/>
  <c r="AB17" i="107"/>
  <c r="R5" i="107"/>
  <c r="AU3" i="52"/>
  <c r="I3" i="107"/>
  <c r="CL4" i="52"/>
  <c r="BI4" i="52"/>
  <c r="AV3" i="52"/>
  <c r="AV33" i="52" s="1"/>
  <c r="V4" i="107"/>
  <c r="BN5" i="52"/>
  <c r="CQ5" i="52"/>
  <c r="T7" i="107"/>
  <c r="U7" i="107" s="1"/>
  <c r="AB9" i="107"/>
  <c r="M5" i="107"/>
  <c r="CR5" i="52"/>
  <c r="X4" i="107"/>
  <c r="BO5" i="52"/>
  <c r="Y22" i="107"/>
  <c r="L23" i="107"/>
  <c r="N23" i="107"/>
  <c r="L22" i="107"/>
  <c r="AC25" i="107"/>
  <c r="AC24" i="107"/>
  <c r="BA3" i="52"/>
  <c r="BA33" i="52" s="1"/>
  <c r="AC4" i="107"/>
  <c r="CT5" i="52"/>
  <c r="BQ5" i="52"/>
  <c r="S4" i="107"/>
  <c r="BM5" i="52"/>
  <c r="AY3" i="52"/>
  <c r="AY33" i="52" s="1"/>
  <c r="CP5" i="52"/>
  <c r="J6" i="107"/>
  <c r="K6" i="107" s="1"/>
  <c r="BC3" i="52"/>
  <c r="BC34" i="52" s="1"/>
  <c r="AB7" i="107"/>
  <c r="L4" i="107"/>
  <c r="CM5" i="52"/>
  <c r="BJ5" i="52"/>
  <c r="V24" i="107"/>
  <c r="S23" i="107"/>
  <c r="AH23" i="107"/>
  <c r="X25" i="107"/>
  <c r="N25" i="107"/>
  <c r="S22" i="107"/>
  <c r="V22" i="107"/>
  <c r="I26" i="107"/>
  <c r="I23" i="107"/>
  <c r="AB23" i="107"/>
  <c r="CS5" i="52"/>
  <c r="AA4" i="107"/>
  <c r="BP5" i="52"/>
  <c r="Q4" i="107"/>
  <c r="BL5" i="52"/>
  <c r="CO5" i="52"/>
  <c r="AX3" i="52"/>
  <c r="W9" i="107"/>
  <c r="R9" i="107"/>
  <c r="J7" i="107"/>
  <c r="K7" i="107" s="1"/>
  <c r="O42" i="110"/>
  <c r="P41" i="110"/>
  <c r="Q41" i="110" s="1"/>
  <c r="R41" i="110" s="1"/>
  <c r="G20" i="111"/>
  <c r="H13" i="111"/>
  <c r="BV8" i="108" s="1"/>
  <c r="R30" i="111"/>
  <c r="Q51" i="111"/>
  <c r="BD50" i="52"/>
  <c r="BD53" i="52"/>
  <c r="BD52" i="52"/>
  <c r="BC54" i="52"/>
  <c r="BC53" i="52"/>
  <c r="BC52" i="52"/>
  <c r="BB49" i="52"/>
  <c r="BB53" i="52"/>
  <c r="BB52" i="52"/>
  <c r="BA47" i="52"/>
  <c r="BA52" i="52"/>
  <c r="BA53" i="52"/>
  <c r="AZ48" i="52"/>
  <c r="AZ53" i="52"/>
  <c r="AZ52" i="52"/>
  <c r="AY48" i="52"/>
  <c r="AY52" i="52"/>
  <c r="AY53" i="52"/>
  <c r="AX48" i="52"/>
  <c r="AX52" i="52"/>
  <c r="AX53" i="52"/>
  <c r="AW54" i="52"/>
  <c r="AW53" i="52"/>
  <c r="AW52" i="52"/>
  <c r="I18" i="52"/>
  <c r="Y14" i="52" s="1"/>
  <c r="BB12" i="52"/>
  <c r="AC8" i="113"/>
  <c r="DJ15" i="52"/>
  <c r="BB17" i="52"/>
  <c r="F11" i="52"/>
  <c r="V9" i="52" s="1"/>
  <c r="F19" i="52"/>
  <c r="V15" i="52" s="1"/>
  <c r="F10" i="52"/>
  <c r="F17" i="52"/>
  <c r="V13" i="52" s="1"/>
  <c r="F14" i="52"/>
  <c r="V12" i="52" s="1"/>
  <c r="F13" i="52"/>
  <c r="V11" i="52" s="1"/>
  <c r="F12" i="52"/>
  <c r="V10" i="52" s="1"/>
  <c r="F18" i="52"/>
  <c r="V14" i="52" s="1"/>
  <c r="K48" i="52"/>
  <c r="AN16" i="52"/>
  <c r="BB10" i="52"/>
  <c r="C49" i="106"/>
  <c r="C48" i="52"/>
  <c r="J13" i="52"/>
  <c r="Z11" i="52" s="1"/>
  <c r="J12" i="52"/>
  <c r="Z10" i="52" s="1"/>
  <c r="J11" i="52"/>
  <c r="Z9" i="52" s="1"/>
  <c r="J10" i="52"/>
  <c r="J19" i="52"/>
  <c r="Z15" i="52" s="1"/>
  <c r="J18" i="52"/>
  <c r="Z14" i="52" s="1"/>
  <c r="L19" i="52"/>
  <c r="AB15" i="52" s="1"/>
  <c r="L14" i="52"/>
  <c r="AB12" i="52" s="1"/>
  <c r="L12" i="52"/>
  <c r="AB10" i="52" s="1"/>
  <c r="L11" i="52"/>
  <c r="AB9" i="52" s="1"/>
  <c r="L10" i="52"/>
  <c r="L17" i="52"/>
  <c r="AB13" i="52" s="1"/>
  <c r="L13" i="52"/>
  <c r="AB11" i="52" s="1"/>
  <c r="DI14" i="52"/>
  <c r="K11" i="52"/>
  <c r="AA9" i="52" s="1"/>
  <c r="K10" i="52"/>
  <c r="K19" i="52"/>
  <c r="AA15" i="52" s="1"/>
  <c r="K14" i="52"/>
  <c r="AA12" i="52" s="1"/>
  <c r="K13" i="52"/>
  <c r="AA11" i="52" s="1"/>
  <c r="K12" i="52"/>
  <c r="AA10" i="52" s="1"/>
  <c r="K18" i="52"/>
  <c r="AA14" i="52" s="1"/>
  <c r="I19" i="52"/>
  <c r="Y15" i="52" s="1"/>
  <c r="I12" i="52"/>
  <c r="Y10" i="52" s="1"/>
  <c r="I11" i="52"/>
  <c r="Y9" i="52" s="1"/>
  <c r="I13" i="52"/>
  <c r="Y11" i="52" s="1"/>
  <c r="I10" i="52"/>
  <c r="AN17" i="52"/>
  <c r="DI15" i="52"/>
  <c r="J17" i="52"/>
  <c r="Z13" i="52" s="1"/>
  <c r="K17" i="52"/>
  <c r="AA13" i="52" s="1"/>
  <c r="DI8" i="52"/>
  <c r="BB9" i="52"/>
  <c r="AN9" i="52"/>
  <c r="BB14" i="52"/>
  <c r="BB15" i="52"/>
  <c r="G10" i="106"/>
  <c r="DB12" i="108" s="1"/>
  <c r="E49" i="106"/>
  <c r="J14" i="52"/>
  <c r="Z12" i="52" s="1"/>
  <c r="DI9" i="52"/>
  <c r="AN15" i="52"/>
  <c r="DI16" i="52"/>
  <c r="DI11" i="52"/>
  <c r="AZ17" i="52"/>
  <c r="AN14" i="52"/>
  <c r="DI10" i="52"/>
  <c r="BB11" i="52"/>
  <c r="AN11" i="52"/>
  <c r="DI13" i="52"/>
  <c r="BB16" i="52"/>
  <c r="H17" i="52"/>
  <c r="X13" i="52" s="1"/>
  <c r="H19" i="52"/>
  <c r="X15" i="52" s="1"/>
  <c r="H12" i="52"/>
  <c r="X10" i="52" s="1"/>
  <c r="H11" i="52"/>
  <c r="X9" i="52" s="1"/>
  <c r="H10" i="52"/>
  <c r="H14" i="52"/>
  <c r="X12" i="52" s="1"/>
  <c r="H13" i="52"/>
  <c r="X11" i="52" s="1"/>
  <c r="H48" i="52"/>
  <c r="DI12" i="52"/>
  <c r="AN10" i="52"/>
  <c r="I17" i="52"/>
  <c r="Y13" i="52" s="1"/>
  <c r="AN12" i="52"/>
  <c r="AP49" i="52"/>
  <c r="AP52" i="52"/>
  <c r="AP53" i="52"/>
  <c r="AO47" i="52"/>
  <c r="AO53" i="52"/>
  <c r="AO52" i="52"/>
  <c r="AN48" i="52"/>
  <c r="AN52" i="52"/>
  <c r="AN53" i="52"/>
  <c r="AM50" i="52"/>
  <c r="AM53" i="52"/>
  <c r="AM52" i="52"/>
  <c r="AL54" i="52"/>
  <c r="AL52" i="52"/>
  <c r="AL53" i="52"/>
  <c r="AK54" i="52"/>
  <c r="AK53" i="52"/>
  <c r="AK52" i="52"/>
  <c r="AJ48" i="52"/>
  <c r="AJ52" i="52"/>
  <c r="AJ53" i="52"/>
  <c r="AI51" i="52"/>
  <c r="AI52" i="52"/>
  <c r="AI53" i="52"/>
  <c r="AG50" i="52"/>
  <c r="AG53" i="52"/>
  <c r="AU49" i="52"/>
  <c r="BB47" i="52"/>
  <c r="AY49" i="52"/>
  <c r="AK47" i="52"/>
  <c r="AZ50" i="52"/>
  <c r="AK48" i="52"/>
  <c r="AO54" i="52"/>
  <c r="AM54" i="52"/>
  <c r="AW49" i="52"/>
  <c r="AK50" i="52"/>
  <c r="AO51" i="52"/>
  <c r="AZ54" i="52"/>
  <c r="AM51" i="52"/>
  <c r="AZ47" i="52"/>
  <c r="AX50" i="52"/>
  <c r="AI47" i="52"/>
  <c r="AY50" i="52"/>
  <c r="BC49" i="52"/>
  <c r="AJ51" i="52"/>
  <c r="AI54" i="52"/>
  <c r="AU50" i="52"/>
  <c r="AN47" i="52"/>
  <c r="AU51" i="52"/>
  <c r="AN50" i="52"/>
  <c r="BA50" i="52"/>
  <c r="BA54" i="52"/>
  <c r="BD49" i="52"/>
  <c r="BB48" i="52"/>
  <c r="AN54" i="52"/>
  <c r="AU48" i="52"/>
  <c r="BB50" i="52"/>
  <c r="AZ49" i="52"/>
  <c r="AP48" i="52"/>
  <c r="AM47" i="52"/>
  <c r="AW51" i="52"/>
  <c r="AO50" i="52"/>
  <c r="AJ54" i="52"/>
  <c r="BC50" i="52"/>
  <c r="AP51" i="52"/>
  <c r="AP47" i="52"/>
  <c r="AM49" i="52"/>
  <c r="AL48" i="52"/>
  <c r="AY51" i="52"/>
  <c r="AI49" i="52"/>
  <c r="AW48" i="52"/>
  <c r="AP50" i="52"/>
  <c r="AN49" i="52"/>
  <c r="AM48" i="52"/>
  <c r="AL51" i="52"/>
  <c r="AU54" i="52"/>
  <c r="AP54" i="52"/>
  <c r="BD51" i="52"/>
  <c r="BD48" i="52"/>
  <c r="AW47" i="52"/>
  <c r="BC51" i="52"/>
  <c r="AX51" i="52"/>
  <c r="BA49" i="52"/>
  <c r="AI48" i="52"/>
  <c r="AU52" i="52"/>
  <c r="AL49" i="52"/>
  <c r="AX54" i="52"/>
  <c r="AO49" i="52"/>
  <c r="AK51" i="52"/>
  <c r="AI50" i="52"/>
  <c r="BB54" i="52"/>
  <c r="AY47" i="52"/>
  <c r="AO48" i="52"/>
  <c r="AJ47" i="52"/>
  <c r="BC48" i="52"/>
  <c r="AK49" i="52"/>
  <c r="BA51" i="52"/>
  <c r="BD54" i="52"/>
  <c r="BA48" i="52"/>
  <c r="AZ51" i="52"/>
  <c r="AL47" i="52"/>
  <c r="BB51" i="52"/>
  <c r="AL50" i="52"/>
  <c r="BD47" i="52"/>
  <c r="AN51" i="52"/>
  <c r="AY54" i="52"/>
  <c r="BC47" i="52"/>
  <c r="AJ49" i="52"/>
  <c r="AX47" i="52"/>
  <c r="AJ50" i="52"/>
  <c r="AW50" i="52"/>
  <c r="AX49" i="52"/>
  <c r="Y43" i="52"/>
  <c r="X47" i="52"/>
  <c r="X44" i="52"/>
  <c r="Y48" i="52"/>
  <c r="AA47" i="52"/>
  <c r="AA43" i="52"/>
  <c r="AA48" i="52"/>
  <c r="X3" i="52"/>
  <c r="X31" i="52" s="1"/>
  <c r="V3" i="52"/>
  <c r="V31" i="52" s="1"/>
  <c r="Z46" i="52"/>
  <c r="Z45" i="52"/>
  <c r="Z44" i="52"/>
  <c r="Z48" i="52"/>
  <c r="AA3" i="52"/>
  <c r="AA31" i="52" s="1"/>
  <c r="AB3" i="52"/>
  <c r="AB31" i="52" s="1"/>
  <c r="Y3" i="52"/>
  <c r="Y31" i="52" s="1"/>
  <c r="Z3" i="52"/>
  <c r="Z31" i="52" s="1"/>
  <c r="X43" i="52"/>
  <c r="Y44" i="52"/>
  <c r="AB47" i="52"/>
  <c r="X48" i="52"/>
  <c r="AB44" i="52"/>
  <c r="AB46" i="52"/>
  <c r="AB48" i="52"/>
  <c r="AA44" i="52"/>
  <c r="V48" i="52"/>
  <c r="AB43" i="52"/>
  <c r="Y45" i="52"/>
  <c r="Y46" i="52"/>
  <c r="Z43" i="52"/>
  <c r="V43" i="52"/>
  <c r="V45" i="52"/>
  <c r="V47" i="52"/>
  <c r="V46" i="52"/>
  <c r="AA46" i="52"/>
  <c r="X46" i="52"/>
  <c r="Z47" i="52"/>
  <c r="E34" i="106"/>
  <c r="G34" i="106" s="1"/>
  <c r="E30" i="106"/>
  <c r="G30" i="106" s="1"/>
  <c r="E26" i="106"/>
  <c r="G26" i="106" s="1"/>
  <c r="E33" i="106"/>
  <c r="G33" i="106" s="1"/>
  <c r="E29" i="106"/>
  <c r="G29" i="106" s="1"/>
  <c r="E32" i="106"/>
  <c r="G32" i="106" s="1"/>
  <c r="E28" i="106"/>
  <c r="G28" i="106" s="1"/>
  <c r="E31" i="106"/>
  <c r="G31" i="106" s="1"/>
  <c r="E27" i="106"/>
  <c r="G27" i="106" s="1"/>
  <c r="S5" i="106"/>
  <c r="D41" i="106"/>
  <c r="Q38" i="106"/>
  <c r="Z39" i="106"/>
  <c r="H22" i="106"/>
  <c r="J22" i="106" s="1"/>
  <c r="Q22" i="106" s="1"/>
  <c r="R22" i="106" s="1"/>
  <c r="Z45" i="106"/>
  <c r="Z37" i="106"/>
  <c r="H48" i="108"/>
  <c r="J48" i="108"/>
  <c r="F48" i="108"/>
  <c r="K48" i="108"/>
  <c r="I48" i="108"/>
  <c r="L48" i="108"/>
  <c r="G48" i="108"/>
  <c r="E48" i="108"/>
  <c r="BB13" i="52"/>
  <c r="DE10" i="52"/>
  <c r="AA480" i="116" a="1"/>
  <c r="AA443" i="116" a="1"/>
  <c r="AA335" i="116" a="1"/>
  <c r="AA371" i="116" a="1"/>
  <c r="AA154" i="116" a="1"/>
  <c r="AA407" i="116" a="1"/>
  <c r="AA299" i="116" a="1"/>
  <c r="O32" i="115" l="1"/>
  <c r="P13" i="115"/>
  <c r="P34" i="115" s="1"/>
  <c r="O35" i="115"/>
  <c r="P16" i="115"/>
  <c r="AA40" i="115"/>
  <c r="AA22" i="115"/>
  <c r="AB3" i="115"/>
  <c r="AA59" i="115"/>
  <c r="Q40" i="115"/>
  <c r="R40" i="115" s="1"/>
  <c r="Q22" i="115"/>
  <c r="R3" i="115"/>
  <c r="Q59" i="115"/>
  <c r="R59" i="115" s="1"/>
  <c r="L60" i="115"/>
  <c r="L23" i="115"/>
  <c r="J4" i="115"/>
  <c r="M4" i="115"/>
  <c r="L41" i="115"/>
  <c r="AD37" i="115"/>
  <c r="AE18" i="115"/>
  <c r="AC59" i="115"/>
  <c r="AD59" i="115" s="1"/>
  <c r="AE59" i="115" s="1"/>
  <c r="AF59" i="115" s="1"/>
  <c r="AG59" i="115" s="1"/>
  <c r="AC22" i="115"/>
  <c r="AD3" i="115"/>
  <c r="AC40" i="115"/>
  <c r="AD40" i="115" s="1"/>
  <c r="AE40" i="115" s="1"/>
  <c r="AF40" i="115" s="1"/>
  <c r="AG40" i="115" s="1"/>
  <c r="AF14" i="115"/>
  <c r="AH59" i="115"/>
  <c r="AH22" i="115"/>
  <c r="AH40" i="115"/>
  <c r="K16" i="115"/>
  <c r="AB53" i="115"/>
  <c r="O34" i="115"/>
  <c r="M74" i="115"/>
  <c r="J74" i="115"/>
  <c r="K74" i="115" s="1"/>
  <c r="V60" i="115"/>
  <c r="W60" i="115" s="1"/>
  <c r="V23" i="115"/>
  <c r="W4" i="115"/>
  <c r="V41" i="115"/>
  <c r="AD34" i="115"/>
  <c r="AE15" i="115"/>
  <c r="O37" i="115"/>
  <c r="P18" i="115"/>
  <c r="P37" i="115" s="1"/>
  <c r="R74" i="115"/>
  <c r="T37" i="115"/>
  <c r="U18" i="115"/>
  <c r="AB74" i="115"/>
  <c r="Q41" i="115"/>
  <c r="Q23" i="115"/>
  <c r="Q60" i="115"/>
  <c r="R4" i="115"/>
  <c r="R23" i="115" s="1"/>
  <c r="K18" i="115"/>
  <c r="V59" i="115"/>
  <c r="W59" i="115" s="1"/>
  <c r="V22" i="115"/>
  <c r="W3" i="115"/>
  <c r="W22" i="115" s="1"/>
  <c r="V40" i="115"/>
  <c r="T3" i="107"/>
  <c r="U3" i="107" s="1"/>
  <c r="N59" i="115"/>
  <c r="N22" i="115"/>
  <c r="O3" i="115"/>
  <c r="N40" i="115"/>
  <c r="AD35" i="115"/>
  <c r="AE16" i="115"/>
  <c r="AC60" i="115"/>
  <c r="AD60" i="115" s="1"/>
  <c r="AE60" i="115" s="1"/>
  <c r="AF60" i="115" s="1"/>
  <c r="AG60" i="115" s="1"/>
  <c r="AC23" i="115"/>
  <c r="AD4" i="115"/>
  <c r="AC41" i="115"/>
  <c r="AD41" i="115" s="1"/>
  <c r="AE41" i="115" s="1"/>
  <c r="AF41" i="115" s="1"/>
  <c r="AG41" i="115" s="1"/>
  <c r="X60" i="115"/>
  <c r="X23" i="115"/>
  <c r="Y4" i="115"/>
  <c r="X41" i="115"/>
  <c r="Y41" i="115" s="1"/>
  <c r="Z41" i="115" s="1"/>
  <c r="Y32" i="115"/>
  <c r="Z13" i="115"/>
  <c r="R33" i="115"/>
  <c r="W33" i="115"/>
  <c r="O33" i="115"/>
  <c r="AB37" i="115"/>
  <c r="T34" i="115"/>
  <c r="U15" i="115"/>
  <c r="BA34" i="52"/>
  <c r="R32" i="115"/>
  <c r="K13" i="115"/>
  <c r="T32" i="115"/>
  <c r="U13" i="115"/>
  <c r="U36" i="115" s="1"/>
  <c r="L59" i="115"/>
  <c r="L22" i="115"/>
  <c r="J3" i="115"/>
  <c r="M3" i="115"/>
  <c r="M22" i="115" s="1"/>
  <c r="L40" i="115"/>
  <c r="R35" i="115"/>
  <c r="X59" i="115"/>
  <c r="X22" i="115"/>
  <c r="Y3" i="115"/>
  <c r="X40" i="115"/>
  <c r="T70" i="115"/>
  <c r="U70" i="115" s="1"/>
  <c r="AA41" i="115"/>
  <c r="AB4" i="115"/>
  <c r="AB23" i="115" s="1"/>
  <c r="AA23" i="115"/>
  <c r="AA60" i="115"/>
  <c r="AB60" i="115" s="1"/>
  <c r="BD33" i="52"/>
  <c r="AB3" i="107"/>
  <c r="AB50" i="115"/>
  <c r="Y35" i="115"/>
  <c r="Z16" i="115"/>
  <c r="Z35" i="115" s="1"/>
  <c r="O69" i="115"/>
  <c r="P69" i="115" s="1"/>
  <c r="R34" i="115"/>
  <c r="Z34" i="115"/>
  <c r="W36" i="115"/>
  <c r="R70" i="115"/>
  <c r="O70" i="115"/>
  <c r="P70" i="115" s="1"/>
  <c r="T33" i="115"/>
  <c r="U14" i="115"/>
  <c r="U33" i="115" s="1"/>
  <c r="AB69" i="115"/>
  <c r="Z37" i="115"/>
  <c r="O36" i="115"/>
  <c r="AB34" i="115"/>
  <c r="N60" i="115"/>
  <c r="O60" i="115" s="1"/>
  <c r="P60" i="115" s="1"/>
  <c r="N23" i="115"/>
  <c r="O4" i="115"/>
  <c r="N41" i="115"/>
  <c r="O41" i="115" s="1"/>
  <c r="P41" i="115" s="1"/>
  <c r="AD32" i="115"/>
  <c r="AE13" i="115"/>
  <c r="AE33" i="115" s="1"/>
  <c r="W32" i="115"/>
  <c r="T3" i="115"/>
  <c r="R55" i="115"/>
  <c r="AB33" i="115"/>
  <c r="AB32" i="115"/>
  <c r="Y37" i="115"/>
  <c r="W37" i="115"/>
  <c r="Z36" i="115"/>
  <c r="S60" i="115"/>
  <c r="T60" i="115" s="1"/>
  <c r="U60" i="115" s="1"/>
  <c r="S23" i="115"/>
  <c r="T4" i="115"/>
  <c r="S41" i="115"/>
  <c r="T41" i="115" s="1"/>
  <c r="U41" i="115" s="1"/>
  <c r="AB72" i="115"/>
  <c r="T50" i="115"/>
  <c r="U50" i="115" s="1"/>
  <c r="S22" i="115"/>
  <c r="R37" i="115"/>
  <c r="W51" i="115"/>
  <c r="T51" i="115"/>
  <c r="U51" i="115" s="1"/>
  <c r="AE36" i="115"/>
  <c r="AF17" i="115"/>
  <c r="AH23" i="115"/>
  <c r="M55" i="115"/>
  <c r="J55" i="115"/>
  <c r="K55" i="115" s="1"/>
  <c r="Y36" i="115"/>
  <c r="U39" i="108"/>
  <c r="AF35" i="113"/>
  <c r="Z22" i="113"/>
  <c r="Z23" i="113"/>
  <c r="U22" i="113"/>
  <c r="U23" i="113"/>
  <c r="P22" i="113"/>
  <c r="P23" i="113"/>
  <c r="AF36" i="113"/>
  <c r="AE22" i="113"/>
  <c r="AF3" i="113"/>
  <c r="AF32" i="113"/>
  <c r="AG13" i="113"/>
  <c r="AF34" i="113"/>
  <c r="AG15" i="113"/>
  <c r="AF37" i="113"/>
  <c r="AG18" i="113"/>
  <c r="AF33" i="113"/>
  <c r="AG14" i="113"/>
  <c r="AG4" i="113"/>
  <c r="AM17" i="113"/>
  <c r="BS22" i="108"/>
  <c r="CV22" i="108"/>
  <c r="AI15" i="113"/>
  <c r="AM52" i="113"/>
  <c r="AI52" i="113" s="1"/>
  <c r="AJ52" i="113" s="1"/>
  <c r="AK52" i="113" s="1"/>
  <c r="AL52" i="113" s="1"/>
  <c r="AM7" i="109"/>
  <c r="AM9" i="109"/>
  <c r="AM13" i="113"/>
  <c r="AM34" i="113" s="1"/>
  <c r="CV17" i="108"/>
  <c r="BE18" i="108"/>
  <c r="BS17" i="108"/>
  <c r="AM16" i="113"/>
  <c r="BS21" i="108"/>
  <c r="CV21" i="108"/>
  <c r="AM71" i="113"/>
  <c r="AI71" i="113" s="1"/>
  <c r="AJ71" i="113" s="1"/>
  <c r="AK71" i="113" s="1"/>
  <c r="AL71" i="113" s="1"/>
  <c r="R30" i="118"/>
  <c r="Q51" i="118"/>
  <c r="Q5" i="118"/>
  <c r="AM8" i="109"/>
  <c r="AM18" i="113"/>
  <c r="BS24" i="108"/>
  <c r="CV24" i="108"/>
  <c r="BS25" i="108"/>
  <c r="AM56" i="113" s="1"/>
  <c r="AI56" i="113" s="1"/>
  <c r="AJ56" i="113" s="1"/>
  <c r="AK56" i="113" s="1"/>
  <c r="AL56" i="113" s="1"/>
  <c r="AM3" i="113"/>
  <c r="AM3" i="109"/>
  <c r="BE3" i="108"/>
  <c r="BF3" i="108" s="1"/>
  <c r="BS4" i="108"/>
  <c r="CV4" i="108"/>
  <c r="AQ53" i="108"/>
  <c r="AM17" i="109"/>
  <c r="AI17" i="109" s="1"/>
  <c r="AJ17" i="109" s="1"/>
  <c r="AK17" i="109" s="1"/>
  <c r="AL17" i="109" s="1"/>
  <c r="CV23" i="108"/>
  <c r="BS23" i="108"/>
  <c r="AQ3" i="108"/>
  <c r="AQ34" i="108" s="1"/>
  <c r="AQ18" i="108"/>
  <c r="AQ47" i="108" s="1"/>
  <c r="AM59" i="113"/>
  <c r="AI59" i="113" s="1"/>
  <c r="AJ59" i="113" s="1"/>
  <c r="AK59" i="113" s="1"/>
  <c r="AL59" i="113" s="1"/>
  <c r="CV6" i="108"/>
  <c r="DL27" i="108"/>
  <c r="AQ54" i="108"/>
  <c r="AI14" i="113"/>
  <c r="AM51" i="113"/>
  <c r="AI51" i="113" s="1"/>
  <c r="AJ51" i="113" s="1"/>
  <c r="AK51" i="113" s="1"/>
  <c r="AL51" i="113" s="1"/>
  <c r="T4" i="108"/>
  <c r="L4" i="113"/>
  <c r="L4" i="109"/>
  <c r="CM5" i="108"/>
  <c r="L23" i="109"/>
  <c r="J6" i="109"/>
  <c r="K6" i="109" s="1"/>
  <c r="M6" i="109"/>
  <c r="M5" i="109"/>
  <c r="L22" i="109"/>
  <c r="J5" i="109"/>
  <c r="K5" i="109" s="1"/>
  <c r="T17" i="108"/>
  <c r="BJ5" i="108"/>
  <c r="D64" i="113"/>
  <c r="C2" i="108"/>
  <c r="C41" i="108" s="1"/>
  <c r="AC64" i="113"/>
  <c r="AG17" i="108"/>
  <c r="AM9" i="113"/>
  <c r="AG12" i="108"/>
  <c r="DB11" i="108"/>
  <c r="D61" i="115"/>
  <c r="AU12" i="108"/>
  <c r="I8" i="113" s="1"/>
  <c r="E8" i="113" s="1"/>
  <c r="X6" i="113"/>
  <c r="DB15" i="52"/>
  <c r="S8" i="113"/>
  <c r="AU16" i="52"/>
  <c r="I11" i="115" s="1"/>
  <c r="CV13" i="108"/>
  <c r="S6" i="113"/>
  <c r="AM10" i="113"/>
  <c r="AM66" i="113" s="1"/>
  <c r="AU11" i="52"/>
  <c r="AA371" i="116"/>
  <c r="AA407" i="116"/>
  <c r="AA299" i="116"/>
  <c r="AA154" i="116"/>
  <c r="AA335" i="116"/>
  <c r="AA443" i="116"/>
  <c r="AA480" i="116"/>
  <c r="A482" i="116"/>
  <c r="A373" i="116"/>
  <c r="AM6" i="113"/>
  <c r="D42" i="113"/>
  <c r="DB15" i="108"/>
  <c r="AG10" i="108"/>
  <c r="DB14" i="108"/>
  <c r="D16" i="107"/>
  <c r="D11" i="115"/>
  <c r="D67" i="115" s="1"/>
  <c r="A445" i="116"/>
  <c r="X8" i="113"/>
  <c r="AA10" i="107"/>
  <c r="AA5" i="115"/>
  <c r="AA61" i="115" s="1"/>
  <c r="N11" i="113"/>
  <c r="D62" i="113"/>
  <c r="D15" i="107"/>
  <c r="D10" i="115"/>
  <c r="A301" i="116"/>
  <c r="A302" i="116" s="1"/>
  <c r="AA7" i="115"/>
  <c r="AA15" i="107"/>
  <c r="AA10" i="115"/>
  <c r="AU16" i="108"/>
  <c r="I11" i="113" s="1"/>
  <c r="E11" i="113" s="1"/>
  <c r="AU10" i="108"/>
  <c r="I6" i="113" s="1"/>
  <c r="E6" i="113" s="1"/>
  <c r="X11" i="113"/>
  <c r="AG15" i="108"/>
  <c r="D68" i="113"/>
  <c r="D14" i="107"/>
  <c r="D9" i="115"/>
  <c r="D66" i="113"/>
  <c r="L10" i="113"/>
  <c r="DB16" i="108"/>
  <c r="L12" i="113"/>
  <c r="D65" i="113"/>
  <c r="AA16" i="107"/>
  <c r="AA11" i="115"/>
  <c r="L9" i="113"/>
  <c r="N9" i="113"/>
  <c r="AX11" i="52"/>
  <c r="DB9" i="108"/>
  <c r="AC10" i="113"/>
  <c r="AU15" i="108"/>
  <c r="I10" i="113" s="1"/>
  <c r="CK10" i="108"/>
  <c r="D11" i="107"/>
  <c r="D6" i="115"/>
  <c r="AU11" i="108"/>
  <c r="AM8" i="113"/>
  <c r="D61" i="113"/>
  <c r="V18" i="107"/>
  <c r="V12" i="115"/>
  <c r="AJ11" i="52"/>
  <c r="AA13" i="107"/>
  <c r="AA8" i="115"/>
  <c r="AA64" i="115" s="1"/>
  <c r="N8" i="113"/>
  <c r="D13" i="107"/>
  <c r="D8" i="115"/>
  <c r="AC9" i="113"/>
  <c r="N10" i="113"/>
  <c r="A409" i="116"/>
  <c r="AA14" i="107"/>
  <c r="AA9" i="115"/>
  <c r="AU17" i="108"/>
  <c r="I12" i="113" s="1"/>
  <c r="E12" i="113" s="1"/>
  <c r="D18" i="107"/>
  <c r="D12" i="115"/>
  <c r="AC6" i="113"/>
  <c r="A337" i="116"/>
  <c r="L8" i="113"/>
  <c r="CV10" i="108"/>
  <c r="AA11" i="107"/>
  <c r="AA6" i="115"/>
  <c r="AA18" i="107"/>
  <c r="AA12" i="115"/>
  <c r="AU14" i="108"/>
  <c r="I9" i="113" s="1"/>
  <c r="E9" i="113" s="1"/>
  <c r="D67" i="113"/>
  <c r="AM12" i="113"/>
  <c r="D73" i="113"/>
  <c r="E73" i="113" s="1"/>
  <c r="F73" i="113" s="1"/>
  <c r="G73" i="113" s="1"/>
  <c r="H73" i="113" s="1"/>
  <c r="D54" i="113"/>
  <c r="D71" i="113"/>
  <c r="E71" i="113" s="1"/>
  <c r="F71" i="113" s="1"/>
  <c r="G71" i="113" s="1"/>
  <c r="H71" i="113" s="1"/>
  <c r="D52" i="113"/>
  <c r="E52" i="113" s="1"/>
  <c r="F52" i="113" s="1"/>
  <c r="G52" i="113" s="1"/>
  <c r="H52" i="113" s="1"/>
  <c r="D70" i="113"/>
  <c r="E70" i="113" s="1"/>
  <c r="F70" i="113" s="1"/>
  <c r="G70" i="113" s="1"/>
  <c r="H70" i="113" s="1"/>
  <c r="D51" i="113"/>
  <c r="DA24" i="108"/>
  <c r="AT20" i="52"/>
  <c r="AF25" i="52"/>
  <c r="AT19" i="108"/>
  <c r="D13" i="113" s="1"/>
  <c r="AF24" i="108"/>
  <c r="DA21" i="108"/>
  <c r="AT27" i="52"/>
  <c r="AT4" i="52"/>
  <c r="AT3" i="52" s="1"/>
  <c r="DA18" i="52"/>
  <c r="DA23" i="108"/>
  <c r="AF26" i="52"/>
  <c r="DA22" i="52"/>
  <c r="AF23" i="52"/>
  <c r="AF23" i="108"/>
  <c r="AT26" i="52"/>
  <c r="AT21" i="52"/>
  <c r="BH19" i="52" s="1"/>
  <c r="DA19" i="52"/>
  <c r="DA25" i="52"/>
  <c r="DA24" i="52"/>
  <c r="AT4" i="108"/>
  <c r="D3" i="113" s="1"/>
  <c r="AF20" i="108"/>
  <c r="DA18" i="108"/>
  <c r="CK18" i="108" s="1"/>
  <c r="AT25" i="108"/>
  <c r="AF25" i="108"/>
  <c r="DA17" i="108"/>
  <c r="AT24" i="52"/>
  <c r="DA22" i="108"/>
  <c r="CK25" i="108" s="1"/>
  <c r="AT23" i="108"/>
  <c r="D16" i="113" s="1"/>
  <c r="BH18" i="108"/>
  <c r="DA19" i="108"/>
  <c r="AF27" i="52"/>
  <c r="DA25" i="108"/>
  <c r="AF4" i="52"/>
  <c r="AF3" i="52" s="1"/>
  <c r="DA6" i="52"/>
  <c r="CK6" i="52" s="1"/>
  <c r="AF20" i="52"/>
  <c r="AF26" i="108"/>
  <c r="DA23" i="52"/>
  <c r="DA17" i="52"/>
  <c r="AF19" i="108"/>
  <c r="E15" i="113"/>
  <c r="F15" i="113" s="1"/>
  <c r="G15" i="113" s="1"/>
  <c r="H15" i="113" s="1"/>
  <c r="D3" i="109"/>
  <c r="AF18" i="52"/>
  <c r="AF3" i="108"/>
  <c r="CK22" i="108"/>
  <c r="BH22" i="108"/>
  <c r="CK24" i="108"/>
  <c r="BH24" i="108"/>
  <c r="R46" i="108"/>
  <c r="R2" i="108"/>
  <c r="R25" i="108" s="1"/>
  <c r="R45" i="108"/>
  <c r="R48" i="108"/>
  <c r="R47" i="108"/>
  <c r="R44" i="108"/>
  <c r="BH4" i="52"/>
  <c r="D17" i="109"/>
  <c r="E17" i="109" s="1"/>
  <c r="F17" i="109" s="1"/>
  <c r="G17" i="109" s="1"/>
  <c r="H17" i="109" s="1"/>
  <c r="CK23" i="108"/>
  <c r="BH19" i="108"/>
  <c r="CK19" i="108"/>
  <c r="BH23" i="52"/>
  <c r="D17" i="107"/>
  <c r="E17" i="107" s="1"/>
  <c r="F17" i="107" s="1"/>
  <c r="G17" i="107" s="1"/>
  <c r="CK23" i="52"/>
  <c r="BH25" i="108"/>
  <c r="AG25" i="109"/>
  <c r="AG24" i="109"/>
  <c r="AG26" i="109"/>
  <c r="BH6" i="108"/>
  <c r="AG16" i="108"/>
  <c r="U37" i="108"/>
  <c r="U41" i="108"/>
  <c r="U35" i="108"/>
  <c r="U36" i="108"/>
  <c r="U34" i="108"/>
  <c r="U40" i="108"/>
  <c r="U2" i="108"/>
  <c r="U25" i="108" s="1"/>
  <c r="AC8" i="108"/>
  <c r="AC7" i="108" s="1"/>
  <c r="AC38" i="108" s="1"/>
  <c r="M9" i="108"/>
  <c r="P9" i="108" s="1"/>
  <c r="S10" i="113"/>
  <c r="N13" i="109"/>
  <c r="S38" i="108"/>
  <c r="V8" i="108"/>
  <c r="F2" i="108"/>
  <c r="N6" i="113"/>
  <c r="N62" i="113" s="1"/>
  <c r="D13" i="109"/>
  <c r="CK11" i="108"/>
  <c r="S11" i="113"/>
  <c r="S12" i="113"/>
  <c r="AM18" i="109"/>
  <c r="AC5" i="113"/>
  <c r="AC12" i="113"/>
  <c r="CV16" i="108"/>
  <c r="W8" i="108"/>
  <c r="AM11" i="113"/>
  <c r="D14" i="109"/>
  <c r="CK13" i="108"/>
  <c r="L6" i="113"/>
  <c r="AB8" i="108"/>
  <c r="L2" i="108"/>
  <c r="AC13" i="109"/>
  <c r="AM15" i="109"/>
  <c r="N5" i="113"/>
  <c r="N12" i="113"/>
  <c r="AM5" i="113"/>
  <c r="Z8" i="108"/>
  <c r="J2" i="108"/>
  <c r="BV8" i="52"/>
  <c r="D42" i="115" s="1"/>
  <c r="AA8" i="108"/>
  <c r="K2" i="108"/>
  <c r="D11" i="109"/>
  <c r="CK9" i="108"/>
  <c r="L11" i="113"/>
  <c r="S5" i="113"/>
  <c r="D10" i="107"/>
  <c r="X5" i="113"/>
  <c r="X12" i="113"/>
  <c r="AU9" i="108"/>
  <c r="I5" i="113" s="1"/>
  <c r="E5" i="113" s="1"/>
  <c r="AG9" i="108"/>
  <c r="DB8" i="108"/>
  <c r="J13" i="111"/>
  <c r="Q13" i="111" s="1"/>
  <c r="R13" i="111" s="1"/>
  <c r="AF13" i="108"/>
  <c r="AF8" i="108" s="1"/>
  <c r="BV9" i="52"/>
  <c r="BV16" i="108"/>
  <c r="D49" i="113" s="1"/>
  <c r="BV16" i="52"/>
  <c r="BV12" i="52"/>
  <c r="BV14" i="52"/>
  <c r="BV9" i="108"/>
  <c r="BV14" i="108"/>
  <c r="AT13" i="52"/>
  <c r="BV13" i="108"/>
  <c r="BV10" i="108"/>
  <c r="AT13" i="108"/>
  <c r="AT8" i="108" s="1"/>
  <c r="BV15" i="52"/>
  <c r="BV13" i="52"/>
  <c r="AF13" i="52"/>
  <c r="AF8" i="52" s="1"/>
  <c r="BV10" i="52"/>
  <c r="BV11" i="108"/>
  <c r="BH11" i="108" s="1"/>
  <c r="BV12" i="108"/>
  <c r="BV15" i="108"/>
  <c r="D48" i="113" s="1"/>
  <c r="BV11" i="52"/>
  <c r="AG14" i="108"/>
  <c r="D16" i="109"/>
  <c r="CK15" i="108"/>
  <c r="Y8" i="108"/>
  <c r="I2" i="108"/>
  <c r="DB10" i="108"/>
  <c r="CK8" i="108"/>
  <c r="BH8" i="108"/>
  <c r="D10" i="109"/>
  <c r="S36" i="108"/>
  <c r="S35" i="108"/>
  <c r="S41" i="108"/>
  <c r="S37" i="108"/>
  <c r="S34" i="108"/>
  <c r="S2" i="108"/>
  <c r="S25" i="108" s="1"/>
  <c r="S39" i="108"/>
  <c r="D15" i="109"/>
  <c r="CK14" i="108"/>
  <c r="L5" i="113"/>
  <c r="AM14" i="109"/>
  <c r="S9" i="113"/>
  <c r="X8" i="108"/>
  <c r="H2" i="108"/>
  <c r="X9" i="113"/>
  <c r="DB13" i="108"/>
  <c r="CK16" i="108"/>
  <c r="D18" i="109"/>
  <c r="AG11" i="108"/>
  <c r="E41" i="108"/>
  <c r="E39" i="108"/>
  <c r="E47" i="108"/>
  <c r="T8" i="108"/>
  <c r="AC11" i="113"/>
  <c r="X10" i="113"/>
  <c r="H23" i="109"/>
  <c r="CV7" i="108"/>
  <c r="H17" i="107"/>
  <c r="H4" i="107"/>
  <c r="H5" i="107"/>
  <c r="F6" i="107"/>
  <c r="E23" i="107"/>
  <c r="E22" i="107"/>
  <c r="R22" i="107"/>
  <c r="O23" i="107"/>
  <c r="W23" i="107"/>
  <c r="AI23" i="107"/>
  <c r="Z22" i="107"/>
  <c r="Z23" i="107"/>
  <c r="O22" i="107"/>
  <c r="W22" i="107"/>
  <c r="AD22" i="107"/>
  <c r="T26" i="107"/>
  <c r="R25" i="107"/>
  <c r="M22" i="107"/>
  <c r="AB26" i="107"/>
  <c r="Y3" i="107"/>
  <c r="Z3" i="107" s="1"/>
  <c r="W24" i="107"/>
  <c r="O26" i="107"/>
  <c r="O25" i="107"/>
  <c r="O24" i="107"/>
  <c r="T24" i="107"/>
  <c r="AD25" i="107"/>
  <c r="C2" i="52"/>
  <c r="C41" i="52" s="1"/>
  <c r="R26" i="107"/>
  <c r="T25" i="107"/>
  <c r="R24" i="107"/>
  <c r="AB25" i="107"/>
  <c r="AB24" i="107"/>
  <c r="AD26" i="107"/>
  <c r="T23" i="107"/>
  <c r="AD24" i="107"/>
  <c r="Y25" i="107"/>
  <c r="J23" i="107"/>
  <c r="AI22" i="107"/>
  <c r="W25" i="107"/>
  <c r="Y24" i="107"/>
  <c r="Y26" i="107"/>
  <c r="W26" i="107"/>
  <c r="AB4" i="107"/>
  <c r="AA21" i="107"/>
  <c r="AA20" i="107"/>
  <c r="R4" i="107"/>
  <c r="Q21" i="107"/>
  <c r="Q20" i="107"/>
  <c r="M4" i="107"/>
  <c r="L21" i="107"/>
  <c r="L20" i="107"/>
  <c r="J4" i="107"/>
  <c r="K4" i="107" s="1"/>
  <c r="O4" i="107"/>
  <c r="P4" i="107" s="1"/>
  <c r="AC21" i="107"/>
  <c r="AD4" i="107"/>
  <c r="AE4" i="107" s="1"/>
  <c r="AF4" i="107" s="1"/>
  <c r="AG4" i="107" s="1"/>
  <c r="M23" i="107"/>
  <c r="Y4" i="107"/>
  <c r="Z4" i="107" s="1"/>
  <c r="X20" i="107"/>
  <c r="X21" i="107"/>
  <c r="W4" i="107"/>
  <c r="V21" i="107"/>
  <c r="V20" i="107"/>
  <c r="O3" i="107"/>
  <c r="P3" i="107" s="1"/>
  <c r="M3" i="107"/>
  <c r="N20" i="107"/>
  <c r="T22" i="107"/>
  <c r="T4" i="107"/>
  <c r="U4" i="107" s="1"/>
  <c r="S21" i="107"/>
  <c r="S20" i="107"/>
  <c r="AC20" i="107"/>
  <c r="R23" i="107"/>
  <c r="AD23" i="107"/>
  <c r="I20" i="107"/>
  <c r="J3" i="107"/>
  <c r="K3" i="107" s="1"/>
  <c r="I21" i="107"/>
  <c r="J22" i="107"/>
  <c r="BA11" i="52"/>
  <c r="AU15" i="52"/>
  <c r="AG16" i="52"/>
  <c r="DG9" i="52"/>
  <c r="AA12" i="107"/>
  <c r="CS11" i="52"/>
  <c r="AM17" i="52"/>
  <c r="AU12" i="52"/>
  <c r="AG12" i="52"/>
  <c r="AU17" i="52"/>
  <c r="I12" i="115" s="1"/>
  <c r="DH16" i="52"/>
  <c r="AN13" i="52"/>
  <c r="AN8" i="52" s="1"/>
  <c r="DB11" i="52"/>
  <c r="AM11" i="52"/>
  <c r="AG14" i="52"/>
  <c r="DB13" i="52"/>
  <c r="DB12" i="52"/>
  <c r="AU10" i="52"/>
  <c r="I6" i="115" s="1"/>
  <c r="AU14" i="52"/>
  <c r="I9" i="115" s="1"/>
  <c r="AG11" i="52"/>
  <c r="DB16" i="52"/>
  <c r="DJ12" i="52"/>
  <c r="CS12" i="52"/>
  <c r="DJ10" i="52"/>
  <c r="F48" i="52"/>
  <c r="AM9" i="52"/>
  <c r="BA9" i="52"/>
  <c r="DH8" i="52"/>
  <c r="AM14" i="52"/>
  <c r="AM16" i="52"/>
  <c r="BA15" i="52"/>
  <c r="AM15" i="52"/>
  <c r="DH15" i="52"/>
  <c r="DH13" i="52"/>
  <c r="BA14" i="52"/>
  <c r="DH14" i="52"/>
  <c r="DH12" i="52"/>
  <c r="BA16" i="52"/>
  <c r="Y8" i="52"/>
  <c r="Y7" i="52" s="1"/>
  <c r="Y35" i="52" s="1"/>
  <c r="I9" i="52"/>
  <c r="I2" i="52" s="1"/>
  <c r="I39" i="52" s="1"/>
  <c r="AL10" i="52"/>
  <c r="AM10" i="52"/>
  <c r="CS16" i="52"/>
  <c r="AJ9" i="52"/>
  <c r="AX10" i="52"/>
  <c r="AJ14" i="52"/>
  <c r="DE8" i="52"/>
  <c r="AX9" i="52"/>
  <c r="AJ15" i="52"/>
  <c r="AJ17" i="52"/>
  <c r="DE12" i="52"/>
  <c r="DE13" i="52"/>
  <c r="AJ10" i="52"/>
  <c r="AX17" i="52"/>
  <c r="AX12" i="52"/>
  <c r="AX15" i="52"/>
  <c r="AX14" i="52"/>
  <c r="DE9" i="52"/>
  <c r="AJ12" i="52"/>
  <c r="DE16" i="52"/>
  <c r="DE11" i="52"/>
  <c r="DE14" i="52"/>
  <c r="DE15" i="52"/>
  <c r="AX16" i="52"/>
  <c r="AJ16" i="52"/>
  <c r="BA12" i="52"/>
  <c r="DH11" i="52"/>
  <c r="AM12" i="52"/>
  <c r="X8" i="52"/>
  <c r="X7" i="52" s="1"/>
  <c r="X36" i="52" s="1"/>
  <c r="H9" i="52"/>
  <c r="H2" i="52" s="1"/>
  <c r="H41" i="52" s="1"/>
  <c r="CS15" i="52"/>
  <c r="DH10" i="52"/>
  <c r="BA17" i="52"/>
  <c r="AZ10" i="52"/>
  <c r="Z8" i="52"/>
  <c r="Z7" i="52" s="1"/>
  <c r="Z35" i="52" s="1"/>
  <c r="J9" i="52"/>
  <c r="J2" i="52" s="1"/>
  <c r="J39" i="52" s="1"/>
  <c r="AO15" i="52"/>
  <c r="CS13" i="52"/>
  <c r="L48" i="52"/>
  <c r="G20" i="106"/>
  <c r="AU9" i="52"/>
  <c r="I5" i="115" s="1"/>
  <c r="E5" i="115" s="1"/>
  <c r="DB8" i="52"/>
  <c r="AG9" i="52"/>
  <c r="AG10" i="52"/>
  <c r="AG15" i="52"/>
  <c r="DB9" i="52"/>
  <c r="DB10" i="52"/>
  <c r="AG17" i="52"/>
  <c r="J48" i="52"/>
  <c r="AB8" i="52"/>
  <c r="AB7" i="52" s="1"/>
  <c r="AB35" i="52" s="1"/>
  <c r="L9" i="52"/>
  <c r="L2" i="52" s="1"/>
  <c r="L47" i="52" s="1"/>
  <c r="CS10" i="52"/>
  <c r="CS9" i="52"/>
  <c r="CD16" i="52"/>
  <c r="CD11" i="52"/>
  <c r="BP11" i="52" s="1"/>
  <c r="CD10" i="52"/>
  <c r="CD14" i="52"/>
  <c r="CD13" i="52"/>
  <c r="CD9" i="52"/>
  <c r="CD15" i="52"/>
  <c r="BC10" i="52"/>
  <c r="CS14" i="52"/>
  <c r="CS8" i="52"/>
  <c r="BB8" i="52"/>
  <c r="BC38" i="52" s="1"/>
  <c r="DB14" i="52"/>
  <c r="DH9" i="52"/>
  <c r="V8" i="52"/>
  <c r="V7" i="52" s="1"/>
  <c r="V35" i="52" s="1"/>
  <c r="F9" i="52"/>
  <c r="F2" i="52" s="1"/>
  <c r="F41" i="52" s="1"/>
  <c r="DJ14" i="52"/>
  <c r="DG8" i="52"/>
  <c r="AL9" i="52"/>
  <c r="AZ9" i="52"/>
  <c r="AZ14" i="52"/>
  <c r="DG14" i="52"/>
  <c r="AZ16" i="52"/>
  <c r="DG10" i="52"/>
  <c r="AL14" i="52"/>
  <c r="DG15" i="52"/>
  <c r="AZ15" i="52"/>
  <c r="AL11" i="52"/>
  <c r="AZ12" i="52"/>
  <c r="AL15" i="52"/>
  <c r="AL12" i="52"/>
  <c r="DG13" i="52"/>
  <c r="DG11" i="52"/>
  <c r="AL16" i="52"/>
  <c r="AZ11" i="52"/>
  <c r="AO10" i="52"/>
  <c r="AL17" i="52"/>
  <c r="DG12" i="52"/>
  <c r="DI27" i="52"/>
  <c r="AA8" i="52"/>
  <c r="AA7" i="52" s="1"/>
  <c r="AA35" i="52" s="1"/>
  <c r="K9" i="52"/>
  <c r="K2" i="52" s="1"/>
  <c r="K47" i="52" s="1"/>
  <c r="CD12" i="52"/>
  <c r="BP12" i="52" s="1"/>
  <c r="DJ8" i="52"/>
  <c r="AO9" i="52"/>
  <c r="BC9" i="52"/>
  <c r="AO11" i="52"/>
  <c r="DJ11" i="52"/>
  <c r="BC11" i="52"/>
  <c r="AO17" i="52"/>
  <c r="BC14" i="52"/>
  <c r="AO16" i="52"/>
  <c r="BC17" i="52"/>
  <c r="BC16" i="52"/>
  <c r="DJ13" i="52"/>
  <c r="AO14" i="52"/>
  <c r="BC12" i="52"/>
  <c r="BC15" i="52"/>
  <c r="AO12" i="52"/>
  <c r="I48" i="52"/>
  <c r="DJ9" i="52"/>
  <c r="DG16" i="52"/>
  <c r="CD8" i="52"/>
  <c r="BP8" i="52" s="1"/>
  <c r="BA10" i="52"/>
  <c r="DJ16" i="52"/>
  <c r="AA30" i="52"/>
  <c r="V30" i="52"/>
  <c r="Y30" i="52"/>
  <c r="X30" i="52"/>
  <c r="Z30" i="52"/>
  <c r="AB30" i="52"/>
  <c r="R41" i="106"/>
  <c r="H30" i="106"/>
  <c r="J30" i="106" s="1"/>
  <c r="Q30" i="106" s="1"/>
  <c r="H13" i="106"/>
  <c r="Q8" i="113"/>
  <c r="CC11" i="52"/>
  <c r="AA408" i="116" a="1"/>
  <c r="AA481" i="116" a="1"/>
  <c r="AA372" i="116" a="1"/>
  <c r="AA300" i="116" a="1"/>
  <c r="AA336" i="116" a="1"/>
  <c r="AA444" i="116" a="1"/>
  <c r="T23" i="115" l="1"/>
  <c r="U4" i="115"/>
  <c r="P36" i="115"/>
  <c r="U37" i="115"/>
  <c r="AE3" i="115"/>
  <c r="AD22" i="115"/>
  <c r="U34" i="115"/>
  <c r="Y60" i="115"/>
  <c r="Z60" i="115" s="1"/>
  <c r="W40" i="115"/>
  <c r="T40" i="115"/>
  <c r="U40" i="115" s="1"/>
  <c r="R22" i="115"/>
  <c r="AG17" i="115"/>
  <c r="AE34" i="115"/>
  <c r="AF15" i="115"/>
  <c r="T59" i="115"/>
  <c r="U59" i="115" s="1"/>
  <c r="AB22" i="115"/>
  <c r="AB41" i="115"/>
  <c r="J59" i="115"/>
  <c r="K59" i="115" s="1"/>
  <c r="M59" i="115"/>
  <c r="AE35" i="115"/>
  <c r="AF16" i="115"/>
  <c r="Z33" i="115"/>
  <c r="AB59" i="115"/>
  <c r="U32" i="115"/>
  <c r="AB40" i="115"/>
  <c r="AE37" i="115"/>
  <c r="AF18" i="115"/>
  <c r="AF36" i="115" s="1"/>
  <c r="J41" i="115"/>
  <c r="K41" i="115" s="1"/>
  <c r="M41" i="115"/>
  <c r="Y40" i="115"/>
  <c r="Z40" i="115" s="1"/>
  <c r="Z32" i="115"/>
  <c r="O40" i="115"/>
  <c r="P40" i="115" s="1"/>
  <c r="R60" i="115"/>
  <c r="W41" i="115"/>
  <c r="M23" i="115"/>
  <c r="P35" i="115"/>
  <c r="O23" i="115"/>
  <c r="P4" i="115"/>
  <c r="J22" i="115"/>
  <c r="K3" i="115"/>
  <c r="K22" i="115" s="1"/>
  <c r="T22" i="115"/>
  <c r="U3" i="115"/>
  <c r="U22" i="115" s="1"/>
  <c r="Y22" i="115"/>
  <c r="Z3" i="115"/>
  <c r="O22" i="115"/>
  <c r="P3" i="115"/>
  <c r="P22" i="115" s="1"/>
  <c r="W23" i="115"/>
  <c r="AG14" i="115"/>
  <c r="J23" i="115"/>
  <c r="K4" i="115"/>
  <c r="J40" i="115"/>
  <c r="K40" i="115" s="1"/>
  <c r="M40" i="115"/>
  <c r="P33" i="115"/>
  <c r="R41" i="115"/>
  <c r="P32" i="115"/>
  <c r="AE4" i="115"/>
  <c r="AD23" i="115"/>
  <c r="AE32" i="115"/>
  <c r="AF13" i="115"/>
  <c r="U35" i="115"/>
  <c r="Y59" i="115"/>
  <c r="Z59" i="115" s="1"/>
  <c r="Y23" i="115"/>
  <c r="Z4" i="115"/>
  <c r="Z23" i="115" s="1"/>
  <c r="O59" i="115"/>
  <c r="P59" i="115" s="1"/>
  <c r="J60" i="115"/>
  <c r="K60" i="115" s="1"/>
  <c r="M60" i="115"/>
  <c r="I18" i="109"/>
  <c r="CL14" i="108"/>
  <c r="CT11" i="108"/>
  <c r="N2" i="108"/>
  <c r="D2" i="108"/>
  <c r="AG37" i="113"/>
  <c r="L41" i="113"/>
  <c r="J41" i="113" s="1"/>
  <c r="K41" i="113" s="1"/>
  <c r="AG33" i="113"/>
  <c r="AG34" i="113"/>
  <c r="AG32" i="113"/>
  <c r="AG35" i="113"/>
  <c r="AG36" i="113"/>
  <c r="AF22" i="113"/>
  <c r="AG3" i="113"/>
  <c r="AG22" i="113" s="1"/>
  <c r="AF23" i="113"/>
  <c r="AM33" i="113"/>
  <c r="AM55" i="113"/>
  <c r="AI55" i="113" s="1"/>
  <c r="AJ55" i="113" s="1"/>
  <c r="AK55" i="113" s="1"/>
  <c r="AL55" i="113" s="1"/>
  <c r="AI18" i="113"/>
  <c r="AM37" i="113"/>
  <c r="AM74" i="113"/>
  <c r="AI74" i="113" s="1"/>
  <c r="AJ74" i="113" s="1"/>
  <c r="AK74" i="113" s="1"/>
  <c r="AL74" i="113" s="1"/>
  <c r="BE53" i="108"/>
  <c r="BE50" i="108"/>
  <c r="BE48" i="108"/>
  <c r="BE49" i="108"/>
  <c r="AJ14" i="113"/>
  <c r="AQ52" i="108"/>
  <c r="AI8" i="109"/>
  <c r="AJ8" i="109" s="1"/>
  <c r="AK8" i="109" s="1"/>
  <c r="AL8" i="109" s="1"/>
  <c r="AM25" i="109"/>
  <c r="AI25" i="109" s="1"/>
  <c r="AJ25" i="109" s="1"/>
  <c r="AK25" i="109" s="1"/>
  <c r="AL25" i="109" s="1"/>
  <c r="AI3" i="109"/>
  <c r="AJ3" i="109" s="1"/>
  <c r="AK3" i="109" s="1"/>
  <c r="AL3" i="109" s="1"/>
  <c r="AM20" i="109"/>
  <c r="AI20" i="109" s="1"/>
  <c r="AJ20" i="109" s="1"/>
  <c r="AK20" i="109" s="1"/>
  <c r="AL20" i="109" s="1"/>
  <c r="AM21" i="109"/>
  <c r="AI21" i="109" s="1"/>
  <c r="AJ21" i="109" s="1"/>
  <c r="AK21" i="109" s="1"/>
  <c r="AL21" i="109" s="1"/>
  <c r="BE51" i="108"/>
  <c r="AJ15" i="113"/>
  <c r="AI9" i="109"/>
  <c r="AJ9" i="109" s="1"/>
  <c r="AK9" i="109" s="1"/>
  <c r="AL9" i="109" s="1"/>
  <c r="AM26" i="109"/>
  <c r="AI26" i="109" s="1"/>
  <c r="AJ26" i="109" s="1"/>
  <c r="AK26" i="109" s="1"/>
  <c r="AL26" i="109" s="1"/>
  <c r="AQ48" i="108"/>
  <c r="AQ50" i="108"/>
  <c r="AQ51" i="108"/>
  <c r="AQ49" i="108"/>
  <c r="AM22" i="113"/>
  <c r="AM23" i="113"/>
  <c r="AI3" i="113"/>
  <c r="AM40" i="113"/>
  <c r="AI40" i="113" s="1"/>
  <c r="AJ40" i="113" s="1"/>
  <c r="AK40" i="113" s="1"/>
  <c r="AL40" i="113" s="1"/>
  <c r="AM24" i="109"/>
  <c r="AI24" i="109" s="1"/>
  <c r="AJ24" i="109" s="1"/>
  <c r="AK24" i="109" s="1"/>
  <c r="AL24" i="109" s="1"/>
  <c r="AI7" i="109"/>
  <c r="AJ7" i="109" s="1"/>
  <c r="AK7" i="109" s="1"/>
  <c r="AL7" i="109" s="1"/>
  <c r="BE54" i="108"/>
  <c r="BE52" i="108"/>
  <c r="AM69" i="113"/>
  <c r="AI69" i="113" s="1"/>
  <c r="AJ69" i="113" s="1"/>
  <c r="AK69" i="113" s="1"/>
  <c r="AL69" i="113" s="1"/>
  <c r="AM32" i="113"/>
  <c r="AI13" i="113"/>
  <c r="AM50" i="113"/>
  <c r="AI50" i="113" s="1"/>
  <c r="AJ50" i="113" s="1"/>
  <c r="AK50" i="113" s="1"/>
  <c r="AL50" i="113" s="1"/>
  <c r="AQ33" i="108"/>
  <c r="AI16" i="113"/>
  <c r="AM35" i="113"/>
  <c r="AM53" i="113"/>
  <c r="AI53" i="113" s="1"/>
  <c r="AJ53" i="113" s="1"/>
  <c r="AK53" i="113" s="1"/>
  <c r="AL53" i="113" s="1"/>
  <c r="AM72" i="113"/>
  <c r="AI72" i="113" s="1"/>
  <c r="AJ72" i="113" s="1"/>
  <c r="AK72" i="113" s="1"/>
  <c r="AL72" i="113" s="1"/>
  <c r="BE47" i="108"/>
  <c r="AM73" i="113"/>
  <c r="AI73" i="113" s="1"/>
  <c r="AJ73" i="113" s="1"/>
  <c r="AK73" i="113" s="1"/>
  <c r="AL73" i="113" s="1"/>
  <c r="AI17" i="113"/>
  <c r="AM36" i="113"/>
  <c r="AM54" i="113"/>
  <c r="AI54" i="113" s="1"/>
  <c r="AJ54" i="113" s="1"/>
  <c r="AK54" i="113" s="1"/>
  <c r="AL54" i="113" s="1"/>
  <c r="J22" i="109"/>
  <c r="K22" i="109" s="1"/>
  <c r="M22" i="109"/>
  <c r="BJ20" i="108"/>
  <c r="CM20" i="108"/>
  <c r="T3" i="108"/>
  <c r="T31" i="108" s="1"/>
  <c r="M4" i="109"/>
  <c r="J4" i="109"/>
  <c r="K4" i="109" s="1"/>
  <c r="M23" i="109"/>
  <c r="J23" i="109"/>
  <c r="K23" i="109" s="1"/>
  <c r="L60" i="113"/>
  <c r="J4" i="113"/>
  <c r="M4" i="113"/>
  <c r="BJ23" i="108"/>
  <c r="T16" i="108"/>
  <c r="T43" i="108" s="1"/>
  <c r="L13" i="109"/>
  <c r="M13" i="109" s="1"/>
  <c r="C47" i="108"/>
  <c r="BH16" i="108"/>
  <c r="I64" i="113"/>
  <c r="E64" i="113" s="1"/>
  <c r="F64" i="113" s="1"/>
  <c r="G64" i="113" s="1"/>
  <c r="H64" i="113" s="1"/>
  <c r="I16" i="107"/>
  <c r="E16" i="107" s="1"/>
  <c r="F16" i="107" s="1"/>
  <c r="C39" i="108"/>
  <c r="S62" i="113"/>
  <c r="CM11" i="108"/>
  <c r="CL11" i="108"/>
  <c r="I13" i="109"/>
  <c r="D45" i="115"/>
  <c r="AC62" i="113"/>
  <c r="CN11" i="108"/>
  <c r="CL16" i="108"/>
  <c r="S42" i="113"/>
  <c r="D46" i="115"/>
  <c r="D48" i="115"/>
  <c r="I67" i="113"/>
  <c r="E67" i="113" s="1"/>
  <c r="F67" i="113" s="1"/>
  <c r="G67" i="113" s="1"/>
  <c r="H67" i="113" s="1"/>
  <c r="CL15" i="52"/>
  <c r="AC37" i="108"/>
  <c r="X42" i="113"/>
  <c r="L15" i="109"/>
  <c r="X62" i="113"/>
  <c r="X66" i="113"/>
  <c r="CV14" i="108"/>
  <c r="J8" i="113"/>
  <c r="K8" i="113" s="1"/>
  <c r="I16" i="109"/>
  <c r="E16" i="109" s="1"/>
  <c r="S68" i="113"/>
  <c r="S64" i="113"/>
  <c r="S67" i="113"/>
  <c r="AC41" i="108"/>
  <c r="CT9" i="108"/>
  <c r="AC35" i="108"/>
  <c r="AC11" i="109"/>
  <c r="AF43" i="108"/>
  <c r="AF40" i="108"/>
  <c r="AF37" i="108"/>
  <c r="AF39" i="108"/>
  <c r="AF42" i="108"/>
  <c r="X2" i="52"/>
  <c r="X25" i="52" s="1"/>
  <c r="I15" i="109"/>
  <c r="E15" i="109" s="1"/>
  <c r="AC15" i="109"/>
  <c r="D49" i="115"/>
  <c r="D45" i="113"/>
  <c r="AM65" i="113"/>
  <c r="Q64" i="113"/>
  <c r="N16" i="109"/>
  <c r="I67" i="115"/>
  <c r="E67" i="115" s="1"/>
  <c r="F67" i="115" s="1"/>
  <c r="G67" i="115" s="1"/>
  <c r="H67" i="115" s="1"/>
  <c r="I68" i="115"/>
  <c r="BH12" i="52"/>
  <c r="N15" i="109"/>
  <c r="CN15" i="108"/>
  <c r="AC67" i="113"/>
  <c r="BH15" i="108"/>
  <c r="X16" i="109"/>
  <c r="AA372" i="116"/>
  <c r="AA444" i="116"/>
  <c r="AA300" i="116"/>
  <c r="AA336" i="116"/>
  <c r="AA408" i="116"/>
  <c r="AA481" i="116"/>
  <c r="R8" i="113"/>
  <c r="F6" i="113"/>
  <c r="AT45" i="108"/>
  <c r="AT39" i="108"/>
  <c r="AT43" i="108"/>
  <c r="AT38" i="108"/>
  <c r="X11" i="107"/>
  <c r="Y11" i="107" s="1"/>
  <c r="Z11" i="107" s="1"/>
  <c r="X6" i="115"/>
  <c r="Q13" i="107"/>
  <c r="Q8" i="115"/>
  <c r="Q64" i="115" s="1"/>
  <c r="Q18" i="107"/>
  <c r="Q12" i="115"/>
  <c r="CL10" i="108"/>
  <c r="CR15" i="108"/>
  <c r="X67" i="113"/>
  <c r="L67" i="113"/>
  <c r="M11" i="113"/>
  <c r="CN13" i="108"/>
  <c r="F12" i="113"/>
  <c r="D43" i="115"/>
  <c r="E6" i="115"/>
  <c r="V11" i="107"/>
  <c r="V6" i="115"/>
  <c r="J9" i="113"/>
  <c r="L68" i="113"/>
  <c r="M12" i="113"/>
  <c r="X18" i="107"/>
  <c r="W18" i="107" s="1"/>
  <c r="X12" i="115"/>
  <c r="X68" i="115" s="1"/>
  <c r="S65" i="113"/>
  <c r="D47" i="115"/>
  <c r="X68" i="113"/>
  <c r="DF27" i="108"/>
  <c r="I14" i="109"/>
  <c r="E14" i="109" s="1"/>
  <c r="AM62" i="113"/>
  <c r="CL9" i="108"/>
  <c r="S66" i="113"/>
  <c r="D62" i="115"/>
  <c r="AM7" i="113"/>
  <c r="AM30" i="113" s="1"/>
  <c r="V6" i="113"/>
  <c r="V8" i="113"/>
  <c r="X64" i="113"/>
  <c r="CQ16" i="52"/>
  <c r="V68" i="115"/>
  <c r="I65" i="115"/>
  <c r="AC61" i="113"/>
  <c r="F5" i="113"/>
  <c r="CT14" i="108"/>
  <c r="AC66" i="113"/>
  <c r="X15" i="107"/>
  <c r="Y15" i="107" s="1"/>
  <c r="Z15" i="107" s="1"/>
  <c r="X10" i="115"/>
  <c r="X66" i="115" s="1"/>
  <c r="I15" i="107"/>
  <c r="E15" i="107" s="1"/>
  <c r="F15" i="107" s="1"/>
  <c r="I10" i="115"/>
  <c r="E10" i="115" s="1"/>
  <c r="N14" i="109"/>
  <c r="CO10" i="52"/>
  <c r="AC15" i="107"/>
  <c r="AB15" i="107" s="1"/>
  <c r="AC10" i="115"/>
  <c r="AC66" i="115" s="1"/>
  <c r="AC10" i="107"/>
  <c r="AB10" i="107" s="1"/>
  <c r="AC5" i="115"/>
  <c r="AB5" i="115" s="1"/>
  <c r="V16" i="107"/>
  <c r="V11" i="115"/>
  <c r="V67" i="115" s="1"/>
  <c r="Q10" i="107"/>
  <c r="Q5" i="115"/>
  <c r="Q5" i="111"/>
  <c r="AF38" i="108"/>
  <c r="AM61" i="113"/>
  <c r="I11" i="109"/>
  <c r="E11" i="109" s="1"/>
  <c r="F11" i="109" s="1"/>
  <c r="AA68" i="115"/>
  <c r="AA31" i="115"/>
  <c r="D7" i="115"/>
  <c r="D31" i="115" s="1"/>
  <c r="M10" i="113"/>
  <c r="J11" i="113"/>
  <c r="A374" i="116"/>
  <c r="AM64" i="113"/>
  <c r="AC14" i="107"/>
  <c r="AB14" i="107" s="1"/>
  <c r="AC9" i="115"/>
  <c r="CL10" i="52"/>
  <c r="N61" i="113"/>
  <c r="N66" i="113"/>
  <c r="BP10" i="52"/>
  <c r="AA44" i="115"/>
  <c r="N65" i="113"/>
  <c r="I61" i="113"/>
  <c r="J5" i="113"/>
  <c r="BV26" i="108"/>
  <c r="D43" i="113"/>
  <c r="AC13" i="107"/>
  <c r="AB13" i="107" s="1"/>
  <c r="AC8" i="115"/>
  <c r="AC64" i="115" s="1"/>
  <c r="I61" i="115"/>
  <c r="X10" i="107"/>
  <c r="Y10" i="107" s="1"/>
  <c r="Z10" i="107" s="1"/>
  <c r="X5" i="115"/>
  <c r="I13" i="107"/>
  <c r="E13" i="107" s="1"/>
  <c r="F13" i="107" s="1"/>
  <c r="I8" i="115"/>
  <c r="D12" i="109"/>
  <c r="D28" i="109" s="1"/>
  <c r="CM16" i="108"/>
  <c r="S61" i="113"/>
  <c r="CM13" i="108"/>
  <c r="L64" i="113"/>
  <c r="M8" i="113"/>
  <c r="D68" i="115"/>
  <c r="E12" i="115"/>
  <c r="J10" i="113"/>
  <c r="E10" i="113"/>
  <c r="AA66" i="115"/>
  <c r="AA29" i="115"/>
  <c r="E11" i="115"/>
  <c r="CL13" i="108"/>
  <c r="I65" i="113"/>
  <c r="A410" i="116"/>
  <c r="X13" i="107"/>
  <c r="Y13" i="107" s="1"/>
  <c r="Z13" i="107" s="1"/>
  <c r="X8" i="115"/>
  <c r="BH10" i="108"/>
  <c r="A303" i="116"/>
  <c r="X65" i="113"/>
  <c r="A446" i="116"/>
  <c r="BH14" i="108"/>
  <c r="D47" i="113"/>
  <c r="J6" i="113"/>
  <c r="V14" i="107"/>
  <c r="V9" i="115"/>
  <c r="X16" i="107"/>
  <c r="Y16" i="107" s="1"/>
  <c r="Z16" i="107" s="1"/>
  <c r="X11" i="115"/>
  <c r="X67" i="115" s="1"/>
  <c r="CM14" i="108"/>
  <c r="L66" i="113"/>
  <c r="AC14" i="109"/>
  <c r="AM67" i="113"/>
  <c r="L14" i="109"/>
  <c r="AF45" i="108"/>
  <c r="AA62" i="115"/>
  <c r="AA25" i="115"/>
  <c r="F11" i="113"/>
  <c r="N64" i="113"/>
  <c r="O8" i="113"/>
  <c r="D7" i="113"/>
  <c r="D44" i="113" s="1"/>
  <c r="N67" i="113"/>
  <c r="BP13" i="52"/>
  <c r="AA46" i="115"/>
  <c r="AA28" i="115"/>
  <c r="F9" i="113"/>
  <c r="D66" i="115"/>
  <c r="CP10" i="108"/>
  <c r="X61" i="113"/>
  <c r="AT8" i="52"/>
  <c r="AC65" i="113"/>
  <c r="AH6" i="113"/>
  <c r="AD6" i="113" s="1"/>
  <c r="AH8" i="113"/>
  <c r="D64" i="115"/>
  <c r="F5" i="115"/>
  <c r="AA8" i="113"/>
  <c r="Y8" i="113" s="1"/>
  <c r="AA6" i="113"/>
  <c r="V10" i="107"/>
  <c r="V5" i="115"/>
  <c r="AC11" i="107"/>
  <c r="AB11" i="107" s="1"/>
  <c r="AC6" i="115"/>
  <c r="AB6" i="115" s="1"/>
  <c r="Q14" i="107"/>
  <c r="Q9" i="115"/>
  <c r="Q11" i="107"/>
  <c r="Q6" i="115"/>
  <c r="Q62" i="115" s="1"/>
  <c r="CT10" i="108"/>
  <c r="CT13" i="108"/>
  <c r="N68" i="113"/>
  <c r="L18" i="109"/>
  <c r="M6" i="113"/>
  <c r="AM68" i="113"/>
  <c r="L62" i="113"/>
  <c r="M62" i="113" s="1"/>
  <c r="AA45" i="115"/>
  <c r="AA27" i="115"/>
  <c r="AA65" i="115"/>
  <c r="AC18" i="107"/>
  <c r="AB18" i="107" s="1"/>
  <c r="AC12" i="115"/>
  <c r="AB12" i="115" s="1"/>
  <c r="BP7" i="52"/>
  <c r="AA43" i="115"/>
  <c r="X14" i="107"/>
  <c r="X9" i="115"/>
  <c r="A338" i="116"/>
  <c r="A339" i="116" s="1"/>
  <c r="A483" i="116"/>
  <c r="V13" i="107"/>
  <c r="V8" i="115"/>
  <c r="I62" i="115"/>
  <c r="BP14" i="52"/>
  <c r="AA47" i="115"/>
  <c r="BH13" i="108"/>
  <c r="D46" i="113"/>
  <c r="F8" i="113"/>
  <c r="V15" i="107"/>
  <c r="V10" i="115"/>
  <c r="V66" i="115" s="1"/>
  <c r="Q16" i="107"/>
  <c r="Q11" i="115"/>
  <c r="CL15" i="108"/>
  <c r="L65" i="113"/>
  <c r="M9" i="113"/>
  <c r="BP16" i="52"/>
  <c r="AA49" i="115"/>
  <c r="AC16" i="107"/>
  <c r="AB16" i="107" s="1"/>
  <c r="AC11" i="115"/>
  <c r="BP15" i="52"/>
  <c r="AA48" i="115"/>
  <c r="Q15" i="107"/>
  <c r="Q10" i="115"/>
  <c r="AA35" i="107"/>
  <c r="L61" i="113"/>
  <c r="M5" i="113"/>
  <c r="AC36" i="108"/>
  <c r="CN14" i="108"/>
  <c r="AC68" i="113"/>
  <c r="I68" i="113"/>
  <c r="J12" i="113"/>
  <c r="I62" i="113"/>
  <c r="AA67" i="115"/>
  <c r="AA30" i="115"/>
  <c r="D65" i="115"/>
  <c r="E9" i="115"/>
  <c r="AA63" i="115"/>
  <c r="AA26" i="115"/>
  <c r="AA42" i="115"/>
  <c r="AA24" i="115"/>
  <c r="I66" i="113"/>
  <c r="D53" i="113"/>
  <c r="D72" i="113"/>
  <c r="E72" i="113" s="1"/>
  <c r="F72" i="113" s="1"/>
  <c r="G72" i="113" s="1"/>
  <c r="H72" i="113" s="1"/>
  <c r="D59" i="113"/>
  <c r="E59" i="113" s="1"/>
  <c r="F59" i="113" s="1"/>
  <c r="G59" i="113" s="1"/>
  <c r="H59" i="113" s="1"/>
  <c r="D40" i="113"/>
  <c r="E40" i="113" s="1"/>
  <c r="F40" i="113" s="1"/>
  <c r="G40" i="113" s="1"/>
  <c r="H40" i="113" s="1"/>
  <c r="D69" i="113"/>
  <c r="E69" i="113" s="1"/>
  <c r="F69" i="113" s="1"/>
  <c r="G69" i="113" s="1"/>
  <c r="H69" i="113" s="1"/>
  <c r="D50" i="113"/>
  <c r="CK4" i="108"/>
  <c r="CK21" i="108"/>
  <c r="D8" i="109"/>
  <c r="D3" i="107"/>
  <c r="CK19" i="52"/>
  <c r="BH17" i="108"/>
  <c r="AT3" i="108"/>
  <c r="AF18" i="108"/>
  <c r="AF51" i="108" s="1"/>
  <c r="CK17" i="108"/>
  <c r="BH4" i="108"/>
  <c r="DA27" i="108"/>
  <c r="AT18" i="108"/>
  <c r="BH23" i="108"/>
  <c r="D18" i="113"/>
  <c r="D8" i="107"/>
  <c r="BH21" i="108"/>
  <c r="DA27" i="52"/>
  <c r="AT18" i="52"/>
  <c r="AF2" i="52"/>
  <c r="AF28" i="52" s="1"/>
  <c r="AF52" i="108"/>
  <c r="AF49" i="108"/>
  <c r="AT51" i="108"/>
  <c r="AF48" i="108"/>
  <c r="AT52" i="108"/>
  <c r="E17" i="113"/>
  <c r="E54" i="113"/>
  <c r="F54" i="113" s="1"/>
  <c r="G54" i="113" s="1"/>
  <c r="H54" i="113" s="1"/>
  <c r="D24" i="107"/>
  <c r="E7" i="107"/>
  <c r="E9" i="109"/>
  <c r="D26" i="109"/>
  <c r="D21" i="107"/>
  <c r="D20" i="107"/>
  <c r="E7" i="109"/>
  <c r="D24" i="109"/>
  <c r="E13" i="113"/>
  <c r="E50" i="113"/>
  <c r="F50" i="113" s="1"/>
  <c r="G50" i="113" s="1"/>
  <c r="H50" i="113" s="1"/>
  <c r="E16" i="113"/>
  <c r="E53" i="113"/>
  <c r="F53" i="113" s="1"/>
  <c r="G53" i="113" s="1"/>
  <c r="H53" i="113" s="1"/>
  <c r="E14" i="113"/>
  <c r="E51" i="113"/>
  <c r="F51" i="113" s="1"/>
  <c r="G51" i="113" s="1"/>
  <c r="H51" i="113" s="1"/>
  <c r="AF47" i="108"/>
  <c r="E3" i="107"/>
  <c r="AT47" i="108"/>
  <c r="E3" i="109"/>
  <c r="D20" i="109"/>
  <c r="D21" i="109"/>
  <c r="AT2" i="108"/>
  <c r="D26" i="107"/>
  <c r="E9" i="107"/>
  <c r="E8" i="109"/>
  <c r="D25" i="109"/>
  <c r="AF54" i="108"/>
  <c r="D25" i="107"/>
  <c r="E8" i="107"/>
  <c r="E41" i="113"/>
  <c r="F41" i="113" s="1"/>
  <c r="G41" i="113" s="1"/>
  <c r="H41" i="113" s="1"/>
  <c r="E3" i="113"/>
  <c r="BM6" i="108"/>
  <c r="N10" i="109"/>
  <c r="CN8" i="108"/>
  <c r="F41" i="108"/>
  <c r="F39" i="108"/>
  <c r="F47" i="108"/>
  <c r="N2" i="52"/>
  <c r="CR10" i="108"/>
  <c r="BO6" i="108"/>
  <c r="Q5" i="113"/>
  <c r="O5" i="113" s="1"/>
  <c r="Q9" i="113"/>
  <c r="O9" i="113" s="1"/>
  <c r="Q6" i="113"/>
  <c r="O6" i="113" s="1"/>
  <c r="Q11" i="113"/>
  <c r="O11" i="113" s="1"/>
  <c r="Q10" i="113"/>
  <c r="O10" i="113" s="1"/>
  <c r="Q12" i="113"/>
  <c r="O12" i="113" s="1"/>
  <c r="CR14" i="108"/>
  <c r="X15" i="109"/>
  <c r="H47" i="108"/>
  <c r="H41" i="108"/>
  <c r="H39" i="108"/>
  <c r="CR16" i="108"/>
  <c r="X18" i="109"/>
  <c r="AA7" i="108"/>
  <c r="AA34" i="108" s="1"/>
  <c r="AC10" i="109"/>
  <c r="CT8" i="108"/>
  <c r="M2" i="108"/>
  <c r="CV9" i="108"/>
  <c r="AM11" i="109"/>
  <c r="N11" i="109"/>
  <c r="CN9" i="108"/>
  <c r="CT16" i="108"/>
  <c r="AC18" i="109"/>
  <c r="AM16" i="109"/>
  <c r="CV15" i="108"/>
  <c r="S10" i="109"/>
  <c r="BM8" i="108"/>
  <c r="CP8" i="108"/>
  <c r="V7" i="108"/>
  <c r="V34" i="108" s="1"/>
  <c r="BO10" i="108"/>
  <c r="X46" i="113"/>
  <c r="BO9" i="108"/>
  <c r="X45" i="113"/>
  <c r="X12" i="109"/>
  <c r="CT15" i="108"/>
  <c r="AC16" i="109"/>
  <c r="AF44" i="108"/>
  <c r="AF2" i="108"/>
  <c r="AF28" i="108" s="1"/>
  <c r="X7" i="108"/>
  <c r="X34" i="108" s="1"/>
  <c r="AM13" i="109"/>
  <c r="CV11" i="108"/>
  <c r="DH27" i="108"/>
  <c r="L16" i="109"/>
  <c r="CM15" i="108"/>
  <c r="BV26" i="52"/>
  <c r="L42" i="113"/>
  <c r="DJ27" i="108"/>
  <c r="AC34" i="108"/>
  <c r="S13" i="109"/>
  <c r="CP11" i="108"/>
  <c r="BW16" i="108"/>
  <c r="BW11" i="108"/>
  <c r="BW10" i="108"/>
  <c r="BW12" i="108"/>
  <c r="BW13" i="108"/>
  <c r="BW15" i="108"/>
  <c r="BW9" i="108"/>
  <c r="I43" i="113" s="1"/>
  <c r="AU13" i="108"/>
  <c r="I7" i="113" s="1"/>
  <c r="AG13" i="108"/>
  <c r="AG8" i="108" s="1"/>
  <c r="BW8" i="108"/>
  <c r="BW14" i="108"/>
  <c r="S46" i="113"/>
  <c r="S48" i="113"/>
  <c r="S47" i="113"/>
  <c r="S43" i="113"/>
  <c r="S7" i="113"/>
  <c r="S29" i="113" s="1"/>
  <c r="BQ10" i="108"/>
  <c r="AC48" i="113"/>
  <c r="AC43" i="113"/>
  <c r="AC42" i="113"/>
  <c r="BC45" i="108"/>
  <c r="AH5" i="113"/>
  <c r="AH9" i="113"/>
  <c r="AD9" i="113" s="1"/>
  <c r="AH10" i="113"/>
  <c r="AD10" i="113" s="1"/>
  <c r="AH11" i="113"/>
  <c r="AD11" i="113" s="1"/>
  <c r="AH12" i="113"/>
  <c r="AD12" i="113" s="1"/>
  <c r="BS10" i="108"/>
  <c r="AM43" i="113"/>
  <c r="AM48" i="113"/>
  <c r="AQ8" i="108"/>
  <c r="AQ38" i="108" s="1"/>
  <c r="CP13" i="108"/>
  <c r="S14" i="109"/>
  <c r="I41" i="108"/>
  <c r="I39" i="108"/>
  <c r="I47" i="108"/>
  <c r="CN16" i="108"/>
  <c r="N18" i="109"/>
  <c r="L11" i="109"/>
  <c r="CM9" i="108"/>
  <c r="D12" i="107"/>
  <c r="D31" i="107" s="1"/>
  <c r="AM42" i="113"/>
  <c r="V5" i="113"/>
  <c r="T5" i="113" s="1"/>
  <c r="V12" i="113"/>
  <c r="V10" i="113"/>
  <c r="V9" i="113"/>
  <c r="T9" i="113" s="1"/>
  <c r="V11" i="113"/>
  <c r="T11" i="113" s="1"/>
  <c r="X13" i="109"/>
  <c r="CR11" i="108"/>
  <c r="BK10" i="108"/>
  <c r="N42" i="113"/>
  <c r="N43" i="113"/>
  <c r="AI37" i="108"/>
  <c r="N12" i="109"/>
  <c r="D39" i="108"/>
  <c r="D41" i="108"/>
  <c r="D47" i="108"/>
  <c r="L10" i="109"/>
  <c r="CM8" i="108"/>
  <c r="Y7" i="108"/>
  <c r="X10" i="109"/>
  <c r="CR8" i="108"/>
  <c r="BO8" i="108"/>
  <c r="W7" i="108"/>
  <c r="W34" i="108" s="1"/>
  <c r="AT40" i="108"/>
  <c r="BJ10" i="108"/>
  <c r="L12" i="109"/>
  <c r="CN10" i="108"/>
  <c r="Q13" i="109"/>
  <c r="L41" i="108"/>
  <c r="L39" i="108"/>
  <c r="L47" i="108"/>
  <c r="BH9" i="108"/>
  <c r="BH7" i="108"/>
  <c r="BE8" i="108"/>
  <c r="BE44" i="108" s="1"/>
  <c r="AM10" i="109"/>
  <c r="CV8" i="108"/>
  <c r="S15" i="109"/>
  <c r="CP14" i="108"/>
  <c r="AA5" i="113"/>
  <c r="AB5" i="113" s="1"/>
  <c r="AA10" i="113"/>
  <c r="AA9" i="113"/>
  <c r="Y9" i="113" s="1"/>
  <c r="AA12" i="113"/>
  <c r="AA11" i="113"/>
  <c r="Y11" i="113" s="1"/>
  <c r="T7" i="108"/>
  <c r="T34" i="108" s="1"/>
  <c r="AT37" i="108"/>
  <c r="J41" i="108"/>
  <c r="J47" i="108"/>
  <c r="J39" i="108"/>
  <c r="DD27" i="108"/>
  <c r="AT42" i="108"/>
  <c r="O9" i="108"/>
  <c r="G2" i="108"/>
  <c r="S18" i="109"/>
  <c r="CP16" i="108"/>
  <c r="DB27" i="108"/>
  <c r="S16" i="109"/>
  <c r="CP15" i="108"/>
  <c r="AB7" i="108"/>
  <c r="AB34" i="108" s="1"/>
  <c r="CL8" i="108"/>
  <c r="I10" i="109"/>
  <c r="E10" i="109" s="1"/>
  <c r="X14" i="109"/>
  <c r="CR13" i="108"/>
  <c r="K41" i="108"/>
  <c r="K39" i="108"/>
  <c r="K47" i="108"/>
  <c r="CM10" i="108"/>
  <c r="E18" i="109"/>
  <c r="D35" i="109"/>
  <c r="AT44" i="108"/>
  <c r="BH12" i="108"/>
  <c r="CK12" i="108"/>
  <c r="S11" i="109"/>
  <c r="CP9" i="108"/>
  <c r="Z7" i="108"/>
  <c r="Z34" i="108" s="1"/>
  <c r="AC2" i="108"/>
  <c r="AC25" i="108" s="1"/>
  <c r="AC40" i="108"/>
  <c r="AC39" i="108"/>
  <c r="X11" i="109"/>
  <c r="CR9" i="108"/>
  <c r="V39" i="52"/>
  <c r="CR10" i="52"/>
  <c r="G6" i="107"/>
  <c r="F23" i="107"/>
  <c r="F22" i="107"/>
  <c r="C39" i="52"/>
  <c r="C47" i="52"/>
  <c r="P26" i="107"/>
  <c r="P24" i="107"/>
  <c r="U26" i="107"/>
  <c r="U22" i="107"/>
  <c r="K23" i="107"/>
  <c r="AE25" i="107"/>
  <c r="AJ23" i="107"/>
  <c r="AD21" i="107"/>
  <c r="Z25" i="107"/>
  <c r="U24" i="107"/>
  <c r="Z26" i="107"/>
  <c r="AE24" i="107"/>
  <c r="AE22" i="107"/>
  <c r="AE23" i="107"/>
  <c r="Z24" i="107"/>
  <c r="U23" i="107"/>
  <c r="AE26" i="107"/>
  <c r="P23" i="107"/>
  <c r="K22" i="107"/>
  <c r="AD20" i="107"/>
  <c r="W20" i="107"/>
  <c r="M21" i="107"/>
  <c r="P25" i="107"/>
  <c r="U25" i="107"/>
  <c r="AJ22" i="107"/>
  <c r="P22" i="107"/>
  <c r="O20" i="107"/>
  <c r="Z38" i="52"/>
  <c r="J21" i="107"/>
  <c r="AA37" i="52"/>
  <c r="CL16" i="52"/>
  <c r="AA41" i="52"/>
  <c r="T21" i="107"/>
  <c r="I18" i="107"/>
  <c r="E18" i="107" s="1"/>
  <c r="Y21" i="107"/>
  <c r="M20" i="107"/>
  <c r="R21" i="107"/>
  <c r="Y20" i="107"/>
  <c r="O21" i="107"/>
  <c r="J20" i="107"/>
  <c r="T20" i="107"/>
  <c r="W21" i="107"/>
  <c r="AB20" i="107"/>
  <c r="R20" i="107"/>
  <c r="AB21" i="107"/>
  <c r="CL14" i="52"/>
  <c r="AA27" i="107"/>
  <c r="AA32" i="107"/>
  <c r="AA40" i="52"/>
  <c r="V38" i="52"/>
  <c r="AA34" i="107"/>
  <c r="Z37" i="52"/>
  <c r="F39" i="52"/>
  <c r="AA29" i="107"/>
  <c r="AA28" i="107"/>
  <c r="CL11" i="52"/>
  <c r="Y14" i="107"/>
  <c r="Z14" i="107" s="1"/>
  <c r="AA30" i="107"/>
  <c r="AA33" i="107"/>
  <c r="AA31" i="107"/>
  <c r="AN39" i="52"/>
  <c r="AN42" i="52"/>
  <c r="AN41" i="52"/>
  <c r="Y39" i="52"/>
  <c r="I14" i="107"/>
  <c r="E14" i="107" s="1"/>
  <c r="K39" i="52"/>
  <c r="CL13" i="52"/>
  <c r="BP9" i="52"/>
  <c r="Z40" i="52"/>
  <c r="Z39" i="52"/>
  <c r="Z2" i="52"/>
  <c r="Z25" i="52" s="1"/>
  <c r="AA38" i="52"/>
  <c r="I11" i="107"/>
  <c r="E11" i="107" s="1"/>
  <c r="AA36" i="52"/>
  <c r="Z34" i="52"/>
  <c r="H39" i="52"/>
  <c r="Y38" i="52"/>
  <c r="Z36" i="52"/>
  <c r="Y34" i="52"/>
  <c r="CL9" i="52"/>
  <c r="AA39" i="52"/>
  <c r="AA2" i="52"/>
  <c r="AA25" i="52" s="1"/>
  <c r="J41" i="52"/>
  <c r="J47" i="52"/>
  <c r="CT14" i="52"/>
  <c r="F47" i="52"/>
  <c r="CT11" i="52"/>
  <c r="DJ27" i="52"/>
  <c r="AP9" i="52"/>
  <c r="BD9" i="52"/>
  <c r="DK8" i="52"/>
  <c r="BD15" i="52"/>
  <c r="DK14" i="52"/>
  <c r="DK15" i="52"/>
  <c r="DK13" i="52"/>
  <c r="BD16" i="52"/>
  <c r="AP14" i="52"/>
  <c r="AP16" i="52"/>
  <c r="BD14" i="52"/>
  <c r="AP15" i="52"/>
  <c r="BD17" i="52"/>
  <c r="AP10" i="52"/>
  <c r="AP11" i="52"/>
  <c r="DK12" i="52"/>
  <c r="AP17" i="52"/>
  <c r="DK9" i="52"/>
  <c r="DK10" i="52"/>
  <c r="BD11" i="52"/>
  <c r="DK11" i="52"/>
  <c r="BD12" i="52"/>
  <c r="DK16" i="52"/>
  <c r="AP12" i="52"/>
  <c r="BD10" i="52"/>
  <c r="V37" i="52"/>
  <c r="AB34" i="52"/>
  <c r="Y2" i="52"/>
  <c r="Y25" i="52" s="1"/>
  <c r="CQ14" i="52"/>
  <c r="CB14" i="52"/>
  <c r="CB13" i="52"/>
  <c r="CB16" i="52"/>
  <c r="CB15" i="52"/>
  <c r="CB11" i="52"/>
  <c r="CB10" i="52"/>
  <c r="AL13" i="52"/>
  <c r="AL8" i="52" s="1"/>
  <c r="CB9" i="52"/>
  <c r="AZ13" i="52"/>
  <c r="AZ8" i="52" s="1"/>
  <c r="CB12" i="52"/>
  <c r="CB8" i="52"/>
  <c r="CR8" i="52"/>
  <c r="K41" i="52"/>
  <c r="AA34" i="52"/>
  <c r="V36" i="52"/>
  <c r="AB39" i="52"/>
  <c r="L41" i="52"/>
  <c r="BC39" i="52"/>
  <c r="AN43" i="52"/>
  <c r="AN2" i="52"/>
  <c r="AN28" i="52" s="1"/>
  <c r="AN38" i="52"/>
  <c r="AN44" i="52"/>
  <c r="AN37" i="52"/>
  <c r="AN40" i="52"/>
  <c r="AN45" i="52"/>
  <c r="CQ9" i="52"/>
  <c r="CO15" i="52"/>
  <c r="CR15" i="52"/>
  <c r="BY16" i="52"/>
  <c r="BY13" i="52"/>
  <c r="BY15" i="52"/>
  <c r="BY14" i="52"/>
  <c r="AW13" i="52"/>
  <c r="BY12" i="52"/>
  <c r="BY10" i="52"/>
  <c r="BY11" i="52"/>
  <c r="AI13" i="52"/>
  <c r="BY9" i="52"/>
  <c r="CR13" i="52"/>
  <c r="V34" i="52"/>
  <c r="V41" i="52"/>
  <c r="CT15" i="52"/>
  <c r="AB36" i="52"/>
  <c r="X34" i="52"/>
  <c r="X37" i="52"/>
  <c r="X40" i="52"/>
  <c r="I47" i="52"/>
  <c r="Y36" i="52"/>
  <c r="AB41" i="52"/>
  <c r="Z41" i="52"/>
  <c r="BB42" i="52"/>
  <c r="I10" i="107"/>
  <c r="E10" i="107" s="1"/>
  <c r="CL8" i="52"/>
  <c r="CO13" i="52"/>
  <c r="CO9" i="52"/>
  <c r="CR14" i="52"/>
  <c r="X38" i="52"/>
  <c r="X39" i="52"/>
  <c r="CT8" i="52"/>
  <c r="CR16" i="52"/>
  <c r="V40" i="52"/>
  <c r="CQ15" i="52"/>
  <c r="CC16" i="52"/>
  <c r="CC12" i="52"/>
  <c r="AM13" i="52"/>
  <c r="BA13" i="52"/>
  <c r="X12" i="107" s="1"/>
  <c r="CC13" i="52"/>
  <c r="CC15" i="52"/>
  <c r="CC14" i="52"/>
  <c r="CC9" i="52"/>
  <c r="CC10" i="52"/>
  <c r="CC8" i="52"/>
  <c r="BP6" i="52"/>
  <c r="CD26" i="52"/>
  <c r="CD29" i="52"/>
  <c r="CQ13" i="52"/>
  <c r="Y40" i="52"/>
  <c r="CT16" i="52"/>
  <c r="CQ8" i="52"/>
  <c r="I41" i="52"/>
  <c r="Y41" i="52"/>
  <c r="AB40" i="52"/>
  <c r="CT13" i="52"/>
  <c r="DG27" i="52"/>
  <c r="CO14" i="52"/>
  <c r="X35" i="52"/>
  <c r="CR9" i="52"/>
  <c r="CO8" i="52"/>
  <c r="H47" i="52"/>
  <c r="L39" i="52"/>
  <c r="AB37" i="52"/>
  <c r="CQ11" i="52"/>
  <c r="CE16" i="52"/>
  <c r="CE13" i="52"/>
  <c r="CE10" i="52"/>
  <c r="BQ10" i="52" s="1"/>
  <c r="CE15" i="52"/>
  <c r="CE11" i="52"/>
  <c r="BC13" i="52"/>
  <c r="AC12" i="107" s="1"/>
  <c r="CE9" i="52"/>
  <c r="CE14" i="52"/>
  <c r="CE12" i="52"/>
  <c r="AO13" i="52"/>
  <c r="CE8" i="52"/>
  <c r="CO11" i="52"/>
  <c r="BY8" i="52"/>
  <c r="CQ10" i="52"/>
  <c r="Y37" i="52"/>
  <c r="BB41" i="52"/>
  <c r="BB44" i="52"/>
  <c r="BB43" i="52"/>
  <c r="BB2" i="52"/>
  <c r="BB28" i="52" s="1"/>
  <c r="BB40" i="52"/>
  <c r="BB45" i="52"/>
  <c r="BC37" i="52"/>
  <c r="DE27" i="52"/>
  <c r="BZ16" i="52"/>
  <c r="BZ12" i="52"/>
  <c r="BZ9" i="52"/>
  <c r="BL7" i="52" s="1"/>
  <c r="BZ14" i="52"/>
  <c r="BZ15" i="52"/>
  <c r="BZ11" i="52"/>
  <c r="BL11" i="52" s="1"/>
  <c r="AX13" i="52"/>
  <c r="Q7" i="115" s="1"/>
  <c r="AJ13" i="52"/>
  <c r="AJ8" i="52" s="1"/>
  <c r="AJ43" i="52" s="1"/>
  <c r="BZ13" i="52"/>
  <c r="BZ8" i="52"/>
  <c r="BZ10" i="52"/>
  <c r="BL10" i="52" s="1"/>
  <c r="J13" i="106"/>
  <c r="Q13" i="106" s="1"/>
  <c r="Q5" i="106" s="1"/>
  <c r="BW16" i="52"/>
  <c r="BW10" i="52"/>
  <c r="AG13" i="52"/>
  <c r="BW12" i="52"/>
  <c r="AU13" i="52"/>
  <c r="I7" i="115" s="1"/>
  <c r="BW11" i="52"/>
  <c r="BW9" i="52"/>
  <c r="I43" i="115" s="1"/>
  <c r="BW14" i="52"/>
  <c r="BW15" i="52"/>
  <c r="BW13" i="52"/>
  <c r="BW8" i="52"/>
  <c r="AB2" i="52"/>
  <c r="AB25" i="52" s="1"/>
  <c r="AB38" i="52"/>
  <c r="V2" i="52"/>
  <c r="V25" i="52" s="1"/>
  <c r="CT10" i="52"/>
  <c r="CT9" i="52"/>
  <c r="CR11" i="52"/>
  <c r="BO11" i="52"/>
  <c r="CO16" i="52"/>
  <c r="AW9" i="52"/>
  <c r="DD8" i="52"/>
  <c r="AI9" i="52"/>
  <c r="AW15" i="52"/>
  <c r="AI14" i="52"/>
  <c r="AI15" i="52"/>
  <c r="AI16" i="52"/>
  <c r="DD15" i="52"/>
  <c r="AW16" i="52"/>
  <c r="DD14" i="52"/>
  <c r="AW14" i="52"/>
  <c r="DD13" i="52"/>
  <c r="AI10" i="52"/>
  <c r="AW17" i="52"/>
  <c r="AW11" i="52"/>
  <c r="DD11" i="52"/>
  <c r="DD10" i="52"/>
  <c r="DD12" i="52"/>
  <c r="DD9" i="52"/>
  <c r="AI11" i="52"/>
  <c r="AW12" i="52"/>
  <c r="AW10" i="52"/>
  <c r="AI12" i="52"/>
  <c r="AI17" i="52"/>
  <c r="DD16" i="52"/>
  <c r="DH27" i="52"/>
  <c r="X41" i="52"/>
  <c r="R30" i="106"/>
  <c r="Q51" i="106"/>
  <c r="CF8" i="52"/>
  <c r="AA373" i="116" a="1"/>
  <c r="AA337" i="116" a="1"/>
  <c r="AA302" i="116" a="1"/>
  <c r="AA445" i="116" a="1"/>
  <c r="AA482" i="116" a="1"/>
  <c r="AA409" i="116" a="1"/>
  <c r="J18" i="109" l="1"/>
  <c r="K18" i="109" s="1"/>
  <c r="K23" i="115"/>
  <c r="Z22" i="115"/>
  <c r="AF35" i="115"/>
  <c r="AG16" i="115"/>
  <c r="P23" i="115"/>
  <c r="AF37" i="115"/>
  <c r="AG18" i="115"/>
  <c r="AG37" i="115" s="1"/>
  <c r="AE22" i="115"/>
  <c r="AF3" i="115"/>
  <c r="AF32" i="115"/>
  <c r="AG13" i="115"/>
  <c r="AF33" i="115"/>
  <c r="AF34" i="115"/>
  <c r="AG15" i="115"/>
  <c r="U23" i="115"/>
  <c r="AF4" i="115"/>
  <c r="AE23" i="115"/>
  <c r="N7" i="115"/>
  <c r="N63" i="115" s="1"/>
  <c r="M41" i="113"/>
  <c r="J14" i="109"/>
  <c r="K14" i="109" s="1"/>
  <c r="AA62" i="113"/>
  <c r="AB62" i="113" s="1"/>
  <c r="J13" i="109"/>
  <c r="K13" i="109" s="1"/>
  <c r="T30" i="108"/>
  <c r="AG23" i="113"/>
  <c r="W12" i="115"/>
  <c r="AJ17" i="113"/>
  <c r="AI36" i="113"/>
  <c r="AK14" i="113"/>
  <c r="AK15" i="113"/>
  <c r="AI22" i="113"/>
  <c r="AI23" i="113"/>
  <c r="AJ3" i="113"/>
  <c r="AI34" i="113"/>
  <c r="AJ16" i="113"/>
  <c r="AI35" i="113"/>
  <c r="AI33" i="113"/>
  <c r="AJ18" i="113"/>
  <c r="AI37" i="113"/>
  <c r="AJ13" i="113"/>
  <c r="AI32" i="113"/>
  <c r="D27" i="109"/>
  <c r="J64" i="113"/>
  <c r="K64" i="113" s="1"/>
  <c r="CM23" i="108"/>
  <c r="BJ21" i="108"/>
  <c r="V42" i="115"/>
  <c r="K4" i="113"/>
  <c r="M60" i="113"/>
  <c r="J60" i="113"/>
  <c r="K60" i="113" s="1"/>
  <c r="L18" i="113"/>
  <c r="L17" i="109"/>
  <c r="BJ17" i="108"/>
  <c r="BX28" i="108"/>
  <c r="D34" i="109"/>
  <c r="D31" i="109"/>
  <c r="Y68" i="115"/>
  <c r="Z68" i="115" s="1"/>
  <c r="T48" i="108"/>
  <c r="T46" i="108"/>
  <c r="T47" i="108"/>
  <c r="T45" i="108"/>
  <c r="T44" i="108"/>
  <c r="E13" i="109"/>
  <c r="F13" i="109" s="1"/>
  <c r="Y18" i="107"/>
  <c r="Z18" i="107" s="1"/>
  <c r="AH66" i="113"/>
  <c r="AI66" i="113" s="1"/>
  <c r="AJ66" i="113" s="1"/>
  <c r="AK66" i="113" s="1"/>
  <c r="AL66" i="113" s="1"/>
  <c r="AU8" i="108"/>
  <c r="AU37" i="108" s="1"/>
  <c r="E43" i="115"/>
  <c r="F43" i="115" s="1"/>
  <c r="G43" i="115" s="1"/>
  <c r="H43" i="115" s="1"/>
  <c r="CO11" i="108"/>
  <c r="S27" i="113"/>
  <c r="CP12" i="108"/>
  <c r="I25" i="115"/>
  <c r="M15" i="109"/>
  <c r="D30" i="115"/>
  <c r="AC68" i="115"/>
  <c r="AB68" i="115" s="1"/>
  <c r="M65" i="113"/>
  <c r="D28" i="115"/>
  <c r="AX37" i="108"/>
  <c r="BM13" i="108"/>
  <c r="S28" i="113"/>
  <c r="AA68" i="113"/>
  <c r="Y68" i="113" s="1"/>
  <c r="Z68" i="113" s="1"/>
  <c r="Y66" i="115"/>
  <c r="Z66" i="115" s="1"/>
  <c r="R64" i="113"/>
  <c r="D27" i="115"/>
  <c r="V68" i="113"/>
  <c r="T68" i="113" s="1"/>
  <c r="U68" i="113" s="1"/>
  <c r="S24" i="113"/>
  <c r="J67" i="113"/>
  <c r="K67" i="113" s="1"/>
  <c r="Q67" i="113"/>
  <c r="R67" i="113" s="1"/>
  <c r="M39" i="108"/>
  <c r="M41" i="108"/>
  <c r="P2" i="108"/>
  <c r="J15" i="109"/>
  <c r="K15" i="109" s="1"/>
  <c r="D29" i="115"/>
  <c r="I66" i="115"/>
  <c r="E66" i="115" s="1"/>
  <c r="F66" i="115" s="1"/>
  <c r="G66" i="115" s="1"/>
  <c r="H66" i="115" s="1"/>
  <c r="BK8" i="108"/>
  <c r="BO11" i="108"/>
  <c r="D30" i="109"/>
  <c r="AA67" i="113"/>
  <c r="AB67" i="113" s="1"/>
  <c r="V62" i="113"/>
  <c r="D32" i="109"/>
  <c r="D29" i="109"/>
  <c r="AH62" i="113"/>
  <c r="J62" i="113"/>
  <c r="K62" i="113" s="1"/>
  <c r="E68" i="115"/>
  <c r="F68" i="115" s="1"/>
  <c r="G68" i="115" s="1"/>
  <c r="H68" i="115" s="1"/>
  <c r="D33" i="109"/>
  <c r="O64" i="113"/>
  <c r="P64" i="113" s="1"/>
  <c r="I28" i="115"/>
  <c r="M14" i="109"/>
  <c r="AT2" i="52"/>
  <c r="D19" i="115" s="1"/>
  <c r="I63" i="115"/>
  <c r="S30" i="113"/>
  <c r="V64" i="113"/>
  <c r="AH42" i="113"/>
  <c r="AD42" i="113" s="1"/>
  <c r="AE42" i="113" s="1"/>
  <c r="AF42" i="113" s="1"/>
  <c r="AG42" i="113" s="1"/>
  <c r="W15" i="107"/>
  <c r="W10" i="107"/>
  <c r="D28" i="107"/>
  <c r="I31" i="115"/>
  <c r="J65" i="113"/>
  <c r="K65" i="113" s="1"/>
  <c r="I24" i="115"/>
  <c r="V7" i="115"/>
  <c r="V31" i="115" s="1"/>
  <c r="J66" i="113"/>
  <c r="K66" i="113" s="1"/>
  <c r="L7" i="113"/>
  <c r="L30" i="113" s="1"/>
  <c r="AC7" i="113"/>
  <c r="AC31" i="113" s="1"/>
  <c r="W11" i="107"/>
  <c r="D24" i="115"/>
  <c r="R13" i="106"/>
  <c r="BQ15" i="108"/>
  <c r="J61" i="113"/>
  <c r="K61" i="113" s="1"/>
  <c r="W67" i="115"/>
  <c r="BO13" i="108"/>
  <c r="M42" i="113"/>
  <c r="W68" i="115"/>
  <c r="W66" i="115"/>
  <c r="W14" i="107"/>
  <c r="M68" i="113"/>
  <c r="AA337" i="116"/>
  <c r="AA302" i="116"/>
  <c r="AA373" i="116"/>
  <c r="AA482" i="116"/>
  <c r="AA409" i="116"/>
  <c r="AA445" i="116"/>
  <c r="AE9" i="113"/>
  <c r="AO37" i="108"/>
  <c r="AO45" i="108"/>
  <c r="AB64" i="115"/>
  <c r="P6" i="113"/>
  <c r="AE11" i="113"/>
  <c r="P9" i="113"/>
  <c r="AE12" i="113"/>
  <c r="Q44" i="115"/>
  <c r="Q26" i="115"/>
  <c r="Q63" i="115"/>
  <c r="I26" i="113"/>
  <c r="I28" i="113"/>
  <c r="I29" i="113"/>
  <c r="I31" i="113"/>
  <c r="I27" i="113"/>
  <c r="I30" i="113"/>
  <c r="I24" i="113"/>
  <c r="I25" i="113"/>
  <c r="I63" i="113"/>
  <c r="G11" i="113"/>
  <c r="P5" i="113"/>
  <c r="BK14" i="108"/>
  <c r="N47" i="113"/>
  <c r="BI15" i="108"/>
  <c r="I48" i="113"/>
  <c r="G12" i="113"/>
  <c r="BI8" i="52"/>
  <c r="I42" i="115"/>
  <c r="BO15" i="52"/>
  <c r="X48" i="115"/>
  <c r="Y48" i="115" s="1"/>
  <c r="Z48" i="115" s="1"/>
  <c r="AH15" i="107"/>
  <c r="AD15" i="107" s="1"/>
  <c r="AE15" i="107" s="1"/>
  <c r="AF15" i="107" s="1"/>
  <c r="AG15" i="107" s="1"/>
  <c r="AH10" i="115"/>
  <c r="AD10" i="115" s="1"/>
  <c r="AA61" i="113"/>
  <c r="AB61" i="113" s="1"/>
  <c r="AH68" i="113"/>
  <c r="AI68" i="113" s="1"/>
  <c r="AJ68" i="113" s="1"/>
  <c r="AK68" i="113" s="1"/>
  <c r="AL68" i="113" s="1"/>
  <c r="P10" i="113"/>
  <c r="Z9" i="113"/>
  <c r="AE6" i="113"/>
  <c r="BI13" i="52"/>
  <c r="I46" i="115"/>
  <c r="BQ11" i="108"/>
  <c r="AC45" i="113"/>
  <c r="K12" i="113"/>
  <c r="A411" i="116"/>
  <c r="X33" i="107"/>
  <c r="Y33" i="107" s="1"/>
  <c r="AH10" i="107"/>
  <c r="AD10" i="107" s="1"/>
  <c r="AE10" i="107" s="1"/>
  <c r="AF10" i="107" s="1"/>
  <c r="AG10" i="107" s="1"/>
  <c r="AH5" i="115"/>
  <c r="AH42" i="115" s="1"/>
  <c r="W10" i="113"/>
  <c r="M61" i="113"/>
  <c r="E62" i="115"/>
  <c r="F62" i="115" s="1"/>
  <c r="G62" i="115" s="1"/>
  <c r="H62" i="115" s="1"/>
  <c r="BQ14" i="52"/>
  <c r="AC47" i="115"/>
  <c r="BI11" i="108"/>
  <c r="I45" i="113"/>
  <c r="A484" i="116"/>
  <c r="K6" i="113"/>
  <c r="N14" i="107"/>
  <c r="O14" i="107" s="1"/>
  <c r="P14" i="107" s="1"/>
  <c r="N9" i="115"/>
  <c r="BQ7" i="52"/>
  <c r="AC43" i="115"/>
  <c r="AB43" i="115" s="1"/>
  <c r="BN10" i="52"/>
  <c r="BJ7" i="108"/>
  <c r="L43" i="113"/>
  <c r="M43" i="113" s="1"/>
  <c r="AV38" i="108"/>
  <c r="L31" i="109"/>
  <c r="AI10" i="113"/>
  <c r="AI5" i="113"/>
  <c r="BM11" i="108"/>
  <c r="S45" i="113"/>
  <c r="BI16" i="108"/>
  <c r="I49" i="113"/>
  <c r="BO15" i="108"/>
  <c r="X48" i="113"/>
  <c r="R10" i="113"/>
  <c r="Q66" i="113"/>
  <c r="R66" i="113" s="1"/>
  <c r="D19" i="113"/>
  <c r="AB8" i="115"/>
  <c r="AH64" i="113"/>
  <c r="AI8" i="113"/>
  <c r="AD8" i="113"/>
  <c r="AB9" i="115"/>
  <c r="Y67" i="115"/>
  <c r="Z67" i="115" s="1"/>
  <c r="F12" i="115"/>
  <c r="AM29" i="113"/>
  <c r="X7" i="113"/>
  <c r="X44" i="113" s="1"/>
  <c r="BL16" i="52"/>
  <c r="Q49" i="115"/>
  <c r="AB10" i="113"/>
  <c r="X64" i="115"/>
  <c r="Y64" i="115" s="1"/>
  <c r="Z64" i="115" s="1"/>
  <c r="Y8" i="115"/>
  <c r="N15" i="107"/>
  <c r="O15" i="107" s="1"/>
  <c r="P15" i="107" s="1"/>
  <c r="N10" i="115"/>
  <c r="N66" i="115" s="1"/>
  <c r="W16" i="107"/>
  <c r="BK13" i="108"/>
  <c r="N46" i="113"/>
  <c r="BI13" i="108"/>
  <c r="I46" i="113"/>
  <c r="E46" i="113" s="1"/>
  <c r="F46" i="113" s="1"/>
  <c r="G46" i="113" s="1"/>
  <c r="H46" i="113" s="1"/>
  <c r="W9" i="115"/>
  <c r="K11" i="113"/>
  <c r="W13" i="107"/>
  <c r="K10" i="113"/>
  <c r="AM24" i="113"/>
  <c r="BJ11" i="108"/>
  <c r="L45" i="113"/>
  <c r="BI10" i="108"/>
  <c r="I44" i="113"/>
  <c r="E44" i="113" s="1"/>
  <c r="F44" i="113" s="1"/>
  <c r="G44" i="113" s="1"/>
  <c r="H44" i="113" s="1"/>
  <c r="Z8" i="113"/>
  <c r="AH18" i="107"/>
  <c r="AD18" i="107" s="1"/>
  <c r="AE18" i="107" s="1"/>
  <c r="AF18" i="107" s="1"/>
  <c r="AG18" i="107" s="1"/>
  <c r="AH12" i="115"/>
  <c r="AD12" i="115" s="1"/>
  <c r="BS14" i="108"/>
  <c r="AM47" i="113"/>
  <c r="BK9" i="108"/>
  <c r="J68" i="113"/>
  <c r="K68" i="113" s="1"/>
  <c r="E66" i="113"/>
  <c r="F66" i="113" s="1"/>
  <c r="G66" i="113" s="1"/>
  <c r="H66" i="113" s="1"/>
  <c r="AE10" i="113"/>
  <c r="E65" i="113"/>
  <c r="F65" i="113" s="1"/>
  <c r="G65" i="113" s="1"/>
  <c r="H65" i="113" s="1"/>
  <c r="BO16" i="52"/>
  <c r="X49" i="115"/>
  <c r="Y49" i="115" s="1"/>
  <c r="Z49" i="115" s="1"/>
  <c r="BN11" i="52"/>
  <c r="V45" i="115"/>
  <c r="AH14" i="107"/>
  <c r="AD14" i="107" s="1"/>
  <c r="AE14" i="107" s="1"/>
  <c r="AF14" i="107" s="1"/>
  <c r="AG14" i="107" s="1"/>
  <c r="AH9" i="115"/>
  <c r="AH65" i="115" s="1"/>
  <c r="BM15" i="108"/>
  <c r="D33" i="107"/>
  <c r="L44" i="113"/>
  <c r="BJ8" i="108"/>
  <c r="V66" i="113"/>
  <c r="W66" i="113" s="1"/>
  <c r="W12" i="113"/>
  <c r="M18" i="109"/>
  <c r="AH61" i="113"/>
  <c r="AI61" i="113" s="1"/>
  <c r="AJ61" i="113" s="1"/>
  <c r="AK61" i="113" s="1"/>
  <c r="AL61" i="113" s="1"/>
  <c r="BM16" i="108"/>
  <c r="S49" i="113"/>
  <c r="BO7" i="108"/>
  <c r="X43" i="113"/>
  <c r="Q66" i="115"/>
  <c r="Q29" i="115"/>
  <c r="A340" i="116"/>
  <c r="V65" i="115"/>
  <c r="AI6" i="113"/>
  <c r="S63" i="113"/>
  <c r="P8" i="113"/>
  <c r="T12" i="113"/>
  <c r="D44" i="115"/>
  <c r="D26" i="115"/>
  <c r="E7" i="115"/>
  <c r="D63" i="115"/>
  <c r="Q61" i="115"/>
  <c r="Q24" i="115"/>
  <c r="AM25" i="113"/>
  <c r="X7" i="115"/>
  <c r="X44" i="115" s="1"/>
  <c r="Y44" i="115" s="1"/>
  <c r="Z44" i="115" s="1"/>
  <c r="V62" i="115"/>
  <c r="W6" i="115"/>
  <c r="X62" i="115"/>
  <c r="Y62" i="115" s="1"/>
  <c r="Z62" i="115" s="1"/>
  <c r="Y6" i="115"/>
  <c r="P11" i="113"/>
  <c r="Z11" i="113"/>
  <c r="BO14" i="52"/>
  <c r="X47" i="115"/>
  <c r="Y47" i="115" s="1"/>
  <c r="Z47" i="115" s="1"/>
  <c r="A375" i="116"/>
  <c r="A376" i="116" s="1"/>
  <c r="W8" i="115"/>
  <c r="AA38" i="115"/>
  <c r="F10" i="113"/>
  <c r="U11" i="113"/>
  <c r="Q31" i="115"/>
  <c r="BL8" i="52"/>
  <c r="Q42" i="115"/>
  <c r="BS13" i="108"/>
  <c r="AM46" i="113"/>
  <c r="E61" i="115"/>
  <c r="F61" i="115" s="1"/>
  <c r="G61" i="115" s="1"/>
  <c r="H61" i="115" s="1"/>
  <c r="N10" i="107"/>
  <c r="O10" i="107" s="1"/>
  <c r="P10" i="107" s="1"/>
  <c r="N5" i="115"/>
  <c r="N42" i="115" s="1"/>
  <c r="BM10" i="108"/>
  <c r="S44" i="113"/>
  <c r="G8" i="113"/>
  <c r="Y5" i="113"/>
  <c r="G6" i="113"/>
  <c r="BI14" i="52"/>
  <c r="I47" i="115"/>
  <c r="E47" i="115" s="1"/>
  <c r="F47" i="115" s="1"/>
  <c r="G47" i="115" s="1"/>
  <c r="H47" i="115" s="1"/>
  <c r="BQ8" i="108"/>
  <c r="N13" i="107"/>
  <c r="O13" i="107" s="1"/>
  <c r="P13" i="107" s="1"/>
  <c r="N8" i="115"/>
  <c r="N45" i="115" s="1"/>
  <c r="N16" i="107"/>
  <c r="O16" i="107" s="1"/>
  <c r="P16" i="107" s="1"/>
  <c r="N11" i="115"/>
  <c r="N67" i="115" s="1"/>
  <c r="I26" i="115"/>
  <c r="BL15" i="52"/>
  <c r="Q48" i="115"/>
  <c r="BQ11" i="52"/>
  <c r="AC45" i="115"/>
  <c r="AB45" i="115" s="1"/>
  <c r="BN15" i="52"/>
  <c r="V48" i="115"/>
  <c r="AH13" i="107"/>
  <c r="AD13" i="107" s="1"/>
  <c r="AE13" i="107" s="1"/>
  <c r="AF13" i="107" s="1"/>
  <c r="AG13" i="107" s="1"/>
  <c r="AH8" i="115"/>
  <c r="AD8" i="115" s="1"/>
  <c r="AB11" i="113"/>
  <c r="AA66" i="113"/>
  <c r="BJ16" i="108"/>
  <c r="L49" i="113"/>
  <c r="BK11" i="108"/>
  <c r="N45" i="113"/>
  <c r="V67" i="113"/>
  <c r="W11" i="113"/>
  <c r="BQ16" i="108"/>
  <c r="AC49" i="113"/>
  <c r="BI14" i="108"/>
  <c r="I47" i="113"/>
  <c r="F9" i="115"/>
  <c r="T10" i="113"/>
  <c r="AC65" i="115"/>
  <c r="F11" i="115"/>
  <c r="S31" i="113"/>
  <c r="G5" i="113"/>
  <c r="W8" i="113"/>
  <c r="T8" i="113"/>
  <c r="M67" i="113"/>
  <c r="BQ16" i="52"/>
  <c r="AC49" i="115"/>
  <c r="BJ15" i="108"/>
  <c r="L48" i="113"/>
  <c r="G5" i="115"/>
  <c r="AM44" i="113"/>
  <c r="AM26" i="113"/>
  <c r="AM63" i="113"/>
  <c r="AM28" i="113"/>
  <c r="AI12" i="113"/>
  <c r="Q65" i="115"/>
  <c r="Q28" i="115"/>
  <c r="K5" i="113"/>
  <c r="BJ13" i="108"/>
  <c r="L46" i="113"/>
  <c r="BQ14" i="108"/>
  <c r="AC47" i="113"/>
  <c r="R6" i="113"/>
  <c r="U9" i="113"/>
  <c r="BO13" i="52"/>
  <c r="X46" i="115"/>
  <c r="Y46" i="115" s="1"/>
  <c r="Z46" i="115" s="1"/>
  <c r="U5" i="113"/>
  <c r="BI15" i="52"/>
  <c r="I48" i="115"/>
  <c r="Y10" i="115"/>
  <c r="BM14" i="108"/>
  <c r="Q68" i="113"/>
  <c r="R68" i="113" s="1"/>
  <c r="R12" i="113"/>
  <c r="N31" i="109"/>
  <c r="V61" i="115"/>
  <c r="W5" i="115"/>
  <c r="N7" i="113"/>
  <c r="Q45" i="115"/>
  <c r="Q27" i="115"/>
  <c r="N11" i="107"/>
  <c r="O11" i="107" s="1"/>
  <c r="P11" i="107" s="1"/>
  <c r="N6" i="115"/>
  <c r="N43" i="115" s="1"/>
  <c r="BI11" i="52"/>
  <c r="I45" i="115"/>
  <c r="BL14" i="52"/>
  <c r="Q47" i="115"/>
  <c r="BQ15" i="52"/>
  <c r="AC48" i="115"/>
  <c r="BK7" i="52"/>
  <c r="BN16" i="52"/>
  <c r="V49" i="115"/>
  <c r="AA65" i="113"/>
  <c r="AB65" i="113" s="1"/>
  <c r="V61" i="113"/>
  <c r="W61" i="113" s="1"/>
  <c r="W5" i="113"/>
  <c r="BI8" i="108"/>
  <c r="I42" i="113"/>
  <c r="BS15" i="108"/>
  <c r="AC7" i="115"/>
  <c r="AC24" i="115" s="1"/>
  <c r="AB6" i="113"/>
  <c r="Y6" i="113"/>
  <c r="E8" i="115"/>
  <c r="I27" i="115"/>
  <c r="E43" i="113"/>
  <c r="F43" i="113" s="1"/>
  <c r="G43" i="113" s="1"/>
  <c r="H43" i="113" s="1"/>
  <c r="AM27" i="113"/>
  <c r="Q68" i="115"/>
  <c r="I29" i="115"/>
  <c r="W6" i="113"/>
  <c r="T6" i="113"/>
  <c r="Y12" i="115"/>
  <c r="I30" i="115"/>
  <c r="BI16" i="52"/>
  <c r="I49" i="115"/>
  <c r="BO7" i="52"/>
  <c r="X43" i="115"/>
  <c r="Y43" i="115" s="1"/>
  <c r="Z43" i="115" s="1"/>
  <c r="BS16" i="108"/>
  <c r="AM49" i="113"/>
  <c r="BO16" i="108"/>
  <c r="X49" i="113"/>
  <c r="AB66" i="115"/>
  <c r="BQ8" i="52"/>
  <c r="AC42" i="115"/>
  <c r="X33" i="109"/>
  <c r="Q65" i="113"/>
  <c r="R65" i="113" s="1"/>
  <c r="R9" i="113"/>
  <c r="G9" i="113"/>
  <c r="V64" i="115"/>
  <c r="BO8" i="52"/>
  <c r="X42" i="115"/>
  <c r="Y42" i="115" s="1"/>
  <c r="Z42" i="115" s="1"/>
  <c r="BN13" i="52"/>
  <c r="V46" i="115"/>
  <c r="AH16" i="107"/>
  <c r="AD16" i="107" s="1"/>
  <c r="AE16" i="107" s="1"/>
  <c r="AF16" i="107" s="1"/>
  <c r="AG16" i="107" s="1"/>
  <c r="AH11" i="115"/>
  <c r="AD11" i="115" s="1"/>
  <c r="AB12" i="113"/>
  <c r="BK15" i="108"/>
  <c r="N48" i="113"/>
  <c r="V65" i="113"/>
  <c r="W65" i="113" s="1"/>
  <c r="W9" i="113"/>
  <c r="BS11" i="108"/>
  <c r="AM45" i="113"/>
  <c r="AH67" i="113"/>
  <c r="AD67" i="113" s="1"/>
  <c r="AE67" i="113" s="1"/>
  <c r="AF67" i="113" s="1"/>
  <c r="AG67" i="113" s="1"/>
  <c r="S26" i="113"/>
  <c r="S25" i="113"/>
  <c r="BO14" i="108"/>
  <c r="X47" i="113"/>
  <c r="R11" i="113"/>
  <c r="E65" i="115"/>
  <c r="F65" i="115" s="1"/>
  <c r="G65" i="115" s="1"/>
  <c r="H65" i="115" s="1"/>
  <c r="E68" i="113"/>
  <c r="F68" i="113" s="1"/>
  <c r="G68" i="113" s="1"/>
  <c r="H68" i="113" s="1"/>
  <c r="Y9" i="115"/>
  <c r="AA64" i="113"/>
  <c r="AB64" i="113" s="1"/>
  <c r="AB8" i="113"/>
  <c r="F10" i="115"/>
  <c r="E62" i="113"/>
  <c r="F62" i="113" s="1"/>
  <c r="G62" i="113" s="1"/>
  <c r="H62" i="113" s="1"/>
  <c r="AC62" i="115"/>
  <c r="AB62" i="115" s="1"/>
  <c r="W11" i="115"/>
  <c r="AD5" i="113"/>
  <c r="Y12" i="113"/>
  <c r="F6" i="115"/>
  <c r="A447" i="116"/>
  <c r="W10" i="115"/>
  <c r="AC61" i="115"/>
  <c r="AI9" i="113"/>
  <c r="N18" i="107"/>
  <c r="O18" i="107" s="1"/>
  <c r="P18" i="107" s="1"/>
  <c r="N12" i="115"/>
  <c r="AI11" i="113"/>
  <c r="X45" i="115"/>
  <c r="Y45" i="115" s="1"/>
  <c r="Z45" i="115" s="1"/>
  <c r="D26" i="113"/>
  <c r="E7" i="113"/>
  <c r="E29" i="113" s="1"/>
  <c r="D30" i="113"/>
  <c r="D29" i="113"/>
  <c r="D24" i="113"/>
  <c r="D28" i="113"/>
  <c r="D31" i="113"/>
  <c r="D25" i="113"/>
  <c r="D27" i="113"/>
  <c r="D63" i="113"/>
  <c r="E61" i="113"/>
  <c r="F61" i="113" s="1"/>
  <c r="G61" i="113" s="1"/>
  <c r="H61" i="113" s="1"/>
  <c r="BL13" i="52"/>
  <c r="Q46" i="115"/>
  <c r="BN7" i="52"/>
  <c r="V43" i="115"/>
  <c r="P12" i="113"/>
  <c r="K9" i="113"/>
  <c r="AH11" i="107"/>
  <c r="AD11" i="107" s="1"/>
  <c r="AE11" i="107" s="1"/>
  <c r="AF11" i="107" s="1"/>
  <c r="AG11" i="107" s="1"/>
  <c r="AH6" i="115"/>
  <c r="AD6" i="115" s="1"/>
  <c r="BI10" i="52"/>
  <c r="I44" i="115"/>
  <c r="BQ13" i="52"/>
  <c r="AC46" i="115"/>
  <c r="AB46" i="115" s="1"/>
  <c r="BO10" i="52"/>
  <c r="BN14" i="52"/>
  <c r="V47" i="115"/>
  <c r="AB9" i="113"/>
  <c r="BJ14" i="108"/>
  <c r="L47" i="113"/>
  <c r="BK16" i="108"/>
  <c r="N49" i="113"/>
  <c r="CU10" i="108"/>
  <c r="AH65" i="113"/>
  <c r="AI65" i="113" s="1"/>
  <c r="AJ65" i="113" s="1"/>
  <c r="AK65" i="113" s="1"/>
  <c r="AL65" i="113" s="1"/>
  <c r="BQ13" i="108"/>
  <c r="AC46" i="113"/>
  <c r="Q62" i="113"/>
  <c r="Q61" i="113"/>
  <c r="R61" i="113" s="1"/>
  <c r="R5" i="113"/>
  <c r="AB11" i="115"/>
  <c r="AC67" i="115"/>
  <c r="Q67" i="115"/>
  <c r="Q30" i="115"/>
  <c r="AM31" i="113"/>
  <c r="Q43" i="115"/>
  <c r="Q25" i="115"/>
  <c r="Y11" i="115"/>
  <c r="AB10" i="115"/>
  <c r="M64" i="113"/>
  <c r="X61" i="115"/>
  <c r="Y61" i="115" s="1"/>
  <c r="Z61" i="115" s="1"/>
  <c r="Y5" i="115"/>
  <c r="Y10" i="113"/>
  <c r="M66" i="113"/>
  <c r="I64" i="115"/>
  <c r="E64" i="115" s="1"/>
  <c r="F64" i="115" s="1"/>
  <c r="G64" i="115" s="1"/>
  <c r="H64" i="115" s="1"/>
  <c r="X65" i="115"/>
  <c r="Y65" i="115" s="1"/>
  <c r="Z65" i="115" s="1"/>
  <c r="D25" i="115"/>
  <c r="BC44" i="108"/>
  <c r="BD37" i="108"/>
  <c r="D74" i="113"/>
  <c r="E74" i="113" s="1"/>
  <c r="F74" i="113" s="1"/>
  <c r="G74" i="113" s="1"/>
  <c r="H74" i="113" s="1"/>
  <c r="D55" i="113"/>
  <c r="E55" i="113" s="1"/>
  <c r="F55" i="113" s="1"/>
  <c r="G55" i="113" s="1"/>
  <c r="H55" i="113" s="1"/>
  <c r="E18" i="113"/>
  <c r="AT54" i="108"/>
  <c r="AT48" i="108"/>
  <c r="AT49" i="108"/>
  <c r="D19" i="109"/>
  <c r="AT28" i="108"/>
  <c r="E20" i="109"/>
  <c r="F3" i="109"/>
  <c r="E21" i="109"/>
  <c r="F3" i="113"/>
  <c r="F16" i="113"/>
  <c r="F7" i="107"/>
  <c r="E24" i="107"/>
  <c r="F17" i="113"/>
  <c r="F9" i="109"/>
  <c r="E26" i="109"/>
  <c r="F14" i="113"/>
  <c r="F13" i="113"/>
  <c r="F7" i="109"/>
  <c r="G7" i="109" s="1"/>
  <c r="E24" i="109"/>
  <c r="E25" i="107"/>
  <c r="F8" i="107"/>
  <c r="E26" i="107"/>
  <c r="F9" i="107"/>
  <c r="E25" i="109"/>
  <c r="F8" i="109"/>
  <c r="F3" i="107"/>
  <c r="E21" i="107"/>
  <c r="E20" i="107"/>
  <c r="BR6" i="108"/>
  <c r="AM37" i="108"/>
  <c r="AM2" i="108"/>
  <c r="AM28" i="108" s="1"/>
  <c r="AM40" i="108"/>
  <c r="AM43" i="108"/>
  <c r="AM42" i="108"/>
  <c r="AM44" i="108"/>
  <c r="AM45" i="108"/>
  <c r="AM38" i="108"/>
  <c r="AM39" i="108"/>
  <c r="AH40" i="108"/>
  <c r="AH42" i="108"/>
  <c r="AH37" i="108"/>
  <c r="AH44" i="108"/>
  <c r="AH43" i="108"/>
  <c r="AH45" i="108"/>
  <c r="AH38" i="108"/>
  <c r="AH39" i="108"/>
  <c r="AG2" i="108"/>
  <c r="AG28" i="108" s="1"/>
  <c r="AG45" i="108"/>
  <c r="AG43" i="108"/>
  <c r="AG40" i="108"/>
  <c r="AG38" i="108"/>
  <c r="AG39" i="108"/>
  <c r="AG37" i="108"/>
  <c r="AG44" i="108"/>
  <c r="AG42" i="108"/>
  <c r="V11" i="109"/>
  <c r="CQ9" i="108"/>
  <c r="BS7" i="108"/>
  <c r="CU9" i="108"/>
  <c r="AH11" i="109"/>
  <c r="AA13" i="109"/>
  <c r="Y13" i="109" s="1"/>
  <c r="Z13" i="109" s="1"/>
  <c r="CS11" i="108"/>
  <c r="AQ37" i="108"/>
  <c r="AQ2" i="108"/>
  <c r="AQ28" i="108" s="1"/>
  <c r="AQ43" i="108"/>
  <c r="AI40" i="108"/>
  <c r="AI2" i="108"/>
  <c r="AI28" i="108" s="1"/>
  <c r="AI44" i="108"/>
  <c r="AI43" i="108"/>
  <c r="T2" i="108"/>
  <c r="T25" i="108" s="1"/>
  <c r="T38" i="108"/>
  <c r="T41" i="108"/>
  <c r="T37" i="108"/>
  <c r="T36" i="108"/>
  <c r="T39" i="108"/>
  <c r="T35" i="108"/>
  <c r="T40" i="108"/>
  <c r="BJ12" i="108"/>
  <c r="CM12" i="108"/>
  <c r="BY29" i="108"/>
  <c r="BK7" i="108"/>
  <c r="D29" i="107"/>
  <c r="D32" i="107"/>
  <c r="AQ41" i="108"/>
  <c r="AH16" i="109"/>
  <c r="AD16" i="109" s="1"/>
  <c r="AE16" i="109" s="1"/>
  <c r="AF16" i="109" s="1"/>
  <c r="AG16" i="109" s="1"/>
  <c r="CU15" i="108"/>
  <c r="AO41" i="108"/>
  <c r="CQ10" i="108"/>
  <c r="N28" i="109"/>
  <c r="AI39" i="108"/>
  <c r="CO15" i="108"/>
  <c r="Q16" i="109"/>
  <c r="F16" i="109"/>
  <c r="D30" i="107"/>
  <c r="AA49" i="113"/>
  <c r="AA46" i="113"/>
  <c r="Y46" i="113" s="1"/>
  <c r="Z46" i="113" s="1"/>
  <c r="AA12" i="109"/>
  <c r="AA47" i="113"/>
  <c r="V49" i="113"/>
  <c r="V47" i="113"/>
  <c r="V45" i="113"/>
  <c r="AL37" i="108"/>
  <c r="V46" i="113"/>
  <c r="W46" i="113" s="1"/>
  <c r="BN10" i="108"/>
  <c r="V42" i="113"/>
  <c r="J11" i="109"/>
  <c r="K11" i="109" s="1"/>
  <c r="M11" i="109"/>
  <c r="L28" i="109"/>
  <c r="AA10" i="109"/>
  <c r="Y10" i="109" s="1"/>
  <c r="Z10" i="109" s="1"/>
  <c r="CS8" i="108"/>
  <c r="L32" i="109"/>
  <c r="AG41" i="108"/>
  <c r="V35" i="108"/>
  <c r="V2" i="108"/>
  <c r="V25" i="108" s="1"/>
  <c r="V40" i="108"/>
  <c r="V39" i="108"/>
  <c r="V41" i="108"/>
  <c r="V37" i="108"/>
  <c r="V38" i="108"/>
  <c r="V36" i="108"/>
  <c r="L29" i="109"/>
  <c r="M12" i="109"/>
  <c r="CN12" i="108"/>
  <c r="BK12" i="108"/>
  <c r="CU16" i="108"/>
  <c r="AH18" i="109"/>
  <c r="AD18" i="109" s="1"/>
  <c r="AE18" i="109" s="1"/>
  <c r="AF18" i="109" s="1"/>
  <c r="AG18" i="109" s="1"/>
  <c r="BI12" i="108"/>
  <c r="CL12" i="108"/>
  <c r="I12" i="109"/>
  <c r="I30" i="109" s="1"/>
  <c r="AQ45" i="108"/>
  <c r="AM41" i="108"/>
  <c r="AK41" i="108"/>
  <c r="BK6" i="108"/>
  <c r="BY26" i="108"/>
  <c r="CQ13" i="108"/>
  <c r="V14" i="109"/>
  <c r="V10" i="109"/>
  <c r="T10" i="109" s="1"/>
  <c r="U10" i="109" s="1"/>
  <c r="CQ8" i="108"/>
  <c r="AH14" i="109"/>
  <c r="CU13" i="108"/>
  <c r="AO38" i="108"/>
  <c r="AO2" i="108"/>
  <c r="AO28" i="108" s="1"/>
  <c r="AO40" i="108"/>
  <c r="AO42" i="108"/>
  <c r="AO44" i="108"/>
  <c r="AO39" i="108"/>
  <c r="AO43" i="108"/>
  <c r="D27" i="107"/>
  <c r="M47" i="108"/>
  <c r="AA41" i="108"/>
  <c r="AA2" i="108"/>
  <c r="AA25" i="108" s="1"/>
  <c r="AA38" i="108"/>
  <c r="AA40" i="108"/>
  <c r="AA39" i="108"/>
  <c r="AA35" i="108"/>
  <c r="AA37" i="108"/>
  <c r="AA36" i="108"/>
  <c r="Q10" i="109"/>
  <c r="O10" i="109" s="1"/>
  <c r="P10" i="109" s="1"/>
  <c r="CO8" i="108"/>
  <c r="AQ39" i="108"/>
  <c r="AA18" i="109"/>
  <c r="Y18" i="109" s="1"/>
  <c r="Z18" i="109" s="1"/>
  <c r="CS16" i="108"/>
  <c r="N29" i="109"/>
  <c r="X27" i="109"/>
  <c r="X34" i="109"/>
  <c r="Q14" i="109"/>
  <c r="CO13" i="108"/>
  <c r="Y35" i="108"/>
  <c r="Y2" i="108"/>
  <c r="Y25" i="108" s="1"/>
  <c r="Y40" i="108"/>
  <c r="Y41" i="108"/>
  <c r="Y36" i="108"/>
  <c r="Y38" i="108"/>
  <c r="Y37" i="108"/>
  <c r="Y39" i="108"/>
  <c r="BS6" i="108"/>
  <c r="J16" i="109"/>
  <c r="K16" i="109" s="1"/>
  <c r="M16" i="109"/>
  <c r="L33" i="109"/>
  <c r="BS9" i="108"/>
  <c r="Y34" i="108"/>
  <c r="V15" i="109"/>
  <c r="T15" i="109" s="1"/>
  <c r="U15" i="109" s="1"/>
  <c r="CQ14" i="108"/>
  <c r="N35" i="109"/>
  <c r="BM12" i="108"/>
  <c r="S12" i="109"/>
  <c r="S33" i="109" s="1"/>
  <c r="AQ44" i="108"/>
  <c r="F15" i="109"/>
  <c r="CS10" i="108"/>
  <c r="DI27" i="108"/>
  <c r="L35" i="109"/>
  <c r="AI42" i="108"/>
  <c r="CA29" i="108"/>
  <c r="BM7" i="108"/>
  <c r="CR12" i="108"/>
  <c r="BO12" i="108"/>
  <c r="R13" i="109"/>
  <c r="V16" i="109"/>
  <c r="T16" i="109" s="1"/>
  <c r="U16" i="109" s="1"/>
  <c r="CQ15" i="108"/>
  <c r="AQ40" i="108"/>
  <c r="DE27" i="108"/>
  <c r="X28" i="109"/>
  <c r="BM9" i="108"/>
  <c r="AB2" i="108"/>
  <c r="AB25" i="108" s="1"/>
  <c r="AB39" i="108"/>
  <c r="AB40" i="108"/>
  <c r="AB35" i="108"/>
  <c r="AB38" i="108"/>
  <c r="AB36" i="108"/>
  <c r="AB41" i="108"/>
  <c r="AB37" i="108"/>
  <c r="CS9" i="108"/>
  <c r="AA11" i="109"/>
  <c r="CS15" i="108"/>
  <c r="X30" i="109"/>
  <c r="DG27" i="108"/>
  <c r="BX29" i="108"/>
  <c r="BX26" i="108"/>
  <c r="BJ6" i="108"/>
  <c r="AY41" i="108"/>
  <c r="D34" i="107"/>
  <c r="X32" i="109"/>
  <c r="CO10" i="108"/>
  <c r="D35" i="107"/>
  <c r="V13" i="109"/>
  <c r="CQ11" i="108"/>
  <c r="AH10" i="109"/>
  <c r="AD10" i="109" s="1"/>
  <c r="AE10" i="109" s="1"/>
  <c r="AF10" i="109" s="1"/>
  <c r="AG10" i="109" s="1"/>
  <c r="BR8" i="108"/>
  <c r="CU8" i="108"/>
  <c r="CS13" i="108"/>
  <c r="AA14" i="109"/>
  <c r="Y14" i="109" s="1"/>
  <c r="Z14" i="109" s="1"/>
  <c r="BC43" i="108"/>
  <c r="BC2" i="108"/>
  <c r="BC28" i="108" s="1"/>
  <c r="BC40" i="108"/>
  <c r="BD38" i="108"/>
  <c r="BC42" i="108"/>
  <c r="BD39" i="108"/>
  <c r="X31" i="109"/>
  <c r="Q18" i="109"/>
  <c r="O18" i="109" s="1"/>
  <c r="P18" i="109" s="1"/>
  <c r="CO16" i="108"/>
  <c r="AH49" i="113"/>
  <c r="AH45" i="113"/>
  <c r="X29" i="109"/>
  <c r="G47" i="108"/>
  <c r="G39" i="108"/>
  <c r="G41" i="108"/>
  <c r="O2" i="108"/>
  <c r="BS8" i="108"/>
  <c r="W35" i="108"/>
  <c r="W2" i="108"/>
  <c r="W25" i="108" s="1"/>
  <c r="W39" i="108"/>
  <c r="W37" i="108"/>
  <c r="W40" i="108"/>
  <c r="W41" i="108"/>
  <c r="W36" i="108"/>
  <c r="W38" i="108"/>
  <c r="AI38" i="108"/>
  <c r="BQ12" i="108"/>
  <c r="CT12" i="108"/>
  <c r="BC41" i="108"/>
  <c r="AC12" i="109"/>
  <c r="AC34" i="109" s="1"/>
  <c r="F10" i="109"/>
  <c r="AH41" i="108"/>
  <c r="N32" i="109"/>
  <c r="Z2" i="108"/>
  <c r="Z25" i="108" s="1"/>
  <c r="Z40" i="108"/>
  <c r="Z39" i="108"/>
  <c r="Z37" i="108"/>
  <c r="Z36" i="108"/>
  <c r="Z38" i="108"/>
  <c r="Z35" i="108"/>
  <c r="Z41" i="108"/>
  <c r="BE40" i="108"/>
  <c r="BE2" i="108"/>
  <c r="BE28" i="108" s="1"/>
  <c r="BE42" i="108"/>
  <c r="BE45" i="108"/>
  <c r="BE43" i="108"/>
  <c r="AI41" i="108"/>
  <c r="CE29" i="108"/>
  <c r="CE26" i="108"/>
  <c r="BQ6" i="108"/>
  <c r="BI7" i="108"/>
  <c r="BI9" i="108"/>
  <c r="AA42" i="113"/>
  <c r="Q47" i="113"/>
  <c r="R47" i="113" s="1"/>
  <c r="BL9" i="108"/>
  <c r="AJ42" i="108"/>
  <c r="CO12" i="108"/>
  <c r="F18" i="109"/>
  <c r="AA16" i="109"/>
  <c r="N30" i="109"/>
  <c r="BE41" i="108"/>
  <c r="CV12" i="108"/>
  <c r="BS12" i="108"/>
  <c r="AM12" i="109"/>
  <c r="AM34" i="109" s="1"/>
  <c r="AH13" i="109"/>
  <c r="CU11" i="108"/>
  <c r="BQ7" i="108"/>
  <c r="BQ9" i="108"/>
  <c r="AI45" i="108"/>
  <c r="X36" i="108"/>
  <c r="X2" i="108"/>
  <c r="X25" i="108" s="1"/>
  <c r="X39" i="108"/>
  <c r="X40" i="108"/>
  <c r="X41" i="108"/>
  <c r="X37" i="108"/>
  <c r="X35" i="108"/>
  <c r="X38" i="108"/>
  <c r="CC26" i="108"/>
  <c r="DK27" i="108"/>
  <c r="AA15" i="109"/>
  <c r="Y15" i="109" s="1"/>
  <c r="Z15" i="109" s="1"/>
  <c r="CS14" i="108"/>
  <c r="G11" i="109"/>
  <c r="N33" i="109"/>
  <c r="BI6" i="108"/>
  <c r="BW29" i="108"/>
  <c r="BW26" i="108"/>
  <c r="Q15" i="109"/>
  <c r="CO14" i="108"/>
  <c r="F14" i="109"/>
  <c r="N27" i="109"/>
  <c r="N34" i="109"/>
  <c r="L30" i="109"/>
  <c r="V18" i="109"/>
  <c r="CQ16" i="108"/>
  <c r="O13" i="109"/>
  <c r="P13" i="109" s="1"/>
  <c r="J10" i="109"/>
  <c r="K10" i="109" s="1"/>
  <c r="L27" i="109"/>
  <c r="L34" i="109"/>
  <c r="M10" i="109"/>
  <c r="BJ9" i="108"/>
  <c r="CU14" i="108"/>
  <c r="AH15" i="109"/>
  <c r="X35" i="109"/>
  <c r="Q11" i="109"/>
  <c r="CO9" i="108"/>
  <c r="CC29" i="108"/>
  <c r="AQ42" i="108"/>
  <c r="CA26" i="108"/>
  <c r="F10" i="107"/>
  <c r="G15" i="107"/>
  <c r="F14" i="107"/>
  <c r="F18" i="107"/>
  <c r="G16" i="107"/>
  <c r="F11" i="107"/>
  <c r="H6" i="107"/>
  <c r="G23" i="107"/>
  <c r="G22" i="107"/>
  <c r="G13" i="107"/>
  <c r="AF25" i="107"/>
  <c r="AG25" i="107" s="1"/>
  <c r="P21" i="107"/>
  <c r="AF24" i="107"/>
  <c r="U20" i="107"/>
  <c r="K21" i="107"/>
  <c r="AF22" i="107"/>
  <c r="AE21" i="107"/>
  <c r="P20" i="107"/>
  <c r="Z21" i="107"/>
  <c r="AE20" i="107"/>
  <c r="U21" i="107"/>
  <c r="AK22" i="107"/>
  <c r="K20" i="107"/>
  <c r="AK23" i="107"/>
  <c r="Z20" i="107"/>
  <c r="AF26" i="107"/>
  <c r="AF23" i="107"/>
  <c r="X27" i="107"/>
  <c r="X32" i="107"/>
  <c r="N12" i="107"/>
  <c r="AC29" i="107"/>
  <c r="AC33" i="107"/>
  <c r="AC30" i="107"/>
  <c r="AC32" i="107"/>
  <c r="AC28" i="107"/>
  <c r="AC27" i="107"/>
  <c r="AC31" i="107"/>
  <c r="AC35" i="107"/>
  <c r="AC34" i="107"/>
  <c r="AB12" i="107"/>
  <c r="AX8" i="52"/>
  <c r="AX2" i="52" s="1"/>
  <c r="AX28" i="52" s="1"/>
  <c r="Q12" i="107"/>
  <c r="Y12" i="107"/>
  <c r="Z12" i="107" s="1"/>
  <c r="X29" i="107"/>
  <c r="X31" i="107"/>
  <c r="V12" i="107"/>
  <c r="X34" i="107"/>
  <c r="X35" i="107"/>
  <c r="X28" i="107"/>
  <c r="X30" i="107"/>
  <c r="AA19" i="107"/>
  <c r="DD27" i="52"/>
  <c r="AJ37" i="52"/>
  <c r="AJ44" i="52"/>
  <c r="AJ42" i="52"/>
  <c r="AJ38" i="52"/>
  <c r="AJ40" i="52"/>
  <c r="AL38" i="52"/>
  <c r="AL2" i="52"/>
  <c r="AL28" i="52" s="1"/>
  <c r="AL42" i="52"/>
  <c r="AL43" i="52"/>
  <c r="AL40" i="52"/>
  <c r="AL37" i="52"/>
  <c r="AL39" i="52"/>
  <c r="AL44" i="52"/>
  <c r="AL45" i="52"/>
  <c r="AZ40" i="52"/>
  <c r="AZ2" i="52"/>
  <c r="AZ28" i="52" s="1"/>
  <c r="AZ45" i="52"/>
  <c r="AZ43" i="52"/>
  <c r="BA38" i="52"/>
  <c r="AZ42" i="52"/>
  <c r="AZ44" i="52"/>
  <c r="BA39" i="52"/>
  <c r="BA37" i="52"/>
  <c r="CN16" i="52"/>
  <c r="BK16" i="52"/>
  <c r="CU11" i="52"/>
  <c r="CL12" i="52"/>
  <c r="BI12" i="52"/>
  <c r="I12" i="107"/>
  <c r="E12" i="107" s="1"/>
  <c r="E35" i="107" s="1"/>
  <c r="BK14" i="52"/>
  <c r="CN14" i="52"/>
  <c r="CU9" i="52"/>
  <c r="CU16" i="52"/>
  <c r="CN10" i="52"/>
  <c r="BK10" i="52"/>
  <c r="AI8" i="52"/>
  <c r="AI43" i="52" s="1"/>
  <c r="BQ9" i="52"/>
  <c r="AJ41" i="52"/>
  <c r="AU8" i="52"/>
  <c r="BQ6" i="52"/>
  <c r="CE29" i="52"/>
  <c r="CE26" i="52"/>
  <c r="CU10" i="52"/>
  <c r="BK11" i="52"/>
  <c r="CN11" i="52"/>
  <c r="CN15" i="52"/>
  <c r="BK15" i="52"/>
  <c r="BN6" i="52"/>
  <c r="CB29" i="52"/>
  <c r="CB26" i="52"/>
  <c r="CQ12" i="52"/>
  <c r="BN12" i="52"/>
  <c r="AZ41" i="52"/>
  <c r="CT12" i="52"/>
  <c r="BQ12" i="52"/>
  <c r="CR12" i="52"/>
  <c r="BO12" i="52"/>
  <c r="BL9" i="52"/>
  <c r="AO8" i="52"/>
  <c r="AO41" i="52" s="1"/>
  <c r="BI7" i="52"/>
  <c r="BI9" i="52"/>
  <c r="BN8" i="52"/>
  <c r="BR6" i="52"/>
  <c r="AM8" i="52"/>
  <c r="AN57" i="52"/>
  <c r="CU14" i="52"/>
  <c r="BL12" i="52"/>
  <c r="CO12" i="52"/>
  <c r="BO6" i="52"/>
  <c r="CC26" i="52"/>
  <c r="CC29" i="52"/>
  <c r="BK12" i="52"/>
  <c r="CN12" i="52"/>
  <c r="CU13" i="52"/>
  <c r="BK13" i="52"/>
  <c r="CN13" i="52"/>
  <c r="BO9" i="52"/>
  <c r="CN9" i="52"/>
  <c r="BK9" i="52"/>
  <c r="BN9" i="52"/>
  <c r="AL41" i="52"/>
  <c r="BW26" i="52"/>
  <c r="BI6" i="52"/>
  <c r="BW29" i="52"/>
  <c r="AG8" i="52"/>
  <c r="AG41" i="52" s="1"/>
  <c r="BC8" i="52"/>
  <c r="DK27" i="52"/>
  <c r="BK8" i="52"/>
  <c r="CN8" i="52"/>
  <c r="AW8" i="52"/>
  <c r="AW43" i="52" s="1"/>
  <c r="CU15" i="52"/>
  <c r="CF16" i="52"/>
  <c r="CF13" i="52"/>
  <c r="CF14" i="52"/>
  <c r="CF15" i="52"/>
  <c r="CF10" i="52"/>
  <c r="CF11" i="52"/>
  <c r="CF12" i="52"/>
  <c r="BD13" i="52"/>
  <c r="BD8" i="52" s="1"/>
  <c r="AP13" i="52"/>
  <c r="CF9" i="52"/>
  <c r="BL6" i="52"/>
  <c r="BZ29" i="52"/>
  <c r="BZ26" i="52"/>
  <c r="BK6" i="52"/>
  <c r="BY29" i="52"/>
  <c r="BY26" i="52"/>
  <c r="AJ45" i="52"/>
  <c r="AJ2" i="52"/>
  <c r="AJ28" i="52" s="1"/>
  <c r="AJ39" i="52"/>
  <c r="BA8" i="52"/>
  <c r="CU8" i="52"/>
  <c r="BR8" i="52"/>
  <c r="AA446" i="116" a="1"/>
  <c r="AA483" i="116" a="1"/>
  <c r="AA374" i="116" a="1"/>
  <c r="AA339" i="116" a="1"/>
  <c r="AA410" i="116" a="1"/>
  <c r="W45" i="113" l="1"/>
  <c r="W64" i="113"/>
  <c r="W62" i="113"/>
  <c r="AG32" i="115"/>
  <c r="AF22" i="115"/>
  <c r="AG3" i="115"/>
  <c r="W49" i="115"/>
  <c r="AF23" i="115"/>
  <c r="AG4" i="115"/>
  <c r="AG23" i="115" s="1"/>
  <c r="AG33" i="115"/>
  <c r="AG35" i="115"/>
  <c r="N44" i="115"/>
  <c r="O7" i="115"/>
  <c r="P7" i="115" s="1"/>
  <c r="AG36" i="115"/>
  <c r="AG34" i="115"/>
  <c r="S28" i="109"/>
  <c r="S32" i="109"/>
  <c r="S27" i="109"/>
  <c r="S35" i="109"/>
  <c r="S30" i="109"/>
  <c r="AJ34" i="113"/>
  <c r="V30" i="115"/>
  <c r="S34" i="109"/>
  <c r="AW43" i="108"/>
  <c r="AU41" i="108"/>
  <c r="AW2" i="108"/>
  <c r="AW28" i="108" s="1"/>
  <c r="AW42" i="108"/>
  <c r="AU42" i="108"/>
  <c r="AU38" i="108"/>
  <c r="AU2" i="108"/>
  <c r="I19" i="113" s="1"/>
  <c r="AU39" i="108"/>
  <c r="AW40" i="108"/>
  <c r="AU45" i="108"/>
  <c r="AW44" i="108"/>
  <c r="AX39" i="108"/>
  <c r="AW45" i="108"/>
  <c r="AW41" i="108"/>
  <c r="AU43" i="108"/>
  <c r="AU40" i="108"/>
  <c r="AU44" i="108"/>
  <c r="AX38" i="108"/>
  <c r="Y62" i="113"/>
  <c r="BN11" i="108"/>
  <c r="AI42" i="113"/>
  <c r="AJ42" i="113" s="1"/>
  <c r="AK42" i="113" s="1"/>
  <c r="AL42" i="113" s="1"/>
  <c r="AJ22" i="113"/>
  <c r="AJ23" i="113"/>
  <c r="AK3" i="113"/>
  <c r="AJ35" i="113"/>
  <c r="AK16" i="113"/>
  <c r="AL15" i="113"/>
  <c r="AK13" i="113"/>
  <c r="AJ32" i="113"/>
  <c r="AJ33" i="113"/>
  <c r="AL14" i="113"/>
  <c r="AK18" i="113"/>
  <c r="AJ37" i="113"/>
  <c r="AK17" i="113"/>
  <c r="AJ36" i="113"/>
  <c r="J17" i="109"/>
  <c r="K17" i="109" s="1"/>
  <c r="M17" i="109"/>
  <c r="L14" i="113"/>
  <c r="BJ18" i="108"/>
  <c r="CM18" i="108"/>
  <c r="O67" i="113"/>
  <c r="P67" i="113" s="1"/>
  <c r="L55" i="113"/>
  <c r="M18" i="113"/>
  <c r="L74" i="113"/>
  <c r="J18" i="113"/>
  <c r="CM24" i="108"/>
  <c r="BJ24" i="108"/>
  <c r="BJ25" i="108"/>
  <c r="L56" i="113" s="1"/>
  <c r="BJ4" i="108"/>
  <c r="L3" i="113"/>
  <c r="L3" i="109"/>
  <c r="CM4" i="108"/>
  <c r="AH33" i="108"/>
  <c r="CM25" i="108"/>
  <c r="L75" i="113" s="1"/>
  <c r="L15" i="113"/>
  <c r="L71" i="113" s="1"/>
  <c r="L8" i="109"/>
  <c r="CM19" i="108"/>
  <c r="BJ19" i="108"/>
  <c r="CM6" i="108"/>
  <c r="DC27" i="108"/>
  <c r="L13" i="113"/>
  <c r="L7" i="109"/>
  <c r="L9" i="109"/>
  <c r="CM17" i="108"/>
  <c r="AV51" i="108"/>
  <c r="BJ22" i="108"/>
  <c r="L17" i="113"/>
  <c r="CM22" i="108"/>
  <c r="L26" i="113"/>
  <c r="AH50" i="108"/>
  <c r="L16" i="113"/>
  <c r="L72" i="113" s="1"/>
  <c r="CM21" i="108"/>
  <c r="L73" i="113"/>
  <c r="O44" i="115"/>
  <c r="P44" i="115" s="1"/>
  <c r="L69" i="113"/>
  <c r="AD66" i="113"/>
  <c r="AE66" i="113" s="1"/>
  <c r="AF66" i="113" s="1"/>
  <c r="AG66" i="113" s="1"/>
  <c r="N47" i="115"/>
  <c r="O47" i="115" s="1"/>
  <c r="P47" i="115" s="1"/>
  <c r="AB47" i="113"/>
  <c r="J7" i="113"/>
  <c r="J24" i="113" s="1"/>
  <c r="AD61" i="113"/>
  <c r="AE61" i="113" s="1"/>
  <c r="AF61" i="113" s="1"/>
  <c r="AG61" i="113" s="1"/>
  <c r="W68" i="113"/>
  <c r="AC44" i="115"/>
  <c r="AB44" i="115" s="1"/>
  <c r="V44" i="115"/>
  <c r="W44" i="115" s="1"/>
  <c r="M34" i="109"/>
  <c r="AC30" i="115"/>
  <c r="BN14" i="108"/>
  <c r="T61" i="113"/>
  <c r="U61" i="113" s="1"/>
  <c r="W49" i="113"/>
  <c r="BN13" i="108"/>
  <c r="AB68" i="113"/>
  <c r="AC25" i="115"/>
  <c r="D38" i="115"/>
  <c r="AC31" i="115"/>
  <c r="AM19" i="113"/>
  <c r="BF2" i="108"/>
  <c r="M27" i="109"/>
  <c r="L28" i="113"/>
  <c r="AH66" i="115"/>
  <c r="AD66" i="115" s="1"/>
  <c r="AE66" i="115" s="1"/>
  <c r="AF66" i="115" s="1"/>
  <c r="AG66" i="115" s="1"/>
  <c r="X24" i="115"/>
  <c r="BP14" i="108"/>
  <c r="V12" i="109"/>
  <c r="V31" i="109" s="1"/>
  <c r="V24" i="115"/>
  <c r="V25" i="115"/>
  <c r="AC28" i="115"/>
  <c r="L25" i="113"/>
  <c r="O47" i="113"/>
  <c r="P47" i="113" s="1"/>
  <c r="E63" i="115"/>
  <c r="F63" i="115" s="1"/>
  <c r="G63" i="115" s="1"/>
  <c r="H63" i="115" s="1"/>
  <c r="L27" i="113"/>
  <c r="V26" i="115"/>
  <c r="L24" i="113"/>
  <c r="W48" i="115"/>
  <c r="L31" i="113"/>
  <c r="T64" i="113"/>
  <c r="AD9" i="115"/>
  <c r="AE9" i="115" s="1"/>
  <c r="AI62" i="113"/>
  <c r="AJ62" i="113" s="1"/>
  <c r="AK62" i="113" s="1"/>
  <c r="AL62" i="113" s="1"/>
  <c r="AD62" i="113"/>
  <c r="AE62" i="113" s="1"/>
  <c r="AF62" i="113" s="1"/>
  <c r="AG62" i="113" s="1"/>
  <c r="S31" i="109"/>
  <c r="V29" i="115"/>
  <c r="AC44" i="113"/>
  <c r="O67" i="115"/>
  <c r="P67" i="115" s="1"/>
  <c r="X25" i="115"/>
  <c r="L63" i="113"/>
  <c r="J63" i="113" s="1"/>
  <c r="K63" i="113" s="1"/>
  <c r="T62" i="113"/>
  <c r="W47" i="115"/>
  <c r="Y67" i="113"/>
  <c r="Z67" i="113" s="1"/>
  <c r="L29" i="113"/>
  <c r="V27" i="115"/>
  <c r="Y61" i="113"/>
  <c r="Z61" i="113" s="1"/>
  <c r="AC27" i="113"/>
  <c r="AC26" i="113"/>
  <c r="E25" i="115"/>
  <c r="AT28" i="52"/>
  <c r="X31" i="115"/>
  <c r="M7" i="113"/>
  <c r="M26" i="113" s="1"/>
  <c r="O45" i="115"/>
  <c r="P45" i="115" s="1"/>
  <c r="AC30" i="113"/>
  <c r="D19" i="107"/>
  <c r="V63" i="115"/>
  <c r="V28" i="115"/>
  <c r="I31" i="109"/>
  <c r="J31" i="109" s="1"/>
  <c r="K31" i="109" s="1"/>
  <c r="I27" i="109"/>
  <c r="J27" i="109" s="1"/>
  <c r="K27" i="109" s="1"/>
  <c r="AX44" i="108"/>
  <c r="AV45" i="108"/>
  <c r="O66" i="115"/>
  <c r="P66" i="115" s="1"/>
  <c r="AD5" i="115"/>
  <c r="AE5" i="115" s="1"/>
  <c r="AW38" i="108"/>
  <c r="AA7" i="113"/>
  <c r="AA25" i="113" s="1"/>
  <c r="AH67" i="115"/>
  <c r="AD67" i="115" s="1"/>
  <c r="AE67" i="115" s="1"/>
  <c r="AF67" i="115" s="1"/>
  <c r="AG67" i="115" s="1"/>
  <c r="Y65" i="113"/>
  <c r="Z65" i="113" s="1"/>
  <c r="N30" i="107"/>
  <c r="AJ38" i="108"/>
  <c r="BP13" i="108"/>
  <c r="AD68" i="113"/>
  <c r="AE68" i="113" s="1"/>
  <c r="AF68" i="113" s="1"/>
  <c r="AG68" i="113" s="1"/>
  <c r="M48" i="113"/>
  <c r="W65" i="115"/>
  <c r="O43" i="115"/>
  <c r="P43" i="115" s="1"/>
  <c r="J47" i="113"/>
  <c r="K47" i="113" s="1"/>
  <c r="AC29" i="115"/>
  <c r="E44" i="115"/>
  <c r="F44" i="115" s="1"/>
  <c r="G44" i="115" s="1"/>
  <c r="H44" i="115" s="1"/>
  <c r="N26" i="115"/>
  <c r="M31" i="109"/>
  <c r="AV43" i="108"/>
  <c r="AD49" i="113"/>
  <c r="AE49" i="113" s="1"/>
  <c r="AF49" i="113" s="1"/>
  <c r="AG49" i="113" s="1"/>
  <c r="AI45" i="52"/>
  <c r="I32" i="109"/>
  <c r="J32" i="109" s="1"/>
  <c r="K32" i="109" s="1"/>
  <c r="BL14" i="108"/>
  <c r="AV40" i="108"/>
  <c r="BR16" i="108"/>
  <c r="AI67" i="113"/>
  <c r="AJ67" i="113" s="1"/>
  <c r="AK67" i="113" s="1"/>
  <c r="AL67" i="113" s="1"/>
  <c r="AC28" i="113"/>
  <c r="AC63" i="113"/>
  <c r="AC29" i="113"/>
  <c r="AC24" i="113"/>
  <c r="AC25" i="113"/>
  <c r="I38" i="115"/>
  <c r="N48" i="115"/>
  <c r="O48" i="115" s="1"/>
  <c r="P48" i="115" s="1"/>
  <c r="I34" i="109"/>
  <c r="J34" i="109" s="1"/>
  <c r="K34" i="109" s="1"/>
  <c r="AI57" i="108"/>
  <c r="AV41" i="108"/>
  <c r="Y49" i="113"/>
  <c r="Z49" i="113" s="1"/>
  <c r="Y64" i="113"/>
  <c r="S38" i="113"/>
  <c r="Q7" i="113"/>
  <c r="Q30" i="113" s="1"/>
  <c r="AA446" i="116"/>
  <c r="AA483" i="116"/>
  <c r="AA339" i="116"/>
  <c r="AA374" i="116"/>
  <c r="AA410" i="116"/>
  <c r="AE8" i="115"/>
  <c r="AP42" i="108"/>
  <c r="AP37" i="108"/>
  <c r="AE12" i="115"/>
  <c r="AE6" i="115"/>
  <c r="AJ5" i="113"/>
  <c r="A448" i="116"/>
  <c r="G10" i="113"/>
  <c r="M46" i="113"/>
  <c r="AD65" i="115"/>
  <c r="AE65" i="115" s="1"/>
  <c r="AF65" i="115" s="1"/>
  <c r="AG65" i="115" s="1"/>
  <c r="H8" i="113"/>
  <c r="X63" i="115"/>
  <c r="Y63" i="115" s="1"/>
  <c r="Z63" i="115" s="1"/>
  <c r="X26" i="115"/>
  <c r="Y7" i="115"/>
  <c r="Y27" i="115" s="1"/>
  <c r="AE8" i="113"/>
  <c r="E46" i="115"/>
  <c r="F46" i="115" s="1"/>
  <c r="G46" i="115" s="1"/>
  <c r="H46" i="115" s="1"/>
  <c r="O42" i="115"/>
  <c r="P42" i="115" s="1"/>
  <c r="AF11" i="113"/>
  <c r="AM32" i="109"/>
  <c r="AB66" i="113"/>
  <c r="Y66" i="113"/>
  <c r="Z66" i="113" s="1"/>
  <c r="AE10" i="115"/>
  <c r="BL8" i="108"/>
  <c r="Q42" i="113"/>
  <c r="AM38" i="113"/>
  <c r="G12" i="115"/>
  <c r="BR7" i="108"/>
  <c r="AH43" i="113"/>
  <c r="H6" i="113"/>
  <c r="AJ12" i="113"/>
  <c r="Z11" i="115"/>
  <c r="AC33" i="109"/>
  <c r="BL10" i="108"/>
  <c r="BR10" i="108"/>
  <c r="BB2" i="108"/>
  <c r="BB28" i="108" s="1"/>
  <c r="BN7" i="108"/>
  <c r="V43" i="113"/>
  <c r="AB46" i="113"/>
  <c r="X30" i="115"/>
  <c r="W43" i="115"/>
  <c r="D38" i="113"/>
  <c r="Z12" i="113"/>
  <c r="W64" i="115"/>
  <c r="N63" i="113"/>
  <c r="N26" i="113"/>
  <c r="N24" i="113"/>
  <c r="N27" i="113"/>
  <c r="N31" i="113"/>
  <c r="N29" i="113"/>
  <c r="N25" i="113"/>
  <c r="N28" i="113"/>
  <c r="N30" i="113"/>
  <c r="U8" i="113"/>
  <c r="W67" i="113"/>
  <c r="T67" i="113"/>
  <c r="U67" i="113" s="1"/>
  <c r="AF10" i="113"/>
  <c r="AB65" i="115"/>
  <c r="J49" i="113"/>
  <c r="K49" i="113" s="1"/>
  <c r="E49" i="113"/>
  <c r="F49" i="113" s="1"/>
  <c r="G49" i="113" s="1"/>
  <c r="H49" i="113" s="1"/>
  <c r="E63" i="113"/>
  <c r="F63" i="113" s="1"/>
  <c r="G63" i="113" s="1"/>
  <c r="H63" i="113" s="1"/>
  <c r="Z10" i="113"/>
  <c r="H5" i="115"/>
  <c r="A412" i="116"/>
  <c r="A413" i="116" s="1"/>
  <c r="Z12" i="115"/>
  <c r="N65" i="115"/>
  <c r="O65" i="115" s="1"/>
  <c r="P65" i="115" s="1"/>
  <c r="N28" i="115"/>
  <c r="O9" i="115"/>
  <c r="BR11" i="52"/>
  <c r="AH45" i="115"/>
  <c r="AD45" i="115" s="1"/>
  <c r="AE45" i="115" s="1"/>
  <c r="AF45" i="115" s="1"/>
  <c r="AG45" i="115" s="1"/>
  <c r="BL15" i="108"/>
  <c r="Q48" i="113"/>
  <c r="R48" i="113" s="1"/>
  <c r="AH62" i="115"/>
  <c r="AD62" i="115" s="1"/>
  <c r="AE62" i="115" s="1"/>
  <c r="AF62" i="115" s="1"/>
  <c r="AG62" i="115" s="1"/>
  <c r="U6" i="113"/>
  <c r="H11" i="113"/>
  <c r="Y47" i="113"/>
  <c r="Z47" i="113" s="1"/>
  <c r="N64" i="115"/>
  <c r="O64" i="115" s="1"/>
  <c r="P64" i="115" s="1"/>
  <c r="N27" i="115"/>
  <c r="O8" i="115"/>
  <c r="O65" i="113"/>
  <c r="P65" i="113" s="1"/>
  <c r="AD45" i="113"/>
  <c r="AE45" i="113" s="1"/>
  <c r="AF45" i="113" s="1"/>
  <c r="AG45" i="113" s="1"/>
  <c r="BR15" i="52"/>
  <c r="AH48" i="115"/>
  <c r="BP15" i="108"/>
  <c r="AA48" i="113"/>
  <c r="AB48" i="113" s="1"/>
  <c r="AD65" i="113"/>
  <c r="AE65" i="113" s="1"/>
  <c r="AF65" i="113" s="1"/>
  <c r="AG65" i="113" s="1"/>
  <c r="BR14" i="52"/>
  <c r="AH47" i="115"/>
  <c r="AD47" i="115" s="1"/>
  <c r="AE47" i="115" s="1"/>
  <c r="AF47" i="115" s="1"/>
  <c r="AG47" i="115" s="1"/>
  <c r="AM30" i="109"/>
  <c r="G6" i="115"/>
  <c r="BR16" i="52"/>
  <c r="AH49" i="115"/>
  <c r="AD49" i="115" s="1"/>
  <c r="AE49" i="115" s="1"/>
  <c r="AF49" i="115" s="1"/>
  <c r="AG49" i="115" s="1"/>
  <c r="AM35" i="109"/>
  <c r="BL7" i="108"/>
  <c r="Q43" i="113"/>
  <c r="BR14" i="108"/>
  <c r="AH47" i="113"/>
  <c r="AI47" i="113" s="1"/>
  <c r="AJ47" i="113" s="1"/>
  <c r="AK47" i="113" s="1"/>
  <c r="AL47" i="113" s="1"/>
  <c r="M29" i="109"/>
  <c r="AM33" i="109"/>
  <c r="M47" i="113"/>
  <c r="AE5" i="113"/>
  <c r="H9" i="113"/>
  <c r="AD42" i="115"/>
  <c r="AE42" i="115" s="1"/>
  <c r="AF42" i="115" s="1"/>
  <c r="AG42" i="115" s="1"/>
  <c r="E49" i="115"/>
  <c r="F49" i="115" s="1"/>
  <c r="G49" i="115" s="1"/>
  <c r="H49" i="115" s="1"/>
  <c r="N44" i="113"/>
  <c r="Z10" i="115"/>
  <c r="T46" i="113"/>
  <c r="U46" i="113" s="1"/>
  <c r="U10" i="113"/>
  <c r="J44" i="113"/>
  <c r="K44" i="113" s="1"/>
  <c r="N29" i="115"/>
  <c r="O10" i="115"/>
  <c r="AJ8" i="113"/>
  <c r="AH61" i="115"/>
  <c r="AD61" i="115" s="1"/>
  <c r="AE61" i="115" s="1"/>
  <c r="AF61" i="115" s="1"/>
  <c r="AG61" i="115" s="1"/>
  <c r="W42" i="115"/>
  <c r="E48" i="115"/>
  <c r="F48" i="115" s="1"/>
  <c r="G48" i="115" s="1"/>
  <c r="H48" i="115" s="1"/>
  <c r="Z5" i="115"/>
  <c r="AJ11" i="113"/>
  <c r="W42" i="113"/>
  <c r="T42" i="113"/>
  <c r="U42" i="113" s="1"/>
  <c r="N30" i="115"/>
  <c r="O11" i="115"/>
  <c r="BN8" i="108"/>
  <c r="N31" i="115"/>
  <c r="O12" i="115"/>
  <c r="G10" i="115"/>
  <c r="AL40" i="108"/>
  <c r="N46" i="115"/>
  <c r="O46" i="115" s="1"/>
  <c r="P46" i="115" s="1"/>
  <c r="AF9" i="113"/>
  <c r="BR13" i="52"/>
  <c r="AH46" i="115"/>
  <c r="AD46" i="115" s="1"/>
  <c r="AE46" i="115" s="1"/>
  <c r="AF46" i="115" s="1"/>
  <c r="AG46" i="115" s="1"/>
  <c r="AC35" i="109"/>
  <c r="BR11" i="108"/>
  <c r="BR13" i="108"/>
  <c r="AH46" i="113"/>
  <c r="AI46" i="113" s="1"/>
  <c r="AJ46" i="113" s="1"/>
  <c r="AK46" i="113" s="1"/>
  <c r="AL46" i="113" s="1"/>
  <c r="AL45" i="108"/>
  <c r="BP11" i="108"/>
  <c r="AA45" i="113"/>
  <c r="AB61" i="115"/>
  <c r="Z9" i="115"/>
  <c r="AC26" i="115"/>
  <c r="AC63" i="115"/>
  <c r="AB7" i="115"/>
  <c r="AB28" i="115" s="1"/>
  <c r="V7" i="113"/>
  <c r="X29" i="115"/>
  <c r="AB47" i="115"/>
  <c r="AC27" i="115"/>
  <c r="O63" i="115"/>
  <c r="P63" i="115" s="1"/>
  <c r="J43" i="113"/>
  <c r="K43" i="113" s="1"/>
  <c r="T49" i="113"/>
  <c r="U49" i="113" s="1"/>
  <c r="X26" i="113"/>
  <c r="X31" i="113"/>
  <c r="X30" i="113"/>
  <c r="X25" i="113"/>
  <c r="X27" i="113"/>
  <c r="X28" i="113"/>
  <c r="X29" i="113"/>
  <c r="X63" i="113"/>
  <c r="X24" i="113"/>
  <c r="AI64" i="113"/>
  <c r="AJ64" i="113" s="1"/>
  <c r="AK64" i="113" s="1"/>
  <c r="AL64" i="113" s="1"/>
  <c r="AD64" i="113"/>
  <c r="AE64" i="113" s="1"/>
  <c r="AF64" i="113" s="1"/>
  <c r="AG64" i="113" s="1"/>
  <c r="T45" i="113"/>
  <c r="AF6" i="113"/>
  <c r="I38" i="113"/>
  <c r="BL11" i="108"/>
  <c r="Q45" i="113"/>
  <c r="R45" i="113" s="1"/>
  <c r="N62" i="115"/>
  <c r="O62" i="115" s="1"/>
  <c r="P62" i="115" s="1"/>
  <c r="O6" i="115"/>
  <c r="N25" i="115"/>
  <c r="A377" i="116"/>
  <c r="E26" i="115"/>
  <c r="F7" i="115"/>
  <c r="E24" i="115"/>
  <c r="AJ10" i="113"/>
  <c r="BL13" i="108"/>
  <c r="Q46" i="113"/>
  <c r="R46" i="113" s="1"/>
  <c r="AL44" i="108"/>
  <c r="BP10" i="108"/>
  <c r="BR9" i="108"/>
  <c r="E47" i="113"/>
  <c r="F47" i="113" s="1"/>
  <c r="G47" i="113" s="1"/>
  <c r="H47" i="113" s="1"/>
  <c r="J48" i="113"/>
  <c r="K48" i="113" s="1"/>
  <c r="E48" i="113"/>
  <c r="F48" i="113" s="1"/>
  <c r="G48" i="113" s="1"/>
  <c r="H48" i="113" s="1"/>
  <c r="AM28" i="109"/>
  <c r="Z6" i="113"/>
  <c r="Z5" i="113"/>
  <c r="W62" i="115"/>
  <c r="T66" i="113"/>
  <c r="U66" i="113" s="1"/>
  <c r="AB67" i="115"/>
  <c r="BL16" i="108"/>
  <c r="Q49" i="113"/>
  <c r="R49" i="113" s="1"/>
  <c r="BR15" i="108"/>
  <c r="AH48" i="113"/>
  <c r="AB49" i="113"/>
  <c r="O66" i="113"/>
  <c r="P66" i="113" s="1"/>
  <c r="E26" i="113"/>
  <c r="F7" i="113"/>
  <c r="E30" i="113"/>
  <c r="E31" i="113"/>
  <c r="E24" i="113"/>
  <c r="E28" i="113"/>
  <c r="E27" i="113"/>
  <c r="E25" i="113"/>
  <c r="X28" i="115"/>
  <c r="AH7" i="115"/>
  <c r="AH29" i="115" s="1"/>
  <c r="AB48" i="115"/>
  <c r="E45" i="115"/>
  <c r="F45" i="115" s="1"/>
  <c r="G45" i="115" s="1"/>
  <c r="H45" i="115" s="1"/>
  <c r="W61" i="115"/>
  <c r="W7" i="115"/>
  <c r="W26" i="115" s="1"/>
  <c r="G9" i="115"/>
  <c r="M49" i="113"/>
  <c r="N61" i="115"/>
  <c r="O61" i="115" s="1"/>
  <c r="P61" i="115" s="1"/>
  <c r="N24" i="115"/>
  <c r="O5" i="115"/>
  <c r="Q38" i="115"/>
  <c r="AJ6" i="113"/>
  <c r="AH68" i="115"/>
  <c r="M45" i="113"/>
  <c r="AB49" i="115"/>
  <c r="Z8" i="115"/>
  <c r="O68" i="113"/>
  <c r="P68" i="113" s="1"/>
  <c r="N49" i="115"/>
  <c r="O49" i="115" s="1"/>
  <c r="P49" i="115" s="1"/>
  <c r="A485" i="116"/>
  <c r="O61" i="113"/>
  <c r="P61" i="113" s="1"/>
  <c r="H12" i="113"/>
  <c r="BN16" i="108"/>
  <c r="E27" i="115"/>
  <c r="F8" i="115"/>
  <c r="E31" i="115"/>
  <c r="J42" i="113"/>
  <c r="K42" i="113" s="1"/>
  <c r="E42" i="113"/>
  <c r="F42" i="113" s="1"/>
  <c r="G42" i="113" s="1"/>
  <c r="H42" i="113" s="1"/>
  <c r="G11" i="115"/>
  <c r="BR10" i="52"/>
  <c r="AC27" i="109"/>
  <c r="AI49" i="113"/>
  <c r="AJ49" i="113" s="1"/>
  <c r="AK49" i="113" s="1"/>
  <c r="AL49" i="113" s="1"/>
  <c r="BP7" i="108"/>
  <c r="AA43" i="113"/>
  <c r="AB43" i="113" s="1"/>
  <c r="E29" i="115"/>
  <c r="E30" i="115"/>
  <c r="BN15" i="108"/>
  <c r="V48" i="113"/>
  <c r="AE11" i="115"/>
  <c r="T65" i="113"/>
  <c r="U65" i="113" s="1"/>
  <c r="U12" i="113"/>
  <c r="AV37" i="108"/>
  <c r="AV44" i="108"/>
  <c r="AV39" i="108"/>
  <c r="AW37" i="108"/>
  <c r="AW39" i="108"/>
  <c r="AJ9" i="113"/>
  <c r="BR7" i="52"/>
  <c r="AH43" i="115"/>
  <c r="AD43" i="115" s="1"/>
  <c r="AE43" i="115" s="1"/>
  <c r="AF43" i="115" s="1"/>
  <c r="AG43" i="115" s="1"/>
  <c r="CS12" i="108"/>
  <c r="AB42" i="113"/>
  <c r="Y42" i="113"/>
  <c r="Z42" i="113" s="1"/>
  <c r="AL43" i="108"/>
  <c r="BD42" i="108"/>
  <c r="AH7" i="113"/>
  <c r="BP16" i="108"/>
  <c r="AO57" i="108"/>
  <c r="AV42" i="108"/>
  <c r="W47" i="113"/>
  <c r="BN9" i="108"/>
  <c r="R62" i="113"/>
  <c r="O62" i="113"/>
  <c r="P62" i="113" s="1"/>
  <c r="N68" i="115"/>
  <c r="O68" i="115" s="1"/>
  <c r="P68" i="115" s="1"/>
  <c r="AI45" i="113"/>
  <c r="AJ45" i="113" s="1"/>
  <c r="AK45" i="113" s="1"/>
  <c r="AL45" i="113" s="1"/>
  <c r="W46" i="115"/>
  <c r="T47" i="113"/>
  <c r="U47" i="113" s="1"/>
  <c r="AH64" i="115"/>
  <c r="AB42" i="115"/>
  <c r="H5" i="113"/>
  <c r="E28" i="115"/>
  <c r="Z6" i="115"/>
  <c r="W45" i="115"/>
  <c r="J46" i="113"/>
  <c r="K46" i="113" s="1"/>
  <c r="X27" i="115"/>
  <c r="J45" i="113"/>
  <c r="K45" i="113" s="1"/>
  <c r="E45" i="113"/>
  <c r="F45" i="113" s="1"/>
  <c r="G45" i="113" s="1"/>
  <c r="H45" i="113" s="1"/>
  <c r="E42" i="115"/>
  <c r="F42" i="115" s="1"/>
  <c r="G42" i="115" s="1"/>
  <c r="H42" i="115" s="1"/>
  <c r="AF12" i="113"/>
  <c r="F18" i="113"/>
  <c r="F20" i="107"/>
  <c r="G3" i="107"/>
  <c r="F21" i="107"/>
  <c r="F24" i="109"/>
  <c r="G8" i="109"/>
  <c r="F25" i="109"/>
  <c r="G8" i="107"/>
  <c r="F25" i="107"/>
  <c r="G13" i="113"/>
  <c r="H7" i="109"/>
  <c r="G9" i="109"/>
  <c r="H9" i="109" s="1"/>
  <c r="F26" i="109"/>
  <c r="G7" i="107"/>
  <c r="H7" i="107" s="1"/>
  <c r="F24" i="107"/>
  <c r="G16" i="113"/>
  <c r="G3" i="113"/>
  <c r="F26" i="107"/>
  <c r="G9" i="107"/>
  <c r="G14" i="113"/>
  <c r="G17" i="113"/>
  <c r="G18" i="113"/>
  <c r="G3" i="109"/>
  <c r="F20" i="109"/>
  <c r="F21" i="109"/>
  <c r="AB12" i="109"/>
  <c r="Y12" i="109"/>
  <c r="Z12" i="109" s="1"/>
  <c r="AN39" i="108"/>
  <c r="AN2" i="108"/>
  <c r="AN28" i="108" s="1"/>
  <c r="AN40" i="108"/>
  <c r="AN38" i="108"/>
  <c r="AN37" i="108"/>
  <c r="AN44" i="108"/>
  <c r="AN42" i="108"/>
  <c r="AN43" i="108"/>
  <c r="AN45" i="108"/>
  <c r="BA37" i="108"/>
  <c r="AZ2" i="108"/>
  <c r="AZ28" i="108" s="1"/>
  <c r="BA38" i="108"/>
  <c r="AZ42" i="108"/>
  <c r="AZ40" i="108"/>
  <c r="BA39" i="108"/>
  <c r="AZ44" i="108"/>
  <c r="AZ43" i="108"/>
  <c r="AZ45" i="108"/>
  <c r="R11" i="109"/>
  <c r="W14" i="109"/>
  <c r="R16" i="109"/>
  <c r="O16" i="109"/>
  <c r="P16" i="109" s="1"/>
  <c r="W13" i="109"/>
  <c r="W18" i="109"/>
  <c r="AP44" i="108"/>
  <c r="AP2" i="108"/>
  <c r="AP28" i="108" s="1"/>
  <c r="BN12" i="108"/>
  <c r="AJ2" i="108"/>
  <c r="AJ28" i="108" s="1"/>
  <c r="AJ40" i="108"/>
  <c r="W11" i="109"/>
  <c r="AP40" i="108"/>
  <c r="AJ39" i="108"/>
  <c r="W16" i="109"/>
  <c r="AI14" i="109"/>
  <c r="AJ14" i="109" s="1"/>
  <c r="AK14" i="109" s="1"/>
  <c r="AL14" i="109" s="1"/>
  <c r="AD14" i="109"/>
  <c r="AE14" i="109" s="1"/>
  <c r="AF14" i="109" s="1"/>
  <c r="AG14" i="109" s="1"/>
  <c r="AP43" i="108"/>
  <c r="AJ43" i="108"/>
  <c r="BL12" i="108"/>
  <c r="AJ45" i="108"/>
  <c r="AB16" i="109"/>
  <c r="AA33" i="109"/>
  <c r="Y16" i="109"/>
  <c r="Z16" i="109" s="1"/>
  <c r="R14" i="109"/>
  <c r="O14" i="109"/>
  <c r="P14" i="109" s="1"/>
  <c r="AI13" i="109"/>
  <c r="AJ13" i="109" s="1"/>
  <c r="AK13" i="109" s="1"/>
  <c r="AL13" i="109" s="1"/>
  <c r="AD13" i="109"/>
  <c r="AE13" i="109" s="1"/>
  <c r="AF13" i="109" s="1"/>
  <c r="AG13" i="109" s="1"/>
  <c r="T18" i="109"/>
  <c r="U18" i="109" s="1"/>
  <c r="AC29" i="109"/>
  <c r="AC28" i="109"/>
  <c r="AC30" i="109"/>
  <c r="M28" i="109"/>
  <c r="AJ44" i="108"/>
  <c r="AM57" i="108"/>
  <c r="G14" i="109"/>
  <c r="CD29" i="108"/>
  <c r="BP6" i="108"/>
  <c r="CD26" i="108"/>
  <c r="R18" i="109"/>
  <c r="M35" i="109"/>
  <c r="G13" i="109"/>
  <c r="H11" i="109"/>
  <c r="G10" i="109"/>
  <c r="AG57" i="108"/>
  <c r="T13" i="109"/>
  <c r="U13" i="109" s="1"/>
  <c r="BA41" i="108"/>
  <c r="BA2" i="108"/>
  <c r="BA28" i="108" s="1"/>
  <c r="BA44" i="108"/>
  <c r="BA42" i="108"/>
  <c r="BB38" i="108"/>
  <c r="BB39" i="108"/>
  <c r="BA45" i="108"/>
  <c r="BB37" i="108"/>
  <c r="BA40" i="108"/>
  <c r="BA43" i="108"/>
  <c r="AJ41" i="108"/>
  <c r="AB15" i="109"/>
  <c r="AA32" i="109"/>
  <c r="AM29" i="109"/>
  <c r="AM31" i="109"/>
  <c r="AC19" i="109"/>
  <c r="G15" i="109"/>
  <c r="I29" i="109"/>
  <c r="J29" i="109" s="1"/>
  <c r="K29" i="109" s="1"/>
  <c r="J12" i="109"/>
  <c r="K12" i="109" s="1"/>
  <c r="I35" i="109"/>
  <c r="J35" i="109" s="1"/>
  <c r="K35" i="109" s="1"/>
  <c r="I28" i="109"/>
  <c r="J28" i="109" s="1"/>
  <c r="K28" i="109" s="1"/>
  <c r="E12" i="109"/>
  <c r="I33" i="109"/>
  <c r="J33" i="109" s="1"/>
  <c r="K33" i="109" s="1"/>
  <c r="AM27" i="109"/>
  <c r="AA30" i="109"/>
  <c r="Y30" i="109" s="1"/>
  <c r="Z30" i="109" s="1"/>
  <c r="AB13" i="109"/>
  <c r="CF26" i="108"/>
  <c r="CQ12" i="108"/>
  <c r="AZ41" i="108"/>
  <c r="AB14" i="109"/>
  <c r="AA31" i="109"/>
  <c r="AI18" i="109"/>
  <c r="AJ18" i="109" s="1"/>
  <c r="AK18" i="109" s="1"/>
  <c r="AL18" i="109" s="1"/>
  <c r="BP12" i="108"/>
  <c r="AL2" i="108"/>
  <c r="AL28" i="108" s="1"/>
  <c r="AL39" i="108"/>
  <c r="AQ57" i="108"/>
  <c r="R10" i="109"/>
  <c r="AP45" i="108"/>
  <c r="O11" i="109"/>
  <c r="P11" i="109" s="1"/>
  <c r="AL42" i="108"/>
  <c r="AP41" i="108"/>
  <c r="AL41" i="108"/>
  <c r="AP38" i="108"/>
  <c r="AI10" i="109"/>
  <c r="AJ10" i="109" s="1"/>
  <c r="AK10" i="109" s="1"/>
  <c r="AL10" i="109" s="1"/>
  <c r="AY2" i="108"/>
  <c r="AZ39" i="108"/>
  <c r="AY44" i="108"/>
  <c r="AZ38" i="108"/>
  <c r="AY42" i="108"/>
  <c r="AY43" i="108"/>
  <c r="AY45" i="108"/>
  <c r="AY40" i="108"/>
  <c r="AZ37" i="108"/>
  <c r="AA29" i="109"/>
  <c r="AA28" i="109"/>
  <c r="AB11" i="109"/>
  <c r="Y11" i="109"/>
  <c r="Z11" i="109" s="1"/>
  <c r="AA35" i="109"/>
  <c r="AB18" i="109"/>
  <c r="W10" i="109"/>
  <c r="AC31" i="109"/>
  <c r="AP39" i="108"/>
  <c r="M32" i="109"/>
  <c r="G16" i="109"/>
  <c r="AN41" i="108"/>
  <c r="BZ29" i="108"/>
  <c r="BZ26" i="108"/>
  <c r="BL6" i="108"/>
  <c r="AK44" i="108"/>
  <c r="AK2" i="108"/>
  <c r="AK28" i="108" s="1"/>
  <c r="AK45" i="108"/>
  <c r="AK42" i="108"/>
  <c r="AK38" i="108"/>
  <c r="AK43" i="108"/>
  <c r="AK37" i="108"/>
  <c r="AK40" i="108"/>
  <c r="AK39" i="108"/>
  <c r="BP8" i="108"/>
  <c r="E32" i="107"/>
  <c r="AB10" i="109"/>
  <c r="AA27" i="109"/>
  <c r="AA34" i="109"/>
  <c r="AB34" i="109" s="1"/>
  <c r="E31" i="107"/>
  <c r="R15" i="109"/>
  <c r="O15" i="109"/>
  <c r="P15" i="109" s="1"/>
  <c r="BR12" i="108"/>
  <c r="CU12" i="108"/>
  <c r="AH12" i="109"/>
  <c r="AD12" i="109" s="1"/>
  <c r="AE12" i="109" s="1"/>
  <c r="AF12" i="109" s="1"/>
  <c r="AG12" i="109" s="1"/>
  <c r="J30" i="109"/>
  <c r="K30" i="109" s="1"/>
  <c r="M30" i="109"/>
  <c r="Q12" i="109"/>
  <c r="Q31" i="109" s="1"/>
  <c r="T14" i="109"/>
  <c r="U14" i="109" s="1"/>
  <c r="W15" i="109"/>
  <c r="AI15" i="109"/>
  <c r="AJ15" i="109" s="1"/>
  <c r="AK15" i="109" s="1"/>
  <c r="AL15" i="109" s="1"/>
  <c r="AD15" i="109"/>
  <c r="AE15" i="109" s="1"/>
  <c r="AF15" i="109" s="1"/>
  <c r="AG15" i="109" s="1"/>
  <c r="T11" i="109"/>
  <c r="U11" i="109" s="1"/>
  <c r="AL38" i="108"/>
  <c r="G18" i="109"/>
  <c r="AM19" i="109"/>
  <c r="BP9" i="108"/>
  <c r="S29" i="109"/>
  <c r="M33" i="109"/>
  <c r="CB29" i="108"/>
  <c r="BN6" i="108"/>
  <c r="CB26" i="108"/>
  <c r="AJ37" i="108"/>
  <c r="AI16" i="109"/>
  <c r="AJ16" i="109" s="1"/>
  <c r="AK16" i="109" s="1"/>
  <c r="AL16" i="109" s="1"/>
  <c r="AI11" i="109"/>
  <c r="AJ11" i="109" s="1"/>
  <c r="AK11" i="109" s="1"/>
  <c r="AL11" i="109" s="1"/>
  <c r="AD11" i="109"/>
  <c r="AE11" i="109" s="1"/>
  <c r="AF11" i="109" s="1"/>
  <c r="AG11" i="109" s="1"/>
  <c r="AC32" i="109"/>
  <c r="CF29" i="108"/>
  <c r="G11" i="107"/>
  <c r="E27" i="107"/>
  <c r="H16" i="107"/>
  <c r="E33" i="107"/>
  <c r="E34" i="107"/>
  <c r="H13" i="107"/>
  <c r="G10" i="107"/>
  <c r="E30" i="107"/>
  <c r="G18" i="107"/>
  <c r="F12" i="107"/>
  <c r="F32" i="107" s="1"/>
  <c r="E29" i="107"/>
  <c r="G14" i="107"/>
  <c r="H23" i="107"/>
  <c r="H22" i="107"/>
  <c r="H15" i="107"/>
  <c r="E28" i="107"/>
  <c r="Y27" i="107"/>
  <c r="Z27" i="107" s="1"/>
  <c r="AG26" i="107"/>
  <c r="Y32" i="107"/>
  <c r="AF21" i="107"/>
  <c r="AG23" i="107"/>
  <c r="AG22" i="107"/>
  <c r="AB29" i="107"/>
  <c r="AG24" i="107"/>
  <c r="AL22" i="107"/>
  <c r="AL23" i="107"/>
  <c r="AF20" i="107"/>
  <c r="AB31" i="107"/>
  <c r="N31" i="107"/>
  <c r="BR9" i="52"/>
  <c r="AB28" i="107"/>
  <c r="AB30" i="107"/>
  <c r="AB33" i="107"/>
  <c r="Y29" i="107"/>
  <c r="Y35" i="107"/>
  <c r="Y34" i="107"/>
  <c r="Z33" i="107"/>
  <c r="Y30" i="107"/>
  <c r="Y31" i="107"/>
  <c r="Y28" i="107"/>
  <c r="AX42" i="52"/>
  <c r="AX44" i="52"/>
  <c r="N27" i="107"/>
  <c r="AX41" i="52"/>
  <c r="N32" i="107"/>
  <c r="N28" i="107"/>
  <c r="N35" i="107"/>
  <c r="AX43" i="52"/>
  <c r="AY38" i="52"/>
  <c r="N34" i="107"/>
  <c r="AX45" i="52"/>
  <c r="N29" i="107"/>
  <c r="N33" i="107"/>
  <c r="AY37" i="52"/>
  <c r="O12" i="107"/>
  <c r="P12" i="107" s="1"/>
  <c r="AX40" i="52"/>
  <c r="AY39" i="52"/>
  <c r="AB35" i="107"/>
  <c r="W12" i="107"/>
  <c r="V29" i="107"/>
  <c r="V35" i="107"/>
  <c r="V28" i="107"/>
  <c r="V31" i="107"/>
  <c r="V19" i="107"/>
  <c r="V27" i="107"/>
  <c r="V34" i="107"/>
  <c r="V30" i="107"/>
  <c r="V33" i="107"/>
  <c r="V32" i="107"/>
  <c r="AB27" i="107"/>
  <c r="AH12" i="107"/>
  <c r="AB32" i="107"/>
  <c r="AB34" i="107"/>
  <c r="I29" i="107"/>
  <c r="Q29" i="107"/>
  <c r="Q30" i="107"/>
  <c r="Q35" i="107"/>
  <c r="Q33" i="107"/>
  <c r="Q27" i="107"/>
  <c r="Q34" i="107"/>
  <c r="Q19" i="107"/>
  <c r="Q32" i="107"/>
  <c r="Q31" i="107"/>
  <c r="Q28" i="107"/>
  <c r="I28" i="107"/>
  <c r="I27" i="107"/>
  <c r="I34" i="107"/>
  <c r="BD45" i="52"/>
  <c r="BD42" i="52"/>
  <c r="BD43" i="52"/>
  <c r="BE38" i="52"/>
  <c r="BD40" i="52"/>
  <c r="AI42" i="52"/>
  <c r="I33" i="107"/>
  <c r="I35" i="107"/>
  <c r="I32" i="107"/>
  <c r="I30" i="107"/>
  <c r="AJ57" i="52"/>
  <c r="AX38" i="52"/>
  <c r="BD44" i="52"/>
  <c r="CU12" i="52"/>
  <c r="BR12" i="52"/>
  <c r="BD41" i="52"/>
  <c r="CF29" i="52"/>
  <c r="AX37" i="52"/>
  <c r="I31" i="107"/>
  <c r="AW44" i="52"/>
  <c r="BE37" i="52"/>
  <c r="BD2" i="52"/>
  <c r="BD28" i="52" s="1"/>
  <c r="AM38" i="52"/>
  <c r="AM39" i="52"/>
  <c r="AM2" i="52"/>
  <c r="AM28" i="52" s="1"/>
  <c r="AM45" i="52"/>
  <c r="AM42" i="52"/>
  <c r="AM40" i="52"/>
  <c r="AM37" i="52"/>
  <c r="AM44" i="52"/>
  <c r="AM43" i="52"/>
  <c r="BE39" i="52"/>
  <c r="AX39" i="52"/>
  <c r="AU2" i="52"/>
  <c r="I19" i="115" s="1"/>
  <c r="AU42" i="52"/>
  <c r="AU43" i="52"/>
  <c r="AU44" i="52"/>
  <c r="AU45" i="52"/>
  <c r="AI40" i="52"/>
  <c r="AI2" i="52"/>
  <c r="AI28" i="52" s="1"/>
  <c r="AL57" i="52"/>
  <c r="AI41" i="52"/>
  <c r="BC41" i="52"/>
  <c r="BC2" i="52"/>
  <c r="BD38" i="52"/>
  <c r="BD39" i="52"/>
  <c r="BC43" i="52"/>
  <c r="BC44" i="52"/>
  <c r="BD37" i="52"/>
  <c r="BC40" i="52"/>
  <c r="BC45" i="52"/>
  <c r="BC42" i="52"/>
  <c r="AM41" i="52"/>
  <c r="AW40" i="52"/>
  <c r="AW2" i="52"/>
  <c r="AO43" i="52"/>
  <c r="AO2" i="52"/>
  <c r="AO28" i="52" s="1"/>
  <c r="AO39" i="52"/>
  <c r="AO44" i="52"/>
  <c r="AO45" i="52"/>
  <c r="AO38" i="52"/>
  <c r="AO37" i="52"/>
  <c r="AO40" i="52"/>
  <c r="AO42" i="52"/>
  <c r="AW45" i="52"/>
  <c r="AW41" i="52"/>
  <c r="AG42" i="52"/>
  <c r="AG44" i="52"/>
  <c r="AG43" i="52"/>
  <c r="AG45" i="52"/>
  <c r="AW42" i="52"/>
  <c r="AI44" i="52"/>
  <c r="BB39" i="52"/>
  <c r="BA2" i="52"/>
  <c r="BB37" i="52"/>
  <c r="BA44" i="52"/>
  <c r="BA42" i="52"/>
  <c r="BA43" i="52"/>
  <c r="BA45" i="52"/>
  <c r="BB38" i="52"/>
  <c r="BA40" i="52"/>
  <c r="CF26" i="52"/>
  <c r="BA41" i="52"/>
  <c r="AP8" i="52"/>
  <c r="AP41" i="52" s="1"/>
  <c r="AU41" i="52"/>
  <c r="E57" i="104"/>
  <c r="E56" i="104"/>
  <c r="E55" i="104"/>
  <c r="E54" i="104"/>
  <c r="E53" i="104"/>
  <c r="E52" i="104"/>
  <c r="Y47" i="104"/>
  <c r="C47" i="104"/>
  <c r="G47" i="104" s="1"/>
  <c r="Q47" i="104" s="1"/>
  <c r="Z47" i="104" s="1"/>
  <c r="Y46" i="104"/>
  <c r="X46" i="104"/>
  <c r="W46" i="104"/>
  <c r="V46" i="104"/>
  <c r="U46" i="104"/>
  <c r="T46" i="104"/>
  <c r="Y45" i="104"/>
  <c r="Q45" i="104"/>
  <c r="Z45" i="104" s="1"/>
  <c r="G45" i="104"/>
  <c r="C45" i="104"/>
  <c r="X44" i="104"/>
  <c r="Y44" i="104" s="1"/>
  <c r="Z44" i="104" s="1"/>
  <c r="V44" i="104"/>
  <c r="T44" i="104"/>
  <c r="G44" i="104"/>
  <c r="Q44" i="104" s="1"/>
  <c r="W43" i="104"/>
  <c r="C42" i="104" s="1"/>
  <c r="G42" i="104" s="1"/>
  <c r="Q42" i="104" s="1"/>
  <c r="Z42" i="104" s="1"/>
  <c r="V43" i="104"/>
  <c r="U43" i="104"/>
  <c r="T43" i="104"/>
  <c r="C43" i="104" s="1"/>
  <c r="G43" i="104" s="1"/>
  <c r="Q43" i="104" s="1"/>
  <c r="Z43" i="104" s="1"/>
  <c r="X42" i="104"/>
  <c r="Y42" i="104" s="1"/>
  <c r="E42" i="104"/>
  <c r="F41" i="104" s="1"/>
  <c r="X41" i="104"/>
  <c r="W41" i="104"/>
  <c r="Y41" i="104" s="1"/>
  <c r="V41" i="104"/>
  <c r="U41" i="104"/>
  <c r="T41" i="104"/>
  <c r="L41" i="104"/>
  <c r="G41" i="104"/>
  <c r="C41" i="104"/>
  <c r="X40" i="104"/>
  <c r="W40" i="104"/>
  <c r="V40" i="104"/>
  <c r="U40" i="104"/>
  <c r="T40" i="104"/>
  <c r="Y40" i="104" s="1"/>
  <c r="G40" i="104"/>
  <c r="Z40" i="104" s="1"/>
  <c r="C40" i="104"/>
  <c r="X39" i="104"/>
  <c r="W39" i="104"/>
  <c r="Y39" i="104" s="1"/>
  <c r="V39" i="104"/>
  <c r="U39" i="104"/>
  <c r="T39" i="104"/>
  <c r="C39" i="104"/>
  <c r="G39" i="104" s="1"/>
  <c r="Z39" i="104" s="1"/>
  <c r="Y38" i="104"/>
  <c r="C38" i="104"/>
  <c r="G38" i="104" s="1"/>
  <c r="Z38" i="104" s="1"/>
  <c r="X37" i="104"/>
  <c r="W37" i="104"/>
  <c r="V37" i="104"/>
  <c r="U37" i="104"/>
  <c r="T37" i="104"/>
  <c r="Y37" i="104" s="1"/>
  <c r="C37" i="104"/>
  <c r="G37" i="104" s="1"/>
  <c r="Z36" i="104"/>
  <c r="Y36" i="104"/>
  <c r="C34" i="104"/>
  <c r="C33" i="104"/>
  <c r="C32" i="104"/>
  <c r="X30" i="104"/>
  <c r="W30" i="104"/>
  <c r="V30" i="104"/>
  <c r="U30" i="104"/>
  <c r="T30" i="104"/>
  <c r="S30" i="104" s="1"/>
  <c r="M30" i="104"/>
  <c r="K30" i="104"/>
  <c r="F30" i="104"/>
  <c r="C30" i="104"/>
  <c r="C29" i="104"/>
  <c r="C27" i="104"/>
  <c r="C26" i="104"/>
  <c r="D30" i="104" s="1"/>
  <c r="O24" i="104"/>
  <c r="N24" i="104"/>
  <c r="M24" i="104"/>
  <c r="K24" i="104"/>
  <c r="E24" i="104"/>
  <c r="G24" i="104" s="1"/>
  <c r="C24" i="104"/>
  <c r="P23" i="104"/>
  <c r="O23" i="104"/>
  <c r="N23" i="104"/>
  <c r="L23" i="104"/>
  <c r="K23" i="104"/>
  <c r="E23" i="104"/>
  <c r="X22" i="104"/>
  <c r="X5" i="104" s="1"/>
  <c r="W22" i="104"/>
  <c r="V22" i="104"/>
  <c r="U22" i="104"/>
  <c r="S22" i="104" s="1"/>
  <c r="T22" i="104"/>
  <c r="G22" i="104"/>
  <c r="O21" i="104"/>
  <c r="N21" i="104"/>
  <c r="M21" i="104"/>
  <c r="L21" i="104"/>
  <c r="K21" i="104"/>
  <c r="E21" i="104"/>
  <c r="G21" i="104" s="1"/>
  <c r="C21" i="104"/>
  <c r="C19" i="104"/>
  <c r="C18" i="104"/>
  <c r="E18" i="104" s="1"/>
  <c r="C17" i="104"/>
  <c r="E17" i="104" s="1"/>
  <c r="G15" i="104"/>
  <c r="C15" i="104"/>
  <c r="C14" i="104"/>
  <c r="X13" i="104"/>
  <c r="W13" i="104"/>
  <c r="W5" i="104" s="1"/>
  <c r="V13" i="104"/>
  <c r="V5" i="104" s="1"/>
  <c r="U13" i="104"/>
  <c r="U5" i="104" s="1"/>
  <c r="T13" i="104"/>
  <c r="S13" i="104" s="1"/>
  <c r="M13" i="104"/>
  <c r="L13" i="104"/>
  <c r="K13" i="104"/>
  <c r="I13" i="104"/>
  <c r="F13" i="104"/>
  <c r="E13" i="104"/>
  <c r="C13" i="104"/>
  <c r="E12" i="104"/>
  <c r="G12" i="104" s="1"/>
  <c r="C12" i="104"/>
  <c r="C11" i="104"/>
  <c r="C10" i="104"/>
  <c r="C9" i="104"/>
  <c r="C8" i="104"/>
  <c r="D13" i="104" s="1"/>
  <c r="C7" i="104"/>
  <c r="T5" i="104"/>
  <c r="G38" i="52"/>
  <c r="G34" i="52"/>
  <c r="G33" i="52"/>
  <c r="G32" i="52"/>
  <c r="G31" i="52"/>
  <c r="G30" i="52"/>
  <c r="G29" i="52"/>
  <c r="E48" i="52"/>
  <c r="E45" i="52"/>
  <c r="E44" i="52"/>
  <c r="E42" i="52"/>
  <c r="E38" i="52"/>
  <c r="E34" i="52"/>
  <c r="E33" i="52"/>
  <c r="E32" i="52"/>
  <c r="E31" i="52"/>
  <c r="E30" i="52"/>
  <c r="E29" i="52"/>
  <c r="E19" i="52"/>
  <c r="E18" i="52"/>
  <c r="E17" i="52"/>
  <c r="E14" i="52"/>
  <c r="E13" i="52"/>
  <c r="E12" i="52"/>
  <c r="E11" i="52"/>
  <c r="E10" i="52"/>
  <c r="E5" i="52"/>
  <c r="E4" i="52"/>
  <c r="G45" i="52"/>
  <c r="G44" i="52"/>
  <c r="G42" i="52"/>
  <c r="G5" i="52"/>
  <c r="W5" i="52" s="1"/>
  <c r="G4" i="52"/>
  <c r="W4" i="52" s="1"/>
  <c r="Y46" i="70"/>
  <c r="Y44" i="70"/>
  <c r="Z44" i="70" s="1"/>
  <c r="G43" i="70"/>
  <c r="Q43" i="70" s="1"/>
  <c r="Y41" i="70"/>
  <c r="S41" i="70"/>
  <c r="C37" i="70"/>
  <c r="S30" i="70"/>
  <c r="V5" i="70"/>
  <c r="G21" i="70"/>
  <c r="W5" i="70"/>
  <c r="G11" i="70"/>
  <c r="Y47" i="70"/>
  <c r="C47" i="70"/>
  <c r="Y45" i="70"/>
  <c r="C45" i="70"/>
  <c r="C24" i="70" s="1"/>
  <c r="G44" i="70"/>
  <c r="Y42" i="70"/>
  <c r="G41" i="70"/>
  <c r="F41" i="70"/>
  <c r="Y40" i="70"/>
  <c r="G40" i="70"/>
  <c r="Y39" i="70"/>
  <c r="Y38" i="70"/>
  <c r="G38" i="70"/>
  <c r="Z38" i="70" s="1"/>
  <c r="C38" i="70"/>
  <c r="Y37" i="70"/>
  <c r="Y36" i="70"/>
  <c r="Z36" i="70" s="1"/>
  <c r="D30" i="70"/>
  <c r="S22" i="70"/>
  <c r="G16" i="70"/>
  <c r="G15" i="70"/>
  <c r="G14" i="70"/>
  <c r="S13" i="70"/>
  <c r="G13" i="70"/>
  <c r="G12" i="70"/>
  <c r="G9" i="70"/>
  <c r="G8" i="70"/>
  <c r="G7" i="70"/>
  <c r="T17" i="52"/>
  <c r="T19" i="52"/>
  <c r="D42" i="52"/>
  <c r="T23" i="52"/>
  <c r="D45" i="52"/>
  <c r="D44" i="52"/>
  <c r="T22" i="52"/>
  <c r="T21" i="52"/>
  <c r="T20" i="52"/>
  <c r="T18" i="52"/>
  <c r="T5" i="52"/>
  <c r="T4" i="52"/>
  <c r="AA411" i="116" a="1"/>
  <c r="AA484" i="116" a="1"/>
  <c r="AA376" i="116" a="1"/>
  <c r="AA447" i="116" a="1"/>
  <c r="Z64" i="113" l="1"/>
  <c r="U45" i="113"/>
  <c r="U64" i="113"/>
  <c r="U62" i="113"/>
  <c r="Z62" i="113"/>
  <c r="S19" i="113"/>
  <c r="AY28" i="108"/>
  <c r="I19" i="109"/>
  <c r="AG22" i="115"/>
  <c r="C23" i="70"/>
  <c r="D22" i="70" s="1"/>
  <c r="N19" i="109"/>
  <c r="AU28" i="108"/>
  <c r="AQ5" i="52"/>
  <c r="BE5" i="52"/>
  <c r="F35" i="70"/>
  <c r="E29" i="70" s="1"/>
  <c r="M30" i="52"/>
  <c r="P30" i="52" s="1"/>
  <c r="M33" i="52"/>
  <c r="P33" i="52" s="1"/>
  <c r="M38" i="52"/>
  <c r="P38" i="52" s="1"/>
  <c r="M32" i="52"/>
  <c r="P32" i="52" s="1"/>
  <c r="M31" i="52"/>
  <c r="P31" i="52" s="1"/>
  <c r="Z41" i="70"/>
  <c r="M24" i="113"/>
  <c r="AH54" i="108"/>
  <c r="AH51" i="108"/>
  <c r="AV47" i="108"/>
  <c r="AV2" i="108"/>
  <c r="AV28" i="108" s="1"/>
  <c r="L37" i="113"/>
  <c r="AH49" i="108"/>
  <c r="AK34" i="113"/>
  <c r="J25" i="113"/>
  <c r="J30" i="113"/>
  <c r="AK33" i="113"/>
  <c r="AK32" i="113"/>
  <c r="AL13" i="113"/>
  <c r="AL16" i="113"/>
  <c r="AK35" i="113"/>
  <c r="AL17" i="113"/>
  <c r="AK36" i="113"/>
  <c r="AK23" i="113"/>
  <c r="AL3" i="113"/>
  <c r="AK22" i="113"/>
  <c r="AL18" i="113"/>
  <c r="AK37" i="113"/>
  <c r="L35" i="113"/>
  <c r="M16" i="113"/>
  <c r="J16" i="113"/>
  <c r="L53" i="113"/>
  <c r="J55" i="113"/>
  <c r="K55" i="113" s="1"/>
  <c r="M55" i="113"/>
  <c r="Q24" i="113"/>
  <c r="M31" i="113"/>
  <c r="AH47" i="108"/>
  <c r="M9" i="109"/>
  <c r="J9" i="109"/>
  <c r="K9" i="109" s="1"/>
  <c r="L26" i="109"/>
  <c r="M73" i="113"/>
  <c r="J73" i="113"/>
  <c r="K73" i="113" s="1"/>
  <c r="M74" i="113"/>
  <c r="J74" i="113"/>
  <c r="K74" i="113" s="1"/>
  <c r="AV48" i="108"/>
  <c r="AV50" i="108"/>
  <c r="AV53" i="108"/>
  <c r="M7" i="109"/>
  <c r="L24" i="109"/>
  <c r="J7" i="109"/>
  <c r="K7" i="109" s="1"/>
  <c r="M3" i="109"/>
  <c r="J3" i="109"/>
  <c r="K3" i="109" s="1"/>
  <c r="L20" i="109"/>
  <c r="L21" i="109"/>
  <c r="K18" i="113"/>
  <c r="AV49" i="108"/>
  <c r="L32" i="113"/>
  <c r="M13" i="113"/>
  <c r="J13" i="113"/>
  <c r="L50" i="113"/>
  <c r="J8" i="109"/>
  <c r="K8" i="109" s="1"/>
  <c r="M8" i="109"/>
  <c r="L25" i="109"/>
  <c r="L59" i="113"/>
  <c r="L22" i="113"/>
  <c r="M3" i="113"/>
  <c r="J3" i="113"/>
  <c r="L23" i="113"/>
  <c r="L40" i="113"/>
  <c r="AV52" i="108"/>
  <c r="L34" i="113"/>
  <c r="M15" i="113"/>
  <c r="J15" i="113"/>
  <c r="L52" i="113"/>
  <c r="AY38" i="108"/>
  <c r="J71" i="113"/>
  <c r="K71" i="113" s="1"/>
  <c r="M71" i="113"/>
  <c r="M75" i="113"/>
  <c r="J75" i="113"/>
  <c r="K75" i="113" s="1"/>
  <c r="M56" i="113"/>
  <c r="J56" i="113"/>
  <c r="K56" i="113" s="1"/>
  <c r="L70" i="113"/>
  <c r="L33" i="113"/>
  <c r="M14" i="113"/>
  <c r="J14" i="113"/>
  <c r="L51" i="113"/>
  <c r="L36" i="113"/>
  <c r="M17" i="113"/>
  <c r="J17" i="113"/>
  <c r="L54" i="113"/>
  <c r="AH34" i="108"/>
  <c r="AH2" i="108"/>
  <c r="AH28" i="108" s="1"/>
  <c r="AV54" i="108"/>
  <c r="AH53" i="108"/>
  <c r="M72" i="113"/>
  <c r="J72" i="113"/>
  <c r="K72" i="113" s="1"/>
  <c r="M69" i="113"/>
  <c r="J69" i="113"/>
  <c r="K69" i="113" s="1"/>
  <c r="AH52" i="108"/>
  <c r="AH48" i="108"/>
  <c r="AX2" i="108"/>
  <c r="AX28" i="108" s="1"/>
  <c r="J26" i="113"/>
  <c r="Y29" i="115"/>
  <c r="AY39" i="108"/>
  <c r="AX41" i="108"/>
  <c r="J31" i="113"/>
  <c r="V27" i="109"/>
  <c r="W27" i="109" s="1"/>
  <c r="V30" i="109"/>
  <c r="T30" i="109" s="1"/>
  <c r="U30" i="109" s="1"/>
  <c r="Q29" i="113"/>
  <c r="J28" i="113"/>
  <c r="V29" i="109"/>
  <c r="W29" i="109" s="1"/>
  <c r="R7" i="113"/>
  <c r="R26" i="113" s="1"/>
  <c r="M29" i="113"/>
  <c r="V34" i="109"/>
  <c r="W34" i="109" s="1"/>
  <c r="V35" i="109"/>
  <c r="W35" i="109" s="1"/>
  <c r="Q28" i="113"/>
  <c r="Q26" i="113"/>
  <c r="K7" i="113"/>
  <c r="K26" i="113" s="1"/>
  <c r="M30" i="113"/>
  <c r="J29" i="113"/>
  <c r="W12" i="109"/>
  <c r="F31" i="107"/>
  <c r="BB45" i="108"/>
  <c r="AB27" i="115"/>
  <c r="J27" i="113"/>
  <c r="Y48" i="113"/>
  <c r="Z48" i="113" s="1"/>
  <c r="Q27" i="113"/>
  <c r="AX40" i="108"/>
  <c r="Q28" i="109"/>
  <c r="R28" i="109" s="1"/>
  <c r="O46" i="113"/>
  <c r="P46" i="113" s="1"/>
  <c r="V38" i="115"/>
  <c r="AX45" i="108"/>
  <c r="AB29" i="109"/>
  <c r="AX42" i="108"/>
  <c r="AY37" i="108"/>
  <c r="AX43" i="108"/>
  <c r="W31" i="109"/>
  <c r="T31" i="109"/>
  <c r="U31" i="109" s="1"/>
  <c r="BE37" i="108"/>
  <c r="AH32" i="109"/>
  <c r="AI32" i="109" s="1"/>
  <c r="AJ32" i="109" s="1"/>
  <c r="AK32" i="109" s="1"/>
  <c r="AL32" i="109" s="1"/>
  <c r="AH44" i="115"/>
  <c r="AD44" i="115" s="1"/>
  <c r="AE44" i="115" s="1"/>
  <c r="AF44" i="115" s="1"/>
  <c r="AG44" i="115" s="1"/>
  <c r="BD45" i="108"/>
  <c r="AC38" i="115"/>
  <c r="T12" i="109"/>
  <c r="U12" i="109" s="1"/>
  <c r="V32" i="109"/>
  <c r="W32" i="109" s="1"/>
  <c r="Q32" i="109"/>
  <c r="R32" i="109" s="1"/>
  <c r="V33" i="109"/>
  <c r="W33" i="109" s="1"/>
  <c r="R27" i="113"/>
  <c r="AH30" i="115"/>
  <c r="V28" i="109"/>
  <c r="W28" i="109" s="1"/>
  <c r="BD44" i="108"/>
  <c r="M25" i="113"/>
  <c r="O7" i="113"/>
  <c r="O29" i="113" s="1"/>
  <c r="BD41" i="108"/>
  <c r="AH27" i="109"/>
  <c r="AI27" i="109" s="1"/>
  <c r="AJ27" i="109" s="1"/>
  <c r="AK27" i="109" s="1"/>
  <c r="AL27" i="109" s="1"/>
  <c r="AL57" i="108"/>
  <c r="M28" i="113"/>
  <c r="M27" i="113"/>
  <c r="Q44" i="113"/>
  <c r="R44" i="113" s="1"/>
  <c r="AH34" i="109"/>
  <c r="AI34" i="109" s="1"/>
  <c r="AJ34" i="109" s="1"/>
  <c r="AK34" i="109" s="1"/>
  <c r="AL34" i="109" s="1"/>
  <c r="BD2" i="108"/>
  <c r="AH19" i="109" s="1"/>
  <c r="AH25" i="115"/>
  <c r="BB40" i="108"/>
  <c r="AB7" i="113"/>
  <c r="AB26" i="113" s="1"/>
  <c r="N38" i="113"/>
  <c r="AC38" i="113"/>
  <c r="BC37" i="108"/>
  <c r="BC38" i="108"/>
  <c r="W29" i="115"/>
  <c r="Q25" i="113"/>
  <c r="Q31" i="113"/>
  <c r="Q63" i="113"/>
  <c r="R63" i="113" s="1"/>
  <c r="BC39" i="108"/>
  <c r="Y7" i="113"/>
  <c r="Z7" i="113" s="1"/>
  <c r="AA27" i="113"/>
  <c r="F31" i="115"/>
  <c r="BB41" i="108"/>
  <c r="W24" i="115"/>
  <c r="AA29" i="113"/>
  <c r="AA63" i="113"/>
  <c r="AB63" i="113" s="1"/>
  <c r="M44" i="113"/>
  <c r="AA30" i="113"/>
  <c r="O49" i="113"/>
  <c r="P49" i="113" s="1"/>
  <c r="AA24" i="113"/>
  <c r="X38" i="115"/>
  <c r="AA31" i="113"/>
  <c r="BB44" i="108"/>
  <c r="W27" i="115"/>
  <c r="AH28" i="109"/>
  <c r="AI28" i="109" s="1"/>
  <c r="AJ28" i="109" s="1"/>
  <c r="AK28" i="109" s="1"/>
  <c r="AL28" i="109" s="1"/>
  <c r="BB43" i="108"/>
  <c r="BB42" i="108"/>
  <c r="BE38" i="108"/>
  <c r="AH27" i="115"/>
  <c r="Y30" i="115"/>
  <c r="AD46" i="113"/>
  <c r="AE46" i="113" s="1"/>
  <c r="AF46" i="113" s="1"/>
  <c r="AG46" i="113" s="1"/>
  <c r="BE39" i="108"/>
  <c r="AA28" i="113"/>
  <c r="O26" i="115"/>
  <c r="AD47" i="113"/>
  <c r="AE47" i="113" s="1"/>
  <c r="AF47" i="113" s="1"/>
  <c r="AG47" i="113" s="1"/>
  <c r="W28" i="115"/>
  <c r="AA26" i="113"/>
  <c r="AB30" i="115"/>
  <c r="AA44" i="113"/>
  <c r="AA447" i="116"/>
  <c r="AA484" i="116"/>
  <c r="AA376" i="116"/>
  <c r="AA411" i="116"/>
  <c r="E38" i="115"/>
  <c r="AD64" i="115"/>
  <c r="AE64" i="115" s="1"/>
  <c r="AF64" i="115" s="1"/>
  <c r="AG64" i="115" s="1"/>
  <c r="AP57" i="108"/>
  <c r="Y28" i="115"/>
  <c r="AH31" i="115"/>
  <c r="AF5" i="115"/>
  <c r="R42" i="113"/>
  <c r="O42" i="113"/>
  <c r="P42" i="113" s="1"/>
  <c r="A486" i="116"/>
  <c r="A487" i="116" s="1"/>
  <c r="AF11" i="115"/>
  <c r="AF8" i="115"/>
  <c r="AI43" i="113"/>
  <c r="AJ43" i="113" s="1"/>
  <c r="AK43" i="113" s="1"/>
  <c r="AL43" i="113" s="1"/>
  <c r="AD43" i="113"/>
  <c r="AE43" i="113" s="1"/>
  <c r="AF43" i="113" s="1"/>
  <c r="AG43" i="113" s="1"/>
  <c r="AH28" i="115"/>
  <c r="AB63" i="115"/>
  <c r="AB27" i="109"/>
  <c r="AK6" i="113"/>
  <c r="E38" i="113"/>
  <c r="AB35" i="109"/>
  <c r="Q34" i="109"/>
  <c r="R34" i="109" s="1"/>
  <c r="BD43" i="108"/>
  <c r="AF9" i="115"/>
  <c r="O48" i="113"/>
  <c r="P48" i="113" s="1"/>
  <c r="AK10" i="113"/>
  <c r="W30" i="115"/>
  <c r="O29" i="115"/>
  <c r="P10" i="115"/>
  <c r="R43" i="113"/>
  <c r="O43" i="113"/>
  <c r="P43" i="113" s="1"/>
  <c r="W31" i="115"/>
  <c r="AF8" i="113"/>
  <c r="Y26" i="115"/>
  <c r="Z7" i="115"/>
  <c r="Z26" i="115" s="1"/>
  <c r="AG12" i="113"/>
  <c r="AI7" i="113"/>
  <c r="AH26" i="113"/>
  <c r="AH24" i="113"/>
  <c r="AH25" i="113"/>
  <c r="AH28" i="113"/>
  <c r="AH29" i="113"/>
  <c r="AH63" i="113"/>
  <c r="AH27" i="113"/>
  <c r="AH31" i="113"/>
  <c r="AD7" i="113"/>
  <c r="AH30" i="113"/>
  <c r="F30" i="115"/>
  <c r="H9" i="115"/>
  <c r="AI48" i="113"/>
  <c r="AJ48" i="113" s="1"/>
  <c r="AK48" i="113" s="1"/>
  <c r="AL48" i="113" s="1"/>
  <c r="AD48" i="113"/>
  <c r="AE48" i="113" s="1"/>
  <c r="AF48" i="113" s="1"/>
  <c r="AG48" i="113" s="1"/>
  <c r="AB45" i="113"/>
  <c r="Y45" i="113"/>
  <c r="AG9" i="113"/>
  <c r="W25" i="115"/>
  <c r="AK11" i="113"/>
  <c r="F25" i="115"/>
  <c r="H12" i="115"/>
  <c r="AF10" i="115"/>
  <c r="AF5" i="113"/>
  <c r="AK9" i="113"/>
  <c r="W48" i="113"/>
  <c r="T48" i="113"/>
  <c r="U48" i="113" s="1"/>
  <c r="F28" i="115"/>
  <c r="AD7" i="115"/>
  <c r="H10" i="115"/>
  <c r="H6" i="115"/>
  <c r="Y43" i="113"/>
  <c r="AG11" i="113"/>
  <c r="AF12" i="115"/>
  <c r="AK12" i="113"/>
  <c r="F26" i="113"/>
  <c r="G7" i="113"/>
  <c r="G29" i="113" s="1"/>
  <c r="F24" i="113"/>
  <c r="F28" i="113"/>
  <c r="F31" i="113"/>
  <c r="F30" i="113"/>
  <c r="F25" i="113"/>
  <c r="F27" i="113"/>
  <c r="N38" i="115"/>
  <c r="F26" i="115"/>
  <c r="G7" i="115"/>
  <c r="F24" i="115"/>
  <c r="AB26" i="115"/>
  <c r="AB25" i="115"/>
  <c r="AB31" i="115"/>
  <c r="AB24" i="115"/>
  <c r="AH24" i="115"/>
  <c r="H11" i="115"/>
  <c r="W43" i="113"/>
  <c r="T43" i="113"/>
  <c r="AF6" i="115"/>
  <c r="BD40" i="108"/>
  <c r="Y25" i="115"/>
  <c r="AD68" i="115"/>
  <c r="AE68" i="115" s="1"/>
  <c r="AF68" i="115" s="1"/>
  <c r="AG68" i="115" s="1"/>
  <c r="F29" i="115"/>
  <c r="Y24" i="115"/>
  <c r="AK8" i="113"/>
  <c r="O45" i="113"/>
  <c r="P45" i="113" s="1"/>
  <c r="W63" i="115"/>
  <c r="M63" i="113"/>
  <c r="AH44" i="113"/>
  <c r="AD48" i="115"/>
  <c r="AE48" i="115" s="1"/>
  <c r="AF48" i="115" s="1"/>
  <c r="AG48" i="115" s="1"/>
  <c r="H10" i="113"/>
  <c r="F27" i="115"/>
  <c r="G8" i="115"/>
  <c r="A449" i="116"/>
  <c r="A450" i="116" s="1"/>
  <c r="O24" i="115"/>
  <c r="P5" i="115"/>
  <c r="O30" i="115"/>
  <c r="P11" i="115"/>
  <c r="O27" i="115"/>
  <c r="P8" i="115"/>
  <c r="V44" i="113"/>
  <c r="W7" i="113"/>
  <c r="V26" i="113"/>
  <c r="V63" i="113"/>
  <c r="V27" i="113"/>
  <c r="T7" i="113"/>
  <c r="V25" i="113"/>
  <c r="V28" i="113"/>
  <c r="V29" i="113"/>
  <c r="V24" i="113"/>
  <c r="V30" i="113"/>
  <c r="V31" i="113"/>
  <c r="AK5" i="113"/>
  <c r="AH26" i="115"/>
  <c r="AH63" i="115"/>
  <c r="AD63" i="115" s="1"/>
  <c r="AE63" i="115" s="1"/>
  <c r="AF63" i="115" s="1"/>
  <c r="AG63" i="115" s="1"/>
  <c r="AG6" i="113"/>
  <c r="Y31" i="115"/>
  <c r="AB29" i="115"/>
  <c r="AG10" i="113"/>
  <c r="O25" i="115"/>
  <c r="P6" i="115"/>
  <c r="X38" i="113"/>
  <c r="O31" i="115"/>
  <c r="P12" i="115"/>
  <c r="O28" i="115"/>
  <c r="P9" i="115"/>
  <c r="A414" i="116"/>
  <c r="F29" i="113"/>
  <c r="AB28" i="109"/>
  <c r="Y27" i="109"/>
  <c r="Z27" i="109" s="1"/>
  <c r="AB31" i="109"/>
  <c r="AB32" i="109"/>
  <c r="Y32" i="109"/>
  <c r="Z32" i="109" s="1"/>
  <c r="H16" i="113"/>
  <c r="H3" i="109"/>
  <c r="G20" i="109"/>
  <c r="G21" i="109"/>
  <c r="H14" i="113"/>
  <c r="H13" i="113"/>
  <c r="G26" i="109"/>
  <c r="G25" i="109"/>
  <c r="H8" i="109"/>
  <c r="H26" i="109" s="1"/>
  <c r="H18" i="113"/>
  <c r="H17" i="113"/>
  <c r="G24" i="107"/>
  <c r="H9" i="107"/>
  <c r="G26" i="107"/>
  <c r="H3" i="113"/>
  <c r="G21" i="107"/>
  <c r="H3" i="107"/>
  <c r="G20" i="107"/>
  <c r="G24" i="109"/>
  <c r="G25" i="107"/>
  <c r="H8" i="107"/>
  <c r="R31" i="109"/>
  <c r="O31" i="109"/>
  <c r="P31" i="109" s="1"/>
  <c r="AI12" i="109"/>
  <c r="AJ12" i="109" s="1"/>
  <c r="AK12" i="109" s="1"/>
  <c r="AL12" i="109" s="1"/>
  <c r="AH29" i="109"/>
  <c r="AI29" i="109" s="1"/>
  <c r="AJ29" i="109" s="1"/>
  <c r="AK29" i="109" s="1"/>
  <c r="AL29" i="109" s="1"/>
  <c r="Q30" i="109"/>
  <c r="AH30" i="109"/>
  <c r="AI30" i="109" s="1"/>
  <c r="AJ30" i="109" s="1"/>
  <c r="AK30" i="109" s="1"/>
  <c r="AL30" i="109" s="1"/>
  <c r="Y31" i="109"/>
  <c r="Z31" i="109" s="1"/>
  <c r="AN57" i="108"/>
  <c r="F12" i="109"/>
  <c r="E29" i="109"/>
  <c r="E31" i="109"/>
  <c r="E35" i="109"/>
  <c r="E33" i="109"/>
  <c r="E32" i="109"/>
  <c r="E34" i="109"/>
  <c r="E28" i="109"/>
  <c r="E27" i="109"/>
  <c r="E30" i="109"/>
  <c r="AA19" i="109"/>
  <c r="H16" i="109"/>
  <c r="H13" i="109"/>
  <c r="F35" i="107"/>
  <c r="Y28" i="109"/>
  <c r="Z28" i="109" s="1"/>
  <c r="H15" i="109"/>
  <c r="Y35" i="109"/>
  <c r="Z35" i="109" s="1"/>
  <c r="AK57" i="108"/>
  <c r="X19" i="109"/>
  <c r="AH33" i="109"/>
  <c r="Q35" i="109"/>
  <c r="V19" i="109"/>
  <c r="Y33" i="109"/>
  <c r="Z33" i="109" s="1"/>
  <c r="AB33" i="109"/>
  <c r="Y34" i="109"/>
  <c r="Z34" i="109" s="1"/>
  <c r="Y29" i="109"/>
  <c r="Z29" i="109" s="1"/>
  <c r="AB30" i="109"/>
  <c r="H10" i="109"/>
  <c r="R12" i="109"/>
  <c r="Q29" i="109"/>
  <c r="O12" i="109"/>
  <c r="P12" i="109" s="1"/>
  <c r="Q27" i="109"/>
  <c r="H14" i="109"/>
  <c r="H18" i="109"/>
  <c r="Q33" i="109"/>
  <c r="AJ57" i="108"/>
  <c r="S19" i="109"/>
  <c r="AH35" i="109"/>
  <c r="AH31" i="109"/>
  <c r="AI31" i="109" s="1"/>
  <c r="AJ31" i="109" s="1"/>
  <c r="AK31" i="109" s="1"/>
  <c r="AL31" i="109" s="1"/>
  <c r="H10" i="107"/>
  <c r="G12" i="107"/>
  <c r="G28" i="107" s="1"/>
  <c r="F29" i="107"/>
  <c r="H18" i="107"/>
  <c r="F33" i="107"/>
  <c r="H14" i="107"/>
  <c r="F30" i="107"/>
  <c r="F34" i="107"/>
  <c r="F28" i="107"/>
  <c r="F27" i="107"/>
  <c r="H11" i="107"/>
  <c r="Z32" i="107"/>
  <c r="AG21" i="107"/>
  <c r="AG20" i="107"/>
  <c r="O33" i="107"/>
  <c r="Z34" i="107"/>
  <c r="Z30" i="107"/>
  <c r="Z28" i="107"/>
  <c r="Z35" i="107"/>
  <c r="Z31" i="107"/>
  <c r="Z29" i="107"/>
  <c r="W35" i="107"/>
  <c r="W27" i="107"/>
  <c r="W31" i="107"/>
  <c r="W28" i="107"/>
  <c r="W32" i="107"/>
  <c r="W33" i="107"/>
  <c r="W30" i="107"/>
  <c r="W29" i="107"/>
  <c r="W34" i="107"/>
  <c r="O30" i="107"/>
  <c r="O27" i="107"/>
  <c r="O29" i="107"/>
  <c r="O28" i="107"/>
  <c r="BC28" i="52"/>
  <c r="AC19" i="107"/>
  <c r="O34" i="107"/>
  <c r="AW28" i="52"/>
  <c r="N19" i="107"/>
  <c r="O31" i="107"/>
  <c r="O32" i="107"/>
  <c r="O35" i="107"/>
  <c r="BA28" i="52"/>
  <c r="X19" i="107"/>
  <c r="AH29" i="107"/>
  <c r="AD12" i="107"/>
  <c r="AE12" i="107" s="1"/>
  <c r="AF12" i="107" s="1"/>
  <c r="AG12" i="107" s="1"/>
  <c r="AH19" i="107"/>
  <c r="AH31" i="107"/>
  <c r="AH30" i="107"/>
  <c r="AH33" i="107"/>
  <c r="AH27" i="107"/>
  <c r="AH34" i="107"/>
  <c r="AH28" i="107"/>
  <c r="AH32" i="107"/>
  <c r="AH35" i="107"/>
  <c r="AU28" i="52"/>
  <c r="I19" i="107"/>
  <c r="AM57" i="52"/>
  <c r="AO57" i="52"/>
  <c r="AP42" i="52"/>
  <c r="AP2" i="52"/>
  <c r="AP28" i="52" s="1"/>
  <c r="AP37" i="52"/>
  <c r="AP44" i="52"/>
  <c r="AP45" i="52"/>
  <c r="AP43" i="52"/>
  <c r="AP38" i="52"/>
  <c r="AP39" i="52"/>
  <c r="AP40" i="52"/>
  <c r="W3" i="52"/>
  <c r="W31" i="52" s="1"/>
  <c r="O29" i="52"/>
  <c r="W17" i="52"/>
  <c r="O33" i="52"/>
  <c r="W21" i="52"/>
  <c r="O30" i="52"/>
  <c r="W18" i="52"/>
  <c r="O34" i="52"/>
  <c r="W22" i="52"/>
  <c r="O31" i="52"/>
  <c r="W19" i="52"/>
  <c r="O38" i="52"/>
  <c r="W23" i="52"/>
  <c r="O32" i="52"/>
  <c r="W20" i="52"/>
  <c r="C5" i="104"/>
  <c r="C49" i="104" s="1"/>
  <c r="S5" i="104"/>
  <c r="Q38" i="104"/>
  <c r="Z41" i="104"/>
  <c r="F35" i="104"/>
  <c r="Z37" i="104"/>
  <c r="H41" i="104"/>
  <c r="F22" i="104"/>
  <c r="C23" i="104"/>
  <c r="S41" i="104"/>
  <c r="C46" i="104"/>
  <c r="G46" i="104" s="1"/>
  <c r="Q46" i="104" s="1"/>
  <c r="Z46" i="104" s="1"/>
  <c r="E11" i="104"/>
  <c r="E19" i="104"/>
  <c r="E10" i="104" s="1"/>
  <c r="Y43" i="104"/>
  <c r="D41" i="104"/>
  <c r="E3" i="52"/>
  <c r="E28" i="52"/>
  <c r="G28" i="52"/>
  <c r="O28" i="52" s="1" a="1"/>
  <c r="O28" i="52" s="1"/>
  <c r="E9" i="52"/>
  <c r="G3" i="52"/>
  <c r="O3" i="52" s="1"/>
  <c r="Z43" i="70"/>
  <c r="U5" i="70"/>
  <c r="G17" i="70"/>
  <c r="G19" i="70"/>
  <c r="E34" i="70"/>
  <c r="E30" i="70"/>
  <c r="G24" i="70"/>
  <c r="Z40" i="70"/>
  <c r="S5" i="70"/>
  <c r="D13" i="70"/>
  <c r="T5" i="70"/>
  <c r="G18" i="70"/>
  <c r="G37" i="70"/>
  <c r="Y43" i="70"/>
  <c r="C39" i="70"/>
  <c r="M34" i="52" s="1"/>
  <c r="P34" i="52" s="1"/>
  <c r="G47" i="70"/>
  <c r="Q47" i="70" s="1"/>
  <c r="F22" i="70"/>
  <c r="G45" i="70"/>
  <c r="Q45" i="70" s="1"/>
  <c r="X5" i="70"/>
  <c r="T3" i="52"/>
  <c r="T30" i="52" s="1"/>
  <c r="T16" i="52"/>
  <c r="T45" i="52" s="1"/>
  <c r="D28" i="52"/>
  <c r="D3" i="52"/>
  <c r="AA485" i="116" a="1"/>
  <c r="AA448" i="116" a="1"/>
  <c r="AA413" i="116" a="1"/>
  <c r="Z45" i="113" l="1"/>
  <c r="U43" i="113"/>
  <c r="Z43" i="113"/>
  <c r="R29" i="113"/>
  <c r="T28" i="109"/>
  <c r="U28" i="109" s="1"/>
  <c r="M29" i="52"/>
  <c r="P29" i="52" s="1"/>
  <c r="G23" i="70"/>
  <c r="H22" i="70" s="1"/>
  <c r="J22" i="70" s="1"/>
  <c r="Q22" i="70" s="1"/>
  <c r="R22" i="70" s="1"/>
  <c r="E31" i="70"/>
  <c r="G31" i="70" s="1"/>
  <c r="E28" i="70"/>
  <c r="G28" i="70" s="1"/>
  <c r="E27" i="70"/>
  <c r="G27" i="70" s="1"/>
  <c r="E32" i="70"/>
  <c r="G32" i="70" s="1"/>
  <c r="E33" i="70"/>
  <c r="CG6" i="52" s="1"/>
  <c r="E26" i="70"/>
  <c r="CG19" i="52" s="1"/>
  <c r="D41" i="70"/>
  <c r="R31" i="113"/>
  <c r="R28" i="113"/>
  <c r="L19" i="109"/>
  <c r="M33" i="113"/>
  <c r="AL36" i="113"/>
  <c r="Q19" i="109"/>
  <c r="G29" i="70"/>
  <c r="CG18" i="52"/>
  <c r="G30" i="70"/>
  <c r="CG22" i="52"/>
  <c r="G34" i="70"/>
  <c r="CG25" i="52"/>
  <c r="AM4" i="115"/>
  <c r="CV5" i="52"/>
  <c r="AM4" i="107"/>
  <c r="CG23" i="52"/>
  <c r="CG17" i="52"/>
  <c r="G33" i="70"/>
  <c r="L38" i="113"/>
  <c r="T29" i="109"/>
  <c r="U29" i="109" s="1"/>
  <c r="AL22" i="113"/>
  <c r="AL23" i="113"/>
  <c r="AL35" i="113"/>
  <c r="AL32" i="113"/>
  <c r="AL34" i="113"/>
  <c r="AL33" i="113"/>
  <c r="AL37" i="113"/>
  <c r="M32" i="113"/>
  <c r="M40" i="113"/>
  <c r="J40" i="113"/>
  <c r="K40" i="113" s="1"/>
  <c r="M26" i="109"/>
  <c r="J26" i="109"/>
  <c r="K26" i="109" s="1"/>
  <c r="M50" i="113"/>
  <c r="J50" i="113"/>
  <c r="K50" i="113" s="1"/>
  <c r="M24" i="109"/>
  <c r="J24" i="109"/>
  <c r="K24" i="109" s="1"/>
  <c r="M54" i="113"/>
  <c r="J54" i="113"/>
  <c r="K54" i="113" s="1"/>
  <c r="M70" i="113"/>
  <c r="J70" i="113"/>
  <c r="K70" i="113" s="1"/>
  <c r="J32" i="113"/>
  <c r="K13" i="113"/>
  <c r="J36" i="113"/>
  <c r="K17" i="113"/>
  <c r="J22" i="113"/>
  <c r="K3" i="113"/>
  <c r="J23" i="113"/>
  <c r="M37" i="113"/>
  <c r="AH57" i="108"/>
  <c r="O44" i="113"/>
  <c r="P44" i="113" s="1"/>
  <c r="M36" i="113"/>
  <c r="M22" i="113"/>
  <c r="M23" i="113"/>
  <c r="M53" i="113"/>
  <c r="J53" i="113"/>
  <c r="K53" i="113" s="1"/>
  <c r="W30" i="109"/>
  <c r="J37" i="113"/>
  <c r="J35" i="113"/>
  <c r="K16" i="113"/>
  <c r="M34" i="113"/>
  <c r="M51" i="113"/>
  <c r="J51" i="113"/>
  <c r="K51" i="113" s="1"/>
  <c r="J52" i="113"/>
  <c r="K52" i="113" s="1"/>
  <c r="M52" i="113"/>
  <c r="J59" i="113"/>
  <c r="K59" i="113" s="1"/>
  <c r="M59" i="113"/>
  <c r="M21" i="109"/>
  <c r="J21" i="109"/>
  <c r="K21" i="109" s="1"/>
  <c r="M35" i="113"/>
  <c r="J33" i="113"/>
  <c r="K14" i="113"/>
  <c r="J34" i="113"/>
  <c r="K15" i="113"/>
  <c r="J25" i="109"/>
  <c r="K25" i="109" s="1"/>
  <c r="M25" i="109"/>
  <c r="M20" i="109"/>
  <c r="J20" i="109"/>
  <c r="K20" i="109" s="1"/>
  <c r="AD34" i="109"/>
  <c r="AE34" i="109" s="1"/>
  <c r="AF34" i="109" s="1"/>
  <c r="AG34" i="109" s="1"/>
  <c r="T27" i="109"/>
  <c r="U27" i="109" s="1"/>
  <c r="O28" i="113"/>
  <c r="O28" i="109"/>
  <c r="P28" i="109" s="1"/>
  <c r="T34" i="109"/>
  <c r="U34" i="109" s="1"/>
  <c r="O25" i="113"/>
  <c r="K30" i="113"/>
  <c r="T35" i="109"/>
  <c r="U35" i="109" s="1"/>
  <c r="O30" i="113"/>
  <c r="K31" i="113"/>
  <c r="O27" i="113"/>
  <c r="R25" i="113"/>
  <c r="R24" i="113"/>
  <c r="O31" i="113"/>
  <c r="K24" i="113"/>
  <c r="K29" i="113"/>
  <c r="K27" i="113"/>
  <c r="AD32" i="109"/>
  <c r="AE32" i="109" s="1"/>
  <c r="AF32" i="109" s="1"/>
  <c r="AG32" i="109" s="1"/>
  <c r="K28" i="113"/>
  <c r="K25" i="113"/>
  <c r="R30" i="113"/>
  <c r="AD27" i="109"/>
  <c r="AE27" i="109" s="1"/>
  <c r="AF27" i="109" s="1"/>
  <c r="AG27" i="109" s="1"/>
  <c r="Y25" i="113"/>
  <c r="Q38" i="113"/>
  <c r="Z30" i="113"/>
  <c r="Z25" i="113"/>
  <c r="Z31" i="113"/>
  <c r="Z24" i="113"/>
  <c r="O24" i="113"/>
  <c r="T32" i="109"/>
  <c r="U32" i="109" s="1"/>
  <c r="P7" i="113"/>
  <c r="P28" i="113" s="1"/>
  <c r="T33" i="109"/>
  <c r="U33" i="109" s="1"/>
  <c r="O26" i="113"/>
  <c r="Y31" i="113"/>
  <c r="AA38" i="113"/>
  <c r="Z28" i="115"/>
  <c r="G30" i="115"/>
  <c r="O32" i="109"/>
  <c r="P32" i="109" s="1"/>
  <c r="Y26" i="113"/>
  <c r="AB24" i="113"/>
  <c r="Z29" i="115"/>
  <c r="G29" i="115"/>
  <c r="Y24" i="113"/>
  <c r="Y30" i="113"/>
  <c r="Y27" i="113"/>
  <c r="Y29" i="113"/>
  <c r="AB38" i="115"/>
  <c r="AD28" i="109"/>
  <c r="AE28" i="109" s="1"/>
  <c r="AF28" i="109" s="1"/>
  <c r="AG28" i="109" s="1"/>
  <c r="P27" i="115"/>
  <c r="Z30" i="115"/>
  <c r="Z28" i="113"/>
  <c r="Y63" i="113"/>
  <c r="Z63" i="113" s="1"/>
  <c r="G31" i="115"/>
  <c r="AB44" i="113"/>
  <c r="Y44" i="113"/>
  <c r="Z44" i="113" s="1"/>
  <c r="AB27" i="113"/>
  <c r="AB28" i="113"/>
  <c r="AB31" i="113"/>
  <c r="AB29" i="113"/>
  <c r="AB30" i="113"/>
  <c r="AB25" i="113"/>
  <c r="Y28" i="113"/>
  <c r="O63" i="113"/>
  <c r="P63" i="113" s="1"/>
  <c r="AA413" i="116"/>
  <c r="AA448" i="116"/>
  <c r="AA485" i="116"/>
  <c r="U7" i="113"/>
  <c r="T26" i="113"/>
  <c r="T30" i="113"/>
  <c r="T28" i="113"/>
  <c r="T25" i="113"/>
  <c r="T27" i="113"/>
  <c r="T24" i="113"/>
  <c r="T31" i="113"/>
  <c r="T29" i="113"/>
  <c r="AG5" i="115"/>
  <c r="P24" i="115"/>
  <c r="O34" i="109"/>
  <c r="P34" i="109" s="1"/>
  <c r="Y38" i="115"/>
  <c r="F38" i="115"/>
  <c r="Z24" i="115"/>
  <c r="AG5" i="113"/>
  <c r="AL11" i="113"/>
  <c r="P31" i="115"/>
  <c r="G26" i="115"/>
  <c r="H7" i="115"/>
  <c r="G24" i="115"/>
  <c r="AL12" i="113"/>
  <c r="W38" i="115"/>
  <c r="AE7" i="113"/>
  <c r="AD26" i="113"/>
  <c r="AD28" i="113"/>
  <c r="AD30" i="113"/>
  <c r="AD29" i="113"/>
  <c r="AD31" i="113"/>
  <c r="AD24" i="113"/>
  <c r="AD27" i="113"/>
  <c r="AD25" i="113"/>
  <c r="AG12" i="115"/>
  <c r="AI44" i="113"/>
  <c r="AJ44" i="113" s="1"/>
  <c r="AK44" i="113" s="1"/>
  <c r="AL44" i="113" s="1"/>
  <c r="AD44" i="113"/>
  <c r="AE44" i="113" s="1"/>
  <c r="AF44" i="113" s="1"/>
  <c r="AG44" i="113" s="1"/>
  <c r="AD63" i="113"/>
  <c r="AE63" i="113" s="1"/>
  <c r="AF63" i="113" s="1"/>
  <c r="AG63" i="113" s="1"/>
  <c r="AI63" i="113"/>
  <c r="AJ63" i="113" s="1"/>
  <c r="AK63" i="113" s="1"/>
  <c r="AL63" i="113" s="1"/>
  <c r="O38" i="115"/>
  <c r="Z25" i="115"/>
  <c r="Z31" i="115"/>
  <c r="W44" i="113"/>
  <c r="T44" i="113"/>
  <c r="U44" i="113" s="1"/>
  <c r="F38" i="113"/>
  <c r="AH38" i="113"/>
  <c r="AL10" i="113"/>
  <c r="AL6" i="113"/>
  <c r="AG10" i="115"/>
  <c r="AG8" i="115"/>
  <c r="AG11" i="115"/>
  <c r="A451" i="116"/>
  <c r="G26" i="113"/>
  <c r="H7" i="113"/>
  <c r="H29" i="113" s="1"/>
  <c r="G30" i="113"/>
  <c r="G24" i="113"/>
  <c r="G27" i="113"/>
  <c r="G31" i="113"/>
  <c r="G25" i="113"/>
  <c r="G28" i="113"/>
  <c r="AD26" i="115"/>
  <c r="AE7" i="115"/>
  <c r="AD24" i="115"/>
  <c r="AD30" i="115"/>
  <c r="AD31" i="115"/>
  <c r="AD27" i="115"/>
  <c r="AD29" i="115"/>
  <c r="AD25" i="115"/>
  <c r="AD28" i="115"/>
  <c r="P29" i="115"/>
  <c r="P25" i="115"/>
  <c r="AL5" i="113"/>
  <c r="P28" i="115"/>
  <c r="G27" i="115"/>
  <c r="H8" i="115"/>
  <c r="AG6" i="115"/>
  <c r="G28" i="115"/>
  <c r="AJ7" i="113"/>
  <c r="AI26" i="113"/>
  <c r="AI27" i="113"/>
  <c r="AI25" i="113"/>
  <c r="AI29" i="113"/>
  <c r="AI31" i="113"/>
  <c r="AI30" i="113"/>
  <c r="AI24" i="113"/>
  <c r="AI28" i="113"/>
  <c r="AG8" i="113"/>
  <c r="AG9" i="115"/>
  <c r="A488" i="116"/>
  <c r="Z26" i="113"/>
  <c r="Z27" i="113"/>
  <c r="P30" i="115"/>
  <c r="W63" i="113"/>
  <c r="T63" i="113"/>
  <c r="U63" i="113" s="1"/>
  <c r="AH38" i="115"/>
  <c r="P26" i="115"/>
  <c r="W26" i="113"/>
  <c r="W30" i="113"/>
  <c r="W28" i="113"/>
  <c r="W24" i="113"/>
  <c r="W31" i="113"/>
  <c r="W25" i="113"/>
  <c r="W27" i="113"/>
  <c r="W29" i="113"/>
  <c r="V38" i="113"/>
  <c r="AL8" i="113"/>
  <c r="Z27" i="115"/>
  <c r="G25" i="115"/>
  <c r="AL9" i="113"/>
  <c r="Z29" i="113"/>
  <c r="AD31" i="109"/>
  <c r="AE31" i="109" s="1"/>
  <c r="AF31" i="109" s="1"/>
  <c r="AG31" i="109" s="1"/>
  <c r="H25" i="107"/>
  <c r="H20" i="107"/>
  <c r="H21" i="107"/>
  <c r="H20" i="109"/>
  <c r="H21" i="109"/>
  <c r="H24" i="107"/>
  <c r="H24" i="109"/>
  <c r="H25" i="109"/>
  <c r="H26" i="107"/>
  <c r="G12" i="109"/>
  <c r="F29" i="109"/>
  <c r="F28" i="109"/>
  <c r="F35" i="109"/>
  <c r="F31" i="109"/>
  <c r="F33" i="109"/>
  <c r="F27" i="109"/>
  <c r="F34" i="109"/>
  <c r="F30" i="109"/>
  <c r="F32" i="109"/>
  <c r="R30" i="109"/>
  <c r="O30" i="109"/>
  <c r="P30" i="109" s="1"/>
  <c r="R33" i="109"/>
  <c r="O33" i="109"/>
  <c r="P33" i="109" s="1"/>
  <c r="AD30" i="109"/>
  <c r="AE30" i="109" s="1"/>
  <c r="AF30" i="109" s="1"/>
  <c r="AG30" i="109" s="1"/>
  <c r="R35" i="109"/>
  <c r="O35" i="109"/>
  <c r="P35" i="109" s="1"/>
  <c r="AI33" i="109"/>
  <c r="AJ33" i="109" s="1"/>
  <c r="AK33" i="109" s="1"/>
  <c r="AL33" i="109" s="1"/>
  <c r="AD33" i="109"/>
  <c r="AE33" i="109" s="1"/>
  <c r="AF33" i="109" s="1"/>
  <c r="AG33" i="109" s="1"/>
  <c r="R29" i="109"/>
  <c r="O29" i="109"/>
  <c r="P29" i="109" s="1"/>
  <c r="AI35" i="109"/>
  <c r="AJ35" i="109" s="1"/>
  <c r="AK35" i="109" s="1"/>
  <c r="AL35" i="109" s="1"/>
  <c r="AD35" i="109"/>
  <c r="AE35" i="109" s="1"/>
  <c r="AF35" i="109" s="1"/>
  <c r="AG35" i="109" s="1"/>
  <c r="O27" i="109"/>
  <c r="P27" i="109" s="1"/>
  <c r="R27" i="109"/>
  <c r="AD29" i="109"/>
  <c r="AE29" i="109" s="1"/>
  <c r="AF29" i="109" s="1"/>
  <c r="AG29" i="109" s="1"/>
  <c r="H12" i="107"/>
  <c r="H31" i="107" s="1"/>
  <c r="G29" i="107"/>
  <c r="G33" i="107"/>
  <c r="G35" i="107"/>
  <c r="G32" i="107"/>
  <c r="G30" i="107"/>
  <c r="G27" i="107"/>
  <c r="G34" i="107"/>
  <c r="G31" i="107"/>
  <c r="P33" i="107"/>
  <c r="P27" i="107"/>
  <c r="P30" i="107"/>
  <c r="P28" i="107"/>
  <c r="P29" i="107"/>
  <c r="P35" i="107"/>
  <c r="P32" i="107"/>
  <c r="P31" i="107"/>
  <c r="P34" i="107"/>
  <c r="AD29" i="107"/>
  <c r="AD35" i="107"/>
  <c r="AD32" i="107"/>
  <c r="AD28" i="107"/>
  <c r="AD33" i="107"/>
  <c r="AD30" i="107"/>
  <c r="AD31" i="107"/>
  <c r="AD34" i="107"/>
  <c r="AD27" i="107"/>
  <c r="AP57" i="52"/>
  <c r="M13" i="52"/>
  <c r="M19" i="52"/>
  <c r="M12" i="52"/>
  <c r="M11" i="52"/>
  <c r="M10" i="52"/>
  <c r="M17" i="52"/>
  <c r="M18" i="52"/>
  <c r="M14" i="52"/>
  <c r="W30" i="52"/>
  <c r="W16" i="52"/>
  <c r="W48" i="52" s="1"/>
  <c r="E2" i="52"/>
  <c r="E39" i="52" s="1"/>
  <c r="G17" i="52"/>
  <c r="W13" i="52" s="1"/>
  <c r="G13" i="52"/>
  <c r="W11" i="52" s="1"/>
  <c r="G10" i="52"/>
  <c r="W8" i="52" s="1"/>
  <c r="G19" i="52"/>
  <c r="W15" i="52" s="1"/>
  <c r="G18" i="52"/>
  <c r="W14" i="52" s="1"/>
  <c r="G14" i="52"/>
  <c r="W12" i="52" s="1"/>
  <c r="G12" i="52"/>
  <c r="W10" i="52" s="1"/>
  <c r="G11" i="52"/>
  <c r="W9" i="52" s="1"/>
  <c r="H13" i="104"/>
  <c r="J13" i="104" s="1"/>
  <c r="Q13" i="104" s="1"/>
  <c r="E31" i="104"/>
  <c r="G31" i="104" s="1"/>
  <c r="E28" i="104"/>
  <c r="G28" i="104" s="1"/>
  <c r="E34" i="104"/>
  <c r="G34" i="104" s="1"/>
  <c r="E30" i="104"/>
  <c r="G30" i="104" s="1"/>
  <c r="E26" i="104"/>
  <c r="G26" i="104" s="1"/>
  <c r="H30" i="104" s="1"/>
  <c r="J30" i="104" s="1"/>
  <c r="Q30" i="104" s="1"/>
  <c r="R30" i="104" s="1"/>
  <c r="R41" i="104"/>
  <c r="E33" i="104"/>
  <c r="G33" i="104" s="1"/>
  <c r="E29" i="104"/>
  <c r="G29" i="104" s="1"/>
  <c r="E27" i="104"/>
  <c r="G27" i="104" s="1"/>
  <c r="D22" i="104"/>
  <c r="G23" i="104"/>
  <c r="H22" i="104" s="1"/>
  <c r="J22" i="104" s="1"/>
  <c r="Q22" i="104" s="1"/>
  <c r="E32" i="104"/>
  <c r="G32" i="104" s="1"/>
  <c r="Z45" i="70"/>
  <c r="Z47" i="70"/>
  <c r="G39" i="70"/>
  <c r="DL10" i="52"/>
  <c r="C5" i="70"/>
  <c r="C49" i="70" s="1"/>
  <c r="Z37" i="70"/>
  <c r="G46" i="70"/>
  <c r="Q46" i="70" s="1"/>
  <c r="G42" i="70"/>
  <c r="T43" i="52"/>
  <c r="T47" i="52"/>
  <c r="T46" i="52"/>
  <c r="T48" i="52"/>
  <c r="T44" i="52"/>
  <c r="T31" i="52"/>
  <c r="AA450" i="116" a="1"/>
  <c r="AA487" i="116" a="1"/>
  <c r="CG28" i="52" l="1"/>
  <c r="AQ22" i="52"/>
  <c r="BE22" i="52"/>
  <c r="BS20" i="52" s="1"/>
  <c r="M28" i="52"/>
  <c r="P28" i="52" s="1" a="1"/>
  <c r="P28" i="52" s="1"/>
  <c r="CG21" i="52"/>
  <c r="E49" i="70"/>
  <c r="G26" i="70"/>
  <c r="H30" i="70" s="1"/>
  <c r="BE20" i="52" s="1"/>
  <c r="J38" i="113"/>
  <c r="J30" i="70"/>
  <c r="Q30" i="70" s="1"/>
  <c r="R30" i="70" s="1"/>
  <c r="DL24" i="52"/>
  <c r="BE26" i="52"/>
  <c r="AQ26" i="52"/>
  <c r="DL23" i="52"/>
  <c r="BE25" i="52"/>
  <c r="AQ25" i="52"/>
  <c r="DL6" i="52"/>
  <c r="CV6" i="52" s="1"/>
  <c r="DL18" i="52"/>
  <c r="AQ24" i="52"/>
  <c r="BE24" i="52"/>
  <c r="DL17" i="52"/>
  <c r="AQ19" i="52"/>
  <c r="BE19" i="52"/>
  <c r="AI4" i="107"/>
  <c r="AJ4" i="107" s="1"/>
  <c r="AK4" i="107" s="1"/>
  <c r="AL4" i="107" s="1"/>
  <c r="DL19" i="52"/>
  <c r="DL25" i="52"/>
  <c r="AQ27" i="52"/>
  <c r="BE27" i="52"/>
  <c r="AQ4" i="52"/>
  <c r="BE4" i="52"/>
  <c r="AM60" i="115"/>
  <c r="AI60" i="115" s="1"/>
  <c r="AJ60" i="115" s="1"/>
  <c r="AK60" i="115" s="1"/>
  <c r="AL60" i="115" s="1"/>
  <c r="AI4" i="115"/>
  <c r="DL22" i="52"/>
  <c r="DL21" i="52"/>
  <c r="AQ23" i="52"/>
  <c r="M38" i="113"/>
  <c r="K35" i="113"/>
  <c r="K33" i="113"/>
  <c r="R38" i="113"/>
  <c r="K34" i="113"/>
  <c r="K22" i="113"/>
  <c r="K23" i="113"/>
  <c r="K36" i="113"/>
  <c r="K37" i="113"/>
  <c r="K32" i="113"/>
  <c r="P29" i="113"/>
  <c r="H29" i="115"/>
  <c r="P25" i="113"/>
  <c r="Y38" i="113"/>
  <c r="P27" i="113"/>
  <c r="P31" i="113"/>
  <c r="P26" i="113"/>
  <c r="P30" i="113"/>
  <c r="O38" i="113"/>
  <c r="AB38" i="113"/>
  <c r="P24" i="113"/>
  <c r="Z38" i="113"/>
  <c r="Z38" i="115"/>
  <c r="W38" i="113"/>
  <c r="G38" i="115"/>
  <c r="H26" i="115"/>
  <c r="AA487" i="116"/>
  <c r="AA450" i="116"/>
  <c r="H28" i="115"/>
  <c r="T38" i="113"/>
  <c r="AK7" i="113"/>
  <c r="AJ26" i="113"/>
  <c r="AJ30" i="113"/>
  <c r="AJ28" i="113"/>
  <c r="AJ27" i="113"/>
  <c r="AJ25" i="113"/>
  <c r="AJ31" i="113"/>
  <c r="AJ29" i="113"/>
  <c r="AJ24" i="113"/>
  <c r="U26" i="113"/>
  <c r="U31" i="113"/>
  <c r="U28" i="113"/>
  <c r="U24" i="113"/>
  <c r="U25" i="113"/>
  <c r="U30" i="113"/>
  <c r="U27" i="113"/>
  <c r="U29" i="113"/>
  <c r="AI38" i="113"/>
  <c r="H25" i="115"/>
  <c r="P38" i="115"/>
  <c r="AF7" i="113"/>
  <c r="AE26" i="113"/>
  <c r="AE29" i="113"/>
  <c r="AE25" i="113"/>
  <c r="AE31" i="113"/>
  <c r="AE28" i="113"/>
  <c r="AE27" i="113"/>
  <c r="AE30" i="113"/>
  <c r="AE24" i="113"/>
  <c r="G38" i="113"/>
  <c r="H27" i="115"/>
  <c r="H26" i="113"/>
  <c r="H25" i="113"/>
  <c r="H27" i="113"/>
  <c r="H30" i="113"/>
  <c r="H31" i="113"/>
  <c r="H24" i="113"/>
  <c r="H28" i="113"/>
  <c r="AD38" i="113"/>
  <c r="H24" i="115"/>
  <c r="AD38" i="115"/>
  <c r="AE26" i="115"/>
  <c r="AF7" i="115"/>
  <c r="AE28" i="115"/>
  <c r="AE25" i="115"/>
  <c r="AE27" i="115"/>
  <c r="AE24" i="115"/>
  <c r="AE30" i="115"/>
  <c r="AE31" i="115"/>
  <c r="AE29" i="115"/>
  <c r="H31" i="115"/>
  <c r="H30" i="115"/>
  <c r="H28" i="107"/>
  <c r="H35" i="107"/>
  <c r="H32" i="107"/>
  <c r="H12" i="109"/>
  <c r="G33" i="109"/>
  <c r="G29" i="109"/>
  <c r="G27" i="109"/>
  <c r="G28" i="109"/>
  <c r="G34" i="109"/>
  <c r="G31" i="109"/>
  <c r="G30" i="109"/>
  <c r="G32" i="109"/>
  <c r="G35" i="109"/>
  <c r="H29" i="107"/>
  <c r="H33" i="107"/>
  <c r="H34" i="107"/>
  <c r="H30" i="107"/>
  <c r="H27" i="107"/>
  <c r="AE34" i="107"/>
  <c r="AE31" i="107"/>
  <c r="AE27" i="107"/>
  <c r="AE30" i="107"/>
  <c r="AE33" i="107"/>
  <c r="AE28" i="107"/>
  <c r="AE32" i="107"/>
  <c r="AE35" i="107"/>
  <c r="AE29" i="107"/>
  <c r="BE11" i="52"/>
  <c r="DL9" i="52"/>
  <c r="AQ10" i="52"/>
  <c r="BE10" i="52"/>
  <c r="AQ11" i="52"/>
  <c r="M48" i="52"/>
  <c r="DL8" i="52"/>
  <c r="BE9" i="52"/>
  <c r="AQ9" i="52"/>
  <c r="AQ17" i="52"/>
  <c r="DL15" i="52"/>
  <c r="DL13" i="52"/>
  <c r="DL14" i="52"/>
  <c r="DL16" i="52"/>
  <c r="BE16" i="52"/>
  <c r="BE17" i="52"/>
  <c r="BE14" i="52"/>
  <c r="DL12" i="52"/>
  <c r="AQ15" i="52"/>
  <c r="BE15" i="52"/>
  <c r="AQ14" i="52"/>
  <c r="AQ16" i="52"/>
  <c r="DL11" i="52"/>
  <c r="AQ12" i="52"/>
  <c r="BE12" i="52"/>
  <c r="W45" i="52"/>
  <c r="W46" i="52"/>
  <c r="W43" i="52"/>
  <c r="W47" i="52"/>
  <c r="W44" i="52"/>
  <c r="W7" i="52"/>
  <c r="W2" i="52" s="1"/>
  <c r="E47" i="52"/>
  <c r="E41" i="52"/>
  <c r="M9" i="52"/>
  <c r="P9" i="52" s="1"/>
  <c r="G20" i="70"/>
  <c r="G48" i="52"/>
  <c r="G9" i="52"/>
  <c r="Q5" i="104"/>
  <c r="R13" i="104"/>
  <c r="Q51" i="104"/>
  <c r="R22" i="104"/>
  <c r="E49" i="104"/>
  <c r="Z46" i="70"/>
  <c r="H41" i="70"/>
  <c r="Q38" i="70"/>
  <c r="Q42" i="70"/>
  <c r="Z42" i="70" s="1"/>
  <c r="H13" i="70"/>
  <c r="Z39" i="70"/>
  <c r="CG7" i="52" s="1"/>
  <c r="BS5" i="52" s="1"/>
  <c r="CV25" i="52" l="1"/>
  <c r="AM75" i="115" s="1"/>
  <c r="AI75" i="115" s="1"/>
  <c r="AJ75" i="115" s="1"/>
  <c r="AK75" i="115" s="1"/>
  <c r="AL75" i="115" s="1"/>
  <c r="CV20" i="52"/>
  <c r="AQ21" i="52"/>
  <c r="AQ20" i="52"/>
  <c r="BE23" i="52"/>
  <c r="CV21" i="52" s="1"/>
  <c r="BE21" i="52"/>
  <c r="BE18" i="52" s="1"/>
  <c r="Q51" i="70"/>
  <c r="CV24" i="52"/>
  <c r="BS24" i="52"/>
  <c r="AJ4" i="115"/>
  <c r="BS25" i="52"/>
  <c r="AM56" i="115" s="1"/>
  <c r="AI56" i="115" s="1"/>
  <c r="AJ56" i="115" s="1"/>
  <c r="AK56" i="115" s="1"/>
  <c r="AL56" i="115" s="1"/>
  <c r="CV18" i="52"/>
  <c r="AM14" i="115"/>
  <c r="BS18" i="52"/>
  <c r="AM3" i="107"/>
  <c r="AM3" i="115"/>
  <c r="BS4" i="52"/>
  <c r="BE3" i="52"/>
  <c r="CV4" i="52"/>
  <c r="AM9" i="107"/>
  <c r="AM7" i="107"/>
  <c r="AM13" i="115"/>
  <c r="CV17" i="52"/>
  <c r="BS17" i="52"/>
  <c r="CG5" i="52"/>
  <c r="AM41" i="115" s="1"/>
  <c r="AI41" i="115" s="1"/>
  <c r="AJ41" i="115" s="1"/>
  <c r="AK41" i="115" s="1"/>
  <c r="AL41" i="115" s="1"/>
  <c r="AM17" i="115"/>
  <c r="CV22" i="52"/>
  <c r="BS22" i="52"/>
  <c r="AM17" i="107"/>
  <c r="AI17" i="107" s="1"/>
  <c r="AJ17" i="107" s="1"/>
  <c r="AK17" i="107" s="1"/>
  <c r="AL17" i="107" s="1"/>
  <c r="AM18" i="115"/>
  <c r="CV23" i="52"/>
  <c r="BS23" i="52"/>
  <c r="K38" i="113"/>
  <c r="P38" i="113"/>
  <c r="AE38" i="113"/>
  <c r="H38" i="113"/>
  <c r="AL7" i="113"/>
  <c r="AK26" i="113"/>
  <c r="AK30" i="113"/>
  <c r="AK25" i="113"/>
  <c r="AK27" i="113"/>
  <c r="AK31" i="113"/>
  <c r="AK28" i="113"/>
  <c r="AK29" i="113"/>
  <c r="AK24" i="113"/>
  <c r="AE38" i="115"/>
  <c r="AM10" i="107"/>
  <c r="AI10" i="107" s="1"/>
  <c r="AJ10" i="107" s="1"/>
  <c r="AK10" i="107" s="1"/>
  <c r="AL10" i="107" s="1"/>
  <c r="AM5" i="115"/>
  <c r="AJ38" i="113"/>
  <c r="AM14" i="107"/>
  <c r="AI14" i="107" s="1"/>
  <c r="AJ14" i="107" s="1"/>
  <c r="AK14" i="107" s="1"/>
  <c r="AL14" i="107" s="1"/>
  <c r="AM9" i="115"/>
  <c r="AM65" i="115" s="1"/>
  <c r="AI65" i="115" s="1"/>
  <c r="AJ65" i="115" s="1"/>
  <c r="AK65" i="115" s="1"/>
  <c r="AL65" i="115" s="1"/>
  <c r="AF26" i="113"/>
  <c r="AG7" i="113"/>
  <c r="AF25" i="113"/>
  <c r="AF29" i="113"/>
  <c r="AF28" i="113"/>
  <c r="AF30" i="113"/>
  <c r="AF31" i="113"/>
  <c r="AF27" i="113"/>
  <c r="AF24" i="113"/>
  <c r="AM18" i="107"/>
  <c r="AI18" i="107" s="1"/>
  <c r="AJ18" i="107" s="1"/>
  <c r="AK18" i="107" s="1"/>
  <c r="AL18" i="107" s="1"/>
  <c r="AM12" i="115"/>
  <c r="AM68" i="115" s="1"/>
  <c r="AI68" i="115" s="1"/>
  <c r="AJ68" i="115" s="1"/>
  <c r="AK68" i="115" s="1"/>
  <c r="AL68" i="115" s="1"/>
  <c r="H38" i="115"/>
  <c r="U38" i="113"/>
  <c r="AM16" i="107"/>
  <c r="AI16" i="107" s="1"/>
  <c r="AJ16" i="107" s="1"/>
  <c r="AK16" i="107" s="1"/>
  <c r="AL16" i="107" s="1"/>
  <c r="AM11" i="115"/>
  <c r="AM11" i="107"/>
  <c r="AI11" i="107" s="1"/>
  <c r="AJ11" i="107" s="1"/>
  <c r="AK11" i="107" s="1"/>
  <c r="AL11" i="107" s="1"/>
  <c r="AM6" i="115"/>
  <c r="AM15" i="107"/>
  <c r="AI15" i="107" s="1"/>
  <c r="AJ15" i="107" s="1"/>
  <c r="AK15" i="107" s="1"/>
  <c r="AL15" i="107" s="1"/>
  <c r="AM10" i="115"/>
  <c r="AM66" i="115" s="1"/>
  <c r="AI66" i="115" s="1"/>
  <c r="AJ66" i="115" s="1"/>
  <c r="AK66" i="115" s="1"/>
  <c r="AL66" i="115" s="1"/>
  <c r="AF26" i="115"/>
  <c r="AG7" i="115"/>
  <c r="AF24" i="115"/>
  <c r="AF25" i="115"/>
  <c r="AF31" i="115"/>
  <c r="AF29" i="115"/>
  <c r="AF27" i="115"/>
  <c r="AF30" i="115"/>
  <c r="AF28" i="115"/>
  <c r="AM13" i="107"/>
  <c r="AI13" i="107" s="1"/>
  <c r="AJ13" i="107" s="1"/>
  <c r="AK13" i="107" s="1"/>
  <c r="AL13" i="107" s="1"/>
  <c r="AM8" i="115"/>
  <c r="CV10" i="52"/>
  <c r="H29" i="109"/>
  <c r="H28" i="109"/>
  <c r="H30" i="109"/>
  <c r="H32" i="109"/>
  <c r="H35" i="109"/>
  <c r="H34" i="109"/>
  <c r="H27" i="109"/>
  <c r="H33" i="109"/>
  <c r="H31" i="109"/>
  <c r="AF35" i="107"/>
  <c r="AF34" i="107"/>
  <c r="AF28" i="107"/>
  <c r="AF31" i="107"/>
  <c r="AF32" i="107"/>
  <c r="AF33" i="107"/>
  <c r="AF30" i="107"/>
  <c r="AF29" i="107"/>
  <c r="AF27" i="107"/>
  <c r="CV9" i="52"/>
  <c r="CG16" i="52"/>
  <c r="CG12" i="52"/>
  <c r="CG15" i="52"/>
  <c r="CG14" i="52"/>
  <c r="AQ13" i="52"/>
  <c r="AQ8" i="52" s="1"/>
  <c r="BE13" i="52"/>
  <c r="BE8" i="52" s="1"/>
  <c r="BE43" i="52" s="1"/>
  <c r="CG13" i="52"/>
  <c r="CG10" i="52"/>
  <c r="CG9" i="52"/>
  <c r="CG8" i="52"/>
  <c r="CG11" i="52"/>
  <c r="CV14" i="52"/>
  <c r="CV15" i="52"/>
  <c r="DF8" i="52"/>
  <c r="AY9" i="52"/>
  <c r="AK9" i="52"/>
  <c r="DF14" i="52"/>
  <c r="AY16" i="52"/>
  <c r="AY15" i="52"/>
  <c r="AK15" i="52"/>
  <c r="DF13" i="52"/>
  <c r="AY14" i="52"/>
  <c r="DF15" i="52"/>
  <c r="AK14" i="52"/>
  <c r="AK16" i="52"/>
  <c r="DF12" i="52"/>
  <c r="AY11" i="52"/>
  <c r="DF9" i="52"/>
  <c r="AK10" i="52"/>
  <c r="AY17" i="52"/>
  <c r="AY10" i="52"/>
  <c r="DF16" i="52"/>
  <c r="DF11" i="52"/>
  <c r="AK17" i="52"/>
  <c r="AK12" i="52"/>
  <c r="AY12" i="52"/>
  <c r="AK11" i="52"/>
  <c r="DF10" i="52"/>
  <c r="CV8" i="52"/>
  <c r="DL27" i="52"/>
  <c r="CV13" i="52"/>
  <c r="CV11" i="52"/>
  <c r="CV16" i="52"/>
  <c r="W36" i="52"/>
  <c r="W41" i="52"/>
  <c r="W40" i="52"/>
  <c r="W37" i="52"/>
  <c r="W35" i="52"/>
  <c r="W38" i="52"/>
  <c r="W39" i="52"/>
  <c r="W34" i="52"/>
  <c r="O9" i="52"/>
  <c r="G2" i="52"/>
  <c r="AQ18" i="52"/>
  <c r="R41" i="70"/>
  <c r="J13" i="70"/>
  <c r="Q13" i="70" s="1"/>
  <c r="S117" i="84"/>
  <c r="R117" i="84"/>
  <c r="Q117" i="84"/>
  <c r="P117" i="84"/>
  <c r="O117" i="84"/>
  <c r="N117" i="84"/>
  <c r="M117" i="84"/>
  <c r="L117" i="84"/>
  <c r="K117" i="84"/>
  <c r="J117" i="84"/>
  <c r="I117" i="84"/>
  <c r="H117" i="84"/>
  <c r="G117" i="84"/>
  <c r="F117" i="84"/>
  <c r="E117" i="84"/>
  <c r="D117" i="84"/>
  <c r="S80" i="84"/>
  <c r="R80" i="84"/>
  <c r="Q80" i="84"/>
  <c r="P80" i="84"/>
  <c r="O80" i="84"/>
  <c r="N80" i="84"/>
  <c r="M80" i="84"/>
  <c r="L80" i="84"/>
  <c r="K80" i="84"/>
  <c r="J80" i="84"/>
  <c r="I80" i="84"/>
  <c r="H80" i="84"/>
  <c r="G80" i="84"/>
  <c r="F80" i="84"/>
  <c r="E80" i="84"/>
  <c r="D80" i="84"/>
  <c r="S43" i="84"/>
  <c r="R43" i="84"/>
  <c r="Q43" i="84"/>
  <c r="P43" i="84"/>
  <c r="O43" i="84"/>
  <c r="N43" i="84"/>
  <c r="M43" i="84"/>
  <c r="L43" i="84"/>
  <c r="K43" i="84"/>
  <c r="J43" i="84"/>
  <c r="I43" i="84"/>
  <c r="H43" i="84"/>
  <c r="G43" i="84"/>
  <c r="F43" i="84"/>
  <c r="E43" i="84"/>
  <c r="D43" i="84"/>
  <c r="S154" i="83"/>
  <c r="R154" i="83"/>
  <c r="Q154" i="83"/>
  <c r="P154" i="83"/>
  <c r="O154" i="83"/>
  <c r="N154" i="83"/>
  <c r="M154" i="83"/>
  <c r="L154" i="83"/>
  <c r="K154" i="83"/>
  <c r="J154" i="83"/>
  <c r="I154" i="83"/>
  <c r="H154" i="83"/>
  <c r="G154" i="83"/>
  <c r="F154" i="83"/>
  <c r="E154" i="83"/>
  <c r="D154" i="83"/>
  <c r="S117" i="83"/>
  <c r="R117" i="83"/>
  <c r="Q117" i="83"/>
  <c r="P117" i="83"/>
  <c r="O117" i="83"/>
  <c r="N117" i="83"/>
  <c r="M117" i="83"/>
  <c r="L117" i="83"/>
  <c r="K117" i="83"/>
  <c r="J117" i="83"/>
  <c r="I117" i="83"/>
  <c r="H117" i="83"/>
  <c r="G117" i="83"/>
  <c r="F117" i="83"/>
  <c r="E117" i="83"/>
  <c r="D117" i="83"/>
  <c r="S80" i="83"/>
  <c r="R80" i="83"/>
  <c r="Q80" i="83"/>
  <c r="P80" i="83"/>
  <c r="O80" i="83"/>
  <c r="N80" i="83"/>
  <c r="M80" i="83"/>
  <c r="L80" i="83"/>
  <c r="K80" i="83"/>
  <c r="J80" i="83"/>
  <c r="I80" i="83"/>
  <c r="H80" i="83"/>
  <c r="G80" i="83"/>
  <c r="F80" i="83"/>
  <c r="E80" i="83"/>
  <c r="D80" i="83"/>
  <c r="S43" i="83"/>
  <c r="R43" i="83"/>
  <c r="Q43" i="83"/>
  <c r="P43" i="83"/>
  <c r="O43" i="83"/>
  <c r="N43" i="83"/>
  <c r="M43" i="83"/>
  <c r="L43" i="83"/>
  <c r="K43" i="83"/>
  <c r="J43" i="83"/>
  <c r="I43" i="83"/>
  <c r="H43" i="83"/>
  <c r="G43" i="83"/>
  <c r="F43" i="83"/>
  <c r="E43" i="83"/>
  <c r="D43" i="83"/>
  <c r="S191" i="82"/>
  <c r="R191" i="82"/>
  <c r="Q191" i="82"/>
  <c r="P191" i="82"/>
  <c r="O191" i="82"/>
  <c r="N191" i="82"/>
  <c r="M191" i="82"/>
  <c r="L191" i="82"/>
  <c r="K191" i="82"/>
  <c r="J191" i="82"/>
  <c r="I191" i="82"/>
  <c r="H191" i="82"/>
  <c r="G191" i="82"/>
  <c r="F191" i="82"/>
  <c r="E191" i="82"/>
  <c r="D191" i="82"/>
  <c r="S154" i="82"/>
  <c r="R154" i="82"/>
  <c r="Q154" i="82"/>
  <c r="P154" i="82"/>
  <c r="O154" i="82"/>
  <c r="N154" i="82"/>
  <c r="M154" i="82"/>
  <c r="L154" i="82"/>
  <c r="K154" i="82"/>
  <c r="J154" i="82"/>
  <c r="I154" i="82"/>
  <c r="H154" i="82"/>
  <c r="G154" i="82"/>
  <c r="F154" i="82"/>
  <c r="E154" i="82"/>
  <c r="D154" i="82"/>
  <c r="S117" i="82"/>
  <c r="R117" i="82"/>
  <c r="Q117" i="82"/>
  <c r="P117" i="82"/>
  <c r="O117" i="82"/>
  <c r="N117" i="82"/>
  <c r="M117" i="82"/>
  <c r="L117" i="82"/>
  <c r="K117" i="82"/>
  <c r="J117" i="82"/>
  <c r="I117" i="82"/>
  <c r="H117" i="82"/>
  <c r="G117" i="82"/>
  <c r="F117" i="82"/>
  <c r="E117" i="82"/>
  <c r="D117" i="82"/>
  <c r="S80" i="82"/>
  <c r="R80" i="82"/>
  <c r="Q80" i="82"/>
  <c r="P80" i="82"/>
  <c r="O80" i="82"/>
  <c r="N80" i="82"/>
  <c r="M80" i="82"/>
  <c r="L80" i="82"/>
  <c r="K80" i="82"/>
  <c r="J80" i="82"/>
  <c r="I80" i="82"/>
  <c r="H80" i="82"/>
  <c r="G80" i="82"/>
  <c r="F80" i="82"/>
  <c r="E80" i="82"/>
  <c r="D80" i="82"/>
  <c r="S43" i="82"/>
  <c r="R43" i="82"/>
  <c r="Q43" i="82"/>
  <c r="P43" i="82"/>
  <c r="O43" i="82"/>
  <c r="N43" i="82"/>
  <c r="M43" i="82"/>
  <c r="L43" i="82"/>
  <c r="K43" i="82"/>
  <c r="J43" i="82"/>
  <c r="I43" i="82"/>
  <c r="H43" i="82"/>
  <c r="G43" i="82"/>
  <c r="F43" i="82"/>
  <c r="E43" i="82"/>
  <c r="D43" i="82"/>
  <c r="S228" i="81"/>
  <c r="R228" i="81"/>
  <c r="Q228" i="81"/>
  <c r="P228" i="81"/>
  <c r="O228" i="81"/>
  <c r="N228" i="81"/>
  <c r="M228" i="81"/>
  <c r="L228" i="81"/>
  <c r="K228" i="81"/>
  <c r="J228" i="81"/>
  <c r="I228" i="81"/>
  <c r="H228" i="81"/>
  <c r="G228" i="81"/>
  <c r="F228" i="81"/>
  <c r="E228" i="81"/>
  <c r="D228" i="81"/>
  <c r="S191" i="81"/>
  <c r="R191" i="81"/>
  <c r="Q191" i="81"/>
  <c r="P191" i="81"/>
  <c r="O191" i="81"/>
  <c r="N191" i="81"/>
  <c r="M191" i="81"/>
  <c r="L191" i="81"/>
  <c r="K191" i="81"/>
  <c r="J191" i="81"/>
  <c r="I191" i="81"/>
  <c r="H191" i="81"/>
  <c r="G191" i="81"/>
  <c r="F191" i="81"/>
  <c r="E191" i="81"/>
  <c r="D191" i="81"/>
  <c r="S154" i="81"/>
  <c r="R154" i="81"/>
  <c r="Q154" i="81"/>
  <c r="P154" i="81"/>
  <c r="O154" i="81"/>
  <c r="N154" i="81"/>
  <c r="M154" i="81"/>
  <c r="L154" i="81"/>
  <c r="K154" i="81"/>
  <c r="J154" i="81"/>
  <c r="I154" i="81"/>
  <c r="H154" i="81"/>
  <c r="G154" i="81"/>
  <c r="F154" i="81"/>
  <c r="E154" i="81"/>
  <c r="D154" i="81"/>
  <c r="S117" i="81"/>
  <c r="R117" i="81"/>
  <c r="Q117" i="81"/>
  <c r="P117" i="81"/>
  <c r="O117" i="81"/>
  <c r="N117" i="81"/>
  <c r="M117" i="81"/>
  <c r="L117" i="81"/>
  <c r="K117" i="81"/>
  <c r="J117" i="81"/>
  <c r="I117" i="81"/>
  <c r="H117" i="81"/>
  <c r="G117" i="81"/>
  <c r="F117" i="81"/>
  <c r="E117" i="81"/>
  <c r="D117" i="81"/>
  <c r="S80" i="81"/>
  <c r="R80" i="81"/>
  <c r="Q80" i="81"/>
  <c r="P80" i="81"/>
  <c r="O80" i="81"/>
  <c r="N80" i="81"/>
  <c r="M80" i="81"/>
  <c r="L80" i="81"/>
  <c r="K80" i="81"/>
  <c r="J80" i="81"/>
  <c r="I80" i="81"/>
  <c r="H80" i="81"/>
  <c r="G80" i="81"/>
  <c r="F80" i="81"/>
  <c r="E80" i="81"/>
  <c r="D80" i="81"/>
  <c r="S43" i="81"/>
  <c r="R43" i="81"/>
  <c r="Q43" i="81"/>
  <c r="P43" i="81"/>
  <c r="O43" i="81"/>
  <c r="N43" i="81"/>
  <c r="M43" i="81"/>
  <c r="L43" i="81"/>
  <c r="K43" i="81"/>
  <c r="J43" i="81"/>
  <c r="I43" i="81"/>
  <c r="H43" i="81"/>
  <c r="G43" i="81"/>
  <c r="F43" i="81"/>
  <c r="E43" i="81"/>
  <c r="D43" i="81"/>
  <c r="S265" i="80"/>
  <c r="R265" i="80"/>
  <c r="Q265" i="80"/>
  <c r="P265" i="80"/>
  <c r="O265" i="80"/>
  <c r="N265" i="80"/>
  <c r="M265" i="80"/>
  <c r="L265" i="80"/>
  <c r="K265" i="80"/>
  <c r="J265" i="80"/>
  <c r="I265" i="80"/>
  <c r="H265" i="80"/>
  <c r="G265" i="80"/>
  <c r="F265" i="80"/>
  <c r="E265" i="80"/>
  <c r="D265" i="80"/>
  <c r="S228" i="80"/>
  <c r="R228" i="80"/>
  <c r="Q228" i="80"/>
  <c r="P228" i="80"/>
  <c r="O228" i="80"/>
  <c r="N228" i="80"/>
  <c r="M228" i="80"/>
  <c r="L228" i="80"/>
  <c r="K228" i="80"/>
  <c r="J228" i="80"/>
  <c r="I228" i="80"/>
  <c r="H228" i="80"/>
  <c r="G228" i="80"/>
  <c r="F228" i="80"/>
  <c r="E228" i="80"/>
  <c r="D228" i="80"/>
  <c r="S191" i="80"/>
  <c r="R191" i="80"/>
  <c r="Q191" i="80"/>
  <c r="P191" i="80"/>
  <c r="O191" i="80"/>
  <c r="N191" i="80"/>
  <c r="M191" i="80"/>
  <c r="L191" i="80"/>
  <c r="K191" i="80"/>
  <c r="J191" i="80"/>
  <c r="I191" i="80"/>
  <c r="H191" i="80"/>
  <c r="G191" i="80"/>
  <c r="F191" i="80"/>
  <c r="E191" i="80"/>
  <c r="D191" i="80"/>
  <c r="S154" i="80"/>
  <c r="R154" i="80"/>
  <c r="Q154" i="80"/>
  <c r="P154" i="80"/>
  <c r="O154" i="80"/>
  <c r="N154" i="80"/>
  <c r="M154" i="80"/>
  <c r="L154" i="80"/>
  <c r="K154" i="80"/>
  <c r="J154" i="80"/>
  <c r="I154" i="80"/>
  <c r="H154" i="80"/>
  <c r="G154" i="80"/>
  <c r="F154" i="80"/>
  <c r="E154" i="80"/>
  <c r="D154" i="80"/>
  <c r="S117" i="80"/>
  <c r="R117" i="80"/>
  <c r="Q117" i="80"/>
  <c r="P117" i="80"/>
  <c r="O117" i="80"/>
  <c r="N117" i="80"/>
  <c r="M117" i="80"/>
  <c r="L117" i="80"/>
  <c r="K117" i="80"/>
  <c r="J117" i="80"/>
  <c r="I117" i="80"/>
  <c r="H117" i="80"/>
  <c r="G117" i="80"/>
  <c r="F117" i="80"/>
  <c r="E117" i="80"/>
  <c r="D117" i="80"/>
  <c r="S80" i="80"/>
  <c r="R80" i="80"/>
  <c r="Q80" i="80"/>
  <c r="P80" i="80"/>
  <c r="O80" i="80"/>
  <c r="N80" i="80"/>
  <c r="M80" i="80"/>
  <c r="L80" i="80"/>
  <c r="K80" i="80"/>
  <c r="J80" i="80"/>
  <c r="I80" i="80"/>
  <c r="H80" i="80"/>
  <c r="G80" i="80"/>
  <c r="F80" i="80"/>
  <c r="E80" i="80"/>
  <c r="D80" i="80"/>
  <c r="S43" i="80"/>
  <c r="R43" i="80"/>
  <c r="Q43" i="80"/>
  <c r="P43" i="80"/>
  <c r="O43" i="80"/>
  <c r="N43" i="80"/>
  <c r="M43" i="80"/>
  <c r="L43" i="80"/>
  <c r="K43" i="80"/>
  <c r="J43" i="80"/>
  <c r="I43" i="80"/>
  <c r="H43" i="80"/>
  <c r="G43" i="80"/>
  <c r="F43" i="80"/>
  <c r="E43" i="80"/>
  <c r="D43" i="80"/>
  <c r="S302" i="79"/>
  <c r="R302" i="79"/>
  <c r="Q302" i="79"/>
  <c r="P302" i="79"/>
  <c r="O302" i="79"/>
  <c r="N302" i="79"/>
  <c r="M302" i="79"/>
  <c r="L302" i="79"/>
  <c r="K302" i="79"/>
  <c r="J302" i="79"/>
  <c r="I302" i="79"/>
  <c r="H302" i="79"/>
  <c r="G302" i="79"/>
  <c r="F302" i="79"/>
  <c r="E302" i="79"/>
  <c r="D302" i="79"/>
  <c r="S265" i="79"/>
  <c r="R265" i="79"/>
  <c r="Q265" i="79"/>
  <c r="P265" i="79"/>
  <c r="O265" i="79"/>
  <c r="N265" i="79"/>
  <c r="M265" i="79"/>
  <c r="L265" i="79"/>
  <c r="K265" i="79"/>
  <c r="J265" i="79"/>
  <c r="I265" i="79"/>
  <c r="H265" i="79"/>
  <c r="G265" i="79"/>
  <c r="F265" i="79"/>
  <c r="E265" i="79"/>
  <c r="D265" i="79"/>
  <c r="S228" i="79"/>
  <c r="R228" i="79"/>
  <c r="Q228" i="79"/>
  <c r="P228" i="79"/>
  <c r="O228" i="79"/>
  <c r="N228" i="79"/>
  <c r="M228" i="79"/>
  <c r="L228" i="79"/>
  <c r="K228" i="79"/>
  <c r="J228" i="79"/>
  <c r="I228" i="79"/>
  <c r="H228" i="79"/>
  <c r="G228" i="79"/>
  <c r="F228" i="79"/>
  <c r="E228" i="79"/>
  <c r="D228" i="79"/>
  <c r="S191" i="79"/>
  <c r="R191" i="79"/>
  <c r="Q191" i="79"/>
  <c r="P191" i="79"/>
  <c r="O191" i="79"/>
  <c r="N191" i="79"/>
  <c r="M191" i="79"/>
  <c r="L191" i="79"/>
  <c r="K191" i="79"/>
  <c r="J191" i="79"/>
  <c r="I191" i="79"/>
  <c r="H191" i="79"/>
  <c r="G191" i="79"/>
  <c r="F191" i="79"/>
  <c r="E191" i="79"/>
  <c r="D191" i="79"/>
  <c r="S154" i="79"/>
  <c r="R154" i="79"/>
  <c r="Q154" i="79"/>
  <c r="P154" i="79"/>
  <c r="O154" i="79"/>
  <c r="N154" i="79"/>
  <c r="M154" i="79"/>
  <c r="L154" i="79"/>
  <c r="K154" i="79"/>
  <c r="J154" i="79"/>
  <c r="I154" i="79"/>
  <c r="H154" i="79"/>
  <c r="G154" i="79"/>
  <c r="F154" i="79"/>
  <c r="E154" i="79"/>
  <c r="D154" i="79"/>
  <c r="S117" i="79"/>
  <c r="R117" i="79"/>
  <c r="Q117" i="79"/>
  <c r="P117" i="79"/>
  <c r="O117" i="79"/>
  <c r="N117" i="79"/>
  <c r="M117" i="79"/>
  <c r="L117" i="79"/>
  <c r="K117" i="79"/>
  <c r="J117" i="79"/>
  <c r="I117" i="79"/>
  <c r="H117" i="79"/>
  <c r="G117" i="79"/>
  <c r="F117" i="79"/>
  <c r="E117" i="79"/>
  <c r="D117" i="79"/>
  <c r="S80" i="79"/>
  <c r="R80" i="79"/>
  <c r="Q80" i="79"/>
  <c r="P80" i="79"/>
  <c r="O80" i="79"/>
  <c r="N80" i="79"/>
  <c r="M80" i="79"/>
  <c r="L80" i="79"/>
  <c r="K80" i="79"/>
  <c r="J80" i="79"/>
  <c r="I80" i="79"/>
  <c r="H80" i="79"/>
  <c r="G80" i="79"/>
  <c r="F80" i="79"/>
  <c r="E80" i="79"/>
  <c r="D80" i="79"/>
  <c r="S43" i="79"/>
  <c r="R43" i="79"/>
  <c r="Q43" i="79"/>
  <c r="P43" i="79"/>
  <c r="O43" i="79"/>
  <c r="N43" i="79"/>
  <c r="M43" i="79"/>
  <c r="L43" i="79"/>
  <c r="K43" i="79"/>
  <c r="J43" i="79"/>
  <c r="I43" i="79"/>
  <c r="H43" i="79"/>
  <c r="G43" i="79"/>
  <c r="F43" i="79"/>
  <c r="E43" i="79"/>
  <c r="D43" i="79"/>
  <c r="S339" i="78"/>
  <c r="R339" i="78"/>
  <c r="Q339" i="78"/>
  <c r="P339" i="78"/>
  <c r="O339" i="78"/>
  <c r="N339" i="78"/>
  <c r="M339" i="78"/>
  <c r="L339" i="78"/>
  <c r="K339" i="78"/>
  <c r="J339" i="78"/>
  <c r="I339" i="78"/>
  <c r="H339" i="78"/>
  <c r="G339" i="78"/>
  <c r="F339" i="78"/>
  <c r="E339" i="78"/>
  <c r="D339" i="78"/>
  <c r="S302" i="78"/>
  <c r="R302" i="78"/>
  <c r="Q302" i="78"/>
  <c r="P302" i="78"/>
  <c r="O302" i="78"/>
  <c r="N302" i="78"/>
  <c r="M302" i="78"/>
  <c r="L302" i="78"/>
  <c r="K302" i="78"/>
  <c r="J302" i="78"/>
  <c r="I302" i="78"/>
  <c r="H302" i="78"/>
  <c r="G302" i="78"/>
  <c r="F302" i="78"/>
  <c r="E302" i="78"/>
  <c r="D302" i="78"/>
  <c r="S265" i="78"/>
  <c r="R265" i="78"/>
  <c r="Q265" i="78"/>
  <c r="P265" i="78"/>
  <c r="O265" i="78"/>
  <c r="N265" i="78"/>
  <c r="M265" i="78"/>
  <c r="L265" i="78"/>
  <c r="K265" i="78"/>
  <c r="J265" i="78"/>
  <c r="I265" i="78"/>
  <c r="H265" i="78"/>
  <c r="G265" i="78"/>
  <c r="F265" i="78"/>
  <c r="E265" i="78"/>
  <c r="D265" i="78"/>
  <c r="S228" i="78"/>
  <c r="R228" i="78"/>
  <c r="Q228" i="78"/>
  <c r="P228" i="78"/>
  <c r="O228" i="78"/>
  <c r="N228" i="78"/>
  <c r="M228" i="78"/>
  <c r="L228" i="78"/>
  <c r="K228" i="78"/>
  <c r="J228" i="78"/>
  <c r="I228" i="78"/>
  <c r="H228" i="78"/>
  <c r="G228" i="78"/>
  <c r="F228" i="78"/>
  <c r="E228" i="78"/>
  <c r="D228" i="78"/>
  <c r="S191" i="78"/>
  <c r="R191" i="78"/>
  <c r="Q191" i="78"/>
  <c r="P191" i="78"/>
  <c r="O191" i="78"/>
  <c r="N191" i="78"/>
  <c r="M191" i="78"/>
  <c r="L191" i="78"/>
  <c r="K191" i="78"/>
  <c r="J191" i="78"/>
  <c r="I191" i="78"/>
  <c r="H191" i="78"/>
  <c r="G191" i="78"/>
  <c r="F191" i="78"/>
  <c r="E191" i="78"/>
  <c r="D191" i="78"/>
  <c r="S154" i="78"/>
  <c r="R154" i="78"/>
  <c r="Q154" i="78"/>
  <c r="P154" i="78"/>
  <c r="O154" i="78"/>
  <c r="N154" i="78"/>
  <c r="M154" i="78"/>
  <c r="L154" i="78"/>
  <c r="K154" i="78"/>
  <c r="J154" i="78"/>
  <c r="I154" i="78"/>
  <c r="H154" i="78"/>
  <c r="G154" i="78"/>
  <c r="F154" i="78"/>
  <c r="E154" i="78"/>
  <c r="D154" i="78"/>
  <c r="S117" i="78"/>
  <c r="R117" i="78"/>
  <c r="Q117" i="78"/>
  <c r="P117" i="78"/>
  <c r="O117" i="78"/>
  <c r="N117" i="78"/>
  <c r="M117" i="78"/>
  <c r="L117" i="78"/>
  <c r="K117" i="78"/>
  <c r="J117" i="78"/>
  <c r="I117" i="78"/>
  <c r="H117" i="78"/>
  <c r="G117" i="78"/>
  <c r="F117" i="78"/>
  <c r="E117" i="78"/>
  <c r="D117" i="78"/>
  <c r="S80" i="78"/>
  <c r="R80" i="78"/>
  <c r="Q80" i="78"/>
  <c r="P80" i="78"/>
  <c r="O80" i="78"/>
  <c r="N80" i="78"/>
  <c r="M80" i="78"/>
  <c r="L80" i="78"/>
  <c r="K80" i="78"/>
  <c r="J80" i="78"/>
  <c r="I80" i="78"/>
  <c r="H80" i="78"/>
  <c r="G80" i="78"/>
  <c r="F80" i="78"/>
  <c r="E80" i="78"/>
  <c r="D80" i="78"/>
  <c r="S43" i="78"/>
  <c r="R43" i="78"/>
  <c r="Q43" i="78"/>
  <c r="P43" i="78"/>
  <c r="O43" i="78"/>
  <c r="N43" i="78"/>
  <c r="M43" i="78"/>
  <c r="L43" i="78"/>
  <c r="K43" i="78"/>
  <c r="J43" i="78"/>
  <c r="I43" i="78"/>
  <c r="H43" i="78"/>
  <c r="G43" i="78"/>
  <c r="F43" i="78"/>
  <c r="E43" i="78"/>
  <c r="D43" i="78"/>
  <c r="S117" i="76"/>
  <c r="R117" i="76"/>
  <c r="Q117" i="76"/>
  <c r="P117" i="76"/>
  <c r="O117" i="76"/>
  <c r="N117" i="76"/>
  <c r="M117" i="76"/>
  <c r="L117" i="76"/>
  <c r="K117" i="76"/>
  <c r="J117" i="76"/>
  <c r="I117" i="76"/>
  <c r="H117" i="76"/>
  <c r="G117" i="76"/>
  <c r="F117" i="76"/>
  <c r="E117" i="76"/>
  <c r="D117" i="76"/>
  <c r="S80" i="76"/>
  <c r="R80" i="76"/>
  <c r="Q80" i="76"/>
  <c r="P80" i="76"/>
  <c r="O80" i="76"/>
  <c r="N80" i="76"/>
  <c r="M80" i="76"/>
  <c r="L80" i="76"/>
  <c r="K80" i="76"/>
  <c r="J80" i="76"/>
  <c r="I80" i="76"/>
  <c r="H80" i="76"/>
  <c r="G80" i="76"/>
  <c r="F80" i="76"/>
  <c r="E80" i="76"/>
  <c r="D80" i="76"/>
  <c r="S43" i="76"/>
  <c r="R43" i="76"/>
  <c r="Q43" i="76"/>
  <c r="P43" i="76"/>
  <c r="O43" i="76"/>
  <c r="N43" i="76"/>
  <c r="M43" i="76"/>
  <c r="L43" i="76"/>
  <c r="K43" i="76"/>
  <c r="J43" i="76"/>
  <c r="I43" i="76"/>
  <c r="H43" i="76"/>
  <c r="G43" i="76"/>
  <c r="F43" i="76"/>
  <c r="E43" i="76"/>
  <c r="D43" i="76"/>
  <c r="S154" i="75"/>
  <c r="R154" i="75"/>
  <c r="Q154" i="75"/>
  <c r="P154" i="75"/>
  <c r="O154" i="75"/>
  <c r="N154" i="75"/>
  <c r="M154" i="75"/>
  <c r="L154" i="75"/>
  <c r="K154" i="75"/>
  <c r="J154" i="75"/>
  <c r="I154" i="75"/>
  <c r="H154" i="75"/>
  <c r="G154" i="75"/>
  <c r="F154" i="75"/>
  <c r="E154" i="75"/>
  <c r="D154" i="75"/>
  <c r="S117" i="75"/>
  <c r="R117" i="75"/>
  <c r="Q117" i="75"/>
  <c r="P117" i="75"/>
  <c r="O117" i="75"/>
  <c r="N117" i="75"/>
  <c r="M117" i="75"/>
  <c r="L117" i="75"/>
  <c r="K117" i="75"/>
  <c r="J117" i="75"/>
  <c r="I117" i="75"/>
  <c r="H117" i="75"/>
  <c r="G117" i="75"/>
  <c r="F117" i="75"/>
  <c r="E117" i="75"/>
  <c r="D117" i="75"/>
  <c r="S80" i="75"/>
  <c r="R80" i="75"/>
  <c r="Q80" i="75"/>
  <c r="P80" i="75"/>
  <c r="O80" i="75"/>
  <c r="N80" i="75"/>
  <c r="M80" i="75"/>
  <c r="L80" i="75"/>
  <c r="K80" i="75"/>
  <c r="J80" i="75"/>
  <c r="I80" i="75"/>
  <c r="H80" i="75"/>
  <c r="G80" i="75"/>
  <c r="F80" i="75"/>
  <c r="E80" i="75"/>
  <c r="D80" i="75"/>
  <c r="S43" i="75"/>
  <c r="R43" i="75"/>
  <c r="Q43" i="75"/>
  <c r="P43" i="75"/>
  <c r="O43" i="75"/>
  <c r="N43" i="75"/>
  <c r="M43" i="75"/>
  <c r="L43" i="75"/>
  <c r="K43" i="75"/>
  <c r="J43" i="75"/>
  <c r="I43" i="75"/>
  <c r="H43" i="75"/>
  <c r="G43" i="75"/>
  <c r="F43" i="75"/>
  <c r="E43" i="75"/>
  <c r="D43" i="75"/>
  <c r="S191" i="74"/>
  <c r="R191" i="74"/>
  <c r="Q191" i="74"/>
  <c r="P191" i="74"/>
  <c r="O191" i="74"/>
  <c r="N191" i="74"/>
  <c r="M191" i="74"/>
  <c r="L191" i="74"/>
  <c r="K191" i="74"/>
  <c r="J191" i="74"/>
  <c r="I191" i="74"/>
  <c r="H191" i="74"/>
  <c r="G191" i="74"/>
  <c r="F191" i="74"/>
  <c r="E191" i="74"/>
  <c r="D191" i="74"/>
  <c r="S154" i="74"/>
  <c r="R154" i="74"/>
  <c r="Q154" i="74"/>
  <c r="P154" i="74"/>
  <c r="O154" i="74"/>
  <c r="N154" i="74"/>
  <c r="M154" i="74"/>
  <c r="L154" i="74"/>
  <c r="K154" i="74"/>
  <c r="J154" i="74"/>
  <c r="I154" i="74"/>
  <c r="H154" i="74"/>
  <c r="G154" i="74"/>
  <c r="F154" i="74"/>
  <c r="E154" i="74"/>
  <c r="D154" i="74"/>
  <c r="S117" i="74"/>
  <c r="R117" i="74"/>
  <c r="Q117" i="74"/>
  <c r="P117" i="74"/>
  <c r="O117" i="74"/>
  <c r="N117" i="74"/>
  <c r="M117" i="74"/>
  <c r="L117" i="74"/>
  <c r="K117" i="74"/>
  <c r="J117" i="74"/>
  <c r="I117" i="74"/>
  <c r="H117" i="74"/>
  <c r="G117" i="74"/>
  <c r="F117" i="74"/>
  <c r="E117" i="74"/>
  <c r="D117" i="74"/>
  <c r="S80" i="74"/>
  <c r="R80" i="74"/>
  <c r="Q80" i="74"/>
  <c r="P80" i="74"/>
  <c r="O80" i="74"/>
  <c r="N80" i="74"/>
  <c r="M80" i="74"/>
  <c r="L80" i="74"/>
  <c r="K80" i="74"/>
  <c r="J80" i="74"/>
  <c r="I80" i="74"/>
  <c r="H80" i="74"/>
  <c r="G80" i="74"/>
  <c r="F80" i="74"/>
  <c r="E80" i="74"/>
  <c r="D80" i="74"/>
  <c r="S43" i="74"/>
  <c r="R43" i="74"/>
  <c r="Q43" i="74"/>
  <c r="P43" i="74"/>
  <c r="O43" i="74"/>
  <c r="N43" i="74"/>
  <c r="M43" i="74"/>
  <c r="L43" i="74"/>
  <c r="K43" i="74"/>
  <c r="J43" i="74"/>
  <c r="I43" i="74"/>
  <c r="H43" i="74"/>
  <c r="G43" i="74"/>
  <c r="F43" i="74"/>
  <c r="E43" i="74"/>
  <c r="D43" i="74"/>
  <c r="S228" i="73"/>
  <c r="R228" i="73"/>
  <c r="Q228" i="73"/>
  <c r="P228" i="73"/>
  <c r="O228" i="73"/>
  <c r="N228" i="73"/>
  <c r="M228" i="73"/>
  <c r="L228" i="73"/>
  <c r="K228" i="73"/>
  <c r="J228" i="73"/>
  <c r="I228" i="73"/>
  <c r="H228" i="73"/>
  <c r="G228" i="73"/>
  <c r="F228" i="73"/>
  <c r="E228" i="73"/>
  <c r="D228" i="73"/>
  <c r="S191" i="73"/>
  <c r="R191" i="73"/>
  <c r="Q191" i="73"/>
  <c r="P191" i="73"/>
  <c r="O191" i="73"/>
  <c r="N191" i="73"/>
  <c r="M191" i="73"/>
  <c r="L191" i="73"/>
  <c r="K191" i="73"/>
  <c r="J191" i="73"/>
  <c r="I191" i="73"/>
  <c r="H191" i="73"/>
  <c r="G191" i="73"/>
  <c r="F191" i="73"/>
  <c r="E191" i="73"/>
  <c r="D191" i="73"/>
  <c r="S154" i="73"/>
  <c r="R154" i="73"/>
  <c r="Q154" i="73"/>
  <c r="P154" i="73"/>
  <c r="O154" i="73"/>
  <c r="N154" i="73"/>
  <c r="M154" i="73"/>
  <c r="L154" i="73"/>
  <c r="K154" i="73"/>
  <c r="J154" i="73"/>
  <c r="I154" i="73"/>
  <c r="H154" i="73"/>
  <c r="G154" i="73"/>
  <c r="F154" i="73"/>
  <c r="E154" i="73"/>
  <c r="D154" i="73"/>
  <c r="S117" i="73"/>
  <c r="R117" i="73"/>
  <c r="Q117" i="73"/>
  <c r="P117" i="73"/>
  <c r="O117" i="73"/>
  <c r="N117" i="73"/>
  <c r="M117" i="73"/>
  <c r="L117" i="73"/>
  <c r="K117" i="73"/>
  <c r="J117" i="73"/>
  <c r="I117" i="73"/>
  <c r="H117" i="73"/>
  <c r="G117" i="73"/>
  <c r="F117" i="73"/>
  <c r="E117" i="73"/>
  <c r="D117" i="73"/>
  <c r="S80" i="73"/>
  <c r="R80" i="73"/>
  <c r="Q80" i="73"/>
  <c r="P80" i="73"/>
  <c r="O80" i="73"/>
  <c r="N80" i="73"/>
  <c r="M80" i="73"/>
  <c r="L80" i="73"/>
  <c r="K80" i="73"/>
  <c r="J80" i="73"/>
  <c r="I80" i="73"/>
  <c r="H80" i="73"/>
  <c r="G80" i="73"/>
  <c r="F80" i="73"/>
  <c r="E80" i="73"/>
  <c r="D80" i="73"/>
  <c r="S43" i="73"/>
  <c r="R43" i="73"/>
  <c r="Q43" i="73"/>
  <c r="P43" i="73"/>
  <c r="O43" i="73"/>
  <c r="N43" i="73"/>
  <c r="M43" i="73"/>
  <c r="L43" i="73"/>
  <c r="K43" i="73"/>
  <c r="J43" i="73"/>
  <c r="I43" i="73"/>
  <c r="H43" i="73"/>
  <c r="G43" i="73"/>
  <c r="F43" i="73"/>
  <c r="E43" i="73"/>
  <c r="D43" i="73"/>
  <c r="S265" i="72"/>
  <c r="R265" i="72"/>
  <c r="Q265" i="72"/>
  <c r="P265" i="72"/>
  <c r="O265" i="72"/>
  <c r="N265" i="72"/>
  <c r="M265" i="72"/>
  <c r="L265" i="72"/>
  <c r="K265" i="72"/>
  <c r="J265" i="72"/>
  <c r="I265" i="72"/>
  <c r="H265" i="72"/>
  <c r="G265" i="72"/>
  <c r="F265" i="72"/>
  <c r="E265" i="72"/>
  <c r="D265" i="72"/>
  <c r="S228" i="72"/>
  <c r="R228" i="72"/>
  <c r="Q228" i="72"/>
  <c r="P228" i="72"/>
  <c r="O228" i="72"/>
  <c r="N228" i="72"/>
  <c r="M228" i="72"/>
  <c r="L228" i="72"/>
  <c r="K228" i="72"/>
  <c r="J228" i="72"/>
  <c r="I228" i="72"/>
  <c r="H228" i="72"/>
  <c r="G228" i="72"/>
  <c r="F228" i="72"/>
  <c r="E228" i="72"/>
  <c r="D228" i="72"/>
  <c r="S191" i="72"/>
  <c r="R191" i="72"/>
  <c r="Q191" i="72"/>
  <c r="P191" i="72"/>
  <c r="O191" i="72"/>
  <c r="N191" i="72"/>
  <c r="M191" i="72"/>
  <c r="L191" i="72"/>
  <c r="K191" i="72"/>
  <c r="J191" i="72"/>
  <c r="I191" i="72"/>
  <c r="H191" i="72"/>
  <c r="G191" i="72"/>
  <c r="F191" i="72"/>
  <c r="E191" i="72"/>
  <c r="D191" i="72"/>
  <c r="S154" i="72"/>
  <c r="R154" i="72"/>
  <c r="Q154" i="72"/>
  <c r="P154" i="72"/>
  <c r="O154" i="72"/>
  <c r="N154" i="72"/>
  <c r="M154" i="72"/>
  <c r="L154" i="72"/>
  <c r="K154" i="72"/>
  <c r="J154" i="72"/>
  <c r="I154" i="72"/>
  <c r="H154" i="72"/>
  <c r="G154" i="72"/>
  <c r="F154" i="72"/>
  <c r="E154" i="72"/>
  <c r="D154" i="72"/>
  <c r="S117" i="72"/>
  <c r="R117" i="72"/>
  <c r="Q117" i="72"/>
  <c r="P117" i="72"/>
  <c r="O117" i="72"/>
  <c r="N117" i="72"/>
  <c r="M117" i="72"/>
  <c r="L117" i="72"/>
  <c r="K117" i="72"/>
  <c r="J117" i="72"/>
  <c r="I117" i="72"/>
  <c r="H117" i="72"/>
  <c r="G117" i="72"/>
  <c r="F117" i="72"/>
  <c r="E117" i="72"/>
  <c r="D117" i="72"/>
  <c r="S80" i="72"/>
  <c r="R80" i="72"/>
  <c r="Q80" i="72"/>
  <c r="P80" i="72"/>
  <c r="O80" i="72"/>
  <c r="N80" i="72"/>
  <c r="M80" i="72"/>
  <c r="L80" i="72"/>
  <c r="K80" i="72"/>
  <c r="J80" i="72"/>
  <c r="I80" i="72"/>
  <c r="H80" i="72"/>
  <c r="G80" i="72"/>
  <c r="F80" i="72"/>
  <c r="E80" i="72"/>
  <c r="D80" i="72"/>
  <c r="S43" i="72"/>
  <c r="R43" i="72"/>
  <c r="Q43" i="72"/>
  <c r="P43" i="72"/>
  <c r="O43" i="72"/>
  <c r="N43" i="72"/>
  <c r="M43" i="72"/>
  <c r="L43" i="72"/>
  <c r="K43" i="72"/>
  <c r="J43" i="72"/>
  <c r="I43" i="72"/>
  <c r="H43" i="72"/>
  <c r="G43" i="72"/>
  <c r="F43" i="72"/>
  <c r="E43" i="72"/>
  <c r="D43" i="72"/>
  <c r="S302" i="71"/>
  <c r="R302" i="71"/>
  <c r="Q302" i="71"/>
  <c r="P302" i="71"/>
  <c r="O302" i="71"/>
  <c r="N302" i="71"/>
  <c r="M302" i="71"/>
  <c r="L302" i="71"/>
  <c r="K302" i="71"/>
  <c r="J302" i="71"/>
  <c r="I302" i="71"/>
  <c r="H302" i="71"/>
  <c r="G302" i="71"/>
  <c r="F302" i="71"/>
  <c r="E302" i="71"/>
  <c r="D302" i="71"/>
  <c r="S265" i="71"/>
  <c r="R265" i="71"/>
  <c r="Q265" i="71"/>
  <c r="P265" i="71"/>
  <c r="O265" i="71"/>
  <c r="N265" i="71"/>
  <c r="M265" i="71"/>
  <c r="L265" i="71"/>
  <c r="K265" i="71"/>
  <c r="J265" i="71"/>
  <c r="I265" i="71"/>
  <c r="H265" i="71"/>
  <c r="G265" i="71"/>
  <c r="F265" i="71"/>
  <c r="E265" i="71"/>
  <c r="D265" i="71"/>
  <c r="S228" i="71"/>
  <c r="R228" i="71"/>
  <c r="Q228" i="71"/>
  <c r="P228" i="71"/>
  <c r="O228" i="71"/>
  <c r="N228" i="71"/>
  <c r="M228" i="71"/>
  <c r="L228" i="71"/>
  <c r="K228" i="71"/>
  <c r="J228" i="71"/>
  <c r="I228" i="71"/>
  <c r="H228" i="71"/>
  <c r="G228" i="71"/>
  <c r="F228" i="71"/>
  <c r="E228" i="71"/>
  <c r="D228" i="71"/>
  <c r="S191" i="71"/>
  <c r="R191" i="71"/>
  <c r="Q191" i="71"/>
  <c r="P191" i="71"/>
  <c r="O191" i="71"/>
  <c r="N191" i="71"/>
  <c r="M191" i="71"/>
  <c r="L191" i="71"/>
  <c r="K191" i="71"/>
  <c r="J191" i="71"/>
  <c r="I191" i="71"/>
  <c r="H191" i="71"/>
  <c r="G191" i="71"/>
  <c r="F191" i="71"/>
  <c r="E191" i="71"/>
  <c r="D191" i="71"/>
  <c r="S154" i="71"/>
  <c r="R154" i="71"/>
  <c r="Q154" i="71"/>
  <c r="P154" i="71"/>
  <c r="O154" i="71"/>
  <c r="N154" i="71"/>
  <c r="M154" i="71"/>
  <c r="L154" i="71"/>
  <c r="K154" i="71"/>
  <c r="J154" i="71"/>
  <c r="I154" i="71"/>
  <c r="H154" i="71"/>
  <c r="G154" i="71"/>
  <c r="F154" i="71"/>
  <c r="E154" i="71"/>
  <c r="D154" i="71"/>
  <c r="S117" i="71"/>
  <c r="R117" i="71"/>
  <c r="Q117" i="71"/>
  <c r="P117" i="71"/>
  <c r="O117" i="71"/>
  <c r="N117" i="71"/>
  <c r="M117" i="71"/>
  <c r="L117" i="71"/>
  <c r="K117" i="71"/>
  <c r="J117" i="71"/>
  <c r="I117" i="71"/>
  <c r="H117" i="71"/>
  <c r="G117" i="71"/>
  <c r="F117" i="71"/>
  <c r="E117" i="71"/>
  <c r="D117" i="71"/>
  <c r="S80" i="71"/>
  <c r="R80" i="71"/>
  <c r="Q80" i="71"/>
  <c r="P80" i="71"/>
  <c r="O80" i="71"/>
  <c r="N80" i="71"/>
  <c r="M80" i="71"/>
  <c r="L80" i="71"/>
  <c r="K80" i="71"/>
  <c r="J80" i="71"/>
  <c r="I80" i="71"/>
  <c r="H80" i="71"/>
  <c r="G80" i="71"/>
  <c r="F80" i="71"/>
  <c r="E80" i="71"/>
  <c r="D80" i="71"/>
  <c r="S43" i="71"/>
  <c r="R43" i="71"/>
  <c r="Q43" i="71"/>
  <c r="P43" i="71"/>
  <c r="O43" i="71"/>
  <c r="N43" i="71"/>
  <c r="M43" i="71"/>
  <c r="L43" i="71"/>
  <c r="K43" i="71"/>
  <c r="J43" i="71"/>
  <c r="I43" i="71"/>
  <c r="H43" i="71"/>
  <c r="G43" i="71"/>
  <c r="F43" i="71"/>
  <c r="E43" i="71"/>
  <c r="D43" i="71"/>
  <c r="BE50" i="52" l="1"/>
  <c r="BE52" i="52"/>
  <c r="AM15" i="115"/>
  <c r="AM33" i="115" s="1"/>
  <c r="BS19" i="52"/>
  <c r="AM8" i="107"/>
  <c r="CV19" i="52"/>
  <c r="BF3" i="52"/>
  <c r="BE34" i="52"/>
  <c r="BE51" i="52"/>
  <c r="BS21" i="52"/>
  <c r="AM16" i="115"/>
  <c r="AM72" i="115" s="1"/>
  <c r="AI72" i="115" s="1"/>
  <c r="AJ72" i="115" s="1"/>
  <c r="AK72" i="115" s="1"/>
  <c r="AL72" i="115" s="1"/>
  <c r="BE33" i="52"/>
  <c r="AI14" i="115"/>
  <c r="AM51" i="115"/>
  <c r="AI51" i="115" s="1"/>
  <c r="AJ51" i="115" s="1"/>
  <c r="AK51" i="115" s="1"/>
  <c r="AL51" i="115" s="1"/>
  <c r="BE49" i="52"/>
  <c r="AM74" i="115"/>
  <c r="AI74" i="115" s="1"/>
  <c r="AJ74" i="115" s="1"/>
  <c r="AK74" i="115" s="1"/>
  <c r="AL74" i="115" s="1"/>
  <c r="AM55" i="115"/>
  <c r="AI55" i="115" s="1"/>
  <c r="AJ55" i="115" s="1"/>
  <c r="AK55" i="115" s="1"/>
  <c r="AL55" i="115" s="1"/>
  <c r="AI18" i="115"/>
  <c r="AI8" i="107"/>
  <c r="AJ8" i="107" s="1"/>
  <c r="AK8" i="107" s="1"/>
  <c r="AL8" i="107" s="1"/>
  <c r="AM25" i="107"/>
  <c r="AI25" i="107" s="1"/>
  <c r="AJ25" i="107" s="1"/>
  <c r="AK25" i="107" s="1"/>
  <c r="AL25" i="107" s="1"/>
  <c r="AI13" i="115"/>
  <c r="AM32" i="115"/>
  <c r="AM50" i="115"/>
  <c r="AI50" i="115" s="1"/>
  <c r="AJ50" i="115" s="1"/>
  <c r="AK50" i="115" s="1"/>
  <c r="AL50" i="115" s="1"/>
  <c r="AM70" i="115"/>
  <c r="AI70" i="115" s="1"/>
  <c r="AJ70" i="115" s="1"/>
  <c r="AK70" i="115" s="1"/>
  <c r="AL70" i="115" s="1"/>
  <c r="AI7" i="107"/>
  <c r="AJ7" i="107" s="1"/>
  <c r="AK7" i="107" s="1"/>
  <c r="AL7" i="107" s="1"/>
  <c r="AM24" i="107"/>
  <c r="AI24" i="107" s="1"/>
  <c r="AJ24" i="107" s="1"/>
  <c r="AK24" i="107" s="1"/>
  <c r="AL24" i="107" s="1"/>
  <c r="AM26" i="107"/>
  <c r="AI26" i="107" s="1"/>
  <c r="AJ26" i="107" s="1"/>
  <c r="AK26" i="107" s="1"/>
  <c r="AL26" i="107" s="1"/>
  <c r="AI9" i="107"/>
  <c r="AJ9" i="107" s="1"/>
  <c r="AK9" i="107" s="1"/>
  <c r="AL9" i="107" s="1"/>
  <c r="AK4" i="115"/>
  <c r="AI15" i="115"/>
  <c r="AM52" i="115"/>
  <c r="AI52" i="115" s="1"/>
  <c r="AJ52" i="115" s="1"/>
  <c r="AK52" i="115" s="1"/>
  <c r="AL52" i="115" s="1"/>
  <c r="BE54" i="52"/>
  <c r="AM36" i="115"/>
  <c r="AI17" i="115"/>
  <c r="AM54" i="115"/>
  <c r="AI54" i="115" s="1"/>
  <c r="AJ54" i="115" s="1"/>
  <c r="AK54" i="115" s="1"/>
  <c r="AL54" i="115" s="1"/>
  <c r="AM59" i="115"/>
  <c r="AI59" i="115" s="1"/>
  <c r="AJ59" i="115" s="1"/>
  <c r="AK59" i="115" s="1"/>
  <c r="AL59" i="115" s="1"/>
  <c r="AM22" i="115"/>
  <c r="AI3" i="115"/>
  <c r="AM23" i="115"/>
  <c r="AM40" i="115"/>
  <c r="AI40" i="115" s="1"/>
  <c r="AJ40" i="115" s="1"/>
  <c r="AK40" i="115" s="1"/>
  <c r="AL40" i="115" s="1"/>
  <c r="AM69" i="115"/>
  <c r="AI69" i="115" s="1"/>
  <c r="AJ69" i="115" s="1"/>
  <c r="AK69" i="115" s="1"/>
  <c r="AL69" i="115" s="1"/>
  <c r="AI3" i="107"/>
  <c r="AJ3" i="107" s="1"/>
  <c r="AK3" i="107" s="1"/>
  <c r="AL3" i="107" s="1"/>
  <c r="AM20" i="107"/>
  <c r="AI20" i="107" s="1"/>
  <c r="AJ20" i="107" s="1"/>
  <c r="AK20" i="107" s="1"/>
  <c r="AL20" i="107" s="1"/>
  <c r="AM21" i="107"/>
  <c r="AI21" i="107" s="1"/>
  <c r="AJ21" i="107" s="1"/>
  <c r="AK21" i="107" s="1"/>
  <c r="AL21" i="107" s="1"/>
  <c r="AM71" i="115"/>
  <c r="AI71" i="115" s="1"/>
  <c r="AJ71" i="115" s="1"/>
  <c r="AK71" i="115" s="1"/>
  <c r="AL71" i="115" s="1"/>
  <c r="BE53" i="52"/>
  <c r="BE47" i="52"/>
  <c r="BE48" i="52"/>
  <c r="AM73" i="115"/>
  <c r="AI73" i="115" s="1"/>
  <c r="AJ73" i="115" s="1"/>
  <c r="AK73" i="115" s="1"/>
  <c r="AL73" i="115" s="1"/>
  <c r="AM43" i="115"/>
  <c r="AI43" i="115" s="1"/>
  <c r="AJ43" i="115" s="1"/>
  <c r="AK43" i="115" s="1"/>
  <c r="AL43" i="115" s="1"/>
  <c r="AM7" i="115"/>
  <c r="AM26" i="115" s="1"/>
  <c r="S10" i="107"/>
  <c r="T10" i="107" s="1"/>
  <c r="U10" i="107" s="1"/>
  <c r="S5" i="115"/>
  <c r="S18" i="107"/>
  <c r="T18" i="107" s="1"/>
  <c r="U18" i="107" s="1"/>
  <c r="S12" i="115"/>
  <c r="S68" i="115" s="1"/>
  <c r="S16" i="107"/>
  <c r="R16" i="107" s="1"/>
  <c r="S11" i="115"/>
  <c r="AK38" i="113"/>
  <c r="AM62" i="115"/>
  <c r="AI62" i="115" s="1"/>
  <c r="AJ62" i="115" s="1"/>
  <c r="AK62" i="115" s="1"/>
  <c r="AL62" i="115" s="1"/>
  <c r="AI6" i="115"/>
  <c r="BS14" i="52"/>
  <c r="AM47" i="115"/>
  <c r="AI47" i="115" s="1"/>
  <c r="AJ47" i="115" s="1"/>
  <c r="AK47" i="115" s="1"/>
  <c r="AL47" i="115" s="1"/>
  <c r="S13" i="107"/>
  <c r="R13" i="107" s="1"/>
  <c r="S8" i="115"/>
  <c r="S64" i="115" s="1"/>
  <c r="BS11" i="52"/>
  <c r="AM45" i="115"/>
  <c r="AI45" i="115" s="1"/>
  <c r="AJ45" i="115" s="1"/>
  <c r="AK45" i="115" s="1"/>
  <c r="AL45" i="115" s="1"/>
  <c r="AF38" i="115"/>
  <c r="AI12" i="115"/>
  <c r="AG26" i="113"/>
  <c r="AG31" i="113"/>
  <c r="AG28" i="113"/>
  <c r="AG29" i="113"/>
  <c r="AG24" i="113"/>
  <c r="AG27" i="113"/>
  <c r="AG30" i="113"/>
  <c r="AG25" i="113"/>
  <c r="AI9" i="115"/>
  <c r="S14" i="107"/>
  <c r="R14" i="107" s="1"/>
  <c r="S9" i="115"/>
  <c r="S65" i="115" s="1"/>
  <c r="BS8" i="52"/>
  <c r="AM42" i="115"/>
  <c r="AI42" i="115" s="1"/>
  <c r="AJ42" i="115" s="1"/>
  <c r="AK42" i="115" s="1"/>
  <c r="AL42" i="115" s="1"/>
  <c r="AG26" i="115"/>
  <c r="AG24" i="115"/>
  <c r="AG30" i="115"/>
  <c r="AG28" i="115"/>
  <c r="AG27" i="115"/>
  <c r="AG29" i="115"/>
  <c r="AG25" i="115"/>
  <c r="AG31" i="115"/>
  <c r="AL26" i="113"/>
  <c r="AL31" i="113"/>
  <c r="AL28" i="113"/>
  <c r="AL30" i="113"/>
  <c r="AL25" i="113"/>
  <c r="AL24" i="113"/>
  <c r="AL27" i="113"/>
  <c r="AL29" i="113"/>
  <c r="BS15" i="52"/>
  <c r="AM48" i="115"/>
  <c r="AI48" i="115" s="1"/>
  <c r="AJ48" i="115" s="1"/>
  <c r="AK48" i="115" s="1"/>
  <c r="AL48" i="115" s="1"/>
  <c r="AI11" i="115"/>
  <c r="AF38" i="113"/>
  <c r="AM61" i="115"/>
  <c r="AI61" i="115" s="1"/>
  <c r="AJ61" i="115" s="1"/>
  <c r="AK61" i="115" s="1"/>
  <c r="AL61" i="115" s="1"/>
  <c r="AI5" i="115"/>
  <c r="BS10" i="52"/>
  <c r="AM64" i="115"/>
  <c r="AI64" i="115" s="1"/>
  <c r="AJ64" i="115" s="1"/>
  <c r="AK64" i="115" s="1"/>
  <c r="AL64" i="115" s="1"/>
  <c r="AI8" i="115"/>
  <c r="AI10" i="115"/>
  <c r="AM67" i="115"/>
  <c r="AI67" i="115" s="1"/>
  <c r="AJ67" i="115" s="1"/>
  <c r="AK67" i="115" s="1"/>
  <c r="AL67" i="115" s="1"/>
  <c r="BS16" i="52"/>
  <c r="AM49" i="115"/>
  <c r="AI49" i="115" s="1"/>
  <c r="AJ49" i="115" s="1"/>
  <c r="AK49" i="115" s="1"/>
  <c r="AL49" i="115" s="1"/>
  <c r="S11" i="107"/>
  <c r="T11" i="107" s="1"/>
  <c r="U11" i="107" s="1"/>
  <c r="S6" i="115"/>
  <c r="S15" i="107"/>
  <c r="T15" i="107" s="1"/>
  <c r="U15" i="107" s="1"/>
  <c r="S10" i="115"/>
  <c r="S66" i="115" s="1"/>
  <c r="BS13" i="52"/>
  <c r="AM46" i="115"/>
  <c r="AI46" i="115" s="1"/>
  <c r="AJ46" i="115" s="1"/>
  <c r="AK46" i="115" s="1"/>
  <c r="AL46" i="115" s="1"/>
  <c r="AG32" i="107"/>
  <c r="AG33" i="107"/>
  <c r="AG27" i="107"/>
  <c r="AG28" i="107"/>
  <c r="AG29" i="107"/>
  <c r="AG34" i="107"/>
  <c r="AG31" i="107"/>
  <c r="AG30" i="107"/>
  <c r="AG35" i="107"/>
  <c r="AM12" i="107"/>
  <c r="CP9" i="52"/>
  <c r="CP14" i="52"/>
  <c r="BS6" i="52"/>
  <c r="CG29" i="52"/>
  <c r="CG26" i="52"/>
  <c r="BS7" i="52"/>
  <c r="BS9" i="52"/>
  <c r="CA16" i="52"/>
  <c r="CA14" i="52"/>
  <c r="CA13" i="52"/>
  <c r="CA15" i="52"/>
  <c r="CA11" i="52"/>
  <c r="AK13" i="52"/>
  <c r="AK8" i="52" s="1"/>
  <c r="AK39" i="52" s="1"/>
  <c r="CA10" i="52"/>
  <c r="AY13" i="52"/>
  <c r="S12" i="107" s="1"/>
  <c r="CA12" i="52"/>
  <c r="CA9" i="52"/>
  <c r="CA8" i="52"/>
  <c r="BS12" i="52"/>
  <c r="CV12" i="52"/>
  <c r="BE41" i="52"/>
  <c r="BE44" i="52"/>
  <c r="CP15" i="52"/>
  <c r="DF27" i="52"/>
  <c r="BE40" i="52"/>
  <c r="CP11" i="52"/>
  <c r="CP16" i="52"/>
  <c r="CP10" i="52"/>
  <c r="CP8" i="52"/>
  <c r="CP13" i="52"/>
  <c r="BE45" i="52"/>
  <c r="BE2" i="52"/>
  <c r="BE42" i="52"/>
  <c r="AQ53" i="52"/>
  <c r="AQ52" i="52"/>
  <c r="AQ54" i="52"/>
  <c r="AQ51" i="52"/>
  <c r="AQ50" i="52"/>
  <c r="AQ47" i="52"/>
  <c r="AQ48" i="52"/>
  <c r="AQ49" i="52"/>
  <c r="AQ41" i="52"/>
  <c r="AQ43" i="52"/>
  <c r="AQ44" i="52"/>
  <c r="AQ45" i="52"/>
  <c r="AQ42" i="52"/>
  <c r="AQ40" i="52"/>
  <c r="AQ39" i="52"/>
  <c r="AQ38" i="52"/>
  <c r="AQ37" i="52"/>
  <c r="AH22" i="52"/>
  <c r="AV22" i="52"/>
  <c r="L15" i="115" s="1"/>
  <c r="O2" i="52"/>
  <c r="G39" i="52"/>
  <c r="G47" i="52"/>
  <c r="G41" i="52"/>
  <c r="R13" i="70"/>
  <c r="Q5" i="70"/>
  <c r="M15" i="115" l="1"/>
  <c r="L34" i="115"/>
  <c r="J15" i="115"/>
  <c r="L52" i="115"/>
  <c r="L71" i="115"/>
  <c r="L32" i="115"/>
  <c r="L33" i="115"/>
  <c r="L37" i="115"/>
  <c r="L36" i="115"/>
  <c r="L35" i="115"/>
  <c r="AM34" i="115"/>
  <c r="AM53" i="115"/>
  <c r="AI53" i="115" s="1"/>
  <c r="AJ53" i="115" s="1"/>
  <c r="AK53" i="115" s="1"/>
  <c r="AL53" i="115" s="1"/>
  <c r="AM37" i="115"/>
  <c r="AI16" i="115"/>
  <c r="AI35" i="115" s="1"/>
  <c r="AM35" i="115"/>
  <c r="R10" i="107"/>
  <c r="AJ17" i="115"/>
  <c r="AI22" i="115"/>
  <c r="AJ3" i="115"/>
  <c r="AI23" i="115"/>
  <c r="AI37" i="115"/>
  <c r="AJ18" i="115"/>
  <c r="AI34" i="115"/>
  <c r="AJ15" i="115"/>
  <c r="AL4" i="115"/>
  <c r="AJ13" i="115"/>
  <c r="AJ14" i="115"/>
  <c r="T13" i="107"/>
  <c r="U13" i="107" s="1"/>
  <c r="AM27" i="115"/>
  <c r="AM31" i="115"/>
  <c r="AM30" i="115"/>
  <c r="AM29" i="115"/>
  <c r="R18" i="107"/>
  <c r="AI7" i="115"/>
  <c r="AI29" i="115" s="1"/>
  <c r="AM19" i="115"/>
  <c r="AM63" i="115"/>
  <c r="AI63" i="115" s="1"/>
  <c r="AJ63" i="115" s="1"/>
  <c r="AK63" i="115" s="1"/>
  <c r="AL63" i="115" s="1"/>
  <c r="AM25" i="115"/>
  <c r="T16" i="107"/>
  <c r="U16" i="107" s="1"/>
  <c r="R11" i="107"/>
  <c r="AM28" i="115"/>
  <c r="AM44" i="115"/>
  <c r="AI44" i="115" s="1"/>
  <c r="AJ44" i="115" s="1"/>
  <c r="AK44" i="115" s="1"/>
  <c r="AL44" i="115" s="1"/>
  <c r="AM24" i="115"/>
  <c r="AY8" i="52"/>
  <c r="AY2" i="52" s="1"/>
  <c r="T14" i="107"/>
  <c r="U14" i="107" s="1"/>
  <c r="T65" i="115"/>
  <c r="U65" i="115" s="1"/>
  <c r="R65" i="115"/>
  <c r="T66" i="115"/>
  <c r="U66" i="115" s="1"/>
  <c r="R66" i="115"/>
  <c r="AJ9" i="115"/>
  <c r="T11" i="115"/>
  <c r="R11" i="115"/>
  <c r="BM8" i="52"/>
  <c r="S42" i="115"/>
  <c r="AJ10" i="115"/>
  <c r="S7" i="115"/>
  <c r="S25" i="115" s="1"/>
  <c r="S61" i="115"/>
  <c r="T5" i="115"/>
  <c r="R5" i="115"/>
  <c r="BM10" i="52"/>
  <c r="R15" i="107"/>
  <c r="AJ8" i="115"/>
  <c r="BM11" i="52"/>
  <c r="S45" i="115"/>
  <c r="AJ11" i="115"/>
  <c r="AJ6" i="115"/>
  <c r="BM15" i="52"/>
  <c r="S48" i="115"/>
  <c r="BM14" i="52"/>
  <c r="S47" i="115"/>
  <c r="BM16" i="52"/>
  <c r="S49" i="115"/>
  <c r="S62" i="115"/>
  <c r="T6" i="115"/>
  <c r="R6" i="115"/>
  <c r="T64" i="115"/>
  <c r="U64" i="115" s="1"/>
  <c r="R64" i="115"/>
  <c r="AL38" i="113"/>
  <c r="AG38" i="115"/>
  <c r="S67" i="115"/>
  <c r="T68" i="115"/>
  <c r="U68" i="115" s="1"/>
  <c r="R68" i="115"/>
  <c r="AJ5" i="115"/>
  <c r="T8" i="115"/>
  <c r="R8" i="115"/>
  <c r="T12" i="115"/>
  <c r="R12" i="115"/>
  <c r="BM13" i="52"/>
  <c r="S46" i="115"/>
  <c r="T10" i="115"/>
  <c r="R10" i="115"/>
  <c r="AG38" i="113"/>
  <c r="T9" i="115"/>
  <c r="R9" i="115"/>
  <c r="BM7" i="52"/>
  <c r="S43" i="115"/>
  <c r="AJ12" i="115"/>
  <c r="CM20" i="52"/>
  <c r="BJ20" i="52"/>
  <c r="L8" i="107"/>
  <c r="AK37" i="52"/>
  <c r="T12" i="107"/>
  <c r="U12" i="107" s="1"/>
  <c r="S29" i="107"/>
  <c r="R12" i="107"/>
  <c r="S28" i="107"/>
  <c r="S34" i="107"/>
  <c r="S32" i="107"/>
  <c r="S27" i="107"/>
  <c r="S35" i="107"/>
  <c r="S30" i="107"/>
  <c r="S33" i="107"/>
  <c r="S31" i="107"/>
  <c r="BM9" i="52"/>
  <c r="AM29" i="107"/>
  <c r="AI12" i="107"/>
  <c r="AJ12" i="107" s="1"/>
  <c r="AK12" i="107" s="1"/>
  <c r="AL12" i="107" s="1"/>
  <c r="AM31" i="107"/>
  <c r="AM32" i="107"/>
  <c r="AM35" i="107"/>
  <c r="AM27" i="107"/>
  <c r="AM33" i="107"/>
  <c r="AM19" i="107"/>
  <c r="AM28" i="107"/>
  <c r="AM30" i="107"/>
  <c r="AM34" i="107"/>
  <c r="AK40" i="52"/>
  <c r="D10" i="52"/>
  <c r="D19" i="52"/>
  <c r="T15" i="52" s="1"/>
  <c r="D18" i="52"/>
  <c r="T14" i="52" s="1"/>
  <c r="D12" i="52"/>
  <c r="T10" i="52" s="1"/>
  <c r="D11" i="52"/>
  <c r="T9" i="52" s="1"/>
  <c r="D13" i="52"/>
  <c r="T11" i="52" s="1"/>
  <c r="D17" i="52"/>
  <c r="T13" i="52" s="1"/>
  <c r="D14" i="52"/>
  <c r="T12" i="52" s="1"/>
  <c r="AK43" i="52"/>
  <c r="AK41" i="52"/>
  <c r="AK45" i="52"/>
  <c r="AK42" i="52"/>
  <c r="AK44" i="52"/>
  <c r="BM12" i="52"/>
  <c r="CP12" i="52"/>
  <c r="AK38" i="52"/>
  <c r="AK2" i="52"/>
  <c r="AK28" i="52" s="1"/>
  <c r="BF2" i="52"/>
  <c r="BE28" i="52"/>
  <c r="BM6" i="52"/>
  <c r="CA26" i="52"/>
  <c r="CA29" i="52"/>
  <c r="AV18" i="52"/>
  <c r="AH18" i="52"/>
  <c r="J71" i="115" l="1"/>
  <c r="K71" i="115" s="1"/>
  <c r="M71" i="115"/>
  <c r="M52" i="115"/>
  <c r="J52" i="115"/>
  <c r="K52" i="115" s="1"/>
  <c r="J34" i="115"/>
  <c r="K15" i="115"/>
  <c r="J36" i="115"/>
  <c r="J33" i="115"/>
  <c r="J32" i="115"/>
  <c r="J37" i="115"/>
  <c r="J35" i="115"/>
  <c r="M34" i="115"/>
  <c r="M33" i="115"/>
  <c r="M36" i="115"/>
  <c r="M32" i="115"/>
  <c r="M37" i="115"/>
  <c r="M35" i="115"/>
  <c r="AI32" i="115"/>
  <c r="AI36" i="115"/>
  <c r="AI33" i="115"/>
  <c r="AJ16" i="115"/>
  <c r="AJ35" i="115" s="1"/>
  <c r="AY44" i="52"/>
  <c r="AY40" i="52"/>
  <c r="AJ37" i="115"/>
  <c r="AK18" i="115"/>
  <c r="AK14" i="115"/>
  <c r="AK17" i="115"/>
  <c r="AK15" i="115"/>
  <c r="AJ22" i="115"/>
  <c r="AK3" i="115"/>
  <c r="AJ23" i="115"/>
  <c r="AJ32" i="115"/>
  <c r="AK13" i="115"/>
  <c r="AI26" i="115"/>
  <c r="AI25" i="115"/>
  <c r="AY41" i="52"/>
  <c r="AI27" i="115"/>
  <c r="AZ39" i="52"/>
  <c r="AZ37" i="52"/>
  <c r="AI24" i="115"/>
  <c r="AJ7" i="115"/>
  <c r="AJ30" i="115" s="1"/>
  <c r="AI28" i="115"/>
  <c r="S24" i="115"/>
  <c r="AM38" i="115"/>
  <c r="AI31" i="115"/>
  <c r="AI30" i="115"/>
  <c r="AZ38" i="52"/>
  <c r="S31" i="115"/>
  <c r="AY42" i="52"/>
  <c r="AY43" i="52"/>
  <c r="AY45" i="52"/>
  <c r="S44" i="115"/>
  <c r="T44" i="115" s="1"/>
  <c r="U44" i="115" s="1"/>
  <c r="S29" i="115"/>
  <c r="S30" i="115"/>
  <c r="S28" i="115"/>
  <c r="AK12" i="115"/>
  <c r="T48" i="115"/>
  <c r="U48" i="115" s="1"/>
  <c r="R48" i="115"/>
  <c r="U12" i="115"/>
  <c r="AK6" i="115"/>
  <c r="AK11" i="115"/>
  <c r="T45" i="115"/>
  <c r="U45" i="115" s="1"/>
  <c r="R45" i="115"/>
  <c r="T62" i="115"/>
  <c r="U62" i="115" s="1"/>
  <c r="R62" i="115"/>
  <c r="T46" i="115"/>
  <c r="U46" i="115" s="1"/>
  <c r="R46" i="115"/>
  <c r="T43" i="115"/>
  <c r="U43" i="115" s="1"/>
  <c r="R43" i="115"/>
  <c r="U5" i="115"/>
  <c r="U9" i="115"/>
  <c r="U6" i="115"/>
  <c r="S26" i="115"/>
  <c r="T7" i="115"/>
  <c r="T29" i="115" s="1"/>
  <c r="R7" i="115"/>
  <c r="R26" i="115" s="1"/>
  <c r="S63" i="115"/>
  <c r="S27" i="115"/>
  <c r="AK5" i="115"/>
  <c r="AY28" i="52"/>
  <c r="S19" i="115"/>
  <c r="T49" i="115"/>
  <c r="U49" i="115" s="1"/>
  <c r="R49" i="115"/>
  <c r="AK8" i="115"/>
  <c r="T42" i="115"/>
  <c r="U42" i="115" s="1"/>
  <c r="R42" i="115"/>
  <c r="U10" i="115"/>
  <c r="T47" i="115"/>
  <c r="U47" i="115" s="1"/>
  <c r="R47" i="115"/>
  <c r="U11" i="115"/>
  <c r="T67" i="115"/>
  <c r="U67" i="115" s="1"/>
  <c r="R67" i="115"/>
  <c r="AK9" i="115"/>
  <c r="T61" i="115"/>
  <c r="U61" i="115" s="1"/>
  <c r="R61" i="115"/>
  <c r="U8" i="115"/>
  <c r="AK10" i="115"/>
  <c r="J8" i="107"/>
  <c r="K8" i="107" s="1"/>
  <c r="M8" i="107"/>
  <c r="L25" i="107"/>
  <c r="L24" i="107"/>
  <c r="L26" i="107"/>
  <c r="S19" i="107"/>
  <c r="AI31" i="107"/>
  <c r="AI34" i="107"/>
  <c r="AI30" i="107"/>
  <c r="AI28" i="107"/>
  <c r="AI35" i="107"/>
  <c r="AI33" i="107"/>
  <c r="AI27" i="107"/>
  <c r="AJ27" i="107" s="1"/>
  <c r="AI32" i="107"/>
  <c r="AI29" i="107"/>
  <c r="AV50" i="52"/>
  <c r="AV53" i="52"/>
  <c r="AV52" i="52"/>
  <c r="T27" i="107"/>
  <c r="R27" i="107"/>
  <c r="T32" i="107"/>
  <c r="R32" i="107"/>
  <c r="T34" i="107"/>
  <c r="R34" i="107"/>
  <c r="T28" i="107"/>
  <c r="R28" i="107"/>
  <c r="T29" i="107"/>
  <c r="R29" i="107"/>
  <c r="T31" i="107"/>
  <c r="R31" i="107"/>
  <c r="T33" i="107"/>
  <c r="R33" i="107"/>
  <c r="T30" i="107"/>
  <c r="R30" i="107"/>
  <c r="T35" i="107"/>
  <c r="R35" i="107"/>
  <c r="AK57" i="52"/>
  <c r="T8" i="52"/>
  <c r="D9" i="52"/>
  <c r="D2" i="52" s="1"/>
  <c r="AH52" i="52"/>
  <c r="AH53" i="52"/>
  <c r="AH50" i="52"/>
  <c r="AV49" i="52"/>
  <c r="AV48" i="52"/>
  <c r="AV54" i="52"/>
  <c r="AV51" i="52"/>
  <c r="AV47" i="52"/>
  <c r="AH47" i="52"/>
  <c r="AH54" i="52"/>
  <c r="AH49" i="52"/>
  <c r="AH51" i="52"/>
  <c r="AH48" i="52"/>
  <c r="D48" i="52"/>
  <c r="DC12" i="52"/>
  <c r="AK16" i="115" l="1"/>
  <c r="AJ34" i="115"/>
  <c r="K34" i="115"/>
  <c r="K33" i="115"/>
  <c r="K36" i="115"/>
  <c r="K37" i="115"/>
  <c r="K32" i="115"/>
  <c r="K35" i="115"/>
  <c r="AJ36" i="115"/>
  <c r="AJ33" i="115"/>
  <c r="AK34" i="115"/>
  <c r="AL15" i="115"/>
  <c r="AK36" i="115"/>
  <c r="AL17" i="115"/>
  <c r="AK32" i="115"/>
  <c r="AL13" i="115"/>
  <c r="AK33" i="115"/>
  <c r="AL14" i="115"/>
  <c r="AK37" i="115"/>
  <c r="AL18" i="115"/>
  <c r="AK22" i="115"/>
  <c r="AL3" i="115"/>
  <c r="AK23" i="115"/>
  <c r="AI38" i="115"/>
  <c r="AK35" i="115"/>
  <c r="AL16" i="115"/>
  <c r="AJ27" i="115"/>
  <c r="AJ25" i="115"/>
  <c r="AJ24" i="115"/>
  <c r="AJ29" i="115"/>
  <c r="AJ31" i="115"/>
  <c r="AK7" i="115"/>
  <c r="AK31" i="115" s="1"/>
  <c r="AJ26" i="115"/>
  <c r="AJ28" i="115"/>
  <c r="R44" i="115"/>
  <c r="S38" i="115"/>
  <c r="T27" i="115"/>
  <c r="R30" i="115"/>
  <c r="R28" i="115"/>
  <c r="T24" i="115"/>
  <c r="AL9" i="115"/>
  <c r="AL6" i="115"/>
  <c r="T63" i="115"/>
  <c r="U63" i="115" s="1"/>
  <c r="R63" i="115"/>
  <c r="AL10" i="115"/>
  <c r="AL8" i="115"/>
  <c r="T26" i="115"/>
  <c r="U7" i="115"/>
  <c r="U26" i="115" s="1"/>
  <c r="T31" i="115"/>
  <c r="R24" i="115"/>
  <c r="R31" i="115"/>
  <c r="T25" i="115"/>
  <c r="R29" i="115"/>
  <c r="R25" i="115"/>
  <c r="T30" i="115"/>
  <c r="AL12" i="115"/>
  <c r="R27" i="115"/>
  <c r="T28" i="115"/>
  <c r="AL5" i="115"/>
  <c r="AL11" i="115"/>
  <c r="AJ29" i="107"/>
  <c r="AJ32" i="107"/>
  <c r="AJ33" i="107"/>
  <c r="AJ35" i="107"/>
  <c r="AJ28" i="107"/>
  <c r="AJ30" i="107"/>
  <c r="AK30" i="107" s="1"/>
  <c r="AJ34" i="107"/>
  <c r="AJ31" i="107"/>
  <c r="M24" i="107"/>
  <c r="J24" i="107"/>
  <c r="M25" i="107"/>
  <c r="J25" i="107"/>
  <c r="M26" i="107"/>
  <c r="J26" i="107"/>
  <c r="AK27" i="107"/>
  <c r="U28" i="107"/>
  <c r="U35" i="107"/>
  <c r="U32" i="107"/>
  <c r="U33" i="107"/>
  <c r="U34" i="107"/>
  <c r="U30" i="107"/>
  <c r="U31" i="107"/>
  <c r="U27" i="107"/>
  <c r="U29" i="107"/>
  <c r="D39" i="52"/>
  <c r="D47" i="52"/>
  <c r="D41" i="52"/>
  <c r="AH9" i="52"/>
  <c r="DC8" i="52"/>
  <c r="AV9" i="52"/>
  <c r="DC15" i="52"/>
  <c r="AH12" i="52"/>
  <c r="AV16" i="52"/>
  <c r="AV15" i="52"/>
  <c r="AH15" i="52"/>
  <c r="AH16" i="52"/>
  <c r="DC11" i="52"/>
  <c r="DC14" i="52"/>
  <c r="AV14" i="52"/>
  <c r="DC13" i="52"/>
  <c r="AH14" i="52"/>
  <c r="AV12" i="52"/>
  <c r="AH10" i="52"/>
  <c r="AH17" i="52"/>
  <c r="AV11" i="52"/>
  <c r="DC9" i="52"/>
  <c r="AV10" i="52"/>
  <c r="AV17" i="52"/>
  <c r="DC16" i="52"/>
  <c r="AH11" i="52"/>
  <c r="DC10" i="52"/>
  <c r="T7" i="52"/>
  <c r="T34" i="52" s="1"/>
  <c r="S80" i="66"/>
  <c r="R80" i="66"/>
  <c r="Q80" i="66"/>
  <c r="P80" i="66"/>
  <c r="O80" i="66"/>
  <c r="N80" i="66"/>
  <c r="M80" i="66"/>
  <c r="L80" i="66"/>
  <c r="K80" i="66"/>
  <c r="J80" i="66"/>
  <c r="I80" i="66"/>
  <c r="H80" i="66"/>
  <c r="G80" i="66"/>
  <c r="F80" i="66"/>
  <c r="E80" i="66"/>
  <c r="D80" i="66"/>
  <c r="S43" i="66"/>
  <c r="R43" i="66"/>
  <c r="Q43" i="66"/>
  <c r="P43" i="66"/>
  <c r="O43" i="66"/>
  <c r="N43" i="66"/>
  <c r="M43" i="66"/>
  <c r="L43" i="66"/>
  <c r="K43" i="66"/>
  <c r="J43" i="66"/>
  <c r="I43" i="66"/>
  <c r="H43" i="66"/>
  <c r="G43" i="66"/>
  <c r="F43" i="66"/>
  <c r="E43" i="66"/>
  <c r="D43" i="66"/>
  <c r="S43" i="64"/>
  <c r="R43" i="64"/>
  <c r="Q43" i="64"/>
  <c r="P43" i="64"/>
  <c r="O43" i="64"/>
  <c r="N43" i="64"/>
  <c r="M43" i="64"/>
  <c r="L43" i="64"/>
  <c r="K43" i="64"/>
  <c r="J43" i="64"/>
  <c r="I43" i="64"/>
  <c r="H43" i="64"/>
  <c r="G43" i="64"/>
  <c r="F43" i="64"/>
  <c r="E43" i="64"/>
  <c r="D43" i="64"/>
  <c r="S450" i="63"/>
  <c r="R450" i="63"/>
  <c r="Q450" i="63"/>
  <c r="P450" i="63"/>
  <c r="O450" i="63"/>
  <c r="N450" i="63"/>
  <c r="M450" i="63"/>
  <c r="L450" i="63"/>
  <c r="K450" i="63"/>
  <c r="J450" i="63"/>
  <c r="I450" i="63"/>
  <c r="H450" i="63"/>
  <c r="G450" i="63"/>
  <c r="F450" i="63"/>
  <c r="E450" i="63"/>
  <c r="D450" i="63"/>
  <c r="S413" i="63"/>
  <c r="R413" i="63"/>
  <c r="Q413" i="63"/>
  <c r="P413" i="63"/>
  <c r="O413" i="63"/>
  <c r="N413" i="63"/>
  <c r="M413" i="63"/>
  <c r="L413" i="63"/>
  <c r="K413" i="63"/>
  <c r="J413" i="63"/>
  <c r="I413" i="63"/>
  <c r="H413" i="63"/>
  <c r="G413" i="63"/>
  <c r="F413" i="63"/>
  <c r="E413" i="63"/>
  <c r="D413" i="63"/>
  <c r="S376" i="63"/>
  <c r="R376" i="63"/>
  <c r="Q376" i="63"/>
  <c r="P376" i="63"/>
  <c r="O376" i="63"/>
  <c r="N376" i="63"/>
  <c r="M376" i="63"/>
  <c r="L376" i="63"/>
  <c r="K376" i="63"/>
  <c r="J376" i="63"/>
  <c r="I376" i="63"/>
  <c r="H376" i="63"/>
  <c r="G376" i="63"/>
  <c r="F376" i="63"/>
  <c r="E376" i="63"/>
  <c r="D376" i="63"/>
  <c r="S339" i="63"/>
  <c r="R339" i="63"/>
  <c r="Q339" i="63"/>
  <c r="P339" i="63"/>
  <c r="O339" i="63"/>
  <c r="N339" i="63"/>
  <c r="M339" i="63"/>
  <c r="L339" i="63"/>
  <c r="K339" i="63"/>
  <c r="J339" i="63"/>
  <c r="I339" i="63"/>
  <c r="H339" i="63"/>
  <c r="G339" i="63"/>
  <c r="F339" i="63"/>
  <c r="E339" i="63"/>
  <c r="D339" i="63"/>
  <c r="S302" i="63"/>
  <c r="R302" i="63"/>
  <c r="Q302" i="63"/>
  <c r="P302" i="63"/>
  <c r="O302" i="63"/>
  <c r="N302" i="63"/>
  <c r="M302" i="63"/>
  <c r="L302" i="63"/>
  <c r="K302" i="63"/>
  <c r="J302" i="63"/>
  <c r="I302" i="63"/>
  <c r="H302" i="63"/>
  <c r="G302" i="63"/>
  <c r="F302" i="63"/>
  <c r="E302" i="63"/>
  <c r="D302" i="63"/>
  <c r="S265" i="63"/>
  <c r="R265" i="63"/>
  <c r="Q265" i="63"/>
  <c r="P265" i="63"/>
  <c r="O265" i="63"/>
  <c r="N265" i="63"/>
  <c r="M265" i="63"/>
  <c r="L265" i="63"/>
  <c r="K265" i="63"/>
  <c r="J265" i="63"/>
  <c r="I265" i="63"/>
  <c r="H265" i="63"/>
  <c r="G265" i="63"/>
  <c r="F265" i="63"/>
  <c r="E265" i="63"/>
  <c r="D265" i="63"/>
  <c r="S228" i="63"/>
  <c r="R228" i="63"/>
  <c r="Q228" i="63"/>
  <c r="P228" i="63"/>
  <c r="O228" i="63"/>
  <c r="N228" i="63"/>
  <c r="M228" i="63"/>
  <c r="L228" i="63"/>
  <c r="K228" i="63"/>
  <c r="J228" i="63"/>
  <c r="I228" i="63"/>
  <c r="H228" i="63"/>
  <c r="G228" i="63"/>
  <c r="F228" i="63"/>
  <c r="E228" i="63"/>
  <c r="D228" i="63"/>
  <c r="S191" i="63"/>
  <c r="R191" i="63"/>
  <c r="Q191" i="63"/>
  <c r="P191" i="63"/>
  <c r="O191" i="63"/>
  <c r="N191" i="63"/>
  <c r="M191" i="63"/>
  <c r="L191" i="63"/>
  <c r="K191" i="63"/>
  <c r="J191" i="63"/>
  <c r="I191" i="63"/>
  <c r="H191" i="63"/>
  <c r="G191" i="63"/>
  <c r="F191" i="63"/>
  <c r="E191" i="63"/>
  <c r="D191" i="63"/>
  <c r="S154" i="63"/>
  <c r="R154" i="63"/>
  <c r="Q154" i="63"/>
  <c r="P154" i="63"/>
  <c r="O154" i="63"/>
  <c r="N154" i="63"/>
  <c r="M154" i="63"/>
  <c r="L154" i="63"/>
  <c r="K154" i="63"/>
  <c r="J154" i="63"/>
  <c r="I154" i="63"/>
  <c r="H154" i="63"/>
  <c r="G154" i="63"/>
  <c r="F154" i="63"/>
  <c r="E154" i="63"/>
  <c r="D154" i="63"/>
  <c r="S117" i="63"/>
  <c r="R117" i="63"/>
  <c r="Q117" i="63"/>
  <c r="P117" i="63"/>
  <c r="O117" i="63"/>
  <c r="N117" i="63"/>
  <c r="M117" i="63"/>
  <c r="L117" i="63"/>
  <c r="K117" i="63"/>
  <c r="J117" i="63"/>
  <c r="I117" i="63"/>
  <c r="H117" i="63"/>
  <c r="G117" i="63"/>
  <c r="F117" i="63"/>
  <c r="E117" i="63"/>
  <c r="D117" i="63"/>
  <c r="S80" i="61"/>
  <c r="R80" i="61"/>
  <c r="Q80" i="61"/>
  <c r="P80" i="61"/>
  <c r="O80" i="61"/>
  <c r="N80" i="61"/>
  <c r="M80" i="61"/>
  <c r="L80" i="61"/>
  <c r="K80" i="61"/>
  <c r="J80" i="61"/>
  <c r="I80" i="61"/>
  <c r="H80" i="61"/>
  <c r="G80" i="61"/>
  <c r="F80" i="61"/>
  <c r="E80" i="61"/>
  <c r="D80" i="61"/>
  <c r="S43" i="61"/>
  <c r="R43" i="61"/>
  <c r="Q43" i="61"/>
  <c r="P43" i="61"/>
  <c r="O43" i="61"/>
  <c r="N43" i="61"/>
  <c r="M43" i="61"/>
  <c r="L43" i="61"/>
  <c r="K43" i="61"/>
  <c r="J43" i="61"/>
  <c r="I43" i="61"/>
  <c r="H43" i="61"/>
  <c r="G43" i="61"/>
  <c r="F43" i="61"/>
  <c r="E43" i="61"/>
  <c r="D43" i="61"/>
  <c r="S43" i="57"/>
  <c r="R43" i="57"/>
  <c r="Q43" i="57"/>
  <c r="P43" i="57"/>
  <c r="O43" i="57"/>
  <c r="N43" i="57"/>
  <c r="M43" i="57"/>
  <c r="L43" i="57"/>
  <c r="K43" i="57"/>
  <c r="J43" i="57"/>
  <c r="I43" i="57"/>
  <c r="H43" i="57"/>
  <c r="G43" i="57"/>
  <c r="F43" i="57"/>
  <c r="E43" i="57"/>
  <c r="D43" i="57"/>
  <c r="S339" i="56"/>
  <c r="R339" i="56"/>
  <c r="Q339" i="56"/>
  <c r="P339" i="56"/>
  <c r="O339" i="56"/>
  <c r="N339" i="56"/>
  <c r="M339" i="56"/>
  <c r="L339" i="56"/>
  <c r="K339" i="56"/>
  <c r="J339" i="56"/>
  <c r="I339" i="56"/>
  <c r="H339" i="56"/>
  <c r="G339" i="56"/>
  <c r="F339" i="56"/>
  <c r="E339" i="56"/>
  <c r="D339" i="56"/>
  <c r="S302" i="56"/>
  <c r="R302" i="56"/>
  <c r="Q302" i="56"/>
  <c r="P302" i="56"/>
  <c r="O302" i="56"/>
  <c r="N302" i="56"/>
  <c r="M302" i="56"/>
  <c r="L302" i="56"/>
  <c r="K302" i="56"/>
  <c r="J302" i="56"/>
  <c r="I302" i="56"/>
  <c r="H302" i="56"/>
  <c r="G302" i="56"/>
  <c r="F302" i="56"/>
  <c r="E302" i="56"/>
  <c r="D302" i="56"/>
  <c r="S265" i="56"/>
  <c r="R265" i="56"/>
  <c r="Q265" i="56"/>
  <c r="P265" i="56"/>
  <c r="O265" i="56"/>
  <c r="N265" i="56"/>
  <c r="M265" i="56"/>
  <c r="L265" i="56"/>
  <c r="K265" i="56"/>
  <c r="J265" i="56"/>
  <c r="I265" i="56"/>
  <c r="H265" i="56"/>
  <c r="G265" i="56"/>
  <c r="F265" i="56"/>
  <c r="E265" i="56"/>
  <c r="D265" i="56"/>
  <c r="S228" i="56"/>
  <c r="R228" i="56"/>
  <c r="Q228" i="56"/>
  <c r="P228" i="56"/>
  <c r="O228" i="56"/>
  <c r="N228" i="56"/>
  <c r="M228" i="56"/>
  <c r="L228" i="56"/>
  <c r="K228" i="56"/>
  <c r="J228" i="56"/>
  <c r="I228" i="56"/>
  <c r="H228" i="56"/>
  <c r="G228" i="56"/>
  <c r="F228" i="56"/>
  <c r="E228" i="56"/>
  <c r="D228" i="56"/>
  <c r="S191" i="56"/>
  <c r="R191" i="56"/>
  <c r="Q191" i="56"/>
  <c r="P191" i="56"/>
  <c r="O191" i="56"/>
  <c r="N191" i="56"/>
  <c r="M191" i="56"/>
  <c r="L191" i="56"/>
  <c r="K191" i="56"/>
  <c r="J191" i="56"/>
  <c r="I191" i="56"/>
  <c r="H191" i="56"/>
  <c r="G191" i="56"/>
  <c r="F191" i="56"/>
  <c r="E191" i="56"/>
  <c r="D191" i="56"/>
  <c r="S154" i="56"/>
  <c r="R154" i="56"/>
  <c r="Q154" i="56"/>
  <c r="P154" i="56"/>
  <c r="O154" i="56"/>
  <c r="N154" i="56"/>
  <c r="M154" i="56"/>
  <c r="L154" i="56"/>
  <c r="K154" i="56"/>
  <c r="J154" i="56"/>
  <c r="I154" i="56"/>
  <c r="H154" i="56"/>
  <c r="G154" i="56"/>
  <c r="F154" i="56"/>
  <c r="E154" i="56"/>
  <c r="D154" i="56"/>
  <c r="S117" i="56"/>
  <c r="R117" i="56"/>
  <c r="Q117" i="56"/>
  <c r="P117" i="56"/>
  <c r="O117" i="56"/>
  <c r="N117" i="56"/>
  <c r="M117" i="56"/>
  <c r="L117" i="56"/>
  <c r="K117" i="56"/>
  <c r="J117" i="56"/>
  <c r="I117" i="56"/>
  <c r="H117" i="56"/>
  <c r="G117" i="56"/>
  <c r="F117" i="56"/>
  <c r="E117" i="56"/>
  <c r="D117" i="56"/>
  <c r="S80" i="56"/>
  <c r="R80" i="56"/>
  <c r="Q80" i="56"/>
  <c r="P80" i="56"/>
  <c r="O80" i="56"/>
  <c r="N80" i="56"/>
  <c r="M80" i="56"/>
  <c r="L80" i="56"/>
  <c r="K80" i="56"/>
  <c r="J80" i="56"/>
  <c r="I80" i="56"/>
  <c r="H80" i="56"/>
  <c r="G80" i="56"/>
  <c r="F80" i="56"/>
  <c r="E80" i="56"/>
  <c r="D80" i="56"/>
  <c r="S43" i="56"/>
  <c r="R43" i="56"/>
  <c r="Q43" i="56"/>
  <c r="P43" i="56"/>
  <c r="O43" i="56"/>
  <c r="N43" i="56"/>
  <c r="M43" i="56"/>
  <c r="L43" i="56"/>
  <c r="K43" i="56"/>
  <c r="J43" i="56"/>
  <c r="I43" i="56"/>
  <c r="H43" i="56"/>
  <c r="G43" i="56"/>
  <c r="F43" i="56"/>
  <c r="E43" i="56"/>
  <c r="D43" i="56"/>
  <c r="S376" i="53"/>
  <c r="R376" i="53"/>
  <c r="Q376" i="53"/>
  <c r="P376" i="53"/>
  <c r="O376" i="53"/>
  <c r="N376" i="53"/>
  <c r="M376" i="53"/>
  <c r="L376" i="53"/>
  <c r="K376" i="53"/>
  <c r="J376" i="53"/>
  <c r="I376" i="53"/>
  <c r="H376" i="53"/>
  <c r="G376" i="53"/>
  <c r="F376" i="53"/>
  <c r="E376" i="53"/>
  <c r="D376" i="53"/>
  <c r="S339" i="53"/>
  <c r="R339" i="53"/>
  <c r="Q339" i="53"/>
  <c r="P339" i="53"/>
  <c r="O339" i="53"/>
  <c r="N339" i="53"/>
  <c r="M339" i="53"/>
  <c r="L339" i="53"/>
  <c r="K339" i="53"/>
  <c r="J339" i="53"/>
  <c r="I339" i="53"/>
  <c r="H339" i="53"/>
  <c r="G339" i="53"/>
  <c r="F339" i="53"/>
  <c r="E339" i="53"/>
  <c r="D339" i="53"/>
  <c r="S302" i="53"/>
  <c r="R302" i="53"/>
  <c r="Q302" i="53"/>
  <c r="P302" i="53"/>
  <c r="O302" i="53"/>
  <c r="N302" i="53"/>
  <c r="M302" i="53"/>
  <c r="L302" i="53"/>
  <c r="K302" i="53"/>
  <c r="J302" i="53"/>
  <c r="I302" i="53"/>
  <c r="H302" i="53"/>
  <c r="G302" i="53"/>
  <c r="F302" i="53"/>
  <c r="E302" i="53"/>
  <c r="D302" i="53"/>
  <c r="S265" i="53"/>
  <c r="R265" i="53"/>
  <c r="Q265" i="53"/>
  <c r="P265" i="53"/>
  <c r="O265" i="53"/>
  <c r="N265" i="53"/>
  <c r="M265" i="53"/>
  <c r="L265" i="53"/>
  <c r="K265" i="53"/>
  <c r="J265" i="53"/>
  <c r="I265" i="53"/>
  <c r="H265" i="53"/>
  <c r="G265" i="53"/>
  <c r="F265" i="53"/>
  <c r="E265" i="53"/>
  <c r="D265" i="53"/>
  <c r="S228" i="53"/>
  <c r="R228" i="53"/>
  <c r="Q228" i="53"/>
  <c r="P228" i="53"/>
  <c r="O228" i="53"/>
  <c r="N228" i="53"/>
  <c r="M228" i="53"/>
  <c r="L228" i="53"/>
  <c r="K228" i="53"/>
  <c r="J228" i="53"/>
  <c r="I228" i="53"/>
  <c r="H228" i="53"/>
  <c r="G228" i="53"/>
  <c r="F228" i="53"/>
  <c r="E228" i="53"/>
  <c r="D228" i="53"/>
  <c r="S191" i="53"/>
  <c r="R191" i="53"/>
  <c r="Q191" i="53"/>
  <c r="P191" i="53"/>
  <c r="O191" i="53"/>
  <c r="N191" i="53"/>
  <c r="M191" i="53"/>
  <c r="L191" i="53"/>
  <c r="K191" i="53"/>
  <c r="J191" i="53"/>
  <c r="I191" i="53"/>
  <c r="H191" i="53"/>
  <c r="G191" i="53"/>
  <c r="F191" i="53"/>
  <c r="E191" i="53"/>
  <c r="D191" i="53"/>
  <c r="S154" i="53"/>
  <c r="R154" i="53"/>
  <c r="Q154" i="53"/>
  <c r="P154" i="53"/>
  <c r="O154" i="53"/>
  <c r="N154" i="53"/>
  <c r="M154" i="53"/>
  <c r="L154" i="53"/>
  <c r="K154" i="53"/>
  <c r="J154" i="53"/>
  <c r="I154" i="53"/>
  <c r="H154" i="53"/>
  <c r="G154" i="53"/>
  <c r="F154" i="53"/>
  <c r="E154" i="53"/>
  <c r="D154" i="53"/>
  <c r="S117" i="53"/>
  <c r="R117" i="53"/>
  <c r="Q117" i="53"/>
  <c r="P117" i="53"/>
  <c r="O117" i="53"/>
  <c r="N117" i="53"/>
  <c r="M117" i="53"/>
  <c r="L117" i="53"/>
  <c r="K117" i="53"/>
  <c r="J117" i="53"/>
  <c r="I117" i="53"/>
  <c r="H117" i="53"/>
  <c r="G117" i="53"/>
  <c r="F117" i="53"/>
  <c r="E117" i="53"/>
  <c r="D117" i="53"/>
  <c r="S80" i="53"/>
  <c r="R80" i="53"/>
  <c r="Q80" i="53"/>
  <c r="P80" i="53"/>
  <c r="O80" i="53"/>
  <c r="N80" i="53"/>
  <c r="M80" i="53"/>
  <c r="L80" i="53"/>
  <c r="K80" i="53"/>
  <c r="J80" i="53"/>
  <c r="I80" i="53"/>
  <c r="H80" i="53"/>
  <c r="G80" i="53"/>
  <c r="F80" i="53"/>
  <c r="E80" i="53"/>
  <c r="D80" i="53"/>
  <c r="S43" i="53"/>
  <c r="R43" i="53"/>
  <c r="Q43" i="53"/>
  <c r="P43" i="53"/>
  <c r="O43" i="53"/>
  <c r="N43" i="53"/>
  <c r="M43" i="53"/>
  <c r="L43" i="53"/>
  <c r="K43" i="53"/>
  <c r="J43" i="53"/>
  <c r="I43" i="53"/>
  <c r="H43" i="53"/>
  <c r="G43" i="53"/>
  <c r="F43" i="53"/>
  <c r="E43" i="53"/>
  <c r="D43" i="53"/>
  <c r="AC23" i="52"/>
  <c r="U23" i="52"/>
  <c r="U22" i="52"/>
  <c r="U21" i="52"/>
  <c r="U19" i="52"/>
  <c r="BH25" i="52"/>
  <c r="U20" i="52"/>
  <c r="BH24" i="52"/>
  <c r="AC15" i="52"/>
  <c r="U15" i="52"/>
  <c r="BH22" i="52"/>
  <c r="AD19" i="52"/>
  <c r="AD20" i="52" s="1"/>
  <c r="AD22" i="52" s="1"/>
  <c r="AD23" i="52" s="1"/>
  <c r="AD25" i="52" s="1"/>
  <c r="AC18" i="52"/>
  <c r="U18" i="52"/>
  <c r="AC14" i="52"/>
  <c r="U14" i="52"/>
  <c r="S14" i="52"/>
  <c r="BH21" i="52"/>
  <c r="U17" i="52"/>
  <c r="AC13" i="52"/>
  <c r="U13" i="52"/>
  <c r="S13" i="52"/>
  <c r="BH18" i="52"/>
  <c r="BH17" i="52"/>
  <c r="AC12" i="52"/>
  <c r="U12" i="52"/>
  <c r="S12" i="52"/>
  <c r="CK15" i="52"/>
  <c r="BH16" i="52"/>
  <c r="AC11" i="52"/>
  <c r="U11" i="52"/>
  <c r="CK14" i="52"/>
  <c r="BH15" i="52"/>
  <c r="AC10" i="52"/>
  <c r="U10" i="52"/>
  <c r="CK13" i="52"/>
  <c r="BH14" i="52"/>
  <c r="AC9" i="52"/>
  <c r="U9" i="52"/>
  <c r="CK12" i="52"/>
  <c r="BH13" i="52"/>
  <c r="CK11" i="52"/>
  <c r="BH11" i="52"/>
  <c r="AD9" i="52"/>
  <c r="AD10" i="52" s="1"/>
  <c r="AD11" i="52" s="1"/>
  <c r="CK10" i="52"/>
  <c r="BH10" i="52"/>
  <c r="CK9" i="52"/>
  <c r="CK8" i="52"/>
  <c r="AC5" i="52"/>
  <c r="U5" i="52"/>
  <c r="AD4" i="52"/>
  <c r="AD5" i="52" s="1"/>
  <c r="AC4" i="52"/>
  <c r="AL32" i="115" l="1"/>
  <c r="AL35" i="115"/>
  <c r="AL36" i="115"/>
  <c r="AL34" i="115"/>
  <c r="AL22" i="115"/>
  <c r="AL23" i="115"/>
  <c r="AL37" i="115"/>
  <c r="AL33" i="115"/>
  <c r="AK25" i="115"/>
  <c r="AK28" i="115"/>
  <c r="AK30" i="115"/>
  <c r="AK24" i="115"/>
  <c r="AL7" i="115"/>
  <c r="AL26" i="115" s="1"/>
  <c r="AK26" i="115"/>
  <c r="AK27" i="115"/>
  <c r="AK29" i="115"/>
  <c r="AJ38" i="115"/>
  <c r="U27" i="115"/>
  <c r="R38" i="115"/>
  <c r="L14" i="107"/>
  <c r="M14" i="107" s="1"/>
  <c r="L9" i="115"/>
  <c r="L65" i="115" s="1"/>
  <c r="T38" i="115"/>
  <c r="U28" i="115"/>
  <c r="L13" i="107"/>
  <c r="M13" i="107" s="1"/>
  <c r="L8" i="115"/>
  <c r="L10" i="107"/>
  <c r="M10" i="107" s="1"/>
  <c r="L5" i="115"/>
  <c r="U25" i="115"/>
  <c r="L11" i="107"/>
  <c r="J11" i="107" s="1"/>
  <c r="K11" i="107" s="1"/>
  <c r="L6" i="115"/>
  <c r="U29" i="115"/>
  <c r="L15" i="107"/>
  <c r="M15" i="107" s="1"/>
  <c r="L10" i="115"/>
  <c r="L16" i="107"/>
  <c r="J16" i="107" s="1"/>
  <c r="K16" i="107" s="1"/>
  <c r="L11" i="115"/>
  <c r="L67" i="115" s="1"/>
  <c r="U24" i="115"/>
  <c r="U30" i="115"/>
  <c r="L18" i="107"/>
  <c r="M18" i="107" s="1"/>
  <c r="L12" i="115"/>
  <c r="U31" i="115"/>
  <c r="AK34" i="107"/>
  <c r="AK29" i="107"/>
  <c r="AK33" i="107"/>
  <c r="K26" i="107"/>
  <c r="K24" i="107"/>
  <c r="AK28" i="107"/>
  <c r="K25" i="107"/>
  <c r="AK32" i="107"/>
  <c r="AK35" i="107"/>
  <c r="AK31" i="107"/>
  <c r="BH6" i="52"/>
  <c r="BH8" i="52"/>
  <c r="BH7" i="52"/>
  <c r="BH9" i="52"/>
  <c r="AL27" i="107"/>
  <c r="AL30" i="107"/>
  <c r="CM16" i="52"/>
  <c r="CM9" i="52"/>
  <c r="BX16" i="52"/>
  <c r="BX14" i="52"/>
  <c r="BX11" i="52"/>
  <c r="BX15" i="52"/>
  <c r="BX13" i="52"/>
  <c r="BX10" i="52"/>
  <c r="BX9" i="52"/>
  <c r="AH13" i="52"/>
  <c r="AH8" i="52" s="1"/>
  <c r="AH40" i="52" s="1"/>
  <c r="AV13" i="52"/>
  <c r="L12" i="107" s="1"/>
  <c r="BX12" i="52"/>
  <c r="BX8" i="52"/>
  <c r="T38" i="52"/>
  <c r="T2" i="52"/>
  <c r="T25" i="52" s="1"/>
  <c r="T41" i="52"/>
  <c r="T35" i="52"/>
  <c r="T36" i="52"/>
  <c r="T37" i="52"/>
  <c r="T40" i="52"/>
  <c r="T39" i="52"/>
  <c r="CM14" i="52"/>
  <c r="CM11" i="52"/>
  <c r="DC27" i="52"/>
  <c r="CM13" i="52"/>
  <c r="CM10" i="52"/>
  <c r="CM8" i="52"/>
  <c r="CM15" i="52"/>
  <c r="AD13" i="52"/>
  <c r="AD14" i="52" s="1"/>
  <c r="AD15" i="52" s="1"/>
  <c r="AD16" i="52" s="1"/>
  <c r="AC20" i="52"/>
  <c r="AC17" i="52"/>
  <c r="AQ3" i="52"/>
  <c r="M3" i="52"/>
  <c r="AF42" i="52"/>
  <c r="AC21" i="52"/>
  <c r="AC19" i="52"/>
  <c r="R40" i="52"/>
  <c r="U4" i="52"/>
  <c r="AF49" i="52"/>
  <c r="U16" i="52"/>
  <c r="U48" i="52" s="1"/>
  <c r="AT54" i="52"/>
  <c r="AT38" i="52"/>
  <c r="AC22" i="52"/>
  <c r="U8" i="52"/>
  <c r="AC3" i="52"/>
  <c r="AC30" i="52" s="1"/>
  <c r="AC8" i="52"/>
  <c r="AQ34" i="52" l="1"/>
  <c r="AQ33" i="52"/>
  <c r="AL29" i="115"/>
  <c r="AK38" i="115"/>
  <c r="AL27" i="115"/>
  <c r="AL28" i="115"/>
  <c r="AL31" i="115"/>
  <c r="AL25" i="115"/>
  <c r="AL24" i="115"/>
  <c r="AL30" i="115"/>
  <c r="M11" i="107"/>
  <c r="J18" i="107"/>
  <c r="K18" i="107" s="1"/>
  <c r="J14" i="107"/>
  <c r="K14" i="107" s="1"/>
  <c r="M16" i="107"/>
  <c r="M67" i="115"/>
  <c r="J67" i="115"/>
  <c r="K67" i="115" s="1"/>
  <c r="L61" i="115"/>
  <c r="M5" i="115"/>
  <c r="J5" i="115"/>
  <c r="BJ15" i="52"/>
  <c r="L48" i="115"/>
  <c r="M11" i="115"/>
  <c r="J11" i="115"/>
  <c r="BJ11" i="52"/>
  <c r="L45" i="115"/>
  <c r="J15" i="107"/>
  <c r="K15" i="107" s="1"/>
  <c r="BJ14" i="52"/>
  <c r="L47" i="115"/>
  <c r="L7" i="115"/>
  <c r="L31" i="115" s="1"/>
  <c r="BJ16" i="52"/>
  <c r="L49" i="115"/>
  <c r="M10" i="115"/>
  <c r="J10" i="115"/>
  <c r="M12" i="115"/>
  <c r="J12" i="115"/>
  <c r="BJ8" i="52"/>
  <c r="L42" i="115"/>
  <c r="M8" i="115"/>
  <c r="J8" i="115"/>
  <c r="L64" i="115"/>
  <c r="J10" i="107"/>
  <c r="K10" i="107" s="1"/>
  <c r="L62" i="115"/>
  <c r="M6" i="115"/>
  <c r="J6" i="115"/>
  <c r="BJ7" i="52"/>
  <c r="L43" i="115"/>
  <c r="J13" i="107"/>
  <c r="K13" i="107" s="1"/>
  <c r="BJ10" i="52"/>
  <c r="M65" i="115"/>
  <c r="J65" i="115"/>
  <c r="K65" i="115" s="1"/>
  <c r="L68" i="115"/>
  <c r="BJ13" i="52"/>
  <c r="L46" i="115"/>
  <c r="U38" i="115"/>
  <c r="L66" i="115"/>
  <c r="M9" i="115"/>
  <c r="J9" i="115"/>
  <c r="AL29" i="107"/>
  <c r="AL34" i="107"/>
  <c r="AL32" i="107"/>
  <c r="AL28" i="107"/>
  <c r="AL33" i="107"/>
  <c r="AL35" i="107"/>
  <c r="AL31" i="107"/>
  <c r="AV8" i="52"/>
  <c r="AV45" i="52" s="1"/>
  <c r="M12" i="107"/>
  <c r="L29" i="107"/>
  <c r="J12" i="107"/>
  <c r="K12" i="107" s="1"/>
  <c r="L31" i="107"/>
  <c r="L35" i="107"/>
  <c r="L33" i="107"/>
  <c r="L30" i="107"/>
  <c r="L28" i="107"/>
  <c r="L27" i="107"/>
  <c r="L32" i="107"/>
  <c r="L34" i="107"/>
  <c r="AH42" i="52"/>
  <c r="AH39" i="52"/>
  <c r="AH45" i="52"/>
  <c r="BJ9" i="52"/>
  <c r="BJ6" i="52"/>
  <c r="BX26" i="52"/>
  <c r="BX29" i="52"/>
  <c r="BJ12" i="52"/>
  <c r="CM12" i="52"/>
  <c r="AH43" i="52"/>
  <c r="AH2" i="52"/>
  <c r="AH28" i="52" s="1"/>
  <c r="AH41" i="52"/>
  <c r="AH44" i="52"/>
  <c r="DB27" i="52"/>
  <c r="CK5" i="52"/>
  <c r="CK16" i="52"/>
  <c r="AC31" i="52"/>
  <c r="P3" i="52"/>
  <c r="M2" i="52"/>
  <c r="AH37" i="52"/>
  <c r="AH38" i="52"/>
  <c r="CK4" i="52"/>
  <c r="R34" i="52"/>
  <c r="AF38" i="52"/>
  <c r="AF39" i="52"/>
  <c r="AF44" i="52"/>
  <c r="AF47" i="52"/>
  <c r="AF43" i="52"/>
  <c r="AF37" i="52"/>
  <c r="AF45" i="52"/>
  <c r="AC16" i="52"/>
  <c r="AC44" i="52" s="1"/>
  <c r="AF40" i="52"/>
  <c r="U46" i="52"/>
  <c r="R45" i="52"/>
  <c r="R47" i="52"/>
  <c r="R48" i="52"/>
  <c r="R44" i="52"/>
  <c r="R46" i="52"/>
  <c r="AF52" i="52"/>
  <c r="AT49" i="52"/>
  <c r="AT44" i="52"/>
  <c r="R43" i="52"/>
  <c r="AT42" i="52"/>
  <c r="AT43" i="52"/>
  <c r="AF51" i="52"/>
  <c r="AF48" i="52"/>
  <c r="AF54" i="52"/>
  <c r="CK17" i="52"/>
  <c r="AI38" i="52"/>
  <c r="AT47" i="52"/>
  <c r="U3" i="52"/>
  <c r="R41" i="52"/>
  <c r="U47" i="52"/>
  <c r="U44" i="52"/>
  <c r="U43" i="52"/>
  <c r="AT39" i="52"/>
  <c r="U45" i="52"/>
  <c r="R37" i="52"/>
  <c r="R36" i="52"/>
  <c r="AC7" i="52"/>
  <c r="R39" i="52"/>
  <c r="AI37" i="52"/>
  <c r="AQ2" i="52"/>
  <c r="AQ28" i="52" s="1"/>
  <c r="AI39" i="52"/>
  <c r="U7" i="52"/>
  <c r="U34" i="52" s="1"/>
  <c r="R30" i="52"/>
  <c r="R38" i="52"/>
  <c r="AT40" i="52"/>
  <c r="AT45" i="52"/>
  <c r="AT37" i="52"/>
  <c r="AT52" i="52"/>
  <c r="AT48" i="52"/>
  <c r="AT51" i="52"/>
  <c r="R35" i="52"/>
  <c r="AL38" i="115" l="1"/>
  <c r="L25" i="115"/>
  <c r="L29" i="115"/>
  <c r="AV37" i="52"/>
  <c r="L30" i="115"/>
  <c r="L44" i="115"/>
  <c r="J44" i="115" s="1"/>
  <c r="K44" i="115" s="1"/>
  <c r="L27" i="115"/>
  <c r="K10" i="115"/>
  <c r="M68" i="115"/>
  <c r="J68" i="115"/>
  <c r="K68" i="115" s="1"/>
  <c r="M64" i="115"/>
  <c r="J64" i="115"/>
  <c r="K64" i="115" s="1"/>
  <c r="M49" i="115"/>
  <c r="J49" i="115"/>
  <c r="K49" i="115" s="1"/>
  <c r="M66" i="115"/>
  <c r="J66" i="115"/>
  <c r="K66" i="115" s="1"/>
  <c r="K12" i="115"/>
  <c r="M45" i="115"/>
  <c r="J45" i="115"/>
  <c r="K45" i="115" s="1"/>
  <c r="K6" i="115"/>
  <c r="M62" i="115"/>
  <c r="J62" i="115"/>
  <c r="K62" i="115" s="1"/>
  <c r="K8" i="115"/>
  <c r="M46" i="115"/>
  <c r="J46" i="115"/>
  <c r="K46" i="115" s="1"/>
  <c r="K11" i="115"/>
  <c r="M48" i="115"/>
  <c r="J48" i="115"/>
  <c r="K48" i="115" s="1"/>
  <c r="K5" i="115"/>
  <c r="L26" i="115"/>
  <c r="M7" i="115"/>
  <c r="M26" i="115" s="1"/>
  <c r="J7" i="115"/>
  <c r="J24" i="115" s="1"/>
  <c r="L63" i="115"/>
  <c r="K9" i="115"/>
  <c r="M47" i="115"/>
  <c r="J47" i="115"/>
  <c r="K47" i="115" s="1"/>
  <c r="L24" i="115"/>
  <c r="AV38" i="52"/>
  <c r="M42" i="115"/>
  <c r="J42" i="115"/>
  <c r="K42" i="115" s="1"/>
  <c r="M61" i="115"/>
  <c r="J61" i="115"/>
  <c r="K61" i="115" s="1"/>
  <c r="L28" i="115"/>
  <c r="M43" i="115"/>
  <c r="J43" i="115"/>
  <c r="K43" i="115" s="1"/>
  <c r="AW39" i="52"/>
  <c r="AW37" i="52"/>
  <c r="AV43" i="52"/>
  <c r="AV40" i="52"/>
  <c r="AV42" i="52"/>
  <c r="AV41" i="52"/>
  <c r="AV44" i="52"/>
  <c r="AV2" i="52"/>
  <c r="AV28" i="52" s="1"/>
  <c r="AW38" i="52"/>
  <c r="AV39" i="52"/>
  <c r="M29" i="107"/>
  <c r="J29" i="107"/>
  <c r="M34" i="107"/>
  <c r="J34" i="107"/>
  <c r="M32" i="107"/>
  <c r="J32" i="107"/>
  <c r="M27" i="107"/>
  <c r="J27" i="107"/>
  <c r="M28" i="107"/>
  <c r="J28" i="107"/>
  <c r="M30" i="107"/>
  <c r="J30" i="107"/>
  <c r="M33" i="107"/>
  <c r="J33" i="107"/>
  <c r="M35" i="107"/>
  <c r="J35" i="107"/>
  <c r="M31" i="107"/>
  <c r="J31" i="107"/>
  <c r="AH57" i="52"/>
  <c r="AI57" i="52"/>
  <c r="AQ57" i="52"/>
  <c r="AC45" i="52"/>
  <c r="AC48" i="52"/>
  <c r="AC43" i="52"/>
  <c r="AC41" i="52"/>
  <c r="AC37" i="52"/>
  <c r="AC35" i="52"/>
  <c r="AC38" i="52"/>
  <c r="AC40" i="52"/>
  <c r="AC36" i="52"/>
  <c r="AC39" i="52"/>
  <c r="AC47" i="52"/>
  <c r="AC34" i="52"/>
  <c r="AC46" i="52"/>
  <c r="CK18" i="52"/>
  <c r="AC2" i="52"/>
  <c r="AC25" i="52" s="1"/>
  <c r="U2" i="52"/>
  <c r="U25" i="52" s="1"/>
  <c r="U31" i="52"/>
  <c r="U30" i="52"/>
  <c r="W25" i="52"/>
  <c r="R31" i="52"/>
  <c r="CK21" i="52"/>
  <c r="U41" i="52"/>
  <c r="U39" i="52"/>
  <c r="U37" i="52"/>
  <c r="U40" i="52"/>
  <c r="U35" i="52"/>
  <c r="U38" i="52"/>
  <c r="U36" i="52"/>
  <c r="L38" i="115" l="1"/>
  <c r="M44" i="115"/>
  <c r="M30" i="115"/>
  <c r="M31" i="115"/>
  <c r="J26" i="115"/>
  <c r="K7" i="115"/>
  <c r="K26" i="115" s="1"/>
  <c r="J31" i="115"/>
  <c r="J29" i="115"/>
  <c r="M28" i="115"/>
  <c r="J27" i="115"/>
  <c r="M27" i="115"/>
  <c r="M29" i="115"/>
  <c r="J25" i="115"/>
  <c r="J28" i="115"/>
  <c r="J30" i="115"/>
  <c r="M24" i="115"/>
  <c r="M25" i="115"/>
  <c r="M63" i="115"/>
  <c r="J63" i="115"/>
  <c r="K63" i="115" s="1"/>
  <c r="L19" i="107"/>
  <c r="CK22" i="52"/>
  <c r="CK25" i="52"/>
  <c r="K27" i="107"/>
  <c r="K31" i="107"/>
  <c r="K32" i="107"/>
  <c r="K35" i="107"/>
  <c r="K34" i="107"/>
  <c r="K33" i="107"/>
  <c r="K29" i="107"/>
  <c r="K30" i="107"/>
  <c r="K28" i="107"/>
  <c r="CK24" i="52"/>
  <c r="K24" i="115" l="1"/>
  <c r="K29" i="115"/>
  <c r="K31" i="115"/>
  <c r="K27" i="115"/>
  <c r="J38" i="115"/>
  <c r="K28" i="115"/>
  <c r="K30" i="115"/>
  <c r="K25" i="115"/>
  <c r="M38" i="115"/>
  <c r="S19" i="47"/>
  <c r="M19" i="47"/>
  <c r="N19" i="47"/>
  <c r="O19" i="47"/>
  <c r="P19" i="47"/>
  <c r="Q19" i="47"/>
  <c r="R19" i="47"/>
  <c r="D19" i="47"/>
  <c r="E19" i="47"/>
  <c r="F19" i="47"/>
  <c r="G19" i="47"/>
  <c r="H19" i="47"/>
  <c r="I19" i="47"/>
  <c r="J19" i="47"/>
  <c r="L19" i="47"/>
  <c r="K19" i="47"/>
  <c r="S413" i="47"/>
  <c r="R413" i="47"/>
  <c r="Q413" i="47"/>
  <c r="P413" i="47"/>
  <c r="O413" i="47"/>
  <c r="N413" i="47"/>
  <c r="M413" i="47"/>
  <c r="L413" i="47"/>
  <c r="K413" i="47"/>
  <c r="J413" i="47"/>
  <c r="I413" i="47"/>
  <c r="H413" i="47"/>
  <c r="G413" i="47"/>
  <c r="F413" i="47"/>
  <c r="E413" i="47"/>
  <c r="D413" i="47"/>
  <c r="S376" i="47"/>
  <c r="R376" i="47"/>
  <c r="Q376" i="47"/>
  <c r="P376" i="47"/>
  <c r="O376" i="47"/>
  <c r="N376" i="47"/>
  <c r="M376" i="47"/>
  <c r="L376" i="47"/>
  <c r="K376" i="47"/>
  <c r="J376" i="47"/>
  <c r="I376" i="47"/>
  <c r="H376" i="47"/>
  <c r="G376" i="47"/>
  <c r="F376" i="47"/>
  <c r="E376" i="47"/>
  <c r="D376" i="47"/>
  <c r="S339" i="47"/>
  <c r="R339" i="47"/>
  <c r="Q339" i="47"/>
  <c r="P339" i="47"/>
  <c r="O339" i="47"/>
  <c r="N339" i="47"/>
  <c r="M339" i="47"/>
  <c r="L339" i="47"/>
  <c r="K339" i="47"/>
  <c r="J339" i="47"/>
  <c r="I339" i="47"/>
  <c r="H339" i="47"/>
  <c r="G339" i="47"/>
  <c r="F339" i="47"/>
  <c r="E339" i="47"/>
  <c r="D339" i="47"/>
  <c r="S302" i="47"/>
  <c r="R302" i="47"/>
  <c r="Q302" i="47"/>
  <c r="P302" i="47"/>
  <c r="O302" i="47"/>
  <c r="N302" i="47"/>
  <c r="M302" i="47"/>
  <c r="L302" i="47"/>
  <c r="K302" i="47"/>
  <c r="J302" i="47"/>
  <c r="I302" i="47"/>
  <c r="H302" i="47"/>
  <c r="G302" i="47"/>
  <c r="F302" i="47"/>
  <c r="E302" i="47"/>
  <c r="D302" i="47"/>
  <c r="S265" i="47"/>
  <c r="R265" i="47"/>
  <c r="Q265" i="47"/>
  <c r="P265" i="47"/>
  <c r="O265" i="47"/>
  <c r="N265" i="47"/>
  <c r="M265" i="47"/>
  <c r="L265" i="47"/>
  <c r="K265" i="47"/>
  <c r="J265" i="47"/>
  <c r="I265" i="47"/>
  <c r="H265" i="47"/>
  <c r="G265" i="47"/>
  <c r="F265" i="47"/>
  <c r="E265" i="47"/>
  <c r="D265" i="47"/>
  <c r="S228" i="47"/>
  <c r="R228" i="47"/>
  <c r="Q228" i="47"/>
  <c r="P228" i="47"/>
  <c r="O228" i="47"/>
  <c r="N228" i="47"/>
  <c r="M228" i="47"/>
  <c r="L228" i="47"/>
  <c r="K228" i="47"/>
  <c r="J228" i="47"/>
  <c r="I228" i="47"/>
  <c r="H228" i="47"/>
  <c r="G228" i="47"/>
  <c r="F228" i="47"/>
  <c r="E228" i="47"/>
  <c r="D228" i="47"/>
  <c r="S191" i="47"/>
  <c r="R191" i="47"/>
  <c r="Q191" i="47"/>
  <c r="P191" i="47"/>
  <c r="O191" i="47"/>
  <c r="N191" i="47"/>
  <c r="M191" i="47"/>
  <c r="L191" i="47"/>
  <c r="K191" i="47"/>
  <c r="J191" i="47"/>
  <c r="I191" i="47"/>
  <c r="H191" i="47"/>
  <c r="G191" i="47"/>
  <c r="F191" i="47"/>
  <c r="E191" i="47"/>
  <c r="D191" i="47"/>
  <c r="S154" i="47"/>
  <c r="R154" i="47"/>
  <c r="Q154" i="47"/>
  <c r="P154" i="47"/>
  <c r="O154" i="47"/>
  <c r="N154" i="47"/>
  <c r="M154" i="47"/>
  <c r="L154" i="47"/>
  <c r="K154" i="47"/>
  <c r="J154" i="47"/>
  <c r="I154" i="47"/>
  <c r="H154" i="47"/>
  <c r="G154" i="47"/>
  <c r="F154" i="47"/>
  <c r="E154" i="47"/>
  <c r="D154" i="47"/>
  <c r="S117" i="47"/>
  <c r="R117" i="47"/>
  <c r="Q117" i="47"/>
  <c r="P117" i="47"/>
  <c r="O117" i="47"/>
  <c r="N117" i="47"/>
  <c r="M117" i="47"/>
  <c r="L117" i="47"/>
  <c r="K117" i="47"/>
  <c r="J117" i="47"/>
  <c r="I117" i="47"/>
  <c r="H117" i="47"/>
  <c r="G117" i="47"/>
  <c r="F117" i="47"/>
  <c r="E117" i="47"/>
  <c r="D117" i="47"/>
  <c r="S80" i="47"/>
  <c r="R80" i="47"/>
  <c r="Q80" i="47"/>
  <c r="P80" i="47"/>
  <c r="O80" i="47"/>
  <c r="N80" i="47"/>
  <c r="M80" i="47"/>
  <c r="L80" i="47"/>
  <c r="K80" i="47"/>
  <c r="J80" i="47"/>
  <c r="I80" i="47"/>
  <c r="H80" i="47"/>
  <c r="G80" i="47"/>
  <c r="F80" i="47"/>
  <c r="E80" i="47"/>
  <c r="D80" i="47"/>
  <c r="S41" i="47"/>
  <c r="R40" i="47"/>
  <c r="R42" i="47" s="1"/>
  <c r="Q40" i="47"/>
  <c r="Q42" i="47" s="1"/>
  <c r="P40" i="47"/>
  <c r="P42" i="47" s="1"/>
  <c r="O40" i="47"/>
  <c r="O42" i="47" s="1"/>
  <c r="N40" i="47"/>
  <c r="N42" i="47" s="1"/>
  <c r="M40" i="47"/>
  <c r="M42" i="47" s="1"/>
  <c r="L40" i="47"/>
  <c r="L42" i="47" s="1"/>
  <c r="K40" i="47"/>
  <c r="K42" i="47" s="1"/>
  <c r="J40" i="47"/>
  <c r="J42" i="47" s="1"/>
  <c r="I40" i="47"/>
  <c r="I42" i="47" s="1"/>
  <c r="H40" i="47"/>
  <c r="H42" i="47" s="1"/>
  <c r="G40" i="47"/>
  <c r="G42" i="47" s="1"/>
  <c r="F40" i="47"/>
  <c r="F42" i="47" s="1"/>
  <c r="E40" i="47"/>
  <c r="E42" i="47" s="1"/>
  <c r="D40" i="47"/>
  <c r="D42" i="47" s="1"/>
  <c r="S39" i="47"/>
  <c r="S38" i="47"/>
  <c r="S37" i="47"/>
  <c r="S36" i="47"/>
  <c r="S35" i="47"/>
  <c r="S34" i="47"/>
  <c r="R32" i="47"/>
  <c r="Q32" i="47"/>
  <c r="P32" i="47"/>
  <c r="O32" i="47"/>
  <c r="N32" i="47"/>
  <c r="M32" i="47"/>
  <c r="L32" i="47"/>
  <c r="K32" i="47"/>
  <c r="J32" i="47"/>
  <c r="I32" i="47"/>
  <c r="H32" i="47"/>
  <c r="G32" i="47"/>
  <c r="F32" i="47"/>
  <c r="E32" i="47"/>
  <c r="D32" i="47"/>
  <c r="S31" i="47"/>
  <c r="S30" i="47"/>
  <c r="S29" i="47"/>
  <c r="S28" i="47"/>
  <c r="S27" i="47"/>
  <c r="S26" i="47"/>
  <c r="S25" i="47"/>
  <c r="S24" i="47"/>
  <c r="S23" i="47"/>
  <c r="S22" i="47"/>
  <c r="S21" i="47"/>
  <c r="S20" i="47"/>
  <c r="R18" i="47"/>
  <c r="Q18" i="47"/>
  <c r="P18" i="47"/>
  <c r="O18" i="47"/>
  <c r="N18" i="47"/>
  <c r="M18" i="47"/>
  <c r="L18" i="47"/>
  <c r="K18" i="47"/>
  <c r="J18" i="47"/>
  <c r="I18" i="47"/>
  <c r="H18" i="47"/>
  <c r="G18" i="47"/>
  <c r="F18" i="47"/>
  <c r="E18" i="47"/>
  <c r="D18" i="47"/>
  <c r="S17" i="47"/>
  <c r="S16" i="47"/>
  <c r="S15" i="47"/>
  <c r="S14" i="47"/>
  <c r="S13" i="47"/>
  <c r="S12" i="47"/>
  <c r="K38" i="115" l="1"/>
  <c r="S8" i="52"/>
  <c r="S9" i="52"/>
  <c r="S10" i="52"/>
  <c r="S21" i="52"/>
  <c r="S15" i="52"/>
  <c r="S19" i="52"/>
  <c r="S11" i="52"/>
  <c r="S18" i="52"/>
  <c r="S20" i="52"/>
  <c r="S18" i="47"/>
  <c r="S32" i="47"/>
  <c r="S42" i="47"/>
  <c r="S40" i="47"/>
  <c r="S4" i="52" l="1"/>
  <c r="S17" i="52"/>
  <c r="S22" i="52"/>
  <c r="S23" i="52"/>
  <c r="S5" i="52"/>
  <c r="S7" i="52"/>
  <c r="S41" i="52" s="1"/>
  <c r="S16" i="52" l="1"/>
  <c r="S34" i="52"/>
  <c r="S40" i="52"/>
  <c r="S39" i="52"/>
  <c r="S38" i="52"/>
  <c r="S37" i="52"/>
  <c r="S36" i="52"/>
  <c r="S35" i="52"/>
  <c r="S3" i="52"/>
  <c r="S30" i="52" s="1"/>
  <c r="S48" i="52" l="1"/>
  <c r="S47" i="52"/>
  <c r="S44" i="52"/>
  <c r="S45" i="52"/>
  <c r="S46" i="52"/>
  <c r="S31" i="52"/>
  <c r="S2" i="52"/>
  <c r="S25" i="52" s="1"/>
  <c r="S43" i="52"/>
  <c r="AG39" i="52" l="1"/>
  <c r="AU40" i="52"/>
  <c r="AU39" i="52"/>
  <c r="AU38" i="52"/>
  <c r="AU37" i="52"/>
  <c r="AG37" i="52"/>
  <c r="AG40" i="52"/>
  <c r="AG38" i="52"/>
  <c r="E159" i="44" l="1"/>
  <c r="E194" i="44"/>
  <c r="B194" i="44"/>
  <c r="H194" i="44"/>
  <c r="I194" i="44"/>
  <c r="I202" i="44" s="1"/>
  <c r="I186" i="44" s="1"/>
  <c r="I190" i="44" s="1"/>
  <c r="E151" i="44"/>
  <c r="H151" i="44"/>
  <c r="I151" i="44"/>
  <c r="I159" i="44" s="1"/>
  <c r="I143" i="44" s="1"/>
  <c r="I147" i="44" s="1"/>
  <c r="B151" i="44"/>
  <c r="E65" i="44"/>
  <c r="E73" i="44" s="1"/>
  <c r="B65" i="44"/>
  <c r="B73" i="44" s="1"/>
  <c r="B108" i="44"/>
  <c r="I108" i="44"/>
  <c r="I116" i="44" s="1"/>
  <c r="I100" i="44" s="1"/>
  <c r="I104" i="44" s="1"/>
  <c r="H108" i="44"/>
  <c r="E108" i="44"/>
  <c r="H65" i="44"/>
  <c r="C65" i="44"/>
  <c r="C73" i="44" s="1"/>
  <c r="P15" i="12"/>
  <c r="O15" i="12"/>
  <c r="I65" i="44"/>
  <c r="D73" i="44"/>
  <c r="H73" i="44"/>
  <c r="J73" i="44"/>
  <c r="I73" i="44"/>
  <c r="I57" i="44"/>
  <c r="I61" i="44" s="1"/>
  <c r="L61" i="44" l="1"/>
  <c r="H104" i="44" l="1"/>
  <c r="G184" i="44"/>
  <c r="G194" i="44" s="1"/>
  <c r="G141" i="44"/>
  <c r="G151" i="44" s="1"/>
  <c r="F141" i="44"/>
  <c r="G98" i="44"/>
  <c r="F98" i="44"/>
  <c r="F55" i="44"/>
  <c r="F71" i="44" s="1"/>
  <c r="G108" i="44" l="1"/>
  <c r="F65" i="44"/>
  <c r="F73" i="44" s="1"/>
  <c r="F108" i="44"/>
  <c r="K141" i="44"/>
  <c r="F151" i="44"/>
  <c r="K151" i="44" s="1"/>
  <c r="K108" i="44"/>
  <c r="K98" i="44"/>
  <c r="F184" i="44"/>
  <c r="D397" i="7"/>
  <c r="E397" i="7"/>
  <c r="F397" i="7"/>
  <c r="G397" i="7"/>
  <c r="H397" i="7"/>
  <c r="I397" i="7"/>
  <c r="J397" i="7"/>
  <c r="K397" i="7"/>
  <c r="L397" i="7"/>
  <c r="D398" i="7"/>
  <c r="E398" i="7"/>
  <c r="F398" i="7"/>
  <c r="G398" i="7"/>
  <c r="H398" i="7"/>
  <c r="I398" i="7"/>
  <c r="J398" i="7"/>
  <c r="K398" i="7"/>
  <c r="L398" i="7"/>
  <c r="D399" i="7"/>
  <c r="E399" i="7"/>
  <c r="F399" i="7"/>
  <c r="G399" i="7"/>
  <c r="H399" i="7"/>
  <c r="I399" i="7"/>
  <c r="J399" i="7"/>
  <c r="K399" i="7"/>
  <c r="L399" i="7"/>
  <c r="D400" i="7"/>
  <c r="E400" i="7"/>
  <c r="F400" i="7"/>
  <c r="G400" i="7"/>
  <c r="H400" i="7"/>
  <c r="I400" i="7"/>
  <c r="J400" i="7"/>
  <c r="K400" i="7"/>
  <c r="L400" i="7"/>
  <c r="D386" i="7"/>
  <c r="E386" i="7"/>
  <c r="F386" i="7"/>
  <c r="G386" i="7"/>
  <c r="H386" i="7"/>
  <c r="I386" i="7"/>
  <c r="J386" i="7"/>
  <c r="K386" i="7"/>
  <c r="L386" i="7"/>
  <c r="D387" i="7"/>
  <c r="E387" i="7"/>
  <c r="F387" i="7"/>
  <c r="G387" i="7"/>
  <c r="H387" i="7"/>
  <c r="I387" i="7"/>
  <c r="J387" i="7"/>
  <c r="K387" i="7"/>
  <c r="L387" i="7"/>
  <c r="D388" i="7"/>
  <c r="E388" i="7"/>
  <c r="F388" i="7"/>
  <c r="G388" i="7"/>
  <c r="H388" i="7"/>
  <c r="I388" i="7"/>
  <c r="J388" i="7"/>
  <c r="K388" i="7"/>
  <c r="L388" i="7"/>
  <c r="D389" i="7"/>
  <c r="E389" i="7"/>
  <c r="F389" i="7"/>
  <c r="G389" i="7"/>
  <c r="H389" i="7"/>
  <c r="I389" i="7"/>
  <c r="J389" i="7"/>
  <c r="K389" i="7"/>
  <c r="L389" i="7"/>
  <c r="D390" i="7"/>
  <c r="E390" i="7"/>
  <c r="F390" i="7"/>
  <c r="G390" i="7"/>
  <c r="H390" i="7"/>
  <c r="I390" i="7"/>
  <c r="J390" i="7"/>
  <c r="K390" i="7"/>
  <c r="L390" i="7"/>
  <c r="D392" i="7"/>
  <c r="E392" i="7"/>
  <c r="F392" i="7"/>
  <c r="G392" i="7"/>
  <c r="H392" i="7"/>
  <c r="I392" i="7"/>
  <c r="J392" i="7"/>
  <c r="K392" i="7"/>
  <c r="L392" i="7"/>
  <c r="H381" i="7"/>
  <c r="D369" i="7"/>
  <c r="E369" i="7"/>
  <c r="F369" i="7"/>
  <c r="G369" i="7"/>
  <c r="H369" i="7"/>
  <c r="I369" i="7"/>
  <c r="I381" i="7" s="1"/>
  <c r="J369" i="7"/>
  <c r="J381" i="7" s="1"/>
  <c r="K369" i="7"/>
  <c r="K381" i="7" s="1"/>
  <c r="L369" i="7"/>
  <c r="L381" i="7" s="1"/>
  <c r="D370" i="7"/>
  <c r="D381" i="7" s="1"/>
  <c r="E370" i="7"/>
  <c r="E381" i="7" s="1"/>
  <c r="F370" i="7"/>
  <c r="G370" i="7"/>
  <c r="H370" i="7"/>
  <c r="I370" i="7"/>
  <c r="J370" i="7"/>
  <c r="K370" i="7"/>
  <c r="L370" i="7"/>
  <c r="D371" i="7"/>
  <c r="E371" i="7"/>
  <c r="F371" i="7"/>
  <c r="G371" i="7"/>
  <c r="H371" i="7"/>
  <c r="I371" i="7"/>
  <c r="J371" i="7"/>
  <c r="K371" i="7"/>
  <c r="L371" i="7"/>
  <c r="D372" i="7"/>
  <c r="E372" i="7"/>
  <c r="F372" i="7"/>
  <c r="F381" i="7" s="1"/>
  <c r="G372" i="7"/>
  <c r="G381" i="7" s="1"/>
  <c r="H372" i="7"/>
  <c r="I372" i="7"/>
  <c r="J372" i="7"/>
  <c r="K372" i="7"/>
  <c r="L372" i="7"/>
  <c r="D373" i="7"/>
  <c r="E373" i="7"/>
  <c r="F373" i="7"/>
  <c r="G373" i="7"/>
  <c r="H373" i="7"/>
  <c r="I373" i="7"/>
  <c r="J373" i="7"/>
  <c r="K373" i="7"/>
  <c r="L373" i="7"/>
  <c r="D374" i="7"/>
  <c r="E374" i="7"/>
  <c r="F374" i="7"/>
  <c r="G374" i="7"/>
  <c r="H374" i="7"/>
  <c r="I374" i="7"/>
  <c r="J374" i="7"/>
  <c r="K374" i="7"/>
  <c r="L374" i="7"/>
  <c r="D375" i="7"/>
  <c r="E375" i="7"/>
  <c r="F375" i="7"/>
  <c r="G375" i="7"/>
  <c r="H375" i="7"/>
  <c r="I375" i="7"/>
  <c r="J375" i="7"/>
  <c r="K375" i="7"/>
  <c r="L375" i="7"/>
  <c r="D376" i="7"/>
  <c r="E376" i="7"/>
  <c r="F376" i="7"/>
  <c r="G376" i="7"/>
  <c r="H376" i="7"/>
  <c r="I376" i="7"/>
  <c r="J376" i="7"/>
  <c r="K376" i="7"/>
  <c r="L376" i="7"/>
  <c r="D377" i="7"/>
  <c r="E377" i="7"/>
  <c r="F377" i="7"/>
  <c r="G377" i="7"/>
  <c r="H377" i="7"/>
  <c r="I377" i="7"/>
  <c r="J377" i="7"/>
  <c r="K377" i="7"/>
  <c r="L377" i="7"/>
  <c r="D378" i="7"/>
  <c r="E378" i="7"/>
  <c r="F378" i="7"/>
  <c r="G378" i="7"/>
  <c r="H378" i="7"/>
  <c r="I378" i="7"/>
  <c r="J378" i="7"/>
  <c r="K378" i="7"/>
  <c r="L378" i="7"/>
  <c r="E362" i="7"/>
  <c r="D354" i="7"/>
  <c r="E354" i="7"/>
  <c r="F354" i="7"/>
  <c r="G354" i="7"/>
  <c r="H354" i="7"/>
  <c r="I354" i="7"/>
  <c r="J354" i="7"/>
  <c r="K354" i="7"/>
  <c r="L354" i="7"/>
  <c r="D355" i="7"/>
  <c r="D362" i="7" s="1"/>
  <c r="E355" i="7"/>
  <c r="F355" i="7"/>
  <c r="F362" i="7" s="1"/>
  <c r="G355" i="7"/>
  <c r="G362" i="7" s="1"/>
  <c r="H355" i="7"/>
  <c r="I355" i="7"/>
  <c r="J355" i="7"/>
  <c r="K355" i="7"/>
  <c r="L355" i="7"/>
  <c r="D356" i="7"/>
  <c r="E356" i="7"/>
  <c r="F356" i="7"/>
  <c r="G356" i="7"/>
  <c r="H356" i="7"/>
  <c r="I356" i="7"/>
  <c r="J356" i="7"/>
  <c r="K356" i="7"/>
  <c r="L356" i="7"/>
  <c r="D357" i="7"/>
  <c r="E357" i="7"/>
  <c r="F357" i="7"/>
  <c r="G357" i="7"/>
  <c r="H357" i="7"/>
  <c r="I357" i="7"/>
  <c r="J357" i="7"/>
  <c r="J362" i="7" s="1"/>
  <c r="K357" i="7"/>
  <c r="L357" i="7"/>
  <c r="D358" i="7"/>
  <c r="E358" i="7"/>
  <c r="F358" i="7"/>
  <c r="G358" i="7"/>
  <c r="H358" i="7"/>
  <c r="I358" i="7"/>
  <c r="J358" i="7"/>
  <c r="K358" i="7"/>
  <c r="L358" i="7"/>
  <c r="D359" i="7"/>
  <c r="E359" i="7"/>
  <c r="F359" i="7"/>
  <c r="G359" i="7"/>
  <c r="H359" i="7"/>
  <c r="I359" i="7"/>
  <c r="J359" i="7"/>
  <c r="K359" i="7"/>
  <c r="L359" i="7"/>
  <c r="D346" i="7"/>
  <c r="E346" i="7"/>
  <c r="F346" i="7"/>
  <c r="G346" i="7"/>
  <c r="H346" i="7"/>
  <c r="I346" i="7"/>
  <c r="J346" i="7"/>
  <c r="K346" i="7"/>
  <c r="L346" i="7"/>
  <c r="D347" i="7"/>
  <c r="E347" i="7"/>
  <c r="F347" i="7"/>
  <c r="G347" i="7"/>
  <c r="H347" i="7"/>
  <c r="I347" i="7"/>
  <c r="J347" i="7"/>
  <c r="K347" i="7"/>
  <c r="L347" i="7"/>
  <c r="D341" i="7"/>
  <c r="E341" i="7"/>
  <c r="F341" i="7"/>
  <c r="G341" i="7"/>
  <c r="H341" i="7"/>
  <c r="I341" i="7"/>
  <c r="J341" i="7"/>
  <c r="K341" i="7"/>
  <c r="L341" i="7"/>
  <c r="C341" i="7"/>
  <c r="D313" i="7"/>
  <c r="E313" i="7"/>
  <c r="F313" i="7"/>
  <c r="G313" i="7"/>
  <c r="H313" i="7"/>
  <c r="I313" i="7"/>
  <c r="J313" i="7"/>
  <c r="K313" i="7"/>
  <c r="L313" i="7"/>
  <c r="D314" i="7"/>
  <c r="E314" i="7"/>
  <c r="F314" i="7"/>
  <c r="G314" i="7"/>
  <c r="H314" i="7"/>
  <c r="I314" i="7"/>
  <c r="J314" i="7"/>
  <c r="K314" i="7"/>
  <c r="L314" i="7"/>
  <c r="D315" i="7"/>
  <c r="E315" i="7"/>
  <c r="F315" i="7"/>
  <c r="G315" i="7"/>
  <c r="H315" i="7"/>
  <c r="I315" i="7"/>
  <c r="J315" i="7"/>
  <c r="K315" i="7"/>
  <c r="L315" i="7"/>
  <c r="D316" i="7"/>
  <c r="E316" i="7"/>
  <c r="F316" i="7"/>
  <c r="G316" i="7"/>
  <c r="H316" i="7"/>
  <c r="I316" i="7"/>
  <c r="J316" i="7"/>
  <c r="K316" i="7"/>
  <c r="L316" i="7"/>
  <c r="D317" i="7"/>
  <c r="E317" i="7"/>
  <c r="F317" i="7"/>
  <c r="G317" i="7"/>
  <c r="H317" i="7"/>
  <c r="I317" i="7"/>
  <c r="J317" i="7"/>
  <c r="K317" i="7"/>
  <c r="L317" i="7"/>
  <c r="D318" i="7"/>
  <c r="E318" i="7"/>
  <c r="F318" i="7"/>
  <c r="G318" i="7"/>
  <c r="H318" i="7"/>
  <c r="I318" i="7"/>
  <c r="J318" i="7"/>
  <c r="K318" i="7"/>
  <c r="L318" i="7"/>
  <c r="D319" i="7"/>
  <c r="E319" i="7"/>
  <c r="F319" i="7"/>
  <c r="G319" i="7"/>
  <c r="H319" i="7"/>
  <c r="I319" i="7"/>
  <c r="J319" i="7"/>
  <c r="K319" i="7"/>
  <c r="L319" i="7"/>
  <c r="D321" i="7"/>
  <c r="E321" i="7"/>
  <c r="F321" i="7"/>
  <c r="G321" i="7"/>
  <c r="H321" i="7"/>
  <c r="I321" i="7"/>
  <c r="J321" i="7"/>
  <c r="K321" i="7"/>
  <c r="L321" i="7"/>
  <c r="D322" i="7"/>
  <c r="E322" i="7"/>
  <c r="F322" i="7"/>
  <c r="G322" i="7"/>
  <c r="H322" i="7"/>
  <c r="I322" i="7"/>
  <c r="J322" i="7"/>
  <c r="K322" i="7"/>
  <c r="L322" i="7"/>
  <c r="D323" i="7"/>
  <c r="E323" i="7"/>
  <c r="F323" i="7"/>
  <c r="G323" i="7"/>
  <c r="H323" i="7"/>
  <c r="I323" i="7"/>
  <c r="J323" i="7"/>
  <c r="K323" i="7"/>
  <c r="L323" i="7"/>
  <c r="D324" i="7"/>
  <c r="E324" i="7"/>
  <c r="F324" i="7"/>
  <c r="G324" i="7"/>
  <c r="H324" i="7"/>
  <c r="I324" i="7"/>
  <c r="J324" i="7"/>
  <c r="K324" i="7"/>
  <c r="L324" i="7"/>
  <c r="D325" i="7"/>
  <c r="E325" i="7"/>
  <c r="F325" i="7"/>
  <c r="G325" i="7"/>
  <c r="H325" i="7"/>
  <c r="I325" i="7"/>
  <c r="J325" i="7"/>
  <c r="K325" i="7"/>
  <c r="L325" i="7"/>
  <c r="D326" i="7"/>
  <c r="E326" i="7"/>
  <c r="F326" i="7"/>
  <c r="G326" i="7"/>
  <c r="H326" i="7"/>
  <c r="I326" i="7"/>
  <c r="J326" i="7"/>
  <c r="K326" i="7"/>
  <c r="L326" i="7"/>
  <c r="D327" i="7"/>
  <c r="E327" i="7"/>
  <c r="F327" i="7"/>
  <c r="G327" i="7"/>
  <c r="H327" i="7"/>
  <c r="I327" i="7"/>
  <c r="J327" i="7"/>
  <c r="K327" i="7"/>
  <c r="L327" i="7"/>
  <c r="D329" i="7"/>
  <c r="E329" i="7"/>
  <c r="F329" i="7"/>
  <c r="G329" i="7"/>
  <c r="H329" i="7"/>
  <c r="I329" i="7"/>
  <c r="J329" i="7"/>
  <c r="K329" i="7"/>
  <c r="L329" i="7"/>
  <c r="D330" i="7"/>
  <c r="E330" i="7"/>
  <c r="F330" i="7"/>
  <c r="G330" i="7"/>
  <c r="H330" i="7"/>
  <c r="I330" i="7"/>
  <c r="J330" i="7"/>
  <c r="K330" i="7"/>
  <c r="L330" i="7"/>
  <c r="D331" i="7"/>
  <c r="E331" i="7"/>
  <c r="F331" i="7"/>
  <c r="G331" i="7"/>
  <c r="H331" i="7"/>
  <c r="I331" i="7"/>
  <c r="J331" i="7"/>
  <c r="K331" i="7"/>
  <c r="L331" i="7"/>
  <c r="D332" i="7"/>
  <c r="E332" i="7"/>
  <c r="F332" i="7"/>
  <c r="G332" i="7"/>
  <c r="H332" i="7"/>
  <c r="I332" i="7"/>
  <c r="J332" i="7"/>
  <c r="K332" i="7"/>
  <c r="L332" i="7"/>
  <c r="D333" i="7"/>
  <c r="E333" i="7"/>
  <c r="F333" i="7"/>
  <c r="G333" i="7"/>
  <c r="H333" i="7"/>
  <c r="I333" i="7"/>
  <c r="J333" i="7"/>
  <c r="K333" i="7"/>
  <c r="L333" i="7"/>
  <c r="D334" i="7"/>
  <c r="E334" i="7"/>
  <c r="F334" i="7"/>
  <c r="G334" i="7"/>
  <c r="H334" i="7"/>
  <c r="I334" i="7"/>
  <c r="J334" i="7"/>
  <c r="K334" i="7"/>
  <c r="L334" i="7"/>
  <c r="D335" i="7"/>
  <c r="E335" i="7"/>
  <c r="F335" i="7"/>
  <c r="G335" i="7"/>
  <c r="H335" i="7"/>
  <c r="I335" i="7"/>
  <c r="J335" i="7"/>
  <c r="K335" i="7"/>
  <c r="L335" i="7"/>
  <c r="D337" i="7"/>
  <c r="E337" i="7"/>
  <c r="F337" i="7"/>
  <c r="G337" i="7"/>
  <c r="H337" i="7"/>
  <c r="I337" i="7"/>
  <c r="J337" i="7"/>
  <c r="K337" i="7"/>
  <c r="L337" i="7"/>
  <c r="D303" i="7"/>
  <c r="E303" i="7"/>
  <c r="F303" i="7"/>
  <c r="G303" i="7"/>
  <c r="H303" i="7"/>
  <c r="I303" i="7"/>
  <c r="J303" i="7"/>
  <c r="K303" i="7"/>
  <c r="L303" i="7"/>
  <c r="D304" i="7"/>
  <c r="E304" i="7"/>
  <c r="F304" i="7"/>
  <c r="G304" i="7"/>
  <c r="H304" i="7"/>
  <c r="I304" i="7"/>
  <c r="J304" i="7"/>
  <c r="K304" i="7"/>
  <c r="L304" i="7"/>
  <c r="D305" i="7"/>
  <c r="E305" i="7"/>
  <c r="F305" i="7"/>
  <c r="G305" i="7"/>
  <c r="H305" i="7"/>
  <c r="I305" i="7"/>
  <c r="J305" i="7"/>
  <c r="K305" i="7"/>
  <c r="L305" i="7"/>
  <c r="D306" i="7"/>
  <c r="E306" i="7"/>
  <c r="F306" i="7"/>
  <c r="G306" i="7"/>
  <c r="H306" i="7"/>
  <c r="I306" i="7"/>
  <c r="J306" i="7"/>
  <c r="K306" i="7"/>
  <c r="L306" i="7"/>
  <c r="D307" i="7"/>
  <c r="E307" i="7"/>
  <c r="F307" i="7"/>
  <c r="G307" i="7"/>
  <c r="H307" i="7"/>
  <c r="I307" i="7"/>
  <c r="J307" i="7"/>
  <c r="K307" i="7"/>
  <c r="L307" i="7"/>
  <c r="D308" i="7"/>
  <c r="E308" i="7"/>
  <c r="F308" i="7"/>
  <c r="G308" i="7"/>
  <c r="H308" i="7"/>
  <c r="I308" i="7"/>
  <c r="J308" i="7"/>
  <c r="K308" i="7"/>
  <c r="L308" i="7"/>
  <c r="D290" i="7"/>
  <c r="E290" i="7"/>
  <c r="F290" i="7"/>
  <c r="G290" i="7"/>
  <c r="H290" i="7"/>
  <c r="I290" i="7"/>
  <c r="J290" i="7"/>
  <c r="K290" i="7"/>
  <c r="L290" i="7"/>
  <c r="D291" i="7"/>
  <c r="E291" i="7"/>
  <c r="F291" i="7"/>
  <c r="G291" i="7"/>
  <c r="H291" i="7"/>
  <c r="I291" i="7"/>
  <c r="J291" i="7"/>
  <c r="K291" i="7"/>
  <c r="L291" i="7"/>
  <c r="D292" i="7"/>
  <c r="E292" i="7"/>
  <c r="F292" i="7"/>
  <c r="G292" i="7"/>
  <c r="H292" i="7"/>
  <c r="I292" i="7"/>
  <c r="J292" i="7"/>
  <c r="K292" i="7"/>
  <c r="L292" i="7"/>
  <c r="D293" i="7"/>
  <c r="E293" i="7"/>
  <c r="F293" i="7"/>
  <c r="G293" i="7"/>
  <c r="H293" i="7"/>
  <c r="I293" i="7"/>
  <c r="J293" i="7"/>
  <c r="K293" i="7"/>
  <c r="L293" i="7"/>
  <c r="D294" i="7"/>
  <c r="E294" i="7"/>
  <c r="F294" i="7"/>
  <c r="G294" i="7"/>
  <c r="H294" i="7"/>
  <c r="I294" i="7"/>
  <c r="J294" i="7"/>
  <c r="K294" i="7"/>
  <c r="L294" i="7"/>
  <c r="D295" i="7"/>
  <c r="E295" i="7"/>
  <c r="F295" i="7"/>
  <c r="G295" i="7"/>
  <c r="H295" i="7"/>
  <c r="I295" i="7"/>
  <c r="J295" i="7"/>
  <c r="K295" i="7"/>
  <c r="L295" i="7"/>
  <c r="D296" i="7"/>
  <c r="E296" i="7"/>
  <c r="F296" i="7"/>
  <c r="G296" i="7"/>
  <c r="H296" i="7"/>
  <c r="I296" i="7"/>
  <c r="J296" i="7"/>
  <c r="K296" i="7"/>
  <c r="L296" i="7"/>
  <c r="D297" i="7"/>
  <c r="E297" i="7"/>
  <c r="F297" i="7"/>
  <c r="G297" i="7"/>
  <c r="H297" i="7"/>
  <c r="I297" i="7"/>
  <c r="J297" i="7"/>
  <c r="K297" i="7"/>
  <c r="L297" i="7"/>
  <c r="D298" i="7"/>
  <c r="E298" i="7"/>
  <c r="F298" i="7"/>
  <c r="G298" i="7"/>
  <c r="H298" i="7"/>
  <c r="I298" i="7"/>
  <c r="J298" i="7"/>
  <c r="K298" i="7"/>
  <c r="L298" i="7"/>
  <c r="H273" i="7"/>
  <c r="I273" i="7"/>
  <c r="J273" i="7"/>
  <c r="K273" i="7"/>
  <c r="L273" i="7"/>
  <c r="H274" i="7"/>
  <c r="I274" i="7"/>
  <c r="J274" i="7"/>
  <c r="K274" i="7"/>
  <c r="L274" i="7"/>
  <c r="H275" i="7"/>
  <c r="I275" i="7"/>
  <c r="J275" i="7"/>
  <c r="K275" i="7"/>
  <c r="L275" i="7"/>
  <c r="H276" i="7"/>
  <c r="I276" i="7"/>
  <c r="J276" i="7"/>
  <c r="K276" i="7"/>
  <c r="L276" i="7"/>
  <c r="H277" i="7"/>
  <c r="I277" i="7"/>
  <c r="J277" i="7"/>
  <c r="K277" i="7"/>
  <c r="L277" i="7"/>
  <c r="H278" i="7"/>
  <c r="I278" i="7"/>
  <c r="J278" i="7"/>
  <c r="K278" i="7"/>
  <c r="L278" i="7"/>
  <c r="H279" i="7"/>
  <c r="I279" i="7"/>
  <c r="J279" i="7"/>
  <c r="K279" i="7"/>
  <c r="L279" i="7"/>
  <c r="H280" i="7"/>
  <c r="I280" i="7"/>
  <c r="J280" i="7"/>
  <c r="K280" i="7"/>
  <c r="L280" i="7"/>
  <c r="H281" i="7"/>
  <c r="I281" i="7"/>
  <c r="J281" i="7"/>
  <c r="K281" i="7"/>
  <c r="L281" i="7"/>
  <c r="H282" i="7"/>
  <c r="I282" i="7"/>
  <c r="J282" i="7"/>
  <c r="K282" i="7"/>
  <c r="L282" i="7"/>
  <c r="H283" i="7"/>
  <c r="I283" i="7"/>
  <c r="J283" i="7"/>
  <c r="K283" i="7"/>
  <c r="L283" i="7"/>
  <c r="H284" i="7"/>
  <c r="I284" i="7"/>
  <c r="J284" i="7"/>
  <c r="K284" i="7"/>
  <c r="L284" i="7"/>
  <c r="D273" i="7"/>
  <c r="E273" i="7"/>
  <c r="F273" i="7"/>
  <c r="G273" i="7"/>
  <c r="D274" i="7"/>
  <c r="E274" i="7"/>
  <c r="F274" i="7"/>
  <c r="G274" i="7"/>
  <c r="D275" i="7"/>
  <c r="E275" i="7"/>
  <c r="F275" i="7"/>
  <c r="G275" i="7"/>
  <c r="D276" i="7"/>
  <c r="E276" i="7"/>
  <c r="F276" i="7"/>
  <c r="G276" i="7"/>
  <c r="D277" i="7"/>
  <c r="E277" i="7"/>
  <c r="F277" i="7"/>
  <c r="G277" i="7"/>
  <c r="D278" i="7"/>
  <c r="E278" i="7"/>
  <c r="F278" i="7"/>
  <c r="G278" i="7"/>
  <c r="D279" i="7"/>
  <c r="E279" i="7"/>
  <c r="F279" i="7"/>
  <c r="G279" i="7"/>
  <c r="D280" i="7"/>
  <c r="E280" i="7"/>
  <c r="F280" i="7"/>
  <c r="G280" i="7"/>
  <c r="D281" i="7"/>
  <c r="E281" i="7"/>
  <c r="F281" i="7"/>
  <c r="G281" i="7"/>
  <c r="D282" i="7"/>
  <c r="E282" i="7"/>
  <c r="F282" i="7"/>
  <c r="G282" i="7"/>
  <c r="D283" i="7"/>
  <c r="E283" i="7"/>
  <c r="F283" i="7"/>
  <c r="G283" i="7"/>
  <c r="D284" i="7"/>
  <c r="E284" i="7"/>
  <c r="F284" i="7"/>
  <c r="G284" i="7"/>
  <c r="D262" i="7"/>
  <c r="E262" i="7"/>
  <c r="F262" i="7"/>
  <c r="G262" i="7"/>
  <c r="H262" i="7"/>
  <c r="I262" i="7"/>
  <c r="J262" i="7"/>
  <c r="K262" i="7"/>
  <c r="L262" i="7"/>
  <c r="D263" i="7"/>
  <c r="E263" i="7"/>
  <c r="F263" i="7"/>
  <c r="G263" i="7"/>
  <c r="H263" i="7"/>
  <c r="I263" i="7"/>
  <c r="J263" i="7"/>
  <c r="K263" i="7"/>
  <c r="L263" i="7"/>
  <c r="D264" i="7"/>
  <c r="E264" i="7"/>
  <c r="F264" i="7"/>
  <c r="G264" i="7"/>
  <c r="H264" i="7"/>
  <c r="I264" i="7"/>
  <c r="J264" i="7"/>
  <c r="K264" i="7"/>
  <c r="L264" i="7"/>
  <c r="D265" i="7"/>
  <c r="E265" i="7"/>
  <c r="F265" i="7"/>
  <c r="G265" i="7"/>
  <c r="H265" i="7"/>
  <c r="I265" i="7"/>
  <c r="J265" i="7"/>
  <c r="K265" i="7"/>
  <c r="L265" i="7"/>
  <c r="F257" i="7"/>
  <c r="D248" i="7"/>
  <c r="E248" i="7"/>
  <c r="F248" i="7"/>
  <c r="G248" i="7"/>
  <c r="H248" i="7"/>
  <c r="I248" i="7"/>
  <c r="J248" i="7"/>
  <c r="K248" i="7"/>
  <c r="L248" i="7"/>
  <c r="D249" i="7"/>
  <c r="D257" i="7" s="1"/>
  <c r="E249" i="7"/>
  <c r="E257" i="7" s="1"/>
  <c r="F249" i="7"/>
  <c r="G249" i="7"/>
  <c r="G257" i="7" s="1"/>
  <c r="H249" i="7"/>
  <c r="I249" i="7"/>
  <c r="J249" i="7"/>
  <c r="K249" i="7"/>
  <c r="L249" i="7"/>
  <c r="D250" i="7"/>
  <c r="E250" i="7"/>
  <c r="F250" i="7"/>
  <c r="G250" i="7"/>
  <c r="H250" i="7"/>
  <c r="I250" i="7"/>
  <c r="D251" i="7"/>
  <c r="E251" i="7"/>
  <c r="F251" i="7"/>
  <c r="G251" i="7"/>
  <c r="H251" i="7"/>
  <c r="I251" i="7"/>
  <c r="J251" i="7"/>
  <c r="K251" i="7"/>
  <c r="L251" i="7"/>
  <c r="D252" i="7"/>
  <c r="E252" i="7"/>
  <c r="F252" i="7"/>
  <c r="G252" i="7"/>
  <c r="H252" i="7"/>
  <c r="I252" i="7"/>
  <c r="J252" i="7"/>
  <c r="K252" i="7"/>
  <c r="L252" i="7"/>
  <c r="D253" i="7"/>
  <c r="E253" i="7"/>
  <c r="F253" i="7"/>
  <c r="G253" i="7"/>
  <c r="H253" i="7"/>
  <c r="I253" i="7"/>
  <c r="J253" i="7"/>
  <c r="K253" i="7"/>
  <c r="L253" i="7"/>
  <c r="D241" i="7"/>
  <c r="E241" i="7"/>
  <c r="F241" i="7"/>
  <c r="G241" i="7"/>
  <c r="H241" i="7"/>
  <c r="I241" i="7"/>
  <c r="J241" i="7"/>
  <c r="K241" i="7"/>
  <c r="L241" i="7"/>
  <c r="D234" i="7"/>
  <c r="E234" i="7"/>
  <c r="E243" i="7" s="1"/>
  <c r="F234" i="7"/>
  <c r="F243" i="7" s="1"/>
  <c r="G234" i="7"/>
  <c r="G243" i="7" s="1"/>
  <c r="H234" i="7"/>
  <c r="I234" i="7"/>
  <c r="J234" i="7"/>
  <c r="K234" i="7"/>
  <c r="L234" i="7"/>
  <c r="D235" i="7"/>
  <c r="E235" i="7"/>
  <c r="F235" i="7"/>
  <c r="G235" i="7"/>
  <c r="H235" i="7"/>
  <c r="I235" i="7"/>
  <c r="J235" i="7"/>
  <c r="K235" i="7"/>
  <c r="L235" i="7"/>
  <c r="D236" i="7"/>
  <c r="E236" i="7"/>
  <c r="F236" i="7"/>
  <c r="G236" i="7"/>
  <c r="H236" i="7"/>
  <c r="I236" i="7"/>
  <c r="L236" i="7"/>
  <c r="D237" i="7"/>
  <c r="D243" i="7" s="1"/>
  <c r="E237" i="7"/>
  <c r="F237" i="7"/>
  <c r="G237" i="7"/>
  <c r="H237" i="7"/>
  <c r="I237" i="7"/>
  <c r="J237" i="7"/>
  <c r="K237" i="7"/>
  <c r="L237" i="7"/>
  <c r="D238" i="7"/>
  <c r="E238" i="7"/>
  <c r="F238" i="7"/>
  <c r="G238" i="7"/>
  <c r="H238" i="7"/>
  <c r="I238" i="7"/>
  <c r="J238" i="7"/>
  <c r="K238" i="7"/>
  <c r="L238" i="7"/>
  <c r="D239" i="7"/>
  <c r="E239" i="7"/>
  <c r="F239" i="7"/>
  <c r="G239" i="7"/>
  <c r="H239" i="7"/>
  <c r="I239" i="7"/>
  <c r="J239" i="7"/>
  <c r="K239" i="7"/>
  <c r="L239" i="7"/>
  <c r="D220" i="7"/>
  <c r="E220" i="7"/>
  <c r="F220" i="7"/>
  <c r="G220" i="7"/>
  <c r="H220" i="7"/>
  <c r="I220" i="7"/>
  <c r="J220" i="7"/>
  <c r="K220" i="7"/>
  <c r="L220" i="7"/>
  <c r="D221" i="7"/>
  <c r="E221" i="7"/>
  <c r="F221" i="7"/>
  <c r="G221" i="7"/>
  <c r="H221" i="7"/>
  <c r="I221" i="7"/>
  <c r="J221" i="7"/>
  <c r="K221" i="7"/>
  <c r="L221" i="7"/>
  <c r="D222" i="7"/>
  <c r="E222" i="7"/>
  <c r="F222" i="7"/>
  <c r="G222" i="7"/>
  <c r="H222" i="7"/>
  <c r="I222" i="7"/>
  <c r="D223" i="7"/>
  <c r="E223" i="7"/>
  <c r="F223" i="7"/>
  <c r="G223" i="7"/>
  <c r="H223" i="7"/>
  <c r="I223" i="7"/>
  <c r="J223" i="7"/>
  <c r="K223" i="7"/>
  <c r="L223" i="7"/>
  <c r="D224" i="7"/>
  <c r="E224" i="7"/>
  <c r="F224" i="7"/>
  <c r="G224" i="7"/>
  <c r="H224" i="7"/>
  <c r="I224" i="7"/>
  <c r="J224" i="7"/>
  <c r="K224" i="7"/>
  <c r="L224" i="7"/>
  <c r="D225" i="7"/>
  <c r="E225" i="7"/>
  <c r="F225" i="7"/>
  <c r="G225" i="7"/>
  <c r="H225" i="7"/>
  <c r="I225" i="7"/>
  <c r="J225" i="7"/>
  <c r="K225" i="7"/>
  <c r="L225" i="7"/>
  <c r="D226" i="7"/>
  <c r="E226" i="7"/>
  <c r="F226" i="7"/>
  <c r="G226" i="7"/>
  <c r="H226" i="7"/>
  <c r="I226" i="7"/>
  <c r="J226" i="7"/>
  <c r="K226" i="7"/>
  <c r="L226" i="7"/>
  <c r="D227" i="7"/>
  <c r="E227" i="7"/>
  <c r="F227" i="7"/>
  <c r="G227" i="7"/>
  <c r="H227" i="7"/>
  <c r="I227" i="7"/>
  <c r="J227" i="7"/>
  <c r="K227" i="7"/>
  <c r="L227" i="7"/>
  <c r="D229" i="7"/>
  <c r="E229" i="7"/>
  <c r="F229" i="7"/>
  <c r="G229" i="7"/>
  <c r="H229" i="7"/>
  <c r="I229" i="7"/>
  <c r="J229" i="7"/>
  <c r="K229" i="7"/>
  <c r="L229" i="7"/>
  <c r="D210" i="7"/>
  <c r="E210" i="7"/>
  <c r="F210" i="7"/>
  <c r="G210" i="7"/>
  <c r="H210" i="7"/>
  <c r="I210" i="7"/>
  <c r="J210" i="7"/>
  <c r="K210" i="7"/>
  <c r="L210" i="7"/>
  <c r="D211" i="7"/>
  <c r="E211" i="7"/>
  <c r="F211" i="7"/>
  <c r="G211" i="7"/>
  <c r="H211" i="7"/>
  <c r="I211" i="7"/>
  <c r="J211" i="7"/>
  <c r="K211" i="7"/>
  <c r="L211" i="7"/>
  <c r="D212" i="7"/>
  <c r="E212" i="7"/>
  <c r="F212" i="7"/>
  <c r="G212" i="7"/>
  <c r="H212" i="7"/>
  <c r="I212" i="7"/>
  <c r="J212" i="7"/>
  <c r="K212" i="7"/>
  <c r="L212" i="7"/>
  <c r="D213" i="7"/>
  <c r="E213" i="7"/>
  <c r="F213" i="7"/>
  <c r="G213" i="7"/>
  <c r="H213" i="7"/>
  <c r="I213" i="7"/>
  <c r="J213" i="7"/>
  <c r="K213" i="7"/>
  <c r="L213" i="7"/>
  <c r="D215" i="7"/>
  <c r="E215" i="7"/>
  <c r="F215" i="7"/>
  <c r="G215" i="7"/>
  <c r="H215" i="7"/>
  <c r="I215" i="7"/>
  <c r="J215" i="7"/>
  <c r="K215" i="7"/>
  <c r="L215" i="7"/>
  <c r="D196" i="7"/>
  <c r="E196" i="7"/>
  <c r="F196" i="7"/>
  <c r="G196" i="7"/>
  <c r="H196" i="7"/>
  <c r="I196" i="7"/>
  <c r="J196" i="7"/>
  <c r="K196" i="7"/>
  <c r="L196" i="7"/>
  <c r="D197" i="7"/>
  <c r="E197" i="7"/>
  <c r="F197" i="7"/>
  <c r="G197" i="7"/>
  <c r="H197" i="7"/>
  <c r="I197" i="7"/>
  <c r="J197" i="7"/>
  <c r="K197" i="7"/>
  <c r="L197" i="7"/>
  <c r="D198" i="7"/>
  <c r="E198" i="7"/>
  <c r="F198" i="7"/>
  <c r="G198" i="7"/>
  <c r="H198" i="7"/>
  <c r="I198" i="7"/>
  <c r="L198" i="7"/>
  <c r="D199" i="7"/>
  <c r="E199" i="7"/>
  <c r="F199" i="7"/>
  <c r="G199" i="7"/>
  <c r="H199" i="7"/>
  <c r="I199" i="7"/>
  <c r="J199" i="7"/>
  <c r="K199" i="7"/>
  <c r="L199" i="7"/>
  <c r="D200" i="7"/>
  <c r="E200" i="7"/>
  <c r="F200" i="7"/>
  <c r="G200" i="7"/>
  <c r="H200" i="7"/>
  <c r="I200" i="7"/>
  <c r="J200" i="7"/>
  <c r="K200" i="7"/>
  <c r="L200" i="7"/>
  <c r="D201" i="7"/>
  <c r="E201" i="7"/>
  <c r="F201" i="7"/>
  <c r="G201" i="7"/>
  <c r="H201" i="7"/>
  <c r="I201" i="7"/>
  <c r="J201" i="7"/>
  <c r="K201" i="7"/>
  <c r="L201" i="7"/>
  <c r="D202" i="7"/>
  <c r="E202" i="7"/>
  <c r="F202" i="7"/>
  <c r="G202" i="7"/>
  <c r="H202" i="7"/>
  <c r="I202" i="7"/>
  <c r="J202" i="7"/>
  <c r="K202" i="7"/>
  <c r="L202" i="7"/>
  <c r="D203" i="7"/>
  <c r="E203" i="7"/>
  <c r="F203" i="7"/>
  <c r="G203" i="7"/>
  <c r="H203" i="7"/>
  <c r="I203" i="7"/>
  <c r="J203" i="7"/>
  <c r="K203" i="7"/>
  <c r="L203" i="7"/>
  <c r="D205" i="7"/>
  <c r="E205" i="7"/>
  <c r="F205" i="7"/>
  <c r="G205" i="7"/>
  <c r="H205" i="7"/>
  <c r="I205" i="7"/>
  <c r="J205" i="7"/>
  <c r="K205" i="7"/>
  <c r="L205" i="7"/>
  <c r="D186" i="7"/>
  <c r="E186" i="7"/>
  <c r="F186" i="7"/>
  <c r="G186" i="7"/>
  <c r="H186" i="7"/>
  <c r="I186" i="7"/>
  <c r="J186" i="7"/>
  <c r="K186" i="7"/>
  <c r="L186" i="7"/>
  <c r="D187" i="7"/>
  <c r="E187" i="7"/>
  <c r="F187" i="7"/>
  <c r="G187" i="7"/>
  <c r="H187" i="7"/>
  <c r="I187" i="7"/>
  <c r="J187" i="7"/>
  <c r="K187" i="7"/>
  <c r="L187" i="7"/>
  <c r="D188" i="7"/>
  <c r="E188" i="7"/>
  <c r="F188" i="7"/>
  <c r="G188" i="7"/>
  <c r="H188" i="7"/>
  <c r="I188" i="7"/>
  <c r="J188" i="7"/>
  <c r="K188" i="7"/>
  <c r="L188" i="7"/>
  <c r="D189" i="7"/>
  <c r="E189" i="7"/>
  <c r="F189" i="7"/>
  <c r="G189" i="7"/>
  <c r="H189" i="7"/>
  <c r="I189" i="7"/>
  <c r="J189" i="7"/>
  <c r="K189" i="7"/>
  <c r="L189" i="7"/>
  <c r="D163" i="7"/>
  <c r="E163" i="7"/>
  <c r="F163" i="7"/>
  <c r="G163" i="7"/>
  <c r="H163" i="7"/>
  <c r="I163" i="7"/>
  <c r="J163" i="7"/>
  <c r="K163" i="7"/>
  <c r="L163" i="7"/>
  <c r="D164" i="7"/>
  <c r="E164" i="7"/>
  <c r="F164" i="7"/>
  <c r="G164" i="7"/>
  <c r="H164" i="7"/>
  <c r="I164" i="7"/>
  <c r="J164" i="7"/>
  <c r="K164" i="7"/>
  <c r="L164" i="7"/>
  <c r="D165" i="7"/>
  <c r="E165" i="7"/>
  <c r="F165" i="7"/>
  <c r="G165" i="7"/>
  <c r="D166" i="7"/>
  <c r="E166" i="7"/>
  <c r="F166" i="7"/>
  <c r="G166" i="7"/>
  <c r="H166" i="7"/>
  <c r="I166" i="7"/>
  <c r="J166" i="7"/>
  <c r="K166" i="7"/>
  <c r="L166" i="7"/>
  <c r="D167" i="7"/>
  <c r="E167" i="7"/>
  <c r="F167" i="7"/>
  <c r="G167" i="7"/>
  <c r="H167" i="7"/>
  <c r="I167" i="7"/>
  <c r="J167" i="7"/>
  <c r="K167" i="7"/>
  <c r="L167" i="7"/>
  <c r="D168" i="7"/>
  <c r="E168" i="7"/>
  <c r="F168" i="7"/>
  <c r="G168" i="7"/>
  <c r="H168" i="7"/>
  <c r="I168" i="7"/>
  <c r="J168" i="7"/>
  <c r="K168" i="7"/>
  <c r="L168" i="7"/>
  <c r="D169" i="7"/>
  <c r="E169" i="7"/>
  <c r="F169" i="7"/>
  <c r="G169" i="7"/>
  <c r="H169" i="7"/>
  <c r="I169" i="7"/>
  <c r="J169" i="7"/>
  <c r="K169" i="7"/>
  <c r="L169" i="7"/>
  <c r="D170" i="7"/>
  <c r="E170" i="7"/>
  <c r="F170" i="7"/>
  <c r="G170" i="7"/>
  <c r="H170" i="7"/>
  <c r="I170" i="7"/>
  <c r="J170" i="7"/>
  <c r="K170" i="7"/>
  <c r="L170" i="7"/>
  <c r="D172" i="7"/>
  <c r="E172" i="7"/>
  <c r="F172" i="7"/>
  <c r="G172" i="7"/>
  <c r="H172" i="7"/>
  <c r="I172" i="7"/>
  <c r="J172" i="7"/>
  <c r="K172" i="7"/>
  <c r="L172" i="7"/>
  <c r="D150" i="7"/>
  <c r="E150" i="7"/>
  <c r="F150" i="7"/>
  <c r="G150" i="7"/>
  <c r="H150" i="7"/>
  <c r="I150" i="7"/>
  <c r="J150" i="7"/>
  <c r="K150" i="7"/>
  <c r="L150" i="7"/>
  <c r="D151" i="7"/>
  <c r="E151" i="7"/>
  <c r="F151" i="7"/>
  <c r="G151" i="7"/>
  <c r="H151" i="7"/>
  <c r="I151" i="7"/>
  <c r="J151" i="7"/>
  <c r="K151" i="7"/>
  <c r="L151" i="7"/>
  <c r="D152" i="7"/>
  <c r="E152" i="7"/>
  <c r="F152" i="7"/>
  <c r="G152" i="7"/>
  <c r="H152" i="7"/>
  <c r="I152" i="7"/>
  <c r="J152" i="7"/>
  <c r="K152" i="7"/>
  <c r="L152" i="7"/>
  <c r="D153" i="7"/>
  <c r="E153" i="7"/>
  <c r="F153" i="7"/>
  <c r="G153" i="7"/>
  <c r="H153" i="7"/>
  <c r="I153" i="7"/>
  <c r="J153" i="7"/>
  <c r="K153" i="7"/>
  <c r="L153" i="7"/>
  <c r="D154" i="7"/>
  <c r="E154" i="7"/>
  <c r="F154" i="7"/>
  <c r="G154" i="7"/>
  <c r="H154" i="7"/>
  <c r="I154" i="7"/>
  <c r="J154" i="7"/>
  <c r="K154" i="7"/>
  <c r="L154" i="7"/>
  <c r="D155" i="7"/>
  <c r="E155" i="7"/>
  <c r="F155" i="7"/>
  <c r="G155" i="7"/>
  <c r="H155" i="7"/>
  <c r="I155" i="7"/>
  <c r="J155" i="7"/>
  <c r="K155" i="7"/>
  <c r="L155" i="7"/>
  <c r="D156" i="7"/>
  <c r="E156" i="7"/>
  <c r="F156" i="7"/>
  <c r="G156" i="7"/>
  <c r="H156" i="7"/>
  <c r="I156" i="7"/>
  <c r="J156" i="7"/>
  <c r="K156" i="7"/>
  <c r="L156" i="7"/>
  <c r="D158" i="7"/>
  <c r="E158" i="7"/>
  <c r="F158" i="7"/>
  <c r="G158" i="7"/>
  <c r="H158" i="7"/>
  <c r="I158" i="7"/>
  <c r="J158" i="7"/>
  <c r="K158" i="7"/>
  <c r="L158" i="7"/>
  <c r="D136" i="7"/>
  <c r="E136" i="7"/>
  <c r="F136" i="7"/>
  <c r="G136" i="7"/>
  <c r="H136" i="7"/>
  <c r="I136" i="7"/>
  <c r="J136" i="7"/>
  <c r="K136" i="7"/>
  <c r="L136" i="7"/>
  <c r="D137" i="7"/>
  <c r="E137" i="7"/>
  <c r="F137" i="7"/>
  <c r="G137" i="7"/>
  <c r="H137" i="7"/>
  <c r="I137" i="7"/>
  <c r="J137" i="7"/>
  <c r="K137" i="7"/>
  <c r="L137" i="7"/>
  <c r="D138" i="7"/>
  <c r="E138" i="7"/>
  <c r="F138" i="7"/>
  <c r="G138" i="7"/>
  <c r="H138" i="7"/>
  <c r="I138" i="7"/>
  <c r="J138" i="7"/>
  <c r="K138" i="7"/>
  <c r="L138" i="7"/>
  <c r="D139" i="7"/>
  <c r="E139" i="7"/>
  <c r="F139" i="7"/>
  <c r="G139" i="7"/>
  <c r="H139" i="7"/>
  <c r="I139" i="7"/>
  <c r="J139" i="7"/>
  <c r="K139" i="7"/>
  <c r="L139" i="7"/>
  <c r="D140" i="7"/>
  <c r="E140" i="7"/>
  <c r="F140" i="7"/>
  <c r="G140" i="7"/>
  <c r="H140" i="7"/>
  <c r="I140" i="7"/>
  <c r="J140" i="7"/>
  <c r="K140" i="7"/>
  <c r="L140" i="7"/>
  <c r="D141" i="7"/>
  <c r="E141" i="7"/>
  <c r="F141" i="7"/>
  <c r="G141" i="7"/>
  <c r="H141" i="7"/>
  <c r="I141" i="7"/>
  <c r="J141" i="7"/>
  <c r="K141" i="7"/>
  <c r="L141" i="7"/>
  <c r="D142" i="7"/>
  <c r="E142" i="7"/>
  <c r="F142" i="7"/>
  <c r="G142" i="7"/>
  <c r="H142" i="7"/>
  <c r="I142" i="7"/>
  <c r="J142" i="7"/>
  <c r="K142" i="7"/>
  <c r="L142" i="7"/>
  <c r="D143" i="7"/>
  <c r="E143" i="7"/>
  <c r="F143" i="7"/>
  <c r="G143" i="7"/>
  <c r="H143" i="7"/>
  <c r="I143" i="7"/>
  <c r="J143" i="7"/>
  <c r="K143" i="7"/>
  <c r="L143" i="7"/>
  <c r="D145" i="7"/>
  <c r="E145" i="7"/>
  <c r="F145" i="7"/>
  <c r="G145" i="7"/>
  <c r="H145" i="7"/>
  <c r="I145" i="7"/>
  <c r="J145" i="7"/>
  <c r="K145" i="7"/>
  <c r="L145" i="7"/>
  <c r="D124" i="7"/>
  <c r="E124" i="7"/>
  <c r="F124" i="7"/>
  <c r="G124" i="7"/>
  <c r="H124" i="7"/>
  <c r="I124" i="7"/>
  <c r="J124" i="7"/>
  <c r="K124" i="7"/>
  <c r="L124" i="7"/>
  <c r="D125" i="7"/>
  <c r="E125" i="7"/>
  <c r="F125" i="7"/>
  <c r="G125" i="7"/>
  <c r="H125" i="7"/>
  <c r="I125" i="7"/>
  <c r="J125" i="7"/>
  <c r="K125" i="7"/>
  <c r="L125" i="7"/>
  <c r="D126" i="7"/>
  <c r="E126" i="7"/>
  <c r="F126" i="7"/>
  <c r="G126" i="7"/>
  <c r="H126" i="7"/>
  <c r="I126" i="7"/>
  <c r="J126" i="7"/>
  <c r="K126" i="7"/>
  <c r="L126" i="7"/>
  <c r="D127" i="7"/>
  <c r="E127" i="7"/>
  <c r="F127" i="7"/>
  <c r="G127" i="7"/>
  <c r="H127" i="7"/>
  <c r="I127" i="7"/>
  <c r="J127" i="7"/>
  <c r="K127" i="7"/>
  <c r="L127" i="7"/>
  <c r="D128" i="7"/>
  <c r="E128" i="7"/>
  <c r="F128" i="7"/>
  <c r="G128" i="7"/>
  <c r="H128" i="7"/>
  <c r="I128" i="7"/>
  <c r="J128" i="7"/>
  <c r="K128" i="7"/>
  <c r="L128" i="7"/>
  <c r="D129" i="7"/>
  <c r="E129" i="7"/>
  <c r="F129" i="7"/>
  <c r="G129" i="7"/>
  <c r="H129" i="7"/>
  <c r="I129" i="7"/>
  <c r="J129" i="7"/>
  <c r="K129" i="7"/>
  <c r="L129" i="7"/>
  <c r="D131" i="7"/>
  <c r="E131" i="7"/>
  <c r="F131" i="7"/>
  <c r="G131" i="7"/>
  <c r="H131" i="7"/>
  <c r="I131" i="7"/>
  <c r="J131" i="7"/>
  <c r="K131" i="7"/>
  <c r="L131" i="7"/>
  <c r="D110" i="7"/>
  <c r="E110" i="7"/>
  <c r="F110" i="7"/>
  <c r="G110" i="7"/>
  <c r="H110" i="7"/>
  <c r="I110" i="7"/>
  <c r="J110" i="7"/>
  <c r="K110" i="7"/>
  <c r="L110" i="7"/>
  <c r="D111" i="7"/>
  <c r="E111" i="7"/>
  <c r="F111" i="7"/>
  <c r="G111" i="7"/>
  <c r="H111" i="7"/>
  <c r="I111" i="7"/>
  <c r="J111" i="7"/>
  <c r="K111" i="7"/>
  <c r="L111" i="7"/>
  <c r="D112" i="7"/>
  <c r="E112" i="7"/>
  <c r="F112" i="7"/>
  <c r="G112" i="7"/>
  <c r="H112" i="7"/>
  <c r="I112" i="7"/>
  <c r="J112" i="7"/>
  <c r="K112" i="7"/>
  <c r="L112" i="7"/>
  <c r="D113" i="7"/>
  <c r="E113" i="7"/>
  <c r="F113" i="7"/>
  <c r="G113" i="7"/>
  <c r="H113" i="7"/>
  <c r="I113" i="7"/>
  <c r="J113" i="7"/>
  <c r="K113" i="7"/>
  <c r="L113" i="7"/>
  <c r="D114" i="7"/>
  <c r="E114" i="7"/>
  <c r="F114" i="7"/>
  <c r="G114" i="7"/>
  <c r="H114" i="7"/>
  <c r="I114" i="7"/>
  <c r="J114" i="7"/>
  <c r="K114" i="7"/>
  <c r="L114" i="7"/>
  <c r="D115" i="7"/>
  <c r="E115" i="7"/>
  <c r="F115" i="7"/>
  <c r="G115" i="7"/>
  <c r="H115" i="7"/>
  <c r="I115" i="7"/>
  <c r="J115" i="7"/>
  <c r="K115" i="7"/>
  <c r="L115" i="7"/>
  <c r="D116" i="7"/>
  <c r="E116" i="7"/>
  <c r="F116" i="7"/>
  <c r="G116" i="7"/>
  <c r="H116" i="7"/>
  <c r="I116" i="7"/>
  <c r="J116" i="7"/>
  <c r="K116" i="7"/>
  <c r="L116" i="7"/>
  <c r="D117" i="7"/>
  <c r="E117" i="7"/>
  <c r="F117" i="7"/>
  <c r="G117" i="7"/>
  <c r="H117" i="7"/>
  <c r="I117" i="7"/>
  <c r="J117" i="7"/>
  <c r="K117" i="7"/>
  <c r="L117" i="7"/>
  <c r="D119" i="7"/>
  <c r="E119" i="7"/>
  <c r="F119" i="7"/>
  <c r="G119" i="7"/>
  <c r="H119" i="7"/>
  <c r="I119" i="7"/>
  <c r="J119" i="7"/>
  <c r="K119" i="7"/>
  <c r="L119" i="7"/>
  <c r="D103" i="7"/>
  <c r="E103" i="7"/>
  <c r="F103" i="7"/>
  <c r="G103" i="7"/>
  <c r="H103" i="7"/>
  <c r="I103" i="7"/>
  <c r="J103" i="7"/>
  <c r="K103" i="7"/>
  <c r="L103" i="7"/>
  <c r="D98" i="7"/>
  <c r="E98" i="7"/>
  <c r="F98" i="7"/>
  <c r="G98" i="7"/>
  <c r="H98" i="7"/>
  <c r="I98" i="7"/>
  <c r="J98" i="7"/>
  <c r="K98" i="7"/>
  <c r="L98" i="7"/>
  <c r="D79" i="7"/>
  <c r="E79" i="7"/>
  <c r="F79" i="7"/>
  <c r="G79" i="7"/>
  <c r="H79" i="7"/>
  <c r="I79" i="7"/>
  <c r="J79" i="7"/>
  <c r="K79" i="7"/>
  <c r="L79" i="7"/>
  <c r="D80" i="7"/>
  <c r="E80" i="7"/>
  <c r="F80" i="7"/>
  <c r="G80" i="7"/>
  <c r="H80" i="7"/>
  <c r="I80" i="7"/>
  <c r="J80" i="7"/>
  <c r="K80" i="7"/>
  <c r="L80" i="7"/>
  <c r="D81" i="7"/>
  <c r="E81" i="7"/>
  <c r="F81" i="7"/>
  <c r="G81" i="7"/>
  <c r="H81" i="7"/>
  <c r="I81" i="7"/>
  <c r="J81" i="7"/>
  <c r="K81" i="7"/>
  <c r="L81" i="7"/>
  <c r="D82" i="7"/>
  <c r="E82" i="7"/>
  <c r="F82" i="7"/>
  <c r="G82" i="7"/>
  <c r="H82" i="7"/>
  <c r="I82" i="7"/>
  <c r="J82" i="7"/>
  <c r="K82" i="7"/>
  <c r="L82" i="7"/>
  <c r="D83" i="7"/>
  <c r="E83" i="7"/>
  <c r="F83" i="7"/>
  <c r="G83" i="7"/>
  <c r="H83" i="7"/>
  <c r="I83" i="7"/>
  <c r="J83" i="7"/>
  <c r="K83" i="7"/>
  <c r="L83" i="7"/>
  <c r="D84" i="7"/>
  <c r="E84" i="7"/>
  <c r="F84" i="7"/>
  <c r="G84" i="7"/>
  <c r="H84" i="7"/>
  <c r="I84" i="7"/>
  <c r="J84" i="7"/>
  <c r="K84" i="7"/>
  <c r="L84" i="7"/>
  <c r="D85" i="7"/>
  <c r="E85" i="7"/>
  <c r="F85" i="7"/>
  <c r="G85" i="7"/>
  <c r="D86" i="7"/>
  <c r="E86" i="7"/>
  <c r="F86" i="7"/>
  <c r="G86" i="7"/>
  <c r="H86" i="7"/>
  <c r="I86" i="7"/>
  <c r="J86" i="7"/>
  <c r="K86" i="7"/>
  <c r="L86" i="7"/>
  <c r="D87" i="7"/>
  <c r="E87" i="7"/>
  <c r="F87" i="7"/>
  <c r="G87" i="7"/>
  <c r="H87" i="7"/>
  <c r="I87" i="7"/>
  <c r="J87" i="7"/>
  <c r="K87" i="7"/>
  <c r="L87" i="7"/>
  <c r="D88" i="7"/>
  <c r="E88" i="7"/>
  <c r="F88" i="7"/>
  <c r="G88" i="7"/>
  <c r="H88" i="7"/>
  <c r="I88" i="7"/>
  <c r="J88" i="7"/>
  <c r="K88" i="7"/>
  <c r="L88" i="7"/>
  <c r="D89" i="7"/>
  <c r="E89" i="7"/>
  <c r="F89" i="7"/>
  <c r="G89" i="7"/>
  <c r="H89" i="7"/>
  <c r="I89" i="7"/>
  <c r="J89" i="7"/>
  <c r="K89" i="7"/>
  <c r="L89" i="7"/>
  <c r="D90" i="7"/>
  <c r="E90" i="7"/>
  <c r="F90" i="7"/>
  <c r="G90" i="7"/>
  <c r="H90" i="7"/>
  <c r="I90" i="7"/>
  <c r="J90" i="7"/>
  <c r="K90" i="7"/>
  <c r="L90" i="7"/>
  <c r="D91" i="7"/>
  <c r="E91" i="7"/>
  <c r="F91" i="7"/>
  <c r="G91" i="7"/>
  <c r="H91" i="7"/>
  <c r="I91" i="7"/>
  <c r="J91" i="7"/>
  <c r="K91" i="7"/>
  <c r="L91" i="7"/>
  <c r="D92" i="7"/>
  <c r="E92" i="7"/>
  <c r="F92" i="7"/>
  <c r="G92" i="7"/>
  <c r="H92" i="7"/>
  <c r="I92" i="7"/>
  <c r="J92" i="7"/>
  <c r="K92" i="7"/>
  <c r="L92" i="7"/>
  <c r="D93" i="7"/>
  <c r="E93" i="7"/>
  <c r="F93" i="7"/>
  <c r="G93" i="7"/>
  <c r="H93" i="7"/>
  <c r="I93" i="7"/>
  <c r="J93" i="7"/>
  <c r="K93" i="7"/>
  <c r="L93" i="7"/>
  <c r="D96" i="7"/>
  <c r="E96" i="7"/>
  <c r="F96" i="7"/>
  <c r="G96" i="7"/>
  <c r="H96" i="7"/>
  <c r="I96" i="7"/>
  <c r="J96" i="7"/>
  <c r="K96" i="7"/>
  <c r="L96" i="7"/>
  <c r="D74" i="7"/>
  <c r="E74" i="7"/>
  <c r="F74" i="7"/>
  <c r="G74" i="7"/>
  <c r="H74" i="7"/>
  <c r="I74" i="7"/>
  <c r="J74" i="7"/>
  <c r="K74" i="7"/>
  <c r="L74" i="7"/>
  <c r="D55" i="7"/>
  <c r="E55" i="7"/>
  <c r="F55" i="7"/>
  <c r="G55" i="7"/>
  <c r="H55" i="7"/>
  <c r="I55" i="7"/>
  <c r="J55" i="7"/>
  <c r="K55" i="7"/>
  <c r="L55" i="7"/>
  <c r="D56" i="7"/>
  <c r="E56" i="7"/>
  <c r="F56" i="7"/>
  <c r="G56" i="7"/>
  <c r="H56" i="7"/>
  <c r="I56" i="7"/>
  <c r="J56" i="7"/>
  <c r="K56" i="7"/>
  <c r="L56" i="7"/>
  <c r="D57" i="7"/>
  <c r="E57" i="7"/>
  <c r="F57" i="7"/>
  <c r="G57" i="7"/>
  <c r="H57" i="7"/>
  <c r="I57" i="7"/>
  <c r="J57" i="7"/>
  <c r="K57" i="7"/>
  <c r="L57" i="7"/>
  <c r="D58" i="7"/>
  <c r="E58" i="7"/>
  <c r="F58" i="7"/>
  <c r="G58" i="7"/>
  <c r="H58" i="7"/>
  <c r="I58" i="7"/>
  <c r="J58" i="7"/>
  <c r="K58" i="7"/>
  <c r="L58" i="7"/>
  <c r="D59" i="7"/>
  <c r="E59" i="7"/>
  <c r="F59" i="7"/>
  <c r="G59" i="7"/>
  <c r="H59" i="7"/>
  <c r="I59" i="7"/>
  <c r="J59" i="7"/>
  <c r="K59" i="7"/>
  <c r="L59" i="7"/>
  <c r="D60" i="7"/>
  <c r="E60" i="7"/>
  <c r="F60" i="7"/>
  <c r="G60" i="7"/>
  <c r="H60" i="7"/>
  <c r="I60" i="7"/>
  <c r="J60" i="7"/>
  <c r="K60" i="7"/>
  <c r="L60" i="7"/>
  <c r="D61" i="7"/>
  <c r="E61" i="7"/>
  <c r="F61" i="7"/>
  <c r="G61" i="7"/>
  <c r="H61" i="7"/>
  <c r="I61" i="7"/>
  <c r="J61" i="7"/>
  <c r="K61" i="7"/>
  <c r="L61" i="7"/>
  <c r="D62" i="7"/>
  <c r="E62" i="7"/>
  <c r="F62" i="7"/>
  <c r="G62" i="7"/>
  <c r="H62" i="7"/>
  <c r="I62" i="7"/>
  <c r="J62" i="7"/>
  <c r="K62" i="7"/>
  <c r="L62" i="7"/>
  <c r="D63" i="7"/>
  <c r="E63" i="7"/>
  <c r="F63" i="7"/>
  <c r="G63" i="7"/>
  <c r="H63" i="7"/>
  <c r="I63" i="7"/>
  <c r="J63" i="7"/>
  <c r="K63" i="7"/>
  <c r="L63" i="7"/>
  <c r="D64" i="7"/>
  <c r="E64" i="7"/>
  <c r="F64" i="7"/>
  <c r="G64" i="7"/>
  <c r="H64" i="7"/>
  <c r="I64" i="7"/>
  <c r="J64" i="7"/>
  <c r="K64" i="7"/>
  <c r="L64" i="7"/>
  <c r="D65" i="7"/>
  <c r="E65" i="7"/>
  <c r="F65" i="7"/>
  <c r="G65" i="7"/>
  <c r="H65" i="7"/>
  <c r="I65" i="7"/>
  <c r="J65" i="7"/>
  <c r="K65" i="7"/>
  <c r="L65" i="7"/>
  <c r="D66" i="7"/>
  <c r="E66" i="7"/>
  <c r="F66" i="7"/>
  <c r="G66" i="7"/>
  <c r="H66" i="7"/>
  <c r="I66" i="7"/>
  <c r="J66" i="7"/>
  <c r="K66" i="7"/>
  <c r="L66" i="7"/>
  <c r="D67" i="7"/>
  <c r="E67" i="7"/>
  <c r="F67" i="7"/>
  <c r="G67" i="7"/>
  <c r="H67" i="7"/>
  <c r="I67" i="7"/>
  <c r="J67" i="7"/>
  <c r="K67" i="7"/>
  <c r="L67" i="7"/>
  <c r="D68" i="7"/>
  <c r="E68" i="7"/>
  <c r="F68" i="7"/>
  <c r="G68" i="7"/>
  <c r="H68" i="7"/>
  <c r="I68" i="7"/>
  <c r="J68" i="7"/>
  <c r="K68" i="7"/>
  <c r="L68" i="7"/>
  <c r="D69" i="7"/>
  <c r="E69" i="7"/>
  <c r="F69" i="7"/>
  <c r="G69" i="7"/>
  <c r="H69" i="7"/>
  <c r="I69" i="7"/>
  <c r="J69" i="7"/>
  <c r="K69" i="7"/>
  <c r="L69" i="7"/>
  <c r="D72" i="7"/>
  <c r="E72" i="7"/>
  <c r="F72" i="7"/>
  <c r="G72" i="7"/>
  <c r="H72" i="7"/>
  <c r="I72" i="7"/>
  <c r="J72" i="7"/>
  <c r="K72" i="7"/>
  <c r="L72" i="7"/>
  <c r="D50" i="7"/>
  <c r="E50" i="7"/>
  <c r="F50" i="7"/>
  <c r="G50" i="7"/>
  <c r="H50" i="7"/>
  <c r="I50" i="7"/>
  <c r="J50" i="7"/>
  <c r="K50" i="7"/>
  <c r="L50" i="7"/>
  <c r="D31" i="7"/>
  <c r="E31" i="7"/>
  <c r="F31" i="7"/>
  <c r="G31" i="7"/>
  <c r="H31" i="7"/>
  <c r="I31" i="7"/>
  <c r="J31" i="7"/>
  <c r="K31" i="7"/>
  <c r="L31" i="7"/>
  <c r="D32" i="7"/>
  <c r="E32" i="7"/>
  <c r="F32" i="7"/>
  <c r="G32" i="7"/>
  <c r="H32" i="7"/>
  <c r="I32" i="7"/>
  <c r="J32" i="7"/>
  <c r="K32" i="7"/>
  <c r="L32" i="7"/>
  <c r="D33" i="7"/>
  <c r="E33" i="7"/>
  <c r="F33" i="7"/>
  <c r="G33" i="7"/>
  <c r="H33" i="7"/>
  <c r="I33" i="7"/>
  <c r="J33" i="7"/>
  <c r="K33" i="7"/>
  <c r="L33" i="7"/>
  <c r="D34" i="7"/>
  <c r="E34" i="7"/>
  <c r="F34" i="7"/>
  <c r="G34" i="7"/>
  <c r="H34" i="7"/>
  <c r="I34" i="7"/>
  <c r="J34" i="7"/>
  <c r="K34" i="7"/>
  <c r="L34" i="7"/>
  <c r="D35" i="7"/>
  <c r="E35" i="7"/>
  <c r="F35" i="7"/>
  <c r="G35" i="7"/>
  <c r="H35" i="7"/>
  <c r="I35" i="7"/>
  <c r="J35" i="7"/>
  <c r="K35" i="7"/>
  <c r="L35" i="7"/>
  <c r="D36" i="7"/>
  <c r="E36" i="7"/>
  <c r="F36" i="7"/>
  <c r="G36" i="7"/>
  <c r="H36" i="7"/>
  <c r="I36" i="7"/>
  <c r="J36" i="7"/>
  <c r="K36" i="7"/>
  <c r="L36" i="7"/>
  <c r="D37" i="7"/>
  <c r="E37" i="7"/>
  <c r="F37" i="7"/>
  <c r="G37" i="7"/>
  <c r="H37" i="7"/>
  <c r="I37" i="7"/>
  <c r="J37" i="7"/>
  <c r="K37" i="7"/>
  <c r="L37" i="7"/>
  <c r="D38" i="7"/>
  <c r="E38" i="7"/>
  <c r="F38" i="7"/>
  <c r="G38" i="7"/>
  <c r="H38" i="7"/>
  <c r="I38" i="7"/>
  <c r="J38" i="7"/>
  <c r="K38" i="7"/>
  <c r="L38" i="7"/>
  <c r="D39" i="7"/>
  <c r="E39" i="7"/>
  <c r="F39" i="7"/>
  <c r="G39" i="7"/>
  <c r="H39" i="7"/>
  <c r="I39" i="7"/>
  <c r="J39" i="7"/>
  <c r="K39" i="7"/>
  <c r="L39" i="7"/>
  <c r="D40" i="7"/>
  <c r="E40" i="7"/>
  <c r="F40" i="7"/>
  <c r="G40" i="7"/>
  <c r="H40" i="7"/>
  <c r="I40" i="7"/>
  <c r="J40" i="7"/>
  <c r="K40" i="7"/>
  <c r="L40" i="7"/>
  <c r="D41" i="7"/>
  <c r="E41" i="7"/>
  <c r="F41" i="7"/>
  <c r="G41" i="7"/>
  <c r="H41" i="7"/>
  <c r="I41" i="7"/>
  <c r="J41" i="7"/>
  <c r="K41" i="7"/>
  <c r="L41" i="7"/>
  <c r="D42" i="7"/>
  <c r="E42" i="7"/>
  <c r="F42" i="7"/>
  <c r="G42" i="7"/>
  <c r="H42" i="7"/>
  <c r="I42" i="7"/>
  <c r="J42" i="7"/>
  <c r="K42" i="7"/>
  <c r="L42" i="7"/>
  <c r="D43" i="7"/>
  <c r="E43" i="7"/>
  <c r="F43" i="7"/>
  <c r="G43" i="7"/>
  <c r="H43" i="7"/>
  <c r="I43" i="7"/>
  <c r="J43" i="7"/>
  <c r="K43" i="7"/>
  <c r="L43" i="7"/>
  <c r="D44" i="7"/>
  <c r="E44" i="7"/>
  <c r="F44" i="7"/>
  <c r="G44" i="7"/>
  <c r="H44" i="7"/>
  <c r="I44" i="7"/>
  <c r="J44" i="7"/>
  <c r="K44" i="7"/>
  <c r="L44" i="7"/>
  <c r="D45" i="7"/>
  <c r="E45" i="7"/>
  <c r="F45" i="7"/>
  <c r="G45" i="7"/>
  <c r="H45" i="7"/>
  <c r="I45" i="7"/>
  <c r="J45" i="7"/>
  <c r="K45" i="7"/>
  <c r="L45" i="7"/>
  <c r="D48" i="7"/>
  <c r="E48" i="7"/>
  <c r="F48" i="7"/>
  <c r="G48" i="7"/>
  <c r="H48" i="7"/>
  <c r="I48" i="7"/>
  <c r="J48" i="7"/>
  <c r="K48" i="7"/>
  <c r="L48" i="7"/>
  <c r="E26" i="7"/>
  <c r="D21" i="7"/>
  <c r="D26" i="7" s="1"/>
  <c r="E21" i="7"/>
  <c r="F21" i="7"/>
  <c r="F26" i="7" s="1"/>
  <c r="G21" i="7"/>
  <c r="G26" i="7" s="1"/>
  <c r="H21" i="7"/>
  <c r="I21" i="7"/>
  <c r="I26" i="7" s="1"/>
  <c r="J21" i="7"/>
  <c r="J26" i="7" s="1"/>
  <c r="K21" i="7"/>
  <c r="L21" i="7"/>
  <c r="L26" i="7" s="1"/>
  <c r="D22" i="7"/>
  <c r="E22" i="7"/>
  <c r="F22" i="7"/>
  <c r="G22" i="7"/>
  <c r="H22" i="7"/>
  <c r="H26" i="7" s="1"/>
  <c r="I22" i="7"/>
  <c r="J22" i="7"/>
  <c r="K22" i="7"/>
  <c r="K26" i="7" s="1"/>
  <c r="L22" i="7"/>
  <c r="D23" i="7"/>
  <c r="E23" i="7"/>
  <c r="F23" i="7"/>
  <c r="G23" i="7"/>
  <c r="H23" i="7"/>
  <c r="I23" i="7"/>
  <c r="J23" i="7"/>
  <c r="K23" i="7"/>
  <c r="L23" i="7"/>
  <c r="D9" i="7"/>
  <c r="E9" i="7"/>
  <c r="F9" i="7"/>
  <c r="G9" i="7"/>
  <c r="H9" i="7"/>
  <c r="I9" i="7"/>
  <c r="J9" i="7"/>
  <c r="K9" i="7"/>
  <c r="L9" i="7"/>
  <c r="D10" i="7"/>
  <c r="E10" i="7"/>
  <c r="F10" i="7"/>
  <c r="G10" i="7"/>
  <c r="H10" i="7"/>
  <c r="I10" i="7"/>
  <c r="J10" i="7"/>
  <c r="K10" i="7"/>
  <c r="L10" i="7"/>
  <c r="D11" i="7"/>
  <c r="E11" i="7"/>
  <c r="F11" i="7"/>
  <c r="G11" i="7"/>
  <c r="H11" i="7"/>
  <c r="I11" i="7"/>
  <c r="J11" i="7"/>
  <c r="K11" i="7"/>
  <c r="L11" i="7"/>
  <c r="D12" i="7"/>
  <c r="E12" i="7"/>
  <c r="F12" i="7"/>
  <c r="G12" i="7"/>
  <c r="H12" i="7"/>
  <c r="I12" i="7"/>
  <c r="J12" i="7"/>
  <c r="K12" i="7"/>
  <c r="L12" i="7"/>
  <c r="D13" i="7"/>
  <c r="E13" i="7"/>
  <c r="F13" i="7"/>
  <c r="G13" i="7"/>
  <c r="H13" i="7"/>
  <c r="I13" i="7"/>
  <c r="J13" i="7"/>
  <c r="K13" i="7"/>
  <c r="L13" i="7"/>
  <c r="D14" i="7"/>
  <c r="E14" i="7"/>
  <c r="F14" i="7"/>
  <c r="G14" i="7"/>
  <c r="H14" i="7"/>
  <c r="I14" i="7"/>
  <c r="J14" i="7"/>
  <c r="K14" i="7"/>
  <c r="L14" i="7"/>
  <c r="D16" i="7"/>
  <c r="E16" i="7"/>
  <c r="F16" i="7"/>
  <c r="G16" i="7"/>
  <c r="H16" i="7"/>
  <c r="I16" i="7"/>
  <c r="J16" i="7"/>
  <c r="K16" i="7"/>
  <c r="L16" i="7"/>
  <c r="C397" i="7"/>
  <c r="C398" i="7"/>
  <c r="C399" i="7"/>
  <c r="C400" i="7"/>
  <c r="B398" i="7"/>
  <c r="B399" i="7"/>
  <c r="B400" i="7"/>
  <c r="B397" i="7"/>
  <c r="C386" i="7"/>
  <c r="C387" i="7"/>
  <c r="C388" i="7"/>
  <c r="C389" i="7"/>
  <c r="C390" i="7"/>
  <c r="C392" i="7"/>
  <c r="B392" i="7"/>
  <c r="B387" i="7"/>
  <c r="B388" i="7"/>
  <c r="B389" i="7"/>
  <c r="B390" i="7"/>
  <c r="B386" i="7"/>
  <c r="C369" i="7"/>
  <c r="C381" i="7" s="1"/>
  <c r="C370" i="7"/>
  <c r="C371" i="7"/>
  <c r="C372" i="7"/>
  <c r="C373" i="7"/>
  <c r="C374" i="7"/>
  <c r="C375" i="7"/>
  <c r="C376" i="7"/>
  <c r="C377" i="7"/>
  <c r="C378" i="7"/>
  <c r="B370" i="7"/>
  <c r="B371" i="7"/>
  <c r="B372" i="7"/>
  <c r="B373" i="7"/>
  <c r="B374" i="7"/>
  <c r="B375" i="7"/>
  <c r="B376" i="7"/>
  <c r="B377" i="7"/>
  <c r="B378" i="7"/>
  <c r="B369" i="7"/>
  <c r="C354" i="7"/>
  <c r="C355" i="7"/>
  <c r="C356" i="7"/>
  <c r="C357" i="7"/>
  <c r="C358" i="7"/>
  <c r="C359" i="7"/>
  <c r="B355" i="7"/>
  <c r="B356" i="7"/>
  <c r="B357" i="7"/>
  <c r="B358" i="7"/>
  <c r="B359" i="7"/>
  <c r="B354" i="7"/>
  <c r="C346" i="7"/>
  <c r="C347" i="7"/>
  <c r="B347" i="7"/>
  <c r="B346" i="7"/>
  <c r="C313" i="7"/>
  <c r="C314" i="7"/>
  <c r="C315" i="7"/>
  <c r="C316" i="7"/>
  <c r="C317" i="7"/>
  <c r="C318" i="7"/>
  <c r="C319" i="7"/>
  <c r="C321" i="7"/>
  <c r="C322" i="7"/>
  <c r="C323" i="7"/>
  <c r="C324" i="7"/>
  <c r="C325" i="7"/>
  <c r="C326" i="7"/>
  <c r="C327" i="7"/>
  <c r="C329" i="7"/>
  <c r="C330" i="7"/>
  <c r="C331" i="7"/>
  <c r="C332" i="7"/>
  <c r="C333" i="7"/>
  <c r="C334" i="7"/>
  <c r="C335" i="7"/>
  <c r="C337" i="7"/>
  <c r="B341" i="7"/>
  <c r="B337" i="7"/>
  <c r="B330" i="7"/>
  <c r="B331" i="7"/>
  <c r="B332" i="7"/>
  <c r="B333" i="7"/>
  <c r="B334" i="7"/>
  <c r="B335" i="7"/>
  <c r="B329" i="7"/>
  <c r="B322" i="7"/>
  <c r="B323" i="7"/>
  <c r="B324" i="7"/>
  <c r="B325" i="7"/>
  <c r="B326" i="7"/>
  <c r="B327" i="7"/>
  <c r="B321" i="7"/>
  <c r="B314" i="7"/>
  <c r="B315" i="7"/>
  <c r="B316" i="7"/>
  <c r="B317" i="7"/>
  <c r="B318" i="7"/>
  <c r="B319" i="7"/>
  <c r="B313" i="7"/>
  <c r="C303" i="7"/>
  <c r="C304" i="7"/>
  <c r="C305" i="7"/>
  <c r="C306" i="7"/>
  <c r="C307" i="7"/>
  <c r="C308" i="7"/>
  <c r="B304" i="7"/>
  <c r="B305" i="7"/>
  <c r="B306" i="7"/>
  <c r="B307" i="7"/>
  <c r="B308" i="7"/>
  <c r="B303" i="7"/>
  <c r="C290" i="7"/>
  <c r="C291" i="7"/>
  <c r="C292" i="7"/>
  <c r="C293" i="7"/>
  <c r="C294" i="7"/>
  <c r="C295" i="7"/>
  <c r="C296" i="7"/>
  <c r="C297" i="7"/>
  <c r="C298" i="7"/>
  <c r="B291" i="7"/>
  <c r="B292" i="7"/>
  <c r="B293" i="7"/>
  <c r="B294" i="7"/>
  <c r="B295" i="7"/>
  <c r="B296" i="7"/>
  <c r="B297" i="7"/>
  <c r="B298" i="7"/>
  <c r="B290" i="7"/>
  <c r="C273" i="7"/>
  <c r="C274" i="7"/>
  <c r="C275" i="7"/>
  <c r="C276" i="7"/>
  <c r="C277" i="7"/>
  <c r="C278" i="7"/>
  <c r="C279" i="7"/>
  <c r="C280" i="7"/>
  <c r="C281" i="7"/>
  <c r="C282" i="7"/>
  <c r="C283" i="7"/>
  <c r="C284" i="7"/>
  <c r="B282" i="7"/>
  <c r="B283" i="7"/>
  <c r="B284" i="7"/>
  <c r="B277" i="7"/>
  <c r="B278" i="7"/>
  <c r="B279" i="7"/>
  <c r="B280" i="7"/>
  <c r="B281" i="7"/>
  <c r="B274" i="7"/>
  <c r="B275" i="7"/>
  <c r="B276" i="7"/>
  <c r="B273" i="7"/>
  <c r="C262" i="7"/>
  <c r="C263" i="7"/>
  <c r="C264" i="7"/>
  <c r="C265" i="7"/>
  <c r="B263" i="7"/>
  <c r="B264" i="7"/>
  <c r="B265" i="7"/>
  <c r="B262" i="7"/>
  <c r="C248" i="7"/>
  <c r="C249" i="7"/>
  <c r="C250" i="7"/>
  <c r="C251" i="7"/>
  <c r="C252" i="7"/>
  <c r="C253" i="7"/>
  <c r="B249" i="7"/>
  <c r="B250" i="7"/>
  <c r="B251" i="7"/>
  <c r="B252" i="7"/>
  <c r="B253" i="7"/>
  <c r="B248" i="7"/>
  <c r="C234" i="7"/>
  <c r="C235" i="7"/>
  <c r="C236" i="7"/>
  <c r="C237" i="7"/>
  <c r="C238" i="7"/>
  <c r="C239" i="7"/>
  <c r="C241" i="7"/>
  <c r="C243" i="7"/>
  <c r="H243" i="7"/>
  <c r="I243" i="7"/>
  <c r="J243" i="7"/>
  <c r="K243" i="7"/>
  <c r="L243" i="7"/>
  <c r="B243" i="7"/>
  <c r="B241" i="7"/>
  <c r="B235" i="7"/>
  <c r="B236" i="7"/>
  <c r="B237" i="7"/>
  <c r="B238" i="7"/>
  <c r="B239" i="7"/>
  <c r="B234" i="7"/>
  <c r="C220" i="7"/>
  <c r="C221" i="7"/>
  <c r="C222" i="7"/>
  <c r="C223" i="7"/>
  <c r="C224" i="7"/>
  <c r="C225" i="7"/>
  <c r="C226" i="7"/>
  <c r="C227" i="7"/>
  <c r="C229" i="7"/>
  <c r="B221" i="7"/>
  <c r="B222" i="7"/>
  <c r="B223" i="7"/>
  <c r="B224" i="7"/>
  <c r="B225" i="7"/>
  <c r="B226" i="7"/>
  <c r="B227" i="7"/>
  <c r="B229" i="7"/>
  <c r="B220" i="7"/>
  <c r="C210" i="7"/>
  <c r="C211" i="7"/>
  <c r="C212" i="7"/>
  <c r="C213" i="7"/>
  <c r="C215" i="7"/>
  <c r="B211" i="7"/>
  <c r="B212" i="7"/>
  <c r="B213" i="7"/>
  <c r="B215" i="7"/>
  <c r="B210" i="7"/>
  <c r="C196" i="7"/>
  <c r="C197" i="7"/>
  <c r="C198" i="7"/>
  <c r="C199" i="7"/>
  <c r="C200" i="7"/>
  <c r="C201" i="7"/>
  <c r="C202" i="7"/>
  <c r="C203" i="7"/>
  <c r="C205" i="7"/>
  <c r="B197" i="7"/>
  <c r="B198" i="7"/>
  <c r="B199" i="7"/>
  <c r="B200" i="7"/>
  <c r="B201" i="7"/>
  <c r="B202" i="7"/>
  <c r="B203" i="7"/>
  <c r="B205" i="7"/>
  <c r="B196" i="7"/>
  <c r="C189" i="7"/>
  <c r="C188" i="7"/>
  <c r="C187" i="7"/>
  <c r="C186" i="7"/>
  <c r="B187" i="7"/>
  <c r="B188" i="7"/>
  <c r="B189" i="7"/>
  <c r="B186" i="7"/>
  <c r="C163" i="7"/>
  <c r="C164" i="7"/>
  <c r="C165" i="7"/>
  <c r="C166" i="7"/>
  <c r="C167" i="7"/>
  <c r="C168" i="7"/>
  <c r="C169" i="7"/>
  <c r="C170" i="7"/>
  <c r="C172" i="7"/>
  <c r="B164" i="7"/>
  <c r="B165" i="7"/>
  <c r="B166" i="7"/>
  <c r="B167" i="7"/>
  <c r="B168" i="7"/>
  <c r="B169" i="7"/>
  <c r="B170" i="7"/>
  <c r="B172" i="7"/>
  <c r="B163" i="7"/>
  <c r="C150" i="7"/>
  <c r="C151" i="7"/>
  <c r="C152" i="7"/>
  <c r="C153" i="7"/>
  <c r="C154" i="7"/>
  <c r="C155" i="7"/>
  <c r="C156" i="7"/>
  <c r="C158" i="7"/>
  <c r="B151" i="7"/>
  <c r="B152" i="7"/>
  <c r="B153" i="7"/>
  <c r="B154" i="7"/>
  <c r="B155" i="7"/>
  <c r="B156" i="7"/>
  <c r="B158" i="7"/>
  <c r="B150" i="7"/>
  <c r="C136" i="7"/>
  <c r="C137" i="7"/>
  <c r="C138" i="7"/>
  <c r="C139" i="7"/>
  <c r="C140" i="7"/>
  <c r="C141" i="7"/>
  <c r="C142" i="7"/>
  <c r="C143" i="7"/>
  <c r="C145" i="7"/>
  <c r="B137" i="7"/>
  <c r="B138" i="7"/>
  <c r="B139" i="7"/>
  <c r="B140" i="7"/>
  <c r="B141" i="7"/>
  <c r="B142" i="7"/>
  <c r="B143" i="7"/>
  <c r="B145" i="7"/>
  <c r="B136" i="7"/>
  <c r="C124" i="7"/>
  <c r="C125" i="7"/>
  <c r="C126" i="7"/>
  <c r="C127" i="7"/>
  <c r="C128" i="7"/>
  <c r="C129" i="7"/>
  <c r="C131" i="7"/>
  <c r="B125" i="7"/>
  <c r="B126" i="7"/>
  <c r="B127" i="7"/>
  <c r="B128" i="7"/>
  <c r="B129" i="7"/>
  <c r="B131" i="7"/>
  <c r="C110" i="7"/>
  <c r="C111" i="7"/>
  <c r="C112" i="7"/>
  <c r="C113" i="7"/>
  <c r="C114" i="7"/>
  <c r="C115" i="7"/>
  <c r="C116" i="7"/>
  <c r="C117" i="7"/>
  <c r="C119" i="7"/>
  <c r="B124" i="7"/>
  <c r="B111" i="7"/>
  <c r="B112" i="7"/>
  <c r="B113" i="7"/>
  <c r="B114" i="7"/>
  <c r="B115" i="7"/>
  <c r="B116" i="7"/>
  <c r="B117" i="7"/>
  <c r="B119" i="7"/>
  <c r="B110" i="7"/>
  <c r="C103" i="7"/>
  <c r="B103" i="7"/>
  <c r="C98" i="7"/>
  <c r="B98" i="7"/>
  <c r="C79" i="7"/>
  <c r="C80" i="7"/>
  <c r="C81" i="7"/>
  <c r="C82" i="7"/>
  <c r="C83" i="7"/>
  <c r="C84" i="7"/>
  <c r="C85" i="7"/>
  <c r="C86" i="7"/>
  <c r="C87" i="7"/>
  <c r="C88" i="7"/>
  <c r="C89" i="7"/>
  <c r="C90" i="7"/>
  <c r="C91" i="7"/>
  <c r="C92" i="7"/>
  <c r="C93" i="7"/>
  <c r="C96" i="7"/>
  <c r="B80" i="7"/>
  <c r="B81" i="7"/>
  <c r="B82" i="7"/>
  <c r="B83" i="7"/>
  <c r="B84" i="7"/>
  <c r="B85" i="7"/>
  <c r="B86" i="7"/>
  <c r="B87" i="7"/>
  <c r="B88" i="7"/>
  <c r="B89" i="7"/>
  <c r="B90" i="7"/>
  <c r="B91" i="7"/>
  <c r="B92" i="7"/>
  <c r="B93" i="7"/>
  <c r="B96" i="7"/>
  <c r="B79" i="7"/>
  <c r="C74" i="7"/>
  <c r="B74" i="7"/>
  <c r="B56" i="7"/>
  <c r="C56" i="7"/>
  <c r="B57" i="7"/>
  <c r="C57" i="7"/>
  <c r="B58" i="7"/>
  <c r="C58" i="7"/>
  <c r="B59" i="7"/>
  <c r="C59" i="7"/>
  <c r="B60" i="7"/>
  <c r="C60" i="7"/>
  <c r="B61" i="7"/>
  <c r="C61" i="7"/>
  <c r="B62" i="7"/>
  <c r="C62" i="7"/>
  <c r="B63" i="7"/>
  <c r="C63" i="7"/>
  <c r="B64" i="7"/>
  <c r="C64" i="7"/>
  <c r="B65" i="7"/>
  <c r="C65" i="7"/>
  <c r="B66" i="7"/>
  <c r="C66" i="7"/>
  <c r="B67" i="7"/>
  <c r="C67" i="7"/>
  <c r="B68" i="7"/>
  <c r="C68" i="7"/>
  <c r="B69" i="7"/>
  <c r="C69" i="7"/>
  <c r="B72" i="7"/>
  <c r="C72" i="7"/>
  <c r="C55" i="7"/>
  <c r="B55" i="7"/>
  <c r="C50" i="7"/>
  <c r="B50" i="7"/>
  <c r="B32" i="7"/>
  <c r="C32" i="7"/>
  <c r="B33" i="7"/>
  <c r="C33" i="7"/>
  <c r="B34" i="7"/>
  <c r="C34" i="7"/>
  <c r="B35" i="7"/>
  <c r="C35" i="7"/>
  <c r="B36" i="7"/>
  <c r="C36" i="7"/>
  <c r="B37" i="7"/>
  <c r="C37" i="7"/>
  <c r="B38" i="7"/>
  <c r="C38" i="7"/>
  <c r="B39" i="7"/>
  <c r="C39" i="7"/>
  <c r="B40" i="7"/>
  <c r="C40" i="7"/>
  <c r="B41" i="7"/>
  <c r="C41" i="7"/>
  <c r="B42" i="7"/>
  <c r="C42" i="7"/>
  <c r="B43" i="7"/>
  <c r="C43" i="7"/>
  <c r="B44" i="7"/>
  <c r="C44" i="7"/>
  <c r="B45" i="7"/>
  <c r="C45" i="7"/>
  <c r="B48" i="7"/>
  <c r="C48" i="7"/>
  <c r="C31" i="7"/>
  <c r="B31" i="7"/>
  <c r="C21" i="7"/>
  <c r="C22" i="7"/>
  <c r="C23" i="7"/>
  <c r="B22" i="7"/>
  <c r="B23" i="7"/>
  <c r="B21" i="7"/>
  <c r="B26" i="7" s="1"/>
  <c r="B10" i="7"/>
  <c r="C10" i="7"/>
  <c r="B11" i="7"/>
  <c r="C11" i="7"/>
  <c r="B12" i="7"/>
  <c r="C12" i="7"/>
  <c r="B13" i="7"/>
  <c r="C13" i="7"/>
  <c r="B14" i="7"/>
  <c r="C14" i="7"/>
  <c r="B16" i="7"/>
  <c r="C16" i="7"/>
  <c r="C9" i="7"/>
  <c r="B9" i="7"/>
  <c r="L303" i="43"/>
  <c r="L243" i="43"/>
  <c r="K243" i="43"/>
  <c r="J243" i="43"/>
  <c r="I243" i="43"/>
  <c r="H243" i="43"/>
  <c r="L238" i="43"/>
  <c r="L250" i="7" s="1"/>
  <c r="K238" i="43"/>
  <c r="K250" i="7" s="1"/>
  <c r="K257" i="7" s="1"/>
  <c r="J238" i="43"/>
  <c r="J250" i="7" s="1"/>
  <c r="L225" i="43"/>
  <c r="K225" i="43"/>
  <c r="K236" i="7" s="1"/>
  <c r="J225" i="43"/>
  <c r="J236" i="7" s="1"/>
  <c r="L211" i="43"/>
  <c r="L222" i="7" s="1"/>
  <c r="K211" i="43"/>
  <c r="K222" i="7" s="1"/>
  <c r="J211" i="43"/>
  <c r="J222" i="7" s="1"/>
  <c r="L187" i="43"/>
  <c r="K187" i="43"/>
  <c r="K198" i="7" s="1"/>
  <c r="J187" i="43"/>
  <c r="J198" i="7" s="1"/>
  <c r="L163" i="43"/>
  <c r="L165" i="7" s="1"/>
  <c r="K163" i="43"/>
  <c r="K165" i="7" s="1"/>
  <c r="J163" i="43"/>
  <c r="J165" i="7" s="1"/>
  <c r="I163" i="43"/>
  <c r="I165" i="7" s="1"/>
  <c r="H163" i="43"/>
  <c r="H165" i="7" s="1"/>
  <c r="L83" i="43"/>
  <c r="L85" i="7" s="1"/>
  <c r="K83" i="43"/>
  <c r="K85" i="7" s="1"/>
  <c r="J83" i="43"/>
  <c r="J85" i="7" s="1"/>
  <c r="I83" i="43"/>
  <c r="I85" i="7" s="1"/>
  <c r="H83" i="43"/>
  <c r="H85" i="7" s="1"/>
  <c r="H257" i="7" l="1"/>
  <c r="C26" i="7"/>
  <c r="C257" i="7"/>
  <c r="L362" i="7"/>
  <c r="B257" i="7"/>
  <c r="I362" i="7"/>
  <c r="B381" i="7"/>
  <c r="L257" i="7"/>
  <c r="I257" i="7"/>
  <c r="H362" i="7"/>
  <c r="B362" i="7"/>
  <c r="K184" i="44"/>
  <c r="F194" i="44"/>
  <c r="K362" i="7"/>
  <c r="J257" i="7"/>
  <c r="C362" i="7"/>
  <c r="K194" i="44" l="1"/>
  <c r="G55" i="44" l="1"/>
  <c r="G65" i="44" l="1"/>
  <c r="K55" i="44"/>
  <c r="K65" i="44" l="1"/>
  <c r="G73" i="44"/>
  <c r="K73" i="44" l="1"/>
  <c r="AU47" i="52" l="1"/>
  <c r="AG47" i="52"/>
  <c r="AG52" i="52" l="1"/>
  <c r="AG3" i="52"/>
  <c r="AG51" i="52"/>
  <c r="AG48" i="52"/>
  <c r="AG49" i="52"/>
  <c r="AG54" i="52"/>
  <c r="AG2" i="52" l="1"/>
  <c r="AG28" i="52" s="1"/>
  <c r="AG57" i="52"/>
  <c r="M47" i="52"/>
  <c r="P2" i="52"/>
  <c r="M39" i="52"/>
  <c r="M4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MEUNIER Laurent</author>
    <author>CALLONNEC Gaël</author>
  </authors>
  <commentList>
    <comment ref="A4" authorId="0" shapeId="0" xr:uid="{BB4BA337-9800-4942-9132-569CAE626F6B}">
      <text>
        <r>
          <rPr>
            <b/>
            <sz val="9"/>
            <color indexed="81"/>
            <rFont val="Tahoma"/>
            <family val="2"/>
          </rPr>
          <t>MEUNIER Laurent:</t>
        </r>
        <r>
          <rPr>
            <sz val="9"/>
            <color indexed="81"/>
            <rFont val="Tahoma"/>
            <family val="2"/>
          </rPr>
          <t xml:space="preserve">
conso énergétiques incluses
</t>
        </r>
      </text>
    </comment>
    <comment ref="Q4" authorId="0" shapeId="0" xr:uid="{8E20EFBE-2C96-4D2A-8EA8-C16EF2457D3E}">
      <text>
        <r>
          <rPr>
            <b/>
            <sz val="9"/>
            <color indexed="81"/>
            <rFont val="Tahoma"/>
            <family val="2"/>
          </rPr>
          <t>MEUNIER Laurent:</t>
        </r>
        <r>
          <rPr>
            <sz val="9"/>
            <color indexed="81"/>
            <rFont val="Tahoma"/>
            <family val="2"/>
          </rPr>
          <t xml:space="preserve">
conso non énergétiques incluses
</t>
        </r>
      </text>
    </comment>
    <comment ref="Q7" authorId="0" shapeId="0" xr:uid="{F31F305F-3A17-4215-8383-814DD79C01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0" shapeId="0" xr:uid="{019D9A8E-B76D-4168-9654-CC8A617CA516}">
      <text>
        <r>
          <rPr>
            <b/>
            <sz val="9"/>
            <color indexed="81"/>
            <rFont val="Tahoma"/>
            <family val="2"/>
          </rPr>
          <t>MEUNIER Laurent:</t>
        </r>
        <r>
          <rPr>
            <sz val="9"/>
            <color indexed="81"/>
            <rFont val="Tahoma"/>
            <family val="2"/>
          </rPr>
          <t xml:space="preserve">
pertes réseaux T&amp;D incluses</t>
        </r>
      </text>
    </comment>
    <comment ref="Q23" authorId="0" shapeId="0" xr:uid="{2BCD0B9C-C176-4761-88BD-E78DCEBF0F9E}">
      <text>
        <r>
          <rPr>
            <b/>
            <sz val="9"/>
            <color indexed="81"/>
            <rFont val="Tahoma"/>
            <family val="2"/>
          </rPr>
          <t>MEUNIER Laurent:</t>
        </r>
        <r>
          <rPr>
            <sz val="9"/>
            <color indexed="81"/>
            <rFont val="Tahoma"/>
            <family val="2"/>
          </rPr>
          <t xml:space="preserve">
coke inclus</t>
        </r>
      </text>
    </comment>
    <comment ref="R25" authorId="1" shapeId="0" xr:uid="{79D4200D-6A66-4B97-BC19-22E5403DD782}">
      <text>
        <r>
          <rPr>
            <b/>
            <sz val="9"/>
            <color indexed="81"/>
            <rFont val="Tahoma"/>
            <family val="2"/>
          </rPr>
          <t>CALLONNEC Gaël:</t>
        </r>
        <r>
          <rPr>
            <sz val="9"/>
            <color indexed="81"/>
            <rFont val="Tahoma"/>
            <family val="2"/>
          </rPr>
          <t xml:space="preserve">
Ecart lié aux im
portations de biocarburants</t>
        </r>
      </text>
    </comment>
    <comment ref="BG25" authorId="0" shapeId="0" xr:uid="{E68F120A-FCCB-417B-84D5-25F7773828B0}">
      <text>
        <r>
          <rPr>
            <b/>
            <sz val="9"/>
            <color indexed="81"/>
            <rFont val="Tahoma"/>
            <family val="2"/>
          </rPr>
          <t>MEUNIER Laurent:</t>
        </r>
        <r>
          <rPr>
            <sz val="9"/>
            <color indexed="81"/>
            <rFont val="Tahoma"/>
            <family val="2"/>
          </rPr>
          <t xml:space="preserve">
coke inclus</t>
        </r>
      </text>
    </comment>
    <comment ref="BU25" authorId="0" shapeId="0" xr:uid="{84DC4EB0-C569-41C5-A0C7-87155B73F0FB}">
      <text>
        <r>
          <rPr>
            <b/>
            <sz val="9"/>
            <color indexed="81"/>
            <rFont val="Tahoma"/>
            <family val="2"/>
          </rPr>
          <t>MEUNIER Laurent:</t>
        </r>
        <r>
          <rPr>
            <sz val="9"/>
            <color indexed="81"/>
            <rFont val="Tahoma"/>
            <family val="2"/>
          </rPr>
          <t xml:space="preserve">
coke inclus</t>
        </r>
      </text>
    </comment>
    <comment ref="CJ25" authorId="0" shapeId="0" xr:uid="{A51F3CC1-D118-4392-90CF-73CB73D3AF5F}">
      <text>
        <r>
          <rPr>
            <b/>
            <sz val="9"/>
            <color indexed="81"/>
            <rFont val="Tahoma"/>
            <family val="2"/>
          </rPr>
          <t>MEUNIER Laurent:</t>
        </r>
        <r>
          <rPr>
            <sz val="9"/>
            <color indexed="81"/>
            <rFont val="Tahoma"/>
            <family val="2"/>
          </rPr>
          <t xml:space="preserve">
coke inclus</t>
        </r>
      </text>
    </comment>
    <comment ref="AE27" authorId="0" shapeId="0" xr:uid="{E65BD324-5E20-4953-8091-B605BE5FCE96}">
      <text>
        <r>
          <rPr>
            <b/>
            <sz val="9"/>
            <color indexed="81"/>
            <rFont val="Tahoma"/>
            <family val="2"/>
          </rPr>
          <t>MEUNIER Laurent:</t>
        </r>
        <r>
          <rPr>
            <sz val="9"/>
            <color indexed="81"/>
            <rFont val="Tahoma"/>
            <family val="2"/>
          </rPr>
          <t xml:space="preserve">
coke inclus</t>
        </r>
      </text>
    </comment>
    <comment ref="AS27" authorId="0" shapeId="0" xr:uid="{D78C0AE0-414F-477E-B67A-962029CBA8D5}">
      <text>
        <r>
          <rPr>
            <b/>
            <sz val="9"/>
            <color indexed="81"/>
            <rFont val="Tahoma"/>
            <family val="2"/>
          </rPr>
          <t>MEUNIER Laurent:</t>
        </r>
        <r>
          <rPr>
            <sz val="9"/>
            <color indexed="81"/>
            <rFont val="Tahoma"/>
            <family val="2"/>
          </rPr>
          <t xml:space="preserve">
coke inclus</t>
        </r>
      </text>
    </comment>
    <comment ref="Q30" authorId="0" shapeId="0" xr:uid="{508D6055-548D-4BF2-ACA3-7718118E2C44}">
      <text>
        <r>
          <rPr>
            <b/>
            <sz val="9"/>
            <color indexed="81"/>
            <rFont val="Tahoma"/>
            <family val="2"/>
          </rPr>
          <t>MEUNIER Laurent:</t>
        </r>
        <r>
          <rPr>
            <sz val="9"/>
            <color indexed="81"/>
            <rFont val="Tahoma"/>
            <family val="2"/>
          </rPr>
          <t xml:space="preserve">
Hors conso non énergétiques 
</t>
        </r>
      </text>
    </comment>
    <comment ref="Q33" authorId="0" shapeId="0" xr:uid="{EBA47C88-FF0A-40FB-BBF1-FE42EB0D984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0" shapeId="0" xr:uid="{E3221A7A-3583-47D6-B81C-5BC1E149C135}">
      <text>
        <r>
          <rPr>
            <b/>
            <sz val="9"/>
            <color indexed="81"/>
            <rFont val="Tahoma"/>
            <family val="2"/>
          </rPr>
          <t>MEUNIER Laurent:</t>
        </r>
        <r>
          <rPr>
            <sz val="9"/>
            <color indexed="81"/>
            <rFont val="Tahoma"/>
            <family val="2"/>
          </rPr>
          <t xml:space="preserve">
Hors conso non énergétiques 
</t>
        </r>
      </text>
    </comment>
    <comment ref="AS33" authorId="0" shapeId="0" xr:uid="{7A06656E-5727-4CFA-A383-82A73B739384}">
      <text>
        <r>
          <rPr>
            <b/>
            <sz val="9"/>
            <color indexed="81"/>
            <rFont val="Tahoma"/>
            <family val="2"/>
          </rPr>
          <t>MEUNIER Laurent:</t>
        </r>
        <r>
          <rPr>
            <sz val="9"/>
            <color indexed="81"/>
            <rFont val="Tahoma"/>
            <family val="2"/>
          </rPr>
          <t xml:space="preserve">
Hors conso non énergétiques 
</t>
        </r>
      </text>
    </comment>
    <comment ref="AE36" authorId="0" shapeId="0" xr:uid="{5E4DD152-4646-4EE0-9495-2BF5FAE7D48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0" shapeId="0" xr:uid="{DE77B05A-B14D-4263-B6C3-3F874DA4FBD3}">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0" shapeId="0" xr:uid="{4FB33EAF-04F8-4FB9-AC00-A944D10C0FBC}">
      <text>
        <r>
          <rPr>
            <b/>
            <sz val="9"/>
            <color indexed="81"/>
            <rFont val="Tahoma"/>
            <family val="2"/>
          </rPr>
          <t>MEUNIER Laurent:</t>
        </r>
        <r>
          <rPr>
            <sz val="9"/>
            <color indexed="81"/>
            <rFont val="Tahoma"/>
            <family val="2"/>
          </rPr>
          <t xml:space="preserve">
coke inclus</t>
        </r>
      </text>
    </comment>
    <comment ref="Q49" authorId="0" shapeId="0" xr:uid="{98BD18F8-D290-45E0-B722-34326F1A5524}">
      <text>
        <r>
          <rPr>
            <b/>
            <sz val="9"/>
            <color indexed="81"/>
            <rFont val="Tahoma"/>
            <family val="2"/>
          </rPr>
          <t>MEUNIER Laurent:</t>
        </r>
        <r>
          <rPr>
            <sz val="9"/>
            <color indexed="81"/>
            <rFont val="Tahoma"/>
            <family val="2"/>
          </rPr>
          <t xml:space="preserve">
coke inclus</t>
        </r>
      </text>
    </comment>
    <comment ref="AE55" authorId="0" shapeId="0" xr:uid="{B224AAB8-B760-442B-A856-8DB4942B6A56}">
      <text>
        <r>
          <rPr>
            <b/>
            <sz val="9"/>
            <color indexed="81"/>
            <rFont val="Tahoma"/>
            <family val="2"/>
          </rPr>
          <t>MEUNIER Laurent:</t>
        </r>
        <r>
          <rPr>
            <sz val="9"/>
            <color indexed="81"/>
            <rFont val="Tahoma"/>
            <family val="2"/>
          </rPr>
          <t xml:space="preserve">
coke inclus</t>
        </r>
      </text>
    </comment>
    <comment ref="AS55" authorId="0" shapeId="0" xr:uid="{2ED63AE3-F466-423C-A63B-11DD89D7B9F3}">
      <text>
        <r>
          <rPr>
            <b/>
            <sz val="9"/>
            <color indexed="81"/>
            <rFont val="Tahoma"/>
            <family val="2"/>
          </rPr>
          <t>MEUNIER Laurent:</t>
        </r>
        <r>
          <rPr>
            <sz val="9"/>
            <color indexed="81"/>
            <rFont val="Tahoma"/>
            <family val="2"/>
          </rPr>
          <t xml:space="preserve">
coke inclus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MEUNIER Laurent</author>
    <author>CALLONNEC Gaël</author>
  </authors>
  <commentList>
    <comment ref="A1" authorId="0" shapeId="0" xr:uid="{C03697D0-C8B9-42CB-9B99-8C74ACB39C5D}">
      <text>
        <r>
          <rPr>
            <b/>
            <sz val="9"/>
            <color indexed="81"/>
            <rFont val="Tahoma"/>
            <family val="2"/>
          </rPr>
          <t>MONSERAND Alma:</t>
        </r>
        <r>
          <rPr>
            <sz val="9"/>
            <color indexed="81"/>
            <rFont val="Tahoma"/>
            <family val="2"/>
          </rPr>
          <t xml:space="preserve">
Dans toute cette feuille, les formules sont identiques entre 2023 et 2050 mais légèrement différentes pour 2015 et 2020 car les bilans à ces deux dates ont été équilibrés avec des formules légèrement différentes (voir feuilles Bilan 2015 et Bilan 2020), et elles sont sur le modèle de l'AME qui n'a pas ni carburants synthétiques ni gaz synthétiques (donc pas le même nombre de colonnes dans les feuilles Bilan_E_KP_)</t>
        </r>
      </text>
    </comment>
    <comment ref="A4" authorId="1" shapeId="0" xr:uid="{931620FB-CCED-4EC5-9C82-1847DFC4EDB4}">
      <text>
        <r>
          <rPr>
            <b/>
            <sz val="9"/>
            <color indexed="81"/>
            <rFont val="Tahoma"/>
            <family val="2"/>
          </rPr>
          <t>MEUNIER Laurent:</t>
        </r>
        <r>
          <rPr>
            <sz val="9"/>
            <color indexed="81"/>
            <rFont val="Tahoma"/>
            <family val="2"/>
          </rPr>
          <t xml:space="preserve">
conso énergétiques incluses
</t>
        </r>
      </text>
    </comment>
    <comment ref="Q4" authorId="1" shapeId="0" xr:uid="{C7D7F301-D413-4776-8B98-90164DBBD7D7}">
      <text>
        <r>
          <rPr>
            <b/>
            <sz val="9"/>
            <color indexed="81"/>
            <rFont val="Tahoma"/>
            <family val="2"/>
          </rPr>
          <t>MEUNIER Laurent:</t>
        </r>
        <r>
          <rPr>
            <sz val="9"/>
            <color indexed="81"/>
            <rFont val="Tahoma"/>
            <family val="2"/>
          </rPr>
          <t xml:space="preserve">
conso non énergétiques incluses
</t>
        </r>
      </text>
    </comment>
    <comment ref="Q7" authorId="1" shapeId="0" xr:uid="{343A29E9-9685-47CD-851A-540FE633749A}">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1" shapeId="0" xr:uid="{540BA2F4-F1FA-47D6-95B5-E677A0AF2229}">
      <text>
        <r>
          <rPr>
            <b/>
            <sz val="9"/>
            <color indexed="81"/>
            <rFont val="Tahoma"/>
            <family val="2"/>
          </rPr>
          <t>MEUNIER Laurent:</t>
        </r>
        <r>
          <rPr>
            <sz val="9"/>
            <color indexed="81"/>
            <rFont val="Tahoma"/>
            <family val="2"/>
          </rPr>
          <t xml:space="preserve">
pertes réseaux T&amp;D incluses</t>
        </r>
      </text>
    </comment>
    <comment ref="Q23" authorId="1" shapeId="0" xr:uid="{A42DEDAD-F2BC-43FB-BA2B-72937361D299}">
      <text>
        <r>
          <rPr>
            <b/>
            <sz val="9"/>
            <color indexed="81"/>
            <rFont val="Tahoma"/>
            <family val="2"/>
          </rPr>
          <t>MEUNIER Laurent:</t>
        </r>
        <r>
          <rPr>
            <sz val="9"/>
            <color indexed="81"/>
            <rFont val="Tahoma"/>
            <family val="2"/>
          </rPr>
          <t xml:space="preserve">
coke inclus</t>
        </r>
      </text>
    </comment>
    <comment ref="R25" authorId="2" shapeId="0" xr:uid="{623D560A-858B-4291-98B8-82E82E3855E7}">
      <text>
        <r>
          <rPr>
            <b/>
            <sz val="9"/>
            <color indexed="81"/>
            <rFont val="Tahoma"/>
            <family val="2"/>
          </rPr>
          <t>CALLONNEC Gaël:</t>
        </r>
        <r>
          <rPr>
            <sz val="9"/>
            <color indexed="81"/>
            <rFont val="Tahoma"/>
            <family val="2"/>
          </rPr>
          <t xml:space="preserve">
Ecart lié aux im
portations de biocarburants</t>
        </r>
      </text>
    </comment>
    <comment ref="BG25" authorId="1" shapeId="0" xr:uid="{5F0DE8F8-F0E2-44C8-A2FC-92A693FA69EB}">
      <text>
        <r>
          <rPr>
            <b/>
            <sz val="9"/>
            <color indexed="81"/>
            <rFont val="Tahoma"/>
            <family val="2"/>
          </rPr>
          <t>MEUNIER Laurent:</t>
        </r>
        <r>
          <rPr>
            <sz val="9"/>
            <color indexed="81"/>
            <rFont val="Tahoma"/>
            <family val="2"/>
          </rPr>
          <t xml:space="preserve">
coke inclus</t>
        </r>
      </text>
    </comment>
    <comment ref="BU25" authorId="1" shapeId="0" xr:uid="{D0C30BD0-43DF-4330-90C9-7BD4240DB513}">
      <text>
        <r>
          <rPr>
            <b/>
            <sz val="9"/>
            <color indexed="81"/>
            <rFont val="Tahoma"/>
            <family val="2"/>
          </rPr>
          <t>MEUNIER Laurent:</t>
        </r>
        <r>
          <rPr>
            <sz val="9"/>
            <color indexed="81"/>
            <rFont val="Tahoma"/>
            <family val="2"/>
          </rPr>
          <t xml:space="preserve">
coke inclus</t>
        </r>
      </text>
    </comment>
    <comment ref="CJ25" authorId="1" shapeId="0" xr:uid="{BB4586E2-0817-4587-869E-6D0DCF345988}">
      <text>
        <r>
          <rPr>
            <b/>
            <sz val="9"/>
            <color indexed="81"/>
            <rFont val="Tahoma"/>
            <family val="2"/>
          </rPr>
          <t>MEUNIER Laurent:</t>
        </r>
        <r>
          <rPr>
            <sz val="9"/>
            <color indexed="81"/>
            <rFont val="Tahoma"/>
            <family val="2"/>
          </rPr>
          <t xml:space="preserve">
coke inclus</t>
        </r>
      </text>
    </comment>
    <comment ref="AE27" authorId="1" shapeId="0" xr:uid="{D4C3522F-A649-44BD-994F-028FA03AD205}">
      <text>
        <r>
          <rPr>
            <b/>
            <sz val="9"/>
            <color indexed="81"/>
            <rFont val="Tahoma"/>
            <family val="2"/>
          </rPr>
          <t>MEUNIER Laurent:</t>
        </r>
        <r>
          <rPr>
            <sz val="9"/>
            <color indexed="81"/>
            <rFont val="Tahoma"/>
            <family val="2"/>
          </rPr>
          <t xml:space="preserve">
coke inclus</t>
        </r>
      </text>
    </comment>
    <comment ref="AS27" authorId="1" shapeId="0" xr:uid="{952A2D90-8847-441C-A37B-D45F4843F15A}">
      <text>
        <r>
          <rPr>
            <b/>
            <sz val="9"/>
            <color indexed="81"/>
            <rFont val="Tahoma"/>
            <family val="2"/>
          </rPr>
          <t>MEUNIER Laurent:</t>
        </r>
        <r>
          <rPr>
            <sz val="9"/>
            <color indexed="81"/>
            <rFont val="Tahoma"/>
            <family val="2"/>
          </rPr>
          <t xml:space="preserve">
coke inclus</t>
        </r>
      </text>
    </comment>
    <comment ref="Q30" authorId="1" shapeId="0" xr:uid="{BE980806-9F17-4D3C-9C53-F0213D669FAD}">
      <text>
        <r>
          <rPr>
            <b/>
            <sz val="9"/>
            <color indexed="81"/>
            <rFont val="Tahoma"/>
            <family val="2"/>
          </rPr>
          <t>MEUNIER Laurent:</t>
        </r>
        <r>
          <rPr>
            <sz val="9"/>
            <color indexed="81"/>
            <rFont val="Tahoma"/>
            <family val="2"/>
          </rPr>
          <t xml:space="preserve">
Hors conso non énergétiques 
</t>
        </r>
      </text>
    </comment>
    <comment ref="Q33" authorId="1" shapeId="0" xr:uid="{25D24D6E-B16F-4ADD-BE65-62DF2B6AB974}">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1" shapeId="0" xr:uid="{B9F98EB2-CAE4-4779-B37A-425653F0E25E}">
      <text>
        <r>
          <rPr>
            <b/>
            <sz val="9"/>
            <color indexed="81"/>
            <rFont val="Tahoma"/>
            <family val="2"/>
          </rPr>
          <t>MEUNIER Laurent:</t>
        </r>
        <r>
          <rPr>
            <sz val="9"/>
            <color indexed="81"/>
            <rFont val="Tahoma"/>
            <family val="2"/>
          </rPr>
          <t xml:space="preserve">
Hors conso non énergétiques 
</t>
        </r>
      </text>
    </comment>
    <comment ref="AS33" authorId="1" shapeId="0" xr:uid="{A336525C-7B15-4CAF-911F-DACA45283B4D}">
      <text>
        <r>
          <rPr>
            <b/>
            <sz val="9"/>
            <color indexed="81"/>
            <rFont val="Tahoma"/>
            <family val="2"/>
          </rPr>
          <t>MEUNIER Laurent:</t>
        </r>
        <r>
          <rPr>
            <sz val="9"/>
            <color indexed="81"/>
            <rFont val="Tahoma"/>
            <family val="2"/>
          </rPr>
          <t xml:space="preserve">
Hors conso non énergétiques 
</t>
        </r>
      </text>
    </comment>
    <comment ref="AE36" authorId="1" shapeId="0" xr:uid="{48CD10D1-2E4D-4E16-8A39-1810F367AC70}">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1" shapeId="0" xr:uid="{1EEF363D-E3FB-4D8B-85FC-E4D7D48D38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1" shapeId="0" xr:uid="{F2DB86BA-8716-4CFB-B042-ABE1C2F4DD4B}">
      <text>
        <r>
          <rPr>
            <b/>
            <sz val="9"/>
            <color indexed="81"/>
            <rFont val="Tahoma"/>
            <family val="2"/>
          </rPr>
          <t>MEUNIER Laurent:</t>
        </r>
        <r>
          <rPr>
            <sz val="9"/>
            <color indexed="81"/>
            <rFont val="Tahoma"/>
            <family val="2"/>
          </rPr>
          <t xml:space="preserve">
coke inclus</t>
        </r>
      </text>
    </comment>
    <comment ref="Q49" authorId="1" shapeId="0" xr:uid="{AF125CBD-E4F6-4639-956F-F90ED08A1037}">
      <text>
        <r>
          <rPr>
            <b/>
            <sz val="9"/>
            <color indexed="81"/>
            <rFont val="Tahoma"/>
            <family val="2"/>
          </rPr>
          <t>MEUNIER Laurent:</t>
        </r>
        <r>
          <rPr>
            <sz val="9"/>
            <color indexed="81"/>
            <rFont val="Tahoma"/>
            <family val="2"/>
          </rPr>
          <t xml:space="preserve">
coke inclus</t>
        </r>
      </text>
    </comment>
    <comment ref="AE55" authorId="1" shapeId="0" xr:uid="{2AA3597C-2B34-4151-90E5-C16AF0483B8B}">
      <text>
        <r>
          <rPr>
            <b/>
            <sz val="9"/>
            <color indexed="81"/>
            <rFont val="Tahoma"/>
            <family val="2"/>
          </rPr>
          <t>MEUNIER Laurent:</t>
        </r>
        <r>
          <rPr>
            <sz val="9"/>
            <color indexed="81"/>
            <rFont val="Tahoma"/>
            <family val="2"/>
          </rPr>
          <t xml:space="preserve">
coke inclus</t>
        </r>
      </text>
    </comment>
    <comment ref="AS55" authorId="1" shapeId="0" xr:uid="{03EFC893-88FB-4705-9AB3-DC03DED34704}">
      <text>
        <r>
          <rPr>
            <b/>
            <sz val="9"/>
            <color indexed="81"/>
            <rFont val="Tahoma"/>
            <family val="2"/>
          </rPr>
          <t>MEUNIER Laurent:</t>
        </r>
        <r>
          <rPr>
            <sz val="9"/>
            <color indexed="81"/>
            <rFont val="Tahoma"/>
            <family val="2"/>
          </rPr>
          <t xml:space="preserve">
coke inclus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E19" authorId="0" shapeId="0" xr:uid="{F5947725-D04F-4DFC-A350-36C88829C0A8}">
      <text>
        <r>
          <rPr>
            <b/>
            <sz val="9"/>
            <color indexed="81"/>
            <rFont val="Tahoma"/>
            <family val="2"/>
          </rPr>
          <t>MONSERAND Alma:</t>
        </r>
        <r>
          <rPr>
            <sz val="9"/>
            <color indexed="81"/>
            <rFont val="Tahoma"/>
            <family val="2"/>
          </rPr>
          <t xml:space="preserve">
Rendements trouvés en p.60 des chiffres clés de l'énergie 2021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14260DA2-533B-4C89-A79B-D08FAA93BFAD}">
      <text>
        <r>
          <rPr>
            <b/>
            <sz val="9"/>
            <color indexed="81"/>
            <rFont val="Tahoma"/>
            <family val="2"/>
          </rPr>
          <t>MONSERAND Alma:</t>
        </r>
        <r>
          <rPr>
            <sz val="9"/>
            <color indexed="81"/>
            <rFont val="Tahoma"/>
            <family val="2"/>
          </rPr>
          <t xml:space="preserve">
Nous avons ventilé nous-mêmes la colonne EnR thermique et déchets, qui était agrégée pour 2025, selon le modèle plus détaillé des feuilles 2020 et suivantes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986639CF-F8DA-4A3F-8BBC-516627FF55D8}">
      <text>
        <r>
          <rPr>
            <b/>
            <sz val="9"/>
            <color indexed="81"/>
            <rFont val="Tahoma"/>
            <family val="2"/>
          </rPr>
          <t>MONSERAND Alma:</t>
        </r>
        <r>
          <rPr>
            <sz val="9"/>
            <color indexed="81"/>
            <rFont val="Tahoma"/>
            <family val="2"/>
          </rPr>
          <t xml:space="preserve">
Cette feuille est en Mtep, toutes les autres en TWh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36D342AE-819B-45B7-BFAA-00BEC47119B7}">
      <text>
        <r>
          <rPr>
            <b/>
            <sz val="9"/>
            <color indexed="81"/>
            <rFont val="Tahoma"/>
            <family val="2"/>
          </rPr>
          <t>MONSERAND Alma:</t>
        </r>
        <r>
          <rPr>
            <sz val="9"/>
            <color indexed="81"/>
            <rFont val="Tahoma"/>
            <family val="2"/>
          </rPr>
          <t xml:space="preserve">
Pour 2015 et 2020, quelques cellules (en jaune) sont différentes du reste des feuilles Bilan 20XX. Ceci est dû à des déséquilibres observés dans les feuilles fournies par Enerdata via le MTE.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<sst xmlns="http://schemas.openxmlformats.org/spreadsheetml/2006/main" count="25565" uniqueCount="532">
  <si>
    <t>Production énergie pour injection réseau</t>
  </si>
  <si>
    <t>Flux réseaux</t>
  </si>
  <si>
    <t>Bilan primaire</t>
  </si>
  <si>
    <t>Utilisation</t>
  </si>
  <si>
    <t>Injections</t>
  </si>
  <si>
    <t>Soutirages</t>
  </si>
  <si>
    <t>Usage interne</t>
  </si>
  <si>
    <t>Production</t>
  </si>
  <si>
    <t>Réseau</t>
  </si>
  <si>
    <t>source</t>
  </si>
  <si>
    <t>Total</t>
  </si>
  <si>
    <t>Pertes</t>
  </si>
  <si>
    <t>Exports</t>
  </si>
  <si>
    <t>RG</t>
  </si>
  <si>
    <t>RC</t>
  </si>
  <si>
    <t>RE</t>
  </si>
  <si>
    <t>Conso fin.nat. (hors combsustibles 2usages)</t>
  </si>
  <si>
    <t>Eolien</t>
  </si>
  <si>
    <t>Hydroélectricité</t>
  </si>
  <si>
    <t>PV</t>
  </si>
  <si>
    <t>Nucléaire</t>
  </si>
  <si>
    <t>Méthanisation</t>
  </si>
  <si>
    <t>UIOM</t>
  </si>
  <si>
    <t>Bois énergie</t>
  </si>
  <si>
    <t>Géothermie</t>
  </si>
  <si>
    <t>Energies marines</t>
  </si>
  <si>
    <t>Chaleur fatale</t>
  </si>
  <si>
    <t>fioul</t>
  </si>
  <si>
    <t>charbon</t>
  </si>
  <si>
    <t>Réseau de gaz</t>
  </si>
  <si>
    <t>BtG</t>
  </si>
  <si>
    <t>Hydrogène</t>
  </si>
  <si>
    <t>Gaz naturel</t>
  </si>
  <si>
    <t>Solaire thermique</t>
  </si>
  <si>
    <t>Usage direct</t>
  </si>
  <si>
    <t>Chaleur PAC géothermiques</t>
  </si>
  <si>
    <t>Chaleur PAC aérothermiques</t>
  </si>
  <si>
    <t>Biocarburants liquides</t>
  </si>
  <si>
    <t>Ess/Dies/Jet</t>
  </si>
  <si>
    <t>Autres PP</t>
  </si>
  <si>
    <t>Déchets</t>
  </si>
  <si>
    <t>gaz</t>
  </si>
  <si>
    <t>Charbon</t>
  </si>
  <si>
    <t xml:space="preserve">dont combustibles à double usage </t>
  </si>
  <si>
    <t xml:space="preserve">charbon </t>
  </si>
  <si>
    <t>Projections France AME AMS 2018</t>
  </si>
  <si>
    <t xml:space="preserve">Scenario: </t>
  </si>
  <si>
    <t>AMS</t>
  </si>
  <si>
    <t>Version :</t>
  </si>
  <si>
    <t>Date :</t>
  </si>
  <si>
    <t>Bilans énergétiques (format SDES)</t>
  </si>
  <si>
    <t>Mtep</t>
  </si>
  <si>
    <t>Pétrole brut</t>
  </si>
  <si>
    <t>Produits pétroliers raffinés</t>
  </si>
  <si>
    <t>Gaz</t>
  </si>
  <si>
    <t>EnR électriques</t>
  </si>
  <si>
    <t>EnR thermiques et déchets</t>
  </si>
  <si>
    <t>Électricité</t>
  </si>
  <si>
    <t>Chaleur vendue</t>
  </si>
  <si>
    <t>Production d'énergie primaire</t>
  </si>
  <si>
    <t>Importations</t>
  </si>
  <si>
    <t>Exportations</t>
  </si>
  <si>
    <t>Soutes maritimes internationales</t>
  </si>
  <si>
    <t>Soutes aériennes internationales</t>
  </si>
  <si>
    <t>Variations de stocks (+ = déstockage, - = stockage)</t>
  </si>
  <si>
    <t>Total approvisionnement / consommation primaire</t>
  </si>
  <si>
    <t>Transferts</t>
  </si>
  <si>
    <t>Écart statistique</t>
  </si>
  <si>
    <t>Production d'électricité seule</t>
  </si>
  <si>
    <t>Production d'électricité et de chaleur cogénérées</t>
  </si>
  <si>
    <t>Production de chaleur seule</t>
  </si>
  <si>
    <t>Injections de biométhane</t>
  </si>
  <si>
    <t>Raffinage de pétrole</t>
  </si>
  <si>
    <t>Production d'hydrogène</t>
  </si>
  <si>
    <t>Autres transformations</t>
  </si>
  <si>
    <t>Usages internes de la branche énergie</t>
  </si>
  <si>
    <t>Pertes de transport et de distribution</t>
  </si>
  <si>
    <t>Consommation nette de la branche énergie</t>
  </si>
  <si>
    <t>Industrie</t>
  </si>
  <si>
    <t>Transport</t>
  </si>
  <si>
    <t>Résidentiel</t>
  </si>
  <si>
    <t>Tertiaire</t>
  </si>
  <si>
    <t>Agriculture</t>
  </si>
  <si>
    <t>Consommation finale énergétique</t>
  </si>
  <si>
    <t>Consommation finale non énergétique</t>
  </si>
  <si>
    <t>Consommation finale</t>
  </si>
  <si>
    <t>Bilan 2020</t>
  </si>
  <si>
    <t>Bilan 2025</t>
  </si>
  <si>
    <t>Bilan 2030</t>
  </si>
  <si>
    <t>Bilan 2050</t>
  </si>
  <si>
    <t>Conso finale   (entrée ThreeME)</t>
  </si>
  <si>
    <t>Agr</t>
  </si>
  <si>
    <t>Ind</t>
  </si>
  <si>
    <t>Rés</t>
  </si>
  <si>
    <t>Ter</t>
  </si>
  <si>
    <t>Tra</t>
  </si>
  <si>
    <t>1 - Demande d'énergie finale de l'industrie</t>
  </si>
  <si>
    <t>1.1 Ensemble des branches, usages énergétiques</t>
  </si>
  <si>
    <t>2000-2015</t>
  </si>
  <si>
    <t>2015-2020</t>
  </si>
  <si>
    <t>2020-2025</t>
  </si>
  <si>
    <t>2025-2030</t>
  </si>
  <si>
    <t>2030-2050</t>
  </si>
  <si>
    <t>Combustible liquide</t>
  </si>
  <si>
    <t>Electricité</t>
  </si>
  <si>
    <t>Réseau de chaleur</t>
  </si>
  <si>
    <t>Biomasse, déchets</t>
  </si>
  <si>
    <t>1.2 Ensemble des branches, usages non énergétiques</t>
  </si>
  <si>
    <t>Pétrole</t>
  </si>
  <si>
    <t>H2</t>
  </si>
  <si>
    <t>1.3 Total énergie, par branche</t>
  </si>
  <si>
    <t>métaux-primaires</t>
  </si>
  <si>
    <t xml:space="preserve">      sidérurgie</t>
  </si>
  <si>
    <t xml:space="preserve">      aluminium</t>
  </si>
  <si>
    <t>chimie</t>
  </si>
  <si>
    <t xml:space="preserve">       ammoniac</t>
  </si>
  <si>
    <t xml:space="preserve">       pétrochimie base</t>
  </si>
  <si>
    <t xml:space="preserve">        chlore</t>
  </si>
  <si>
    <t>non_metalliques</t>
  </si>
  <si>
    <t xml:space="preserve">        ciment</t>
  </si>
  <si>
    <t xml:space="preserve">         verre</t>
  </si>
  <si>
    <t>iaa</t>
  </si>
  <si>
    <t xml:space="preserve">        sucre</t>
  </si>
  <si>
    <t>équipement</t>
  </si>
  <si>
    <t>autres</t>
  </si>
  <si>
    <t xml:space="preserve">         papier-pâtes</t>
  </si>
  <si>
    <t>Total IGCE</t>
  </si>
  <si>
    <t>1.4 Electricité, par branche</t>
  </si>
  <si>
    <t>TWh</t>
  </si>
  <si>
    <t>1.5 Combustibles, par branche</t>
  </si>
  <si>
    <t>1.6 Indicateurs</t>
  </si>
  <si>
    <t>Intensité énergétique de la VA (kep/€2005)</t>
  </si>
  <si>
    <t>2 - Demande d'énergie finale du résidentiel</t>
  </si>
  <si>
    <t>2.1 Demande d'énergie finale par énergie</t>
  </si>
  <si>
    <t>Biomasse</t>
  </si>
  <si>
    <t>Solaire</t>
  </si>
  <si>
    <t>Chaleur environnement</t>
  </si>
  <si>
    <t>2.2 Demande d'énergie finale par usage</t>
  </si>
  <si>
    <t>Chauffage</t>
  </si>
  <si>
    <t>Eau chaude</t>
  </si>
  <si>
    <t>Cuisson</t>
  </si>
  <si>
    <t>Eclairage</t>
  </si>
  <si>
    <t>Electricité specifique</t>
  </si>
  <si>
    <t>Climatisation</t>
  </si>
  <si>
    <t>2.3 Usages thermiques</t>
  </si>
  <si>
    <t>2.4 Chauffage</t>
  </si>
  <si>
    <t>2.5 Eau chaude</t>
  </si>
  <si>
    <t>2.6 Cuisson</t>
  </si>
  <si>
    <t>2.7 Indicateurs</t>
  </si>
  <si>
    <t>Logements</t>
  </si>
  <si>
    <t>Energie/capita (tep)</t>
  </si>
  <si>
    <t>Electricité/capita (kWh)</t>
  </si>
  <si>
    <t>Intensité énergétique de la consommation privée des ménages (kep/€2005)</t>
  </si>
  <si>
    <t>3 - Demande d'énergie finale du tertiaire</t>
  </si>
  <si>
    <t>3.1 Demande d'énergie finale par énergie</t>
  </si>
  <si>
    <t>3.2 Demande d'énergie finale par usage</t>
  </si>
  <si>
    <t>Autres usages thermiques</t>
  </si>
  <si>
    <t>3.3 Usages thermiques</t>
  </si>
  <si>
    <t>3.4 Chauffage</t>
  </si>
  <si>
    <t>3.5 Autres usages thermiques</t>
  </si>
  <si>
    <t>3.6 Indicateurs</t>
  </si>
  <si>
    <t>Intensité énergétique de la VA (ktep/€2005)</t>
  </si>
  <si>
    <t>Employés (millions)</t>
  </si>
  <si>
    <t>Energie/employé (tep)</t>
  </si>
  <si>
    <t>Electricité/employé (kWh)</t>
  </si>
  <si>
    <t>4 - Demande d'énergie finale des transports</t>
  </si>
  <si>
    <t>4.1 Trafics</t>
  </si>
  <si>
    <t>Passagers (Gpkm)</t>
  </si>
  <si>
    <t xml:space="preserve">  Voitures</t>
  </si>
  <si>
    <t xml:space="preserve">  Bus et autocars</t>
  </si>
  <si>
    <t xml:space="preserve">  Ferroviaire</t>
  </si>
  <si>
    <t xml:space="preserve">  Aérien domestique</t>
  </si>
  <si>
    <t>Marchandises Gtkm)</t>
  </si>
  <si>
    <t xml:space="preserve">  Camions et VUL</t>
  </si>
  <si>
    <t xml:space="preserve">  Fluvial</t>
  </si>
  <si>
    <t xml:space="preserve">  Voitures   Gvkm</t>
  </si>
  <si>
    <t>4.2 Demande d'énergie finale par énergie</t>
  </si>
  <si>
    <t>Essence (yc carb. subst.)</t>
  </si>
  <si>
    <t>Gazole (yc carb. subs)</t>
  </si>
  <si>
    <t>Carburéacteurs</t>
  </si>
  <si>
    <t>GPL</t>
  </si>
  <si>
    <t>GNV</t>
  </si>
  <si>
    <t>4.3 Demande d'énergie finale par infrastructure</t>
  </si>
  <si>
    <t>Routier</t>
  </si>
  <si>
    <t>Ferroviaire</t>
  </si>
  <si>
    <t>Fluvial</t>
  </si>
  <si>
    <t>Aérien domestique</t>
  </si>
  <si>
    <t>4.4 Transports routiers</t>
  </si>
  <si>
    <t>Voitures particulières</t>
  </si>
  <si>
    <t>Camions et VUL</t>
  </si>
  <si>
    <t>Bus et autocars</t>
  </si>
  <si>
    <t>2 roues</t>
  </si>
  <si>
    <t>Essence</t>
  </si>
  <si>
    <t xml:space="preserve">Total </t>
  </si>
  <si>
    <t>4.5 Indicateurs</t>
  </si>
  <si>
    <t>Parcs VP (Millions)</t>
  </si>
  <si>
    <t>Intensité énergétique du PIB (kep/€2005)</t>
  </si>
  <si>
    <t>5 - Demande d'énergie finale de l'agriculture</t>
  </si>
  <si>
    <t>5.1 Demande d'énergie finale par énergie</t>
  </si>
  <si>
    <t>6 - Demande d'énergie finale de l'ensemble des secteurs</t>
  </si>
  <si>
    <t>6.1 Demande d'énergie finale par énergie</t>
  </si>
  <si>
    <t>Carburant liquide</t>
  </si>
  <si>
    <t>Combustible gazeux</t>
  </si>
  <si>
    <t>Carburant gazeux</t>
  </si>
  <si>
    <t>6.2 Demande d'énergie finale par secteur</t>
  </si>
  <si>
    <t>6.3 Indicateurs</t>
  </si>
  <si>
    <t>Intensité électrique du PIB (kWh/k€2005)</t>
  </si>
  <si>
    <t>PAC/CET</t>
  </si>
  <si>
    <t>Pétrole/GPL</t>
  </si>
  <si>
    <t>Renouvelables thermiques</t>
  </si>
  <si>
    <t>Chaleur Environnement</t>
  </si>
  <si>
    <t>Total hors chaleur environnement</t>
  </si>
  <si>
    <t>ECS</t>
  </si>
  <si>
    <t>Electricité spécifique</t>
  </si>
  <si>
    <t>Autres consos (hors elec spé)</t>
  </si>
  <si>
    <t>Total modèle</t>
  </si>
  <si>
    <t>Autres (hors CEREN)</t>
  </si>
  <si>
    <t>Total (hors PAC)</t>
  </si>
  <si>
    <t>Mix approx</t>
  </si>
  <si>
    <t>Bilan de l'Energie 2015 (Sorties de modèles)</t>
  </si>
  <si>
    <t>Consommation finale énergétique (corrigée du climat)</t>
  </si>
  <si>
    <t>Corrections brutes</t>
  </si>
  <si>
    <t>Résultats modélisation MENFIS</t>
  </si>
  <si>
    <t>Tableau 1 : Consommations de chauffage (TWh) 2015</t>
  </si>
  <si>
    <t>Fioul</t>
  </si>
  <si>
    <t>Electricité joule</t>
  </si>
  <si>
    <t>Electricité PAC (hors ENR)</t>
  </si>
  <si>
    <t>Chauffage urbain et autre</t>
  </si>
  <si>
    <t>ENR PAC</t>
  </si>
  <si>
    <t>Nouveau total</t>
  </si>
  <si>
    <t>Consommation chauffage</t>
  </si>
  <si>
    <t>MI ex</t>
  </si>
  <si>
    <t>MI ne</t>
  </si>
  <si>
    <t>LC ex</t>
  </si>
  <si>
    <t>LC ne</t>
  </si>
  <si>
    <t>Tableau 1 : Consommations de chauffage (TWh) 2020</t>
  </si>
  <si>
    <t>Tableau 1 : Consommations de chauffage (TWh) 2025</t>
  </si>
  <si>
    <t>Tableau 1 : Consommations de chauffage (TWh) 2030</t>
  </si>
  <si>
    <t>Tableau 1 : Consommations de chauffage (TWh) 2040</t>
  </si>
  <si>
    <t>Tableau 1 : Consommations de chauffage (TWh) 2050</t>
  </si>
  <si>
    <t>Résultats hors modèles</t>
  </si>
  <si>
    <t>CET</t>
  </si>
  <si>
    <t>RCU</t>
  </si>
  <si>
    <t>Autres</t>
  </si>
  <si>
    <t>Consommations par vecteur (TWh)</t>
  </si>
  <si>
    <t>Consommation totale (TWh)</t>
  </si>
  <si>
    <t>PAC</t>
  </si>
  <si>
    <t>Consommation totale</t>
  </si>
  <si>
    <t>Mix énergétique des réseaux de chaleur</t>
  </si>
  <si>
    <t>Cogénération</t>
  </si>
  <si>
    <t>Combustibles solides décarbonés : biomasse + déchets</t>
  </si>
  <si>
    <t>Combustibles liquides décarbonés</t>
  </si>
  <si>
    <t>Combustibles gazeux décarbonés</t>
  </si>
  <si>
    <t>Chaleur de récupération industrielle</t>
  </si>
  <si>
    <t>Chaleur renouvelable (géothermie)</t>
  </si>
  <si>
    <t>Production totale (TWh)</t>
  </si>
  <si>
    <t>Mix énergétique de la production d’électricité</t>
  </si>
  <si>
    <t>Hydraulique</t>
  </si>
  <si>
    <t>Éolien</t>
  </si>
  <si>
    <t>Bioénergies</t>
  </si>
  <si>
    <t>Gaz réseau</t>
  </si>
  <si>
    <t>Total primaire, export et conso non énergétique incluses</t>
  </si>
  <si>
    <t>Total final hors conso non énergétique</t>
  </si>
  <si>
    <t>Total final  conso non énergétique incluses</t>
  </si>
  <si>
    <t>Produits pétroliers et biocarburants</t>
  </si>
  <si>
    <t>QMtep_losses_losses</t>
  </si>
  <si>
    <t>Produits pétroliers</t>
  </si>
  <si>
    <t>QMtep_losses_2201</t>
  </si>
  <si>
    <t>Biocarburants liquides et gazeux</t>
  </si>
  <si>
    <t>QMtep_losses_2202</t>
  </si>
  <si>
    <t xml:space="preserve">Biocarburants liquides </t>
  </si>
  <si>
    <t>QMtep_losses_2301</t>
  </si>
  <si>
    <t>Biocarburants gazeux</t>
  </si>
  <si>
    <t>QMtep_losses_2302</t>
  </si>
  <si>
    <t>QMtep_losses_2303</t>
  </si>
  <si>
    <t>QMtep_losses_2304</t>
  </si>
  <si>
    <t>QMtep_losses_2305</t>
  </si>
  <si>
    <t>QMtep_losses_2306</t>
  </si>
  <si>
    <t>QMtep_losses_2307</t>
  </si>
  <si>
    <t>Photovoltaïque</t>
  </si>
  <si>
    <t>QMtep_losses_2308</t>
  </si>
  <si>
    <t>QMtep_losses_2401</t>
  </si>
  <si>
    <t>Autres (méthanisation, UIOM, bois, géothermie, énergie fatale)</t>
  </si>
  <si>
    <t>Autres (méthanisation, UIOM, bois, géothermie, énergie fatale, PAC aérothermique)</t>
  </si>
  <si>
    <t>QMtep_losses_2402</t>
  </si>
  <si>
    <t>Gaz et chaleur</t>
  </si>
  <si>
    <t>QMtep_losses_2403</t>
  </si>
  <si>
    <t>Gaz naturel (réseau de gaz et de chaleur)</t>
  </si>
  <si>
    <t>QMtep_losses_2404</t>
  </si>
  <si>
    <t>Bois énergie direct et réseau chaleur</t>
  </si>
  <si>
    <t>QMtep_losses_2405</t>
  </si>
  <si>
    <t>Biogaz, biométhane, BtG et H2 direct et réseau de chaleur</t>
  </si>
  <si>
    <t>QMtep_losses_2406</t>
  </si>
  <si>
    <t>UIOM et déchets directs</t>
  </si>
  <si>
    <t>QMtep_losses_21</t>
  </si>
  <si>
    <t>Géothermie et PAC géothermique</t>
  </si>
  <si>
    <t>Géothermie et  PAC géothermique</t>
  </si>
  <si>
    <t>Bois</t>
  </si>
  <si>
    <t>Autres (solaire thermique, chaleur fatale)</t>
  </si>
  <si>
    <t>Autres (solaire thermique, chaleur fatale, pac AEROTHERMIQUE)</t>
  </si>
  <si>
    <t xml:space="preserve">Géothermie </t>
  </si>
  <si>
    <t>Energie fatale</t>
  </si>
  <si>
    <t>Biométhane</t>
  </si>
  <si>
    <t xml:space="preserve">Production énergétique en pourcentage de la production énergétique primaire de chaque vecteur </t>
  </si>
  <si>
    <t>Production énergétique en pourcentage de la production énergétique finale de chaque vecteur (hors consommation non énergétique)</t>
  </si>
  <si>
    <t>Production énergétique en pourcentage de la production énergétique finale de chaque vecteur ( conso non énergétique incluses)</t>
  </si>
  <si>
    <t>Bois énergie (direct et réseau chaleur)</t>
  </si>
  <si>
    <t>Biogaz, biométhane, BtG direct et réseau de chaleur</t>
  </si>
  <si>
    <t>Autres (solaire thermique, chaleur fatale, PAC aéro)</t>
  </si>
  <si>
    <t>Centrale au fioul</t>
  </si>
  <si>
    <t>Centrale au gaz naturel</t>
  </si>
  <si>
    <t>PAC aérothermiques</t>
  </si>
  <si>
    <t>Centrale au charbon</t>
  </si>
  <si>
    <t>Vérification</t>
  </si>
  <si>
    <t>Conso hors usages énergétiques</t>
  </si>
  <si>
    <t>Matière pour production biocarburants liquides</t>
  </si>
  <si>
    <t>Chaleur fatale - réseau chaleur</t>
  </si>
  <si>
    <t>Chaleur fatale -  élec</t>
  </si>
  <si>
    <t>Total calculé onglet flux</t>
  </si>
  <si>
    <t xml:space="preserve">Primaire </t>
  </si>
  <si>
    <t>Projections France AME AMS 2017</t>
  </si>
  <si>
    <t>Scenario:</t>
  </si>
  <si>
    <t>AME</t>
  </si>
  <si>
    <t>2030-2035</t>
  </si>
  <si>
    <t>sidérurgie</t>
  </si>
  <si>
    <t>aluminium</t>
  </si>
  <si>
    <t>ammoniac</t>
  </si>
  <si>
    <t>pétrochimie base</t>
  </si>
  <si>
    <t>chlore</t>
  </si>
  <si>
    <t>ciment</t>
  </si>
  <si>
    <t>verre</t>
  </si>
  <si>
    <t>sucre</t>
  </si>
  <si>
    <t>papier-pâtes</t>
  </si>
  <si>
    <t>2.6 Indicateurs</t>
  </si>
  <si>
    <t>Voitures</t>
  </si>
  <si>
    <t>Voitures   Gvkm</t>
  </si>
  <si>
    <t>Bilans énergétiques (format SOeS)</t>
  </si>
  <si>
    <t>Bilan 2015</t>
  </si>
  <si>
    <t>Biomasse solide</t>
  </si>
  <si>
    <t>Biogaz</t>
  </si>
  <si>
    <t>Bilans énergétiques - Projections AME</t>
  </si>
  <si>
    <t>Périmètre</t>
  </si>
  <si>
    <t>France Métropolitaine</t>
  </si>
  <si>
    <t>Puits technologiques : provisoirement le CCS énergie seulement, si on ne change pas la comptabilité</t>
  </si>
  <si>
    <t>Unité</t>
  </si>
  <si>
    <t>TWh PCI</t>
  </si>
  <si>
    <t>Biocarburants</t>
  </si>
  <si>
    <t>Gaz renouvelable</t>
  </si>
  <si>
    <t>Chaleur de l'environnement</t>
  </si>
  <si>
    <t>Solaire thermique et géothermie</t>
  </si>
  <si>
    <t>Production d'électricité</t>
  </si>
  <si>
    <t>Production de chaleur</t>
  </si>
  <si>
    <t>Production de gaz renouvelable</t>
  </si>
  <si>
    <t>Production de gaz de synthèse</t>
  </si>
  <si>
    <t>Production de biocarburants</t>
  </si>
  <si>
    <t>Production d'e-fuels</t>
  </si>
  <si>
    <t>Autres transformations, transferts</t>
  </si>
  <si>
    <t>Puits technologiques</t>
  </si>
  <si>
    <t>Bilan 2023</t>
  </si>
  <si>
    <t>Bilan 2028</t>
  </si>
  <si>
    <t>Bilan 2033</t>
  </si>
  <si>
    <t>Bilan 2035</t>
  </si>
  <si>
    <t>Bilan 2038</t>
  </si>
  <si>
    <t>Bilan 2040</t>
  </si>
  <si>
    <t>Bilan 2045</t>
  </si>
  <si>
    <t>Partie 1 : La consommation et la production d’énergies renouvelables en France</t>
  </si>
  <si>
    <t>Les énergies renouvelables en France</t>
  </si>
  <si>
    <t>Production brute d'électricité renouvelable par filière en 2020</t>
  </si>
  <si>
    <t>Total :  126 TWh</t>
  </si>
  <si>
    <t>En %</t>
  </si>
  <si>
    <t>Production brute 2020</t>
  </si>
  <si>
    <t>GWh</t>
  </si>
  <si>
    <t>%</t>
  </si>
  <si>
    <t>Hydraulique renouvelable</t>
  </si>
  <si>
    <t>Hydraulique renouvelable : 49,5 %</t>
  </si>
  <si>
    <t>Éolien : 32,4 %</t>
  </si>
  <si>
    <t>Solaire photovoltaïque</t>
  </si>
  <si>
    <t>Solaire photovoltaïque : 10,8 %</t>
  </si>
  <si>
    <t>Biomasse solide : 2,9 %</t>
  </si>
  <si>
    <t>Déchets renouvelables</t>
  </si>
  <si>
    <t>Déchets renouvelables : 1,7 %</t>
  </si>
  <si>
    <t>Biogaz : 2,2 %</t>
  </si>
  <si>
    <t>Énergie marémotrice</t>
  </si>
  <si>
    <t>Énergie marémotrice : 0,4 %</t>
  </si>
  <si>
    <t>Géothermie électrique</t>
  </si>
  <si>
    <t>Géothermie électrique : 0,1 %</t>
  </si>
  <si>
    <t>Total : 100</t>
  </si>
  <si>
    <t>Total TWh</t>
  </si>
  <si>
    <t>Source : calculs SDES.</t>
  </si>
  <si>
    <t>Evolution de la production brute d'électricité renouvelable par filière</t>
  </si>
  <si>
    <t>En TWh</t>
  </si>
  <si>
    <t>Production brute 2019</t>
  </si>
  <si>
    <t>Champ : jusqu’à l’année 2010 incluse, le périmètre géographique est la France métropolitaine. À partir de 2011, il inclut en outre les cinq DROM.</t>
  </si>
  <si>
    <t>Consommation primaire d'énergies renouvelables pour la production de chaleur, en 2020</t>
  </si>
  <si>
    <t>Total : 173 TWh</t>
  </si>
  <si>
    <t>Données 2020 corrigées variations climatiques</t>
  </si>
  <si>
    <t>Données corrigées des variations climatiques</t>
  </si>
  <si>
    <t>Bois-énergie</t>
  </si>
  <si>
    <t>Bois-énergie : 64,2 %</t>
  </si>
  <si>
    <t>Pompes à chaleur</t>
  </si>
  <si>
    <t>Pompes à chaleur : 21,7 %</t>
  </si>
  <si>
    <t>Déchets renouvelables : 3,2 %</t>
  </si>
  <si>
    <t>Biogaz : 2,6 %</t>
  </si>
  <si>
    <t>Résidus agricoles et agroalimentaires</t>
  </si>
  <si>
    <t>Résidus agricoles et agroalimentaires : 2,5 %</t>
  </si>
  <si>
    <t>Géothermie : 2,4 %</t>
  </si>
  <si>
    <t>Biocarburants et autres bioliquides</t>
  </si>
  <si>
    <t>Biocarburants et autres bioliquides : 2 %</t>
  </si>
  <si>
    <t>Solaire thermique : 1,3 %</t>
  </si>
  <si>
    <t>Bilans énergétiques - Projections AMS</t>
  </si>
  <si>
    <t>Bilan 2019</t>
  </si>
  <si>
    <t>Autres (UIOM, bois, géothermie, énergie fatale)</t>
  </si>
  <si>
    <t>Gaz (naturel + biogaz)</t>
  </si>
  <si>
    <t>Hydrogene</t>
  </si>
  <si>
    <t>Methanisation</t>
  </si>
  <si>
    <t>Autres (UIOM, bois, géothermie, énergie fatale, PAC aérothermique)</t>
  </si>
  <si>
    <t>dont</t>
  </si>
  <si>
    <t xml:space="preserve">Eolien </t>
  </si>
  <si>
    <t>Hydroélectricité &amp; énergie marine</t>
  </si>
  <si>
    <t>Production of natural gas</t>
  </si>
  <si>
    <t>Production and distribution of biogas</t>
  </si>
  <si>
    <t>Nuclear electricity generation</t>
  </si>
  <si>
    <t>Oil-fired electricity generation</t>
  </si>
  <si>
    <t>Gas-fired electricity generation</t>
  </si>
  <si>
    <t>Coal-fired electricity generation</t>
  </si>
  <si>
    <t>Wind electricity generation</t>
  </si>
  <si>
    <t>Solar electricity generation</t>
  </si>
  <si>
    <t>Hydroelectric electricity generation</t>
  </si>
  <si>
    <t>Cogeneration (CHP) electricity generation and other heat supply</t>
  </si>
  <si>
    <t>Electricity - Others</t>
  </si>
  <si>
    <t>soil</t>
  </si>
  <si>
    <t>sbfu</t>
  </si>
  <si>
    <t>sgas</t>
  </si>
  <si>
    <t>sbga</t>
  </si>
  <si>
    <t>senu</t>
  </si>
  <si>
    <t>seoi</t>
  </si>
  <si>
    <t>sega</t>
  </si>
  <si>
    <t>seco</t>
  </si>
  <si>
    <t>sewi</t>
  </si>
  <si>
    <t>seso</t>
  </si>
  <si>
    <t>sehy</t>
  </si>
  <si>
    <t>sech</t>
  </si>
  <si>
    <t>seot</t>
  </si>
  <si>
    <t>smin</t>
  </si>
  <si>
    <t xml:space="preserve">Mining </t>
  </si>
  <si>
    <t>Production of biofuel for heating</t>
  </si>
  <si>
    <t>Production of refined oil for heating</t>
  </si>
  <si>
    <t>Production of biofuel  for transportation</t>
  </si>
  <si>
    <t>Production of refined oil  for transportation</t>
  </si>
  <si>
    <t>Coefficient d'autoconsommation</t>
  </si>
  <si>
    <t>Autoconsommation</t>
  </si>
  <si>
    <t>coefficient de perte de reseaux et de distribution</t>
  </si>
  <si>
    <t>Pertes de reseaux et de distribution</t>
  </si>
  <si>
    <t>Carburants pétroliers</t>
  </si>
  <si>
    <t xml:space="preserve">Fioul  chaleur fossile </t>
  </si>
  <si>
    <t>Biofuel chaleur renouvelable</t>
  </si>
  <si>
    <t>Autres (solaire thermique, pac AEROTHERMIQUE)</t>
  </si>
  <si>
    <t>Biogaz, biométhane, BtG  et réseau de chaleur</t>
  </si>
  <si>
    <t>PHIY_TOE_CELE_SECH</t>
  </si>
  <si>
    <t>PHIY_TOE_CELE_SECO</t>
  </si>
  <si>
    <t>PHIY_TOE_CELE_SEGA</t>
  </si>
  <si>
    <t>PHIY_TOE_CELE_SEHY</t>
  </si>
  <si>
    <t>PHIY_TOE_CELE_SENU</t>
  </si>
  <si>
    <t>PHIY_TOE_CELE_SEOI</t>
  </si>
  <si>
    <t>PHIY_TOE_CELE_SEOT</t>
  </si>
  <si>
    <t>PHIY_TOE_CELE_SESO</t>
  </si>
  <si>
    <t>PHIY_TOE_CGAS_SBGA</t>
  </si>
  <si>
    <t>PHIY_TOE_CGAS_SGAS</t>
  </si>
  <si>
    <t>PHIY_TOE_CGAS_SMIN</t>
  </si>
  <si>
    <t>PHIY_TOE_CFUT_SBFU</t>
  </si>
  <si>
    <t>PHIY_TOE_CFUT_SOIL</t>
  </si>
  <si>
    <t>PHIY_TOE_CFUH_SBFU</t>
  </si>
  <si>
    <t>PHIY_TOE_CFUH_SOIL</t>
  </si>
  <si>
    <t>consommation finale conso non-énergétiques incluses</t>
  </si>
  <si>
    <t>PHIY_TOE_CELE_sewi</t>
  </si>
  <si>
    <t>Autres transformations et transferts</t>
  </si>
  <si>
    <t>ENR thermiques et déchets</t>
  </si>
  <si>
    <t>Eolien &amp; énergie marine</t>
  </si>
  <si>
    <t>Chaleur et vapeur</t>
  </si>
  <si>
    <t>Carburants</t>
  </si>
  <si>
    <t>AUtres (méthanisation, UIOM, bois, géothermie, énergie fatale, PAC aérothermique)</t>
  </si>
  <si>
    <t>AUtres (solaire thermique, chaleur fatale, pac AEROTHERMIQUE)</t>
  </si>
  <si>
    <t>consommation finale conso non-énergétiques incluses en TWh</t>
  </si>
  <si>
    <t>Coefficient de perte</t>
  </si>
  <si>
    <t>Charbon 21</t>
  </si>
  <si>
    <t>PhiY_ENER[ce,se]</t>
  </si>
  <si>
    <t>France Kyoto</t>
  </si>
  <si>
    <t>Carburants synthétiques</t>
  </si>
  <si>
    <t>Gaz synthétique</t>
  </si>
  <si>
    <t>Année</t>
  </si>
  <si>
    <t>Scen</t>
  </si>
  <si>
    <t>Typedata</t>
  </si>
  <si>
    <t>pp</t>
  </si>
  <si>
    <t>imp</t>
  </si>
  <si>
    <t>exp</t>
  </si>
  <si>
    <t>soutmer</t>
  </si>
  <si>
    <t>soutair</t>
  </si>
  <si>
    <t>stockvar</t>
  </si>
  <si>
    <t>cp</t>
  </si>
  <si>
    <t>ecstat</t>
  </si>
  <si>
    <t>elepd</t>
  </si>
  <si>
    <t>chalpd</t>
  </si>
  <si>
    <t>gbipd</t>
  </si>
  <si>
    <t>gsypd</t>
  </si>
  <si>
    <t>raffpd</t>
  </si>
  <si>
    <t>biopd</t>
  </si>
  <si>
    <t>sybiopd</t>
  </si>
  <si>
    <t>h2pd</t>
  </si>
  <si>
    <t>othpd</t>
  </si>
  <si>
    <t>usint</t>
  </si>
  <si>
    <t>pert</t>
  </si>
  <si>
    <t>cn</t>
  </si>
  <si>
    <t>ind_C</t>
  </si>
  <si>
    <t>tra_C</t>
  </si>
  <si>
    <t>res_C</t>
  </si>
  <si>
    <t>ter_C</t>
  </si>
  <si>
    <t>agr_C</t>
  </si>
  <si>
    <t>ptech_C</t>
  </si>
  <si>
    <t>cf_C</t>
  </si>
  <si>
    <t>nen_C</t>
  </si>
  <si>
    <t>cftot_C</t>
  </si>
  <si>
    <t>ligne dans code bilan</t>
  </si>
  <si>
    <t>Géo</t>
  </si>
  <si>
    <t>Bilan 2043</t>
  </si>
  <si>
    <t>Gaz de synthèse</t>
  </si>
  <si>
    <t>Biogaz, biométhane, gaz synthétique et réseau de chaleur</t>
  </si>
  <si>
    <t xml:space="preserve">Fioul chaleur fossile </t>
  </si>
  <si>
    <t>Bilans énergétiques - Kyoto - Projections AME</t>
  </si>
  <si>
    <t>Bilans énergétiques - Kyoto - Projections AMS</t>
  </si>
  <si>
    <t>Kyoto</t>
  </si>
  <si>
    <t>Date de prise en compte</t>
  </si>
  <si>
    <t>consommation finale conso non-énergétiques incluses 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</si>
</sst>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0.00\ _€_-;\-* #,##0.00\ _€_-;_-* &quot;-&quot;??\ _€_-;_-@_-"/>
    <numFmt numFmtId="165" formatCode="0.0"/>
    <numFmt numFmtId="166" formatCode="#,##0.0_ ;\-#,##0.0\ "/>
    <numFmt numFmtId="167" formatCode="0.0%"/>
    <numFmt numFmtId="168" formatCode="dd/mm/yy;@"/>
    <numFmt numFmtId="169" formatCode="0.000000"/>
    <numFmt numFmtId="170" formatCode="#,##0.0"/>
    <numFmt numFmtId="171" formatCode="0.00000"/>
    <numFmt numFmtId="172" formatCode="0.000"/>
    <numFmt numFmtId="173" formatCode="_-* #,##0.00\ _F_-;\-* #,##0.00\ _F_-;_-* &quot;-&quot;??\ _F_-;_-@_-"/>
    <numFmt numFmtId="174" formatCode="0.0000"/>
    <numFmt numFmtId="175" formatCode="#,##0.0000"/>
    <numFmt numFmtId="176" formatCode="0.0000000000000"/>
    <numFmt numFmtId="177" formatCode="_-* #,##0.00\ _F_-;\-* #,##0.00\ _F_-;_-* \-??\ _F_-;_-@_-"/>
    <numFmt numFmtId="178" formatCode="0.000000000"/>
    <numFmt numFmtId="179" formatCode="#,##0.00000"/>
    <numFmt numFmtId="180" formatCode="0.000000000000"/>
    <numFmt numFmtId="181" formatCode="#,##0.000"/>
    <numFmt numFmtId="182" formatCode="dd/mm/yy"/>
  </numFmts>
  <fonts count="115">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Calibri"/>
      <family val="2"/>
      <scheme val="minor"/>
    </font>
    <font>
      <b/>
      <sz val="10"/>
      <name val="Calibri"/>
      <family val="2"/>
      <scheme val="minor"/>
    </font>
    <font>
      <b/>
      <sz val="11"/>
      <name val="Calibri"/>
      <family val="2"/>
      <scheme val="minor"/>
    </font>
    <font>
      <i/>
      <sz val="10"/>
      <color rgb="FFFF0000"/>
      <name val="Calibri"/>
      <family val="2"/>
      <scheme val="minor"/>
    </font>
    <font>
      <sz val="10"/>
      <color theme="0" tint="-0.249977111117893"/>
      <name val="Calibri"/>
      <family val="2"/>
      <scheme val="minor"/>
    </font>
    <font>
      <i/>
      <sz val="10"/>
      <color theme="0" tint="-0.249977111117893"/>
      <name val="Calibri"/>
      <family val="2"/>
      <scheme val="minor"/>
    </font>
    <font>
      <i/>
      <sz val="10"/>
      <color theme="0" tint="-0.34998626667073579"/>
      <name val="Calibri"/>
      <family val="2"/>
      <scheme val="minor"/>
    </font>
    <font>
      <sz val="10"/>
      <color rgb="FF00B050"/>
      <name val="Calibri"/>
      <family val="2"/>
      <scheme val="minor"/>
    </font>
    <font>
      <b/>
      <sz val="9"/>
      <color indexed="81"/>
      <name val="Tahoma"/>
      <family val="2"/>
    </font>
    <font>
      <sz val="9"/>
      <color indexed="81"/>
      <name val="Tahoma"/>
      <family val="2"/>
    </font>
    <font>
      <sz val="10"/>
      <name val="Times New Roman"/>
      <family val="1"/>
    </font>
    <font>
      <b/>
      <sz val="22"/>
      <color theme="0"/>
      <name val="Calibri"/>
      <family val="2"/>
      <scheme val="minor"/>
    </font>
    <font>
      <i/>
      <sz val="10"/>
      <color theme="0"/>
      <name val="Calibri"/>
      <family val="2"/>
      <scheme val="minor"/>
    </font>
    <font>
      <b/>
      <sz val="14"/>
      <color theme="0"/>
      <name val="Calibri"/>
      <family val="2"/>
      <scheme val="minor"/>
    </font>
    <font>
      <b/>
      <sz val="16"/>
      <color theme="0"/>
      <name val="Calibri"/>
      <family val="2"/>
      <scheme val="minor"/>
    </font>
    <font>
      <b/>
      <sz val="12"/>
      <name val="Calibri"/>
      <family val="2"/>
      <scheme val="minor"/>
    </font>
    <font>
      <i/>
      <sz val="10"/>
      <name val="Calibri"/>
      <family val="2"/>
      <scheme val="minor"/>
    </font>
    <font>
      <b/>
      <sz val="12"/>
      <color theme="1"/>
      <name val="Calibri"/>
      <family val="2"/>
      <scheme val="minor"/>
    </font>
    <font>
      <sz val="12"/>
      <color theme="1"/>
      <name val="Calibri"/>
      <family val="2"/>
      <scheme val="minor"/>
    </font>
    <font>
      <i/>
      <sz val="11"/>
      <color theme="1"/>
      <name val="Calibri"/>
      <family val="2"/>
      <scheme val="minor"/>
    </font>
    <font>
      <sz val="10"/>
      <color rgb="FFFF0000"/>
      <name val="Calibri"/>
      <family val="2"/>
      <scheme val="minor"/>
    </font>
    <font>
      <b/>
      <sz val="20"/>
      <name val="Calibri"/>
      <family val="2"/>
      <scheme val="minor"/>
    </font>
    <font>
      <b/>
      <sz val="16"/>
      <name val="Calibri"/>
      <family val="2"/>
      <scheme val="minor"/>
    </font>
    <font>
      <i/>
      <sz val="16"/>
      <name val="Calibri"/>
      <family val="2"/>
      <scheme val="minor"/>
    </font>
    <font>
      <sz val="10"/>
      <color theme="1"/>
      <name val="Calibri"/>
      <family val="2"/>
      <scheme val="minor"/>
    </font>
    <font>
      <i/>
      <sz val="8"/>
      <name val="Calibri"/>
      <family val="2"/>
      <scheme val="minor"/>
    </font>
    <font>
      <sz val="8"/>
      <color theme="1"/>
      <name val="Calibri"/>
      <family val="2"/>
      <scheme val="minor"/>
    </font>
    <font>
      <i/>
      <sz val="9"/>
      <name val="Calibri"/>
      <family val="2"/>
      <scheme val="minor"/>
    </font>
    <font>
      <sz val="8"/>
      <name val="Calibri"/>
      <family val="2"/>
      <scheme val="minor"/>
    </font>
    <font>
      <sz val="10"/>
      <color theme="0"/>
      <name val="Calibri"/>
      <family val="2"/>
      <scheme val="minor"/>
    </font>
    <font>
      <sz val="12"/>
      <name val="Calibri"/>
      <family val="2"/>
      <scheme val="minor"/>
    </font>
    <font>
      <b/>
      <sz val="16"/>
      <color theme="1"/>
      <name val="Calibri"/>
      <family val="2"/>
      <scheme val="minor"/>
    </font>
    <font>
      <sz val="11"/>
      <color theme="1"/>
      <name val="Liberation Sans"/>
    </font>
    <font>
      <b/>
      <sz val="10"/>
      <name val="Arial"/>
      <family val="2"/>
    </font>
    <font>
      <sz val="9"/>
      <name val="Calibri"/>
      <family val="2"/>
      <scheme val="minor"/>
    </font>
    <font>
      <i/>
      <sz val="9"/>
      <color theme="0" tint="-0.34998626667073579"/>
      <name val="Calibri"/>
      <family val="2"/>
      <scheme val="minor"/>
    </font>
    <font>
      <i/>
      <sz val="11"/>
      <color rgb="FF7F7F7F"/>
      <name val="Calibri"/>
      <family val="2"/>
      <scheme val="minor"/>
    </font>
    <font>
      <b/>
      <sz val="22"/>
      <color rgb="FFFFFFFF"/>
      <name val="Calibri"/>
      <family val="2"/>
      <charset val="1"/>
    </font>
    <font>
      <i/>
      <sz val="10"/>
      <color rgb="FFFFFFFF"/>
      <name val="Calibri"/>
      <family val="2"/>
      <charset val="1"/>
    </font>
    <font>
      <b/>
      <sz val="14"/>
      <color rgb="FFFFFFFF"/>
      <name val="Calibri"/>
      <family val="2"/>
      <charset val="1"/>
    </font>
    <font>
      <b/>
      <sz val="20"/>
      <name val="Calibri"/>
      <family val="2"/>
      <charset val="1"/>
    </font>
    <font>
      <b/>
      <sz val="16"/>
      <name val="Calibri"/>
      <family val="2"/>
      <charset val="1"/>
    </font>
    <font>
      <i/>
      <sz val="16"/>
      <name val="Calibri"/>
      <family val="2"/>
      <charset val="1"/>
    </font>
    <font>
      <sz val="10"/>
      <name val="Calibri"/>
      <family val="2"/>
      <charset val="1"/>
    </font>
    <font>
      <b/>
      <sz val="16"/>
      <color rgb="FFFFFFFF"/>
      <name val="Calibri"/>
      <family val="2"/>
      <charset val="1"/>
    </font>
    <font>
      <b/>
      <sz val="12"/>
      <name val="Calibri"/>
      <family val="2"/>
      <charset val="1"/>
    </font>
    <font>
      <i/>
      <sz val="10"/>
      <name val="Calibri"/>
      <family val="2"/>
      <charset val="1"/>
    </font>
    <font>
      <b/>
      <sz val="10"/>
      <name val="Calibri"/>
      <family val="2"/>
      <charset val="1"/>
    </font>
    <font>
      <sz val="10"/>
      <color rgb="FF000000"/>
      <name val="Calibri"/>
      <family val="2"/>
      <charset val="1"/>
    </font>
    <font>
      <i/>
      <sz val="8"/>
      <name val="Calibri"/>
      <family val="2"/>
      <charset val="1"/>
    </font>
    <font>
      <sz val="8"/>
      <color rgb="FF000000"/>
      <name val="Calibri"/>
      <family val="2"/>
      <charset val="1"/>
    </font>
    <font>
      <i/>
      <sz val="8"/>
      <color rgb="FF000000"/>
      <name val="Calibri"/>
      <family val="2"/>
      <charset val="1"/>
    </font>
    <font>
      <i/>
      <sz val="9"/>
      <name val="Calibri"/>
      <family val="2"/>
      <charset val="1"/>
    </font>
    <font>
      <sz val="8"/>
      <name val="Calibri"/>
      <family val="2"/>
      <charset val="1"/>
    </font>
    <font>
      <sz val="10"/>
      <color rgb="FFFFFFFF"/>
      <name val="Calibri"/>
      <family val="2"/>
      <charset val="1"/>
    </font>
    <font>
      <sz val="10"/>
      <color rgb="FFFF33CC"/>
      <name val="Calibri"/>
      <family val="2"/>
      <charset val="1"/>
    </font>
    <font>
      <sz val="12"/>
      <name val="Calibri"/>
      <family val="2"/>
      <charset val="1"/>
    </font>
    <font>
      <sz val="10"/>
      <name val="Times New Roman"/>
      <family val="1"/>
      <charset val="1"/>
    </font>
    <font>
      <b/>
      <sz val="12"/>
      <color rgb="FFFF0000"/>
      <name val="Calibri"/>
      <family val="2"/>
      <charset val="1"/>
    </font>
    <font>
      <b/>
      <sz val="11"/>
      <color rgb="FF000000"/>
      <name val="Calibri"/>
      <family val="2"/>
      <charset val="1"/>
    </font>
    <font>
      <b/>
      <sz val="12"/>
      <color rgb="FF000000"/>
      <name val="Calibri"/>
      <family val="2"/>
      <charset val="1"/>
    </font>
    <font>
      <sz val="11"/>
      <name val="Calibri"/>
      <family val="2"/>
      <charset val="1"/>
    </font>
    <font>
      <sz val="12"/>
      <color rgb="FF000000"/>
      <name val="Calibri"/>
      <family val="2"/>
      <charset val="1"/>
    </font>
    <font>
      <i/>
      <sz val="11"/>
      <color rgb="FF000000"/>
      <name val="Calibri"/>
      <family val="2"/>
      <charset val="1"/>
    </font>
    <font>
      <i/>
      <sz val="8"/>
      <color rgb="FFFF0000"/>
      <name val="Calibri"/>
      <family val="2"/>
      <scheme val="minor"/>
    </font>
    <font>
      <b/>
      <sz val="10"/>
      <color rgb="FFFF0000"/>
      <name val="Calibri"/>
      <family val="2"/>
      <scheme val="minor"/>
    </font>
    <font>
      <sz val="11"/>
      <color rgb="FF00B050"/>
      <name val="Calibri"/>
      <family val="2"/>
      <scheme val="minor"/>
    </font>
    <font>
      <sz val="10"/>
      <color theme="1"/>
      <name val="Arial"/>
      <family val="2"/>
    </font>
    <font>
      <sz val="11"/>
      <color indexed="65"/>
      <name val="Verdana"/>
      <family val="2"/>
    </font>
    <font>
      <b/>
      <sz val="14"/>
      <color indexed="65"/>
      <name val="Verdana"/>
      <family val="2"/>
    </font>
    <font>
      <b/>
      <sz val="12"/>
      <color indexed="64"/>
      <name val="Verdana"/>
      <family val="2"/>
    </font>
    <font>
      <sz val="12"/>
      <color indexed="64"/>
      <name val="Verdana"/>
      <family val="2"/>
    </font>
    <font>
      <sz val="12"/>
      <color indexed="2"/>
      <name val="Verdana"/>
      <family val="2"/>
    </font>
    <font>
      <b/>
      <sz val="11"/>
      <color indexed="65"/>
      <name val="Verdana"/>
      <family val="2"/>
    </font>
    <font>
      <b/>
      <sz val="10"/>
      <name val="Verdana"/>
      <family val="2"/>
    </font>
    <font>
      <b/>
      <sz val="10"/>
      <color indexed="64"/>
      <name val="Verdana"/>
      <family val="2"/>
    </font>
    <font>
      <b/>
      <sz val="9"/>
      <color indexed="64"/>
      <name val="Verdana"/>
      <family val="2"/>
    </font>
    <font>
      <sz val="10"/>
      <color indexed="64"/>
      <name val="Verdana"/>
      <family val="2"/>
    </font>
    <font>
      <sz val="10"/>
      <name val="Verdana"/>
      <family val="2"/>
    </font>
    <font>
      <sz val="11"/>
      <color indexed="8"/>
      <name val="Calibri"/>
      <family val="2"/>
    </font>
    <font>
      <sz val="10"/>
      <color indexed="8"/>
      <name val="Arial"/>
      <family val="2"/>
    </font>
    <font>
      <sz val="15"/>
      <name val="Arial"/>
      <family val="2"/>
    </font>
    <font>
      <b/>
      <sz val="11"/>
      <name val="Arial"/>
      <family val="2"/>
    </font>
    <font>
      <sz val="11"/>
      <name val="Arial"/>
      <family val="2"/>
    </font>
    <font>
      <i/>
      <sz val="10"/>
      <name val="Arial"/>
      <family val="2"/>
    </font>
    <font>
      <b/>
      <sz val="10"/>
      <color indexed="8"/>
      <name val="Arial"/>
      <family val="2"/>
    </font>
    <font>
      <i/>
      <sz val="10"/>
      <color indexed="8"/>
      <name val="Arial"/>
      <family val="2"/>
    </font>
    <font>
      <sz val="7.5"/>
      <name val="Arial"/>
      <family val="2"/>
    </font>
    <font>
      <b/>
      <sz val="10"/>
      <color indexed="10"/>
      <name val="Arial"/>
      <family val="2"/>
    </font>
    <font>
      <b/>
      <sz val="11"/>
      <color indexed="8"/>
      <name val="Arial"/>
      <family val="2"/>
    </font>
    <font>
      <sz val="11"/>
      <color indexed="8"/>
      <name val="Arial"/>
      <family val="2"/>
    </font>
    <font>
      <sz val="11"/>
      <name val="Calibri"/>
      <family val="2"/>
      <scheme val="minor"/>
    </font>
    <font>
      <sz val="9"/>
      <color rgb="FFFF0000"/>
      <name val="Calibri"/>
      <family val="2"/>
      <scheme val="minor"/>
    </font>
    <font>
      <b/>
      <sz val="9"/>
      <name val="Calibri"/>
      <family val="2"/>
      <scheme val="minor"/>
    </font>
    <font>
      <i/>
      <sz val="8"/>
      <color theme="0" tint="-0.34998626667073579"/>
      <name val="Calibri"/>
      <family val="2"/>
      <scheme val="minor"/>
    </font>
    <font>
      <i/>
      <sz val="11"/>
      <color theme="0" tint="-0.34998626667073579"/>
      <name val="Calibri"/>
      <family val="2"/>
      <scheme val="minor"/>
    </font>
    <font>
      <i/>
      <sz val="11"/>
      <color theme="0" tint="-0.499984740745262"/>
      <name val="Calibri"/>
      <family val="2"/>
      <scheme val="minor"/>
    </font>
    <font>
      <b/>
      <sz val="11"/>
      <color theme="0"/>
      <name val="Calibri"/>
      <family val="2"/>
      <scheme val="minor"/>
    </font>
    <font>
      <sz val="11"/>
      <color theme="0"/>
      <name val="Calibri"/>
      <family val="2"/>
      <scheme val="minor"/>
    </font>
    <font>
      <sz val="12"/>
      <color rgb="FF303030"/>
      <name val="Roboto"/>
    </font>
    <font>
      <sz val="12"/>
      <color rgb="FFFF0000"/>
      <name val="Calibri"/>
      <family val="2"/>
      <scheme val="minor"/>
    </font>
    <font>
      <b/>
      <sz val="10"/>
      <color theme="1"/>
      <name val="Calibri"/>
      <family val="2"/>
      <scheme val="minor"/>
    </font>
    <font>
      <b/>
      <sz val="9"/>
      <color theme="1"/>
      <name val="Calibri"/>
      <family val="2"/>
      <scheme val="minor"/>
    </font>
    <font>
      <b/>
      <sz val="28"/>
      <name val="Times New Roman"/>
      <family val="1"/>
    </font>
    <font>
      <sz val="14"/>
      <name val="Times New Roman"/>
      <family val="1"/>
    </font>
    <font>
      <b/>
      <sz val="18"/>
      <name val="Times New Roman"/>
      <family val="1"/>
    </font>
    <font>
      <b/>
      <sz val="10"/>
      <name val="Verdana"/>
      <family val="2"/>
      <charset val="1"/>
    </font>
    <font>
      <b/>
      <sz val="10"/>
      <color rgb="FF000000"/>
      <name val="Verdana"/>
      <family val="2"/>
      <charset val="1"/>
    </font>
    <font>
      <b/>
      <sz val="9"/>
      <color rgb="FF000000"/>
      <name val="Verdana"/>
      <family val="2"/>
      <charset val="1"/>
    </font>
    <font>
      <sz val="10"/>
      <color rgb="FF000000"/>
      <name val="Verdana"/>
      <family val="2"/>
      <charset val="1"/>
    </font>
    <font>
      <sz val="10"/>
      <name val="Verdana"/>
      <family val="2"/>
      <charset val="1"/>
    </font>
  </fonts>
  <fills count="34">
    <fill>
      <patternFill patternType="none"/>
    </fill>
    <fill>
      <patternFill patternType="gray125"/>
    </fill>
    <fill>
      <patternFill patternType="solid">
        <fgColor rgb="FF92D050"/>
        <bgColor indexed="64"/>
      </patternFill>
    </fill>
    <fill>
      <patternFill patternType="solid">
        <fgColor theme="6"/>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0"/>
        <bgColor indexed="64"/>
      </patternFill>
    </fill>
    <fill>
      <patternFill patternType="solid">
        <fgColor theme="8" tint="0.39997558519241921"/>
        <bgColor indexed="64"/>
      </patternFill>
    </fill>
    <fill>
      <patternFill patternType="solid">
        <fgColor theme="9"/>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rgb="FF31859C"/>
        <bgColor rgb="FF008080"/>
      </patternFill>
    </fill>
    <fill>
      <patternFill patternType="solid">
        <fgColor rgb="FFFFFFFF"/>
        <bgColor rgb="FFFFFFCC"/>
      </patternFill>
    </fill>
    <fill>
      <patternFill patternType="solid">
        <fgColor rgb="FF93CDDD"/>
        <bgColor rgb="FFB9CDE5"/>
      </patternFill>
    </fill>
    <fill>
      <patternFill patternType="solid">
        <fgColor rgb="FFF79646"/>
        <bgColor rgb="FFFF8080"/>
      </patternFill>
    </fill>
    <fill>
      <patternFill patternType="solid">
        <fgColor rgb="FFB9CDE5"/>
        <bgColor rgb="FFBFBFBF"/>
      </patternFill>
    </fill>
    <fill>
      <patternFill patternType="solid">
        <fgColor rgb="FFFFFF00"/>
        <bgColor rgb="FFFFFFCC"/>
      </patternFill>
    </fill>
    <fill>
      <patternFill patternType="solid">
        <fgColor rgb="FF1E8F5D"/>
        <bgColor indexed="21"/>
      </patternFill>
    </fill>
    <fill>
      <patternFill patternType="solid">
        <fgColor indexed="65"/>
        <bgColor indexed="26"/>
      </patternFill>
    </fill>
    <fill>
      <patternFill patternType="solid">
        <fgColor indexed="5"/>
        <bgColor indexed="5"/>
      </patternFill>
    </fill>
    <fill>
      <patternFill patternType="solid">
        <fgColor rgb="FF14A2D2"/>
        <bgColor indexed="40"/>
      </patternFill>
    </fill>
    <fill>
      <patternFill patternType="solid">
        <fgColor rgb="FF7ADDF6"/>
        <bgColor indexed="22"/>
      </patternFill>
    </fill>
    <fill>
      <patternFill patternType="solid">
        <fgColor theme="9" tint="0.59999389629810485"/>
        <bgColor indexed="26"/>
      </patternFill>
    </fill>
    <fill>
      <patternFill patternType="solid">
        <fgColor indexed="9"/>
        <bgColor indexed="26"/>
      </patternFill>
    </fill>
    <fill>
      <patternFill patternType="solid">
        <fgColor theme="9" tint="0.59999389629810485"/>
        <bgColor indexed="22"/>
      </patternFill>
    </fill>
    <fill>
      <patternFill patternType="solid">
        <fgColor theme="9" tint="0.39997558519241921"/>
        <bgColor indexed="64"/>
      </patternFill>
    </fill>
    <fill>
      <patternFill patternType="solid">
        <fgColor theme="9" tint="0.39997558519241921"/>
        <bgColor indexed="26"/>
      </patternFill>
    </fill>
    <fill>
      <patternFill patternType="solid">
        <fgColor theme="8"/>
        <bgColor indexed="64"/>
      </patternFill>
    </fill>
    <fill>
      <patternFill patternType="solid">
        <fgColor rgb="FFFFFF00"/>
        <bgColor indexed="26"/>
      </patternFill>
    </fill>
    <fill>
      <patternFill patternType="solid">
        <fgColor theme="0" tint="-4.9989318521683403E-2"/>
        <bgColor indexed="64"/>
      </patternFill>
    </fill>
    <fill>
      <patternFill patternType="solid">
        <fgColor rgb="FF7ADDF6"/>
        <bgColor rgb="FFC0C0C0"/>
      </patternFill>
    </fill>
  </fills>
  <borders count="40">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style="thin">
        <color indexed="9"/>
      </left>
      <right style="thin">
        <color indexed="9"/>
      </right>
      <top style="thin">
        <color indexed="9"/>
      </top>
      <bottom/>
      <diagonal/>
    </border>
    <border>
      <left style="thin">
        <color indexed="9"/>
      </left>
      <right style="thin">
        <color indexed="9"/>
      </right>
      <top/>
      <bottom style="thin">
        <color indexed="9"/>
      </bottom>
      <diagonal/>
    </border>
    <border>
      <left style="thin">
        <color theme="1"/>
      </left>
      <right style="thin">
        <color theme="1"/>
      </right>
      <top style="thin">
        <color theme="1"/>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16">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0" fontId="14" fillId="0" borderId="0"/>
    <xf numFmtId="9" fontId="14" fillId="0" borderId="0" applyFont="0" applyFill="0" applyBorder="0" applyAlignment="0" applyProtection="0"/>
    <xf numFmtId="173" fontId="14" fillId="0" borderId="0" applyFont="0" applyFill="0" applyBorder="0" applyAlignment="0" applyProtection="0"/>
    <xf numFmtId="0" fontId="14" fillId="0" borderId="0"/>
    <xf numFmtId="0" fontId="36" fillId="0" borderId="0"/>
    <xf numFmtId="0" fontId="40" fillId="0" borderId="0" applyNumberFormat="0" applyFill="0" applyBorder="0" applyAlignment="0" applyProtection="0"/>
    <xf numFmtId="0" fontId="71" fillId="0" borderId="0"/>
    <xf numFmtId="0" fontId="83" fillId="0" borderId="0"/>
    <xf numFmtId="0" fontId="3" fillId="0" borderId="0"/>
    <xf numFmtId="9" fontId="3" fillId="0" borderId="0" applyFill="0" applyBorder="0" applyAlignment="0" applyProtection="0"/>
  </cellStyleXfs>
  <cellXfs count="728">
    <xf numFmtId="0" fontId="0" fillId="0" borderId="0" xfId="0"/>
    <xf numFmtId="0" fontId="4" fillId="0" borderId="0" xfId="3" applyFont="1"/>
    <xf numFmtId="0" fontId="5" fillId="0" borderId="0" xfId="0" applyFont="1" applyAlignment="1">
      <alignment horizontal="center" vertical="center"/>
    </xf>
    <xf numFmtId="0" fontId="5" fillId="2" borderId="0" xfId="3" applyFont="1" applyFill="1"/>
    <xf numFmtId="0" fontId="4" fillId="0" borderId="0" xfId="3" applyFont="1" applyAlignment="1">
      <alignment horizontal="center" vertical="center" wrapText="1"/>
    </xf>
    <xf numFmtId="0" fontId="4" fillId="2" borderId="0" xfId="0" applyFont="1" applyFill="1" applyAlignment="1">
      <alignment horizontal="center" vertical="center" wrapText="1"/>
    </xf>
    <xf numFmtId="2" fontId="2" fillId="2" borderId="1" xfId="3" applyNumberFormat="1" applyFont="1" applyFill="1" applyBorder="1" applyAlignment="1">
      <alignment horizontal="center" vertical="center" wrapText="1"/>
    </xf>
    <xf numFmtId="2" fontId="4" fillId="2" borderId="0" xfId="0" applyNumberFormat="1" applyFont="1" applyFill="1" applyAlignment="1">
      <alignment horizontal="center" vertical="center" wrapText="1"/>
    </xf>
    <xf numFmtId="0" fontId="5" fillId="2" borderId="0" xfId="0" applyFont="1" applyFill="1" applyAlignment="1">
      <alignment horizontal="center" vertical="center" wrapText="1"/>
    </xf>
    <xf numFmtId="0" fontId="2" fillId="3" borderId="0" xfId="3" applyFont="1" applyFill="1"/>
    <xf numFmtId="0" fontId="4" fillId="2" borderId="0" xfId="0" applyFont="1" applyFill="1"/>
    <xf numFmtId="0" fontId="5" fillId="2" borderId="0" xfId="0" applyFont="1" applyFill="1"/>
    <xf numFmtId="0" fontId="2" fillId="2" borderId="1" xfId="3" applyFont="1" applyFill="1" applyBorder="1" applyAlignment="1">
      <alignment horizontal="center" vertical="center" wrapText="1"/>
    </xf>
    <xf numFmtId="0" fontId="1" fillId="2" borderId="0" xfId="3" applyFont="1" applyFill="1" applyAlignment="1">
      <alignment horizontal="center" vertical="center" wrapText="1"/>
    </xf>
    <xf numFmtId="0" fontId="2" fillId="0" borderId="1" xfId="3" applyFont="1" applyBorder="1"/>
    <xf numFmtId="0" fontId="2" fillId="0" borderId="3" xfId="3" applyFont="1" applyBorder="1"/>
    <xf numFmtId="0" fontId="2" fillId="0" borderId="2" xfId="3" applyFont="1" applyBorder="1"/>
    <xf numFmtId="165" fontId="4" fillId="0" borderId="0" xfId="3" applyNumberFormat="1" applyFont="1"/>
    <xf numFmtId="0" fontId="5" fillId="0" borderId="0" xfId="3" applyFont="1" applyAlignment="1">
      <alignment horizontal="right"/>
    </xf>
    <xf numFmtId="165" fontId="5" fillId="0" borderId="0" xfId="3" applyNumberFormat="1" applyFont="1" applyAlignment="1">
      <alignment horizontal="right"/>
    </xf>
    <xf numFmtId="0" fontId="5" fillId="0" borderId="1" xfId="3" applyFont="1" applyBorder="1" applyAlignment="1">
      <alignment horizontal="right"/>
    </xf>
    <xf numFmtId="0" fontId="4" fillId="0" borderId="0" xfId="0" applyFont="1"/>
    <xf numFmtId="165" fontId="2" fillId="0" borderId="0" xfId="3" applyNumberFormat="1" applyFont="1" applyAlignment="1">
      <alignment horizontal="center"/>
    </xf>
    <xf numFmtId="165" fontId="2" fillId="0" borderId="1" xfId="3" applyNumberFormat="1" applyFont="1" applyBorder="1" applyAlignment="1">
      <alignment horizontal="center"/>
    </xf>
    <xf numFmtId="165" fontId="6" fillId="0" borderId="2" xfId="3" applyNumberFormat="1" applyFont="1" applyBorder="1"/>
    <xf numFmtId="165" fontId="7" fillId="0" borderId="0" xfId="3" applyNumberFormat="1" applyFont="1"/>
    <xf numFmtId="0" fontId="8" fillId="0" borderId="0" xfId="3" applyFont="1"/>
    <xf numFmtId="165" fontId="9" fillId="0" borderId="0" xfId="3" applyNumberFormat="1" applyFont="1"/>
    <xf numFmtId="165" fontId="4" fillId="0" borderId="1" xfId="3" applyNumberFormat="1" applyFont="1" applyBorder="1"/>
    <xf numFmtId="165" fontId="4" fillId="4" borderId="3" xfId="3" applyNumberFormat="1" applyFont="1" applyFill="1" applyBorder="1" applyAlignment="1">
      <alignment horizontal="center" vertical="center"/>
    </xf>
    <xf numFmtId="2" fontId="4" fillId="0" borderId="0" xfId="0" applyNumberFormat="1" applyFont="1"/>
    <xf numFmtId="1" fontId="4" fillId="0" borderId="0" xfId="3" applyNumberFormat="1" applyFont="1"/>
    <xf numFmtId="165" fontId="4" fillId="5" borderId="3" xfId="3" applyNumberFormat="1" applyFont="1" applyFill="1" applyBorder="1" applyAlignment="1">
      <alignment horizontal="center" vertical="center"/>
    </xf>
    <xf numFmtId="165" fontId="4" fillId="0" borderId="0" xfId="0" applyNumberFormat="1" applyFont="1"/>
    <xf numFmtId="165" fontId="5" fillId="0" borderId="0" xfId="3" applyNumberFormat="1" applyFont="1"/>
    <xf numFmtId="0" fontId="4" fillId="0" borderId="0" xfId="0" applyFont="1" applyAlignment="1">
      <alignment horizontal="center" vertical="center"/>
    </xf>
    <xf numFmtId="165" fontId="4" fillId="7" borderId="3" xfId="0" applyNumberFormat="1" applyFont="1" applyFill="1" applyBorder="1" applyAlignment="1">
      <alignment horizontal="center" vertical="center"/>
    </xf>
    <xf numFmtId="165" fontId="4" fillId="0" borderId="0" xfId="0" applyNumberFormat="1" applyFont="1" applyAlignment="1">
      <alignment horizontal="center" vertical="center"/>
    </xf>
    <xf numFmtId="2" fontId="4" fillId="0" borderId="0" xfId="0" applyNumberFormat="1" applyFont="1" applyAlignment="1">
      <alignment horizontal="center" vertical="center"/>
    </xf>
    <xf numFmtId="165" fontId="11" fillId="0" borderId="0" xfId="3" applyNumberFormat="1" applyFont="1"/>
    <xf numFmtId="2" fontId="10" fillId="0" borderId="0" xfId="3" applyNumberFormat="1" applyFont="1"/>
    <xf numFmtId="1" fontId="8" fillId="0" borderId="0" xfId="3" applyNumberFormat="1" applyFont="1"/>
    <xf numFmtId="165" fontId="5" fillId="0" borderId="0" xfId="3" applyNumberFormat="1" applyFont="1" applyAlignment="1">
      <alignment horizontal="right" vertical="center"/>
    </xf>
    <xf numFmtId="0" fontId="5" fillId="0" borderId="0" xfId="3" quotePrefix="1" applyFont="1"/>
    <xf numFmtId="2" fontId="5" fillId="0" borderId="0" xfId="3" applyNumberFormat="1" applyFont="1"/>
    <xf numFmtId="2" fontId="4" fillId="0" borderId="0" xfId="3" applyNumberFormat="1" applyFont="1"/>
    <xf numFmtId="0" fontId="15" fillId="8" borderId="0" xfId="6" applyFont="1" applyFill="1" applyAlignment="1">
      <alignment horizontal="left"/>
    </xf>
    <xf numFmtId="0" fontId="16" fillId="8" borderId="0" xfId="6" applyFont="1" applyFill="1" applyAlignment="1">
      <alignment horizontal="center"/>
    </xf>
    <xf numFmtId="0" fontId="17" fillId="8" borderId="0" xfId="6" applyFont="1" applyFill="1" applyAlignment="1">
      <alignment horizontal="right"/>
    </xf>
    <xf numFmtId="0" fontId="17" fillId="8" borderId="0" xfId="6" applyFont="1" applyFill="1" applyAlignment="1">
      <alignment horizontal="left"/>
    </xf>
    <xf numFmtId="168" fontId="17" fillId="8" borderId="0" xfId="6" applyNumberFormat="1" applyFont="1" applyFill="1" applyAlignment="1">
      <alignment horizontal="left"/>
    </xf>
    <xf numFmtId="0" fontId="0" fillId="9" borderId="0" xfId="0" applyFill="1"/>
    <xf numFmtId="0" fontId="18" fillId="8" borderId="0" xfId="6" applyFont="1" applyFill="1"/>
    <xf numFmtId="0" fontId="4" fillId="10" borderId="0" xfId="6" applyFont="1" applyFill="1" applyAlignment="1">
      <alignment horizontal="center"/>
    </xf>
    <xf numFmtId="0" fontId="20" fillId="10" borderId="0" xfId="6" applyFont="1" applyFill="1" applyAlignment="1">
      <alignment horizontal="center"/>
    </xf>
    <xf numFmtId="169" fontId="0" fillId="9" borderId="0" xfId="0" applyNumberFormat="1" applyFill="1"/>
    <xf numFmtId="0" fontId="19" fillId="0" borderId="6" xfId="0" applyFont="1" applyBorder="1" applyAlignment="1">
      <alignment horizontal="center" vertical="center" wrapText="1"/>
    </xf>
    <xf numFmtId="0" fontId="21" fillId="0" borderId="7" xfId="0" applyFont="1" applyBorder="1" applyAlignment="1">
      <alignment horizontal="left" vertical="center"/>
    </xf>
    <xf numFmtId="170" fontId="0" fillId="0" borderId="6" xfId="0" applyNumberFormat="1" applyBorder="1"/>
    <xf numFmtId="0" fontId="19" fillId="10" borderId="0" xfId="6" applyFont="1" applyFill="1"/>
    <xf numFmtId="0" fontId="21" fillId="0" borderId="8" xfId="0" applyFont="1" applyBorder="1" applyAlignment="1">
      <alignment horizontal="left" vertical="center"/>
    </xf>
    <xf numFmtId="4" fontId="2" fillId="0" borderId="8" xfId="0" applyNumberFormat="1" applyFont="1" applyBorder="1"/>
    <xf numFmtId="165" fontId="0" fillId="9" borderId="6" xfId="0" applyNumberFormat="1" applyFill="1" applyBorder="1" applyAlignment="1">
      <alignment horizontal="right"/>
    </xf>
    <xf numFmtId="165" fontId="0" fillId="0" borderId="6" xfId="0" applyNumberFormat="1" applyBorder="1" applyAlignment="1">
      <alignment horizontal="right"/>
    </xf>
    <xf numFmtId="2" fontId="0" fillId="9" borderId="0" xfId="0" applyNumberFormat="1" applyFill="1"/>
    <xf numFmtId="165" fontId="2" fillId="6" borderId="6" xfId="0" applyNumberFormat="1" applyFont="1" applyFill="1" applyBorder="1" applyAlignment="1">
      <alignment horizontal="right"/>
    </xf>
    <xf numFmtId="165" fontId="2" fillId="0" borderId="7" xfId="0" applyNumberFormat="1" applyFont="1" applyBorder="1" applyAlignment="1">
      <alignment horizontal="right"/>
    </xf>
    <xf numFmtId="165" fontId="0" fillId="9" borderId="0" xfId="0" applyNumberFormat="1" applyFill="1"/>
    <xf numFmtId="165" fontId="2" fillId="9" borderId="6" xfId="0" applyNumberFormat="1" applyFont="1" applyFill="1" applyBorder="1" applyAlignment="1">
      <alignment horizontal="right"/>
    </xf>
    <xf numFmtId="2" fontId="0" fillId="9" borderId="6" xfId="0" applyNumberFormat="1" applyFill="1" applyBorder="1" applyAlignment="1">
      <alignment horizontal="right"/>
    </xf>
    <xf numFmtId="171" fontId="0" fillId="9" borderId="6" xfId="0" applyNumberFormat="1" applyFill="1" applyBorder="1" applyAlignment="1">
      <alignment horizontal="right"/>
    </xf>
    <xf numFmtId="165" fontId="23" fillId="9" borderId="6" xfId="0" applyNumberFormat="1" applyFont="1" applyFill="1" applyBorder="1" applyAlignment="1">
      <alignment horizontal="right"/>
    </xf>
    <xf numFmtId="165" fontId="0" fillId="6" borderId="6" xfId="0" applyNumberFormat="1" applyFill="1" applyBorder="1" applyAlignment="1">
      <alignment horizontal="right"/>
    </xf>
    <xf numFmtId="165" fontId="0" fillId="0" borderId="7" xfId="0" applyNumberFormat="1" applyBorder="1" applyAlignment="1">
      <alignment horizontal="right"/>
    </xf>
    <xf numFmtId="2" fontId="0" fillId="0" borderId="6" xfId="0" applyNumberFormat="1" applyBorder="1" applyAlignment="1">
      <alignment horizontal="right"/>
    </xf>
    <xf numFmtId="172" fontId="0" fillId="0" borderId="6" xfId="0" applyNumberFormat="1" applyBorder="1" applyAlignment="1">
      <alignment horizontal="right"/>
    </xf>
    <xf numFmtId="0" fontId="2" fillId="12" borderId="1" xfId="3" applyFont="1" applyFill="1" applyBorder="1"/>
    <xf numFmtId="0" fontId="2" fillId="12" borderId="3" xfId="3" applyFont="1" applyFill="1" applyBorder="1"/>
    <xf numFmtId="0" fontId="2" fillId="12" borderId="2" xfId="3" applyFont="1" applyFill="1" applyBorder="1"/>
    <xf numFmtId="165" fontId="6" fillId="0" borderId="1" xfId="3" applyNumberFormat="1" applyFont="1" applyBorder="1"/>
    <xf numFmtId="166" fontId="9" fillId="0" borderId="0" xfId="4" applyNumberFormat="1" applyFont="1" applyBorder="1"/>
    <xf numFmtId="165" fontId="5" fillId="4" borderId="3" xfId="3" applyNumberFormat="1" applyFont="1" applyFill="1" applyBorder="1" applyAlignment="1">
      <alignment horizontal="center" vertical="center"/>
    </xf>
    <xf numFmtId="165" fontId="5" fillId="4" borderId="5" xfId="3" applyNumberFormat="1" applyFont="1" applyFill="1" applyBorder="1" applyAlignment="1">
      <alignment horizontal="center" vertical="center"/>
    </xf>
    <xf numFmtId="165" fontId="4" fillId="7" borderId="1" xfId="0" applyNumberFormat="1" applyFont="1" applyFill="1" applyBorder="1"/>
    <xf numFmtId="165" fontId="4" fillId="7" borderId="3" xfId="0" applyNumberFormat="1" applyFont="1" applyFill="1" applyBorder="1"/>
    <xf numFmtId="165" fontId="5" fillId="5" borderId="3" xfId="3" applyNumberFormat="1" applyFont="1" applyFill="1" applyBorder="1" applyAlignment="1">
      <alignment horizontal="center" vertical="center"/>
    </xf>
    <xf numFmtId="165" fontId="5" fillId="6" borderId="3" xfId="3" applyNumberFormat="1" applyFont="1" applyFill="1" applyBorder="1" applyAlignment="1">
      <alignment horizontal="center" vertical="center"/>
    </xf>
    <xf numFmtId="165" fontId="4" fillId="6" borderId="3" xfId="3" applyNumberFormat="1" applyFont="1" applyFill="1" applyBorder="1" applyAlignment="1">
      <alignment horizontal="center" vertical="center"/>
    </xf>
    <xf numFmtId="165" fontId="5" fillId="6" borderId="5" xfId="3" applyNumberFormat="1" applyFont="1" applyFill="1" applyBorder="1" applyAlignment="1">
      <alignment horizontal="center" vertical="center"/>
    </xf>
    <xf numFmtId="165" fontId="4" fillId="6" borderId="5" xfId="3" applyNumberFormat="1" applyFont="1" applyFill="1" applyBorder="1" applyAlignment="1">
      <alignment horizontal="center" vertical="center"/>
    </xf>
    <xf numFmtId="165" fontId="5" fillId="7" borderId="0" xfId="3" applyNumberFormat="1" applyFont="1" applyFill="1" applyAlignment="1">
      <alignment horizontal="center" vertical="center"/>
    </xf>
    <xf numFmtId="165" fontId="4" fillId="7" borderId="2" xfId="0" applyNumberFormat="1" applyFont="1" applyFill="1" applyBorder="1"/>
    <xf numFmtId="165" fontId="4" fillId="7" borderId="0" xfId="0" applyNumberFormat="1" applyFont="1" applyFill="1"/>
    <xf numFmtId="165" fontId="4" fillId="7" borderId="1" xfId="3" applyNumberFormat="1" applyFont="1" applyFill="1" applyBorder="1"/>
    <xf numFmtId="168" fontId="17" fillId="8" borderId="0" xfId="6" applyNumberFormat="1" applyFont="1" applyFill="1" applyAlignment="1">
      <alignment horizontal="center"/>
    </xf>
    <xf numFmtId="0" fontId="4" fillId="9" borderId="0" xfId="6" applyFont="1" applyFill="1"/>
    <xf numFmtId="0" fontId="25" fillId="9" borderId="0" xfId="6" applyFont="1" applyFill="1" applyAlignment="1">
      <alignment horizontal="center"/>
    </xf>
    <xf numFmtId="0" fontId="20" fillId="9" borderId="0" xfId="6" applyFont="1" applyFill="1" applyAlignment="1">
      <alignment horizontal="center"/>
    </xf>
    <xf numFmtId="0" fontId="4" fillId="9" borderId="0" xfId="6" applyFont="1" applyFill="1" applyAlignment="1">
      <alignment horizontal="center"/>
    </xf>
    <xf numFmtId="0" fontId="26" fillId="9" borderId="0" xfId="6" applyFont="1" applyFill="1"/>
    <xf numFmtId="0" fontId="27" fillId="9" borderId="0" xfId="6" applyFont="1" applyFill="1" applyAlignment="1">
      <alignment horizontal="center"/>
    </xf>
    <xf numFmtId="0" fontId="26" fillId="9" borderId="0" xfId="0" applyFont="1" applyFill="1"/>
    <xf numFmtId="168" fontId="27" fillId="9" borderId="0" xfId="6" applyNumberFormat="1" applyFont="1" applyFill="1" applyAlignment="1">
      <alignment horizontal="center"/>
    </xf>
    <xf numFmtId="0" fontId="4" fillId="8" borderId="0" xfId="6" applyFont="1" applyFill="1" applyAlignment="1">
      <alignment horizontal="center"/>
    </xf>
    <xf numFmtId="0" fontId="4" fillId="9" borderId="11" xfId="6" applyFont="1" applyFill="1" applyBorder="1"/>
    <xf numFmtId="0" fontId="5" fillId="9" borderId="12" xfId="6" applyFont="1" applyFill="1" applyBorder="1" applyAlignment="1">
      <alignment horizontal="center"/>
    </xf>
    <xf numFmtId="0" fontId="4" fillId="9" borderId="15" xfId="6" applyFont="1" applyFill="1" applyBorder="1"/>
    <xf numFmtId="165" fontId="4" fillId="9" borderId="0" xfId="6" applyNumberFormat="1" applyFont="1" applyFill="1" applyAlignment="1">
      <alignment horizontal="center"/>
    </xf>
    <xf numFmtId="165" fontId="4" fillId="9" borderId="0" xfId="6" applyNumberFormat="1" applyFont="1" applyFill="1"/>
    <xf numFmtId="0" fontId="4" fillId="9" borderId="21" xfId="6" applyFont="1" applyFill="1" applyBorder="1"/>
    <xf numFmtId="165" fontId="28" fillId="9" borderId="22" xfId="6" applyNumberFormat="1" applyFont="1" applyFill="1" applyBorder="1" applyAlignment="1">
      <alignment horizontal="center"/>
    </xf>
    <xf numFmtId="14" fontId="4" fillId="9" borderId="0" xfId="6" applyNumberFormat="1" applyFont="1" applyFill="1"/>
    <xf numFmtId="2" fontId="20" fillId="9" borderId="0" xfId="6" applyNumberFormat="1" applyFont="1" applyFill="1" applyAlignment="1">
      <alignment horizontal="center"/>
    </xf>
    <xf numFmtId="0" fontId="29" fillId="9" borderId="13" xfId="6" applyFont="1" applyFill="1" applyBorder="1" applyAlignment="1">
      <alignment horizontal="center"/>
    </xf>
    <xf numFmtId="0" fontId="29" fillId="9" borderId="12" xfId="6" applyFont="1" applyFill="1" applyBorder="1" applyAlignment="1">
      <alignment horizontal="center"/>
    </xf>
    <xf numFmtId="0" fontId="29" fillId="9" borderId="14" xfId="6" applyFont="1" applyFill="1" applyBorder="1" applyAlignment="1">
      <alignment horizontal="center"/>
    </xf>
    <xf numFmtId="165" fontId="28" fillId="9" borderId="16" xfId="6" applyNumberFormat="1" applyFont="1" applyFill="1" applyBorder="1" applyAlignment="1">
      <alignment horizontal="center"/>
    </xf>
    <xf numFmtId="165" fontId="28" fillId="9" borderId="17" xfId="6" applyNumberFormat="1" applyFont="1" applyFill="1" applyBorder="1" applyAlignment="1">
      <alignment horizontal="center"/>
    </xf>
    <xf numFmtId="172" fontId="4" fillId="9" borderId="0" xfId="6" applyNumberFormat="1" applyFont="1" applyFill="1"/>
    <xf numFmtId="2" fontId="4" fillId="9" borderId="0" xfId="6" applyNumberFormat="1" applyFont="1" applyFill="1"/>
    <xf numFmtId="165" fontId="28" fillId="9" borderId="19" xfId="6" applyNumberFormat="1" applyFont="1" applyFill="1" applyBorder="1" applyAlignment="1">
      <alignment horizontal="center"/>
    </xf>
    <xf numFmtId="165" fontId="28" fillId="9" borderId="0" xfId="6" applyNumberFormat="1" applyFont="1" applyFill="1" applyAlignment="1">
      <alignment horizontal="center"/>
    </xf>
    <xf numFmtId="165" fontId="28" fillId="9" borderId="20" xfId="6" applyNumberFormat="1" applyFont="1" applyFill="1" applyBorder="1" applyAlignment="1">
      <alignment horizontal="center"/>
    </xf>
    <xf numFmtId="167" fontId="29" fillId="9" borderId="19" xfId="7" applyNumberFormat="1" applyFont="1" applyFill="1" applyBorder="1" applyAlignment="1">
      <alignment horizontal="center"/>
    </xf>
    <xf numFmtId="167" fontId="29" fillId="9" borderId="0" xfId="7" applyNumberFormat="1" applyFont="1" applyFill="1" applyBorder="1" applyAlignment="1">
      <alignment horizontal="center"/>
    </xf>
    <xf numFmtId="167" fontId="29" fillId="9" borderId="20" xfId="7" applyNumberFormat="1" applyFont="1" applyFill="1" applyBorder="1" applyAlignment="1">
      <alignment horizontal="center"/>
    </xf>
    <xf numFmtId="165" fontId="4" fillId="9" borderId="23" xfId="6" applyNumberFormat="1" applyFont="1" applyFill="1" applyBorder="1" applyAlignment="1">
      <alignment horizontal="center"/>
    </xf>
    <xf numFmtId="173" fontId="4" fillId="9" borderId="15" xfId="8" applyFont="1" applyFill="1" applyBorder="1"/>
    <xf numFmtId="165" fontId="30" fillId="9" borderId="0" xfId="6" applyNumberFormat="1" applyFont="1" applyFill="1" applyAlignment="1">
      <alignment horizontal="center"/>
    </xf>
    <xf numFmtId="167" fontId="4" fillId="9" borderId="0" xfId="2" applyNumberFormat="1" applyFont="1" applyFill="1"/>
    <xf numFmtId="173" fontId="29" fillId="9" borderId="15" xfId="8" applyFont="1" applyFill="1" applyBorder="1"/>
    <xf numFmtId="165" fontId="4" fillId="9" borderId="22" xfId="6" applyNumberFormat="1" applyFont="1" applyFill="1" applyBorder="1" applyAlignment="1">
      <alignment horizontal="center"/>
    </xf>
    <xf numFmtId="14" fontId="4" fillId="9" borderId="11" xfId="9" applyNumberFormat="1" applyFont="1" applyFill="1" applyBorder="1"/>
    <xf numFmtId="165" fontId="31" fillId="9" borderId="12" xfId="9" applyNumberFormat="1" applyFont="1" applyFill="1" applyBorder="1" applyAlignment="1">
      <alignment horizontal="center"/>
    </xf>
    <xf numFmtId="14" fontId="4" fillId="9" borderId="0" xfId="9" applyNumberFormat="1" applyFont="1" applyFill="1"/>
    <xf numFmtId="165" fontId="31" fillId="9" borderId="0" xfId="9" applyNumberFormat="1" applyFont="1" applyFill="1" applyAlignment="1">
      <alignment horizontal="center"/>
    </xf>
    <xf numFmtId="1" fontId="20" fillId="9" borderId="0" xfId="6" applyNumberFormat="1" applyFont="1" applyFill="1" applyAlignment="1">
      <alignment horizontal="center"/>
    </xf>
    <xf numFmtId="0" fontId="4" fillId="9" borderId="11" xfId="6" applyFont="1" applyFill="1" applyBorder="1" applyAlignment="1">
      <alignment horizontal="left"/>
    </xf>
    <xf numFmtId="172" fontId="28" fillId="9" borderId="22" xfId="6" applyNumberFormat="1" applyFont="1" applyFill="1" applyBorder="1" applyAlignment="1">
      <alignment horizontal="center"/>
    </xf>
    <xf numFmtId="0" fontId="32" fillId="9" borderId="0" xfId="6" applyFont="1" applyFill="1"/>
    <xf numFmtId="0" fontId="33" fillId="8" borderId="0" xfId="6" applyFont="1" applyFill="1" applyAlignment="1">
      <alignment horizontal="center"/>
    </xf>
    <xf numFmtId="0" fontId="5" fillId="9" borderId="21" xfId="6" applyFont="1" applyFill="1" applyBorder="1"/>
    <xf numFmtId="2" fontId="4" fillId="9" borderId="0" xfId="6" applyNumberFormat="1" applyFont="1" applyFill="1" applyAlignment="1">
      <alignment horizontal="center"/>
    </xf>
    <xf numFmtId="165" fontId="4" fillId="9" borderId="20" xfId="6" applyNumberFormat="1" applyFont="1" applyFill="1" applyBorder="1" applyAlignment="1">
      <alignment horizontal="center"/>
    </xf>
    <xf numFmtId="0" fontId="4" fillId="9" borderId="11" xfId="0" applyFont="1" applyFill="1" applyBorder="1"/>
    <xf numFmtId="2" fontId="5" fillId="9" borderId="22" xfId="6" applyNumberFormat="1" applyFont="1" applyFill="1" applyBorder="1" applyAlignment="1">
      <alignment horizontal="center"/>
    </xf>
    <xf numFmtId="9" fontId="4" fillId="9" borderId="0" xfId="2" applyFont="1" applyFill="1"/>
    <xf numFmtId="165" fontId="0" fillId="9" borderId="0" xfId="0" applyNumberFormat="1" applyFill="1" applyAlignment="1">
      <alignment horizontal="center"/>
    </xf>
    <xf numFmtId="2" fontId="28" fillId="9" borderId="0" xfId="8" applyNumberFormat="1" applyFont="1" applyFill="1" applyBorder="1" applyAlignment="1">
      <alignment horizontal="center"/>
    </xf>
    <xf numFmtId="2" fontId="28" fillId="9" borderId="0" xfId="6" applyNumberFormat="1" applyFont="1" applyFill="1" applyAlignment="1">
      <alignment horizontal="center"/>
    </xf>
    <xf numFmtId="172" fontId="4" fillId="9" borderId="0" xfId="6" applyNumberFormat="1" applyFont="1" applyFill="1" applyAlignment="1">
      <alignment horizontal="center"/>
    </xf>
    <xf numFmtId="165" fontId="4" fillId="10" borderId="0" xfId="6" applyNumberFormat="1" applyFont="1" applyFill="1" applyAlignment="1">
      <alignment horizontal="center"/>
    </xf>
    <xf numFmtId="0" fontId="4" fillId="9" borderId="19" xfId="6" applyFont="1" applyFill="1" applyBorder="1"/>
    <xf numFmtId="0" fontId="5" fillId="9" borderId="15" xfId="6" applyFont="1" applyFill="1" applyBorder="1"/>
    <xf numFmtId="170" fontId="4" fillId="9" borderId="0" xfId="6" applyNumberFormat="1" applyFont="1" applyFill="1" applyAlignment="1">
      <alignment horizontal="center"/>
    </xf>
    <xf numFmtId="1" fontId="28" fillId="9" borderId="0" xfId="6" applyNumberFormat="1" applyFont="1" applyFill="1" applyAlignment="1">
      <alignment horizontal="center"/>
    </xf>
    <xf numFmtId="10" fontId="4" fillId="9" borderId="0" xfId="2" applyNumberFormat="1" applyFont="1" applyFill="1"/>
    <xf numFmtId="1" fontId="4" fillId="9" borderId="22" xfId="6" applyNumberFormat="1" applyFont="1" applyFill="1" applyBorder="1" applyAlignment="1">
      <alignment horizontal="center"/>
    </xf>
    <xf numFmtId="3" fontId="4" fillId="9" borderId="0" xfId="6" applyNumberFormat="1" applyFont="1" applyFill="1" applyAlignment="1">
      <alignment horizontal="center"/>
    </xf>
    <xf numFmtId="9" fontId="4" fillId="9" borderId="0" xfId="2" applyFont="1" applyFill="1" applyAlignment="1">
      <alignment horizontal="center"/>
    </xf>
    <xf numFmtId="3" fontId="4" fillId="10" borderId="0" xfId="6" applyNumberFormat="1" applyFont="1" applyFill="1" applyAlignment="1">
      <alignment horizontal="center"/>
    </xf>
    <xf numFmtId="14" fontId="4" fillId="9" borderId="0" xfId="6" applyNumberFormat="1" applyFont="1" applyFill="1" applyAlignment="1">
      <alignment horizontal="center"/>
    </xf>
    <xf numFmtId="0" fontId="19" fillId="10" borderId="0" xfId="6" applyFont="1" applyFill="1" applyAlignment="1">
      <alignment horizontal="center"/>
    </xf>
    <xf numFmtId="172" fontId="28" fillId="9" borderId="23" xfId="6" applyNumberFormat="1" applyFont="1" applyFill="1" applyBorder="1" applyAlignment="1">
      <alignment horizontal="center"/>
    </xf>
    <xf numFmtId="0" fontId="34" fillId="9" borderId="0" xfId="0" applyFont="1" applyFill="1"/>
    <xf numFmtId="167" fontId="4" fillId="9" borderId="0" xfId="6" applyNumberFormat="1" applyFont="1" applyFill="1"/>
    <xf numFmtId="0" fontId="5" fillId="9" borderId="17" xfId="6" applyFont="1" applyFill="1" applyBorder="1"/>
    <xf numFmtId="49" fontId="20" fillId="9" borderId="0" xfId="6" applyNumberFormat="1" applyFont="1" applyFill="1" applyAlignment="1">
      <alignment horizontal="center"/>
    </xf>
    <xf numFmtId="0" fontId="5" fillId="9" borderId="0" xfId="6" applyFont="1" applyFill="1"/>
    <xf numFmtId="0" fontId="4" fillId="9" borderId="15" xfId="6" applyFont="1" applyFill="1" applyBorder="1" applyAlignment="1">
      <alignment horizontal="left"/>
    </xf>
    <xf numFmtId="0" fontId="4" fillId="9" borderId="21" xfId="6" applyFont="1" applyFill="1" applyBorder="1" applyAlignment="1">
      <alignment horizontal="left"/>
    </xf>
    <xf numFmtId="172" fontId="28" fillId="9" borderId="0" xfId="6" applyNumberFormat="1" applyFont="1" applyFill="1" applyAlignment="1">
      <alignment horizontal="center"/>
    </xf>
    <xf numFmtId="1" fontId="4" fillId="9" borderId="0" xfId="6" applyNumberFormat="1" applyFont="1" applyFill="1"/>
    <xf numFmtId="172" fontId="6" fillId="0" borderId="1" xfId="3" applyNumberFormat="1" applyFont="1" applyBorder="1"/>
    <xf numFmtId="0" fontId="2" fillId="0" borderId="6" xfId="0" applyFont="1" applyBorder="1" applyAlignment="1">
      <alignment horizontal="center" vertical="center" wrapText="1"/>
    </xf>
    <xf numFmtId="0" fontId="0" fillId="0" borderId="6" xfId="0" applyBorder="1" applyAlignment="1">
      <alignment horizontal="left" vertical="center"/>
    </xf>
    <xf numFmtId="0" fontId="21" fillId="6" borderId="6" xfId="0" applyFont="1" applyFill="1" applyBorder="1" applyAlignment="1">
      <alignment horizontal="left" vertical="center"/>
    </xf>
    <xf numFmtId="4" fontId="0" fillId="0" borderId="6" xfId="0" applyNumberFormat="1" applyBorder="1"/>
    <xf numFmtId="0" fontId="22" fillId="0" borderId="6" xfId="0" applyFont="1" applyBorder="1" applyAlignment="1">
      <alignment horizontal="left" vertical="center"/>
    </xf>
    <xf numFmtId="0" fontId="1" fillId="10" borderId="0" xfId="0" applyFont="1" applyFill="1"/>
    <xf numFmtId="0" fontId="35" fillId="10" borderId="0" xfId="0" applyFont="1" applyFill="1"/>
    <xf numFmtId="0" fontId="2" fillId="0" borderId="0" xfId="0" applyFont="1" applyAlignment="1">
      <alignment horizontal="center" vertical="center" wrapText="1"/>
    </xf>
    <xf numFmtId="0" fontId="2" fillId="0" borderId="0" xfId="0" applyFont="1"/>
    <xf numFmtId="4" fontId="0" fillId="11" borderId="6" xfId="0" applyNumberFormat="1" applyFill="1" applyBorder="1"/>
    <xf numFmtId="4" fontId="2" fillId="6" borderId="6" xfId="0" applyNumberFormat="1" applyFont="1" applyFill="1" applyBorder="1"/>
    <xf numFmtId="175" fontId="0" fillId="0" borderId="6" xfId="0" applyNumberFormat="1" applyBorder="1"/>
    <xf numFmtId="0" fontId="4" fillId="6" borderId="0" xfId="3" applyFont="1" applyFill="1" applyAlignment="1">
      <alignment horizontal="center" vertical="center" wrapText="1"/>
    </xf>
    <xf numFmtId="0" fontId="7" fillId="0" borderId="0" xfId="0" applyFont="1"/>
    <xf numFmtId="172" fontId="0" fillId="9" borderId="6" xfId="0" applyNumberFormat="1" applyFill="1" applyBorder="1" applyAlignment="1">
      <alignment horizontal="right"/>
    </xf>
    <xf numFmtId="165" fontId="24" fillId="0" borderId="0" xfId="0" applyNumberFormat="1" applyFont="1"/>
    <xf numFmtId="165" fontId="4" fillId="0" borderId="1" xfId="0" applyNumberFormat="1" applyFont="1" applyBorder="1"/>
    <xf numFmtId="165" fontId="5" fillId="7" borderId="3" xfId="3" applyNumberFormat="1" applyFont="1" applyFill="1" applyBorder="1" applyAlignment="1">
      <alignment horizontal="center" vertical="center"/>
    </xf>
    <xf numFmtId="165" fontId="5" fillId="7" borderId="5" xfId="3" applyNumberFormat="1" applyFont="1" applyFill="1" applyBorder="1" applyAlignment="1">
      <alignment horizontal="center" vertical="center"/>
    </xf>
    <xf numFmtId="0" fontId="38" fillId="0" borderId="0" xfId="0" applyFont="1"/>
    <xf numFmtId="0" fontId="38" fillId="0" borderId="28" xfId="0" applyFont="1" applyBorder="1" applyAlignment="1">
      <alignment horizontal="center" vertical="center"/>
    </xf>
    <xf numFmtId="0" fontId="38" fillId="0" borderId="29" xfId="0" applyFont="1" applyBorder="1" applyAlignment="1">
      <alignment horizontal="center" vertical="center"/>
    </xf>
    <xf numFmtId="165" fontId="2" fillId="13" borderId="30" xfId="0" applyNumberFormat="1" applyFont="1" applyFill="1" applyBorder="1"/>
    <xf numFmtId="1" fontId="2" fillId="13" borderId="6" xfId="0" applyNumberFormat="1" applyFont="1" applyFill="1" applyBorder="1"/>
    <xf numFmtId="165" fontId="2" fillId="13" borderId="6" xfId="0" applyNumberFormat="1" applyFont="1" applyFill="1" applyBorder="1"/>
    <xf numFmtId="165" fontId="4" fillId="13" borderId="30" xfId="0" applyNumberFormat="1" applyFont="1" applyFill="1" applyBorder="1"/>
    <xf numFmtId="1" fontId="4" fillId="13" borderId="6" xfId="0" applyNumberFormat="1" applyFont="1" applyFill="1" applyBorder="1"/>
    <xf numFmtId="165" fontId="4" fillId="13" borderId="6" xfId="0" applyNumberFormat="1" applyFont="1" applyFill="1" applyBorder="1"/>
    <xf numFmtId="0" fontId="38" fillId="0" borderId="6" xfId="0" applyFont="1" applyBorder="1"/>
    <xf numFmtId="165" fontId="4" fillId="0" borderId="30" xfId="0" applyNumberFormat="1" applyFont="1" applyBorder="1"/>
    <xf numFmtId="1" fontId="4" fillId="0" borderId="6" xfId="0" applyNumberFormat="1" applyFont="1" applyBorder="1"/>
    <xf numFmtId="165" fontId="4" fillId="0" borderId="6" xfId="0" applyNumberFormat="1" applyFont="1" applyBorder="1"/>
    <xf numFmtId="165" fontId="38" fillId="0" borderId="0" xfId="0" applyNumberFormat="1" applyFont="1"/>
    <xf numFmtId="0" fontId="0" fillId="0" borderId="6" xfId="0" applyBorder="1"/>
    <xf numFmtId="2" fontId="38" fillId="0" borderId="6" xfId="0" applyNumberFormat="1" applyFont="1" applyBorder="1"/>
    <xf numFmtId="165" fontId="29" fillId="0" borderId="0" xfId="0" applyNumberFormat="1" applyFont="1" applyAlignment="1">
      <alignment horizontal="right"/>
    </xf>
    <xf numFmtId="1" fontId="20" fillId="0" borderId="1" xfId="0" applyNumberFormat="1" applyFont="1" applyBorder="1"/>
    <xf numFmtId="0" fontId="29" fillId="0" borderId="0" xfId="0" applyFont="1" applyAlignment="1">
      <alignment horizontal="right"/>
    </xf>
    <xf numFmtId="1" fontId="31" fillId="0" borderId="1" xfId="0" applyNumberFormat="1" applyFont="1" applyBorder="1"/>
    <xf numFmtId="0" fontId="3" fillId="0" borderId="6" xfId="0" applyFont="1" applyBorder="1"/>
    <xf numFmtId="2" fontId="38" fillId="0" borderId="0" xfId="0" applyNumberFormat="1" applyFont="1"/>
    <xf numFmtId="2" fontId="39" fillId="0" borderId="0" xfId="0" applyNumberFormat="1" applyFont="1"/>
    <xf numFmtId="165" fontId="39" fillId="0" borderId="0" xfId="0" applyNumberFormat="1" applyFont="1"/>
    <xf numFmtId="176" fontId="38" fillId="0" borderId="0" xfId="0" applyNumberFormat="1" applyFont="1"/>
    <xf numFmtId="165" fontId="2" fillId="13" borderId="6" xfId="0" applyNumberFormat="1" applyFont="1" applyFill="1" applyBorder="1" applyAlignment="1">
      <alignment wrapText="1" shrinkToFit="1"/>
    </xf>
    <xf numFmtId="167" fontId="4" fillId="0" borderId="6" xfId="5" applyNumberFormat="1" applyFont="1" applyBorder="1"/>
    <xf numFmtId="1" fontId="4" fillId="0" borderId="6" xfId="0" quotePrefix="1" applyNumberFormat="1" applyFont="1" applyBorder="1"/>
    <xf numFmtId="1" fontId="39" fillId="0" borderId="0" xfId="0" applyNumberFormat="1" applyFont="1"/>
    <xf numFmtId="1" fontId="38" fillId="0" borderId="0" xfId="0" applyNumberFormat="1" applyFont="1"/>
    <xf numFmtId="0" fontId="41" fillId="14" borderId="0" xfId="11" applyNumberFormat="1" applyFont="1" applyFill="1" applyAlignment="1">
      <alignment horizontal="left"/>
    </xf>
    <xf numFmtId="0" fontId="42" fillId="14" borderId="0" xfId="11" applyNumberFormat="1" applyFont="1" applyFill="1" applyAlignment="1">
      <alignment horizontal="center"/>
    </xf>
    <xf numFmtId="0" fontId="43" fillId="14" borderId="0" xfId="11" applyNumberFormat="1" applyFont="1" applyFill="1" applyAlignment="1">
      <alignment horizontal="right"/>
    </xf>
    <xf numFmtId="0" fontId="43" fillId="14" borderId="0" xfId="11" applyNumberFormat="1" applyFont="1" applyFill="1" applyAlignment="1">
      <alignment horizontal="left"/>
    </xf>
    <xf numFmtId="168" fontId="43" fillId="14" borderId="0" xfId="11" applyNumberFormat="1" applyFont="1" applyFill="1" applyAlignment="1">
      <alignment horizontal="center"/>
    </xf>
    <xf numFmtId="0" fontId="44" fillId="15" borderId="0" xfId="11" applyNumberFormat="1" applyFont="1" applyFill="1" applyAlignment="1">
      <alignment horizontal="center"/>
    </xf>
    <xf numFmtId="0" fontId="45" fillId="15" borderId="0" xfId="11" applyNumberFormat="1" applyFont="1" applyFill="1"/>
    <xf numFmtId="0" fontId="46" fillId="15" borderId="0" xfId="11" applyNumberFormat="1" applyFont="1" applyFill="1" applyAlignment="1">
      <alignment horizontal="center"/>
    </xf>
    <xf numFmtId="0" fontId="47" fillId="15" borderId="0" xfId="11" applyNumberFormat="1" applyFont="1" applyFill="1"/>
    <xf numFmtId="0" fontId="45" fillId="15" borderId="0" xfId="0" applyFont="1" applyFill="1"/>
    <xf numFmtId="168" fontId="46" fillId="15" borderId="0" xfId="11" applyNumberFormat="1" applyFont="1" applyFill="1" applyAlignment="1">
      <alignment horizontal="center"/>
    </xf>
    <xf numFmtId="0" fontId="48" fillId="14" borderId="0" xfId="11" applyNumberFormat="1" applyFont="1" applyFill="1"/>
    <xf numFmtId="0" fontId="47" fillId="14" borderId="0" xfId="11" applyNumberFormat="1" applyFont="1" applyFill="1" applyAlignment="1">
      <alignment horizontal="center"/>
    </xf>
    <xf numFmtId="0" fontId="47" fillId="15" borderId="0" xfId="11" applyNumberFormat="1" applyFont="1" applyFill="1" applyAlignment="1">
      <alignment horizontal="center"/>
    </xf>
    <xf numFmtId="0" fontId="49" fillId="16" borderId="0" xfId="11" applyNumberFormat="1" applyFont="1" applyFill="1"/>
    <xf numFmtId="0" fontId="50" fillId="16" borderId="0" xfId="11" applyNumberFormat="1" applyFont="1" applyFill="1" applyAlignment="1">
      <alignment horizontal="center"/>
    </xf>
    <xf numFmtId="0" fontId="47" fillId="16" borderId="0" xfId="11" applyNumberFormat="1" applyFont="1" applyFill="1" applyAlignment="1">
      <alignment horizontal="center"/>
    </xf>
    <xf numFmtId="0" fontId="47" fillId="15" borderId="11" xfId="11" applyNumberFormat="1" applyFont="1" applyFill="1" applyBorder="1"/>
    <xf numFmtId="0" fontId="51" fillId="15" borderId="12" xfId="11" applyNumberFormat="1" applyFont="1" applyFill="1" applyBorder="1" applyAlignment="1">
      <alignment horizontal="center"/>
    </xf>
    <xf numFmtId="0" fontId="51" fillId="15" borderId="13" xfId="11" applyNumberFormat="1" applyFont="1" applyFill="1" applyBorder="1" applyAlignment="1">
      <alignment horizontal="center"/>
    </xf>
    <xf numFmtId="0" fontId="51" fillId="15" borderId="14" xfId="11" applyNumberFormat="1" applyFont="1" applyFill="1" applyBorder="1" applyAlignment="1">
      <alignment horizontal="center"/>
    </xf>
    <xf numFmtId="0" fontId="47" fillId="15" borderId="15" xfId="11" applyNumberFormat="1" applyFont="1" applyFill="1" applyBorder="1"/>
    <xf numFmtId="165" fontId="47" fillId="15" borderId="0" xfId="11" applyNumberFormat="1" applyFont="1" applyFill="1" applyBorder="1" applyAlignment="1">
      <alignment horizontal="center"/>
    </xf>
    <xf numFmtId="167" fontId="47" fillId="15" borderId="16" xfId="11" applyNumberFormat="1" applyFont="1" applyFill="1" applyBorder="1" applyAlignment="1" applyProtection="1">
      <alignment horizontal="center"/>
    </xf>
    <xf numFmtId="167" fontId="47" fillId="15" borderId="17" xfId="11" applyNumberFormat="1" applyFont="1" applyFill="1" applyBorder="1" applyAlignment="1" applyProtection="1">
      <alignment horizontal="center"/>
    </xf>
    <xf numFmtId="167" fontId="47" fillId="15" borderId="18" xfId="11" applyNumberFormat="1" applyFont="1" applyFill="1" applyBorder="1" applyAlignment="1" applyProtection="1">
      <alignment horizontal="center"/>
    </xf>
    <xf numFmtId="167" fontId="47" fillId="15" borderId="19" xfId="11" applyNumberFormat="1" applyFont="1" applyFill="1" applyBorder="1" applyAlignment="1" applyProtection="1">
      <alignment horizontal="center"/>
    </xf>
    <xf numFmtId="167" fontId="47" fillId="15" borderId="0" xfId="11" applyNumberFormat="1" applyFont="1" applyFill="1" applyBorder="1" applyAlignment="1" applyProtection="1">
      <alignment horizontal="center"/>
    </xf>
    <xf numFmtId="167" fontId="47" fillId="15" borderId="20" xfId="11" applyNumberFormat="1" applyFont="1" applyFill="1" applyBorder="1" applyAlignment="1" applyProtection="1">
      <alignment horizontal="center"/>
    </xf>
    <xf numFmtId="165" fontId="47" fillId="15" borderId="0" xfId="11" applyNumberFormat="1" applyFont="1" applyFill="1"/>
    <xf numFmtId="0" fontId="47" fillId="15" borderId="21" xfId="11" applyNumberFormat="1" applyFont="1" applyFill="1" applyBorder="1"/>
    <xf numFmtId="165" fontId="52" fillId="15" borderId="22" xfId="11" applyNumberFormat="1" applyFont="1" applyFill="1" applyBorder="1" applyAlignment="1">
      <alignment horizontal="center"/>
    </xf>
    <xf numFmtId="167" fontId="47" fillId="15" borderId="23" xfId="11" applyNumberFormat="1" applyFont="1" applyFill="1" applyBorder="1" applyAlignment="1" applyProtection="1">
      <alignment horizontal="center"/>
    </xf>
    <xf numFmtId="167" fontId="47" fillId="15" borderId="22" xfId="11" applyNumberFormat="1" applyFont="1" applyFill="1" applyBorder="1" applyAlignment="1" applyProtection="1">
      <alignment horizontal="center"/>
    </xf>
    <xf numFmtId="167" fontId="47" fillId="15" borderId="24" xfId="11" applyNumberFormat="1" applyFont="1" applyFill="1" applyBorder="1" applyAlignment="1" applyProtection="1">
      <alignment horizontal="center"/>
    </xf>
    <xf numFmtId="14" fontId="47" fillId="15" borderId="0" xfId="11" applyNumberFormat="1" applyFont="1" applyFill="1"/>
    <xf numFmtId="2" fontId="50" fillId="15" borderId="0" xfId="11" applyNumberFormat="1" applyFont="1" applyFill="1" applyAlignment="1">
      <alignment horizontal="center"/>
    </xf>
    <xf numFmtId="0" fontId="50" fillId="15" borderId="0" xfId="11" applyNumberFormat="1" applyFont="1" applyFill="1" applyAlignment="1">
      <alignment horizontal="center"/>
    </xf>
    <xf numFmtId="0" fontId="53" fillId="15" borderId="13" xfId="11" applyNumberFormat="1" applyFont="1" applyFill="1" applyBorder="1" applyAlignment="1">
      <alignment horizontal="center"/>
    </xf>
    <xf numFmtId="0" fontId="53" fillId="15" borderId="12" xfId="11" applyNumberFormat="1" applyFont="1" applyFill="1" applyBorder="1" applyAlignment="1">
      <alignment horizontal="center"/>
    </xf>
    <xf numFmtId="0" fontId="53" fillId="15" borderId="14" xfId="11" applyNumberFormat="1" applyFont="1" applyFill="1" applyBorder="1" applyAlignment="1">
      <alignment horizontal="center"/>
    </xf>
    <xf numFmtId="165" fontId="52" fillId="15" borderId="0" xfId="11" applyNumberFormat="1" applyFont="1" applyFill="1" applyBorder="1" applyAlignment="1">
      <alignment horizontal="center"/>
    </xf>
    <xf numFmtId="167" fontId="53" fillId="15" borderId="16" xfId="11" applyNumberFormat="1" applyFont="1" applyFill="1" applyBorder="1" applyAlignment="1" applyProtection="1">
      <alignment horizontal="center"/>
    </xf>
    <xf numFmtId="167" fontId="53" fillId="15" borderId="17" xfId="11" applyNumberFormat="1" applyFont="1" applyFill="1" applyBorder="1" applyAlignment="1" applyProtection="1">
      <alignment horizontal="center"/>
    </xf>
    <xf numFmtId="167" fontId="53" fillId="15" borderId="18" xfId="11" applyNumberFormat="1" applyFont="1" applyFill="1" applyBorder="1" applyAlignment="1" applyProtection="1">
      <alignment horizontal="center"/>
    </xf>
    <xf numFmtId="172" fontId="47" fillId="15" borderId="0" xfId="11" applyNumberFormat="1" applyFont="1" applyFill="1"/>
    <xf numFmtId="2" fontId="47" fillId="15" borderId="0" xfId="11" applyNumberFormat="1" applyFont="1" applyFill="1"/>
    <xf numFmtId="167" fontId="53" fillId="15" borderId="19" xfId="11" applyNumberFormat="1" applyFont="1" applyFill="1" applyBorder="1" applyAlignment="1" applyProtection="1">
      <alignment horizontal="center"/>
    </xf>
    <xf numFmtId="167" fontId="53" fillId="15" borderId="0" xfId="11" applyNumberFormat="1" applyFont="1" applyFill="1" applyBorder="1" applyAlignment="1" applyProtection="1">
      <alignment horizontal="center"/>
    </xf>
    <xf numFmtId="167" fontId="53" fillId="15" borderId="20" xfId="11" applyNumberFormat="1" applyFont="1" applyFill="1" applyBorder="1" applyAlignment="1" applyProtection="1">
      <alignment horizontal="center"/>
    </xf>
    <xf numFmtId="165" fontId="47" fillId="15" borderId="22" xfId="11" applyNumberFormat="1" applyFont="1" applyFill="1" applyBorder="1" applyAlignment="1">
      <alignment horizontal="center"/>
    </xf>
    <xf numFmtId="165" fontId="47" fillId="0" borderId="22" xfId="11" applyNumberFormat="1" applyFont="1" applyBorder="1" applyAlignment="1">
      <alignment horizontal="center"/>
    </xf>
    <xf numFmtId="167" fontId="53" fillId="15" borderId="23" xfId="11" applyNumberFormat="1" applyFont="1" applyFill="1" applyBorder="1" applyAlignment="1" applyProtection="1">
      <alignment horizontal="center"/>
    </xf>
    <xf numFmtId="167" fontId="53" fillId="15" borderId="22" xfId="11" applyNumberFormat="1" applyFont="1" applyFill="1" applyBorder="1" applyAlignment="1" applyProtection="1">
      <alignment horizontal="center"/>
    </xf>
    <xf numFmtId="167" fontId="53" fillId="15" borderId="24" xfId="11" applyNumberFormat="1" applyFont="1" applyFill="1" applyBorder="1" applyAlignment="1" applyProtection="1">
      <alignment horizontal="center"/>
    </xf>
    <xf numFmtId="177" fontId="47" fillId="15" borderId="15" xfId="11" applyNumberFormat="1" applyFont="1" applyFill="1" applyBorder="1" applyAlignment="1" applyProtection="1"/>
    <xf numFmtId="165" fontId="54" fillId="15" borderId="0" xfId="11" applyNumberFormat="1" applyFont="1" applyFill="1" applyBorder="1" applyAlignment="1">
      <alignment horizontal="center"/>
    </xf>
    <xf numFmtId="167" fontId="47" fillId="15" borderId="0" xfId="2" applyNumberFormat="1" applyFont="1" applyFill="1" applyBorder="1" applyAlignment="1" applyProtection="1"/>
    <xf numFmtId="177" fontId="53" fillId="15" borderId="15" xfId="11" applyNumberFormat="1" applyFont="1" applyFill="1" applyBorder="1" applyAlignment="1" applyProtection="1"/>
    <xf numFmtId="165" fontId="55" fillId="15" borderId="0" xfId="11" applyNumberFormat="1" applyFont="1" applyFill="1" applyBorder="1" applyAlignment="1">
      <alignment horizontal="center"/>
    </xf>
    <xf numFmtId="165" fontId="53" fillId="15" borderId="0" xfId="11" applyNumberFormat="1" applyFont="1" applyFill="1" applyBorder="1" applyAlignment="1">
      <alignment horizontal="center"/>
    </xf>
    <xf numFmtId="14" fontId="47" fillId="15" borderId="11" xfId="11" applyNumberFormat="1" applyFont="1" applyFill="1" applyBorder="1"/>
    <xf numFmtId="165" fontId="56" fillId="15" borderId="12" xfId="11" applyNumberFormat="1" applyFont="1" applyFill="1" applyBorder="1" applyAlignment="1">
      <alignment horizontal="center"/>
    </xf>
    <xf numFmtId="167" fontId="53" fillId="15" borderId="13" xfId="11" applyNumberFormat="1" applyFont="1" applyFill="1" applyBorder="1" applyAlignment="1" applyProtection="1">
      <alignment horizontal="center"/>
    </xf>
    <xf numFmtId="167" fontId="53" fillId="15" borderId="12" xfId="11" applyNumberFormat="1" applyFont="1" applyFill="1" applyBorder="1" applyAlignment="1" applyProtection="1">
      <alignment horizontal="center"/>
    </xf>
    <xf numFmtId="167" fontId="53" fillId="15" borderId="14" xfId="11" applyNumberFormat="1" applyFont="1" applyFill="1" applyBorder="1" applyAlignment="1" applyProtection="1">
      <alignment horizontal="center"/>
    </xf>
    <xf numFmtId="14" fontId="47" fillId="15" borderId="0" xfId="11" applyNumberFormat="1" applyFont="1" applyFill="1" applyBorder="1"/>
    <xf numFmtId="165" fontId="56" fillId="15" borderId="0" xfId="11" applyNumberFormat="1" applyFont="1" applyFill="1" applyBorder="1" applyAlignment="1">
      <alignment horizontal="center"/>
    </xf>
    <xf numFmtId="1" fontId="50" fillId="15" borderId="0" xfId="11" applyNumberFormat="1" applyFont="1" applyFill="1" applyAlignment="1">
      <alignment horizontal="center"/>
    </xf>
    <xf numFmtId="0" fontId="47" fillId="15" borderId="11" xfId="11" applyNumberFormat="1" applyFont="1" applyFill="1" applyBorder="1" applyAlignment="1">
      <alignment horizontal="left"/>
    </xf>
    <xf numFmtId="1" fontId="55" fillId="15" borderId="0" xfId="11" applyNumberFormat="1" applyFont="1" applyFill="1" applyBorder="1" applyAlignment="1">
      <alignment horizontal="center"/>
    </xf>
    <xf numFmtId="172" fontId="52" fillId="15" borderId="22" xfId="11" applyNumberFormat="1" applyFont="1" applyFill="1" applyBorder="1" applyAlignment="1">
      <alignment horizontal="center"/>
    </xf>
    <xf numFmtId="0" fontId="57" fillId="15" borderId="0" xfId="11" applyNumberFormat="1" applyFont="1" applyFill="1"/>
    <xf numFmtId="0" fontId="58" fillId="14" borderId="0" xfId="11" applyNumberFormat="1" applyFont="1" applyFill="1" applyAlignment="1">
      <alignment horizontal="center"/>
    </xf>
    <xf numFmtId="174" fontId="47" fillId="15" borderId="0" xfId="11" applyNumberFormat="1" applyFont="1" applyFill="1" applyBorder="1" applyAlignment="1">
      <alignment horizontal="center"/>
    </xf>
    <xf numFmtId="0" fontId="51" fillId="15" borderId="21" xfId="11" applyNumberFormat="1" applyFont="1" applyFill="1" applyBorder="1"/>
    <xf numFmtId="165" fontId="51" fillId="15" borderId="22" xfId="11" applyNumberFormat="1" applyFont="1" applyFill="1" applyBorder="1" applyAlignment="1">
      <alignment horizontal="center"/>
    </xf>
    <xf numFmtId="165" fontId="47" fillId="15" borderId="20" xfId="11" applyNumberFormat="1" applyFont="1" applyFill="1" applyBorder="1" applyAlignment="1">
      <alignment horizontal="center"/>
    </xf>
    <xf numFmtId="0" fontId="47" fillId="15" borderId="11" xfId="0" applyFont="1" applyFill="1" applyBorder="1"/>
    <xf numFmtId="178" fontId="47" fillId="15" borderId="0" xfId="11" applyNumberFormat="1" applyFont="1" applyFill="1"/>
    <xf numFmtId="2" fontId="52" fillId="15" borderId="0" xfId="11" applyNumberFormat="1" applyFont="1" applyFill="1" applyBorder="1" applyAlignment="1">
      <alignment horizontal="center"/>
    </xf>
    <xf numFmtId="165" fontId="0" fillId="15" borderId="0" xfId="0" applyNumberFormat="1" applyFill="1" applyAlignment="1">
      <alignment horizontal="center"/>
    </xf>
    <xf numFmtId="2" fontId="52" fillId="15" borderId="0" xfId="11" applyNumberFormat="1" applyFont="1" applyFill="1" applyBorder="1" applyAlignment="1" applyProtection="1">
      <alignment horizontal="center"/>
    </xf>
    <xf numFmtId="3" fontId="52" fillId="15" borderId="0" xfId="11" applyNumberFormat="1" applyFont="1" applyFill="1" applyBorder="1" applyAlignment="1" applyProtection="1">
      <alignment horizontal="center"/>
    </xf>
    <xf numFmtId="172" fontId="52" fillId="15" borderId="22" xfId="11" applyNumberFormat="1" applyFont="1" applyFill="1" applyBorder="1" applyAlignment="1" applyProtection="1">
      <alignment horizontal="center"/>
    </xf>
    <xf numFmtId="165" fontId="47" fillId="15" borderId="0" xfId="11" applyNumberFormat="1" applyFont="1" applyFill="1" applyAlignment="1">
      <alignment horizontal="center"/>
    </xf>
    <xf numFmtId="172" fontId="47" fillId="15" borderId="0" xfId="11" applyNumberFormat="1" applyFont="1" applyFill="1" applyAlignment="1">
      <alignment horizontal="center"/>
    </xf>
    <xf numFmtId="165" fontId="47" fillId="16" borderId="0" xfId="11" applyNumberFormat="1" applyFont="1" applyFill="1" applyAlignment="1">
      <alignment horizontal="center"/>
    </xf>
    <xf numFmtId="0" fontId="47" fillId="15" borderId="0" xfId="11" applyNumberFormat="1" applyFont="1" applyFill="1" applyBorder="1"/>
    <xf numFmtId="0" fontId="47" fillId="15" borderId="19" xfId="11" applyNumberFormat="1" applyFont="1" applyFill="1" applyBorder="1"/>
    <xf numFmtId="2" fontId="47" fillId="15" borderId="22" xfId="11" applyNumberFormat="1" applyFont="1" applyFill="1" applyBorder="1" applyAlignment="1">
      <alignment horizontal="center"/>
    </xf>
    <xf numFmtId="2" fontId="47" fillId="15" borderId="0" xfId="11" applyNumberFormat="1" applyFont="1" applyFill="1" applyAlignment="1">
      <alignment horizontal="center"/>
    </xf>
    <xf numFmtId="2" fontId="47" fillId="15" borderId="0" xfId="11" applyNumberFormat="1" applyFont="1" applyFill="1" applyBorder="1" applyAlignment="1">
      <alignment horizontal="center"/>
    </xf>
    <xf numFmtId="165" fontId="52" fillId="15" borderId="0" xfId="11" applyNumberFormat="1" applyFont="1" applyFill="1" applyBorder="1" applyAlignment="1" applyProtection="1">
      <alignment horizontal="center"/>
    </xf>
    <xf numFmtId="4" fontId="47" fillId="15" borderId="0" xfId="11" applyNumberFormat="1" applyFont="1" applyFill="1" applyBorder="1" applyAlignment="1">
      <alignment horizontal="center"/>
    </xf>
    <xf numFmtId="3" fontId="52" fillId="15" borderId="22" xfId="11" applyNumberFormat="1" applyFont="1" applyFill="1" applyBorder="1" applyAlignment="1">
      <alignment horizontal="center"/>
    </xf>
    <xf numFmtId="0" fontId="51" fillId="15" borderId="15" xfId="11" applyNumberFormat="1" applyFont="1" applyFill="1" applyBorder="1"/>
    <xf numFmtId="170" fontId="47" fillId="15" borderId="0" xfId="11" applyNumberFormat="1" applyFont="1" applyFill="1" applyBorder="1" applyAlignment="1">
      <alignment horizontal="center"/>
    </xf>
    <xf numFmtId="0" fontId="47" fillId="15" borderId="19" xfId="11" applyNumberFormat="1" applyFont="1" applyFill="1" applyBorder="1" applyAlignment="1">
      <alignment horizontal="center"/>
    </xf>
    <xf numFmtId="0" fontId="47" fillId="15" borderId="0" xfId="11" applyNumberFormat="1" applyFont="1" applyFill="1" applyBorder="1" applyAlignment="1">
      <alignment horizontal="center"/>
    </xf>
    <xf numFmtId="0" fontId="47" fillId="15" borderId="20" xfId="11" applyNumberFormat="1" applyFont="1" applyFill="1" applyBorder="1" applyAlignment="1">
      <alignment horizontal="center"/>
    </xf>
    <xf numFmtId="1" fontId="52" fillId="15" borderId="0" xfId="11" applyNumberFormat="1" applyFont="1" applyFill="1" applyBorder="1" applyAlignment="1">
      <alignment horizontal="center"/>
    </xf>
    <xf numFmtId="170" fontId="59" fillId="15" borderId="0" xfId="11" applyNumberFormat="1" applyFont="1" applyFill="1" applyBorder="1" applyAlignment="1">
      <alignment horizontal="center"/>
    </xf>
    <xf numFmtId="170" fontId="59" fillId="15" borderId="20" xfId="11" applyNumberFormat="1" applyFont="1" applyFill="1" applyBorder="1" applyAlignment="1">
      <alignment horizontal="center"/>
    </xf>
    <xf numFmtId="1" fontId="47" fillId="15" borderId="22" xfId="11" applyNumberFormat="1" applyFont="1" applyFill="1" applyBorder="1" applyAlignment="1">
      <alignment horizontal="center"/>
    </xf>
    <xf numFmtId="3" fontId="47" fillId="15" borderId="0" xfId="11" applyNumberFormat="1" applyFont="1" applyFill="1" applyBorder="1" applyAlignment="1">
      <alignment horizontal="center"/>
    </xf>
    <xf numFmtId="9" fontId="47" fillId="15" borderId="0" xfId="2" applyFont="1" applyFill="1" applyBorder="1" applyAlignment="1" applyProtection="1">
      <alignment horizontal="center"/>
    </xf>
    <xf numFmtId="3" fontId="47" fillId="16" borderId="0" xfId="11" applyNumberFormat="1" applyFont="1" applyFill="1" applyBorder="1" applyAlignment="1">
      <alignment horizontal="center"/>
    </xf>
    <xf numFmtId="14" fontId="47" fillId="15" borderId="0" xfId="11" applyNumberFormat="1" applyFont="1" applyFill="1" applyAlignment="1">
      <alignment horizontal="center"/>
    </xf>
    <xf numFmtId="0" fontId="49" fillId="16" borderId="0" xfId="11" applyNumberFormat="1" applyFont="1" applyFill="1" applyAlignment="1">
      <alignment horizontal="center"/>
    </xf>
    <xf numFmtId="0" fontId="0" fillId="15" borderId="0" xfId="0" applyFill="1"/>
    <xf numFmtId="0" fontId="57" fillId="15" borderId="0" xfId="11" applyNumberFormat="1" applyFont="1" applyFill="1" applyBorder="1"/>
    <xf numFmtId="0" fontId="47" fillId="15" borderId="25" xfId="11" applyNumberFormat="1" applyFont="1" applyFill="1" applyBorder="1"/>
    <xf numFmtId="165" fontId="52" fillId="0" borderId="16" xfId="11" applyNumberFormat="1" applyFont="1" applyBorder="1" applyAlignment="1">
      <alignment horizontal="center"/>
    </xf>
    <xf numFmtId="165" fontId="52" fillId="15" borderId="17" xfId="11" applyNumberFormat="1" applyFont="1" applyFill="1" applyBorder="1" applyAlignment="1">
      <alignment horizontal="center"/>
    </xf>
    <xf numFmtId="2" fontId="52" fillId="15" borderId="18" xfId="11" applyNumberFormat="1" applyFont="1" applyFill="1" applyBorder="1" applyAlignment="1">
      <alignment horizontal="center"/>
    </xf>
    <xf numFmtId="172" fontId="52" fillId="15" borderId="23" xfId="11" applyNumberFormat="1" applyFont="1" applyFill="1" applyBorder="1" applyAlignment="1">
      <alignment horizontal="center"/>
    </xf>
    <xf numFmtId="172" fontId="52" fillId="15" borderId="24" xfId="11" applyNumberFormat="1" applyFont="1" applyFill="1" applyBorder="1" applyAlignment="1">
      <alignment horizontal="center"/>
    </xf>
    <xf numFmtId="0" fontId="60" fillId="15" borderId="0" xfId="0" applyFont="1" applyFill="1"/>
    <xf numFmtId="172" fontId="52" fillId="15" borderId="0" xfId="11" applyNumberFormat="1" applyFont="1" applyFill="1" applyBorder="1" applyAlignment="1">
      <alignment horizontal="center"/>
    </xf>
    <xf numFmtId="167" fontId="47" fillId="15" borderId="0" xfId="11" applyNumberFormat="1" applyFont="1" applyFill="1"/>
    <xf numFmtId="0" fontId="51" fillId="15" borderId="17" xfId="11" applyNumberFormat="1" applyFont="1" applyFill="1" applyBorder="1"/>
    <xf numFmtId="49" fontId="50" fillId="15" borderId="0" xfId="11" applyNumberFormat="1" applyFont="1" applyFill="1" applyAlignment="1">
      <alignment horizontal="center"/>
    </xf>
    <xf numFmtId="0" fontId="51" fillId="15" borderId="0" xfId="11" applyNumberFormat="1" applyFont="1" applyFill="1" applyBorder="1"/>
    <xf numFmtId="0" fontId="47" fillId="15" borderId="15" xfId="11" applyNumberFormat="1" applyFont="1" applyFill="1" applyBorder="1" applyAlignment="1">
      <alignment horizontal="left"/>
    </xf>
    <xf numFmtId="0" fontId="47" fillId="15" borderId="21" xfId="11" applyNumberFormat="1" applyFont="1" applyFill="1" applyBorder="1" applyAlignment="1">
      <alignment horizontal="left"/>
    </xf>
    <xf numFmtId="3" fontId="52" fillId="15" borderId="22" xfId="11" applyNumberFormat="1" applyFont="1" applyFill="1" applyBorder="1" applyAlignment="1" applyProtection="1">
      <alignment horizontal="center"/>
    </xf>
    <xf numFmtId="1" fontId="47" fillId="15" borderId="0" xfId="11" applyNumberFormat="1" applyFont="1" applyFill="1"/>
    <xf numFmtId="0" fontId="61" fillId="0" borderId="0" xfId="11" applyNumberFormat="1" applyFont="1"/>
    <xf numFmtId="0" fontId="62" fillId="0" borderId="6" xfId="0" applyFont="1" applyBorder="1" applyAlignment="1">
      <alignment horizontal="center" vertical="center" wrapText="1"/>
    </xf>
    <xf numFmtId="0" fontId="63" fillId="0" borderId="6" xfId="0" applyFont="1" applyBorder="1" applyAlignment="1">
      <alignment horizontal="center" vertical="center" wrapText="1"/>
    </xf>
    <xf numFmtId="0" fontId="64" fillId="0" borderId="8" xfId="0" applyFont="1" applyBorder="1" applyAlignment="1">
      <alignment horizontal="left" vertical="center"/>
    </xf>
    <xf numFmtId="4" fontId="63" fillId="0" borderId="8" xfId="0" applyNumberFormat="1" applyFont="1" applyBorder="1"/>
    <xf numFmtId="165" fontId="0" fillId="15" borderId="6" xfId="0" applyNumberFormat="1" applyFill="1" applyBorder="1" applyAlignment="1">
      <alignment horizontal="right"/>
    </xf>
    <xf numFmtId="165" fontId="65" fillId="17" borderId="6" xfId="0" applyNumberFormat="1" applyFont="1" applyFill="1" applyBorder="1" applyAlignment="1">
      <alignment horizontal="right"/>
    </xf>
    <xf numFmtId="0" fontId="64" fillId="18" borderId="6" xfId="0" applyFont="1" applyFill="1" applyBorder="1" applyAlignment="1">
      <alignment horizontal="left" vertical="center"/>
    </xf>
    <xf numFmtId="165" fontId="63" fillId="18" borderId="6" xfId="0" applyNumberFormat="1" applyFont="1" applyFill="1" applyBorder="1" applyAlignment="1">
      <alignment horizontal="right"/>
    </xf>
    <xf numFmtId="0" fontId="64" fillId="0" borderId="7" xfId="0" applyFont="1" applyBorder="1" applyAlignment="1">
      <alignment horizontal="left" vertical="center"/>
    </xf>
    <xf numFmtId="165" fontId="63" fillId="0" borderId="7" xfId="0" applyNumberFormat="1" applyFont="1" applyBorder="1" applyAlignment="1">
      <alignment horizontal="right"/>
    </xf>
    <xf numFmtId="165" fontId="0" fillId="17" borderId="6" xfId="0" applyNumberFormat="1" applyFill="1" applyBorder="1" applyAlignment="1">
      <alignment horizontal="right"/>
    </xf>
    <xf numFmtId="0" fontId="66" fillId="0" borderId="6" xfId="0" applyFont="1" applyBorder="1" applyAlignment="1">
      <alignment horizontal="left" vertical="center"/>
    </xf>
    <xf numFmtId="165" fontId="63" fillId="15" borderId="6" xfId="0" applyNumberFormat="1" applyFont="1" applyFill="1" applyBorder="1" applyAlignment="1">
      <alignment horizontal="right"/>
    </xf>
    <xf numFmtId="165" fontId="67" fillId="15" borderId="6" xfId="0" applyNumberFormat="1" applyFont="1" applyFill="1" applyBorder="1" applyAlignment="1">
      <alignment horizontal="right"/>
    </xf>
    <xf numFmtId="165" fontId="0" fillId="18" borderId="6" xfId="0" applyNumberFormat="1" applyFill="1" applyBorder="1" applyAlignment="1">
      <alignment horizontal="right"/>
    </xf>
    <xf numFmtId="168" fontId="43" fillId="14" borderId="0" xfId="11" applyNumberFormat="1" applyFont="1" applyFill="1" applyAlignment="1">
      <alignment horizontal="left"/>
    </xf>
    <xf numFmtId="4" fontId="63" fillId="0" borderId="7" xfId="0" applyNumberFormat="1" applyFont="1" applyBorder="1"/>
    <xf numFmtId="170" fontId="63" fillId="18" borderId="6" xfId="0" applyNumberFormat="1" applyFont="1" applyFill="1" applyBorder="1"/>
    <xf numFmtId="170" fontId="63" fillId="0" borderId="7" xfId="0" applyNumberFormat="1" applyFont="1" applyBorder="1"/>
    <xf numFmtId="0" fontId="5" fillId="9" borderId="16" xfId="6" applyFont="1" applyFill="1" applyBorder="1" applyAlignment="1">
      <alignment horizontal="center"/>
    </xf>
    <xf numFmtId="0" fontId="5" fillId="9" borderId="17" xfId="6" applyFont="1" applyFill="1" applyBorder="1" applyAlignment="1">
      <alignment horizontal="center"/>
    </xf>
    <xf numFmtId="0" fontId="5" fillId="9" borderId="18" xfId="6" applyFont="1" applyFill="1" applyBorder="1" applyAlignment="1">
      <alignment horizontal="center"/>
    </xf>
    <xf numFmtId="0" fontId="4" fillId="9" borderId="23" xfId="6" applyFont="1" applyFill="1" applyBorder="1"/>
    <xf numFmtId="0" fontId="29" fillId="9" borderId="16" xfId="6" applyFont="1" applyFill="1" applyBorder="1" applyAlignment="1">
      <alignment horizontal="center"/>
    </xf>
    <xf numFmtId="0" fontId="29" fillId="9" borderId="17" xfId="6" applyFont="1" applyFill="1" applyBorder="1" applyAlignment="1">
      <alignment horizontal="center"/>
    </xf>
    <xf numFmtId="0" fontId="29" fillId="9" borderId="18" xfId="6" applyFont="1" applyFill="1" applyBorder="1" applyAlignment="1">
      <alignment horizontal="center"/>
    </xf>
    <xf numFmtId="165" fontId="28" fillId="9" borderId="23" xfId="6" applyNumberFormat="1" applyFont="1" applyFill="1" applyBorder="1" applyAlignment="1">
      <alignment horizontal="center"/>
    </xf>
    <xf numFmtId="165" fontId="24" fillId="9" borderId="0" xfId="6" applyNumberFormat="1" applyFont="1" applyFill="1" applyAlignment="1">
      <alignment horizontal="center"/>
    </xf>
    <xf numFmtId="167" fontId="68" fillId="9" borderId="16" xfId="7" applyNumberFormat="1" applyFont="1" applyFill="1" applyBorder="1" applyAlignment="1">
      <alignment horizontal="center"/>
    </xf>
    <xf numFmtId="167" fontId="68" fillId="9" borderId="17" xfId="7" applyNumberFormat="1" applyFont="1" applyFill="1" applyBorder="1" applyAlignment="1">
      <alignment horizontal="center"/>
    </xf>
    <xf numFmtId="167" fontId="68" fillId="9" borderId="18" xfId="7" applyNumberFormat="1" applyFont="1" applyFill="1" applyBorder="1" applyAlignment="1">
      <alignment horizontal="center"/>
    </xf>
    <xf numFmtId="167" fontId="68" fillId="9" borderId="19" xfId="7" applyNumberFormat="1" applyFont="1" applyFill="1" applyBorder="1" applyAlignment="1">
      <alignment horizontal="center"/>
    </xf>
    <xf numFmtId="167" fontId="68" fillId="9" borderId="0" xfId="7" applyNumberFormat="1" applyFont="1" applyFill="1" applyBorder="1" applyAlignment="1">
      <alignment horizontal="center"/>
    </xf>
    <xf numFmtId="167" fontId="68" fillId="9" borderId="20" xfId="7" applyNumberFormat="1" applyFont="1" applyFill="1" applyBorder="1" applyAlignment="1">
      <alignment horizontal="center"/>
    </xf>
    <xf numFmtId="165" fontId="69" fillId="9" borderId="22" xfId="6" applyNumberFormat="1" applyFont="1" applyFill="1" applyBorder="1" applyAlignment="1">
      <alignment horizontal="center"/>
    </xf>
    <xf numFmtId="2" fontId="69" fillId="9" borderId="22" xfId="6" applyNumberFormat="1" applyFont="1" applyFill="1" applyBorder="1" applyAlignment="1">
      <alignment horizontal="center"/>
    </xf>
    <xf numFmtId="167" fontId="68" fillId="9" borderId="23" xfId="7" applyNumberFormat="1" applyFont="1" applyFill="1" applyBorder="1" applyAlignment="1">
      <alignment horizontal="center"/>
    </xf>
    <xf numFmtId="167" fontId="68" fillId="9" borderId="22" xfId="7" applyNumberFormat="1" applyFont="1" applyFill="1" applyBorder="1" applyAlignment="1">
      <alignment horizontal="center"/>
    </xf>
    <xf numFmtId="167" fontId="68" fillId="9" borderId="24" xfId="7" applyNumberFormat="1" applyFont="1" applyFill="1" applyBorder="1" applyAlignment="1">
      <alignment horizontal="center"/>
    </xf>
    <xf numFmtId="165" fontId="30" fillId="9" borderId="23" xfId="6" applyNumberFormat="1" applyFont="1" applyFill="1" applyBorder="1" applyAlignment="1">
      <alignment horizontal="center"/>
    </xf>
    <xf numFmtId="165" fontId="30" fillId="9" borderId="22" xfId="6" applyNumberFormat="1" applyFont="1" applyFill="1" applyBorder="1" applyAlignment="1">
      <alignment horizontal="center"/>
    </xf>
    <xf numFmtId="165" fontId="0" fillId="9" borderId="23" xfId="0" applyNumberFormat="1" applyFill="1" applyBorder="1" applyAlignment="1">
      <alignment horizontal="center"/>
    </xf>
    <xf numFmtId="165" fontId="0" fillId="9" borderId="22" xfId="0" applyNumberFormat="1" applyFill="1" applyBorder="1" applyAlignment="1">
      <alignment horizontal="center"/>
    </xf>
    <xf numFmtId="2" fontId="28" fillId="9" borderId="23" xfId="8" applyNumberFormat="1" applyFont="1" applyFill="1" applyBorder="1" applyAlignment="1">
      <alignment horizontal="center"/>
    </xf>
    <xf numFmtId="2" fontId="28" fillId="9" borderId="22" xfId="8" applyNumberFormat="1" applyFont="1" applyFill="1" applyBorder="1" applyAlignment="1">
      <alignment horizontal="center"/>
    </xf>
    <xf numFmtId="1" fontId="28" fillId="9" borderId="23" xfId="6" applyNumberFormat="1" applyFont="1" applyFill="1" applyBorder="1" applyAlignment="1">
      <alignment horizontal="center"/>
    </xf>
    <xf numFmtId="1" fontId="28" fillId="9" borderId="22" xfId="6" applyNumberFormat="1" applyFont="1" applyFill="1" applyBorder="1" applyAlignment="1">
      <alignment horizontal="center"/>
    </xf>
    <xf numFmtId="0" fontId="4" fillId="9" borderId="16" xfId="6" applyFont="1" applyFill="1" applyBorder="1"/>
    <xf numFmtId="165" fontId="28" fillId="0" borderId="22" xfId="6" applyNumberFormat="1" applyFont="1" applyBorder="1" applyAlignment="1">
      <alignment horizontal="center"/>
    </xf>
    <xf numFmtId="165" fontId="28" fillId="0" borderId="7" xfId="6" applyNumberFormat="1" applyFont="1" applyBorder="1" applyAlignment="1">
      <alignment horizontal="center"/>
    </xf>
    <xf numFmtId="165" fontId="28" fillId="0" borderId="30" xfId="6" applyNumberFormat="1" applyFont="1" applyBorder="1" applyAlignment="1">
      <alignment horizontal="center"/>
    </xf>
    <xf numFmtId="165" fontId="28" fillId="0" borderId="27" xfId="6" applyNumberFormat="1" applyFont="1" applyBorder="1" applyAlignment="1">
      <alignment horizontal="center"/>
    </xf>
    <xf numFmtId="2" fontId="0" fillId="0" borderId="0" xfId="0" applyNumberFormat="1"/>
    <xf numFmtId="165" fontId="0" fillId="15" borderId="0" xfId="0" applyNumberFormat="1" applyFill="1"/>
    <xf numFmtId="165" fontId="0" fillId="5" borderId="6" xfId="0" applyNumberFormat="1" applyFill="1" applyBorder="1" applyAlignment="1">
      <alignment horizontal="right"/>
    </xf>
    <xf numFmtId="165" fontId="0" fillId="19" borderId="6" xfId="0" applyNumberFormat="1" applyFill="1" applyBorder="1" applyAlignment="1">
      <alignment horizontal="right"/>
    </xf>
    <xf numFmtId="165" fontId="4" fillId="0" borderId="0" xfId="3" applyNumberFormat="1" applyFont="1" applyAlignment="1">
      <alignment horizontal="center"/>
    </xf>
    <xf numFmtId="0" fontId="72" fillId="20" borderId="0" xfId="12" applyFont="1" applyFill="1"/>
    <xf numFmtId="0" fontId="73" fillId="20" borderId="0" xfId="12" applyFont="1" applyFill="1"/>
    <xf numFmtId="0" fontId="71" fillId="0" borderId="0" xfId="12"/>
    <xf numFmtId="0" fontId="71" fillId="21" borderId="0" xfId="12" applyFill="1"/>
    <xf numFmtId="0" fontId="74" fillId="21" borderId="0" xfId="12" applyFont="1" applyFill="1"/>
    <xf numFmtId="0" fontId="75" fillId="21" borderId="0" xfId="12" applyFont="1" applyFill="1"/>
    <xf numFmtId="0" fontId="76" fillId="22" borderId="0" xfId="12" applyFont="1" applyFill="1"/>
    <xf numFmtId="0" fontId="71" fillId="23" borderId="0" xfId="12" applyFill="1"/>
    <xf numFmtId="0" fontId="77" fillId="23" borderId="0" xfId="12" applyFont="1" applyFill="1"/>
    <xf numFmtId="4" fontId="80" fillId="0" borderId="31" xfId="12" applyNumberFormat="1" applyFont="1" applyBorder="1" applyAlignment="1">
      <alignment horizontal="center" vertical="center" wrapText="1"/>
    </xf>
    <xf numFmtId="0" fontId="80" fillId="0" borderId="31" xfId="12" applyFont="1" applyBorder="1" applyAlignment="1">
      <alignment horizontal="center" vertical="center" wrapText="1"/>
    </xf>
    <xf numFmtId="0" fontId="81" fillId="0" borderId="31" xfId="12" applyFont="1" applyBorder="1" applyAlignment="1">
      <alignment horizontal="left" vertical="center"/>
    </xf>
    <xf numFmtId="165" fontId="82" fillId="0" borderId="31" xfId="12" applyNumberFormat="1" applyFont="1" applyBorder="1" applyAlignment="1">
      <alignment horizontal="right"/>
    </xf>
    <xf numFmtId="165" fontId="81" fillId="21" borderId="31" xfId="12" applyNumberFormat="1" applyFont="1" applyFill="1" applyBorder="1" applyAlignment="1">
      <alignment horizontal="right"/>
    </xf>
    <xf numFmtId="165" fontId="79" fillId="21" borderId="31" xfId="12" applyNumberFormat="1" applyFont="1" applyFill="1" applyBorder="1" applyAlignment="1">
      <alignment horizontal="right"/>
    </xf>
    <xf numFmtId="0" fontId="79" fillId="24" borderId="31" xfId="12" applyFont="1" applyFill="1" applyBorder="1" applyAlignment="1">
      <alignment horizontal="left" vertical="center"/>
    </xf>
    <xf numFmtId="165" fontId="79" fillId="24" borderId="31" xfId="12" applyNumberFormat="1" applyFont="1" applyFill="1" applyBorder="1" applyAlignment="1">
      <alignment horizontal="right"/>
    </xf>
    <xf numFmtId="0" fontId="79" fillId="0" borderId="32" xfId="12" applyFont="1" applyBorder="1" applyAlignment="1">
      <alignment horizontal="left" vertical="center"/>
    </xf>
    <xf numFmtId="165" fontId="79" fillId="0" borderId="32" xfId="12" applyNumberFormat="1" applyFont="1" applyBorder="1" applyAlignment="1">
      <alignment horizontal="right"/>
    </xf>
    <xf numFmtId="0" fontId="82" fillId="0" borderId="31" xfId="12" applyFont="1" applyBorder="1" applyAlignment="1">
      <alignment horizontal="left" vertical="center"/>
    </xf>
    <xf numFmtId="165" fontId="78" fillId="0" borderId="31" xfId="12" applyNumberFormat="1" applyFont="1" applyBorder="1" applyAlignment="1">
      <alignment horizontal="right"/>
    </xf>
    <xf numFmtId="165" fontId="71" fillId="21" borderId="0" xfId="12" applyNumberFormat="1" applyFill="1"/>
    <xf numFmtId="165" fontId="82" fillId="4" borderId="31" xfId="12" applyNumberFormat="1" applyFont="1" applyFill="1" applyBorder="1" applyAlignment="1">
      <alignment horizontal="right"/>
    </xf>
    <xf numFmtId="165" fontId="81" fillId="25" borderId="31" xfId="12" applyNumberFormat="1" applyFont="1" applyFill="1" applyBorder="1" applyAlignment="1">
      <alignment horizontal="right"/>
    </xf>
    <xf numFmtId="165" fontId="11" fillId="0" borderId="0" xfId="4" applyNumberFormat="1" applyFont="1" applyFill="1" applyBorder="1" applyAlignment="1">
      <alignment horizontal="right"/>
    </xf>
    <xf numFmtId="0" fontId="70" fillId="0" borderId="0" xfId="0" applyFont="1"/>
    <xf numFmtId="165" fontId="11" fillId="0" borderId="0" xfId="5" applyNumberFormat="1" applyFont="1" applyFill="1" applyBorder="1"/>
    <xf numFmtId="0" fontId="84" fillId="26" borderId="0" xfId="13" applyFont="1" applyFill="1"/>
    <xf numFmtId="0" fontId="83" fillId="26" borderId="0" xfId="14" applyFont="1" applyFill="1"/>
    <xf numFmtId="0" fontId="85" fillId="0" borderId="0" xfId="14" applyFont="1"/>
    <xf numFmtId="0" fontId="86" fillId="26" borderId="0" xfId="14" applyFont="1" applyFill="1"/>
    <xf numFmtId="0" fontId="0" fillId="26" borderId="0" xfId="14" applyFont="1" applyFill="1"/>
    <xf numFmtId="0" fontId="86" fillId="26" borderId="0" xfId="14" applyFont="1" applyFill="1" applyAlignment="1">
      <alignment vertical="top"/>
    </xf>
    <xf numFmtId="0" fontId="87" fillId="26" borderId="0" xfId="14" applyFont="1" applyFill="1" applyAlignment="1">
      <alignment vertical="top"/>
    </xf>
    <xf numFmtId="0" fontId="88" fillId="26" borderId="0" xfId="14" applyFont="1" applyFill="1"/>
    <xf numFmtId="0" fontId="84" fillId="26" borderId="0" xfId="14" applyFont="1" applyFill="1"/>
    <xf numFmtId="0" fontId="37" fillId="26" borderId="0" xfId="14" applyFont="1" applyFill="1"/>
    <xf numFmtId="0" fontId="89" fillId="26" borderId="26" xfId="14" applyFont="1" applyFill="1" applyBorder="1"/>
    <xf numFmtId="0" fontId="0" fillId="26" borderId="4" xfId="14" applyFont="1" applyFill="1" applyBorder="1" applyAlignment="1">
      <alignment horizontal="right"/>
    </xf>
    <xf numFmtId="0" fontId="84" fillId="26" borderId="1" xfId="14" applyFont="1" applyFill="1" applyBorder="1"/>
    <xf numFmtId="3" fontId="3" fillId="26" borderId="3" xfId="14" applyNumberFormat="1" applyFill="1" applyBorder="1"/>
    <xf numFmtId="165" fontId="84" fillId="26" borderId="0" xfId="14" applyNumberFormat="1" applyFont="1" applyFill="1"/>
    <xf numFmtId="0" fontId="90" fillId="26" borderId="1" xfId="14" applyFont="1" applyFill="1" applyBorder="1"/>
    <xf numFmtId="0" fontId="88" fillId="26" borderId="1" xfId="14" applyFont="1" applyFill="1" applyBorder="1"/>
    <xf numFmtId="0" fontId="91" fillId="26" borderId="0" xfId="14" applyFont="1" applyFill="1"/>
    <xf numFmtId="0" fontId="84" fillId="26" borderId="28" xfId="14" applyFont="1" applyFill="1" applyBorder="1"/>
    <xf numFmtId="3" fontId="84" fillId="26" borderId="5" xfId="14" applyNumberFormat="1" applyFont="1" applyFill="1" applyBorder="1"/>
    <xf numFmtId="0" fontId="0" fillId="26" borderId="0" xfId="14" applyFont="1" applyFill="1" applyAlignment="1">
      <alignment horizontal="left"/>
    </xf>
    <xf numFmtId="0" fontId="0" fillId="26" borderId="0" xfId="14" applyFont="1" applyFill="1" applyAlignment="1">
      <alignment horizontal="right" vertical="center"/>
    </xf>
    <xf numFmtId="0" fontId="3" fillId="0" borderId="0" xfId="14"/>
    <xf numFmtId="0" fontId="3" fillId="0" borderId="26" xfId="14" applyBorder="1"/>
    <xf numFmtId="0" fontId="83" fillId="26" borderId="8" xfId="14" applyFont="1" applyFill="1" applyBorder="1"/>
    <xf numFmtId="0" fontId="83" fillId="26" borderId="9" xfId="14" applyFont="1" applyFill="1" applyBorder="1"/>
    <xf numFmtId="0" fontId="84" fillId="26" borderId="26" xfId="14" applyFont="1" applyFill="1" applyBorder="1"/>
    <xf numFmtId="3" fontId="83" fillId="26" borderId="26" xfId="14" applyNumberFormat="1" applyFont="1" applyFill="1" applyBorder="1"/>
    <xf numFmtId="3" fontId="83" fillId="26" borderId="8" xfId="14" applyNumberFormat="1" applyFont="1" applyFill="1" applyBorder="1"/>
    <xf numFmtId="3" fontId="83" fillId="26" borderId="9" xfId="14" applyNumberFormat="1" applyFont="1" applyFill="1" applyBorder="1"/>
    <xf numFmtId="3" fontId="83" fillId="26" borderId="0" xfId="14" applyNumberFormat="1" applyFont="1" applyFill="1"/>
    <xf numFmtId="3" fontId="83" fillId="26" borderId="1" xfId="14" applyNumberFormat="1" applyFont="1" applyFill="1" applyBorder="1"/>
    <xf numFmtId="3" fontId="83" fillId="26" borderId="2" xfId="14" applyNumberFormat="1" applyFont="1" applyFill="1" applyBorder="1"/>
    <xf numFmtId="1" fontId="84" fillId="26" borderId="0" xfId="14" applyNumberFormat="1" applyFont="1" applyFill="1"/>
    <xf numFmtId="0" fontId="88" fillId="26" borderId="28" xfId="14" applyFont="1" applyFill="1" applyBorder="1"/>
    <xf numFmtId="3" fontId="83" fillId="26" borderId="28" xfId="14" applyNumberFormat="1" applyFont="1" applyFill="1" applyBorder="1"/>
    <xf numFmtId="3" fontId="83" fillId="26" borderId="29" xfId="14" applyNumberFormat="1" applyFont="1" applyFill="1" applyBorder="1"/>
    <xf numFmtId="3" fontId="83" fillId="26" borderId="10" xfId="14" applyNumberFormat="1" applyFont="1" applyFill="1" applyBorder="1"/>
    <xf numFmtId="179" fontId="83" fillId="26" borderId="0" xfId="14" applyNumberFormat="1" applyFont="1" applyFill="1"/>
    <xf numFmtId="0" fontId="92" fillId="26" borderId="0" xfId="14" applyFont="1" applyFill="1" applyAlignment="1">
      <alignment horizontal="right"/>
    </xf>
    <xf numFmtId="0" fontId="93" fillId="26" borderId="0" xfId="14" applyFont="1" applyFill="1"/>
    <xf numFmtId="0" fontId="94" fillId="26" borderId="0" xfId="14" applyFont="1" applyFill="1"/>
    <xf numFmtId="0" fontId="84" fillId="26" borderId="4" xfId="14" applyFont="1" applyFill="1" applyBorder="1" applyAlignment="1">
      <alignment horizontal="center"/>
    </xf>
    <xf numFmtId="0" fontId="84" fillId="26" borderId="0" xfId="14" applyFont="1" applyFill="1" applyAlignment="1">
      <alignment horizontal="center"/>
    </xf>
    <xf numFmtId="0" fontId="87" fillId="26" borderId="0" xfId="14" applyFont="1" applyFill="1"/>
    <xf numFmtId="172" fontId="87" fillId="0" borderId="3" xfId="14" applyNumberFormat="1" applyFont="1" applyBorder="1"/>
    <xf numFmtId="172" fontId="89" fillId="0" borderId="5" xfId="14" applyNumberFormat="1" applyFont="1" applyBorder="1"/>
    <xf numFmtId="9" fontId="3" fillId="26" borderId="0" xfId="15" applyFill="1" applyBorder="1"/>
    <xf numFmtId="0" fontId="83" fillId="26" borderId="33" xfId="14" applyFont="1" applyFill="1" applyBorder="1"/>
    <xf numFmtId="0" fontId="83" fillId="26" borderId="34" xfId="14" applyFont="1" applyFill="1" applyBorder="1"/>
    <xf numFmtId="165" fontId="24" fillId="0" borderId="0" xfId="3" applyNumberFormat="1" applyFont="1"/>
    <xf numFmtId="165" fontId="2" fillId="0" borderId="0" xfId="0" applyNumberFormat="1" applyFont="1"/>
    <xf numFmtId="165" fontId="71" fillId="0" borderId="0" xfId="12" applyNumberFormat="1"/>
    <xf numFmtId="165" fontId="0" fillId="0" borderId="0" xfId="0" applyNumberFormat="1"/>
    <xf numFmtId="172" fontId="4" fillId="0" borderId="0" xfId="3" applyNumberFormat="1" applyFont="1"/>
    <xf numFmtId="165" fontId="79" fillId="25" borderId="31" xfId="12" applyNumberFormat="1" applyFont="1" applyFill="1" applyBorder="1" applyAlignment="1">
      <alignment horizontal="right"/>
    </xf>
    <xf numFmtId="165" fontId="79" fillId="4" borderId="32" xfId="12" applyNumberFormat="1" applyFont="1" applyFill="1" applyBorder="1" applyAlignment="1">
      <alignment horizontal="right"/>
    </xf>
    <xf numFmtId="165" fontId="2" fillId="0" borderId="0" xfId="3" applyNumberFormat="1" applyFont="1"/>
    <xf numFmtId="0" fontId="5" fillId="0" borderId="2" xfId="3" applyFont="1" applyBorder="1" applyAlignment="1">
      <alignment horizontal="right"/>
    </xf>
    <xf numFmtId="0" fontId="4" fillId="0" borderId="0" xfId="3" applyFont="1" applyAlignment="1">
      <alignment horizontal="center"/>
    </xf>
    <xf numFmtId="0" fontId="4" fillId="0" borderId="0" xfId="0" applyFont="1" applyAlignment="1">
      <alignment horizontal="center"/>
    </xf>
    <xf numFmtId="165" fontId="4" fillId="0" borderId="0" xfId="0" applyNumberFormat="1" applyFont="1" applyAlignment="1">
      <alignment horizontal="center"/>
    </xf>
    <xf numFmtId="0" fontId="95" fillId="0" borderId="0" xfId="0" applyFont="1"/>
    <xf numFmtId="165" fontId="20" fillId="0" borderId="0" xfId="3" applyNumberFormat="1" applyFont="1"/>
    <xf numFmtId="2" fontId="4" fillId="0" borderId="0" xfId="3" applyNumberFormat="1" applyFont="1" applyAlignment="1">
      <alignment horizontal="center"/>
    </xf>
    <xf numFmtId="2" fontId="20" fillId="0" borderId="0" xfId="3" applyNumberFormat="1" applyFont="1"/>
    <xf numFmtId="166" fontId="20" fillId="0" borderId="0" xfId="1" applyNumberFormat="1" applyFont="1" applyBorder="1" applyAlignment="1">
      <alignment horizontal="right"/>
    </xf>
    <xf numFmtId="165" fontId="4" fillId="7" borderId="4" xfId="3" applyNumberFormat="1" applyFont="1" applyFill="1" applyBorder="1"/>
    <xf numFmtId="4" fontId="4" fillId="0" borderId="0" xfId="0" applyNumberFormat="1" applyFont="1" applyAlignment="1">
      <alignment horizontal="center" vertical="center"/>
    </xf>
    <xf numFmtId="165" fontId="20" fillId="0" borderId="0" xfId="0" applyNumberFormat="1" applyFont="1" applyAlignment="1">
      <alignment horizontal="center" vertical="center"/>
    </xf>
    <xf numFmtId="165" fontId="4" fillId="7" borderId="3" xfId="3" applyNumberFormat="1" applyFont="1" applyFill="1" applyBorder="1"/>
    <xf numFmtId="165" fontId="4" fillId="7" borderId="0" xfId="3" applyNumberFormat="1" applyFont="1" applyFill="1"/>
    <xf numFmtId="165" fontId="95" fillId="0" borderId="0" xfId="0" applyNumberFormat="1" applyFont="1"/>
    <xf numFmtId="165" fontId="81" fillId="0" borderId="31" xfId="12" applyNumberFormat="1" applyFont="1" applyBorder="1" applyAlignment="1">
      <alignment horizontal="right"/>
    </xf>
    <xf numFmtId="165" fontId="79" fillId="27" borderId="31" xfId="12" applyNumberFormat="1" applyFont="1" applyFill="1" applyBorder="1" applyAlignment="1">
      <alignment horizontal="right"/>
    </xf>
    <xf numFmtId="165" fontId="4" fillId="0" borderId="0" xfId="0" applyNumberFormat="1" applyFont="1" applyAlignment="1">
      <alignment horizontal="right" vertical="center"/>
    </xf>
    <xf numFmtId="165" fontId="4" fillId="6" borderId="4" xfId="3" applyNumberFormat="1" applyFont="1" applyFill="1" applyBorder="1" applyAlignment="1">
      <alignment horizontal="center" vertical="center"/>
    </xf>
    <xf numFmtId="165" fontId="4" fillId="4" borderId="4" xfId="3" applyNumberFormat="1" applyFont="1" applyFill="1" applyBorder="1" applyAlignment="1">
      <alignment horizontal="center" vertical="center"/>
    </xf>
    <xf numFmtId="165" fontId="4" fillId="4" borderId="5" xfId="3" applyNumberFormat="1" applyFont="1" applyFill="1" applyBorder="1" applyAlignment="1">
      <alignment horizontal="center" vertical="center"/>
    </xf>
    <xf numFmtId="165" fontId="70" fillId="0" borderId="0" xfId="0" applyNumberFormat="1" applyFont="1"/>
    <xf numFmtId="0" fontId="74" fillId="21" borderId="0" xfId="12" applyFont="1" applyFill="1" applyAlignment="1">
      <alignment horizontal="left"/>
    </xf>
    <xf numFmtId="172" fontId="81" fillId="21" borderId="31" xfId="12" applyNumberFormat="1" applyFont="1" applyFill="1" applyBorder="1" applyAlignment="1">
      <alignment horizontal="right"/>
    </xf>
    <xf numFmtId="165" fontId="5" fillId="4" borderId="4" xfId="3" applyNumberFormat="1" applyFont="1" applyFill="1" applyBorder="1" applyAlignment="1">
      <alignment horizontal="center" vertical="center"/>
    </xf>
    <xf numFmtId="2" fontId="5" fillId="6" borderId="3" xfId="3" applyNumberFormat="1" applyFont="1" applyFill="1" applyBorder="1" applyAlignment="1">
      <alignment horizontal="center" vertical="center"/>
    </xf>
    <xf numFmtId="2" fontId="5" fillId="6" borderId="5" xfId="3" applyNumberFormat="1" applyFont="1" applyFill="1" applyBorder="1" applyAlignment="1">
      <alignment horizontal="center" vertical="center"/>
    </xf>
    <xf numFmtId="2" fontId="5" fillId="6" borderId="3" xfId="0" applyNumberFormat="1" applyFont="1" applyFill="1" applyBorder="1" applyAlignment="1">
      <alignment horizontal="center" vertical="center"/>
    </xf>
    <xf numFmtId="2" fontId="5" fillId="6" borderId="5" xfId="0" applyNumberFormat="1" applyFont="1" applyFill="1" applyBorder="1" applyAlignment="1">
      <alignment horizontal="center" vertical="center"/>
    </xf>
    <xf numFmtId="165" fontId="4" fillId="6" borderId="3" xfId="0" applyNumberFormat="1" applyFont="1" applyFill="1" applyBorder="1" applyAlignment="1">
      <alignment horizontal="center" vertical="center"/>
    </xf>
    <xf numFmtId="165" fontId="4" fillId="6" borderId="5" xfId="0" applyNumberFormat="1" applyFont="1" applyFill="1" applyBorder="1" applyAlignment="1">
      <alignment horizontal="center" vertical="center"/>
    </xf>
    <xf numFmtId="165" fontId="4" fillId="4" borderId="4" xfId="3" applyNumberFormat="1" applyFont="1" applyFill="1" applyBorder="1" applyAlignment="1">
      <alignment vertical="center"/>
    </xf>
    <xf numFmtId="165" fontId="4" fillId="4" borderId="3" xfId="3" applyNumberFormat="1" applyFont="1" applyFill="1" applyBorder="1" applyAlignment="1">
      <alignment vertical="center"/>
    </xf>
    <xf numFmtId="165" fontId="4" fillId="4" borderId="5" xfId="3" applyNumberFormat="1" applyFont="1" applyFill="1" applyBorder="1" applyAlignment="1">
      <alignment vertical="center"/>
    </xf>
    <xf numFmtId="165" fontId="5" fillId="4" borderId="4" xfId="3" applyNumberFormat="1" applyFont="1" applyFill="1" applyBorder="1" applyAlignment="1">
      <alignment vertical="center"/>
    </xf>
    <xf numFmtId="165" fontId="5" fillId="4" borderId="3" xfId="3" applyNumberFormat="1" applyFont="1" applyFill="1" applyBorder="1" applyAlignment="1">
      <alignment vertical="center"/>
    </xf>
    <xf numFmtId="165" fontId="5" fillId="4" borderId="5" xfId="3" applyNumberFormat="1" applyFont="1" applyFill="1" applyBorder="1" applyAlignment="1">
      <alignment vertical="center"/>
    </xf>
    <xf numFmtId="1" fontId="5" fillId="5" borderId="4" xfId="3" applyNumberFormat="1" applyFont="1" applyFill="1" applyBorder="1" applyAlignment="1">
      <alignment vertical="center"/>
    </xf>
    <xf numFmtId="1" fontId="5" fillId="5" borderId="3" xfId="3" applyNumberFormat="1" applyFont="1" applyFill="1" applyBorder="1" applyAlignment="1">
      <alignment vertical="center"/>
    </xf>
    <xf numFmtId="1" fontId="5" fillId="5" borderId="5" xfId="3" applyNumberFormat="1" applyFont="1" applyFill="1" applyBorder="1" applyAlignment="1">
      <alignment vertical="center"/>
    </xf>
    <xf numFmtId="165" fontId="5" fillId="5" borderId="3" xfId="3" applyNumberFormat="1" applyFont="1" applyFill="1" applyBorder="1" applyAlignment="1">
      <alignment vertical="center"/>
    </xf>
    <xf numFmtId="165" fontId="5" fillId="5" borderId="5" xfId="3" applyNumberFormat="1" applyFont="1" applyFill="1" applyBorder="1" applyAlignment="1">
      <alignment vertical="center"/>
    </xf>
    <xf numFmtId="165" fontId="4" fillId="5" borderId="3" xfId="3" applyNumberFormat="1" applyFont="1" applyFill="1" applyBorder="1" applyAlignment="1">
      <alignment vertical="center"/>
    </xf>
    <xf numFmtId="165" fontId="4" fillId="5" borderId="5" xfId="3" applyNumberFormat="1" applyFont="1" applyFill="1" applyBorder="1" applyAlignment="1">
      <alignment vertical="center"/>
    </xf>
    <xf numFmtId="165" fontId="4" fillId="5" borderId="3" xfId="0" applyNumberFormat="1" applyFont="1" applyFill="1" applyBorder="1" applyAlignment="1">
      <alignment vertical="center"/>
    </xf>
    <xf numFmtId="165" fontId="4" fillId="5" borderId="5" xfId="0" applyNumberFormat="1" applyFont="1" applyFill="1" applyBorder="1" applyAlignment="1">
      <alignment vertical="center"/>
    </xf>
    <xf numFmtId="165" fontId="5" fillId="7" borderId="4" xfId="3" applyNumberFormat="1" applyFont="1" applyFill="1" applyBorder="1" applyAlignment="1">
      <alignment vertical="center"/>
    </xf>
    <xf numFmtId="165" fontId="5" fillId="7" borderId="3" xfId="3" applyNumberFormat="1" applyFont="1" applyFill="1" applyBorder="1" applyAlignment="1">
      <alignment vertical="center"/>
    </xf>
    <xf numFmtId="165" fontId="4" fillId="7" borderId="4" xfId="0" applyNumberFormat="1" applyFont="1" applyFill="1" applyBorder="1" applyAlignment="1">
      <alignment vertical="center"/>
    </xf>
    <xf numFmtId="165" fontId="4" fillId="7" borderId="3" xfId="0" applyNumberFormat="1" applyFont="1" applyFill="1" applyBorder="1" applyAlignment="1">
      <alignment vertical="center"/>
    </xf>
    <xf numFmtId="165" fontId="4" fillId="7" borderId="5" xfId="3" applyNumberFormat="1" applyFont="1" applyFill="1" applyBorder="1" applyAlignment="1">
      <alignment horizontal="center" vertical="center"/>
    </xf>
    <xf numFmtId="165" fontId="4" fillId="7" borderId="5" xfId="3" applyNumberFormat="1" applyFont="1" applyFill="1" applyBorder="1" applyAlignment="1">
      <alignment horizontal="right" vertical="center"/>
    </xf>
    <xf numFmtId="180" fontId="4" fillId="0" borderId="0" xfId="3" applyNumberFormat="1" applyFont="1"/>
    <xf numFmtId="165" fontId="4" fillId="5" borderId="4" xfId="3" applyNumberFormat="1" applyFont="1" applyFill="1" applyBorder="1" applyAlignment="1">
      <alignment vertical="center"/>
    </xf>
    <xf numFmtId="172" fontId="20" fillId="0" borderId="0" xfId="3" applyNumberFormat="1" applyFont="1"/>
    <xf numFmtId="0" fontId="38" fillId="0" borderId="0" xfId="0" applyFont="1" applyAlignment="1">
      <alignment horizontal="center" vertical="center"/>
    </xf>
    <xf numFmtId="165" fontId="4" fillId="5" borderId="0" xfId="0" applyNumberFormat="1" applyFont="1" applyFill="1"/>
    <xf numFmtId="165" fontId="82" fillId="28" borderId="31" xfId="12" applyNumberFormat="1" applyFont="1" applyFill="1" applyBorder="1" applyAlignment="1">
      <alignment horizontal="right"/>
    </xf>
    <xf numFmtId="165" fontId="81" fillId="29" borderId="31" xfId="12" applyNumberFormat="1" applyFont="1" applyFill="1" applyBorder="1" applyAlignment="1">
      <alignment horizontal="right"/>
    </xf>
    <xf numFmtId="165" fontId="4" fillId="9" borderId="0" xfId="0" applyNumberFormat="1" applyFont="1" applyFill="1"/>
    <xf numFmtId="164" fontId="4" fillId="5" borderId="0" xfId="1" applyFont="1" applyFill="1" applyAlignment="1">
      <alignment horizontal="center" vertical="center"/>
    </xf>
    <xf numFmtId="165" fontId="4" fillId="5" borderId="0" xfId="3" applyNumberFormat="1" applyFont="1" applyFill="1"/>
    <xf numFmtId="165" fontId="5" fillId="5" borderId="0" xfId="3" applyNumberFormat="1" applyFont="1" applyFill="1"/>
    <xf numFmtId="165" fontId="81" fillId="28" borderId="31" xfId="12" applyNumberFormat="1" applyFont="1" applyFill="1" applyBorder="1" applyAlignment="1">
      <alignment horizontal="right"/>
    </xf>
    <xf numFmtId="165" fontId="79" fillId="28" borderId="32" xfId="12" applyNumberFormat="1" applyFont="1" applyFill="1" applyBorder="1" applyAlignment="1">
      <alignment horizontal="right"/>
    </xf>
    <xf numFmtId="0" fontId="38" fillId="0" borderId="6" xfId="0" applyFont="1" applyBorder="1" applyAlignment="1">
      <alignment horizontal="center" vertical="center"/>
    </xf>
    <xf numFmtId="0" fontId="96" fillId="0" borderId="6" xfId="0" applyFont="1" applyBorder="1"/>
    <xf numFmtId="0" fontId="38" fillId="0" borderId="0" xfId="0" applyFont="1" applyAlignment="1">
      <alignment horizontal="right"/>
    </xf>
    <xf numFmtId="167" fontId="38" fillId="0" borderId="0" xfId="0" applyNumberFormat="1" applyFont="1"/>
    <xf numFmtId="167" fontId="39" fillId="0" borderId="0" xfId="0" applyNumberFormat="1" applyFont="1"/>
    <xf numFmtId="165" fontId="4" fillId="13" borderId="0" xfId="0" applyNumberFormat="1" applyFont="1" applyFill="1"/>
    <xf numFmtId="0" fontId="3" fillId="0" borderId="0" xfId="0" applyFont="1"/>
    <xf numFmtId="0" fontId="96" fillId="0" borderId="0" xfId="0" applyFont="1"/>
    <xf numFmtId="0" fontId="97" fillId="0" borderId="0" xfId="0" applyFont="1"/>
    <xf numFmtId="0" fontId="97" fillId="0" borderId="6" xfId="0" applyFont="1" applyBorder="1"/>
    <xf numFmtId="2" fontId="38" fillId="0" borderId="30" xfId="0" applyNumberFormat="1" applyFont="1" applyBorder="1"/>
    <xf numFmtId="165" fontId="2" fillId="13" borderId="36" xfId="0" applyNumberFormat="1" applyFont="1" applyFill="1" applyBorder="1"/>
    <xf numFmtId="165" fontId="4" fillId="13" borderId="36" xfId="0" applyNumberFormat="1" applyFont="1" applyFill="1" applyBorder="1"/>
    <xf numFmtId="165" fontId="4" fillId="0" borderId="36" xfId="0" applyNumberFormat="1" applyFont="1" applyBorder="1"/>
    <xf numFmtId="165" fontId="2" fillId="13" borderId="36" xfId="0" applyNumberFormat="1" applyFont="1" applyFill="1" applyBorder="1" applyAlignment="1">
      <alignment wrapText="1" shrinkToFit="1"/>
    </xf>
    <xf numFmtId="0" fontId="39" fillId="0" borderId="0" xfId="0" applyFont="1"/>
    <xf numFmtId="165" fontId="98" fillId="0" borderId="0" xfId="0" applyNumberFormat="1" applyFont="1"/>
    <xf numFmtId="165" fontId="98" fillId="0" borderId="0" xfId="0" quotePrefix="1" applyNumberFormat="1" applyFont="1"/>
    <xf numFmtId="165" fontId="10" fillId="0" borderId="0" xfId="0" applyNumberFormat="1" applyFont="1"/>
    <xf numFmtId="1" fontId="20" fillId="0" borderId="3" xfId="0" applyNumberFormat="1" applyFont="1" applyBorder="1"/>
    <xf numFmtId="1" fontId="31" fillId="0" borderId="3" xfId="0" applyNumberFormat="1" applyFont="1" applyBorder="1"/>
    <xf numFmtId="164" fontId="99" fillId="0" borderId="0" xfId="1" applyFont="1"/>
    <xf numFmtId="0" fontId="19" fillId="10" borderId="0" xfId="6" applyFont="1" applyFill="1" applyAlignment="1">
      <alignment horizontal="left"/>
    </xf>
    <xf numFmtId="4" fontId="2" fillId="0" borderId="7" xfId="0" applyNumberFormat="1" applyFont="1" applyBorder="1"/>
    <xf numFmtId="170" fontId="0" fillId="6" borderId="6" xfId="0" applyNumberFormat="1" applyFill="1" applyBorder="1"/>
    <xf numFmtId="170" fontId="2" fillId="6" borderId="6" xfId="0" applyNumberFormat="1" applyFont="1" applyFill="1" applyBorder="1"/>
    <xf numFmtId="170" fontId="2" fillId="0" borderId="7" xfId="0" applyNumberFormat="1" applyFont="1" applyBorder="1"/>
    <xf numFmtId="181" fontId="0" fillId="0" borderId="6" xfId="0" applyNumberFormat="1" applyBorder="1"/>
    <xf numFmtId="170" fontId="2" fillId="0" borderId="6" xfId="0" applyNumberFormat="1" applyFont="1" applyBorder="1"/>
    <xf numFmtId="170" fontId="0" fillId="9" borderId="6" xfId="0" applyNumberFormat="1" applyFill="1" applyBorder="1"/>
    <xf numFmtId="178" fontId="0" fillId="0" borderId="0" xfId="0" applyNumberFormat="1"/>
    <xf numFmtId="0" fontId="0" fillId="0" borderId="18" xfId="0" applyBorder="1"/>
    <xf numFmtId="0" fontId="0" fillId="0" borderId="20" xfId="0" applyBorder="1"/>
    <xf numFmtId="0" fontId="0" fillId="0" borderId="24" xfId="0" applyBorder="1"/>
    <xf numFmtId="0" fontId="0" fillId="0" borderId="37" xfId="0" applyBorder="1"/>
    <xf numFmtId="0" fontId="0" fillId="0" borderId="38" xfId="0" applyBorder="1"/>
    <xf numFmtId="0" fontId="0" fillId="0" borderId="39" xfId="0" applyBorder="1"/>
    <xf numFmtId="1" fontId="100" fillId="0" borderId="0" xfId="0" applyNumberFormat="1" applyFont="1"/>
    <xf numFmtId="172" fontId="0" fillId="0" borderId="0" xfId="0" applyNumberFormat="1"/>
    <xf numFmtId="0" fontId="0" fillId="0" borderId="0" xfId="0" quotePrefix="1"/>
    <xf numFmtId="0" fontId="100" fillId="0" borderId="0" xfId="0" applyFont="1"/>
    <xf numFmtId="0" fontId="103" fillId="0" borderId="0" xfId="0" applyFont="1"/>
    <xf numFmtId="0" fontId="102" fillId="30" borderId="0" xfId="0" applyFont="1" applyFill="1"/>
    <xf numFmtId="0" fontId="17" fillId="30" borderId="0" xfId="0" applyFont="1" applyFill="1"/>
    <xf numFmtId="0" fontId="102" fillId="0" borderId="0" xfId="0" applyFont="1"/>
    <xf numFmtId="0" fontId="22" fillId="9" borderId="0" xfId="0" applyFont="1" applyFill="1"/>
    <xf numFmtId="0" fontId="21" fillId="9" borderId="0" xfId="0" applyFont="1" applyFill="1"/>
    <xf numFmtId="0" fontId="104" fillId="9" borderId="0" xfId="0" applyFont="1" applyFill="1"/>
    <xf numFmtId="0" fontId="22" fillId="0" borderId="0" xfId="0" applyFont="1"/>
    <xf numFmtId="0" fontId="0" fillId="3" borderId="0" xfId="0" applyFill="1"/>
    <xf numFmtId="0" fontId="101" fillId="3" borderId="0" xfId="0" applyFont="1" applyFill="1"/>
    <xf numFmtId="4" fontId="106" fillId="0" borderId="6" xfId="0" applyNumberFormat="1" applyFont="1" applyBorder="1" applyAlignment="1">
      <alignment horizontal="center" vertical="center" wrapText="1"/>
    </xf>
    <xf numFmtId="0" fontId="106" fillId="0" borderId="6" xfId="0" applyFont="1" applyBorder="1" applyAlignment="1">
      <alignment horizontal="center" vertical="center" wrapText="1"/>
    </xf>
    <xf numFmtId="0" fontId="28" fillId="0" borderId="6" xfId="0" applyFont="1" applyBorder="1" applyAlignment="1">
      <alignment horizontal="left" vertical="center"/>
    </xf>
    <xf numFmtId="165" fontId="4" fillId="0" borderId="6" xfId="0" applyNumberFormat="1" applyFont="1" applyBorder="1" applyAlignment="1">
      <alignment horizontal="right"/>
    </xf>
    <xf numFmtId="165" fontId="28" fillId="9" borderId="6" xfId="0" applyNumberFormat="1" applyFont="1" applyFill="1" applyBorder="1" applyAlignment="1">
      <alignment horizontal="right"/>
    </xf>
    <xf numFmtId="165" fontId="105" fillId="9" borderId="6" xfId="0" applyNumberFormat="1" applyFont="1" applyFill="1" applyBorder="1" applyAlignment="1">
      <alignment horizontal="right"/>
    </xf>
    <xf numFmtId="0" fontId="105" fillId="6" borderId="6" xfId="0" applyFont="1" applyFill="1" applyBorder="1" applyAlignment="1">
      <alignment horizontal="left" vertical="center"/>
    </xf>
    <xf numFmtId="165" fontId="105" fillId="6" borderId="6" xfId="0" applyNumberFormat="1" applyFont="1" applyFill="1" applyBorder="1" applyAlignment="1">
      <alignment horizontal="right"/>
    </xf>
    <xf numFmtId="0" fontId="105" fillId="0" borderId="7" xfId="0" applyFont="1" applyBorder="1" applyAlignment="1">
      <alignment horizontal="left" vertical="center"/>
    </xf>
    <xf numFmtId="165" fontId="105" fillId="0" borderId="7" xfId="0" applyNumberFormat="1" applyFont="1" applyBorder="1" applyAlignment="1">
      <alignment horizontal="right"/>
    </xf>
    <xf numFmtId="0" fontId="4" fillId="0" borderId="6" xfId="0" applyFont="1" applyBorder="1" applyAlignment="1">
      <alignment horizontal="left" vertical="center"/>
    </xf>
    <xf numFmtId="165" fontId="5" fillId="0" borderId="6" xfId="0" applyNumberFormat="1" applyFont="1" applyBorder="1" applyAlignment="1">
      <alignment horizontal="right"/>
    </xf>
    <xf numFmtId="165" fontId="4" fillId="9" borderId="6" xfId="0" applyNumberFormat="1" applyFont="1" applyFill="1" applyBorder="1" applyAlignment="1">
      <alignment horizontal="right"/>
    </xf>
    <xf numFmtId="165" fontId="5" fillId="9" borderId="6" xfId="0" applyNumberFormat="1" applyFont="1" applyFill="1" applyBorder="1" applyAlignment="1">
      <alignment horizontal="right"/>
    </xf>
    <xf numFmtId="165" fontId="5" fillId="6" borderId="6" xfId="0" applyNumberFormat="1" applyFont="1" applyFill="1" applyBorder="1" applyAlignment="1">
      <alignment horizontal="right"/>
    </xf>
    <xf numFmtId="165" fontId="5" fillId="0" borderId="7" xfId="0" applyNumberFormat="1" applyFont="1" applyBorder="1" applyAlignment="1">
      <alignment horizontal="right"/>
    </xf>
    <xf numFmtId="165" fontId="4" fillId="5" borderId="6" xfId="0" applyNumberFormat="1" applyFont="1" applyFill="1" applyBorder="1" applyAlignment="1">
      <alignment horizontal="right"/>
    </xf>
    <xf numFmtId="165" fontId="82" fillId="5" borderId="31" xfId="12" applyNumberFormat="1" applyFont="1" applyFill="1" applyBorder="1" applyAlignment="1">
      <alignment horizontal="right"/>
    </xf>
    <xf numFmtId="165" fontId="4" fillId="5" borderId="3" xfId="3" applyNumberFormat="1" applyFont="1" applyFill="1" applyBorder="1" applyAlignment="1">
      <alignment horizontal="right" vertical="center"/>
    </xf>
    <xf numFmtId="165" fontId="81" fillId="5" borderId="31" xfId="12" applyNumberFormat="1" applyFont="1" applyFill="1" applyBorder="1" applyAlignment="1">
      <alignment horizontal="right"/>
    </xf>
    <xf numFmtId="165" fontId="81" fillId="31" borderId="31" xfId="12" applyNumberFormat="1" applyFont="1" applyFill="1" applyBorder="1" applyAlignment="1">
      <alignment horizontal="right"/>
    </xf>
    <xf numFmtId="165" fontId="79" fillId="31" borderId="31" xfId="12" applyNumberFormat="1" applyFont="1" applyFill="1" applyBorder="1" applyAlignment="1">
      <alignment horizontal="right"/>
    </xf>
    <xf numFmtId="165" fontId="4" fillId="0" borderId="0" xfId="0" applyNumberFormat="1" applyFont="1" applyAlignment="1">
      <alignment horizontal="right"/>
    </xf>
    <xf numFmtId="165" fontId="11" fillId="0" borderId="0" xfId="0" applyNumberFormat="1" applyFont="1"/>
    <xf numFmtId="0" fontId="28" fillId="0" borderId="0" xfId="0" applyFont="1"/>
    <xf numFmtId="0" fontId="3" fillId="32" borderId="0" xfId="14" applyFill="1"/>
    <xf numFmtId="0" fontId="14" fillId="0" borderId="0" xfId="14" applyFont="1"/>
    <xf numFmtId="0" fontId="108" fillId="0" borderId="0" xfId="14" applyFont="1" applyAlignment="1">
      <alignment wrapText="1"/>
    </xf>
    <xf numFmtId="0" fontId="14" fillId="0" borderId="0" xfId="14" applyFont="1" applyAlignment="1">
      <alignment wrapText="1"/>
    </xf>
    <xf numFmtId="182" fontId="108" fillId="0" borderId="0" xfId="14" applyNumberFormat="1" applyFont="1" applyAlignment="1">
      <alignment horizontal="right" wrapText="1"/>
    </xf>
    <xf numFmtId="4" fontId="112" fillId="0" borderId="6" xfId="14" applyNumberFormat="1" applyFont="1" applyBorder="1" applyAlignment="1">
      <alignment horizontal="center" vertical="center" wrapText="1"/>
    </xf>
    <xf numFmtId="0" fontId="113" fillId="0" borderId="6" xfId="14" applyFont="1" applyBorder="1" applyAlignment="1">
      <alignment horizontal="left" vertical="center"/>
    </xf>
    <xf numFmtId="165" fontId="114" fillId="0" borderId="6" xfId="14" applyNumberFormat="1" applyFont="1" applyBorder="1" applyAlignment="1">
      <alignment horizontal="right"/>
    </xf>
    <xf numFmtId="165" fontId="113" fillId="15" borderId="6" xfId="14" applyNumberFormat="1" applyFont="1" applyFill="1" applyBorder="1" applyAlignment="1">
      <alignment horizontal="right"/>
    </xf>
    <xf numFmtId="172" fontId="113" fillId="15" borderId="6" xfId="14" applyNumberFormat="1" applyFont="1" applyFill="1" applyBorder="1" applyAlignment="1">
      <alignment horizontal="right"/>
    </xf>
    <xf numFmtId="165" fontId="111" fillId="15" borderId="6" xfId="14" applyNumberFormat="1" applyFont="1" applyFill="1" applyBorder="1" applyAlignment="1">
      <alignment horizontal="right"/>
    </xf>
    <xf numFmtId="0" fontId="111" fillId="33" borderId="6" xfId="14" applyFont="1" applyFill="1" applyBorder="1" applyAlignment="1">
      <alignment horizontal="left" vertical="center"/>
    </xf>
    <xf numFmtId="165" fontId="111" fillId="33" borderId="6" xfId="14" applyNumberFormat="1" applyFont="1" applyFill="1" applyBorder="1" applyAlignment="1">
      <alignment horizontal="right"/>
    </xf>
    <xf numFmtId="0" fontId="114" fillId="0" borderId="6" xfId="14" applyFont="1" applyBorder="1" applyAlignment="1">
      <alignment horizontal="left" vertical="center"/>
    </xf>
    <xf numFmtId="1" fontId="114" fillId="0" borderId="6" xfId="14" applyNumberFormat="1" applyFont="1" applyBorder="1" applyAlignment="1">
      <alignment horizontal="right"/>
    </xf>
    <xf numFmtId="165" fontId="110" fillId="0" borderId="6" xfId="14" applyNumberFormat="1" applyFont="1" applyBorder="1" applyAlignment="1">
      <alignment horizontal="right"/>
    </xf>
    <xf numFmtId="165" fontId="114" fillId="0" borderId="6" xfId="14" quotePrefix="1" applyNumberFormat="1" applyFont="1" applyBorder="1" applyAlignment="1">
      <alignment horizontal="right"/>
    </xf>
    <xf numFmtId="174" fontId="114" fillId="0" borderId="6" xfId="14" applyNumberFormat="1" applyFont="1" applyBorder="1" applyAlignment="1">
      <alignment horizontal="right"/>
    </xf>
    <xf numFmtId="0" fontId="14" fillId="0" borderId="0" xfId="14" applyFont="1" applyAlignment="1">
      <alignment horizontal="right" wrapText="1"/>
    </xf>
    <xf numFmtId="0" fontId="3" fillId="9" borderId="0" xfId="14" applyFill="1"/>
    <xf numFmtId="0" fontId="21" fillId="9" borderId="0" xfId="14" applyFont="1" applyFill="1"/>
    <xf numFmtId="0" fontId="22" fillId="9" borderId="0" xfId="14" applyFont="1" applyFill="1"/>
    <xf numFmtId="0" fontId="104" fillId="9" borderId="0" xfId="14" applyFont="1" applyFill="1"/>
    <xf numFmtId="0" fontId="101" fillId="3" borderId="0" xfId="14" applyFont="1" applyFill="1"/>
    <xf numFmtId="0" fontId="3" fillId="3" borderId="0" xfId="14" applyFill="1"/>
    <xf numFmtId="4" fontId="106" fillId="0" borderId="6" xfId="14" applyNumberFormat="1" applyFont="1" applyBorder="1" applyAlignment="1">
      <alignment horizontal="center" vertical="center" wrapText="1"/>
    </xf>
    <xf numFmtId="0" fontId="106" fillId="0" borderId="6" xfId="14" applyFont="1" applyBorder="1" applyAlignment="1">
      <alignment horizontal="center" vertical="center" wrapText="1"/>
    </xf>
    <xf numFmtId="0" fontId="28" fillId="0" borderId="6" xfId="14" applyFont="1" applyBorder="1" applyAlignment="1">
      <alignment horizontal="left" vertical="center"/>
    </xf>
    <xf numFmtId="165" fontId="4" fillId="0" borderId="6" xfId="14" applyNumberFormat="1" applyFont="1" applyBorder="1" applyAlignment="1">
      <alignment horizontal="right"/>
    </xf>
    <xf numFmtId="165" fontId="28" fillId="9" borderId="6" xfId="14" applyNumberFormat="1" applyFont="1" applyFill="1" applyBorder="1" applyAlignment="1">
      <alignment horizontal="right"/>
    </xf>
    <xf numFmtId="165" fontId="105" fillId="9" borderId="6" xfId="14" applyNumberFormat="1" applyFont="1" applyFill="1" applyBorder="1" applyAlignment="1">
      <alignment horizontal="right"/>
    </xf>
    <xf numFmtId="0" fontId="105" fillId="6" borderId="6" xfId="14" applyFont="1" applyFill="1" applyBorder="1" applyAlignment="1">
      <alignment horizontal="left" vertical="center"/>
    </xf>
    <xf numFmtId="165" fontId="105" fillId="6" borderId="6" xfId="14" applyNumberFormat="1" applyFont="1" applyFill="1" applyBorder="1" applyAlignment="1">
      <alignment horizontal="right"/>
    </xf>
    <xf numFmtId="0" fontId="105" fillId="0" borderId="7" xfId="14" applyFont="1" applyBorder="1" applyAlignment="1">
      <alignment horizontal="left" vertical="center"/>
    </xf>
    <xf numFmtId="165" fontId="105" fillId="0" borderId="7" xfId="14" applyNumberFormat="1" applyFont="1" applyBorder="1" applyAlignment="1">
      <alignment horizontal="right"/>
    </xf>
    <xf numFmtId="0" fontId="4" fillId="0" borderId="6" xfId="14" applyFont="1" applyBorder="1" applyAlignment="1">
      <alignment horizontal="left" vertical="center"/>
    </xf>
    <xf numFmtId="165" fontId="5" fillId="0" borderId="6" xfId="14" applyNumberFormat="1" applyFont="1" applyBorder="1" applyAlignment="1">
      <alignment horizontal="right"/>
    </xf>
    <xf numFmtId="165" fontId="3" fillId="9" borderId="0" xfId="14" applyNumberFormat="1" applyFill="1"/>
    <xf numFmtId="165" fontId="4" fillId="9" borderId="6" xfId="14" applyNumberFormat="1" applyFont="1" applyFill="1" applyBorder="1" applyAlignment="1">
      <alignment horizontal="right"/>
    </xf>
    <xf numFmtId="165" fontId="5" fillId="9" borderId="6" xfId="14" applyNumberFormat="1" applyFont="1" applyFill="1" applyBorder="1" applyAlignment="1">
      <alignment horizontal="right"/>
    </xf>
    <xf numFmtId="165" fontId="5" fillId="6" borderId="6" xfId="14" applyNumberFormat="1" applyFont="1" applyFill="1" applyBorder="1" applyAlignment="1">
      <alignment horizontal="right"/>
    </xf>
    <xf numFmtId="165" fontId="5" fillId="0" borderId="7" xfId="14" applyNumberFormat="1" applyFont="1" applyBorder="1" applyAlignment="1">
      <alignment horizontal="right"/>
    </xf>
    <xf numFmtId="0" fontId="38" fillId="0" borderId="29" xfId="0" applyFont="1" applyBorder="1" applyAlignment="1">
      <alignment horizontal="left" vertical="center"/>
    </xf>
    <xf numFmtId="0" fontId="38" fillId="0" borderId="10" xfId="0" applyFont="1" applyBorder="1" applyAlignment="1">
      <alignment horizontal="left" vertical="center"/>
    </xf>
    <xf numFmtId="165" fontId="5" fillId="7" borderId="0" xfId="3" applyNumberFormat="1" applyFont="1" applyFill="1" applyAlignment="1">
      <alignment horizontal="center" vertical="center"/>
    </xf>
    <xf numFmtId="0" fontId="5" fillId="0" borderId="0" xfId="3" applyFont="1" applyAlignment="1">
      <alignment horizontal="center" vertical="center"/>
    </xf>
    <xf numFmtId="0" fontId="5" fillId="0" borderId="0" xfId="0" applyFont="1" applyAlignment="1">
      <alignment horizontal="center" vertical="center"/>
    </xf>
    <xf numFmtId="0" fontId="1" fillId="2" borderId="0" xfId="3" applyFont="1" applyFill="1" applyAlignment="1">
      <alignment horizontal="center" vertical="center"/>
    </xf>
    <xf numFmtId="0" fontId="1" fillId="2" borderId="2" xfId="3" applyFont="1" applyFill="1" applyBorder="1" applyAlignment="1">
      <alignment horizontal="center" vertical="center"/>
    </xf>
    <xf numFmtId="0" fontId="4" fillId="2" borderId="1" xfId="0" applyFont="1" applyFill="1" applyBorder="1" applyAlignment="1">
      <alignment horizontal="center" vertical="center"/>
    </xf>
    <xf numFmtId="0" fontId="4" fillId="2" borderId="0" xfId="0" applyFont="1" applyFill="1" applyAlignment="1">
      <alignment horizontal="center" vertical="center"/>
    </xf>
    <xf numFmtId="0" fontId="2" fillId="3" borderId="3" xfId="3" applyFont="1" applyFill="1" applyBorder="1" applyAlignment="1">
      <alignment horizontal="center" vertical="center"/>
    </xf>
    <xf numFmtId="0" fontId="2" fillId="3" borderId="1" xfId="3" applyFont="1" applyFill="1" applyBorder="1" applyAlignment="1">
      <alignment horizontal="center" vertical="center"/>
    </xf>
    <xf numFmtId="0" fontId="2" fillId="3" borderId="0" xfId="3" applyFont="1" applyFill="1" applyAlignment="1">
      <alignment horizontal="center" vertical="center"/>
    </xf>
    <xf numFmtId="0" fontId="2" fillId="3" borderId="2" xfId="3" applyFont="1" applyFill="1" applyBorder="1" applyAlignment="1">
      <alignment horizontal="center" vertical="center"/>
    </xf>
    <xf numFmtId="0" fontId="2" fillId="12" borderId="1" xfId="3" applyFont="1" applyFill="1" applyBorder="1" applyAlignment="1">
      <alignment horizontal="center" vertical="center"/>
    </xf>
    <xf numFmtId="0" fontId="2" fillId="12" borderId="0" xfId="3" applyFont="1" applyFill="1" applyAlignment="1">
      <alignment horizontal="center" vertical="center"/>
    </xf>
    <xf numFmtId="0" fontId="2" fillId="12" borderId="2" xfId="3" applyFont="1" applyFill="1" applyBorder="1" applyAlignment="1">
      <alignment horizontal="center" vertical="center"/>
    </xf>
    <xf numFmtId="0" fontId="2" fillId="2" borderId="1" xfId="3" applyFont="1" applyFill="1" applyBorder="1" applyAlignment="1">
      <alignment horizontal="center" vertical="center"/>
    </xf>
    <xf numFmtId="0" fontId="2" fillId="2" borderId="0" xfId="3" applyFont="1" applyFill="1" applyAlignment="1">
      <alignment horizontal="center" vertical="center"/>
    </xf>
    <xf numFmtId="0" fontId="4" fillId="4" borderId="0" xfId="3" applyFont="1" applyFill="1" applyAlignment="1">
      <alignment horizontal="center" vertical="center" wrapText="1"/>
    </xf>
    <xf numFmtId="0" fontId="4" fillId="5" borderId="0" xfId="3" applyFont="1" applyFill="1" applyAlignment="1">
      <alignment horizontal="center" vertical="center" wrapText="1"/>
    </xf>
    <xf numFmtId="0" fontId="4" fillId="6" borderId="0" xfId="3" applyFont="1" applyFill="1" applyAlignment="1">
      <alignment horizontal="center" vertical="center" wrapText="1"/>
    </xf>
    <xf numFmtId="0" fontId="107" fillId="0" borderId="0" xfId="14" applyFont="1" applyAlignment="1">
      <alignment horizontal="center" wrapText="1"/>
    </xf>
    <xf numFmtId="0" fontId="109" fillId="0" borderId="0" xfId="14" applyFont="1" applyAlignment="1">
      <alignment horizontal="center" wrapText="1"/>
    </xf>
    <xf numFmtId="0" fontId="110" fillId="0" borderId="6" xfId="14" applyFont="1" applyBorder="1" applyAlignment="1">
      <alignment horizontal="center" vertical="center" wrapText="1"/>
    </xf>
    <xf numFmtId="0" fontId="111" fillId="0" borderId="6" xfId="14" applyFont="1" applyBorder="1" applyAlignment="1">
      <alignment horizontal="center" vertical="center" wrapText="1"/>
    </xf>
    <xf numFmtId="0" fontId="78" fillId="0" borderId="31" xfId="12" applyFont="1" applyBorder="1" applyAlignment="1">
      <alignment horizontal="center" vertical="center" wrapText="1"/>
    </xf>
    <xf numFmtId="0" fontId="79" fillId="0" borderId="31" xfId="12" applyFont="1" applyBorder="1" applyAlignment="1">
      <alignment horizontal="center" vertical="center" wrapText="1"/>
    </xf>
    <xf numFmtId="0" fontId="105" fillId="0" borderId="4" xfId="14" applyFont="1" applyBorder="1" applyAlignment="1">
      <alignment horizontal="center" vertical="center" wrapText="1"/>
    </xf>
    <xf numFmtId="0" fontId="105" fillId="0" borderId="5" xfId="14" applyFont="1" applyBorder="1" applyAlignment="1">
      <alignment horizontal="center" vertical="center" wrapText="1"/>
    </xf>
    <xf numFmtId="0" fontId="5" fillId="0" borderId="4" xfId="14" applyFont="1" applyBorder="1" applyAlignment="1">
      <alignment horizontal="center" vertical="center" wrapText="1"/>
    </xf>
    <xf numFmtId="0" fontId="5" fillId="0" borderId="5" xfId="14" applyFont="1" applyBorder="1" applyAlignment="1">
      <alignment horizontal="center" vertical="center" wrapText="1"/>
    </xf>
    <xf numFmtId="0" fontId="105" fillId="0" borderId="30" xfId="14" applyFont="1" applyBorder="1" applyAlignment="1">
      <alignment horizontal="center" vertical="center" wrapText="1"/>
    </xf>
    <xf numFmtId="0" fontId="105" fillId="0" borderId="7" xfId="14" applyFont="1" applyBorder="1" applyAlignment="1">
      <alignment horizontal="center" vertical="center" wrapText="1"/>
    </xf>
    <xf numFmtId="0" fontId="105" fillId="0" borderId="36" xfId="14" applyFont="1" applyBorder="1" applyAlignment="1">
      <alignment horizontal="center" vertical="center" wrapText="1"/>
    </xf>
    <xf numFmtId="0" fontId="105" fillId="0" borderId="4" xfId="0" applyFont="1" applyBorder="1" applyAlignment="1">
      <alignment horizontal="center" vertical="center" wrapText="1"/>
    </xf>
    <xf numFmtId="0" fontId="105" fillId="0" borderId="5"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105" fillId="0" borderId="30" xfId="0" applyFont="1" applyBorder="1" applyAlignment="1">
      <alignment horizontal="center" vertical="center" wrapText="1"/>
    </xf>
    <xf numFmtId="0" fontId="105" fillId="0" borderId="7" xfId="0" applyFont="1" applyBorder="1" applyAlignment="1">
      <alignment horizontal="center" vertical="center" wrapText="1"/>
    </xf>
    <xf numFmtId="0" fontId="105" fillId="0" borderId="36" xfId="0" applyFont="1" applyBorder="1" applyAlignment="1">
      <alignment horizontal="center" vertical="center" wrapText="1"/>
    </xf>
    <xf numFmtId="0" fontId="79" fillId="0" borderId="35" xfId="12" applyFont="1" applyBorder="1" applyAlignment="1">
      <alignment horizontal="center" vertical="center" wrapText="1"/>
    </xf>
    <xf numFmtId="0" fontId="86" fillId="26" borderId="0" xfId="14" applyFont="1" applyFill="1" applyAlignment="1">
      <alignment horizontal="left" wrapText="1"/>
    </xf>
    <xf numFmtId="0" fontId="87" fillId="26" borderId="0" xfId="14" applyFont="1" applyFill="1" applyAlignment="1">
      <alignment horizontal="left" wrapText="1"/>
    </xf>
    <xf numFmtId="0" fontId="0" fillId="0" borderId="16" xfId="0" applyBorder="1"/>
    <xf numFmtId="0" fontId="0" fillId="0" borderId="23" xfId="0" applyBorder="1"/>
    <xf numFmtId="0" fontId="0" fillId="0" borderId="19" xfId="0" applyBorder="1"/>
    <xf numFmtId="164" fontId="99" fillId="0" borderId="6" xfId="1" applyFont="1" applyBorder="1"/>
    <xf numFmtId="167" fontId="0" fillId="0" borderId="6" xfId="2" applyNumberFormat="1" applyFont="1" applyBorder="1"/>
    <xf numFmtId="167" fontId="38" fillId="0" borderId="6" xfId="2" applyNumberFormat="1" applyFont="1" applyBorder="1" applyAlignment="1">
      <alignment horizontal="center" vertical="center"/>
    </xf>
    <xf numFmtId="167" fontId="99" fillId="0" borderId="6" xfId="2" applyNumberFormat="1" applyFont="1" applyBorder="1"/>
  </cellXfs>
  <cellStyles count="16">
    <cellStyle name="Milliers" xfId="1" builtinId="3"/>
    <cellStyle name="Milliers 2 6" xfId="8" xr:uid="{00000000-0005-0000-0000-000001000000}"/>
    <cellStyle name="Milliers 3" xfId="4" xr:uid="{00000000-0005-0000-0000-000002000000}"/>
    <cellStyle name="Normal" xfId="0" builtinId="0"/>
    <cellStyle name="Normal 10" xfId="13" xr:uid="{D526C8E5-DC3E-4B2F-AE05-06CA4909BCCA}"/>
    <cellStyle name="Normal 13 5 2 2 3 3" xfId="14" xr:uid="{757DBD51-59E5-4286-9CB7-14E9DE35CB9B}"/>
    <cellStyle name="Normal 2" xfId="12" xr:uid="{6816B5FE-6C8E-40D8-80D6-9B82B8E3D7C1}"/>
    <cellStyle name="Normal 2 2" xfId="3" xr:uid="{00000000-0005-0000-0000-000004000000}"/>
    <cellStyle name="Normal 2 3 17" xfId="6" xr:uid="{00000000-0005-0000-0000-000005000000}"/>
    <cellStyle name="Normal 3 9" xfId="9" xr:uid="{00000000-0005-0000-0000-000006000000}"/>
    <cellStyle name="Normal 54" xfId="10" xr:uid="{00000000-0005-0000-0000-000007000000}"/>
    <cellStyle name="Pourcentage" xfId="2" builtinId="5"/>
    <cellStyle name="Pourcentage 2" xfId="15" xr:uid="{017B87BF-E386-4C8E-9E6B-7A040190B655}"/>
    <cellStyle name="Pourcentage 2 2" xfId="5" xr:uid="{00000000-0005-0000-0000-000009000000}"/>
    <cellStyle name="Pourcentage 2 6" xfId="7" xr:uid="{00000000-0005-0000-0000-00000A000000}"/>
    <cellStyle name="Texte explicatif" xfId="11" builtinId="53"/>
  </cellStyles>
  <dxfs count="20526">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externalLink" Target="externalLinks/externalLink5.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eetMetadata" Target="metadata.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xml"/><Relationship Id="rId108" Type="http://schemas.openxmlformats.org/officeDocument/2006/relationships/externalLink" Target="externalLinks/externalLink6.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4.xml"/><Relationship Id="rId114"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7.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externalLink" Target="externalLinks/externalLink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5.9065862568790251E-3</c:v>
                </c:pt>
                <c:pt idx="1">
                  <c:v>5.36363509048687E-3</c:v>
                </c:pt>
                <c:pt idx="2">
                  <c:v>4.7944077110601687E-3</c:v>
                </c:pt>
                <c:pt idx="3">
                  <c:v>4.1969493554275495E-3</c:v>
                </c:pt>
                <c:pt idx="4">
                  <c:v>3.5691064360961239E-3</c:v>
                </c:pt>
                <c:pt idx="5">
                  <c:v>2.9085006029797322E-3</c:v>
                </c:pt>
                <c:pt idx="6">
                  <c:v>4.6656800141323673E-3</c:v>
                </c:pt>
                <c:pt idx="7">
                  <c:v>6.4228594252850029E-3</c:v>
                </c:pt>
                <c:pt idx="8">
                  <c:v>8.1800388364376385E-3</c:v>
                </c:pt>
                <c:pt idx="9">
                  <c:v>7.0783667274493698E-3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CF8F-4CEB-971E-C6FF6076E882}"/>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5.9065862568790251E-3</c:v>
                </c:pt>
                <c:pt idx="1">
                  <c:v>5.36363509048687E-3</c:v>
                </c:pt>
                <c:pt idx="2">
                  <c:v>4.7944077110601687E-3</c:v>
                </c:pt>
                <c:pt idx="3">
                  <c:v>4.1969493554275495E-3</c:v>
                </c:pt>
                <c:pt idx="4">
                  <c:v>3.5691064360961239E-3</c:v>
                </c:pt>
                <c:pt idx="5">
                  <c:v>2.9085006029797322E-3</c:v>
                </c:pt>
                <c:pt idx="6">
                  <c:v>4.6656800141323673E-3</c:v>
                </c:pt>
                <c:pt idx="7">
                  <c:v>6.4228594252850029E-3</c:v>
                </c:pt>
                <c:pt idx="8">
                  <c:v>8.1800388364376385E-3</c:v>
                </c:pt>
                <c:pt idx="9">
                  <c:v>7.0783667274493698E-3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F020-4D99-A501-404CE2207AD9}"/>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4808090165199935E-2"/>
          <c:y val="2.3006246261558519E-2"/>
          <c:w val="0.51026298183315322"/>
          <c:h val="0.97223208244673032"/>
        </c:manualLayout>
      </c:layout>
      <c:doughnutChart>
        <c:varyColors val="1"/>
        <c:ser>
          <c:idx val="0"/>
          <c:order val="0"/>
          <c:spPr>
            <a:solidFill>
              <a:srgbClr val="5083C2"/>
            </a:solidFill>
            <a:ln w="25400">
              <a:noFill/>
            </a:ln>
          </c:spPr>
          <c:dPt>
            <c:idx val="0"/>
            <c:bubble3D val="0"/>
            <c:spPr>
              <a:solidFill>
                <a:srgbClr val="338599"/>
              </a:solidFill>
              <a:ln w="25400">
                <a:noFill/>
              </a:ln>
            </c:spPr>
            <c:extLst>
              <c:ext xmlns:c16="http://schemas.microsoft.com/office/drawing/2014/chart" uri="{C3380CC4-5D6E-409C-BE32-E72D297353CC}">
                <c16:uniqueId val="{00000001-E65D-41C8-AF25-DBFA4968A3A9}"/>
              </c:ext>
            </c:extLst>
          </c:dPt>
          <c:dPt>
            <c:idx val="1"/>
            <c:bubble3D val="0"/>
            <c:spPr>
              <a:solidFill>
                <a:srgbClr val="A1BAC3"/>
              </a:solidFill>
              <a:ln w="25400">
                <a:noFill/>
              </a:ln>
            </c:spPr>
            <c:extLst>
              <c:ext xmlns:c16="http://schemas.microsoft.com/office/drawing/2014/chart" uri="{C3380CC4-5D6E-409C-BE32-E72D297353CC}">
                <c16:uniqueId val="{00000003-E65D-41C8-AF25-DBFA4968A3A9}"/>
              </c:ext>
            </c:extLst>
          </c:dPt>
          <c:dPt>
            <c:idx val="2"/>
            <c:bubble3D val="0"/>
            <c:spPr>
              <a:solidFill>
                <a:srgbClr val="5C998D"/>
              </a:solidFill>
              <a:ln w="25400">
                <a:noFill/>
              </a:ln>
            </c:spPr>
            <c:extLst>
              <c:ext xmlns:c16="http://schemas.microsoft.com/office/drawing/2014/chart" uri="{C3380CC4-5D6E-409C-BE32-E72D297353CC}">
                <c16:uniqueId val="{00000005-E65D-41C8-AF25-DBFA4968A3A9}"/>
              </c:ext>
            </c:extLst>
          </c:dPt>
          <c:dPt>
            <c:idx val="3"/>
            <c:bubble3D val="0"/>
            <c:spPr>
              <a:solidFill>
                <a:srgbClr val="30322E"/>
              </a:solidFill>
              <a:ln w="25400">
                <a:noFill/>
              </a:ln>
            </c:spPr>
            <c:extLst>
              <c:ext xmlns:c16="http://schemas.microsoft.com/office/drawing/2014/chart" uri="{C3380CC4-5D6E-409C-BE32-E72D297353CC}">
                <c16:uniqueId val="{00000007-E65D-41C8-AF25-DBFA4968A3A9}"/>
              </c:ext>
            </c:extLst>
          </c:dPt>
          <c:dPt>
            <c:idx val="4"/>
            <c:bubble3D val="0"/>
            <c:spPr>
              <a:solidFill>
                <a:srgbClr val="808000"/>
              </a:solidFill>
              <a:ln w="25400">
                <a:noFill/>
              </a:ln>
            </c:spPr>
            <c:extLst>
              <c:ext xmlns:c16="http://schemas.microsoft.com/office/drawing/2014/chart" uri="{C3380CC4-5D6E-409C-BE32-E72D297353CC}">
                <c16:uniqueId val="{00000009-E65D-41C8-AF25-DBFA4968A3A9}"/>
              </c:ext>
            </c:extLst>
          </c:dPt>
          <c:dPt>
            <c:idx val="5"/>
            <c:bubble3D val="0"/>
            <c:spPr>
              <a:solidFill>
                <a:srgbClr val="99CC00"/>
              </a:solidFill>
              <a:ln w="25400">
                <a:noFill/>
              </a:ln>
            </c:spPr>
            <c:extLst>
              <c:ext xmlns:c16="http://schemas.microsoft.com/office/drawing/2014/chart" uri="{C3380CC4-5D6E-409C-BE32-E72D297353CC}">
                <c16:uniqueId val="{0000000B-E65D-41C8-AF25-DBFA4968A3A9}"/>
              </c:ext>
            </c:extLst>
          </c:dPt>
          <c:dPt>
            <c:idx val="6"/>
            <c:bubble3D val="0"/>
            <c:spPr>
              <a:solidFill>
                <a:srgbClr val="33CCCC"/>
              </a:solidFill>
              <a:ln w="25400">
                <a:noFill/>
              </a:ln>
            </c:spPr>
            <c:extLst>
              <c:ext xmlns:c16="http://schemas.microsoft.com/office/drawing/2014/chart" uri="{C3380CC4-5D6E-409C-BE32-E72D297353CC}">
                <c16:uniqueId val="{0000000D-E65D-41C8-AF25-DBFA4968A3A9}"/>
              </c:ext>
            </c:extLst>
          </c:dPt>
          <c:cat>
            <c:strRef>
              <c:f>'P1_G4-G5'!$P$9:$P$16</c:f>
              <c:strCache>
                <c:ptCount val="8"/>
                <c:pt idx="0">
                  <c:v>Hydraulique renouvelable : 49,5 %</c:v>
                </c:pt>
                <c:pt idx="1">
                  <c:v>Éolien : 32,4 %</c:v>
                </c:pt>
                <c:pt idx="2">
                  <c:v>Solaire photovoltaïque : 10,8 %</c:v>
                </c:pt>
                <c:pt idx="3">
                  <c:v>Biomasse solide : 2,9 %</c:v>
                </c:pt>
                <c:pt idx="4">
                  <c:v>Déchets renouvelables : 1,7 %</c:v>
                </c:pt>
                <c:pt idx="5">
                  <c:v>Biogaz : 2,2 %</c:v>
                </c:pt>
                <c:pt idx="6">
                  <c:v>Énergie marémotrice : 0,4 %</c:v>
                </c:pt>
                <c:pt idx="7">
                  <c:v>Géothermie électrique : 0,1 %</c:v>
                </c:pt>
              </c:strCache>
            </c:strRef>
          </c:cat>
          <c:val>
            <c:numRef>
              <c:f>'P1_G4-G5'!$O$9:$O$16</c:f>
              <c:numCache>
                <c:formatCode>0.0</c:formatCode>
                <c:ptCount val="8"/>
                <c:pt idx="0">
                  <c:v>49.475344257734051</c:v>
                </c:pt>
                <c:pt idx="1">
                  <c:v>32.382730584444715</c:v>
                </c:pt>
                <c:pt idx="2">
                  <c:v>10.803066279058584</c:v>
                </c:pt>
                <c:pt idx="3">
                  <c:v>2.9356538160024606</c:v>
                </c:pt>
                <c:pt idx="4">
                  <c:v>1.6850626857247737</c:v>
                </c:pt>
                <c:pt idx="5">
                  <c:v>2.2325338709106797</c:v>
                </c:pt>
                <c:pt idx="6">
                  <c:v>0.38327175559703902</c:v>
                </c:pt>
                <c:pt idx="7">
                  <c:v>0.10221821221519489</c:v>
                </c:pt>
              </c:numCache>
            </c:numRef>
          </c:val>
          <c:extLst>
            <c:ext xmlns:c16="http://schemas.microsoft.com/office/drawing/2014/chart" uri="{C3380CC4-5D6E-409C-BE32-E72D297353CC}">
              <c16:uniqueId val="{0000000E-E65D-41C8-AF25-DBFA4968A3A9}"/>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56499181719932068"/>
          <c:y val="2.4669693374255987E-2"/>
          <c:w val="0.41700252174360553"/>
          <c:h val="0.95181102362204728"/>
        </c:manualLayout>
      </c:layout>
      <c:overlay val="0"/>
      <c:spPr>
        <a:noFill/>
        <a:ln w="25400">
          <a:noFill/>
        </a:ln>
      </c:spPr>
      <c:txPr>
        <a:bodyPr/>
        <a:lstStyle/>
        <a:p>
          <a:pPr>
            <a:defRPr sz="90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'P1_G4-G5'!$M$28</c:f>
              <c:strCache>
                <c:ptCount val="1"/>
                <c:pt idx="0">
                  <c:v>Hydraulique renouvelable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'P1_G4-G5'!$N$28:$AH$28</c:f>
              <c:numCache>
                <c:formatCode>#,##0</c:formatCode>
                <c:ptCount val="21"/>
                <c:pt idx="0">
                  <c:v>66.363248999999996</c:v>
                </c:pt>
                <c:pt idx="1">
                  <c:v>74.267426999999998</c:v>
                </c:pt>
                <c:pt idx="2">
                  <c:v>60.39661199999999</c:v>
                </c:pt>
                <c:pt idx="3">
                  <c:v>58.943640000000002</c:v>
                </c:pt>
                <c:pt idx="4">
                  <c:v>59.554935</c:v>
                </c:pt>
                <c:pt idx="5">
                  <c:v>51.479877000000002</c:v>
                </c:pt>
                <c:pt idx="6">
                  <c:v>56.303697</c:v>
                </c:pt>
                <c:pt idx="7">
                  <c:v>57.604416999999998</c:v>
                </c:pt>
                <c:pt idx="8">
                  <c:v>63.653661000000007</c:v>
                </c:pt>
                <c:pt idx="9">
                  <c:v>56.994199999999999</c:v>
                </c:pt>
                <c:pt idx="10">
                  <c:v>62.713616999999999</c:v>
                </c:pt>
                <c:pt idx="11">
                  <c:v>45.744622</c:v>
                </c:pt>
                <c:pt idx="12">
                  <c:v>59.831830000000004</c:v>
                </c:pt>
                <c:pt idx="13">
                  <c:v>71.922174999999982</c:v>
                </c:pt>
                <c:pt idx="14">
                  <c:v>63.773408999999994</c:v>
                </c:pt>
                <c:pt idx="15">
                  <c:v>55.556272000000007</c:v>
                </c:pt>
                <c:pt idx="16">
                  <c:v>60.839210000000001</c:v>
                </c:pt>
                <c:pt idx="17">
                  <c:v>50.001256999999995</c:v>
                </c:pt>
                <c:pt idx="18">
                  <c:v>65.111425999999994</c:v>
                </c:pt>
                <c:pt idx="19">
                  <c:v>56.913891000000007</c:v>
                </c:pt>
                <c:pt idx="20">
                  <c:v>62.189398000000004</c:v>
                </c:pt>
              </c:numCache>
            </c:numRef>
          </c:val>
          <c:extLst>
            <c:ext xmlns:c16="http://schemas.microsoft.com/office/drawing/2014/chart" uri="{C3380CC4-5D6E-409C-BE32-E72D297353CC}">
              <c16:uniqueId val="{00000000-DD5C-4865-8F5C-F8E061768D36}"/>
            </c:ext>
          </c:extLst>
        </c:ser>
        <c:ser>
          <c:idx val="1"/>
          <c:order val="1"/>
          <c:tx>
            <c:strRef>
              <c:f>'P1_G4-G5'!$M$29</c:f>
              <c:strCache>
                <c:ptCount val="1"/>
                <c:pt idx="0">
                  <c:v>Éolien</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'P1_G4-G5'!$N$29:$AH$29</c:f>
              <c:numCache>
                <c:formatCode>#,##0</c:formatCode>
                <c:ptCount val="21"/>
                <c:pt idx="0">
                  <c:v>4.8159999999999994E-2</c:v>
                </c:pt>
                <c:pt idx="1">
                  <c:v>0.13124</c:v>
                </c:pt>
                <c:pt idx="2">
                  <c:v>0.26559000000000005</c:v>
                </c:pt>
                <c:pt idx="3">
                  <c:v>0.38774999999999998</c:v>
                </c:pt>
                <c:pt idx="4">
                  <c:v>0.59484999999999999</c:v>
                </c:pt>
                <c:pt idx="5">
                  <c:v>0.96257000000000004</c:v>
                </c:pt>
                <c:pt idx="6">
                  <c:v>2.1825799999999997</c:v>
                </c:pt>
                <c:pt idx="7">
                  <c:v>4.0701099999999997</c:v>
                </c:pt>
                <c:pt idx="8">
                  <c:v>5.69421</c:v>
                </c:pt>
                <c:pt idx="9">
                  <c:v>7.9115699999999993</c:v>
                </c:pt>
                <c:pt idx="10">
                  <c:v>9.9449900000000007</c:v>
                </c:pt>
                <c:pt idx="11">
                  <c:v>12.371620999999999</c:v>
                </c:pt>
                <c:pt idx="12">
                  <c:v>15.1784</c:v>
                </c:pt>
                <c:pt idx="13">
                  <c:v>16.126735999999998</c:v>
                </c:pt>
                <c:pt idx="14">
                  <c:v>17.323779000000002</c:v>
                </c:pt>
                <c:pt idx="15">
                  <c:v>21.420601999999999</c:v>
                </c:pt>
                <c:pt idx="16">
                  <c:v>21.380984000000002</c:v>
                </c:pt>
                <c:pt idx="17">
                  <c:v>24.609437</c:v>
                </c:pt>
                <c:pt idx="18">
                  <c:v>28.598595</c:v>
                </c:pt>
                <c:pt idx="19">
                  <c:v>34.721684000000003</c:v>
                </c:pt>
                <c:pt idx="20">
                  <c:v>40.704366</c:v>
                </c:pt>
              </c:numCache>
            </c:numRef>
          </c:val>
          <c:extLst>
            <c:ext xmlns:c16="http://schemas.microsoft.com/office/drawing/2014/chart" uri="{C3380CC4-5D6E-409C-BE32-E72D297353CC}">
              <c16:uniqueId val="{00000001-DD5C-4865-8F5C-F8E061768D36}"/>
            </c:ext>
          </c:extLst>
        </c:ser>
        <c:ser>
          <c:idx val="2"/>
          <c:order val="2"/>
          <c:tx>
            <c:strRef>
              <c:f>'P1_G4-G5'!$M$30</c:f>
              <c:strCache>
                <c:ptCount val="1"/>
                <c:pt idx="0">
                  <c:v>Solaire photovoltaïque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'P1_G4-G5'!$N$30:$AH$30</c:f>
              <c:numCache>
                <c:formatCode>#,##0</c:formatCode>
                <c:ptCount val="21"/>
                <c:pt idx="0">
                  <c:v>5.2230000000000002E-3</c:v>
                </c:pt>
                <c:pt idx="1">
                  <c:v>6.1609999999999998E-3</c:v>
                </c:pt>
                <c:pt idx="2">
                  <c:v>7.1040000000000001E-3</c:v>
                </c:pt>
                <c:pt idx="3">
                  <c:v>7.7670000000000005E-3</c:v>
                </c:pt>
                <c:pt idx="4">
                  <c:v>8.4480000000000006E-3</c:v>
                </c:pt>
                <c:pt idx="5">
                  <c:v>1.0501E-2</c:v>
                </c:pt>
                <c:pt idx="6">
                  <c:v>1.2102999999999999E-2</c:v>
                </c:pt>
                <c:pt idx="7">
                  <c:v>1.7572000000000001E-2</c:v>
                </c:pt>
                <c:pt idx="8">
                  <c:v>4.1692000000000007E-2</c:v>
                </c:pt>
                <c:pt idx="9">
                  <c:v>0.17397100000000001</c:v>
                </c:pt>
                <c:pt idx="10">
                  <c:v>0.62</c:v>
                </c:pt>
                <c:pt idx="11">
                  <c:v>2.3338040000000002</c:v>
                </c:pt>
                <c:pt idx="12">
                  <c:v>4.4279359999999999</c:v>
                </c:pt>
                <c:pt idx="13">
                  <c:v>5.1935959999999994</c:v>
                </c:pt>
                <c:pt idx="14">
                  <c:v>6.391572</c:v>
                </c:pt>
                <c:pt idx="15">
                  <c:v>7.7537370000000001</c:v>
                </c:pt>
                <c:pt idx="16">
                  <c:v>8.6597650000000002</c:v>
                </c:pt>
                <c:pt idx="17">
                  <c:v>9.5863159999999983</c:v>
                </c:pt>
                <c:pt idx="18">
                  <c:v>10.891159</c:v>
                </c:pt>
                <c:pt idx="19">
                  <c:v>12.225183999999999</c:v>
                </c:pt>
                <c:pt idx="20">
                  <c:v>13.579212</c:v>
                </c:pt>
              </c:numCache>
            </c:numRef>
          </c:val>
          <c:extLst>
            <c:ext xmlns:c16="http://schemas.microsoft.com/office/drawing/2014/chart" uri="{C3380CC4-5D6E-409C-BE32-E72D297353CC}">
              <c16:uniqueId val="{00000002-DD5C-4865-8F5C-F8E061768D36}"/>
            </c:ext>
          </c:extLst>
        </c:ser>
        <c:ser>
          <c:idx val="3"/>
          <c:order val="3"/>
          <c:tx>
            <c:strRef>
              <c:f>'P1_G4-G5'!$M$31</c:f>
              <c:strCache>
                <c:ptCount val="1"/>
                <c:pt idx="0">
                  <c:v>Biomasse solide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'P1_G4-G5'!$N$31:$AH$31</c:f>
              <c:numCache>
                <c:formatCode>#,##0</c:formatCode>
                <c:ptCount val="21"/>
                <c:pt idx="0">
                  <c:v>1.0900000000000001</c:v>
                </c:pt>
                <c:pt idx="1">
                  <c:v>1.044</c:v>
                </c:pt>
                <c:pt idx="2">
                  <c:v>1.109</c:v>
                </c:pt>
                <c:pt idx="3">
                  <c:v>1.133</c:v>
                </c:pt>
                <c:pt idx="4">
                  <c:v>1.1279999999999999</c:v>
                </c:pt>
                <c:pt idx="5">
                  <c:v>1.254</c:v>
                </c:pt>
                <c:pt idx="6">
                  <c:v>1.2470000000000001</c:v>
                </c:pt>
                <c:pt idx="7">
                  <c:v>1.3540000000000001</c:v>
                </c:pt>
                <c:pt idx="8">
                  <c:v>1.413</c:v>
                </c:pt>
                <c:pt idx="9">
                  <c:v>1.2350000000000001</c:v>
                </c:pt>
                <c:pt idx="10">
                  <c:v>1.4630000000000001</c:v>
                </c:pt>
                <c:pt idx="11">
                  <c:v>1.8104259999999999</c:v>
                </c:pt>
                <c:pt idx="12">
                  <c:v>1.8547090000000002</c:v>
                </c:pt>
                <c:pt idx="13">
                  <c:v>2.0137179999999999</c:v>
                </c:pt>
                <c:pt idx="14">
                  <c:v>2.3089309999999998</c:v>
                </c:pt>
                <c:pt idx="15">
                  <c:v>2.6652219999999995</c:v>
                </c:pt>
                <c:pt idx="16">
                  <c:v>3.407727</c:v>
                </c:pt>
                <c:pt idx="17">
                  <c:v>3.462215</c:v>
                </c:pt>
                <c:pt idx="18">
                  <c:v>3.8061359999999995</c:v>
                </c:pt>
                <c:pt idx="19">
                  <c:v>3.8838170000000001</c:v>
                </c:pt>
                <c:pt idx="20">
                  <c:v>3.690051</c:v>
                </c:pt>
              </c:numCache>
            </c:numRef>
          </c:val>
          <c:extLst>
            <c:ext xmlns:c16="http://schemas.microsoft.com/office/drawing/2014/chart" uri="{C3380CC4-5D6E-409C-BE32-E72D297353CC}">
              <c16:uniqueId val="{00000003-DD5C-4865-8F5C-F8E061768D36}"/>
            </c:ext>
          </c:extLst>
        </c:ser>
        <c:ser>
          <c:idx val="4"/>
          <c:order val="4"/>
          <c:tx>
            <c:strRef>
              <c:f>'P1_G4-G5'!$M$32</c:f>
              <c:strCache>
                <c:ptCount val="1"/>
                <c:pt idx="0">
                  <c:v>Déchets renouvelables</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'P1_G4-G5'!$N$32:$AH$32</c:f>
              <c:numCache>
                <c:formatCode>#,##0</c:formatCode>
                <c:ptCount val="21"/>
                <c:pt idx="0">
                  <c:v>1.081</c:v>
                </c:pt>
                <c:pt idx="1">
                  <c:v>1.4670000000000001</c:v>
                </c:pt>
                <c:pt idx="2">
                  <c:v>1.5369999999999999</c:v>
                </c:pt>
                <c:pt idx="3">
                  <c:v>1.647</c:v>
                </c:pt>
                <c:pt idx="4">
                  <c:v>1.7170000000000001</c:v>
                </c:pt>
                <c:pt idx="5">
                  <c:v>1.657</c:v>
                </c:pt>
                <c:pt idx="6">
                  <c:v>1.605</c:v>
                </c:pt>
                <c:pt idx="7">
                  <c:v>1.776</c:v>
                </c:pt>
                <c:pt idx="8">
                  <c:v>1.863</c:v>
                </c:pt>
                <c:pt idx="9">
                  <c:v>2.02</c:v>
                </c:pt>
                <c:pt idx="10">
                  <c:v>1.9730000000000001</c:v>
                </c:pt>
                <c:pt idx="11">
                  <c:v>2.0790480000000002</c:v>
                </c:pt>
                <c:pt idx="12">
                  <c:v>2.1482330000000003</c:v>
                </c:pt>
                <c:pt idx="13">
                  <c:v>2.1248860000000001</c:v>
                </c:pt>
                <c:pt idx="14">
                  <c:v>2.0837539999999999</c:v>
                </c:pt>
                <c:pt idx="15">
                  <c:v>2.0256720000000001</c:v>
                </c:pt>
                <c:pt idx="16">
                  <c:v>2.1218820000000003</c:v>
                </c:pt>
                <c:pt idx="17">
                  <c:v>2.205133</c:v>
                </c:pt>
                <c:pt idx="18">
                  <c:v>2.2021329999999999</c:v>
                </c:pt>
                <c:pt idx="19">
                  <c:v>2.1725979999999998</c:v>
                </c:pt>
                <c:pt idx="20">
                  <c:v>2.1180859999999999</c:v>
                </c:pt>
              </c:numCache>
            </c:numRef>
          </c:val>
          <c:extLst>
            <c:ext xmlns:c16="http://schemas.microsoft.com/office/drawing/2014/chart" uri="{C3380CC4-5D6E-409C-BE32-E72D297353CC}">
              <c16:uniqueId val="{00000004-DD5C-4865-8F5C-F8E061768D36}"/>
            </c:ext>
          </c:extLst>
        </c:ser>
        <c:ser>
          <c:idx val="5"/>
          <c:order val="5"/>
          <c:tx>
            <c:strRef>
              <c:f>'P1_G4-G5'!$M$33</c:f>
              <c:strCache>
                <c:ptCount val="1"/>
                <c:pt idx="0">
                  <c:v>Biogaz</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'P1_G4-G5'!$N$33:$AH$33</c:f>
              <c:numCache>
                <c:formatCode>#,##0</c:formatCode>
                <c:ptCount val="21"/>
                <c:pt idx="0">
                  <c:v>0.308</c:v>
                </c:pt>
                <c:pt idx="1">
                  <c:v>0.33800000000000002</c:v>
                </c:pt>
                <c:pt idx="2">
                  <c:v>0.39700000000000002</c:v>
                </c:pt>
                <c:pt idx="3">
                  <c:v>0.44700000000000001</c:v>
                </c:pt>
                <c:pt idx="4">
                  <c:v>0.46700000000000003</c:v>
                </c:pt>
                <c:pt idx="5">
                  <c:v>0.48</c:v>
                </c:pt>
                <c:pt idx="6">
                  <c:v>0.52500000000000002</c:v>
                </c:pt>
                <c:pt idx="7">
                  <c:v>0.621</c:v>
                </c:pt>
                <c:pt idx="8">
                  <c:v>0.69499999999999995</c:v>
                </c:pt>
                <c:pt idx="9">
                  <c:v>0.875</c:v>
                </c:pt>
                <c:pt idx="10">
                  <c:v>1.0049999999999999</c:v>
                </c:pt>
                <c:pt idx="11">
                  <c:v>1.151675</c:v>
                </c:pt>
                <c:pt idx="12">
                  <c:v>1.2963629999999999</c:v>
                </c:pt>
                <c:pt idx="13">
                  <c:v>1.5447250000000001</c:v>
                </c:pt>
                <c:pt idx="14">
                  <c:v>1.5934619999999999</c:v>
                </c:pt>
                <c:pt idx="15">
                  <c:v>1.833858</c:v>
                </c:pt>
                <c:pt idx="16">
                  <c:v>1.9911260000000002</c:v>
                </c:pt>
                <c:pt idx="17">
                  <c:v>2.1136880000000002</c:v>
                </c:pt>
                <c:pt idx="18">
                  <c:v>2.3697539999999999</c:v>
                </c:pt>
                <c:pt idx="19">
                  <c:v>2.5874549999999998</c:v>
                </c:pt>
                <c:pt idx="20">
                  <c:v>2.8062450000000001</c:v>
                </c:pt>
              </c:numCache>
            </c:numRef>
          </c:val>
          <c:extLst>
            <c:ext xmlns:c16="http://schemas.microsoft.com/office/drawing/2014/chart" uri="{C3380CC4-5D6E-409C-BE32-E72D297353CC}">
              <c16:uniqueId val="{00000005-DD5C-4865-8F5C-F8E061768D36}"/>
            </c:ext>
          </c:extLst>
        </c:ser>
        <c:ser>
          <c:idx val="6"/>
          <c:order val="6"/>
          <c:tx>
            <c:strRef>
              <c:f>'P1_G4-G5'!$M$34</c:f>
              <c:strCache>
                <c:ptCount val="1"/>
                <c:pt idx="0">
                  <c:v>Énergie marémotrice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'P1_G4-G5'!$N$34:$AH$34</c:f>
              <c:numCache>
                <c:formatCode>#,##0</c:formatCode>
                <c:ptCount val="21"/>
                <c:pt idx="0">
                  <c:v>0.50730700000000006</c:v>
                </c:pt>
                <c:pt idx="1">
                  <c:v>0.484933</c:v>
                </c:pt>
                <c:pt idx="2">
                  <c:v>0.49443300000000001</c:v>
                </c:pt>
                <c:pt idx="3">
                  <c:v>0.49036799999999997</c:v>
                </c:pt>
                <c:pt idx="4">
                  <c:v>0.47017599999999998</c:v>
                </c:pt>
                <c:pt idx="5">
                  <c:v>0.48089499999999996</c:v>
                </c:pt>
                <c:pt idx="6">
                  <c:v>0.46426499999999998</c:v>
                </c:pt>
                <c:pt idx="7">
                  <c:v>0.46529199999999998</c:v>
                </c:pt>
                <c:pt idx="8">
                  <c:v>0.465119</c:v>
                </c:pt>
                <c:pt idx="9">
                  <c:v>0.44819700000000001</c:v>
                </c:pt>
                <c:pt idx="10">
                  <c:v>0.47639700000000001</c:v>
                </c:pt>
                <c:pt idx="11">
                  <c:v>0.47727800000000004</c:v>
                </c:pt>
                <c:pt idx="12">
                  <c:v>0.457986</c:v>
                </c:pt>
                <c:pt idx="13">
                  <c:v>0.413572</c:v>
                </c:pt>
                <c:pt idx="14">
                  <c:v>0.48050700000000002</c:v>
                </c:pt>
                <c:pt idx="15">
                  <c:v>0.48741800000000002</c:v>
                </c:pt>
                <c:pt idx="16">
                  <c:v>0.50051600000000007</c:v>
                </c:pt>
                <c:pt idx="17">
                  <c:v>0.521706</c:v>
                </c:pt>
                <c:pt idx="18">
                  <c:v>0.47993000000000002</c:v>
                </c:pt>
                <c:pt idx="19">
                  <c:v>0.478964</c:v>
                </c:pt>
                <c:pt idx="20">
                  <c:v>0.48176400000000003</c:v>
                </c:pt>
              </c:numCache>
            </c:numRef>
          </c:val>
          <c:extLst>
            <c:ext xmlns:c16="http://schemas.microsoft.com/office/drawing/2014/chart" uri="{C3380CC4-5D6E-409C-BE32-E72D297353CC}">
              <c16:uniqueId val="{00000006-DD5C-4865-8F5C-F8E061768D36}"/>
            </c:ext>
          </c:extLst>
        </c:ser>
        <c:ser>
          <c:idx val="7"/>
          <c:order val="7"/>
          <c:tx>
            <c:strRef>
              <c:f>'P1_G4-G5'!$M$35</c:f>
              <c:strCache>
                <c:ptCount val="1"/>
                <c:pt idx="0">
                  <c:v>Géothermie électrique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'P1_G4-G5'!$N$35:$AH$35</c:f>
              <c:numCache>
                <c:formatCode>#,##0</c:formatCode>
                <c:ptCount val="21"/>
                <c:pt idx="0">
                  <c:v>0</c:v>
                </c:pt>
                <c:pt idx="1">
                  <c:v>0</c:v>
                </c:pt>
                <c:pt idx="2">
                  <c:v>0</c:v>
                </c:pt>
                <c:pt idx="3">
                  <c:v>0</c:v>
                </c:pt>
                <c:pt idx="4">
                  <c:v>0</c:v>
                </c:pt>
                <c:pt idx="5">
                  <c:v>0</c:v>
                </c:pt>
                <c:pt idx="6">
                  <c:v>0</c:v>
                </c:pt>
                <c:pt idx="7">
                  <c:v>0</c:v>
                </c:pt>
                <c:pt idx="8">
                  <c:v>0</c:v>
                </c:pt>
                <c:pt idx="9">
                  <c:v>0</c:v>
                </c:pt>
                <c:pt idx="10">
                  <c:v>0</c:v>
                </c:pt>
                <c:pt idx="11">
                  <c:v>6.2237000000000001E-2</c:v>
                </c:pt>
                <c:pt idx="12">
                  <c:v>5.6513000000000001E-2</c:v>
                </c:pt>
                <c:pt idx="13">
                  <c:v>9.0150999999999995E-2</c:v>
                </c:pt>
                <c:pt idx="14">
                  <c:v>8.3114000000000007E-2</c:v>
                </c:pt>
                <c:pt idx="15">
                  <c:v>9.1938999999999993E-2</c:v>
                </c:pt>
                <c:pt idx="16">
                  <c:v>9.7604999999999997E-2</c:v>
                </c:pt>
                <c:pt idx="17">
                  <c:v>0.13313</c:v>
                </c:pt>
                <c:pt idx="18">
                  <c:v>0.126975</c:v>
                </c:pt>
                <c:pt idx="19">
                  <c:v>0.12848599999999999</c:v>
                </c:pt>
                <c:pt idx="20">
                  <c:v>0.12848599999999999</c:v>
                </c:pt>
              </c:numCache>
            </c:numRef>
          </c:val>
          <c:extLst>
            <c:ext xmlns:c16="http://schemas.microsoft.com/office/drawing/2014/chart" uri="{C3380CC4-5D6E-409C-BE32-E72D297353CC}">
              <c16:uniqueId val="{00000007-DD5C-4865-8F5C-F8E061768D36}"/>
            </c:ext>
          </c:extLst>
        </c:ser>
        <c:dLbls>
          <c:showLegendKey val="0"/>
          <c:showVal val="0"/>
          <c:showCatName val="0"/>
          <c:showSerName val="0"/>
          <c:showPercent val="0"/>
          <c:showBubbleSize val="0"/>
        </c:dLbls>
        <c:axId val="161546624"/>
        <c:axId val="161548160"/>
      </c:areaChart>
      <c:catAx>
        <c:axId val="161546624"/>
        <c:scaling>
          <c:orientation val="minMax"/>
        </c:scaling>
        <c:delete val="0"/>
        <c:axPos val="b"/>
        <c:numFmt formatCode="General" sourceLinked="1"/>
        <c:majorTickMark val="out"/>
        <c:minorTickMark val="none"/>
        <c:tickLblPos val="nextTo"/>
        <c:crossAx val="161548160"/>
        <c:crosses val="autoZero"/>
        <c:auto val="1"/>
        <c:lblAlgn val="ctr"/>
        <c:lblOffset val="100"/>
        <c:noMultiLvlLbl val="0"/>
      </c:catAx>
      <c:valAx>
        <c:axId val="161548160"/>
        <c:scaling>
          <c:orientation val="minMax"/>
        </c:scaling>
        <c:delete val="0"/>
        <c:axPos val="l"/>
        <c:majorGridlines/>
        <c:numFmt formatCode="#,##0" sourceLinked="1"/>
        <c:majorTickMark val="out"/>
        <c:minorTickMark val="none"/>
        <c:tickLblPos val="nextTo"/>
        <c:crossAx val="16154662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41643806307167"/>
          <c:y val="0.17424306878502599"/>
          <c:w val="0.29264520467344707"/>
          <c:h val="0.81060905913033832"/>
        </c:manualLayout>
      </c:layout>
      <c:pieChart>
        <c:varyColors val="1"/>
        <c:ser>
          <c:idx val="0"/>
          <c:order val="0"/>
          <c:spPr>
            <a:solidFill>
              <a:srgbClr val="918B4F"/>
            </a:solidFill>
            <a:ln w="25400">
              <a:noFill/>
            </a:ln>
          </c:spPr>
          <c:dPt>
            <c:idx val="0"/>
            <c:bubble3D val="0"/>
            <c:extLst>
              <c:ext xmlns:c16="http://schemas.microsoft.com/office/drawing/2014/chart" uri="{C3380CC4-5D6E-409C-BE32-E72D297353CC}">
                <c16:uniqueId val="{00000000-3109-49AC-9121-CE301297B75F}"/>
              </c:ext>
            </c:extLst>
          </c:dPt>
          <c:dLbls>
            <c:spPr>
              <a:noFill/>
              <a:ln w="25400">
                <a:noFill/>
              </a:ln>
            </c:spPr>
            <c:txPr>
              <a:bodyPr wrap="square" lIns="38100" tIns="19050" rIns="38100" bIns="19050" anchor="ctr">
                <a:spAutoFit/>
              </a:bodyPr>
              <a:lstStyle/>
              <a:p>
                <a:pPr>
                  <a:defRPr sz="1050" b="0" i="0" u="none" strike="noStrike" baseline="0">
                    <a:solidFill>
                      <a:srgbClr val="000000"/>
                    </a:solidFill>
                    <a:latin typeface="Arial"/>
                    <a:ea typeface="Arial"/>
                    <a:cs typeface="Aria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cat>
            <c:numLit>
              <c:formatCode>General</c:formatCode>
              <c:ptCount val="1"/>
              <c:pt idx="0">
                <c:v>0</c:v>
              </c:pt>
            </c:numLit>
          </c:cat>
          <c:val>
            <c:numLit>
              <c:formatCode>General</c:formatCode>
              <c:ptCount val="1"/>
              <c:pt idx="0">
                <c:v>0</c:v>
              </c:pt>
            </c:numLit>
          </c:val>
          <c:extLst>
            <c:ext xmlns:c16="http://schemas.microsoft.com/office/drawing/2014/chart" uri="{C3380CC4-5D6E-409C-BE32-E72D297353CC}">
              <c16:uniqueId val="{00000001-3109-49AC-9121-CE301297B75F}"/>
            </c:ext>
          </c:extLst>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51330285592235247"/>
          <c:y val="0.17045534080967151"/>
          <c:w val="0.25665134581182047"/>
          <c:h val="0.62500238606537817"/>
        </c:manualLayout>
      </c:layout>
      <c:overlay val="0"/>
      <c:spPr>
        <a:noFill/>
        <a:ln w="25400">
          <a:noFill/>
        </a:ln>
      </c:spPr>
      <c:txPr>
        <a:bodyPr/>
        <a:lstStyle/>
        <a:p>
          <a:pPr>
            <a:defRPr sz="525"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757465281040349E-2"/>
          <c:y val="1.2049618169588099E-2"/>
          <c:w val="0.45553191889200007"/>
          <c:h val="0.9591350453052665"/>
        </c:manualLayout>
      </c:layout>
      <c:doughnutChart>
        <c:varyColors val="1"/>
        <c:ser>
          <c:idx val="0"/>
          <c:order val="0"/>
          <c:tx>
            <c:strRef>
              <c:f>P1_G6!$O$8:$O$15</c:f>
              <c:strCache>
                <c:ptCount val="8"/>
                <c:pt idx="0">
                  <c:v>64</c:v>
                </c:pt>
                <c:pt idx="1">
                  <c:v>22</c:v>
                </c:pt>
                <c:pt idx="2">
                  <c:v>3</c:v>
                </c:pt>
                <c:pt idx="3">
                  <c:v>3</c:v>
                </c:pt>
                <c:pt idx="4">
                  <c:v>2</c:v>
                </c:pt>
                <c:pt idx="5">
                  <c:v>2</c:v>
                </c:pt>
                <c:pt idx="6">
                  <c:v>2</c:v>
                </c:pt>
                <c:pt idx="7">
                  <c:v>1</c:v>
                </c:pt>
              </c:strCache>
            </c:strRef>
          </c:tx>
          <c:spPr>
            <a:solidFill>
              <a:srgbClr val="918B4F"/>
            </a:solidFill>
            <a:ln w="25400">
              <a:noFill/>
            </a:ln>
          </c:spPr>
          <c:dPt>
            <c:idx val="0"/>
            <c:bubble3D val="0"/>
            <c:extLst>
              <c:ext xmlns:c16="http://schemas.microsoft.com/office/drawing/2014/chart" uri="{C3380CC4-5D6E-409C-BE32-E72D297353CC}">
                <c16:uniqueId val="{00000000-4FC6-4A3A-9175-B1A200F262DC}"/>
              </c:ext>
            </c:extLst>
          </c:dPt>
          <c:dPt>
            <c:idx val="1"/>
            <c:bubble3D val="0"/>
            <c:spPr>
              <a:solidFill>
                <a:srgbClr val="E46C0A"/>
              </a:solidFill>
              <a:ln w="25400">
                <a:noFill/>
              </a:ln>
            </c:spPr>
            <c:extLst>
              <c:ext xmlns:c16="http://schemas.microsoft.com/office/drawing/2014/chart" uri="{C3380CC4-5D6E-409C-BE32-E72D297353CC}">
                <c16:uniqueId val="{00000002-4FC6-4A3A-9175-B1A200F262DC}"/>
              </c:ext>
            </c:extLst>
          </c:dPt>
          <c:dPt>
            <c:idx val="2"/>
            <c:bubble3D val="0"/>
            <c:spPr>
              <a:solidFill>
                <a:srgbClr val="D3E2B2"/>
              </a:solidFill>
              <a:ln w="25400">
                <a:noFill/>
              </a:ln>
            </c:spPr>
            <c:extLst>
              <c:ext xmlns:c16="http://schemas.microsoft.com/office/drawing/2014/chart" uri="{C3380CC4-5D6E-409C-BE32-E72D297353CC}">
                <c16:uniqueId val="{00000004-4FC6-4A3A-9175-B1A200F262DC}"/>
              </c:ext>
            </c:extLst>
          </c:dPt>
          <c:dPt>
            <c:idx val="3"/>
            <c:bubble3D val="0"/>
            <c:spPr>
              <a:solidFill>
                <a:srgbClr val="AEA4BF"/>
              </a:solidFill>
              <a:ln w="25400">
                <a:noFill/>
              </a:ln>
            </c:spPr>
            <c:extLst>
              <c:ext xmlns:c16="http://schemas.microsoft.com/office/drawing/2014/chart" uri="{C3380CC4-5D6E-409C-BE32-E72D297353CC}">
                <c16:uniqueId val="{00000006-4FC6-4A3A-9175-B1A200F262DC}"/>
              </c:ext>
            </c:extLst>
          </c:dPt>
          <c:dPt>
            <c:idx val="4"/>
            <c:bubble3D val="0"/>
            <c:spPr>
              <a:solidFill>
                <a:srgbClr val="983735"/>
              </a:solidFill>
              <a:ln w="25400">
                <a:noFill/>
              </a:ln>
            </c:spPr>
            <c:extLst>
              <c:ext xmlns:c16="http://schemas.microsoft.com/office/drawing/2014/chart" uri="{C3380CC4-5D6E-409C-BE32-E72D297353CC}">
                <c16:uniqueId val="{00000008-4FC6-4A3A-9175-B1A200F262DC}"/>
              </c:ext>
            </c:extLst>
          </c:dPt>
          <c:dPt>
            <c:idx val="5"/>
            <c:bubble3D val="0"/>
            <c:spPr>
              <a:solidFill>
                <a:srgbClr val="4F6228"/>
              </a:solidFill>
              <a:ln w="25400">
                <a:noFill/>
              </a:ln>
            </c:spPr>
            <c:extLst>
              <c:ext xmlns:c16="http://schemas.microsoft.com/office/drawing/2014/chart" uri="{C3380CC4-5D6E-409C-BE32-E72D297353CC}">
                <c16:uniqueId val="{0000000A-4FC6-4A3A-9175-B1A200F262DC}"/>
              </c:ext>
            </c:extLst>
          </c:dPt>
          <c:dPt>
            <c:idx val="6"/>
            <c:bubble3D val="0"/>
            <c:spPr>
              <a:solidFill>
                <a:srgbClr val="FFC000"/>
              </a:solidFill>
              <a:ln w="25400">
                <a:noFill/>
              </a:ln>
            </c:spPr>
            <c:extLst>
              <c:ext xmlns:c16="http://schemas.microsoft.com/office/drawing/2014/chart" uri="{C3380CC4-5D6E-409C-BE32-E72D297353CC}">
                <c16:uniqueId val="{0000000C-4FC6-4A3A-9175-B1A200F262DC}"/>
              </c:ext>
            </c:extLst>
          </c:dPt>
          <c:cat>
            <c:strRef>
              <c:f>P1_G6!$P$8:$Q$15</c:f>
              <c:strCache>
                <c:ptCount val="8"/>
                <c:pt idx="0">
                  <c:v>Bois-énergie : 64,2 %</c:v>
                </c:pt>
                <c:pt idx="1">
                  <c:v>Pompes à chaleur : 21,7 %</c:v>
                </c:pt>
                <c:pt idx="2">
                  <c:v>Déchets renouvelables : 3,2 %</c:v>
                </c:pt>
                <c:pt idx="3">
                  <c:v>Biogaz : 2,6 %</c:v>
                </c:pt>
                <c:pt idx="4">
                  <c:v>Résidus agricoles et agroalimentaires : 2,5 %</c:v>
                </c:pt>
                <c:pt idx="5">
                  <c:v>Géothermie : 2,4 %</c:v>
                </c:pt>
                <c:pt idx="6">
                  <c:v>Biocarburants et autres bioliquides : 2 %</c:v>
                </c:pt>
                <c:pt idx="7">
                  <c:v>Solaire thermique : 1,3 %</c:v>
                </c:pt>
              </c:strCache>
            </c:strRef>
          </c:cat>
          <c:val>
            <c:numRef>
              <c:f>P1_G6!$N$8:$N$15</c:f>
              <c:numCache>
                <c:formatCode>0.000</c:formatCode>
                <c:ptCount val="8"/>
                <c:pt idx="0">
                  <c:v>110.85128030872578</c:v>
                </c:pt>
                <c:pt idx="1">
                  <c:v>37.501510606253028</c:v>
                </c:pt>
                <c:pt idx="2">
                  <c:v>5.5602503491823843</c:v>
                </c:pt>
                <c:pt idx="3">
                  <c:v>4.5507856976214418</c:v>
                </c:pt>
                <c:pt idx="4">
                  <c:v>4.2751626873673132</c:v>
                </c:pt>
                <c:pt idx="5">
                  <c:v>4.2275015525607875</c:v>
                </c:pt>
                <c:pt idx="6">
                  <c:v>3.4066285897734532</c:v>
                </c:pt>
                <c:pt idx="7">
                  <c:v>2.2386288888888886</c:v>
                </c:pt>
              </c:numCache>
            </c:numRef>
          </c:val>
          <c:extLst>
            <c:ext xmlns:c16="http://schemas.microsoft.com/office/drawing/2014/chart" uri="{C3380CC4-5D6E-409C-BE32-E72D297353CC}">
              <c16:uniqueId val="{0000000D-4FC6-4A3A-9175-B1A200F262DC}"/>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45600492360889255"/>
          <c:y val="7.4901278043762121E-2"/>
          <c:w val="0.52451487418487963"/>
          <c:h val="0.89635935583428961"/>
        </c:manualLayout>
      </c:layout>
      <c:overlay val="0"/>
      <c:spPr>
        <a:noFill/>
        <a:ln w="25400">
          <a:noFill/>
        </a:ln>
      </c:spPr>
      <c:txPr>
        <a:bodyPr/>
        <a:lstStyle/>
        <a:p>
          <a:pPr>
            <a:defRPr sz="65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44450</xdr:colOff>
      <xdr:row>21</xdr:row>
      <xdr:rowOff>44450</xdr:rowOff>
    </xdr:from>
    <xdr:to>
      <xdr:col>17</xdr:col>
      <xdr:colOff>542925</xdr:colOff>
      <xdr:row>40</xdr:row>
      <xdr:rowOff>84138</xdr:rowOff>
    </xdr:to>
    <xdr:graphicFrame macro="">
      <xdr:nvGraphicFramePr>
        <xdr:cNvPr id="2" name="Graphique 1">
          <a:extLst>
            <a:ext uri="{FF2B5EF4-FFF2-40B4-BE49-F238E27FC236}">
              <a16:creationId xmlns:a16="http://schemas.microsoft.com/office/drawing/2014/main" id="{2AA22B20-0E97-F310-5C77-068553DA5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282575</xdr:colOff>
      <xdr:row>20</xdr:row>
      <xdr:rowOff>158750</xdr:rowOff>
    </xdr:from>
    <xdr:to>
      <xdr:col>15</xdr:col>
      <xdr:colOff>673100</xdr:colOff>
      <xdr:row>40</xdr:row>
      <xdr:rowOff>20638</xdr:rowOff>
    </xdr:to>
    <xdr:graphicFrame macro="">
      <xdr:nvGraphicFramePr>
        <xdr:cNvPr id="3" name="Graphique 2">
          <a:extLst>
            <a:ext uri="{FF2B5EF4-FFF2-40B4-BE49-F238E27FC236}">
              <a16:creationId xmlns:a16="http://schemas.microsoft.com/office/drawing/2014/main" id="{9B9E5114-564B-4E2E-9F85-A4A4AE564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658090</xdr:colOff>
      <xdr:row>6</xdr:row>
      <xdr:rowOff>0</xdr:rowOff>
    </xdr:from>
    <xdr:to>
      <xdr:col>5</xdr:col>
      <xdr:colOff>452581</xdr:colOff>
      <xdr:row>22</xdr:row>
      <xdr:rowOff>104486</xdr:rowOff>
    </xdr:to>
    <xdr:graphicFrame macro="">
      <xdr:nvGraphicFramePr>
        <xdr:cNvPr id="2" name="Graphique 2">
          <a:extLst>
            <a:ext uri="{FF2B5EF4-FFF2-40B4-BE49-F238E27FC236}">
              <a16:creationId xmlns:a16="http://schemas.microsoft.com/office/drawing/2014/main" id="{A731D6A2-474D-4403-808E-C390A1133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1066718</xdr:colOff>
      <xdr:row>26</xdr:row>
      <xdr:rowOff>118919</xdr:rowOff>
    </xdr:from>
    <xdr:to>
      <xdr:col>7</xdr:col>
      <xdr:colOff>178872</xdr:colOff>
      <xdr:row>44</xdr:row>
      <xdr:rowOff>119207</xdr:rowOff>
    </xdr:to>
    <xdr:graphicFrame macro="">
      <xdr:nvGraphicFramePr>
        <xdr:cNvPr id="3" name="Graphique 2">
          <a:extLst>
            <a:ext uri="{FF2B5EF4-FFF2-40B4-BE49-F238E27FC236}">
              <a16:creationId xmlns:a16="http://schemas.microsoft.com/office/drawing/2014/main" id="{CEBF6F84-3400-41CA-8B25-F7D7E1E5C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0.07189</cdr:x>
      <cdr:y>0.87988</cdr:y>
    </cdr:from>
    <cdr:to>
      <cdr:x>0.07487</cdr:x>
      <cdr:y>0.9384</cdr:y>
    </cdr:to>
    <cdr:sp macro="" textlink="">
      <cdr:nvSpPr>
        <cdr:cNvPr id="95233" name="Text Box 1"/>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4" name="Text Box 2"/>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5" name="Text Box 3"/>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6" name="Text Box 4"/>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7" name="Text Box 5"/>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8" name="Text Box 6"/>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9" name="Text Box 7"/>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9525</xdr:colOff>
      <xdr:row>8</xdr:row>
      <xdr:rowOff>19050</xdr:rowOff>
    </xdr:from>
    <xdr:to>
      <xdr:col>8</xdr:col>
      <xdr:colOff>457200</xdr:colOff>
      <xdr:row>22</xdr:row>
      <xdr:rowOff>19050</xdr:rowOff>
    </xdr:to>
    <xdr:graphicFrame macro="">
      <xdr:nvGraphicFramePr>
        <xdr:cNvPr id="2" name="Graphique 1">
          <a:extLst>
            <a:ext uri="{FF2B5EF4-FFF2-40B4-BE49-F238E27FC236}">
              <a16:creationId xmlns:a16="http://schemas.microsoft.com/office/drawing/2014/main" id="{3900932A-C5A1-40EF-9AA5-849357AA5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8</xdr:row>
      <xdr:rowOff>19050</xdr:rowOff>
    </xdr:from>
    <xdr:to>
      <xdr:col>7</xdr:col>
      <xdr:colOff>352425</xdr:colOff>
      <xdr:row>22</xdr:row>
      <xdr:rowOff>19050</xdr:rowOff>
    </xdr:to>
    <xdr:graphicFrame macro="">
      <xdr:nvGraphicFramePr>
        <xdr:cNvPr id="3" name="Graphique 2">
          <a:extLst>
            <a:ext uri="{FF2B5EF4-FFF2-40B4-BE49-F238E27FC236}">
              <a16:creationId xmlns:a16="http://schemas.microsoft.com/office/drawing/2014/main" id="{45D57D9F-E02A-44AA-A221-9682799B0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0.05271</cdr:x>
      <cdr:y>0.72797</cdr:y>
    </cdr:from>
    <cdr:to>
      <cdr:x>0.05638</cdr:x>
      <cdr:y>0.79647</cdr:y>
    </cdr:to>
    <cdr:sp macro="" textlink="">
      <cdr:nvSpPr>
        <cdr:cNvPr id="97281" name="Text Box 1"/>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2" name="Text Box 2"/>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3" name="Text Box 3"/>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4" name="Text Box 4"/>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5" name="Text Box 5"/>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6" name="Text Box 6"/>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7" name="Text Box 7"/>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S:\OE\DGDDI\FACT_N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Archive\Documents%20and%20Settings\didier-l.reynaud\Bureau\secret%20stat%20En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Documents%20and%20Settings\didier-l.reynaud\Bureau\secret%20stat%20En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OE\Conjonct\CLIM_MEN_ref81_20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OE\Scherrer\article_note_electricite_et_politique_energetique\tab-article-actualise%20bilan%2020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lma.monserand/Documents/GitHub/ThreeME_V3-ADEME/data/France/calibration-FRA-2015_2022-11-24.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Z:\PROJETS\Travaux_SNBC_2023\Mod&#233;lisation%20macro\Documents%20MTE\Run%202\Excel_integrateur_DGEC_postPPE_v20230320.xlsx" TargetMode="External"/><Relationship Id="rId1" Type="http://schemas.openxmlformats.org/officeDocument/2006/relationships/externalLinkPath" Target="file:///Z:\PROJETS\Travaux_SNBC_2023\Mod&#233;lisation%20macro\Documents%20MTE\Run%202\Excel_integrateur_DGEC_postPPE_v202303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is"/>
      <sheetName val="Plus"/>
      <sheetName val="Base_série"/>
      <sheetName val="Feuil3"/>
      <sheetName val="Feuil1"/>
      <sheetName val="Solde"/>
      <sheetName val="Facture06"/>
      <sheetName val="Feuil2"/>
      <sheetName val="Calendrier"/>
      <sheetName val="Feuil4"/>
      <sheetName val="Feuil5"/>
    </sheetNames>
    <sheetDataSet>
      <sheetData sheetId="0"/>
      <sheetData sheetId="1"/>
      <sheetData sheetId="2">
        <row r="36">
          <cell r="AB36">
            <v>35431</v>
          </cell>
        </row>
      </sheetData>
      <sheetData sheetId="3"/>
      <sheetData sheetId="4"/>
      <sheetData sheetId="5"/>
      <sheetData sheetId="6"/>
      <sheetData sheetId="7"/>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81-10"/>
      <sheetName val="Calcul_ref"/>
      <sheetName val="Feuil1"/>
      <sheetName val="Feuilbn"/>
      <sheetName val="DJU30mens"/>
      <sheetName val="a"/>
      <sheetName val="CPDP"/>
      <sheetName val="Info"/>
      <sheetName val="Effet_climat"/>
      <sheetName val="Bilan"/>
      <sheetName val="JOUROUVRABLES"/>
      <sheetName val="anémobil"/>
      <sheetName val="Graph5 (2)"/>
      <sheetName val="Graph5"/>
      <sheetName val="an"/>
      <sheetName val="Graph1"/>
      <sheetName val="CPDP (2)"/>
      <sheetName val="Graph2"/>
      <sheetName val="Gdemi"/>
      <sheetName val="demi"/>
      <sheetName val="Graph3"/>
      <sheetName val="Feuil3"/>
      <sheetName val="Feuil2"/>
    </sheetNames>
    <sheetDataSet>
      <sheetData sheetId="0"/>
      <sheetData sheetId="1"/>
      <sheetData sheetId="2">
        <row r="1">
          <cell r="A1" t="str">
            <v>date</v>
          </cell>
          <cell r="B1" t="str">
            <v>KCDM</v>
          </cell>
          <cell r="C1" t="str">
            <v>KCDR</v>
          </cell>
          <cell r="D1" t="str">
            <v>KCDC</v>
          </cell>
          <cell r="E1" t="str">
            <v>KCDM_R</v>
          </cell>
          <cell r="F1" t="str">
            <v>KCDR_R</v>
          </cell>
          <cell r="G1" t="str">
            <v>KCDC_R</v>
          </cell>
          <cell r="H1" t="str">
            <v>KCTM</v>
          </cell>
          <cell r="I1" t="str">
            <v>KCTR</v>
          </cell>
          <cell r="J1" t="str">
            <v>KCTE</v>
          </cell>
          <cell r="K1" t="str">
            <v>KCDMB</v>
          </cell>
          <cell r="L1" t="str">
            <v>KCDRB</v>
          </cell>
          <cell r="M1" t="str">
            <v>KCDCB</v>
          </cell>
          <cell r="N1" t="str">
            <v>KCTMB</v>
          </cell>
          <cell r="O1" t="str">
            <v>KCTRB</v>
          </cell>
          <cell r="P1" t="str">
            <v>KCTEB</v>
          </cell>
        </row>
        <row r="2">
          <cell r="A2" t="str">
            <v>1970:1</v>
          </cell>
          <cell r="B2">
            <v>381.91341344611448</v>
          </cell>
          <cell r="C2">
            <v>392.91081774346333</v>
          </cell>
          <cell r="D2">
            <v>0.97201043137343901</v>
          </cell>
          <cell r="E2">
            <v>381.91341344611448</v>
          </cell>
          <cell r="F2">
            <v>392.91081774346333</v>
          </cell>
          <cell r="G2">
            <v>0.97201043137343901</v>
          </cell>
          <cell r="H2">
            <v>4.7</v>
          </cell>
          <cell r="I2">
            <v>3.9</v>
          </cell>
          <cell r="J2">
            <v>0.80000000000000027</v>
          </cell>
          <cell r="K2">
            <v>422.8</v>
          </cell>
          <cell r="L2">
            <v>456.3</v>
          </cell>
          <cell r="M2">
            <v>0.9265833881218497</v>
          </cell>
          <cell r="N2">
            <v>4.4000000000000004</v>
          </cell>
          <cell r="O2">
            <v>3.3</v>
          </cell>
          <cell r="P2">
            <v>1.1000000000000005</v>
          </cell>
        </row>
        <row r="3">
          <cell r="A3" t="str">
            <v>1970:2</v>
          </cell>
          <cell r="B3">
            <v>333.42995508732315</v>
          </cell>
          <cell r="C3">
            <v>331.22294910654443</v>
          </cell>
          <cell r="D3">
            <v>1.006663203702316</v>
          </cell>
          <cell r="E3">
            <v>333.42995508732315</v>
          </cell>
          <cell r="F3">
            <v>331.22294910654443</v>
          </cell>
          <cell r="G3">
            <v>1.006663203702316</v>
          </cell>
          <cell r="H3">
            <v>5.0999999999999996</v>
          </cell>
          <cell r="I3">
            <v>4.9000000000000004</v>
          </cell>
          <cell r="J3">
            <v>0.19999999999999929</v>
          </cell>
          <cell r="K3">
            <v>378.4</v>
          </cell>
          <cell r="L3">
            <v>388.2</v>
          </cell>
          <cell r="M3">
            <v>0.97475528078310147</v>
          </cell>
          <cell r="N3">
            <v>4.5</v>
          </cell>
          <cell r="O3">
            <v>4.2</v>
          </cell>
          <cell r="P3">
            <v>0.29999999999999982</v>
          </cell>
        </row>
        <row r="4">
          <cell r="A4" t="str">
            <v>1970:3</v>
          </cell>
          <cell r="B4">
            <v>369.62645449838283</v>
          </cell>
          <cell r="C4">
            <v>270.29253185771751</v>
          </cell>
          <cell r="D4">
            <v>1.3675052431450636</v>
          </cell>
          <cell r="E4">
            <v>369.62645449838283</v>
          </cell>
          <cell r="F4">
            <v>270.29253185771751</v>
          </cell>
          <cell r="G4">
            <v>1.3675052431450636</v>
          </cell>
          <cell r="H4">
            <v>5</v>
          </cell>
          <cell r="I4">
            <v>7.4</v>
          </cell>
          <cell r="J4">
            <v>-2.4000000000000004</v>
          </cell>
          <cell r="K4">
            <v>421.8</v>
          </cell>
          <cell r="L4">
            <v>344.1</v>
          </cell>
          <cell r="M4">
            <v>1.2258064516129032</v>
          </cell>
          <cell r="N4">
            <v>4.4000000000000004</v>
          </cell>
          <cell r="O4">
            <v>6.9</v>
          </cell>
          <cell r="P4">
            <v>-2.5</v>
          </cell>
        </row>
        <row r="5">
          <cell r="A5" t="str">
            <v>1970:4</v>
          </cell>
          <cell r="B5">
            <v>253.8728162756737</v>
          </cell>
          <cell r="C5">
            <v>198.63939385091356</v>
          </cell>
          <cell r="D5">
            <v>1.2780587543788768</v>
          </cell>
          <cell r="E5">
            <v>253.8728162756737</v>
          </cell>
          <cell r="F5">
            <v>198.63939385091356</v>
          </cell>
          <cell r="G5">
            <v>1.2780587543788768</v>
          </cell>
          <cell r="H5">
            <v>8.4</v>
          </cell>
          <cell r="I5">
            <v>9.9</v>
          </cell>
          <cell r="J5">
            <v>-1.5</v>
          </cell>
          <cell r="K5">
            <v>303</v>
          </cell>
          <cell r="L5">
            <v>248.1</v>
          </cell>
          <cell r="M5">
            <v>1.2212817412333736</v>
          </cell>
          <cell r="N5">
            <v>7.9</v>
          </cell>
          <cell r="O5">
            <v>9.6999999999999993</v>
          </cell>
          <cell r="P5">
            <v>-1.7999999999999989</v>
          </cell>
        </row>
        <row r="6">
          <cell r="A6" t="str">
            <v>1970:5</v>
          </cell>
          <cell r="B6">
            <v>96.182889221549601</v>
          </cell>
          <cell r="C6">
            <v>94.205291641343422</v>
          </cell>
          <cell r="D6">
            <v>1.0209924256456342</v>
          </cell>
          <cell r="E6">
            <v>96.182889221549601</v>
          </cell>
          <cell r="F6">
            <v>94.205291641343422</v>
          </cell>
          <cell r="G6">
            <v>1.0209924256456342</v>
          </cell>
          <cell r="H6">
            <v>13.7</v>
          </cell>
          <cell r="I6">
            <v>13.6</v>
          </cell>
          <cell r="J6">
            <v>9.9999999999999645E-2</v>
          </cell>
          <cell r="K6">
            <v>133.5</v>
          </cell>
          <cell r="L6">
            <v>147.30000000000001</v>
          </cell>
          <cell r="M6">
            <v>0.90631364562118122</v>
          </cell>
          <cell r="N6">
            <v>13.7</v>
          </cell>
          <cell r="O6">
            <v>13.4</v>
          </cell>
          <cell r="P6">
            <v>0.29999999999999893</v>
          </cell>
        </row>
        <row r="7">
          <cell r="A7" t="str">
            <v>1970:6</v>
          </cell>
          <cell r="B7">
            <v>10.487436520333016</v>
          </cell>
          <cell r="C7">
            <v>33.639009300779129</v>
          </cell>
          <cell r="D7">
            <v>0.31176413153434074</v>
          </cell>
          <cell r="E7">
            <v>0</v>
          </cell>
          <cell r="F7">
            <v>0</v>
          </cell>
          <cell r="G7">
            <v>1</v>
          </cell>
          <cell r="H7">
            <v>18.399999999999999</v>
          </cell>
          <cell r="I7">
            <v>16.8</v>
          </cell>
          <cell r="J7">
            <v>1.5999999999999979</v>
          </cell>
          <cell r="K7">
            <v>23</v>
          </cell>
          <cell r="L7">
            <v>65.7</v>
          </cell>
          <cell r="M7">
            <v>0.35007610350076102</v>
          </cell>
          <cell r="N7">
            <v>18.100000000000001</v>
          </cell>
          <cell r="O7">
            <v>16.399999999999999</v>
          </cell>
          <cell r="P7">
            <v>1.7000000000000028</v>
          </cell>
        </row>
        <row r="8">
          <cell r="A8" t="str">
            <v>1970:7</v>
          </cell>
          <cell r="B8">
            <v>23.348901161961557</v>
          </cell>
          <cell r="C8">
            <v>9.8992241828118033</v>
          </cell>
          <cell r="D8">
            <v>2.3586597020908631</v>
          </cell>
          <cell r="E8">
            <v>0</v>
          </cell>
          <cell r="F8">
            <v>0</v>
          </cell>
          <cell r="G8">
            <v>1</v>
          </cell>
          <cell r="H8">
            <v>18</v>
          </cell>
          <cell r="I8">
            <v>18.899999999999999</v>
          </cell>
          <cell r="J8">
            <v>-0.89999999999999858</v>
          </cell>
          <cell r="K8">
            <v>44.1</v>
          </cell>
          <cell r="L8">
            <v>31.2</v>
          </cell>
          <cell r="M8">
            <v>1.4134615384615385</v>
          </cell>
          <cell r="N8">
            <v>17.3</v>
          </cell>
          <cell r="O8">
            <v>18.3</v>
          </cell>
          <cell r="P8">
            <v>-1</v>
          </cell>
        </row>
        <row r="9">
          <cell r="A9" t="str">
            <v>1970:8</v>
          </cell>
          <cell r="B9">
            <v>14.621417850252566</v>
          </cell>
          <cell r="C9">
            <v>9.4425505166936539</v>
          </cell>
          <cell r="D9">
            <v>1.5484606435944506</v>
          </cell>
          <cell r="E9">
            <v>0</v>
          </cell>
          <cell r="F9">
            <v>0</v>
          </cell>
          <cell r="G9">
            <v>1</v>
          </cell>
          <cell r="H9">
            <v>18.899999999999999</v>
          </cell>
          <cell r="I9">
            <v>18.7</v>
          </cell>
          <cell r="J9">
            <v>0.19999999999999929</v>
          </cell>
          <cell r="K9">
            <v>31</v>
          </cell>
          <cell r="L9">
            <v>32.6</v>
          </cell>
          <cell r="M9">
            <v>0.95092024539877296</v>
          </cell>
          <cell r="N9">
            <v>18.100000000000001</v>
          </cell>
          <cell r="O9">
            <v>18</v>
          </cell>
          <cell r="P9">
            <v>0.10000000000000142</v>
          </cell>
        </row>
        <row r="10">
          <cell r="A10" t="str">
            <v>1970:9</v>
          </cell>
          <cell r="B10">
            <v>29.321078565476803</v>
          </cell>
          <cell r="C10">
            <v>43.697695496746512</v>
          </cell>
          <cell r="D10">
            <v>0.67099828108006032</v>
          </cell>
          <cell r="E10">
            <v>0</v>
          </cell>
          <cell r="F10">
            <v>0</v>
          </cell>
          <cell r="G10">
            <v>1</v>
          </cell>
          <cell r="H10">
            <v>16.899999999999999</v>
          </cell>
          <cell r="I10">
            <v>16.3</v>
          </cell>
          <cell r="J10">
            <v>0.59999999999999787</v>
          </cell>
          <cell r="K10">
            <v>53.8</v>
          </cell>
          <cell r="L10">
            <v>80</v>
          </cell>
          <cell r="M10">
            <v>0.67249999999999999</v>
          </cell>
          <cell r="N10">
            <v>16.5</v>
          </cell>
          <cell r="O10">
            <v>15.7</v>
          </cell>
          <cell r="P10">
            <v>0.80000000000000071</v>
          </cell>
        </row>
        <row r="11">
          <cell r="A11" t="str">
            <v>1970:10</v>
          </cell>
          <cell r="B11">
            <v>166.57053313805847</v>
          </cell>
          <cell r="C11">
            <v>132.10004667845612</v>
          </cell>
          <cell r="D11">
            <v>1.260942273120514</v>
          </cell>
          <cell r="E11">
            <v>166.57053313805847</v>
          </cell>
          <cell r="F11">
            <v>132.10004667845612</v>
          </cell>
          <cell r="G11">
            <v>1.260942273120514</v>
          </cell>
          <cell r="H11">
            <v>11.5</v>
          </cell>
          <cell r="I11">
            <v>12.2</v>
          </cell>
          <cell r="J11">
            <v>-0.69999999999999929</v>
          </cell>
          <cell r="K11">
            <v>209.5</v>
          </cell>
          <cell r="L11">
            <v>201.4</v>
          </cell>
          <cell r="M11">
            <v>1.0402184707050646</v>
          </cell>
          <cell r="N11">
            <v>11.2</v>
          </cell>
          <cell r="O11">
            <v>11.5</v>
          </cell>
          <cell r="P11">
            <v>-0.30000000000000071</v>
          </cell>
        </row>
        <row r="12">
          <cell r="A12" t="str">
            <v>1970:11</v>
          </cell>
          <cell r="B12">
            <v>229.26296909580418</v>
          </cell>
          <cell r="C12">
            <v>277.9065874341735</v>
          </cell>
          <cell r="D12">
            <v>0.82496414069388935</v>
          </cell>
          <cell r="E12">
            <v>229.26296909580418</v>
          </cell>
          <cell r="F12">
            <v>277.9065874341735</v>
          </cell>
          <cell r="G12">
            <v>0.82496414069388935</v>
          </cell>
          <cell r="H12">
            <v>9.1999999999999993</v>
          </cell>
          <cell r="I12">
            <v>7.5</v>
          </cell>
          <cell r="J12">
            <v>1.6999999999999993</v>
          </cell>
          <cell r="K12">
            <v>274.5</v>
          </cell>
          <cell r="L12">
            <v>336.8</v>
          </cell>
          <cell r="M12">
            <v>0.81502375296912111</v>
          </cell>
          <cell r="N12">
            <v>8.8000000000000007</v>
          </cell>
          <cell r="O12">
            <v>6.8</v>
          </cell>
          <cell r="P12">
            <v>2.0000000000000009</v>
          </cell>
        </row>
        <row r="13">
          <cell r="A13" t="str">
            <v>1970:12</v>
          </cell>
          <cell r="B13">
            <v>444.42726601289297</v>
          </cell>
          <cell r="C13">
            <v>363.68818352813111</v>
          </cell>
          <cell r="D13">
            <v>1.2220008406693716</v>
          </cell>
          <cell r="E13">
            <v>444.42726601289297</v>
          </cell>
          <cell r="F13">
            <v>363.68818352813111</v>
          </cell>
          <cell r="G13">
            <v>1.2220008406693716</v>
          </cell>
          <cell r="H13">
            <v>2.8</v>
          </cell>
          <cell r="I13">
            <v>4.8</v>
          </cell>
          <cell r="J13">
            <v>-2</v>
          </cell>
          <cell r="K13">
            <v>480.8</v>
          </cell>
          <cell r="L13">
            <v>424.6</v>
          </cell>
          <cell r="M13">
            <v>1.1323598681111635</v>
          </cell>
          <cell r="N13">
            <v>2.5</v>
          </cell>
          <cell r="O13">
            <v>4.3</v>
          </cell>
          <cell r="P13">
            <v>-1.7999999999999998</v>
          </cell>
        </row>
        <row r="14">
          <cell r="A14" t="str">
            <v>1971:1</v>
          </cell>
          <cell r="B14">
            <v>419.77147494891273</v>
          </cell>
          <cell r="C14">
            <v>392.91081774346333</v>
          </cell>
          <cell r="D14">
            <v>1.0683632417140194</v>
          </cell>
          <cell r="E14">
            <v>419.77147494891273</v>
          </cell>
          <cell r="F14">
            <v>392.91081774346333</v>
          </cell>
          <cell r="G14">
            <v>1.0683632417140194</v>
          </cell>
          <cell r="H14">
            <v>3.5</v>
          </cell>
          <cell r="I14">
            <v>3.9</v>
          </cell>
          <cell r="J14">
            <v>-0.39999999999999991</v>
          </cell>
          <cell r="K14">
            <v>450.5</v>
          </cell>
          <cell r="L14">
            <v>456.3</v>
          </cell>
          <cell r="M14">
            <v>0.98728906421214113</v>
          </cell>
          <cell r="N14">
            <v>3.5</v>
          </cell>
          <cell r="O14">
            <v>3.3</v>
          </cell>
          <cell r="P14">
            <v>0.20000000000000018</v>
          </cell>
        </row>
        <row r="15">
          <cell r="A15" t="str">
            <v>1971:2</v>
          </cell>
          <cell r="B15">
            <v>345.87730140416124</v>
          </cell>
          <cell r="C15">
            <v>331.22294910654443</v>
          </cell>
          <cell r="D15">
            <v>1.0442431671390708</v>
          </cell>
          <cell r="E15">
            <v>345.87730140416124</v>
          </cell>
          <cell r="F15">
            <v>331.22294910654443</v>
          </cell>
          <cell r="G15">
            <v>1.0442431671390708</v>
          </cell>
          <cell r="H15">
            <v>4.4000000000000004</v>
          </cell>
          <cell r="I15">
            <v>4.9000000000000004</v>
          </cell>
          <cell r="J15">
            <v>-0.5</v>
          </cell>
          <cell r="K15">
            <v>379.9</v>
          </cell>
          <cell r="L15">
            <v>388.2</v>
          </cell>
          <cell r="M15">
            <v>0.97861926841834102</v>
          </cell>
          <cell r="N15">
            <v>4.4000000000000004</v>
          </cell>
          <cell r="O15">
            <v>4.2</v>
          </cell>
          <cell r="P15">
            <v>0.20000000000000018</v>
          </cell>
        </row>
        <row r="16">
          <cell r="A16" t="str">
            <v>1971:3</v>
          </cell>
          <cell r="B16">
            <v>393.42262091039913</v>
          </cell>
          <cell r="C16">
            <v>270.29253185771751</v>
          </cell>
          <cell r="D16">
            <v>1.4555438073202021</v>
          </cell>
          <cell r="E16">
            <v>393.42262091039913</v>
          </cell>
          <cell r="F16">
            <v>270.29253185771751</v>
          </cell>
          <cell r="G16">
            <v>1.4555438073202021</v>
          </cell>
          <cell r="H16">
            <v>4.0999999999999996</v>
          </cell>
          <cell r="I16">
            <v>7.4</v>
          </cell>
          <cell r="J16">
            <v>-3.3000000000000007</v>
          </cell>
          <cell r="K16">
            <v>433.8</v>
          </cell>
          <cell r="L16">
            <v>344.1</v>
          </cell>
          <cell r="M16">
            <v>1.2606800348735832</v>
          </cell>
          <cell r="N16">
            <v>4</v>
          </cell>
          <cell r="O16">
            <v>6.9</v>
          </cell>
          <cell r="P16">
            <v>-2.9000000000000004</v>
          </cell>
        </row>
        <row r="17">
          <cell r="A17" t="str">
            <v>1971:4</v>
          </cell>
          <cell r="B17">
            <v>162.15440151611003</v>
          </cell>
          <cell r="C17">
            <v>198.63939385091356</v>
          </cell>
          <cell r="D17">
            <v>0.81632549502146123</v>
          </cell>
          <cell r="E17">
            <v>162.15440151611003</v>
          </cell>
          <cell r="F17">
            <v>198.63939385091356</v>
          </cell>
          <cell r="G17">
            <v>0.81632549502146123</v>
          </cell>
          <cell r="H17">
            <v>11.3</v>
          </cell>
          <cell r="I17">
            <v>9.9</v>
          </cell>
          <cell r="J17">
            <v>1.4000000000000004</v>
          </cell>
          <cell r="K17">
            <v>217.7</v>
          </cell>
          <cell r="L17">
            <v>248.1</v>
          </cell>
          <cell r="M17">
            <v>0.87746876259572748</v>
          </cell>
          <cell r="N17">
            <v>10.7</v>
          </cell>
          <cell r="O17">
            <v>9.6999999999999993</v>
          </cell>
          <cell r="P17">
            <v>1</v>
          </cell>
        </row>
        <row r="18">
          <cell r="A18" t="str">
            <v>1971:5</v>
          </cell>
          <cell r="B18">
            <v>76.250349235733196</v>
          </cell>
          <cell r="C18">
            <v>94.205291641343422</v>
          </cell>
          <cell r="D18">
            <v>0.80940622238113824</v>
          </cell>
          <cell r="E18">
            <v>76.250349235733196</v>
          </cell>
          <cell r="F18">
            <v>94.205291641343422</v>
          </cell>
          <cell r="G18">
            <v>0.80940622238113824</v>
          </cell>
          <cell r="H18">
            <v>14.5</v>
          </cell>
          <cell r="I18">
            <v>13.6</v>
          </cell>
          <cell r="J18">
            <v>0.90000000000000036</v>
          </cell>
          <cell r="K18">
            <v>93.5</v>
          </cell>
          <cell r="L18">
            <v>147.30000000000001</v>
          </cell>
          <cell r="M18">
            <v>0.63475899524779356</v>
          </cell>
          <cell r="N18">
            <v>15.1</v>
          </cell>
          <cell r="O18">
            <v>13.4</v>
          </cell>
          <cell r="P18">
            <v>1.6999999999999993</v>
          </cell>
        </row>
        <row r="19">
          <cell r="A19" t="str">
            <v>1971:6</v>
          </cell>
          <cell r="B19">
            <v>54.837904669274771</v>
          </cell>
          <cell r="C19">
            <v>33.639009300779129</v>
          </cell>
          <cell r="D19">
            <v>1.6301878625184316</v>
          </cell>
          <cell r="E19">
            <v>0</v>
          </cell>
          <cell r="F19">
            <v>0</v>
          </cell>
          <cell r="G19">
            <v>1</v>
          </cell>
          <cell r="H19">
            <v>15.5</v>
          </cell>
          <cell r="I19">
            <v>16.8</v>
          </cell>
          <cell r="J19">
            <v>-1.3000000000000007</v>
          </cell>
          <cell r="K19">
            <v>97.4</v>
          </cell>
          <cell r="L19">
            <v>65.7</v>
          </cell>
          <cell r="M19">
            <v>1.482496194824962</v>
          </cell>
          <cell r="N19">
            <v>14.8</v>
          </cell>
          <cell r="O19">
            <v>16.399999999999999</v>
          </cell>
          <cell r="P19">
            <v>-1.5999999999999979</v>
          </cell>
        </row>
        <row r="20">
          <cell r="A20" t="str">
            <v>1971:7</v>
          </cell>
          <cell r="B20">
            <v>5.2343352861753552</v>
          </cell>
          <cell r="C20">
            <v>9.8992241828118033</v>
          </cell>
          <cell r="D20">
            <v>0.52876217262195391</v>
          </cell>
          <cell r="E20">
            <v>0</v>
          </cell>
          <cell r="F20">
            <v>0</v>
          </cell>
          <cell r="G20">
            <v>1</v>
          </cell>
          <cell r="H20">
            <v>20.3</v>
          </cell>
          <cell r="I20">
            <v>18.899999999999999</v>
          </cell>
          <cell r="J20">
            <v>1.4000000000000021</v>
          </cell>
          <cell r="K20">
            <v>13.2</v>
          </cell>
          <cell r="L20">
            <v>31.2</v>
          </cell>
          <cell r="M20">
            <v>0.42307692307692307</v>
          </cell>
          <cell r="N20">
            <v>19.2</v>
          </cell>
          <cell r="O20">
            <v>18.3</v>
          </cell>
          <cell r="P20">
            <v>0.89999999999999858</v>
          </cell>
        </row>
        <row r="21">
          <cell r="A21" t="str">
            <v>1971:8</v>
          </cell>
          <cell r="B21">
            <v>5.9523913456625417</v>
          </cell>
          <cell r="C21">
            <v>9.4425505166936539</v>
          </cell>
          <cell r="D21">
            <v>0.63037961355241923</v>
          </cell>
          <cell r="E21">
            <v>0</v>
          </cell>
          <cell r="F21">
            <v>0</v>
          </cell>
          <cell r="G21">
            <v>1</v>
          </cell>
          <cell r="H21">
            <v>19.100000000000001</v>
          </cell>
          <cell r="I21">
            <v>18.7</v>
          </cell>
          <cell r="J21">
            <v>0.40000000000000213</v>
          </cell>
          <cell r="K21">
            <v>20.100000000000001</v>
          </cell>
          <cell r="L21">
            <v>32.6</v>
          </cell>
          <cell r="M21">
            <v>0.6165644171779141</v>
          </cell>
          <cell r="N21">
            <v>17.899999999999999</v>
          </cell>
          <cell r="O21">
            <v>18</v>
          </cell>
          <cell r="P21">
            <v>-0.10000000000000142</v>
          </cell>
        </row>
        <row r="22">
          <cell r="A22" t="str">
            <v>1971:9</v>
          </cell>
          <cell r="B22">
            <v>47.94544985192514</v>
          </cell>
          <cell r="C22">
            <v>43.697695496746512</v>
          </cell>
          <cell r="D22">
            <v>1.0972077430374994</v>
          </cell>
          <cell r="E22">
            <v>0</v>
          </cell>
          <cell r="F22">
            <v>0</v>
          </cell>
          <cell r="G22">
            <v>1</v>
          </cell>
          <cell r="H22">
            <v>15.8</v>
          </cell>
          <cell r="I22">
            <v>16.3</v>
          </cell>
          <cell r="J22">
            <v>-0.5</v>
          </cell>
          <cell r="K22">
            <v>88.9</v>
          </cell>
          <cell r="L22">
            <v>80</v>
          </cell>
          <cell r="M22">
            <v>1.1112500000000001</v>
          </cell>
          <cell r="N22">
            <v>15</v>
          </cell>
          <cell r="O22">
            <v>15.7</v>
          </cell>
          <cell r="P22">
            <v>-0.69999999999999929</v>
          </cell>
        </row>
        <row r="23">
          <cell r="A23" t="str">
            <v>1971:10</v>
          </cell>
          <cell r="B23">
            <v>138.4669417044841</v>
          </cell>
          <cell r="C23">
            <v>132.10004667845612</v>
          </cell>
          <cell r="D23">
            <v>1.0481975229087208</v>
          </cell>
          <cell r="E23">
            <v>138.4669417044841</v>
          </cell>
          <cell r="F23">
            <v>132.10004667845612</v>
          </cell>
          <cell r="G23">
            <v>1.0481975229087208</v>
          </cell>
          <cell r="H23">
            <v>12.1</v>
          </cell>
          <cell r="I23">
            <v>12.2</v>
          </cell>
          <cell r="J23">
            <v>-9.9999999999999645E-2</v>
          </cell>
          <cell r="K23">
            <v>224.4</v>
          </cell>
          <cell r="L23">
            <v>201.4</v>
          </cell>
          <cell r="M23">
            <v>1.1142005958291956</v>
          </cell>
          <cell r="N23">
            <v>10.8</v>
          </cell>
          <cell r="O23">
            <v>11.5</v>
          </cell>
          <cell r="P23">
            <v>-0.69999999999999929</v>
          </cell>
        </row>
        <row r="24">
          <cell r="A24" t="str">
            <v>1971:11</v>
          </cell>
          <cell r="B24">
            <v>333.56404307586411</v>
          </cell>
          <cell r="C24">
            <v>277.9065874341735</v>
          </cell>
          <cell r="D24">
            <v>1.2002739703134022</v>
          </cell>
          <cell r="E24">
            <v>333.56404307586411</v>
          </cell>
          <cell r="F24">
            <v>277.9065874341735</v>
          </cell>
          <cell r="G24">
            <v>1.2002739703134022</v>
          </cell>
          <cell r="H24">
            <v>5.9</v>
          </cell>
          <cell r="I24">
            <v>7.5</v>
          </cell>
          <cell r="J24">
            <v>-1.5999999999999996</v>
          </cell>
          <cell r="K24">
            <v>370.9</v>
          </cell>
          <cell r="L24">
            <v>336.8</v>
          </cell>
          <cell r="M24">
            <v>1.1012470308788598</v>
          </cell>
          <cell r="N24">
            <v>5.6</v>
          </cell>
          <cell r="O24">
            <v>6.8</v>
          </cell>
          <cell r="P24">
            <v>-1.2000000000000002</v>
          </cell>
        </row>
        <row r="25">
          <cell r="A25" t="str">
            <v>1971:12</v>
          </cell>
          <cell r="B25">
            <v>377.37100887158044</v>
          </cell>
          <cell r="C25">
            <v>363.68818352813111</v>
          </cell>
          <cell r="D25">
            <v>1.0376224083243852</v>
          </cell>
          <cell r="E25">
            <v>377.37100887158044</v>
          </cell>
          <cell r="F25">
            <v>363.68818352813111</v>
          </cell>
          <cell r="G25">
            <v>1.0376224083243852</v>
          </cell>
          <cell r="H25">
            <v>4.9000000000000004</v>
          </cell>
          <cell r="I25">
            <v>4.8</v>
          </cell>
          <cell r="J25">
            <v>0.10000000000000053</v>
          </cell>
          <cell r="K25">
            <v>415.1</v>
          </cell>
          <cell r="L25">
            <v>424.6</v>
          </cell>
          <cell r="M25">
            <v>0.97762600094206309</v>
          </cell>
          <cell r="N25">
            <v>4.5999999999999996</v>
          </cell>
          <cell r="O25">
            <v>4.3</v>
          </cell>
          <cell r="P25">
            <v>0.29999999999999982</v>
          </cell>
        </row>
        <row r="26">
          <cell r="A26" t="str">
            <v>1972:1</v>
          </cell>
          <cell r="B26">
            <v>410.55231510244414</v>
          </cell>
          <cell r="C26">
            <v>392.91081774346333</v>
          </cell>
          <cell r="D26">
            <v>1.044899495158464</v>
          </cell>
          <cell r="E26">
            <v>410.55231510244414</v>
          </cell>
          <cell r="F26">
            <v>392.91081774346333</v>
          </cell>
          <cell r="G26">
            <v>1.044899495158464</v>
          </cell>
          <cell r="H26">
            <v>3.7</v>
          </cell>
          <cell r="I26">
            <v>3.9</v>
          </cell>
          <cell r="J26">
            <v>-0.19999999999999973</v>
          </cell>
          <cell r="K26">
            <v>469</v>
          </cell>
          <cell r="L26">
            <v>456.3</v>
          </cell>
          <cell r="M26">
            <v>1.0278325662941048</v>
          </cell>
          <cell r="N26">
            <v>2.9</v>
          </cell>
          <cell r="O26">
            <v>3.3</v>
          </cell>
          <cell r="P26">
            <v>-0.39999999999999991</v>
          </cell>
        </row>
        <row r="27">
          <cell r="A27" t="str">
            <v>1972:2</v>
          </cell>
          <cell r="B27">
            <v>308.42240493886521</v>
          </cell>
          <cell r="C27">
            <v>331.22294910654443</v>
          </cell>
          <cell r="D27">
            <v>0.9311625470723498</v>
          </cell>
          <cell r="E27">
            <v>308.42240493886521</v>
          </cell>
          <cell r="F27">
            <v>331.22294910654443</v>
          </cell>
          <cell r="G27">
            <v>0.9311625470723498</v>
          </cell>
          <cell r="H27">
            <v>6.2</v>
          </cell>
          <cell r="I27">
            <v>4.9000000000000004</v>
          </cell>
          <cell r="J27">
            <v>1.2999999999999998</v>
          </cell>
          <cell r="K27">
            <v>371.7</v>
          </cell>
          <cell r="L27">
            <v>388.2</v>
          </cell>
          <cell r="M27">
            <v>0.95749613601236472</v>
          </cell>
          <cell r="N27">
            <v>5.2</v>
          </cell>
          <cell r="O27">
            <v>4.2</v>
          </cell>
          <cell r="P27">
            <v>1</v>
          </cell>
        </row>
        <row r="28">
          <cell r="A28" t="str">
            <v>1972:3</v>
          </cell>
          <cell r="B28">
            <v>251.40774917752611</v>
          </cell>
          <cell r="C28">
            <v>270.29253185771751</v>
          </cell>
          <cell r="D28">
            <v>0.93013205895702522</v>
          </cell>
          <cell r="E28">
            <v>251.40774917752611</v>
          </cell>
          <cell r="F28">
            <v>270.29253185771751</v>
          </cell>
          <cell r="G28">
            <v>0.93013205895702522</v>
          </cell>
          <cell r="H28">
            <v>8.4</v>
          </cell>
          <cell r="I28">
            <v>7.4</v>
          </cell>
          <cell r="J28">
            <v>1</v>
          </cell>
          <cell r="K28">
            <v>297</v>
          </cell>
          <cell r="L28">
            <v>344.1</v>
          </cell>
          <cell r="M28">
            <v>0.86312118570183083</v>
          </cell>
          <cell r="N28">
            <v>8.4</v>
          </cell>
          <cell r="O28">
            <v>6.9</v>
          </cell>
          <cell r="P28">
            <v>1.5</v>
          </cell>
        </row>
        <row r="29">
          <cell r="A29" t="str">
            <v>1972:4</v>
          </cell>
          <cell r="B29">
            <v>214.04999616886428</v>
          </cell>
          <cell r="C29">
            <v>198.63939385091356</v>
          </cell>
          <cell r="D29">
            <v>1.0775807961310886</v>
          </cell>
          <cell r="E29">
            <v>214.04999616886428</v>
          </cell>
          <cell r="F29">
            <v>198.63939385091356</v>
          </cell>
          <cell r="G29">
            <v>1.0775807961310886</v>
          </cell>
          <cell r="H29">
            <v>9.5</v>
          </cell>
          <cell r="I29">
            <v>9.9</v>
          </cell>
          <cell r="J29">
            <v>-0.40000000000000036</v>
          </cell>
          <cell r="K29">
            <v>258.10000000000002</v>
          </cell>
          <cell r="L29">
            <v>248.1</v>
          </cell>
          <cell r="M29">
            <v>1.0403063280935108</v>
          </cell>
          <cell r="N29">
            <v>9.4</v>
          </cell>
          <cell r="O29">
            <v>9.6999999999999993</v>
          </cell>
          <cell r="P29">
            <v>-0.29999999999999893</v>
          </cell>
        </row>
        <row r="30">
          <cell r="A30" t="str">
            <v>1972:5</v>
          </cell>
          <cell r="B30">
            <v>132.86345616015029</v>
          </cell>
          <cell r="C30">
            <v>94.205291641343422</v>
          </cell>
          <cell r="D30">
            <v>1.4103608602580999</v>
          </cell>
          <cell r="E30">
            <v>132.86345616015029</v>
          </cell>
          <cell r="F30">
            <v>94.205291641343422</v>
          </cell>
          <cell r="G30">
            <v>1.4103608602580999</v>
          </cell>
          <cell r="H30">
            <v>12.5</v>
          </cell>
          <cell r="I30">
            <v>13.6</v>
          </cell>
          <cell r="J30">
            <v>-1.0999999999999996</v>
          </cell>
          <cell r="K30">
            <v>181.8</v>
          </cell>
          <cell r="L30">
            <v>147.30000000000001</v>
          </cell>
          <cell r="M30">
            <v>1.2342158859470469</v>
          </cell>
          <cell r="N30">
            <v>12.1</v>
          </cell>
          <cell r="O30">
            <v>13.4</v>
          </cell>
          <cell r="P30">
            <v>-1.3000000000000007</v>
          </cell>
        </row>
        <row r="31">
          <cell r="A31" t="str">
            <v>1972:6</v>
          </cell>
          <cell r="B31">
            <v>73.830148191779216</v>
          </cell>
          <cell r="C31">
            <v>33.639009300779129</v>
          </cell>
          <cell r="D31">
            <v>2.1947777216515472</v>
          </cell>
          <cell r="E31">
            <v>0</v>
          </cell>
          <cell r="F31">
            <v>0</v>
          </cell>
          <cell r="G31">
            <v>1</v>
          </cell>
          <cell r="H31">
            <v>14.8</v>
          </cell>
          <cell r="I31">
            <v>16.8</v>
          </cell>
          <cell r="J31">
            <v>-2</v>
          </cell>
          <cell r="K31">
            <v>118.6</v>
          </cell>
          <cell r="L31">
            <v>65.7</v>
          </cell>
          <cell r="M31">
            <v>1.8051750380517502</v>
          </cell>
          <cell r="N31">
            <v>14.1</v>
          </cell>
          <cell r="O31">
            <v>16.399999999999999</v>
          </cell>
          <cell r="P31">
            <v>-2.2999999999999989</v>
          </cell>
        </row>
        <row r="32">
          <cell r="A32" t="str">
            <v>1972:7</v>
          </cell>
          <cell r="B32">
            <v>17.499822209214834</v>
          </cell>
          <cell r="C32">
            <v>9.8992241828118033</v>
          </cell>
          <cell r="D32">
            <v>1.7677973431089764</v>
          </cell>
          <cell r="E32">
            <v>0</v>
          </cell>
          <cell r="F32">
            <v>0</v>
          </cell>
          <cell r="G32">
            <v>1</v>
          </cell>
          <cell r="H32">
            <v>18.5</v>
          </cell>
          <cell r="I32">
            <v>18.899999999999999</v>
          </cell>
          <cell r="J32">
            <v>-0.39999999999999858</v>
          </cell>
          <cell r="K32">
            <v>35</v>
          </cell>
          <cell r="L32">
            <v>31.2</v>
          </cell>
          <cell r="M32">
            <v>1.1217948717948718</v>
          </cell>
          <cell r="N32">
            <v>18.100000000000001</v>
          </cell>
          <cell r="O32">
            <v>18.3</v>
          </cell>
          <cell r="P32">
            <v>-0.19999999999999929</v>
          </cell>
        </row>
        <row r="33">
          <cell r="A33" t="str">
            <v>1972:8</v>
          </cell>
          <cell r="B33">
            <v>21.860184691197801</v>
          </cell>
          <cell r="C33">
            <v>9.4425505166936539</v>
          </cell>
          <cell r="D33">
            <v>2.3150720403931957</v>
          </cell>
          <cell r="E33">
            <v>0</v>
          </cell>
          <cell r="F33">
            <v>0</v>
          </cell>
          <cell r="G33">
            <v>1</v>
          </cell>
          <cell r="H33">
            <v>17</v>
          </cell>
          <cell r="I33">
            <v>18.7</v>
          </cell>
          <cell r="J33">
            <v>-1.6999999999999993</v>
          </cell>
          <cell r="K33">
            <v>44.8</v>
          </cell>
          <cell r="L33">
            <v>32.6</v>
          </cell>
          <cell r="M33">
            <v>1.3742331288343557</v>
          </cell>
          <cell r="N33">
            <v>16.8</v>
          </cell>
          <cell r="O33">
            <v>18</v>
          </cell>
          <cell r="P33">
            <v>-1.1999999999999993</v>
          </cell>
        </row>
        <row r="34">
          <cell r="A34" t="str">
            <v>1972:9</v>
          </cell>
          <cell r="B34">
            <v>102.4033772342998</v>
          </cell>
          <cell r="C34">
            <v>43.697695496746512</v>
          </cell>
          <cell r="D34">
            <v>2.3434502911469139</v>
          </cell>
          <cell r="E34">
            <v>0</v>
          </cell>
          <cell r="F34">
            <v>0</v>
          </cell>
          <cell r="G34">
            <v>1</v>
          </cell>
          <cell r="H34">
            <v>13.4</v>
          </cell>
          <cell r="I34">
            <v>16.3</v>
          </cell>
          <cell r="J34">
            <v>-2.9000000000000004</v>
          </cell>
          <cell r="K34">
            <v>157.80000000000001</v>
          </cell>
          <cell r="L34">
            <v>80</v>
          </cell>
          <cell r="M34">
            <v>1.9725000000000001</v>
          </cell>
          <cell r="N34">
            <v>12.7</v>
          </cell>
          <cell r="O34">
            <v>15.7</v>
          </cell>
          <cell r="P34">
            <v>-3</v>
          </cell>
        </row>
        <row r="35">
          <cell r="A35" t="str">
            <v>1972:10</v>
          </cell>
          <cell r="B35">
            <v>172.6303363182094</v>
          </cell>
          <cell r="C35">
            <v>132.10004667845612</v>
          </cell>
          <cell r="D35">
            <v>1.3068151046033147</v>
          </cell>
          <cell r="E35">
            <v>172.6303363182094</v>
          </cell>
          <cell r="F35">
            <v>132.10004667845612</v>
          </cell>
          <cell r="G35">
            <v>1.3068151046033147</v>
          </cell>
          <cell r="H35">
            <v>11</v>
          </cell>
          <cell r="I35">
            <v>12.2</v>
          </cell>
          <cell r="J35">
            <v>-1.1999999999999993</v>
          </cell>
          <cell r="K35">
            <v>242.4</v>
          </cell>
          <cell r="L35">
            <v>201.4</v>
          </cell>
          <cell r="M35">
            <v>1.2035749751737834</v>
          </cell>
          <cell r="N35">
            <v>10.199999999999999</v>
          </cell>
          <cell r="O35">
            <v>11.5</v>
          </cell>
          <cell r="P35">
            <v>-1.3000000000000007</v>
          </cell>
        </row>
        <row r="36">
          <cell r="A36" t="str">
            <v>1972:11</v>
          </cell>
          <cell r="B36">
            <v>273.09641000812945</v>
          </cell>
          <cell r="C36">
            <v>277.9065874341735</v>
          </cell>
          <cell r="D36">
            <v>0.98269138752537333</v>
          </cell>
          <cell r="E36">
            <v>273.09641000812945</v>
          </cell>
          <cell r="F36">
            <v>277.9065874341735</v>
          </cell>
          <cell r="G36">
            <v>0.98269138752537333</v>
          </cell>
          <cell r="H36">
            <v>7.8</v>
          </cell>
          <cell r="I36">
            <v>7.5</v>
          </cell>
          <cell r="J36">
            <v>0.29999999999999982</v>
          </cell>
          <cell r="K36">
            <v>334.2</v>
          </cell>
          <cell r="L36">
            <v>336.8</v>
          </cell>
          <cell r="M36">
            <v>0.99228028503562937</v>
          </cell>
          <cell r="N36">
            <v>6.9</v>
          </cell>
          <cell r="O36">
            <v>6.8</v>
          </cell>
          <cell r="P36">
            <v>0.10000000000000053</v>
          </cell>
        </row>
        <row r="37">
          <cell r="A37" t="str">
            <v>1972:12</v>
          </cell>
          <cell r="B37">
            <v>375.37001000236671</v>
          </cell>
          <cell r="C37">
            <v>363.68818352813111</v>
          </cell>
          <cell r="D37">
            <v>1.0321204454896238</v>
          </cell>
          <cell r="E37">
            <v>375.37001000236671</v>
          </cell>
          <cell r="F37">
            <v>363.68818352813111</v>
          </cell>
          <cell r="G37">
            <v>1.0321204454896238</v>
          </cell>
          <cell r="H37">
            <v>4.7</v>
          </cell>
          <cell r="I37">
            <v>4.8</v>
          </cell>
          <cell r="J37">
            <v>-9.9999999999999645E-2</v>
          </cell>
          <cell r="K37">
            <v>419</v>
          </cell>
          <cell r="L37">
            <v>424.6</v>
          </cell>
          <cell r="M37">
            <v>0.98681111634479501</v>
          </cell>
          <cell r="N37">
            <v>4.5</v>
          </cell>
          <cell r="O37">
            <v>4.3</v>
          </cell>
          <cell r="P37">
            <v>0.20000000000000018</v>
          </cell>
        </row>
        <row r="38">
          <cell r="A38" t="str">
            <v>1973:1</v>
          </cell>
          <cell r="B38">
            <v>429.08868343193626</v>
          </cell>
          <cell r="C38">
            <v>392.91081774346333</v>
          </cell>
          <cell r="D38">
            <v>1.0920765325226904</v>
          </cell>
          <cell r="E38">
            <v>429.08868343193626</v>
          </cell>
          <cell r="F38">
            <v>392.91081774346333</v>
          </cell>
          <cell r="G38">
            <v>1.0920765325226904</v>
          </cell>
          <cell r="H38">
            <v>3.1</v>
          </cell>
          <cell r="I38">
            <v>3.9</v>
          </cell>
          <cell r="J38">
            <v>-0.79999999999999982</v>
          </cell>
          <cell r="K38">
            <v>465.4</v>
          </cell>
          <cell r="L38">
            <v>456.3</v>
          </cell>
          <cell r="M38">
            <v>1.0199430199430199</v>
          </cell>
          <cell r="N38">
            <v>3</v>
          </cell>
          <cell r="O38">
            <v>3.3</v>
          </cell>
          <cell r="P38">
            <v>-0.29999999999999982</v>
          </cell>
        </row>
        <row r="39">
          <cell r="A39" t="str">
            <v>1973:2</v>
          </cell>
          <cell r="B39">
            <v>368.33577672200346</v>
          </cell>
          <cell r="C39">
            <v>331.22294910654443</v>
          </cell>
          <cell r="D39">
            <v>1.1120478750508345</v>
          </cell>
          <cell r="E39">
            <v>368.33577672200346</v>
          </cell>
          <cell r="F39">
            <v>331.22294910654443</v>
          </cell>
          <cell r="G39">
            <v>1.1120478750508345</v>
          </cell>
          <cell r="H39">
            <v>3.6</v>
          </cell>
          <cell r="I39">
            <v>4.9000000000000004</v>
          </cell>
          <cell r="J39">
            <v>-1.3000000000000003</v>
          </cell>
          <cell r="K39">
            <v>401.9</v>
          </cell>
          <cell r="L39">
            <v>388.2</v>
          </cell>
          <cell r="M39">
            <v>1.0352910870685212</v>
          </cell>
          <cell r="N39">
            <v>3.6</v>
          </cell>
          <cell r="O39">
            <v>4.2</v>
          </cell>
          <cell r="P39">
            <v>-0.60000000000000009</v>
          </cell>
        </row>
        <row r="40">
          <cell r="A40" t="str">
            <v>1973:3</v>
          </cell>
          <cell r="B40">
            <v>322.49568047449003</v>
          </cell>
          <cell r="C40">
            <v>270.29253185771751</v>
          </cell>
          <cell r="D40">
            <v>1.193135741701707</v>
          </cell>
          <cell r="E40">
            <v>322.49568047449003</v>
          </cell>
          <cell r="F40">
            <v>270.29253185771751</v>
          </cell>
          <cell r="G40">
            <v>1.193135741701707</v>
          </cell>
          <cell r="H40">
            <v>6.2</v>
          </cell>
          <cell r="I40">
            <v>7.4</v>
          </cell>
          <cell r="J40">
            <v>-1.2000000000000002</v>
          </cell>
          <cell r="K40">
            <v>366.5</v>
          </cell>
          <cell r="L40">
            <v>344.1</v>
          </cell>
          <cell r="M40">
            <v>1.0650973554199359</v>
          </cell>
          <cell r="N40">
            <v>6.2</v>
          </cell>
          <cell r="O40">
            <v>6.9</v>
          </cell>
          <cell r="P40">
            <v>-0.70000000000000018</v>
          </cell>
        </row>
        <row r="41">
          <cell r="A41" t="str">
            <v>1973:4</v>
          </cell>
          <cell r="B41">
            <v>254.8396154457073</v>
          </cell>
          <cell r="C41">
            <v>198.63939385091356</v>
          </cell>
          <cell r="D41">
            <v>1.2829258613071188</v>
          </cell>
          <cell r="E41">
            <v>254.8396154457073</v>
          </cell>
          <cell r="F41">
            <v>198.63939385091356</v>
          </cell>
          <cell r="G41">
            <v>1.2829258613071188</v>
          </cell>
          <cell r="H41">
            <v>8.1999999999999993</v>
          </cell>
          <cell r="I41">
            <v>9.9</v>
          </cell>
          <cell r="J41">
            <v>-1.7000000000000011</v>
          </cell>
          <cell r="K41">
            <v>292.5</v>
          </cell>
          <cell r="L41">
            <v>248.1</v>
          </cell>
          <cell r="M41">
            <v>1.1789600967351874</v>
          </cell>
          <cell r="N41">
            <v>8.3000000000000007</v>
          </cell>
          <cell r="O41">
            <v>9.6999999999999993</v>
          </cell>
          <cell r="P41">
            <v>-1.3999999999999986</v>
          </cell>
        </row>
        <row r="42">
          <cell r="A42" t="str">
            <v>1973:5</v>
          </cell>
          <cell r="B42">
            <v>86.430272802253029</v>
          </cell>
          <cell r="C42">
            <v>94.205291641343422</v>
          </cell>
          <cell r="D42">
            <v>0.91746728125749777</v>
          </cell>
          <cell r="E42">
            <v>86.430272802253029</v>
          </cell>
          <cell r="F42">
            <v>94.205291641343422</v>
          </cell>
          <cell r="G42">
            <v>0.91746728125749777</v>
          </cell>
          <cell r="H42">
            <v>14.3</v>
          </cell>
          <cell r="I42">
            <v>13.6</v>
          </cell>
          <cell r="J42">
            <v>0.70000000000000107</v>
          </cell>
          <cell r="K42">
            <v>137.4</v>
          </cell>
          <cell r="L42">
            <v>147.30000000000001</v>
          </cell>
          <cell r="M42">
            <v>0.93279022403258649</v>
          </cell>
          <cell r="N42">
            <v>13.6</v>
          </cell>
          <cell r="O42">
            <v>13.4</v>
          </cell>
          <cell r="P42">
            <v>0.19999999999999929</v>
          </cell>
        </row>
        <row r="43">
          <cell r="A43" t="str">
            <v>1973:6</v>
          </cell>
          <cell r="B43">
            <v>23.663381313687772</v>
          </cell>
          <cell r="C43">
            <v>33.639009300779129</v>
          </cell>
          <cell r="D43">
            <v>0.70345060111920987</v>
          </cell>
          <cell r="E43">
            <v>0</v>
          </cell>
          <cell r="F43">
            <v>0</v>
          </cell>
          <cell r="G43">
            <v>1</v>
          </cell>
          <cell r="H43">
            <v>17.7</v>
          </cell>
          <cell r="I43">
            <v>16.8</v>
          </cell>
          <cell r="J43">
            <v>0.89999999999999858</v>
          </cell>
          <cell r="K43">
            <v>40.1</v>
          </cell>
          <cell r="L43">
            <v>65.7</v>
          </cell>
          <cell r="M43">
            <v>0.61035007610350078</v>
          </cell>
          <cell r="N43">
            <v>17.5</v>
          </cell>
          <cell r="O43">
            <v>16.399999999999999</v>
          </cell>
          <cell r="P43">
            <v>1.1000000000000014</v>
          </cell>
        </row>
        <row r="44">
          <cell r="A44" t="str">
            <v>1973:7</v>
          </cell>
          <cell r="B44">
            <v>11.249601755140414</v>
          </cell>
          <cell r="C44">
            <v>9.8992241828118033</v>
          </cell>
          <cell r="D44">
            <v>1.1364124649963272</v>
          </cell>
          <cell r="E44">
            <v>0</v>
          </cell>
          <cell r="F44">
            <v>0</v>
          </cell>
          <cell r="G44">
            <v>1</v>
          </cell>
          <cell r="H44">
            <v>18.8</v>
          </cell>
          <cell r="I44">
            <v>18.899999999999999</v>
          </cell>
          <cell r="J44">
            <v>-9.9999999999997868E-2</v>
          </cell>
          <cell r="K44">
            <v>28</v>
          </cell>
          <cell r="L44">
            <v>31.2</v>
          </cell>
          <cell r="M44">
            <v>0.89743589743589747</v>
          </cell>
          <cell r="N44">
            <v>18</v>
          </cell>
          <cell r="O44">
            <v>18.3</v>
          </cell>
          <cell r="P44">
            <v>-0.30000000000000071</v>
          </cell>
        </row>
        <row r="45">
          <cell r="A45" t="str">
            <v>1973:8</v>
          </cell>
          <cell r="B45">
            <v>3.3392014801499594</v>
          </cell>
          <cell r="C45">
            <v>9.4425505166936539</v>
          </cell>
          <cell r="D45">
            <v>0.35363342502076378</v>
          </cell>
          <cell r="E45">
            <v>0</v>
          </cell>
          <cell r="F45">
            <v>0</v>
          </cell>
          <cell r="G45">
            <v>1</v>
          </cell>
          <cell r="H45">
            <v>19.600000000000001</v>
          </cell>
          <cell r="I45">
            <v>18.7</v>
          </cell>
          <cell r="J45">
            <v>0.90000000000000213</v>
          </cell>
          <cell r="K45">
            <v>8.9</v>
          </cell>
          <cell r="L45">
            <v>32.6</v>
          </cell>
          <cell r="M45">
            <v>0.27300613496932513</v>
          </cell>
          <cell r="N45">
            <v>20.100000000000001</v>
          </cell>
          <cell r="O45">
            <v>18</v>
          </cell>
          <cell r="P45">
            <v>2.1000000000000014</v>
          </cell>
        </row>
        <row r="46">
          <cell r="A46" t="str">
            <v>1973:9</v>
          </cell>
          <cell r="B46">
            <v>45.155329883876682</v>
          </cell>
          <cell r="C46">
            <v>43.697695496746512</v>
          </cell>
          <cell r="D46">
            <v>1.0333572370478599</v>
          </cell>
          <cell r="E46">
            <v>0</v>
          </cell>
          <cell r="F46">
            <v>0</v>
          </cell>
          <cell r="G46">
            <v>1</v>
          </cell>
          <cell r="H46">
            <v>17.100000000000001</v>
          </cell>
          <cell r="I46">
            <v>16.3</v>
          </cell>
          <cell r="J46">
            <v>0.80000000000000071</v>
          </cell>
          <cell r="K46">
            <v>77.400000000000006</v>
          </cell>
          <cell r="L46">
            <v>80</v>
          </cell>
          <cell r="M46">
            <v>0.96750000000000003</v>
          </cell>
          <cell r="N46">
            <v>16.5</v>
          </cell>
          <cell r="O46">
            <v>15.7</v>
          </cell>
          <cell r="P46">
            <v>0.80000000000000071</v>
          </cell>
        </row>
        <row r="47">
          <cell r="A47" t="str">
            <v>1973:10</v>
          </cell>
          <cell r="B47">
            <v>185.5316628497757</v>
          </cell>
          <cell r="C47">
            <v>132.10004667845612</v>
          </cell>
          <cell r="D47">
            <v>1.4044784049272681</v>
          </cell>
          <cell r="E47">
            <v>185.5316628497757</v>
          </cell>
          <cell r="F47">
            <v>132.10004667845612</v>
          </cell>
          <cell r="G47">
            <v>1.4044784049272681</v>
          </cell>
          <cell r="H47">
            <v>10.7</v>
          </cell>
          <cell r="I47">
            <v>12.2</v>
          </cell>
          <cell r="J47">
            <v>-1.5</v>
          </cell>
          <cell r="K47">
            <v>239.1</v>
          </cell>
          <cell r="L47">
            <v>201.4</v>
          </cell>
          <cell r="M47">
            <v>1.1871896722939423</v>
          </cell>
          <cell r="N47">
            <v>10.3</v>
          </cell>
          <cell r="O47">
            <v>11.5</v>
          </cell>
          <cell r="P47">
            <v>-1.1999999999999993</v>
          </cell>
        </row>
        <row r="48">
          <cell r="A48" t="str">
            <v>1973:11</v>
          </cell>
          <cell r="B48">
            <v>297.1987434164933</v>
          </cell>
          <cell r="C48">
            <v>277.9065874341735</v>
          </cell>
          <cell r="D48">
            <v>1.069419570656595</v>
          </cell>
          <cell r="E48">
            <v>297.1987434164933</v>
          </cell>
          <cell r="F48">
            <v>277.9065874341735</v>
          </cell>
          <cell r="G48">
            <v>1.069419570656595</v>
          </cell>
          <cell r="H48">
            <v>7</v>
          </cell>
          <cell r="I48">
            <v>7.5</v>
          </cell>
          <cell r="J48">
            <v>-0.5</v>
          </cell>
          <cell r="K48">
            <v>359.5</v>
          </cell>
          <cell r="L48">
            <v>336.8</v>
          </cell>
          <cell r="M48">
            <v>1.0673990498812351</v>
          </cell>
          <cell r="N48">
            <v>6</v>
          </cell>
          <cell r="O48">
            <v>6.8</v>
          </cell>
          <cell r="P48">
            <v>-0.79999999999999982</v>
          </cell>
        </row>
        <row r="49">
          <cell r="A49" t="str">
            <v>1973:12</v>
          </cell>
          <cell r="B49">
            <v>399.48409480813672</v>
          </cell>
          <cell r="C49">
            <v>363.68818352813111</v>
          </cell>
          <cell r="D49">
            <v>1.0984247300331571</v>
          </cell>
          <cell r="E49">
            <v>399.48409480813672</v>
          </cell>
          <cell r="F49">
            <v>363.68818352813111</v>
          </cell>
          <cell r="G49">
            <v>1.0984247300331571</v>
          </cell>
          <cell r="H49">
            <v>4.0999999999999996</v>
          </cell>
          <cell r="I49">
            <v>4.8</v>
          </cell>
          <cell r="J49">
            <v>-0.70000000000000018</v>
          </cell>
          <cell r="K49">
            <v>426.8</v>
          </cell>
          <cell r="L49">
            <v>424.6</v>
          </cell>
          <cell r="M49">
            <v>1.0051813471502591</v>
          </cell>
          <cell r="N49">
            <v>4.2</v>
          </cell>
          <cell r="O49">
            <v>4.3</v>
          </cell>
          <cell r="P49">
            <v>-9.9999999999999645E-2</v>
          </cell>
        </row>
        <row r="50">
          <cell r="A50" t="str">
            <v>1974:1</v>
          </cell>
          <cell r="B50">
            <v>310.50064699826436</v>
          </cell>
          <cell r="C50">
            <v>392.91081774346333</v>
          </cell>
          <cell r="D50">
            <v>0.79025731279558287</v>
          </cell>
          <cell r="E50">
            <v>310.50064699826436</v>
          </cell>
          <cell r="F50">
            <v>392.91081774346333</v>
          </cell>
          <cell r="G50">
            <v>0.79025731279558287</v>
          </cell>
          <cell r="H50">
            <v>6.8</v>
          </cell>
          <cell r="I50">
            <v>3.9</v>
          </cell>
          <cell r="J50">
            <v>2.9</v>
          </cell>
          <cell r="K50">
            <v>337.3</v>
          </cell>
          <cell r="L50">
            <v>456.3</v>
          </cell>
          <cell r="M50">
            <v>0.73920666228358534</v>
          </cell>
          <cell r="N50">
            <v>7.1</v>
          </cell>
          <cell r="O50">
            <v>3.3</v>
          </cell>
          <cell r="P50">
            <v>3.8</v>
          </cell>
        </row>
        <row r="51">
          <cell r="A51" t="str">
            <v>1974:2</v>
          </cell>
          <cell r="B51">
            <v>305.02834216317785</v>
          </cell>
          <cell r="C51">
            <v>331.22294910654443</v>
          </cell>
          <cell r="D51">
            <v>0.92091548301823567</v>
          </cell>
          <cell r="E51">
            <v>305.02834216317785</v>
          </cell>
          <cell r="F51">
            <v>331.22294910654443</v>
          </cell>
          <cell r="G51">
            <v>0.92091548301823567</v>
          </cell>
          <cell r="H51">
            <v>5.9</v>
          </cell>
          <cell r="I51">
            <v>4.9000000000000004</v>
          </cell>
          <cell r="J51">
            <v>1</v>
          </cell>
          <cell r="K51">
            <v>351.9</v>
          </cell>
          <cell r="L51">
            <v>388.2</v>
          </cell>
          <cell r="M51">
            <v>0.9064914992272024</v>
          </cell>
          <cell r="N51">
            <v>5.4</v>
          </cell>
          <cell r="O51">
            <v>4.2</v>
          </cell>
          <cell r="P51">
            <v>1.2000000000000002</v>
          </cell>
        </row>
        <row r="52">
          <cell r="A52" t="str">
            <v>1974:3</v>
          </cell>
          <cell r="B52">
            <v>273.84099583472857</v>
          </cell>
          <cell r="C52">
            <v>270.29253185771751</v>
          </cell>
          <cell r="D52">
            <v>1.0131282353701101</v>
          </cell>
          <cell r="E52">
            <v>273.84099583472857</v>
          </cell>
          <cell r="F52">
            <v>270.29253185771751</v>
          </cell>
          <cell r="G52">
            <v>1.0131282353701101</v>
          </cell>
          <cell r="H52">
            <v>7.8</v>
          </cell>
          <cell r="I52">
            <v>7.4</v>
          </cell>
          <cell r="J52">
            <v>0.39999999999999947</v>
          </cell>
          <cell r="K52">
            <v>338.5</v>
          </cell>
          <cell r="L52">
            <v>344.1</v>
          </cell>
          <cell r="M52">
            <v>0.98372566114501592</v>
          </cell>
          <cell r="N52">
            <v>7.1</v>
          </cell>
          <cell r="O52">
            <v>6.9</v>
          </cell>
          <cell r="P52">
            <v>0.19999999999999929</v>
          </cell>
        </row>
        <row r="53">
          <cell r="A53" t="str">
            <v>1974:4</v>
          </cell>
          <cell r="B53">
            <v>199.37890375581901</v>
          </cell>
          <cell r="C53">
            <v>198.63939385091356</v>
          </cell>
          <cell r="D53">
            <v>1.0037228763669128</v>
          </cell>
          <cell r="E53">
            <v>199.37890375581901</v>
          </cell>
          <cell r="F53">
            <v>198.63939385091356</v>
          </cell>
          <cell r="G53">
            <v>1.0037228763669128</v>
          </cell>
          <cell r="H53">
            <v>9.9</v>
          </cell>
          <cell r="I53">
            <v>9.9</v>
          </cell>
          <cell r="J53">
            <v>0</v>
          </cell>
          <cell r="K53">
            <v>233.1</v>
          </cell>
          <cell r="L53">
            <v>248.1</v>
          </cell>
          <cell r="M53">
            <v>0.93954050785973398</v>
          </cell>
          <cell r="N53">
            <v>10.199999999999999</v>
          </cell>
          <cell r="O53">
            <v>9.6999999999999993</v>
          </cell>
          <cell r="P53">
            <v>0.5</v>
          </cell>
        </row>
        <row r="54">
          <cell r="A54" t="str">
            <v>1974:5</v>
          </cell>
          <cell r="B54">
            <v>122.24386298957788</v>
          </cell>
          <cell r="C54">
            <v>94.205291641343422</v>
          </cell>
          <cell r="D54">
            <v>1.2976326579931663</v>
          </cell>
          <cell r="E54">
            <v>122.24386298957788</v>
          </cell>
          <cell r="F54">
            <v>94.205291641343422</v>
          </cell>
          <cell r="G54">
            <v>1.2976326579931663</v>
          </cell>
          <cell r="H54">
            <v>13</v>
          </cell>
          <cell r="I54">
            <v>13.6</v>
          </cell>
          <cell r="J54">
            <v>-0.59999999999999964</v>
          </cell>
          <cell r="K54">
            <v>163.80000000000001</v>
          </cell>
          <cell r="L54">
            <v>147.30000000000001</v>
          </cell>
          <cell r="M54">
            <v>1.1120162932790223</v>
          </cell>
          <cell r="N54">
            <v>12.7</v>
          </cell>
          <cell r="O54">
            <v>13.4</v>
          </cell>
          <cell r="P54">
            <v>-0.70000000000000107</v>
          </cell>
        </row>
        <row r="55">
          <cell r="A55" t="str">
            <v>1974:6</v>
          </cell>
          <cell r="B55">
            <v>37.207826992691786</v>
          </cell>
          <cell r="C55">
            <v>33.639009300779129</v>
          </cell>
          <cell r="D55">
            <v>1.1060916408091126</v>
          </cell>
          <cell r="E55">
            <v>0</v>
          </cell>
          <cell r="F55">
            <v>0</v>
          </cell>
          <cell r="G55">
            <v>1</v>
          </cell>
          <cell r="H55">
            <v>16.5</v>
          </cell>
          <cell r="I55">
            <v>16.8</v>
          </cell>
          <cell r="J55">
            <v>-0.30000000000000071</v>
          </cell>
          <cell r="K55">
            <v>62.7</v>
          </cell>
          <cell r="L55">
            <v>65.7</v>
          </cell>
          <cell r="M55">
            <v>0.954337899543379</v>
          </cell>
          <cell r="N55">
            <v>16.2</v>
          </cell>
          <cell r="O55">
            <v>16.399999999999999</v>
          </cell>
          <cell r="P55">
            <v>-0.19999999999999929</v>
          </cell>
        </row>
        <row r="56">
          <cell r="A56" t="str">
            <v>1974:7</v>
          </cell>
          <cell r="B56">
            <v>15.486874392231707</v>
          </cell>
          <cell r="C56">
            <v>9.8992241828118033</v>
          </cell>
          <cell r="D56">
            <v>1.5644533456593335</v>
          </cell>
          <cell r="E56">
            <v>0</v>
          </cell>
          <cell r="F56">
            <v>0</v>
          </cell>
          <cell r="G56">
            <v>1</v>
          </cell>
          <cell r="H56">
            <v>18.2</v>
          </cell>
          <cell r="I56">
            <v>18.899999999999999</v>
          </cell>
          <cell r="J56">
            <v>-0.69999999999999929</v>
          </cell>
          <cell r="K56">
            <v>34.200000000000003</v>
          </cell>
          <cell r="L56">
            <v>31.2</v>
          </cell>
          <cell r="M56">
            <v>1.0961538461538463</v>
          </cell>
          <cell r="N56">
            <v>17.2</v>
          </cell>
          <cell r="O56">
            <v>18.3</v>
          </cell>
          <cell r="P56">
            <v>-1.1000000000000014</v>
          </cell>
        </row>
        <row r="57">
          <cell r="A57" t="str">
            <v>1974:8</v>
          </cell>
          <cell r="B57">
            <v>9.5677994099120465</v>
          </cell>
          <cell r="C57">
            <v>9.4425505166936539</v>
          </cell>
          <cell r="D57">
            <v>1.0132643074555929</v>
          </cell>
          <cell r="E57">
            <v>0</v>
          </cell>
          <cell r="F57">
            <v>0</v>
          </cell>
          <cell r="G57">
            <v>1</v>
          </cell>
          <cell r="H57">
            <v>19</v>
          </cell>
          <cell r="I57">
            <v>18.7</v>
          </cell>
          <cell r="J57">
            <v>0.30000000000000071</v>
          </cell>
          <cell r="K57">
            <v>24.6</v>
          </cell>
          <cell r="L57">
            <v>32.6</v>
          </cell>
          <cell r="M57">
            <v>0.754601226993865</v>
          </cell>
          <cell r="N57">
            <v>18.3</v>
          </cell>
          <cell r="O57">
            <v>18</v>
          </cell>
          <cell r="P57">
            <v>0.30000000000000071</v>
          </cell>
        </row>
        <row r="58">
          <cell r="A58" t="str">
            <v>1974:9</v>
          </cell>
          <cell r="B58">
            <v>76.039514403120606</v>
          </cell>
          <cell r="C58">
            <v>43.697695496746512</v>
          </cell>
          <cell r="D58">
            <v>1.7401264194534489</v>
          </cell>
          <cell r="E58">
            <v>0</v>
          </cell>
          <cell r="F58">
            <v>0</v>
          </cell>
          <cell r="G58">
            <v>1</v>
          </cell>
          <cell r="H58">
            <v>14.8</v>
          </cell>
          <cell r="I58">
            <v>16.3</v>
          </cell>
          <cell r="J58">
            <v>-1.5</v>
          </cell>
          <cell r="K58">
            <v>121.6</v>
          </cell>
          <cell r="L58">
            <v>80</v>
          </cell>
          <cell r="M58">
            <v>1.52</v>
          </cell>
          <cell r="N58">
            <v>14.1</v>
          </cell>
          <cell r="O58">
            <v>15.7</v>
          </cell>
          <cell r="P58">
            <v>-1.5999999999999996</v>
          </cell>
        </row>
        <row r="59">
          <cell r="A59" t="str">
            <v>1974:10</v>
          </cell>
          <cell r="B59">
            <v>270.28901306503707</v>
          </cell>
          <cell r="C59">
            <v>132.10004667845612</v>
          </cell>
          <cell r="D59">
            <v>2.0460932441829169</v>
          </cell>
          <cell r="E59">
            <v>270.28901306503707</v>
          </cell>
          <cell r="F59">
            <v>132.10004667845612</v>
          </cell>
          <cell r="G59">
            <v>2.0460932441829169</v>
          </cell>
          <cell r="H59">
            <v>8.1</v>
          </cell>
          <cell r="I59">
            <v>12.2</v>
          </cell>
          <cell r="J59">
            <v>-4.0999999999999996</v>
          </cell>
          <cell r="K59">
            <v>311.10000000000002</v>
          </cell>
          <cell r="L59">
            <v>201.4</v>
          </cell>
          <cell r="M59">
            <v>1.544687189672294</v>
          </cell>
          <cell r="N59">
            <v>8</v>
          </cell>
          <cell r="O59">
            <v>11.5</v>
          </cell>
          <cell r="P59">
            <v>-3.5</v>
          </cell>
        </row>
        <row r="60">
          <cell r="A60" t="str">
            <v>1974:11</v>
          </cell>
          <cell r="B60">
            <v>264.29126357874304</v>
          </cell>
          <cell r="C60">
            <v>277.9065874341735</v>
          </cell>
          <cell r="D60">
            <v>0.95100755264156711</v>
          </cell>
          <cell r="E60">
            <v>264.29126357874304</v>
          </cell>
          <cell r="F60">
            <v>277.9065874341735</v>
          </cell>
          <cell r="G60">
            <v>0.95100755264156711</v>
          </cell>
          <cell r="H60">
            <v>8.1</v>
          </cell>
          <cell r="I60">
            <v>7.5</v>
          </cell>
          <cell r="J60">
            <v>0.59999999999999964</v>
          </cell>
          <cell r="K60">
            <v>301.89999999999998</v>
          </cell>
          <cell r="L60">
            <v>336.8</v>
          </cell>
          <cell r="M60">
            <v>0.89637767220902598</v>
          </cell>
          <cell r="N60">
            <v>7.9</v>
          </cell>
          <cell r="O60">
            <v>6.8</v>
          </cell>
          <cell r="P60">
            <v>1.1000000000000005</v>
          </cell>
        </row>
        <row r="61">
          <cell r="A61" t="str">
            <v>1974:12</v>
          </cell>
          <cell r="B61">
            <v>292.88500783557032</v>
          </cell>
          <cell r="C61">
            <v>363.68818352813111</v>
          </cell>
          <cell r="D61">
            <v>0.80531900980202131</v>
          </cell>
          <cell r="E61">
            <v>292.88500783557032</v>
          </cell>
          <cell r="F61">
            <v>363.68818352813111</v>
          </cell>
          <cell r="G61">
            <v>0.80531900980202131</v>
          </cell>
          <cell r="H61">
            <v>7.5</v>
          </cell>
          <cell r="I61">
            <v>4.8</v>
          </cell>
          <cell r="J61">
            <v>2.7</v>
          </cell>
          <cell r="K61">
            <v>311</v>
          </cell>
          <cell r="L61">
            <v>424.6</v>
          </cell>
          <cell r="M61">
            <v>0.73245407442298627</v>
          </cell>
          <cell r="N61">
            <v>8</v>
          </cell>
          <cell r="O61">
            <v>4.3</v>
          </cell>
          <cell r="P61">
            <v>3.7</v>
          </cell>
        </row>
        <row r="62">
          <cell r="A62" t="str">
            <v>1975:1</v>
          </cell>
          <cell r="B62">
            <v>309.83931215902277</v>
          </cell>
          <cell r="C62">
            <v>392.91081774346333</v>
          </cell>
          <cell r="D62">
            <v>0.78857414498910783</v>
          </cell>
          <cell r="E62">
            <v>309.83931215902277</v>
          </cell>
          <cell r="F62">
            <v>392.91081774346333</v>
          </cell>
          <cell r="G62">
            <v>0.78857414498910783</v>
          </cell>
          <cell r="H62">
            <v>6.9</v>
          </cell>
          <cell r="I62">
            <v>3.9</v>
          </cell>
          <cell r="J62">
            <v>3.0000000000000004</v>
          </cell>
          <cell r="K62">
            <v>325.60000000000002</v>
          </cell>
          <cell r="L62">
            <v>456.3</v>
          </cell>
          <cell r="M62">
            <v>0.71356563664255979</v>
          </cell>
          <cell r="N62">
            <v>7.5</v>
          </cell>
          <cell r="O62">
            <v>3.3</v>
          </cell>
          <cell r="P62">
            <v>4.2</v>
          </cell>
        </row>
        <row r="63">
          <cell r="A63" t="str">
            <v>1975:2</v>
          </cell>
          <cell r="B63">
            <v>304.24663365681852</v>
          </cell>
          <cell r="C63">
            <v>331.22294910654443</v>
          </cell>
          <cell r="D63">
            <v>0.91855541555169096</v>
          </cell>
          <cell r="E63">
            <v>304.24663365681852</v>
          </cell>
          <cell r="F63">
            <v>331.22294910654443</v>
          </cell>
          <cell r="G63">
            <v>0.91855541555169096</v>
          </cell>
          <cell r="H63">
            <v>5.8</v>
          </cell>
          <cell r="I63">
            <v>4.9000000000000004</v>
          </cell>
          <cell r="J63">
            <v>0.89999999999999947</v>
          </cell>
          <cell r="K63">
            <v>358</v>
          </cell>
          <cell r="L63">
            <v>388.2</v>
          </cell>
          <cell r="M63">
            <v>0.92220504894384336</v>
          </cell>
          <cell r="N63">
            <v>5.2</v>
          </cell>
          <cell r="O63">
            <v>4.2</v>
          </cell>
          <cell r="P63">
            <v>1</v>
          </cell>
        </row>
        <row r="64">
          <cell r="A64" t="str">
            <v>1975:3</v>
          </cell>
          <cell r="B64">
            <v>337.20856319794825</v>
          </cell>
          <cell r="C64">
            <v>270.29253185771751</v>
          </cell>
          <cell r="D64">
            <v>1.2475689242330064</v>
          </cell>
          <cell r="E64">
            <v>337.20856319794825</v>
          </cell>
          <cell r="F64">
            <v>270.29253185771751</v>
          </cell>
          <cell r="G64">
            <v>1.2475689242330064</v>
          </cell>
          <cell r="H64">
            <v>5.8</v>
          </cell>
          <cell r="I64">
            <v>7.4</v>
          </cell>
          <cell r="J64">
            <v>-1.6000000000000005</v>
          </cell>
          <cell r="K64">
            <v>388.5</v>
          </cell>
          <cell r="L64">
            <v>344.1</v>
          </cell>
          <cell r="M64">
            <v>1.129032258064516</v>
          </cell>
          <cell r="N64">
            <v>5.5</v>
          </cell>
          <cell r="O64">
            <v>6.9</v>
          </cell>
          <cell r="P64">
            <v>-1.4000000000000004</v>
          </cell>
        </row>
        <row r="65">
          <cell r="A65" t="str">
            <v>1975:4</v>
          </cell>
          <cell r="B65">
            <v>213.51745549754054</v>
          </cell>
          <cell r="C65">
            <v>198.63939385091356</v>
          </cell>
          <cell r="D65">
            <v>1.0748998542443879</v>
          </cell>
          <cell r="E65">
            <v>213.51745549754054</v>
          </cell>
          <cell r="F65">
            <v>198.63939385091356</v>
          </cell>
          <cell r="G65">
            <v>1.0748998542443879</v>
          </cell>
          <cell r="H65">
            <v>9.6</v>
          </cell>
          <cell r="I65">
            <v>9.9</v>
          </cell>
          <cell r="J65">
            <v>-0.30000000000000071</v>
          </cell>
          <cell r="K65">
            <v>258.39999999999998</v>
          </cell>
          <cell r="L65">
            <v>248.1</v>
          </cell>
          <cell r="M65">
            <v>1.041515517936316</v>
          </cell>
          <cell r="N65">
            <v>9.4</v>
          </cell>
          <cell r="O65">
            <v>9.6999999999999993</v>
          </cell>
          <cell r="P65">
            <v>-0.29999999999999893</v>
          </cell>
        </row>
        <row r="66">
          <cell r="A66" t="str">
            <v>1975:5</v>
          </cell>
          <cell r="B66">
            <v>134.92010797630385</v>
          </cell>
          <cell r="C66">
            <v>94.205291641343422</v>
          </cell>
          <cell r="D66">
            <v>1.4321924557058758</v>
          </cell>
          <cell r="E66">
            <v>134.92010797630385</v>
          </cell>
          <cell r="F66">
            <v>94.205291641343422</v>
          </cell>
          <cell r="G66">
            <v>1.4321924557058758</v>
          </cell>
          <cell r="H66">
            <v>12.5</v>
          </cell>
          <cell r="I66">
            <v>13.6</v>
          </cell>
          <cell r="J66">
            <v>-1.0999999999999996</v>
          </cell>
          <cell r="K66">
            <v>179.9</v>
          </cell>
          <cell r="L66">
            <v>147.30000000000001</v>
          </cell>
          <cell r="M66">
            <v>1.221317040054311</v>
          </cell>
          <cell r="N66">
            <v>12.2</v>
          </cell>
          <cell r="O66">
            <v>13.4</v>
          </cell>
          <cell r="P66">
            <v>-1.2000000000000011</v>
          </cell>
        </row>
        <row r="67">
          <cell r="A67" t="str">
            <v>1975:6</v>
          </cell>
          <cell r="B67">
            <v>47.963577873248241</v>
          </cell>
          <cell r="C67">
            <v>33.639009300779129</v>
          </cell>
          <cell r="D67">
            <v>1.4258320583816162</v>
          </cell>
          <cell r="E67">
            <v>0</v>
          </cell>
          <cell r="F67">
            <v>0</v>
          </cell>
          <cell r="G67">
            <v>1</v>
          </cell>
          <cell r="H67">
            <v>16.399999999999999</v>
          </cell>
          <cell r="I67">
            <v>16.8</v>
          </cell>
          <cell r="J67">
            <v>-0.40000000000000213</v>
          </cell>
          <cell r="K67">
            <v>71.599999999999994</v>
          </cell>
          <cell r="L67">
            <v>65.7</v>
          </cell>
          <cell r="M67">
            <v>1.0898021308980212</v>
          </cell>
          <cell r="N67">
            <v>16.2</v>
          </cell>
          <cell r="O67">
            <v>16.399999999999999</v>
          </cell>
          <cell r="P67">
            <v>-0.19999999999999929</v>
          </cell>
        </row>
        <row r="68">
          <cell r="A68" t="str">
            <v>1975:7</v>
          </cell>
          <cell r="B68">
            <v>6.6491406949900114</v>
          </cell>
          <cell r="C68">
            <v>9.8992241828118033</v>
          </cell>
          <cell r="D68">
            <v>0.67168300992061891</v>
          </cell>
          <cell r="E68">
            <v>0</v>
          </cell>
          <cell r="F68">
            <v>0</v>
          </cell>
          <cell r="G68">
            <v>1</v>
          </cell>
          <cell r="H68">
            <v>19.600000000000001</v>
          </cell>
          <cell r="I68">
            <v>18.899999999999999</v>
          </cell>
          <cell r="J68">
            <v>0.70000000000000284</v>
          </cell>
          <cell r="K68">
            <v>13.5</v>
          </cell>
          <cell r="L68">
            <v>31.2</v>
          </cell>
          <cell r="M68">
            <v>0.43269230769230771</v>
          </cell>
          <cell r="N68">
            <v>19.3</v>
          </cell>
          <cell r="O68">
            <v>18.3</v>
          </cell>
          <cell r="P68">
            <v>1</v>
          </cell>
        </row>
        <row r="69">
          <cell r="A69" t="str">
            <v>1975:8</v>
          </cell>
          <cell r="B69">
            <v>6.0164135456893515</v>
          </cell>
          <cell r="C69">
            <v>9.4425505166936539</v>
          </cell>
          <cell r="D69">
            <v>0.63715979438530157</v>
          </cell>
          <cell r="E69">
            <v>0</v>
          </cell>
          <cell r="F69">
            <v>0</v>
          </cell>
          <cell r="G69">
            <v>1</v>
          </cell>
          <cell r="H69">
            <v>20.3</v>
          </cell>
          <cell r="I69">
            <v>18.7</v>
          </cell>
          <cell r="J69">
            <v>1.6000000000000014</v>
          </cell>
          <cell r="K69">
            <v>13.9</v>
          </cell>
          <cell r="L69">
            <v>32.6</v>
          </cell>
          <cell r="M69">
            <v>0.42638036809815949</v>
          </cell>
          <cell r="N69">
            <v>20.6</v>
          </cell>
          <cell r="O69">
            <v>18</v>
          </cell>
          <cell r="P69">
            <v>2.6000000000000014</v>
          </cell>
        </row>
        <row r="70">
          <cell r="A70" t="str">
            <v>1975:9</v>
          </cell>
          <cell r="B70">
            <v>32.149666433947822</v>
          </cell>
          <cell r="C70">
            <v>43.697695496746512</v>
          </cell>
          <cell r="D70">
            <v>0.73572910581386397</v>
          </cell>
          <cell r="E70">
            <v>0</v>
          </cell>
          <cell r="F70">
            <v>0</v>
          </cell>
          <cell r="G70">
            <v>1</v>
          </cell>
          <cell r="H70">
            <v>16.3</v>
          </cell>
          <cell r="I70">
            <v>16.3</v>
          </cell>
          <cell r="J70">
            <v>0</v>
          </cell>
          <cell r="K70">
            <v>64.900000000000006</v>
          </cell>
          <cell r="L70">
            <v>80</v>
          </cell>
          <cell r="M70">
            <v>0.81125000000000003</v>
          </cell>
          <cell r="N70">
            <v>16</v>
          </cell>
          <cell r="O70">
            <v>15.7</v>
          </cell>
          <cell r="P70">
            <v>0.30000000000000071</v>
          </cell>
        </row>
        <row r="71">
          <cell r="A71" t="str">
            <v>1975:10</v>
          </cell>
          <cell r="B71">
            <v>198.39244720741232</v>
          </cell>
          <cell r="C71">
            <v>132.10004667845612</v>
          </cell>
          <cell r="D71">
            <v>1.501834800182305</v>
          </cell>
          <cell r="E71">
            <v>198.39244720741232</v>
          </cell>
          <cell r="F71">
            <v>132.10004667845612</v>
          </cell>
          <cell r="G71">
            <v>1.501834800182305</v>
          </cell>
          <cell r="H71">
            <v>10.4</v>
          </cell>
          <cell r="I71">
            <v>12.2</v>
          </cell>
          <cell r="J71">
            <v>-1.7999999999999989</v>
          </cell>
          <cell r="K71">
            <v>262.8</v>
          </cell>
          <cell r="L71">
            <v>201.4</v>
          </cell>
          <cell r="M71">
            <v>1.3048659384309831</v>
          </cell>
          <cell r="N71">
            <v>9.5</v>
          </cell>
          <cell r="O71">
            <v>11.5</v>
          </cell>
          <cell r="P71">
            <v>-2</v>
          </cell>
        </row>
        <row r="72">
          <cell r="A72" t="str">
            <v>1975:11</v>
          </cell>
          <cell r="B72">
            <v>294.35958706916</v>
          </cell>
          <cell r="C72">
            <v>277.9065874341735</v>
          </cell>
          <cell r="D72">
            <v>1.0592033452207521</v>
          </cell>
          <cell r="E72">
            <v>294.35958706916</v>
          </cell>
          <cell r="F72">
            <v>277.9065874341735</v>
          </cell>
          <cell r="G72">
            <v>1.0592033452207521</v>
          </cell>
          <cell r="H72">
            <v>7</v>
          </cell>
          <cell r="I72">
            <v>7.5</v>
          </cell>
          <cell r="J72">
            <v>-0.5</v>
          </cell>
          <cell r="K72">
            <v>336.6</v>
          </cell>
          <cell r="L72">
            <v>336.8</v>
          </cell>
          <cell r="M72">
            <v>0.99940617577197155</v>
          </cell>
          <cell r="N72">
            <v>6.8</v>
          </cell>
          <cell r="O72">
            <v>6.8</v>
          </cell>
          <cell r="P72">
            <v>0</v>
          </cell>
        </row>
        <row r="73">
          <cell r="A73" t="str">
            <v>1975:12</v>
          </cell>
          <cell r="B73">
            <v>438.09850889536523</v>
          </cell>
          <cell r="C73">
            <v>363.68818352813111</v>
          </cell>
          <cell r="D73">
            <v>1.2045992384063215</v>
          </cell>
          <cell r="E73">
            <v>438.09850889536523</v>
          </cell>
          <cell r="F73">
            <v>363.68818352813111</v>
          </cell>
          <cell r="G73">
            <v>1.2045992384063215</v>
          </cell>
          <cell r="H73">
            <v>3</v>
          </cell>
          <cell r="I73">
            <v>4.8</v>
          </cell>
          <cell r="J73">
            <v>-1.7999999999999998</v>
          </cell>
          <cell r="K73">
            <v>477.1</v>
          </cell>
          <cell r="L73">
            <v>424.6</v>
          </cell>
          <cell r="M73">
            <v>1.123645784267546</v>
          </cell>
          <cell r="N73">
            <v>2.6</v>
          </cell>
          <cell r="O73">
            <v>4.3</v>
          </cell>
          <cell r="P73">
            <v>-1.6999999999999997</v>
          </cell>
        </row>
        <row r="74">
          <cell r="A74" t="str">
            <v>1976:1</v>
          </cell>
          <cell r="B74">
            <v>385.51934562371366</v>
          </cell>
          <cell r="C74">
            <v>392.91081774346333</v>
          </cell>
          <cell r="D74">
            <v>0.9811879139337526</v>
          </cell>
          <cell r="E74">
            <v>385.51934562371366</v>
          </cell>
          <cell r="F74">
            <v>392.91081774346333</v>
          </cell>
          <cell r="G74">
            <v>0.9811879139337526</v>
          </cell>
          <cell r="H74">
            <v>4.5</v>
          </cell>
          <cell r="I74">
            <v>3.9</v>
          </cell>
          <cell r="J74">
            <v>0.60000000000000009</v>
          </cell>
          <cell r="K74">
            <v>400.7</v>
          </cell>
          <cell r="L74">
            <v>456.3</v>
          </cell>
          <cell r="M74">
            <v>0.87815033968880118</v>
          </cell>
          <cell r="N74">
            <v>5.0999999999999996</v>
          </cell>
          <cell r="O74">
            <v>3.3</v>
          </cell>
          <cell r="P74">
            <v>1.7999999999999998</v>
          </cell>
        </row>
        <row r="75">
          <cell r="A75" t="str">
            <v>1976:2</v>
          </cell>
          <cell r="B75">
            <v>337.83744588603287</v>
          </cell>
          <cell r="C75">
            <v>331.22294910654443</v>
          </cell>
          <cell r="D75">
            <v>1.0199699229698023</v>
          </cell>
          <cell r="E75">
            <v>337.83744588603287</v>
          </cell>
          <cell r="F75">
            <v>331.22294910654443</v>
          </cell>
          <cell r="G75">
            <v>1.0199699229698023</v>
          </cell>
          <cell r="H75">
            <v>5.2</v>
          </cell>
          <cell r="I75">
            <v>4.9000000000000004</v>
          </cell>
          <cell r="J75">
            <v>0.29999999999999982</v>
          </cell>
          <cell r="K75">
            <v>391.3</v>
          </cell>
          <cell r="L75">
            <v>388.2</v>
          </cell>
          <cell r="M75">
            <v>1.0079855744461619</v>
          </cell>
          <cell r="N75">
            <v>4.5</v>
          </cell>
          <cell r="O75">
            <v>4.2</v>
          </cell>
          <cell r="P75">
            <v>0.29999999999999982</v>
          </cell>
        </row>
        <row r="76">
          <cell r="A76" t="str">
            <v>1976:3</v>
          </cell>
          <cell r="B76">
            <v>324.64477926299924</v>
          </cell>
          <cell r="C76">
            <v>270.29253185771751</v>
          </cell>
          <cell r="D76">
            <v>1.2010867523113544</v>
          </cell>
          <cell r="E76">
            <v>324.64477926299924</v>
          </cell>
          <cell r="F76">
            <v>270.29253185771751</v>
          </cell>
          <cell r="G76">
            <v>1.2010867523113544</v>
          </cell>
          <cell r="H76">
            <v>6.3</v>
          </cell>
          <cell r="I76">
            <v>7.4</v>
          </cell>
          <cell r="J76">
            <v>-1.1000000000000005</v>
          </cell>
          <cell r="K76">
            <v>387.6</v>
          </cell>
          <cell r="L76">
            <v>344.1</v>
          </cell>
          <cell r="M76">
            <v>1.1264167393199651</v>
          </cell>
          <cell r="N76">
            <v>5.5</v>
          </cell>
          <cell r="O76">
            <v>6.9</v>
          </cell>
          <cell r="P76">
            <v>-1.4000000000000004</v>
          </cell>
        </row>
        <row r="77">
          <cell r="A77" t="str">
            <v>1976:4</v>
          </cell>
          <cell r="B77">
            <v>214.21734401293818</v>
          </cell>
          <cell r="C77">
            <v>198.63939385091356</v>
          </cell>
          <cell r="D77">
            <v>1.0784232667046723</v>
          </cell>
          <cell r="E77">
            <v>214.21734401293818</v>
          </cell>
          <cell r="F77">
            <v>198.63939385091356</v>
          </cell>
          <cell r="G77">
            <v>1.0784232667046723</v>
          </cell>
          <cell r="H77">
            <v>9.4</v>
          </cell>
          <cell r="I77">
            <v>9.9</v>
          </cell>
          <cell r="J77">
            <v>-0.5</v>
          </cell>
          <cell r="K77">
            <v>254.5</v>
          </cell>
          <cell r="L77">
            <v>248.1</v>
          </cell>
          <cell r="M77">
            <v>1.0257960499798469</v>
          </cell>
          <cell r="N77">
            <v>9.5</v>
          </cell>
          <cell r="O77">
            <v>9.6999999999999993</v>
          </cell>
          <cell r="P77">
            <v>-0.19999999999999929</v>
          </cell>
        </row>
        <row r="78">
          <cell r="A78" t="str">
            <v>1976:5</v>
          </cell>
          <cell r="B78">
            <v>77.987292088239954</v>
          </cell>
          <cell r="C78">
            <v>94.205291641343422</v>
          </cell>
          <cell r="D78">
            <v>0.8278440704281419</v>
          </cell>
          <cell r="E78">
            <v>77.987292088239954</v>
          </cell>
          <cell r="F78">
            <v>94.205291641343422</v>
          </cell>
          <cell r="G78">
            <v>0.8278440704281419</v>
          </cell>
          <cell r="H78">
            <v>14.6</v>
          </cell>
          <cell r="I78">
            <v>13.6</v>
          </cell>
          <cell r="J78">
            <v>1</v>
          </cell>
          <cell r="K78">
            <v>105.3</v>
          </cell>
          <cell r="L78">
            <v>147.30000000000001</v>
          </cell>
          <cell r="M78">
            <v>0.71486761710794289</v>
          </cell>
          <cell r="N78">
            <v>15</v>
          </cell>
          <cell r="O78">
            <v>13.4</v>
          </cell>
          <cell r="P78">
            <v>1.5999999999999996</v>
          </cell>
        </row>
        <row r="79">
          <cell r="A79" t="str">
            <v>1976:6</v>
          </cell>
          <cell r="B79">
            <v>17.192865264845356</v>
          </cell>
          <cell r="C79">
            <v>33.639009300779129</v>
          </cell>
          <cell r="D79">
            <v>0.51109903716597094</v>
          </cell>
          <cell r="E79">
            <v>0</v>
          </cell>
          <cell r="F79">
            <v>0</v>
          </cell>
          <cell r="G79">
            <v>1</v>
          </cell>
          <cell r="H79">
            <v>20.2</v>
          </cell>
          <cell r="I79">
            <v>16.8</v>
          </cell>
          <cell r="J79">
            <v>3.3999999999999986</v>
          </cell>
          <cell r="K79">
            <v>27.4</v>
          </cell>
          <cell r="L79">
            <v>65.7</v>
          </cell>
          <cell r="M79">
            <v>0.41704718417047182</v>
          </cell>
          <cell r="N79">
            <v>20.6</v>
          </cell>
          <cell r="O79">
            <v>16.399999999999999</v>
          </cell>
          <cell r="P79">
            <v>4.2000000000000028</v>
          </cell>
        </row>
        <row r="80">
          <cell r="A80" t="str">
            <v>1976:7</v>
          </cell>
          <cell r="B80">
            <v>3.8358334554459335</v>
          </cell>
          <cell r="C80">
            <v>9.8992241828118033</v>
          </cell>
          <cell r="D80">
            <v>0.38748829045675703</v>
          </cell>
          <cell r="E80">
            <v>0</v>
          </cell>
          <cell r="F80">
            <v>0</v>
          </cell>
          <cell r="G80">
            <v>1</v>
          </cell>
          <cell r="H80">
            <v>20.9</v>
          </cell>
          <cell r="I80">
            <v>18.899999999999999</v>
          </cell>
          <cell r="J80">
            <v>2</v>
          </cell>
          <cell r="K80">
            <v>9.8000000000000007</v>
          </cell>
          <cell r="L80">
            <v>31.2</v>
          </cell>
          <cell r="M80">
            <v>0.31410256410256415</v>
          </cell>
          <cell r="N80">
            <v>21.7</v>
          </cell>
          <cell r="O80">
            <v>18.3</v>
          </cell>
          <cell r="P80">
            <v>3.3999999999999986</v>
          </cell>
        </row>
        <row r="81">
          <cell r="A81" t="str">
            <v>1976:8</v>
          </cell>
          <cell r="B81">
            <v>4.3462344609759036</v>
          </cell>
          <cell r="C81">
            <v>9.4425505166936539</v>
          </cell>
          <cell r="D81">
            <v>0.46028183310135518</v>
          </cell>
          <cell r="E81">
            <v>0</v>
          </cell>
          <cell r="F81">
            <v>0</v>
          </cell>
          <cell r="G81">
            <v>1</v>
          </cell>
          <cell r="H81">
            <v>19.399999999999999</v>
          </cell>
          <cell r="I81">
            <v>18.7</v>
          </cell>
          <cell r="J81">
            <v>0.69999999999999929</v>
          </cell>
          <cell r="K81">
            <v>7.1</v>
          </cell>
          <cell r="L81">
            <v>32.6</v>
          </cell>
          <cell r="M81">
            <v>0.21779141104294478</v>
          </cell>
          <cell r="N81">
            <v>19.8</v>
          </cell>
          <cell r="O81">
            <v>18</v>
          </cell>
          <cell r="P81">
            <v>1.8000000000000007</v>
          </cell>
        </row>
        <row r="82">
          <cell r="A82" t="str">
            <v>1976:9</v>
          </cell>
          <cell r="B82">
            <v>58.126405384153159</v>
          </cell>
          <cell r="C82">
            <v>43.697695496746512</v>
          </cell>
          <cell r="D82">
            <v>1.3301938402788525</v>
          </cell>
          <cell r="E82">
            <v>0</v>
          </cell>
          <cell r="F82">
            <v>0</v>
          </cell>
          <cell r="G82">
            <v>1</v>
          </cell>
          <cell r="H82">
            <v>15.1</v>
          </cell>
          <cell r="I82">
            <v>16.3</v>
          </cell>
          <cell r="J82">
            <v>-1.2000000000000011</v>
          </cell>
          <cell r="K82">
            <v>95.7</v>
          </cell>
          <cell r="L82">
            <v>80</v>
          </cell>
          <cell r="M82">
            <v>1.19625</v>
          </cell>
          <cell r="N82">
            <v>14.9</v>
          </cell>
          <cell r="O82">
            <v>15.7</v>
          </cell>
          <cell r="P82">
            <v>-0.79999999999999893</v>
          </cell>
        </row>
        <row r="83">
          <cell r="A83" t="str">
            <v>1976:10</v>
          </cell>
          <cell r="B83">
            <v>137.94626340059395</v>
          </cell>
          <cell r="C83">
            <v>132.10004667845612</v>
          </cell>
          <cell r="D83">
            <v>1.0442559777164051</v>
          </cell>
          <cell r="E83">
            <v>137.94626340059395</v>
          </cell>
          <cell r="F83">
            <v>132.10004667845612</v>
          </cell>
          <cell r="G83">
            <v>1.0442559777164051</v>
          </cell>
          <cell r="H83">
            <v>12.2</v>
          </cell>
          <cell r="I83">
            <v>12.2</v>
          </cell>
          <cell r="J83">
            <v>0</v>
          </cell>
          <cell r="K83">
            <v>171.2</v>
          </cell>
          <cell r="L83">
            <v>201.4</v>
          </cell>
          <cell r="M83">
            <v>0.85004965243296915</v>
          </cell>
          <cell r="N83">
            <v>12.5</v>
          </cell>
          <cell r="O83">
            <v>11.5</v>
          </cell>
          <cell r="P83">
            <v>1</v>
          </cell>
        </row>
        <row r="84">
          <cell r="A84" t="str">
            <v>1976:11</v>
          </cell>
          <cell r="B84">
            <v>297.52758926573426</v>
          </cell>
          <cell r="C84">
            <v>277.9065874341735</v>
          </cell>
          <cell r="D84">
            <v>1.0706028670018781</v>
          </cell>
          <cell r="E84">
            <v>297.52758926573426</v>
          </cell>
          <cell r="F84">
            <v>277.9065874341735</v>
          </cell>
          <cell r="G84">
            <v>1.0706028670018781</v>
          </cell>
          <cell r="H84">
            <v>6.9</v>
          </cell>
          <cell r="I84">
            <v>7.5</v>
          </cell>
          <cell r="J84">
            <v>-0.59999999999999964</v>
          </cell>
          <cell r="K84">
            <v>329</v>
          </cell>
          <cell r="L84">
            <v>336.8</v>
          </cell>
          <cell r="M84">
            <v>0.97684085510688834</v>
          </cell>
          <cell r="N84">
            <v>7</v>
          </cell>
          <cell r="O84">
            <v>6.8</v>
          </cell>
          <cell r="P84">
            <v>0.20000000000000018</v>
          </cell>
        </row>
        <row r="85">
          <cell r="A85" t="str">
            <v>1976:12</v>
          </cell>
          <cell r="B85">
            <v>418.46282570548971</v>
          </cell>
          <cell r="C85">
            <v>363.68818352813111</v>
          </cell>
          <cell r="D85">
            <v>1.150608803525017</v>
          </cell>
          <cell r="E85">
            <v>418.46282570548971</v>
          </cell>
          <cell r="F85">
            <v>363.68818352813111</v>
          </cell>
          <cell r="G85">
            <v>1.150608803525017</v>
          </cell>
          <cell r="H85">
            <v>3.6</v>
          </cell>
          <cell r="I85">
            <v>4.8</v>
          </cell>
          <cell r="J85">
            <v>-1.1999999999999997</v>
          </cell>
          <cell r="K85">
            <v>480.7</v>
          </cell>
          <cell r="L85">
            <v>424.6</v>
          </cell>
          <cell r="M85">
            <v>1.132124352331606</v>
          </cell>
          <cell r="N85">
            <v>2.5</v>
          </cell>
          <cell r="O85">
            <v>4.3</v>
          </cell>
          <cell r="P85">
            <v>-1.7999999999999998</v>
          </cell>
        </row>
        <row r="86">
          <cell r="A86" t="str">
            <v>1977:1</v>
          </cell>
          <cell r="B86">
            <v>386.65376288772114</v>
          </cell>
          <cell r="C86">
            <v>392.91081774346333</v>
          </cell>
          <cell r="D86">
            <v>0.98407512704364508</v>
          </cell>
          <cell r="E86">
            <v>386.65376288772114</v>
          </cell>
          <cell r="F86">
            <v>392.91081774346333</v>
          </cell>
          <cell r="G86">
            <v>0.98407512704364508</v>
          </cell>
          <cell r="H86">
            <v>4.4000000000000004</v>
          </cell>
          <cell r="I86">
            <v>3.9</v>
          </cell>
          <cell r="J86">
            <v>0.50000000000000044</v>
          </cell>
          <cell r="K86">
            <v>430.2</v>
          </cell>
          <cell r="L86">
            <v>456.3</v>
          </cell>
          <cell r="M86">
            <v>0.94280078895463504</v>
          </cell>
          <cell r="N86">
            <v>4.0999999999999996</v>
          </cell>
          <cell r="O86">
            <v>3.3</v>
          </cell>
          <cell r="P86">
            <v>0.79999999999999982</v>
          </cell>
        </row>
        <row r="87">
          <cell r="A87" t="str">
            <v>1977:2</v>
          </cell>
          <cell r="B87">
            <v>265.51145998706903</v>
          </cell>
          <cell r="C87">
            <v>331.22294910654443</v>
          </cell>
          <cell r="D87">
            <v>0.80160949204537757</v>
          </cell>
          <cell r="E87">
            <v>265.51145998706903</v>
          </cell>
          <cell r="F87">
            <v>331.22294910654443</v>
          </cell>
          <cell r="G87">
            <v>0.80160949204537757</v>
          </cell>
          <cell r="H87">
            <v>7.3</v>
          </cell>
          <cell r="I87">
            <v>4.9000000000000004</v>
          </cell>
          <cell r="J87">
            <v>2.3999999999999995</v>
          </cell>
          <cell r="K87">
            <v>309</v>
          </cell>
          <cell r="L87">
            <v>388.2</v>
          </cell>
          <cell r="M87">
            <v>0.79598145285935085</v>
          </cell>
          <cell r="N87">
            <v>7</v>
          </cell>
          <cell r="O87">
            <v>4.2</v>
          </cell>
          <cell r="P87">
            <v>2.8</v>
          </cell>
        </row>
        <row r="88">
          <cell r="A88" t="str">
            <v>1977:3</v>
          </cell>
          <cell r="B88">
            <v>243.04528084374152</v>
          </cell>
          <cell r="C88">
            <v>270.29253185771751</v>
          </cell>
          <cell r="D88">
            <v>0.89919347446743747</v>
          </cell>
          <cell r="E88">
            <v>243.04528084374152</v>
          </cell>
          <cell r="F88">
            <v>270.29253185771751</v>
          </cell>
          <cell r="G88">
            <v>0.89919347446743747</v>
          </cell>
          <cell r="H88">
            <v>8.8000000000000007</v>
          </cell>
          <cell r="I88">
            <v>7.4</v>
          </cell>
          <cell r="J88">
            <v>1.4000000000000004</v>
          </cell>
          <cell r="K88">
            <v>290.89999999999998</v>
          </cell>
          <cell r="L88">
            <v>344.1</v>
          </cell>
          <cell r="M88">
            <v>0.84539378087765171</v>
          </cell>
          <cell r="N88">
            <v>8.6</v>
          </cell>
          <cell r="O88">
            <v>6.9</v>
          </cell>
          <cell r="P88">
            <v>1.6999999999999993</v>
          </cell>
        </row>
        <row r="89">
          <cell r="A89" t="str">
            <v>1977:4</v>
          </cell>
          <cell r="B89">
            <v>238.57122060763967</v>
          </cell>
          <cell r="C89">
            <v>198.63939385091356</v>
          </cell>
          <cell r="D89">
            <v>1.2010267247729143</v>
          </cell>
          <cell r="E89">
            <v>238.57122060763967</v>
          </cell>
          <cell r="F89">
            <v>198.63939385091356</v>
          </cell>
          <cell r="G89">
            <v>1.2010267247729143</v>
          </cell>
          <cell r="H89">
            <v>8.8000000000000007</v>
          </cell>
          <cell r="I89">
            <v>9.9</v>
          </cell>
          <cell r="J89">
            <v>-1.0999999999999996</v>
          </cell>
          <cell r="K89">
            <v>280.5</v>
          </cell>
          <cell r="L89">
            <v>248.1</v>
          </cell>
          <cell r="M89">
            <v>1.1305925030229746</v>
          </cell>
          <cell r="N89">
            <v>8.6</v>
          </cell>
          <cell r="O89">
            <v>9.6999999999999993</v>
          </cell>
          <cell r="P89">
            <v>-1.0999999999999996</v>
          </cell>
        </row>
        <row r="90">
          <cell r="A90" t="str">
            <v>1977:5</v>
          </cell>
          <cell r="B90">
            <v>122.90430132012338</v>
          </cell>
          <cell r="C90">
            <v>94.205291641343422</v>
          </cell>
          <cell r="D90">
            <v>1.3046432867915985</v>
          </cell>
          <cell r="E90">
            <v>122.90430132012338</v>
          </cell>
          <cell r="F90">
            <v>94.205291641343422</v>
          </cell>
          <cell r="G90">
            <v>1.3046432867915985</v>
          </cell>
          <cell r="H90">
            <v>12.7</v>
          </cell>
          <cell r="I90">
            <v>13.6</v>
          </cell>
          <cell r="J90">
            <v>-0.90000000000000036</v>
          </cell>
          <cell r="K90">
            <v>159</v>
          </cell>
          <cell r="L90">
            <v>147.30000000000001</v>
          </cell>
          <cell r="M90">
            <v>1.0794297352342157</v>
          </cell>
          <cell r="N90">
            <v>12.9</v>
          </cell>
          <cell r="O90">
            <v>13.4</v>
          </cell>
          <cell r="P90">
            <v>-0.5</v>
          </cell>
        </row>
        <row r="91">
          <cell r="A91" t="str">
            <v>1977:6</v>
          </cell>
          <cell r="B91">
            <v>50.621584202710963</v>
          </cell>
          <cell r="C91">
            <v>33.639009300779129</v>
          </cell>
          <cell r="D91">
            <v>1.5048476532136901</v>
          </cell>
          <cell r="E91">
            <v>0</v>
          </cell>
          <cell r="F91">
            <v>0</v>
          </cell>
          <cell r="G91">
            <v>1</v>
          </cell>
          <cell r="H91">
            <v>15.5</v>
          </cell>
          <cell r="I91">
            <v>16.8</v>
          </cell>
          <cell r="J91">
            <v>-1.3000000000000007</v>
          </cell>
          <cell r="K91">
            <v>81.099999999999994</v>
          </cell>
          <cell r="L91">
            <v>65.7</v>
          </cell>
          <cell r="M91">
            <v>1.2343987823439877</v>
          </cell>
          <cell r="N91">
            <v>15.4</v>
          </cell>
          <cell r="O91">
            <v>16.399999999999999</v>
          </cell>
          <cell r="P91">
            <v>-0.99999999999999822</v>
          </cell>
        </row>
        <row r="92">
          <cell r="A92" t="str">
            <v>1977:7</v>
          </cell>
          <cell r="B92">
            <v>18.683643268069808</v>
          </cell>
          <cell r="C92">
            <v>9.8992241828118033</v>
          </cell>
          <cell r="D92">
            <v>1.8873845993416885</v>
          </cell>
          <cell r="E92">
            <v>0</v>
          </cell>
          <cell r="F92">
            <v>0</v>
          </cell>
          <cell r="G92">
            <v>1</v>
          </cell>
          <cell r="H92">
            <v>18.2</v>
          </cell>
          <cell r="I92">
            <v>18.899999999999999</v>
          </cell>
          <cell r="J92">
            <v>-0.69999999999999929</v>
          </cell>
          <cell r="K92">
            <v>37.5</v>
          </cell>
          <cell r="L92">
            <v>31.2</v>
          </cell>
          <cell r="M92">
            <v>1.2019230769230769</v>
          </cell>
          <cell r="N92">
            <v>18.2</v>
          </cell>
          <cell r="O92">
            <v>18.3</v>
          </cell>
          <cell r="P92">
            <v>-0.10000000000000142</v>
          </cell>
        </row>
        <row r="93">
          <cell r="A93" t="str">
            <v>1977:8</v>
          </cell>
          <cell r="B93">
            <v>18.281594461023754</v>
          </cell>
          <cell r="C93">
            <v>9.4425505166936539</v>
          </cell>
          <cell r="D93">
            <v>1.9360864873005865</v>
          </cell>
          <cell r="E93">
            <v>0</v>
          </cell>
          <cell r="F93">
            <v>0</v>
          </cell>
          <cell r="G93">
            <v>1</v>
          </cell>
          <cell r="H93">
            <v>17.3</v>
          </cell>
          <cell r="I93">
            <v>18.7</v>
          </cell>
          <cell r="J93">
            <v>-1.3999999999999986</v>
          </cell>
          <cell r="K93">
            <v>43.9</v>
          </cell>
          <cell r="L93">
            <v>32.6</v>
          </cell>
          <cell r="M93">
            <v>1.3466257668711656</v>
          </cell>
          <cell r="N93">
            <v>16.8</v>
          </cell>
          <cell r="O93">
            <v>18</v>
          </cell>
          <cell r="P93">
            <v>-1.1999999999999993</v>
          </cell>
        </row>
        <row r="94">
          <cell r="A94" t="str">
            <v>1977:9</v>
          </cell>
          <cell r="B94">
            <v>72.887540879239765</v>
          </cell>
          <cell r="C94">
            <v>43.697695496746512</v>
          </cell>
          <cell r="D94">
            <v>1.6679950750415791</v>
          </cell>
          <cell r="E94">
            <v>0</v>
          </cell>
          <cell r="F94">
            <v>0</v>
          </cell>
          <cell r="G94">
            <v>1</v>
          </cell>
          <cell r="H94">
            <v>14.8</v>
          </cell>
          <cell r="I94">
            <v>16.3</v>
          </cell>
          <cell r="J94">
            <v>-1.5</v>
          </cell>
          <cell r="K94">
            <v>117.5</v>
          </cell>
          <cell r="L94">
            <v>80</v>
          </cell>
          <cell r="M94">
            <v>1.46875</v>
          </cell>
          <cell r="N94">
            <v>14.1</v>
          </cell>
          <cell r="O94">
            <v>15.7</v>
          </cell>
          <cell r="P94">
            <v>-1.5999999999999996</v>
          </cell>
        </row>
        <row r="95">
          <cell r="A95" t="str">
            <v>1977:10</v>
          </cell>
          <cell r="B95">
            <v>107.02771880192543</v>
          </cell>
          <cell r="C95">
            <v>132.10004667845612</v>
          </cell>
          <cell r="D95">
            <v>0.81020197564684371</v>
          </cell>
          <cell r="E95">
            <v>107.02771880192543</v>
          </cell>
          <cell r="F95">
            <v>132.10004667845612</v>
          </cell>
          <cell r="G95">
            <v>0.81020197564684371</v>
          </cell>
          <cell r="H95">
            <v>13.3</v>
          </cell>
          <cell r="I95">
            <v>12.2</v>
          </cell>
          <cell r="J95">
            <v>1.1000000000000014</v>
          </cell>
          <cell r="K95">
            <v>159.1</v>
          </cell>
          <cell r="L95">
            <v>201.4</v>
          </cell>
          <cell r="M95">
            <v>0.78997020854021838</v>
          </cell>
          <cell r="N95">
            <v>12.9</v>
          </cell>
          <cell r="O95">
            <v>11.5</v>
          </cell>
          <cell r="P95">
            <v>1.4000000000000004</v>
          </cell>
        </row>
        <row r="96">
          <cell r="A96" t="str">
            <v>1977:11</v>
          </cell>
          <cell r="B96">
            <v>280.9308795012235</v>
          </cell>
          <cell r="C96">
            <v>277.9065874341735</v>
          </cell>
          <cell r="D96">
            <v>1.0108824051094736</v>
          </cell>
          <cell r="E96">
            <v>280.9308795012235</v>
          </cell>
          <cell r="F96">
            <v>277.9065874341735</v>
          </cell>
          <cell r="G96">
            <v>1.0108824051094736</v>
          </cell>
          <cell r="H96">
            <v>7.6</v>
          </cell>
          <cell r="I96">
            <v>7.5</v>
          </cell>
          <cell r="J96">
            <v>9.9999999999999645E-2</v>
          </cell>
          <cell r="K96">
            <v>312.2</v>
          </cell>
          <cell r="L96">
            <v>336.8</v>
          </cell>
          <cell r="M96">
            <v>0.92695961995249399</v>
          </cell>
          <cell r="N96">
            <v>7.6</v>
          </cell>
          <cell r="O96">
            <v>6.8</v>
          </cell>
          <cell r="P96">
            <v>0.79999999999999982</v>
          </cell>
        </row>
        <row r="97">
          <cell r="A97" t="str">
            <v>1977:12</v>
          </cell>
          <cell r="B97">
            <v>345.81515038818139</v>
          </cell>
          <cell r="C97">
            <v>363.68818352813111</v>
          </cell>
          <cell r="D97">
            <v>0.95085616209313206</v>
          </cell>
          <cell r="E97">
            <v>345.81515038818139</v>
          </cell>
          <cell r="F97">
            <v>363.68818352813111</v>
          </cell>
          <cell r="G97">
            <v>0.95085616209313206</v>
          </cell>
          <cell r="H97">
            <v>5.8</v>
          </cell>
          <cell r="I97">
            <v>4.8</v>
          </cell>
          <cell r="J97">
            <v>1</v>
          </cell>
          <cell r="K97">
            <v>374.5</v>
          </cell>
          <cell r="L97">
            <v>424.6</v>
          </cell>
          <cell r="M97">
            <v>0.88200659444182761</v>
          </cell>
          <cell r="N97">
            <v>5.9</v>
          </cell>
          <cell r="O97">
            <v>4.3</v>
          </cell>
          <cell r="P97">
            <v>1.6000000000000005</v>
          </cell>
        </row>
        <row r="98">
          <cell r="A98" t="str">
            <v>1978:1</v>
          </cell>
          <cell r="B98">
            <v>412.56072239421468</v>
          </cell>
          <cell r="C98">
            <v>392.91081774346333</v>
          </cell>
          <cell r="D98">
            <v>1.0500111062444226</v>
          </cell>
          <cell r="E98">
            <v>412.56072239421468</v>
          </cell>
          <cell r="F98">
            <v>392.91081774346333</v>
          </cell>
          <cell r="G98">
            <v>1.0500111062444226</v>
          </cell>
          <cell r="H98">
            <v>3.7</v>
          </cell>
          <cell r="I98">
            <v>3.9</v>
          </cell>
          <cell r="J98">
            <v>-0.19999999999999973</v>
          </cell>
          <cell r="K98">
            <v>447.3</v>
          </cell>
          <cell r="L98">
            <v>456.3</v>
          </cell>
          <cell r="M98">
            <v>0.98027613412228798</v>
          </cell>
          <cell r="N98">
            <v>3.6</v>
          </cell>
          <cell r="O98">
            <v>3.3</v>
          </cell>
          <cell r="P98">
            <v>0.30000000000000027</v>
          </cell>
        </row>
        <row r="99">
          <cell r="A99" t="str">
            <v>1978:2</v>
          </cell>
          <cell r="B99">
            <v>348.7448013244383</v>
          </cell>
          <cell r="C99">
            <v>331.22294910654443</v>
          </cell>
          <cell r="D99">
            <v>1.0529004776545769</v>
          </cell>
          <cell r="E99">
            <v>348.7448013244383</v>
          </cell>
          <cell r="F99">
            <v>331.22294910654443</v>
          </cell>
          <cell r="G99">
            <v>1.0529004776545769</v>
          </cell>
          <cell r="H99">
            <v>4.5</v>
          </cell>
          <cell r="I99">
            <v>4.9000000000000004</v>
          </cell>
          <cell r="J99">
            <v>-0.40000000000000036</v>
          </cell>
          <cell r="K99">
            <v>415.5</v>
          </cell>
          <cell r="L99">
            <v>388.2</v>
          </cell>
          <cell r="M99">
            <v>1.0703245749613601</v>
          </cell>
          <cell r="N99">
            <v>3.2</v>
          </cell>
          <cell r="O99">
            <v>4.2</v>
          </cell>
          <cell r="P99">
            <v>-1</v>
          </cell>
        </row>
        <row r="100">
          <cell r="A100" t="str">
            <v>1978:3</v>
          </cell>
          <cell r="B100">
            <v>273.50929138692203</v>
          </cell>
          <cell r="C100">
            <v>270.29253185771751</v>
          </cell>
          <cell r="D100">
            <v>1.0119010299955229</v>
          </cell>
          <cell r="E100">
            <v>273.50929138692203</v>
          </cell>
          <cell r="F100">
            <v>270.29253185771751</v>
          </cell>
          <cell r="G100">
            <v>1.0119010299955229</v>
          </cell>
          <cell r="H100">
            <v>7.9</v>
          </cell>
          <cell r="I100">
            <v>7.4</v>
          </cell>
          <cell r="J100">
            <v>0.5</v>
          </cell>
          <cell r="K100">
            <v>316.89999999999998</v>
          </cell>
          <cell r="L100">
            <v>344.1</v>
          </cell>
          <cell r="M100">
            <v>0.92095321127579177</v>
          </cell>
          <cell r="N100">
            <v>7.8</v>
          </cell>
          <cell r="O100">
            <v>6.9</v>
          </cell>
          <cell r="P100">
            <v>0.89999999999999947</v>
          </cell>
        </row>
        <row r="101">
          <cell r="A101" t="str">
            <v>1978:4</v>
          </cell>
          <cell r="B101">
            <v>249.99964891296156</v>
          </cell>
          <cell r="C101">
            <v>198.63939385091356</v>
          </cell>
          <cell r="D101">
            <v>1.2585602687682174</v>
          </cell>
          <cell r="E101">
            <v>249.99964891296156</v>
          </cell>
          <cell r="F101">
            <v>198.63939385091356</v>
          </cell>
          <cell r="G101">
            <v>1.2585602687682174</v>
          </cell>
          <cell r="H101">
            <v>8.4</v>
          </cell>
          <cell r="I101">
            <v>9.9</v>
          </cell>
          <cell r="J101">
            <v>-1.5</v>
          </cell>
          <cell r="K101">
            <v>290.5</v>
          </cell>
          <cell r="L101">
            <v>248.1</v>
          </cell>
          <cell r="M101">
            <v>1.1708988311164854</v>
          </cell>
          <cell r="N101">
            <v>8.3000000000000007</v>
          </cell>
          <cell r="O101">
            <v>9.6999999999999993</v>
          </cell>
          <cell r="P101">
            <v>-1.3999999999999986</v>
          </cell>
        </row>
        <row r="102">
          <cell r="A102" t="str">
            <v>1978:5</v>
          </cell>
          <cell r="B102">
            <v>117.39936005763658</v>
          </cell>
          <cell r="C102">
            <v>94.205291641343422</v>
          </cell>
          <cell r="D102">
            <v>1.2462077024780855</v>
          </cell>
          <cell r="E102">
            <v>117.39936005763658</v>
          </cell>
          <cell r="F102">
            <v>94.205291641343422</v>
          </cell>
          <cell r="G102">
            <v>1.2462077024780855</v>
          </cell>
          <cell r="H102">
            <v>12.9</v>
          </cell>
          <cell r="I102">
            <v>13.6</v>
          </cell>
          <cell r="J102">
            <v>-0.69999999999999929</v>
          </cell>
          <cell r="K102">
            <v>160.9</v>
          </cell>
          <cell r="L102">
            <v>147.30000000000001</v>
          </cell>
          <cell r="M102">
            <v>1.0923285811269519</v>
          </cell>
          <cell r="N102">
            <v>13</v>
          </cell>
          <cell r="O102">
            <v>13.4</v>
          </cell>
          <cell r="P102">
            <v>-0.40000000000000036</v>
          </cell>
        </row>
        <row r="103">
          <cell r="A103" t="str">
            <v>1978:6</v>
          </cell>
          <cell r="B103">
            <v>55.034520458908688</v>
          </cell>
          <cell r="C103">
            <v>33.639009300779129</v>
          </cell>
          <cell r="D103">
            <v>1.6360327370768915</v>
          </cell>
          <cell r="E103">
            <v>0</v>
          </cell>
          <cell r="F103">
            <v>0</v>
          </cell>
          <cell r="G103">
            <v>1</v>
          </cell>
          <cell r="H103">
            <v>15.7</v>
          </cell>
          <cell r="I103">
            <v>16.8</v>
          </cell>
          <cell r="J103">
            <v>-1.1000000000000014</v>
          </cell>
          <cell r="K103">
            <v>92.9</v>
          </cell>
          <cell r="L103">
            <v>65.7</v>
          </cell>
          <cell r="M103">
            <v>1.4140030441400304</v>
          </cell>
          <cell r="N103">
            <v>15.2</v>
          </cell>
          <cell r="O103">
            <v>16.399999999999999</v>
          </cell>
          <cell r="P103">
            <v>-1.1999999999999993</v>
          </cell>
        </row>
        <row r="104">
          <cell r="A104" t="str">
            <v>1978:7</v>
          </cell>
          <cell r="B104">
            <v>25.064208552712358</v>
          </cell>
          <cell r="C104">
            <v>9.8992241828118033</v>
          </cell>
          <cell r="D104">
            <v>2.5319366538068491</v>
          </cell>
          <cell r="E104">
            <v>0</v>
          </cell>
          <cell r="F104">
            <v>0</v>
          </cell>
          <cell r="G104">
            <v>1</v>
          </cell>
          <cell r="H104">
            <v>17.8</v>
          </cell>
          <cell r="I104">
            <v>18.899999999999999</v>
          </cell>
          <cell r="J104">
            <v>-1.0999999999999979</v>
          </cell>
          <cell r="K104">
            <v>53.8</v>
          </cell>
          <cell r="L104">
            <v>31.2</v>
          </cell>
          <cell r="M104">
            <v>1.7243589743589742</v>
          </cell>
          <cell r="N104">
            <v>16.8</v>
          </cell>
          <cell r="O104">
            <v>18.3</v>
          </cell>
          <cell r="P104">
            <v>-1.5</v>
          </cell>
        </row>
        <row r="105">
          <cell r="A105" t="str">
            <v>1978:8</v>
          </cell>
          <cell r="B105">
            <v>24.551945177238714</v>
          </cell>
          <cell r="C105">
            <v>9.4425505166936539</v>
          </cell>
          <cell r="D105">
            <v>2.6001391397200249</v>
          </cell>
          <cell r="E105">
            <v>0</v>
          </cell>
          <cell r="F105">
            <v>0</v>
          </cell>
          <cell r="G105">
            <v>1</v>
          </cell>
          <cell r="H105">
            <v>17.399999999999999</v>
          </cell>
          <cell r="I105">
            <v>18.7</v>
          </cell>
          <cell r="J105">
            <v>-1.3000000000000007</v>
          </cell>
          <cell r="K105">
            <v>62.7</v>
          </cell>
          <cell r="L105">
            <v>32.6</v>
          </cell>
          <cell r="M105">
            <v>1.9233128834355828</v>
          </cell>
          <cell r="N105">
            <v>16</v>
          </cell>
          <cell r="O105">
            <v>18</v>
          </cell>
          <cell r="P105">
            <v>-2</v>
          </cell>
        </row>
        <row r="106">
          <cell r="A106" t="str">
            <v>1978:9</v>
          </cell>
          <cell r="B106">
            <v>51.466159678507942</v>
          </cell>
          <cell r="C106">
            <v>43.697695496746512</v>
          </cell>
          <cell r="D106">
            <v>1.1777774341061036</v>
          </cell>
          <cell r="E106">
            <v>0</v>
          </cell>
          <cell r="F106">
            <v>0</v>
          </cell>
          <cell r="G106">
            <v>1</v>
          </cell>
          <cell r="H106">
            <v>15.7</v>
          </cell>
          <cell r="I106">
            <v>16.3</v>
          </cell>
          <cell r="J106">
            <v>-0.60000000000000142</v>
          </cell>
          <cell r="K106">
            <v>106.1</v>
          </cell>
          <cell r="L106">
            <v>80</v>
          </cell>
          <cell r="M106">
            <v>1.3262499999999999</v>
          </cell>
          <cell r="N106">
            <v>14.5</v>
          </cell>
          <cell r="O106">
            <v>15.7</v>
          </cell>
          <cell r="P106">
            <v>-1.1999999999999993</v>
          </cell>
        </row>
        <row r="107">
          <cell r="A107" t="str">
            <v>1978:10</v>
          </cell>
          <cell r="B107">
            <v>151.01926734747252</v>
          </cell>
          <cell r="C107">
            <v>132.10004667845612</v>
          </cell>
          <cell r="D107">
            <v>1.1432188795138547</v>
          </cell>
          <cell r="E107">
            <v>151.01926734747252</v>
          </cell>
          <cell r="F107">
            <v>132.10004667845612</v>
          </cell>
          <cell r="G107">
            <v>1.1432188795138547</v>
          </cell>
          <cell r="H107">
            <v>11.8</v>
          </cell>
          <cell r="I107">
            <v>12.2</v>
          </cell>
          <cell r="J107">
            <v>-0.39999999999999858</v>
          </cell>
          <cell r="K107">
            <v>205.8</v>
          </cell>
          <cell r="L107">
            <v>201.4</v>
          </cell>
          <cell r="M107">
            <v>1.0218470705064548</v>
          </cell>
          <cell r="N107">
            <v>11.4</v>
          </cell>
          <cell r="O107">
            <v>11.5</v>
          </cell>
          <cell r="P107">
            <v>-9.9999999999999645E-2</v>
          </cell>
        </row>
        <row r="108">
          <cell r="A108" t="str">
            <v>1978:11</v>
          </cell>
          <cell r="B108">
            <v>308.21108337814115</v>
          </cell>
          <cell r="C108">
            <v>277.9065874341735</v>
          </cell>
          <cell r="D108">
            <v>1.1090456193347549</v>
          </cell>
          <cell r="E108">
            <v>308.21108337814115</v>
          </cell>
          <cell r="F108">
            <v>277.9065874341735</v>
          </cell>
          <cell r="G108">
            <v>1.1090456193347549</v>
          </cell>
          <cell r="H108">
            <v>6.6</v>
          </cell>
          <cell r="I108">
            <v>7.5</v>
          </cell>
          <cell r="J108">
            <v>-0.90000000000000036</v>
          </cell>
          <cell r="K108">
            <v>372.4</v>
          </cell>
          <cell r="L108">
            <v>336.8</v>
          </cell>
          <cell r="M108">
            <v>1.1057007125890734</v>
          </cell>
          <cell r="N108">
            <v>5.6</v>
          </cell>
          <cell r="O108">
            <v>6.8</v>
          </cell>
          <cell r="P108">
            <v>-1.2000000000000002</v>
          </cell>
        </row>
        <row r="109">
          <cell r="A109" t="str">
            <v>1978:12</v>
          </cell>
          <cell r="B109">
            <v>348.29312274285712</v>
          </cell>
          <cell r="C109">
            <v>363.68818352813111</v>
          </cell>
          <cell r="D109">
            <v>0.95766961511939475</v>
          </cell>
          <cell r="E109">
            <v>348.29312274285712</v>
          </cell>
          <cell r="F109">
            <v>363.68818352813111</v>
          </cell>
          <cell r="G109">
            <v>0.95766961511939475</v>
          </cell>
          <cell r="H109">
            <v>5.8</v>
          </cell>
          <cell r="I109">
            <v>4.8</v>
          </cell>
          <cell r="J109">
            <v>1</v>
          </cell>
          <cell r="K109">
            <v>402.5</v>
          </cell>
          <cell r="L109">
            <v>424.6</v>
          </cell>
          <cell r="M109">
            <v>0.94795101271785209</v>
          </cell>
          <cell r="N109">
            <v>5</v>
          </cell>
          <cell r="O109">
            <v>4.3</v>
          </cell>
          <cell r="P109">
            <v>0.70000000000000018</v>
          </cell>
        </row>
        <row r="110">
          <cell r="A110" t="str">
            <v>1979:1</v>
          </cell>
          <cell r="B110">
            <v>509.37198067206049</v>
          </cell>
          <cell r="C110">
            <v>392.91081774346333</v>
          </cell>
          <cell r="D110">
            <v>1.296406099474299</v>
          </cell>
          <cell r="E110">
            <v>509.37198067206049</v>
          </cell>
          <cell r="F110">
            <v>392.91081774346333</v>
          </cell>
          <cell r="G110">
            <v>1.296406099474299</v>
          </cell>
          <cell r="H110">
            <v>1.1000000000000001</v>
          </cell>
          <cell r="I110">
            <v>3.9</v>
          </cell>
          <cell r="J110">
            <v>-2.8</v>
          </cell>
          <cell r="K110">
            <v>589</v>
          </cell>
          <cell r="L110">
            <v>456.3</v>
          </cell>
          <cell r="M110">
            <v>1.2908174446635985</v>
          </cell>
          <cell r="N110">
            <v>-1</v>
          </cell>
          <cell r="O110">
            <v>3.3</v>
          </cell>
          <cell r="P110">
            <v>-4.3</v>
          </cell>
        </row>
        <row r="111">
          <cell r="A111" t="str">
            <v>1979:2</v>
          </cell>
          <cell r="B111">
            <v>350.90090253244296</v>
          </cell>
          <cell r="C111">
            <v>331.22294910654443</v>
          </cell>
          <cell r="D111">
            <v>1.0594099940205794</v>
          </cell>
          <cell r="E111">
            <v>350.90090253244296</v>
          </cell>
          <cell r="F111">
            <v>331.22294910654443</v>
          </cell>
          <cell r="G111">
            <v>1.0594099940205794</v>
          </cell>
          <cell r="H111">
            <v>4.3</v>
          </cell>
          <cell r="I111">
            <v>4.9000000000000004</v>
          </cell>
          <cell r="J111">
            <v>-0.60000000000000053</v>
          </cell>
          <cell r="K111">
            <v>432.4</v>
          </cell>
          <cell r="L111">
            <v>388.2</v>
          </cell>
          <cell r="M111">
            <v>1.1138588356517258</v>
          </cell>
          <cell r="N111">
            <v>2.6</v>
          </cell>
          <cell r="O111">
            <v>4.2</v>
          </cell>
          <cell r="P111">
            <v>-1.6</v>
          </cell>
        </row>
        <row r="112">
          <cell r="A112" t="str">
            <v>1979:3</v>
          </cell>
          <cell r="B112">
            <v>293.36931631583536</v>
          </cell>
          <cell r="C112">
            <v>270.29253185771751</v>
          </cell>
          <cell r="D112">
            <v>1.085377070167316</v>
          </cell>
          <cell r="E112">
            <v>293.36931631583536</v>
          </cell>
          <cell r="F112">
            <v>270.29253185771751</v>
          </cell>
          <cell r="G112">
            <v>1.085377070167316</v>
          </cell>
          <cell r="H112">
            <v>7.3</v>
          </cell>
          <cell r="I112">
            <v>7.4</v>
          </cell>
          <cell r="J112">
            <v>-0.10000000000000053</v>
          </cell>
          <cell r="K112">
            <v>362.4</v>
          </cell>
          <cell r="L112">
            <v>344.1</v>
          </cell>
          <cell r="M112">
            <v>1.0531822144725369</v>
          </cell>
          <cell r="N112">
            <v>6.3</v>
          </cell>
          <cell r="O112">
            <v>6.9</v>
          </cell>
          <cell r="P112">
            <v>-0.60000000000000053</v>
          </cell>
        </row>
        <row r="113">
          <cell r="A113" t="str">
            <v>1979:4</v>
          </cell>
          <cell r="B113">
            <v>229.32592515481667</v>
          </cell>
          <cell r="C113">
            <v>198.63939385091356</v>
          </cell>
          <cell r="D113">
            <v>1.1544836132903955</v>
          </cell>
          <cell r="E113">
            <v>229.32592515481667</v>
          </cell>
          <cell r="F113">
            <v>198.63939385091356</v>
          </cell>
          <cell r="G113">
            <v>1.1544836132903955</v>
          </cell>
          <cell r="H113">
            <v>8.9</v>
          </cell>
          <cell r="I113">
            <v>9.9</v>
          </cell>
          <cell r="J113">
            <v>-1</v>
          </cell>
          <cell r="K113">
            <v>277.8</v>
          </cell>
          <cell r="L113">
            <v>248.1</v>
          </cell>
          <cell r="M113">
            <v>1.1197097944377268</v>
          </cell>
          <cell r="N113">
            <v>8.6999999999999993</v>
          </cell>
          <cell r="O113">
            <v>9.6999999999999993</v>
          </cell>
          <cell r="P113">
            <v>-1</v>
          </cell>
        </row>
        <row r="114">
          <cell r="A114" t="str">
            <v>1979:5</v>
          </cell>
          <cell r="B114">
            <v>129.86612766549732</v>
          </cell>
          <cell r="C114">
            <v>94.205291641343422</v>
          </cell>
          <cell r="D114">
            <v>1.3785438737339846</v>
          </cell>
          <cell r="E114">
            <v>129.86612766549732</v>
          </cell>
          <cell r="F114">
            <v>94.205291641343422</v>
          </cell>
          <cell r="G114">
            <v>1.3785438737339846</v>
          </cell>
          <cell r="H114">
            <v>13</v>
          </cell>
          <cell r="I114">
            <v>13.6</v>
          </cell>
          <cell r="J114">
            <v>-0.59999999999999964</v>
          </cell>
          <cell r="K114">
            <v>173.3</v>
          </cell>
          <cell r="L114">
            <v>147.30000000000001</v>
          </cell>
          <cell r="M114">
            <v>1.176510522742702</v>
          </cell>
          <cell r="N114">
            <v>12.6</v>
          </cell>
          <cell r="O114">
            <v>13.4</v>
          </cell>
          <cell r="P114">
            <v>-0.80000000000000071</v>
          </cell>
        </row>
        <row r="115">
          <cell r="A115" t="str">
            <v>1979:6</v>
          </cell>
          <cell r="B115">
            <v>31.904522043880391</v>
          </cell>
          <cell r="C115">
            <v>33.639009300779129</v>
          </cell>
          <cell r="D115">
            <v>0.94843821821891272</v>
          </cell>
          <cell r="E115">
            <v>0</v>
          </cell>
          <cell r="F115">
            <v>0</v>
          </cell>
          <cell r="G115">
            <v>1</v>
          </cell>
          <cell r="H115">
            <v>17</v>
          </cell>
          <cell r="I115">
            <v>16.8</v>
          </cell>
          <cell r="J115">
            <v>0.19999999999999929</v>
          </cell>
          <cell r="K115">
            <v>58.7</v>
          </cell>
          <cell r="L115">
            <v>65.7</v>
          </cell>
          <cell r="M115">
            <v>0.893455098934551</v>
          </cell>
          <cell r="N115">
            <v>16.2</v>
          </cell>
          <cell r="O115">
            <v>16.399999999999999</v>
          </cell>
          <cell r="P115">
            <v>-0.19999999999999929</v>
          </cell>
        </row>
        <row r="116">
          <cell r="A116" t="str">
            <v>1979:7</v>
          </cell>
          <cell r="B116">
            <v>13.174744897736856</v>
          </cell>
          <cell r="C116">
            <v>9.8992241828118033</v>
          </cell>
          <cell r="D116">
            <v>1.3308866083275896</v>
          </cell>
          <cell r="E116">
            <v>0</v>
          </cell>
          <cell r="F116">
            <v>0</v>
          </cell>
          <cell r="G116">
            <v>1</v>
          </cell>
          <cell r="H116">
            <v>19</v>
          </cell>
          <cell r="I116">
            <v>18.899999999999999</v>
          </cell>
          <cell r="J116">
            <v>0.10000000000000142</v>
          </cell>
          <cell r="K116">
            <v>30.1</v>
          </cell>
          <cell r="L116">
            <v>31.2</v>
          </cell>
          <cell r="M116">
            <v>0.96474358974358976</v>
          </cell>
          <cell r="N116">
            <v>17.899999999999999</v>
          </cell>
          <cell r="O116">
            <v>18.3</v>
          </cell>
          <cell r="P116">
            <v>-0.40000000000000213</v>
          </cell>
        </row>
        <row r="117">
          <cell r="A117" t="str">
            <v>1979:8</v>
          </cell>
          <cell r="B117">
            <v>25.399474173890113</v>
          </cell>
          <cell r="C117">
            <v>9.4425505166936539</v>
          </cell>
          <cell r="D117">
            <v>2.6898955032314551</v>
          </cell>
          <cell r="E117">
            <v>0</v>
          </cell>
          <cell r="F117">
            <v>0</v>
          </cell>
          <cell r="G117">
            <v>1</v>
          </cell>
          <cell r="H117">
            <v>17.5</v>
          </cell>
          <cell r="I117">
            <v>18.7</v>
          </cell>
          <cell r="J117">
            <v>-1.1999999999999993</v>
          </cell>
          <cell r="K117">
            <v>55.5</v>
          </cell>
          <cell r="L117">
            <v>32.6</v>
          </cell>
          <cell r="M117">
            <v>1.7024539877300613</v>
          </cell>
          <cell r="N117">
            <v>16.7</v>
          </cell>
          <cell r="O117">
            <v>18</v>
          </cell>
          <cell r="P117">
            <v>-1.3000000000000007</v>
          </cell>
        </row>
        <row r="118">
          <cell r="A118" t="str">
            <v>1979:9</v>
          </cell>
          <cell r="B118">
            <v>51.6040283367307</v>
          </cell>
          <cell r="C118">
            <v>43.697695496746512</v>
          </cell>
          <cell r="D118">
            <v>1.180932489690969</v>
          </cell>
          <cell r="E118">
            <v>0</v>
          </cell>
          <cell r="F118">
            <v>0</v>
          </cell>
          <cell r="G118">
            <v>1</v>
          </cell>
          <cell r="H118">
            <v>15.9</v>
          </cell>
          <cell r="I118">
            <v>16.3</v>
          </cell>
          <cell r="J118">
            <v>-0.40000000000000036</v>
          </cell>
          <cell r="K118">
            <v>101.6</v>
          </cell>
          <cell r="L118">
            <v>80</v>
          </cell>
          <cell r="M118">
            <v>1.27</v>
          </cell>
          <cell r="N118">
            <v>14.8</v>
          </cell>
          <cell r="O118">
            <v>15.7</v>
          </cell>
          <cell r="P118">
            <v>-0.89999999999999858</v>
          </cell>
        </row>
        <row r="119">
          <cell r="A119" t="str">
            <v>1979:10</v>
          </cell>
          <cell r="B119">
            <v>122.3602746632063</v>
          </cell>
          <cell r="C119">
            <v>132.10004667845612</v>
          </cell>
          <cell r="D119">
            <v>0.92626973070677754</v>
          </cell>
          <cell r="E119">
            <v>122.3602746632063</v>
          </cell>
          <cell r="F119">
            <v>132.10004667845612</v>
          </cell>
          <cell r="G119">
            <v>0.92626973070677754</v>
          </cell>
          <cell r="H119">
            <v>12.8</v>
          </cell>
          <cell r="I119">
            <v>12.2</v>
          </cell>
          <cell r="J119">
            <v>0.60000000000000142</v>
          </cell>
          <cell r="K119">
            <v>186.6</v>
          </cell>
          <cell r="L119">
            <v>201.4</v>
          </cell>
          <cell r="M119">
            <v>0.926514399205561</v>
          </cell>
          <cell r="N119">
            <v>12</v>
          </cell>
          <cell r="O119">
            <v>11.5</v>
          </cell>
          <cell r="P119">
            <v>0.5</v>
          </cell>
        </row>
        <row r="120">
          <cell r="A120" t="str">
            <v>1979:11</v>
          </cell>
          <cell r="B120">
            <v>297.85575998111369</v>
          </cell>
          <cell r="C120">
            <v>277.9065874341735</v>
          </cell>
          <cell r="D120">
            <v>1.0717837339917877</v>
          </cell>
          <cell r="E120">
            <v>297.85575998111369</v>
          </cell>
          <cell r="F120">
            <v>277.9065874341735</v>
          </cell>
          <cell r="G120">
            <v>1.0717837339917877</v>
          </cell>
          <cell r="H120">
            <v>7</v>
          </cell>
          <cell r="I120">
            <v>7.5</v>
          </cell>
          <cell r="J120">
            <v>-0.5</v>
          </cell>
          <cell r="K120">
            <v>339</v>
          </cell>
          <cell r="L120">
            <v>336.8</v>
          </cell>
          <cell r="M120">
            <v>1.0065320665083135</v>
          </cell>
          <cell r="N120">
            <v>6.7</v>
          </cell>
          <cell r="O120">
            <v>6.8</v>
          </cell>
          <cell r="P120">
            <v>-9.9999999999999645E-2</v>
          </cell>
        </row>
        <row r="121">
          <cell r="A121" t="str">
            <v>1979:12</v>
          </cell>
          <cell r="B121">
            <v>330.36714544546209</v>
          </cell>
          <cell r="C121">
            <v>363.68818352813111</v>
          </cell>
          <cell r="D121">
            <v>0.90838020152477228</v>
          </cell>
          <cell r="E121">
            <v>330.36714544546209</v>
          </cell>
          <cell r="F121">
            <v>363.68818352813111</v>
          </cell>
          <cell r="G121">
            <v>0.90838020152477228</v>
          </cell>
          <cell r="H121">
            <v>6.3</v>
          </cell>
          <cell r="I121">
            <v>4.8</v>
          </cell>
          <cell r="J121">
            <v>1.5</v>
          </cell>
          <cell r="K121">
            <v>366.6</v>
          </cell>
          <cell r="L121">
            <v>424.6</v>
          </cell>
          <cell r="M121">
            <v>0.86340084785680637</v>
          </cell>
          <cell r="N121">
            <v>6.2</v>
          </cell>
          <cell r="O121">
            <v>4.3</v>
          </cell>
          <cell r="P121">
            <v>1.9000000000000004</v>
          </cell>
        </row>
        <row r="122">
          <cell r="A122" t="str">
            <v>1980:1</v>
          </cell>
          <cell r="B122">
            <v>449.26834629435751</v>
          </cell>
          <cell r="C122">
            <v>392.91081774346333</v>
          </cell>
          <cell r="D122">
            <v>1.1434359300020362</v>
          </cell>
          <cell r="E122">
            <v>449.26834629435751</v>
          </cell>
          <cell r="F122">
            <v>392.91081774346333</v>
          </cell>
          <cell r="G122">
            <v>1.1434359300020362</v>
          </cell>
          <cell r="H122">
            <v>2.6</v>
          </cell>
          <cell r="I122">
            <v>3.9</v>
          </cell>
          <cell r="J122">
            <v>-1.2999999999999998</v>
          </cell>
          <cell r="K122">
            <v>522.70000000000005</v>
          </cell>
          <cell r="L122">
            <v>456.3</v>
          </cell>
          <cell r="M122">
            <v>1.1455182993644533</v>
          </cell>
          <cell r="N122">
            <v>1.1000000000000001</v>
          </cell>
          <cell r="O122">
            <v>3.3</v>
          </cell>
          <cell r="P122">
            <v>-2.1999999999999997</v>
          </cell>
        </row>
        <row r="123">
          <cell r="A123" t="str">
            <v>1980:2</v>
          </cell>
          <cell r="B123">
            <v>286.52709609089584</v>
          </cell>
          <cell r="C123">
            <v>331.22294910654443</v>
          </cell>
          <cell r="D123">
            <v>0.86505810320144427</v>
          </cell>
          <cell r="E123">
            <v>286.52709609089584</v>
          </cell>
          <cell r="F123">
            <v>331.22294910654443</v>
          </cell>
          <cell r="G123">
            <v>0.86505810320144427</v>
          </cell>
          <cell r="H123">
            <v>6.8</v>
          </cell>
          <cell r="I123">
            <v>4.9000000000000004</v>
          </cell>
          <cell r="J123">
            <v>1.8999999999999995</v>
          </cell>
          <cell r="K123">
            <v>348.2</v>
          </cell>
          <cell r="L123">
            <v>388.2</v>
          </cell>
          <cell r="M123">
            <v>0.89696032972694484</v>
          </cell>
          <cell r="N123">
            <v>6</v>
          </cell>
          <cell r="O123">
            <v>4.2</v>
          </cell>
          <cell r="P123">
            <v>1.7999999999999998</v>
          </cell>
        </row>
        <row r="124">
          <cell r="A124" t="str">
            <v>1980:3</v>
          </cell>
          <cell r="B124">
            <v>314.74398926440136</v>
          </cell>
          <cell r="C124">
            <v>270.29253185771751</v>
          </cell>
          <cell r="D124">
            <v>1.1644568464439971</v>
          </cell>
          <cell r="E124">
            <v>314.74398926440136</v>
          </cell>
          <cell r="F124">
            <v>270.29253185771751</v>
          </cell>
          <cell r="G124">
            <v>1.1644568464439971</v>
          </cell>
          <cell r="H124">
            <v>6.7</v>
          </cell>
          <cell r="I124">
            <v>7.4</v>
          </cell>
          <cell r="J124">
            <v>-0.70000000000000018</v>
          </cell>
          <cell r="K124">
            <v>370.7</v>
          </cell>
          <cell r="L124">
            <v>344.1</v>
          </cell>
          <cell r="M124">
            <v>1.077303109561174</v>
          </cell>
          <cell r="N124">
            <v>6</v>
          </cell>
          <cell r="O124">
            <v>6.9</v>
          </cell>
          <cell r="P124">
            <v>-0.90000000000000036</v>
          </cell>
        </row>
        <row r="125">
          <cell r="A125" t="str">
            <v>1980:4</v>
          </cell>
          <cell r="B125">
            <v>231.59491090878348</v>
          </cell>
          <cell r="C125">
            <v>198.63939385091356</v>
          </cell>
          <cell r="D125">
            <v>1.1659062506131301</v>
          </cell>
          <cell r="E125">
            <v>231.59491090878348</v>
          </cell>
          <cell r="F125">
            <v>198.63939385091356</v>
          </cell>
          <cell r="G125">
            <v>1.1659062506131301</v>
          </cell>
          <cell r="H125">
            <v>9</v>
          </cell>
          <cell r="I125">
            <v>9.9</v>
          </cell>
          <cell r="J125">
            <v>-0.90000000000000036</v>
          </cell>
          <cell r="K125">
            <v>277.2</v>
          </cell>
          <cell r="L125">
            <v>248.1</v>
          </cell>
          <cell r="M125">
            <v>1.117291414752116</v>
          </cell>
          <cell r="N125">
            <v>8.8000000000000007</v>
          </cell>
          <cell r="O125">
            <v>9.6999999999999993</v>
          </cell>
          <cell r="P125">
            <v>-0.89999999999999858</v>
          </cell>
        </row>
        <row r="126">
          <cell r="A126" t="str">
            <v>1980:5</v>
          </cell>
          <cell r="B126">
            <v>129.03155451631918</v>
          </cell>
          <cell r="C126">
            <v>94.205291641343422</v>
          </cell>
          <cell r="D126">
            <v>1.3696847838183617</v>
          </cell>
          <cell r="E126">
            <v>129.03155451631918</v>
          </cell>
          <cell r="F126">
            <v>94.205291641343422</v>
          </cell>
          <cell r="G126">
            <v>1.3696847838183617</v>
          </cell>
          <cell r="H126">
            <v>12.5</v>
          </cell>
          <cell r="I126">
            <v>13.6</v>
          </cell>
          <cell r="J126">
            <v>-1.0999999999999996</v>
          </cell>
          <cell r="K126">
            <v>172.1</v>
          </cell>
          <cell r="L126">
            <v>147.30000000000001</v>
          </cell>
          <cell r="M126">
            <v>1.1683638832315002</v>
          </cell>
          <cell r="N126">
            <v>12.4</v>
          </cell>
          <cell r="O126">
            <v>13.4</v>
          </cell>
          <cell r="P126">
            <v>-1</v>
          </cell>
        </row>
        <row r="127">
          <cell r="A127" t="str">
            <v>1980:6</v>
          </cell>
          <cell r="B127">
            <v>52.583643913166114</v>
          </cell>
          <cell r="C127">
            <v>33.639009300779129</v>
          </cell>
          <cell r="D127">
            <v>1.5631745704219713</v>
          </cell>
          <cell r="E127">
            <v>0</v>
          </cell>
          <cell r="F127">
            <v>0</v>
          </cell>
          <cell r="G127">
            <v>1</v>
          </cell>
          <cell r="H127">
            <v>15.6</v>
          </cell>
          <cell r="I127">
            <v>16.8</v>
          </cell>
          <cell r="J127">
            <v>-1.2000000000000011</v>
          </cell>
          <cell r="K127">
            <v>84.7</v>
          </cell>
          <cell r="L127">
            <v>65.7</v>
          </cell>
          <cell r="M127">
            <v>1.2891933028919331</v>
          </cell>
          <cell r="N127">
            <v>15.5</v>
          </cell>
          <cell r="O127">
            <v>16.399999999999999</v>
          </cell>
          <cell r="P127">
            <v>-0.89999999999999858</v>
          </cell>
        </row>
        <row r="128">
          <cell r="A128" t="str">
            <v>1980:7</v>
          </cell>
          <cell r="B128">
            <v>33.671760523336289</v>
          </cell>
          <cell r="C128">
            <v>9.8992241828118033</v>
          </cell>
          <cell r="D128">
            <v>3.4014544878982695</v>
          </cell>
          <cell r="E128">
            <v>0</v>
          </cell>
          <cell r="F128">
            <v>0</v>
          </cell>
          <cell r="G128">
            <v>1</v>
          </cell>
          <cell r="H128">
            <v>17</v>
          </cell>
          <cell r="I128">
            <v>18.899999999999999</v>
          </cell>
          <cell r="J128">
            <v>-1.8999999999999986</v>
          </cell>
          <cell r="K128">
            <v>62.2</v>
          </cell>
          <cell r="L128">
            <v>31.2</v>
          </cell>
          <cell r="M128">
            <v>1.9935897435897438</v>
          </cell>
          <cell r="N128">
            <v>16.399999999999999</v>
          </cell>
          <cell r="O128">
            <v>18.3</v>
          </cell>
          <cell r="P128">
            <v>-1.9000000000000021</v>
          </cell>
        </row>
        <row r="129">
          <cell r="A129" t="str">
            <v>1980:8</v>
          </cell>
          <cell r="B129">
            <v>10.451225771827817</v>
          </cell>
          <cell r="C129">
            <v>9.4425505166936539</v>
          </cell>
          <cell r="D129">
            <v>1.106822330825862</v>
          </cell>
          <cell r="E129">
            <v>0</v>
          </cell>
          <cell r="F129">
            <v>0</v>
          </cell>
          <cell r="G129">
            <v>1</v>
          </cell>
          <cell r="H129">
            <v>19.100000000000001</v>
          </cell>
          <cell r="I129">
            <v>18.7</v>
          </cell>
          <cell r="J129">
            <v>0.40000000000000213</v>
          </cell>
          <cell r="K129">
            <v>24.1</v>
          </cell>
          <cell r="L129">
            <v>32.6</v>
          </cell>
          <cell r="M129">
            <v>0.73926380368098166</v>
          </cell>
          <cell r="N129">
            <v>18.399999999999999</v>
          </cell>
          <cell r="O129">
            <v>18</v>
          </cell>
          <cell r="P129">
            <v>0.39999999999999858</v>
          </cell>
        </row>
        <row r="130">
          <cell r="A130" t="str">
            <v>1980:9</v>
          </cell>
          <cell r="B130">
            <v>21.212894730793625</v>
          </cell>
          <cell r="C130">
            <v>43.697695496746512</v>
          </cell>
          <cell r="D130">
            <v>0.48544653189715736</v>
          </cell>
          <cell r="E130">
            <v>0</v>
          </cell>
          <cell r="F130">
            <v>0</v>
          </cell>
          <cell r="G130">
            <v>1</v>
          </cell>
          <cell r="H130">
            <v>16.8</v>
          </cell>
          <cell r="I130">
            <v>16.3</v>
          </cell>
          <cell r="J130">
            <v>0.5</v>
          </cell>
          <cell r="K130">
            <v>62.2</v>
          </cell>
          <cell r="L130">
            <v>80</v>
          </cell>
          <cell r="M130">
            <v>0.77750000000000008</v>
          </cell>
          <cell r="N130">
            <v>16</v>
          </cell>
          <cell r="O130">
            <v>15.7</v>
          </cell>
          <cell r="P130">
            <v>0.30000000000000071</v>
          </cell>
        </row>
        <row r="131">
          <cell r="A131" t="str">
            <v>1980:10</v>
          </cell>
          <cell r="B131">
            <v>179.04603828505552</v>
          </cell>
          <cell r="C131">
            <v>132.10004667845612</v>
          </cell>
          <cell r="D131">
            <v>1.3553820970318833</v>
          </cell>
          <cell r="E131">
            <v>179.04603828505552</v>
          </cell>
          <cell r="F131">
            <v>132.10004667845612</v>
          </cell>
          <cell r="G131">
            <v>1.3553820970318833</v>
          </cell>
          <cell r="H131">
            <v>11</v>
          </cell>
          <cell r="I131">
            <v>12.2</v>
          </cell>
          <cell r="J131">
            <v>-1.1999999999999993</v>
          </cell>
          <cell r="K131">
            <v>241.7</v>
          </cell>
          <cell r="L131">
            <v>201.4</v>
          </cell>
          <cell r="M131">
            <v>1.2000993048659383</v>
          </cell>
          <cell r="N131">
            <v>10.199999999999999</v>
          </cell>
          <cell r="O131">
            <v>11.5</v>
          </cell>
          <cell r="P131">
            <v>-1.3000000000000007</v>
          </cell>
        </row>
        <row r="132">
          <cell r="A132" t="str">
            <v>1980:11</v>
          </cell>
          <cell r="B132">
            <v>328.81171790255013</v>
          </cell>
          <cell r="C132">
            <v>277.9065874341735</v>
          </cell>
          <cell r="D132">
            <v>1.1831735294163701</v>
          </cell>
          <cell r="E132">
            <v>328.81171790255013</v>
          </cell>
          <cell r="F132">
            <v>277.9065874341735</v>
          </cell>
          <cell r="G132">
            <v>1.1831735294163701</v>
          </cell>
          <cell r="H132">
            <v>6</v>
          </cell>
          <cell r="I132">
            <v>7.5</v>
          </cell>
          <cell r="J132">
            <v>-1.5</v>
          </cell>
          <cell r="K132">
            <v>374.1</v>
          </cell>
          <cell r="L132">
            <v>336.8</v>
          </cell>
          <cell r="M132">
            <v>1.1107482185273159</v>
          </cell>
          <cell r="N132">
            <v>5.5</v>
          </cell>
          <cell r="O132">
            <v>6.8</v>
          </cell>
          <cell r="P132">
            <v>-1.2999999999999998</v>
          </cell>
        </row>
        <row r="133">
          <cell r="A133" t="str">
            <v>1980:12</v>
          </cell>
          <cell r="B133">
            <v>423.70640448101835</v>
          </cell>
          <cell r="C133">
            <v>363.68818352813111</v>
          </cell>
          <cell r="D133">
            <v>1.1650265905552712</v>
          </cell>
          <cell r="E133">
            <v>423.70640448101835</v>
          </cell>
          <cell r="F133">
            <v>363.68818352813111</v>
          </cell>
          <cell r="G133">
            <v>1.1650265905552712</v>
          </cell>
          <cell r="H133">
            <v>3.4</v>
          </cell>
          <cell r="I133">
            <v>4.8</v>
          </cell>
          <cell r="J133">
            <v>-1.4</v>
          </cell>
          <cell r="K133">
            <v>442.8</v>
          </cell>
          <cell r="L133">
            <v>424.6</v>
          </cell>
          <cell r="M133">
            <v>1.0428638718794159</v>
          </cell>
          <cell r="N133">
            <v>3.7</v>
          </cell>
          <cell r="O133">
            <v>4.3</v>
          </cell>
          <cell r="P133">
            <v>-0.59999999999999964</v>
          </cell>
        </row>
        <row r="134">
          <cell r="A134" t="str">
            <v>1981:1</v>
          </cell>
          <cell r="B134">
            <v>407.49406003787357</v>
          </cell>
          <cell r="C134">
            <v>392.91081774346333</v>
          </cell>
          <cell r="D134">
            <v>1.0371159093510423</v>
          </cell>
          <cell r="E134">
            <v>407.49406003787357</v>
          </cell>
          <cell r="F134">
            <v>392.91081774346333</v>
          </cell>
          <cell r="G134">
            <v>1.0371159093510423</v>
          </cell>
          <cell r="H134">
            <v>3.8</v>
          </cell>
          <cell r="I134">
            <v>3.9</v>
          </cell>
          <cell r="J134">
            <v>-0.10000000000000009</v>
          </cell>
          <cell r="K134">
            <v>437.1</v>
          </cell>
          <cell r="L134">
            <v>456.3</v>
          </cell>
          <cell r="M134">
            <v>0.95792241946088108</v>
          </cell>
          <cell r="N134">
            <v>3.9</v>
          </cell>
          <cell r="O134">
            <v>3.3</v>
          </cell>
          <cell r="P134">
            <v>0.60000000000000009</v>
          </cell>
        </row>
        <row r="135">
          <cell r="A135" t="str">
            <v>1981:2</v>
          </cell>
          <cell r="B135">
            <v>386.51964436994564</v>
          </cell>
          <cell r="C135">
            <v>331.22294910654443</v>
          </cell>
          <cell r="D135">
            <v>1.1669470530727444</v>
          </cell>
          <cell r="E135">
            <v>386.51964436994564</v>
          </cell>
          <cell r="F135">
            <v>331.22294910654443</v>
          </cell>
          <cell r="G135">
            <v>1.1669470530727444</v>
          </cell>
          <cell r="H135">
            <v>3</v>
          </cell>
          <cell r="I135">
            <v>4.9000000000000004</v>
          </cell>
          <cell r="J135">
            <v>-1.9000000000000004</v>
          </cell>
          <cell r="K135">
            <v>432</v>
          </cell>
          <cell r="L135">
            <v>388.2</v>
          </cell>
          <cell r="M135">
            <v>1.1128284389489953</v>
          </cell>
          <cell r="N135">
            <v>2.6</v>
          </cell>
          <cell r="O135">
            <v>4.2</v>
          </cell>
          <cell r="P135">
            <v>-1.6</v>
          </cell>
        </row>
        <row r="136">
          <cell r="A136" t="str">
            <v>1981:3</v>
          </cell>
          <cell r="B136">
            <v>205.78866117141453</v>
          </cell>
          <cell r="C136">
            <v>270.29253185771751</v>
          </cell>
          <cell r="D136">
            <v>0.76135533511426079</v>
          </cell>
          <cell r="E136">
            <v>205.78866117141453</v>
          </cell>
          <cell r="F136">
            <v>270.29253185771751</v>
          </cell>
          <cell r="G136">
            <v>0.76135533511426079</v>
          </cell>
          <cell r="H136">
            <v>9.9</v>
          </cell>
          <cell r="I136">
            <v>7.4</v>
          </cell>
          <cell r="J136">
            <v>2.5</v>
          </cell>
          <cell r="K136">
            <v>247.8</v>
          </cell>
          <cell r="L136">
            <v>344.1</v>
          </cell>
          <cell r="M136">
            <v>0.7201394943330427</v>
          </cell>
          <cell r="N136">
            <v>10</v>
          </cell>
          <cell r="O136">
            <v>6.9</v>
          </cell>
          <cell r="P136">
            <v>3.0999999999999996</v>
          </cell>
        </row>
        <row r="137">
          <cell r="A137" t="str">
            <v>1981:4</v>
          </cell>
          <cell r="B137">
            <v>183.51762364552206</v>
          </cell>
          <cell r="C137">
            <v>198.63939385091356</v>
          </cell>
          <cell r="D137">
            <v>0.92387325639575313</v>
          </cell>
          <cell r="E137">
            <v>183.51762364552206</v>
          </cell>
          <cell r="F137">
            <v>198.63939385091356</v>
          </cell>
          <cell r="G137">
            <v>0.92387325639575313</v>
          </cell>
          <cell r="H137">
            <v>10.6</v>
          </cell>
          <cell r="I137">
            <v>9.9</v>
          </cell>
          <cell r="J137">
            <v>0.69999999999999929</v>
          </cell>
          <cell r="K137">
            <v>235.7</v>
          </cell>
          <cell r="L137">
            <v>248.1</v>
          </cell>
          <cell r="M137">
            <v>0.95002015316404675</v>
          </cell>
          <cell r="N137">
            <v>10.1</v>
          </cell>
          <cell r="O137">
            <v>9.6999999999999993</v>
          </cell>
          <cell r="P137">
            <v>0.40000000000000036</v>
          </cell>
        </row>
        <row r="138">
          <cell r="A138" t="str">
            <v>1981:5</v>
          </cell>
          <cell r="B138">
            <v>113.13425458780952</v>
          </cell>
          <cell r="C138">
            <v>94.205291641343422</v>
          </cell>
          <cell r="D138">
            <v>1.2009331176271083</v>
          </cell>
          <cell r="E138">
            <v>113.13425458780952</v>
          </cell>
          <cell r="F138">
            <v>94.205291641343422</v>
          </cell>
          <cell r="G138">
            <v>1.2009331176271083</v>
          </cell>
          <cell r="H138">
            <v>13.2</v>
          </cell>
          <cell r="I138">
            <v>13.6</v>
          </cell>
          <cell r="J138">
            <v>-0.40000000000000036</v>
          </cell>
          <cell r="K138">
            <v>149</v>
          </cell>
          <cell r="L138">
            <v>147.30000000000001</v>
          </cell>
          <cell r="M138">
            <v>1.0115410726408689</v>
          </cell>
          <cell r="N138">
            <v>13.4</v>
          </cell>
          <cell r="O138">
            <v>13.4</v>
          </cell>
          <cell r="P138">
            <v>0</v>
          </cell>
        </row>
        <row r="139">
          <cell r="A139" t="str">
            <v>1981:6</v>
          </cell>
          <cell r="B139">
            <v>49.631778603975711</v>
          </cell>
          <cell r="C139">
            <v>33.639009300779129</v>
          </cell>
          <cell r="D139">
            <v>1.4754233146463729</v>
          </cell>
          <cell r="E139">
            <v>0</v>
          </cell>
          <cell r="F139">
            <v>0</v>
          </cell>
          <cell r="G139">
            <v>1</v>
          </cell>
          <cell r="H139">
            <v>16.399999999999999</v>
          </cell>
          <cell r="I139">
            <v>16.8</v>
          </cell>
          <cell r="J139">
            <v>-0.40000000000000213</v>
          </cell>
          <cell r="K139">
            <v>79.7</v>
          </cell>
          <cell r="L139">
            <v>65.7</v>
          </cell>
          <cell r="M139">
            <v>1.213089802130898</v>
          </cell>
          <cell r="N139">
            <v>15.7</v>
          </cell>
          <cell r="O139">
            <v>16.399999999999999</v>
          </cell>
          <cell r="P139">
            <v>-0.69999999999999929</v>
          </cell>
        </row>
        <row r="140">
          <cell r="A140" t="str">
            <v>1981:7</v>
          </cell>
          <cell r="B140">
            <v>18.348011938810014</v>
          </cell>
          <cell r="C140">
            <v>9.8992241828118033</v>
          </cell>
          <cell r="D140">
            <v>1.8534797879078231</v>
          </cell>
          <cell r="E140">
            <v>0</v>
          </cell>
          <cell r="F140">
            <v>0</v>
          </cell>
          <cell r="G140">
            <v>1</v>
          </cell>
          <cell r="H140">
            <v>18</v>
          </cell>
          <cell r="I140">
            <v>18.899999999999999</v>
          </cell>
          <cell r="J140">
            <v>-0.89999999999999858</v>
          </cell>
          <cell r="K140">
            <v>31.8</v>
          </cell>
          <cell r="L140">
            <v>31.2</v>
          </cell>
          <cell r="M140">
            <v>1.0192307692307694</v>
          </cell>
          <cell r="N140">
            <v>17.899999999999999</v>
          </cell>
          <cell r="O140">
            <v>18.3</v>
          </cell>
          <cell r="P140">
            <v>-0.40000000000000213</v>
          </cell>
        </row>
        <row r="141">
          <cell r="A141" t="str">
            <v>1981:8</v>
          </cell>
          <cell r="B141">
            <v>10.62421292569627</v>
          </cell>
          <cell r="C141">
            <v>9.4425505166936539</v>
          </cell>
          <cell r="D141">
            <v>1.1251422914723659</v>
          </cell>
          <cell r="E141">
            <v>0</v>
          </cell>
          <cell r="F141">
            <v>0</v>
          </cell>
          <cell r="G141">
            <v>1</v>
          </cell>
          <cell r="H141">
            <v>19.100000000000001</v>
          </cell>
          <cell r="I141">
            <v>18.7</v>
          </cell>
          <cell r="J141">
            <v>0.40000000000000213</v>
          </cell>
          <cell r="K141">
            <v>25.6</v>
          </cell>
          <cell r="L141">
            <v>32.6</v>
          </cell>
          <cell r="M141">
            <v>0.78527607361963192</v>
          </cell>
          <cell r="N141">
            <v>18.399999999999999</v>
          </cell>
          <cell r="O141">
            <v>18</v>
          </cell>
          <cell r="P141">
            <v>0.39999999999999858</v>
          </cell>
        </row>
        <row r="142">
          <cell r="A142" t="str">
            <v>1981:9</v>
          </cell>
          <cell r="B142">
            <v>33.743958262184059</v>
          </cell>
          <cell r="C142">
            <v>43.697695496746512</v>
          </cell>
          <cell r="D142">
            <v>0.77221368034605964</v>
          </cell>
          <cell r="E142">
            <v>0</v>
          </cell>
          <cell r="F142">
            <v>0</v>
          </cell>
          <cell r="G142">
            <v>1</v>
          </cell>
          <cell r="H142">
            <v>16.5</v>
          </cell>
          <cell r="I142">
            <v>16.3</v>
          </cell>
          <cell r="J142">
            <v>0.19999999999999929</v>
          </cell>
          <cell r="K142">
            <v>65.400000000000006</v>
          </cell>
          <cell r="L142">
            <v>80</v>
          </cell>
          <cell r="M142">
            <v>0.81750000000000012</v>
          </cell>
          <cell r="N142">
            <v>16.100000000000001</v>
          </cell>
          <cell r="O142">
            <v>15.7</v>
          </cell>
          <cell r="P142">
            <v>0.40000000000000213</v>
          </cell>
        </row>
        <row r="143">
          <cell r="A143" t="str">
            <v>1981:10</v>
          </cell>
          <cell r="B143">
            <v>161.73896581237403</v>
          </cell>
          <cell r="C143">
            <v>132.10004667845612</v>
          </cell>
          <cell r="D143">
            <v>1.2243672116639126</v>
          </cell>
          <cell r="E143">
            <v>161.73896581237403</v>
          </cell>
          <cell r="F143">
            <v>132.10004667845612</v>
          </cell>
          <cell r="G143">
            <v>1.2243672116639126</v>
          </cell>
          <cell r="H143">
            <v>11.7</v>
          </cell>
          <cell r="I143">
            <v>12.2</v>
          </cell>
          <cell r="J143">
            <v>-0.5</v>
          </cell>
          <cell r="K143">
            <v>225.3</v>
          </cell>
          <cell r="L143">
            <v>201.4</v>
          </cell>
          <cell r="M143">
            <v>1.1186693147964251</v>
          </cell>
          <cell r="N143">
            <v>10.7</v>
          </cell>
          <cell r="O143">
            <v>11.5</v>
          </cell>
          <cell r="P143">
            <v>-0.80000000000000071</v>
          </cell>
        </row>
        <row r="144">
          <cell r="A144" t="str">
            <v>1981:11</v>
          </cell>
          <cell r="B144">
            <v>280.0733273229726</v>
          </cell>
          <cell r="C144">
            <v>277.9065874341735</v>
          </cell>
          <cell r="D144">
            <v>1.0077966481788141</v>
          </cell>
          <cell r="E144">
            <v>280.0733273229726</v>
          </cell>
          <cell r="F144">
            <v>277.9065874341735</v>
          </cell>
          <cell r="G144">
            <v>1.0077966481788141</v>
          </cell>
          <cell r="H144">
            <v>7.5</v>
          </cell>
          <cell r="I144">
            <v>7.5</v>
          </cell>
          <cell r="J144">
            <v>0</v>
          </cell>
          <cell r="K144">
            <v>316.7</v>
          </cell>
          <cell r="L144">
            <v>336.8</v>
          </cell>
          <cell r="M144">
            <v>0.94032066508313528</v>
          </cell>
          <cell r="N144">
            <v>7.4</v>
          </cell>
          <cell r="O144">
            <v>6.8</v>
          </cell>
          <cell r="P144">
            <v>0.60000000000000053</v>
          </cell>
        </row>
        <row r="145">
          <cell r="A145" t="str">
            <v>1981:12</v>
          </cell>
          <cell r="B145">
            <v>379.85531886084709</v>
          </cell>
          <cell r="C145">
            <v>363.68818352813111</v>
          </cell>
          <cell r="D145">
            <v>1.0444532873624843</v>
          </cell>
          <cell r="E145">
            <v>379.85531886084709</v>
          </cell>
          <cell r="F145">
            <v>363.68818352813111</v>
          </cell>
          <cell r="G145">
            <v>1.0444532873624843</v>
          </cell>
          <cell r="H145">
            <v>4.8</v>
          </cell>
          <cell r="I145">
            <v>4.8</v>
          </cell>
          <cell r="J145">
            <v>0</v>
          </cell>
          <cell r="K145">
            <v>436.7</v>
          </cell>
          <cell r="L145">
            <v>424.6</v>
          </cell>
          <cell r="M145">
            <v>1.0284974093264247</v>
          </cell>
          <cell r="N145">
            <v>3.9</v>
          </cell>
          <cell r="O145">
            <v>4.3</v>
          </cell>
          <cell r="P145">
            <v>-0.39999999999999991</v>
          </cell>
        </row>
        <row r="146">
          <cell r="A146" t="str">
            <v>1982:1</v>
          </cell>
          <cell r="B146">
            <v>367.23886648719599</v>
          </cell>
          <cell r="C146">
            <v>392.91081774346333</v>
          </cell>
          <cell r="D146">
            <v>0.9346621418984985</v>
          </cell>
          <cell r="E146">
            <v>367.23886648719599</v>
          </cell>
          <cell r="F146">
            <v>392.91081774346333</v>
          </cell>
          <cell r="G146">
            <v>0.9346621418984985</v>
          </cell>
          <cell r="H146">
            <v>5.0999999999999996</v>
          </cell>
          <cell r="I146">
            <v>3.9</v>
          </cell>
          <cell r="J146">
            <v>1.1999999999999997</v>
          </cell>
          <cell r="K146">
            <v>455.1</v>
          </cell>
          <cell r="L146">
            <v>456.3</v>
          </cell>
          <cell r="M146">
            <v>0.99737015121630512</v>
          </cell>
          <cell r="N146">
            <v>3.3</v>
          </cell>
          <cell r="O146">
            <v>3.3</v>
          </cell>
          <cell r="P146">
            <v>0</v>
          </cell>
        </row>
        <row r="147">
          <cell r="A147" t="str">
            <v>1982:2</v>
          </cell>
          <cell r="B147">
            <v>312.65495884328328</v>
          </cell>
          <cell r="C147">
            <v>331.22294910654443</v>
          </cell>
          <cell r="D147">
            <v>0.94394111183012142</v>
          </cell>
          <cell r="E147">
            <v>312.65495884328328</v>
          </cell>
          <cell r="F147">
            <v>331.22294910654443</v>
          </cell>
          <cell r="G147">
            <v>0.94394111183012142</v>
          </cell>
          <cell r="H147">
            <v>5.5</v>
          </cell>
          <cell r="I147">
            <v>4.9000000000000004</v>
          </cell>
          <cell r="J147">
            <v>0.59999999999999964</v>
          </cell>
          <cell r="K147">
            <v>366.8</v>
          </cell>
          <cell r="L147">
            <v>388.2</v>
          </cell>
          <cell r="M147">
            <v>0.94487377640391557</v>
          </cell>
          <cell r="N147">
            <v>4.9000000000000004</v>
          </cell>
          <cell r="O147">
            <v>4.2</v>
          </cell>
          <cell r="P147">
            <v>0.70000000000000018</v>
          </cell>
        </row>
        <row r="148">
          <cell r="A148" t="str">
            <v>1982:3</v>
          </cell>
          <cell r="B148">
            <v>304.08861998863779</v>
          </cell>
          <cell r="C148">
            <v>270.29253185771751</v>
          </cell>
          <cell r="D148">
            <v>1.1250352271986213</v>
          </cell>
          <cell r="E148">
            <v>304.08861998863779</v>
          </cell>
          <cell r="F148">
            <v>270.29253185771751</v>
          </cell>
          <cell r="G148">
            <v>1.1250352271986213</v>
          </cell>
          <cell r="H148">
            <v>6.9</v>
          </cell>
          <cell r="I148">
            <v>7.4</v>
          </cell>
          <cell r="J148">
            <v>-0.5</v>
          </cell>
          <cell r="K148">
            <v>354.7</v>
          </cell>
          <cell r="L148">
            <v>344.1</v>
          </cell>
          <cell r="M148">
            <v>1.0308049985469339</v>
          </cell>
          <cell r="N148">
            <v>6.6</v>
          </cell>
          <cell r="O148">
            <v>6.9</v>
          </cell>
          <cell r="P148">
            <v>-0.30000000000000071</v>
          </cell>
        </row>
        <row r="149">
          <cell r="A149" t="str">
            <v>1982:4</v>
          </cell>
          <cell r="B149">
            <v>211.88223870630762</v>
          </cell>
          <cell r="C149">
            <v>198.63939385091356</v>
          </cell>
          <cell r="D149">
            <v>1.0666677671465978</v>
          </cell>
          <cell r="E149">
            <v>211.88223870630762</v>
          </cell>
          <cell r="F149">
            <v>198.63939385091356</v>
          </cell>
          <cell r="G149">
            <v>1.0666677671465978</v>
          </cell>
          <cell r="H149">
            <v>9.6999999999999993</v>
          </cell>
          <cell r="I149">
            <v>9.9</v>
          </cell>
          <cell r="J149">
            <v>-0.20000000000000107</v>
          </cell>
          <cell r="K149">
            <v>261.10000000000002</v>
          </cell>
          <cell r="L149">
            <v>248.1</v>
          </cell>
          <cell r="M149">
            <v>1.0523982265215639</v>
          </cell>
          <cell r="N149">
            <v>9.3000000000000007</v>
          </cell>
          <cell r="O149">
            <v>9.6999999999999993</v>
          </cell>
          <cell r="P149">
            <v>-0.39999999999999858</v>
          </cell>
        </row>
        <row r="150">
          <cell r="A150" t="str">
            <v>1982:5</v>
          </cell>
          <cell r="B150">
            <v>98.19078621260887</v>
          </cell>
          <cell r="C150">
            <v>94.205291641343422</v>
          </cell>
          <cell r="D150">
            <v>1.0423064830204969</v>
          </cell>
          <cell r="E150">
            <v>98.19078621260887</v>
          </cell>
          <cell r="F150">
            <v>94.205291641343422</v>
          </cell>
          <cell r="G150">
            <v>1.0423064830204969</v>
          </cell>
          <cell r="H150">
            <v>14.1</v>
          </cell>
          <cell r="I150">
            <v>13.6</v>
          </cell>
          <cell r="J150">
            <v>0.5</v>
          </cell>
          <cell r="K150">
            <v>136.19999999999999</v>
          </cell>
          <cell r="L150">
            <v>147.30000000000001</v>
          </cell>
          <cell r="M150">
            <v>0.92464358452138473</v>
          </cell>
          <cell r="N150">
            <v>13.7</v>
          </cell>
          <cell r="O150">
            <v>13.4</v>
          </cell>
          <cell r="P150">
            <v>0.29999999999999893</v>
          </cell>
        </row>
        <row r="151">
          <cell r="A151" t="str">
            <v>1982:6</v>
          </cell>
          <cell r="B151">
            <v>14.756128124327402</v>
          </cell>
          <cell r="C151">
            <v>33.639009300779129</v>
          </cell>
          <cell r="D151">
            <v>0.43866119814609489</v>
          </cell>
          <cell r="E151">
            <v>0</v>
          </cell>
          <cell r="F151">
            <v>0</v>
          </cell>
          <cell r="G151">
            <v>1</v>
          </cell>
          <cell r="H151">
            <v>18.3</v>
          </cell>
          <cell r="I151">
            <v>16.8</v>
          </cell>
          <cell r="J151">
            <v>1.5</v>
          </cell>
          <cell r="K151">
            <v>29.9</v>
          </cell>
          <cell r="L151">
            <v>65.7</v>
          </cell>
          <cell r="M151">
            <v>0.45509893455098932</v>
          </cell>
          <cell r="N151">
            <v>18</v>
          </cell>
          <cell r="O151">
            <v>16.399999999999999</v>
          </cell>
          <cell r="P151">
            <v>1.6000000000000014</v>
          </cell>
        </row>
        <row r="152">
          <cell r="A152" t="str">
            <v>1982:7</v>
          </cell>
          <cell r="B152">
            <v>3.779665305242907</v>
          </cell>
          <cell r="C152">
            <v>9.8992241828118033</v>
          </cell>
          <cell r="D152">
            <v>0.3818142952864535</v>
          </cell>
          <cell r="E152">
            <v>0</v>
          </cell>
          <cell r="F152">
            <v>0</v>
          </cell>
          <cell r="G152">
            <v>1</v>
          </cell>
          <cell r="H152">
            <v>20.7</v>
          </cell>
          <cell r="I152">
            <v>18.899999999999999</v>
          </cell>
          <cell r="J152">
            <v>1.8000000000000007</v>
          </cell>
          <cell r="K152">
            <v>6</v>
          </cell>
          <cell r="L152">
            <v>31.2</v>
          </cell>
          <cell r="M152">
            <v>0.19230769230769232</v>
          </cell>
          <cell r="N152">
            <v>20.100000000000001</v>
          </cell>
          <cell r="O152">
            <v>18.3</v>
          </cell>
          <cell r="P152">
            <v>1.8000000000000007</v>
          </cell>
        </row>
        <row r="153">
          <cell r="A153" t="str">
            <v>1982:8</v>
          </cell>
          <cell r="B153">
            <v>13.919542359287195</v>
          </cell>
          <cell r="C153">
            <v>9.4425505166936539</v>
          </cell>
          <cell r="D153">
            <v>1.4741295092547917</v>
          </cell>
          <cell r="E153">
            <v>0</v>
          </cell>
          <cell r="F153">
            <v>0</v>
          </cell>
          <cell r="G153">
            <v>1</v>
          </cell>
          <cell r="H153">
            <v>18.399999999999999</v>
          </cell>
          <cell r="I153">
            <v>18.7</v>
          </cell>
          <cell r="J153">
            <v>-0.30000000000000071</v>
          </cell>
          <cell r="K153">
            <v>32.200000000000003</v>
          </cell>
          <cell r="L153">
            <v>32.6</v>
          </cell>
          <cell r="M153">
            <v>0.98773006134969332</v>
          </cell>
          <cell r="N153">
            <v>17.600000000000001</v>
          </cell>
          <cell r="O153">
            <v>18</v>
          </cell>
          <cell r="P153">
            <v>-0.39999999999999858</v>
          </cell>
        </row>
        <row r="154">
          <cell r="A154" t="str">
            <v>1982:9</v>
          </cell>
          <cell r="B154">
            <v>20.930376817409297</v>
          </cell>
          <cell r="C154">
            <v>43.697695496746512</v>
          </cell>
          <cell r="D154">
            <v>0.47898125014321763</v>
          </cell>
          <cell r="E154">
            <v>0</v>
          </cell>
          <cell r="F154">
            <v>0</v>
          </cell>
          <cell r="G154">
            <v>1</v>
          </cell>
          <cell r="H154">
            <v>17.8</v>
          </cell>
          <cell r="I154">
            <v>16.3</v>
          </cell>
          <cell r="J154">
            <v>1.5</v>
          </cell>
          <cell r="K154">
            <v>42.7</v>
          </cell>
          <cell r="L154">
            <v>80</v>
          </cell>
          <cell r="M154">
            <v>0.53375000000000006</v>
          </cell>
          <cell r="N154">
            <v>17.3</v>
          </cell>
          <cell r="O154">
            <v>15.7</v>
          </cell>
          <cell r="P154">
            <v>1.6000000000000014</v>
          </cell>
        </row>
        <row r="155">
          <cell r="A155" t="str">
            <v>1982:10</v>
          </cell>
          <cell r="B155">
            <v>154.8809771406068</v>
          </cell>
          <cell r="C155">
            <v>132.10004667845612</v>
          </cell>
          <cell r="D155">
            <v>1.1724521000178114</v>
          </cell>
          <cell r="E155">
            <v>154.8809771406068</v>
          </cell>
          <cell r="F155">
            <v>132.10004667845612</v>
          </cell>
          <cell r="G155">
            <v>1.1724521000178114</v>
          </cell>
          <cell r="H155">
            <v>11.8</v>
          </cell>
          <cell r="I155">
            <v>12.2</v>
          </cell>
          <cell r="J155">
            <v>-0.39999999999999858</v>
          </cell>
          <cell r="K155">
            <v>217.9</v>
          </cell>
          <cell r="L155">
            <v>201.4</v>
          </cell>
          <cell r="M155">
            <v>1.0819265143992056</v>
          </cell>
          <cell r="N155">
            <v>11</v>
          </cell>
          <cell r="O155">
            <v>11.5</v>
          </cell>
          <cell r="P155">
            <v>-0.5</v>
          </cell>
        </row>
        <row r="156">
          <cell r="A156" t="str">
            <v>1982:11</v>
          </cell>
          <cell r="B156">
            <v>237.70925281528994</v>
          </cell>
          <cell r="C156">
            <v>277.9065874341735</v>
          </cell>
          <cell r="D156">
            <v>0.85535666862015314</v>
          </cell>
          <cell r="E156">
            <v>237.70925281528994</v>
          </cell>
          <cell r="F156">
            <v>277.9065874341735</v>
          </cell>
          <cell r="G156">
            <v>0.85535666862015314</v>
          </cell>
          <cell r="H156">
            <v>8.9</v>
          </cell>
          <cell r="I156">
            <v>7.5</v>
          </cell>
          <cell r="J156">
            <v>1.4000000000000004</v>
          </cell>
          <cell r="K156">
            <v>286.5</v>
          </cell>
          <cell r="L156">
            <v>336.8</v>
          </cell>
          <cell r="M156">
            <v>0.85065320665083133</v>
          </cell>
          <cell r="N156">
            <v>8.4</v>
          </cell>
          <cell r="O156">
            <v>6.8</v>
          </cell>
          <cell r="P156">
            <v>1.6000000000000005</v>
          </cell>
        </row>
        <row r="157">
          <cell r="A157" t="str">
            <v>1982:12</v>
          </cell>
          <cell r="B157">
            <v>358.79206170555432</v>
          </cell>
          <cell r="C157">
            <v>363.68818352813111</v>
          </cell>
          <cell r="D157">
            <v>0.98653758344557796</v>
          </cell>
          <cell r="E157">
            <v>358.79206170555432</v>
          </cell>
          <cell r="F157">
            <v>363.68818352813111</v>
          </cell>
          <cell r="G157">
            <v>0.98653758344557796</v>
          </cell>
          <cell r="H157">
            <v>5.4</v>
          </cell>
          <cell r="I157">
            <v>4.8</v>
          </cell>
          <cell r="J157">
            <v>0.60000000000000053</v>
          </cell>
          <cell r="K157">
            <v>402.6</v>
          </cell>
          <cell r="L157">
            <v>424.6</v>
          </cell>
          <cell r="M157">
            <v>0.94818652849740936</v>
          </cell>
          <cell r="N157">
            <v>5</v>
          </cell>
          <cell r="O157">
            <v>4.3</v>
          </cell>
          <cell r="P157">
            <v>0.70000000000000018</v>
          </cell>
        </row>
        <row r="158">
          <cell r="A158" t="str">
            <v>1983:1</v>
          </cell>
          <cell r="B158">
            <v>340.66454585519642</v>
          </cell>
          <cell r="C158">
            <v>392.91081774346333</v>
          </cell>
          <cell r="D158">
            <v>0.86702765734900389</v>
          </cell>
          <cell r="E158">
            <v>340.66454585519642</v>
          </cell>
          <cell r="F158">
            <v>392.91081774346333</v>
          </cell>
          <cell r="G158">
            <v>0.86702765734900389</v>
          </cell>
          <cell r="H158">
            <v>6.2</v>
          </cell>
          <cell r="I158">
            <v>3.9</v>
          </cell>
          <cell r="J158">
            <v>2.3000000000000003</v>
          </cell>
          <cell r="K158">
            <v>292.5</v>
          </cell>
          <cell r="L158">
            <v>394</v>
          </cell>
          <cell r="M158">
            <v>0.74238578680203049</v>
          </cell>
          <cell r="N158">
            <v>6.6</v>
          </cell>
          <cell r="O158">
            <v>3.3</v>
          </cell>
          <cell r="P158">
            <v>3.3</v>
          </cell>
        </row>
        <row r="159">
          <cell r="A159" t="str">
            <v>1983:2</v>
          </cell>
          <cell r="B159">
            <v>394.07916601437887</v>
          </cell>
          <cell r="C159">
            <v>331.22294910654443</v>
          </cell>
          <cell r="D159">
            <v>1.1897701142912518</v>
          </cell>
          <cell r="E159">
            <v>394.07916601437887</v>
          </cell>
          <cell r="F159">
            <v>331.22294910654443</v>
          </cell>
          <cell r="G159">
            <v>1.1897701142912518</v>
          </cell>
          <cell r="H159">
            <v>3.1</v>
          </cell>
          <cell r="I159">
            <v>4.9000000000000004</v>
          </cell>
          <cell r="J159">
            <v>-1.8000000000000003</v>
          </cell>
          <cell r="K159">
            <v>379.6</v>
          </cell>
          <cell r="L159">
            <v>332.4</v>
          </cell>
          <cell r="M159">
            <v>1.1419975932611313</v>
          </cell>
          <cell r="N159">
            <v>2.4</v>
          </cell>
          <cell r="O159">
            <v>4.2</v>
          </cell>
          <cell r="P159">
            <v>-1.8000000000000003</v>
          </cell>
        </row>
        <row r="160">
          <cell r="A160" t="str">
            <v>1983:3</v>
          </cell>
          <cell r="B160">
            <v>289.94011611562485</v>
          </cell>
          <cell r="C160">
            <v>270.29253185771751</v>
          </cell>
          <cell r="D160">
            <v>1.0726900744273979</v>
          </cell>
          <cell r="E160">
            <v>289.94011611562485</v>
          </cell>
          <cell r="F160">
            <v>270.29253185771751</v>
          </cell>
          <cell r="G160">
            <v>1.0726900744273979</v>
          </cell>
          <cell r="H160">
            <v>7.7</v>
          </cell>
          <cell r="I160">
            <v>7.4</v>
          </cell>
          <cell r="J160">
            <v>0.29999999999999982</v>
          </cell>
          <cell r="K160">
            <v>268.39999999999998</v>
          </cell>
          <cell r="L160">
            <v>281.39999999999998</v>
          </cell>
          <cell r="M160">
            <v>0.95380241648898367</v>
          </cell>
          <cell r="N160">
            <v>7.3</v>
          </cell>
          <cell r="O160">
            <v>6.9</v>
          </cell>
          <cell r="P160">
            <v>0.39999999999999947</v>
          </cell>
        </row>
        <row r="161">
          <cell r="A161" t="str">
            <v>1983:4</v>
          </cell>
          <cell r="B161">
            <v>211.72991797109268</v>
          </cell>
          <cell r="C161">
            <v>198.63939385091356</v>
          </cell>
          <cell r="D161">
            <v>1.0659009467679108</v>
          </cell>
          <cell r="E161">
            <v>211.72991797109268</v>
          </cell>
          <cell r="F161">
            <v>198.63939385091356</v>
          </cell>
          <cell r="G161">
            <v>1.0659009467679108</v>
          </cell>
          <cell r="H161">
            <v>10</v>
          </cell>
          <cell r="I161">
            <v>9.9</v>
          </cell>
          <cell r="J161">
            <v>9.9999999999999645E-2</v>
          </cell>
          <cell r="K161">
            <v>196.6</v>
          </cell>
          <cell r="L161">
            <v>188</v>
          </cell>
          <cell r="M161">
            <v>1.0457446808510638</v>
          </cell>
          <cell r="N161">
            <v>9.4</v>
          </cell>
          <cell r="O161">
            <v>9.6999999999999993</v>
          </cell>
          <cell r="P161">
            <v>-0.29999999999999893</v>
          </cell>
        </row>
        <row r="162">
          <cell r="A162" t="str">
            <v>1983:5</v>
          </cell>
          <cell r="B162">
            <v>141.42223438715297</v>
          </cell>
          <cell r="C162">
            <v>94.205291641343422</v>
          </cell>
          <cell r="D162">
            <v>1.5012132749991687</v>
          </cell>
          <cell r="E162">
            <v>141.42223438715297</v>
          </cell>
          <cell r="F162">
            <v>94.205291641343422</v>
          </cell>
          <cell r="G162">
            <v>1.5012132749991687</v>
          </cell>
          <cell r="H162">
            <v>12.5</v>
          </cell>
          <cell r="I162">
            <v>13.6</v>
          </cell>
          <cell r="J162">
            <v>-1.0999999999999996</v>
          </cell>
          <cell r="K162">
            <v>123.4</v>
          </cell>
          <cell r="L162">
            <v>92.4</v>
          </cell>
          <cell r="M162">
            <v>1.3354978354978355</v>
          </cell>
          <cell r="N162">
            <v>12.1</v>
          </cell>
          <cell r="O162">
            <v>13.4</v>
          </cell>
          <cell r="P162">
            <v>-1.3000000000000007</v>
          </cell>
        </row>
        <row r="163">
          <cell r="A163" t="str">
            <v>1983:6</v>
          </cell>
          <cell r="B163">
            <v>22.584970007294284</v>
          </cell>
          <cell r="C163">
            <v>33.639009300779129</v>
          </cell>
          <cell r="D163">
            <v>0.67139224598897995</v>
          </cell>
          <cell r="E163">
            <v>0</v>
          </cell>
          <cell r="F163">
            <v>0</v>
          </cell>
          <cell r="G163">
            <v>1</v>
          </cell>
          <cell r="H163">
            <v>18</v>
          </cell>
          <cell r="I163">
            <v>16.8</v>
          </cell>
          <cell r="J163">
            <v>1.1999999999999993</v>
          </cell>
          <cell r="K163">
            <v>15.4</v>
          </cell>
          <cell r="L163">
            <v>29.5</v>
          </cell>
          <cell r="M163">
            <v>0.52203389830508473</v>
          </cell>
          <cell r="N163">
            <v>17.8</v>
          </cell>
          <cell r="O163">
            <v>16.399999999999999</v>
          </cell>
          <cell r="P163">
            <v>1.4000000000000021</v>
          </cell>
        </row>
        <row r="164">
          <cell r="A164" t="str">
            <v>1983:7</v>
          </cell>
          <cell r="B164">
            <v>1.4767722209400991</v>
          </cell>
          <cell r="C164">
            <v>9.8992241828118033</v>
          </cell>
          <cell r="D164">
            <v>0.14918060179950715</v>
          </cell>
          <cell r="E164">
            <v>0</v>
          </cell>
          <cell r="F164">
            <v>0</v>
          </cell>
          <cell r="G164">
            <v>1</v>
          </cell>
          <cell r="H164">
            <v>22.8</v>
          </cell>
          <cell r="I164">
            <v>18.899999999999999</v>
          </cell>
          <cell r="J164">
            <v>3.9000000000000021</v>
          </cell>
          <cell r="K164">
            <v>0</v>
          </cell>
          <cell r="L164">
            <v>8.1999999999999993</v>
          </cell>
          <cell r="M164">
            <v>0</v>
          </cell>
          <cell r="N164">
            <v>22</v>
          </cell>
          <cell r="O164">
            <v>18.3</v>
          </cell>
          <cell r="P164">
            <v>3.6999999999999993</v>
          </cell>
        </row>
        <row r="165">
          <cell r="A165" t="str">
            <v>1983:8</v>
          </cell>
          <cell r="B165">
            <v>4.3879529889703921</v>
          </cell>
          <cell r="C165">
            <v>9.4425505166936539</v>
          </cell>
          <cell r="D165">
            <v>0.46469997499222815</v>
          </cell>
          <cell r="E165">
            <v>0</v>
          </cell>
          <cell r="F165">
            <v>0</v>
          </cell>
          <cell r="G165">
            <v>1</v>
          </cell>
          <cell r="H165">
            <v>20.2</v>
          </cell>
          <cell r="I165">
            <v>18.7</v>
          </cell>
          <cell r="J165">
            <v>1.5</v>
          </cell>
          <cell r="K165">
            <v>2.5</v>
          </cell>
          <cell r="L165">
            <v>9.6</v>
          </cell>
          <cell r="M165">
            <v>0.26041666666666669</v>
          </cell>
          <cell r="N165">
            <v>19.600000000000001</v>
          </cell>
          <cell r="O165">
            <v>18</v>
          </cell>
          <cell r="P165">
            <v>1.6000000000000014</v>
          </cell>
        </row>
        <row r="166">
          <cell r="A166" t="str">
            <v>1983:9</v>
          </cell>
          <cell r="B166">
            <v>35.765740951200044</v>
          </cell>
          <cell r="C166">
            <v>43.697695496746512</v>
          </cell>
          <cell r="D166">
            <v>0.8184811703368422</v>
          </cell>
          <cell r="E166">
            <v>0</v>
          </cell>
          <cell r="F166">
            <v>0</v>
          </cell>
          <cell r="G166">
            <v>1</v>
          </cell>
          <cell r="H166">
            <v>17</v>
          </cell>
          <cell r="I166">
            <v>16.3</v>
          </cell>
          <cell r="J166">
            <v>0.69999999999999929</v>
          </cell>
          <cell r="K166">
            <v>27.5</v>
          </cell>
          <cell r="L166">
            <v>39.299999999999997</v>
          </cell>
          <cell r="M166">
            <v>0.69974554707379144</v>
          </cell>
          <cell r="N166">
            <v>15.9</v>
          </cell>
          <cell r="O166">
            <v>15.7</v>
          </cell>
          <cell r="P166">
            <v>0.20000000000000107</v>
          </cell>
        </row>
        <row r="167">
          <cell r="A167" t="str">
            <v>1983:10</v>
          </cell>
          <cell r="B167">
            <v>156.91111478963154</v>
          </cell>
          <cell r="C167">
            <v>132.10004667845612</v>
          </cell>
          <cell r="D167">
            <v>1.1878202826950386</v>
          </cell>
          <cell r="E167">
            <v>156.91111478963154</v>
          </cell>
          <cell r="F167">
            <v>132.10004667845612</v>
          </cell>
          <cell r="G167">
            <v>1.1878202826950386</v>
          </cell>
          <cell r="H167">
            <v>12.5</v>
          </cell>
          <cell r="I167">
            <v>12.2</v>
          </cell>
          <cell r="J167">
            <v>0.30000000000000071</v>
          </cell>
          <cell r="K167">
            <v>145.69999999999999</v>
          </cell>
          <cell r="L167">
            <v>140.9</v>
          </cell>
          <cell r="M167">
            <v>1.0340667139815471</v>
          </cell>
          <cell r="N167">
            <v>11.7</v>
          </cell>
          <cell r="O167">
            <v>11.5</v>
          </cell>
          <cell r="P167">
            <v>0.19999999999999929</v>
          </cell>
        </row>
        <row r="168">
          <cell r="A168" t="str">
            <v>1983:11</v>
          </cell>
          <cell r="B168">
            <v>271.7312810903307</v>
          </cell>
          <cell r="C168">
            <v>277.9065874341735</v>
          </cell>
          <cell r="D168">
            <v>0.97777920127458107</v>
          </cell>
          <cell r="E168">
            <v>271.7312810903307</v>
          </cell>
          <cell r="F168">
            <v>277.9065874341735</v>
          </cell>
          <cell r="G168">
            <v>0.97777920127458107</v>
          </cell>
          <cell r="H168">
            <v>8.1999999999999993</v>
          </cell>
          <cell r="I168">
            <v>7.5</v>
          </cell>
          <cell r="J168">
            <v>0.69999999999999929</v>
          </cell>
          <cell r="K168">
            <v>266.10000000000002</v>
          </cell>
          <cell r="L168">
            <v>276.39999999999998</v>
          </cell>
          <cell r="M168">
            <v>0.96273516642547052</v>
          </cell>
          <cell r="N168">
            <v>7.1</v>
          </cell>
          <cell r="O168">
            <v>6.8</v>
          </cell>
          <cell r="P168">
            <v>0.29999999999999982</v>
          </cell>
        </row>
        <row r="169">
          <cell r="A169" t="str">
            <v>1983:12</v>
          </cell>
          <cell r="B169">
            <v>378.6761306859151</v>
          </cell>
          <cell r="C169">
            <v>363.68818352813111</v>
          </cell>
          <cell r="D169">
            <v>1.0412109819251927</v>
          </cell>
          <cell r="E169">
            <v>378.6761306859151</v>
          </cell>
          <cell r="F169">
            <v>363.68818352813111</v>
          </cell>
          <cell r="G169">
            <v>1.0412109819251927</v>
          </cell>
          <cell r="H169">
            <v>5</v>
          </cell>
          <cell r="I169">
            <v>4.8</v>
          </cell>
          <cell r="J169">
            <v>0.20000000000000018</v>
          </cell>
          <cell r="K169">
            <v>343.4</v>
          </cell>
          <cell r="L169">
            <v>362.3</v>
          </cell>
          <cell r="M169">
            <v>0.94783328733094108</v>
          </cell>
          <cell r="N169">
            <v>4.9000000000000004</v>
          </cell>
          <cell r="O169">
            <v>4.3</v>
          </cell>
          <cell r="P169">
            <v>0.60000000000000053</v>
          </cell>
        </row>
        <row r="170">
          <cell r="A170" t="str">
            <v>1984:1</v>
          </cell>
          <cell r="B170">
            <v>372.96850927985986</v>
          </cell>
          <cell r="C170">
            <v>392.91081774346333</v>
          </cell>
          <cell r="D170">
            <v>0.94924469481870044</v>
          </cell>
          <cell r="E170">
            <v>372.96850927985986</v>
          </cell>
          <cell r="F170">
            <v>392.91081774346333</v>
          </cell>
          <cell r="G170">
            <v>0.94924469481870044</v>
          </cell>
          <cell r="H170">
            <v>5.0999999999999996</v>
          </cell>
          <cell r="I170">
            <v>3.9</v>
          </cell>
          <cell r="J170">
            <v>1.1999999999999997</v>
          </cell>
          <cell r="K170">
            <v>344.9</v>
          </cell>
          <cell r="L170">
            <v>394</v>
          </cell>
          <cell r="M170">
            <v>0.87538071065989842</v>
          </cell>
          <cell r="N170">
            <v>4.9000000000000004</v>
          </cell>
          <cell r="O170">
            <v>3.3</v>
          </cell>
          <cell r="P170">
            <v>1.6000000000000005</v>
          </cell>
        </row>
        <row r="171">
          <cell r="A171" t="str">
            <v>1984:2</v>
          </cell>
          <cell r="B171">
            <v>373.69497667613746</v>
          </cell>
          <cell r="C171">
            <v>331.22294910654443</v>
          </cell>
          <cell r="D171">
            <v>1.1282279132051658</v>
          </cell>
          <cell r="E171">
            <v>373.69497667613746</v>
          </cell>
          <cell r="F171">
            <v>331.22294910654443</v>
          </cell>
          <cell r="G171">
            <v>1.1282279132051658</v>
          </cell>
          <cell r="H171">
            <v>4.0999999999999996</v>
          </cell>
          <cell r="I171">
            <v>4.9000000000000004</v>
          </cell>
          <cell r="J171">
            <v>-0.80000000000000071</v>
          </cell>
          <cell r="K171">
            <v>339.7</v>
          </cell>
          <cell r="L171">
            <v>332.4</v>
          </cell>
          <cell r="M171">
            <v>1.0219614921780986</v>
          </cell>
          <cell r="N171">
            <v>4.3</v>
          </cell>
          <cell r="O171">
            <v>4.2</v>
          </cell>
          <cell r="P171">
            <v>9.9999999999999645E-2</v>
          </cell>
        </row>
        <row r="172">
          <cell r="A172" t="str">
            <v>1984:3</v>
          </cell>
          <cell r="B172">
            <v>339.40401753927114</v>
          </cell>
          <cell r="C172">
            <v>270.29253185771751</v>
          </cell>
          <cell r="D172">
            <v>1.2556914362618574</v>
          </cell>
          <cell r="E172">
            <v>339.40401753927114</v>
          </cell>
          <cell r="F172">
            <v>270.29253185771751</v>
          </cell>
          <cell r="G172">
            <v>1.2556914362618574</v>
          </cell>
          <cell r="H172">
            <v>6</v>
          </cell>
          <cell r="I172">
            <v>7.4</v>
          </cell>
          <cell r="J172">
            <v>-1.4000000000000004</v>
          </cell>
          <cell r="K172">
            <v>316.39999999999998</v>
          </cell>
          <cell r="L172">
            <v>281.39999999999998</v>
          </cell>
          <cell r="M172">
            <v>1.1243781094527363</v>
          </cell>
          <cell r="N172">
            <v>5.8</v>
          </cell>
          <cell r="O172">
            <v>6.9</v>
          </cell>
          <cell r="P172">
            <v>-1.1000000000000005</v>
          </cell>
        </row>
        <row r="173">
          <cell r="A173" t="str">
            <v>1984:4</v>
          </cell>
          <cell r="B173">
            <v>205.17422921886356</v>
          </cell>
          <cell r="C173">
            <v>198.63939385091356</v>
          </cell>
          <cell r="D173">
            <v>1.0328979828283942</v>
          </cell>
          <cell r="E173">
            <v>205.17422921886356</v>
          </cell>
          <cell r="F173">
            <v>198.63939385091356</v>
          </cell>
          <cell r="G173">
            <v>1.0328979828283942</v>
          </cell>
          <cell r="H173">
            <v>10</v>
          </cell>
          <cell r="I173">
            <v>9.9</v>
          </cell>
          <cell r="J173">
            <v>9.9999999999999645E-2</v>
          </cell>
          <cell r="K173">
            <v>192</v>
          </cell>
          <cell r="L173">
            <v>188</v>
          </cell>
          <cell r="M173">
            <v>1.0212765957446808</v>
          </cell>
          <cell r="N173">
            <v>9.6999999999999993</v>
          </cell>
          <cell r="O173">
            <v>9.6999999999999993</v>
          </cell>
          <cell r="P173">
            <v>0</v>
          </cell>
        </row>
        <row r="174">
          <cell r="A174" t="str">
            <v>1984:5</v>
          </cell>
          <cell r="B174">
            <v>172.55230683360335</v>
          </cell>
          <cell r="C174">
            <v>94.205291641343422</v>
          </cell>
          <cell r="D174">
            <v>1.8316625725287405</v>
          </cell>
          <cell r="E174">
            <v>172.55230683360335</v>
          </cell>
          <cell r="F174">
            <v>94.205291641343422</v>
          </cell>
          <cell r="G174">
            <v>1.8316625725287405</v>
          </cell>
          <cell r="H174">
            <v>11.2</v>
          </cell>
          <cell r="I174">
            <v>13.6</v>
          </cell>
          <cell r="J174">
            <v>-2.4000000000000004</v>
          </cell>
          <cell r="K174">
            <v>143.4</v>
          </cell>
          <cell r="L174">
            <v>92.4</v>
          </cell>
          <cell r="M174">
            <v>1.551948051948052</v>
          </cell>
          <cell r="N174">
            <v>11.4</v>
          </cell>
          <cell r="O174">
            <v>13.4</v>
          </cell>
          <cell r="P174">
            <v>-2</v>
          </cell>
        </row>
        <row r="175">
          <cell r="A175" t="str">
            <v>1984:6</v>
          </cell>
          <cell r="B175">
            <v>43.110220641731559</v>
          </cell>
          <cell r="C175">
            <v>33.639009300779129</v>
          </cell>
          <cell r="D175">
            <v>1.2815544077492516</v>
          </cell>
          <cell r="E175">
            <v>0</v>
          </cell>
          <cell r="F175">
            <v>0</v>
          </cell>
          <cell r="G175">
            <v>1</v>
          </cell>
          <cell r="H175">
            <v>16.5</v>
          </cell>
          <cell r="I175">
            <v>16.8</v>
          </cell>
          <cell r="J175">
            <v>-0.30000000000000071</v>
          </cell>
          <cell r="K175">
            <v>26.4</v>
          </cell>
          <cell r="L175">
            <v>29.5</v>
          </cell>
          <cell r="M175">
            <v>0.89491525423728813</v>
          </cell>
          <cell r="N175">
            <v>16.100000000000001</v>
          </cell>
          <cell r="O175">
            <v>16.399999999999999</v>
          </cell>
          <cell r="P175">
            <v>-0.29999999999999716</v>
          </cell>
        </row>
        <row r="176">
          <cell r="A176" t="str">
            <v>1984:7</v>
          </cell>
          <cell r="B176">
            <v>11.479038776610327</v>
          </cell>
          <cell r="C176">
            <v>9.8992241828118033</v>
          </cell>
          <cell r="D176">
            <v>1.1595897380060938</v>
          </cell>
          <cell r="E176">
            <v>0</v>
          </cell>
          <cell r="F176">
            <v>0</v>
          </cell>
          <cell r="G176">
            <v>1</v>
          </cell>
          <cell r="H176">
            <v>19.399999999999999</v>
          </cell>
          <cell r="I176">
            <v>18.899999999999999</v>
          </cell>
          <cell r="J176">
            <v>0.5</v>
          </cell>
          <cell r="K176">
            <v>9.6</v>
          </cell>
          <cell r="L176">
            <v>8.1999999999999993</v>
          </cell>
          <cell r="M176">
            <v>1.1707317073170733</v>
          </cell>
          <cell r="N176">
            <v>18.5</v>
          </cell>
          <cell r="O176">
            <v>18.3</v>
          </cell>
          <cell r="P176">
            <v>0.19999999999999929</v>
          </cell>
        </row>
        <row r="177">
          <cell r="A177" t="str">
            <v>1984:8</v>
          </cell>
          <cell r="B177">
            <v>5.2454730764574116</v>
          </cell>
          <cell r="C177">
            <v>9.4425505166936539</v>
          </cell>
          <cell r="D177">
            <v>0.55551443089278119</v>
          </cell>
          <cell r="E177">
            <v>0</v>
          </cell>
          <cell r="F177">
            <v>0</v>
          </cell>
          <cell r="G177">
            <v>1</v>
          </cell>
          <cell r="H177">
            <v>19.100000000000001</v>
          </cell>
          <cell r="I177">
            <v>18.7</v>
          </cell>
          <cell r="J177">
            <v>0.40000000000000213</v>
          </cell>
          <cell r="K177">
            <v>1.2</v>
          </cell>
          <cell r="L177">
            <v>9.6</v>
          </cell>
          <cell r="M177">
            <v>0.125</v>
          </cell>
          <cell r="N177">
            <v>18.8</v>
          </cell>
          <cell r="O177">
            <v>18</v>
          </cell>
          <cell r="P177">
            <v>0.80000000000000071</v>
          </cell>
        </row>
        <row r="178">
          <cell r="A178" t="str">
            <v>1984:9</v>
          </cell>
          <cell r="B178">
            <v>67.471276929245931</v>
          </cell>
          <cell r="C178">
            <v>43.697695496746512</v>
          </cell>
          <cell r="D178">
            <v>1.5440465718442629</v>
          </cell>
          <cell r="E178">
            <v>0</v>
          </cell>
          <cell r="F178">
            <v>0</v>
          </cell>
          <cell r="G178">
            <v>1</v>
          </cell>
          <cell r="H178">
            <v>15.3</v>
          </cell>
          <cell r="I178">
            <v>16.3</v>
          </cell>
          <cell r="J178">
            <v>-1</v>
          </cell>
          <cell r="K178">
            <v>56.6</v>
          </cell>
          <cell r="L178">
            <v>39.299999999999997</v>
          </cell>
          <cell r="M178">
            <v>1.440203562340967</v>
          </cell>
          <cell r="N178">
            <v>14.9</v>
          </cell>
          <cell r="O178">
            <v>15.7</v>
          </cell>
          <cell r="P178">
            <v>-0.79999999999999893</v>
          </cell>
        </row>
        <row r="179">
          <cell r="A179" t="str">
            <v>1984:10</v>
          </cell>
          <cell r="B179">
            <v>136.60981691141734</v>
          </cell>
          <cell r="C179">
            <v>132.10004667845612</v>
          </cell>
          <cell r="D179">
            <v>1.034139051017434</v>
          </cell>
          <cell r="E179">
            <v>136.60981691141734</v>
          </cell>
          <cell r="F179">
            <v>132.10004667845612</v>
          </cell>
          <cell r="G179">
            <v>1.034139051017434</v>
          </cell>
          <cell r="H179">
            <v>12.7</v>
          </cell>
          <cell r="I179">
            <v>12.2</v>
          </cell>
          <cell r="J179">
            <v>0.5</v>
          </cell>
          <cell r="K179">
            <v>115</v>
          </cell>
          <cell r="L179">
            <v>140.9</v>
          </cell>
          <cell r="M179">
            <v>0.8161816891412349</v>
          </cell>
          <cell r="N179">
            <v>12.3</v>
          </cell>
          <cell r="O179">
            <v>11.5</v>
          </cell>
          <cell r="P179">
            <v>0.80000000000000071</v>
          </cell>
        </row>
        <row r="180">
          <cell r="A180" t="str">
            <v>1984:11</v>
          </cell>
          <cell r="B180">
            <v>204.41621334026675</v>
          </cell>
          <cell r="C180">
            <v>277.9065874341735</v>
          </cell>
          <cell r="D180">
            <v>0.73555727925551928</v>
          </cell>
          <cell r="E180">
            <v>204.41621334026675</v>
          </cell>
          <cell r="F180">
            <v>277.9065874341735</v>
          </cell>
          <cell r="G180">
            <v>0.73555727925551928</v>
          </cell>
          <cell r="H180">
            <v>10.1</v>
          </cell>
          <cell r="I180">
            <v>7.5</v>
          </cell>
          <cell r="J180">
            <v>2.5999999999999996</v>
          </cell>
          <cell r="K180">
            <v>181.1</v>
          </cell>
          <cell r="L180">
            <v>276.39999999999998</v>
          </cell>
          <cell r="M180">
            <v>0.65520984081041966</v>
          </cell>
          <cell r="N180">
            <v>10</v>
          </cell>
          <cell r="O180">
            <v>6.8</v>
          </cell>
          <cell r="P180">
            <v>3.2</v>
          </cell>
        </row>
        <row r="181">
          <cell r="A181" t="str">
            <v>1984:12</v>
          </cell>
          <cell r="B181">
            <v>375.08669768882083</v>
          </cell>
          <cell r="C181">
            <v>363.68818352813111</v>
          </cell>
          <cell r="D181">
            <v>1.0313414476382294</v>
          </cell>
          <cell r="E181">
            <v>375.08669768882083</v>
          </cell>
          <cell r="F181">
            <v>363.68818352813111</v>
          </cell>
          <cell r="G181">
            <v>1.0313414476382294</v>
          </cell>
          <cell r="H181">
            <v>5.0999999999999996</v>
          </cell>
          <cell r="I181">
            <v>4.8</v>
          </cell>
          <cell r="J181">
            <v>0.29999999999999982</v>
          </cell>
          <cell r="K181">
            <v>346.1</v>
          </cell>
          <cell r="L181">
            <v>362.3</v>
          </cell>
          <cell r="M181">
            <v>0.95528567485509253</v>
          </cell>
          <cell r="N181">
            <v>4.8</v>
          </cell>
          <cell r="O181">
            <v>4.3</v>
          </cell>
          <cell r="P181">
            <v>0.5</v>
          </cell>
        </row>
        <row r="182">
          <cell r="A182" t="str">
            <v>1985:1</v>
          </cell>
          <cell r="B182">
            <v>558.14614662791075</v>
          </cell>
          <cell r="C182">
            <v>392.91081774346333</v>
          </cell>
          <cell r="D182">
            <v>1.4205415616536468</v>
          </cell>
          <cell r="E182">
            <v>558.14614662791075</v>
          </cell>
          <cell r="F182">
            <v>392.91081774346333</v>
          </cell>
          <cell r="G182">
            <v>1.4205415616536468</v>
          </cell>
          <cell r="H182">
            <v>-0.8</v>
          </cell>
          <cell r="I182">
            <v>3.9</v>
          </cell>
          <cell r="J182">
            <v>-4.7</v>
          </cell>
          <cell r="K182">
            <v>535.9</v>
          </cell>
          <cell r="L182">
            <v>394</v>
          </cell>
          <cell r="M182">
            <v>1.3601522842639593</v>
          </cell>
          <cell r="N182">
            <v>-1.3</v>
          </cell>
          <cell r="O182">
            <v>3.3</v>
          </cell>
          <cell r="P182">
            <v>-4.5999999999999996</v>
          </cell>
        </row>
        <row r="183">
          <cell r="A183" t="str">
            <v>1985:2</v>
          </cell>
          <cell r="B183">
            <v>358.70795874442558</v>
          </cell>
          <cell r="C183">
            <v>331.22294910654443</v>
          </cell>
          <cell r="D183">
            <v>1.0829803904349637</v>
          </cell>
          <cell r="E183">
            <v>358.70795874442558</v>
          </cell>
          <cell r="F183">
            <v>331.22294910654443</v>
          </cell>
          <cell r="G183">
            <v>1.0829803904349637</v>
          </cell>
          <cell r="H183">
            <v>4.5</v>
          </cell>
          <cell r="I183">
            <v>4.9000000000000004</v>
          </cell>
          <cell r="J183">
            <v>-0.40000000000000036</v>
          </cell>
          <cell r="K183">
            <v>377.9</v>
          </cell>
          <cell r="L183">
            <v>332.4</v>
          </cell>
          <cell r="M183">
            <v>1.1368832731648617</v>
          </cell>
          <cell r="N183">
            <v>2.5</v>
          </cell>
          <cell r="O183">
            <v>4.2</v>
          </cell>
          <cell r="P183">
            <v>-1.7000000000000002</v>
          </cell>
        </row>
        <row r="184">
          <cell r="A184" t="str">
            <v>1985:3</v>
          </cell>
          <cell r="B184">
            <v>341.43456038823342</v>
          </cell>
          <cell r="C184">
            <v>270.29253185771751</v>
          </cell>
          <cell r="D184">
            <v>1.2632038260234479</v>
          </cell>
          <cell r="E184">
            <v>341.43456038823342</v>
          </cell>
          <cell r="F184">
            <v>270.29253185771751</v>
          </cell>
          <cell r="G184">
            <v>1.2632038260234479</v>
          </cell>
          <cell r="H184">
            <v>6</v>
          </cell>
          <cell r="I184">
            <v>7.4</v>
          </cell>
          <cell r="J184">
            <v>-1.4000000000000004</v>
          </cell>
          <cell r="K184">
            <v>327.7</v>
          </cell>
          <cell r="L184">
            <v>281.39999999999998</v>
          </cell>
          <cell r="M184">
            <v>1.1645344705046199</v>
          </cell>
          <cell r="N184">
            <v>5.4</v>
          </cell>
          <cell r="O184">
            <v>6.9</v>
          </cell>
          <cell r="P184">
            <v>-1.5</v>
          </cell>
        </row>
        <row r="185">
          <cell r="A185" t="str">
            <v>1985:4</v>
          </cell>
          <cell r="B185">
            <v>181.95670283421137</v>
          </cell>
          <cell r="C185">
            <v>198.63939385091356</v>
          </cell>
          <cell r="D185">
            <v>0.91601519369706097</v>
          </cell>
          <cell r="E185">
            <v>181.95670283421137</v>
          </cell>
          <cell r="F185">
            <v>198.63939385091356</v>
          </cell>
          <cell r="G185">
            <v>0.91601519369706097</v>
          </cell>
          <cell r="H185">
            <v>10.7</v>
          </cell>
          <cell r="I185">
            <v>9.9</v>
          </cell>
          <cell r="J185">
            <v>0.79999999999999893</v>
          </cell>
          <cell r="K185">
            <v>172.8</v>
          </cell>
          <cell r="L185">
            <v>188</v>
          </cell>
          <cell r="M185">
            <v>0.91914893617021287</v>
          </cell>
          <cell r="N185">
            <v>10.3</v>
          </cell>
          <cell r="O185">
            <v>9.6999999999999993</v>
          </cell>
          <cell r="P185">
            <v>0.60000000000000142</v>
          </cell>
        </row>
        <row r="186">
          <cell r="A186" t="str">
            <v>1985:5</v>
          </cell>
          <cell r="B186">
            <v>113.16281939721688</v>
          </cell>
          <cell r="C186">
            <v>94.205291641343422</v>
          </cell>
          <cell r="D186">
            <v>1.201236336362592</v>
          </cell>
          <cell r="E186">
            <v>113.16281939721688</v>
          </cell>
          <cell r="F186">
            <v>94.205291641343422</v>
          </cell>
          <cell r="G186">
            <v>1.201236336362592</v>
          </cell>
          <cell r="H186">
            <v>13.3</v>
          </cell>
          <cell r="I186">
            <v>13.6</v>
          </cell>
          <cell r="J186">
            <v>-0.29999999999999893</v>
          </cell>
          <cell r="K186">
            <v>76.7</v>
          </cell>
          <cell r="L186">
            <v>92.4</v>
          </cell>
          <cell r="M186">
            <v>0.83008658008658009</v>
          </cell>
          <cell r="N186">
            <v>14</v>
          </cell>
          <cell r="O186">
            <v>13.4</v>
          </cell>
          <cell r="P186">
            <v>0.59999999999999964</v>
          </cell>
        </row>
        <row r="187">
          <cell r="A187" t="str">
            <v>1985:6</v>
          </cell>
          <cell r="B187">
            <v>52.71283364829128</v>
          </cell>
          <cell r="C187">
            <v>33.639009300779129</v>
          </cell>
          <cell r="D187">
            <v>1.5670150442590582</v>
          </cell>
          <cell r="E187">
            <v>0</v>
          </cell>
          <cell r="F187">
            <v>0</v>
          </cell>
          <cell r="G187">
            <v>1</v>
          </cell>
          <cell r="H187">
            <v>16</v>
          </cell>
          <cell r="I187">
            <v>16.8</v>
          </cell>
          <cell r="J187">
            <v>-0.80000000000000071</v>
          </cell>
          <cell r="K187">
            <v>52.1</v>
          </cell>
          <cell r="L187">
            <v>29.5</v>
          </cell>
          <cell r="M187">
            <v>1.7661016949152544</v>
          </cell>
          <cell r="N187">
            <v>15.1</v>
          </cell>
          <cell r="O187">
            <v>16.399999999999999</v>
          </cell>
          <cell r="P187">
            <v>-1.2999999999999989</v>
          </cell>
        </row>
        <row r="188">
          <cell r="A188" t="str">
            <v>1985:7</v>
          </cell>
          <cell r="B188">
            <v>3.3032860778221957</v>
          </cell>
          <cell r="C188">
            <v>9.8992241828118033</v>
          </cell>
          <cell r="D188">
            <v>0.33369141023775878</v>
          </cell>
          <cell r="E188">
            <v>0</v>
          </cell>
          <cell r="F188">
            <v>0</v>
          </cell>
          <cell r="G188">
            <v>1</v>
          </cell>
          <cell r="H188">
            <v>20.100000000000001</v>
          </cell>
          <cell r="I188">
            <v>18.899999999999999</v>
          </cell>
          <cell r="J188">
            <v>1.2000000000000028</v>
          </cell>
          <cell r="K188">
            <v>2</v>
          </cell>
          <cell r="L188">
            <v>8.1999999999999993</v>
          </cell>
          <cell r="M188">
            <v>0.24390243902439027</v>
          </cell>
          <cell r="N188">
            <v>18.600000000000001</v>
          </cell>
          <cell r="O188">
            <v>18.3</v>
          </cell>
          <cell r="P188">
            <v>0.30000000000000071</v>
          </cell>
        </row>
        <row r="189">
          <cell r="A189" t="str">
            <v>1985:8</v>
          </cell>
          <cell r="B189">
            <v>15.998555347425365</v>
          </cell>
          <cell r="C189">
            <v>9.4425505166936539</v>
          </cell>
          <cell r="D189">
            <v>1.6943044486911913</v>
          </cell>
          <cell r="E189">
            <v>0</v>
          </cell>
          <cell r="F189">
            <v>0</v>
          </cell>
          <cell r="G189">
            <v>1</v>
          </cell>
          <cell r="H189">
            <v>18.3</v>
          </cell>
          <cell r="I189">
            <v>18.7</v>
          </cell>
          <cell r="J189">
            <v>-0.39999999999999858</v>
          </cell>
          <cell r="K189">
            <v>9</v>
          </cell>
          <cell r="L189">
            <v>9.6</v>
          </cell>
          <cell r="M189">
            <v>0.9375</v>
          </cell>
          <cell r="N189">
            <v>17</v>
          </cell>
          <cell r="O189">
            <v>18</v>
          </cell>
          <cell r="P189">
            <v>-1</v>
          </cell>
        </row>
        <row r="190">
          <cell r="A190" t="str">
            <v>1985:9</v>
          </cell>
          <cell r="B190">
            <v>25.377791828535283</v>
          </cell>
          <cell r="C190">
            <v>43.697695496746512</v>
          </cell>
          <cell r="D190">
            <v>0.58075812786110825</v>
          </cell>
          <cell r="E190">
            <v>0</v>
          </cell>
          <cell r="F190">
            <v>0</v>
          </cell>
          <cell r="G190">
            <v>1</v>
          </cell>
          <cell r="H190">
            <v>17.899999999999999</v>
          </cell>
          <cell r="I190">
            <v>16.3</v>
          </cell>
          <cell r="J190">
            <v>1.5999999999999979</v>
          </cell>
          <cell r="K190">
            <v>23.4</v>
          </cell>
          <cell r="L190">
            <v>39.299999999999997</v>
          </cell>
          <cell r="M190">
            <v>0.59541984732824427</v>
          </cell>
          <cell r="N190">
            <v>16.600000000000001</v>
          </cell>
          <cell r="O190">
            <v>15.7</v>
          </cell>
          <cell r="P190">
            <v>0.90000000000000213</v>
          </cell>
        </row>
        <row r="191">
          <cell r="A191" t="str">
            <v>1985:10</v>
          </cell>
          <cell r="B191">
            <v>151.16096000753265</v>
          </cell>
          <cell r="C191">
            <v>132.10004667845612</v>
          </cell>
          <cell r="D191">
            <v>1.1442914957893435</v>
          </cell>
          <cell r="E191">
            <v>151.16096000753265</v>
          </cell>
          <cell r="F191">
            <v>132.10004667845612</v>
          </cell>
          <cell r="G191">
            <v>1.1442914957893435</v>
          </cell>
          <cell r="H191">
            <v>12.9</v>
          </cell>
          <cell r="I191">
            <v>12.2</v>
          </cell>
          <cell r="J191">
            <v>0.70000000000000107</v>
          </cell>
          <cell r="K191">
            <v>167.5</v>
          </cell>
          <cell r="L191">
            <v>140.9</v>
          </cell>
          <cell r="M191">
            <v>1.1887863733144073</v>
          </cell>
          <cell r="N191">
            <v>11.2</v>
          </cell>
          <cell r="O191">
            <v>11.5</v>
          </cell>
          <cell r="P191">
            <v>-0.30000000000000071</v>
          </cell>
        </row>
        <row r="192">
          <cell r="A192" t="str">
            <v>1985:11</v>
          </cell>
          <cell r="B192">
            <v>370.70342524260963</v>
          </cell>
          <cell r="C192">
            <v>277.9065874341735</v>
          </cell>
          <cell r="D192">
            <v>1.3339137753631569</v>
          </cell>
          <cell r="E192">
            <v>370.70342524260963</v>
          </cell>
          <cell r="F192">
            <v>277.9065874341735</v>
          </cell>
          <cell r="G192">
            <v>1.3339137753631569</v>
          </cell>
          <cell r="H192">
            <v>4.9000000000000004</v>
          </cell>
          <cell r="I192">
            <v>7.5</v>
          </cell>
          <cell r="J192">
            <v>-2.5999999999999996</v>
          </cell>
          <cell r="K192">
            <v>358.2</v>
          </cell>
          <cell r="L192">
            <v>276.39999999999998</v>
          </cell>
          <cell r="M192">
            <v>1.2959479015918958</v>
          </cell>
          <cell r="N192">
            <v>4.0999999999999996</v>
          </cell>
          <cell r="O192">
            <v>6.8</v>
          </cell>
          <cell r="P192">
            <v>-2.7</v>
          </cell>
        </row>
        <row r="193">
          <cell r="A193" t="str">
            <v>1985:12</v>
          </cell>
          <cell r="B193">
            <v>341.45289923023347</v>
          </cell>
          <cell r="C193">
            <v>363.68818352813111</v>
          </cell>
          <cell r="D193">
            <v>0.93886168067877918</v>
          </cell>
          <cell r="E193">
            <v>341.45289923023347</v>
          </cell>
          <cell r="F193">
            <v>363.68818352813111</v>
          </cell>
          <cell r="G193">
            <v>0.93886168067877918</v>
          </cell>
          <cell r="H193">
            <v>6.2</v>
          </cell>
          <cell r="I193">
            <v>4.8</v>
          </cell>
          <cell r="J193">
            <v>1.4000000000000004</v>
          </cell>
          <cell r="K193">
            <v>303.89999999999998</v>
          </cell>
          <cell r="L193">
            <v>362.3</v>
          </cell>
          <cell r="M193">
            <v>0.83880761799613568</v>
          </cell>
          <cell r="N193">
            <v>6.2</v>
          </cell>
          <cell r="O193">
            <v>4.3</v>
          </cell>
          <cell r="P193">
            <v>1.9000000000000004</v>
          </cell>
        </row>
        <row r="194">
          <cell r="A194" t="str">
            <v>1986:1</v>
          </cell>
          <cell r="B194">
            <v>386.64753666518021</v>
          </cell>
          <cell r="C194">
            <v>392.91081774346333</v>
          </cell>
          <cell r="D194">
            <v>0.98405928064222326</v>
          </cell>
          <cell r="E194">
            <v>386.64753666518021</v>
          </cell>
          <cell r="F194">
            <v>392.91081774346333</v>
          </cell>
          <cell r="G194">
            <v>0.98405928064222326</v>
          </cell>
          <cell r="H194">
            <v>4.5999999999999996</v>
          </cell>
          <cell r="I194">
            <v>3.9</v>
          </cell>
          <cell r="J194">
            <v>0.69999999999999973</v>
          </cell>
          <cell r="K194">
            <v>366.1</v>
          </cell>
          <cell r="L194">
            <v>394</v>
          </cell>
          <cell r="M194">
            <v>0.92918781725888333</v>
          </cell>
          <cell r="N194">
            <v>4.2</v>
          </cell>
          <cell r="O194">
            <v>3.3</v>
          </cell>
          <cell r="P194">
            <v>0.90000000000000036</v>
          </cell>
        </row>
        <row r="195">
          <cell r="A195" t="str">
            <v>1986:2</v>
          </cell>
          <cell r="B195">
            <v>492.72449221650726</v>
          </cell>
          <cell r="C195">
            <v>331.22294910654443</v>
          </cell>
          <cell r="D195">
            <v>1.4875916464894847</v>
          </cell>
          <cell r="E195">
            <v>492.72449221650726</v>
          </cell>
          <cell r="F195">
            <v>331.22294910654443</v>
          </cell>
          <cell r="G195">
            <v>1.4875916464894847</v>
          </cell>
          <cell r="H195">
            <v>-0.4</v>
          </cell>
          <cell r="I195">
            <v>4.9000000000000004</v>
          </cell>
          <cell r="J195">
            <v>-5.3000000000000007</v>
          </cell>
          <cell r="K195">
            <v>507.2</v>
          </cell>
          <cell r="L195">
            <v>332.4</v>
          </cell>
          <cell r="M195">
            <v>1.5258724428399519</v>
          </cell>
          <cell r="N195">
            <v>-2.1</v>
          </cell>
          <cell r="O195">
            <v>4.2</v>
          </cell>
          <cell r="P195">
            <v>-6.3000000000000007</v>
          </cell>
        </row>
        <row r="196">
          <cell r="A196" t="str">
            <v>1986:3</v>
          </cell>
          <cell r="B196">
            <v>319.46239528954959</v>
          </cell>
          <cell r="C196">
            <v>270.29253185771751</v>
          </cell>
          <cell r="D196">
            <v>1.1819135108687175</v>
          </cell>
          <cell r="E196">
            <v>319.46239528954959</v>
          </cell>
          <cell r="F196">
            <v>270.29253185771751</v>
          </cell>
          <cell r="G196">
            <v>1.1819135108687175</v>
          </cell>
          <cell r="H196">
            <v>6.4</v>
          </cell>
          <cell r="I196">
            <v>7.4</v>
          </cell>
          <cell r="J196">
            <v>-1</v>
          </cell>
          <cell r="K196">
            <v>328.9</v>
          </cell>
          <cell r="L196">
            <v>281.39999999999998</v>
          </cell>
          <cell r="M196">
            <v>1.1687988628287136</v>
          </cell>
          <cell r="N196">
            <v>5.4</v>
          </cell>
          <cell r="O196">
            <v>6.9</v>
          </cell>
          <cell r="P196">
            <v>-1.5</v>
          </cell>
        </row>
        <row r="197">
          <cell r="A197" t="str">
            <v>1986:4</v>
          </cell>
          <cell r="B197">
            <v>273.48058233910888</v>
          </cell>
          <cell r="C197">
            <v>198.63939385091356</v>
          </cell>
          <cell r="D197">
            <v>1.3767691143095537</v>
          </cell>
          <cell r="E197">
            <v>273.48058233910888</v>
          </cell>
          <cell r="F197">
            <v>198.63939385091356</v>
          </cell>
          <cell r="G197">
            <v>1.3767691143095537</v>
          </cell>
          <cell r="H197">
            <v>7.4</v>
          </cell>
          <cell r="I197">
            <v>9.9</v>
          </cell>
          <cell r="J197">
            <v>-2.5</v>
          </cell>
          <cell r="K197">
            <v>271.89999999999998</v>
          </cell>
          <cell r="L197">
            <v>188</v>
          </cell>
          <cell r="M197">
            <v>1.4462765957446808</v>
          </cell>
          <cell r="N197">
            <v>6.9</v>
          </cell>
          <cell r="O197">
            <v>9.6999999999999993</v>
          </cell>
          <cell r="P197">
            <v>-2.7999999999999989</v>
          </cell>
        </row>
        <row r="198">
          <cell r="A198" t="str">
            <v>1986:5</v>
          </cell>
          <cell r="B198">
            <v>85.39865648485403</v>
          </cell>
          <cell r="C198">
            <v>94.205291641343422</v>
          </cell>
          <cell r="D198">
            <v>0.90651655546041043</v>
          </cell>
          <cell r="E198">
            <v>85.39865648485403</v>
          </cell>
          <cell r="F198">
            <v>94.205291641343422</v>
          </cell>
          <cell r="G198">
            <v>0.90651655546041043</v>
          </cell>
          <cell r="H198">
            <v>14.4</v>
          </cell>
          <cell r="I198">
            <v>13.6</v>
          </cell>
          <cell r="J198">
            <v>0.80000000000000071</v>
          </cell>
          <cell r="K198">
            <v>76.599999999999994</v>
          </cell>
          <cell r="L198">
            <v>92.4</v>
          </cell>
          <cell r="M198">
            <v>0.82900432900432885</v>
          </cell>
          <cell r="N198">
            <v>13.8</v>
          </cell>
          <cell r="O198">
            <v>13.4</v>
          </cell>
          <cell r="P198">
            <v>0.40000000000000036</v>
          </cell>
        </row>
        <row r="199">
          <cell r="A199" t="str">
            <v>1986:6</v>
          </cell>
          <cell r="B199">
            <v>40.35291237225492</v>
          </cell>
          <cell r="C199">
            <v>33.639009300779129</v>
          </cell>
          <cell r="D199">
            <v>1.1995868252671842</v>
          </cell>
          <cell r="E199">
            <v>0</v>
          </cell>
          <cell r="F199">
            <v>0</v>
          </cell>
          <cell r="G199">
            <v>1</v>
          </cell>
          <cell r="H199">
            <v>17.600000000000001</v>
          </cell>
          <cell r="I199">
            <v>16.8</v>
          </cell>
          <cell r="J199">
            <v>0.80000000000000071</v>
          </cell>
          <cell r="K199">
            <v>31.9</v>
          </cell>
          <cell r="L199">
            <v>29.5</v>
          </cell>
          <cell r="M199">
            <v>1.0813559322033899</v>
          </cell>
          <cell r="N199">
            <v>17.8</v>
          </cell>
          <cell r="O199">
            <v>16.399999999999999</v>
          </cell>
          <cell r="P199">
            <v>1.4000000000000021</v>
          </cell>
        </row>
        <row r="200">
          <cell r="A200" t="str">
            <v>1986:7</v>
          </cell>
          <cell r="B200">
            <v>9.2716407823557017</v>
          </cell>
          <cell r="C200">
            <v>9.8992241828118033</v>
          </cell>
          <cell r="D200">
            <v>0.93660276918005492</v>
          </cell>
          <cell r="E200">
            <v>0</v>
          </cell>
          <cell r="F200">
            <v>0</v>
          </cell>
          <cell r="G200">
            <v>1</v>
          </cell>
          <cell r="H200">
            <v>19.3</v>
          </cell>
          <cell r="I200">
            <v>18.899999999999999</v>
          </cell>
          <cell r="J200">
            <v>0.40000000000000213</v>
          </cell>
          <cell r="K200">
            <v>5.3</v>
          </cell>
          <cell r="L200">
            <v>8.1999999999999993</v>
          </cell>
          <cell r="M200">
            <v>0.64634146341463417</v>
          </cell>
          <cell r="N200">
            <v>18.3</v>
          </cell>
          <cell r="O200">
            <v>18.3</v>
          </cell>
          <cell r="P200">
            <v>0</v>
          </cell>
        </row>
        <row r="201">
          <cell r="A201" t="str">
            <v>1986:8</v>
          </cell>
          <cell r="B201">
            <v>26.322521916399104</v>
          </cell>
          <cell r="C201">
            <v>9.4425505166936539</v>
          </cell>
          <cell r="D201">
            <v>2.787649573053705</v>
          </cell>
          <cell r="E201">
            <v>0</v>
          </cell>
          <cell r="F201">
            <v>0</v>
          </cell>
          <cell r="G201">
            <v>1</v>
          </cell>
          <cell r="H201">
            <v>18.100000000000001</v>
          </cell>
          <cell r="I201">
            <v>18.7</v>
          </cell>
          <cell r="J201">
            <v>-0.59999999999999787</v>
          </cell>
          <cell r="K201">
            <v>23.4</v>
          </cell>
          <cell r="L201">
            <v>9.6</v>
          </cell>
          <cell r="M201">
            <v>2.4375</v>
          </cell>
          <cell r="N201">
            <v>17.100000000000001</v>
          </cell>
          <cell r="O201">
            <v>18</v>
          </cell>
          <cell r="P201">
            <v>-0.89999999999999858</v>
          </cell>
        </row>
        <row r="202">
          <cell r="A202" t="str">
            <v>1986:9</v>
          </cell>
          <cell r="B202">
            <v>77.750326276036787</v>
          </cell>
          <cell r="C202">
            <v>43.697695496746512</v>
          </cell>
          <cell r="D202">
            <v>1.7792774971811876</v>
          </cell>
          <cell r="E202">
            <v>0</v>
          </cell>
          <cell r="F202">
            <v>0</v>
          </cell>
          <cell r="G202">
            <v>1</v>
          </cell>
          <cell r="H202">
            <v>15.1</v>
          </cell>
          <cell r="I202">
            <v>16.3</v>
          </cell>
          <cell r="J202">
            <v>-1.2000000000000011</v>
          </cell>
          <cell r="K202">
            <v>110.4</v>
          </cell>
          <cell r="L202">
            <v>39.299999999999997</v>
          </cell>
          <cell r="M202">
            <v>2.8091603053435117</v>
          </cell>
          <cell r="N202">
            <v>12.4</v>
          </cell>
          <cell r="O202">
            <v>15.7</v>
          </cell>
          <cell r="P202">
            <v>-3.2999999999999989</v>
          </cell>
        </row>
        <row r="203">
          <cell r="A203" t="str">
            <v>1986:10</v>
          </cell>
          <cell r="B203">
            <v>104.44344645559741</v>
          </cell>
          <cell r="C203">
            <v>132.10004667845612</v>
          </cell>
          <cell r="D203">
            <v>0.79063898220885975</v>
          </cell>
          <cell r="E203">
            <v>104.44344645559741</v>
          </cell>
          <cell r="F203">
            <v>132.10004667845612</v>
          </cell>
          <cell r="G203">
            <v>0.79063898220885975</v>
          </cell>
          <cell r="H203">
            <v>13.6</v>
          </cell>
          <cell r="I203">
            <v>12.2</v>
          </cell>
          <cell r="J203">
            <v>1.4000000000000004</v>
          </cell>
          <cell r="K203">
            <v>96.7</v>
          </cell>
          <cell r="L203">
            <v>140.9</v>
          </cell>
          <cell r="M203">
            <v>0.68630234208658625</v>
          </cell>
          <cell r="N203">
            <v>13</v>
          </cell>
          <cell r="O203">
            <v>11.5</v>
          </cell>
          <cell r="P203">
            <v>1.5</v>
          </cell>
        </row>
        <row r="204">
          <cell r="A204" t="str">
            <v>1986:11</v>
          </cell>
          <cell r="B204">
            <v>251.90138422456727</v>
          </cell>
          <cell r="C204">
            <v>277.9065874341735</v>
          </cell>
          <cell r="D204">
            <v>0.90642466071170058</v>
          </cell>
          <cell r="E204">
            <v>251.90138422456727</v>
          </cell>
          <cell r="F204">
            <v>277.9065874341735</v>
          </cell>
          <cell r="G204">
            <v>0.90642466071170058</v>
          </cell>
          <cell r="H204">
            <v>8.4</v>
          </cell>
          <cell r="I204">
            <v>7.5</v>
          </cell>
          <cell r="J204">
            <v>0.90000000000000036</v>
          </cell>
          <cell r="K204">
            <v>230.5</v>
          </cell>
          <cell r="L204">
            <v>276.39999999999998</v>
          </cell>
          <cell r="M204">
            <v>0.83393632416787267</v>
          </cell>
          <cell r="N204">
            <v>8.3000000000000007</v>
          </cell>
          <cell r="O204">
            <v>6.8</v>
          </cell>
          <cell r="P204">
            <v>1.5000000000000009</v>
          </cell>
        </row>
        <row r="205">
          <cell r="A205" t="str">
            <v>1986:12</v>
          </cell>
          <cell r="B205">
            <v>351.30220124287416</v>
          </cell>
          <cell r="C205">
            <v>363.68818352813111</v>
          </cell>
          <cell r="D205">
            <v>0.96594340194091322</v>
          </cell>
          <cell r="E205">
            <v>351.30220124287416</v>
          </cell>
          <cell r="F205">
            <v>363.68818352813111</v>
          </cell>
          <cell r="G205">
            <v>0.96594340194091322</v>
          </cell>
          <cell r="H205">
            <v>5.7</v>
          </cell>
          <cell r="I205">
            <v>4.8</v>
          </cell>
          <cell r="J205">
            <v>0.90000000000000036</v>
          </cell>
          <cell r="K205">
            <v>319.8</v>
          </cell>
          <cell r="L205">
            <v>362.3</v>
          </cell>
          <cell r="M205">
            <v>0.88269390008280435</v>
          </cell>
          <cell r="N205">
            <v>5.7</v>
          </cell>
          <cell r="O205">
            <v>4.3</v>
          </cell>
          <cell r="P205">
            <v>1.4000000000000004</v>
          </cell>
        </row>
        <row r="206">
          <cell r="A206" t="str">
            <v>1987:1</v>
          </cell>
          <cell r="B206">
            <v>563.62708298988707</v>
          </cell>
          <cell r="C206">
            <v>392.91081774346333</v>
          </cell>
          <cell r="D206">
            <v>1.4344911301421246</v>
          </cell>
          <cell r="E206">
            <v>563.62708298988707</v>
          </cell>
          <cell r="F206">
            <v>392.91081774346333</v>
          </cell>
          <cell r="G206">
            <v>1.4344911301421246</v>
          </cell>
          <cell r="H206">
            <v>-0.8</v>
          </cell>
          <cell r="I206">
            <v>3.9</v>
          </cell>
          <cell r="J206">
            <v>-4.7</v>
          </cell>
          <cell r="K206">
            <v>558.6</v>
          </cell>
          <cell r="L206">
            <v>394</v>
          </cell>
          <cell r="M206">
            <v>1.4177664974619291</v>
          </cell>
          <cell r="N206">
            <v>-2</v>
          </cell>
          <cell r="O206">
            <v>3.3</v>
          </cell>
          <cell r="P206">
            <v>-5.3</v>
          </cell>
        </row>
        <row r="207">
          <cell r="A207" t="str">
            <v>1987:2</v>
          </cell>
          <cell r="B207">
            <v>358.64869862972142</v>
          </cell>
          <cell r="C207">
            <v>331.22294910654443</v>
          </cell>
          <cell r="D207">
            <v>1.082801477364888</v>
          </cell>
          <cell r="E207">
            <v>358.64869862972142</v>
          </cell>
          <cell r="F207">
            <v>331.22294910654443</v>
          </cell>
          <cell r="G207">
            <v>1.082801477364888</v>
          </cell>
          <cell r="H207">
            <v>4.0999999999999996</v>
          </cell>
          <cell r="I207">
            <v>4.9000000000000004</v>
          </cell>
          <cell r="J207">
            <v>-0.80000000000000071</v>
          </cell>
          <cell r="K207">
            <v>357.1</v>
          </cell>
          <cell r="L207">
            <v>332.4</v>
          </cell>
          <cell r="M207">
            <v>1.0743080625752108</v>
          </cell>
          <cell r="N207">
            <v>3.2</v>
          </cell>
          <cell r="O207">
            <v>4.2</v>
          </cell>
          <cell r="P207">
            <v>-1</v>
          </cell>
        </row>
        <row r="208">
          <cell r="A208" t="str">
            <v>1987:3</v>
          </cell>
          <cell r="B208">
            <v>354.93702002421628</v>
          </cell>
          <cell r="C208">
            <v>270.29253185771751</v>
          </cell>
          <cell r="D208">
            <v>1.3131588119906168</v>
          </cell>
          <cell r="E208">
            <v>354.93702002421628</v>
          </cell>
          <cell r="F208">
            <v>270.29253185771751</v>
          </cell>
          <cell r="G208">
            <v>1.3131588119906168</v>
          </cell>
          <cell r="H208">
            <v>5.4</v>
          </cell>
          <cell r="I208">
            <v>7.4</v>
          </cell>
          <cell r="J208">
            <v>-2</v>
          </cell>
          <cell r="K208">
            <v>357.1</v>
          </cell>
          <cell r="L208">
            <v>281.39999999999998</v>
          </cell>
          <cell r="M208">
            <v>1.2690120824449185</v>
          </cell>
          <cell r="N208">
            <v>4.5</v>
          </cell>
          <cell r="O208">
            <v>6.9</v>
          </cell>
          <cell r="P208">
            <v>-2.4000000000000004</v>
          </cell>
        </row>
        <row r="209">
          <cell r="A209" t="str">
            <v>1987:4</v>
          </cell>
          <cell r="B209">
            <v>149.01719956006994</v>
          </cell>
          <cell r="C209">
            <v>198.63939385091356</v>
          </cell>
          <cell r="D209">
            <v>0.75018956044495899</v>
          </cell>
          <cell r="E209">
            <v>149.01719956006994</v>
          </cell>
          <cell r="F209">
            <v>198.63939385091356</v>
          </cell>
          <cell r="G209">
            <v>0.75018956044495899</v>
          </cell>
          <cell r="H209">
            <v>11.7</v>
          </cell>
          <cell r="I209">
            <v>9.9</v>
          </cell>
          <cell r="J209">
            <v>1.7999999999999989</v>
          </cell>
          <cell r="K209">
            <v>122.9</v>
          </cell>
          <cell r="L209">
            <v>188</v>
          </cell>
          <cell r="M209">
            <v>0.65372340425531916</v>
          </cell>
          <cell r="N209">
            <v>12.1</v>
          </cell>
          <cell r="O209">
            <v>9.6999999999999993</v>
          </cell>
          <cell r="P209">
            <v>2.4000000000000004</v>
          </cell>
        </row>
        <row r="210">
          <cell r="A210" t="str">
            <v>1987:5</v>
          </cell>
          <cell r="B210">
            <v>150.16040161901228</v>
          </cell>
          <cell r="C210">
            <v>94.205291641343422</v>
          </cell>
          <cell r="D210">
            <v>1.5939699246481829</v>
          </cell>
          <cell r="E210">
            <v>150.16040161901228</v>
          </cell>
          <cell r="F210">
            <v>94.205291641343422</v>
          </cell>
          <cell r="G210">
            <v>1.5939699246481829</v>
          </cell>
          <cell r="H210">
            <v>12</v>
          </cell>
          <cell r="I210">
            <v>13.6</v>
          </cell>
          <cell r="J210">
            <v>-1.5999999999999996</v>
          </cell>
          <cell r="K210">
            <v>142.1</v>
          </cell>
          <cell r="L210">
            <v>92.4</v>
          </cell>
          <cell r="M210">
            <v>1.5378787878787876</v>
          </cell>
          <cell r="N210">
            <v>11.5</v>
          </cell>
          <cell r="O210">
            <v>13.4</v>
          </cell>
          <cell r="P210">
            <v>-1.9000000000000004</v>
          </cell>
        </row>
        <row r="211">
          <cell r="A211" t="str">
            <v>1987:6</v>
          </cell>
          <cell r="B211">
            <v>57.158057599665867</v>
          </cell>
          <cell r="C211">
            <v>33.639009300779129</v>
          </cell>
          <cell r="D211">
            <v>1.6991599570782248</v>
          </cell>
          <cell r="E211">
            <v>0</v>
          </cell>
          <cell r="F211">
            <v>0</v>
          </cell>
          <cell r="G211">
            <v>1</v>
          </cell>
          <cell r="H211">
            <v>15.8</v>
          </cell>
          <cell r="I211">
            <v>16.8</v>
          </cell>
          <cell r="J211">
            <v>-1</v>
          </cell>
          <cell r="K211">
            <v>51.8</v>
          </cell>
          <cell r="L211">
            <v>29.5</v>
          </cell>
          <cell r="M211">
            <v>1.7559322033898304</v>
          </cell>
          <cell r="N211">
            <v>15.1</v>
          </cell>
          <cell r="O211">
            <v>16.399999999999999</v>
          </cell>
          <cell r="P211">
            <v>-1.2999999999999989</v>
          </cell>
        </row>
        <row r="212">
          <cell r="A212" t="str">
            <v>1987:7</v>
          </cell>
          <cell r="B212">
            <v>10.003318027604823</v>
          </cell>
          <cell r="C212">
            <v>9.8992241828118033</v>
          </cell>
          <cell r="D212">
            <v>1.010515353816692</v>
          </cell>
          <cell r="E212">
            <v>0</v>
          </cell>
          <cell r="F212">
            <v>0</v>
          </cell>
          <cell r="G212">
            <v>1</v>
          </cell>
          <cell r="H212">
            <v>19.2</v>
          </cell>
          <cell r="I212">
            <v>18.899999999999999</v>
          </cell>
          <cell r="J212">
            <v>0.30000000000000071</v>
          </cell>
          <cell r="K212">
            <v>5.7</v>
          </cell>
          <cell r="L212">
            <v>8.1999999999999993</v>
          </cell>
          <cell r="M212">
            <v>0.69512195121951226</v>
          </cell>
          <cell r="N212">
            <v>17.899999999999999</v>
          </cell>
          <cell r="O212">
            <v>18.3</v>
          </cell>
          <cell r="P212">
            <v>-0.40000000000000213</v>
          </cell>
        </row>
        <row r="213">
          <cell r="A213" t="str">
            <v>1987:8</v>
          </cell>
          <cell r="B213">
            <v>15.291940006215141</v>
          </cell>
          <cell r="C213">
            <v>9.4425505166936539</v>
          </cell>
          <cell r="D213">
            <v>1.6194713471937743</v>
          </cell>
          <cell r="E213">
            <v>0</v>
          </cell>
          <cell r="F213">
            <v>0</v>
          </cell>
          <cell r="G213">
            <v>1</v>
          </cell>
          <cell r="H213">
            <v>19.100000000000001</v>
          </cell>
          <cell r="I213">
            <v>18.7</v>
          </cell>
          <cell r="J213">
            <v>0.40000000000000213</v>
          </cell>
          <cell r="K213">
            <v>12.7</v>
          </cell>
          <cell r="L213">
            <v>9.6</v>
          </cell>
          <cell r="M213">
            <v>1.3229166666666667</v>
          </cell>
          <cell r="N213">
            <v>17.899999999999999</v>
          </cell>
          <cell r="O213">
            <v>18</v>
          </cell>
          <cell r="P213">
            <v>-0.10000000000000142</v>
          </cell>
        </row>
        <row r="214">
          <cell r="A214" t="str">
            <v>1987:9</v>
          </cell>
          <cell r="B214">
            <v>31.865141689207299</v>
          </cell>
          <cell r="C214">
            <v>43.697695496746512</v>
          </cell>
          <cell r="D214">
            <v>0.72921789872373932</v>
          </cell>
          <cell r="E214">
            <v>0</v>
          </cell>
          <cell r="F214">
            <v>0</v>
          </cell>
          <cell r="G214">
            <v>1</v>
          </cell>
          <cell r="H214">
            <v>18.2</v>
          </cell>
          <cell r="I214">
            <v>16.3</v>
          </cell>
          <cell r="J214">
            <v>1.8999999999999986</v>
          </cell>
          <cell r="K214">
            <v>37.5</v>
          </cell>
          <cell r="L214">
            <v>39.299999999999997</v>
          </cell>
          <cell r="M214">
            <v>0.95419847328244278</v>
          </cell>
          <cell r="N214">
            <v>16.899999999999999</v>
          </cell>
          <cell r="O214">
            <v>15.7</v>
          </cell>
          <cell r="P214">
            <v>1.1999999999999993</v>
          </cell>
        </row>
        <row r="215">
          <cell r="A215" t="str">
            <v>1987:10</v>
          </cell>
          <cell r="B215">
            <v>123.46893126511758</v>
          </cell>
          <cell r="C215">
            <v>132.10004667845612</v>
          </cell>
          <cell r="D215">
            <v>0.93466228339534585</v>
          </cell>
          <cell r="E215">
            <v>123.46893126511758</v>
          </cell>
          <cell r="F215">
            <v>132.10004667845612</v>
          </cell>
          <cell r="G215">
            <v>0.93466228339534585</v>
          </cell>
          <cell r="H215">
            <v>12.9</v>
          </cell>
          <cell r="I215">
            <v>12.2</v>
          </cell>
          <cell r="J215">
            <v>0.70000000000000107</v>
          </cell>
          <cell r="K215">
            <v>130.6</v>
          </cell>
          <cell r="L215">
            <v>140.9</v>
          </cell>
          <cell r="M215">
            <v>0.92689850958126319</v>
          </cell>
          <cell r="N215">
            <v>11.8</v>
          </cell>
          <cell r="O215">
            <v>11.5</v>
          </cell>
          <cell r="P215">
            <v>0.30000000000000071</v>
          </cell>
        </row>
        <row r="216">
          <cell r="A216" t="str">
            <v>1987:11</v>
          </cell>
          <cell r="B216">
            <v>286.77119806088331</v>
          </cell>
          <cell r="C216">
            <v>277.9065874341735</v>
          </cell>
          <cell r="D216">
            <v>1.0318978067722469</v>
          </cell>
          <cell r="E216">
            <v>286.77119806088331</v>
          </cell>
          <cell r="F216">
            <v>277.9065874341735</v>
          </cell>
          <cell r="G216">
            <v>1.0318978067722469</v>
          </cell>
          <cell r="H216">
            <v>7.5</v>
          </cell>
          <cell r="I216">
            <v>7.5</v>
          </cell>
          <cell r="J216">
            <v>0</v>
          </cell>
          <cell r="K216">
            <v>283.10000000000002</v>
          </cell>
          <cell r="L216">
            <v>276.39999999999998</v>
          </cell>
          <cell r="M216">
            <v>1.0242402315484807</v>
          </cell>
          <cell r="N216">
            <v>6.6</v>
          </cell>
          <cell r="O216">
            <v>6.8</v>
          </cell>
          <cell r="P216">
            <v>-0.20000000000000018</v>
          </cell>
        </row>
        <row r="217">
          <cell r="A217" t="str">
            <v>1987:12</v>
          </cell>
          <cell r="B217">
            <v>362.00929888798214</v>
          </cell>
          <cell r="C217">
            <v>363.68818352813111</v>
          </cell>
          <cell r="D217">
            <v>0.99538372508047379</v>
          </cell>
          <cell r="E217">
            <v>362.00929888798214</v>
          </cell>
          <cell r="F217">
            <v>363.68818352813111</v>
          </cell>
          <cell r="G217">
            <v>0.99538372508047379</v>
          </cell>
          <cell r="H217">
            <v>5.5</v>
          </cell>
          <cell r="I217">
            <v>4.8</v>
          </cell>
          <cell r="J217">
            <v>0.70000000000000018</v>
          </cell>
          <cell r="K217">
            <v>356.8</v>
          </cell>
          <cell r="L217">
            <v>362.3</v>
          </cell>
          <cell r="M217">
            <v>0.98481921059895117</v>
          </cell>
          <cell r="N217">
            <v>4.5</v>
          </cell>
          <cell r="O217">
            <v>4.3</v>
          </cell>
          <cell r="P217">
            <v>0.20000000000000018</v>
          </cell>
        </row>
        <row r="218">
          <cell r="A218" t="str">
            <v>1988:1</v>
          </cell>
          <cell r="B218">
            <v>298.0871374513946</v>
          </cell>
          <cell r="C218">
            <v>392.91081774346333</v>
          </cell>
          <cell r="D218">
            <v>0.75866360504744268</v>
          </cell>
          <cell r="E218">
            <v>298.0871374513946</v>
          </cell>
          <cell r="F218">
            <v>392.91081774346333</v>
          </cell>
          <cell r="G218">
            <v>0.75866360504744268</v>
          </cell>
          <cell r="H218">
            <v>7.2</v>
          </cell>
          <cell r="I218">
            <v>3.9</v>
          </cell>
          <cell r="J218">
            <v>3.3000000000000003</v>
          </cell>
          <cell r="K218">
            <v>275.2</v>
          </cell>
          <cell r="L218">
            <v>394</v>
          </cell>
          <cell r="M218">
            <v>0.69847715736040605</v>
          </cell>
          <cell r="N218">
            <v>7.1</v>
          </cell>
          <cell r="O218">
            <v>3.3</v>
          </cell>
          <cell r="P218">
            <v>3.8</v>
          </cell>
        </row>
        <row r="219">
          <cell r="A219" t="str">
            <v>1988:2</v>
          </cell>
          <cell r="B219">
            <v>334.76240250693814</v>
          </cell>
          <cell r="C219">
            <v>331.22294910654443</v>
          </cell>
          <cell r="D219">
            <v>1.0106860149936505</v>
          </cell>
          <cell r="E219">
            <v>334.76240250693814</v>
          </cell>
          <cell r="F219">
            <v>331.22294910654443</v>
          </cell>
          <cell r="G219">
            <v>1.0106860149936505</v>
          </cell>
          <cell r="H219">
            <v>5.2</v>
          </cell>
          <cell r="I219">
            <v>4.9000000000000004</v>
          </cell>
          <cell r="J219">
            <v>0.29999999999999982</v>
          </cell>
          <cell r="K219">
            <v>323.10000000000002</v>
          </cell>
          <cell r="L219">
            <v>332.4</v>
          </cell>
          <cell r="M219">
            <v>0.97202166064981965</v>
          </cell>
          <cell r="N219">
            <v>4.9000000000000004</v>
          </cell>
          <cell r="O219">
            <v>4.2</v>
          </cell>
          <cell r="P219">
            <v>0.70000000000000018</v>
          </cell>
        </row>
        <row r="220">
          <cell r="A220" t="str">
            <v>1988:3</v>
          </cell>
          <cell r="B220">
            <v>298.58917896757072</v>
          </cell>
          <cell r="C220">
            <v>270.29253185771751</v>
          </cell>
          <cell r="D220">
            <v>1.1046889712985064</v>
          </cell>
          <cell r="E220">
            <v>298.58917896757072</v>
          </cell>
          <cell r="F220">
            <v>270.29253185771751</v>
          </cell>
          <cell r="G220">
            <v>1.1046889712985064</v>
          </cell>
          <cell r="H220">
            <v>7.1</v>
          </cell>
          <cell r="I220">
            <v>7.4</v>
          </cell>
          <cell r="J220">
            <v>-0.30000000000000071</v>
          </cell>
          <cell r="K220">
            <v>280.39999999999998</v>
          </cell>
          <cell r="L220">
            <v>281.39999999999998</v>
          </cell>
          <cell r="M220">
            <v>0.9964463397299218</v>
          </cell>
          <cell r="N220">
            <v>7</v>
          </cell>
          <cell r="O220">
            <v>6.9</v>
          </cell>
          <cell r="P220">
            <v>9.9999999999999645E-2</v>
          </cell>
        </row>
        <row r="221">
          <cell r="A221" t="str">
            <v>1988:4</v>
          </cell>
          <cell r="B221">
            <v>176.23404922588867</v>
          </cell>
          <cell r="C221">
            <v>198.63939385091356</v>
          </cell>
          <cell r="D221">
            <v>0.88720593538540016</v>
          </cell>
          <cell r="E221">
            <v>176.23404922588867</v>
          </cell>
          <cell r="F221">
            <v>198.63939385091356</v>
          </cell>
          <cell r="G221">
            <v>0.88720593538540016</v>
          </cell>
          <cell r="H221">
            <v>10.8</v>
          </cell>
          <cell r="I221">
            <v>9.9</v>
          </cell>
          <cell r="J221">
            <v>0.90000000000000036</v>
          </cell>
          <cell r="K221">
            <v>172.9</v>
          </cell>
          <cell r="L221">
            <v>188</v>
          </cell>
          <cell r="M221">
            <v>0.9196808510638298</v>
          </cell>
          <cell r="N221">
            <v>10.199999999999999</v>
          </cell>
          <cell r="O221">
            <v>9.6999999999999993</v>
          </cell>
          <cell r="P221">
            <v>0.5</v>
          </cell>
        </row>
        <row r="222">
          <cell r="A222" t="str">
            <v>1988:5</v>
          </cell>
          <cell r="B222">
            <v>72.670475570117745</v>
          </cell>
          <cell r="C222">
            <v>94.205291641343422</v>
          </cell>
          <cell r="D222">
            <v>0.77140545190165521</v>
          </cell>
          <cell r="E222">
            <v>72.670475570117745</v>
          </cell>
          <cell r="F222">
            <v>94.205291641343422</v>
          </cell>
          <cell r="G222">
            <v>0.77140545190165521</v>
          </cell>
          <cell r="H222">
            <v>14.5</v>
          </cell>
          <cell r="I222">
            <v>13.6</v>
          </cell>
          <cell r="J222">
            <v>0.90000000000000036</v>
          </cell>
          <cell r="K222">
            <v>67.400000000000006</v>
          </cell>
          <cell r="L222">
            <v>92.4</v>
          </cell>
          <cell r="M222">
            <v>0.72943722943722944</v>
          </cell>
          <cell r="N222">
            <v>14.4</v>
          </cell>
          <cell r="O222">
            <v>13.4</v>
          </cell>
          <cell r="P222">
            <v>1</v>
          </cell>
        </row>
        <row r="223">
          <cell r="A223" t="str">
            <v>1988:6</v>
          </cell>
          <cell r="B223">
            <v>30.736778814593254</v>
          </cell>
          <cell r="C223">
            <v>33.639009300779129</v>
          </cell>
          <cell r="D223">
            <v>0.91372425804113511</v>
          </cell>
          <cell r="E223">
            <v>0</v>
          </cell>
          <cell r="F223">
            <v>0</v>
          </cell>
          <cell r="G223">
            <v>1</v>
          </cell>
          <cell r="H223">
            <v>16.7</v>
          </cell>
          <cell r="I223">
            <v>16.8</v>
          </cell>
          <cell r="J223">
            <v>-0.10000000000000142</v>
          </cell>
          <cell r="K223">
            <v>23</v>
          </cell>
          <cell r="L223">
            <v>29.5</v>
          </cell>
          <cell r="M223">
            <v>0.77966101694915257</v>
          </cell>
          <cell r="N223">
            <v>16.100000000000001</v>
          </cell>
          <cell r="O223">
            <v>16.399999999999999</v>
          </cell>
          <cell r="P223">
            <v>-0.29999999999999716</v>
          </cell>
        </row>
        <row r="224">
          <cell r="A224" t="str">
            <v>1988:7</v>
          </cell>
          <cell r="B224">
            <v>14.74141423222561</v>
          </cell>
          <cell r="C224">
            <v>9.8992241828118033</v>
          </cell>
          <cell r="D224">
            <v>1.4891484383009919</v>
          </cell>
          <cell r="E224">
            <v>0</v>
          </cell>
          <cell r="F224">
            <v>0</v>
          </cell>
          <cell r="G224">
            <v>1</v>
          </cell>
          <cell r="H224">
            <v>18.3</v>
          </cell>
          <cell r="I224">
            <v>18.899999999999999</v>
          </cell>
          <cell r="J224">
            <v>-0.59999999999999787</v>
          </cell>
          <cell r="K224">
            <v>6.1</v>
          </cell>
          <cell r="L224">
            <v>8.1999999999999993</v>
          </cell>
          <cell r="M224">
            <v>0.74390243902439024</v>
          </cell>
          <cell r="N224">
            <v>17.399999999999999</v>
          </cell>
          <cell r="O224">
            <v>18.3</v>
          </cell>
          <cell r="P224">
            <v>-0.90000000000000213</v>
          </cell>
        </row>
        <row r="225">
          <cell r="A225" t="str">
            <v>1988:8</v>
          </cell>
          <cell r="B225">
            <v>13.13226944792317</v>
          </cell>
          <cell r="C225">
            <v>9.4425505166936539</v>
          </cell>
          <cell r="D225">
            <v>1.3907544815043771</v>
          </cell>
          <cell r="E225">
            <v>0</v>
          </cell>
          <cell r="F225">
            <v>0</v>
          </cell>
          <cell r="G225">
            <v>1</v>
          </cell>
          <cell r="H225">
            <v>19.100000000000001</v>
          </cell>
          <cell r="I225">
            <v>18.7</v>
          </cell>
          <cell r="J225">
            <v>0.40000000000000213</v>
          </cell>
          <cell r="K225">
            <v>5.5</v>
          </cell>
          <cell r="L225">
            <v>9.6</v>
          </cell>
          <cell r="M225">
            <v>0.57291666666666674</v>
          </cell>
          <cell r="N225">
            <v>18.5</v>
          </cell>
          <cell r="O225">
            <v>18</v>
          </cell>
          <cell r="P225">
            <v>0.5</v>
          </cell>
        </row>
        <row r="226">
          <cell r="A226" t="str">
            <v>1988:9</v>
          </cell>
          <cell r="B226">
            <v>49.653607924482557</v>
          </cell>
          <cell r="C226">
            <v>43.697695496746512</v>
          </cell>
          <cell r="D226">
            <v>1.1362980898656199</v>
          </cell>
          <cell r="E226">
            <v>0</v>
          </cell>
          <cell r="F226">
            <v>0</v>
          </cell>
          <cell r="G226">
            <v>1</v>
          </cell>
          <cell r="H226">
            <v>15.8</v>
          </cell>
          <cell r="I226">
            <v>16.3</v>
          </cell>
          <cell r="J226">
            <v>-0.5</v>
          </cell>
          <cell r="K226">
            <v>43.2</v>
          </cell>
          <cell r="L226">
            <v>39.299999999999997</v>
          </cell>
          <cell r="M226">
            <v>1.0992366412213741</v>
          </cell>
          <cell r="N226">
            <v>15</v>
          </cell>
          <cell r="O226">
            <v>15.7</v>
          </cell>
          <cell r="P226">
            <v>-0.69999999999999929</v>
          </cell>
        </row>
        <row r="227">
          <cell r="A227" t="str">
            <v>1988:10</v>
          </cell>
          <cell r="B227">
            <v>113.79928251706151</v>
          </cell>
          <cell r="C227">
            <v>132.10004667845612</v>
          </cell>
          <cell r="D227">
            <v>0.86146284863971034</v>
          </cell>
          <cell r="E227">
            <v>113.79928251706151</v>
          </cell>
          <cell r="F227">
            <v>132.10004667845612</v>
          </cell>
          <cell r="G227">
            <v>0.86146284863971034</v>
          </cell>
          <cell r="H227">
            <v>13.1</v>
          </cell>
          <cell r="I227">
            <v>12.2</v>
          </cell>
          <cell r="J227">
            <v>0.90000000000000036</v>
          </cell>
          <cell r="K227">
            <v>125.5</v>
          </cell>
          <cell r="L227">
            <v>140.9</v>
          </cell>
          <cell r="M227">
            <v>0.89070262597586936</v>
          </cell>
          <cell r="N227">
            <v>12</v>
          </cell>
          <cell r="O227">
            <v>11.5</v>
          </cell>
          <cell r="P227">
            <v>0.5</v>
          </cell>
        </row>
        <row r="228">
          <cell r="A228" t="str">
            <v>1988:11</v>
          </cell>
          <cell r="B228">
            <v>310.68211492215397</v>
          </cell>
          <cell r="C228">
            <v>277.9065874341735</v>
          </cell>
          <cell r="D228">
            <v>1.1179372097314673</v>
          </cell>
          <cell r="E228">
            <v>310.68211492215397</v>
          </cell>
          <cell r="F228">
            <v>277.9065874341735</v>
          </cell>
          <cell r="G228">
            <v>1.1179372097314673</v>
          </cell>
          <cell r="H228">
            <v>6.5</v>
          </cell>
          <cell r="I228">
            <v>7.5</v>
          </cell>
          <cell r="J228">
            <v>-1</v>
          </cell>
          <cell r="K228">
            <v>305.39999999999998</v>
          </cell>
          <cell r="L228">
            <v>276.39999999999998</v>
          </cell>
          <cell r="M228">
            <v>1.1049204052098409</v>
          </cell>
          <cell r="N228">
            <v>5.8</v>
          </cell>
          <cell r="O228">
            <v>6.8</v>
          </cell>
          <cell r="P228">
            <v>-1</v>
          </cell>
        </row>
        <row r="229">
          <cell r="A229" t="str">
            <v>1988:12</v>
          </cell>
          <cell r="B229">
            <v>325.02554054156815</v>
          </cell>
          <cell r="C229">
            <v>363.68818352813111</v>
          </cell>
          <cell r="D229">
            <v>0.89369288105129641</v>
          </cell>
          <cell r="E229">
            <v>325.02554054156815</v>
          </cell>
          <cell r="F229">
            <v>363.68818352813111</v>
          </cell>
          <cell r="G229">
            <v>0.89369288105129641</v>
          </cell>
          <cell r="H229">
            <v>6.4</v>
          </cell>
          <cell r="I229">
            <v>4.8</v>
          </cell>
          <cell r="J229">
            <v>1.6000000000000005</v>
          </cell>
          <cell r="K229">
            <v>265</v>
          </cell>
          <cell r="L229">
            <v>362.3</v>
          </cell>
          <cell r="M229">
            <v>0.73143803477780844</v>
          </cell>
          <cell r="N229">
            <v>7.5</v>
          </cell>
          <cell r="O229">
            <v>4.3</v>
          </cell>
          <cell r="P229">
            <v>3.2</v>
          </cell>
        </row>
        <row r="230">
          <cell r="A230" t="str">
            <v>1989:1</v>
          </cell>
          <cell r="B230">
            <v>384.47695695259597</v>
          </cell>
          <cell r="C230">
            <v>392.91081774346333</v>
          </cell>
          <cell r="D230">
            <v>0.97853492342281623</v>
          </cell>
          <cell r="E230">
            <v>384.47695695259597</v>
          </cell>
          <cell r="F230">
            <v>392.91081774346333</v>
          </cell>
          <cell r="G230">
            <v>0.97853492342281623</v>
          </cell>
          <cell r="H230">
            <v>4.4000000000000004</v>
          </cell>
          <cell r="I230">
            <v>3.9</v>
          </cell>
          <cell r="J230">
            <v>0.50000000000000044</v>
          </cell>
          <cell r="K230">
            <v>368.4</v>
          </cell>
          <cell r="L230">
            <v>394</v>
          </cell>
          <cell r="M230">
            <v>0.93502538071065988</v>
          </cell>
          <cell r="N230">
            <v>4.0999999999999996</v>
          </cell>
          <cell r="O230">
            <v>3.3</v>
          </cell>
          <cell r="P230">
            <v>0.79999999999999982</v>
          </cell>
        </row>
        <row r="231">
          <cell r="A231" t="str">
            <v>1989:2</v>
          </cell>
          <cell r="B231">
            <v>303.15086467853394</v>
          </cell>
          <cell r="C231">
            <v>331.22294910654443</v>
          </cell>
          <cell r="D231">
            <v>0.91524716356842606</v>
          </cell>
          <cell r="E231">
            <v>303.15086467853394</v>
          </cell>
          <cell r="F231">
            <v>331.22294910654443</v>
          </cell>
          <cell r="G231">
            <v>0.91524716356842606</v>
          </cell>
          <cell r="H231">
            <v>5.9</v>
          </cell>
          <cell r="I231">
            <v>4.9000000000000004</v>
          </cell>
          <cell r="J231">
            <v>1</v>
          </cell>
          <cell r="K231">
            <v>288.7</v>
          </cell>
          <cell r="L231">
            <v>332.4</v>
          </cell>
          <cell r="M231">
            <v>0.86853188929001202</v>
          </cell>
          <cell r="N231">
            <v>5.7</v>
          </cell>
          <cell r="O231">
            <v>4.2</v>
          </cell>
          <cell r="P231">
            <v>1.5</v>
          </cell>
        </row>
        <row r="232">
          <cell r="A232" t="str">
            <v>1989:3</v>
          </cell>
          <cell r="B232">
            <v>209.53090282551324</v>
          </cell>
          <cell r="C232">
            <v>270.29253185771751</v>
          </cell>
          <cell r="D232">
            <v>0.77520048883855475</v>
          </cell>
          <cell r="E232">
            <v>209.53090282551324</v>
          </cell>
          <cell r="F232">
            <v>270.29253185771751</v>
          </cell>
          <cell r="G232">
            <v>0.77520048883855475</v>
          </cell>
          <cell r="H232">
            <v>9.8000000000000007</v>
          </cell>
          <cell r="I232">
            <v>7.4</v>
          </cell>
          <cell r="J232">
            <v>2.4000000000000004</v>
          </cell>
          <cell r="K232">
            <v>189.3</v>
          </cell>
          <cell r="L232">
            <v>281.39999999999998</v>
          </cell>
          <cell r="M232">
            <v>0.67270788912579971</v>
          </cell>
          <cell r="N232">
            <v>9.9</v>
          </cell>
          <cell r="O232">
            <v>6.9</v>
          </cell>
          <cell r="P232">
            <v>3</v>
          </cell>
        </row>
        <row r="233">
          <cell r="A233" t="str">
            <v>1989:4</v>
          </cell>
          <cell r="B233">
            <v>234.17459364615181</v>
          </cell>
          <cell r="C233">
            <v>198.63939385091356</v>
          </cell>
          <cell r="D233">
            <v>1.1788930136481828</v>
          </cell>
          <cell r="E233">
            <v>234.17459364615181</v>
          </cell>
          <cell r="F233">
            <v>198.63939385091356</v>
          </cell>
          <cell r="G233">
            <v>1.1788930136481828</v>
          </cell>
          <cell r="H233">
            <v>8.8000000000000007</v>
          </cell>
          <cell r="I233">
            <v>9.9</v>
          </cell>
          <cell r="J233">
            <v>-1.0999999999999996</v>
          </cell>
          <cell r="K233">
            <v>234.4</v>
          </cell>
          <cell r="L233">
            <v>188</v>
          </cell>
          <cell r="M233">
            <v>1.246808510638298</v>
          </cell>
          <cell r="N233">
            <v>8.1999999999999993</v>
          </cell>
          <cell r="O233">
            <v>9.6999999999999993</v>
          </cell>
          <cell r="P233">
            <v>-1.5</v>
          </cell>
        </row>
        <row r="234">
          <cell r="A234" t="str">
            <v>1989:5</v>
          </cell>
          <cell r="B234">
            <v>48.046922882966975</v>
          </cell>
          <cell r="C234">
            <v>94.205291641343422</v>
          </cell>
          <cell r="D234">
            <v>0.510023609564209</v>
          </cell>
          <cell r="E234">
            <v>48.046922882966975</v>
          </cell>
          <cell r="F234">
            <v>94.205291641343422</v>
          </cell>
          <cell r="G234">
            <v>0.510023609564209</v>
          </cell>
          <cell r="H234">
            <v>16.2</v>
          </cell>
          <cell r="I234">
            <v>13.6</v>
          </cell>
          <cell r="J234">
            <v>2.5999999999999996</v>
          </cell>
          <cell r="K234">
            <v>39.299999999999997</v>
          </cell>
          <cell r="L234">
            <v>92.4</v>
          </cell>
          <cell r="M234">
            <v>0.42532467532467527</v>
          </cell>
          <cell r="N234">
            <v>16.3</v>
          </cell>
          <cell r="O234">
            <v>13.4</v>
          </cell>
          <cell r="P234">
            <v>2.9000000000000004</v>
          </cell>
        </row>
        <row r="235">
          <cell r="A235" t="str">
            <v>1989:6</v>
          </cell>
          <cell r="B235">
            <v>41.813888581530648</v>
          </cell>
          <cell r="C235">
            <v>33.639009300779129</v>
          </cell>
          <cell r="D235">
            <v>1.243017837049148</v>
          </cell>
          <cell r="E235">
            <v>0</v>
          </cell>
          <cell r="F235">
            <v>0</v>
          </cell>
          <cell r="G235">
            <v>1</v>
          </cell>
          <cell r="H235">
            <v>17.399999999999999</v>
          </cell>
          <cell r="I235">
            <v>16.8</v>
          </cell>
          <cell r="J235">
            <v>0.59999999999999787</v>
          </cell>
          <cell r="K235">
            <v>40.700000000000003</v>
          </cell>
          <cell r="L235">
            <v>29.5</v>
          </cell>
          <cell r="M235">
            <v>1.3796610169491526</v>
          </cell>
          <cell r="N235">
            <v>16.899999999999999</v>
          </cell>
          <cell r="O235">
            <v>16.399999999999999</v>
          </cell>
          <cell r="P235">
            <v>0.5</v>
          </cell>
        </row>
        <row r="236">
          <cell r="A236" t="str">
            <v>1989:7</v>
          </cell>
          <cell r="B236">
            <v>2.0438669763584594</v>
          </cell>
          <cell r="C236">
            <v>9.8992241828118033</v>
          </cell>
          <cell r="D236">
            <v>0.20646738962708425</v>
          </cell>
          <cell r="E236">
            <v>0</v>
          </cell>
          <cell r="F236">
            <v>0</v>
          </cell>
          <cell r="G236">
            <v>1</v>
          </cell>
          <cell r="H236">
            <v>20.7</v>
          </cell>
          <cell r="I236">
            <v>18.899999999999999</v>
          </cell>
          <cell r="J236">
            <v>1.8000000000000007</v>
          </cell>
          <cell r="K236">
            <v>0.1</v>
          </cell>
          <cell r="L236">
            <v>8.1999999999999993</v>
          </cell>
          <cell r="M236">
            <v>1.2195121951219514E-2</v>
          </cell>
          <cell r="N236">
            <v>20</v>
          </cell>
          <cell r="O236">
            <v>18.3</v>
          </cell>
          <cell r="P236">
            <v>1.6999999999999993</v>
          </cell>
        </row>
        <row r="237">
          <cell r="A237" t="str">
            <v>1989:8</v>
          </cell>
          <cell r="B237">
            <v>6.0783374860161512</v>
          </cell>
          <cell r="C237">
            <v>9.4425505166936539</v>
          </cell>
          <cell r="D237">
            <v>0.64371776198286146</v>
          </cell>
          <cell r="E237">
            <v>0</v>
          </cell>
          <cell r="F237">
            <v>0</v>
          </cell>
          <cell r="G237">
            <v>1</v>
          </cell>
          <cell r="H237">
            <v>19.8</v>
          </cell>
          <cell r="I237">
            <v>18.7</v>
          </cell>
          <cell r="J237">
            <v>1.1000000000000014</v>
          </cell>
          <cell r="K237">
            <v>1.7</v>
          </cell>
          <cell r="L237">
            <v>9.6</v>
          </cell>
          <cell r="M237">
            <v>0.17708333333333334</v>
          </cell>
          <cell r="N237">
            <v>19.100000000000001</v>
          </cell>
          <cell r="O237">
            <v>18</v>
          </cell>
          <cell r="P237">
            <v>1.1000000000000014</v>
          </cell>
        </row>
        <row r="238">
          <cell r="A238" t="str">
            <v>1989:9</v>
          </cell>
          <cell r="B238">
            <v>31.730262619130269</v>
          </cell>
          <cell r="C238">
            <v>43.697695496746512</v>
          </cell>
          <cell r="D238">
            <v>0.72613125837477466</v>
          </cell>
          <cell r="E238">
            <v>0</v>
          </cell>
          <cell r="F238">
            <v>0</v>
          </cell>
          <cell r="G238">
            <v>1</v>
          </cell>
          <cell r="H238">
            <v>16.600000000000001</v>
          </cell>
          <cell r="I238">
            <v>16.3</v>
          </cell>
          <cell r="J238">
            <v>0.30000000000000071</v>
          </cell>
          <cell r="K238">
            <v>24.9</v>
          </cell>
          <cell r="L238">
            <v>39.299999999999997</v>
          </cell>
          <cell r="M238">
            <v>0.63358778625954204</v>
          </cell>
          <cell r="N238">
            <v>16.3</v>
          </cell>
          <cell r="O238">
            <v>15.7</v>
          </cell>
          <cell r="P238">
            <v>0.60000000000000142</v>
          </cell>
        </row>
        <row r="239">
          <cell r="A239" t="str">
            <v>1989:10</v>
          </cell>
          <cell r="B239">
            <v>96.956670111167625</v>
          </cell>
          <cell r="C239">
            <v>132.10004667845612</v>
          </cell>
          <cell r="D239">
            <v>0.73396393528284842</v>
          </cell>
          <cell r="E239">
            <v>96.956670111167625</v>
          </cell>
          <cell r="F239">
            <v>132.10004667845612</v>
          </cell>
          <cell r="G239">
            <v>0.73396393528284842</v>
          </cell>
          <cell r="H239">
            <v>13.4</v>
          </cell>
          <cell r="I239">
            <v>12.2</v>
          </cell>
          <cell r="J239">
            <v>1.2000000000000011</v>
          </cell>
          <cell r="K239">
            <v>82.6</v>
          </cell>
          <cell r="L239">
            <v>140.9</v>
          </cell>
          <cell r="M239">
            <v>0.58623136976579127</v>
          </cell>
          <cell r="N239">
            <v>13.5</v>
          </cell>
          <cell r="O239">
            <v>11.5</v>
          </cell>
          <cell r="P239">
            <v>2</v>
          </cell>
        </row>
        <row r="240">
          <cell r="A240" t="str">
            <v>1989:11</v>
          </cell>
          <cell r="B240">
            <v>288.14576074412162</v>
          </cell>
          <cell r="C240">
            <v>277.9065874341735</v>
          </cell>
          <cell r="D240">
            <v>1.0368439388374464</v>
          </cell>
          <cell r="E240">
            <v>288.14576074412162</v>
          </cell>
          <cell r="F240">
            <v>277.9065874341735</v>
          </cell>
          <cell r="G240">
            <v>1.0368439388374464</v>
          </cell>
          <cell r="H240">
            <v>7.1</v>
          </cell>
          <cell r="I240">
            <v>7.5</v>
          </cell>
          <cell r="J240">
            <v>-0.40000000000000036</v>
          </cell>
          <cell r="K240">
            <v>308.2</v>
          </cell>
          <cell r="L240">
            <v>276.39999999999998</v>
          </cell>
          <cell r="M240">
            <v>1.1150506512301013</v>
          </cell>
          <cell r="N240">
            <v>5.7</v>
          </cell>
          <cell r="O240">
            <v>6.8</v>
          </cell>
          <cell r="P240">
            <v>-1.0999999999999996</v>
          </cell>
        </row>
        <row r="241">
          <cell r="A241" t="str">
            <v>1989:12</v>
          </cell>
          <cell r="B241">
            <v>339.94527150650663</v>
          </cell>
          <cell r="C241">
            <v>363.68818352813111</v>
          </cell>
          <cell r="D241">
            <v>0.93471629517545773</v>
          </cell>
          <cell r="E241">
            <v>339.94527150650663</v>
          </cell>
          <cell r="F241">
            <v>363.68818352813111</v>
          </cell>
          <cell r="G241">
            <v>0.93471629517545773</v>
          </cell>
          <cell r="H241">
            <v>6</v>
          </cell>
          <cell r="I241">
            <v>4.8</v>
          </cell>
          <cell r="J241">
            <v>1.2000000000000002</v>
          </cell>
          <cell r="K241">
            <v>352.8</v>
          </cell>
          <cell r="L241">
            <v>362.3</v>
          </cell>
          <cell r="M241">
            <v>0.97377863648909746</v>
          </cell>
          <cell r="N241">
            <v>4.5999999999999996</v>
          </cell>
          <cell r="O241">
            <v>4.3</v>
          </cell>
          <cell r="P241">
            <v>0.29999999999999982</v>
          </cell>
        </row>
        <row r="242">
          <cell r="A242" t="str">
            <v>1990:1</v>
          </cell>
          <cell r="B242">
            <v>362.58407611059732</v>
          </cell>
          <cell r="C242">
            <v>392.91081774346333</v>
          </cell>
          <cell r="D242">
            <v>0.92281520318774546</v>
          </cell>
          <cell r="E242">
            <v>362.58407611059732</v>
          </cell>
          <cell r="F242">
            <v>392.91081774346333</v>
          </cell>
          <cell r="G242">
            <v>0.92281520318774546</v>
          </cell>
          <cell r="H242">
            <v>5.2</v>
          </cell>
          <cell r="I242">
            <v>3.9</v>
          </cell>
          <cell r="J242">
            <v>1.3000000000000003</v>
          </cell>
          <cell r="K242">
            <v>322.60000000000002</v>
          </cell>
          <cell r="L242">
            <v>394</v>
          </cell>
          <cell r="M242">
            <v>0.81878172588832498</v>
          </cell>
          <cell r="N242">
            <v>5.6</v>
          </cell>
          <cell r="O242">
            <v>3.3</v>
          </cell>
          <cell r="P242">
            <v>2.2999999999999998</v>
          </cell>
        </row>
        <row r="243">
          <cell r="A243" t="str">
            <v>1990:2</v>
          </cell>
          <cell r="B243">
            <v>204.51005614815651</v>
          </cell>
          <cell r="C243">
            <v>331.22294910654443</v>
          </cell>
          <cell r="D243">
            <v>0.61743927073836835</v>
          </cell>
          <cell r="E243">
            <v>204.51005614815651</v>
          </cell>
          <cell r="F243">
            <v>331.22294910654443</v>
          </cell>
          <cell r="G243">
            <v>0.61743927073836835</v>
          </cell>
          <cell r="H243">
            <v>9.3000000000000007</v>
          </cell>
          <cell r="I243">
            <v>4.9000000000000004</v>
          </cell>
          <cell r="J243">
            <v>4.4000000000000004</v>
          </cell>
          <cell r="K243">
            <v>197.2</v>
          </cell>
          <cell r="L243">
            <v>332.4</v>
          </cell>
          <cell r="M243">
            <v>0.59326113116726831</v>
          </cell>
          <cell r="N243">
            <v>9</v>
          </cell>
          <cell r="O243">
            <v>4.2</v>
          </cell>
          <cell r="P243">
            <v>4.8</v>
          </cell>
        </row>
        <row r="244">
          <cell r="A244" t="str">
            <v>1990:3</v>
          </cell>
          <cell r="B244">
            <v>232.9552913250611</v>
          </cell>
          <cell r="C244">
            <v>270.29253185771751</v>
          </cell>
          <cell r="D244">
            <v>0.86186358803168561</v>
          </cell>
          <cell r="E244">
            <v>232.9552913250611</v>
          </cell>
          <cell r="F244">
            <v>270.29253185771751</v>
          </cell>
          <cell r="G244">
            <v>0.86186358803168561</v>
          </cell>
          <cell r="H244">
            <v>9.1</v>
          </cell>
          <cell r="I244">
            <v>7.4</v>
          </cell>
          <cell r="J244">
            <v>1.6999999999999993</v>
          </cell>
          <cell r="K244">
            <v>228.5</v>
          </cell>
          <cell r="L244">
            <v>281.39999999999998</v>
          </cell>
          <cell r="M244">
            <v>0.8120113717128643</v>
          </cell>
          <cell r="N244">
            <v>8.6</v>
          </cell>
          <cell r="O244">
            <v>6.9</v>
          </cell>
          <cell r="P244">
            <v>1.6999999999999993</v>
          </cell>
        </row>
        <row r="245">
          <cell r="A245" t="str">
            <v>1990:4</v>
          </cell>
          <cell r="B245">
            <v>213.67790529883811</v>
          </cell>
          <cell r="C245">
            <v>198.63939385091356</v>
          </cell>
          <cell r="D245">
            <v>1.0757075983589213</v>
          </cell>
          <cell r="E245">
            <v>213.67790529883811</v>
          </cell>
          <cell r="F245">
            <v>198.63939385091356</v>
          </cell>
          <cell r="G245">
            <v>1.0757075983589213</v>
          </cell>
          <cell r="H245">
            <v>9.4</v>
          </cell>
          <cell r="I245">
            <v>9.9</v>
          </cell>
          <cell r="J245">
            <v>-0.5</v>
          </cell>
          <cell r="K245">
            <v>209.3</v>
          </cell>
          <cell r="L245">
            <v>188</v>
          </cell>
          <cell r="M245">
            <v>1.1132978723404257</v>
          </cell>
          <cell r="N245">
            <v>9</v>
          </cell>
          <cell r="O245">
            <v>9.6999999999999993</v>
          </cell>
          <cell r="P245">
            <v>-0.69999999999999929</v>
          </cell>
        </row>
        <row r="246">
          <cell r="A246" t="str">
            <v>1990:5</v>
          </cell>
          <cell r="B246">
            <v>38.771187436019048</v>
          </cell>
          <cell r="C246">
            <v>94.205291641343422</v>
          </cell>
          <cell r="D246">
            <v>0.41156061151668599</v>
          </cell>
          <cell r="E246">
            <v>38.771187436019048</v>
          </cell>
          <cell r="F246">
            <v>94.205291641343422</v>
          </cell>
          <cell r="G246">
            <v>0.41156061151668599</v>
          </cell>
          <cell r="H246">
            <v>16</v>
          </cell>
          <cell r="I246">
            <v>13.6</v>
          </cell>
          <cell r="J246">
            <v>2.4000000000000004</v>
          </cell>
          <cell r="K246">
            <v>34.200000000000003</v>
          </cell>
          <cell r="L246">
            <v>92.4</v>
          </cell>
          <cell r="M246">
            <v>0.37012987012987014</v>
          </cell>
          <cell r="N246">
            <v>15.6</v>
          </cell>
          <cell r="O246">
            <v>13.4</v>
          </cell>
          <cell r="P246">
            <v>2.1999999999999993</v>
          </cell>
        </row>
        <row r="247">
          <cell r="A247" t="str">
            <v>1990:6</v>
          </cell>
          <cell r="B247">
            <v>42.60519770236349</v>
          </cell>
          <cell r="C247">
            <v>33.639009300779129</v>
          </cell>
          <cell r="D247">
            <v>1.2665413931015113</v>
          </cell>
          <cell r="E247">
            <v>0</v>
          </cell>
          <cell r="F247">
            <v>0</v>
          </cell>
          <cell r="G247">
            <v>1</v>
          </cell>
          <cell r="H247">
            <v>16.5</v>
          </cell>
          <cell r="I247">
            <v>16.8</v>
          </cell>
          <cell r="J247">
            <v>-0.30000000000000071</v>
          </cell>
          <cell r="K247">
            <v>44.2</v>
          </cell>
          <cell r="L247">
            <v>29.5</v>
          </cell>
          <cell r="M247">
            <v>1.4983050847457628</v>
          </cell>
          <cell r="N247">
            <v>15.6</v>
          </cell>
          <cell r="O247">
            <v>16.399999999999999</v>
          </cell>
          <cell r="P247">
            <v>-0.79999999999999893</v>
          </cell>
        </row>
        <row r="248">
          <cell r="A248" t="str">
            <v>1990:7</v>
          </cell>
          <cell r="B248">
            <v>12.809707656882932</v>
          </cell>
          <cell r="C248">
            <v>9.8992241828118033</v>
          </cell>
          <cell r="D248">
            <v>1.2940112700068609</v>
          </cell>
          <cell r="E248">
            <v>0</v>
          </cell>
          <cell r="F248">
            <v>0</v>
          </cell>
          <cell r="G248">
            <v>1</v>
          </cell>
          <cell r="H248">
            <v>20.2</v>
          </cell>
          <cell r="I248">
            <v>18.899999999999999</v>
          </cell>
          <cell r="J248">
            <v>1.3000000000000007</v>
          </cell>
          <cell r="K248">
            <v>7.2</v>
          </cell>
          <cell r="L248">
            <v>8.1999999999999993</v>
          </cell>
          <cell r="M248">
            <v>0.87804878048780499</v>
          </cell>
          <cell r="N248">
            <v>19.600000000000001</v>
          </cell>
          <cell r="O248">
            <v>18.3</v>
          </cell>
          <cell r="P248">
            <v>1.3000000000000007</v>
          </cell>
        </row>
        <row r="249">
          <cell r="A249" t="str">
            <v>1990:8</v>
          </cell>
          <cell r="B249">
            <v>4.5114874707346297</v>
          </cell>
          <cell r="C249">
            <v>9.4425505166936539</v>
          </cell>
          <cell r="D249">
            <v>0.47778272011981193</v>
          </cell>
          <cell r="E249">
            <v>0</v>
          </cell>
          <cell r="F249">
            <v>0</v>
          </cell>
          <cell r="G249">
            <v>1</v>
          </cell>
          <cell r="H249">
            <v>20.9</v>
          </cell>
          <cell r="I249">
            <v>18.7</v>
          </cell>
          <cell r="J249">
            <v>2.1999999999999993</v>
          </cell>
          <cell r="K249">
            <v>0.3</v>
          </cell>
          <cell r="L249">
            <v>9.6</v>
          </cell>
          <cell r="M249">
            <v>3.125E-2</v>
          </cell>
          <cell r="N249">
            <v>21.1</v>
          </cell>
          <cell r="O249">
            <v>18</v>
          </cell>
          <cell r="P249">
            <v>3.1000000000000014</v>
          </cell>
        </row>
        <row r="250">
          <cell r="A250" t="str">
            <v>1990:9</v>
          </cell>
          <cell r="B250">
            <v>48.873027606960171</v>
          </cell>
          <cell r="C250">
            <v>43.697695496746512</v>
          </cell>
          <cell r="D250">
            <v>1.1184348980279517</v>
          </cell>
          <cell r="E250">
            <v>0</v>
          </cell>
          <cell r="F250">
            <v>0</v>
          </cell>
          <cell r="G250">
            <v>1</v>
          </cell>
          <cell r="H250">
            <v>16</v>
          </cell>
          <cell r="I250">
            <v>16.3</v>
          </cell>
          <cell r="J250">
            <v>-0.30000000000000071</v>
          </cell>
          <cell r="K250">
            <v>49.6</v>
          </cell>
          <cell r="L250">
            <v>39.299999999999997</v>
          </cell>
          <cell r="M250">
            <v>1.2620865139949111</v>
          </cell>
          <cell r="N250">
            <v>14.7</v>
          </cell>
          <cell r="O250">
            <v>15.7</v>
          </cell>
          <cell r="P250">
            <v>-1</v>
          </cell>
        </row>
        <row r="251">
          <cell r="A251" t="str">
            <v>1990:10</v>
          </cell>
          <cell r="B251">
            <v>96.818300272076826</v>
          </cell>
          <cell r="C251">
            <v>132.10004667845612</v>
          </cell>
          <cell r="D251">
            <v>0.73291647282867078</v>
          </cell>
          <cell r="E251">
            <v>96.818300272076826</v>
          </cell>
          <cell r="F251">
            <v>132.10004667845612</v>
          </cell>
          <cell r="G251">
            <v>0.73291647282867078</v>
          </cell>
          <cell r="H251">
            <v>13.8</v>
          </cell>
          <cell r="I251">
            <v>12.2</v>
          </cell>
          <cell r="J251">
            <v>1.6000000000000014</v>
          </cell>
          <cell r="K251">
            <v>93.3</v>
          </cell>
          <cell r="L251">
            <v>140.9</v>
          </cell>
          <cell r="M251">
            <v>0.66217175301632358</v>
          </cell>
          <cell r="N251">
            <v>13.3</v>
          </cell>
          <cell r="O251">
            <v>11.5</v>
          </cell>
          <cell r="P251">
            <v>1.8000000000000007</v>
          </cell>
        </row>
        <row r="252">
          <cell r="A252" t="str">
            <v>1990:11</v>
          </cell>
          <cell r="B252">
            <v>275.33746323442398</v>
          </cell>
          <cell r="C252">
            <v>277.9065874341735</v>
          </cell>
          <cell r="D252">
            <v>0.99075543971998126</v>
          </cell>
          <cell r="E252">
            <v>275.33746323442398</v>
          </cell>
          <cell r="F252">
            <v>277.9065874341735</v>
          </cell>
          <cell r="G252">
            <v>0.99075543971998126</v>
          </cell>
          <cell r="H252">
            <v>7.6</v>
          </cell>
          <cell r="I252">
            <v>7.5</v>
          </cell>
          <cell r="J252">
            <v>9.9999999999999645E-2</v>
          </cell>
          <cell r="K252">
            <v>266.89999999999998</v>
          </cell>
          <cell r="L252">
            <v>276.39999999999998</v>
          </cell>
          <cell r="M252">
            <v>0.96562952243125899</v>
          </cell>
          <cell r="N252">
            <v>7.1</v>
          </cell>
          <cell r="O252">
            <v>6.8</v>
          </cell>
          <cell r="P252">
            <v>0.29999999999999982</v>
          </cell>
        </row>
        <row r="253">
          <cell r="A253" t="str">
            <v>1990:12</v>
          </cell>
          <cell r="B253">
            <v>421.38285831916613</v>
          </cell>
          <cell r="C253">
            <v>363.68818352813111</v>
          </cell>
          <cell r="D253">
            <v>1.1586377490501347</v>
          </cell>
          <cell r="E253">
            <v>421.38285831916613</v>
          </cell>
          <cell r="F253">
            <v>363.68818352813111</v>
          </cell>
          <cell r="G253">
            <v>1.1586377490501347</v>
          </cell>
          <cell r="H253">
            <v>3.4</v>
          </cell>
          <cell r="I253">
            <v>4.8</v>
          </cell>
          <cell r="J253">
            <v>-1.4</v>
          </cell>
          <cell r="K253">
            <v>377.1</v>
          </cell>
          <cell r="L253">
            <v>362.3</v>
          </cell>
          <cell r="M253">
            <v>1.0408501242064587</v>
          </cell>
          <cell r="N253">
            <v>3.8</v>
          </cell>
          <cell r="O253">
            <v>4.3</v>
          </cell>
          <cell r="P253">
            <v>-0.5</v>
          </cell>
        </row>
        <row r="254">
          <cell r="A254" t="str">
            <v>1991:1</v>
          </cell>
          <cell r="B254">
            <v>391.33043791358261</v>
          </cell>
          <cell r="C254">
            <v>392.91081774346333</v>
          </cell>
          <cell r="D254">
            <v>0.99597776452438491</v>
          </cell>
          <cell r="E254">
            <v>391.33043791358261</v>
          </cell>
          <cell r="F254">
            <v>392.91081774346333</v>
          </cell>
          <cell r="G254">
            <v>0.99597776452438491</v>
          </cell>
          <cell r="H254">
            <v>4.2</v>
          </cell>
          <cell r="I254">
            <v>3.9</v>
          </cell>
          <cell r="J254">
            <v>0.30000000000000027</v>
          </cell>
          <cell r="K254">
            <v>370.5</v>
          </cell>
          <cell r="L254">
            <v>394</v>
          </cell>
          <cell r="M254">
            <v>0.94035532994923854</v>
          </cell>
          <cell r="N254">
            <v>4</v>
          </cell>
          <cell r="O254">
            <v>3.3</v>
          </cell>
          <cell r="P254">
            <v>0.70000000000000018</v>
          </cell>
        </row>
        <row r="255">
          <cell r="A255" t="str">
            <v>1991:2</v>
          </cell>
          <cell r="B255">
            <v>409.89907181493953</v>
          </cell>
          <cell r="C255">
            <v>331.22294910654443</v>
          </cell>
          <cell r="D255">
            <v>1.2375322208820965</v>
          </cell>
          <cell r="E255">
            <v>409.89907181493953</v>
          </cell>
          <cell r="F255">
            <v>331.22294910654443</v>
          </cell>
          <cell r="G255">
            <v>1.2375322208820965</v>
          </cell>
          <cell r="H255">
            <v>2.2000000000000002</v>
          </cell>
          <cell r="I255">
            <v>4.9000000000000004</v>
          </cell>
          <cell r="J255">
            <v>-2.7</v>
          </cell>
          <cell r="K255">
            <v>427.9</v>
          </cell>
          <cell r="L255">
            <v>332.4</v>
          </cell>
          <cell r="M255">
            <v>1.2873044524669073</v>
          </cell>
          <cell r="N255">
            <v>0.7</v>
          </cell>
          <cell r="O255">
            <v>4.2</v>
          </cell>
          <cell r="P255">
            <v>-3.5</v>
          </cell>
        </row>
        <row r="256">
          <cell r="A256" t="str">
            <v>1991:3</v>
          </cell>
          <cell r="B256">
            <v>210.81225899907204</v>
          </cell>
          <cell r="C256">
            <v>270.29253185771751</v>
          </cell>
          <cell r="D256">
            <v>0.7799411162053268</v>
          </cell>
          <cell r="E256">
            <v>210.81225899907204</v>
          </cell>
          <cell r="F256">
            <v>270.29253185771751</v>
          </cell>
          <cell r="G256">
            <v>0.7799411162053268</v>
          </cell>
          <cell r="H256">
            <v>9.6</v>
          </cell>
          <cell r="I256">
            <v>7.4</v>
          </cell>
          <cell r="J256">
            <v>2.1999999999999993</v>
          </cell>
          <cell r="K256">
            <v>199.8</v>
          </cell>
          <cell r="L256">
            <v>281.39999999999998</v>
          </cell>
          <cell r="M256">
            <v>0.7100213219616206</v>
          </cell>
          <cell r="N256">
            <v>9.6</v>
          </cell>
          <cell r="O256">
            <v>6.9</v>
          </cell>
          <cell r="P256">
            <v>2.6999999999999993</v>
          </cell>
        </row>
        <row r="257">
          <cell r="A257" t="str">
            <v>1991:4</v>
          </cell>
          <cell r="B257">
            <v>216.12233291856344</v>
          </cell>
          <cell r="C257">
            <v>198.63939385091356</v>
          </cell>
          <cell r="D257">
            <v>1.0880134535688901</v>
          </cell>
          <cell r="E257">
            <v>216.12233291856344</v>
          </cell>
          <cell r="F257">
            <v>198.63939385091356</v>
          </cell>
          <cell r="G257">
            <v>1.0880134535688901</v>
          </cell>
          <cell r="H257">
            <v>9.3000000000000007</v>
          </cell>
          <cell r="I257">
            <v>9.9</v>
          </cell>
          <cell r="J257">
            <v>-0.59999999999999964</v>
          </cell>
          <cell r="K257">
            <v>198.8</v>
          </cell>
          <cell r="L257">
            <v>188</v>
          </cell>
          <cell r="M257">
            <v>1.0574468085106383</v>
          </cell>
          <cell r="N257">
            <v>9.4</v>
          </cell>
          <cell r="O257">
            <v>9.6999999999999993</v>
          </cell>
          <cell r="P257">
            <v>-0.29999999999999893</v>
          </cell>
        </row>
        <row r="258">
          <cell r="A258" t="str">
            <v>1991:5</v>
          </cell>
          <cell r="B258">
            <v>143.29593323859959</v>
          </cell>
          <cell r="C258">
            <v>94.205291641343422</v>
          </cell>
          <cell r="D258">
            <v>1.5211028036954986</v>
          </cell>
          <cell r="E258">
            <v>143.29593323859959</v>
          </cell>
          <cell r="F258">
            <v>94.205291641343422</v>
          </cell>
          <cell r="G258">
            <v>1.5211028036954986</v>
          </cell>
          <cell r="H258">
            <v>12.1</v>
          </cell>
          <cell r="I258">
            <v>13.6</v>
          </cell>
          <cell r="J258">
            <v>-1.5</v>
          </cell>
          <cell r="K258">
            <v>143.5</v>
          </cell>
          <cell r="L258">
            <v>92.4</v>
          </cell>
          <cell r="M258">
            <v>1.553030303030303</v>
          </cell>
          <cell r="N258">
            <v>11.5</v>
          </cell>
          <cell r="O258">
            <v>13.4</v>
          </cell>
          <cell r="P258">
            <v>-1.9000000000000004</v>
          </cell>
        </row>
        <row r="259">
          <cell r="A259" t="str">
            <v>1991:6</v>
          </cell>
          <cell r="B259">
            <v>58.898966307090276</v>
          </cell>
          <cell r="C259">
            <v>33.639009300779129</v>
          </cell>
          <cell r="D259">
            <v>1.7509126318332475</v>
          </cell>
          <cell r="E259">
            <v>0</v>
          </cell>
          <cell r="F259">
            <v>0</v>
          </cell>
          <cell r="G259">
            <v>1</v>
          </cell>
          <cell r="H259">
            <v>15.6</v>
          </cell>
          <cell r="I259">
            <v>16.8</v>
          </cell>
          <cell r="J259">
            <v>-1.2000000000000011</v>
          </cell>
          <cell r="K259">
            <v>58.6</v>
          </cell>
          <cell r="L259">
            <v>29.5</v>
          </cell>
          <cell r="M259">
            <v>1.9864406779661017</v>
          </cell>
          <cell r="N259">
            <v>14.6</v>
          </cell>
          <cell r="O259">
            <v>16.399999999999999</v>
          </cell>
          <cell r="P259">
            <v>-1.7999999999999989</v>
          </cell>
        </row>
        <row r="260">
          <cell r="A260" t="str">
            <v>1991:7</v>
          </cell>
          <cell r="B260">
            <v>3.6645509997326484</v>
          </cell>
          <cell r="C260">
            <v>9.8992241828118033</v>
          </cell>
          <cell r="D260">
            <v>0.37018567637810168</v>
          </cell>
          <cell r="E260">
            <v>0</v>
          </cell>
          <cell r="F260">
            <v>0</v>
          </cell>
          <cell r="G260">
            <v>1</v>
          </cell>
          <cell r="H260">
            <v>20.2</v>
          </cell>
          <cell r="I260">
            <v>18.899999999999999</v>
          </cell>
          <cell r="J260">
            <v>1.3000000000000007</v>
          </cell>
          <cell r="K260">
            <v>1</v>
          </cell>
          <cell r="L260">
            <v>8.1999999999999993</v>
          </cell>
          <cell r="M260">
            <v>0.12195121951219513</v>
          </cell>
          <cell r="N260">
            <v>19.3</v>
          </cell>
          <cell r="O260">
            <v>18.3</v>
          </cell>
          <cell r="P260">
            <v>1</v>
          </cell>
        </row>
        <row r="261">
          <cell r="A261" t="str">
            <v>1991:8</v>
          </cell>
          <cell r="B261">
            <v>1.1697960043162494</v>
          </cell>
          <cell r="C261">
            <v>9.4425505166936539</v>
          </cell>
          <cell r="D261">
            <v>0.12388559661376936</v>
          </cell>
          <cell r="E261">
            <v>0</v>
          </cell>
          <cell r="F261">
            <v>0</v>
          </cell>
          <cell r="G261">
            <v>1</v>
          </cell>
          <cell r="H261">
            <v>21.1</v>
          </cell>
          <cell r="I261">
            <v>18.7</v>
          </cell>
          <cell r="J261">
            <v>2.4000000000000021</v>
          </cell>
          <cell r="K261">
            <v>0</v>
          </cell>
          <cell r="L261">
            <v>9.6</v>
          </cell>
          <cell r="M261">
            <v>0</v>
          </cell>
          <cell r="N261">
            <v>20.100000000000001</v>
          </cell>
          <cell r="O261">
            <v>18</v>
          </cell>
          <cell r="P261">
            <v>2.1000000000000014</v>
          </cell>
        </row>
        <row r="262">
          <cell r="A262" t="str">
            <v>1991:9</v>
          </cell>
          <cell r="B262">
            <v>21.214144237893063</v>
          </cell>
          <cell r="C262">
            <v>43.697695496746512</v>
          </cell>
          <cell r="D262">
            <v>0.48547512624487371</v>
          </cell>
          <cell r="E262">
            <v>0</v>
          </cell>
          <cell r="F262">
            <v>0</v>
          </cell>
          <cell r="G262">
            <v>1</v>
          </cell>
          <cell r="H262">
            <v>18.100000000000001</v>
          </cell>
          <cell r="I262">
            <v>16.3</v>
          </cell>
          <cell r="J262">
            <v>1.8000000000000007</v>
          </cell>
          <cell r="K262">
            <v>19</v>
          </cell>
          <cell r="L262">
            <v>39.299999999999997</v>
          </cell>
          <cell r="M262">
            <v>0.48346055979643771</v>
          </cell>
          <cell r="N262">
            <v>17.2</v>
          </cell>
          <cell r="O262">
            <v>15.7</v>
          </cell>
          <cell r="P262">
            <v>1.5</v>
          </cell>
        </row>
        <row r="263">
          <cell r="A263" t="str">
            <v>1991:10</v>
          </cell>
          <cell r="B263">
            <v>171.84932228575309</v>
          </cell>
          <cell r="C263">
            <v>132.10004667845612</v>
          </cell>
          <cell r="D263">
            <v>1.3009028127298881</v>
          </cell>
          <cell r="E263">
            <v>171.84932228575309</v>
          </cell>
          <cell r="F263">
            <v>132.10004667845612</v>
          </cell>
          <cell r="G263">
            <v>1.3009028127298881</v>
          </cell>
          <cell r="H263">
            <v>11.1</v>
          </cell>
          <cell r="I263">
            <v>12.2</v>
          </cell>
          <cell r="J263">
            <v>-1.0999999999999996</v>
          </cell>
          <cell r="K263">
            <v>164.7</v>
          </cell>
          <cell r="L263">
            <v>140.9</v>
          </cell>
          <cell r="M263">
            <v>1.1689141234918381</v>
          </cell>
          <cell r="N263">
            <v>10.7</v>
          </cell>
          <cell r="O263">
            <v>11.5</v>
          </cell>
          <cell r="P263">
            <v>-0.80000000000000071</v>
          </cell>
        </row>
        <row r="264">
          <cell r="A264" t="str">
            <v>1991:11</v>
          </cell>
          <cell r="B264">
            <v>289.46960810784367</v>
          </cell>
          <cell r="C264">
            <v>277.9065874341735</v>
          </cell>
          <cell r="D264">
            <v>1.0416075803759386</v>
          </cell>
          <cell r="E264">
            <v>289.46960810784367</v>
          </cell>
          <cell r="F264">
            <v>277.9065874341735</v>
          </cell>
          <cell r="G264">
            <v>1.0416075803759386</v>
          </cell>
          <cell r="H264">
            <v>7.2</v>
          </cell>
          <cell r="I264">
            <v>7.5</v>
          </cell>
          <cell r="J264">
            <v>-0.29999999999999982</v>
          </cell>
          <cell r="K264">
            <v>284.10000000000002</v>
          </cell>
          <cell r="L264">
            <v>276.39999999999998</v>
          </cell>
          <cell r="M264">
            <v>1.0278581765557164</v>
          </cell>
          <cell r="N264">
            <v>6.5</v>
          </cell>
          <cell r="O264">
            <v>6.8</v>
          </cell>
          <cell r="P264">
            <v>-0.29999999999999982</v>
          </cell>
        </row>
        <row r="265">
          <cell r="A265" t="str">
            <v>1991:12</v>
          </cell>
          <cell r="B265">
            <v>410.25431474325302</v>
          </cell>
          <cell r="C265">
            <v>363.68818352813111</v>
          </cell>
          <cell r="D265">
            <v>1.1280386147369015</v>
          </cell>
          <cell r="E265">
            <v>410.25431474325302</v>
          </cell>
          <cell r="F265">
            <v>363.68818352813111</v>
          </cell>
          <cell r="G265">
            <v>1.1280386147369015</v>
          </cell>
          <cell r="H265">
            <v>3.7</v>
          </cell>
          <cell r="I265">
            <v>4.8</v>
          </cell>
          <cell r="J265">
            <v>-1.0999999999999996</v>
          </cell>
          <cell r="K265">
            <v>395.4</v>
          </cell>
          <cell r="L265">
            <v>362.3</v>
          </cell>
          <cell r="M265">
            <v>1.0913607507590393</v>
          </cell>
          <cell r="N265">
            <v>3.2</v>
          </cell>
          <cell r="O265">
            <v>4.3</v>
          </cell>
          <cell r="P265">
            <v>-1.0999999999999996</v>
          </cell>
        </row>
        <row r="266">
          <cell r="A266" t="str">
            <v>1992:1</v>
          </cell>
          <cell r="B266">
            <v>434.35745430048109</v>
          </cell>
          <cell r="C266">
            <v>392.91081774346333</v>
          </cell>
          <cell r="D266">
            <v>1.1054861171678882</v>
          </cell>
          <cell r="E266">
            <v>434.35745430048109</v>
          </cell>
          <cell r="F266">
            <v>392.91081774346333</v>
          </cell>
          <cell r="G266">
            <v>1.1054861171678882</v>
          </cell>
          <cell r="H266">
            <v>2.9</v>
          </cell>
          <cell r="I266">
            <v>3.9</v>
          </cell>
          <cell r="J266">
            <v>-1</v>
          </cell>
          <cell r="K266">
            <v>402.2</v>
          </cell>
          <cell r="L266">
            <v>394</v>
          </cell>
          <cell r="M266">
            <v>1.0208121827411167</v>
          </cell>
          <cell r="N266">
            <v>3</v>
          </cell>
          <cell r="O266">
            <v>3.3</v>
          </cell>
          <cell r="P266">
            <v>-0.29999999999999982</v>
          </cell>
        </row>
        <row r="267">
          <cell r="A267" t="str">
            <v>1992:2</v>
          </cell>
          <cell r="B267">
            <v>333.54623220356609</v>
          </cell>
          <cell r="C267">
            <v>331.22294910654443</v>
          </cell>
          <cell r="D267">
            <v>1.0070142576270411</v>
          </cell>
          <cell r="E267">
            <v>333.54623220356609</v>
          </cell>
          <cell r="F267">
            <v>331.22294910654443</v>
          </cell>
          <cell r="G267">
            <v>1.0070142576270411</v>
          </cell>
          <cell r="H267">
            <v>5.2</v>
          </cell>
          <cell r="I267">
            <v>4.9000000000000004</v>
          </cell>
          <cell r="J267">
            <v>0.29999999999999982</v>
          </cell>
          <cell r="K267">
            <v>324.10000000000002</v>
          </cell>
          <cell r="L267">
            <v>332.4</v>
          </cell>
          <cell r="M267">
            <v>0.97503008423586057</v>
          </cell>
          <cell r="N267">
            <v>4.8</v>
          </cell>
          <cell r="O267">
            <v>4.2</v>
          </cell>
          <cell r="P267">
            <v>0.59999999999999964</v>
          </cell>
        </row>
        <row r="268">
          <cell r="A268" t="str">
            <v>1992:3</v>
          </cell>
          <cell r="B268">
            <v>259.75538290395696</v>
          </cell>
          <cell r="C268">
            <v>270.29253185771751</v>
          </cell>
          <cell r="D268">
            <v>0.96101575992004351</v>
          </cell>
          <cell r="E268">
            <v>259.75538290395696</v>
          </cell>
          <cell r="F268">
            <v>270.29253185771751</v>
          </cell>
          <cell r="G268">
            <v>0.96101575992004351</v>
          </cell>
          <cell r="H268">
            <v>8.1</v>
          </cell>
          <cell r="I268">
            <v>7.4</v>
          </cell>
          <cell r="J268">
            <v>0.69999999999999929</v>
          </cell>
          <cell r="K268">
            <v>240.2</v>
          </cell>
          <cell r="L268">
            <v>281.39999999999998</v>
          </cell>
          <cell r="M268">
            <v>0.85358919687277901</v>
          </cell>
          <cell r="N268">
            <v>8.3000000000000007</v>
          </cell>
          <cell r="O268">
            <v>6.9</v>
          </cell>
          <cell r="P268">
            <v>1.4000000000000004</v>
          </cell>
        </row>
        <row r="269">
          <cell r="A269" t="str">
            <v>1992:4</v>
          </cell>
          <cell r="B269">
            <v>197.51715784498188</v>
          </cell>
          <cell r="C269">
            <v>198.63939385091356</v>
          </cell>
          <cell r="D269">
            <v>0.99435038546898724</v>
          </cell>
          <cell r="E269">
            <v>197.51715784498188</v>
          </cell>
          <cell r="F269">
            <v>198.63939385091356</v>
          </cell>
          <cell r="G269">
            <v>0.99435038546898724</v>
          </cell>
          <cell r="H269">
            <v>10.1</v>
          </cell>
          <cell r="I269">
            <v>9.9</v>
          </cell>
          <cell r="J269">
            <v>0.19999999999999929</v>
          </cell>
          <cell r="K269">
            <v>191.1</v>
          </cell>
          <cell r="L269">
            <v>188</v>
          </cell>
          <cell r="M269">
            <v>1.0164893617021276</v>
          </cell>
          <cell r="N269">
            <v>9.6</v>
          </cell>
          <cell r="O269">
            <v>9.6999999999999993</v>
          </cell>
          <cell r="P269">
            <v>-9.9999999999999645E-2</v>
          </cell>
        </row>
        <row r="270">
          <cell r="A270" t="str">
            <v>1992:5</v>
          </cell>
          <cell r="B270">
            <v>59.696916781466761</v>
          </cell>
          <cell r="C270">
            <v>94.205291641343422</v>
          </cell>
          <cell r="D270">
            <v>0.63368963400425227</v>
          </cell>
          <cell r="E270">
            <v>59.696916781466761</v>
          </cell>
          <cell r="F270">
            <v>94.205291641343422</v>
          </cell>
          <cell r="G270">
            <v>0.63368963400425227</v>
          </cell>
          <cell r="H270">
            <v>15.8</v>
          </cell>
          <cell r="I270">
            <v>13.6</v>
          </cell>
          <cell r="J270">
            <v>2.2000000000000011</v>
          </cell>
          <cell r="K270">
            <v>59.4</v>
          </cell>
          <cell r="L270">
            <v>92.4</v>
          </cell>
          <cell r="M270">
            <v>0.64285714285714279</v>
          </cell>
          <cell r="N270">
            <v>15.3</v>
          </cell>
          <cell r="O270">
            <v>13.4</v>
          </cell>
          <cell r="P270">
            <v>1.9000000000000004</v>
          </cell>
        </row>
        <row r="271">
          <cell r="A271" t="str">
            <v>1992:6</v>
          </cell>
          <cell r="B271">
            <v>30.12529736845995</v>
          </cell>
          <cell r="C271">
            <v>33.639009300779129</v>
          </cell>
          <cell r="D271">
            <v>0.89554650968160954</v>
          </cell>
          <cell r="E271">
            <v>0</v>
          </cell>
          <cell r="F271">
            <v>0</v>
          </cell>
          <cell r="G271">
            <v>1</v>
          </cell>
          <cell r="H271">
            <v>16.7</v>
          </cell>
          <cell r="I271">
            <v>16.8</v>
          </cell>
          <cell r="J271">
            <v>-0.10000000000000142</v>
          </cell>
          <cell r="K271">
            <v>25.8</v>
          </cell>
          <cell r="L271">
            <v>29.5</v>
          </cell>
          <cell r="M271">
            <v>0.87457627118644066</v>
          </cell>
          <cell r="N271">
            <v>16.399999999999999</v>
          </cell>
          <cell r="O271">
            <v>16.399999999999999</v>
          </cell>
          <cell r="P271">
            <v>0</v>
          </cell>
        </row>
        <row r="272">
          <cell r="A272" t="str">
            <v>1992:7</v>
          </cell>
          <cell r="B272">
            <v>2.2341228010440135</v>
          </cell>
          <cell r="C272">
            <v>9.8992241828118033</v>
          </cell>
          <cell r="D272">
            <v>0.2256866558212875</v>
          </cell>
          <cell r="E272">
            <v>0</v>
          </cell>
          <cell r="F272">
            <v>0</v>
          </cell>
          <cell r="G272">
            <v>1</v>
          </cell>
          <cell r="H272">
            <v>19.7</v>
          </cell>
          <cell r="I272">
            <v>18.899999999999999</v>
          </cell>
          <cell r="J272">
            <v>0.80000000000000071</v>
          </cell>
          <cell r="K272">
            <v>0</v>
          </cell>
          <cell r="L272">
            <v>8.1999999999999993</v>
          </cell>
          <cell r="M272">
            <v>0</v>
          </cell>
          <cell r="N272">
            <v>19.5</v>
          </cell>
          <cell r="O272">
            <v>18.3</v>
          </cell>
          <cell r="P272">
            <v>1.1999999999999993</v>
          </cell>
        </row>
        <row r="273">
          <cell r="A273" t="str">
            <v>1992:8</v>
          </cell>
          <cell r="B273">
            <v>5.6261833035577968</v>
          </cell>
          <cell r="C273">
            <v>9.4425505166936539</v>
          </cell>
          <cell r="D273">
            <v>0.59583301075394479</v>
          </cell>
          <cell r="E273">
            <v>0</v>
          </cell>
          <cell r="F273">
            <v>0</v>
          </cell>
          <cell r="G273">
            <v>1</v>
          </cell>
          <cell r="H273">
            <v>20.399999999999999</v>
          </cell>
          <cell r="I273">
            <v>18.7</v>
          </cell>
          <cell r="J273">
            <v>1.6999999999999993</v>
          </cell>
          <cell r="K273">
            <v>3</v>
          </cell>
          <cell r="L273">
            <v>9.6</v>
          </cell>
          <cell r="M273">
            <v>0.3125</v>
          </cell>
          <cell r="N273">
            <v>19.8</v>
          </cell>
          <cell r="O273">
            <v>18</v>
          </cell>
          <cell r="P273">
            <v>1.8000000000000007</v>
          </cell>
        </row>
        <row r="274">
          <cell r="A274" t="str">
            <v>1992:9</v>
          </cell>
          <cell r="B274">
            <v>45.679155525369417</v>
          </cell>
          <cell r="C274">
            <v>43.697695496746512</v>
          </cell>
          <cell r="D274">
            <v>1.0453447259883633</v>
          </cell>
          <cell r="E274">
            <v>0</v>
          </cell>
          <cell r="F274">
            <v>0</v>
          </cell>
          <cell r="G274">
            <v>1</v>
          </cell>
          <cell r="H274">
            <v>15.8</v>
          </cell>
          <cell r="I274">
            <v>16.3</v>
          </cell>
          <cell r="J274">
            <v>-0.5</v>
          </cell>
          <cell r="K274">
            <v>39.299999999999997</v>
          </cell>
          <cell r="L274">
            <v>39.299999999999997</v>
          </cell>
          <cell r="M274">
            <v>1</v>
          </cell>
          <cell r="N274">
            <v>15</v>
          </cell>
          <cell r="O274">
            <v>15.7</v>
          </cell>
          <cell r="P274">
            <v>-0.69999999999999929</v>
          </cell>
        </row>
        <row r="275">
          <cell r="A275" t="str">
            <v>1992:10</v>
          </cell>
          <cell r="B275">
            <v>209.84311371065456</v>
          </cell>
          <cell r="C275">
            <v>132.10004667845612</v>
          </cell>
          <cell r="D275">
            <v>1.5885165750276558</v>
          </cell>
          <cell r="E275">
            <v>209.84311371065456</v>
          </cell>
          <cell r="F275">
            <v>132.10004667845612</v>
          </cell>
          <cell r="G275">
            <v>1.5885165750276558</v>
          </cell>
          <cell r="H275">
            <v>10</v>
          </cell>
          <cell r="I275">
            <v>12.2</v>
          </cell>
          <cell r="J275">
            <v>-2.1999999999999993</v>
          </cell>
          <cell r="K275">
            <v>218.3</v>
          </cell>
          <cell r="L275">
            <v>140.9</v>
          </cell>
          <cell r="M275">
            <v>1.5493257629524486</v>
          </cell>
          <cell r="N275">
            <v>9</v>
          </cell>
          <cell r="O275">
            <v>11.5</v>
          </cell>
          <cell r="P275">
            <v>-2.5</v>
          </cell>
        </row>
        <row r="276">
          <cell r="A276" t="str">
            <v>1992:11</v>
          </cell>
          <cell r="B276">
            <v>220.72924515615989</v>
          </cell>
          <cell r="C276">
            <v>277.9065874341735</v>
          </cell>
          <cell r="D276">
            <v>0.79425697387775329</v>
          </cell>
          <cell r="E276">
            <v>220.72924515615989</v>
          </cell>
          <cell r="F276">
            <v>277.9065874341735</v>
          </cell>
          <cell r="G276">
            <v>0.79425697387775329</v>
          </cell>
          <cell r="H276">
            <v>9.5</v>
          </cell>
          <cell r="I276">
            <v>7.5</v>
          </cell>
          <cell r="J276">
            <v>2</v>
          </cell>
          <cell r="K276">
            <v>216</v>
          </cell>
          <cell r="L276">
            <v>276.39999999999998</v>
          </cell>
          <cell r="M276">
            <v>0.78147612156295232</v>
          </cell>
          <cell r="N276">
            <v>8.8000000000000007</v>
          </cell>
          <cell r="O276">
            <v>6.8</v>
          </cell>
          <cell r="P276">
            <v>2.0000000000000009</v>
          </cell>
        </row>
        <row r="277">
          <cell r="A277" t="str">
            <v>1992:12</v>
          </cell>
          <cell r="B277">
            <v>353.19958799023783</v>
          </cell>
          <cell r="C277">
            <v>363.68818352813111</v>
          </cell>
          <cell r="D277">
            <v>0.9711604720391418</v>
          </cell>
          <cell r="E277">
            <v>353.19958799023783</v>
          </cell>
          <cell r="F277">
            <v>363.68818352813111</v>
          </cell>
          <cell r="G277">
            <v>0.9711604720391418</v>
          </cell>
          <cell r="H277">
            <v>5.4</v>
          </cell>
          <cell r="I277">
            <v>4.8</v>
          </cell>
          <cell r="J277">
            <v>0.60000000000000053</v>
          </cell>
          <cell r="K277">
            <v>358.2</v>
          </cell>
          <cell r="L277">
            <v>362.3</v>
          </cell>
          <cell r="M277">
            <v>0.98868341153739991</v>
          </cell>
          <cell r="N277">
            <v>4.4000000000000004</v>
          </cell>
          <cell r="O277">
            <v>4.3</v>
          </cell>
          <cell r="P277">
            <v>0.10000000000000053</v>
          </cell>
        </row>
        <row r="278">
          <cell r="A278" t="str">
            <v>1993:1</v>
          </cell>
          <cell r="B278">
            <v>322.98813263675464</v>
          </cell>
          <cell r="C278">
            <v>392.91081774346333</v>
          </cell>
          <cell r="D278">
            <v>0.82203929759866745</v>
          </cell>
          <cell r="E278">
            <v>322.98813263675464</v>
          </cell>
          <cell r="F278">
            <v>392.91081774346333</v>
          </cell>
          <cell r="G278">
            <v>0.82203929759866745</v>
          </cell>
          <cell r="H278">
            <v>6.3</v>
          </cell>
          <cell r="I278">
            <v>3.9</v>
          </cell>
          <cell r="J278">
            <v>2.4</v>
          </cell>
          <cell r="K278">
            <v>276.60000000000002</v>
          </cell>
          <cell r="L278">
            <v>394</v>
          </cell>
          <cell r="M278">
            <v>0.70203045685279197</v>
          </cell>
          <cell r="N278">
            <v>6.8</v>
          </cell>
          <cell r="O278">
            <v>3.3</v>
          </cell>
          <cell r="P278">
            <v>3.5</v>
          </cell>
        </row>
        <row r="279">
          <cell r="A279" t="str">
            <v>1993:2</v>
          </cell>
          <cell r="B279">
            <v>372.46850210519273</v>
          </cell>
          <cell r="C279">
            <v>331.22294910654443</v>
          </cell>
          <cell r="D279">
            <v>1.1245250460751766</v>
          </cell>
          <cell r="E279">
            <v>372.46850210519273</v>
          </cell>
          <cell r="F279">
            <v>331.22294910654443</v>
          </cell>
          <cell r="G279">
            <v>1.1245250460751766</v>
          </cell>
          <cell r="H279">
            <v>3.6</v>
          </cell>
          <cell r="I279">
            <v>4.9000000000000004</v>
          </cell>
          <cell r="J279">
            <v>-1.3000000000000003</v>
          </cell>
          <cell r="K279">
            <v>358.5</v>
          </cell>
          <cell r="L279">
            <v>332.4</v>
          </cell>
          <cell r="M279">
            <v>1.0785198555956679</v>
          </cell>
          <cell r="N279">
            <v>3.2</v>
          </cell>
          <cell r="O279">
            <v>4.2</v>
          </cell>
          <cell r="P279">
            <v>-1</v>
          </cell>
        </row>
        <row r="280">
          <cell r="A280" t="str">
            <v>1993:3</v>
          </cell>
          <cell r="B280">
            <v>283.70910860935265</v>
          </cell>
          <cell r="C280">
            <v>270.29253185771751</v>
          </cell>
          <cell r="D280">
            <v>1.0496372454666918</v>
          </cell>
          <cell r="E280">
            <v>283.70910860935265</v>
          </cell>
          <cell r="F280">
            <v>270.29253185771751</v>
          </cell>
          <cell r="G280">
            <v>1.0496372454666918</v>
          </cell>
          <cell r="H280">
            <v>7.3</v>
          </cell>
          <cell r="I280">
            <v>7.4</v>
          </cell>
          <cell r="J280">
            <v>-0.10000000000000053</v>
          </cell>
          <cell r="K280">
            <v>265.2</v>
          </cell>
          <cell r="L280">
            <v>281.39999999999998</v>
          </cell>
          <cell r="M280">
            <v>0.94243070362473347</v>
          </cell>
          <cell r="N280">
            <v>7.4</v>
          </cell>
          <cell r="O280">
            <v>6.9</v>
          </cell>
          <cell r="P280">
            <v>0.5</v>
          </cell>
        </row>
        <row r="281">
          <cell r="A281" t="str">
            <v>1993:4</v>
          </cell>
          <cell r="B281">
            <v>156.55933724173397</v>
          </cell>
          <cell r="C281">
            <v>198.63939385091356</v>
          </cell>
          <cell r="D281">
            <v>0.78815855307753169</v>
          </cell>
          <cell r="E281">
            <v>156.55933724173397</v>
          </cell>
          <cell r="F281">
            <v>198.63939385091356</v>
          </cell>
          <cell r="G281">
            <v>0.78815855307753169</v>
          </cell>
          <cell r="H281">
            <v>11.1</v>
          </cell>
          <cell r="I281">
            <v>9.9</v>
          </cell>
          <cell r="J281">
            <v>1.1999999999999993</v>
          </cell>
          <cell r="K281">
            <v>128</v>
          </cell>
          <cell r="L281">
            <v>188</v>
          </cell>
          <cell r="M281">
            <v>0.68085106382978722</v>
          </cell>
          <cell r="N281">
            <v>12.1</v>
          </cell>
          <cell r="O281">
            <v>9.6999999999999993</v>
          </cell>
          <cell r="P281">
            <v>2.4000000000000004</v>
          </cell>
        </row>
        <row r="282">
          <cell r="A282" t="str">
            <v>1993:5</v>
          </cell>
          <cell r="B282">
            <v>71.011342881157276</v>
          </cell>
          <cell r="C282">
            <v>94.205291641343422</v>
          </cell>
          <cell r="D282">
            <v>0.7537935676852453</v>
          </cell>
          <cell r="E282">
            <v>71.011342881157276</v>
          </cell>
          <cell r="F282">
            <v>94.205291641343422</v>
          </cell>
          <cell r="G282">
            <v>0.7537935676852453</v>
          </cell>
          <cell r="H282">
            <v>14.7</v>
          </cell>
          <cell r="I282">
            <v>13.6</v>
          </cell>
          <cell r="J282">
            <v>1.0999999999999996</v>
          </cell>
          <cell r="K282">
            <v>57</v>
          </cell>
          <cell r="L282">
            <v>92.4</v>
          </cell>
          <cell r="M282">
            <v>0.61688311688311681</v>
          </cell>
          <cell r="N282">
            <v>15</v>
          </cell>
          <cell r="O282">
            <v>13.4</v>
          </cell>
          <cell r="P282">
            <v>1.5999999999999996</v>
          </cell>
        </row>
        <row r="283">
          <cell r="A283" t="str">
            <v>1993:6</v>
          </cell>
          <cell r="B283">
            <v>19.248888368349814</v>
          </cell>
          <cell r="C283">
            <v>33.639009300779129</v>
          </cell>
          <cell r="D283">
            <v>0.57221924094845389</v>
          </cell>
          <cell r="E283">
            <v>0</v>
          </cell>
          <cell r="F283">
            <v>0</v>
          </cell>
          <cell r="G283">
            <v>1</v>
          </cell>
          <cell r="H283">
            <v>17.899999999999999</v>
          </cell>
          <cell r="I283">
            <v>16.8</v>
          </cell>
          <cell r="J283">
            <v>1.0999999999999979</v>
          </cell>
          <cell r="K283">
            <v>11.2</v>
          </cell>
          <cell r="L283">
            <v>29.5</v>
          </cell>
          <cell r="M283">
            <v>0.3796610169491525</v>
          </cell>
          <cell r="N283">
            <v>17.7</v>
          </cell>
          <cell r="O283">
            <v>16.399999999999999</v>
          </cell>
          <cell r="P283">
            <v>1.3000000000000007</v>
          </cell>
        </row>
        <row r="284">
          <cell r="A284" t="str">
            <v>1993:7</v>
          </cell>
          <cell r="B284">
            <v>17.715550790482208</v>
          </cell>
          <cell r="C284">
            <v>9.8992241828118033</v>
          </cell>
          <cell r="D284">
            <v>1.7895898166688688</v>
          </cell>
          <cell r="E284">
            <v>0</v>
          </cell>
          <cell r="F284">
            <v>0</v>
          </cell>
          <cell r="G284">
            <v>1</v>
          </cell>
          <cell r="H284">
            <v>18.3</v>
          </cell>
          <cell r="I284">
            <v>18.899999999999999</v>
          </cell>
          <cell r="J284">
            <v>-0.59999999999999787</v>
          </cell>
          <cell r="K284">
            <v>7.3</v>
          </cell>
          <cell r="L284">
            <v>8.1999999999999993</v>
          </cell>
          <cell r="M284">
            <v>0.8902439024390244</v>
          </cell>
          <cell r="N284">
            <v>17.899999999999999</v>
          </cell>
          <cell r="O284">
            <v>18.3</v>
          </cell>
          <cell r="P284">
            <v>-0.40000000000000213</v>
          </cell>
        </row>
        <row r="285">
          <cell r="A285" t="str">
            <v>1993:8</v>
          </cell>
          <cell r="B285">
            <v>18.405846969145344</v>
          </cell>
          <cell r="C285">
            <v>9.4425505166936539</v>
          </cell>
          <cell r="D285">
            <v>1.9492452739972446</v>
          </cell>
          <cell r="E285">
            <v>0</v>
          </cell>
          <cell r="F285">
            <v>0</v>
          </cell>
          <cell r="G285">
            <v>1</v>
          </cell>
          <cell r="H285">
            <v>18.899999999999999</v>
          </cell>
          <cell r="I285">
            <v>18.7</v>
          </cell>
          <cell r="J285">
            <v>0.19999999999999929</v>
          </cell>
          <cell r="K285">
            <v>9.8000000000000007</v>
          </cell>
          <cell r="L285">
            <v>9.6</v>
          </cell>
          <cell r="M285">
            <v>1.0208333333333335</v>
          </cell>
          <cell r="N285">
            <v>17.7</v>
          </cell>
          <cell r="O285">
            <v>18</v>
          </cell>
          <cell r="P285">
            <v>-0.30000000000000071</v>
          </cell>
        </row>
        <row r="286">
          <cell r="A286" t="str">
            <v>1993:9</v>
          </cell>
          <cell r="B286">
            <v>67.184926751665017</v>
          </cell>
          <cell r="C286">
            <v>43.697695496746512</v>
          </cell>
          <cell r="D286">
            <v>1.537493590632651</v>
          </cell>
          <cell r="E286">
            <v>0</v>
          </cell>
          <cell r="F286">
            <v>0</v>
          </cell>
          <cell r="G286">
            <v>1</v>
          </cell>
          <cell r="H286">
            <v>15</v>
          </cell>
          <cell r="I286">
            <v>16.3</v>
          </cell>
          <cell r="J286">
            <v>-1.3000000000000007</v>
          </cell>
          <cell r="K286">
            <v>56.1</v>
          </cell>
          <cell r="L286">
            <v>39.299999999999997</v>
          </cell>
          <cell r="M286">
            <v>1.4274809160305344</v>
          </cell>
          <cell r="N286">
            <v>14.5</v>
          </cell>
          <cell r="O286">
            <v>15.7</v>
          </cell>
          <cell r="P286">
            <v>-1.1999999999999993</v>
          </cell>
        </row>
        <row r="287">
          <cell r="A287" t="str">
            <v>1993:10</v>
          </cell>
          <cell r="B287">
            <v>188.73830711522419</v>
          </cell>
          <cell r="C287">
            <v>132.10004667845612</v>
          </cell>
          <cell r="D287">
            <v>1.4287527662623078</v>
          </cell>
          <cell r="E287">
            <v>188.73830711522419</v>
          </cell>
          <cell r="F287">
            <v>132.10004667845612</v>
          </cell>
          <cell r="G287">
            <v>1.4287527662623078</v>
          </cell>
          <cell r="H287">
            <v>10.7</v>
          </cell>
          <cell r="I287">
            <v>12.2</v>
          </cell>
          <cell r="J287">
            <v>-1.5</v>
          </cell>
          <cell r="K287">
            <v>183.6</v>
          </cell>
          <cell r="L287">
            <v>140.9</v>
          </cell>
          <cell r="M287">
            <v>1.3030518097941801</v>
          </cell>
          <cell r="N287">
            <v>10.1</v>
          </cell>
          <cell r="O287">
            <v>11.5</v>
          </cell>
          <cell r="P287">
            <v>-1.4000000000000004</v>
          </cell>
        </row>
        <row r="288">
          <cell r="A288" t="str">
            <v>1993:11</v>
          </cell>
          <cell r="B288">
            <v>362.43282185969042</v>
          </cell>
          <cell r="C288">
            <v>277.9065874341735</v>
          </cell>
          <cell r="D288">
            <v>1.3041534035084299</v>
          </cell>
          <cell r="E288">
            <v>362.43282185969042</v>
          </cell>
          <cell r="F288">
            <v>277.9065874341735</v>
          </cell>
          <cell r="G288">
            <v>1.3041534035084299</v>
          </cell>
          <cell r="H288">
            <v>4.8</v>
          </cell>
          <cell r="I288">
            <v>7.5</v>
          </cell>
          <cell r="J288">
            <v>-2.7</v>
          </cell>
          <cell r="K288">
            <v>376.1</v>
          </cell>
          <cell r="L288">
            <v>276.39999999999998</v>
          </cell>
          <cell r="M288">
            <v>1.3607091172214185</v>
          </cell>
          <cell r="N288">
            <v>3.5</v>
          </cell>
          <cell r="O288">
            <v>6.8</v>
          </cell>
          <cell r="P288">
            <v>-3.3</v>
          </cell>
        </row>
        <row r="289">
          <cell r="A289" t="str">
            <v>1993:12</v>
          </cell>
          <cell r="B289">
            <v>310.99669154887107</v>
          </cell>
          <cell r="C289">
            <v>363.68818352813111</v>
          </cell>
          <cell r="D289">
            <v>0.85511904327465071</v>
          </cell>
          <cell r="E289">
            <v>310.99669154887107</v>
          </cell>
          <cell r="F289">
            <v>363.68818352813111</v>
          </cell>
          <cell r="G289">
            <v>0.85511904327465071</v>
          </cell>
          <cell r="H289">
            <v>6.9</v>
          </cell>
          <cell r="I289">
            <v>4.8</v>
          </cell>
          <cell r="J289">
            <v>2.1000000000000005</v>
          </cell>
          <cell r="K289">
            <v>275.10000000000002</v>
          </cell>
          <cell r="L289">
            <v>362.3</v>
          </cell>
          <cell r="M289">
            <v>0.75931548440518915</v>
          </cell>
          <cell r="N289">
            <v>7.1</v>
          </cell>
          <cell r="O289">
            <v>4.3</v>
          </cell>
          <cell r="P289">
            <v>2.8</v>
          </cell>
        </row>
        <row r="290">
          <cell r="A290" t="str">
            <v>1994:1</v>
          </cell>
          <cell r="B290">
            <v>342.60022414917563</v>
          </cell>
          <cell r="C290">
            <v>392.91081774346333</v>
          </cell>
          <cell r="D290">
            <v>0.87195416536702197</v>
          </cell>
          <cell r="E290">
            <v>342.60022414917563</v>
          </cell>
          <cell r="F290">
            <v>392.91081774346333</v>
          </cell>
          <cell r="G290">
            <v>0.87195416536702197</v>
          </cell>
          <cell r="H290">
            <v>5.7</v>
          </cell>
          <cell r="I290">
            <v>4</v>
          </cell>
          <cell r="J290">
            <v>1.7000000000000002</v>
          </cell>
          <cell r="K290">
            <v>301.8</v>
          </cell>
          <cell r="L290">
            <v>388.5</v>
          </cell>
          <cell r="M290">
            <v>0.77683397683397681</v>
          </cell>
          <cell r="N290">
            <v>6.3</v>
          </cell>
          <cell r="O290">
            <v>3.5</v>
          </cell>
          <cell r="P290">
            <v>2.8</v>
          </cell>
        </row>
        <row r="291">
          <cell r="A291" t="str">
            <v>1994:2</v>
          </cell>
          <cell r="B291">
            <v>309.981530882725</v>
          </cell>
          <cell r="C291">
            <v>331.22294910654443</v>
          </cell>
          <cell r="D291">
            <v>0.93586972677733538</v>
          </cell>
          <cell r="E291">
            <v>309.981530882725</v>
          </cell>
          <cell r="F291">
            <v>331.22294910654443</v>
          </cell>
          <cell r="G291">
            <v>0.93586972677733538</v>
          </cell>
          <cell r="H291">
            <v>5.5</v>
          </cell>
          <cell r="I291">
            <v>5.0999999999999996</v>
          </cell>
          <cell r="J291">
            <v>0.40000000000000036</v>
          </cell>
          <cell r="K291">
            <v>312.5</v>
          </cell>
          <cell r="L291">
            <v>326.10000000000002</v>
          </cell>
          <cell r="M291">
            <v>0.95829500153327196</v>
          </cell>
          <cell r="N291">
            <v>4.8</v>
          </cell>
          <cell r="O291">
            <v>4.5</v>
          </cell>
          <cell r="P291">
            <v>0.29999999999999982</v>
          </cell>
        </row>
        <row r="292">
          <cell r="A292" t="str">
            <v>1994:3</v>
          </cell>
          <cell r="B292">
            <v>208.64893534417681</v>
          </cell>
          <cell r="C292">
            <v>270.29253185771751</v>
          </cell>
          <cell r="D292">
            <v>0.77193747792488032</v>
          </cell>
          <cell r="E292">
            <v>208.64893534417681</v>
          </cell>
          <cell r="F292">
            <v>270.29253185771751</v>
          </cell>
          <cell r="G292">
            <v>0.77193747792488032</v>
          </cell>
          <cell r="H292">
            <v>9.9</v>
          </cell>
          <cell r="I292">
            <v>7.3</v>
          </cell>
          <cell r="J292">
            <v>2.6000000000000005</v>
          </cell>
          <cell r="K292">
            <v>195.6</v>
          </cell>
          <cell r="L292">
            <v>283.89999999999998</v>
          </cell>
          <cell r="M292">
            <v>0.68897499119408245</v>
          </cell>
          <cell r="N292">
            <v>9.6999999999999993</v>
          </cell>
          <cell r="O292">
            <v>6.8</v>
          </cell>
          <cell r="P292">
            <v>2.8999999999999995</v>
          </cell>
        </row>
        <row r="293">
          <cell r="A293" t="str">
            <v>1994:4</v>
          </cell>
          <cell r="B293">
            <v>218.93085030869352</v>
          </cell>
          <cell r="C293">
            <v>198.63939385091356</v>
          </cell>
          <cell r="D293">
            <v>1.1021522270300999</v>
          </cell>
          <cell r="E293">
            <v>218.93085030869352</v>
          </cell>
          <cell r="F293">
            <v>198.63939385091356</v>
          </cell>
          <cell r="G293">
            <v>1.1021522270300999</v>
          </cell>
          <cell r="H293">
            <v>9.3000000000000007</v>
          </cell>
          <cell r="I293">
            <v>9.9</v>
          </cell>
          <cell r="J293">
            <v>-0.59999999999999964</v>
          </cell>
          <cell r="K293">
            <v>201.6</v>
          </cell>
          <cell r="L293">
            <v>190.3</v>
          </cell>
          <cell r="M293">
            <v>1.0593799264319494</v>
          </cell>
          <cell r="N293">
            <v>9.4</v>
          </cell>
          <cell r="O293">
            <v>9.6999999999999993</v>
          </cell>
          <cell r="P293">
            <v>-0.29999999999999893</v>
          </cell>
        </row>
        <row r="294">
          <cell r="A294" t="str">
            <v>1994:5</v>
          </cell>
          <cell r="B294">
            <v>76.11942196124825</v>
          </cell>
          <cell r="C294">
            <v>94.205291641343422</v>
          </cell>
          <cell r="D294">
            <v>0.80801641431193327</v>
          </cell>
          <cell r="E294">
            <v>76.11942196124825</v>
          </cell>
          <cell r="F294">
            <v>94.205291641343422</v>
          </cell>
          <cell r="G294">
            <v>0.80801641431193327</v>
          </cell>
          <cell r="H294">
            <v>14.3</v>
          </cell>
          <cell r="I294">
            <v>13.6</v>
          </cell>
          <cell r="J294">
            <v>0.70000000000000107</v>
          </cell>
          <cell r="K294">
            <v>62.7</v>
          </cell>
          <cell r="L294">
            <v>95</v>
          </cell>
          <cell r="M294">
            <v>0.66</v>
          </cell>
          <cell r="N294">
            <v>14.1</v>
          </cell>
          <cell r="O294">
            <v>13.3</v>
          </cell>
          <cell r="P294">
            <v>0.79999999999999893</v>
          </cell>
        </row>
        <row r="295">
          <cell r="A295" t="str">
            <v>1994:6</v>
          </cell>
          <cell r="B295">
            <v>30.19832928688492</v>
          </cell>
          <cell r="C295">
            <v>33.639009300779129</v>
          </cell>
          <cell r="D295">
            <v>0.89771755811445619</v>
          </cell>
          <cell r="E295">
            <v>0</v>
          </cell>
          <cell r="F295">
            <v>0</v>
          </cell>
          <cell r="G295">
            <v>1</v>
          </cell>
          <cell r="H295">
            <v>17.7</v>
          </cell>
          <cell r="I295">
            <v>16.8</v>
          </cell>
          <cell r="J295">
            <v>0.89999999999999858</v>
          </cell>
          <cell r="K295">
            <v>24.6</v>
          </cell>
          <cell r="L295">
            <v>31.5</v>
          </cell>
          <cell r="M295">
            <v>0.78095238095238095</v>
          </cell>
          <cell r="N295">
            <v>17.399999999999999</v>
          </cell>
          <cell r="O295">
            <v>16.399999999999999</v>
          </cell>
          <cell r="P295">
            <v>1</v>
          </cell>
        </row>
        <row r="296">
          <cell r="A296" t="str">
            <v>1994:7</v>
          </cell>
          <cell r="B296">
            <v>1.4893114310465965</v>
          </cell>
          <cell r="C296">
            <v>9.8992241828118033</v>
          </cell>
          <cell r="D296">
            <v>0.15044728794328288</v>
          </cell>
          <cell r="E296">
            <v>0</v>
          </cell>
          <cell r="F296">
            <v>0</v>
          </cell>
          <cell r="G296">
            <v>1</v>
          </cell>
          <cell r="H296">
            <v>22</v>
          </cell>
          <cell r="I296">
            <v>19.2</v>
          </cell>
          <cell r="J296">
            <v>2.8000000000000007</v>
          </cell>
          <cell r="K296">
            <v>0</v>
          </cell>
          <cell r="L296">
            <v>8.9</v>
          </cell>
          <cell r="M296">
            <v>0</v>
          </cell>
          <cell r="N296">
            <v>22.1</v>
          </cell>
          <cell r="O296">
            <v>18.399999999999999</v>
          </cell>
          <cell r="P296">
            <v>3.7000000000000028</v>
          </cell>
        </row>
        <row r="297">
          <cell r="A297" t="str">
            <v>1994:8</v>
          </cell>
          <cell r="B297">
            <v>5.8648217077724025</v>
          </cell>
          <cell r="C297">
            <v>9.4425505166936539</v>
          </cell>
          <cell r="D297">
            <v>0.62110567451070342</v>
          </cell>
          <cell r="E297">
            <v>0</v>
          </cell>
          <cell r="F297">
            <v>0</v>
          </cell>
          <cell r="G297">
            <v>1</v>
          </cell>
          <cell r="H297">
            <v>20.399999999999999</v>
          </cell>
          <cell r="I297">
            <v>18.899999999999999</v>
          </cell>
          <cell r="J297">
            <v>1.5</v>
          </cell>
          <cell r="K297">
            <v>1.2</v>
          </cell>
          <cell r="L297">
            <v>9.1</v>
          </cell>
          <cell r="M297">
            <v>0.13186813186813187</v>
          </cell>
          <cell r="N297">
            <v>19.100000000000001</v>
          </cell>
          <cell r="O297">
            <v>18.2</v>
          </cell>
          <cell r="P297">
            <v>0.90000000000000213</v>
          </cell>
        </row>
        <row r="298">
          <cell r="A298" t="str">
            <v>1994:9</v>
          </cell>
          <cell r="B298">
            <v>58.475855366504817</v>
          </cell>
          <cell r="C298">
            <v>43.697695496746512</v>
          </cell>
          <cell r="D298">
            <v>1.3381908290989535</v>
          </cell>
          <cell r="E298">
            <v>0</v>
          </cell>
          <cell r="F298">
            <v>0</v>
          </cell>
          <cell r="G298">
            <v>1</v>
          </cell>
          <cell r="H298">
            <v>15.3</v>
          </cell>
          <cell r="I298">
            <v>16.5</v>
          </cell>
          <cell r="J298">
            <v>-1.1999999999999993</v>
          </cell>
          <cell r="K298">
            <v>56.6</v>
          </cell>
          <cell r="L298">
            <v>39.4</v>
          </cell>
          <cell r="M298">
            <v>1.436548223350254</v>
          </cell>
          <cell r="N298">
            <v>14.5</v>
          </cell>
          <cell r="O298">
            <v>15.7</v>
          </cell>
          <cell r="P298">
            <v>-1.1999999999999993</v>
          </cell>
        </row>
        <row r="299">
          <cell r="A299" t="str">
            <v>1994:10</v>
          </cell>
          <cell r="B299">
            <v>135.11265911428364</v>
          </cell>
          <cell r="C299">
            <v>132.10004667845612</v>
          </cell>
          <cell r="D299">
            <v>1.0228055364973527</v>
          </cell>
          <cell r="E299">
            <v>135.11265911428364</v>
          </cell>
          <cell r="F299">
            <v>132.10004667845612</v>
          </cell>
          <cell r="G299">
            <v>1.0228055364973527</v>
          </cell>
          <cell r="H299">
            <v>12.2</v>
          </cell>
          <cell r="I299">
            <v>12.6</v>
          </cell>
          <cell r="J299">
            <v>-0.40000000000000036</v>
          </cell>
          <cell r="K299">
            <v>144.80000000000001</v>
          </cell>
          <cell r="L299">
            <v>133.80000000000001</v>
          </cell>
          <cell r="M299">
            <v>1.0822122571001496</v>
          </cell>
          <cell r="N299">
            <v>11.3</v>
          </cell>
          <cell r="O299">
            <v>11.8</v>
          </cell>
          <cell r="P299">
            <v>-0.5</v>
          </cell>
        </row>
        <row r="300">
          <cell r="A300" t="str">
            <v>1994:11</v>
          </cell>
          <cell r="B300">
            <v>175.02566325170051</v>
          </cell>
          <cell r="C300">
            <v>277.9065874341735</v>
          </cell>
          <cell r="D300">
            <v>0.62980033999071017</v>
          </cell>
          <cell r="E300">
            <v>175.02566325170051</v>
          </cell>
          <cell r="F300">
            <v>277.9065874341735</v>
          </cell>
          <cell r="G300">
            <v>0.62980033999071017</v>
          </cell>
          <cell r="H300">
            <v>10.9</v>
          </cell>
          <cell r="I300">
            <v>7.6</v>
          </cell>
          <cell r="J300">
            <v>3.3000000000000007</v>
          </cell>
          <cell r="K300">
            <v>145.4</v>
          </cell>
          <cell r="L300">
            <v>272.89999999999998</v>
          </cell>
          <cell r="M300">
            <v>0.53279589593257615</v>
          </cell>
          <cell r="N300">
            <v>11.2</v>
          </cell>
          <cell r="O300">
            <v>6.9</v>
          </cell>
          <cell r="P300">
            <v>4.2999999999999989</v>
          </cell>
        </row>
        <row r="301">
          <cell r="A301" t="str">
            <v>1994:12</v>
          </cell>
          <cell r="B301">
            <v>306.3225038998421</v>
          </cell>
          <cell r="C301">
            <v>363.68818352813111</v>
          </cell>
          <cell r="D301">
            <v>0.84226685873655338</v>
          </cell>
          <cell r="E301">
            <v>306.3225038998421</v>
          </cell>
          <cell r="F301">
            <v>363.68818352813111</v>
          </cell>
          <cell r="G301">
            <v>0.84226685873655338</v>
          </cell>
          <cell r="H301">
            <v>7</v>
          </cell>
          <cell r="I301">
            <v>4.8</v>
          </cell>
          <cell r="J301">
            <v>2.2000000000000002</v>
          </cell>
          <cell r="K301">
            <v>299.2</v>
          </cell>
          <cell r="L301">
            <v>363.6</v>
          </cell>
          <cell r="M301">
            <v>0.82288228822882281</v>
          </cell>
          <cell r="N301">
            <v>6.3</v>
          </cell>
          <cell r="O301">
            <v>4.3</v>
          </cell>
          <cell r="P301">
            <v>2</v>
          </cell>
        </row>
        <row r="302">
          <cell r="A302" t="str">
            <v>1995:1</v>
          </cell>
          <cell r="B302">
            <v>363.15502264715218</v>
          </cell>
          <cell r="C302">
            <v>392.91081774346333</v>
          </cell>
          <cell r="D302">
            <v>0.92426832310903917</v>
          </cell>
          <cell r="E302">
            <v>363.15502264715218</v>
          </cell>
          <cell r="F302">
            <v>392.91081774346333</v>
          </cell>
          <cell r="G302">
            <v>0.92426832310903917</v>
          </cell>
          <cell r="H302">
            <v>5</v>
          </cell>
          <cell r="I302">
            <v>4</v>
          </cell>
          <cell r="J302">
            <v>1</v>
          </cell>
          <cell r="K302">
            <v>329.9</v>
          </cell>
          <cell r="L302">
            <v>388.5</v>
          </cell>
          <cell r="M302">
            <v>0.8491634491634491</v>
          </cell>
          <cell r="N302">
            <v>5.4</v>
          </cell>
          <cell r="O302">
            <v>3.5</v>
          </cell>
          <cell r="P302">
            <v>1.9000000000000004</v>
          </cell>
        </row>
        <row r="303">
          <cell r="A303" t="str">
            <v>1995:2</v>
          </cell>
          <cell r="B303">
            <v>238.14894528891296</v>
          </cell>
          <cell r="C303">
            <v>331.22294910654443</v>
          </cell>
          <cell r="D303">
            <v>0.71899892785601527</v>
          </cell>
          <cell r="E303">
            <v>238.14894528891296</v>
          </cell>
          <cell r="F303">
            <v>331.22294910654443</v>
          </cell>
          <cell r="G303">
            <v>0.71899892785601527</v>
          </cell>
          <cell r="H303">
            <v>8.1</v>
          </cell>
          <cell r="I303">
            <v>5.0999999999999996</v>
          </cell>
          <cell r="J303">
            <v>3</v>
          </cell>
          <cell r="K303">
            <v>210</v>
          </cell>
          <cell r="L303">
            <v>326.10000000000002</v>
          </cell>
          <cell r="M303">
            <v>0.64397424103035872</v>
          </cell>
          <cell r="N303">
            <v>8.5</v>
          </cell>
          <cell r="O303">
            <v>4.5</v>
          </cell>
          <cell r="P303">
            <v>4</v>
          </cell>
        </row>
        <row r="304">
          <cell r="A304" t="str">
            <v>1995:3</v>
          </cell>
          <cell r="B304">
            <v>299.29388893697444</v>
          </cell>
          <cell r="C304">
            <v>270.29253185771751</v>
          </cell>
          <cell r="D304">
            <v>1.1072961834347805</v>
          </cell>
          <cell r="E304">
            <v>299.29388893697444</v>
          </cell>
          <cell r="F304">
            <v>270.29253185771751</v>
          </cell>
          <cell r="G304">
            <v>1.1072961834347805</v>
          </cell>
          <cell r="H304">
            <v>7</v>
          </cell>
          <cell r="I304">
            <v>7.3</v>
          </cell>
          <cell r="J304">
            <v>-0.29999999999999982</v>
          </cell>
          <cell r="K304">
            <v>281.60000000000002</v>
          </cell>
          <cell r="L304">
            <v>283.89999999999998</v>
          </cell>
          <cell r="M304">
            <v>0.99189855582951758</v>
          </cell>
          <cell r="N304">
            <v>6.9</v>
          </cell>
          <cell r="O304">
            <v>6.8</v>
          </cell>
          <cell r="P304">
            <v>0.10000000000000053</v>
          </cell>
        </row>
        <row r="305">
          <cell r="A305" t="str">
            <v>1995:4</v>
          </cell>
          <cell r="B305">
            <v>187.28984571859843</v>
          </cell>
          <cell r="C305">
            <v>198.63939385091356</v>
          </cell>
          <cell r="D305">
            <v>0.94286355836932623</v>
          </cell>
          <cell r="E305">
            <v>187.28984571859843</v>
          </cell>
          <cell r="F305">
            <v>198.63939385091356</v>
          </cell>
          <cell r="G305">
            <v>0.94286355836932623</v>
          </cell>
          <cell r="H305">
            <v>10.3</v>
          </cell>
          <cell r="I305">
            <v>9.9</v>
          </cell>
          <cell r="J305">
            <v>0.40000000000000036</v>
          </cell>
          <cell r="K305">
            <v>184.7</v>
          </cell>
          <cell r="L305">
            <v>190.3</v>
          </cell>
          <cell r="M305">
            <v>0.97057277982133461</v>
          </cell>
          <cell r="N305">
            <v>9.8000000000000007</v>
          </cell>
          <cell r="O305">
            <v>9.6999999999999993</v>
          </cell>
          <cell r="P305">
            <v>0.10000000000000142</v>
          </cell>
        </row>
        <row r="306">
          <cell r="A306" t="str">
            <v>1995:5</v>
          </cell>
          <cell r="B306">
            <v>89.811119879484039</v>
          </cell>
          <cell r="C306">
            <v>94.205291641343422</v>
          </cell>
          <cell r="D306">
            <v>0.9533553616224788</v>
          </cell>
          <cell r="E306">
            <v>89.811119879484039</v>
          </cell>
          <cell r="F306">
            <v>94.205291641343422</v>
          </cell>
          <cell r="G306">
            <v>0.9533553616224788</v>
          </cell>
          <cell r="H306">
            <v>14.3</v>
          </cell>
          <cell r="I306">
            <v>13.6</v>
          </cell>
          <cell r="J306">
            <v>0.70000000000000107</v>
          </cell>
          <cell r="K306">
            <v>77.099999999999994</v>
          </cell>
          <cell r="L306">
            <v>95</v>
          </cell>
          <cell r="M306">
            <v>0.81157894736842096</v>
          </cell>
          <cell r="N306">
            <v>14.3</v>
          </cell>
          <cell r="O306">
            <v>13.3</v>
          </cell>
          <cell r="P306">
            <v>1</v>
          </cell>
        </row>
        <row r="307">
          <cell r="A307" t="str">
            <v>1995:6</v>
          </cell>
          <cell r="B307">
            <v>48.86801015048345</v>
          </cell>
          <cell r="C307">
            <v>33.639009300779129</v>
          </cell>
          <cell r="D307">
            <v>1.4527184707949052</v>
          </cell>
          <cell r="E307">
            <v>0</v>
          </cell>
          <cell r="F307">
            <v>0</v>
          </cell>
          <cell r="G307">
            <v>1</v>
          </cell>
          <cell r="H307">
            <v>16.7</v>
          </cell>
          <cell r="I307">
            <v>16.8</v>
          </cell>
          <cell r="J307">
            <v>-0.10000000000000142</v>
          </cell>
          <cell r="K307">
            <v>43.1</v>
          </cell>
          <cell r="L307">
            <v>31.5</v>
          </cell>
          <cell r="M307">
            <v>1.3682539682539683</v>
          </cell>
          <cell r="N307">
            <v>16.399999999999999</v>
          </cell>
          <cell r="O307">
            <v>16.399999999999999</v>
          </cell>
          <cell r="P307">
            <v>0</v>
          </cell>
        </row>
        <row r="308">
          <cell r="A308" t="str">
            <v>1995:7</v>
          </cell>
          <cell r="B308">
            <v>1.2947204361978828</v>
          </cell>
          <cell r="C308">
            <v>9.8992241828118033</v>
          </cell>
          <cell r="D308">
            <v>0.13079009145443221</v>
          </cell>
          <cell r="E308">
            <v>0</v>
          </cell>
          <cell r="F308">
            <v>0</v>
          </cell>
          <cell r="G308">
            <v>1</v>
          </cell>
          <cell r="H308">
            <v>21.7</v>
          </cell>
          <cell r="I308">
            <v>19.2</v>
          </cell>
          <cell r="J308">
            <v>2.5</v>
          </cell>
          <cell r="K308">
            <v>0</v>
          </cell>
          <cell r="L308">
            <v>8.9</v>
          </cell>
          <cell r="M308">
            <v>0</v>
          </cell>
          <cell r="N308">
            <v>21.7</v>
          </cell>
          <cell r="O308">
            <v>18.399999999999999</v>
          </cell>
          <cell r="P308">
            <v>3.3000000000000007</v>
          </cell>
        </row>
        <row r="309">
          <cell r="A309" t="str">
            <v>1995:8</v>
          </cell>
          <cell r="B309">
            <v>6.0171616788191127</v>
          </cell>
          <cell r="C309">
            <v>9.4425505166936539</v>
          </cell>
          <cell r="D309">
            <v>0.63723902436966207</v>
          </cell>
          <cell r="E309">
            <v>0</v>
          </cell>
          <cell r="F309">
            <v>0</v>
          </cell>
          <cell r="G309">
            <v>1</v>
          </cell>
          <cell r="H309">
            <v>20.7</v>
          </cell>
          <cell r="I309">
            <v>18.899999999999999</v>
          </cell>
          <cell r="J309">
            <v>1.8000000000000007</v>
          </cell>
          <cell r="K309">
            <v>3.4</v>
          </cell>
          <cell r="L309">
            <v>9.1</v>
          </cell>
          <cell r="M309">
            <v>0.37362637362637363</v>
          </cell>
          <cell r="N309">
            <v>21.1</v>
          </cell>
          <cell r="O309">
            <v>18.2</v>
          </cell>
          <cell r="P309">
            <v>2.9000000000000021</v>
          </cell>
        </row>
        <row r="310">
          <cell r="A310" t="str">
            <v>1995:9</v>
          </cell>
          <cell r="B310">
            <v>62.157814245418052</v>
          </cell>
          <cell r="C310">
            <v>43.697695496746512</v>
          </cell>
          <cell r="D310">
            <v>1.4224506244281458</v>
          </cell>
          <cell r="E310">
            <v>0</v>
          </cell>
          <cell r="F310">
            <v>0</v>
          </cell>
          <cell r="G310">
            <v>1</v>
          </cell>
          <cell r="H310">
            <v>14.7</v>
          </cell>
          <cell r="I310">
            <v>16.5</v>
          </cell>
          <cell r="J310">
            <v>-1.8000000000000007</v>
          </cell>
          <cell r="K310">
            <v>48.2</v>
          </cell>
          <cell r="L310">
            <v>39.4</v>
          </cell>
          <cell r="M310">
            <v>1.2233502538071068</v>
          </cell>
          <cell r="N310">
            <v>14.7</v>
          </cell>
          <cell r="O310">
            <v>15.7</v>
          </cell>
          <cell r="P310">
            <v>-1</v>
          </cell>
        </row>
        <row r="311">
          <cell r="A311" t="str">
            <v>1995:10</v>
          </cell>
          <cell r="B311">
            <v>58.614930851230632</v>
          </cell>
          <cell r="C311">
            <v>132.10004667845612</v>
          </cell>
          <cell r="D311">
            <v>0.44371620090267538</v>
          </cell>
          <cell r="E311">
            <v>58.614930851230632</v>
          </cell>
          <cell r="F311">
            <v>132.10004667845612</v>
          </cell>
          <cell r="G311">
            <v>0.44371620090267538</v>
          </cell>
          <cell r="H311">
            <v>15</v>
          </cell>
          <cell r="I311">
            <v>12.6</v>
          </cell>
          <cell r="J311">
            <v>2.4000000000000004</v>
          </cell>
          <cell r="K311">
            <v>58.5</v>
          </cell>
          <cell r="L311">
            <v>133.80000000000001</v>
          </cell>
          <cell r="M311">
            <v>0.43721973094170402</v>
          </cell>
          <cell r="N311">
            <v>14.4</v>
          </cell>
          <cell r="O311">
            <v>11.8</v>
          </cell>
          <cell r="P311">
            <v>2.5999999999999996</v>
          </cell>
        </row>
        <row r="312">
          <cell r="A312" t="str">
            <v>1995:11</v>
          </cell>
          <cell r="B312">
            <v>266.8483020877452</v>
          </cell>
          <cell r="C312">
            <v>277.9065874341735</v>
          </cell>
          <cell r="D312">
            <v>0.96020862460107159</v>
          </cell>
          <cell r="E312">
            <v>266.8483020877452</v>
          </cell>
          <cell r="F312">
            <v>277.9065874341735</v>
          </cell>
          <cell r="G312">
            <v>0.96020862460107159</v>
          </cell>
          <cell r="H312">
            <v>7.8</v>
          </cell>
          <cell r="I312">
            <v>7.6</v>
          </cell>
          <cell r="J312">
            <v>0.20000000000000018</v>
          </cell>
          <cell r="K312">
            <v>255.8</v>
          </cell>
          <cell r="L312">
            <v>272.89999999999998</v>
          </cell>
          <cell r="M312">
            <v>0.93733968486625152</v>
          </cell>
          <cell r="N312">
            <v>7.5</v>
          </cell>
          <cell r="O312">
            <v>6.9</v>
          </cell>
          <cell r="P312">
            <v>0.59999999999999964</v>
          </cell>
        </row>
        <row r="313">
          <cell r="A313" t="str">
            <v>1995:12</v>
          </cell>
          <cell r="B313">
            <v>393.29099670368606</v>
          </cell>
          <cell r="C313">
            <v>363.68818352813111</v>
          </cell>
          <cell r="D313">
            <v>1.0813961369005138</v>
          </cell>
          <cell r="E313">
            <v>393.29099670368606</v>
          </cell>
          <cell r="F313">
            <v>363.68818352813111</v>
          </cell>
          <cell r="G313">
            <v>1.0813961369005138</v>
          </cell>
          <cell r="H313">
            <v>4.3</v>
          </cell>
          <cell r="I313">
            <v>4.8</v>
          </cell>
          <cell r="J313">
            <v>-0.5</v>
          </cell>
          <cell r="K313">
            <v>397.6</v>
          </cell>
          <cell r="L313">
            <v>363.6</v>
          </cell>
          <cell r="M313">
            <v>1.0935093509350935</v>
          </cell>
          <cell r="N313">
            <v>3.2</v>
          </cell>
          <cell r="O313">
            <v>4.3</v>
          </cell>
          <cell r="P313">
            <v>-1.0999999999999996</v>
          </cell>
        </row>
        <row r="314">
          <cell r="A314" t="str">
            <v>1996:1</v>
          </cell>
          <cell r="B314">
            <v>354.81027331234907</v>
          </cell>
          <cell r="C314">
            <v>392.91081774346333</v>
          </cell>
          <cell r="D314">
            <v>0.90303004470599579</v>
          </cell>
          <cell r="E314">
            <v>354.81027331234907</v>
          </cell>
          <cell r="F314">
            <v>392.91081774346333</v>
          </cell>
          <cell r="G314">
            <v>0.90303004470599579</v>
          </cell>
          <cell r="H314">
            <v>5.4</v>
          </cell>
          <cell r="I314">
            <v>4</v>
          </cell>
          <cell r="J314">
            <v>1.4000000000000004</v>
          </cell>
          <cell r="K314">
            <v>382.3</v>
          </cell>
          <cell r="L314">
            <v>388.5</v>
          </cell>
          <cell r="M314">
            <v>0.98404118404118412</v>
          </cell>
          <cell r="N314">
            <v>3.7</v>
          </cell>
          <cell r="O314">
            <v>3.5</v>
          </cell>
          <cell r="P314">
            <v>0.20000000000000018</v>
          </cell>
        </row>
        <row r="315">
          <cell r="A315" t="str">
            <v>1996:2</v>
          </cell>
          <cell r="B315">
            <v>388.75273686334003</v>
          </cell>
          <cell r="C315">
            <v>331.22294910654443</v>
          </cell>
          <cell r="D315">
            <v>1.1736890149428927</v>
          </cell>
          <cell r="E315">
            <v>388.75273686334003</v>
          </cell>
          <cell r="F315">
            <v>331.22294910654443</v>
          </cell>
          <cell r="G315">
            <v>1.1736890149428927</v>
          </cell>
          <cell r="H315">
            <v>3.4</v>
          </cell>
          <cell r="I315">
            <v>5.0999999999999996</v>
          </cell>
          <cell r="J315">
            <v>-1.6999999999999997</v>
          </cell>
          <cell r="K315">
            <v>384.4</v>
          </cell>
          <cell r="L315">
            <v>326.10000000000002</v>
          </cell>
          <cell r="M315">
            <v>1.178779515486047</v>
          </cell>
          <cell r="N315">
            <v>2.7</v>
          </cell>
          <cell r="O315">
            <v>4.5</v>
          </cell>
          <cell r="P315">
            <v>-1.7999999999999998</v>
          </cell>
        </row>
        <row r="316">
          <cell r="A316" t="str">
            <v>1996:3</v>
          </cell>
          <cell r="B316">
            <v>312.45702835749336</v>
          </cell>
          <cell r="C316">
            <v>270.29253185771751</v>
          </cell>
          <cell r="D316">
            <v>1.1559957880078289</v>
          </cell>
          <cell r="E316">
            <v>312.45702835749336</v>
          </cell>
          <cell r="F316">
            <v>270.29253185771751</v>
          </cell>
          <cell r="G316">
            <v>1.1559957880078289</v>
          </cell>
          <cell r="H316">
            <v>6.5</v>
          </cell>
          <cell r="I316">
            <v>7.3</v>
          </cell>
          <cell r="J316">
            <v>-0.79999999999999982</v>
          </cell>
          <cell r="K316">
            <v>306.60000000000002</v>
          </cell>
          <cell r="L316">
            <v>283.89999999999998</v>
          </cell>
          <cell r="M316">
            <v>1.0799577315956324</v>
          </cell>
          <cell r="N316">
            <v>6.1</v>
          </cell>
          <cell r="O316">
            <v>6.8</v>
          </cell>
          <cell r="P316">
            <v>-0.70000000000000018</v>
          </cell>
        </row>
        <row r="317">
          <cell r="A317" t="str">
            <v>1996:4</v>
          </cell>
          <cell r="B317">
            <v>177.95393019750458</v>
          </cell>
          <cell r="C317">
            <v>198.63939385091356</v>
          </cell>
          <cell r="D317">
            <v>0.89586424297622347</v>
          </cell>
          <cell r="E317">
            <v>177.95393019750458</v>
          </cell>
          <cell r="F317">
            <v>198.63939385091356</v>
          </cell>
          <cell r="G317">
            <v>0.89586424297622347</v>
          </cell>
          <cell r="H317">
            <v>10.7</v>
          </cell>
          <cell r="I317">
            <v>9.9</v>
          </cell>
          <cell r="J317">
            <v>0.79999999999999893</v>
          </cell>
          <cell r="K317">
            <v>166.7</v>
          </cell>
          <cell r="L317">
            <v>190.3</v>
          </cell>
          <cell r="M317">
            <v>0.87598528638991058</v>
          </cell>
          <cell r="N317">
            <v>10.7</v>
          </cell>
          <cell r="O317">
            <v>9.6999999999999993</v>
          </cell>
          <cell r="P317">
            <v>1</v>
          </cell>
        </row>
        <row r="318">
          <cell r="A318" t="str">
            <v>1996:5</v>
          </cell>
          <cell r="B318">
            <v>126.23695520613647</v>
          </cell>
          <cell r="C318">
            <v>94.205291641343422</v>
          </cell>
          <cell r="D318">
            <v>1.3400197908918257</v>
          </cell>
          <cell r="E318">
            <v>126.23695520613647</v>
          </cell>
          <cell r="F318">
            <v>94.205291641343422</v>
          </cell>
          <cell r="G318">
            <v>1.3400197908918257</v>
          </cell>
          <cell r="H318">
            <v>12.9</v>
          </cell>
          <cell r="I318">
            <v>13.6</v>
          </cell>
          <cell r="J318">
            <v>-0.69999999999999929</v>
          </cell>
          <cell r="K318">
            <v>133.5</v>
          </cell>
          <cell r="L318">
            <v>95</v>
          </cell>
          <cell r="M318">
            <v>1.4052631578947368</v>
          </cell>
          <cell r="N318">
            <v>12.1</v>
          </cell>
          <cell r="O318">
            <v>13.3</v>
          </cell>
          <cell r="P318">
            <v>-1.2000000000000011</v>
          </cell>
        </row>
        <row r="319">
          <cell r="A319" t="str">
            <v>1996:6</v>
          </cell>
          <cell r="B319">
            <v>24.805854099381907</v>
          </cell>
          <cell r="C319">
            <v>33.639009300779129</v>
          </cell>
          <cell r="D319">
            <v>0.73741333692628597</v>
          </cell>
          <cell r="E319">
            <v>0</v>
          </cell>
          <cell r="F319">
            <v>0</v>
          </cell>
          <cell r="G319">
            <v>1</v>
          </cell>
          <cell r="H319">
            <v>18.2</v>
          </cell>
          <cell r="I319">
            <v>16.8</v>
          </cell>
          <cell r="J319">
            <v>1.3999999999999986</v>
          </cell>
          <cell r="K319">
            <v>15.7</v>
          </cell>
          <cell r="L319">
            <v>31.5</v>
          </cell>
          <cell r="M319">
            <v>0.49841269841269836</v>
          </cell>
          <cell r="N319">
            <v>18.100000000000001</v>
          </cell>
          <cell r="O319">
            <v>16.399999999999999</v>
          </cell>
          <cell r="P319">
            <v>1.7000000000000028</v>
          </cell>
        </row>
        <row r="320">
          <cell r="A320" t="str">
            <v>1996:7</v>
          </cell>
          <cell r="B320">
            <v>14.239297187662102</v>
          </cell>
          <cell r="C320">
            <v>9.8992241828118033</v>
          </cell>
          <cell r="D320">
            <v>1.4384255699942672</v>
          </cell>
          <cell r="E320">
            <v>0</v>
          </cell>
          <cell r="F320">
            <v>0</v>
          </cell>
          <cell r="G320">
            <v>1</v>
          </cell>
          <cell r="H320">
            <v>19.2</v>
          </cell>
          <cell r="I320">
            <v>19.2</v>
          </cell>
          <cell r="J320">
            <v>0</v>
          </cell>
          <cell r="K320">
            <v>6.7</v>
          </cell>
          <cell r="L320">
            <v>8.9</v>
          </cell>
          <cell r="M320">
            <v>0.7528089887640449</v>
          </cell>
          <cell r="N320">
            <v>18.899999999999999</v>
          </cell>
          <cell r="O320">
            <v>18.399999999999999</v>
          </cell>
          <cell r="P320">
            <v>0.5</v>
          </cell>
        </row>
        <row r="321">
          <cell r="A321" t="str">
            <v>1996:8</v>
          </cell>
          <cell r="B321">
            <v>8.9890885823167235</v>
          </cell>
          <cell r="C321">
            <v>9.4425505166936539</v>
          </cell>
          <cell r="D321">
            <v>0.95197675314786545</v>
          </cell>
          <cell r="E321">
            <v>0</v>
          </cell>
          <cell r="F321">
            <v>0</v>
          </cell>
          <cell r="G321">
            <v>1</v>
          </cell>
          <cell r="H321">
            <v>18.7</v>
          </cell>
          <cell r="I321">
            <v>18.899999999999999</v>
          </cell>
          <cell r="J321">
            <v>-0.19999999999999929</v>
          </cell>
          <cell r="K321">
            <v>2.6</v>
          </cell>
          <cell r="L321">
            <v>9.1</v>
          </cell>
          <cell r="M321">
            <v>0.28571428571428575</v>
          </cell>
          <cell r="N321">
            <v>18.8</v>
          </cell>
          <cell r="O321">
            <v>18.2</v>
          </cell>
          <cell r="P321">
            <v>0.60000000000000142</v>
          </cell>
        </row>
        <row r="322">
          <cell r="A322" t="str">
            <v>1996:9</v>
          </cell>
          <cell r="B322">
            <v>75.459285114535348</v>
          </cell>
          <cell r="C322">
            <v>43.697695496746512</v>
          </cell>
          <cell r="D322">
            <v>1.7268481611382374</v>
          </cell>
          <cell r="E322">
            <v>0</v>
          </cell>
          <cell r="F322">
            <v>0</v>
          </cell>
          <cell r="G322">
            <v>1</v>
          </cell>
          <cell r="H322">
            <v>14.4</v>
          </cell>
          <cell r="I322">
            <v>16.5</v>
          </cell>
          <cell r="J322">
            <v>-2.0999999999999996</v>
          </cell>
          <cell r="K322">
            <v>63.5</v>
          </cell>
          <cell r="L322">
            <v>39.4</v>
          </cell>
          <cell r="M322">
            <v>1.6116751269035534</v>
          </cell>
          <cell r="N322">
            <v>14</v>
          </cell>
          <cell r="O322">
            <v>15.7</v>
          </cell>
          <cell r="P322">
            <v>-1.6999999999999993</v>
          </cell>
        </row>
        <row r="323">
          <cell r="A323" t="str">
            <v>1996:10</v>
          </cell>
          <cell r="B323">
            <v>134.94628378307371</v>
          </cell>
          <cell r="C323">
            <v>132.10004667845612</v>
          </cell>
          <cell r="D323">
            <v>1.0215460719067389</v>
          </cell>
          <cell r="E323">
            <v>134.94628378307371</v>
          </cell>
          <cell r="F323">
            <v>132.10004667845612</v>
          </cell>
          <cell r="G323">
            <v>1.0215460719067389</v>
          </cell>
          <cell r="H323">
            <v>12.2</v>
          </cell>
          <cell r="I323">
            <v>12.6</v>
          </cell>
          <cell r="J323">
            <v>-0.40000000000000036</v>
          </cell>
          <cell r="K323">
            <v>130.30000000000001</v>
          </cell>
          <cell r="L323">
            <v>133.80000000000001</v>
          </cell>
          <cell r="M323">
            <v>0.97384155455904331</v>
          </cell>
          <cell r="N323">
            <v>11.8</v>
          </cell>
          <cell r="O323">
            <v>11.8</v>
          </cell>
          <cell r="P323">
            <v>0</v>
          </cell>
        </row>
        <row r="324">
          <cell r="A324" t="str">
            <v>1996:11</v>
          </cell>
          <cell r="B324">
            <v>283.92131988326065</v>
          </cell>
          <cell r="C324">
            <v>277.9065874341735</v>
          </cell>
          <cell r="D324">
            <v>1.0216430006378019</v>
          </cell>
          <cell r="E324">
            <v>283.92131988326065</v>
          </cell>
          <cell r="F324">
            <v>277.9065874341735</v>
          </cell>
          <cell r="G324">
            <v>1.0216430006378019</v>
          </cell>
          <cell r="H324">
            <v>7.4</v>
          </cell>
          <cell r="I324">
            <v>7.6</v>
          </cell>
          <cell r="J324">
            <v>-0.19999999999999929</v>
          </cell>
          <cell r="K324">
            <v>273.5</v>
          </cell>
          <cell r="L324">
            <v>272.89999999999998</v>
          </cell>
          <cell r="M324">
            <v>1.0021986075485527</v>
          </cell>
          <cell r="N324">
            <v>6.9</v>
          </cell>
          <cell r="O324">
            <v>6.9</v>
          </cell>
          <cell r="P324">
            <v>0</v>
          </cell>
        </row>
        <row r="325">
          <cell r="A325" t="str">
            <v>1996:12</v>
          </cell>
          <cell r="B325">
            <v>413.18230456508587</v>
          </cell>
          <cell r="C325">
            <v>363.68818352813111</v>
          </cell>
          <cell r="D325">
            <v>1.1360894394665599</v>
          </cell>
          <cell r="E325">
            <v>413.18230456508587</v>
          </cell>
          <cell r="F325">
            <v>363.68818352813111</v>
          </cell>
          <cell r="G325">
            <v>1.1360894394665599</v>
          </cell>
          <cell r="H325">
            <v>3.7</v>
          </cell>
          <cell r="I325">
            <v>4.8</v>
          </cell>
          <cell r="J325">
            <v>-1.0999999999999996</v>
          </cell>
          <cell r="K325">
            <v>424.5</v>
          </cell>
          <cell r="L325">
            <v>363.6</v>
          </cell>
          <cell r="M325">
            <v>1.1674917491749175</v>
          </cell>
          <cell r="N325">
            <v>2.2999999999999998</v>
          </cell>
          <cell r="O325">
            <v>4.3</v>
          </cell>
          <cell r="P325">
            <v>-2</v>
          </cell>
        </row>
        <row r="326">
          <cell r="A326" t="str">
            <v>1997:1</v>
          </cell>
          <cell r="B326">
            <v>459.21475688542046</v>
          </cell>
          <cell r="C326">
            <v>392.91081774346333</v>
          </cell>
          <cell r="D326">
            <v>1.168750607384009</v>
          </cell>
          <cell r="E326">
            <v>459.21475688542046</v>
          </cell>
          <cell r="F326">
            <v>392.91081774346333</v>
          </cell>
          <cell r="G326">
            <v>1.168750607384009</v>
          </cell>
          <cell r="H326">
            <v>2.2000000000000002</v>
          </cell>
          <cell r="I326">
            <v>4</v>
          </cell>
          <cell r="J326">
            <v>-1.7999999999999998</v>
          </cell>
          <cell r="K326">
            <v>486.8</v>
          </cell>
          <cell r="L326">
            <v>388.5</v>
          </cell>
          <cell r="M326">
            <v>1.253024453024453</v>
          </cell>
          <cell r="N326">
            <v>0.3</v>
          </cell>
          <cell r="O326">
            <v>3.5</v>
          </cell>
          <cell r="P326">
            <v>-3.2</v>
          </cell>
        </row>
        <row r="327">
          <cell r="A327" t="str">
            <v>1997:2</v>
          </cell>
          <cell r="B327">
            <v>257.86401505800018</v>
          </cell>
          <cell r="C327">
            <v>331.22294910654443</v>
          </cell>
          <cell r="D327">
            <v>0.77852098036556372</v>
          </cell>
          <cell r="E327">
            <v>257.86401505800018</v>
          </cell>
          <cell r="F327">
            <v>331.22294910654443</v>
          </cell>
          <cell r="G327">
            <v>0.77852098036556372</v>
          </cell>
          <cell r="H327">
            <v>7.5</v>
          </cell>
          <cell r="I327">
            <v>5.0999999999999996</v>
          </cell>
          <cell r="J327">
            <v>2.4000000000000004</v>
          </cell>
          <cell r="K327">
            <v>237.8</v>
          </cell>
          <cell r="L327">
            <v>326.10000000000002</v>
          </cell>
          <cell r="M327">
            <v>0.72922416436675863</v>
          </cell>
          <cell r="N327">
            <v>7.5</v>
          </cell>
          <cell r="O327">
            <v>4.5</v>
          </cell>
          <cell r="P327">
            <v>3</v>
          </cell>
        </row>
        <row r="328">
          <cell r="A328" t="str">
            <v>1997:3</v>
          </cell>
          <cell r="B328">
            <v>206.56685638678232</v>
          </cell>
          <cell r="C328">
            <v>270.29253185771751</v>
          </cell>
          <cell r="D328">
            <v>0.76423442026699984</v>
          </cell>
          <cell r="E328">
            <v>206.56685638678232</v>
          </cell>
          <cell r="F328">
            <v>270.29253185771751</v>
          </cell>
          <cell r="G328">
            <v>0.76423442026699984</v>
          </cell>
          <cell r="H328">
            <v>9.9</v>
          </cell>
          <cell r="I328">
            <v>7.3</v>
          </cell>
          <cell r="J328">
            <v>2.6000000000000005</v>
          </cell>
          <cell r="K328">
            <v>191.6</v>
          </cell>
          <cell r="L328">
            <v>283.89999999999998</v>
          </cell>
          <cell r="M328">
            <v>0.67488552307150407</v>
          </cell>
          <cell r="N328">
            <v>9.8000000000000007</v>
          </cell>
          <cell r="O328">
            <v>6.8</v>
          </cell>
          <cell r="P328">
            <v>3.0000000000000009</v>
          </cell>
        </row>
        <row r="329">
          <cell r="A329" t="str">
            <v>1997:4</v>
          </cell>
          <cell r="B329">
            <v>185.5523972649967</v>
          </cell>
          <cell r="C329">
            <v>198.63939385091356</v>
          </cell>
          <cell r="D329">
            <v>0.93411681171490513</v>
          </cell>
          <cell r="E329">
            <v>185.5523972649967</v>
          </cell>
          <cell r="F329">
            <v>198.63939385091356</v>
          </cell>
          <cell r="G329">
            <v>0.93411681171490513</v>
          </cell>
          <cell r="H329">
            <v>10.6</v>
          </cell>
          <cell r="I329">
            <v>9.9</v>
          </cell>
          <cell r="J329">
            <v>0.69999999999999929</v>
          </cell>
          <cell r="K329">
            <v>180.4</v>
          </cell>
          <cell r="L329">
            <v>190.3</v>
          </cell>
          <cell r="M329">
            <v>0.94797687861271673</v>
          </cell>
          <cell r="N329">
            <v>10</v>
          </cell>
          <cell r="O329">
            <v>9.6999999999999993</v>
          </cell>
          <cell r="P329">
            <v>0.30000000000000071</v>
          </cell>
        </row>
        <row r="330">
          <cell r="A330" t="str">
            <v>1997:5</v>
          </cell>
          <cell r="B330">
            <v>73.99341130169411</v>
          </cell>
          <cell r="C330">
            <v>94.205291641343422</v>
          </cell>
          <cell r="D330">
            <v>0.78544856676841901</v>
          </cell>
          <cell r="E330">
            <v>73.99341130169411</v>
          </cell>
          <cell r="F330">
            <v>94.205291641343422</v>
          </cell>
          <cell r="G330">
            <v>0.78544856676841901</v>
          </cell>
          <cell r="H330">
            <v>14.9</v>
          </cell>
          <cell r="I330">
            <v>13.6</v>
          </cell>
          <cell r="J330">
            <v>1.3000000000000007</v>
          </cell>
          <cell r="K330">
            <v>64.599999999999994</v>
          </cell>
          <cell r="L330">
            <v>95</v>
          </cell>
          <cell r="M330">
            <v>0.67999999999999994</v>
          </cell>
          <cell r="N330">
            <v>14.5</v>
          </cell>
          <cell r="O330">
            <v>13.3</v>
          </cell>
          <cell r="P330">
            <v>1.1999999999999993</v>
          </cell>
        </row>
        <row r="331">
          <cell r="A331" t="str">
            <v>1997:6</v>
          </cell>
          <cell r="B331">
            <v>27.834418597775958</v>
          </cell>
          <cell r="C331">
            <v>33.639009300779129</v>
          </cell>
          <cell r="D331">
            <v>0.82744465952899726</v>
          </cell>
          <cell r="E331">
            <v>0</v>
          </cell>
          <cell r="F331">
            <v>0</v>
          </cell>
          <cell r="G331">
            <v>1</v>
          </cell>
          <cell r="H331">
            <v>17.100000000000001</v>
          </cell>
          <cell r="I331">
            <v>16.8</v>
          </cell>
          <cell r="J331">
            <v>0.30000000000000071</v>
          </cell>
          <cell r="K331">
            <v>17.3</v>
          </cell>
          <cell r="L331">
            <v>31.5</v>
          </cell>
          <cell r="M331">
            <v>0.54920634920634925</v>
          </cell>
          <cell r="N331">
            <v>17</v>
          </cell>
          <cell r="O331">
            <v>16.399999999999999</v>
          </cell>
          <cell r="P331">
            <v>0.60000000000000142</v>
          </cell>
        </row>
        <row r="332">
          <cell r="A332" t="str">
            <v>1997:7</v>
          </cell>
          <cell r="B332">
            <v>8.7222161860385938</v>
          </cell>
          <cell r="C332">
            <v>9.8992241828118033</v>
          </cell>
          <cell r="D332">
            <v>0.88110098579069773</v>
          </cell>
          <cell r="E332">
            <v>0</v>
          </cell>
          <cell r="F332">
            <v>0</v>
          </cell>
          <cell r="G332">
            <v>1</v>
          </cell>
          <cell r="H332">
            <v>19.100000000000001</v>
          </cell>
          <cell r="I332">
            <v>19.2</v>
          </cell>
          <cell r="J332">
            <v>-9.9999999999997868E-2</v>
          </cell>
          <cell r="K332">
            <v>4.8</v>
          </cell>
          <cell r="L332">
            <v>8.9</v>
          </cell>
          <cell r="M332">
            <v>0.5393258426966292</v>
          </cell>
          <cell r="N332">
            <v>18.899999999999999</v>
          </cell>
          <cell r="O332">
            <v>18.399999999999999</v>
          </cell>
          <cell r="P332">
            <v>0.5</v>
          </cell>
        </row>
        <row r="333">
          <cell r="A333" t="str">
            <v>1997:8</v>
          </cell>
          <cell r="B333">
            <v>0.84628837564666637</v>
          </cell>
          <cell r="C333">
            <v>9.4425505166936539</v>
          </cell>
          <cell r="D333">
            <v>8.9624977292999175E-2</v>
          </cell>
          <cell r="E333">
            <v>0</v>
          </cell>
          <cell r="F333">
            <v>0</v>
          </cell>
          <cell r="G333">
            <v>1</v>
          </cell>
          <cell r="H333">
            <v>21.9</v>
          </cell>
          <cell r="I333">
            <v>18.899999999999999</v>
          </cell>
          <cell r="J333">
            <v>3</v>
          </cell>
          <cell r="K333">
            <v>0</v>
          </cell>
          <cell r="L333">
            <v>9.1</v>
          </cell>
          <cell r="M333">
            <v>0</v>
          </cell>
          <cell r="N333">
            <v>22.7</v>
          </cell>
          <cell r="O333">
            <v>18.2</v>
          </cell>
          <cell r="P333">
            <v>4.5</v>
          </cell>
        </row>
        <row r="334">
          <cell r="A334" t="str">
            <v>1997:9</v>
          </cell>
          <cell r="B334">
            <v>24.011973411095774</v>
          </cell>
          <cell r="C334">
            <v>43.697695496746512</v>
          </cell>
          <cell r="D334">
            <v>0.54950205355528581</v>
          </cell>
          <cell r="E334">
            <v>0</v>
          </cell>
          <cell r="F334">
            <v>0</v>
          </cell>
          <cell r="G334">
            <v>1</v>
          </cell>
          <cell r="H334">
            <v>17.2</v>
          </cell>
          <cell r="I334">
            <v>16.5</v>
          </cell>
          <cell r="J334">
            <v>0.69999999999999929</v>
          </cell>
          <cell r="K334">
            <v>16.399999999999999</v>
          </cell>
          <cell r="L334">
            <v>39.4</v>
          </cell>
          <cell r="M334">
            <v>0.416243654822335</v>
          </cell>
          <cell r="N334">
            <v>16.600000000000001</v>
          </cell>
          <cell r="O334">
            <v>15.7</v>
          </cell>
          <cell r="P334">
            <v>0.90000000000000213</v>
          </cell>
        </row>
        <row r="335">
          <cell r="A335" t="str">
            <v>1997:10</v>
          </cell>
          <cell r="B335">
            <v>144.53013392028271</v>
          </cell>
          <cell r="C335">
            <v>132.10004667845612</v>
          </cell>
          <cell r="D335">
            <v>1.0940960094592742</v>
          </cell>
          <cell r="E335">
            <v>144.53013392028271</v>
          </cell>
          <cell r="F335">
            <v>132.10004667845612</v>
          </cell>
          <cell r="G335">
            <v>1.0940960094592742</v>
          </cell>
          <cell r="H335">
            <v>12.5</v>
          </cell>
          <cell r="I335">
            <v>12.6</v>
          </cell>
          <cell r="J335">
            <v>-9.9999999999999645E-2</v>
          </cell>
          <cell r="K335">
            <v>153.4</v>
          </cell>
          <cell r="L335">
            <v>133.80000000000001</v>
          </cell>
          <cell r="M335">
            <v>1.1464872944693572</v>
          </cell>
          <cell r="N335">
            <v>11.4</v>
          </cell>
          <cell r="O335">
            <v>11.8</v>
          </cell>
          <cell r="P335">
            <v>-0.40000000000000036</v>
          </cell>
        </row>
        <row r="336">
          <cell r="A336" t="str">
            <v>1997:11</v>
          </cell>
          <cell r="B336">
            <v>235.50907037522137</v>
          </cell>
          <cell r="C336">
            <v>277.9065874341735</v>
          </cell>
          <cell r="D336">
            <v>0.84743968305898953</v>
          </cell>
          <cell r="E336">
            <v>235.50907037522137</v>
          </cell>
          <cell r="F336">
            <v>277.9065874341735</v>
          </cell>
          <cell r="G336">
            <v>0.84743968305898953</v>
          </cell>
          <cell r="H336">
            <v>8.8000000000000007</v>
          </cell>
          <cell r="I336">
            <v>7.6</v>
          </cell>
          <cell r="J336">
            <v>1.2000000000000011</v>
          </cell>
          <cell r="K336">
            <v>217.3</v>
          </cell>
          <cell r="L336">
            <v>272.89999999999998</v>
          </cell>
          <cell r="M336">
            <v>0.79626236716746068</v>
          </cell>
          <cell r="N336">
            <v>8.8000000000000007</v>
          </cell>
          <cell r="O336">
            <v>6.9</v>
          </cell>
          <cell r="P336">
            <v>1.9000000000000004</v>
          </cell>
        </row>
        <row r="337">
          <cell r="A337" t="str">
            <v>1997:12</v>
          </cell>
          <cell r="B337">
            <v>332.15446099982756</v>
          </cell>
          <cell r="C337">
            <v>363.68818352813111</v>
          </cell>
          <cell r="D337">
            <v>0.91329461897168174</v>
          </cell>
          <cell r="E337">
            <v>332.15446099982756</v>
          </cell>
          <cell r="F337">
            <v>363.68818352813111</v>
          </cell>
          <cell r="G337">
            <v>0.91329461897168174</v>
          </cell>
          <cell r="H337">
            <v>6.1</v>
          </cell>
          <cell r="I337">
            <v>4.8</v>
          </cell>
          <cell r="J337">
            <v>1.2999999999999998</v>
          </cell>
          <cell r="K337">
            <v>301.8</v>
          </cell>
          <cell r="L337">
            <v>363.6</v>
          </cell>
          <cell r="M337">
            <v>0.83003300330033003</v>
          </cell>
          <cell r="N337">
            <v>6.3</v>
          </cell>
          <cell r="O337">
            <v>4.3</v>
          </cell>
          <cell r="P337">
            <v>2</v>
          </cell>
        </row>
        <row r="338">
          <cell r="A338" t="str">
            <v>1998:1</v>
          </cell>
          <cell r="B338">
            <v>352.21929558218403</v>
          </cell>
          <cell r="C338">
            <v>392.91081774346333</v>
          </cell>
          <cell r="D338">
            <v>0.89643572962695228</v>
          </cell>
          <cell r="E338">
            <v>352.21929558218403</v>
          </cell>
          <cell r="F338">
            <v>392.91081774346333</v>
          </cell>
          <cell r="G338">
            <v>0.89643572962695228</v>
          </cell>
          <cell r="H338">
            <v>5.4</v>
          </cell>
          <cell r="I338">
            <v>4</v>
          </cell>
          <cell r="J338">
            <v>1.4000000000000004</v>
          </cell>
          <cell r="K338">
            <v>340.5</v>
          </cell>
          <cell r="L338">
            <v>388.5</v>
          </cell>
          <cell r="M338">
            <v>0.87644787644787647</v>
          </cell>
          <cell r="N338">
            <v>5</v>
          </cell>
          <cell r="O338">
            <v>3.5</v>
          </cell>
          <cell r="P338">
            <v>1.5</v>
          </cell>
        </row>
        <row r="339">
          <cell r="A339" t="str">
            <v>1998:2</v>
          </cell>
          <cell r="B339">
            <v>291.74641630037871</v>
          </cell>
          <cell r="C339">
            <v>331.22294910654443</v>
          </cell>
          <cell r="D339">
            <v>0.88081582839398209</v>
          </cell>
          <cell r="E339">
            <v>291.74641630037871</v>
          </cell>
          <cell r="F339">
            <v>331.22294910654443</v>
          </cell>
          <cell r="G339">
            <v>0.88081582839398209</v>
          </cell>
          <cell r="H339">
            <v>6.2</v>
          </cell>
          <cell r="I339">
            <v>5.0999999999999996</v>
          </cell>
          <cell r="J339">
            <v>1.1000000000000005</v>
          </cell>
          <cell r="K339">
            <v>289.7</v>
          </cell>
          <cell r="L339">
            <v>326.10000000000002</v>
          </cell>
          <cell r="M339">
            <v>0.88837779822140439</v>
          </cell>
          <cell r="N339">
            <v>5.7</v>
          </cell>
          <cell r="O339">
            <v>4.5</v>
          </cell>
          <cell r="P339">
            <v>1.2000000000000002</v>
          </cell>
        </row>
        <row r="340">
          <cell r="A340" t="str">
            <v>1998:3</v>
          </cell>
          <cell r="B340">
            <v>248.06084673204043</v>
          </cell>
          <cell r="C340">
            <v>270.29253185771751</v>
          </cell>
          <cell r="D340">
            <v>0.9177495398304979</v>
          </cell>
          <cell r="E340">
            <v>248.06084673204043</v>
          </cell>
          <cell r="F340">
            <v>270.29253185771751</v>
          </cell>
          <cell r="G340">
            <v>0.9177495398304979</v>
          </cell>
          <cell r="H340">
            <v>8.6999999999999993</v>
          </cell>
          <cell r="I340">
            <v>7.3</v>
          </cell>
          <cell r="J340">
            <v>1.3999999999999995</v>
          </cell>
          <cell r="K340">
            <v>220.8</v>
          </cell>
          <cell r="L340">
            <v>283.89999999999998</v>
          </cell>
          <cell r="M340">
            <v>0.77773864036632623</v>
          </cell>
          <cell r="N340">
            <v>8.9</v>
          </cell>
          <cell r="O340">
            <v>6.8</v>
          </cell>
          <cell r="P340">
            <v>2.1000000000000005</v>
          </cell>
        </row>
        <row r="341">
          <cell r="A341" t="str">
            <v>1998:4</v>
          </cell>
          <cell r="B341">
            <v>199.31764529512472</v>
          </cell>
          <cell r="C341">
            <v>198.63939385091356</v>
          </cell>
          <cell r="D341">
            <v>1.0034144860748024</v>
          </cell>
          <cell r="E341">
            <v>199.31764529512472</v>
          </cell>
          <cell r="F341">
            <v>198.63939385091356</v>
          </cell>
          <cell r="G341">
            <v>1.0034144860748024</v>
          </cell>
          <cell r="H341">
            <v>9.8000000000000007</v>
          </cell>
          <cell r="I341">
            <v>9.9</v>
          </cell>
          <cell r="J341">
            <v>-9.9999999999999645E-2</v>
          </cell>
          <cell r="K341">
            <v>184.2</v>
          </cell>
          <cell r="L341">
            <v>190.3</v>
          </cell>
          <cell r="M341">
            <v>0.96794534944823951</v>
          </cell>
          <cell r="N341">
            <v>9.9</v>
          </cell>
          <cell r="O341">
            <v>9.6999999999999993</v>
          </cell>
          <cell r="P341">
            <v>0.20000000000000107</v>
          </cell>
        </row>
        <row r="342">
          <cell r="A342" t="str">
            <v>1998:5</v>
          </cell>
          <cell r="B342">
            <v>59.561993824335076</v>
          </cell>
          <cell r="C342">
            <v>94.205291641343422</v>
          </cell>
          <cell r="D342">
            <v>0.63225741130443458</v>
          </cell>
          <cell r="E342">
            <v>59.561993824335076</v>
          </cell>
          <cell r="F342">
            <v>94.205291641343422</v>
          </cell>
          <cell r="G342">
            <v>0.63225741130443458</v>
          </cell>
          <cell r="H342">
            <v>15.6</v>
          </cell>
          <cell r="I342">
            <v>13.6</v>
          </cell>
          <cell r="J342">
            <v>2</v>
          </cell>
          <cell r="K342">
            <v>49</v>
          </cell>
          <cell r="L342">
            <v>95</v>
          </cell>
          <cell r="M342">
            <v>0.51578947368421058</v>
          </cell>
          <cell r="N342">
            <v>16.100000000000001</v>
          </cell>
          <cell r="O342">
            <v>13.3</v>
          </cell>
          <cell r="P342">
            <v>2.8000000000000007</v>
          </cell>
        </row>
        <row r="343">
          <cell r="A343" t="str">
            <v>1998:6</v>
          </cell>
          <cell r="B343">
            <v>25.60288454254427</v>
          </cell>
          <cell r="C343">
            <v>33.639009300779129</v>
          </cell>
          <cell r="D343">
            <v>0.7611069729675799</v>
          </cell>
          <cell r="E343">
            <v>0</v>
          </cell>
          <cell r="F343">
            <v>0</v>
          </cell>
          <cell r="G343">
            <v>1</v>
          </cell>
          <cell r="H343">
            <v>17.7</v>
          </cell>
          <cell r="I343">
            <v>16.8</v>
          </cell>
          <cell r="J343">
            <v>0.89999999999999858</v>
          </cell>
          <cell r="K343">
            <v>13.6</v>
          </cell>
          <cell r="L343">
            <v>31.5</v>
          </cell>
          <cell r="M343">
            <v>0.43174603174603171</v>
          </cell>
          <cell r="N343">
            <v>17.8</v>
          </cell>
          <cell r="O343">
            <v>16.399999999999999</v>
          </cell>
          <cell r="P343">
            <v>1.4000000000000021</v>
          </cell>
        </row>
        <row r="344">
          <cell r="A344" t="str">
            <v>1998:7</v>
          </cell>
          <cell r="B344">
            <v>9.9956779402442599</v>
          </cell>
          <cell r="C344">
            <v>9.8992241828118033</v>
          </cell>
          <cell r="D344">
            <v>1.0097435673393407</v>
          </cell>
          <cell r="E344">
            <v>0</v>
          </cell>
          <cell r="F344">
            <v>0</v>
          </cell>
          <cell r="G344">
            <v>1</v>
          </cell>
          <cell r="H344">
            <v>19.100000000000001</v>
          </cell>
          <cell r="I344">
            <v>19.2</v>
          </cell>
          <cell r="J344">
            <v>-9.9999999999997868E-2</v>
          </cell>
          <cell r="K344">
            <v>0.1</v>
          </cell>
          <cell r="L344">
            <v>8.9</v>
          </cell>
          <cell r="M344">
            <v>1.1235955056179775E-2</v>
          </cell>
          <cell r="N344">
            <v>18.100000000000001</v>
          </cell>
          <cell r="O344">
            <v>18.399999999999999</v>
          </cell>
          <cell r="P344">
            <v>-0.29999999999999716</v>
          </cell>
        </row>
        <row r="345">
          <cell r="A345" t="str">
            <v>1998:8</v>
          </cell>
          <cell r="B345">
            <v>11.722895722789392</v>
          </cell>
          <cell r="C345">
            <v>9.4425505166936539</v>
          </cell>
          <cell r="D345">
            <v>1.2414967441333011</v>
          </cell>
          <cell r="E345">
            <v>0</v>
          </cell>
          <cell r="F345">
            <v>0</v>
          </cell>
          <cell r="G345">
            <v>1</v>
          </cell>
          <cell r="H345">
            <v>19.8</v>
          </cell>
          <cell r="I345">
            <v>18.899999999999999</v>
          </cell>
          <cell r="J345">
            <v>0.90000000000000213</v>
          </cell>
          <cell r="K345">
            <v>5.5</v>
          </cell>
          <cell r="L345">
            <v>9.1</v>
          </cell>
          <cell r="M345">
            <v>0.60439560439560447</v>
          </cell>
          <cell r="N345">
            <v>19.5</v>
          </cell>
          <cell r="O345">
            <v>18.2</v>
          </cell>
          <cell r="P345">
            <v>1.3000000000000007</v>
          </cell>
        </row>
        <row r="346">
          <cell r="A346" t="str">
            <v>1998:9</v>
          </cell>
          <cell r="B346">
            <v>35.286982742776864</v>
          </cell>
          <cell r="C346">
            <v>43.697695496746512</v>
          </cell>
          <cell r="D346">
            <v>0.80752502715856345</v>
          </cell>
          <cell r="E346">
            <v>0</v>
          </cell>
          <cell r="F346">
            <v>0</v>
          </cell>
          <cell r="G346">
            <v>1</v>
          </cell>
          <cell r="H346">
            <v>16.399999999999999</v>
          </cell>
          <cell r="I346">
            <v>16.5</v>
          </cell>
          <cell r="J346">
            <v>-0.10000000000000142</v>
          </cell>
          <cell r="K346">
            <v>25.4</v>
          </cell>
          <cell r="L346">
            <v>39.4</v>
          </cell>
          <cell r="M346">
            <v>0.64467005076142125</v>
          </cell>
          <cell r="N346">
            <v>16.2</v>
          </cell>
          <cell r="O346">
            <v>15.7</v>
          </cell>
          <cell r="P346">
            <v>0.5</v>
          </cell>
        </row>
        <row r="347">
          <cell r="A347" t="str">
            <v>1998:10</v>
          </cell>
          <cell r="B347">
            <v>142.19216296773004</v>
          </cell>
          <cell r="C347">
            <v>132.10004667845612</v>
          </cell>
          <cell r="D347">
            <v>1.0763975225068547</v>
          </cell>
          <cell r="E347">
            <v>142.19216296773004</v>
          </cell>
          <cell r="F347">
            <v>132.10004667845612</v>
          </cell>
          <cell r="G347">
            <v>1.0763975225068547</v>
          </cell>
          <cell r="H347">
            <v>12</v>
          </cell>
          <cell r="I347">
            <v>12.6</v>
          </cell>
          <cell r="J347">
            <v>-0.59999999999999964</v>
          </cell>
          <cell r="K347">
            <v>131.19999999999999</v>
          </cell>
          <cell r="L347">
            <v>133.80000000000001</v>
          </cell>
          <cell r="M347">
            <v>0.98056801195814636</v>
          </cell>
          <cell r="N347">
            <v>11.8</v>
          </cell>
          <cell r="O347">
            <v>11.8</v>
          </cell>
          <cell r="P347">
            <v>0</v>
          </cell>
        </row>
        <row r="348">
          <cell r="A348" t="str">
            <v>1998:11</v>
          </cell>
          <cell r="B348">
            <v>345.18851046239388</v>
          </cell>
          <cell r="C348">
            <v>277.9065874341735</v>
          </cell>
          <cell r="D348">
            <v>1.2421026563256876</v>
          </cell>
          <cell r="E348">
            <v>345.18851046239388</v>
          </cell>
          <cell r="F348">
            <v>277.9065874341735</v>
          </cell>
          <cell r="G348">
            <v>1.2421026563256876</v>
          </cell>
          <cell r="H348">
            <v>5.4</v>
          </cell>
          <cell r="I348">
            <v>7.6</v>
          </cell>
          <cell r="J348">
            <v>-2.1999999999999993</v>
          </cell>
          <cell r="K348">
            <v>333.1</v>
          </cell>
          <cell r="L348">
            <v>272.89999999999998</v>
          </cell>
          <cell r="M348">
            <v>1.2205936240381094</v>
          </cell>
          <cell r="N348">
            <v>4.9000000000000004</v>
          </cell>
          <cell r="O348">
            <v>6.9</v>
          </cell>
          <cell r="P348">
            <v>-2</v>
          </cell>
        </row>
        <row r="349">
          <cell r="A349" t="str">
            <v>1998:12</v>
          </cell>
          <cell r="B349">
            <v>364.44966693549958</v>
          </cell>
          <cell r="C349">
            <v>363.68818352813111</v>
          </cell>
          <cell r="D349">
            <v>1.0020937809966255</v>
          </cell>
          <cell r="E349">
            <v>364.44966693549958</v>
          </cell>
          <cell r="F349">
            <v>363.68818352813111</v>
          </cell>
          <cell r="G349">
            <v>1.0020937809966255</v>
          </cell>
          <cell r="H349">
            <v>5.2</v>
          </cell>
          <cell r="I349">
            <v>4.8</v>
          </cell>
          <cell r="J349">
            <v>0.40000000000000036</v>
          </cell>
          <cell r="K349">
            <v>313.60000000000002</v>
          </cell>
          <cell r="L349">
            <v>363.6</v>
          </cell>
          <cell r="M349">
            <v>0.86248624862486245</v>
          </cell>
          <cell r="N349">
            <v>5.9</v>
          </cell>
          <cell r="O349">
            <v>4.3</v>
          </cell>
          <cell r="P349">
            <v>1.6000000000000005</v>
          </cell>
        </row>
        <row r="350">
          <cell r="A350" t="str">
            <v>1999:1</v>
          </cell>
          <cell r="B350">
            <v>331.89878383711658</v>
          </cell>
          <cell r="C350">
            <v>392.91081774346333</v>
          </cell>
          <cell r="D350">
            <v>0.84471785669647226</v>
          </cell>
          <cell r="E350">
            <v>331.89878383711658</v>
          </cell>
          <cell r="F350">
            <v>392.91081774346333</v>
          </cell>
          <cell r="G350">
            <v>0.84471785669647226</v>
          </cell>
          <cell r="H350">
            <v>6.1</v>
          </cell>
          <cell r="I350">
            <v>4</v>
          </cell>
          <cell r="J350">
            <v>2.0999999999999996</v>
          </cell>
          <cell r="K350">
            <v>291.7</v>
          </cell>
          <cell r="L350">
            <v>388.5</v>
          </cell>
          <cell r="M350">
            <v>0.75083655083655076</v>
          </cell>
          <cell r="N350">
            <v>6.6</v>
          </cell>
          <cell r="O350">
            <v>3.5</v>
          </cell>
          <cell r="P350">
            <v>3.0999999999999996</v>
          </cell>
        </row>
        <row r="351">
          <cell r="A351" t="str">
            <v>1999:2</v>
          </cell>
          <cell r="B351">
            <v>336.90353433736527</v>
          </cell>
          <cell r="C351">
            <v>331.22294910654443</v>
          </cell>
          <cell r="D351">
            <v>1.0171503370951316</v>
          </cell>
          <cell r="E351">
            <v>336.90353433736527</v>
          </cell>
          <cell r="F351">
            <v>331.22294910654443</v>
          </cell>
          <cell r="G351">
            <v>1.0171503370951316</v>
          </cell>
          <cell r="H351">
            <v>4.7</v>
          </cell>
          <cell r="I351">
            <v>5.0999999999999996</v>
          </cell>
          <cell r="J351">
            <v>-0.39999999999999947</v>
          </cell>
          <cell r="K351">
            <v>306.8</v>
          </cell>
          <cell r="L351">
            <v>326.10000000000002</v>
          </cell>
          <cell r="M351">
            <v>0.94081570070530507</v>
          </cell>
          <cell r="N351">
            <v>5</v>
          </cell>
          <cell r="O351">
            <v>4.5</v>
          </cell>
          <cell r="P351">
            <v>0.5</v>
          </cell>
        </row>
        <row r="352">
          <cell r="A352" t="str">
            <v>1999:3</v>
          </cell>
          <cell r="B352">
            <v>243.71907666725991</v>
          </cell>
          <cell r="C352">
            <v>270.29253185771751</v>
          </cell>
          <cell r="D352">
            <v>0.90168631368459007</v>
          </cell>
          <cell r="E352">
            <v>243.71907666725991</v>
          </cell>
          <cell r="F352">
            <v>270.29253185771751</v>
          </cell>
          <cell r="G352">
            <v>0.90168631368459007</v>
          </cell>
          <cell r="H352">
            <v>8.6</v>
          </cell>
          <cell r="I352">
            <v>7.3</v>
          </cell>
          <cell r="J352">
            <v>1.2999999999999998</v>
          </cell>
          <cell r="K352">
            <v>222.8</v>
          </cell>
          <cell r="L352">
            <v>283.89999999999998</v>
          </cell>
          <cell r="M352">
            <v>0.78478337442761548</v>
          </cell>
          <cell r="N352">
            <v>8.8000000000000007</v>
          </cell>
          <cell r="O352">
            <v>6.8</v>
          </cell>
          <cell r="P352">
            <v>2.0000000000000009</v>
          </cell>
        </row>
        <row r="353">
          <cell r="A353" t="str">
            <v>1999:4</v>
          </cell>
          <cell r="B353">
            <v>167.61973561390397</v>
          </cell>
          <cell r="C353">
            <v>198.63939385091356</v>
          </cell>
          <cell r="D353">
            <v>0.84383934306459363</v>
          </cell>
          <cell r="E353">
            <v>167.61973561390397</v>
          </cell>
          <cell r="F353">
            <v>198.63939385091356</v>
          </cell>
          <cell r="G353">
            <v>0.84383934306459363</v>
          </cell>
          <cell r="H353">
            <v>10.9</v>
          </cell>
          <cell r="I353">
            <v>9.9</v>
          </cell>
          <cell r="J353">
            <v>1</v>
          </cell>
          <cell r="K353">
            <v>144</v>
          </cell>
          <cell r="L353">
            <v>190.3</v>
          </cell>
          <cell r="M353">
            <v>0.75669994745139246</v>
          </cell>
          <cell r="N353">
            <v>11.2</v>
          </cell>
          <cell r="O353">
            <v>9.6999999999999993</v>
          </cell>
          <cell r="P353">
            <v>1.5</v>
          </cell>
        </row>
        <row r="354">
          <cell r="A354" t="str">
            <v>1999:5</v>
          </cell>
          <cell r="B354">
            <v>43.376722667291197</v>
          </cell>
          <cell r="C354">
            <v>94.205291641343422</v>
          </cell>
          <cell r="D354">
            <v>0.46044889741899236</v>
          </cell>
          <cell r="E354">
            <v>43.376722667291197</v>
          </cell>
          <cell r="F354">
            <v>94.205291641343422</v>
          </cell>
          <cell r="G354">
            <v>0.46044889741899236</v>
          </cell>
          <cell r="H354">
            <v>16</v>
          </cell>
          <cell r="I354">
            <v>13.6</v>
          </cell>
          <cell r="J354">
            <v>2.4000000000000004</v>
          </cell>
          <cell r="K354">
            <v>22.7</v>
          </cell>
          <cell r="L354">
            <v>95</v>
          </cell>
          <cell r="M354">
            <v>0.23894736842105263</v>
          </cell>
          <cell r="N354">
            <v>16.3</v>
          </cell>
          <cell r="O354">
            <v>13.3</v>
          </cell>
          <cell r="P354">
            <v>3</v>
          </cell>
        </row>
        <row r="355">
          <cell r="A355" t="str">
            <v>1999:6</v>
          </cell>
          <cell r="B355">
            <v>29.098556312933738</v>
          </cell>
          <cell r="C355">
            <v>33.639009300779129</v>
          </cell>
          <cell r="D355">
            <v>0.86502417632911</v>
          </cell>
          <cell r="E355">
            <v>0</v>
          </cell>
          <cell r="F355">
            <v>0</v>
          </cell>
          <cell r="G355">
            <v>1</v>
          </cell>
          <cell r="H355">
            <v>17.2</v>
          </cell>
          <cell r="I355">
            <v>16.8</v>
          </cell>
          <cell r="J355">
            <v>0.39999999999999858</v>
          </cell>
          <cell r="K355">
            <v>13.6</v>
          </cell>
          <cell r="L355">
            <v>31.5</v>
          </cell>
          <cell r="M355">
            <v>0.43174603174603171</v>
          </cell>
          <cell r="N355">
            <v>16.899999999999999</v>
          </cell>
          <cell r="O355">
            <v>16.399999999999999</v>
          </cell>
          <cell r="P355">
            <v>0.5</v>
          </cell>
        </row>
        <row r="356">
          <cell r="A356" t="str">
            <v>1999:7</v>
          </cell>
          <cell r="B356">
            <v>1.3568787694877824</v>
          </cell>
          <cell r="C356">
            <v>9.8992241828118033</v>
          </cell>
          <cell r="D356">
            <v>0.13706920304358344</v>
          </cell>
          <cell r="E356">
            <v>0</v>
          </cell>
          <cell r="F356">
            <v>0</v>
          </cell>
          <cell r="G356">
            <v>1</v>
          </cell>
          <cell r="H356">
            <v>20.8</v>
          </cell>
          <cell r="I356">
            <v>19.2</v>
          </cell>
          <cell r="J356">
            <v>1.6000000000000014</v>
          </cell>
          <cell r="K356">
            <v>0</v>
          </cell>
          <cell r="L356">
            <v>8.9</v>
          </cell>
          <cell r="M356">
            <v>0</v>
          </cell>
          <cell r="N356">
            <v>21.1</v>
          </cell>
          <cell r="O356">
            <v>18.399999999999999</v>
          </cell>
          <cell r="P356">
            <v>2.7000000000000028</v>
          </cell>
        </row>
        <row r="357">
          <cell r="A357" t="str">
            <v>1999:8</v>
          </cell>
          <cell r="B357">
            <v>3.0252520399781986</v>
          </cell>
          <cell r="C357">
            <v>9.4425505166936539</v>
          </cell>
          <cell r="D357">
            <v>0.32038505217735413</v>
          </cell>
          <cell r="E357">
            <v>0</v>
          </cell>
          <cell r="F357">
            <v>0</v>
          </cell>
          <cell r="G357">
            <v>1</v>
          </cell>
          <cell r="H357">
            <v>20</v>
          </cell>
          <cell r="I357">
            <v>18.899999999999999</v>
          </cell>
          <cell r="J357">
            <v>1.1000000000000014</v>
          </cell>
          <cell r="K357">
            <v>0</v>
          </cell>
          <cell r="L357">
            <v>9.1</v>
          </cell>
          <cell r="M357">
            <v>0</v>
          </cell>
          <cell r="N357">
            <v>19.8</v>
          </cell>
          <cell r="O357">
            <v>18.2</v>
          </cell>
          <cell r="P357">
            <v>1.6000000000000014</v>
          </cell>
        </row>
        <row r="358">
          <cell r="A358" t="str">
            <v>1999:9</v>
          </cell>
          <cell r="B358">
            <v>9.9806700388826446</v>
          </cell>
          <cell r="C358">
            <v>43.697695496746512</v>
          </cell>
          <cell r="D358">
            <v>0.22840266346827717</v>
          </cell>
          <cell r="E358">
            <v>0</v>
          </cell>
          <cell r="F358">
            <v>0</v>
          </cell>
          <cell r="G358">
            <v>1</v>
          </cell>
          <cell r="H358">
            <v>18.3</v>
          </cell>
          <cell r="I358">
            <v>16.5</v>
          </cell>
          <cell r="J358">
            <v>1.8000000000000007</v>
          </cell>
          <cell r="K358">
            <v>0.4</v>
          </cell>
          <cell r="L358">
            <v>39.4</v>
          </cell>
          <cell r="M358">
            <v>1.0152284263959392E-2</v>
          </cell>
          <cell r="N358">
            <v>18.399999999999999</v>
          </cell>
          <cell r="O358">
            <v>15.7</v>
          </cell>
          <cell r="P358">
            <v>2.6999999999999993</v>
          </cell>
        </row>
        <row r="359">
          <cell r="A359" t="str">
            <v>1999:10</v>
          </cell>
          <cell r="B359">
            <v>128.86542977810652</v>
          </cell>
          <cell r="C359">
            <v>132.10004667845612</v>
          </cell>
          <cell r="D359">
            <v>0.97551388525832272</v>
          </cell>
          <cell r="E359">
            <v>128.86542977810652</v>
          </cell>
          <cell r="F359">
            <v>132.10004667845612</v>
          </cell>
          <cell r="G359">
            <v>0.97551388525832272</v>
          </cell>
          <cell r="H359">
            <v>12.5</v>
          </cell>
          <cell r="I359">
            <v>12.6</v>
          </cell>
          <cell r="J359">
            <v>-9.9999999999999645E-2</v>
          </cell>
          <cell r="K359">
            <v>134.9</v>
          </cell>
          <cell r="L359">
            <v>133.80000000000001</v>
          </cell>
          <cell r="M359">
            <v>1.0082212257100149</v>
          </cell>
          <cell r="N359">
            <v>11.6</v>
          </cell>
          <cell r="O359">
            <v>11.8</v>
          </cell>
          <cell r="P359">
            <v>-0.20000000000000107</v>
          </cell>
        </row>
        <row r="360">
          <cell r="A360" t="str">
            <v>1999:11</v>
          </cell>
          <cell r="B360">
            <v>310.27818640104528</v>
          </cell>
          <cell r="C360">
            <v>277.9065874341735</v>
          </cell>
          <cell r="D360">
            <v>1.116483741050361</v>
          </cell>
          <cell r="E360">
            <v>310.27818640104528</v>
          </cell>
          <cell r="F360">
            <v>277.9065874341735</v>
          </cell>
          <cell r="G360">
            <v>1.116483741050361</v>
          </cell>
          <cell r="H360">
            <v>6.5</v>
          </cell>
          <cell r="I360">
            <v>7.6</v>
          </cell>
          <cell r="J360">
            <v>-1.0999999999999996</v>
          </cell>
          <cell r="K360">
            <v>286.3</v>
          </cell>
          <cell r="L360">
            <v>272.89999999999998</v>
          </cell>
          <cell r="M360">
            <v>1.0491022352510078</v>
          </cell>
          <cell r="N360">
            <v>6.5</v>
          </cell>
          <cell r="O360">
            <v>6.9</v>
          </cell>
          <cell r="P360">
            <v>-0.40000000000000036</v>
          </cell>
        </row>
        <row r="361">
          <cell r="A361" t="str">
            <v>1999:12</v>
          </cell>
          <cell r="B361">
            <v>351.90244814130665</v>
          </cell>
          <cell r="C361">
            <v>363.68818352813111</v>
          </cell>
          <cell r="D361">
            <v>0.9675938457156037</v>
          </cell>
          <cell r="E361">
            <v>351.90244814130665</v>
          </cell>
          <cell r="F361">
            <v>363.68818352813111</v>
          </cell>
          <cell r="G361">
            <v>0.9675938457156037</v>
          </cell>
          <cell r="H361">
            <v>5.6</v>
          </cell>
          <cell r="I361">
            <v>4.8</v>
          </cell>
          <cell r="J361">
            <v>0.79999999999999982</v>
          </cell>
          <cell r="K361">
            <v>317.8</v>
          </cell>
          <cell r="L361">
            <v>363.6</v>
          </cell>
          <cell r="M361">
            <v>0.87403740374037397</v>
          </cell>
          <cell r="N361">
            <v>5.7</v>
          </cell>
          <cell r="O361">
            <v>4.3</v>
          </cell>
          <cell r="P361">
            <v>1.4000000000000004</v>
          </cell>
        </row>
        <row r="362">
          <cell r="A362" t="str">
            <v>2000:1</v>
          </cell>
          <cell r="B362">
            <v>393.35413244758337</v>
          </cell>
          <cell r="C362">
            <v>392.91081774346333</v>
          </cell>
          <cell r="D362">
            <v>1.001128283274729</v>
          </cell>
          <cell r="E362">
            <v>393.35413244758337</v>
          </cell>
          <cell r="F362">
            <v>392.91081774346333</v>
          </cell>
          <cell r="G362">
            <v>1.001128283274729</v>
          </cell>
          <cell r="H362">
            <v>4.0999999999999996</v>
          </cell>
          <cell r="I362">
            <v>4</v>
          </cell>
          <cell r="J362">
            <v>9.9999999999999645E-2</v>
          </cell>
          <cell r="K362">
            <v>359.9</v>
          </cell>
          <cell r="L362">
            <v>388.5</v>
          </cell>
          <cell r="M362">
            <v>0.92638352638352628</v>
          </cell>
          <cell r="N362">
            <v>4.4000000000000004</v>
          </cell>
          <cell r="O362">
            <v>3.5</v>
          </cell>
          <cell r="P362">
            <v>0.90000000000000036</v>
          </cell>
        </row>
        <row r="363">
          <cell r="A363" t="str">
            <v>2000:2</v>
          </cell>
          <cell r="B363">
            <v>276.45798419027039</v>
          </cell>
          <cell r="C363">
            <v>331.22294910654443</v>
          </cell>
          <cell r="D363">
            <v>0.83465830171490385</v>
          </cell>
          <cell r="E363">
            <v>276.45798419027039</v>
          </cell>
          <cell r="F363">
            <v>331.22294910654443</v>
          </cell>
          <cell r="G363">
            <v>0.83465830171490385</v>
          </cell>
          <cell r="H363">
            <v>7.2</v>
          </cell>
          <cell r="I363">
            <v>5.0999999999999996</v>
          </cell>
          <cell r="J363">
            <v>2.1000000000000005</v>
          </cell>
          <cell r="K363">
            <v>256.2</v>
          </cell>
          <cell r="L363">
            <v>326.10000000000002</v>
          </cell>
          <cell r="M363">
            <v>0.78564857405703759</v>
          </cell>
          <cell r="N363">
            <v>7.2</v>
          </cell>
          <cell r="O363">
            <v>4.5</v>
          </cell>
          <cell r="P363">
            <v>2.7</v>
          </cell>
        </row>
        <row r="364">
          <cell r="A364" t="str">
            <v>2000:3</v>
          </cell>
          <cell r="B364">
            <v>260.98635683446201</v>
          </cell>
          <cell r="C364">
            <v>270.29253185771751</v>
          </cell>
          <cell r="D364">
            <v>0.96556998834080154</v>
          </cell>
          <cell r="E364">
            <v>260.98635683446201</v>
          </cell>
          <cell r="F364">
            <v>270.29253185771751</v>
          </cell>
          <cell r="G364">
            <v>0.96556998834080154</v>
          </cell>
          <cell r="H364">
            <v>8.1</v>
          </cell>
          <cell r="I364">
            <v>7.3</v>
          </cell>
          <cell r="J364">
            <v>0.79999999999999982</v>
          </cell>
          <cell r="K364">
            <v>239.7</v>
          </cell>
          <cell r="L364">
            <v>283.89999999999998</v>
          </cell>
          <cell r="M364">
            <v>0.84431137724550898</v>
          </cell>
          <cell r="N364">
            <v>8.3000000000000007</v>
          </cell>
          <cell r="O364">
            <v>6.8</v>
          </cell>
          <cell r="P364">
            <v>1.5000000000000009</v>
          </cell>
        </row>
        <row r="365">
          <cell r="A365" t="str">
            <v>2000:4</v>
          </cell>
          <cell r="B365">
            <v>177.02978941920742</v>
          </cell>
          <cell r="C365">
            <v>198.63939385091356</v>
          </cell>
          <cell r="D365">
            <v>0.8912118889774453</v>
          </cell>
          <cell r="E365">
            <v>177.02978941920742</v>
          </cell>
          <cell r="F365">
            <v>198.63939385091356</v>
          </cell>
          <cell r="G365">
            <v>0.8912118889774453</v>
          </cell>
          <cell r="H365">
            <v>10.6</v>
          </cell>
          <cell r="I365">
            <v>9.9</v>
          </cell>
          <cell r="J365">
            <v>0.69999999999999929</v>
          </cell>
          <cell r="K365">
            <v>164.2</v>
          </cell>
          <cell r="L365">
            <v>190.3</v>
          </cell>
          <cell r="M365">
            <v>0.86284813452443498</v>
          </cell>
          <cell r="N365">
            <v>10.5</v>
          </cell>
          <cell r="O365">
            <v>9.6999999999999993</v>
          </cell>
          <cell r="P365">
            <v>0.80000000000000071</v>
          </cell>
        </row>
        <row r="366">
          <cell r="A366" t="str">
            <v>2000:5</v>
          </cell>
          <cell r="B366">
            <v>50.959703139499972</v>
          </cell>
          <cell r="C366">
            <v>94.205291641343422</v>
          </cell>
          <cell r="D366">
            <v>0.54094310682156554</v>
          </cell>
          <cell r="E366">
            <v>50.959703139499972</v>
          </cell>
          <cell r="F366">
            <v>94.205291641343422</v>
          </cell>
          <cell r="G366">
            <v>0.54094310682156554</v>
          </cell>
          <cell r="H366">
            <v>15.7</v>
          </cell>
          <cell r="I366">
            <v>13.6</v>
          </cell>
          <cell r="J366">
            <v>2.0999999999999996</v>
          </cell>
          <cell r="K366">
            <v>48.1</v>
          </cell>
          <cell r="L366">
            <v>95</v>
          </cell>
          <cell r="M366">
            <v>0.50631578947368427</v>
          </cell>
          <cell r="N366">
            <v>15.7</v>
          </cell>
          <cell r="O366">
            <v>13.3</v>
          </cell>
          <cell r="P366">
            <v>2.3999999999999986</v>
          </cell>
        </row>
        <row r="367">
          <cell r="A367" t="str">
            <v>2000:6</v>
          </cell>
          <cell r="B367">
            <v>19.505617961668293</v>
          </cell>
          <cell r="C367">
            <v>33.639009300779129</v>
          </cell>
          <cell r="D367">
            <v>0.57985114208510635</v>
          </cell>
          <cell r="E367">
            <v>0</v>
          </cell>
          <cell r="F367">
            <v>0</v>
          </cell>
          <cell r="G367">
            <v>1</v>
          </cell>
          <cell r="H367">
            <v>18.399999999999999</v>
          </cell>
          <cell r="I367">
            <v>16.8</v>
          </cell>
          <cell r="J367">
            <v>1.5999999999999979</v>
          </cell>
          <cell r="K367">
            <v>14.3</v>
          </cell>
          <cell r="L367">
            <v>31.5</v>
          </cell>
          <cell r="M367">
            <v>0.45396825396825397</v>
          </cell>
          <cell r="N367">
            <v>18</v>
          </cell>
          <cell r="O367">
            <v>16.399999999999999</v>
          </cell>
          <cell r="P367">
            <v>1.6000000000000014</v>
          </cell>
        </row>
        <row r="368">
          <cell r="A368" t="str">
            <v>2000:7</v>
          </cell>
          <cell r="B368">
            <v>19.919154593183908</v>
          </cell>
          <cell r="C368">
            <v>9.8992241828118033</v>
          </cell>
          <cell r="D368">
            <v>2.012193503786881</v>
          </cell>
          <cell r="E368">
            <v>0</v>
          </cell>
          <cell r="F368">
            <v>0</v>
          </cell>
          <cell r="G368">
            <v>1</v>
          </cell>
          <cell r="H368">
            <v>18</v>
          </cell>
          <cell r="I368">
            <v>19.2</v>
          </cell>
          <cell r="J368">
            <v>-1.1999999999999993</v>
          </cell>
          <cell r="K368">
            <v>13.7</v>
          </cell>
          <cell r="L368">
            <v>8.9</v>
          </cell>
          <cell r="M368">
            <v>1.539325842696629</v>
          </cell>
          <cell r="N368">
            <v>17.399999999999999</v>
          </cell>
          <cell r="O368">
            <v>18.399999999999999</v>
          </cell>
          <cell r="P368">
            <v>-1</v>
          </cell>
        </row>
        <row r="369">
          <cell r="A369" t="str">
            <v>2000:8</v>
          </cell>
          <cell r="B369">
            <v>2.1097759123434607</v>
          </cell>
          <cell r="C369">
            <v>9.4425505166936539</v>
          </cell>
          <cell r="D369">
            <v>0.22343284355360876</v>
          </cell>
          <cell r="E369">
            <v>0</v>
          </cell>
          <cell r="F369">
            <v>0</v>
          </cell>
          <cell r="G369">
            <v>1</v>
          </cell>
          <cell r="H369">
            <v>20.2</v>
          </cell>
          <cell r="I369">
            <v>18.899999999999999</v>
          </cell>
          <cell r="J369">
            <v>1.3000000000000007</v>
          </cell>
          <cell r="K369">
            <v>0</v>
          </cell>
          <cell r="L369">
            <v>9.1</v>
          </cell>
          <cell r="M369">
            <v>0</v>
          </cell>
          <cell r="N369">
            <v>19.7</v>
          </cell>
          <cell r="O369">
            <v>18.2</v>
          </cell>
          <cell r="P369">
            <v>1.5</v>
          </cell>
        </row>
        <row r="370">
          <cell r="A370" t="str">
            <v>2000:9</v>
          </cell>
          <cell r="B370">
            <v>22.96303356320692</v>
          </cell>
          <cell r="C370">
            <v>43.697695496746512</v>
          </cell>
          <cell r="D370">
            <v>0.52549758750817011</v>
          </cell>
          <cell r="E370">
            <v>0</v>
          </cell>
          <cell r="F370">
            <v>0</v>
          </cell>
          <cell r="G370">
            <v>1</v>
          </cell>
          <cell r="H370">
            <v>17.2</v>
          </cell>
          <cell r="I370">
            <v>16.5</v>
          </cell>
          <cell r="J370">
            <v>0.69999999999999929</v>
          </cell>
          <cell r="K370">
            <v>11.2</v>
          </cell>
          <cell r="L370">
            <v>39.4</v>
          </cell>
          <cell r="M370">
            <v>0.28426395939086296</v>
          </cell>
          <cell r="N370">
            <v>16.8</v>
          </cell>
          <cell r="O370">
            <v>15.7</v>
          </cell>
          <cell r="P370">
            <v>1.1000000000000014</v>
          </cell>
        </row>
        <row r="371">
          <cell r="A371" t="str">
            <v>2000:10</v>
          </cell>
          <cell r="B371">
            <v>127.43592197034795</v>
          </cell>
          <cell r="C371">
            <v>132.10004667845612</v>
          </cell>
          <cell r="D371">
            <v>0.96469248251318873</v>
          </cell>
          <cell r="E371">
            <v>127.43592197034795</v>
          </cell>
          <cell r="F371">
            <v>132.10004667845612</v>
          </cell>
          <cell r="G371">
            <v>0.96469248251318873</v>
          </cell>
          <cell r="H371">
            <v>12.5</v>
          </cell>
          <cell r="I371">
            <v>12.6</v>
          </cell>
          <cell r="J371">
            <v>-9.9999999999999645E-2</v>
          </cell>
          <cell r="K371">
            <v>117.3</v>
          </cell>
          <cell r="L371">
            <v>133.80000000000001</v>
          </cell>
          <cell r="M371">
            <v>0.87668161434977565</v>
          </cell>
          <cell r="N371">
            <v>12.2</v>
          </cell>
          <cell r="O371">
            <v>11.8</v>
          </cell>
          <cell r="P371">
            <v>0.39999999999999858</v>
          </cell>
        </row>
        <row r="372">
          <cell r="A372" t="str">
            <v>2000:11</v>
          </cell>
          <cell r="B372">
            <v>237.70889732621683</v>
          </cell>
          <cell r="C372">
            <v>277.9065874341735</v>
          </cell>
          <cell r="D372">
            <v>0.85535538945265877</v>
          </cell>
          <cell r="E372">
            <v>237.70889732621683</v>
          </cell>
          <cell r="F372">
            <v>277.9065874341735</v>
          </cell>
          <cell r="G372">
            <v>0.85535538945265877</v>
          </cell>
          <cell r="H372">
            <v>8.8000000000000007</v>
          </cell>
          <cell r="I372">
            <v>7.6</v>
          </cell>
          <cell r="J372">
            <v>1.2000000000000011</v>
          </cell>
          <cell r="K372">
            <v>222</v>
          </cell>
          <cell r="L372">
            <v>272.89999999999998</v>
          </cell>
          <cell r="M372">
            <v>0.81348479296445586</v>
          </cell>
          <cell r="N372">
            <v>8.6</v>
          </cell>
          <cell r="O372">
            <v>6.9</v>
          </cell>
          <cell r="P372">
            <v>1.6999999999999993</v>
          </cell>
        </row>
        <row r="373">
          <cell r="A373" t="str">
            <v>2000:12</v>
          </cell>
          <cell r="B373">
            <v>279.89764691598259</v>
          </cell>
          <cell r="C373">
            <v>363.68818352813111</v>
          </cell>
          <cell r="D373">
            <v>0.76960885613797414</v>
          </cell>
          <cell r="E373">
            <v>279.89764691598259</v>
          </cell>
          <cell r="F373">
            <v>363.68818352813111</v>
          </cell>
          <cell r="G373">
            <v>0.76960885613797414</v>
          </cell>
          <cell r="H373">
            <v>7.7</v>
          </cell>
          <cell r="I373">
            <v>4.8</v>
          </cell>
          <cell r="J373">
            <v>2.9000000000000004</v>
          </cell>
          <cell r="K373">
            <v>270.7</v>
          </cell>
          <cell r="L373">
            <v>363.6</v>
          </cell>
          <cell r="M373">
            <v>0.7444994499449944</v>
          </cell>
          <cell r="N373">
            <v>7.3</v>
          </cell>
          <cell r="O373">
            <v>4.3</v>
          </cell>
          <cell r="P373">
            <v>3</v>
          </cell>
        </row>
        <row r="374">
          <cell r="A374" t="str">
            <v>2001:1</v>
          </cell>
          <cell r="B374">
            <v>343.19059614587849</v>
          </cell>
          <cell r="C374">
            <v>392.91081774346333</v>
          </cell>
          <cell r="D374">
            <v>0.87345672515932649</v>
          </cell>
          <cell r="E374">
            <v>343.19059614587849</v>
          </cell>
          <cell r="F374">
            <v>392.91081774346333</v>
          </cell>
          <cell r="G374">
            <v>0.87345672515932649</v>
          </cell>
          <cell r="H374">
            <v>5.7</v>
          </cell>
          <cell r="I374">
            <v>4</v>
          </cell>
          <cell r="J374">
            <v>1.7000000000000002</v>
          </cell>
          <cell r="K374">
            <v>337.4</v>
          </cell>
          <cell r="L374">
            <v>388.5</v>
          </cell>
          <cell r="M374">
            <v>0.86846846846846837</v>
          </cell>
          <cell r="N374">
            <v>5.0999999999999996</v>
          </cell>
          <cell r="O374">
            <v>3.5</v>
          </cell>
          <cell r="P374">
            <v>1.5999999999999996</v>
          </cell>
        </row>
        <row r="375">
          <cell r="A375" t="str">
            <v>2001:2</v>
          </cell>
          <cell r="B375">
            <v>297.98717938607166</v>
          </cell>
          <cell r="C375">
            <v>331.22294910654443</v>
          </cell>
          <cell r="D375">
            <v>0.89965740655916382</v>
          </cell>
          <cell r="E375">
            <v>297.98717938607166</v>
          </cell>
          <cell r="F375">
            <v>331.22294910654443</v>
          </cell>
          <cell r="G375">
            <v>0.89965740655916382</v>
          </cell>
          <cell r="H375">
            <v>6</v>
          </cell>
          <cell r="I375">
            <v>5.0999999999999996</v>
          </cell>
          <cell r="J375">
            <v>0.90000000000000036</v>
          </cell>
          <cell r="K375">
            <v>284.3</v>
          </cell>
          <cell r="L375">
            <v>326.10000000000002</v>
          </cell>
          <cell r="M375">
            <v>0.87181846059490953</v>
          </cell>
          <cell r="N375">
            <v>5.8</v>
          </cell>
          <cell r="O375">
            <v>4.5</v>
          </cell>
          <cell r="P375">
            <v>1.2999999999999998</v>
          </cell>
        </row>
        <row r="376">
          <cell r="A376" t="str">
            <v>2001:3</v>
          </cell>
          <cell r="B376">
            <v>216.69063608972871</v>
          </cell>
          <cell r="C376">
            <v>270.29253185771751</v>
          </cell>
          <cell r="D376">
            <v>0.80168932008744909</v>
          </cell>
          <cell r="E376">
            <v>216.69063608972871</v>
          </cell>
          <cell r="F376">
            <v>270.29253185771751</v>
          </cell>
          <cell r="G376">
            <v>0.80168932008744909</v>
          </cell>
          <cell r="H376">
            <v>9.6</v>
          </cell>
          <cell r="I376">
            <v>7.3</v>
          </cell>
          <cell r="J376">
            <v>2.2999999999999998</v>
          </cell>
          <cell r="K376">
            <v>220.6</v>
          </cell>
          <cell r="L376">
            <v>283.89999999999998</v>
          </cell>
          <cell r="M376">
            <v>0.77703416696019734</v>
          </cell>
          <cell r="N376">
            <v>8.9</v>
          </cell>
          <cell r="O376">
            <v>6.8</v>
          </cell>
          <cell r="P376">
            <v>2.1000000000000005</v>
          </cell>
        </row>
        <row r="377">
          <cell r="A377" t="str">
            <v>2001:4</v>
          </cell>
          <cell r="B377">
            <v>208.67740613613887</v>
          </cell>
          <cell r="C377">
            <v>198.63939385091356</v>
          </cell>
          <cell r="D377">
            <v>1.0505338447254788</v>
          </cell>
          <cell r="E377">
            <v>208.67740613613887</v>
          </cell>
          <cell r="F377">
            <v>198.63939385091356</v>
          </cell>
          <cell r="G377">
            <v>1.0505338447254788</v>
          </cell>
          <cell r="H377">
            <v>9.6</v>
          </cell>
          <cell r="I377">
            <v>9.9</v>
          </cell>
          <cell r="J377">
            <v>-0.30000000000000071</v>
          </cell>
          <cell r="K377">
            <v>196.5</v>
          </cell>
          <cell r="L377">
            <v>190.3</v>
          </cell>
          <cell r="M377">
            <v>1.0325801366263794</v>
          </cell>
          <cell r="N377">
            <v>9.5</v>
          </cell>
          <cell r="O377">
            <v>9.6999999999999993</v>
          </cell>
          <cell r="P377">
            <v>-0.19999999999999929</v>
          </cell>
        </row>
        <row r="378">
          <cell r="A378" t="str">
            <v>2001:5</v>
          </cell>
          <cell r="B378">
            <v>65.331636744309208</v>
          </cell>
          <cell r="C378">
            <v>94.205291641343422</v>
          </cell>
          <cell r="D378">
            <v>0.69350283414055514</v>
          </cell>
          <cell r="E378">
            <v>65.331636744309208</v>
          </cell>
          <cell r="F378">
            <v>94.205291641343422</v>
          </cell>
          <cell r="G378">
            <v>0.69350283414055514</v>
          </cell>
          <cell r="H378">
            <v>15.5</v>
          </cell>
          <cell r="I378">
            <v>13.6</v>
          </cell>
          <cell r="J378">
            <v>1.9000000000000004</v>
          </cell>
          <cell r="K378">
            <v>52.5</v>
          </cell>
          <cell r="L378">
            <v>95</v>
          </cell>
          <cell r="M378">
            <v>0.55263157894736847</v>
          </cell>
          <cell r="N378">
            <v>15.8</v>
          </cell>
          <cell r="O378">
            <v>13.3</v>
          </cell>
          <cell r="P378">
            <v>2.5</v>
          </cell>
        </row>
        <row r="379">
          <cell r="A379" t="str">
            <v>2001:6</v>
          </cell>
          <cell r="B379">
            <v>32.899521953737789</v>
          </cell>
          <cell r="C379">
            <v>33.639009300779129</v>
          </cell>
          <cell r="D379">
            <v>0.97801697010666089</v>
          </cell>
          <cell r="E379">
            <v>0</v>
          </cell>
          <cell r="F379">
            <v>0</v>
          </cell>
          <cell r="G379">
            <v>1</v>
          </cell>
          <cell r="H379">
            <v>17.5</v>
          </cell>
          <cell r="I379">
            <v>16.8</v>
          </cell>
          <cell r="J379">
            <v>0.69999999999999929</v>
          </cell>
          <cell r="K379">
            <v>18.3</v>
          </cell>
          <cell r="L379">
            <v>31.5</v>
          </cell>
          <cell r="M379">
            <v>0.580952380952381</v>
          </cell>
          <cell r="N379">
            <v>17.600000000000001</v>
          </cell>
          <cell r="O379">
            <v>16.399999999999999</v>
          </cell>
          <cell r="P379">
            <v>1.2000000000000028</v>
          </cell>
        </row>
        <row r="380">
          <cell r="A380" t="str">
            <v>2001:7</v>
          </cell>
          <cell r="B380">
            <v>7.9739221188482698</v>
          </cell>
          <cell r="C380">
            <v>9.8992241828118033</v>
          </cell>
          <cell r="D380">
            <v>0.80550980274732342</v>
          </cell>
          <cell r="E380">
            <v>0</v>
          </cell>
          <cell r="F380">
            <v>0</v>
          </cell>
          <cell r="G380">
            <v>1</v>
          </cell>
          <cell r="H380">
            <v>19.899999999999999</v>
          </cell>
          <cell r="I380">
            <v>19.2</v>
          </cell>
          <cell r="J380">
            <v>0.69999999999999929</v>
          </cell>
          <cell r="K380">
            <v>4.8</v>
          </cell>
          <cell r="L380">
            <v>8.9</v>
          </cell>
          <cell r="M380">
            <v>0.5393258426966292</v>
          </cell>
          <cell r="N380">
            <v>19.899999999999999</v>
          </cell>
          <cell r="O380">
            <v>18.399999999999999</v>
          </cell>
          <cell r="P380">
            <v>1.5</v>
          </cell>
        </row>
        <row r="381">
          <cell r="A381" t="str">
            <v>2001:8</v>
          </cell>
          <cell r="B381">
            <v>2.557363099244264</v>
          </cell>
          <cell r="C381">
            <v>9.4425505166936539</v>
          </cell>
          <cell r="D381">
            <v>0.27083393355672875</v>
          </cell>
          <cell r="E381">
            <v>0</v>
          </cell>
          <cell r="F381">
            <v>0</v>
          </cell>
          <cell r="G381">
            <v>1</v>
          </cell>
          <cell r="H381">
            <v>20.5</v>
          </cell>
          <cell r="I381">
            <v>18.899999999999999</v>
          </cell>
          <cell r="J381">
            <v>1.6000000000000014</v>
          </cell>
          <cell r="K381">
            <v>0.3</v>
          </cell>
          <cell r="L381">
            <v>9.1</v>
          </cell>
          <cell r="M381">
            <v>3.2967032967032968E-2</v>
          </cell>
          <cell r="N381">
            <v>20.2</v>
          </cell>
          <cell r="O381">
            <v>18.2</v>
          </cell>
          <cell r="P381">
            <v>2</v>
          </cell>
        </row>
        <row r="382">
          <cell r="A382" t="str">
            <v>2001:9</v>
          </cell>
          <cell r="B382">
            <v>70.703950961915481</v>
          </cell>
          <cell r="C382">
            <v>43.697695496746512</v>
          </cell>
          <cell r="D382">
            <v>1.6180247072109262</v>
          </cell>
          <cell r="E382">
            <v>0</v>
          </cell>
          <cell r="F382">
            <v>0</v>
          </cell>
          <cell r="G382">
            <v>1</v>
          </cell>
          <cell r="H382">
            <v>14.6</v>
          </cell>
          <cell r="I382">
            <v>16.5</v>
          </cell>
          <cell r="J382">
            <v>-1.9000000000000004</v>
          </cell>
          <cell r="K382">
            <v>62.2</v>
          </cell>
          <cell r="L382">
            <v>39.4</v>
          </cell>
          <cell r="M382">
            <v>1.5786802030456855</v>
          </cell>
          <cell r="N382">
            <v>13.9</v>
          </cell>
          <cell r="O382">
            <v>15.7</v>
          </cell>
          <cell r="P382">
            <v>-1.7999999999999989</v>
          </cell>
        </row>
        <row r="383">
          <cell r="A383" t="str">
            <v>2001:10</v>
          </cell>
          <cell r="B383">
            <v>50.907607538620972</v>
          </cell>
          <cell r="C383">
            <v>132.10004667845612</v>
          </cell>
          <cell r="D383">
            <v>0.38537160900885109</v>
          </cell>
          <cell r="E383">
            <v>50.907607538620972</v>
          </cell>
          <cell r="F383">
            <v>132.10004667845612</v>
          </cell>
          <cell r="G383">
            <v>0.38537160900885109</v>
          </cell>
          <cell r="H383">
            <v>15.3</v>
          </cell>
          <cell r="I383">
            <v>12.6</v>
          </cell>
          <cell r="J383">
            <v>2.7000000000000011</v>
          </cell>
          <cell r="K383">
            <v>36.799999999999997</v>
          </cell>
          <cell r="L383">
            <v>133.80000000000001</v>
          </cell>
          <cell r="M383">
            <v>0.27503736920777277</v>
          </cell>
          <cell r="N383">
            <v>15.2</v>
          </cell>
          <cell r="O383">
            <v>11.8</v>
          </cell>
          <cell r="P383">
            <v>3.3999999999999986</v>
          </cell>
        </row>
        <row r="384">
          <cell r="A384" t="str">
            <v>2001:11</v>
          </cell>
          <cell r="B384">
            <v>307.38346573073306</v>
          </cell>
          <cell r="C384">
            <v>277.9065874341735</v>
          </cell>
          <cell r="D384">
            <v>1.1060675767663897</v>
          </cell>
          <cell r="E384">
            <v>307.38346573073306</v>
          </cell>
          <cell r="F384">
            <v>277.9065874341735</v>
          </cell>
          <cell r="G384">
            <v>1.1060675767663897</v>
          </cell>
          <cell r="H384">
            <v>6.6</v>
          </cell>
          <cell r="I384">
            <v>7.6</v>
          </cell>
          <cell r="J384">
            <v>-1</v>
          </cell>
          <cell r="K384">
            <v>278.3</v>
          </cell>
          <cell r="L384">
            <v>272.89999999999998</v>
          </cell>
          <cell r="M384">
            <v>1.0197874679369734</v>
          </cell>
          <cell r="N384">
            <v>6.7</v>
          </cell>
          <cell r="O384">
            <v>6.9</v>
          </cell>
          <cell r="P384">
            <v>-0.20000000000000018</v>
          </cell>
        </row>
        <row r="385">
          <cell r="A385" t="str">
            <v>2001:12</v>
          </cell>
          <cell r="B385">
            <v>428.73421624003873</v>
          </cell>
          <cell r="C385">
            <v>363.68818352813111</v>
          </cell>
          <cell r="D385">
            <v>1.1788511028345696</v>
          </cell>
          <cell r="E385">
            <v>428.73421624003873</v>
          </cell>
          <cell r="F385">
            <v>363.68818352813111</v>
          </cell>
          <cell r="G385">
            <v>1.1788511028345696</v>
          </cell>
          <cell r="H385">
            <v>3.1</v>
          </cell>
          <cell r="I385">
            <v>4.8</v>
          </cell>
          <cell r="J385">
            <v>-1.6999999999999997</v>
          </cell>
          <cell r="K385">
            <v>392.8</v>
          </cell>
          <cell r="L385">
            <v>363.6</v>
          </cell>
          <cell r="M385">
            <v>1.0803080308030804</v>
          </cell>
          <cell r="N385">
            <v>3.3</v>
          </cell>
          <cell r="O385">
            <v>4.3</v>
          </cell>
          <cell r="P385">
            <v>-1</v>
          </cell>
        </row>
        <row r="386">
          <cell r="A386" t="str">
            <v>2002:1</v>
          </cell>
          <cell r="B386">
            <v>356.36973896925912</v>
          </cell>
          <cell r="C386">
            <v>392.91081774346333</v>
          </cell>
          <cell r="D386">
            <v>0.90699905137744929</v>
          </cell>
          <cell r="E386">
            <v>356.36973896925912</v>
          </cell>
          <cell r="F386">
            <v>392.91081774346333</v>
          </cell>
          <cell r="G386">
            <v>0.90699905137744929</v>
          </cell>
          <cell r="H386">
            <v>5.2</v>
          </cell>
          <cell r="I386">
            <v>4</v>
          </cell>
          <cell r="J386">
            <v>1.2000000000000002</v>
          </cell>
          <cell r="K386">
            <v>323.5</v>
          </cell>
          <cell r="L386">
            <v>388.5</v>
          </cell>
          <cell r="M386">
            <v>0.83268983268983265</v>
          </cell>
          <cell r="N386">
            <v>5.6</v>
          </cell>
          <cell r="O386">
            <v>3.5</v>
          </cell>
          <cell r="P386">
            <v>2.0999999999999996</v>
          </cell>
        </row>
        <row r="387">
          <cell r="A387" t="str">
            <v>2002:2</v>
          </cell>
          <cell r="B387">
            <v>242.19541402323154</v>
          </cell>
          <cell r="C387">
            <v>331.22294910654443</v>
          </cell>
          <cell r="D387">
            <v>0.7312156801832127</v>
          </cell>
          <cell r="E387">
            <v>242.19541402323154</v>
          </cell>
          <cell r="F387">
            <v>331.22294910654443</v>
          </cell>
          <cell r="G387">
            <v>0.7312156801832127</v>
          </cell>
          <cell r="H387">
            <v>8</v>
          </cell>
          <cell r="I387">
            <v>5.0999999999999996</v>
          </cell>
          <cell r="J387">
            <v>2.9000000000000004</v>
          </cell>
          <cell r="K387">
            <v>215.2</v>
          </cell>
          <cell r="L387">
            <v>326.10000000000002</v>
          </cell>
          <cell r="M387">
            <v>0.65992026985587238</v>
          </cell>
          <cell r="N387">
            <v>8.3000000000000007</v>
          </cell>
          <cell r="O387">
            <v>4.5</v>
          </cell>
          <cell r="P387">
            <v>3.8000000000000007</v>
          </cell>
        </row>
        <row r="388">
          <cell r="A388" t="str">
            <v>2002:3</v>
          </cell>
          <cell r="B388">
            <v>228.86463836200565</v>
          </cell>
          <cell r="C388">
            <v>270.29253185771751</v>
          </cell>
          <cell r="D388">
            <v>0.84672941863773143</v>
          </cell>
          <cell r="E388">
            <v>228.86463836200565</v>
          </cell>
          <cell r="F388">
            <v>270.29253185771751</v>
          </cell>
          <cell r="G388">
            <v>0.84672941863773143</v>
          </cell>
          <cell r="H388">
            <v>9.1999999999999993</v>
          </cell>
          <cell r="I388">
            <v>7.3</v>
          </cell>
          <cell r="J388">
            <v>1.8999999999999995</v>
          </cell>
          <cell r="K388">
            <v>213.9</v>
          </cell>
          <cell r="L388">
            <v>283.89999999999998</v>
          </cell>
          <cell r="M388">
            <v>0.75343430785487853</v>
          </cell>
          <cell r="N388">
            <v>9.1</v>
          </cell>
          <cell r="O388">
            <v>6.8</v>
          </cell>
          <cell r="P388">
            <v>2.2999999999999998</v>
          </cell>
        </row>
        <row r="389">
          <cell r="A389" t="str">
            <v>2002:4</v>
          </cell>
          <cell r="B389">
            <v>165.07854259673391</v>
          </cell>
          <cell r="C389">
            <v>198.63939385091356</v>
          </cell>
          <cell r="D389">
            <v>0.83104634683204703</v>
          </cell>
          <cell r="E389">
            <v>165.07854259673391</v>
          </cell>
          <cell r="F389">
            <v>198.63939385091356</v>
          </cell>
          <cell r="G389">
            <v>0.83104634683204703</v>
          </cell>
          <cell r="H389">
            <v>11.1</v>
          </cell>
          <cell r="I389">
            <v>9.9</v>
          </cell>
          <cell r="J389">
            <v>1.1999999999999993</v>
          </cell>
          <cell r="K389">
            <v>149.1</v>
          </cell>
          <cell r="L389">
            <v>190.3</v>
          </cell>
          <cell r="M389">
            <v>0.78349973725696265</v>
          </cell>
          <cell r="N389">
            <v>11</v>
          </cell>
          <cell r="O389">
            <v>9.6999999999999993</v>
          </cell>
          <cell r="P389">
            <v>1.3000000000000007</v>
          </cell>
        </row>
        <row r="390">
          <cell r="A390" t="str">
            <v>2002:5</v>
          </cell>
          <cell r="B390">
            <v>95.535594820227018</v>
          </cell>
          <cell r="C390">
            <v>94.205291641343422</v>
          </cell>
          <cell r="D390">
            <v>1.0141213211668438</v>
          </cell>
          <cell r="E390">
            <v>95.535594820227018</v>
          </cell>
          <cell r="F390">
            <v>94.205291641343422</v>
          </cell>
          <cell r="G390">
            <v>1.0141213211668438</v>
          </cell>
          <cell r="H390">
            <v>13.9</v>
          </cell>
          <cell r="I390">
            <v>13.6</v>
          </cell>
          <cell r="J390">
            <v>0.30000000000000071</v>
          </cell>
          <cell r="K390">
            <v>73.3</v>
          </cell>
          <cell r="L390">
            <v>95</v>
          </cell>
          <cell r="M390">
            <v>0.77157894736842103</v>
          </cell>
          <cell r="N390">
            <v>14.1</v>
          </cell>
          <cell r="O390">
            <v>13.3</v>
          </cell>
          <cell r="P390">
            <v>0.79999999999999893</v>
          </cell>
        </row>
        <row r="391">
          <cell r="A391" t="str">
            <v>2002:6</v>
          </cell>
          <cell r="B391">
            <v>19.442447946496138</v>
          </cell>
          <cell r="C391">
            <v>33.639009300779129</v>
          </cell>
          <cell r="D391">
            <v>0.57797326231143853</v>
          </cell>
          <cell r="E391">
            <v>0</v>
          </cell>
          <cell r="F391">
            <v>0</v>
          </cell>
          <cell r="G391">
            <v>1</v>
          </cell>
          <cell r="H391">
            <v>18.5</v>
          </cell>
          <cell r="I391">
            <v>16.8</v>
          </cell>
          <cell r="J391">
            <v>1.6999999999999993</v>
          </cell>
          <cell r="K391">
            <v>5.9</v>
          </cell>
          <cell r="L391">
            <v>31.5</v>
          </cell>
          <cell r="M391">
            <v>0.1873015873015873</v>
          </cell>
          <cell r="N391">
            <v>18.399999999999999</v>
          </cell>
          <cell r="O391">
            <v>16.399999999999999</v>
          </cell>
          <cell r="P391">
            <v>2</v>
          </cell>
        </row>
        <row r="392">
          <cell r="A392" t="str">
            <v>2002:7</v>
          </cell>
          <cell r="B392">
            <v>8.769351114294917</v>
          </cell>
          <cell r="C392">
            <v>9.8992241828118033</v>
          </cell>
          <cell r="D392">
            <v>0.88586246278989167</v>
          </cell>
          <cell r="E392">
            <v>0</v>
          </cell>
          <cell r="F392">
            <v>0</v>
          </cell>
          <cell r="G392">
            <v>1</v>
          </cell>
          <cell r="H392">
            <v>19</v>
          </cell>
          <cell r="I392">
            <v>19.2</v>
          </cell>
          <cell r="J392">
            <v>-0.19999999999999929</v>
          </cell>
          <cell r="K392">
            <v>2.5</v>
          </cell>
          <cell r="L392">
            <v>8.9</v>
          </cell>
          <cell r="M392">
            <v>0.28089887640449435</v>
          </cell>
          <cell r="N392">
            <v>18.899999999999999</v>
          </cell>
          <cell r="O392">
            <v>18.399999999999999</v>
          </cell>
          <cell r="P392">
            <v>0.5</v>
          </cell>
        </row>
        <row r="393">
          <cell r="A393" t="str">
            <v>2002:8</v>
          </cell>
          <cell r="B393">
            <v>3.5925493043683097</v>
          </cell>
          <cell r="C393">
            <v>9.4425505166936539</v>
          </cell>
          <cell r="D393">
            <v>0.38046386916511354</v>
          </cell>
          <cell r="E393">
            <v>0</v>
          </cell>
          <cell r="F393">
            <v>0</v>
          </cell>
          <cell r="G393">
            <v>1</v>
          </cell>
          <cell r="H393">
            <v>19</v>
          </cell>
          <cell r="I393">
            <v>18.899999999999999</v>
          </cell>
          <cell r="J393">
            <v>0.10000000000000142</v>
          </cell>
          <cell r="K393">
            <v>0</v>
          </cell>
          <cell r="L393">
            <v>9.1</v>
          </cell>
          <cell r="M393">
            <v>0</v>
          </cell>
          <cell r="N393">
            <v>19.100000000000001</v>
          </cell>
          <cell r="O393">
            <v>18.2</v>
          </cell>
          <cell r="P393">
            <v>0.90000000000000213</v>
          </cell>
        </row>
        <row r="394">
          <cell r="A394" t="str">
            <v>2002:9</v>
          </cell>
          <cell r="B394">
            <v>47.063553052847752</v>
          </cell>
          <cell r="C394">
            <v>43.697695496746512</v>
          </cell>
          <cell r="D394">
            <v>1.0770259739750314</v>
          </cell>
          <cell r="E394">
            <v>0</v>
          </cell>
          <cell r="F394">
            <v>0</v>
          </cell>
          <cell r="G394">
            <v>1</v>
          </cell>
          <cell r="H394">
            <v>15.7</v>
          </cell>
          <cell r="I394">
            <v>16.5</v>
          </cell>
          <cell r="J394">
            <v>-0.80000000000000071</v>
          </cell>
          <cell r="K394">
            <v>38.299999999999997</v>
          </cell>
          <cell r="L394">
            <v>39.4</v>
          </cell>
          <cell r="M394">
            <v>0.97208121827411165</v>
          </cell>
          <cell r="N394">
            <v>15.4</v>
          </cell>
          <cell r="O394">
            <v>15.7</v>
          </cell>
          <cell r="P394">
            <v>-0.29999999999999893</v>
          </cell>
        </row>
        <row r="395">
          <cell r="A395" t="str">
            <v>2002:10</v>
          </cell>
          <cell r="B395">
            <v>122.66286147714746</v>
          </cell>
          <cell r="C395">
            <v>132.10004667845612</v>
          </cell>
          <cell r="D395">
            <v>0.92856031895068392</v>
          </cell>
          <cell r="E395">
            <v>122.66286147714746</v>
          </cell>
          <cell r="F395">
            <v>132.10004667845612</v>
          </cell>
          <cell r="G395">
            <v>0.92856031895068392</v>
          </cell>
          <cell r="H395">
            <v>12.7</v>
          </cell>
          <cell r="I395">
            <v>12.6</v>
          </cell>
          <cell r="J395">
            <v>9.9999999999999645E-2</v>
          </cell>
          <cell r="K395">
            <v>118.1</v>
          </cell>
          <cell r="L395">
            <v>133.80000000000001</v>
          </cell>
          <cell r="M395">
            <v>0.88266068759342287</v>
          </cell>
          <cell r="N395">
            <v>12.2</v>
          </cell>
          <cell r="O395">
            <v>11.8</v>
          </cell>
          <cell r="P395">
            <v>0.39999999999999858</v>
          </cell>
        </row>
        <row r="396">
          <cell r="A396" t="str">
            <v>2002:11</v>
          </cell>
          <cell r="B396">
            <v>209.22881985228753</v>
          </cell>
          <cell r="C396">
            <v>277.9065874341735</v>
          </cell>
          <cell r="D396">
            <v>0.75287463238649077</v>
          </cell>
          <cell r="E396">
            <v>209.22881985228753</v>
          </cell>
          <cell r="F396">
            <v>277.9065874341735</v>
          </cell>
          <cell r="G396">
            <v>0.75287463238649077</v>
          </cell>
          <cell r="H396">
            <v>9.6999999999999993</v>
          </cell>
          <cell r="I396">
            <v>7.6</v>
          </cell>
          <cell r="J396">
            <v>2.0999999999999996</v>
          </cell>
          <cell r="K396">
            <v>198</v>
          </cell>
          <cell r="L396">
            <v>272.89999999999998</v>
          </cell>
          <cell r="M396">
            <v>0.72554049102235252</v>
          </cell>
          <cell r="N396">
            <v>9.4</v>
          </cell>
          <cell r="O396">
            <v>6.9</v>
          </cell>
          <cell r="P396">
            <v>2.5</v>
          </cell>
        </row>
        <row r="397">
          <cell r="A397" t="str">
            <v>2002:12</v>
          </cell>
          <cell r="B397">
            <v>300.26260020887457</v>
          </cell>
          <cell r="C397">
            <v>363.68818352813111</v>
          </cell>
          <cell r="D397">
            <v>0.82560449805114278</v>
          </cell>
          <cell r="E397">
            <v>300.26260020887457</v>
          </cell>
          <cell r="F397">
            <v>363.68818352813111</v>
          </cell>
          <cell r="G397">
            <v>0.82560449805114278</v>
          </cell>
          <cell r="H397">
            <v>7.2</v>
          </cell>
          <cell r="I397">
            <v>4.8</v>
          </cell>
          <cell r="J397">
            <v>2.4000000000000004</v>
          </cell>
          <cell r="K397">
            <v>280.89999999999998</v>
          </cell>
          <cell r="L397">
            <v>363.6</v>
          </cell>
          <cell r="M397">
            <v>0.7725522552255224</v>
          </cell>
          <cell r="N397">
            <v>6.9</v>
          </cell>
          <cell r="O397">
            <v>4.3</v>
          </cell>
          <cell r="P397">
            <v>2.6000000000000005</v>
          </cell>
        </row>
        <row r="398">
          <cell r="A398" t="str">
            <v>2003:1</v>
          </cell>
          <cell r="B398">
            <v>422.87648282048752</v>
          </cell>
          <cell r="C398">
            <v>392.91081774346333</v>
          </cell>
          <cell r="D398">
            <v>1.0762658184091769</v>
          </cell>
          <cell r="E398">
            <v>422.87648282048752</v>
          </cell>
          <cell r="F398">
            <v>392.91081774346333</v>
          </cell>
          <cell r="G398">
            <v>1.0762658184091769</v>
          </cell>
          <cell r="H398">
            <v>3.4</v>
          </cell>
          <cell r="I398">
            <v>4</v>
          </cell>
          <cell r="J398">
            <v>-0.60000000000000009</v>
          </cell>
          <cell r="K398">
            <v>396.8</v>
          </cell>
          <cell r="L398">
            <v>388.5</v>
          </cell>
          <cell r="M398">
            <v>1.0213642213642213</v>
          </cell>
          <cell r="N398">
            <v>3.2</v>
          </cell>
          <cell r="O398">
            <v>3.5</v>
          </cell>
          <cell r="P398">
            <v>-0.29999999999999982</v>
          </cell>
        </row>
        <row r="399">
          <cell r="A399" t="str">
            <v>2003:2</v>
          </cell>
          <cell r="B399">
            <v>360.2318752479456</v>
          </cell>
          <cell r="C399">
            <v>331.22294910654443</v>
          </cell>
          <cell r="D399">
            <v>1.0875812688089734</v>
          </cell>
          <cell r="E399">
            <v>360.2318752479456</v>
          </cell>
          <cell r="F399">
            <v>331.22294910654443</v>
          </cell>
          <cell r="G399">
            <v>1.0875812688089734</v>
          </cell>
          <cell r="H399">
            <v>2.8</v>
          </cell>
          <cell r="I399">
            <v>5.0999999999999996</v>
          </cell>
          <cell r="J399">
            <v>-2.2999999999999998</v>
          </cell>
          <cell r="K399">
            <v>347</v>
          </cell>
          <cell r="L399">
            <v>326.10000000000002</v>
          </cell>
          <cell r="M399">
            <v>1.0640907697025452</v>
          </cell>
          <cell r="N399">
            <v>3.6</v>
          </cell>
          <cell r="O399">
            <v>4.5</v>
          </cell>
          <cell r="P399">
            <v>-0.89999999999999991</v>
          </cell>
        </row>
        <row r="400">
          <cell r="A400" t="str">
            <v>2003:3</v>
          </cell>
          <cell r="B400">
            <v>208.18476415663835</v>
          </cell>
          <cell r="C400">
            <v>270.29253185771751</v>
          </cell>
          <cell r="D400">
            <v>0.77022018598067377</v>
          </cell>
          <cell r="E400">
            <v>208.18476415663835</v>
          </cell>
          <cell r="F400">
            <v>270.29253185771751</v>
          </cell>
          <cell r="G400">
            <v>0.77022018598067377</v>
          </cell>
          <cell r="H400">
            <v>9.6999999999999993</v>
          </cell>
          <cell r="I400">
            <v>7.3</v>
          </cell>
          <cell r="J400">
            <v>2.3999999999999995</v>
          </cell>
          <cell r="K400">
            <v>183</v>
          </cell>
          <cell r="L400">
            <v>283.89999999999998</v>
          </cell>
          <cell r="M400">
            <v>0.64459316660796062</v>
          </cell>
          <cell r="N400">
            <v>10.1</v>
          </cell>
          <cell r="O400">
            <v>6.8</v>
          </cell>
          <cell r="P400">
            <v>3.3</v>
          </cell>
        </row>
        <row r="401">
          <cell r="A401" t="str">
            <v>2003:4</v>
          </cell>
          <cell r="B401">
            <v>152.87052105923271</v>
          </cell>
          <cell r="C401">
            <v>198.63939385091356</v>
          </cell>
          <cell r="D401">
            <v>0.76958813705386087</v>
          </cell>
          <cell r="E401">
            <v>152.87052105923271</v>
          </cell>
          <cell r="F401">
            <v>198.63939385091356</v>
          </cell>
          <cell r="G401">
            <v>0.76958813705386087</v>
          </cell>
          <cell r="H401">
            <v>11.6</v>
          </cell>
          <cell r="I401">
            <v>9.9</v>
          </cell>
          <cell r="J401">
            <v>1.6999999999999993</v>
          </cell>
          <cell r="K401">
            <v>142</v>
          </cell>
          <cell r="L401">
            <v>190.3</v>
          </cell>
          <cell r="M401">
            <v>0.74619022595901208</v>
          </cell>
          <cell r="N401">
            <v>11.5</v>
          </cell>
          <cell r="O401">
            <v>9.6999999999999993</v>
          </cell>
          <cell r="P401">
            <v>1.8000000000000007</v>
          </cell>
        </row>
        <row r="402">
          <cell r="A402" t="str">
            <v>2003:5</v>
          </cell>
          <cell r="B402">
            <v>73.531475106246518</v>
          </cell>
          <cell r="C402">
            <v>94.205291641343422</v>
          </cell>
          <cell r="D402">
            <v>0.78054506095256448</v>
          </cell>
          <cell r="E402">
            <v>73.531475106246518</v>
          </cell>
          <cell r="F402">
            <v>94.205291641343422</v>
          </cell>
          <cell r="G402">
            <v>0.78054506095256448</v>
          </cell>
          <cell r="H402">
            <v>15.2</v>
          </cell>
          <cell r="I402">
            <v>13.6</v>
          </cell>
          <cell r="J402">
            <v>1.5999999999999996</v>
          </cell>
          <cell r="K402">
            <v>49.9</v>
          </cell>
          <cell r="L402">
            <v>95</v>
          </cell>
          <cell r="M402">
            <v>0.52526315789473688</v>
          </cell>
          <cell r="N402">
            <v>15.2</v>
          </cell>
          <cell r="O402">
            <v>13.3</v>
          </cell>
          <cell r="P402">
            <v>1.8999999999999986</v>
          </cell>
        </row>
        <row r="403">
          <cell r="A403" t="str">
            <v>2003:6</v>
          </cell>
          <cell r="B403">
            <v>0.66227624322232359</v>
          </cell>
          <cell r="C403">
            <v>33.639009300779129</v>
          </cell>
          <cell r="D403">
            <v>1.968774518002777E-2</v>
          </cell>
          <cell r="E403">
            <v>0</v>
          </cell>
          <cell r="F403">
            <v>0</v>
          </cell>
          <cell r="G403">
            <v>1</v>
          </cell>
          <cell r="H403">
            <v>21.5</v>
          </cell>
          <cell r="I403">
            <v>16.8</v>
          </cell>
          <cell r="J403">
            <v>4.6999999999999993</v>
          </cell>
          <cell r="K403">
            <v>0</v>
          </cell>
          <cell r="L403">
            <v>31.5</v>
          </cell>
          <cell r="M403">
            <v>0</v>
          </cell>
          <cell r="N403">
            <v>20.9</v>
          </cell>
          <cell r="O403">
            <v>16.399999999999999</v>
          </cell>
          <cell r="P403">
            <v>4.5</v>
          </cell>
        </row>
        <row r="404">
          <cell r="A404" t="str">
            <v>2003:7</v>
          </cell>
          <cell r="B404">
            <v>1.2365672973429978</v>
          </cell>
          <cell r="C404">
            <v>9.8992241828118033</v>
          </cell>
          <cell r="D404">
            <v>0.12491557666610593</v>
          </cell>
          <cell r="E404">
            <v>0</v>
          </cell>
          <cell r="F404">
            <v>0</v>
          </cell>
          <cell r="G404">
            <v>1</v>
          </cell>
          <cell r="H404">
            <v>21.3</v>
          </cell>
          <cell r="I404">
            <v>19.2</v>
          </cell>
          <cell r="J404">
            <v>2.1000000000000014</v>
          </cell>
          <cell r="K404">
            <v>0</v>
          </cell>
          <cell r="L404">
            <v>8.9</v>
          </cell>
          <cell r="M404">
            <v>0</v>
          </cell>
          <cell r="N404">
            <v>21</v>
          </cell>
          <cell r="O404">
            <v>18.399999999999999</v>
          </cell>
          <cell r="P404">
            <v>2.6000000000000014</v>
          </cell>
        </row>
        <row r="405">
          <cell r="A405" t="str">
            <v>2003:8</v>
          </cell>
          <cell r="B405">
            <v>2.472302136789637</v>
          </cell>
          <cell r="C405">
            <v>9.4425505166936539</v>
          </cell>
          <cell r="D405">
            <v>0.26182567225018388</v>
          </cell>
          <cell r="E405">
            <v>0</v>
          </cell>
          <cell r="F405">
            <v>0</v>
          </cell>
          <cell r="G405">
            <v>1</v>
          </cell>
          <cell r="H405">
            <v>23.8</v>
          </cell>
          <cell r="I405">
            <v>18.899999999999999</v>
          </cell>
          <cell r="J405">
            <v>4.9000000000000021</v>
          </cell>
          <cell r="K405">
            <v>2.6</v>
          </cell>
          <cell r="L405">
            <v>9.1</v>
          </cell>
          <cell r="M405">
            <v>0.28571428571428575</v>
          </cell>
          <cell r="N405">
            <v>23.3</v>
          </cell>
          <cell r="O405">
            <v>18.2</v>
          </cell>
          <cell r="P405">
            <v>5.1000000000000014</v>
          </cell>
        </row>
        <row r="406">
          <cell r="A406" t="str">
            <v>2003:9</v>
          </cell>
          <cell r="B406">
            <v>29.989080426761536</v>
          </cell>
          <cell r="C406">
            <v>43.697695496746512</v>
          </cell>
          <cell r="D406">
            <v>0.68628517101077691</v>
          </cell>
          <cell r="E406">
            <v>0</v>
          </cell>
          <cell r="F406">
            <v>0</v>
          </cell>
          <cell r="G406">
            <v>1</v>
          </cell>
          <cell r="H406">
            <v>16.899999999999999</v>
          </cell>
          <cell r="I406">
            <v>16.5</v>
          </cell>
          <cell r="J406">
            <v>0.39999999999999858</v>
          </cell>
          <cell r="K406">
            <v>28.4</v>
          </cell>
          <cell r="L406">
            <v>39.4</v>
          </cell>
          <cell r="M406">
            <v>0.72081218274111669</v>
          </cell>
          <cell r="N406">
            <v>16.3</v>
          </cell>
          <cell r="O406">
            <v>15.7</v>
          </cell>
          <cell r="P406">
            <v>0.60000000000000142</v>
          </cell>
        </row>
        <row r="407">
          <cell r="A407" t="str">
            <v>2003:10</v>
          </cell>
          <cell r="B407">
            <v>195.2831158074311</v>
          </cell>
          <cell r="C407">
            <v>132.10004667845612</v>
          </cell>
          <cell r="D407">
            <v>1.47829709918853</v>
          </cell>
          <cell r="E407">
            <v>195.2831158074311</v>
          </cell>
          <cell r="F407">
            <v>132.10004667845612</v>
          </cell>
          <cell r="G407">
            <v>1.47829709918853</v>
          </cell>
          <cell r="H407">
            <v>10.6</v>
          </cell>
          <cell r="I407">
            <v>12.6</v>
          </cell>
          <cell r="J407">
            <v>-2</v>
          </cell>
          <cell r="K407">
            <v>202.8</v>
          </cell>
          <cell r="L407">
            <v>133.80000000000001</v>
          </cell>
          <cell r="M407">
            <v>1.5156950672645739</v>
          </cell>
          <cell r="N407">
            <v>9.5</v>
          </cell>
          <cell r="O407">
            <v>11.8</v>
          </cell>
          <cell r="P407">
            <v>-2.3000000000000007</v>
          </cell>
        </row>
        <row r="408">
          <cell r="A408" t="str">
            <v>2003:11</v>
          </cell>
          <cell r="B408">
            <v>229.22881890044999</v>
          </cell>
          <cell r="C408">
            <v>277.9065874341735</v>
          </cell>
          <cell r="D408">
            <v>0.82484125697360955</v>
          </cell>
          <cell r="E408">
            <v>229.22881890044999</v>
          </cell>
          <cell r="F408">
            <v>277.9065874341735</v>
          </cell>
          <cell r="G408">
            <v>0.82484125697360955</v>
          </cell>
          <cell r="H408">
            <v>9.1</v>
          </cell>
          <cell r="I408">
            <v>7.6</v>
          </cell>
          <cell r="J408">
            <v>1.5</v>
          </cell>
          <cell r="K408">
            <v>221.2</v>
          </cell>
          <cell r="L408">
            <v>272.89999999999998</v>
          </cell>
          <cell r="M408">
            <v>0.81055331623305238</v>
          </cell>
          <cell r="N408">
            <v>8.6</v>
          </cell>
          <cell r="O408">
            <v>6.9</v>
          </cell>
          <cell r="P408">
            <v>1.6999999999999993</v>
          </cell>
        </row>
        <row r="409">
          <cell r="A409" t="str">
            <v>2003:12</v>
          </cell>
          <cell r="B409">
            <v>352.73982429029371</v>
          </cell>
          <cell r="C409">
            <v>363.68818352813111</v>
          </cell>
          <cell r="D409">
            <v>0.96989630201446853</v>
          </cell>
          <cell r="E409">
            <v>352.73982429029371</v>
          </cell>
          <cell r="F409">
            <v>363.68818352813111</v>
          </cell>
          <cell r="G409">
            <v>0.96989630201446853</v>
          </cell>
          <cell r="H409">
            <v>5.5</v>
          </cell>
          <cell r="I409">
            <v>4.8</v>
          </cell>
          <cell r="J409">
            <v>0.70000000000000018</v>
          </cell>
          <cell r="K409">
            <v>338.1</v>
          </cell>
          <cell r="L409">
            <v>363.6</v>
          </cell>
          <cell r="M409">
            <v>0.92986798679867988</v>
          </cell>
          <cell r="N409">
            <v>5.0999999999999996</v>
          </cell>
          <cell r="O409">
            <v>4.3</v>
          </cell>
          <cell r="P409">
            <v>0.79999999999999982</v>
          </cell>
        </row>
        <row r="410">
          <cell r="A410" t="str">
            <v>2004:1</v>
          </cell>
          <cell r="B410">
            <v>366.59887424885795</v>
          </cell>
          <cell r="C410">
            <v>392.91081774346333</v>
          </cell>
          <cell r="D410">
            <v>0.9330332932910369</v>
          </cell>
          <cell r="E410">
            <v>366.59887424885795</v>
          </cell>
          <cell r="F410">
            <v>392.91081774346333</v>
          </cell>
          <cell r="G410">
            <v>0.9330332932910369</v>
          </cell>
          <cell r="H410">
            <v>5.0999999999999996</v>
          </cell>
          <cell r="I410">
            <v>4</v>
          </cell>
          <cell r="J410">
            <v>1.0999999999999996</v>
          </cell>
          <cell r="K410">
            <v>335.3</v>
          </cell>
          <cell r="L410">
            <v>388.5</v>
          </cell>
          <cell r="M410">
            <v>0.86306306306306313</v>
          </cell>
          <cell r="N410">
            <v>5.2</v>
          </cell>
          <cell r="O410">
            <v>3.5</v>
          </cell>
          <cell r="P410">
            <v>1.7000000000000002</v>
          </cell>
        </row>
        <row r="411">
          <cell r="A411" t="str">
            <v>2004:2</v>
          </cell>
          <cell r="B411">
            <v>329.03417285709907</v>
          </cell>
          <cell r="C411">
            <v>331.22294910654443</v>
          </cell>
          <cell r="D411">
            <v>0.99339183394342245</v>
          </cell>
          <cell r="E411">
            <v>329.03417285709907</v>
          </cell>
          <cell r="F411">
            <v>331.22294910654443</v>
          </cell>
          <cell r="G411">
            <v>0.99339183394342245</v>
          </cell>
          <cell r="H411">
            <v>5.0999999999999996</v>
          </cell>
          <cell r="I411">
            <v>5.0999999999999996</v>
          </cell>
          <cell r="J411">
            <v>0</v>
          </cell>
          <cell r="K411">
            <v>297.89999999999998</v>
          </cell>
          <cell r="L411">
            <v>326.10000000000002</v>
          </cell>
          <cell r="M411">
            <v>0.91352345906163746</v>
          </cell>
          <cell r="N411">
            <v>5.7</v>
          </cell>
          <cell r="O411">
            <v>4.5</v>
          </cell>
          <cell r="P411">
            <v>1.2000000000000002</v>
          </cell>
        </row>
        <row r="412">
          <cell r="A412" t="str">
            <v>2004:3</v>
          </cell>
          <cell r="B412">
            <v>296.85731185125638</v>
          </cell>
          <cell r="C412">
            <v>270.29253185771751</v>
          </cell>
          <cell r="D412">
            <v>1.0982815907304557</v>
          </cell>
          <cell r="E412">
            <v>296.85731185125638</v>
          </cell>
          <cell r="F412">
            <v>270.29253185771751</v>
          </cell>
          <cell r="G412">
            <v>1.0982815907304557</v>
          </cell>
          <cell r="H412">
            <v>7</v>
          </cell>
          <cell r="I412">
            <v>7.3</v>
          </cell>
          <cell r="J412">
            <v>-0.29999999999999982</v>
          </cell>
          <cell r="K412">
            <v>272.60000000000002</v>
          </cell>
          <cell r="L412">
            <v>283.89999999999998</v>
          </cell>
          <cell r="M412">
            <v>0.96019725255371624</v>
          </cell>
          <cell r="N412">
            <v>7.2</v>
          </cell>
          <cell r="O412">
            <v>6.8</v>
          </cell>
          <cell r="P412">
            <v>0.40000000000000036</v>
          </cell>
        </row>
        <row r="413">
          <cell r="A413" t="str">
            <v>2004:4</v>
          </cell>
          <cell r="B413">
            <v>175.60834837746319</v>
          </cell>
          <cell r="C413">
            <v>198.63939385091356</v>
          </cell>
          <cell r="D413">
            <v>0.88405600204994561</v>
          </cell>
          <cell r="E413">
            <v>175.60834837746319</v>
          </cell>
          <cell r="F413">
            <v>198.63939385091356</v>
          </cell>
          <cell r="G413">
            <v>0.88405600204994561</v>
          </cell>
          <cell r="H413">
            <v>10.6</v>
          </cell>
          <cell r="I413">
            <v>9.9</v>
          </cell>
          <cell r="J413">
            <v>0.69999999999999929</v>
          </cell>
          <cell r="K413">
            <v>146.4</v>
          </cell>
          <cell r="L413">
            <v>190.3</v>
          </cell>
          <cell r="M413">
            <v>0.76931161324224906</v>
          </cell>
          <cell r="N413">
            <v>11.1</v>
          </cell>
          <cell r="O413">
            <v>9.6999999999999993</v>
          </cell>
          <cell r="P413">
            <v>1.4000000000000004</v>
          </cell>
        </row>
        <row r="414">
          <cell r="A414" t="str">
            <v>2004:5</v>
          </cell>
          <cell r="B414">
            <v>102.9211049918577</v>
          </cell>
          <cell r="C414">
            <v>94.205291641343422</v>
          </cell>
          <cell r="D414">
            <v>1.0925193606288801</v>
          </cell>
          <cell r="E414">
            <v>102.9211049918577</v>
          </cell>
          <cell r="F414">
            <v>94.205291641343422</v>
          </cell>
          <cell r="G414">
            <v>1.0925193606288801</v>
          </cell>
          <cell r="H414">
            <v>13.7</v>
          </cell>
          <cell r="I414">
            <v>13.6</v>
          </cell>
          <cell r="J414">
            <v>9.9999999999999645E-2</v>
          </cell>
          <cell r="K414">
            <v>87.8</v>
          </cell>
          <cell r="L414">
            <v>95</v>
          </cell>
          <cell r="M414">
            <v>0.92421052631578948</v>
          </cell>
          <cell r="N414">
            <v>13.7</v>
          </cell>
          <cell r="O414">
            <v>13.3</v>
          </cell>
          <cell r="P414">
            <v>0.39999999999999858</v>
          </cell>
        </row>
        <row r="415">
          <cell r="A415" t="str">
            <v>2004:6</v>
          </cell>
          <cell r="B415">
            <v>16.537937551944136</v>
          </cell>
          <cell r="C415">
            <v>33.639009300779129</v>
          </cell>
          <cell r="D415">
            <v>0.49162974462393255</v>
          </cell>
          <cell r="E415">
            <v>0</v>
          </cell>
          <cell r="F415">
            <v>0</v>
          </cell>
          <cell r="G415">
            <v>1</v>
          </cell>
          <cell r="H415">
            <v>18.5</v>
          </cell>
          <cell r="I415">
            <v>16.8</v>
          </cell>
          <cell r="J415">
            <v>1.6999999999999993</v>
          </cell>
          <cell r="K415">
            <v>6.7</v>
          </cell>
          <cell r="L415">
            <v>31.5</v>
          </cell>
          <cell r="M415">
            <v>0.21269841269841269</v>
          </cell>
          <cell r="N415">
            <v>18.2</v>
          </cell>
          <cell r="O415">
            <v>16.399999999999999</v>
          </cell>
          <cell r="P415">
            <v>1.8000000000000007</v>
          </cell>
        </row>
        <row r="416">
          <cell r="A416" t="str">
            <v>2004:7</v>
          </cell>
          <cell r="B416">
            <v>11.429712029866847</v>
          </cell>
          <cell r="C416">
            <v>9.8992241828118033</v>
          </cell>
          <cell r="D416">
            <v>1.1546068478489917</v>
          </cell>
          <cell r="E416">
            <v>0</v>
          </cell>
          <cell r="F416">
            <v>0</v>
          </cell>
          <cell r="G416">
            <v>1</v>
          </cell>
          <cell r="H416">
            <v>19.399999999999999</v>
          </cell>
          <cell r="I416">
            <v>19.2</v>
          </cell>
          <cell r="J416">
            <v>0.19999999999999929</v>
          </cell>
          <cell r="K416">
            <v>6.8</v>
          </cell>
          <cell r="L416">
            <v>8.9</v>
          </cell>
          <cell r="M416">
            <v>0.7640449438202247</v>
          </cell>
          <cell r="N416">
            <v>19.2</v>
          </cell>
          <cell r="O416">
            <v>18.399999999999999</v>
          </cell>
          <cell r="P416">
            <v>0.80000000000000071</v>
          </cell>
        </row>
        <row r="417">
          <cell r="A417" t="str">
            <v>2004:8</v>
          </cell>
          <cell r="B417">
            <v>4.0838305578955136</v>
          </cell>
          <cell r="C417">
            <v>9.4425505166936539</v>
          </cell>
          <cell r="D417">
            <v>0.43249231769272894</v>
          </cell>
          <cell r="E417">
            <v>0</v>
          </cell>
          <cell r="F417">
            <v>0</v>
          </cell>
          <cell r="G417">
            <v>1</v>
          </cell>
          <cell r="H417">
            <v>20</v>
          </cell>
          <cell r="I417">
            <v>18.899999999999999</v>
          </cell>
          <cell r="J417">
            <v>1.1000000000000014</v>
          </cell>
          <cell r="K417">
            <v>0</v>
          </cell>
          <cell r="L417">
            <v>9.1</v>
          </cell>
          <cell r="M417">
            <v>0</v>
          </cell>
          <cell r="N417">
            <v>20.3</v>
          </cell>
          <cell r="O417">
            <v>18.2</v>
          </cell>
          <cell r="P417">
            <v>2.1000000000000014</v>
          </cell>
        </row>
        <row r="418">
          <cell r="A418" t="str">
            <v>2004:9</v>
          </cell>
          <cell r="B418">
            <v>30.938591509558663</v>
          </cell>
          <cell r="C418">
            <v>43.697695496746512</v>
          </cell>
          <cell r="D418">
            <v>0.70801425928427231</v>
          </cell>
          <cell r="E418">
            <v>0</v>
          </cell>
          <cell r="F418">
            <v>0</v>
          </cell>
          <cell r="G418">
            <v>1</v>
          </cell>
          <cell r="H418">
            <v>17.399999999999999</v>
          </cell>
          <cell r="I418">
            <v>16.5</v>
          </cell>
          <cell r="J418">
            <v>0.89999999999999858</v>
          </cell>
          <cell r="K418">
            <v>15.9</v>
          </cell>
          <cell r="L418">
            <v>39.4</v>
          </cell>
          <cell r="M418">
            <v>0.40355329949238583</v>
          </cell>
          <cell r="N418">
            <v>17.5</v>
          </cell>
          <cell r="O418">
            <v>15.7</v>
          </cell>
          <cell r="P418">
            <v>1.8000000000000007</v>
          </cell>
        </row>
        <row r="419">
          <cell r="A419" t="str">
            <v>2004:10</v>
          </cell>
          <cell r="B419">
            <v>106.23941680475004</v>
          </cell>
          <cell r="C419">
            <v>132.10004667845612</v>
          </cell>
          <cell r="D419">
            <v>0.80423451373447818</v>
          </cell>
          <cell r="E419">
            <v>106.23941680475004</v>
          </cell>
          <cell r="F419">
            <v>132.10004667845612</v>
          </cell>
          <cell r="G419">
            <v>0.80423451373447818</v>
          </cell>
          <cell r="H419">
            <v>13.6</v>
          </cell>
          <cell r="I419">
            <v>12.6</v>
          </cell>
          <cell r="J419">
            <v>1</v>
          </cell>
          <cell r="K419">
            <v>102.9</v>
          </cell>
          <cell r="L419">
            <v>133.80000000000001</v>
          </cell>
          <cell r="M419">
            <v>0.76905829596412556</v>
          </cell>
          <cell r="N419">
            <v>12.7</v>
          </cell>
          <cell r="O419">
            <v>11.8</v>
          </cell>
          <cell r="P419">
            <v>0.89999999999999858</v>
          </cell>
        </row>
        <row r="420">
          <cell r="A420" t="str">
            <v>2004:11</v>
          </cell>
          <cell r="B420">
            <v>277.27898425956488</v>
          </cell>
          <cell r="C420">
            <v>277.9065874341735</v>
          </cell>
          <cell r="D420">
            <v>0.99774167578968498</v>
          </cell>
          <cell r="E420">
            <v>277.27898425956488</v>
          </cell>
          <cell r="F420">
            <v>277.9065874341735</v>
          </cell>
          <cell r="G420">
            <v>0.99774167578968498</v>
          </cell>
          <cell r="H420">
            <v>7.6</v>
          </cell>
          <cell r="I420">
            <v>7.6</v>
          </cell>
          <cell r="J420">
            <v>0</v>
          </cell>
          <cell r="K420">
            <v>243.8</v>
          </cell>
          <cell r="L420">
            <v>272.89999999999998</v>
          </cell>
          <cell r="M420">
            <v>0.89336753389519985</v>
          </cell>
          <cell r="N420">
            <v>7.9</v>
          </cell>
          <cell r="O420">
            <v>6.9</v>
          </cell>
          <cell r="P420">
            <v>1</v>
          </cell>
        </row>
        <row r="421">
          <cell r="A421" t="str">
            <v>2004:12</v>
          </cell>
          <cell r="B421">
            <v>392.69867125627763</v>
          </cell>
          <cell r="C421">
            <v>363.68818352813111</v>
          </cell>
          <cell r="D421">
            <v>1.0797674740122607</v>
          </cell>
          <cell r="E421">
            <v>392.69867125627763</v>
          </cell>
          <cell r="F421">
            <v>363.68818352813111</v>
          </cell>
          <cell r="G421">
            <v>1.0797674740122607</v>
          </cell>
          <cell r="H421">
            <v>4.5</v>
          </cell>
          <cell r="I421">
            <v>4.8</v>
          </cell>
          <cell r="J421">
            <v>-0.29999999999999982</v>
          </cell>
          <cell r="K421">
            <v>380.4</v>
          </cell>
          <cell r="L421">
            <v>363.6</v>
          </cell>
          <cell r="M421">
            <v>1.0462046204620461</v>
          </cell>
          <cell r="N421">
            <v>3.7</v>
          </cell>
          <cell r="O421">
            <v>4.3</v>
          </cell>
          <cell r="P421">
            <v>-0.59999999999999964</v>
          </cell>
        </row>
        <row r="422">
          <cell r="A422" t="str">
            <v>2005:1</v>
          </cell>
          <cell r="B422">
            <v>367.05125007786006</v>
          </cell>
          <cell r="C422">
            <v>392.91081774346333</v>
          </cell>
          <cell r="D422">
            <v>0.93418463809645647</v>
          </cell>
          <cell r="E422">
            <v>367.05125007786006</v>
          </cell>
          <cell r="F422">
            <v>392.91081774346333</v>
          </cell>
          <cell r="G422">
            <v>0.93418463809645647</v>
          </cell>
          <cell r="H422">
            <v>4.9000000000000004</v>
          </cell>
          <cell r="I422">
            <v>4</v>
          </cell>
          <cell r="J422">
            <v>0.90000000000000036</v>
          </cell>
          <cell r="K422">
            <v>319.10000000000002</v>
          </cell>
          <cell r="L422">
            <v>388.5</v>
          </cell>
          <cell r="M422">
            <v>0.82136422136422138</v>
          </cell>
          <cell r="N422">
            <v>5.7</v>
          </cell>
          <cell r="O422">
            <v>3.5</v>
          </cell>
          <cell r="P422">
            <v>2.2000000000000002</v>
          </cell>
        </row>
        <row r="423">
          <cell r="A423" t="str">
            <v>2005:2</v>
          </cell>
          <cell r="B423">
            <v>382.49593798838799</v>
          </cell>
          <cell r="C423">
            <v>331.22294910654443</v>
          </cell>
          <cell r="D423">
            <v>1.1547990228942457</v>
          </cell>
          <cell r="E423">
            <v>382.49593798838799</v>
          </cell>
          <cell r="F423">
            <v>331.22294910654443</v>
          </cell>
          <cell r="G423">
            <v>1.1547990228942457</v>
          </cell>
          <cell r="H423">
            <v>2.9</v>
          </cell>
          <cell r="I423">
            <v>5.0999999999999996</v>
          </cell>
          <cell r="J423">
            <v>-2.1999999999999997</v>
          </cell>
          <cell r="K423">
            <v>355</v>
          </cell>
          <cell r="L423">
            <v>326.10000000000002</v>
          </cell>
          <cell r="M423">
            <v>1.088623121741797</v>
          </cell>
          <cell r="N423">
            <v>3.3</v>
          </cell>
          <cell r="O423">
            <v>4.5</v>
          </cell>
          <cell r="P423">
            <v>-1.2000000000000002</v>
          </cell>
        </row>
        <row r="424">
          <cell r="A424" t="str">
            <v>2005:3</v>
          </cell>
          <cell r="B424">
            <v>278.72544479133438</v>
          </cell>
          <cell r="C424">
            <v>270.29253185771751</v>
          </cell>
          <cell r="D424">
            <v>1.0311992080419594</v>
          </cell>
          <cell r="E424">
            <v>278.72544479133438</v>
          </cell>
          <cell r="F424">
            <v>270.29253185771751</v>
          </cell>
          <cell r="G424">
            <v>1.0311992080419594</v>
          </cell>
          <cell r="H424">
            <v>7.6</v>
          </cell>
          <cell r="I424">
            <v>7.3</v>
          </cell>
          <cell r="J424">
            <v>0.29999999999999982</v>
          </cell>
          <cell r="K424">
            <v>255.3</v>
          </cell>
          <cell r="L424">
            <v>283.89999999999998</v>
          </cell>
          <cell r="M424">
            <v>0.89926030292356474</v>
          </cell>
          <cell r="N424">
            <v>7.8</v>
          </cell>
          <cell r="O424">
            <v>6.8</v>
          </cell>
          <cell r="P424">
            <v>1</v>
          </cell>
        </row>
        <row r="425">
          <cell r="A425" t="str">
            <v>2005:4</v>
          </cell>
          <cell r="B425">
            <v>168.49988349133633</v>
          </cell>
          <cell r="C425">
            <v>198.63939385091356</v>
          </cell>
          <cell r="D425">
            <v>0.84827022588380385</v>
          </cell>
          <cell r="E425">
            <v>168.49988349133633</v>
          </cell>
          <cell r="F425">
            <v>198.63939385091356</v>
          </cell>
          <cell r="G425">
            <v>0.84827022588380385</v>
          </cell>
          <cell r="H425">
            <v>11</v>
          </cell>
          <cell r="I425">
            <v>9.9</v>
          </cell>
          <cell r="J425">
            <v>1.0999999999999996</v>
          </cell>
          <cell r="K425">
            <v>138.6</v>
          </cell>
          <cell r="L425">
            <v>190.3</v>
          </cell>
          <cell r="M425">
            <v>0.72832369942196529</v>
          </cell>
          <cell r="N425">
            <v>11.5</v>
          </cell>
          <cell r="O425">
            <v>9.6999999999999993</v>
          </cell>
          <cell r="P425">
            <v>1.8000000000000007</v>
          </cell>
        </row>
        <row r="426">
          <cell r="A426" t="str">
            <v>2005:5</v>
          </cell>
          <cell r="B426">
            <v>84.07673563757173</v>
          </cell>
          <cell r="C426">
            <v>94.205291641343422</v>
          </cell>
          <cell r="D426">
            <v>0.89248421370709263</v>
          </cell>
          <cell r="E426">
            <v>84.07673563757173</v>
          </cell>
          <cell r="F426">
            <v>94.205291641343422</v>
          </cell>
          <cell r="G426">
            <v>0.89248421370709263</v>
          </cell>
          <cell r="H426">
            <v>14.8</v>
          </cell>
          <cell r="I426">
            <v>13.6</v>
          </cell>
          <cell r="J426">
            <v>1.2000000000000011</v>
          </cell>
          <cell r="K426">
            <v>76.5</v>
          </cell>
          <cell r="L426">
            <v>95</v>
          </cell>
          <cell r="M426">
            <v>0.80526315789473679</v>
          </cell>
          <cell r="N426">
            <v>14.7</v>
          </cell>
          <cell r="O426">
            <v>13.3</v>
          </cell>
          <cell r="P426">
            <v>1.3999999999999986</v>
          </cell>
        </row>
        <row r="427">
          <cell r="A427" t="str">
            <v>2005:6</v>
          </cell>
          <cell r="B427">
            <v>22.641370352860843</v>
          </cell>
          <cell r="C427">
            <v>33.639009300779129</v>
          </cell>
          <cell r="D427">
            <v>0.67306888114378671</v>
          </cell>
          <cell r="E427">
            <v>0</v>
          </cell>
          <cell r="F427">
            <v>0</v>
          </cell>
          <cell r="G427">
            <v>1</v>
          </cell>
          <cell r="H427">
            <v>19.600000000000001</v>
          </cell>
          <cell r="I427">
            <v>16.8</v>
          </cell>
          <cell r="J427">
            <v>2.8000000000000007</v>
          </cell>
          <cell r="K427">
            <v>15.1</v>
          </cell>
          <cell r="L427">
            <v>31.5</v>
          </cell>
          <cell r="M427">
            <v>0.47936507936507933</v>
          </cell>
          <cell r="N427">
            <v>19.600000000000001</v>
          </cell>
          <cell r="O427">
            <v>16.399999999999999</v>
          </cell>
          <cell r="P427">
            <v>3.2000000000000028</v>
          </cell>
        </row>
        <row r="428">
          <cell r="A428" t="str">
            <v>2005:7</v>
          </cell>
          <cell r="B428">
            <v>5.2487790967267642</v>
          </cell>
          <cell r="C428">
            <v>9.8992241828118033</v>
          </cell>
          <cell r="D428">
            <v>0.53022125772647033</v>
          </cell>
          <cell r="E428">
            <v>0</v>
          </cell>
          <cell r="F428">
            <v>0</v>
          </cell>
          <cell r="G428">
            <v>1</v>
          </cell>
          <cell r="H428">
            <v>20.3</v>
          </cell>
          <cell r="I428">
            <v>19.2</v>
          </cell>
          <cell r="J428">
            <v>1.1000000000000014</v>
          </cell>
          <cell r="K428">
            <v>2.2000000000000002</v>
          </cell>
          <cell r="L428">
            <v>8.9</v>
          </cell>
          <cell r="M428">
            <v>0.24719101123595508</v>
          </cell>
          <cell r="N428">
            <v>20.3</v>
          </cell>
          <cell r="O428">
            <v>18.399999999999999</v>
          </cell>
          <cell r="P428">
            <v>1.9000000000000021</v>
          </cell>
        </row>
        <row r="429">
          <cell r="A429" t="str">
            <v>2005:8</v>
          </cell>
          <cell r="B429">
            <v>8.2505930357454247</v>
          </cell>
          <cell r="C429">
            <v>9.4425505166936539</v>
          </cell>
          <cell r="D429">
            <v>0.87376742344762193</v>
          </cell>
          <cell r="E429">
            <v>0</v>
          </cell>
          <cell r="F429">
            <v>0</v>
          </cell>
          <cell r="G429">
            <v>1</v>
          </cell>
          <cell r="H429">
            <v>18.899999999999999</v>
          </cell>
          <cell r="I429">
            <v>18.899999999999999</v>
          </cell>
          <cell r="J429">
            <v>0</v>
          </cell>
          <cell r="K429">
            <v>0.6</v>
          </cell>
          <cell r="L429">
            <v>9.1</v>
          </cell>
          <cell r="M429">
            <v>6.5934065934065936E-2</v>
          </cell>
          <cell r="N429">
            <v>18.600000000000001</v>
          </cell>
          <cell r="O429">
            <v>18.2</v>
          </cell>
          <cell r="P429">
            <v>0.40000000000000213</v>
          </cell>
        </row>
        <row r="430">
          <cell r="A430" t="str">
            <v>2005:9</v>
          </cell>
          <cell r="B430">
            <v>31.363308040147036</v>
          </cell>
          <cell r="C430">
            <v>43.697695496746512</v>
          </cell>
          <cell r="D430">
            <v>0.71773368557804551</v>
          </cell>
          <cell r="E430">
            <v>0</v>
          </cell>
          <cell r="F430">
            <v>0</v>
          </cell>
          <cell r="G430">
            <v>1</v>
          </cell>
          <cell r="H430">
            <v>17.2</v>
          </cell>
          <cell r="I430">
            <v>16.5</v>
          </cell>
          <cell r="J430">
            <v>0.69999999999999929</v>
          </cell>
          <cell r="K430">
            <v>21.3</v>
          </cell>
          <cell r="L430">
            <v>39.4</v>
          </cell>
          <cell r="M430">
            <v>0.54060913705583757</v>
          </cell>
          <cell r="N430">
            <v>17.7</v>
          </cell>
          <cell r="O430">
            <v>15.7</v>
          </cell>
          <cell r="P430">
            <v>2</v>
          </cell>
        </row>
        <row r="431">
          <cell r="A431" t="str">
            <v>2005:10</v>
          </cell>
          <cell r="B431">
            <v>51.592105448209921</v>
          </cell>
          <cell r="C431">
            <v>132.10004667845612</v>
          </cell>
          <cell r="D431">
            <v>0.3905532718984569</v>
          </cell>
          <cell r="E431">
            <v>51.592105448209921</v>
          </cell>
          <cell r="F431">
            <v>132.10004667845612</v>
          </cell>
          <cell r="G431">
            <v>0.3905532718984569</v>
          </cell>
          <cell r="H431">
            <v>14.9</v>
          </cell>
          <cell r="I431">
            <v>12.6</v>
          </cell>
          <cell r="J431">
            <v>2.3000000000000007</v>
          </cell>
          <cell r="K431">
            <v>38.200000000000003</v>
          </cell>
          <cell r="L431">
            <v>133.80000000000001</v>
          </cell>
          <cell r="M431">
            <v>0.28550074738415543</v>
          </cell>
          <cell r="N431">
            <v>15.4</v>
          </cell>
          <cell r="O431">
            <v>11.8</v>
          </cell>
          <cell r="P431">
            <v>3.5999999999999996</v>
          </cell>
        </row>
        <row r="432">
          <cell r="A432" t="str">
            <v>2005:11</v>
          </cell>
          <cell r="B432">
            <v>296.15745834450854</v>
          </cell>
          <cell r="C432">
            <v>277.9065874341735</v>
          </cell>
          <cell r="D432">
            <v>1.0656726818850886</v>
          </cell>
          <cell r="E432">
            <v>296.15745834450854</v>
          </cell>
          <cell r="F432">
            <v>277.9065874341735</v>
          </cell>
          <cell r="G432">
            <v>1.0656726818850886</v>
          </cell>
          <cell r="H432">
            <v>7</v>
          </cell>
          <cell r="I432">
            <v>7.6</v>
          </cell>
          <cell r="J432">
            <v>-0.59999999999999964</v>
          </cell>
          <cell r="K432">
            <v>287.5</v>
          </cell>
          <cell r="L432">
            <v>272.89999999999998</v>
          </cell>
          <cell r="M432">
            <v>1.053499450348113</v>
          </cell>
          <cell r="N432">
            <v>6.4</v>
          </cell>
          <cell r="O432">
            <v>6.9</v>
          </cell>
          <cell r="P432">
            <v>-0.5</v>
          </cell>
        </row>
        <row r="433">
          <cell r="A433" t="str">
            <v>2005:12</v>
          </cell>
          <cell r="B433">
            <v>420.38664397237829</v>
          </cell>
          <cell r="C433">
            <v>363.68818352813111</v>
          </cell>
          <cell r="D433">
            <v>1.1558985499452215</v>
          </cell>
          <cell r="E433">
            <v>420.38664397237829</v>
          </cell>
          <cell r="F433">
            <v>363.68818352813111</v>
          </cell>
          <cell r="G433">
            <v>1.1558985499452215</v>
          </cell>
          <cell r="H433">
            <v>3.4</v>
          </cell>
          <cell r="I433">
            <v>4.8</v>
          </cell>
          <cell r="J433">
            <v>-1.4</v>
          </cell>
          <cell r="K433">
            <v>366.1</v>
          </cell>
          <cell r="L433">
            <v>363.6</v>
          </cell>
          <cell r="M433">
            <v>1.0068756875687568</v>
          </cell>
          <cell r="N433">
            <v>4.2</v>
          </cell>
          <cell r="O433">
            <v>4.3</v>
          </cell>
          <cell r="P433">
            <v>-9.9999999999999645E-2</v>
          </cell>
        </row>
        <row r="434">
          <cell r="A434" t="str">
            <v>2006:1</v>
          </cell>
          <cell r="B434">
            <v>425.10967826270706</v>
          </cell>
          <cell r="C434">
            <v>392.91081774346333</v>
          </cell>
          <cell r="D434">
            <v>1.0819495393488168</v>
          </cell>
          <cell r="E434">
            <v>425.10967826270706</v>
          </cell>
          <cell r="F434">
            <v>392.91081774346333</v>
          </cell>
          <cell r="G434">
            <v>1.0819495393488168</v>
          </cell>
          <cell r="H434">
            <v>3</v>
          </cell>
          <cell r="I434">
            <v>4</v>
          </cell>
          <cell r="J434">
            <v>-1</v>
          </cell>
          <cell r="K434">
            <v>407.9</v>
          </cell>
          <cell r="L434">
            <v>388.5</v>
          </cell>
          <cell r="M434">
            <v>1.0499356499356498</v>
          </cell>
          <cell r="N434">
            <v>2.8</v>
          </cell>
          <cell r="O434">
            <v>3.5</v>
          </cell>
          <cell r="P434">
            <v>-0.70000000000000018</v>
          </cell>
        </row>
        <row r="435">
          <cell r="A435" t="str">
            <v>2006:2</v>
          </cell>
          <cell r="B435">
            <v>371.28110095637453</v>
          </cell>
          <cell r="C435">
            <v>331.22294910654443</v>
          </cell>
          <cell r="D435">
            <v>1.1209401460795054</v>
          </cell>
          <cell r="E435">
            <v>371.28110095637453</v>
          </cell>
          <cell r="F435">
            <v>331.22294910654443</v>
          </cell>
          <cell r="G435">
            <v>1.1209401460795054</v>
          </cell>
          <cell r="H435">
            <v>3.6</v>
          </cell>
          <cell r="I435">
            <v>5.0999999999999996</v>
          </cell>
          <cell r="J435">
            <v>-1.4999999999999996</v>
          </cell>
          <cell r="K435">
            <v>349.3</v>
          </cell>
          <cell r="L435">
            <v>326.10000000000002</v>
          </cell>
          <cell r="M435">
            <v>1.07114382091383</v>
          </cell>
          <cell r="N435">
            <v>3.5</v>
          </cell>
          <cell r="O435">
            <v>4.5</v>
          </cell>
          <cell r="P435">
            <v>-1</v>
          </cell>
        </row>
        <row r="436">
          <cell r="A436" t="str">
            <v>2006:3</v>
          </cell>
          <cell r="B436">
            <v>299.01717909812805</v>
          </cell>
          <cell r="C436">
            <v>270.29253185771751</v>
          </cell>
          <cell r="D436">
            <v>1.1062724413545071</v>
          </cell>
          <cell r="E436">
            <v>299.01717909812805</v>
          </cell>
          <cell r="F436">
            <v>270.29253185771751</v>
          </cell>
          <cell r="G436">
            <v>1.1062724413545071</v>
          </cell>
          <cell r="H436">
            <v>7</v>
          </cell>
          <cell r="I436">
            <v>7.3</v>
          </cell>
          <cell r="J436">
            <v>-0.29999999999999982</v>
          </cell>
          <cell r="L436">
            <v>283.89999999999998</v>
          </cell>
          <cell r="M436">
            <v>0</v>
          </cell>
          <cell r="O436">
            <v>6.8</v>
          </cell>
        </row>
        <row r="437">
          <cell r="A437" t="str">
            <v>2006:4</v>
          </cell>
          <cell r="B437">
            <v>172.82413181274023</v>
          </cell>
          <cell r="C437">
            <v>198.63939385091356</v>
          </cell>
          <cell r="D437">
            <v>0.87003956497396151</v>
          </cell>
          <cell r="E437">
            <v>172.82413181274023</v>
          </cell>
          <cell r="F437">
            <v>198.63939385091356</v>
          </cell>
          <cell r="G437">
            <v>0.87003956497396151</v>
          </cell>
          <cell r="H437">
            <v>10.8</v>
          </cell>
          <cell r="I437">
            <v>9.9</v>
          </cell>
          <cell r="J437">
            <v>0.90000000000000036</v>
          </cell>
          <cell r="L437">
            <v>190.3</v>
          </cell>
          <cell r="M437">
            <v>0</v>
          </cell>
          <cell r="O437">
            <v>9.6999999999999993</v>
          </cell>
        </row>
        <row r="438">
          <cell r="A438" t="str">
            <v>2006:5</v>
          </cell>
          <cell r="B438">
            <v>69.934028884421721</v>
          </cell>
          <cell r="C438">
            <v>94.205291641343422</v>
          </cell>
          <cell r="D438">
            <v>0.74235775576889262</v>
          </cell>
          <cell r="E438">
            <v>69.934028884421721</v>
          </cell>
          <cell r="F438">
            <v>94.205291641343422</v>
          </cell>
          <cell r="G438">
            <v>0.74235775576889262</v>
          </cell>
          <cell r="H438">
            <v>14.8</v>
          </cell>
          <cell r="I438">
            <v>13.6</v>
          </cell>
          <cell r="J438">
            <v>1.2000000000000011</v>
          </cell>
          <cell r="L438">
            <v>95</v>
          </cell>
          <cell r="M438">
            <v>0</v>
          </cell>
          <cell r="O438">
            <v>13.3</v>
          </cell>
        </row>
        <row r="439">
          <cell r="A439" t="str">
            <v>2006:6</v>
          </cell>
          <cell r="B439">
            <v>21.93948866505994</v>
          </cell>
          <cell r="C439">
            <v>33.639009300779129</v>
          </cell>
          <cell r="D439">
            <v>0.65220376940624669</v>
          </cell>
          <cell r="E439">
            <v>0</v>
          </cell>
          <cell r="F439">
            <v>0</v>
          </cell>
          <cell r="G439">
            <v>1</v>
          </cell>
          <cell r="H439">
            <v>19.100000000000001</v>
          </cell>
          <cell r="I439">
            <v>16.8</v>
          </cell>
          <cell r="J439">
            <v>2.3000000000000007</v>
          </cell>
          <cell r="L439">
            <v>31.5</v>
          </cell>
          <cell r="M439">
            <v>0</v>
          </cell>
          <cell r="O439">
            <v>16.399999999999999</v>
          </cell>
        </row>
        <row r="440">
          <cell r="A440" t="str">
            <v>2006:7</v>
          </cell>
          <cell r="B440">
            <v>6.6834210849426062E-2</v>
          </cell>
          <cell r="C440">
            <v>9.8992241828118033</v>
          </cell>
          <cell r="D440">
            <v>6.7514594694674636E-3</v>
          </cell>
          <cell r="E440">
            <v>0</v>
          </cell>
          <cell r="F440">
            <v>0</v>
          </cell>
          <cell r="G440">
            <v>1</v>
          </cell>
          <cell r="H440">
            <v>23.6</v>
          </cell>
          <cell r="I440">
            <v>19.2</v>
          </cell>
          <cell r="J440">
            <v>4.4000000000000021</v>
          </cell>
          <cell r="L440">
            <v>8.9</v>
          </cell>
          <cell r="M440">
            <v>0</v>
          </cell>
          <cell r="O440">
            <v>18.399999999999999</v>
          </cell>
        </row>
        <row r="441">
          <cell r="A441" t="str">
            <v>2006:8</v>
          </cell>
          <cell r="B441">
            <v>11.247106272309759</v>
          </cell>
          <cell r="C441">
            <v>9.4425505166936539</v>
          </cell>
          <cell r="D441">
            <v>1.1911089331664997</v>
          </cell>
          <cell r="E441">
            <v>0</v>
          </cell>
          <cell r="F441">
            <v>0</v>
          </cell>
          <cell r="G441">
            <v>1</v>
          </cell>
          <cell r="H441">
            <v>18</v>
          </cell>
          <cell r="I441">
            <v>18.899999999999999</v>
          </cell>
          <cell r="J441">
            <v>-0.89999999999999858</v>
          </cell>
          <cell r="L441">
            <v>9.1</v>
          </cell>
          <cell r="M441">
            <v>0</v>
          </cell>
          <cell r="O441">
            <v>18.2</v>
          </cell>
        </row>
        <row r="442">
          <cell r="A442" t="str">
            <v>2006:9</v>
          </cell>
          <cell r="B442">
            <v>5.7331822745651175</v>
          </cell>
          <cell r="C442">
            <v>43.697695496746512</v>
          </cell>
          <cell r="D442">
            <v>0.13120102122987193</v>
          </cell>
          <cell r="E442">
            <v>0</v>
          </cell>
          <cell r="F442">
            <v>0</v>
          </cell>
          <cell r="G442">
            <v>1</v>
          </cell>
          <cell r="H442">
            <v>18.8</v>
          </cell>
          <cell r="I442">
            <v>16.5</v>
          </cell>
          <cell r="J442">
            <v>2.3000000000000007</v>
          </cell>
          <cell r="L442">
            <v>39.4</v>
          </cell>
          <cell r="M442">
            <v>0</v>
          </cell>
          <cell r="O442">
            <v>15.7</v>
          </cell>
        </row>
        <row r="443">
          <cell r="A443" t="str">
            <v>2006:10</v>
          </cell>
          <cell r="B443">
            <v>52.587454194531489</v>
          </cell>
          <cell r="C443">
            <v>132.10004667845612</v>
          </cell>
          <cell r="D443">
            <v>0.39808808185007138</v>
          </cell>
          <cell r="E443">
            <v>52.587454194531489</v>
          </cell>
          <cell r="F443">
            <v>132.10004667845612</v>
          </cell>
          <cell r="G443">
            <v>0.39808808185007138</v>
          </cell>
          <cell r="H443">
            <v>15.2</v>
          </cell>
          <cell r="I443">
            <v>12.6</v>
          </cell>
          <cell r="J443">
            <v>2.5999999999999996</v>
          </cell>
          <cell r="L443">
            <v>133.80000000000001</v>
          </cell>
          <cell r="M443">
            <v>0</v>
          </cell>
          <cell r="O443">
            <v>11.8</v>
          </cell>
        </row>
        <row r="444">
          <cell r="A444" t="str">
            <v>2006:11</v>
          </cell>
          <cell r="B444">
            <v>205.91400651965932</v>
          </cell>
          <cell r="C444">
            <v>277.9065874341735</v>
          </cell>
          <cell r="D444">
            <v>0.74094683548454299</v>
          </cell>
          <cell r="E444">
            <v>205.91400651965932</v>
          </cell>
          <cell r="F444">
            <v>277.9065874341735</v>
          </cell>
          <cell r="G444">
            <v>0.74094683548454299</v>
          </cell>
          <cell r="H444">
            <v>9.9</v>
          </cell>
          <cell r="I444">
            <v>7.6</v>
          </cell>
          <cell r="J444">
            <v>2.3000000000000007</v>
          </cell>
          <cell r="L444">
            <v>272.89999999999998</v>
          </cell>
          <cell r="M444">
            <v>0</v>
          </cell>
          <cell r="O444">
            <v>6.9</v>
          </cell>
        </row>
        <row r="445">
          <cell r="A445" t="str">
            <v>2006:12</v>
          </cell>
          <cell r="B445">
            <v>350.90736130493673</v>
          </cell>
          <cell r="C445">
            <v>363.68818352813111</v>
          </cell>
          <cell r="D445">
            <v>0.96485774682254477</v>
          </cell>
          <cell r="E445">
            <v>350.90736130493673</v>
          </cell>
          <cell r="F445">
            <v>363.68818352813111</v>
          </cell>
          <cell r="G445">
            <v>0.96485774682254477</v>
          </cell>
          <cell r="H445">
            <v>5.6</v>
          </cell>
          <cell r="I445">
            <v>4.8</v>
          </cell>
          <cell r="J445">
            <v>0.79999999999999982</v>
          </cell>
          <cell r="L445">
            <v>363.6</v>
          </cell>
          <cell r="M445">
            <v>0</v>
          </cell>
          <cell r="O445">
            <v>4.3</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fig 1 "/>
      <sheetName val="chiffres-fig1"/>
      <sheetName val="evol conso (fig 2)"/>
      <sheetName val="graph conso finale (fig 2) "/>
      <sheetName val="Graph-prod nette d'élec (fig 3)"/>
      <sheetName val="chiffres pour fig 3"/>
      <sheetName val="Graph-fif 4"/>
      <sheetName val="chiffres pourprod nette (fig 4)"/>
      <sheetName val="chiffres_struct_prod (fig 5)"/>
      <sheetName val="graph_struct prod (fig 5)"/>
      <sheetName val="Feuil2"/>
      <sheetName val="chiffres pour fig 6"/>
      <sheetName val="Graph-fig 6_nuc"/>
      <sheetName val="grapg-fig7"/>
      <sheetName val="chiffres-comext-fig7"/>
      <sheetName val="graph-fig8"/>
      <sheetName val="chiffres pour fig8"/>
      <sheetName val="graph-fig9"/>
      <sheetName val="chiffres pour fig9"/>
      <sheetName val="chiffres pour fig10"/>
      <sheetName val="Graphindep fig10 (oui)"/>
      <sheetName val="chiffres pour fig11"/>
      <sheetName val="Graph com ext-fig11"/>
      <sheetName val="chiffres-prix-fig xx"/>
      <sheetName val="Graph_prix-fig xx"/>
      <sheetName val="données pour fig14 et 15"/>
      <sheetName val="GraphCO2H-fig 14"/>
      <sheetName val="GraphCO2H-fig 15"/>
      <sheetName val="fig14"/>
      <sheetName val="fig 16"/>
      <sheetName val="Graph-ENR-fig17"/>
      <sheetName val="chiffres-ENR-fig 17"/>
      <sheetName val="graph prod brute élect"/>
      <sheetName val="Feuil1"/>
    </sheetNames>
    <sheetDataSet>
      <sheetData sheetId="0" refreshError="1"/>
      <sheetData sheetId="1"/>
      <sheetData sheetId="2" refreshError="1"/>
      <sheetData sheetId="3"/>
      <sheetData sheetId="4" refreshError="1"/>
      <sheetData sheetId="5"/>
      <sheetData sheetId="6" refreshError="1"/>
      <sheetData sheetId="7"/>
      <sheetData sheetId="8"/>
      <sheetData sheetId="9" refreshError="1"/>
      <sheetData sheetId="10"/>
      <sheetData sheetId="11"/>
      <sheetData sheetId="12" refreshError="1"/>
      <sheetData sheetId="13" refreshError="1"/>
      <sheetData sheetId="14"/>
      <sheetData sheetId="15" refreshError="1"/>
      <sheetData sheetId="16">
        <row r="7">
          <cell r="B7" t="str">
            <v>imporc</v>
          </cell>
          <cell r="C7" t="str">
            <v>imporpb</v>
          </cell>
          <cell r="D7" t="str">
            <v>imporpr</v>
          </cell>
          <cell r="E7" t="str">
            <v>imporp</v>
          </cell>
          <cell r="F7" t="str">
            <v>imporgn</v>
          </cell>
          <cell r="G7" t="str">
            <v>imporgi</v>
          </cell>
          <cell r="H7" t="str">
            <v>imporg</v>
          </cell>
          <cell r="I7" t="str">
            <v>impore</v>
          </cell>
          <cell r="J7" t="str">
            <v>impor</v>
          </cell>
          <cell r="K7" t="str">
            <v>exporc</v>
          </cell>
          <cell r="L7" t="str">
            <v>exporpb</v>
          </cell>
          <cell r="M7" t="str">
            <v>exporpr</v>
          </cell>
          <cell r="N7" t="str">
            <v>exporp</v>
          </cell>
          <cell r="O7" t="str">
            <v>exporgn</v>
          </cell>
          <cell r="P7" t="str">
            <v>exporgi</v>
          </cell>
          <cell r="Q7" t="str">
            <v>exporg</v>
          </cell>
          <cell r="R7" t="str">
            <v>expore</v>
          </cell>
          <cell r="S7" t="str">
            <v>expor</v>
          </cell>
          <cell r="T7" t="str">
            <v>Facturec</v>
          </cell>
          <cell r="U7" t="str">
            <v>Facturepb</v>
          </cell>
          <cell r="V7" t="str">
            <v>Facturepr</v>
          </cell>
          <cell r="W7" t="str">
            <v>Facturep</v>
          </cell>
          <cell r="X7" t="str">
            <v>Facturegn</v>
          </cell>
          <cell r="Y7" t="str">
            <v>Facturegi</v>
          </cell>
          <cell r="Z7" t="str">
            <v>Factureg</v>
          </cell>
          <cell r="AA7" t="str">
            <v>Facturee</v>
          </cell>
          <cell r="AB7" t="str">
            <v>Facture</v>
          </cell>
          <cell r="AC7" t="str">
            <v>import</v>
          </cell>
          <cell r="AD7" t="str">
            <v>export</v>
          </cell>
          <cell r="AE7" t="str">
            <v>soldet</v>
          </cell>
        </row>
        <row r="8">
          <cell r="A8">
            <v>1960</v>
          </cell>
          <cell r="B8" t="e">
            <v>#N/A</v>
          </cell>
          <cell r="C8" t="e">
            <v>#N/A</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cell r="Q8" t="e">
            <v>#N/A</v>
          </cell>
          <cell r="R8" t="e">
            <v>#N/A</v>
          </cell>
          <cell r="S8" t="e">
            <v>#N/A</v>
          </cell>
          <cell r="T8" t="e">
            <v>#N/A</v>
          </cell>
          <cell r="U8" t="e">
            <v>#N/A</v>
          </cell>
          <cell r="V8" t="e">
            <v>#N/A</v>
          </cell>
          <cell r="W8" t="e">
            <v>#N/A</v>
          </cell>
          <cell r="X8" t="e">
            <v>#N/A</v>
          </cell>
          <cell r="Y8" t="e">
            <v>#N/A</v>
          </cell>
          <cell r="Z8" t="e">
            <v>#N/A</v>
          </cell>
          <cell r="AA8" t="e">
            <v>#N/A</v>
          </cell>
          <cell r="AB8" t="e">
            <v>#N/A</v>
          </cell>
          <cell r="AC8" t="e">
            <v>#N/A</v>
          </cell>
          <cell r="AD8" t="e">
            <v>#N/A</v>
          </cell>
          <cell r="AE8" t="e">
            <v>#N/A</v>
          </cell>
        </row>
        <row r="9">
          <cell r="A9">
            <v>1961</v>
          </cell>
          <cell r="B9" t="e">
            <v>#N/A</v>
          </cell>
          <cell r="C9" t="e">
            <v>#N/A</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cell r="Q9" t="e">
            <v>#N/A</v>
          </cell>
          <cell r="R9" t="e">
            <v>#N/A</v>
          </cell>
          <cell r="S9" t="e">
            <v>#N/A</v>
          </cell>
          <cell r="T9" t="e">
            <v>#N/A</v>
          </cell>
          <cell r="U9" t="e">
            <v>#N/A</v>
          </cell>
          <cell r="V9" t="e">
            <v>#N/A</v>
          </cell>
          <cell r="W9" t="e">
            <v>#N/A</v>
          </cell>
          <cell r="X9" t="e">
            <v>#N/A</v>
          </cell>
          <cell r="Y9" t="e">
            <v>#N/A</v>
          </cell>
          <cell r="Z9" t="e">
            <v>#N/A</v>
          </cell>
          <cell r="AA9" t="e">
            <v>#N/A</v>
          </cell>
          <cell r="AB9" t="e">
            <v>#N/A</v>
          </cell>
          <cell r="AC9" t="e">
            <v>#N/A</v>
          </cell>
          <cell r="AD9" t="e">
            <v>#N/A</v>
          </cell>
          <cell r="AE9" t="e">
            <v>#N/A</v>
          </cell>
        </row>
        <row r="10">
          <cell r="A10">
            <v>1962</v>
          </cell>
          <cell r="B10" t="e">
            <v>#N/A</v>
          </cell>
          <cell r="C10" t="e">
            <v>#N/A</v>
          </cell>
          <cell r="D10" t="e">
            <v>#N/A</v>
          </cell>
          <cell r="E10" t="e">
            <v>#N/A</v>
          </cell>
          <cell r="F10" t="e">
            <v>#N/A</v>
          </cell>
          <cell r="G10" t="e">
            <v>#N/A</v>
          </cell>
          <cell r="H10" t="e">
            <v>#N/A</v>
          </cell>
          <cell r="I10" t="e">
            <v>#N/A</v>
          </cell>
          <cell r="J10" t="e">
            <v>#N/A</v>
          </cell>
          <cell r="K10" t="e">
            <v>#N/A</v>
          </cell>
          <cell r="L10" t="e">
            <v>#N/A</v>
          </cell>
          <cell r="M10" t="e">
            <v>#N/A</v>
          </cell>
          <cell r="N10" t="e">
            <v>#N/A</v>
          </cell>
          <cell r="O10" t="e">
            <v>#N/A</v>
          </cell>
          <cell r="P10" t="e">
            <v>#N/A</v>
          </cell>
          <cell r="Q10" t="e">
            <v>#N/A</v>
          </cell>
          <cell r="R10" t="e">
            <v>#N/A</v>
          </cell>
          <cell r="S10" t="e">
            <v>#N/A</v>
          </cell>
          <cell r="T10" t="e">
            <v>#N/A</v>
          </cell>
          <cell r="U10" t="e">
            <v>#N/A</v>
          </cell>
          <cell r="V10" t="e">
            <v>#N/A</v>
          </cell>
          <cell r="W10" t="e">
            <v>#N/A</v>
          </cell>
          <cell r="X10" t="e">
            <v>#N/A</v>
          </cell>
          <cell r="Y10" t="e">
            <v>#N/A</v>
          </cell>
          <cell r="Z10" t="e">
            <v>#N/A</v>
          </cell>
          <cell r="AA10" t="e">
            <v>#N/A</v>
          </cell>
          <cell r="AB10" t="e">
            <v>#N/A</v>
          </cell>
          <cell r="AC10" t="e">
            <v>#N/A</v>
          </cell>
          <cell r="AD10" t="e">
            <v>#N/A</v>
          </cell>
          <cell r="AE10" t="e">
            <v>#N/A</v>
          </cell>
        </row>
        <row r="11">
          <cell r="A11">
            <v>1963</v>
          </cell>
          <cell r="B11" t="e">
            <v>#N/A</v>
          </cell>
          <cell r="C11">
            <v>618.63811194941138</v>
          </cell>
          <cell r="D11">
            <v>100.15900432497862</v>
          </cell>
          <cell r="E11">
            <v>718.79711627438996</v>
          </cell>
          <cell r="F11">
            <v>0</v>
          </cell>
          <cell r="G11">
            <v>0</v>
          </cell>
          <cell r="H11">
            <v>0</v>
          </cell>
          <cell r="I11" t="e">
            <v>#N/A</v>
          </cell>
          <cell r="J11" t="e">
            <v>#N/A</v>
          </cell>
          <cell r="K11" t="e">
            <v>#N/A</v>
          </cell>
          <cell r="L11">
            <v>0</v>
          </cell>
          <cell r="M11">
            <v>204.28168309812992</v>
          </cell>
          <cell r="N11">
            <v>204.28168309812992</v>
          </cell>
          <cell r="O11" t="e">
            <v>#N/A</v>
          </cell>
          <cell r="P11" t="e">
            <v>#N/A</v>
          </cell>
          <cell r="Q11" t="e">
            <v>#N/A</v>
          </cell>
          <cell r="R11" t="e">
            <v>#N/A</v>
          </cell>
          <cell r="S11" t="e">
            <v>#N/A</v>
          </cell>
          <cell r="T11" t="e">
            <v>#N/A</v>
          </cell>
          <cell r="U11">
            <v>618.63811194941138</v>
          </cell>
          <cell r="V11">
            <v>-104.12267877315129</v>
          </cell>
          <cell r="W11">
            <v>514.5154331762601</v>
          </cell>
          <cell r="X11" t="e">
            <v>#N/A</v>
          </cell>
          <cell r="Y11" t="e">
            <v>#N/A</v>
          </cell>
          <cell r="Z11" t="e">
            <v>#N/A</v>
          </cell>
          <cell r="AA11" t="e">
            <v>#N/A</v>
          </cell>
          <cell r="AB11" t="e">
            <v>#N/A</v>
          </cell>
          <cell r="AC11" t="e">
            <v>#N/A</v>
          </cell>
          <cell r="AD11" t="e">
            <v>#N/A</v>
          </cell>
          <cell r="AE11" t="e">
            <v>#N/A</v>
          </cell>
        </row>
        <row r="12">
          <cell r="A12">
            <v>1964</v>
          </cell>
          <cell r="B12" t="e">
            <v>#N/A</v>
          </cell>
          <cell r="C12">
            <v>691.66119120613087</v>
          </cell>
          <cell r="D12">
            <v>106.25696501447504</v>
          </cell>
          <cell r="E12">
            <v>797.91815622060585</v>
          </cell>
          <cell r="F12">
            <v>0</v>
          </cell>
          <cell r="G12">
            <v>0</v>
          </cell>
          <cell r="H12">
            <v>0</v>
          </cell>
          <cell r="I12" t="e">
            <v>#N/A</v>
          </cell>
          <cell r="J12" t="e">
            <v>#N/A</v>
          </cell>
          <cell r="K12" t="e">
            <v>#N/A</v>
          </cell>
          <cell r="L12">
            <v>0</v>
          </cell>
          <cell r="M12">
            <v>222.27066713214433</v>
          </cell>
          <cell r="N12">
            <v>222.27066713214433</v>
          </cell>
          <cell r="O12" t="e">
            <v>#N/A</v>
          </cell>
          <cell r="P12" t="e">
            <v>#N/A</v>
          </cell>
          <cell r="Q12" t="e">
            <v>#N/A</v>
          </cell>
          <cell r="R12" t="e">
            <v>#N/A</v>
          </cell>
          <cell r="S12" t="e">
            <v>#N/A</v>
          </cell>
          <cell r="T12" t="e">
            <v>#N/A</v>
          </cell>
          <cell r="U12">
            <v>691.66119120613087</v>
          </cell>
          <cell r="V12">
            <v>-116.01370211766928</v>
          </cell>
          <cell r="W12">
            <v>575.6474890884615</v>
          </cell>
          <cell r="X12" t="e">
            <v>#N/A</v>
          </cell>
          <cell r="Y12" t="e">
            <v>#N/A</v>
          </cell>
          <cell r="Z12" t="e">
            <v>#N/A</v>
          </cell>
          <cell r="AA12" t="e">
            <v>#N/A</v>
          </cell>
          <cell r="AB12" t="e">
            <v>#N/A</v>
          </cell>
          <cell r="AC12" t="e">
            <v>#N/A</v>
          </cell>
          <cell r="AD12" t="e">
            <v>#N/A</v>
          </cell>
          <cell r="AE12" t="e">
            <v>#N/A</v>
          </cell>
        </row>
        <row r="13">
          <cell r="A13">
            <v>1965</v>
          </cell>
          <cell r="B13">
            <v>274.10333299286384</v>
          </cell>
          <cell r="C13">
            <v>818.65122256489371</v>
          </cell>
          <cell r="D13">
            <v>86.438592773611688</v>
          </cell>
          <cell r="E13">
            <v>905.08981533850545</v>
          </cell>
          <cell r="F13">
            <v>0</v>
          </cell>
          <cell r="G13">
            <v>0</v>
          </cell>
          <cell r="H13">
            <v>0</v>
          </cell>
          <cell r="I13" t="e">
            <v>#N/A</v>
          </cell>
          <cell r="J13" t="e">
            <v>#N/A</v>
          </cell>
          <cell r="K13" t="e">
            <v>#N/A</v>
          </cell>
          <cell r="L13">
            <v>0</v>
          </cell>
          <cell r="M13">
            <v>260.84026849320918</v>
          </cell>
          <cell r="N13">
            <v>260.84026849320918</v>
          </cell>
          <cell r="O13" t="e">
            <v>#N/A</v>
          </cell>
          <cell r="P13" t="e">
            <v>#N/A</v>
          </cell>
          <cell r="Q13" t="e">
            <v>#N/A</v>
          </cell>
          <cell r="R13" t="e">
            <v>#N/A</v>
          </cell>
          <cell r="S13" t="e">
            <v>#N/A</v>
          </cell>
          <cell r="T13" t="e">
            <v>#N/A</v>
          </cell>
          <cell r="U13">
            <v>818.65122256489371</v>
          </cell>
          <cell r="V13">
            <v>-174.40167571959751</v>
          </cell>
          <cell r="W13">
            <v>644.24954684529621</v>
          </cell>
          <cell r="X13" t="e">
            <v>#N/A</v>
          </cell>
          <cell r="Y13" t="e">
            <v>#N/A</v>
          </cell>
          <cell r="Z13" t="e">
            <v>#N/A</v>
          </cell>
          <cell r="AA13" t="e">
            <v>#N/A</v>
          </cell>
          <cell r="AB13" t="e">
            <v>#N/A</v>
          </cell>
          <cell r="AC13" t="e">
            <v>#N/A</v>
          </cell>
          <cell r="AD13" t="e">
            <v>#N/A</v>
          </cell>
          <cell r="AE13" t="e">
            <v>#N/A</v>
          </cell>
        </row>
        <row r="14">
          <cell r="A14">
            <v>1966</v>
          </cell>
          <cell r="B14" t="e">
            <v>#N/A</v>
          </cell>
          <cell r="C14">
            <v>827.4932655646636</v>
          </cell>
          <cell r="D14">
            <v>105.49471992828798</v>
          </cell>
          <cell r="E14">
            <v>932.98798549295157</v>
          </cell>
          <cell r="F14">
            <v>4.5734705171223116</v>
          </cell>
          <cell r="G14">
            <v>0</v>
          </cell>
          <cell r="H14">
            <v>4.5734705171223116</v>
          </cell>
          <cell r="I14" t="e">
            <v>#N/A</v>
          </cell>
          <cell r="J14" t="e">
            <v>#N/A</v>
          </cell>
          <cell r="K14" t="e">
            <v>#N/A</v>
          </cell>
          <cell r="L14">
            <v>0</v>
          </cell>
          <cell r="M14">
            <v>312.67293435392867</v>
          </cell>
          <cell r="N14">
            <v>312.67293435392867</v>
          </cell>
          <cell r="O14" t="e">
            <v>#N/A</v>
          </cell>
          <cell r="P14" t="e">
            <v>#N/A</v>
          </cell>
          <cell r="Q14" t="e">
            <v>#N/A</v>
          </cell>
          <cell r="R14" t="e">
            <v>#N/A</v>
          </cell>
          <cell r="S14" t="e">
            <v>#N/A</v>
          </cell>
          <cell r="T14" t="e">
            <v>#N/A</v>
          </cell>
          <cell r="U14">
            <v>827.4932655646636</v>
          </cell>
          <cell r="V14">
            <v>-207.1782144256407</v>
          </cell>
          <cell r="W14">
            <v>620.3150511390229</v>
          </cell>
          <cell r="X14" t="e">
            <v>#N/A</v>
          </cell>
          <cell r="Y14" t="e">
            <v>#N/A</v>
          </cell>
          <cell r="Z14" t="e">
            <v>#N/A</v>
          </cell>
          <cell r="AA14" t="e">
            <v>#N/A</v>
          </cell>
          <cell r="AB14" t="e">
            <v>#N/A</v>
          </cell>
          <cell r="AC14" t="e">
            <v>#N/A</v>
          </cell>
          <cell r="AD14" t="e">
            <v>#N/A</v>
          </cell>
          <cell r="AE14" t="e">
            <v>#N/A</v>
          </cell>
        </row>
        <row r="15">
          <cell r="A15">
            <v>1967</v>
          </cell>
          <cell r="B15" t="e">
            <v>#N/A</v>
          </cell>
          <cell r="C15">
            <v>983.29616118129695</v>
          </cell>
          <cell r="D15">
            <v>110.22063946264771</v>
          </cell>
          <cell r="E15">
            <v>1093.5168006439446</v>
          </cell>
          <cell r="F15">
            <v>6.8602057756834673</v>
          </cell>
          <cell r="G15">
            <v>0</v>
          </cell>
          <cell r="H15">
            <v>6.8602057756834673</v>
          </cell>
          <cell r="I15" t="e">
            <v>#N/A</v>
          </cell>
          <cell r="J15" t="e">
            <v>#N/A</v>
          </cell>
          <cell r="K15" t="e">
            <v>#N/A</v>
          </cell>
          <cell r="L15">
            <v>0</v>
          </cell>
          <cell r="M15">
            <v>296.20844049228839</v>
          </cell>
          <cell r="N15">
            <v>296.20844049228839</v>
          </cell>
          <cell r="O15" t="e">
            <v>#N/A</v>
          </cell>
          <cell r="P15" t="e">
            <v>#N/A</v>
          </cell>
          <cell r="Q15" t="e">
            <v>#N/A</v>
          </cell>
          <cell r="R15" t="e">
            <v>#N/A</v>
          </cell>
          <cell r="S15" t="e">
            <v>#N/A</v>
          </cell>
          <cell r="T15" t="e">
            <v>#N/A</v>
          </cell>
          <cell r="U15">
            <v>983.29616118129695</v>
          </cell>
          <cell r="V15">
            <v>-185.98780102964068</v>
          </cell>
          <cell r="W15">
            <v>797.30836015165619</v>
          </cell>
          <cell r="X15" t="e">
            <v>#N/A</v>
          </cell>
          <cell r="Y15" t="e">
            <v>#N/A</v>
          </cell>
          <cell r="Z15" t="e">
            <v>#N/A</v>
          </cell>
          <cell r="AA15" t="e">
            <v>#N/A</v>
          </cell>
          <cell r="AB15" t="e">
            <v>#N/A</v>
          </cell>
          <cell r="AC15" t="e">
            <v>#N/A</v>
          </cell>
          <cell r="AD15" t="e">
            <v>#N/A</v>
          </cell>
          <cell r="AE15" t="e">
            <v>#N/A</v>
          </cell>
        </row>
        <row r="16">
          <cell r="A16">
            <v>1968</v>
          </cell>
          <cell r="B16" t="e">
            <v>#N/A</v>
          </cell>
          <cell r="C16">
            <v>1043.9708700417864</v>
          </cell>
          <cell r="D16">
            <v>120.73962165202902</v>
          </cell>
          <cell r="E16">
            <v>1164.7104916938154</v>
          </cell>
          <cell r="F16">
            <v>17.531636982302192</v>
          </cell>
          <cell r="G16">
            <v>0</v>
          </cell>
          <cell r="H16">
            <v>17.531636982302192</v>
          </cell>
          <cell r="I16" t="e">
            <v>#N/A</v>
          </cell>
          <cell r="J16" t="e">
            <v>#N/A</v>
          </cell>
          <cell r="K16" t="e">
            <v>#N/A</v>
          </cell>
          <cell r="L16">
            <v>0</v>
          </cell>
          <cell r="M16">
            <v>282.79292697539626</v>
          </cell>
          <cell r="N16">
            <v>282.79292697539626</v>
          </cell>
          <cell r="O16" t="e">
            <v>#N/A</v>
          </cell>
          <cell r="P16" t="e">
            <v>#N/A</v>
          </cell>
          <cell r="Q16" t="e">
            <v>#N/A</v>
          </cell>
          <cell r="R16" t="e">
            <v>#N/A</v>
          </cell>
          <cell r="S16" t="e">
            <v>#N/A</v>
          </cell>
          <cell r="T16" t="e">
            <v>#N/A</v>
          </cell>
          <cell r="U16">
            <v>1043.9708700417864</v>
          </cell>
          <cell r="V16">
            <v>-162.05330532336723</v>
          </cell>
          <cell r="W16">
            <v>881.91756471841904</v>
          </cell>
          <cell r="X16" t="e">
            <v>#N/A</v>
          </cell>
          <cell r="Y16" t="e">
            <v>#N/A</v>
          </cell>
          <cell r="Z16" t="e">
            <v>#N/A</v>
          </cell>
          <cell r="AA16" t="e">
            <v>#N/A</v>
          </cell>
          <cell r="AB16" t="e">
            <v>#N/A</v>
          </cell>
          <cell r="AC16" t="e">
            <v>#N/A</v>
          </cell>
          <cell r="AD16" t="e">
            <v>#N/A</v>
          </cell>
          <cell r="AE16" t="e">
            <v>#N/A</v>
          </cell>
        </row>
        <row r="17">
          <cell r="A17">
            <v>1969</v>
          </cell>
          <cell r="B17" t="e">
            <v>#N/A</v>
          </cell>
          <cell r="C17">
            <v>1133.9157902118584</v>
          </cell>
          <cell r="D17">
            <v>128.36207251389953</v>
          </cell>
          <cell r="E17">
            <v>1262.277862725758</v>
          </cell>
          <cell r="F17">
            <v>27.440823102733869</v>
          </cell>
          <cell r="G17">
            <v>0</v>
          </cell>
          <cell r="H17">
            <v>27.440823102733869</v>
          </cell>
          <cell r="I17" t="e">
            <v>#N/A</v>
          </cell>
          <cell r="J17" t="e">
            <v>#N/A</v>
          </cell>
          <cell r="K17" t="e">
            <v>#N/A</v>
          </cell>
          <cell r="L17">
            <v>0</v>
          </cell>
          <cell r="M17">
            <v>298.49517575084951</v>
          </cell>
          <cell r="N17">
            <v>298.49517575084951</v>
          </cell>
          <cell r="O17" t="e">
            <v>#N/A</v>
          </cell>
          <cell r="P17" t="e">
            <v>#N/A</v>
          </cell>
          <cell r="Q17" t="e">
            <v>#N/A</v>
          </cell>
          <cell r="R17" t="e">
            <v>#N/A</v>
          </cell>
          <cell r="S17" t="e">
            <v>#N/A</v>
          </cell>
          <cell r="T17" t="e">
            <v>#N/A</v>
          </cell>
          <cell r="U17">
            <v>1133.9157902118584</v>
          </cell>
          <cell r="V17">
            <v>-170.13310323694998</v>
          </cell>
          <cell r="W17">
            <v>963.78268697490853</v>
          </cell>
          <cell r="X17" t="e">
            <v>#N/A</v>
          </cell>
          <cell r="Y17" t="e">
            <v>#N/A</v>
          </cell>
          <cell r="Z17" t="e">
            <v>#N/A</v>
          </cell>
          <cell r="AA17" t="e">
            <v>#N/A</v>
          </cell>
          <cell r="AB17" t="e">
            <v>#N/A</v>
          </cell>
          <cell r="AC17" t="e">
            <v>#N/A</v>
          </cell>
          <cell r="AD17" t="e">
            <v>#N/A</v>
          </cell>
          <cell r="AE17" t="e">
            <v>#N/A</v>
          </cell>
        </row>
        <row r="18">
          <cell r="A18">
            <v>1970</v>
          </cell>
          <cell r="B18">
            <v>298.03782869913732</v>
          </cell>
          <cell r="C18">
            <v>1419.9101465492404</v>
          </cell>
          <cell r="D18">
            <v>155.95534463387082</v>
          </cell>
          <cell r="E18">
            <v>1575.8654911831113</v>
          </cell>
          <cell r="F18">
            <v>30.489803447482075</v>
          </cell>
          <cell r="G18">
            <v>1.8293882068489247</v>
          </cell>
          <cell r="H18">
            <v>32.319191654331</v>
          </cell>
          <cell r="I18">
            <v>21.037964378762634</v>
          </cell>
          <cell r="J18">
            <v>1927.2604759153421</v>
          </cell>
          <cell r="K18">
            <v>53.357156033093631</v>
          </cell>
          <cell r="L18">
            <v>0</v>
          </cell>
          <cell r="M18">
            <v>238.73516099378466</v>
          </cell>
          <cell r="N18">
            <v>238.73516099378466</v>
          </cell>
          <cell r="O18">
            <v>0</v>
          </cell>
          <cell r="P18">
            <v>0.45734705171223117</v>
          </cell>
          <cell r="Q18">
            <v>0.45734705171223117</v>
          </cell>
          <cell r="R18">
            <v>21.800209464949685</v>
          </cell>
          <cell r="S18">
            <v>314.34987354354018</v>
          </cell>
          <cell r="T18">
            <v>244.68067266604368</v>
          </cell>
          <cell r="U18">
            <v>1419.9101465492404</v>
          </cell>
          <cell r="V18">
            <v>-82.779816359913838</v>
          </cell>
          <cell r="W18">
            <v>1337.1303301893267</v>
          </cell>
          <cell r="X18">
            <v>30.489803447482075</v>
          </cell>
          <cell r="Y18">
            <v>1.3720411551366936</v>
          </cell>
          <cell r="Z18">
            <v>31.86184460261877</v>
          </cell>
          <cell r="AA18">
            <v>-0.76224508618705045</v>
          </cell>
          <cell r="AB18">
            <v>1612.9106023718018</v>
          </cell>
          <cell r="AC18">
            <v>15195.203344121643</v>
          </cell>
          <cell r="AD18">
            <v>15324.632559756205</v>
          </cell>
          <cell r="AE18">
            <v>-129.42921563456184</v>
          </cell>
        </row>
        <row r="19">
          <cell r="A19">
            <v>1971</v>
          </cell>
          <cell r="B19">
            <v>346.82151421510861</v>
          </cell>
          <cell r="C19">
            <v>1826.3392265041764</v>
          </cell>
          <cell r="D19">
            <v>221.05107499424506</v>
          </cell>
          <cell r="E19">
            <v>2047.3903014984214</v>
          </cell>
          <cell r="F19">
            <v>43.752867947136778</v>
          </cell>
          <cell r="G19">
            <v>1.0671431206618727</v>
          </cell>
          <cell r="H19">
            <v>44.820011067798653</v>
          </cell>
          <cell r="I19">
            <v>19.818372240863351</v>
          </cell>
          <cell r="J19">
            <v>2458.8501990221921</v>
          </cell>
          <cell r="K19">
            <v>40.703887602388569</v>
          </cell>
          <cell r="L19">
            <v>0</v>
          </cell>
          <cell r="M19">
            <v>307.18476973338193</v>
          </cell>
          <cell r="N19">
            <v>307.18476973338193</v>
          </cell>
          <cell r="O19">
            <v>0.15244901723741039</v>
          </cell>
          <cell r="P19">
            <v>0.60979606894964156</v>
          </cell>
          <cell r="Q19">
            <v>0.762245086187052</v>
          </cell>
          <cell r="R19">
            <v>30.947150499194308</v>
          </cell>
          <cell r="S19">
            <v>379.59805292115192</v>
          </cell>
          <cell r="T19">
            <v>306.11762661272002</v>
          </cell>
          <cell r="U19">
            <v>1826.3392265041764</v>
          </cell>
          <cell r="V19">
            <v>-86.133694739136871</v>
          </cell>
          <cell r="W19">
            <v>1740.2055317650395</v>
          </cell>
          <cell r="X19">
            <v>43.600418929899369</v>
          </cell>
          <cell r="Y19">
            <v>0.45734705171223111</v>
          </cell>
          <cell r="Z19">
            <v>44.057765981611603</v>
          </cell>
          <cell r="AA19">
            <v>-11.128778258330957</v>
          </cell>
          <cell r="AB19">
            <v>2079.2521461010401</v>
          </cell>
          <cell r="AC19">
            <v>16699.265348185934</v>
          </cell>
          <cell r="AD19">
            <v>17569.901685628785</v>
          </cell>
          <cell r="AE19">
            <v>-870.63633744285107</v>
          </cell>
        </row>
        <row r="20">
          <cell r="A20">
            <v>1972</v>
          </cell>
          <cell r="B20">
            <v>318.4659970089503</v>
          </cell>
          <cell r="C20">
            <v>2073.9164304977307</v>
          </cell>
          <cell r="D20">
            <v>226.99658666650404</v>
          </cell>
          <cell r="E20">
            <v>2300.9130171642346</v>
          </cell>
          <cell r="F20">
            <v>64.181036256949767</v>
          </cell>
          <cell r="G20">
            <v>0.45734705171223117</v>
          </cell>
          <cell r="H20">
            <v>64.638383308662</v>
          </cell>
          <cell r="I20">
            <v>17.379187965064784</v>
          </cell>
          <cell r="J20">
            <v>2701.3965854469116</v>
          </cell>
          <cell r="K20">
            <v>43.752867947136778</v>
          </cell>
          <cell r="L20">
            <v>0</v>
          </cell>
          <cell r="M20">
            <v>337.52212416362659</v>
          </cell>
          <cell r="N20">
            <v>337.52212416362659</v>
          </cell>
          <cell r="O20">
            <v>1.3720411551366933</v>
          </cell>
          <cell r="P20">
            <v>0.30489803447482078</v>
          </cell>
          <cell r="Q20">
            <v>1.676939189611514</v>
          </cell>
          <cell r="R20">
            <v>59.30266770535264</v>
          </cell>
          <cell r="S20">
            <v>442.25459900572753</v>
          </cell>
          <cell r="T20">
            <v>274.7131290618135</v>
          </cell>
          <cell r="U20">
            <v>2073.9164304977307</v>
          </cell>
          <cell r="V20">
            <v>-110.52553749712254</v>
          </cell>
          <cell r="W20">
            <v>1963.390893000608</v>
          </cell>
          <cell r="X20">
            <v>62.808995101813075</v>
          </cell>
          <cell r="Y20">
            <v>0.15244901723741039</v>
          </cell>
          <cell r="Z20">
            <v>62.961444119050483</v>
          </cell>
          <cell r="AA20">
            <v>-41.92347974028786</v>
          </cell>
          <cell r="AB20">
            <v>2259.1419864411841</v>
          </cell>
          <cell r="AC20">
            <v>19263.457818119175</v>
          </cell>
          <cell r="AD20">
            <v>20334.717062246458</v>
          </cell>
          <cell r="AE20">
            <v>-1071.2592441272827</v>
          </cell>
        </row>
        <row r="21">
          <cell r="A21">
            <v>1973</v>
          </cell>
          <cell r="B21">
            <v>362.06641593884967</v>
          </cell>
          <cell r="C21">
            <v>2403.6636547822495</v>
          </cell>
          <cell r="D21">
            <v>204.28168309812992</v>
          </cell>
          <cell r="E21">
            <v>2607.9453378803796</v>
          </cell>
          <cell r="F21">
            <v>87.200837859798739</v>
          </cell>
          <cell r="G21">
            <v>0</v>
          </cell>
          <cell r="H21">
            <v>87.200837859798739</v>
          </cell>
          <cell r="I21">
            <v>22.105107499424506</v>
          </cell>
          <cell r="J21">
            <v>3079.3176991784526</v>
          </cell>
          <cell r="K21">
            <v>51.070420774532479</v>
          </cell>
          <cell r="L21">
            <v>0.15244901723741039</v>
          </cell>
          <cell r="M21">
            <v>405.2094878170368</v>
          </cell>
          <cell r="N21">
            <v>405.36193683427422</v>
          </cell>
          <cell r="O21">
            <v>1.9818372240863349</v>
          </cell>
          <cell r="P21">
            <v>0</v>
          </cell>
          <cell r="Q21">
            <v>1.9818372240863349</v>
          </cell>
          <cell r="R21">
            <v>49.241032567683554</v>
          </cell>
          <cell r="S21">
            <v>507.65522740057656</v>
          </cell>
          <cell r="T21">
            <v>310.99599516431721</v>
          </cell>
          <cell r="U21">
            <v>2403.5112057650122</v>
          </cell>
          <cell r="V21">
            <v>-200.92780471890688</v>
          </cell>
          <cell r="W21">
            <v>2202.5834010461053</v>
          </cell>
          <cell r="X21">
            <v>85.219000635712405</v>
          </cell>
          <cell r="Y21">
            <v>0</v>
          </cell>
          <cell r="Z21">
            <v>85.219000635712405</v>
          </cell>
          <cell r="AA21">
            <v>-27.135925068259048</v>
          </cell>
          <cell r="AB21">
            <v>2571.6624717778759</v>
          </cell>
          <cell r="AC21">
            <v>23756.435254140135</v>
          </cell>
          <cell r="AD21">
            <v>24767.172238424166</v>
          </cell>
          <cell r="AE21">
            <v>-1010.7369842840308</v>
          </cell>
        </row>
        <row r="22">
          <cell r="A22">
            <v>1974</v>
          </cell>
          <cell r="B22">
            <v>702.33262241274963</v>
          </cell>
          <cell r="C22">
            <v>7403.0767260658859</v>
          </cell>
          <cell r="D22">
            <v>459.93868500526713</v>
          </cell>
          <cell r="E22">
            <v>7863.0154110711528</v>
          </cell>
          <cell r="F22">
            <v>137.20411551366934</v>
          </cell>
          <cell r="G22">
            <v>0</v>
          </cell>
          <cell r="H22">
            <v>137.20411551366934</v>
          </cell>
          <cell r="I22">
            <v>21.190413396000043</v>
          </cell>
          <cell r="J22">
            <v>8723.7425623935706</v>
          </cell>
          <cell r="K22">
            <v>64.638383308662</v>
          </cell>
          <cell r="L22">
            <v>0.15244901723741039</v>
          </cell>
          <cell r="M22">
            <v>776.11794675565625</v>
          </cell>
          <cell r="N22">
            <v>776.27039577289361</v>
          </cell>
          <cell r="O22">
            <v>4.1161234654100802</v>
          </cell>
          <cell r="P22">
            <v>0</v>
          </cell>
          <cell r="Q22">
            <v>4.1161234654100802</v>
          </cell>
          <cell r="R22">
            <v>29.422660326820203</v>
          </cell>
          <cell r="S22">
            <v>874.44756287378584</v>
          </cell>
          <cell r="T22">
            <v>637.69423910408761</v>
          </cell>
          <cell r="U22">
            <v>7402.924277048648</v>
          </cell>
          <cell r="V22">
            <v>-316.17926175038912</v>
          </cell>
          <cell r="W22">
            <v>7086.7450152982592</v>
          </cell>
          <cell r="X22">
            <v>133.08799204825925</v>
          </cell>
          <cell r="Y22">
            <v>0</v>
          </cell>
          <cell r="Z22">
            <v>133.08799204825925</v>
          </cell>
          <cell r="AA22">
            <v>-8.2322469308201605</v>
          </cell>
          <cell r="AB22">
            <v>7849.2949995197851</v>
          </cell>
          <cell r="AC22">
            <v>36460</v>
          </cell>
          <cell r="AD22">
            <v>34014</v>
          </cell>
          <cell r="AE22">
            <v>2446</v>
          </cell>
        </row>
        <row r="23">
          <cell r="A23">
            <v>1975</v>
          </cell>
          <cell r="B23">
            <v>796.54611506546928</v>
          </cell>
          <cell r="C23">
            <v>6179.2160156839545</v>
          </cell>
          <cell r="D23">
            <v>511.77135086598668</v>
          </cell>
          <cell r="E23">
            <v>6690.9873665499408</v>
          </cell>
          <cell r="F23">
            <v>292.24476604411569</v>
          </cell>
          <cell r="G23">
            <v>0</v>
          </cell>
          <cell r="H23">
            <v>292.24476604411569</v>
          </cell>
          <cell r="I23">
            <v>35.368171999079209</v>
          </cell>
          <cell r="J23">
            <v>7815.1464196586048</v>
          </cell>
          <cell r="K23">
            <v>67.5349146361728</v>
          </cell>
          <cell r="L23">
            <v>0.15244901723741039</v>
          </cell>
          <cell r="M23">
            <v>796.08876801375698</v>
          </cell>
          <cell r="N23">
            <v>796.24121703099433</v>
          </cell>
          <cell r="O23">
            <v>6.2504097067338256</v>
          </cell>
          <cell r="P23">
            <v>0</v>
          </cell>
          <cell r="Q23">
            <v>6.2504097067338256</v>
          </cell>
          <cell r="R23">
            <v>30.184905413007254</v>
          </cell>
          <cell r="S23">
            <v>900.21144678690837</v>
          </cell>
          <cell r="T23">
            <v>729.01120042929642</v>
          </cell>
          <cell r="U23">
            <v>6179.0635666667167</v>
          </cell>
          <cell r="V23">
            <v>-284.3174171477703</v>
          </cell>
          <cell r="W23">
            <v>5894.7461495189464</v>
          </cell>
          <cell r="X23">
            <v>285.99435633738187</v>
          </cell>
          <cell r="Y23">
            <v>0</v>
          </cell>
          <cell r="Z23">
            <v>285.99435633738187</v>
          </cell>
          <cell r="AA23">
            <v>5.1832665860719551</v>
          </cell>
          <cell r="AB23">
            <v>6914.9349728716961</v>
          </cell>
          <cell r="AC23">
            <v>33762</v>
          </cell>
          <cell r="AD23">
            <v>34628</v>
          </cell>
          <cell r="AE23">
            <v>-866</v>
          </cell>
        </row>
        <row r="24">
          <cell r="A24">
            <v>1976</v>
          </cell>
          <cell r="B24">
            <v>832.82898116797287</v>
          </cell>
          <cell r="C24">
            <v>8403.1422791432979</v>
          </cell>
          <cell r="D24">
            <v>716.81527905030362</v>
          </cell>
          <cell r="E24">
            <v>9119.9575581936006</v>
          </cell>
          <cell r="F24">
            <v>418.62500133392894</v>
          </cell>
          <cell r="G24">
            <v>0</v>
          </cell>
          <cell r="H24">
            <v>418.62500133392894</v>
          </cell>
          <cell r="I24">
            <v>75.462263532518136</v>
          </cell>
          <cell r="J24">
            <v>10446.87380422802</v>
          </cell>
          <cell r="K24">
            <v>84.456755549525354</v>
          </cell>
          <cell r="L24">
            <v>0.15244901723741039</v>
          </cell>
          <cell r="M24">
            <v>1016.8349449735273</v>
          </cell>
          <cell r="N24">
            <v>1016.9873939907646</v>
          </cell>
          <cell r="O24">
            <v>7.6224508618705187</v>
          </cell>
          <cell r="P24">
            <v>0</v>
          </cell>
          <cell r="Q24">
            <v>7.6224508618705187</v>
          </cell>
          <cell r="R24">
            <v>52.747359964143989</v>
          </cell>
          <cell r="S24">
            <v>1161.8139603663044</v>
          </cell>
          <cell r="T24">
            <v>748.37222561844749</v>
          </cell>
          <cell r="U24">
            <v>8402.98983012606</v>
          </cell>
          <cell r="V24">
            <v>-300.01966592322367</v>
          </cell>
          <cell r="W24">
            <v>8102.9701642028358</v>
          </cell>
          <cell r="X24">
            <v>411.00255047205843</v>
          </cell>
          <cell r="Y24">
            <v>0</v>
          </cell>
          <cell r="Z24">
            <v>411.00255047205843</v>
          </cell>
          <cell r="AA24">
            <v>22.714903568374147</v>
          </cell>
          <cell r="AB24">
            <v>9285.0598438617162</v>
          </cell>
          <cell r="AC24">
            <v>44702</v>
          </cell>
          <cell r="AD24">
            <v>41654</v>
          </cell>
          <cell r="AE24">
            <v>3048</v>
          </cell>
        </row>
        <row r="25">
          <cell r="A25">
            <v>1977</v>
          </cell>
          <cell r="B25">
            <v>908.90104076944067</v>
          </cell>
          <cell r="C25">
            <v>8862.1662700451398</v>
          </cell>
          <cell r="D25">
            <v>743.49385706685041</v>
          </cell>
          <cell r="E25">
            <v>9605.6601271119907</v>
          </cell>
          <cell r="F25">
            <v>643.029954707397</v>
          </cell>
          <cell r="G25">
            <v>0</v>
          </cell>
          <cell r="H25">
            <v>643.029954707397</v>
          </cell>
          <cell r="I25">
            <v>87.810633928748373</v>
          </cell>
          <cell r="J25">
            <v>11245.401756517576</v>
          </cell>
          <cell r="K25">
            <v>89.48757311835989</v>
          </cell>
          <cell r="L25">
            <v>15.244901723741037</v>
          </cell>
          <cell r="M25">
            <v>1241.3923473642328</v>
          </cell>
          <cell r="N25">
            <v>1256.6372490879739</v>
          </cell>
          <cell r="O25">
            <v>9.7567371031942649</v>
          </cell>
          <cell r="P25">
            <v>0</v>
          </cell>
          <cell r="Q25">
            <v>9.7567371031942649</v>
          </cell>
          <cell r="R25">
            <v>35.825519050791442</v>
          </cell>
          <cell r="S25">
            <v>1391.7070783603194</v>
          </cell>
          <cell r="T25">
            <v>819.41346765108074</v>
          </cell>
          <cell r="U25">
            <v>8846.9213683213984</v>
          </cell>
          <cell r="V25">
            <v>-497.89849029738241</v>
          </cell>
          <cell r="W25">
            <v>8349.0228780240177</v>
          </cell>
          <cell r="X25">
            <v>633.27321760420273</v>
          </cell>
          <cell r="Y25">
            <v>0</v>
          </cell>
          <cell r="Z25">
            <v>633.27321760420273</v>
          </cell>
          <cell r="AA25">
            <v>51.985114877956931</v>
          </cell>
          <cell r="AB25">
            <v>9853.6946781572569</v>
          </cell>
          <cell r="AC25">
            <v>50383</v>
          </cell>
          <cell r="AD25">
            <v>48774</v>
          </cell>
          <cell r="AE25">
            <v>1609</v>
          </cell>
        </row>
        <row r="26">
          <cell r="A26">
            <v>1978</v>
          </cell>
          <cell r="B26">
            <v>922.3165542863328</v>
          </cell>
          <cell r="C26">
            <v>8215.1726408895702</v>
          </cell>
          <cell r="D26">
            <v>814.99244615119585</v>
          </cell>
          <cell r="E26">
            <v>9030.1650870407666</v>
          </cell>
          <cell r="F26">
            <v>764.83671948008794</v>
          </cell>
          <cell r="G26">
            <v>0</v>
          </cell>
          <cell r="H26">
            <v>764.83671948008794</v>
          </cell>
          <cell r="I26">
            <v>119.52002951412975</v>
          </cell>
          <cell r="J26">
            <v>10836.838390321318</v>
          </cell>
          <cell r="K26">
            <v>80.188183066877855</v>
          </cell>
          <cell r="L26">
            <v>1.9818372240863349</v>
          </cell>
          <cell r="M26">
            <v>1252.0637785708514</v>
          </cell>
          <cell r="N26">
            <v>1254.0456157949377</v>
          </cell>
          <cell r="O26">
            <v>11.738574327280599</v>
          </cell>
          <cell r="P26">
            <v>0</v>
          </cell>
          <cell r="Q26">
            <v>11.738574327280599</v>
          </cell>
          <cell r="R26">
            <v>33.691232809467692</v>
          </cell>
          <cell r="S26">
            <v>1379.6636059985638</v>
          </cell>
          <cell r="T26">
            <v>842.12837121945495</v>
          </cell>
          <cell r="U26">
            <v>8213.1908036654841</v>
          </cell>
          <cell r="V26">
            <v>-437.0713324196555</v>
          </cell>
          <cell r="W26">
            <v>7776.1194712458291</v>
          </cell>
          <cell r="X26">
            <v>753.09814515280732</v>
          </cell>
          <cell r="Y26">
            <v>0</v>
          </cell>
          <cell r="Z26">
            <v>753.09814515280732</v>
          </cell>
          <cell r="AA26">
            <v>85.828796704662054</v>
          </cell>
          <cell r="AB26">
            <v>9457.1747843227549</v>
          </cell>
          <cell r="AC26">
            <v>54126</v>
          </cell>
          <cell r="AD26">
            <v>54515</v>
          </cell>
          <cell r="AE26">
            <v>-389</v>
          </cell>
        </row>
        <row r="27">
          <cell r="A27">
            <v>1979</v>
          </cell>
          <cell r="B27">
            <v>1078.8816949891532</v>
          </cell>
          <cell r="C27">
            <v>11149.81622270972</v>
          </cell>
          <cell r="D27">
            <v>1625.1065237507946</v>
          </cell>
          <cell r="E27">
            <v>12774.922746460514</v>
          </cell>
          <cell r="F27">
            <v>919.57247197605943</v>
          </cell>
          <cell r="G27">
            <v>0</v>
          </cell>
          <cell r="H27">
            <v>919.57247197605943</v>
          </cell>
          <cell r="I27">
            <v>251.84577647620196</v>
          </cell>
          <cell r="J27">
            <v>15025.22268990193</v>
          </cell>
          <cell r="K27">
            <v>139.94819782394273</v>
          </cell>
          <cell r="L27">
            <v>0.15244901723741039</v>
          </cell>
          <cell r="M27">
            <v>2051.6588739810691</v>
          </cell>
          <cell r="N27">
            <v>2051.8113229983064</v>
          </cell>
          <cell r="O27">
            <v>10.976329241093547</v>
          </cell>
          <cell r="P27">
            <v>0</v>
          </cell>
          <cell r="Q27">
            <v>10.976329241093547</v>
          </cell>
          <cell r="R27">
            <v>45.429807136748295</v>
          </cell>
          <cell r="S27">
            <v>2248.1656572000911</v>
          </cell>
          <cell r="T27">
            <v>938.93349716521038</v>
          </cell>
          <cell r="U27">
            <v>11149.663773692482</v>
          </cell>
          <cell r="V27">
            <v>-426.55235023027444</v>
          </cell>
          <cell r="W27">
            <v>10723.111423462207</v>
          </cell>
          <cell r="X27">
            <v>908.59614273496584</v>
          </cell>
          <cell r="Y27">
            <v>0</v>
          </cell>
          <cell r="Z27">
            <v>908.59614273496584</v>
          </cell>
          <cell r="AA27">
            <v>206.41596933945368</v>
          </cell>
          <cell r="AB27">
            <v>12777.057032701839</v>
          </cell>
          <cell r="AC27">
            <v>66778</v>
          </cell>
          <cell r="AD27">
            <v>65244</v>
          </cell>
          <cell r="AE27">
            <v>1534</v>
          </cell>
        </row>
        <row r="28">
          <cell r="A28">
            <v>1980</v>
          </cell>
          <cell r="B28">
            <v>1402.5309585841756</v>
          </cell>
          <cell r="C28">
            <v>17038.616860556409</v>
          </cell>
          <cell r="D28">
            <v>2946.99195221638</v>
          </cell>
          <cell r="E28">
            <v>19985.608812772789</v>
          </cell>
          <cell r="F28">
            <v>1533.1797663566363</v>
          </cell>
          <cell r="G28">
            <v>0</v>
          </cell>
          <cell r="H28">
            <v>1533.1797663566363</v>
          </cell>
          <cell r="I28">
            <v>206.8733163911659</v>
          </cell>
          <cell r="J28">
            <v>23128.192854104767</v>
          </cell>
          <cell r="K28">
            <v>113.57451784187073</v>
          </cell>
          <cell r="L28">
            <v>0.15244901723741039</v>
          </cell>
          <cell r="M28">
            <v>2626.0867709316312</v>
          </cell>
          <cell r="N28">
            <v>2626.2392199488686</v>
          </cell>
          <cell r="O28">
            <v>21.952658482187093</v>
          </cell>
          <cell r="P28">
            <v>0</v>
          </cell>
          <cell r="Q28">
            <v>21.952658482187093</v>
          </cell>
          <cell r="R28">
            <v>105.95206698000021</v>
          </cell>
          <cell r="S28">
            <v>2867.7184632529265</v>
          </cell>
          <cell r="T28">
            <v>1288.9564407423047</v>
          </cell>
          <cell r="U28">
            <v>17038.464411539171</v>
          </cell>
          <cell r="V28">
            <v>320.90518128474878</v>
          </cell>
          <cell r="W28">
            <v>17359.369592823921</v>
          </cell>
          <cell r="X28">
            <v>1511.2271078744491</v>
          </cell>
          <cell r="Y28">
            <v>0</v>
          </cell>
          <cell r="Z28">
            <v>1511.2271078744491</v>
          </cell>
          <cell r="AA28">
            <v>100.92124941116569</v>
          </cell>
          <cell r="AB28">
            <v>20260.474390851839</v>
          </cell>
          <cell r="AC28">
            <v>83990</v>
          </cell>
          <cell r="AD28">
            <v>74784</v>
          </cell>
          <cell r="AE28">
            <v>9206</v>
          </cell>
        </row>
        <row r="29">
          <cell r="A29">
            <v>1981</v>
          </cell>
          <cell r="B29">
            <v>1829.8455539006368</v>
          </cell>
          <cell r="C29">
            <v>20064.424954684531</v>
          </cell>
          <cell r="D29">
            <v>3904.6766785017921</v>
          </cell>
          <cell r="E29">
            <v>23969.101633186325</v>
          </cell>
          <cell r="F29">
            <v>2540.5628722614442</v>
          </cell>
          <cell r="G29">
            <v>0</v>
          </cell>
          <cell r="H29">
            <v>2540.5628722614442</v>
          </cell>
          <cell r="I29">
            <v>155.19309954768377</v>
          </cell>
          <cell r="J29">
            <v>28494.703158896089</v>
          </cell>
          <cell r="K29">
            <v>161.44350925441759</v>
          </cell>
          <cell r="L29">
            <v>0.15244901723741039</v>
          </cell>
          <cell r="M29">
            <v>3466.3857539442374</v>
          </cell>
          <cell r="N29">
            <v>3466.5382029614748</v>
          </cell>
          <cell r="O29">
            <v>27.593272119971278</v>
          </cell>
          <cell r="P29">
            <v>0</v>
          </cell>
          <cell r="Q29">
            <v>27.593272119971278</v>
          </cell>
          <cell r="R29">
            <v>203.36698899470545</v>
          </cell>
          <cell r="S29">
            <v>3858.941973330569</v>
          </cell>
          <cell r="T29">
            <v>1668.4020446462191</v>
          </cell>
          <cell r="U29">
            <v>20064.272505667293</v>
          </cell>
          <cell r="V29">
            <v>438.29092455755472</v>
          </cell>
          <cell r="W29">
            <v>20502.563430224851</v>
          </cell>
          <cell r="X29">
            <v>2512.9696001414732</v>
          </cell>
          <cell r="Y29">
            <v>0</v>
          </cell>
          <cell r="Z29">
            <v>2512.9696001414732</v>
          </cell>
          <cell r="AA29">
            <v>-48.173889447021679</v>
          </cell>
          <cell r="AB29">
            <v>24635.76118556552</v>
          </cell>
          <cell r="AC29">
            <v>96927</v>
          </cell>
          <cell r="AD29">
            <v>87913</v>
          </cell>
          <cell r="AE29">
            <v>9014</v>
          </cell>
        </row>
        <row r="30">
          <cell r="A30">
            <v>1982</v>
          </cell>
          <cell r="B30">
            <v>1648.1263253536436</v>
          </cell>
          <cell r="C30">
            <v>19739.708547968847</v>
          </cell>
          <cell r="D30">
            <v>5577.6521936651334</v>
          </cell>
          <cell r="E30">
            <v>25317.36074163398</v>
          </cell>
          <cell r="F30">
            <v>3560.4467975797193</v>
          </cell>
          <cell r="G30">
            <v>0</v>
          </cell>
          <cell r="H30">
            <v>3560.4467975797193</v>
          </cell>
          <cell r="I30">
            <v>206.56841835669107</v>
          </cell>
          <cell r="J30">
            <v>30732.502282924037</v>
          </cell>
          <cell r="K30">
            <v>169.37085815076293</v>
          </cell>
          <cell r="L30">
            <v>95.585533807856308</v>
          </cell>
          <cell r="M30">
            <v>3145.4805726594882</v>
          </cell>
          <cell r="N30">
            <v>3241.0661064673445</v>
          </cell>
          <cell r="O30">
            <v>43.600418929899369</v>
          </cell>
          <cell r="P30">
            <v>0</v>
          </cell>
          <cell r="Q30">
            <v>43.600418929899369</v>
          </cell>
          <cell r="R30">
            <v>161.13861121994276</v>
          </cell>
          <cell r="S30">
            <v>3615.1759947679498</v>
          </cell>
          <cell r="T30">
            <v>1478.7554672028807</v>
          </cell>
          <cell r="U30">
            <v>19644.123014160992</v>
          </cell>
          <cell r="V30">
            <v>2432.1716210056452</v>
          </cell>
          <cell r="W30">
            <v>22076.294635166636</v>
          </cell>
          <cell r="X30">
            <v>3516.8463786498201</v>
          </cell>
          <cell r="Y30">
            <v>0</v>
          </cell>
          <cell r="Z30">
            <v>3516.8463786498201</v>
          </cell>
          <cell r="AA30">
            <v>45.429807136748309</v>
          </cell>
          <cell r="AB30">
            <v>27117.326288156088</v>
          </cell>
          <cell r="AC30">
            <v>110731</v>
          </cell>
          <cell r="AD30">
            <v>96511</v>
          </cell>
          <cell r="AE30">
            <v>14220</v>
          </cell>
        </row>
        <row r="31">
          <cell r="A31">
            <v>1983</v>
          </cell>
          <cell r="B31">
            <v>1512.7515980468231</v>
          </cell>
          <cell r="C31">
            <v>18336.415344298483</v>
          </cell>
          <cell r="D31">
            <v>5787.4220413838102</v>
          </cell>
          <cell r="E31">
            <v>24123.837385682295</v>
          </cell>
          <cell r="F31">
            <v>3828.7570679175619</v>
          </cell>
          <cell r="G31">
            <v>0</v>
          </cell>
          <cell r="H31">
            <v>3828.7570679175619</v>
          </cell>
          <cell r="I31">
            <v>172.26738947827374</v>
          </cell>
          <cell r="J31">
            <v>29637.613441124955</v>
          </cell>
          <cell r="K31">
            <v>177.90800311605793</v>
          </cell>
          <cell r="L31">
            <v>77.44410075660447</v>
          </cell>
          <cell r="M31">
            <v>3215.3022225542222</v>
          </cell>
          <cell r="N31">
            <v>3292.7463233108265</v>
          </cell>
          <cell r="O31">
            <v>135.37472730682043</v>
          </cell>
          <cell r="P31">
            <v>0</v>
          </cell>
          <cell r="Q31">
            <v>135.37472730682043</v>
          </cell>
          <cell r="R31">
            <v>369.53641778348276</v>
          </cell>
          <cell r="S31">
            <v>3975.5654715171877</v>
          </cell>
          <cell r="T31">
            <v>1334.8435949307652</v>
          </cell>
          <cell r="U31">
            <v>18258.971243541877</v>
          </cell>
          <cell r="V31">
            <v>2572.119818829588</v>
          </cell>
          <cell r="W31">
            <v>20831.091062371466</v>
          </cell>
          <cell r="X31">
            <v>3693.3823406107413</v>
          </cell>
          <cell r="Y31">
            <v>0</v>
          </cell>
          <cell r="Z31">
            <v>3693.3823406107413</v>
          </cell>
          <cell r="AA31">
            <v>-197.26902830520902</v>
          </cell>
          <cell r="AB31">
            <v>25662.047969607767</v>
          </cell>
          <cell r="AC31">
            <v>116761</v>
          </cell>
          <cell r="AD31">
            <v>110164</v>
          </cell>
          <cell r="AE31">
            <v>6597</v>
          </cell>
        </row>
        <row r="32">
          <cell r="A32">
            <v>1984</v>
          </cell>
          <cell r="B32">
            <v>1708.0387891279458</v>
          </cell>
          <cell r="C32">
            <v>20802.125749096358</v>
          </cell>
          <cell r="D32">
            <v>5924.3212588630049</v>
          </cell>
          <cell r="E32">
            <v>26726.447007959363</v>
          </cell>
          <cell r="F32">
            <v>4353.791483283203</v>
          </cell>
          <cell r="G32">
            <v>0</v>
          </cell>
          <cell r="H32">
            <v>4353.791483283203</v>
          </cell>
          <cell r="I32">
            <v>185.37800496069102</v>
          </cell>
          <cell r="J32">
            <v>32973.65528533121</v>
          </cell>
          <cell r="K32">
            <v>247.88210202802929</v>
          </cell>
          <cell r="L32">
            <v>15.854697792690679</v>
          </cell>
          <cell r="M32">
            <v>3448.5492189274601</v>
          </cell>
          <cell r="N32">
            <v>3464.4039167201508</v>
          </cell>
          <cell r="O32">
            <v>32.928987723280642</v>
          </cell>
          <cell r="P32">
            <v>0</v>
          </cell>
          <cell r="Q32">
            <v>32.928987723280642</v>
          </cell>
          <cell r="R32">
            <v>720.47405546400148</v>
          </cell>
          <cell r="S32">
            <v>4465.6890619354617</v>
          </cell>
          <cell r="T32">
            <v>1460.1566870999166</v>
          </cell>
          <cell r="U32">
            <v>20786.271051303669</v>
          </cell>
          <cell r="V32">
            <v>2475.7720399355449</v>
          </cell>
          <cell r="W32">
            <v>23262.043091239211</v>
          </cell>
          <cell r="X32">
            <v>4320.8624955599225</v>
          </cell>
          <cell r="Y32">
            <v>0</v>
          </cell>
          <cell r="Z32">
            <v>4320.8624955599225</v>
          </cell>
          <cell r="AA32">
            <v>-535.09605050331049</v>
          </cell>
          <cell r="AB32">
            <v>28507.96622339575</v>
          </cell>
          <cell r="AC32">
            <v>132951</v>
          </cell>
          <cell r="AD32">
            <v>129599</v>
          </cell>
          <cell r="AE32">
            <v>3352</v>
          </cell>
        </row>
        <row r="33">
          <cell r="A33">
            <v>1985</v>
          </cell>
          <cell r="B33">
            <v>1733.6502240238308</v>
          </cell>
          <cell r="C33">
            <v>19290.746192204671</v>
          </cell>
          <cell r="D33">
            <v>6615.5251030174231</v>
          </cell>
          <cell r="E33">
            <v>25906.271295222094</v>
          </cell>
          <cell r="F33">
            <v>4679.2701350850739</v>
          </cell>
          <cell r="G33">
            <v>0</v>
          </cell>
          <cell r="H33">
            <v>4679.2701350850739</v>
          </cell>
          <cell r="I33">
            <v>237.05822180417314</v>
          </cell>
          <cell r="J33">
            <v>32556.249876135171</v>
          </cell>
          <cell r="K33">
            <v>224.40495337346809</v>
          </cell>
          <cell r="L33">
            <v>0.45734705171223117</v>
          </cell>
          <cell r="M33">
            <v>3873.7295280025978</v>
          </cell>
          <cell r="N33">
            <v>3874.1868750543099</v>
          </cell>
          <cell r="O33">
            <v>57.015932446791481</v>
          </cell>
          <cell r="P33">
            <v>0</v>
          </cell>
          <cell r="Q33">
            <v>57.015932446791481</v>
          </cell>
          <cell r="R33">
            <v>870.02654137390107</v>
          </cell>
          <cell r="S33">
            <v>5025.6343022484698</v>
          </cell>
          <cell r="T33">
            <v>1509.2452706503627</v>
          </cell>
          <cell r="U33">
            <v>19290.288845152958</v>
          </cell>
          <cell r="V33">
            <v>2741.7955750148253</v>
          </cell>
          <cell r="W33">
            <v>22032.084420167783</v>
          </cell>
          <cell r="X33">
            <v>4622.2542026382825</v>
          </cell>
          <cell r="Y33">
            <v>0</v>
          </cell>
          <cell r="Z33">
            <v>4622.2542026382825</v>
          </cell>
          <cell r="AA33">
            <v>-632.9683195697279</v>
          </cell>
          <cell r="AB33">
            <v>27530.615573886702</v>
          </cell>
          <cell r="AC33">
            <v>141923</v>
          </cell>
          <cell r="AD33">
            <v>138139</v>
          </cell>
          <cell r="AE33">
            <v>3784</v>
          </cell>
        </row>
        <row r="34">
          <cell r="A34">
            <v>1986</v>
          </cell>
          <cell r="B34">
            <v>1307.2503228107939</v>
          </cell>
          <cell r="C34">
            <v>7821.091931330865</v>
          </cell>
          <cell r="D34">
            <v>4062.0040642907998</v>
          </cell>
          <cell r="E34">
            <v>11883.095995621665</v>
          </cell>
          <cell r="F34">
            <v>3560.2943485624819</v>
          </cell>
          <cell r="G34">
            <v>0</v>
          </cell>
          <cell r="H34">
            <v>3560.2943485624819</v>
          </cell>
          <cell r="I34">
            <v>225.47209649412994</v>
          </cell>
          <cell r="J34">
            <v>16976.112763489073</v>
          </cell>
          <cell r="K34">
            <v>160.68126416823054</v>
          </cell>
          <cell r="L34">
            <v>0.30489803447482078</v>
          </cell>
          <cell r="M34">
            <v>2078.1850029803782</v>
          </cell>
          <cell r="N34">
            <v>2078.4899010148529</v>
          </cell>
          <cell r="O34">
            <v>29.727558361295024</v>
          </cell>
          <cell r="P34">
            <v>0</v>
          </cell>
          <cell r="Q34">
            <v>29.727558361295024</v>
          </cell>
          <cell r="R34">
            <v>1038.0253583695273</v>
          </cell>
          <cell r="S34">
            <v>3306.9240819139059</v>
          </cell>
          <cell r="T34">
            <v>1146.5690586425635</v>
          </cell>
          <cell r="U34">
            <v>7820.7870332963903</v>
          </cell>
          <cell r="V34">
            <v>1983.8190613104216</v>
          </cell>
          <cell r="W34">
            <v>9804.6060946068119</v>
          </cell>
          <cell r="X34">
            <v>3530.5667902011869</v>
          </cell>
          <cell r="Y34">
            <v>0</v>
          </cell>
          <cell r="Z34">
            <v>3530.5667902011869</v>
          </cell>
          <cell r="AA34">
            <v>-812.55326187539742</v>
          </cell>
          <cell r="AB34">
            <v>13669.188681575168</v>
          </cell>
          <cell r="AC34">
            <v>131600</v>
          </cell>
          <cell r="AD34">
            <v>131642</v>
          </cell>
          <cell r="AE34">
            <v>-42</v>
          </cell>
        </row>
        <row r="35">
          <cell r="A35">
            <v>1987</v>
          </cell>
          <cell r="B35">
            <v>843.80531040906646</v>
          </cell>
          <cell r="C35">
            <v>7674.2835277312388</v>
          </cell>
          <cell r="D35">
            <v>4428.4915017295343</v>
          </cell>
          <cell r="E35">
            <v>12102.775029460772</v>
          </cell>
          <cell r="F35">
            <v>2172.8558426848103</v>
          </cell>
          <cell r="G35">
            <v>0</v>
          </cell>
          <cell r="H35">
            <v>2172.8558426848103</v>
          </cell>
          <cell r="I35">
            <v>214.03842020132419</v>
          </cell>
          <cell r="J35">
            <v>15333.474602755974</v>
          </cell>
          <cell r="K35">
            <v>136.5943194447197</v>
          </cell>
          <cell r="L35">
            <v>2.4391842757985662</v>
          </cell>
          <cell r="M35">
            <v>1600.714680992809</v>
          </cell>
          <cell r="N35">
            <v>1603.1538652686077</v>
          </cell>
          <cell r="O35">
            <v>21.342862413237455</v>
          </cell>
          <cell r="P35">
            <v>0</v>
          </cell>
          <cell r="Q35">
            <v>21.342862413237455</v>
          </cell>
          <cell r="R35">
            <v>1061.1976089896136</v>
          </cell>
          <cell r="S35">
            <v>2822.2886561161786</v>
          </cell>
          <cell r="T35">
            <v>707.21099096434682</v>
          </cell>
          <cell r="U35">
            <v>7671.8443434554401</v>
          </cell>
          <cell r="V35">
            <v>2827.7768207367253</v>
          </cell>
          <cell r="W35">
            <v>10499.621164192165</v>
          </cell>
          <cell r="X35">
            <v>2151.5129802715728</v>
          </cell>
          <cell r="Y35">
            <v>0</v>
          </cell>
          <cell r="Z35">
            <v>2151.5129802715728</v>
          </cell>
          <cell r="AA35">
            <v>-847.15918878828938</v>
          </cell>
          <cell r="AB35">
            <v>12511.185946639795</v>
          </cell>
          <cell r="AC35">
            <v>140332</v>
          </cell>
          <cell r="AD35">
            <v>135514</v>
          </cell>
          <cell r="AE35">
            <v>4818</v>
          </cell>
        </row>
        <row r="36">
          <cell r="A36">
            <v>1988</v>
          </cell>
          <cell r="B36">
            <v>846.09204566762764</v>
          </cell>
          <cell r="C36">
            <v>6478.3209875037537</v>
          </cell>
          <cell r="D36">
            <v>3427.6637035659351</v>
          </cell>
          <cell r="E36">
            <v>9905.9846910696888</v>
          </cell>
          <cell r="F36">
            <v>2045.2560152570977</v>
          </cell>
          <cell r="G36">
            <v>0</v>
          </cell>
          <cell r="H36">
            <v>2045.2560152570977</v>
          </cell>
          <cell r="I36">
            <v>241.47924330405803</v>
          </cell>
          <cell r="J36">
            <v>13038.811995298473</v>
          </cell>
          <cell r="K36">
            <v>193.30535385703635</v>
          </cell>
          <cell r="L36">
            <v>9.451839068719444</v>
          </cell>
          <cell r="M36">
            <v>1555.7422209077729</v>
          </cell>
          <cell r="N36">
            <v>1565.1940599764923</v>
          </cell>
          <cell r="O36">
            <v>38.264703326590009</v>
          </cell>
          <cell r="P36">
            <v>0</v>
          </cell>
          <cell r="Q36">
            <v>38.264703326590009</v>
          </cell>
          <cell r="R36">
            <v>1106.4749671091245</v>
          </cell>
          <cell r="S36">
            <v>2903.239084269243</v>
          </cell>
          <cell r="T36">
            <v>652.78669181059126</v>
          </cell>
          <cell r="U36">
            <v>6468.8691484350338</v>
          </cell>
          <cell r="V36">
            <v>1871.9214826581622</v>
          </cell>
          <cell r="W36">
            <v>8340.7906310931958</v>
          </cell>
          <cell r="X36">
            <v>2006.9913119305077</v>
          </cell>
          <cell r="Y36">
            <v>0</v>
          </cell>
          <cell r="Z36">
            <v>2006.9913119305077</v>
          </cell>
          <cell r="AA36">
            <v>-864.9957238050664</v>
          </cell>
          <cell r="AB36">
            <v>10135.57291102923</v>
          </cell>
          <cell r="AC36">
            <v>157094</v>
          </cell>
          <cell r="AD36">
            <v>152091</v>
          </cell>
          <cell r="AE36">
            <v>5003</v>
          </cell>
        </row>
        <row r="37">
          <cell r="A37">
            <v>1989</v>
          </cell>
          <cell r="B37">
            <v>1067.29556967911</v>
          </cell>
          <cell r="C37">
            <v>8407.7157496604195</v>
          </cell>
          <cell r="D37">
            <v>4340.8333168180234</v>
          </cell>
          <cell r="E37">
            <v>12748.549066478443</v>
          </cell>
          <cell r="F37">
            <v>2161.1172683575296</v>
          </cell>
          <cell r="G37">
            <v>0</v>
          </cell>
          <cell r="H37">
            <v>2161.1172683575296</v>
          </cell>
          <cell r="I37">
            <v>270.59700559640345</v>
          </cell>
          <cell r="J37">
            <v>16247.558910111486</v>
          </cell>
          <cell r="K37">
            <v>133.24044106549667</v>
          </cell>
          <cell r="L37">
            <v>1.6769391896115142</v>
          </cell>
          <cell r="M37">
            <v>1817.4971835044066</v>
          </cell>
          <cell r="N37">
            <v>1819.174122694018</v>
          </cell>
          <cell r="O37">
            <v>66.925118567223151</v>
          </cell>
          <cell r="P37">
            <v>0</v>
          </cell>
          <cell r="Q37">
            <v>66.925118567223151</v>
          </cell>
          <cell r="R37">
            <v>1542.4791564081183</v>
          </cell>
          <cell r="S37">
            <v>3561.8188387348564</v>
          </cell>
          <cell r="T37">
            <v>934.05512861361331</v>
          </cell>
          <cell r="U37">
            <v>8406.0388104708072</v>
          </cell>
          <cell r="V37">
            <v>2523.3361333136168</v>
          </cell>
          <cell r="W37">
            <v>10929.374943784425</v>
          </cell>
          <cell r="X37">
            <v>2094.1921497903063</v>
          </cell>
          <cell r="Y37">
            <v>0</v>
          </cell>
          <cell r="Z37">
            <v>2094.1921497903063</v>
          </cell>
          <cell r="AA37">
            <v>-1271.8821508117148</v>
          </cell>
          <cell r="AB37">
            <v>12685.740071376629</v>
          </cell>
          <cell r="AC37">
            <v>180984</v>
          </cell>
          <cell r="AD37">
            <v>174284</v>
          </cell>
          <cell r="AE37">
            <v>6700</v>
          </cell>
        </row>
        <row r="38">
          <cell r="A38">
            <v>1990</v>
          </cell>
          <cell r="B38">
            <v>1119.5855825915419</v>
          </cell>
          <cell r="C38">
            <v>9576.3899158024087</v>
          </cell>
          <cell r="D38">
            <v>4748.6344379280963</v>
          </cell>
          <cell r="E38">
            <v>14325.024353730505</v>
          </cell>
          <cell r="F38">
            <v>2530.0438900720628</v>
          </cell>
          <cell r="G38">
            <v>0</v>
          </cell>
          <cell r="H38">
            <v>2530.0438900720628</v>
          </cell>
          <cell r="I38">
            <v>357.64539443896473</v>
          </cell>
          <cell r="J38">
            <v>18332.299220833076</v>
          </cell>
          <cell r="K38">
            <v>114.94655899700743</v>
          </cell>
          <cell r="L38">
            <v>3.0489803447482076</v>
          </cell>
          <cell r="M38">
            <v>2298.7787309229111</v>
          </cell>
          <cell r="N38">
            <v>2301.8277112676592</v>
          </cell>
          <cell r="O38">
            <v>17.988984034014425</v>
          </cell>
          <cell r="P38">
            <v>0</v>
          </cell>
          <cell r="Q38">
            <v>17.988984034014425</v>
          </cell>
          <cell r="R38">
            <v>1726.63756923091</v>
          </cell>
          <cell r="S38">
            <v>4161.4008235295905</v>
          </cell>
          <cell r="T38">
            <v>1004.6390235945345</v>
          </cell>
          <cell r="U38">
            <v>9573.3409354576597</v>
          </cell>
          <cell r="V38">
            <v>2449.8557070051852</v>
          </cell>
          <cell r="W38">
            <v>12023.196642462846</v>
          </cell>
          <cell r="X38">
            <v>2512.0549060380486</v>
          </cell>
          <cell r="Y38">
            <v>0</v>
          </cell>
          <cell r="Z38">
            <v>2512.0549060380486</v>
          </cell>
          <cell r="AA38">
            <v>-1368.9921747919452</v>
          </cell>
          <cell r="AB38">
            <v>14170.898397303485</v>
          </cell>
          <cell r="AC38">
            <v>187014</v>
          </cell>
          <cell r="AD38">
            <v>179459</v>
          </cell>
          <cell r="AE38">
            <v>7555</v>
          </cell>
        </row>
        <row r="39">
          <cell r="A39">
            <v>1991</v>
          </cell>
          <cell r="B39">
            <v>1180.8700875209809</v>
          </cell>
          <cell r="C39">
            <v>9085.6565293151834</v>
          </cell>
          <cell r="D39">
            <v>5252.4784398977372</v>
          </cell>
          <cell r="E39">
            <v>14338.134969212921</v>
          </cell>
          <cell r="F39">
            <v>3190.9103797962366</v>
          </cell>
          <cell r="G39">
            <v>0</v>
          </cell>
          <cell r="H39">
            <v>3190.9103797962366</v>
          </cell>
          <cell r="I39">
            <v>256.11434895884946</v>
          </cell>
          <cell r="J39">
            <v>18966.02978548899</v>
          </cell>
          <cell r="K39">
            <v>125.77043922086357</v>
          </cell>
          <cell r="L39">
            <v>1.9818372240863349</v>
          </cell>
          <cell r="M39">
            <v>2467.3873439874869</v>
          </cell>
          <cell r="N39">
            <v>2469.369181211573</v>
          </cell>
          <cell r="O39">
            <v>35.673070033554026</v>
          </cell>
          <cell r="P39">
            <v>0</v>
          </cell>
          <cell r="Q39">
            <v>35.673070033554026</v>
          </cell>
          <cell r="R39">
            <v>1983.6666122931838</v>
          </cell>
          <cell r="S39">
            <v>4614.4793027591741</v>
          </cell>
          <cell r="T39">
            <v>1055.0996483001172</v>
          </cell>
          <cell r="U39">
            <v>9083.6746920910973</v>
          </cell>
          <cell r="V39">
            <v>2785.0910959102503</v>
          </cell>
          <cell r="W39">
            <v>11868.765788001347</v>
          </cell>
          <cell r="X39">
            <v>3155.2373097626828</v>
          </cell>
          <cell r="Y39">
            <v>0</v>
          </cell>
          <cell r="Z39">
            <v>3155.2373097626828</v>
          </cell>
          <cell r="AA39">
            <v>-1727.5522633343344</v>
          </cell>
          <cell r="AB39">
            <v>14351.550482729817</v>
          </cell>
          <cell r="AC39">
            <v>190712</v>
          </cell>
          <cell r="AD39">
            <v>186208</v>
          </cell>
          <cell r="AE39">
            <v>4504</v>
          </cell>
        </row>
        <row r="40">
          <cell r="A40">
            <v>1992</v>
          </cell>
          <cell r="B40">
            <v>1116.0323009000001</v>
          </cell>
          <cell r="C40">
            <v>7837.2070119999998</v>
          </cell>
          <cell r="D40">
            <v>4614.1119006999998</v>
          </cell>
          <cell r="E40">
            <v>12451.318912700001</v>
          </cell>
          <cell r="F40">
            <v>2722.7435650000002</v>
          </cell>
          <cell r="G40">
            <v>1.721301</v>
          </cell>
          <cell r="H40">
            <v>2724.4648660000003</v>
          </cell>
          <cell r="I40">
            <v>158.97779869999999</v>
          </cell>
          <cell r="J40">
            <v>16450.793878300003</v>
          </cell>
          <cell r="K40">
            <v>120.3868545</v>
          </cell>
          <cell r="L40">
            <v>0.30840450000000003</v>
          </cell>
          <cell r="M40">
            <v>2043.3290597</v>
          </cell>
          <cell r="N40">
            <v>2043.6374642000001</v>
          </cell>
          <cell r="O40">
            <v>75.329781999999994</v>
          </cell>
          <cell r="P40">
            <v>2.8051E-2</v>
          </cell>
          <cell r="Q40">
            <v>75.357832999999999</v>
          </cell>
          <cell r="R40">
            <v>2088.8579586999999</v>
          </cell>
          <cell r="S40">
            <v>4328.2401104</v>
          </cell>
          <cell r="T40">
            <v>995.64544640000008</v>
          </cell>
          <cell r="U40">
            <v>7836.8986075000003</v>
          </cell>
          <cell r="V40">
            <v>2570.7828409999997</v>
          </cell>
          <cell r="W40">
            <v>10407.6814485</v>
          </cell>
          <cell r="X40">
            <v>2647.4137830000004</v>
          </cell>
          <cell r="Y40">
            <v>1.6932499999999999</v>
          </cell>
          <cell r="Z40">
            <v>2649.1070330000002</v>
          </cell>
          <cell r="AA40">
            <v>-1929.8801599999999</v>
          </cell>
          <cell r="AB40">
            <v>12122.553767900003</v>
          </cell>
          <cell r="AC40">
            <v>185654</v>
          </cell>
          <cell r="AD40">
            <v>190383</v>
          </cell>
          <cell r="AE40">
            <v>-4729</v>
          </cell>
        </row>
        <row r="41">
          <cell r="A41">
            <v>1993</v>
          </cell>
          <cell r="B41">
            <v>765.96636669999998</v>
          </cell>
          <cell r="C41">
            <v>7706.9059404999998</v>
          </cell>
          <cell r="D41">
            <v>4078.3441595999998</v>
          </cell>
          <cell r="E41">
            <v>11785.2501001</v>
          </cell>
          <cell r="F41">
            <v>2504.8105270000001</v>
          </cell>
          <cell r="G41">
            <v>2.248926</v>
          </cell>
          <cell r="H41">
            <v>2507.0594530000003</v>
          </cell>
          <cell r="I41">
            <v>219.304619</v>
          </cell>
          <cell r="J41">
            <v>15277.580538800001</v>
          </cell>
          <cell r="K41">
            <v>119.7235491</v>
          </cell>
          <cell r="L41">
            <v>0.3995689</v>
          </cell>
          <cell r="M41">
            <v>2178.7377833</v>
          </cell>
          <cell r="N41">
            <v>2179.1373521999999</v>
          </cell>
          <cell r="O41">
            <v>50.362293999999999</v>
          </cell>
          <cell r="P41">
            <v>3.2777000000000001E-2</v>
          </cell>
          <cell r="Q41">
            <v>50.395071000000002</v>
          </cell>
          <cell r="R41">
            <v>2415.0035748999999</v>
          </cell>
          <cell r="S41">
            <v>4764.2595471999994</v>
          </cell>
          <cell r="T41">
            <v>646.24281759999997</v>
          </cell>
          <cell r="U41">
            <v>7706.5063715999995</v>
          </cell>
          <cell r="V41">
            <v>1899.6063762999997</v>
          </cell>
          <cell r="W41">
            <v>9606.1127479000006</v>
          </cell>
          <cell r="X41">
            <v>2454.4482330000001</v>
          </cell>
          <cell r="Y41">
            <v>2.2161490000000001</v>
          </cell>
          <cell r="Z41">
            <v>2456.6643820000004</v>
          </cell>
          <cell r="AA41">
            <v>-2195.6989558999999</v>
          </cell>
          <cell r="AB41">
            <v>10513.320991600001</v>
          </cell>
          <cell r="AC41">
            <v>168146</v>
          </cell>
          <cell r="AD41">
            <v>181572</v>
          </cell>
          <cell r="AE41">
            <v>-13426</v>
          </cell>
        </row>
        <row r="42">
          <cell r="A42">
            <v>1994</v>
          </cell>
          <cell r="B42">
            <v>754.450063</v>
          </cell>
          <cell r="C42">
            <v>7501.1872728999997</v>
          </cell>
          <cell r="D42">
            <v>4033.8610609000002</v>
          </cell>
          <cell r="E42">
            <v>11535.048333799999</v>
          </cell>
          <cell r="F42">
            <v>2480.1322359999999</v>
          </cell>
          <cell r="G42">
            <v>1.4842439999999999</v>
          </cell>
          <cell r="H42">
            <v>2481.6164800000001</v>
          </cell>
          <cell r="I42">
            <v>162.62529420000001</v>
          </cell>
          <cell r="J42">
            <v>14933.740170999999</v>
          </cell>
          <cell r="K42">
            <v>111.3255901</v>
          </cell>
          <cell r="L42">
            <v>4.1466133000000003</v>
          </cell>
          <cell r="M42">
            <v>2042.5501976</v>
          </cell>
          <cell r="N42">
            <v>2046.6968108999999</v>
          </cell>
          <cell r="O42">
            <v>61.910308999999998</v>
          </cell>
          <cell r="P42">
            <v>4.9849999999999998E-2</v>
          </cell>
          <cell r="Q42">
            <v>61.960158999999997</v>
          </cell>
          <cell r="R42">
            <v>2453.2815414000002</v>
          </cell>
          <cell r="S42">
            <v>4673.2641014000001</v>
          </cell>
          <cell r="T42">
            <v>643.1244729</v>
          </cell>
          <cell r="U42">
            <v>7497.0406595999993</v>
          </cell>
          <cell r="V42">
            <v>1991.3108633000002</v>
          </cell>
          <cell r="W42">
            <v>9488.3515229000004</v>
          </cell>
          <cell r="X42">
            <v>2418.2219270000001</v>
          </cell>
          <cell r="Y42">
            <v>1.4343939999999999</v>
          </cell>
          <cell r="Z42">
            <v>2419.6563209999999</v>
          </cell>
          <cell r="AA42">
            <v>-2290.6562472000001</v>
          </cell>
          <cell r="AB42">
            <v>10260.476069599999</v>
          </cell>
          <cell r="AC42">
            <v>190024</v>
          </cell>
          <cell r="AD42">
            <v>196381</v>
          </cell>
          <cell r="AE42">
            <v>-6357</v>
          </cell>
        </row>
        <row r="43">
          <cell r="A43">
            <v>1995</v>
          </cell>
          <cell r="B43">
            <v>708.18285330000003</v>
          </cell>
          <cell r="C43">
            <v>7392.7659892000001</v>
          </cell>
          <cell r="D43">
            <v>3546.1914422999998</v>
          </cell>
          <cell r="E43">
            <v>10938.957431499999</v>
          </cell>
          <cell r="F43">
            <v>2473.7203829999999</v>
          </cell>
          <cell r="G43">
            <v>1.5095510000000001</v>
          </cell>
          <cell r="H43">
            <v>2475.229934</v>
          </cell>
          <cell r="I43">
            <v>162.67743150000001</v>
          </cell>
          <cell r="J43">
            <v>14285.047650299999</v>
          </cell>
          <cell r="K43">
            <v>95.402747500000004</v>
          </cell>
          <cell r="L43">
            <v>5.4913660999999996</v>
          </cell>
          <cell r="M43">
            <v>1893.3614551999999</v>
          </cell>
          <cell r="N43">
            <v>1898.8528213</v>
          </cell>
          <cell r="O43">
            <v>79.378221999999994</v>
          </cell>
          <cell r="P43">
            <v>2.6373000000000001E-2</v>
          </cell>
          <cell r="Q43">
            <v>79.404595</v>
          </cell>
          <cell r="R43">
            <v>2926.8384971</v>
          </cell>
          <cell r="S43">
            <v>5000.4986609000007</v>
          </cell>
          <cell r="T43">
            <v>612.7801058</v>
          </cell>
          <cell r="U43">
            <v>7387.2746231000001</v>
          </cell>
          <cell r="V43">
            <v>1652.8299870999999</v>
          </cell>
          <cell r="W43">
            <v>9040.1046102</v>
          </cell>
          <cell r="X43">
            <v>2394.342161</v>
          </cell>
          <cell r="Y43">
            <v>1.4831780000000001</v>
          </cell>
          <cell r="Z43">
            <v>2395.825339</v>
          </cell>
          <cell r="AA43">
            <v>-2764.1610656000003</v>
          </cell>
          <cell r="AB43">
            <v>9284.5489893999984</v>
          </cell>
          <cell r="AC43">
            <v>205582</v>
          </cell>
          <cell r="AD43">
            <v>214689</v>
          </cell>
          <cell r="AE43">
            <v>-9107</v>
          </cell>
        </row>
        <row r="44">
          <cell r="A44">
            <v>1996</v>
          </cell>
          <cell r="B44">
            <v>794.56763179999996</v>
          </cell>
          <cell r="C44">
            <v>9956.5718486999995</v>
          </cell>
          <cell r="D44">
            <v>4034.6348923</v>
          </cell>
          <cell r="E44">
            <v>13991.206741</v>
          </cell>
          <cell r="F44">
            <v>2693.806149</v>
          </cell>
          <cell r="G44">
            <v>1.231026</v>
          </cell>
          <cell r="H44">
            <v>2695.0371749999999</v>
          </cell>
          <cell r="I44">
            <v>166.34901379999999</v>
          </cell>
          <cell r="J44">
            <v>17647.160561600002</v>
          </cell>
          <cell r="K44">
            <v>78.004351</v>
          </cell>
          <cell r="L44">
            <v>3.214235</v>
          </cell>
          <cell r="M44">
            <v>2555.8989384000001</v>
          </cell>
          <cell r="N44">
            <v>2559.1131734000001</v>
          </cell>
          <cell r="O44">
            <v>66.615494999999996</v>
          </cell>
          <cell r="P44">
            <v>2.2859999999999998E-3</v>
          </cell>
          <cell r="Q44">
            <v>66.617780999999994</v>
          </cell>
          <cell r="R44">
            <v>2863.4721482999998</v>
          </cell>
          <cell r="S44">
            <v>5567.2074536999999</v>
          </cell>
          <cell r="T44">
            <v>716.56328079999992</v>
          </cell>
          <cell r="U44">
            <v>9953.3576137</v>
          </cell>
          <cell r="V44">
            <v>1478.7359538999999</v>
          </cell>
          <cell r="W44">
            <v>11432.093567600001</v>
          </cell>
          <cell r="X44">
            <v>2627.190654</v>
          </cell>
          <cell r="Y44">
            <v>1.2287399999999999</v>
          </cell>
          <cell r="Z44">
            <v>2628.419394</v>
          </cell>
          <cell r="AA44">
            <v>-2697.1231344999997</v>
          </cell>
          <cell r="AB44">
            <v>12079.953107900001</v>
          </cell>
          <cell r="AC44">
            <v>212615</v>
          </cell>
          <cell r="AD44">
            <v>224100</v>
          </cell>
          <cell r="AE44">
            <v>-11485</v>
          </cell>
        </row>
        <row r="45">
          <cell r="A45">
            <v>1997</v>
          </cell>
          <cell r="B45">
            <v>835.90159119999998</v>
          </cell>
          <cell r="C45">
            <v>10994.677395000001</v>
          </cell>
          <cell r="D45">
            <v>4008.6680986000001</v>
          </cell>
          <cell r="E45">
            <v>15003.345493600002</v>
          </cell>
          <cell r="F45">
            <v>3216.805218</v>
          </cell>
          <cell r="G45">
            <v>0.64623299999999995</v>
          </cell>
          <cell r="H45">
            <v>3217.4514509999999</v>
          </cell>
          <cell r="I45">
            <v>186.61985469999999</v>
          </cell>
          <cell r="J45">
            <v>19243.318390500001</v>
          </cell>
          <cell r="K45">
            <v>66.2764478</v>
          </cell>
          <cell r="L45">
            <v>5.6084468999999997</v>
          </cell>
          <cell r="M45">
            <v>3106.2658071000001</v>
          </cell>
          <cell r="N45">
            <v>3111.8742540000003</v>
          </cell>
          <cell r="O45">
            <v>127.615377</v>
          </cell>
          <cell r="P45">
            <v>1.5398E-2</v>
          </cell>
          <cell r="Q45">
            <v>127.630775</v>
          </cell>
          <cell r="R45">
            <v>2817.8909592999998</v>
          </cell>
          <cell r="S45">
            <v>6123.6724360999997</v>
          </cell>
          <cell r="T45">
            <v>769.62514339999996</v>
          </cell>
          <cell r="U45">
            <v>10989.068948100001</v>
          </cell>
          <cell r="V45">
            <v>902.40229150000005</v>
          </cell>
          <cell r="W45">
            <v>11891.471239600001</v>
          </cell>
          <cell r="X45">
            <v>3089.1898409999999</v>
          </cell>
          <cell r="Y45">
            <v>0.63083499999999992</v>
          </cell>
          <cell r="Z45">
            <v>3089.8206759999998</v>
          </cell>
          <cell r="AA45">
            <v>-2631.2711045999999</v>
          </cell>
          <cell r="AB45">
            <v>13119.645954400001</v>
          </cell>
          <cell r="AC45">
            <v>234499</v>
          </cell>
          <cell r="AD45">
            <v>258294</v>
          </cell>
          <cell r="AE45">
            <v>-23795</v>
          </cell>
        </row>
        <row r="46">
          <cell r="A46">
            <v>1998</v>
          </cell>
          <cell r="B46">
            <v>838.89700000000005</v>
          </cell>
          <cell r="C46">
            <v>7807.8209999999999</v>
          </cell>
          <cell r="D46">
            <v>3071.8989999999999</v>
          </cell>
          <cell r="E46">
            <v>10879.72</v>
          </cell>
          <cell r="F46">
            <v>2889.0059999999999</v>
          </cell>
          <cell r="G46">
            <v>0.39100000000000001</v>
          </cell>
          <cell r="H46">
            <v>2889.3969999999999</v>
          </cell>
          <cell r="I46">
            <v>320.94344610000002</v>
          </cell>
          <cell r="J46">
            <v>14928.957446099999</v>
          </cell>
          <cell r="K46">
            <v>60.375999999999998</v>
          </cell>
          <cell r="L46">
            <v>34.793999999999997</v>
          </cell>
          <cell r="M46">
            <v>2817.982</v>
          </cell>
          <cell r="N46">
            <v>2852.7759999999998</v>
          </cell>
          <cell r="O46">
            <v>71.647999999999996</v>
          </cell>
          <cell r="P46">
            <v>0</v>
          </cell>
          <cell r="Q46">
            <v>71.647999999999996</v>
          </cell>
          <cell r="R46">
            <v>2760.8710633000001</v>
          </cell>
          <cell r="S46">
            <v>5745.6710633000002</v>
          </cell>
          <cell r="T46">
            <v>778.52100000000007</v>
          </cell>
          <cell r="U46">
            <v>7773.027</v>
          </cell>
          <cell r="V46">
            <v>253.91699999999992</v>
          </cell>
          <cell r="W46">
            <v>8026.9439999999995</v>
          </cell>
          <cell r="X46">
            <v>2817.3579999999997</v>
          </cell>
          <cell r="Y46">
            <v>0.39100000000000001</v>
          </cell>
          <cell r="Z46">
            <v>2817.7489999999998</v>
          </cell>
          <cell r="AA46">
            <v>-2439.9276172</v>
          </cell>
          <cell r="AB46">
            <v>9183.286382799999</v>
          </cell>
          <cell r="AC46">
            <v>254678</v>
          </cell>
          <cell r="AD46">
            <v>275383</v>
          </cell>
          <cell r="AE46">
            <v>-20705</v>
          </cell>
        </row>
        <row r="47">
          <cell r="A47">
            <v>1999</v>
          </cell>
          <cell r="B47">
            <v>812.53599999999994</v>
          </cell>
          <cell r="C47">
            <v>9765.1810000000005</v>
          </cell>
          <cell r="D47">
            <v>4101.62</v>
          </cell>
          <cell r="E47">
            <v>13866.800999999999</v>
          </cell>
          <cell r="F47">
            <v>2751.81</v>
          </cell>
          <cell r="G47">
            <v>0.38100000000000001</v>
          </cell>
          <cell r="H47">
            <v>2752.1909999999998</v>
          </cell>
          <cell r="I47">
            <v>284.310159</v>
          </cell>
          <cell r="J47">
            <v>17715.838158999999</v>
          </cell>
          <cell r="K47">
            <v>59.73</v>
          </cell>
          <cell r="L47">
            <v>78.287999999999997</v>
          </cell>
          <cell r="M47">
            <v>2928.0540000000001</v>
          </cell>
          <cell r="N47">
            <v>3006.3420000000001</v>
          </cell>
          <cell r="O47">
            <v>40.377000000000002</v>
          </cell>
          <cell r="P47">
            <v>1.2999999999999999E-2</v>
          </cell>
          <cell r="Q47">
            <v>40.39</v>
          </cell>
          <cell r="R47">
            <v>2886.5729704</v>
          </cell>
          <cell r="S47">
            <v>5993.0349704</v>
          </cell>
          <cell r="T47">
            <v>752.80599999999993</v>
          </cell>
          <cell r="U47">
            <v>9686.893</v>
          </cell>
          <cell r="V47">
            <v>1173.5659999999998</v>
          </cell>
          <cell r="W47">
            <v>10860.458999999999</v>
          </cell>
          <cell r="X47">
            <v>2711.433</v>
          </cell>
          <cell r="Y47">
            <v>0.36799999999999999</v>
          </cell>
          <cell r="Z47">
            <v>2711.8009999999999</v>
          </cell>
          <cell r="AA47">
            <v>-2602.2628113999999</v>
          </cell>
          <cell r="AB47">
            <v>11722.803188599999</v>
          </cell>
          <cell r="AC47">
            <v>269832</v>
          </cell>
          <cell r="AD47">
            <v>284135</v>
          </cell>
          <cell r="AE47">
            <v>-14303</v>
          </cell>
        </row>
        <row r="48">
          <cell r="A48">
            <v>2000</v>
          </cell>
          <cell r="B48">
            <v>1063.7660000000001</v>
          </cell>
          <cell r="C48">
            <v>19032.009999999998</v>
          </cell>
          <cell r="D48">
            <v>7399.0259999999998</v>
          </cell>
          <cell r="E48">
            <v>26431.036</v>
          </cell>
          <cell r="F48">
            <v>4795.3370000000004</v>
          </cell>
          <cell r="G48">
            <v>3.4000000000000002E-2</v>
          </cell>
          <cell r="H48">
            <v>4795.3710000000001</v>
          </cell>
          <cell r="I48">
            <v>265.48500000000001</v>
          </cell>
          <cell r="J48">
            <v>32555.657999999999</v>
          </cell>
          <cell r="K48">
            <v>96.183999999999997</v>
          </cell>
          <cell r="L48">
            <v>28.021999999999998</v>
          </cell>
          <cell r="M48">
            <v>5772.2579999999998</v>
          </cell>
          <cell r="N48">
            <v>5800.28</v>
          </cell>
          <cell r="O48">
            <v>95.091999999999999</v>
          </cell>
          <cell r="P48">
            <v>1.2999999999999999E-2</v>
          </cell>
          <cell r="Q48">
            <v>95.105000000000004</v>
          </cell>
          <cell r="R48">
            <v>3023.1289999999999</v>
          </cell>
          <cell r="S48">
            <v>9014.6980000000003</v>
          </cell>
          <cell r="T48">
            <v>967.58200000000011</v>
          </cell>
          <cell r="U48">
            <v>19003.987999999998</v>
          </cell>
          <cell r="V48">
            <v>1626.768</v>
          </cell>
          <cell r="W48">
            <v>20630.756000000001</v>
          </cell>
          <cell r="X48">
            <v>4700.2450000000008</v>
          </cell>
          <cell r="Y48">
            <v>2.1000000000000005E-2</v>
          </cell>
          <cell r="Z48">
            <v>4700.2660000000005</v>
          </cell>
          <cell r="AA48">
            <v>-2757.6439999999998</v>
          </cell>
          <cell r="AB48">
            <v>23540.959999999999</v>
          </cell>
          <cell r="AC48">
            <v>329907</v>
          </cell>
          <cell r="AD48">
            <v>325711</v>
          </cell>
          <cell r="AE48">
            <v>4196</v>
          </cell>
        </row>
        <row r="49">
          <cell r="A49">
            <v>2001</v>
          </cell>
          <cell r="B49">
            <v>964.45699999999999</v>
          </cell>
          <cell r="C49">
            <v>17315.498</v>
          </cell>
          <cell r="D49">
            <v>6570.8620000000001</v>
          </cell>
          <cell r="E49">
            <v>23886.36</v>
          </cell>
          <cell r="F49">
            <v>6208.6790000000001</v>
          </cell>
          <cell r="G49">
            <v>0.03</v>
          </cell>
          <cell r="H49">
            <v>6208.7089999999998</v>
          </cell>
          <cell r="I49">
            <v>225.86699999999999</v>
          </cell>
          <cell r="J49">
            <v>31285.392999999996</v>
          </cell>
          <cell r="K49">
            <v>92.227000000000004</v>
          </cell>
          <cell r="L49">
            <v>8.77</v>
          </cell>
          <cell r="M49">
            <v>5031.5079999999998</v>
          </cell>
          <cell r="N49">
            <v>5040.2780000000002</v>
          </cell>
          <cell r="O49">
            <v>146.81899999999999</v>
          </cell>
          <cell r="P49">
            <v>0</v>
          </cell>
          <cell r="Q49">
            <v>146.81899999999999</v>
          </cell>
          <cell r="R49">
            <v>3087.8760000000002</v>
          </cell>
          <cell r="S49">
            <v>8367.2000000000007</v>
          </cell>
          <cell r="T49">
            <v>872.23</v>
          </cell>
          <cell r="U49">
            <v>17306.727999999999</v>
          </cell>
          <cell r="V49">
            <v>1539.3540000000003</v>
          </cell>
          <cell r="W49">
            <v>18846.082000000002</v>
          </cell>
          <cell r="X49">
            <v>6061.86</v>
          </cell>
          <cell r="Y49">
            <v>0.03</v>
          </cell>
          <cell r="Z49">
            <v>6061.8899999999994</v>
          </cell>
          <cell r="AA49">
            <v>-2862.009</v>
          </cell>
          <cell r="AB49">
            <v>22918.192999999996</v>
          </cell>
          <cell r="AC49">
            <v>331446</v>
          </cell>
          <cell r="AD49">
            <v>331935</v>
          </cell>
          <cell r="AE49">
            <v>-489</v>
          </cell>
        </row>
      </sheetData>
      <sheetData sheetId="17" refreshError="1"/>
      <sheetData sheetId="18"/>
      <sheetData sheetId="19"/>
      <sheetData sheetId="20" refreshError="1"/>
      <sheetData sheetId="21"/>
      <sheetData sheetId="22" refreshError="1"/>
      <sheetData sheetId="23"/>
      <sheetData sheetId="24" refreshError="1"/>
      <sheetData sheetId="25"/>
      <sheetData sheetId="26" refreshError="1"/>
      <sheetData sheetId="27" refreshError="1"/>
      <sheetData sheetId="28" refreshError="1"/>
      <sheetData sheetId="29"/>
      <sheetData sheetId="30" refreshError="1"/>
      <sheetData sheetId="31"/>
      <sheetData sheetId="32"/>
      <sheetData sheetId="3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T"/>
      <sheetName val="GHG"/>
      <sheetName val="TAX"/>
      <sheetName val="HH"/>
      <sheetName val="OTH"/>
      <sheetName val="ENR"/>
    </sheetNames>
    <sheetDataSet>
      <sheetData sheetId="0">
        <row r="29">
          <cell r="W29">
            <v>225.056957533</v>
          </cell>
          <cell r="X29">
            <v>0</v>
          </cell>
          <cell r="Y29">
            <v>0</v>
          </cell>
          <cell r="Z29">
            <v>18437.085236234299</v>
          </cell>
          <cell r="AA29">
            <v>313.38706595209999</v>
          </cell>
        </row>
      </sheetData>
      <sheetData sheetId="1"/>
      <sheetData sheetId="2"/>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ning"/>
      <sheetName val="Intro"/>
      <sheetName val="Notes"/>
      <sheetName val="Organisation"/>
      <sheetName val="MAJRun2_temp"/>
      <sheetName val="Parametres"/>
      <sheetName val="FE"/>
      <sheetName val="BDD_entree_(non utilisé)"/>
      <sheetName val="BDD_sorties"/>
      <sheetName val="corr_stats"/>
      <sheetName val="Codes_bilans"/>
      <sheetName val="ind_calc"/>
      <sheetName val="ind_inp"/>
      <sheetName val="res_calc"/>
      <sheetName val="res_inp"/>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78">
          <cell r="L78">
            <v>132.01429519999999</v>
          </cell>
          <cell r="M78">
            <v>149.69917887999998</v>
          </cell>
          <cell r="N78">
            <v>169.0574368</v>
          </cell>
          <cell r="O78">
            <v>179.04003680000002</v>
          </cell>
          <cell r="P78">
            <v>203.78690480000003</v>
          </cell>
          <cell r="Q78">
            <v>220.28481680000002</v>
          </cell>
          <cell r="R78">
            <v>245.03168480000002</v>
          </cell>
          <cell r="S78">
            <v>261.52959679999998</v>
          </cell>
          <cell r="U78">
            <v>302.77437679999997</v>
          </cell>
          <cell r="V78">
            <v>334.00438773731452</v>
          </cell>
        </row>
        <row r="79">
          <cell r="L79">
            <v>21.615237384864795</v>
          </cell>
          <cell r="M79">
            <v>25.540432696864794</v>
          </cell>
          <cell r="N79">
            <v>31.510064824864795</v>
          </cell>
          <cell r="O79">
            <v>35.494404824864795</v>
          </cell>
          <cell r="P79">
            <v>48.091586024864796</v>
          </cell>
          <cell r="Q79">
            <v>56.489706824864797</v>
          </cell>
          <cell r="R79">
            <v>69.086888024864791</v>
          </cell>
          <cell r="S79">
            <v>77.485008824864792</v>
          </cell>
          <cell r="U79">
            <v>98.480310824864787</v>
          </cell>
          <cell r="V79">
            <v>109.46232066844792</v>
          </cell>
        </row>
        <row r="80">
          <cell r="L80">
            <v>60.506572974000001</v>
          </cell>
          <cell r="M80">
            <v>60.506572974000001</v>
          </cell>
          <cell r="N80">
            <v>60.506572974000001</v>
          </cell>
          <cell r="O80">
            <v>60.506572974000001</v>
          </cell>
          <cell r="P80">
            <v>60.506572974000001</v>
          </cell>
          <cell r="Q80">
            <v>60.506572974000001</v>
          </cell>
          <cell r="R80">
            <v>60.506572974000001</v>
          </cell>
          <cell r="S80">
            <v>60.506572974000001</v>
          </cell>
          <cell r="U80">
            <v>60.506572974000001</v>
          </cell>
          <cell r="V80">
            <v>60.506572974000001</v>
          </cell>
        </row>
        <row r="81">
          <cell r="L81">
            <v>47.972484841135206</v>
          </cell>
          <cell r="M81">
            <v>53.964173209135204</v>
          </cell>
          <cell r="N81">
            <v>62.960799001135207</v>
          </cell>
          <cell r="O81">
            <v>68.959059001135202</v>
          </cell>
          <cell r="P81">
            <v>81.108745801135214</v>
          </cell>
          <cell r="Q81">
            <v>89.208537001135213</v>
          </cell>
          <cell r="R81">
            <v>101.35822380113521</v>
          </cell>
          <cell r="S81">
            <v>109.45801500113521</v>
          </cell>
          <cell r="U81">
            <v>129.70749300113522</v>
          </cell>
          <cell r="V81">
            <v>149.95549409486665</v>
          </cell>
        </row>
        <row r="82">
          <cell r="L82">
            <v>1.92</v>
          </cell>
          <cell r="M82">
            <v>9.6880000000000006</v>
          </cell>
          <cell r="N82">
            <v>14.08</v>
          </cell>
          <cell r="O82">
            <v>14.08</v>
          </cell>
          <cell r="P82">
            <v>14.08</v>
          </cell>
          <cell r="Q82">
            <v>14.08</v>
          </cell>
          <cell r="R82">
            <v>14.08</v>
          </cell>
          <cell r="S82">
            <v>14.08</v>
          </cell>
          <cell r="U82">
            <v>14.08</v>
          </cell>
          <cell r="V82">
            <v>14.08</v>
          </cell>
        </row>
        <row r="103">
          <cell r="L103">
            <v>136.541660357544</v>
          </cell>
          <cell r="M103">
            <v>149.99658395186401</v>
          </cell>
          <cell r="N103">
            <v>180.67950765562563</v>
          </cell>
          <cell r="O103">
            <v>201.13479012480002</v>
          </cell>
          <cell r="P103">
            <v>248.09457300288005</v>
          </cell>
          <cell r="Q103">
            <v>279.40109492160008</v>
          </cell>
          <cell r="R103">
            <v>332.69961632256008</v>
          </cell>
          <cell r="S103">
            <v>368.23196392320006</v>
          </cell>
          <cell r="U103">
            <v>457.63753552800011</v>
          </cell>
          <cell r="V103">
            <v>558.82464636600002</v>
          </cell>
        </row>
        <row r="104">
          <cell r="L104">
            <v>21.788887402922796</v>
          </cell>
          <cell r="M104">
            <v>28.401265098662794</v>
          </cell>
          <cell r="N104">
            <v>44.592221076484002</v>
          </cell>
          <cell r="O104">
            <v>55.386191728364793</v>
          </cell>
          <cell r="P104">
            <v>71.863789886924792</v>
          </cell>
          <cell r="Q104">
            <v>82.848855325964792</v>
          </cell>
          <cell r="R104">
            <v>99.273238376684816</v>
          </cell>
          <cell r="S104">
            <v>110.22282707716482</v>
          </cell>
          <cell r="U104">
            <v>137.75188578076484</v>
          </cell>
          <cell r="V104">
            <v>165.24759890926484</v>
          </cell>
        </row>
        <row r="105">
          <cell r="L105">
            <v>62.534571648577206</v>
          </cell>
          <cell r="M105">
            <v>62.533892828293205</v>
          </cell>
          <cell r="N105">
            <v>63.686873893481277</v>
          </cell>
          <cell r="O105">
            <v>64.455527936940001</v>
          </cell>
          <cell r="P105">
            <v>65.774786480844</v>
          </cell>
          <cell r="Q105">
            <v>66.654292176780004</v>
          </cell>
          <cell r="R105">
            <v>67.822835046828004</v>
          </cell>
          <cell r="S105">
            <v>68.601863626860009</v>
          </cell>
          <cell r="U105">
            <v>70.927694207100004</v>
          </cell>
          <cell r="V105">
            <v>73.251301749000007</v>
          </cell>
        </row>
        <row r="106">
          <cell r="L106">
            <v>46.293375306044005</v>
          </cell>
          <cell r="M106">
            <v>51.12618002490801</v>
          </cell>
          <cell r="N106">
            <v>60.69976828566034</v>
          </cell>
          <cell r="O106">
            <v>67.082160459495228</v>
          </cell>
          <cell r="P106">
            <v>76.732186635111233</v>
          </cell>
          <cell r="Q106">
            <v>83.165537418855237</v>
          </cell>
          <cell r="R106">
            <v>95.219132899047239</v>
          </cell>
          <cell r="S106">
            <v>103.25486321917523</v>
          </cell>
          <cell r="U106">
            <v>123.38554554013523</v>
          </cell>
          <cell r="V106">
            <v>143.50733570773522</v>
          </cell>
        </row>
        <row r="107">
          <cell r="L107">
            <v>5.9248260000000004</v>
          </cell>
          <cell r="M107">
            <v>7.9352460000000011</v>
          </cell>
          <cell r="N107">
            <v>11.700644400000002</v>
          </cell>
          <cell r="O107">
            <v>14.210910000000002</v>
          </cell>
          <cell r="P107">
            <v>33.72381</v>
          </cell>
          <cell r="Q107">
            <v>46.732409999999994</v>
          </cell>
          <cell r="R107">
            <v>70.384410000000003</v>
          </cell>
          <cell r="S107">
            <v>86.152410000000003</v>
          </cell>
          <cell r="U107">
            <v>125.57241000000003</v>
          </cell>
          <cell r="V107">
            <v>176.81841000000003</v>
          </cell>
        </row>
        <row r="124">
          <cell r="L124">
            <v>0.90570479999999998</v>
          </cell>
          <cell r="M124">
            <v>0.98882112000000011</v>
          </cell>
          <cell r="N124">
            <v>1.0225632</v>
          </cell>
          <cell r="O124">
            <v>1.0399632000000001</v>
          </cell>
          <cell r="P124">
            <v>1.0430952000000002</v>
          </cell>
          <cell r="Q124">
            <v>1.0451832000000001</v>
          </cell>
          <cell r="R124">
            <v>1.0483152</v>
          </cell>
          <cell r="S124">
            <v>1.0504032000000001</v>
          </cell>
          <cell r="U124">
            <v>1.0556232000000003</v>
          </cell>
          <cell r="V124">
            <v>1.0756122626854152</v>
          </cell>
        </row>
        <row r="125">
          <cell r="L125">
            <v>0.38476261513520615</v>
          </cell>
          <cell r="M125">
            <v>0.45956730313520633</v>
          </cell>
          <cell r="N125">
            <v>0.48993517513520624</v>
          </cell>
          <cell r="O125">
            <v>0.50559517513520624</v>
          </cell>
          <cell r="P125">
            <v>0.50841397513520625</v>
          </cell>
          <cell r="Q125">
            <v>0.51029317513520633</v>
          </cell>
          <cell r="R125">
            <v>0.51311197513520634</v>
          </cell>
          <cell r="S125">
            <v>0.51499117513520631</v>
          </cell>
          <cell r="U125">
            <v>0.51968917513520652</v>
          </cell>
          <cell r="V125">
            <v>0.53767933155207992</v>
          </cell>
        </row>
        <row r="126">
          <cell r="L126">
            <v>0.49342702599999999</v>
          </cell>
          <cell r="M126">
            <v>0.49342702599999999</v>
          </cell>
          <cell r="N126">
            <v>0.49342702599999999</v>
          </cell>
          <cell r="O126">
            <v>0.49342702599999999</v>
          </cell>
          <cell r="P126">
            <v>0.49342702599999999</v>
          </cell>
          <cell r="Q126">
            <v>0.49342702599999999</v>
          </cell>
          <cell r="R126">
            <v>0.49342702599999999</v>
          </cell>
          <cell r="S126">
            <v>0.49342702599999999</v>
          </cell>
          <cell r="U126">
            <v>0.49342702599999999</v>
          </cell>
          <cell r="V126">
            <v>0.49342702599999999</v>
          </cell>
        </row>
        <row r="127">
          <cell r="L127">
            <v>2.7515158864793804E-2</v>
          </cell>
          <cell r="M127">
            <v>3.5826790864793817E-2</v>
          </cell>
          <cell r="N127">
            <v>3.9200998864793807E-2</v>
          </cell>
          <cell r="O127">
            <v>4.0940998864793812E-2</v>
          </cell>
          <cell r="P127">
            <v>4.1254198864793812E-2</v>
          </cell>
          <cell r="Q127">
            <v>4.1462998864793814E-2</v>
          </cell>
          <cell r="R127">
            <v>4.1776198864793813E-2</v>
          </cell>
          <cell r="S127">
            <v>4.1984998864793815E-2</v>
          </cell>
          <cell r="U127">
            <v>4.2506998864793838E-2</v>
          </cell>
          <cell r="V127">
            <v>4.4505905133335327E-2</v>
          </cell>
        </row>
        <row r="128">
          <cell r="L128">
            <v>0</v>
          </cell>
          <cell r="M128">
            <v>0</v>
          </cell>
          <cell r="N128">
            <v>0</v>
          </cell>
          <cell r="O128">
            <v>0</v>
          </cell>
          <cell r="P128">
            <v>0</v>
          </cell>
          <cell r="Q128">
            <v>0</v>
          </cell>
          <cell r="R128">
            <v>0</v>
          </cell>
          <cell r="S128">
            <v>0</v>
          </cell>
          <cell r="U128">
            <v>0</v>
          </cell>
          <cell r="V128">
            <v>0</v>
          </cell>
        </row>
        <row r="141">
          <cell r="L141">
            <v>0.92157364245600015</v>
          </cell>
          <cell r="M141">
            <v>0.935150048136</v>
          </cell>
          <cell r="N141">
            <v>1.4224087443744002</v>
          </cell>
          <cell r="O141">
            <v>1.7472478752000007</v>
          </cell>
          <cell r="P141">
            <v>1.8523169971200004</v>
          </cell>
          <cell r="Q141">
            <v>1.9223630784000003</v>
          </cell>
          <cell r="R141">
            <v>2.09838567744</v>
          </cell>
          <cell r="S141">
            <v>2.2157340768</v>
          </cell>
          <cell r="U141">
            <v>2.3023224720000002</v>
          </cell>
          <cell r="V141">
            <v>2.4333716340000002</v>
          </cell>
        </row>
        <row r="142">
          <cell r="L142">
            <v>0.37216059707720628</v>
          </cell>
          <cell r="M142">
            <v>0.38234290133720616</v>
          </cell>
          <cell r="N142">
            <v>0.74778692351600617</v>
          </cell>
          <cell r="O142">
            <v>0.99141627163520651</v>
          </cell>
          <cell r="P142">
            <v>1.0702181130752064</v>
          </cell>
          <cell r="Q142">
            <v>1.1227526740352063</v>
          </cell>
          <cell r="R142">
            <v>1.2547696233152061</v>
          </cell>
          <cell r="S142">
            <v>1.3427809228352061</v>
          </cell>
          <cell r="U142">
            <v>1.4077222192352064</v>
          </cell>
          <cell r="V142">
            <v>1.5060090907352062</v>
          </cell>
        </row>
        <row r="143">
          <cell r="L143">
            <v>0.50238835142280003</v>
          </cell>
          <cell r="M143">
            <v>0.50306717170680004</v>
          </cell>
          <cell r="N143">
            <v>0.52743010651872002</v>
          </cell>
          <cell r="O143">
            <v>0.54367206306000004</v>
          </cell>
          <cell r="P143">
            <v>0.54892551915600007</v>
          </cell>
          <cell r="Q143">
            <v>0.55242782322000006</v>
          </cell>
          <cell r="R143">
            <v>0.56122895317200006</v>
          </cell>
          <cell r="S143">
            <v>0.56709637314000005</v>
          </cell>
          <cell r="U143">
            <v>0.57142579290000006</v>
          </cell>
          <cell r="V143">
            <v>0.57797825100000011</v>
          </cell>
        </row>
        <row r="144">
          <cell r="L144">
            <v>4.7024693955993839E-2</v>
          </cell>
          <cell r="M144">
            <v>4.9739975091993807E-2</v>
          </cell>
          <cell r="N144">
            <v>0.14719171433967382</v>
          </cell>
          <cell r="O144">
            <v>0.21215954050479391</v>
          </cell>
          <cell r="P144">
            <v>0.23317336488879389</v>
          </cell>
          <cell r="Q144">
            <v>0.24718258114479388</v>
          </cell>
          <cell r="R144">
            <v>0.28238710095279385</v>
          </cell>
          <cell r="S144">
            <v>0.30585678082479384</v>
          </cell>
          <cell r="U144">
            <v>0.32317445986479387</v>
          </cell>
          <cell r="V144">
            <v>0.34938429226479389</v>
          </cell>
        </row>
        <row r="145">
          <cell r="L145">
            <v>0</v>
          </cell>
          <cell r="M145">
            <v>0</v>
          </cell>
          <cell r="N145">
            <v>0</v>
          </cell>
          <cell r="O145">
            <v>0</v>
          </cell>
          <cell r="P145">
            <v>0</v>
          </cell>
          <cell r="Q145">
            <v>0</v>
          </cell>
          <cell r="R145">
            <v>0</v>
          </cell>
          <cell r="S145">
            <v>0</v>
          </cell>
          <cell r="U145">
            <v>0</v>
          </cell>
          <cell r="V145">
            <v>0</v>
          </cell>
        </row>
        <row r="157">
          <cell r="L157">
            <v>0.3181137511559633</v>
          </cell>
          <cell r="M157">
            <v>0.3181137511559633</v>
          </cell>
          <cell r="N157">
            <v>0.3181137511559633</v>
          </cell>
          <cell r="O157">
            <v>0.3181137511559633</v>
          </cell>
          <cell r="P157">
            <v>0.3181137511559633</v>
          </cell>
          <cell r="Q157">
            <v>0.3181137511559633</v>
          </cell>
          <cell r="R157">
            <v>0.3181137511559633</v>
          </cell>
          <cell r="S157">
            <v>0.3181137511559633</v>
          </cell>
          <cell r="U157">
            <v>0.3181137511559633</v>
          </cell>
          <cell r="V157">
            <v>0.3181137511559633</v>
          </cell>
        </row>
        <row r="158">
          <cell r="L158">
            <v>0.44</v>
          </cell>
          <cell r="M158">
            <v>0.44</v>
          </cell>
          <cell r="N158">
            <v>0.44</v>
          </cell>
          <cell r="O158">
            <v>0.44</v>
          </cell>
          <cell r="P158">
            <v>0.44</v>
          </cell>
          <cell r="Q158">
            <v>0.44</v>
          </cell>
          <cell r="R158">
            <v>0.44</v>
          </cell>
          <cell r="S158">
            <v>0.44</v>
          </cell>
          <cell r="U158">
            <v>0.44</v>
          </cell>
          <cell r="V158">
            <v>0.44</v>
          </cell>
        </row>
        <row r="160">
          <cell r="L160">
            <v>0.52600000000000002</v>
          </cell>
          <cell r="M160">
            <v>0.53</v>
          </cell>
          <cell r="N160">
            <v>0.54200000000000004</v>
          </cell>
          <cell r="O160">
            <v>0.55000000000000004</v>
          </cell>
          <cell r="P160">
            <v>0.5575</v>
          </cell>
          <cell r="Q160">
            <v>0.5625</v>
          </cell>
          <cell r="R160">
            <v>0.57000000000000006</v>
          </cell>
          <cell r="S160">
            <v>0.57499999999999996</v>
          </cell>
          <cell r="U160">
            <v>0.58750000000000002</v>
          </cell>
          <cell r="V160">
            <v>0.6</v>
          </cell>
        </row>
        <row r="161">
          <cell r="L161">
            <v>0.52600000000000002</v>
          </cell>
          <cell r="M161">
            <v>0.53</v>
          </cell>
          <cell r="N161">
            <v>0.54200000000000004</v>
          </cell>
          <cell r="O161">
            <v>0.55000000000000004</v>
          </cell>
          <cell r="P161">
            <v>0.5575</v>
          </cell>
          <cell r="Q161">
            <v>0.5625</v>
          </cell>
          <cell r="R161">
            <v>0.57000000000000006</v>
          </cell>
          <cell r="S161">
            <v>0.57499999999999996</v>
          </cell>
          <cell r="U161">
            <v>0.58750000000000002</v>
          </cell>
          <cell r="V161">
            <v>0.6</v>
          </cell>
        </row>
        <row r="170">
          <cell r="L170">
            <v>0.23399999999999999</v>
          </cell>
          <cell r="M170">
            <v>0.25</v>
          </cell>
          <cell r="N170">
            <v>0.27999999999999997</v>
          </cell>
          <cell r="O170">
            <v>0.3</v>
          </cell>
          <cell r="P170">
            <v>0.315</v>
          </cell>
          <cell r="Q170">
            <v>0.32500000000000001</v>
          </cell>
          <cell r="R170">
            <v>0.34</v>
          </cell>
          <cell r="S170">
            <v>0.35000000000000003</v>
          </cell>
          <cell r="U170">
            <v>0.375</v>
          </cell>
          <cell r="V170">
            <v>0.4</v>
          </cell>
        </row>
        <row r="171">
          <cell r="L171">
            <v>0.23399999999999999</v>
          </cell>
          <cell r="M171">
            <v>0.25</v>
          </cell>
          <cell r="N171">
            <v>0.27999999999999997</v>
          </cell>
          <cell r="O171">
            <v>0.3</v>
          </cell>
          <cell r="P171">
            <v>0.315</v>
          </cell>
          <cell r="Q171">
            <v>0.32500000000000001</v>
          </cell>
          <cell r="R171">
            <v>0.34</v>
          </cell>
          <cell r="S171">
            <v>0.35000000000000003</v>
          </cell>
          <cell r="U171">
            <v>0.375</v>
          </cell>
          <cell r="V171">
            <v>0.4</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0.bin"/></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7841-75EF-4B73-BA08-CFA615B94BD5}">
  <dimension ref="A1:DL57"/>
  <sheetViews>
    <sheetView topLeftCell="A3" zoomScale="55" zoomScaleNormal="55" workbookViewId="0">
      <selection activeCell="AE21" sqref="AE21"/>
    </sheetView>
  </sheetViews>
  <sheetFormatPr baseColWidth="10" defaultColWidth="11.453125" defaultRowHeight="12"/>
  <cols>
    <col min="1" max="1" width="53.7265625" style="193" bestFit="1" customWidth="1"/>
    <col min="2" max="2" width="11" style="193" customWidth="1"/>
    <col min="3" max="4" width="7.7265625" style="222" bestFit="1" customWidth="1"/>
    <col min="5" max="6" width="7.7265625" style="222" customWidth="1"/>
    <col min="7" max="12" width="12.26953125" style="222" customWidth="1"/>
    <col min="13" max="13" width="8.7265625" style="193" customWidth="1"/>
    <col min="14" max="14" width="8.7265625" style="574" customWidth="1"/>
    <col min="15" max="15" width="7.81640625" style="574" customWidth="1"/>
    <col min="16" max="16" width="7.26953125" style="574" customWidth="1"/>
    <col min="17" max="17" width="34.26953125" style="193" customWidth="1"/>
    <col min="18" max="18" width="11.1796875" style="193" customWidth="1"/>
    <col min="19" max="20" width="5.54296875" style="193" bestFit="1" customWidth="1"/>
    <col min="21" max="28" width="5.54296875" style="193" customWidth="1"/>
    <col min="29" max="29" width="9" style="193" bestFit="1" customWidth="1"/>
    <col min="30" max="30" width="11.453125" style="193"/>
    <col min="31" max="31" width="40.26953125" style="193" customWidth="1"/>
    <col min="32" max="36" width="10.453125" style="193" customWidth="1"/>
    <col min="37" max="38" width="9.6328125" style="193" customWidth="1"/>
    <col min="39" max="40" width="10" style="193" customWidth="1"/>
    <col min="41" max="41" width="10.08984375" style="193" customWidth="1"/>
    <col min="42" max="42" width="9.7265625" style="193" customWidth="1"/>
    <col min="43" max="43" width="10" style="193" customWidth="1"/>
    <col min="44" max="44" width="11.453125" style="193"/>
    <col min="45" max="45" width="54.26953125" style="193" customWidth="1"/>
    <col min="46" max="47" width="11.453125" style="193" customWidth="1"/>
    <col min="48" max="56" width="11.453125" style="193"/>
    <col min="57" max="57" width="10.08984375" style="193" customWidth="1"/>
    <col min="58" max="58" width="9.90625" style="206" customWidth="1"/>
    <col min="59" max="59" width="42.81640625" style="193" customWidth="1"/>
    <col min="60" max="60" width="9.54296875" style="193" customWidth="1"/>
    <col min="61" max="64" width="11.453125" style="193"/>
    <col min="65" max="65" width="11.7265625" style="193" bestFit="1" customWidth="1"/>
    <col min="66" max="70" width="11.7265625" style="193" customWidth="1"/>
    <col min="71" max="71" width="11.453125" style="193" customWidth="1"/>
    <col min="72" max="72" width="20.453125" style="193" customWidth="1"/>
    <col min="73" max="73" width="24.7265625" style="193" customWidth="1"/>
    <col min="74" max="85" width="11.453125" style="193" customWidth="1"/>
    <col min="86" max="86" width="19.1796875" style="193" customWidth="1"/>
    <col min="87" max="87" width="11.453125" style="193" customWidth="1"/>
    <col min="88" max="88" width="50.1796875" style="193" customWidth="1"/>
    <col min="89" max="89" width="6" style="193" customWidth="1"/>
    <col min="90" max="100" width="11.453125" style="193" customWidth="1"/>
    <col min="101" max="102" width="11.453125" style="193"/>
    <col min="103" max="103" width="33.6328125" style="193" customWidth="1"/>
    <col min="104" max="104" width="19.81640625" style="193" customWidth="1"/>
    <col min="105" max="109" width="10.453125" style="193" customWidth="1"/>
    <col min="110" max="16384" width="11.453125" style="193"/>
  </cols>
  <sheetData>
    <row r="1" spans="1:116">
      <c r="B1" s="193">
        <v>2015</v>
      </c>
      <c r="C1" s="194">
        <v>2020</v>
      </c>
      <c r="D1" s="194">
        <v>2023</v>
      </c>
      <c r="E1" s="195">
        <v>2025</v>
      </c>
      <c r="F1" s="195">
        <v>2028</v>
      </c>
      <c r="G1" s="195">
        <v>2030</v>
      </c>
      <c r="H1" s="195">
        <v>2033</v>
      </c>
      <c r="I1" s="195">
        <v>2035</v>
      </c>
      <c r="J1" s="195">
        <v>2038</v>
      </c>
      <c r="K1" s="195">
        <v>2040</v>
      </c>
      <c r="L1" s="195">
        <v>2045</v>
      </c>
      <c r="M1" s="677">
        <v>2050</v>
      </c>
      <c r="N1" s="677"/>
      <c r="O1" s="678"/>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9">
        <v>2038</v>
      </c>
      <c r="BC1" s="549">
        <v>2040</v>
      </c>
      <c r="BD1" s="549">
        <v>2045</v>
      </c>
      <c r="BE1" s="193">
        <v>2050</v>
      </c>
    </row>
    <row r="2" spans="1:116" ht="14.5">
      <c r="A2" s="196" t="s">
        <v>10</v>
      </c>
      <c r="B2" s="197">
        <f t="shared" ref="B2" si="0">B3+B9+B28+B38</f>
        <v>256.0122500057156</v>
      </c>
      <c r="C2" s="197">
        <f t="shared" ref="C2:M2" si="1">C3+C9+C28+C38</f>
        <v>2559.7800174335421</v>
      </c>
      <c r="D2" s="197">
        <f t="shared" si="1"/>
        <v>2630.002107236523</v>
      </c>
      <c r="E2" s="197">
        <f t="shared" si="1"/>
        <v>2724.2956738723865</v>
      </c>
      <c r="F2" s="197">
        <f t="shared" si="1"/>
        <v>2678.5122863720326</v>
      </c>
      <c r="G2" s="197">
        <f t="shared" si="1"/>
        <v>2645.6934582813483</v>
      </c>
      <c r="H2" s="197">
        <f t="shared" si="1"/>
        <v>2557.1577904897672</v>
      </c>
      <c r="I2" s="197">
        <f t="shared" si="1"/>
        <v>2498.2261063021315</v>
      </c>
      <c r="J2" s="197">
        <f t="shared" si="1"/>
        <v>2418.1247907368247</v>
      </c>
      <c r="K2" s="197">
        <f t="shared" si="1"/>
        <v>2364.6954821727309</v>
      </c>
      <c r="L2" s="197">
        <f t="shared" si="1"/>
        <v>2245.6361672888593</v>
      </c>
      <c r="M2" s="197">
        <f t="shared" si="1"/>
        <v>2161.9320758013637</v>
      </c>
      <c r="N2" s="575">
        <f>C2-'Bilan 2020'!$C$5</f>
        <v>0</v>
      </c>
      <c r="O2" s="575">
        <f>G2-'Bilan 2030'!$C$5</f>
        <v>0</v>
      </c>
      <c r="P2" s="575">
        <f>M2-'Bilan 2050'!$C$5</f>
        <v>0</v>
      </c>
      <c r="Q2" s="570" t="s">
        <v>261</v>
      </c>
      <c r="R2" s="198">
        <f t="shared" ref="R2" si="2">R3+R7+R16+R23</f>
        <v>256.02225000571565</v>
      </c>
      <c r="S2" s="198">
        <f t="shared" ref="S2:AC2" si="3">S3+S7+S16+S23</f>
        <v>2559.7900174335423</v>
      </c>
      <c r="T2" s="198">
        <f t="shared" si="3"/>
        <v>2630.0121072365232</v>
      </c>
      <c r="U2" s="198">
        <f t="shared" si="3"/>
        <v>2724.3057738723865</v>
      </c>
      <c r="V2" s="198">
        <f t="shared" ref="V2" si="4">V3+V7+V16+V23</f>
        <v>2678.5223863720325</v>
      </c>
      <c r="W2" s="198">
        <f t="shared" ref="W2" si="5">W3+W7+W16+W23</f>
        <v>2645.7035582813487</v>
      </c>
      <c r="X2" s="198">
        <f t="shared" ref="X2" si="6">X3+X7+X16+X23</f>
        <v>2557.1678904897672</v>
      </c>
      <c r="Y2" s="198">
        <f t="shared" ref="Y2" si="7">Y3+Y7+Y16+Y23</f>
        <v>2498.236206302131</v>
      </c>
      <c r="Z2" s="198">
        <f t="shared" ref="Z2" si="8">Z3+Z7+Z16+Z23</f>
        <v>2418.1348907368247</v>
      </c>
      <c r="AA2" s="198">
        <f t="shared" ref="AA2" si="9">AA3+AA7+AA16+AA23</f>
        <v>2364.7055821727313</v>
      </c>
      <c r="AB2" s="198">
        <f t="shared" ref="AB2" si="10">AB3+AB7+AB16+AB23</f>
        <v>2245.6462672888592</v>
      </c>
      <c r="AC2" s="198">
        <f t="shared" si="3"/>
        <v>2161.9422758013634</v>
      </c>
      <c r="AE2" s="198" t="s">
        <v>262</v>
      </c>
      <c r="AF2" s="198">
        <f t="shared" ref="AF2" si="11">AF3+AF8+AF18+AF27</f>
        <v>138.32091342986342</v>
      </c>
      <c r="AG2" s="198">
        <f t="shared" ref="AG2:AQ2" si="12">AG3+AG8+AG18+AG27</f>
        <v>1463.3250412379907</v>
      </c>
      <c r="AH2" s="198">
        <f t="shared" si="12"/>
        <v>1510.9372654542078</v>
      </c>
      <c r="AI2" s="198">
        <f t="shared" si="12"/>
        <v>1507.8023520767133</v>
      </c>
      <c r="AJ2" s="198">
        <f t="shared" si="12"/>
        <v>1462.5806492254687</v>
      </c>
      <c r="AK2" s="198">
        <f t="shared" si="12"/>
        <v>1432.4749700797863</v>
      </c>
      <c r="AL2" s="198">
        <f t="shared" si="12"/>
        <v>1409.9429352165109</v>
      </c>
      <c r="AM2" s="198">
        <f t="shared" si="12"/>
        <v>1394.8736612461164</v>
      </c>
      <c r="AN2" s="198">
        <f t="shared" si="12"/>
        <v>1376.544091562816</v>
      </c>
      <c r="AO2" s="198">
        <f t="shared" si="12"/>
        <v>1364.1419598612613</v>
      </c>
      <c r="AP2" s="198">
        <f t="shared" si="12"/>
        <v>1345.1364964717754</v>
      </c>
      <c r="AQ2" s="198">
        <f t="shared" si="12"/>
        <v>1337.3206190218207</v>
      </c>
      <c r="AS2" s="198" t="s">
        <v>263</v>
      </c>
      <c r="AT2" s="198">
        <f t="shared" ref="AT2" si="13">AT3+AT8+AT18+AT27</f>
        <v>155.0998184767825</v>
      </c>
      <c r="AU2" s="198">
        <f t="shared" ref="AU2:BE2" si="14">AU3+AU8+AU18+AU27</f>
        <v>1633.6423079237254</v>
      </c>
      <c r="AV2" s="198">
        <f t="shared" si="14"/>
        <v>1698.3206928676525</v>
      </c>
      <c r="AW2" s="198">
        <f t="shared" si="14"/>
        <v>1689.5031204601557</v>
      </c>
      <c r="AX2" s="198">
        <f t="shared" si="14"/>
        <v>1638.926852025967</v>
      </c>
      <c r="AY2" s="198">
        <f t="shared" si="14"/>
        <v>1605.2455436121345</v>
      </c>
      <c r="AZ2" s="198">
        <f t="shared" si="14"/>
        <v>1579.5552395500665</v>
      </c>
      <c r="BA2" s="198">
        <f t="shared" si="14"/>
        <v>1562.3713945962411</v>
      </c>
      <c r="BB2" s="198">
        <f t="shared" si="14"/>
        <v>1541.3693574294102</v>
      </c>
      <c r="BC2" s="198">
        <f t="shared" si="14"/>
        <v>1527.1699410605922</v>
      </c>
      <c r="BD2" s="198">
        <f t="shared" si="14"/>
        <v>1504.0705262002423</v>
      </c>
      <c r="BE2" s="198">
        <f t="shared" si="14"/>
        <v>1492.0978726698838</v>
      </c>
      <c r="BF2" s="216">
        <f>BE2-('Bilan 2050'!Q5+SUM('Bilan 2050'!E52:E57))</f>
        <v>9.9999999995361577E-3</v>
      </c>
    </row>
    <row r="3" spans="1:116" ht="13">
      <c r="A3" s="199" t="s">
        <v>264</v>
      </c>
      <c r="B3" s="200">
        <f t="shared" ref="B3" si="15">SUM(B4:B5)</f>
        <v>72.67486672655339</v>
      </c>
      <c r="C3" s="200">
        <f t="shared" ref="C3:M3" si="16">SUM(C4:C5)</f>
        <v>711.27843158471455</v>
      </c>
      <c r="D3" s="200">
        <f t="shared" ref="D3" si="17">SUM(D4:D5)</f>
        <v>736.30127863231212</v>
      </c>
      <c r="E3" s="200">
        <f t="shared" ref="E3:G3" si="18">SUM(E4:E5)</f>
        <v>733.06474056049558</v>
      </c>
      <c r="F3" s="200">
        <f t="shared" ref="F3" si="19">SUM(F4:F5)</f>
        <v>673.75374100706892</v>
      </c>
      <c r="G3" s="200">
        <f t="shared" si="18"/>
        <v>634.13189474255455</v>
      </c>
      <c r="H3" s="200">
        <f t="shared" ref="H3" si="20">SUM(H4:H5)</f>
        <v>586.47864177813028</v>
      </c>
      <c r="I3" s="200">
        <f t="shared" ref="I3" si="21">SUM(I4:I5)</f>
        <v>554.66247973409759</v>
      </c>
      <c r="J3" s="200">
        <f t="shared" ref="J3" si="22">SUM(J4:J5)</f>
        <v>515.12157452638064</v>
      </c>
      <c r="K3" s="200">
        <f t="shared" ref="K3" si="23">SUM(K4:K5)</f>
        <v>488.77015652406527</v>
      </c>
      <c r="L3" s="200">
        <f t="shared" ref="L3" si="24">SUM(L4:L5)</f>
        <v>444.46267908594768</v>
      </c>
      <c r="M3" s="200">
        <f t="shared" si="16"/>
        <v>420.46639893993023</v>
      </c>
      <c r="N3" s="575">
        <f>C3-'Bilan 2020'!$C$33-'Bilan 2020'!$C$41-'Bilan 2020'!$C$42-'Bilan 2020'!$C$43</f>
        <v>0</v>
      </c>
      <c r="O3" s="575">
        <f>G3-'Bilan 2030'!$C$33-'Bilan 2030'!$C$41-'Bilan 2030'!$C$42-'Bilan 2030'!$C$43</f>
        <v>0</v>
      </c>
      <c r="P3" s="575">
        <f>M3-'Bilan 2050'!$C$33-'Bilan 2050'!$C$41-'Bilan 2050'!$C$42-'Bilan 2050'!$C$43</f>
        <v>0</v>
      </c>
      <c r="Q3" s="571" t="s">
        <v>264</v>
      </c>
      <c r="R3" s="201">
        <f>SUM(R4:R6)</f>
        <v>72.67486672655339</v>
      </c>
      <c r="S3" s="201">
        <f>SUM(S4:S6)</f>
        <v>711.27843158471455</v>
      </c>
      <c r="T3" s="201">
        <f>SUM(T4:T6)</f>
        <v>736.30127863231212</v>
      </c>
      <c r="U3" s="201">
        <f t="shared" ref="U3:AC3" si="25">SUM(U4:U6)</f>
        <v>733.06474056049558</v>
      </c>
      <c r="V3" s="201">
        <f t="shared" ref="V3:AB3" si="26">SUM(V4:V6)</f>
        <v>673.75374100706892</v>
      </c>
      <c r="W3" s="201">
        <f t="shared" si="26"/>
        <v>634.13189474255455</v>
      </c>
      <c r="X3" s="201">
        <f t="shared" si="26"/>
        <v>586.47864177813028</v>
      </c>
      <c r="Y3" s="201">
        <f t="shared" si="26"/>
        <v>554.66247973409759</v>
      </c>
      <c r="Z3" s="201">
        <f t="shared" si="26"/>
        <v>515.12157452638064</v>
      </c>
      <c r="AA3" s="201">
        <f t="shared" si="26"/>
        <v>488.77015652406527</v>
      </c>
      <c r="AB3" s="201">
        <f t="shared" si="26"/>
        <v>444.46267908594768</v>
      </c>
      <c r="AC3" s="201">
        <f t="shared" si="25"/>
        <v>420.46639893993023</v>
      </c>
      <c r="AE3" s="201" t="s">
        <v>264</v>
      </c>
      <c r="AF3" s="201">
        <f t="shared" ref="AF3" si="27">SUM(AF4:AF7)</f>
        <v>57.944579607697385</v>
      </c>
      <c r="AG3" s="201">
        <f t="shared" ref="AG3:AQ3" si="28">SUM(AG4:AG7)</f>
        <v>566.6729372944377</v>
      </c>
      <c r="AH3" s="201">
        <f t="shared" si="28"/>
        <v>575.24592221142666</v>
      </c>
      <c r="AI3" s="201">
        <f t="shared" si="28"/>
        <v>575.35059070267107</v>
      </c>
      <c r="AJ3" s="201">
        <f t="shared" si="28"/>
        <v>520.45027868820887</v>
      </c>
      <c r="AK3" s="201">
        <f t="shared" si="28"/>
        <v>483.77337593783869</v>
      </c>
      <c r="AL3" s="201">
        <f t="shared" si="28"/>
        <v>440.38618701361685</v>
      </c>
      <c r="AM3" s="201">
        <f t="shared" si="28"/>
        <v>411.42146756756568</v>
      </c>
      <c r="AN3" s="201">
        <f t="shared" si="28"/>
        <v>375.78164700518238</v>
      </c>
      <c r="AO3" s="201">
        <f t="shared" si="28"/>
        <v>352.04368551012618</v>
      </c>
      <c r="AP3" s="201">
        <f t="shared" si="28"/>
        <v>313.93598831389301</v>
      </c>
      <c r="AQ3" s="201">
        <f t="shared" si="28"/>
        <v>296.17625449177581</v>
      </c>
      <c r="AS3" s="201" t="s">
        <v>264</v>
      </c>
      <c r="AT3" s="201">
        <f>SUM(AT4:AT7)</f>
        <v>70.397579607697395</v>
      </c>
      <c r="AU3" s="201">
        <f>SUM(AU4:AU7)</f>
        <v>697.15705671598573</v>
      </c>
      <c r="AV3" s="201">
        <f t="shared" ref="AV3:BE3" si="29">SUM(AV4:AV7)</f>
        <v>708.35336984389392</v>
      </c>
      <c r="AW3" s="201">
        <f t="shared" si="29"/>
        <v>702.60194479465349</v>
      </c>
      <c r="AX3" s="201">
        <f t="shared" si="29"/>
        <v>643.65697846115552</v>
      </c>
      <c r="AY3" s="201">
        <f t="shared" si="29"/>
        <v>604.27915434326053</v>
      </c>
      <c r="AZ3" s="201">
        <f t="shared" si="29"/>
        <v>557.46349286760858</v>
      </c>
      <c r="BA3" s="201">
        <f t="shared" si="29"/>
        <v>526.20572514942421</v>
      </c>
      <c r="BB3" s="201">
        <f t="shared" si="29"/>
        <v>487.51883988218304</v>
      </c>
      <c r="BC3" s="201">
        <f t="shared" si="29"/>
        <v>461.73676850685155</v>
      </c>
      <c r="BD3" s="201">
        <f t="shared" si="29"/>
        <v>418.84602089070984</v>
      </c>
      <c r="BE3" s="201">
        <f t="shared" si="29"/>
        <v>396.23140620992376</v>
      </c>
      <c r="BF3" s="216">
        <f>BE3-(SUM('Bilan 2050'!G41:G43)-'Bilan 2050'!L41-'Bilan 2050'!I54-'Bilan 2050'!E56)</f>
        <v>0</v>
      </c>
      <c r="BG3" s="567" t="s">
        <v>449</v>
      </c>
      <c r="BH3" s="194">
        <v>2020</v>
      </c>
      <c r="BI3" s="194">
        <v>2020</v>
      </c>
      <c r="BJ3" s="194">
        <v>2023</v>
      </c>
      <c r="BK3" s="195">
        <v>2025</v>
      </c>
      <c r="BL3" s="195">
        <v>2028</v>
      </c>
      <c r="BM3" s="195">
        <v>2030</v>
      </c>
      <c r="BN3" s="195">
        <v>2033</v>
      </c>
      <c r="BO3" s="195">
        <v>2035</v>
      </c>
      <c r="BP3" s="195">
        <v>2038</v>
      </c>
      <c r="BQ3" s="195">
        <v>2040</v>
      </c>
      <c r="BR3" s="195">
        <v>2045</v>
      </c>
      <c r="BS3" s="195">
        <v>2050</v>
      </c>
      <c r="BU3" s="568" t="s">
        <v>450</v>
      </c>
      <c r="BV3" s="194">
        <v>2015</v>
      </c>
      <c r="BW3" s="194">
        <v>2020</v>
      </c>
      <c r="BX3" s="194">
        <v>2023</v>
      </c>
      <c r="BY3" s="195">
        <v>2025</v>
      </c>
      <c r="BZ3" s="195">
        <v>2028</v>
      </c>
      <c r="CA3" s="195">
        <v>2030</v>
      </c>
      <c r="CB3" s="195">
        <v>2033</v>
      </c>
      <c r="CC3" s="195">
        <v>2035</v>
      </c>
      <c r="CD3" s="195">
        <v>2038</v>
      </c>
      <c r="CE3" s="195">
        <v>2040</v>
      </c>
      <c r="CF3" s="195">
        <v>2045</v>
      </c>
      <c r="CG3" s="195">
        <v>2050</v>
      </c>
      <c r="CJ3" s="568" t="s">
        <v>451</v>
      </c>
      <c r="CK3" s="202">
        <v>2015</v>
      </c>
      <c r="CL3" s="194">
        <v>2020</v>
      </c>
      <c r="CM3" s="194">
        <v>2023</v>
      </c>
      <c r="CN3" s="195">
        <v>2025</v>
      </c>
      <c r="CO3" s="195">
        <v>2028</v>
      </c>
      <c r="CP3" s="195">
        <v>2030</v>
      </c>
      <c r="CQ3" s="195">
        <v>2033</v>
      </c>
      <c r="CR3" s="195">
        <v>2035</v>
      </c>
      <c r="CS3" s="195">
        <v>2038</v>
      </c>
      <c r="CT3" s="195">
        <v>2040</v>
      </c>
      <c r="CU3" s="195">
        <v>2045</v>
      </c>
      <c r="CV3" s="195">
        <v>2050</v>
      </c>
      <c r="CY3" s="567" t="s">
        <v>452</v>
      </c>
      <c r="CZ3" s="202" t="s">
        <v>265</v>
      </c>
      <c r="DA3" s="202">
        <v>2015</v>
      </c>
      <c r="DB3" s="559">
        <v>2020</v>
      </c>
      <c r="DC3" s="559">
        <v>2023</v>
      </c>
      <c r="DD3" s="559">
        <v>2025</v>
      </c>
      <c r="DE3" s="559">
        <v>2028</v>
      </c>
      <c r="DF3" s="559">
        <v>2030</v>
      </c>
      <c r="DG3" s="559">
        <v>2033</v>
      </c>
      <c r="DH3" s="559">
        <v>2035</v>
      </c>
      <c r="DI3" s="559">
        <v>2038</v>
      </c>
      <c r="DJ3" s="559">
        <v>2040</v>
      </c>
      <c r="DK3" s="559">
        <v>2045</v>
      </c>
      <c r="DL3" s="559">
        <v>2050</v>
      </c>
    </row>
    <row r="4" spans="1:116" ht="13">
      <c r="A4" s="203" t="s">
        <v>266</v>
      </c>
      <c r="B4" s="204">
        <f>'Bilan 2015'!$C$33+'Bilan 2015'!$C$42+'Bilan 2015'!$C$43</f>
        <v>69.568999999999988</v>
      </c>
      <c r="C4" s="204">
        <f>'Bilan 2020'!$C$33+'Bilan 2020'!$C$42+'Bilan 2020'!$C$43</f>
        <v>677.54700206716939</v>
      </c>
      <c r="D4" s="204">
        <f>'Bilan 2023'!$C$33+'Bilan 2023'!$C$42+'Bilan 2023'!$C$43</f>
        <v>696.7776501006731</v>
      </c>
      <c r="E4" s="204">
        <f>'Bilan 2025'!$C$33+'Bilan 2025'!$C$42+'Bilan 2025'!$C$43</f>
        <v>691.74731922517151</v>
      </c>
      <c r="F4" s="204">
        <f>'Bilan 2028'!$C$33+'Bilan 2028'!$C$42+'Bilan 2028'!$C$43</f>
        <v>635.72622009104259</v>
      </c>
      <c r="G4" s="204">
        <f>'Bilan 2030'!$C$33+'Bilan 2030'!$C$42+'Bilan 2030'!$C$43</f>
        <v>598.27946102669762</v>
      </c>
      <c r="H4" s="204">
        <f>'Bilan 2033'!$C$33+'Bilan 2033'!$C$42+'Bilan 2033'!$C$43</f>
        <v>553.73431637815975</v>
      </c>
      <c r="I4" s="204">
        <f>'Bilan 2035'!$C$33+'Bilan 2035'!$C$42+'Bilan 2035'!$C$43</f>
        <v>523.9839112525658</v>
      </c>
      <c r="J4" s="204">
        <f>'Bilan 2038'!$C$33+'Bilan 2038'!$C$42+'Bilan 2038'!$C$43</f>
        <v>486.93214525622875</v>
      </c>
      <c r="K4" s="204">
        <f>'Bilan 2040'!$C$33+'Bilan 2040'!$C$42+'Bilan 2040'!$C$43</f>
        <v>462.24944431207973</v>
      </c>
      <c r="L4" s="204">
        <f>'Bilan 2045'!$C$33+'Bilan 2045'!$C$42+'Bilan 2045'!$C$43</f>
        <v>420.35220248751034</v>
      </c>
      <c r="M4" s="204">
        <f>'Bilan 2050'!$C$33+'Bilan 2050'!$C$42+'Bilan 2050'!$C$43</f>
        <v>397.39751467726302</v>
      </c>
      <c r="N4" s="575"/>
      <c r="O4" s="575"/>
      <c r="P4" s="575"/>
      <c r="Q4" s="572" t="s">
        <v>266</v>
      </c>
      <c r="R4" s="205">
        <f t="shared" ref="R4:AC5" si="30">B4</f>
        <v>69.568999999999988</v>
      </c>
      <c r="S4" s="205">
        <f t="shared" si="30"/>
        <v>677.54700206716939</v>
      </c>
      <c r="T4" s="205">
        <f t="shared" si="30"/>
        <v>696.7776501006731</v>
      </c>
      <c r="U4" s="205">
        <f t="shared" si="30"/>
        <v>691.74731922517151</v>
      </c>
      <c r="V4" s="205">
        <f t="shared" si="30"/>
        <v>635.72622009104259</v>
      </c>
      <c r="W4" s="205">
        <f t="shared" si="30"/>
        <v>598.27946102669762</v>
      </c>
      <c r="X4" s="205">
        <f t="shared" si="30"/>
        <v>553.73431637815975</v>
      </c>
      <c r="Y4" s="205">
        <f t="shared" si="30"/>
        <v>523.9839112525658</v>
      </c>
      <c r="Z4" s="205">
        <f t="shared" si="30"/>
        <v>486.93214525622875</v>
      </c>
      <c r="AA4" s="205">
        <f t="shared" si="30"/>
        <v>462.24944431207973</v>
      </c>
      <c r="AB4" s="205">
        <f t="shared" si="30"/>
        <v>420.35220248751034</v>
      </c>
      <c r="AC4" s="205">
        <f t="shared" si="30"/>
        <v>397.39751467726302</v>
      </c>
      <c r="AD4" s="193">
        <f>2201</f>
        <v>2201</v>
      </c>
      <c r="AE4" s="205" t="s">
        <v>266</v>
      </c>
      <c r="AF4" s="205">
        <f>'Bilan 2015'!$G$42+'Bilan 2015'!$G$43-'Bilan 2015'!$E$54+'Bilan 2015'!$G$33*(1-SUM('Bilan 2015'!$K$26:$P$34)/'Bilan 2015'!$H$30)-AF6</f>
        <v>39.420342364971383</v>
      </c>
      <c r="AG4" s="205">
        <f>'Bilan 2020'!$G$42+'Bilan 2020'!$G$43-'Bilan 2020'!$E$54+'Bilan 2020'!$G$33*(1-SUM('Bilan 2020'!$K$26:$P$34)/'Bilan 2020'!$H$30)-AG6</f>
        <v>384.22736021040407</v>
      </c>
      <c r="AH4" s="205">
        <f>'Bilan 2023'!$G$42+'Bilan 2023'!$G$43-'Bilan 2023'!$E$54+'Bilan 2023'!$G$33*(1-SUM('Bilan 2023'!$K$26:$P$34)/'Bilan 2023'!$H$30)-AH6</f>
        <v>401.74279680082861</v>
      </c>
      <c r="AI4" s="205">
        <f>'Bilan 2025'!$G$42+'Bilan 2025'!$G$43-'Bilan 2025'!$E$54+'Bilan 2025'!$G$33*(1-SUM('Bilan 2025'!$K$26:$P$34)/'Bilan 2025'!$H$30)-AI6</f>
        <v>408.63289173322215</v>
      </c>
      <c r="AJ4" s="205">
        <f>'Bilan 2028'!$G$42+'Bilan 2028'!$G$43-'Bilan 2028'!$E$54+'Bilan 2028'!$G$33*(1-SUM('Bilan 2028'!$K$26:$P$34)/'Bilan 2028'!$H$30)-AJ6</f>
        <v>369.95523103317919</v>
      </c>
      <c r="AK4" s="205">
        <f>'Bilan 2030'!$G$42+'Bilan 2030'!$G$43-'Bilan 2030'!$E$54+'Bilan 2030'!$G$33*(1-SUM('Bilan 2030'!$K$26:$P$34)/'Bilan 2030'!$H$30)-AK6</f>
        <v>344.17012389981727</v>
      </c>
      <c r="AL4" s="205">
        <f>'Bilan 2033'!$G$42+'Bilan 2033'!$G$43-'Bilan 2033'!$E$54+'Bilan 2033'!$G$33*(1-SUM('Bilan 2033'!$K$26:$P$34)/'Bilan 2033'!$H$30)-AL6</f>
        <v>312.50052508879816</v>
      </c>
      <c r="AM4" s="205">
        <f>'Bilan 2035'!$G$42+'Bilan 2035'!$G$43-'Bilan 2035'!$E$54+'Bilan 2035'!$G$33*(1-SUM('Bilan 2035'!$K$26:$P$34)/'Bilan 2035'!$H$30)-AM6</f>
        <v>291.38745921478551</v>
      </c>
      <c r="AN4" s="205">
        <f>'Bilan 2038'!$G$42+'Bilan 2038'!$G$43-'Bilan 2038'!$E$54+'Bilan 2038'!$G$33*(1-SUM('Bilan 2038'!$K$26:$P$34)/'Bilan 2038'!$H$30)-AN6</f>
        <v>266.09529408288518</v>
      </c>
      <c r="AO4" s="205">
        <f>'Bilan 2040'!$G$42+'Bilan 2040'!$G$43-'Bilan 2040'!$E$54+'Bilan 2040'!$G$33*(1-SUM('Bilan 2040'!$K$26:$P$34)/'Bilan 2040'!$H$30)-AO6</f>
        <v>249.23385066161839</v>
      </c>
      <c r="AP4" s="205">
        <f>'Bilan 2045'!$G$42+'Bilan 2045'!$G$43-'Bilan 2045'!$E$54+'Bilan 2045'!$G$33*(1-SUM('Bilan 2045'!$K$26:$P$34)/'Bilan 2045'!$H$30)-AP6</f>
        <v>225.72324837131148</v>
      </c>
      <c r="AQ4" s="205">
        <f>'Bilan 2050'!$G$42+'Bilan 2050'!$G$43-'Bilan 2050'!$E$54+'Bilan 2050'!$G$33*(1-SUM('Bilan 2050'!$K$26:$P$34)/'Bilan 2050'!$H$30)-AQ6</f>
        <v>216.87515414954612</v>
      </c>
      <c r="AR4" s="206"/>
      <c r="AS4" s="205" t="s">
        <v>453</v>
      </c>
      <c r="AT4" s="205">
        <f>'Bilan 2015'!$G$42+'Bilan 2015'!$G$43-'Bilan 2015'!$E$54+'Bilan 2015'!$G$33*(1-SUM('Bilan 2015'!$K$26:$P$34)/'Bilan 2015'!$H$30)+'Bilan 2015'!$E$54-AT6</f>
        <v>51.873342364971379</v>
      </c>
      <c r="AU4" s="205">
        <f>'Bilan 2020'!$G$42+'Bilan 2020'!$G$43-'Bilan 2020'!$E$54+'Bilan 2020'!$G$33*(1-SUM('Bilan 2020'!$K$26:$P$34)/'Bilan 2020'!$H$30)+'Bilan 2020'!$E$54-AU6</f>
        <v>514.7114796319521</v>
      </c>
      <c r="AV4" s="205">
        <f>'Bilan 2023'!$G$42+'Bilan 2023'!$G$43-'Bilan 2023'!$E$54+'Bilan 2023'!$G$33*(1-SUM('Bilan 2023'!$K$26:$P$34)/'Bilan 2023'!$H$30)+'Bilan 2023'!$E$54-AV6</f>
        <v>534.85024443329587</v>
      </c>
      <c r="AW4" s="205">
        <f>'Bilan 2025'!$G$42+'Bilan 2025'!$G$43-'Bilan 2025'!$E$54+'Bilan 2025'!$G$33*(1-SUM('Bilan 2025'!$K$26:$P$34)/'Bilan 2025'!$H$30)+'Bilan 2025'!$E$54-AW6</f>
        <v>535.88424582520452</v>
      </c>
      <c r="AX4" s="205">
        <f>'Bilan 2028'!$G$42+'Bilan 2028'!$G$43-'Bilan 2028'!$E$54+'Bilan 2028'!$G$33*(1-SUM('Bilan 2028'!$K$26:$P$34)/'Bilan 2028'!$H$30)+'Bilan 2028'!$E$54-AX6</f>
        <v>493.16193080612595</v>
      </c>
      <c r="AY4" s="205">
        <f>'Bilan 2030'!$G$42+'Bilan 2030'!$G$43-'Bilan 2030'!$E$54+'Bilan 2030'!$G$33*(1-SUM('Bilan 2030'!$K$26:$P$34)/'Bilan 2030'!$H$30)+'Bilan 2030'!$E$54-AY6</f>
        <v>464.67590230523911</v>
      </c>
      <c r="AZ4" s="205">
        <f>'Bilan 2033'!$G$42+'Bilan 2033'!$G$43-'Bilan 2033'!$E$54+'Bilan 2033'!$G$33*(1-SUM('Bilan 2033'!$K$26:$P$34)/'Bilan 2033'!$H$30)+'Bilan 2033'!$E$54-AZ6</f>
        <v>429.57783094278994</v>
      </c>
      <c r="BA4" s="205">
        <f>'Bilan 2035'!$G$42+'Bilan 2035'!$G$43-'Bilan 2035'!$E$54+'Bilan 2035'!$G$33*(1-SUM('Bilan 2035'!$K$26:$P$34)/'Bilan 2035'!$H$30)+'Bilan 2035'!$E$54-BA6</f>
        <v>406.17171679664409</v>
      </c>
      <c r="BB4" s="205">
        <f>'Bilan 2038'!$G$42+'Bilan 2038'!$G$43-'Bilan 2038'!$E$54+'Bilan 2038'!$G$33*(1-SUM('Bilan 2038'!$K$26:$P$34)/'Bilan 2038'!$H$30)+'Bilan 2038'!$E$54-BB6</f>
        <v>377.83248695988584</v>
      </c>
      <c r="BC4" s="205">
        <f>'Bilan 2040'!$G$42+'Bilan 2040'!$G$43-'Bilan 2040'!$E$54+'Bilan 2040'!$G$33*(1-SUM('Bilan 2040'!$K$26:$P$34)/'Bilan 2040'!$H$30)+'Bilan 2040'!$E$54-BC6</f>
        <v>358.92693365834373</v>
      </c>
      <c r="BD4" s="205">
        <f>'Bilan 2045'!$G$42+'Bilan 2045'!$G$43-'Bilan 2045'!$E$54+'Bilan 2045'!$G$33*(1-SUM('Bilan 2045'!$K$26:$P$34)/'Bilan 2045'!$H$30)+'Bilan 2045'!$E$54-BD6</f>
        <v>330.63328094812829</v>
      </c>
      <c r="BE4" s="205">
        <f>'Bilan 2050'!$G$42+'Bilan 2050'!$G$43-'Bilan 2050'!$E$54+'Bilan 2050'!$G$33*(1-SUM('Bilan 2050'!$K$26:$P$34)/'Bilan 2050'!$H$30)+'Bilan 2050'!$E$54-BE6</f>
        <v>316.93030586769407</v>
      </c>
      <c r="BF4" s="216"/>
      <c r="BG4" s="205" t="s">
        <v>453</v>
      </c>
      <c r="BH4" s="202">
        <f t="shared" ref="BH4:BS7" si="31">IF(AT4&gt;0,BV6/AT4,0)</f>
        <v>2.9219869091767195E-4</v>
      </c>
      <c r="BI4" s="202">
        <f t="shared" si="31"/>
        <v>4.513078113205249E-5</v>
      </c>
      <c r="BJ4" s="202">
        <f t="shared" si="31"/>
        <v>2.0746182786553066E-5</v>
      </c>
      <c r="BK4" s="202">
        <f t="shared" si="31"/>
        <v>0</v>
      </c>
      <c r="BL4" s="202">
        <f t="shared" si="31"/>
        <v>0</v>
      </c>
      <c r="BM4" s="202">
        <f t="shared" si="31"/>
        <v>0</v>
      </c>
      <c r="BN4" s="202">
        <f t="shared" si="31"/>
        <v>0</v>
      </c>
      <c r="BO4" s="202">
        <f t="shared" si="31"/>
        <v>0</v>
      </c>
      <c r="BP4" s="202">
        <f t="shared" si="31"/>
        <v>0</v>
      </c>
      <c r="BQ4" s="202">
        <f t="shared" si="31"/>
        <v>0</v>
      </c>
      <c r="BR4" s="202">
        <f t="shared" si="31"/>
        <v>0</v>
      </c>
      <c r="BS4" s="202">
        <f t="shared" si="31"/>
        <v>0</v>
      </c>
      <c r="BU4" s="205" t="s">
        <v>453</v>
      </c>
      <c r="BV4" s="208">
        <f>'Bilan 2015'!$E$42</f>
        <v>2.2449999999999992</v>
      </c>
      <c r="BW4" s="208">
        <f>'Bilan 2020'!$E$42</f>
        <v>14.083438439441963</v>
      </c>
      <c r="BX4" s="208">
        <f>'Bilan 2023'!$E$42</f>
        <v>28.942766247169097</v>
      </c>
      <c r="BY4" s="208">
        <f>'Bilan 2025'!$E$42</f>
        <v>31.900092161950717</v>
      </c>
      <c r="BZ4" s="208">
        <f>'Bilan 2028'!$E$42</f>
        <v>31.230804477900737</v>
      </c>
      <c r="CA4" s="208">
        <f>'Bilan 2030'!$E$42</f>
        <v>30.784612688534001</v>
      </c>
      <c r="CB4" s="208">
        <f>'Bilan 2033'!$E$42</f>
        <v>30.11532500448401</v>
      </c>
      <c r="CC4" s="208">
        <f>'Bilan 2035'!$E$42</f>
        <v>29.669133215117284</v>
      </c>
      <c r="CD4" s="208">
        <f>'Bilan 2038'!$E$42</f>
        <v>28.999845531067304</v>
      </c>
      <c r="CE4" s="208">
        <f>'Bilan 2040'!$E$42</f>
        <v>28.553653741700561</v>
      </c>
      <c r="CF4" s="208">
        <f>'Bilan 2045'!$E$42</f>
        <v>27.438174268283912</v>
      </c>
      <c r="CG4" s="208">
        <f>'Bilan 2050'!$E$42</f>
        <v>26.322694794867193</v>
      </c>
      <c r="CH4" s="206"/>
      <c r="CJ4" s="205" t="s">
        <v>453</v>
      </c>
      <c r="CK4" s="202">
        <f t="shared" ref="CK4:CV7" si="32">IF(AT4&gt;0,DA4/AT4,0)</f>
        <v>0</v>
      </c>
      <c r="CL4" s="202">
        <f t="shared" si="32"/>
        <v>0</v>
      </c>
      <c r="CM4" s="202">
        <f t="shared" si="32"/>
        <v>0</v>
      </c>
      <c r="CN4" s="202">
        <f t="shared" si="32"/>
        <v>0</v>
      </c>
      <c r="CO4" s="202">
        <f t="shared" si="32"/>
        <v>0</v>
      </c>
      <c r="CP4" s="202">
        <f t="shared" si="32"/>
        <v>0</v>
      </c>
      <c r="CQ4" s="202">
        <f t="shared" si="32"/>
        <v>0</v>
      </c>
      <c r="CR4" s="202">
        <f t="shared" si="32"/>
        <v>0</v>
      </c>
      <c r="CS4" s="202">
        <f t="shared" si="32"/>
        <v>0</v>
      </c>
      <c r="CT4" s="202">
        <f t="shared" si="32"/>
        <v>0</v>
      </c>
      <c r="CU4" s="202">
        <f t="shared" si="32"/>
        <v>0</v>
      </c>
      <c r="CV4" s="202">
        <f t="shared" si="32"/>
        <v>0</v>
      </c>
      <c r="CW4" s="206"/>
      <c r="CX4" s="193">
        <f>2201</f>
        <v>2201</v>
      </c>
      <c r="CY4" s="205" t="s">
        <v>453</v>
      </c>
      <c r="CZ4" s="213" t="s">
        <v>267</v>
      </c>
      <c r="DA4" s="202">
        <f t="shared" ref="DA4:DL5" si="33">DK4</f>
        <v>0</v>
      </c>
      <c r="DB4" s="202">
        <f t="shared" si="33"/>
        <v>0</v>
      </c>
      <c r="DC4" s="202">
        <f t="shared" si="33"/>
        <v>0</v>
      </c>
      <c r="DD4" s="202">
        <f t="shared" si="33"/>
        <v>0</v>
      </c>
      <c r="DE4" s="202">
        <f t="shared" si="33"/>
        <v>0</v>
      </c>
      <c r="DF4" s="202">
        <f t="shared" si="33"/>
        <v>0</v>
      </c>
      <c r="DG4" s="202">
        <f t="shared" si="33"/>
        <v>0</v>
      </c>
      <c r="DH4" s="202">
        <f t="shared" si="33"/>
        <v>0</v>
      </c>
      <c r="DI4" s="202">
        <f t="shared" si="33"/>
        <v>0</v>
      </c>
      <c r="DJ4" s="202">
        <f t="shared" si="33"/>
        <v>0</v>
      </c>
      <c r="DK4" s="202">
        <f t="shared" si="33"/>
        <v>0</v>
      </c>
      <c r="DL4" s="202">
        <f t="shared" si="33"/>
        <v>0</v>
      </c>
    </row>
    <row r="5" spans="1:116" ht="14.5">
      <c r="A5" s="203" t="s">
        <v>268</v>
      </c>
      <c r="B5" s="205">
        <f>'Bilan 2015'!$C$41</f>
        <v>3.1058667265534057</v>
      </c>
      <c r="C5" s="205">
        <f>'Bilan 2020'!$C$41</f>
        <v>33.731429517545166</v>
      </c>
      <c r="D5" s="205">
        <f>'Bilan 2023'!$C$41</f>
        <v>39.523628531639027</v>
      </c>
      <c r="E5" s="205">
        <f>'Bilan 2025'!$C$41</f>
        <v>41.317421335324099</v>
      </c>
      <c r="F5" s="205">
        <f>'Bilan 2028'!$C$41</f>
        <v>38.027520916026305</v>
      </c>
      <c r="G5" s="205">
        <f>'Bilan 2030'!$C$41</f>
        <v>35.852433715856947</v>
      </c>
      <c r="H5" s="205">
        <f>'Bilan 2033'!$C$41</f>
        <v>32.744325399970521</v>
      </c>
      <c r="I5" s="205">
        <f>'Bilan 2035'!$C$41</f>
        <v>30.678568481531752</v>
      </c>
      <c r="J5" s="205">
        <f>'Bilan 2038'!$C$41</f>
        <v>28.189429270151923</v>
      </c>
      <c r="K5" s="205">
        <f>'Bilan 2040'!$C$41</f>
        <v>26.520712211985533</v>
      </c>
      <c r="L5" s="205">
        <f>'Bilan 2045'!$C$41</f>
        <v>24.110476598437344</v>
      </c>
      <c r="M5" s="205">
        <f>'Bilan 2050'!$C$41</f>
        <v>23.068884262667186</v>
      </c>
      <c r="N5" s="576"/>
      <c r="O5" s="576"/>
      <c r="P5" s="576"/>
      <c r="Q5" s="572" t="s">
        <v>268</v>
      </c>
      <c r="R5" s="205">
        <f t="shared" si="30"/>
        <v>3.1058667265534057</v>
      </c>
      <c r="S5" s="205">
        <f t="shared" si="30"/>
        <v>33.731429517545166</v>
      </c>
      <c r="T5" s="205">
        <f t="shared" si="30"/>
        <v>39.523628531639027</v>
      </c>
      <c r="U5" s="205">
        <f t="shared" si="30"/>
        <v>41.317421335324099</v>
      </c>
      <c r="V5" s="205">
        <f t="shared" si="30"/>
        <v>38.027520916026305</v>
      </c>
      <c r="W5" s="205">
        <f t="shared" si="30"/>
        <v>35.852433715856947</v>
      </c>
      <c r="X5" s="205">
        <f t="shared" si="30"/>
        <v>32.744325399970521</v>
      </c>
      <c r="Y5" s="205">
        <f t="shared" si="30"/>
        <v>30.678568481531752</v>
      </c>
      <c r="Z5" s="205">
        <f t="shared" si="30"/>
        <v>28.189429270151923</v>
      </c>
      <c r="AA5" s="205">
        <f t="shared" si="30"/>
        <v>26.520712211985533</v>
      </c>
      <c r="AB5" s="205">
        <f t="shared" si="30"/>
        <v>24.110476598437344</v>
      </c>
      <c r="AC5" s="205">
        <f t="shared" si="30"/>
        <v>23.068884262667186</v>
      </c>
      <c r="AD5" s="193">
        <f>AD4+1</f>
        <v>2202</v>
      </c>
      <c r="AE5" s="205" t="s">
        <v>268</v>
      </c>
      <c r="AF5" s="205">
        <f>'Bilan 2015'!$G$41-'Bilan 2015'!$E$56-'Bilan 2015'!$L$41-AF7</f>
        <v>2.9416417890777744</v>
      </c>
      <c r="AG5" s="205">
        <f>'Bilan 2020'!$G$41-'Bilan 2020'!$E$56-'Bilan 2020'!$L$41-AG7</f>
        <v>30.751352031352695</v>
      </c>
      <c r="AH5" s="205">
        <f>'Bilan 2023'!$G$41-'Bilan 2023'!$E$56-'Bilan 2023'!$L$41-AH7</f>
        <v>37.463753542993906</v>
      </c>
      <c r="AI5" s="205">
        <f>'Bilan 2025'!$G$41-'Bilan 2025'!$E$56-'Bilan 2025'!$L$41-AI7</f>
        <v>39.661036034396801</v>
      </c>
      <c r="AJ5" s="205">
        <f>'Bilan 2028'!$G$41-'Bilan 2028'!$E$56-'Bilan 2028'!$L$41-AJ7</f>
        <v>35.944972025289132</v>
      </c>
      <c r="AK5" s="205">
        <f>'Bilan 2030'!$G$41-'Bilan 2030'!$E$56-'Bilan 2030'!$L$41-AK7</f>
        <v>33.467596019217339</v>
      </c>
      <c r="AL5" s="205">
        <f>'Bilan 2033'!$G$41-'Bilan 2033'!$E$56-'Bilan 2033'!$L$41-AL7</f>
        <v>30.354490922127429</v>
      </c>
      <c r="AM5" s="205">
        <f>'Bilan 2035'!$G$41-'Bilan 2035'!$E$56-'Bilan 2035'!$L$41-AM7</f>
        <v>28.279087524067478</v>
      </c>
      <c r="AN5" s="205">
        <f>'Bilan 2038'!$G$41-'Bilan 2038'!$E$56-'Bilan 2038'!$L$41-AN7</f>
        <v>25.786282175554238</v>
      </c>
      <c r="AO5" s="205">
        <f>'Bilan 2040'!$G$41-'Bilan 2040'!$E$56-'Bilan 2040'!$L$41-AO7</f>
        <v>24.124411943212081</v>
      </c>
      <c r="AP5" s="205">
        <f>'Bilan 2045'!$G$41-'Bilan 2045'!$E$56-'Bilan 2045'!$L$41-AP7</f>
        <v>21.777536968137049</v>
      </c>
      <c r="AQ5" s="205">
        <f>'Bilan 2050'!$G$41-'Bilan 2050'!$E$56-'Bilan 2050'!$L$41-AQ7</f>
        <v>20.886619833364488</v>
      </c>
      <c r="AR5" s="206"/>
      <c r="AS5" s="205" t="s">
        <v>268</v>
      </c>
      <c r="AT5" s="205">
        <f>'Bilan 2015'!$G$41-'Bilan 2015'!$E$56-'Bilan 2015'!$L$41+'Bilan 2015'!$E$56-AT7</f>
        <v>2.9416417890777744</v>
      </c>
      <c r="AU5" s="205">
        <f>'Bilan 2020'!$G$41-'Bilan 2020'!$E$56-'Bilan 2020'!$L$41+'Bilan 2020'!$E$56-AU7</f>
        <v>30.751352031352695</v>
      </c>
      <c r="AV5" s="205">
        <f>'Bilan 2023'!$G$41-'Bilan 2023'!$E$56-'Bilan 2023'!$L$41+'Bilan 2023'!$E$56-AV7</f>
        <v>37.463753542993906</v>
      </c>
      <c r="AW5" s="205">
        <f>'Bilan 2025'!$G$41-'Bilan 2025'!$E$56-'Bilan 2025'!$L$41+'Bilan 2025'!$E$56-AW7</f>
        <v>39.661036034396801</v>
      </c>
      <c r="AX5" s="205">
        <f>'Bilan 2028'!$G$41-'Bilan 2028'!$E$56-'Bilan 2028'!$L$41+'Bilan 2028'!$E$56-AX7</f>
        <v>35.944972025289132</v>
      </c>
      <c r="AY5" s="205">
        <f>'Bilan 2030'!$G$41-'Bilan 2030'!$E$56-'Bilan 2030'!$L$41+'Bilan 2030'!$E$56-AY7</f>
        <v>33.467596019217339</v>
      </c>
      <c r="AZ5" s="205">
        <f>'Bilan 2033'!$G$41-'Bilan 2033'!$E$56-'Bilan 2033'!$L$41+'Bilan 2033'!$E$56-AZ7</f>
        <v>30.354490922127429</v>
      </c>
      <c r="BA5" s="205">
        <f>'Bilan 2035'!$G$41-'Bilan 2035'!$E$56-'Bilan 2035'!$L$41+'Bilan 2035'!$E$56-BA7</f>
        <v>28.279087524067478</v>
      </c>
      <c r="BB5" s="205">
        <f>'Bilan 2038'!$G$41-'Bilan 2038'!$E$56-'Bilan 2038'!$L$41+'Bilan 2038'!$E$56-BB7</f>
        <v>25.786282175554238</v>
      </c>
      <c r="BC5" s="205">
        <f>'Bilan 2040'!$G$41-'Bilan 2040'!$E$56-'Bilan 2040'!$L$41+'Bilan 2040'!$E$56-BC7</f>
        <v>24.124411943212081</v>
      </c>
      <c r="BD5" s="205">
        <f>'Bilan 2045'!$G$41-'Bilan 2045'!$E$56-'Bilan 2045'!$L$41+'Bilan 2045'!$E$56-BD7</f>
        <v>21.777536968137049</v>
      </c>
      <c r="BE5" s="205">
        <f>'Bilan 2050'!$G$41-'Bilan 2050'!$E$56-'Bilan 2050'!$L$41+'Bilan 2050'!$E$56-BE7</f>
        <v>20.886619833364488</v>
      </c>
      <c r="BF5" s="216"/>
      <c r="BG5" s="205" t="s">
        <v>268</v>
      </c>
      <c r="BH5" s="202">
        <f t="shared" si="31"/>
        <v>0</v>
      </c>
      <c r="BI5" s="202">
        <f t="shared" si="31"/>
        <v>0</v>
      </c>
      <c r="BJ5" s="202">
        <f t="shared" si="31"/>
        <v>0</v>
      </c>
      <c r="BK5" s="202">
        <f t="shared" si="31"/>
        <v>0</v>
      </c>
      <c r="BL5" s="202">
        <f t="shared" si="31"/>
        <v>0</v>
      </c>
      <c r="BM5" s="202">
        <f t="shared" si="31"/>
        <v>0</v>
      </c>
      <c r="BN5" s="202">
        <f t="shared" si="31"/>
        <v>0</v>
      </c>
      <c r="BO5" s="202">
        <f t="shared" si="31"/>
        <v>0</v>
      </c>
      <c r="BP5" s="202">
        <f t="shared" si="31"/>
        <v>0</v>
      </c>
      <c r="BQ5" s="202">
        <f t="shared" si="31"/>
        <v>0</v>
      </c>
      <c r="BR5" s="202">
        <f t="shared" si="31"/>
        <v>0</v>
      </c>
      <c r="BS5" s="202">
        <f t="shared" si="31"/>
        <v>0</v>
      </c>
      <c r="BU5" s="205" t="s">
        <v>268</v>
      </c>
      <c r="BV5" s="214">
        <f>'Bilan 2015'!$E$41*'Bilan 2015'!$X$41/SUM('Bilan 2015'!$T6:CH$41)</f>
        <v>0</v>
      </c>
      <c r="BW5" s="214">
        <f>'Bilan 2020'!$E$41*'Bilan 2020'!$X$41/SUM('Bilan 2020'!$T6:CI$41)</f>
        <v>0</v>
      </c>
      <c r="BX5" s="214">
        <f>'Bilan 2023'!$E$41*'Bilan 2023'!$X$41/SUM('Bilan 2023'!$T6:CJ$41)</f>
        <v>0</v>
      </c>
      <c r="BY5" s="214">
        <f>'Bilan 2025'!$E$41*'Bilan 2025'!$X$41/SUM('Bilan 2025'!$T6:CK$41)</f>
        <v>0</v>
      </c>
      <c r="BZ5" s="214">
        <f>'Bilan 2028'!$E$41*'Bilan 2028'!$X$41/SUM('Bilan 2028'!$T6:CL$41)</f>
        <v>0</v>
      </c>
      <c r="CA5" s="214">
        <f>'Bilan 2030'!$E$41*'Bilan 2030'!$X$41/SUM('Bilan 2030'!$T6:CM$41)</f>
        <v>0</v>
      </c>
      <c r="CB5" s="214">
        <f>'Bilan 2033'!$E$41*'Bilan 2033'!$X$41/SUM('Bilan 2033'!$T6:CN$41)</f>
        <v>0</v>
      </c>
      <c r="CC5" s="214">
        <f>'Bilan 2035'!$E$41*'Bilan 2035'!$X$41/SUM('Bilan 2035'!$T6:CO$41)</f>
        <v>0</v>
      </c>
      <c r="CD5" s="214">
        <f>'Bilan 2038'!$E$41*'Bilan 2038'!$X$41/SUM('Bilan 2038'!$T6:CP$41)</f>
        <v>0</v>
      </c>
      <c r="CE5" s="214">
        <f>'Bilan 2040'!$E$41*'Bilan 2040'!$X$41/SUM('Bilan 2040'!$T6:CQ$41)</f>
        <v>0</v>
      </c>
      <c r="CF5" s="214">
        <f>'Bilan 2045'!$E$41*'Bilan 2045'!$X$41/SUM('Bilan 2045'!$T6:CR$41)</f>
        <v>0</v>
      </c>
      <c r="CG5" s="214">
        <f>'Bilan 2050'!$E$41*'Bilan 2050'!$X$41/SUM('Bilan 2050'!$T6:CS$41)</f>
        <v>0</v>
      </c>
      <c r="CH5" s="206"/>
      <c r="CJ5" s="205" t="s">
        <v>268</v>
      </c>
      <c r="CK5" s="202">
        <f t="shared" si="32"/>
        <v>0</v>
      </c>
      <c r="CL5" s="202">
        <f t="shared" si="32"/>
        <v>0</v>
      </c>
      <c r="CM5" s="202">
        <f t="shared" si="32"/>
        <v>0</v>
      </c>
      <c r="CN5" s="202">
        <f t="shared" si="32"/>
        <v>0</v>
      </c>
      <c r="CO5" s="202">
        <f t="shared" si="32"/>
        <v>0</v>
      </c>
      <c r="CP5" s="202">
        <f t="shared" si="32"/>
        <v>0</v>
      </c>
      <c r="CQ5" s="202">
        <f t="shared" si="32"/>
        <v>0</v>
      </c>
      <c r="CR5" s="202">
        <f t="shared" si="32"/>
        <v>0</v>
      </c>
      <c r="CS5" s="202">
        <f t="shared" si="32"/>
        <v>0</v>
      </c>
      <c r="CT5" s="202">
        <f t="shared" si="32"/>
        <v>0</v>
      </c>
      <c r="CU5" s="202">
        <f t="shared" si="32"/>
        <v>0</v>
      </c>
      <c r="CV5" s="202">
        <f t="shared" si="32"/>
        <v>0</v>
      </c>
      <c r="CW5" s="206"/>
      <c r="CX5" s="193">
        <f>CX4+1</f>
        <v>2202</v>
      </c>
      <c r="CY5" s="205" t="s">
        <v>268</v>
      </c>
      <c r="CZ5" s="207" t="s">
        <v>269</v>
      </c>
      <c r="DA5" s="202">
        <f t="shared" si="33"/>
        <v>0</v>
      </c>
      <c r="DB5" s="202">
        <f t="shared" si="33"/>
        <v>0</v>
      </c>
      <c r="DC5" s="202">
        <f t="shared" si="33"/>
        <v>0</v>
      </c>
      <c r="DD5" s="202">
        <f t="shared" si="33"/>
        <v>0</v>
      </c>
      <c r="DE5" s="202">
        <f t="shared" si="33"/>
        <v>0</v>
      </c>
      <c r="DF5" s="202">
        <f t="shared" si="33"/>
        <v>0</v>
      </c>
      <c r="DG5" s="202">
        <f t="shared" si="33"/>
        <v>0</v>
      </c>
      <c r="DH5" s="202">
        <f t="shared" si="33"/>
        <v>0</v>
      </c>
      <c r="DI5" s="202">
        <f t="shared" si="33"/>
        <v>0</v>
      </c>
      <c r="DJ5" s="202">
        <f t="shared" si="33"/>
        <v>0</v>
      </c>
      <c r="DK5" s="202">
        <f t="shared" si="33"/>
        <v>0</v>
      </c>
      <c r="DL5" s="202">
        <f t="shared" si="33"/>
        <v>0</v>
      </c>
    </row>
    <row r="6" spans="1:116" ht="14.5">
      <c r="A6" s="209" t="s">
        <v>270</v>
      </c>
      <c r="B6" s="210"/>
      <c r="C6" s="210"/>
      <c r="D6" s="210"/>
      <c r="E6" s="210"/>
      <c r="F6" s="210"/>
      <c r="G6" s="210"/>
      <c r="H6" s="210"/>
      <c r="I6" s="210"/>
      <c r="J6" s="210"/>
      <c r="K6" s="210"/>
      <c r="L6" s="210"/>
      <c r="M6" s="578"/>
      <c r="N6" s="575"/>
      <c r="O6" s="575"/>
      <c r="P6" s="575"/>
      <c r="Q6" s="572"/>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2023'!$T$43:$W$43)</f>
        <v>132.9671182559897</v>
      </c>
      <c r="AI6" s="205">
        <f>SUM('Bilan 2025'!$T$43:$W$43)</f>
        <v>123.96298123801631</v>
      </c>
      <c r="AJ6" s="205">
        <f>SUM('Bilan 2028'!$T$43:$W$43)</f>
        <v>111.33348480701592</v>
      </c>
      <c r="AK6" s="205">
        <f>SUM('Bilan 2030'!$T$43:$W$43)</f>
        <v>102.81894603292447</v>
      </c>
      <c r="AL6" s="205">
        <f>SUM('Bilan 2033'!$T$43:$W$43)</f>
        <v>94.041160430885782</v>
      </c>
      <c r="AM6" s="205">
        <f>SUM('Bilan 2035'!$T$43:$W$43)</f>
        <v>88.143061240804457</v>
      </c>
      <c r="AN6" s="205">
        <f>SUM('Bilan 2038'!$T$43:$W$43)</f>
        <v>80.099812765275587</v>
      </c>
      <c r="AO6" s="205">
        <f>SUM('Bilan 2040'!$T$43:$W$43)</f>
        <v>74.768856912035488</v>
      </c>
      <c r="AP6" s="205">
        <f>SUM('Bilan 2045'!$T$43:$W$43)</f>
        <v>62.280747271098143</v>
      </c>
      <c r="AQ6" s="205">
        <f>SUM('Bilan 2050'!$T$43:$W$43)</f>
        <v>54.144514014701699</v>
      </c>
      <c r="AR6" s="206"/>
      <c r="AS6" s="205" t="s">
        <v>526</v>
      </c>
      <c r="AT6" s="205">
        <f>SUM('Bilan 2015'!$T$43:$W$43)</f>
        <v>15.418370516172601</v>
      </c>
      <c r="AU6" s="205">
        <f>SUM('Bilan 2020'!$T$43:$W$43)</f>
        <v>148.71414756648849</v>
      </c>
      <c r="AV6" s="205">
        <f>SUM('Bilan 2023'!$T$43:$W$43)</f>
        <v>132.9671182559897</v>
      </c>
      <c r="AW6" s="205">
        <f>SUM('Bilan 2025'!$T$43:$W$43)</f>
        <v>123.96298123801631</v>
      </c>
      <c r="AX6" s="205">
        <f>SUM('Bilan 2028'!$T$43:$W$43)</f>
        <v>111.33348480701592</v>
      </c>
      <c r="AY6" s="205">
        <f>SUM('Bilan 2030'!$T$43:$W$43)</f>
        <v>102.81894603292447</v>
      </c>
      <c r="AZ6" s="205">
        <f>SUM('Bilan 2033'!$T$43:$W$43)</f>
        <v>94.041160430885782</v>
      </c>
      <c r="BA6" s="205">
        <f>SUM('Bilan 2035'!$T$43:$W$43)</f>
        <v>88.143061240804457</v>
      </c>
      <c r="BB6" s="205">
        <f>SUM('Bilan 2038'!$T$43:$W$43)</f>
        <v>80.099812765275587</v>
      </c>
      <c r="BC6" s="205">
        <f>SUM('Bilan 2040'!$T$43:$W$43)</f>
        <v>74.768856912035488</v>
      </c>
      <c r="BD6" s="205">
        <f>SUM('Bilan 2045'!$T$43:$W$43)</f>
        <v>62.280747271098143</v>
      </c>
      <c r="BE6" s="205">
        <f>SUM('Bilan 2050'!$T$43:$W$43)</f>
        <v>54.144514014701699</v>
      </c>
      <c r="BF6" s="216"/>
      <c r="BG6" s="205" t="s">
        <v>454</v>
      </c>
      <c r="BH6" s="202">
        <f t="shared" si="31"/>
        <v>4.9893727722872194</v>
      </c>
      <c r="BI6" s="202">
        <f t="shared" si="31"/>
        <v>4.9248055910308661</v>
      </c>
      <c r="BJ6" s="202">
        <f t="shared" si="31"/>
        <v>5.7042468211342676</v>
      </c>
      <c r="BK6" s="202">
        <f t="shared" si="31"/>
        <v>6.6204540634666893</v>
      </c>
      <c r="BL6" s="202">
        <f t="shared" si="31"/>
        <v>7.3766654602602744</v>
      </c>
      <c r="BM6" s="202">
        <f t="shared" si="31"/>
        <v>7.9924935134684221</v>
      </c>
      <c r="BN6" s="202">
        <f t="shared" si="31"/>
        <v>8.2179844340665138</v>
      </c>
      <c r="BO6" s="202">
        <f t="shared" si="31"/>
        <v>8.398613060966678</v>
      </c>
      <c r="BP6" s="202">
        <f t="shared" si="31"/>
        <v>8.658321908838337</v>
      </c>
      <c r="BQ6" s="202">
        <f t="shared" si="31"/>
        <v>8.8600415319156323</v>
      </c>
      <c r="BR6" s="202">
        <f t="shared" si="31"/>
        <v>9.3431843441787183</v>
      </c>
      <c r="BS6" s="202">
        <f t="shared" si="31"/>
        <v>9.2778634965688767</v>
      </c>
      <c r="BU6" s="205" t="s">
        <v>454</v>
      </c>
      <c r="BV6" s="569">
        <f>'Bilan 2015'!$E$43+'Bilan 2015'!$E$33</f>
        <v>1.515732273256885E-2</v>
      </c>
      <c r="BW6" s="569">
        <f>'Bilan 2020'!$E$43+'Bilan 2020'!$E$33</f>
        <v>2.3229331133424524E-2</v>
      </c>
      <c r="BX6" s="569">
        <f>'Bilan 2023'!$E$43+'Bilan 2023'!$E$33</f>
        <v>1.1096100934445742E-2</v>
      </c>
      <c r="BY6" s="569">
        <f>'Bilan 2025'!$E$43+'Bilan 2025'!$E$33</f>
        <v>0</v>
      </c>
      <c r="BZ6" s="569">
        <f>'Bilan 2028'!$E$43+'Bilan 2028'!$E$33</f>
        <v>0</v>
      </c>
      <c r="CA6" s="569">
        <f>'Bilan 2030'!$E$43+'Bilan 2030'!$E$33</f>
        <v>0</v>
      </c>
      <c r="CB6" s="569">
        <f>'Bilan 2033'!$E$43+'Bilan 2033'!$E$33</f>
        <v>0</v>
      </c>
      <c r="CC6" s="569">
        <f>'Bilan 2035'!$E$43+'Bilan 2035'!$E$33</f>
        <v>0</v>
      </c>
      <c r="CD6" s="569">
        <f>'Bilan 2038'!$E$43+'Bilan 2038'!$E$33</f>
        <v>0</v>
      </c>
      <c r="CE6" s="569">
        <f>'Bilan 2040'!$E$43+'Bilan 2040'!$E$33</f>
        <v>0</v>
      </c>
      <c r="CF6" s="569">
        <f>'Bilan 2045'!$E$43+'Bilan 2045'!$E$33</f>
        <v>0</v>
      </c>
      <c r="CG6" s="569">
        <f>'Bilan 2050'!$E$43+'Bilan 2050'!$E$33</f>
        <v>0</v>
      </c>
      <c r="CH6" s="206"/>
      <c r="CJ6" s="205" t="s">
        <v>454</v>
      </c>
      <c r="CK6" s="202">
        <f t="shared" si="32"/>
        <v>7.4337027098697237E-4</v>
      </c>
      <c r="CL6" s="202">
        <f t="shared" si="32"/>
        <v>9.8895084255117119E-5</v>
      </c>
      <c r="CM6" s="202">
        <f t="shared" si="32"/>
        <v>4.8261565291301485E-5</v>
      </c>
      <c r="CN6" s="202">
        <f t="shared" si="32"/>
        <v>0</v>
      </c>
      <c r="CO6" s="202">
        <f t="shared" si="32"/>
        <v>0</v>
      </c>
      <c r="CP6" s="202">
        <f t="shared" si="32"/>
        <v>0</v>
      </c>
      <c r="CQ6" s="202">
        <f t="shared" si="32"/>
        <v>0</v>
      </c>
      <c r="CR6" s="202">
        <f t="shared" si="32"/>
        <v>0</v>
      </c>
      <c r="CS6" s="202">
        <f t="shared" si="32"/>
        <v>0</v>
      </c>
      <c r="CT6" s="202">
        <f t="shared" si="32"/>
        <v>0</v>
      </c>
      <c r="CU6" s="202">
        <f t="shared" si="32"/>
        <v>0</v>
      </c>
      <c r="CV6" s="202">
        <f t="shared" si="32"/>
        <v>0</v>
      </c>
      <c r="CW6" s="206"/>
      <c r="CY6" s="205" t="s">
        <v>454</v>
      </c>
      <c r="CZ6" s="207"/>
      <c r="DA6" s="202">
        <f>'Bilan 2015'!$K$30*'Bilan 2015'!$G$33/'Bilan 2015'!$H$30</f>
        <v>1.1461558268784771E-2</v>
      </c>
      <c r="DB6" s="202">
        <f>'Bilan 2020'!$K$30*'Bilan 2020'!$G$33/'Bilan 2020'!$H$30</f>
        <v>1.4707098153515799E-2</v>
      </c>
      <c r="DC6" s="202">
        <f>'Bilan 2023'!$K$30*'Bilan 2023'!$G$33/'Bilan 2023'!$H$30</f>
        <v>6.4172012593076526E-3</v>
      </c>
      <c r="DD6" s="202">
        <f>'Bilan 2025'!$K$30*'Bilan 2025'!$G$33/'Bilan 2025'!$H$30</f>
        <v>0</v>
      </c>
      <c r="DE6" s="202">
        <f>'Bilan 2028'!$K$30*'Bilan 2028'!$G$33/'Bilan 2028'!$H$30</f>
        <v>0</v>
      </c>
      <c r="DF6" s="202">
        <f>'Bilan 2030'!$K$30*'Bilan 2030'!$G$33/'Bilan 2030'!$H$30</f>
        <v>0</v>
      </c>
      <c r="DG6" s="202">
        <f>'Bilan 2033'!$K$30*'Bilan 2033'!$G$33/'Bilan 2033'!$H$30</f>
        <v>0</v>
      </c>
      <c r="DH6" s="202">
        <f>'Bilan 2035'!$K$30*'Bilan 2035'!$G$33/'Bilan 2035'!$H$30</f>
        <v>0</v>
      </c>
      <c r="DI6" s="202">
        <f>'Bilan 2038'!$K$30*'Bilan 2038'!$G$33/'Bilan 2038'!$H$30</f>
        <v>0</v>
      </c>
      <c r="DJ6" s="202">
        <f>'Bilan 2040'!$K$30*'Bilan 2040'!$G$33/'Bilan 2040'!$H$30</f>
        <v>0</v>
      </c>
      <c r="DK6" s="202">
        <f>'Bilan 2045'!$K$30*'Bilan 2045'!$G$33/'Bilan 2045'!$H$30</f>
        <v>0</v>
      </c>
      <c r="DL6" s="202">
        <f>'Bilan 2050'!$K$30*'Bilan 2050'!$G$33/'Bilan 2050'!$H$30</f>
        <v>0</v>
      </c>
    </row>
    <row r="7" spans="1:116" ht="14.5">
      <c r="A7" s="211" t="s">
        <v>272</v>
      </c>
      <c r="B7" s="212"/>
      <c r="C7" s="212"/>
      <c r="D7" s="212"/>
      <c r="E7" s="212"/>
      <c r="F7" s="212"/>
      <c r="G7" s="212"/>
      <c r="H7" s="212"/>
      <c r="I7" s="212"/>
      <c r="J7" s="212"/>
      <c r="K7" s="212"/>
      <c r="L7" s="212"/>
      <c r="M7" s="579"/>
      <c r="N7" s="575"/>
      <c r="O7" s="575"/>
      <c r="P7" s="575"/>
      <c r="Q7" s="571" t="s">
        <v>104</v>
      </c>
      <c r="R7" s="201">
        <f>SUM(R8:R15)</f>
        <v>132.46382849112061</v>
      </c>
      <c r="S7" s="201">
        <f>SUM(S8:S15)</f>
        <v>1284.6691143400469</v>
      </c>
      <c r="T7" s="201">
        <f>SUM(T8:T15)</f>
        <v>1315.4084850475449</v>
      </c>
      <c r="U7" s="201">
        <f t="shared" ref="U7:AC7" si="34">SUM(U8:U15)</f>
        <v>1420.9155514441097</v>
      </c>
      <c r="V7" s="201">
        <f t="shared" ref="V7:AB7" si="35">SUM(V8:V15)</f>
        <v>1438.1293377529812</v>
      </c>
      <c r="W7" s="201">
        <f t="shared" si="35"/>
        <v>1446.9191976865463</v>
      </c>
      <c r="X7" s="201">
        <f t="shared" si="35"/>
        <v>1401.3127639346931</v>
      </c>
      <c r="Y7" s="201">
        <f t="shared" si="35"/>
        <v>1370.9711613471736</v>
      </c>
      <c r="Z7" s="201">
        <f t="shared" si="35"/>
        <v>1327.3888026959191</v>
      </c>
      <c r="AA7" s="201">
        <f t="shared" si="35"/>
        <v>1298.3831979110835</v>
      </c>
      <c r="AB7" s="201">
        <f t="shared" si="35"/>
        <v>1223.074377956669</v>
      </c>
      <c r="AC7" s="201">
        <f t="shared" si="34"/>
        <v>1168.9598674825636</v>
      </c>
      <c r="AE7" s="205" t="s">
        <v>455</v>
      </c>
      <c r="AF7" s="205">
        <f>SUM('Bilan 2015'!$T$41:$W$41)</f>
        <v>0.16422493747563133</v>
      </c>
      <c r="AG7" s="205">
        <f>SUM('Bilan 2020'!$T$41:$W$41)</f>
        <v>2.9800774861924699</v>
      </c>
      <c r="AH7" s="205">
        <f>SUM('Bilan 2023'!$T$41:$W$41)</f>
        <v>3.0722536116144479</v>
      </c>
      <c r="AI7" s="205">
        <f>SUM('Bilan 2025'!$T$41:$W$41)</f>
        <v>3.0936816970358563</v>
      </c>
      <c r="AJ7" s="205">
        <f>SUM('Bilan 2028'!$T$41:$W$41)</f>
        <v>3.2165908227245823</v>
      </c>
      <c r="AK7" s="205">
        <f>SUM('Bilan 2030'!$T$41:$W$41)</f>
        <v>3.3167099858795943</v>
      </c>
      <c r="AL7" s="205">
        <f>SUM('Bilan 2033'!$T$41:$W$41)</f>
        <v>3.4900105718054752</v>
      </c>
      <c r="AM7" s="205">
        <f>SUM('Bilan 2035'!$T$41:$W$41)</f>
        <v>3.6118595879082487</v>
      </c>
      <c r="AN7" s="205">
        <f>SUM('Bilan 2038'!$T$41:$W$41)</f>
        <v>3.8002579814673605</v>
      </c>
      <c r="AO7" s="205">
        <f>SUM('Bilan 2040'!$T$41:$W$41)</f>
        <v>3.916565993260261</v>
      </c>
      <c r="AP7" s="205">
        <f>SUM('Bilan 2045'!$T$41:$W$41)</f>
        <v>4.1544557033463274</v>
      </c>
      <c r="AQ7" s="205">
        <f>SUM('Bilan 2050'!$T$41:$W$41)</f>
        <v>4.2699664941635191</v>
      </c>
      <c r="AR7" s="206"/>
      <c r="AS7" s="205" t="s">
        <v>455</v>
      </c>
      <c r="AT7" s="205">
        <f>SUM('Bilan 2015'!$T$41:$W$41)</f>
        <v>0.16422493747563133</v>
      </c>
      <c r="AU7" s="205">
        <f>SUM('Bilan 2020'!$T$41:$W$41)</f>
        <v>2.9800774861924699</v>
      </c>
      <c r="AV7" s="205">
        <f>SUM('Bilan 2023'!$T$41:$W$41)</f>
        <v>3.0722536116144479</v>
      </c>
      <c r="AW7" s="205">
        <f>SUM('Bilan 2025'!$T$41:$W$41)</f>
        <v>3.0936816970358563</v>
      </c>
      <c r="AX7" s="205">
        <f>SUM('Bilan 2028'!$T$41:$W$41)</f>
        <v>3.2165908227245823</v>
      </c>
      <c r="AY7" s="205">
        <f>SUM('Bilan 2030'!$T$41:$W$41)</f>
        <v>3.3167099858795943</v>
      </c>
      <c r="AZ7" s="205">
        <f>SUM('Bilan 2033'!$T$41:$W$41)</f>
        <v>3.4900105718054752</v>
      </c>
      <c r="BA7" s="205">
        <f>SUM('Bilan 2035'!$T$41:$W$41)</f>
        <v>3.6118595879082487</v>
      </c>
      <c r="BB7" s="205">
        <f>SUM('Bilan 2038'!$T$41:$W$41)</f>
        <v>3.8002579814673605</v>
      </c>
      <c r="BC7" s="205">
        <f>SUM('Bilan 2040'!$T$41:$W$41)</f>
        <v>3.916565993260261</v>
      </c>
      <c r="BD7" s="205">
        <f>SUM('Bilan 2045'!$T$41:$W$41)</f>
        <v>4.1544557033463274</v>
      </c>
      <c r="BE7" s="205">
        <f>SUM('Bilan 2050'!$T$41:$W$41)</f>
        <v>4.2699664941635191</v>
      </c>
      <c r="BF7" s="216"/>
      <c r="BG7" s="205" t="s">
        <v>455</v>
      </c>
      <c r="BH7" s="202">
        <f t="shared" si="31"/>
        <v>2.4971454178459007</v>
      </c>
      <c r="BI7" s="202">
        <f t="shared" si="31"/>
        <v>0.67487271236939406</v>
      </c>
      <c r="BJ7" s="202">
        <f t="shared" si="31"/>
        <v>1.8799973626940387</v>
      </c>
      <c r="BK7" s="202">
        <f t="shared" si="31"/>
        <v>1.4858144270214946</v>
      </c>
      <c r="BL7" s="202">
        <f t="shared" si="31"/>
        <v>1.3950587529277891</v>
      </c>
      <c r="BM7" s="202">
        <f t="shared" si="31"/>
        <v>1.3313923125103166</v>
      </c>
      <c r="BN7" s="202">
        <f t="shared" si="31"/>
        <v>1.3066168213450355</v>
      </c>
      <c r="BO7" s="202">
        <f t="shared" si="31"/>
        <v>1.2890712845505916</v>
      </c>
      <c r="BP7" s="202">
        <f t="shared" si="31"/>
        <v>1.1812370160762367</v>
      </c>
      <c r="BQ7" s="202">
        <f t="shared" si="31"/>
        <v>1.1178511069818438</v>
      </c>
      <c r="BR7" s="202">
        <f t="shared" si="31"/>
        <v>1.1060465842478282</v>
      </c>
      <c r="BS7" s="202">
        <f t="shared" si="31"/>
        <v>1.0915388927422112</v>
      </c>
      <c r="BU7" s="205" t="s">
        <v>455</v>
      </c>
      <c r="BV7" s="193">
        <f>'Bilan 2015'!$E$41*SUM('Bilan 2015'!$T$41:$W$41)/SUM('Bilan 2015'!$T6:CH$41)</f>
        <v>0</v>
      </c>
      <c r="BW7" s="193">
        <f>'Bilan 2020'!$E$41*SUM('Bilan 2020'!$T$41:$W$41)/SUM('Bilan 2020'!$T6:CI$41)</f>
        <v>0</v>
      </c>
      <c r="BX7" s="193">
        <f>'Bilan 2023'!$E$41*SUM('Bilan 2023'!$T$41:$W$41)/SUM('Bilan 2023'!$T6:CJ$41)</f>
        <v>0</v>
      </c>
      <c r="BY7" s="193">
        <f>'Bilan 2025'!$E$41*SUM('Bilan 2025'!$T$41:$W$41)/SUM('Bilan 2025'!$T6:CK$41)</f>
        <v>0</v>
      </c>
      <c r="BZ7" s="193">
        <f>'Bilan 2028'!$E$41*SUM('Bilan 2028'!$T$41:$W$41)/SUM('Bilan 2028'!$T6:CL$41)</f>
        <v>0</v>
      </c>
      <c r="CA7" s="193">
        <f>'Bilan 2030'!$E$41*SUM('Bilan 2030'!$T$41:$W$41)/SUM('Bilan 2030'!$T6:CM$41)</f>
        <v>0</v>
      </c>
      <c r="CB7" s="193">
        <f>'Bilan 2033'!$E$41*SUM('Bilan 2033'!$T$41:$W$41)/SUM('Bilan 2033'!$T6:CN$41)</f>
        <v>0</v>
      </c>
      <c r="CC7" s="193">
        <f>'Bilan 2035'!$E$41*SUM('Bilan 2035'!$T$41:$W$41)/SUM('Bilan 2035'!$T6:CO$41)</f>
        <v>0</v>
      </c>
      <c r="CD7" s="193">
        <f>'Bilan 2038'!$E$41*SUM('Bilan 2038'!$T$41:$W$41)/SUM('Bilan 2038'!$T6:CP$41)</f>
        <v>0</v>
      </c>
      <c r="CE7" s="193">
        <f>'Bilan 2040'!$E$41*SUM('Bilan 2040'!$T$41:$W$41)/SUM('Bilan 2040'!$T6:CQ$41)</f>
        <v>0</v>
      </c>
      <c r="CF7" s="193">
        <f>'Bilan 2045'!$E$41*SUM('Bilan 2045'!$T$41:$W$41)/SUM('Bilan 2045'!$T6:CR$41)</f>
        <v>0</v>
      </c>
      <c r="CG7" s="193">
        <f>'Bilan 2050'!$E$41*SUM('Bilan 2050'!$T$41:$W$41)/SUM('Bilan 2050'!$T6:CS$41)</f>
        <v>0</v>
      </c>
      <c r="CH7" s="206"/>
      <c r="CJ7" s="205" t="s">
        <v>455</v>
      </c>
      <c r="CK7" s="202">
        <f t="shared" si="32"/>
        <v>0</v>
      </c>
      <c r="CL7" s="202">
        <f t="shared" si="32"/>
        <v>0</v>
      </c>
      <c r="CM7" s="202">
        <f t="shared" si="32"/>
        <v>0</v>
      </c>
      <c r="CN7" s="202">
        <f t="shared" si="32"/>
        <v>0</v>
      </c>
      <c r="CO7" s="202">
        <f t="shared" si="32"/>
        <v>0</v>
      </c>
      <c r="CP7" s="202">
        <f t="shared" si="32"/>
        <v>0</v>
      </c>
      <c r="CQ7" s="202">
        <f t="shared" si="32"/>
        <v>0</v>
      </c>
      <c r="CR7" s="202">
        <f t="shared" si="32"/>
        <v>0</v>
      </c>
      <c r="CS7" s="202">
        <f t="shared" si="32"/>
        <v>0</v>
      </c>
      <c r="CT7" s="202">
        <f t="shared" si="32"/>
        <v>0</v>
      </c>
      <c r="CU7" s="202">
        <f t="shared" si="32"/>
        <v>0</v>
      </c>
      <c r="CV7" s="202">
        <f t="shared" si="32"/>
        <v>0</v>
      </c>
      <c r="CW7" s="206"/>
      <c r="CY7" s="205" t="s">
        <v>455</v>
      </c>
      <c r="CZ7" s="207"/>
      <c r="DA7" s="202">
        <v>0</v>
      </c>
      <c r="DB7" s="202">
        <v>0</v>
      </c>
      <c r="DC7" s="202">
        <f>DB7</f>
        <v>0</v>
      </c>
      <c r="DD7" s="202">
        <f t="shared" ref="DD7:DL7" si="36">DC7</f>
        <v>0</v>
      </c>
      <c r="DE7" s="202">
        <f t="shared" si="36"/>
        <v>0</v>
      </c>
      <c r="DF7" s="202">
        <f t="shared" si="36"/>
        <v>0</v>
      </c>
      <c r="DG7" s="202">
        <f t="shared" si="36"/>
        <v>0</v>
      </c>
      <c r="DH7" s="202">
        <f t="shared" si="36"/>
        <v>0</v>
      </c>
      <c r="DI7" s="202">
        <f t="shared" si="36"/>
        <v>0</v>
      </c>
      <c r="DJ7" s="202">
        <f t="shared" si="36"/>
        <v>0</v>
      </c>
      <c r="DK7" s="202">
        <f t="shared" si="36"/>
        <v>0</v>
      </c>
      <c r="DL7" s="202">
        <f t="shared" si="36"/>
        <v>0</v>
      </c>
    </row>
    <row r="8" spans="1:116" ht="14.5">
      <c r="A8" s="203" t="s">
        <v>181</v>
      </c>
      <c r="B8" s="204"/>
      <c r="C8" s="204"/>
      <c r="D8" s="204"/>
      <c r="E8" s="204"/>
      <c r="F8" s="204"/>
      <c r="G8" s="204"/>
      <c r="H8" s="204"/>
      <c r="I8" s="204"/>
      <c r="J8" s="204"/>
      <c r="K8" s="204"/>
      <c r="L8" s="204"/>
      <c r="M8" s="204"/>
      <c r="N8" s="577"/>
      <c r="O8" s="577"/>
      <c r="P8" s="577"/>
      <c r="Q8" s="572" t="s">
        <v>20</v>
      </c>
      <c r="R8" s="205">
        <f t="shared" ref="R8:AC8" si="37">B10</f>
        <v>114.07243284087656</v>
      </c>
      <c r="S8" s="205">
        <f t="shared" si="37"/>
        <v>1068.7282415646853</v>
      </c>
      <c r="T8" s="205">
        <f t="shared" si="37"/>
        <v>1099.786927863322</v>
      </c>
      <c r="U8" s="205">
        <f t="shared" si="37"/>
        <v>1190.909090909091</v>
      </c>
      <c r="V8" s="205">
        <f t="shared" si="37"/>
        <v>1190.8537949555769</v>
      </c>
      <c r="W8" s="205">
        <f t="shared" si="37"/>
        <v>1190.836803145455</v>
      </c>
      <c r="X8" s="205">
        <f t="shared" si="37"/>
        <v>1121.1895148055726</v>
      </c>
      <c r="Y8" s="205">
        <f t="shared" si="37"/>
        <v>1074.7551239708021</v>
      </c>
      <c r="Z8" s="205">
        <f t="shared" si="37"/>
        <v>1005.0925981733353</v>
      </c>
      <c r="AA8" s="205">
        <f t="shared" si="37"/>
        <v>958.64961434515953</v>
      </c>
      <c r="AB8" s="205">
        <f t="shared" si="37"/>
        <v>842.56165402525301</v>
      </c>
      <c r="AC8" s="205">
        <f t="shared" si="37"/>
        <v>726.54021626256326</v>
      </c>
      <c r="AD8" s="193">
        <v>2301</v>
      </c>
      <c r="AE8" s="201" t="s">
        <v>104</v>
      </c>
      <c r="AF8" s="201">
        <f t="shared" ref="AF8" si="38">SUM(AF9:AF17)</f>
        <v>38.082514273546238</v>
      </c>
      <c r="AG8" s="201">
        <f t="shared" ref="AG8:AQ8" si="39">SUM(AG9:AG17)</f>
        <v>404.64506759579865</v>
      </c>
      <c r="AH8" s="201">
        <f t="shared" si="39"/>
        <v>430.94463095806549</v>
      </c>
      <c r="AI8" s="201">
        <f t="shared" si="39"/>
        <v>436.1819209060987</v>
      </c>
      <c r="AJ8" s="201">
        <f t="shared" si="39"/>
        <v>447.36659144667385</v>
      </c>
      <c r="AK8" s="201">
        <f t="shared" si="39"/>
        <v>454.71077961406559</v>
      </c>
      <c r="AL8" s="201">
        <f t="shared" si="39"/>
        <v>471.00002722243977</v>
      </c>
      <c r="AM8" s="201">
        <f t="shared" si="39"/>
        <v>481.78129696414442</v>
      </c>
      <c r="AN8" s="201">
        <f t="shared" si="39"/>
        <v>496.49341447572323</v>
      </c>
      <c r="AO8" s="201">
        <f t="shared" si="39"/>
        <v>506.18747931527605</v>
      </c>
      <c r="AP8" s="201">
        <f t="shared" si="39"/>
        <v>525.42638538921233</v>
      </c>
      <c r="AQ8" s="201">
        <f t="shared" si="39"/>
        <v>541.90719860025729</v>
      </c>
      <c r="AR8" s="206"/>
      <c r="AS8" s="201" t="s">
        <v>104</v>
      </c>
      <c r="AT8" s="201">
        <f t="shared" ref="AT8" si="40">SUM(AT9:AT17)</f>
        <v>38.082514273546238</v>
      </c>
      <c r="AU8" s="201">
        <f t="shared" ref="AU8:BE8" si="41">SUM(AU9:AU17)</f>
        <v>404.64506759579865</v>
      </c>
      <c r="AV8" s="201">
        <f t="shared" si="41"/>
        <v>430.94463095806549</v>
      </c>
      <c r="AW8" s="201">
        <f t="shared" si="41"/>
        <v>436.1819209060987</v>
      </c>
      <c r="AX8" s="201">
        <f t="shared" si="41"/>
        <v>447.36659144667385</v>
      </c>
      <c r="AY8" s="201">
        <f t="shared" si="41"/>
        <v>454.71077961406559</v>
      </c>
      <c r="AZ8" s="201">
        <f t="shared" si="41"/>
        <v>471.00002722243977</v>
      </c>
      <c r="BA8" s="201">
        <f t="shared" si="41"/>
        <v>481.78129696414442</v>
      </c>
      <c r="BB8" s="201">
        <f t="shared" si="41"/>
        <v>496.49341447572323</v>
      </c>
      <c r="BC8" s="201">
        <f t="shared" si="41"/>
        <v>506.18747931527605</v>
      </c>
      <c r="BD8" s="201">
        <f t="shared" si="41"/>
        <v>525.42638538921233</v>
      </c>
      <c r="BE8" s="201">
        <f t="shared" si="41"/>
        <v>541.90719860025729</v>
      </c>
      <c r="BF8" s="216"/>
      <c r="BG8" s="205" t="s">
        <v>20</v>
      </c>
      <c r="BH8" s="202">
        <f t="shared" ref="BH8:BH16" si="42">IF(AT9&gt;0,BV8/AT9,0)</f>
        <v>2.6021841240650576</v>
      </c>
      <c r="BI8" s="202">
        <f t="shared" ref="BI8:BI16" si="43">IF(AU9&gt;0,BW8/AU9,0)</f>
        <v>2.6076963834600786</v>
      </c>
      <c r="BJ8" s="202">
        <f t="shared" ref="BJ8:BJ16" si="44">IF(AV9&gt;0,BX8/AV9,0)</f>
        <v>2.546550119697244</v>
      </c>
      <c r="BK8" s="202">
        <f t="shared" ref="BK8:BK16" si="45">IF(AW9&gt;0,BY8/AW9,0)</f>
        <v>2.7417109609264272</v>
      </c>
      <c r="BL8" s="202">
        <f t="shared" ref="BL8:BL16" si="46">IF(AX9&gt;0,BZ8/AX9,0)</f>
        <v>2.7766516790106883</v>
      </c>
      <c r="BM8" s="202">
        <f t="shared" ref="BM8:BM16" si="47">IF(AY9&gt;0,CA8/AY9,0)</f>
        <v>2.7869632878683399</v>
      </c>
      <c r="BN8" s="202">
        <f t="shared" ref="BN8:BN16" si="48">IF(AZ9&gt;0,CB8/AZ9,0)</f>
        <v>2.6983136127327985</v>
      </c>
      <c r="BO8" s="202">
        <f t="shared" ref="BO8:BO16" si="49">IF(BA9&gt;0,CC8/BA9,0)</f>
        <v>2.6431354825471627</v>
      </c>
      <c r="BP8" s="202">
        <f t="shared" ref="BP8:BP16" si="50">IF(BB9&gt;0,CD8/BB9,0)</f>
        <v>2.5962055408018738</v>
      </c>
      <c r="BQ8" s="202">
        <f t="shared" ref="BQ8:BQ16" si="51">IF(BC9&gt;0,CE8/BC9,0)</f>
        <v>2.5694167335775391</v>
      </c>
      <c r="BR8" s="202">
        <f t="shared" ref="BR8:BR16" si="52">IF(BD9&gt;0,CF8/BD9,0)</f>
        <v>2.4963667791231394</v>
      </c>
      <c r="BS8" s="202">
        <f t="shared" ref="BS8:BS16" si="53">IF(BE9&gt;0,CG8/BE9,0)</f>
        <v>2.4852160813081112</v>
      </c>
      <c r="BU8" s="205" t="s">
        <v>20</v>
      </c>
      <c r="BV8" s="202">
        <f>'Bilan 2015'!$E10+'Bilan 2015'!$I$13*'Bilan 2015'!$G$10/'Bilan 2015'!$H$13</f>
        <v>76.927998046427618</v>
      </c>
      <c r="BW8" s="202">
        <f>'Bilan 2020'!$E10+'Bilan 2020'!$I$13*'Bilan 2020'!$G$10/'Bilan 2020'!$H$13</f>
        <v>732.38826540083176</v>
      </c>
      <c r="BX8" s="202">
        <f>'Bilan 2023'!$E10+'Bilan 2023'!$I$13*'Bilan 2023'!$G$10/'Bilan 2023'!$H$13</f>
        <v>758.47726162711353</v>
      </c>
      <c r="BY8" s="202">
        <f>'Bilan 2025'!$E10+'Bilan 2025'!$I$13*'Bilan 2025'!$G$10/'Bilan 2025'!$H$13</f>
        <v>820.69122285667004</v>
      </c>
      <c r="BZ8" s="202">
        <f>'Bilan 2028'!$E10+'Bilan 2028'!$I$13*'Bilan 2028'!$G$10/'Bilan 2028'!$H$13</f>
        <v>821.26987194632636</v>
      </c>
      <c r="CA8" s="202">
        <f>'Bilan 2030'!$E10+'Bilan 2030'!$I$13*'Bilan 2030'!$G$10/'Bilan 2030'!$H$13</f>
        <v>821.77975922980863</v>
      </c>
      <c r="CB8" s="202">
        <f>'Bilan 2033'!$E10+'Bilan 2033'!$I$13*'Bilan 2033'!$G$10/'Bilan 2033'!$H$13</f>
        <v>772.82879258257117</v>
      </c>
      <c r="CC8" s="202">
        <f>'Bilan 2035'!$E10+'Bilan 2035'!$I$13*'Bilan 2035'!$G$10/'Bilan 2035'!$H$13</f>
        <v>740.27946537060609</v>
      </c>
      <c r="CD8" s="202">
        <f>'Bilan 2038'!$E10+'Bilan 2038'!$I$13*'Bilan 2038'!$G$10/'Bilan 2038'!$H$13</f>
        <v>693.52996375943428</v>
      </c>
      <c r="CE8" s="202">
        <f>'Bilan 2040'!$E10+'Bilan 2040'!$I$13*'Bilan 2040'!$G$10/'Bilan 2040'!$H$13</f>
        <v>662.45517753449155</v>
      </c>
      <c r="CF8" s="202">
        <f>'Bilan 2045'!$E10+'Bilan 2045'!$I$13*'Bilan 2045'!$G$10/'Bilan 2045'!$H$13</f>
        <v>581.90050284707559</v>
      </c>
      <c r="CG8" s="202">
        <f>'Bilan 2050'!$E10+'Bilan 2050'!$I$13*'Bilan 2050'!$G$10/'Bilan 2050'!$H$13</f>
        <v>502.34541011646286</v>
      </c>
      <c r="CH8" s="206"/>
      <c r="CJ8" s="205" t="s">
        <v>20</v>
      </c>
      <c r="CK8" s="202">
        <f t="shared" ref="CK8:CK16" si="54">IF(AT9&gt;0,DA8/AT9,0)</f>
        <v>7.9921040170571458E-2</v>
      </c>
      <c r="CL8" s="202">
        <f t="shared" ref="CL8:CL16" si="55">IF(AU9&gt;0,DB8/AU9,0)</f>
        <v>8.704500007783883E-2</v>
      </c>
      <c r="CM8" s="202">
        <f t="shared" ref="CM8:CM16" si="56">IF(AV9&gt;0,DC8/AV9,0)</f>
        <v>8.9559489022963845E-2</v>
      </c>
      <c r="CN8" s="202">
        <f t="shared" ref="CN8:CN16" si="57">IF(AW9&gt;0,DD8/AW9,0)</f>
        <v>8.9854060997460142E-2</v>
      </c>
      <c r="CO8" s="202">
        <f t="shared" ref="CO8:CO16" si="58">IF(AX9&gt;0,DE8/AX9,0)</f>
        <v>8.9671267020439704E-2</v>
      </c>
      <c r="CP8" s="202">
        <f t="shared" ref="CP8:CP16" si="59">IF(AY9&gt;0,DF8/AY9,0)</f>
        <v>8.955655481981814E-2</v>
      </c>
      <c r="CQ8" s="202">
        <f t="shared" ref="CQ8:CQ16" si="60">IF(AZ9&gt;0,DG8/AZ9,0)</f>
        <v>8.9042391365625459E-2</v>
      </c>
      <c r="CR8" s="202">
        <f t="shared" ref="CR8:CR16" si="61">IF(BA9&gt;0,DH8/BA9,0)</f>
        <v>8.8721271934519702E-2</v>
      </c>
      <c r="CS8" s="202">
        <f t="shared" ref="CS8:CS16" si="62">IF(BB9&gt;0,DI8/BB9,0)</f>
        <v>8.8282009795459068E-2</v>
      </c>
      <c r="CT8" s="202">
        <f t="shared" ref="CT8:CT16" si="63">IF(BC9&gt;0,DJ8/BC9,0)</f>
        <v>8.8005993481828471E-2</v>
      </c>
      <c r="CU8" s="202">
        <f t="shared" ref="CU8:CU16" si="64">IF(BD9&gt;0,DK8/BD9,0)</f>
        <v>8.7393803421868227E-2</v>
      </c>
      <c r="CV8" s="202">
        <f t="shared" ref="CV8:CV16" si="65">IF(BE9&gt;0,DL8/BE9,0)</f>
        <v>8.697382528597257E-2</v>
      </c>
      <c r="CW8" s="206"/>
      <c r="CX8" s="193">
        <v>2301</v>
      </c>
      <c r="CY8" s="205" t="s">
        <v>20</v>
      </c>
      <c r="CZ8" s="207" t="s">
        <v>271</v>
      </c>
      <c r="DA8" s="202">
        <f>'Bilan 2015'!$K$13*'Bilan 2015'!$G$10/SUM('Bilan 2015'!$G$7:$G$19)</f>
        <v>2.3626943094655792</v>
      </c>
      <c r="DB8" s="202">
        <f>'Bilan 2020'!$K$13*'Bilan 2020'!$G$10/SUM('Bilan 2020'!$G$7:$G$19)</f>
        <v>24.447146923690021</v>
      </c>
      <c r="DC8" s="202">
        <f>'Bilan 2023'!$K$13*'Bilan 2023'!$G$10/SUM('Bilan 2023'!$G$7:$G$19)</f>
        <v>26.674847457915778</v>
      </c>
      <c r="DD8" s="202">
        <f>'Bilan 2025'!$K$13*'Bilan 2025'!$G$10/SUM('Bilan 2025'!$G$7:$G$19)</f>
        <v>26.89650377066944</v>
      </c>
      <c r="DE8" s="202">
        <f>'Bilan 2028'!$K$13*'Bilan 2028'!$G$10/SUM('Bilan 2028'!$G$7:$G$19)</f>
        <v>26.522703780180514</v>
      </c>
      <c r="DF8" s="202">
        <f>'Bilan 2030'!$K$13*'Bilan 2030'!$G$10/SUM('Bilan 2030'!$G$7:$G$19)</f>
        <v>26.407152321540764</v>
      </c>
      <c r="DG8" s="202">
        <f>'Bilan 2033'!$K$13*'Bilan 2033'!$G$10/SUM('Bilan 2033'!$G$7:$G$19)</f>
        <v>25.502789402625108</v>
      </c>
      <c r="DH8" s="202">
        <f>'Bilan 2035'!$K$13*'Bilan 2035'!$G$10/SUM('Bilan 2035'!$G$7:$G$19)</f>
        <v>24.848720842486923</v>
      </c>
      <c r="DI8" s="202">
        <f>'Bilan 2038'!$K$13*'Bilan 2038'!$G$10/SUM('Bilan 2038'!$G$7:$G$19)</f>
        <v>23.582962940270203</v>
      </c>
      <c r="DJ8" s="202">
        <f>'Bilan 2040'!$K$13*'Bilan 2040'!$G$10/SUM('Bilan 2040'!$G$7:$G$19)</f>
        <v>22.689984568960785</v>
      </c>
      <c r="DK8" s="202">
        <f>'Bilan 2045'!$K$13*'Bilan 2045'!$G$10/SUM('Bilan 2045'!$G$7:$G$19)</f>
        <v>20.371404788028176</v>
      </c>
      <c r="DL8" s="202">
        <f>'Bilan 2050'!$K$13*'Bilan 2050'!$G$10/SUM('Bilan 2050'!$G$7:$G$19)</f>
        <v>17.580323200581599</v>
      </c>
    </row>
    <row r="9" spans="1:116" ht="14.5">
      <c r="A9" s="199" t="s">
        <v>104</v>
      </c>
      <c r="B9" s="200">
        <f t="shared" ref="B9" si="66">SUM(B10:B19)</f>
        <v>132.45382849112059</v>
      </c>
      <c r="C9" s="200">
        <f t="shared" ref="C9" si="67">SUM(C10:C19)</f>
        <v>1284.6591143400469</v>
      </c>
      <c r="D9" s="200">
        <f t="shared" ref="D9" si="68">SUM(D10:D19)</f>
        <v>1315.3984850475449</v>
      </c>
      <c r="E9" s="200">
        <f t="shared" ref="E9:H9" si="69">SUM(E10:E19)</f>
        <v>1420.9054514441098</v>
      </c>
      <c r="F9" s="200">
        <f t="shared" si="69"/>
        <v>1438.1192377529812</v>
      </c>
      <c r="G9" s="200">
        <f t="shared" si="69"/>
        <v>1446.9090976865464</v>
      </c>
      <c r="H9" s="200">
        <f t="shared" si="69"/>
        <v>1401.3026639346931</v>
      </c>
      <c r="I9" s="200">
        <f t="shared" ref="I9" si="70">SUM(I10:I19)</f>
        <v>1370.9610613471737</v>
      </c>
      <c r="J9" s="200">
        <f t="shared" ref="J9" si="71">SUM(J10:J19)</f>
        <v>1327.3787026959192</v>
      </c>
      <c r="K9" s="200">
        <f t="shared" ref="K9" si="72">SUM(K10:K19)</f>
        <v>1298.3730979110835</v>
      </c>
      <c r="L9" s="200">
        <f t="shared" ref="L9:M9" si="73">SUM(L10:L19)</f>
        <v>1223.064277956669</v>
      </c>
      <c r="M9" s="200">
        <f t="shared" si="73"/>
        <v>1168.9496674825637</v>
      </c>
      <c r="N9" s="215">
        <f>C9-('Bilan 2020'!$D$13-SUM('Bilan 2020'!$M$13:$P$13))</f>
        <v>0</v>
      </c>
      <c r="O9" s="215">
        <f>G9-('Bilan 2030'!$D$13-SUM('Bilan 2030'!$M$13:$P$13))</f>
        <v>0</v>
      </c>
      <c r="P9" s="215">
        <f>M9-('Bilan 2050'!$D$13-SUM('Bilan 2050'!$M$13:$P$13))</f>
        <v>0</v>
      </c>
      <c r="Q9" s="572" t="s">
        <v>224</v>
      </c>
      <c r="R9" s="205">
        <f t="shared" ref="R9:AC9" si="74">B11+0.01</f>
        <v>0.71199999999999997</v>
      </c>
      <c r="S9" s="205">
        <f t="shared" si="74"/>
        <v>3.4306184464582499</v>
      </c>
      <c r="T9" s="205">
        <f t="shared" si="74"/>
        <v>9.8255540070983809</v>
      </c>
      <c r="U9" s="205">
        <f t="shared" si="74"/>
        <v>7.830955422592937</v>
      </c>
      <c r="V9" s="205">
        <f t="shared" si="74"/>
        <v>7.6564888175397661</v>
      </c>
      <c r="W9" s="205">
        <f t="shared" si="74"/>
        <v>7.5403123925867996</v>
      </c>
      <c r="X9" s="205">
        <f t="shared" si="74"/>
        <v>7.8029014235367695</v>
      </c>
      <c r="Y9" s="205">
        <f t="shared" si="74"/>
        <v>7.9778576813248945</v>
      </c>
      <c r="Z9" s="205">
        <f t="shared" si="74"/>
        <v>7.7081211171096244</v>
      </c>
      <c r="AA9" s="205">
        <f t="shared" si="74"/>
        <v>7.5282459140662237</v>
      </c>
      <c r="AB9" s="205">
        <f t="shared" si="74"/>
        <v>7.9272502177748612</v>
      </c>
      <c r="AC9" s="205">
        <f t="shared" si="74"/>
        <v>8.0617926198923495</v>
      </c>
      <c r="AD9" s="193">
        <f>AD8+1</f>
        <v>2302</v>
      </c>
      <c r="AE9" s="205" t="s">
        <v>20</v>
      </c>
      <c r="AF9" s="205">
        <f>'Bilan 2015'!$S$13*'Bilan 2015'!$G$10/SUM('Bilan 2015'!$G$7:$G$19)</f>
        <v>29.56285734548749</v>
      </c>
      <c r="AG9" s="205">
        <f>'Bilan 2020'!$S$13*'Bilan 2020'!$G$10/SUM('Bilan 2020'!$G$7:$G$19)</f>
        <v>280.85641796574743</v>
      </c>
      <c r="AH9" s="205">
        <f>'Bilan 2023'!$S$13*'Bilan 2023'!$G$10/SUM('Bilan 2023'!$G$7:$G$19)</f>
        <v>297.84501618891676</v>
      </c>
      <c r="AI9" s="205">
        <f>'Bilan 2025'!$S$13*'Bilan 2025'!$G$10/SUM('Bilan 2025'!$G$7:$G$19)</f>
        <v>299.33542760443191</v>
      </c>
      <c r="AJ9" s="205">
        <f>'Bilan 2028'!$S$13*'Bilan 2028'!$G$10/SUM('Bilan 2028'!$G$7:$G$19)</f>
        <v>295.77706060665918</v>
      </c>
      <c r="AK9" s="205">
        <f>'Bilan 2030'!$S$13*'Bilan 2030'!$G$10/SUM('Bilan 2030'!$G$7:$G$19)</f>
        <v>294.86565639634313</v>
      </c>
      <c r="AL9" s="205">
        <f>'Bilan 2033'!$S$13*'Bilan 2033'!$G$10/SUM('Bilan 2033'!$G$7:$G$19)</f>
        <v>286.41177546440406</v>
      </c>
      <c r="AM9" s="205">
        <f>'Bilan 2035'!$S$13*'Bilan 2035'!$G$10/SUM('Bilan 2035'!$G$7:$G$19)</f>
        <v>280.07624666186479</v>
      </c>
      <c r="AN9" s="205">
        <f>'Bilan 2038'!$S$13*'Bilan 2038'!$G$10/SUM('Bilan 2038'!$G$7:$G$19)</f>
        <v>267.13214838345505</v>
      </c>
      <c r="AO9" s="205">
        <f>'Bilan 2040'!$S$13*'Bilan 2040'!$G$10/SUM('Bilan 2040'!$G$7:$G$19)</f>
        <v>257.82317398241548</v>
      </c>
      <c r="AP9" s="205">
        <f>'Bilan 2045'!$S$13*'Bilan 2045'!$G$10/SUM('Bilan 2045'!$G$7:$G$19)</f>
        <v>233.09896114363087</v>
      </c>
      <c r="AQ9" s="205">
        <f>'Bilan 2050'!$S$13*'Bilan 2050'!$G$10/SUM('Bilan 2050'!$G$7:$G$19)</f>
        <v>202.13349410327723</v>
      </c>
      <c r="AR9" s="206"/>
      <c r="AS9" s="205" t="s">
        <v>20</v>
      </c>
      <c r="AT9" s="205">
        <f>'Bilan 2015'!$S$13*'Bilan 2015'!$G$10/SUM('Bilan 2015'!$G$7:$G$19)</f>
        <v>29.56285734548749</v>
      </c>
      <c r="AU9" s="205">
        <f>'Bilan 2020'!$S$13*'Bilan 2020'!$G$10/SUM('Bilan 2020'!$G$7:$G$19)</f>
        <v>280.85641796574743</v>
      </c>
      <c r="AV9" s="205">
        <f>'Bilan 2023'!$S$13*'Bilan 2023'!$G$10/SUM('Bilan 2023'!$G$7:$G$19)</f>
        <v>297.84501618891676</v>
      </c>
      <c r="AW9" s="205">
        <f>'Bilan 2025'!$S$13*'Bilan 2025'!$G$10/SUM('Bilan 2025'!$G$7:$G$19)</f>
        <v>299.33542760443191</v>
      </c>
      <c r="AX9" s="205">
        <f>'Bilan 2028'!$S$13*'Bilan 2028'!$G$10/SUM('Bilan 2028'!$G$7:$G$19)</f>
        <v>295.77706060665918</v>
      </c>
      <c r="AY9" s="205">
        <f>'Bilan 2030'!$S$13*'Bilan 2030'!$G$10/SUM('Bilan 2030'!$G$7:$G$19)</f>
        <v>294.86565639634313</v>
      </c>
      <c r="AZ9" s="205">
        <f>'Bilan 2033'!$S$13*'Bilan 2033'!$G$10/SUM('Bilan 2033'!$G$7:$G$19)</f>
        <v>286.41177546440406</v>
      </c>
      <c r="BA9" s="205">
        <f>'Bilan 2035'!$S$13*'Bilan 2035'!$G$10/SUM('Bilan 2035'!$G$7:$G$19)</f>
        <v>280.07624666186479</v>
      </c>
      <c r="BB9" s="205">
        <f>'Bilan 2038'!$S$13*'Bilan 2038'!$G$10/SUM('Bilan 2038'!$G$7:$G$19)</f>
        <v>267.13214838345505</v>
      </c>
      <c r="BC9" s="205">
        <f>'Bilan 2040'!$S$13*'Bilan 2040'!$G$10/SUM('Bilan 2040'!$G$7:$G$19)</f>
        <v>257.82317398241548</v>
      </c>
      <c r="BD9" s="205">
        <f>'Bilan 2045'!$S$13*'Bilan 2045'!$G$10/SUM('Bilan 2045'!$G$7:$G$19)</f>
        <v>233.09896114363087</v>
      </c>
      <c r="BE9" s="205">
        <f>'Bilan 2050'!$S$13*'Bilan 2050'!$G$10/SUM('Bilan 2050'!$G$7:$G$19)</f>
        <v>202.13349410327723</v>
      </c>
      <c r="BF9" s="216"/>
      <c r="BG9" s="205" t="s">
        <v>224</v>
      </c>
      <c r="BH9" s="202">
        <f t="shared" si="42"/>
        <v>1.7651702297073344</v>
      </c>
      <c r="BI9" s="202">
        <f t="shared" si="43"/>
        <v>1.7088159266761329</v>
      </c>
      <c r="BJ9" s="202">
        <f t="shared" si="44"/>
        <v>1.6384280931989357</v>
      </c>
      <c r="BK9" s="202">
        <f t="shared" si="45"/>
        <v>1.7631997499363754</v>
      </c>
      <c r="BL9" s="202">
        <f t="shared" si="46"/>
        <v>1.7749333218132259</v>
      </c>
      <c r="BM9" s="202">
        <f t="shared" si="47"/>
        <v>1.7746797272453914</v>
      </c>
      <c r="BN9" s="202">
        <f t="shared" si="48"/>
        <v>1.7158906715529072</v>
      </c>
      <c r="BO9" s="202">
        <f t="shared" si="49"/>
        <v>1.6791787585445395</v>
      </c>
      <c r="BP9" s="202">
        <f t="shared" si="50"/>
        <v>1.6319738320014898</v>
      </c>
      <c r="BQ9" s="202">
        <f t="shared" si="51"/>
        <v>1.6023888118597016</v>
      </c>
      <c r="BR9" s="202">
        <f t="shared" si="52"/>
        <v>1.5476221037125595</v>
      </c>
      <c r="BS9" s="202">
        <f t="shared" si="53"/>
        <v>1.5258319901363677</v>
      </c>
      <c r="BU9" s="205" t="s">
        <v>224</v>
      </c>
      <c r="BV9" s="202">
        <f>'Bilan 2015'!$E17+'Bilan 2015'!$I$13*'Bilan 2015'!$G$17/'Bilan 2015'!$H$13</f>
        <v>0.41009355011330234</v>
      </c>
      <c r="BW9" s="202">
        <f>'Bilan 2020'!$E17+'Bilan 2020'!$I$13*'Bilan 2020'!$G$17/'Bilan 2020'!$H$13</f>
        <v>2.0111729761776775</v>
      </c>
      <c r="BX9" s="202">
        <f>'Bilan 2023'!$E17+'Bilan 2023'!$I$13*'Bilan 2023'!$G$17/'Bilan 2023'!$H$13</f>
        <v>5.7758286873623979</v>
      </c>
      <c r="BY9" s="202">
        <f>'Bilan 2025'!$E17+'Bilan 2025'!$I$13*'Bilan 2025'!$G$17/'Bilan 2025'!$H$13</f>
        <v>4.5966368980682155</v>
      </c>
      <c r="BZ9" s="202">
        <f>'Bilan 2028'!$E17+'Bilan 2028'!$I$13*'Bilan 2028'!$G$17/'Bilan 2028'!$H$13</f>
        <v>4.4873331818291273</v>
      </c>
      <c r="CA9" s="202">
        <f>'Bilan 2030'!$E17+'Bilan 2030'!$I$13*'Bilan 2030'!$G$17/'Bilan 2030'!$H$13</f>
        <v>4.4158421780262929</v>
      </c>
      <c r="CB9" s="202">
        <f>'Bilan 2033'!$E17+'Bilan 2033'!$I$13*'Bilan 2033'!$G$17/'Bilan 2033'!$H$13</f>
        <v>4.5601065197930399</v>
      </c>
      <c r="CC9" s="202">
        <f>'Bilan 2035'!$E17+'Bilan 2035'!$I$13*'Bilan 2035'!$G$17/'Bilan 2035'!$H$13</f>
        <v>4.6559444786012563</v>
      </c>
      <c r="CD9" s="202">
        <f>'Bilan 2038'!$E17+'Bilan 2038'!$I$13*'Bilan 2038'!$G$17/'Bilan 2038'!$H$13</f>
        <v>4.4890053983484073</v>
      </c>
      <c r="CE9" s="202">
        <f>'Bilan 2040'!$E17+'Bilan 2040'!$I$13*'Bilan 2040'!$G$17/'Bilan 2040'!$H$13</f>
        <v>4.378137631133427</v>
      </c>
      <c r="CF9" s="202">
        <f>'Bilan 2045'!$E17+'Bilan 2045'!$I$13*'Bilan 2045'!$G$17/'Bilan 2045'!$H$13</f>
        <v>4.5950215400951144</v>
      </c>
      <c r="CG9" s="202">
        <f>'Bilan 2050'!$E17+'Bilan 2050'!$I$13*'Bilan 2050'!$G$17/'Bilan 2050'!$H$13</f>
        <v>4.6608344990855892</v>
      </c>
      <c r="CH9" s="206"/>
      <c r="CJ9" s="205" t="s">
        <v>224</v>
      </c>
      <c r="CK9" s="202">
        <f t="shared" si="54"/>
        <v>7.9921040170571458E-2</v>
      </c>
      <c r="CL9" s="202">
        <f t="shared" si="55"/>
        <v>8.7045000077838844E-2</v>
      </c>
      <c r="CM9" s="202">
        <f t="shared" si="56"/>
        <v>8.9559489022963831E-2</v>
      </c>
      <c r="CN9" s="202">
        <f t="shared" si="57"/>
        <v>8.9854060997460142E-2</v>
      </c>
      <c r="CO9" s="202">
        <f t="shared" si="58"/>
        <v>8.9671267020439718E-2</v>
      </c>
      <c r="CP9" s="202">
        <f t="shared" si="59"/>
        <v>8.955655481981814E-2</v>
      </c>
      <c r="CQ9" s="202">
        <f t="shared" si="60"/>
        <v>8.9042391365625445E-2</v>
      </c>
      <c r="CR9" s="202">
        <f t="shared" si="61"/>
        <v>8.8721271934519702E-2</v>
      </c>
      <c r="CS9" s="202">
        <f t="shared" si="62"/>
        <v>8.8282009795459082E-2</v>
      </c>
      <c r="CT9" s="202">
        <f t="shared" si="63"/>
        <v>8.8005993481828484E-2</v>
      </c>
      <c r="CU9" s="202">
        <f t="shared" si="64"/>
        <v>8.7393803421868213E-2</v>
      </c>
      <c r="CV9" s="202">
        <f t="shared" si="65"/>
        <v>8.697382528597257E-2</v>
      </c>
      <c r="CW9" s="206"/>
      <c r="CX9" s="193">
        <f>CX8+1</f>
        <v>2302</v>
      </c>
      <c r="CY9" s="205" t="s">
        <v>224</v>
      </c>
      <c r="CZ9" s="207" t="s">
        <v>273</v>
      </c>
      <c r="DA9" s="202">
        <f>'Bilan 2015'!$K$13*'Bilan 2015'!$G$17/SUM('Bilan 2015'!$G$7:$G$19)</f>
        <v>1.8567672704140052E-2</v>
      </c>
      <c r="DB9" s="202">
        <f>'Bilan 2020'!$K$13*'Bilan 2020'!$G$17/SUM('Bilan 2020'!$G$7:$G$19)</f>
        <v>0.10244669957427921</v>
      </c>
      <c r="DC9" s="202">
        <f>'Bilan 2023'!$K$13*'Bilan 2023'!$G$17/SUM('Bilan 2023'!$G$7:$G$19)</f>
        <v>0.31571740503691714</v>
      </c>
      <c r="DD9" s="202">
        <f>'Bilan 2025'!$K$13*'Bilan 2025'!$G$17/SUM('Bilan 2025'!$G$7:$G$19)</f>
        <v>0.23424827064381182</v>
      </c>
      <c r="DE9" s="202">
        <f>'Bilan 2028'!$K$13*'Bilan 2028'!$G$17/SUM('Bilan 2028'!$G$7:$G$19)</f>
        <v>0.22670420742702216</v>
      </c>
      <c r="DF9" s="202">
        <f>'Bilan 2030'!$K$13*'Bilan 2030'!$G$17/SUM('Bilan 2030'!$G$7:$G$19)</f>
        <v>0.22283886270899747</v>
      </c>
      <c r="DG9" s="202">
        <f>'Bilan 2033'!$K$13*'Bilan 2033'!$G$17/SUM('Bilan 2033'!$G$7:$G$19)</f>
        <v>0.23663674856211975</v>
      </c>
      <c r="DH9" s="202">
        <f>'Bilan 2035'!$K$13*'Bilan 2035'!$G$17/SUM('Bilan 2035'!$G$7:$G$19)</f>
        <v>0.24600199001805731</v>
      </c>
      <c r="DI9" s="202">
        <f>'Bilan 2038'!$K$13*'Bilan 2038'!$G$17/SUM('Bilan 2038'!$G$7:$G$19)</f>
        <v>0.24283380699973198</v>
      </c>
      <c r="DJ9" s="202">
        <f>'Bilan 2040'!$K$13*'Bilan 2040'!$G$17/SUM('Bilan 2040'!$G$7:$G$19)</f>
        <v>0.24045496884173939</v>
      </c>
      <c r="DK9" s="202">
        <f>'Bilan 2045'!$K$13*'Bilan 2045'!$G$17/SUM('Bilan 2045'!$G$7:$G$19)</f>
        <v>0.25947962892943244</v>
      </c>
      <c r="DL9" s="202">
        <f>'Bilan 2050'!$K$13*'Bilan 2050'!$G$17/SUM('Bilan 2050'!$G$7:$G$19)</f>
        <v>0.26567184855920767</v>
      </c>
    </row>
    <row r="10" spans="1:116" ht="14.5">
      <c r="A10" s="203" t="s">
        <v>20</v>
      </c>
      <c r="B10" s="204">
        <f>'Bilan 2015'!$C10</f>
        <v>114.07243284087656</v>
      </c>
      <c r="C10" s="204">
        <f>'Bilan 2020'!$C10</f>
        <v>1068.7282415646853</v>
      </c>
      <c r="D10" s="204">
        <f>'Bilan 2023'!$C10*(1-SUM('Bilan 2023'!$M$13:$P$13)/'Bilan 2023'!$D$13)</f>
        <v>1099.786927863322</v>
      </c>
      <c r="E10" s="204">
        <f>'Bilan 2025'!$C10</f>
        <v>1190.909090909091</v>
      </c>
      <c r="F10" s="204">
        <f>'Bilan 2028'!$C10*(1-SUM('Bilan 2028'!$M$13:$P$13)/'Bilan 2028'!$D$13)</f>
        <v>1190.8537949555769</v>
      </c>
      <c r="G10" s="204">
        <f>'Bilan 2030'!$C10*(1-SUM('Bilan 2030'!$M$13:$P$13)/'Bilan 2030'!$D$13)</f>
        <v>1190.836803145455</v>
      </c>
      <c r="H10" s="204">
        <f>'Bilan 2033'!$C10*(1-SUM('Bilan 2033'!$M$13:$P$13)/'Bilan 2033'!$D$13)</f>
        <v>1121.1895148055726</v>
      </c>
      <c r="I10" s="204">
        <f>'Bilan 2035'!$C10*(1-SUM('Bilan 2035'!$M$13:$P$13)/'Bilan 2035'!$D$13)</f>
        <v>1074.7551239708021</v>
      </c>
      <c r="J10" s="204">
        <f>'Bilan 2038'!$C10*(1-SUM('Bilan 2038'!$M$13:$P$13)/'Bilan 2038'!$D$13)</f>
        <v>1005.0925981733353</v>
      </c>
      <c r="K10" s="204">
        <f>'Bilan 2040'!$C10*(1-SUM('Bilan 2040'!$M$13:$P$13)/'Bilan 2040'!$D$13)</f>
        <v>958.64961434515953</v>
      </c>
      <c r="L10" s="204">
        <f>'Bilan 2045'!$C10*(1-SUM('Bilan 2045'!$M$13:$P$13)/'Bilan 2045'!$D$13)</f>
        <v>842.56165402525301</v>
      </c>
      <c r="M10" s="204">
        <f>'Bilan 2050'!$C10*(1-SUM('Bilan 2050'!$M$13:$P$13)/'Bilan 2050'!$D$13)</f>
        <v>726.54021626256326</v>
      </c>
      <c r="N10" s="577"/>
      <c r="O10" s="577"/>
      <c r="P10" s="577"/>
      <c r="Q10" s="572" t="s">
        <v>32</v>
      </c>
      <c r="R10" s="205">
        <f t="shared" ref="R10:AC10" si="75">B12</f>
        <v>3.8826604363568915</v>
      </c>
      <c r="S10" s="205">
        <f t="shared" si="75"/>
        <v>60.547801107489889</v>
      </c>
      <c r="T10" s="205">
        <f t="shared" si="75"/>
        <v>19.127154849007255</v>
      </c>
      <c r="U10" s="205">
        <f t="shared" si="75"/>
        <v>18.968953126226484</v>
      </c>
      <c r="V10" s="205">
        <f t="shared" si="75"/>
        <v>18.552278226412003</v>
      </c>
      <c r="W10" s="205">
        <f t="shared" si="75"/>
        <v>18.284947790404832</v>
      </c>
      <c r="X10" s="205">
        <f t="shared" si="75"/>
        <v>18.050612231589103</v>
      </c>
      <c r="Y10" s="205">
        <f t="shared" si="75"/>
        <v>17.897866443716193</v>
      </c>
      <c r="Z10" s="205">
        <f t="shared" si="75"/>
        <v>17.662369277731681</v>
      </c>
      <c r="AA10" s="205">
        <f t="shared" si="75"/>
        <v>17.508583716220855</v>
      </c>
      <c r="AB10" s="205">
        <f t="shared" si="75"/>
        <v>17.134780574185395</v>
      </c>
      <c r="AC10" s="205">
        <f t="shared" si="75"/>
        <v>47.558512852708176</v>
      </c>
      <c r="AD10" s="193">
        <f t="shared" ref="AD10:AD11" si="76">AD9+1</f>
        <v>2303</v>
      </c>
      <c r="AE10" s="205" t="s">
        <v>224</v>
      </c>
      <c r="AF10" s="205">
        <f>'Bilan 2015'!$S$13*'Bilan 2015'!$G$17/SUM('Bilan 2015'!$G$7:$G$19)</f>
        <v>0.23232521329191913</v>
      </c>
      <c r="AG10" s="205">
        <f>'Bilan 2020'!$S$13*'Bilan 2020'!$G$17/SUM('Bilan 2020'!$G$7:$G$19)</f>
        <v>1.1769395081011844</v>
      </c>
      <c r="AH10" s="205">
        <f>'Bilan 2023'!$S$13*'Bilan 2023'!$G$17/SUM('Bilan 2023'!$G$7:$G$19)</f>
        <v>3.5252256179796255</v>
      </c>
      <c r="AI10" s="205">
        <f>'Bilan 2025'!$S$13*'Bilan 2025'!$G$17/SUM('Bilan 2025'!$G$7:$G$19)</f>
        <v>2.6069859062956899</v>
      </c>
      <c r="AJ10" s="205">
        <f>'Bilan 2028'!$S$13*'Bilan 2028'!$G$17/SUM('Bilan 2028'!$G$7:$G$19)</f>
        <v>2.528170003166645</v>
      </c>
      <c r="AK10" s="205">
        <f>'Bilan 2030'!$S$13*'Bilan 2030'!$G$17/SUM('Bilan 2030'!$G$7:$G$19)</f>
        <v>2.4882473779539032</v>
      </c>
      <c r="AL10" s="205">
        <f>'Bilan 2033'!$S$13*'Bilan 2033'!$G$17/SUM('Bilan 2033'!$G$7:$G$19)</f>
        <v>2.6575740490890798</v>
      </c>
      <c r="AM10" s="205">
        <f>'Bilan 2035'!$S$13*'Bilan 2035'!$G$17/SUM('Bilan 2035'!$G$7:$G$19)</f>
        <v>2.7727509384628508</v>
      </c>
      <c r="AN10" s="205">
        <f>'Bilan 2038'!$S$13*'Bilan 2038'!$G$17/SUM('Bilan 2038'!$G$7:$G$19)</f>
        <v>2.7506601578549756</v>
      </c>
      <c r="AO10" s="205">
        <f>'Bilan 2040'!$S$13*'Bilan 2040'!$G$17/SUM('Bilan 2040'!$G$7:$G$19)</f>
        <v>2.7322567398933875</v>
      </c>
      <c r="AP10" s="205">
        <f>'Bilan 2045'!$S$13*'Bilan 2045'!$G$17/SUM('Bilan 2045'!$G$7:$G$19)</f>
        <v>2.9690849782205939</v>
      </c>
      <c r="AQ10" s="205">
        <f>'Bilan 2050'!$S$13*'Bilan 2050'!$G$17/SUM('Bilan 2050'!$G$7:$G$19)</f>
        <v>3.054618417502859</v>
      </c>
      <c r="AR10" s="206"/>
      <c r="AS10" s="205" t="s">
        <v>224</v>
      </c>
      <c r="AT10" s="205">
        <f>'Bilan 2015'!$S$13*'Bilan 2015'!$G$17/SUM('Bilan 2015'!$G$7:$G$19)</f>
        <v>0.23232521329191913</v>
      </c>
      <c r="AU10" s="205">
        <f>'Bilan 2020'!$S$13*'Bilan 2020'!$G$17/SUM('Bilan 2020'!$G$7:$G$19)</f>
        <v>1.1769395081011844</v>
      </c>
      <c r="AV10" s="205">
        <f>'Bilan 2023'!$S$13*'Bilan 2023'!$G$17/SUM('Bilan 2023'!$G$7:$G$19)</f>
        <v>3.5252256179796255</v>
      </c>
      <c r="AW10" s="205">
        <f>'Bilan 2025'!$S$13*'Bilan 2025'!$G$17/SUM('Bilan 2025'!$G$7:$G$19)</f>
        <v>2.6069859062956899</v>
      </c>
      <c r="AX10" s="205">
        <f>'Bilan 2028'!$S$13*'Bilan 2028'!$G$17/SUM('Bilan 2028'!$G$7:$G$19)</f>
        <v>2.528170003166645</v>
      </c>
      <c r="AY10" s="205">
        <f>'Bilan 2030'!$S$13*'Bilan 2030'!$G$17/SUM('Bilan 2030'!$G$7:$G$19)</f>
        <v>2.4882473779539032</v>
      </c>
      <c r="AZ10" s="205">
        <f>'Bilan 2033'!$S$13*'Bilan 2033'!$G$17/SUM('Bilan 2033'!$G$7:$G$19)</f>
        <v>2.6575740490890798</v>
      </c>
      <c r="BA10" s="205">
        <f>'Bilan 2035'!$S$13*'Bilan 2035'!$G$17/SUM('Bilan 2035'!$G$7:$G$19)</f>
        <v>2.7727509384628508</v>
      </c>
      <c r="BB10" s="205">
        <f>'Bilan 2038'!$S$13*'Bilan 2038'!$G$17/SUM('Bilan 2038'!$G$7:$G$19)</f>
        <v>2.7506601578549756</v>
      </c>
      <c r="BC10" s="205">
        <f>'Bilan 2040'!$S$13*'Bilan 2040'!$G$17/SUM('Bilan 2040'!$G$7:$G$19)</f>
        <v>2.7322567398933875</v>
      </c>
      <c r="BD10" s="205">
        <f>'Bilan 2045'!$S$13*'Bilan 2045'!$G$17/SUM('Bilan 2045'!$G$7:$G$19)</f>
        <v>2.9690849782205939</v>
      </c>
      <c r="BE10" s="205">
        <f>'Bilan 2050'!$S$13*'Bilan 2050'!$G$17/SUM('Bilan 2050'!$G$7:$G$19)</f>
        <v>3.054618417502859</v>
      </c>
      <c r="BF10" s="216"/>
      <c r="BG10" s="205" t="s">
        <v>32</v>
      </c>
      <c r="BH10" s="202">
        <f t="shared" si="42"/>
        <v>1.2711400563441757</v>
      </c>
      <c r="BI10" s="202">
        <f t="shared" si="43"/>
        <v>1.2336304060359775</v>
      </c>
      <c r="BJ10" s="202">
        <f t="shared" si="44"/>
        <v>1.1831790715654564</v>
      </c>
      <c r="BK10" s="202">
        <f t="shared" si="45"/>
        <v>1.2537659372460053</v>
      </c>
      <c r="BL10" s="202">
        <f t="shared" si="46"/>
        <v>1.2057176687855575</v>
      </c>
      <c r="BM10" s="202">
        <f t="shared" si="47"/>
        <v>1.169372588222573</v>
      </c>
      <c r="BN10" s="202">
        <f t="shared" si="48"/>
        <v>1.0977686101626909</v>
      </c>
      <c r="BO10" s="202">
        <f t="shared" si="49"/>
        <v>1.0532236196820219</v>
      </c>
      <c r="BP10" s="202">
        <f t="shared" si="50"/>
        <v>0.99345653497596398</v>
      </c>
      <c r="BQ10" s="202">
        <f t="shared" si="51"/>
        <v>0.95604913411253056</v>
      </c>
      <c r="BR10" s="202">
        <f t="shared" si="52"/>
        <v>0.87765198153192636</v>
      </c>
      <c r="BS10" s="202">
        <f t="shared" si="53"/>
        <v>0.82220581001789095</v>
      </c>
      <c r="BU10" s="205" t="s">
        <v>32</v>
      </c>
      <c r="BV10" s="202">
        <f>'Bilan 2015'!$E19+'Bilan 2015'!$I$13*'Bilan 2015'!$G$19/'Bilan 2015'!$H$13</f>
        <v>1.9282678297504712</v>
      </c>
      <c r="BW10" s="202">
        <f>'Bilan 2020'!$E19+'Bilan 2020'!$I$13*'Bilan 2020'!$G$19/'Bilan 2020'!$H$13</f>
        <v>28.129408160462162</v>
      </c>
      <c r="BX10" s="202">
        <f>'Bilan 2023'!$E19+'Bilan 2023'!$I$13*'Bilan 2023'!$G$19/'Bilan 2023'!$H$13</f>
        <v>9.5376761036851079</v>
      </c>
      <c r="BY10" s="202">
        <f>'Bilan 2025'!$E19+'Bilan 2025'!$I$13*'Bilan 2025'!$G$19/'Bilan 2025'!$H$13</f>
        <v>9.3082649943509974</v>
      </c>
      <c r="BZ10" s="202">
        <f>'Bilan 2028'!$E19+'Bilan 2028'!$I$13*'Bilan 2028'!$G$19/'Bilan 2028'!$H$13</f>
        <v>8.8785710663163133</v>
      </c>
      <c r="CA10" s="202">
        <f>'Bilan 2030'!$E19+'Bilan 2030'!$I$13*'Bilan 2030'!$G$19/'Bilan 2030'!$H$13</f>
        <v>8.6055871667830441</v>
      </c>
      <c r="CB10" s="202">
        <f>'Bilan 2033'!$E19+'Bilan 2033'!$I$13*'Bilan 2033'!$G$19/'Bilan 2033'!$H$13</f>
        <v>8.3368686313996534</v>
      </c>
      <c r="CC10" s="202">
        <f>'Bilan 2035'!$E19+'Bilan 2035'!$I$13*'Bilan 2035'!$G$19/'Bilan 2035'!$H$13</f>
        <v>8.1613939552637973</v>
      </c>
      <c r="CD10" s="202">
        <f>'Bilan 2038'!$E19+'Bilan 2038'!$I$13*'Bilan 2038'!$G$19/'Bilan 2038'!$H$13</f>
        <v>7.903475297470008</v>
      </c>
      <c r="CE10" s="202">
        <f>'Bilan 2040'!$E19+'Bilan 2040'!$I$13*'Bilan 2040'!$G$19/'Bilan 2040'!$H$13</f>
        <v>7.7349715048764063</v>
      </c>
      <c r="CF10" s="202">
        <f>'Bilan 2045'!$E19+'Bilan 2045'!$I$13*'Bilan 2045'!$G$19/'Bilan 2045'!$H$13</f>
        <v>7.3252837294390991</v>
      </c>
      <c r="CG10" s="202">
        <f>'Bilan 2050'!$E19+'Bilan 2050'!$I$13*'Bilan 2050'!$G$19/'Bilan 2050'!$H$13</f>
        <v>19.771614824059</v>
      </c>
      <c r="CH10" s="206"/>
      <c r="CJ10" s="205" t="s">
        <v>32</v>
      </c>
      <c r="CK10" s="202">
        <f t="shared" si="54"/>
        <v>7.9921040170571458E-2</v>
      </c>
      <c r="CL10" s="202">
        <f t="shared" si="55"/>
        <v>8.7045000077838858E-2</v>
      </c>
      <c r="CM10" s="202">
        <f t="shared" si="56"/>
        <v>8.9559489022963831E-2</v>
      </c>
      <c r="CN10" s="202">
        <f t="shared" si="57"/>
        <v>8.9854060997460128E-2</v>
      </c>
      <c r="CO10" s="202">
        <f t="shared" si="58"/>
        <v>8.9671267020439718E-2</v>
      </c>
      <c r="CP10" s="202">
        <f t="shared" si="59"/>
        <v>8.955655481981814E-2</v>
      </c>
      <c r="CQ10" s="202">
        <f t="shared" si="60"/>
        <v>8.9042391365625445E-2</v>
      </c>
      <c r="CR10" s="202">
        <f t="shared" si="61"/>
        <v>8.8721271934519702E-2</v>
      </c>
      <c r="CS10" s="202">
        <f t="shared" si="62"/>
        <v>8.8282009795459068E-2</v>
      </c>
      <c r="CT10" s="202">
        <f t="shared" si="63"/>
        <v>8.8005993481828471E-2</v>
      </c>
      <c r="CU10" s="202">
        <f t="shared" si="64"/>
        <v>8.7393803421868227E-2</v>
      </c>
      <c r="CV10" s="202">
        <f t="shared" si="65"/>
        <v>8.697382528597257E-2</v>
      </c>
      <c r="CW10" s="206"/>
      <c r="CX10" s="193">
        <f t="shared" ref="CX10:CX11" si="77">CX9+1</f>
        <v>2303</v>
      </c>
      <c r="CY10" s="205" t="s">
        <v>32</v>
      </c>
      <c r="CZ10" s="207" t="s">
        <v>274</v>
      </c>
      <c r="DA10" s="202">
        <f>'Bilan 2015'!$K$13*'Bilan 2015'!$G$19/SUM('Bilan 2015'!$G$7:$G$19)</f>
        <v>0.12123697141944305</v>
      </c>
      <c r="DB10" s="202">
        <f>'Bilan 2020'!$K$13*'Bilan 2020'!$G$19/SUM('Bilan 2020'!$G$7:$G$19)</f>
        <v>1.984811920601754</v>
      </c>
      <c r="DC10" s="202">
        <f>'Bilan 2023'!$K$13*'Bilan 2023'!$G$19/SUM('Bilan 2023'!$G$7:$G$19)</f>
        <v>0.72194430990264091</v>
      </c>
      <c r="DD10" s="202">
        <f>'Bilan 2025'!$K$13*'Bilan 2025'!$G$19/SUM('Bilan 2025'!$G$7:$G$19)</f>
        <v>0.66709852751313636</v>
      </c>
      <c r="DE10" s="202">
        <f>'Bilan 2028'!$K$13*'Bilan 2028'!$G$19/SUM('Bilan 2028'!$G$7:$G$19)</f>
        <v>0.66031438159939559</v>
      </c>
      <c r="DF10" s="202">
        <f>'Bilan 2030'!$K$13*'Bilan 2030'!$G$19/SUM('Bilan 2030'!$G$7:$G$19)</f>
        <v>0.65906003494588528</v>
      </c>
      <c r="DG10" s="202">
        <f>'Bilan 2033'!$K$13*'Bilan 2033'!$G$19/SUM('Bilan 2033'!$G$7:$G$19)</f>
        <v>0.67622148471787602</v>
      </c>
      <c r="DH10" s="202">
        <f>'Bilan 2035'!$K$13*'Bilan 2035'!$G$19/SUM('Bilan 2035'!$G$7:$G$19)</f>
        <v>0.68749811430198848</v>
      </c>
      <c r="DI10" s="202">
        <f>'Bilan 2038'!$K$13*'Bilan 2038'!$G$19/SUM('Bilan 2038'!$G$7:$G$19)</f>
        <v>0.70233035776074215</v>
      </c>
      <c r="DJ10" s="202">
        <f>'Bilan 2040'!$K$13*'Bilan 2040'!$G$19/SUM('Bilan 2040'!$G$7:$G$19)</f>
        <v>0.71201764381302002</v>
      </c>
      <c r="DK10" s="202">
        <f>'Bilan 2045'!$K$13*'Bilan 2045'!$G$19/SUM('Bilan 2045'!$G$7:$G$19)</f>
        <v>0.72942854312546479</v>
      </c>
      <c r="DL10" s="202">
        <f>'Bilan 2050'!$K$13*'Bilan 2050'!$G$19/SUM('Bilan 2050'!$G$7:$G$19)</f>
        <v>2.0914629310291963</v>
      </c>
    </row>
    <row r="11" spans="1:116" ht="14.5">
      <c r="A11" s="203" t="s">
        <v>224</v>
      </c>
      <c r="B11" s="204">
        <f>'Bilan 2015'!$C$17</f>
        <v>0.70199999999999996</v>
      </c>
      <c r="C11" s="204">
        <f>'Bilan 2020'!$C$17</f>
        <v>3.4206184464582501</v>
      </c>
      <c r="D11" s="204">
        <f>'Bilan 2023'!$C$17*(1-SUM('Bilan 2023'!$M$13:$P$13)/'Bilan 2023'!$D$13)</f>
        <v>9.8155540070983811</v>
      </c>
      <c r="E11" s="204">
        <f>'Bilan 2025'!$C$17</f>
        <v>7.8209554225929372</v>
      </c>
      <c r="F11" s="204">
        <f>'Bilan 2028'!$C$17*(1-SUM('Bilan 2028'!$M$13:$P$13)/'Bilan 2028'!$D$13)</f>
        <v>7.6464888175397663</v>
      </c>
      <c r="G11" s="204">
        <f>'Bilan 2030'!$C$17*(1-SUM('Bilan 2030'!$M$13:$P$13)/'Bilan 2030'!$D$13)</f>
        <v>7.5303123925867999</v>
      </c>
      <c r="H11" s="204">
        <f>'Bilan 2033'!$C$17*(1-SUM('Bilan 2033'!$M$13:$P$13)/'Bilan 2033'!$D$13)</f>
        <v>7.7929014235367697</v>
      </c>
      <c r="I11" s="204">
        <f>'Bilan 2035'!$C$17*(1-SUM('Bilan 2035'!$M$13:$P$13)/'Bilan 2035'!$D$13)</f>
        <v>7.9678576813248947</v>
      </c>
      <c r="J11" s="204">
        <f>'Bilan 2038'!$C$17*(1-SUM('Bilan 2038'!$M$13:$P$13)/'Bilan 2038'!$D$13)</f>
        <v>7.6981211171096247</v>
      </c>
      <c r="K11" s="204">
        <f>'Bilan 2040'!$C$17*(1-SUM('Bilan 2040'!$M$13:$P$13)/'Bilan 2040'!$D$13)</f>
        <v>7.5182459140662239</v>
      </c>
      <c r="L11" s="204">
        <f>'Bilan 2045'!$C$17*(1-SUM('Bilan 2045'!$M$13:$P$13)/'Bilan 2045'!$D$13)</f>
        <v>7.9172502177748614</v>
      </c>
      <c r="M11" s="204">
        <f>'Bilan 2050'!$C$17*(1-SUM('Bilan 2050'!$M$13:$P$13)/'Bilan 2050'!$D$13)</f>
        <v>8.0517926198923497</v>
      </c>
      <c r="N11" s="577"/>
      <c r="O11" s="577"/>
      <c r="P11" s="577"/>
      <c r="Q11" s="572" t="s">
        <v>42</v>
      </c>
      <c r="R11" s="205">
        <f t="shared" ref="R11:T12" si="78">B13</f>
        <v>2.993512517722364</v>
      </c>
      <c r="S11" s="205">
        <f t="shared" si="78"/>
        <v>9.3252829217432893</v>
      </c>
      <c r="T11" s="205">
        <f t="shared" si="78"/>
        <v>4.5102931875291574</v>
      </c>
      <c r="U11" s="205">
        <f t="shared" ref="U11:AC11" si="79">E13+0.0001</f>
        <v>2.8308670060467733</v>
      </c>
      <c r="V11" s="205">
        <f t="shared" si="79"/>
        <v>2.8283468605791833</v>
      </c>
      <c r="W11" s="205">
        <f t="shared" si="79"/>
        <v>2.8267140561294521</v>
      </c>
      <c r="X11" s="205">
        <f t="shared" si="79"/>
        <v>2.8264467072983419</v>
      </c>
      <c r="Y11" s="205">
        <f t="shared" si="79"/>
        <v>2.8262417228455581</v>
      </c>
      <c r="Z11" s="205">
        <f t="shared" si="79"/>
        <v>2.8258680441761839</v>
      </c>
      <c r="AA11" s="205">
        <f t="shared" si="79"/>
        <v>2.8255849867922453</v>
      </c>
      <c r="AB11" s="205">
        <f t="shared" si="79"/>
        <v>2.8248065270132359</v>
      </c>
      <c r="AC11" s="205">
        <f t="shared" si="79"/>
        <v>2.8240384950677906</v>
      </c>
      <c r="AD11" s="193">
        <f t="shared" si="76"/>
        <v>2304</v>
      </c>
      <c r="AE11" s="205" t="s">
        <v>32</v>
      </c>
      <c r="AF11" s="205">
        <f>'Bilan 2015'!$S$13*'Bilan 2015'!$G$19/SUM('Bilan 2015'!$G$7:$G$19)</f>
        <v>1.5169593784151592</v>
      </c>
      <c r="AG11" s="205">
        <f>'Bilan 2020'!$S$13*'Bilan 2020'!$G$19/SUM('Bilan 2020'!$G$7:$G$19)</f>
        <v>22.802135893237541</v>
      </c>
      <c r="AH11" s="205">
        <f>'Bilan 2023'!$S$13*'Bilan 2023'!$G$19/SUM('Bilan 2023'!$G$7:$G$19)</f>
        <v>8.0610588311588973</v>
      </c>
      <c r="AI11" s="205">
        <f>'Bilan 2025'!$S$13*'Bilan 2025'!$G$19/SUM('Bilan 2025'!$G$7:$G$19)</f>
        <v>7.4242446040584964</v>
      </c>
      <c r="AJ11" s="205">
        <f>'Bilan 2028'!$S$13*'Bilan 2028'!$G$19/SUM('Bilan 2028'!$G$7:$G$19)</f>
        <v>7.3637231137693551</v>
      </c>
      <c r="AK11" s="205">
        <f>'Bilan 2030'!$S$13*'Bilan 2030'!$G$19/SUM('Bilan 2030'!$G$7:$G$19)</f>
        <v>7.3591490457830853</v>
      </c>
      <c r="AL11" s="205">
        <f>'Bilan 2033'!$S$13*'Bilan 2033'!$G$19/SUM('Bilan 2033'!$G$7:$G$19)</f>
        <v>7.5943769517732127</v>
      </c>
      <c r="AM11" s="205">
        <f>'Bilan 2035'!$S$13*'Bilan 2035'!$G$19/SUM('Bilan 2035'!$G$7:$G$19)</f>
        <v>7.7489659391875385</v>
      </c>
      <c r="AN11" s="205">
        <f>'Bilan 2038'!$S$13*'Bilan 2038'!$G$19/SUM('Bilan 2038'!$G$7:$G$19)</f>
        <v>7.955532043141905</v>
      </c>
      <c r="AO11" s="205">
        <f>'Bilan 2040'!$S$13*'Bilan 2040'!$G$19/SUM('Bilan 2040'!$G$7:$G$19)</f>
        <v>8.090558559060387</v>
      </c>
      <c r="AP11" s="205">
        <f>'Bilan 2045'!$S$13*'Bilan 2045'!$G$19/SUM('Bilan 2045'!$G$7:$G$19)</f>
        <v>8.3464560937388228</v>
      </c>
      <c r="AQ11" s="205">
        <f>'Bilan 2050'!$S$13*'Bilan 2050'!$G$19/SUM('Bilan 2050'!$G$7:$G$19)</f>
        <v>24.047038567665652</v>
      </c>
      <c r="AR11" s="206"/>
      <c r="AS11" s="205" t="s">
        <v>32</v>
      </c>
      <c r="AT11" s="205">
        <f>'Bilan 2015'!$S$13*'Bilan 2015'!$G$19/SUM('Bilan 2015'!$G$7:$G$19)</f>
        <v>1.5169593784151592</v>
      </c>
      <c r="AU11" s="205">
        <f>'Bilan 2020'!$S$13*'Bilan 2020'!$G$19/SUM('Bilan 2020'!$G$7:$G$19)</f>
        <v>22.802135893237541</v>
      </c>
      <c r="AV11" s="205">
        <f>'Bilan 2023'!$S$13*'Bilan 2023'!$G$19/SUM('Bilan 2023'!$G$7:$G$19)</f>
        <v>8.0610588311588973</v>
      </c>
      <c r="AW11" s="205">
        <f>'Bilan 2025'!$S$13*'Bilan 2025'!$G$19/SUM('Bilan 2025'!$G$7:$G$19)</f>
        <v>7.4242446040584964</v>
      </c>
      <c r="AX11" s="205">
        <f>'Bilan 2028'!$S$13*'Bilan 2028'!$G$19/SUM('Bilan 2028'!$G$7:$G$19)</f>
        <v>7.3637231137693551</v>
      </c>
      <c r="AY11" s="205">
        <f>'Bilan 2030'!$S$13*'Bilan 2030'!$G$19/SUM('Bilan 2030'!$G$7:$G$19)</f>
        <v>7.3591490457830853</v>
      </c>
      <c r="AZ11" s="205">
        <f>'Bilan 2033'!$S$13*'Bilan 2033'!$G$19/SUM('Bilan 2033'!$G$7:$G$19)</f>
        <v>7.5943769517732127</v>
      </c>
      <c r="BA11" s="205">
        <f>'Bilan 2035'!$S$13*'Bilan 2035'!$G$19/SUM('Bilan 2035'!$G$7:$G$19)</f>
        <v>7.7489659391875385</v>
      </c>
      <c r="BB11" s="205">
        <f>'Bilan 2038'!$S$13*'Bilan 2038'!$G$19/SUM('Bilan 2038'!$G$7:$G$19)</f>
        <v>7.955532043141905</v>
      </c>
      <c r="BC11" s="205">
        <f>'Bilan 2040'!$S$13*'Bilan 2040'!$G$19/SUM('Bilan 2040'!$G$7:$G$19)</f>
        <v>8.090558559060387</v>
      </c>
      <c r="BD11" s="205">
        <f>'Bilan 2045'!$S$13*'Bilan 2045'!$G$19/SUM('Bilan 2045'!$G$7:$G$19)</f>
        <v>8.3464560937388228</v>
      </c>
      <c r="BE11" s="205">
        <f>'Bilan 2050'!$S$13*'Bilan 2050'!$G$19/SUM('Bilan 2050'!$G$7:$G$19)</f>
        <v>24.047038567665652</v>
      </c>
      <c r="BF11" s="216"/>
      <c r="BG11" s="205" t="s">
        <v>42</v>
      </c>
      <c r="BH11" s="202">
        <f t="shared" si="42"/>
        <v>2.92291555534656</v>
      </c>
      <c r="BI11" s="202">
        <f t="shared" si="43"/>
        <v>2.8223993573954025</v>
      </c>
      <c r="BJ11" s="202">
        <f t="shared" si="44"/>
        <v>2.7052909190258734</v>
      </c>
      <c r="BK11" s="202">
        <f t="shared" si="45"/>
        <v>2.9126585138003094</v>
      </c>
      <c r="BL11" s="202">
        <f t="shared" si="46"/>
        <v>2.9338393389673967</v>
      </c>
      <c r="BM11" s="202">
        <f t="shared" si="47"/>
        <v>2.9343060606860223</v>
      </c>
      <c r="BN11" s="202">
        <f t="shared" si="48"/>
        <v>2.8395987886765885</v>
      </c>
      <c r="BO11" s="202">
        <f t="shared" si="49"/>
        <v>2.7804693168173138</v>
      </c>
      <c r="BP11" s="202">
        <f t="shared" si="50"/>
        <v>2.704669282026257</v>
      </c>
      <c r="BQ11" s="202">
        <f t="shared" si="51"/>
        <v>2.6571816253481764</v>
      </c>
      <c r="BR11" s="202">
        <f t="shared" si="52"/>
        <v>2.5700755773019459</v>
      </c>
      <c r="BS11" s="202">
        <f t="shared" si="53"/>
        <v>2.5368188859966052</v>
      </c>
      <c r="BU11" s="205" t="s">
        <v>42</v>
      </c>
      <c r="BV11" s="202">
        <f>'Bilan 2015'!$E18+'Bilan 2015'!$I$13*'Bilan 2015'!$G$18/'Bilan 2015'!$H$13</f>
        <v>2.0935645016427267</v>
      </c>
      <c r="BW11" s="202">
        <f>'Bilan 2020'!$E18+'Bilan 2020'!$I$13*'Bilan 2020'!$G$18/'Bilan 2020'!$H$13</f>
        <v>6.5472625385522827</v>
      </c>
      <c r="BX11" s="202">
        <f>'Bilan 2023'!$E18+'Bilan 2023'!$I$13*'Bilan 2023'!$G$18/'Bilan 2023'!$H$13</f>
        <v>3.1682585481552419</v>
      </c>
      <c r="BY11" s="202">
        <f>'Bilan 2025'!$E18+'Bilan 2025'!$I$13*'Bilan 2025'!$G$18/'Bilan 2025'!$H$13</f>
        <v>1.9870204381266063</v>
      </c>
      <c r="BZ11" s="202">
        <f>'Bilan 2028'!$E18+'Bilan 2028'!$I$13*'Bilan 2028'!$G$18/'Bilan 2028'!$H$13</f>
        <v>1.9834790788816132</v>
      </c>
      <c r="CA11" s="202">
        <f>'Bilan 2030'!$E18+'Bilan 2030'!$I$13*'Bilan 2030'!$G$18/'Bilan 2030'!$H$13</f>
        <v>1.9814460553941722</v>
      </c>
      <c r="CB11" s="202">
        <f>'Bilan 2033'!$E18+'Bilan 2033'!$I$13*'Bilan 2033'!$G$18/'Bilan 2033'!$H$13</f>
        <v>1.9787839348697509</v>
      </c>
      <c r="CC11" s="202">
        <f>'Bilan 2035'!$E18+'Bilan 2035'!$I$13*'Bilan 2035'!$G$18/'Bilan 2035'!$H$13</f>
        <v>1.9770201812367223</v>
      </c>
      <c r="CD11" s="202">
        <f>'Bilan 2038'!$E18+'Bilan 2038'!$I$13*'Bilan 2038'!$G$18/'Bilan 2038'!$H$13</f>
        <v>1.9743886313473078</v>
      </c>
      <c r="CE11" s="202">
        <f>'Bilan 2040'!$E18+'Bilan 2040'!$I$13*'Bilan 2040'!$G$18/'Bilan 2040'!$H$13</f>
        <v>1.9726452450011398</v>
      </c>
      <c r="CF11" s="202">
        <f>'Bilan 2045'!$E18+'Bilan 2045'!$I$13*'Bilan 2045'!$G$18/'Bilan 2045'!$H$13</f>
        <v>1.9683270077023691</v>
      </c>
      <c r="CG11" s="202">
        <f>'Bilan 2050'!$E18+'Bilan 2050'!$I$13*'Bilan 2050'!$G$18/'Bilan 2050'!$H$13</f>
        <v>1.9648927373142786</v>
      </c>
      <c r="CH11" s="206"/>
      <c r="CJ11" s="205" t="s">
        <v>42</v>
      </c>
      <c r="CK11" s="202">
        <f t="shared" si="54"/>
        <v>7.9921040170571458E-2</v>
      </c>
      <c r="CL11" s="202">
        <f t="shared" si="55"/>
        <v>8.7045000077838858E-2</v>
      </c>
      <c r="CM11" s="202">
        <f t="shared" si="56"/>
        <v>8.9559489022963845E-2</v>
      </c>
      <c r="CN11" s="202">
        <f t="shared" si="57"/>
        <v>8.9854060997460128E-2</v>
      </c>
      <c r="CO11" s="202">
        <f t="shared" si="58"/>
        <v>8.9671267020439718E-2</v>
      </c>
      <c r="CP11" s="202">
        <f t="shared" si="59"/>
        <v>8.955655481981814E-2</v>
      </c>
      <c r="CQ11" s="202">
        <f t="shared" si="60"/>
        <v>8.9042391365625431E-2</v>
      </c>
      <c r="CR11" s="202">
        <f t="shared" si="61"/>
        <v>8.8721271934519702E-2</v>
      </c>
      <c r="CS11" s="202">
        <f t="shared" si="62"/>
        <v>8.8282009795459082E-2</v>
      </c>
      <c r="CT11" s="202">
        <f t="shared" si="63"/>
        <v>8.8005993481828484E-2</v>
      </c>
      <c r="CU11" s="202">
        <f t="shared" si="64"/>
        <v>8.7393803421868213E-2</v>
      </c>
      <c r="CV11" s="202">
        <f t="shared" si="65"/>
        <v>8.697382528597257E-2</v>
      </c>
      <c r="CW11" s="206"/>
      <c r="CX11" s="193">
        <f t="shared" si="77"/>
        <v>2304</v>
      </c>
      <c r="CY11" s="205" t="s">
        <v>42</v>
      </c>
      <c r="CZ11" s="207" t="s">
        <v>275</v>
      </c>
      <c r="DA11" s="202">
        <f>'Bilan 2015'!$K$13*'Bilan 2015'!$G$18/SUM('Bilan 2015'!$G$7:$G$19)</f>
        <v>5.7244162367062375E-2</v>
      </c>
      <c r="DB11" s="202">
        <f>'Bilan 2020'!$K$13*'Bilan 2020'!$G$18/SUM('Bilan 2020'!$G$7:$G$19)</f>
        <v>0.20192268917742462</v>
      </c>
      <c r="DC11" s="202">
        <f>'Bilan 2023'!$K$13*'Bilan 2023'!$G$18/SUM('Bilan 2023'!$G$7:$G$19)</f>
        <v>0.10488617496546107</v>
      </c>
      <c r="DD11" s="202">
        <f>'Bilan 2025'!$K$13*'Bilan 2025'!$G$18/SUM('Bilan 2025'!$G$7:$G$19)</f>
        <v>6.1298588490442167E-2</v>
      </c>
      <c r="DE11" s="202">
        <f>'Bilan 2028'!$K$13*'Bilan 2028'!$G$18/SUM('Bilan 2028'!$G$7:$G$19)</f>
        <v>6.0624002054062542E-2</v>
      </c>
      <c r="DF11" s="202">
        <f>'Bilan 2030'!$K$13*'Bilan 2030'!$G$18/SUM('Bilan 2030'!$G$7:$G$19)</f>
        <v>6.0474769370490809E-2</v>
      </c>
      <c r="DG11" s="202">
        <f>'Bilan 2033'!$K$13*'Bilan 2033'!$G$18/SUM('Bilan 2033'!$G$7:$G$19)</f>
        <v>6.2049488913467822E-2</v>
      </c>
      <c r="DH11" s="202">
        <f>'Bilan 2035'!$K$13*'Bilan 2035'!$G$18/SUM('Bilan 2035'!$G$7:$G$19)</f>
        <v>6.3084222529854767E-2</v>
      </c>
      <c r="DI11" s="202">
        <f>'Bilan 2038'!$K$13*'Bilan 2038'!$G$18/SUM('Bilan 2038'!$G$7:$G$19)</f>
        <v>6.4445216149333975E-2</v>
      </c>
      <c r="DJ11" s="202">
        <f>'Bilan 2040'!$K$13*'Bilan 2040'!$G$18/SUM('Bilan 2040'!$G$7:$G$19)</f>
        <v>6.5334113000567837E-2</v>
      </c>
      <c r="DK11" s="202">
        <f>'Bilan 2045'!$K$13*'Bilan 2045'!$G$18/SUM('Bilan 2045'!$G$7:$G$19)</f>
        <v>6.6931721814064454E-2</v>
      </c>
      <c r="DL11" s="202">
        <f>'Bilan 2050'!$K$13*'Bilan 2050'!$G$18/SUM('Bilan 2050'!$G$7:$G$19)</f>
        <v>6.7365565032724672E-2</v>
      </c>
    </row>
    <row r="12" spans="1:116" ht="13">
      <c r="A12" s="203" t="s">
        <v>412</v>
      </c>
      <c r="B12" s="204">
        <f>'Bilan 2015'!$C$11+'Bilan 2015'!$C$19</f>
        <v>3.8826604363568915</v>
      </c>
      <c r="C12" s="204">
        <f>'Bilan 2020'!$C$11+'Bilan 2020'!$C$19</f>
        <v>60.547801107489889</v>
      </c>
      <c r="D12" s="204">
        <f>('Bilan 2023'!$C$11+'Bilan 2023'!$C$19)*(1-SUM('Bilan 2023'!$M$13:$P$13)/'Bilan 2023'!$D$13)</f>
        <v>19.127154849007255</v>
      </c>
      <c r="E12" s="204">
        <f>'Bilan 2025'!$C$11+'Bilan 2025'!$C$19</f>
        <v>18.968953126226484</v>
      </c>
      <c r="F12" s="204">
        <f>('Bilan 2028'!$C$11+'Bilan 2028'!$C$19)*(1-SUM('Bilan 2028'!$M$13:$P$13)/'Bilan 2028'!$D$13)</f>
        <v>18.552278226412003</v>
      </c>
      <c r="G12" s="204">
        <f>('Bilan 2030'!$C$11+'Bilan 2030'!$C$19)*(1-SUM('Bilan 2030'!$M$13:$P$13)/'Bilan 2030'!$D$13)</f>
        <v>18.284947790404832</v>
      </c>
      <c r="H12" s="204">
        <f>('Bilan 2033'!$C$11+'Bilan 2033'!$C$19)*(1-SUM('Bilan 2033'!$M$13:$P$13)/'Bilan 2033'!$D$13)</f>
        <v>18.050612231589103</v>
      </c>
      <c r="I12" s="204">
        <f>('Bilan 2035'!$C$11+'Bilan 2035'!$C$19)*(1-SUM('Bilan 2035'!$M$13:$P$13)/'Bilan 2035'!$D$13)</f>
        <v>17.897866443716193</v>
      </c>
      <c r="J12" s="204">
        <f>('Bilan 2038'!$C$11+'Bilan 2038'!$C$19)*(1-SUM('Bilan 2038'!$M$13:$P$13)/'Bilan 2038'!$D$13)</f>
        <v>17.662369277731681</v>
      </c>
      <c r="K12" s="204">
        <f>('Bilan 2040'!$C$11+'Bilan 2040'!$C$19)*(1-SUM('Bilan 2040'!$M$13:$P$13)/'Bilan 2040'!$D$13)</f>
        <v>17.508583716220855</v>
      </c>
      <c r="L12" s="204">
        <f>('Bilan 2045'!$C$11+'Bilan 2045'!$C$19)*(1-SUM('Bilan 2045'!$M$13:$P$13)/'Bilan 2045'!$D$13)</f>
        <v>17.134780574185395</v>
      </c>
      <c r="M12" s="204">
        <f>('Bilan 2050'!$C$11+'Bilan 2050'!$C$19)*(1-SUM('Bilan 2050'!$M$13:$P$13)/'Bilan 2050'!$D$13)</f>
        <v>47.558512852708176</v>
      </c>
      <c r="N12" s="577"/>
      <c r="O12" s="577"/>
      <c r="P12" s="577"/>
      <c r="Q12" s="572" t="s">
        <v>17</v>
      </c>
      <c r="R12" s="205">
        <f t="shared" si="78"/>
        <v>2.6944655873275929</v>
      </c>
      <c r="S12" s="205">
        <f t="shared" si="78"/>
        <v>43.442050197585424</v>
      </c>
      <c r="T12" s="205">
        <f t="shared" si="78"/>
        <v>50.716082712422406</v>
      </c>
      <c r="U12" s="205">
        <f t="shared" ref="U12:AC12" si="80">E14</f>
        <v>64.725058264068068</v>
      </c>
      <c r="V12" s="205">
        <f t="shared" si="80"/>
        <v>78.241517928106177</v>
      </c>
      <c r="W12" s="205">
        <f t="shared" si="80"/>
        <v>84.297049967794123</v>
      </c>
      <c r="X12" s="205">
        <f t="shared" si="80"/>
        <v>96.490617751961651</v>
      </c>
      <c r="Y12" s="205">
        <f t="shared" si="80"/>
        <v>104.61652024382062</v>
      </c>
      <c r="Z12" s="205">
        <f t="shared" si="80"/>
        <v>116.80011128214937</v>
      </c>
      <c r="AA12" s="205">
        <f t="shared" si="80"/>
        <v>124.91871920899968</v>
      </c>
      <c r="AB12" s="205">
        <f t="shared" si="80"/>
        <v>145.19815460088671</v>
      </c>
      <c r="AC12" s="205">
        <f t="shared" si="80"/>
        <v>165.52901110604901</v>
      </c>
      <c r="AE12" s="205" t="s">
        <v>42</v>
      </c>
      <c r="AF12" s="205">
        <f>'Bilan 2015'!$S$13*'Bilan 2015'!$G$18/SUM('Bilan 2015'!$G$7:$G$19)</f>
        <v>0.71625897567009933</v>
      </c>
      <c r="AG12" s="205">
        <f>'Bilan 2020'!$S$13*'Bilan 2020'!$G$18/SUM('Bilan 2020'!$G$7:$G$19)</f>
        <v>2.3197505772515123</v>
      </c>
      <c r="AH12" s="205">
        <f>'Bilan 2023'!$S$13*'Bilan 2023'!$G$18/SUM('Bilan 2023'!$G$7:$G$19)</f>
        <v>1.1711341378752991</v>
      </c>
      <c r="AI12" s="205">
        <f>'Bilan 2025'!$S$13*'Bilan 2025'!$G$18/SUM('Bilan 2025'!$G$7:$G$19)</f>
        <v>0.68220164798310978</v>
      </c>
      <c r="AJ12" s="205">
        <f>'Bilan 2028'!$S$13*'Bilan 2028'!$G$18/SUM('Bilan 2028'!$G$7:$G$19)</f>
        <v>0.67606942634415856</v>
      </c>
      <c r="AK12" s="205">
        <f>'Bilan 2030'!$S$13*'Bilan 2030'!$G$18/SUM('Bilan 2030'!$G$7:$G$19)</f>
        <v>0.67526904638261309</v>
      </c>
      <c r="AL12" s="205">
        <f>'Bilan 2033'!$S$13*'Bilan 2033'!$G$18/SUM('Bilan 2033'!$G$7:$G$19)</f>
        <v>0.69685335222726119</v>
      </c>
      <c r="AM12" s="205">
        <f>'Bilan 2035'!$S$13*'Bilan 2035'!$G$18/SUM('Bilan 2035'!$G$7:$G$19)</f>
        <v>0.71103830179997607</v>
      </c>
      <c r="AN12" s="205">
        <f>'Bilan 2038'!$S$13*'Bilan 2038'!$G$18/SUM('Bilan 2038'!$G$7:$G$19)</f>
        <v>0.72999262588886837</v>
      </c>
      <c r="AO12" s="205">
        <f>'Bilan 2040'!$S$13*'Bilan 2040'!$G$18/SUM('Bilan 2040'!$G$7:$G$19)</f>
        <v>0.74238254027616946</v>
      </c>
      <c r="AP12" s="205">
        <f>'Bilan 2045'!$S$13*'Bilan 2045'!$G$18/SUM('Bilan 2045'!$G$7:$G$19)</f>
        <v>0.76586347307681524</v>
      </c>
      <c r="AQ12" s="205">
        <f>'Bilan 2050'!$S$13*'Bilan 2050'!$G$18/SUM('Bilan 2050'!$G$7:$G$19)</f>
        <v>0.77454986958690908</v>
      </c>
      <c r="AR12" s="206"/>
      <c r="AS12" s="205" t="s">
        <v>42</v>
      </c>
      <c r="AT12" s="205">
        <f>'Bilan 2015'!$S$13*'Bilan 2015'!$G$18/SUM('Bilan 2015'!$G$7:$G$19)</f>
        <v>0.71625897567009933</v>
      </c>
      <c r="AU12" s="205">
        <f>'Bilan 2020'!$S$13*'Bilan 2020'!$G$18/SUM('Bilan 2020'!$G$7:$G$19)</f>
        <v>2.3197505772515123</v>
      </c>
      <c r="AV12" s="205">
        <f>'Bilan 2023'!$S$13*'Bilan 2023'!$G$18/SUM('Bilan 2023'!$G$7:$G$19)</f>
        <v>1.1711341378752991</v>
      </c>
      <c r="AW12" s="205">
        <f>'Bilan 2025'!$S$13*'Bilan 2025'!$G$18/SUM('Bilan 2025'!$G$7:$G$19)</f>
        <v>0.68220164798310978</v>
      </c>
      <c r="AX12" s="205">
        <f>'Bilan 2028'!$S$13*'Bilan 2028'!$G$18/SUM('Bilan 2028'!$G$7:$G$19)</f>
        <v>0.67606942634415856</v>
      </c>
      <c r="AY12" s="205">
        <f>'Bilan 2030'!$S$13*'Bilan 2030'!$G$18/SUM('Bilan 2030'!$G$7:$G$19)</f>
        <v>0.67526904638261309</v>
      </c>
      <c r="AZ12" s="205">
        <f>'Bilan 2033'!$S$13*'Bilan 2033'!$G$18/SUM('Bilan 2033'!$G$7:$G$19)</f>
        <v>0.69685335222726119</v>
      </c>
      <c r="BA12" s="205">
        <f>'Bilan 2035'!$S$13*'Bilan 2035'!$G$18/SUM('Bilan 2035'!$G$7:$G$19)</f>
        <v>0.71103830179997607</v>
      </c>
      <c r="BB12" s="205">
        <f>'Bilan 2038'!$S$13*'Bilan 2038'!$G$18/SUM('Bilan 2038'!$G$7:$G$19)</f>
        <v>0.72999262588886837</v>
      </c>
      <c r="BC12" s="205">
        <f>'Bilan 2040'!$S$13*'Bilan 2040'!$G$18/SUM('Bilan 2040'!$G$7:$G$19)</f>
        <v>0.74238254027616946</v>
      </c>
      <c r="BD12" s="205">
        <f>'Bilan 2045'!$S$13*'Bilan 2045'!$G$18/SUM('Bilan 2045'!$G$7:$G$19)</f>
        <v>0.76586347307681524</v>
      </c>
      <c r="BE12" s="205">
        <f>'Bilan 2050'!$S$13*'Bilan 2050'!$G$18/SUM('Bilan 2050'!$G$7:$G$19)</f>
        <v>0.77454986958690908</v>
      </c>
      <c r="BF12" s="216"/>
      <c r="BG12" s="205" t="s">
        <v>414</v>
      </c>
      <c r="BH12" s="202">
        <f t="shared" si="42"/>
        <v>1.2711400563441755</v>
      </c>
      <c r="BI12" s="202">
        <f t="shared" si="43"/>
        <v>1.2336304060359773</v>
      </c>
      <c r="BJ12" s="202">
        <f t="shared" si="44"/>
        <v>1.1831790715654564</v>
      </c>
      <c r="BK12" s="202">
        <f t="shared" si="45"/>
        <v>1.2537659372460053</v>
      </c>
      <c r="BL12" s="202">
        <f t="shared" si="46"/>
        <v>1.2057176687855575</v>
      </c>
      <c r="BM12" s="202">
        <f t="shared" si="47"/>
        <v>1.1693725882225734</v>
      </c>
      <c r="BN12" s="202">
        <f t="shared" si="48"/>
        <v>1.0977686101626909</v>
      </c>
      <c r="BO12" s="202">
        <f t="shared" si="49"/>
        <v>1.0532236196820219</v>
      </c>
      <c r="BP12" s="202">
        <f t="shared" si="50"/>
        <v>0.99345653497596409</v>
      </c>
      <c r="BQ12" s="202">
        <f t="shared" si="51"/>
        <v>0.95604913411253079</v>
      </c>
      <c r="BR12" s="202">
        <f t="shared" si="52"/>
        <v>0.87765198153192625</v>
      </c>
      <c r="BS12" s="202">
        <f t="shared" si="53"/>
        <v>0.82220581001789095</v>
      </c>
      <c r="BU12" s="205" t="s">
        <v>414</v>
      </c>
      <c r="BV12" s="202">
        <f>'Bilan 2015'!$E$11+'Bilan 2015'!$I$13*'Bilan 2015'!$G$11/'Bilan 2015'!$H$13</f>
        <v>2.434039774653048E-2</v>
      </c>
      <c r="BW12" s="202">
        <f>'Bilan 2020'!$E$11+'Bilan 2020'!$I$13*'Bilan 2020'!$G$11/'Bilan 2020'!$H$13</f>
        <v>2.5937613317043193</v>
      </c>
      <c r="BX12" s="202">
        <f>'Bilan 2023'!$E$11+'Bilan 2023'!$I$13*'Bilan 2023'!$G$11/'Bilan 2023'!$H$13</f>
        <v>0.17873812152793794</v>
      </c>
      <c r="BY12" s="202">
        <f>'Bilan 2025'!$E$11+'Bilan 2025'!$I$13*'Bilan 2025'!$G$11/'Bilan 2025'!$H$13</f>
        <v>0.24082301106733106</v>
      </c>
      <c r="BZ12" s="202">
        <f>'Bilan 2028'!$E$11+'Bilan 2028'!$I$13*'Bilan 2028'!$G$11/'Bilan 2028'!$H$13</f>
        <v>0.23175037073101323</v>
      </c>
      <c r="CA12" s="202">
        <f>'Bilan 2030'!$E$11+'Bilan 2030'!$I$13*'Bilan 2030'!$G$11/'Bilan 2030'!$H$13</f>
        <v>0.22596845939161112</v>
      </c>
      <c r="CB12" s="202">
        <f>'Bilan 2033'!$E$11+'Bilan 2033'!$I$13*'Bilan 2033'!$G$11/'Bilan 2033'!$H$13</f>
        <v>0.2252478510257275</v>
      </c>
      <c r="CC12" s="202">
        <f>'Bilan 2035'!$E$11+'Bilan 2035'!$I$13*'Bilan 2035'!$G$11/'Bilan 2035'!$H$13</f>
        <v>0.22472456630878207</v>
      </c>
      <c r="CD12" s="202">
        <f>'Bilan 2038'!$E$11+'Bilan 2038'!$I$13*'Bilan 2038'!$G$11/'Bilan 2038'!$H$13</f>
        <v>0.21869718417475356</v>
      </c>
      <c r="CE12" s="202">
        <f>'Bilan 2040'!$E$11+'Bilan 2040'!$I$13*'Bilan 2040'!$G$11/'Bilan 2040'!$H$13</f>
        <v>0.21474015342174069</v>
      </c>
      <c r="CF12" s="202">
        <f>'Bilan 2045'!$E$11+'Bilan 2045'!$I$13*'Bilan 2045'!$G$11/'Bilan 2045'!$H$13</f>
        <v>0.20487856570468763</v>
      </c>
      <c r="CG12" s="202">
        <f>'Bilan 2050'!$E$11+'Bilan 2050'!$I$13*'Bilan 2050'!$G$11/'Bilan 2050'!$H$13</f>
        <v>0.45726182925080583</v>
      </c>
      <c r="CH12" s="206"/>
      <c r="CJ12" s="205" t="s">
        <v>414</v>
      </c>
      <c r="CK12" s="202">
        <f t="shared" si="54"/>
        <v>7.9921040170571458E-2</v>
      </c>
      <c r="CL12" s="202">
        <f t="shared" si="55"/>
        <v>8.7045000077838844E-2</v>
      </c>
      <c r="CM12" s="202">
        <f t="shared" si="56"/>
        <v>8.9559489022963831E-2</v>
      </c>
      <c r="CN12" s="202">
        <f t="shared" si="57"/>
        <v>8.9854060997460128E-2</v>
      </c>
      <c r="CO12" s="202">
        <f t="shared" si="58"/>
        <v>8.9671267020439718E-2</v>
      </c>
      <c r="CP12" s="202">
        <f t="shared" si="59"/>
        <v>8.955655481981814E-2</v>
      </c>
      <c r="CQ12" s="202">
        <f t="shared" si="60"/>
        <v>8.9042391365625445E-2</v>
      </c>
      <c r="CR12" s="202">
        <f t="shared" si="61"/>
        <v>8.8721271934519702E-2</v>
      </c>
      <c r="CS12" s="202">
        <f t="shared" si="62"/>
        <v>8.8282009795459082E-2</v>
      </c>
      <c r="CT12" s="202">
        <f t="shared" si="63"/>
        <v>8.8005993481828471E-2</v>
      </c>
      <c r="CU12" s="202">
        <f t="shared" si="64"/>
        <v>8.7393803421868227E-2</v>
      </c>
      <c r="CV12" s="202">
        <f t="shared" si="65"/>
        <v>8.697382528597257E-2</v>
      </c>
      <c r="CW12" s="206"/>
      <c r="CY12" s="205" t="s">
        <v>21</v>
      </c>
      <c r="DA12" s="202">
        <f>'Bilan 2015'!$K$13*'Bilan 2015'!$G$11/SUM('Bilan 2015'!$G$7:$G$19)</f>
        <v>1.5303663009903882E-3</v>
      </c>
      <c r="DB12" s="202">
        <f>'Bilan 2020'!$K$13*'Bilan 2020'!$G$11/SUM('Bilan 2020'!$G$7:$G$19)</f>
        <v>0.18301588078197342</v>
      </c>
      <c r="DC12" s="202">
        <f>'Bilan 2023'!$K$13*'Bilan 2023'!$G$11/SUM('Bilan 2023'!$G$7:$G$19)</f>
        <v>1.3529393155836384E-2</v>
      </c>
      <c r="DD12" s="202">
        <f>'Bilan 2025'!$K$13*'Bilan 2025'!$G$11/SUM('Bilan 2025'!$G$7:$G$19)</f>
        <v>1.7259142941438949E-2</v>
      </c>
      <c r="DE12" s="202">
        <f>'Bilan 2028'!$K$13*'Bilan 2028'!$G$11/SUM('Bilan 2028'!$G$7:$G$19)</f>
        <v>1.7235667946077553E-2</v>
      </c>
      <c r="DF12" s="202">
        <f>'Bilan 2030'!$K$13*'Bilan 2030'!$G$11/SUM('Bilan 2030'!$G$7:$G$19)</f>
        <v>1.7305824443699765E-2</v>
      </c>
      <c r="DG12" s="202">
        <f>'Bilan 2033'!$K$13*'Bilan 2033'!$G$11/SUM('Bilan 2033'!$G$7:$G$19)</f>
        <v>1.8270341417693212E-2</v>
      </c>
      <c r="DH12" s="202">
        <f>'Bilan 2035'!$K$13*'Bilan 2035'!$G$11/SUM('Bilan 2035'!$G$7:$G$19)</f>
        <v>1.893030975118834E-2</v>
      </c>
      <c r="DI12" s="202">
        <f>'Bilan 2038'!$K$13*'Bilan 2038'!$G$11/SUM('Bilan 2038'!$G$7:$G$19)</f>
        <v>1.9434193923765403E-2</v>
      </c>
      <c r="DJ12" s="202">
        <f>'Bilan 2040'!$K$13*'Bilan 2040'!$G$11/SUM('Bilan 2040'!$G$7:$G$19)</f>
        <v>1.9767206378847196E-2</v>
      </c>
      <c r="DK12" s="202">
        <f>'Bilan 2045'!$K$13*'Bilan 2045'!$G$11/SUM('Bilan 2045'!$G$7:$G$19)</f>
        <v>2.0401158401416371E-2</v>
      </c>
      <c r="DL12" s="202">
        <f>'Bilan 2050'!$K$13*'Bilan 2050'!$G$11/SUM('Bilan 2050'!$G$7:$G$19)</f>
        <v>4.8369653878191921E-2</v>
      </c>
    </row>
    <row r="13" spans="1:116" ht="14.5">
      <c r="A13" s="203" t="s">
        <v>42</v>
      </c>
      <c r="B13" s="205">
        <f>'Bilan 2015'!$C$18</f>
        <v>2.993512517722364</v>
      </c>
      <c r="C13" s="205">
        <f>'Bilan 2020'!$C$18</f>
        <v>9.3252829217432893</v>
      </c>
      <c r="D13" s="205">
        <f>'Bilan 2023'!$C$18*(1-SUM('Bilan 2023'!$M$13:$P$13)/'Bilan 2023'!$D$13)</f>
        <v>4.5102931875291574</v>
      </c>
      <c r="E13" s="205">
        <f>'Bilan 2025'!$C$18</f>
        <v>2.8307670060467731</v>
      </c>
      <c r="F13" s="205">
        <f>'Bilan 2028'!$C$18*(1-SUM('Bilan 2028'!$M$13:$P$13)/'Bilan 2028'!$D$13)</f>
        <v>2.8282468605791831</v>
      </c>
      <c r="G13" s="205">
        <f>'Bilan 2030'!$C$18*(1-SUM('Bilan 2030'!$M$13:$P$13)/'Bilan 2030'!$D$13)</f>
        <v>2.8266140561294519</v>
      </c>
      <c r="H13" s="205">
        <f>'Bilan 2033'!$C$18*(1-SUM('Bilan 2033'!$M$13:$P$13)/'Bilan 2033'!$D$13)</f>
        <v>2.8263467072983417</v>
      </c>
      <c r="I13" s="205">
        <f>'Bilan 2035'!$C$18*(1-SUM('Bilan 2035'!$M$13:$P$13)/'Bilan 2035'!$D$13)</f>
        <v>2.8261417228455579</v>
      </c>
      <c r="J13" s="205">
        <f>'Bilan 2038'!$C$18*(1-SUM('Bilan 2038'!$M$13:$P$13)/'Bilan 2038'!$D$13)</f>
        <v>2.8257680441761837</v>
      </c>
      <c r="K13" s="205">
        <f>'Bilan 2040'!$C$18*(1-SUM('Bilan 2040'!$M$13:$P$13)/'Bilan 2040'!$D$13)</f>
        <v>2.8254849867922451</v>
      </c>
      <c r="L13" s="205">
        <f>'Bilan 2045'!$C$18*(1-SUM('Bilan 2045'!$M$13:$P$13)/'Bilan 2045'!$D$13)</f>
        <v>2.8247065270132357</v>
      </c>
      <c r="M13" s="205">
        <f>'Bilan 2050'!$C$18*(1-SUM('Bilan 2050'!$M$13:$P$13)/'Bilan 2050'!$D$13)</f>
        <v>2.8239384950677904</v>
      </c>
      <c r="N13" s="577"/>
      <c r="O13" s="577"/>
      <c r="P13" s="577"/>
      <c r="Q13" s="572" t="s">
        <v>279</v>
      </c>
      <c r="R13" s="205">
        <f t="shared" ref="R13:AC14" si="81">B17</f>
        <v>1.1874648021075129</v>
      </c>
      <c r="S13" s="205">
        <f t="shared" si="81"/>
        <v>19.145134301820498</v>
      </c>
      <c r="T13" s="205">
        <f t="shared" si="81"/>
        <v>22.350837733840002</v>
      </c>
      <c r="U13" s="205">
        <f t="shared" si="81"/>
        <v>26.423368842886727</v>
      </c>
      <c r="V13" s="205">
        <f t="shared" si="81"/>
        <v>32.482207754273446</v>
      </c>
      <c r="W13" s="205">
        <f t="shared" si="81"/>
        <v>36.527368787200153</v>
      </c>
      <c r="X13" s="205">
        <f t="shared" si="81"/>
        <v>49.243347923399526</v>
      </c>
      <c r="Y13" s="205">
        <f t="shared" si="81"/>
        <v>57.709684059786852</v>
      </c>
      <c r="Z13" s="205">
        <f t="shared" si="81"/>
        <v>70.395633401780344</v>
      </c>
      <c r="AA13" s="205">
        <f t="shared" si="81"/>
        <v>78.844959526638419</v>
      </c>
      <c r="AB13" s="205">
        <f t="shared" si="81"/>
        <v>99.941718038571807</v>
      </c>
      <c r="AC13" s="205">
        <f t="shared" si="81"/>
        <v>110.97142382779978</v>
      </c>
      <c r="AD13" s="193">
        <f>AD11+1</f>
        <v>2305</v>
      </c>
      <c r="AE13" s="205" t="s">
        <v>21</v>
      </c>
      <c r="AF13" s="205">
        <f>'Bilan 2015'!$S$13*'Bilan 2015'!$G$11/'Bilan 2015'!$H$13</f>
        <v>1.9148478269604655E-2</v>
      </c>
      <c r="AG13" s="205">
        <f>'Bilan 2020'!$S$13*'Bilan 2020'!$G$11/'Bilan 2020'!$H$13</f>
        <v>2.1025432893137328</v>
      </c>
      <c r="AH13" s="205">
        <f>'Bilan 2023'!$S$13*'Bilan 2023'!$G$11/'Bilan 2023'!$H$13</f>
        <v>0.15106599315642957</v>
      </c>
      <c r="AI13" s="205">
        <f>'Bilan 2025'!$S$13*'Bilan 2025'!$G$11/'Bilan 2025'!$H$13</f>
        <v>0.19207972071431259</v>
      </c>
      <c r="AJ13" s="205">
        <f>'Bilan 2028'!$S$13*'Bilan 2028'!$G$11/'Bilan 2028'!$H$13</f>
        <v>0.19220948380431432</v>
      </c>
      <c r="AK13" s="205">
        <f>'Bilan 2030'!$S$13*'Bilan 2030'!$G$11/'Bilan 2030'!$H$13</f>
        <v>0.19323905970387023</v>
      </c>
      <c r="AL13" s="205">
        <f>'Bilan 2033'!$S$13*'Bilan 2033'!$G$11/'Bilan 2033'!$H$13</f>
        <v>0.20518700292618627</v>
      </c>
      <c r="AM13" s="205">
        <f>'Bilan 2035'!$S$13*'Bilan 2035'!$G$11/'Bilan 2035'!$H$13</f>
        <v>0.2133683313868602</v>
      </c>
      <c r="AN13" s="205">
        <f>'Bilan 2038'!$S$13*'Bilan 2038'!$G$11/'Bilan 2038'!$H$13</f>
        <v>0.22013764716948062</v>
      </c>
      <c r="AO13" s="205">
        <f>'Bilan 2040'!$S$13*'Bilan 2040'!$G$11/'Bilan 2040'!$H$13</f>
        <v>0.22461204739343962</v>
      </c>
      <c r="AP13" s="205">
        <f>'Bilan 2045'!$S$13*'Bilan 2045'!$G$11/'Bilan 2045'!$H$13</f>
        <v>0.23343941564066847</v>
      </c>
      <c r="AQ13" s="205">
        <f>'Bilan 2050'!$S$13*'Bilan 2050'!$G$11/'Bilan 2050'!$H$13</f>
        <v>0.55614035279178575</v>
      </c>
      <c r="AR13" s="206"/>
      <c r="AS13" s="205" t="s">
        <v>414</v>
      </c>
      <c r="AT13" s="205">
        <f>'Bilan 2015'!$S$13*'Bilan 2015'!$G$11/'Bilan 2015'!$H$13</f>
        <v>1.9148478269604655E-2</v>
      </c>
      <c r="AU13" s="205">
        <f>'Bilan 2020'!$S$13*'Bilan 2020'!$G$11/'Bilan 2020'!$H$13</f>
        <v>2.1025432893137328</v>
      </c>
      <c r="AV13" s="205">
        <f>'Bilan 2023'!$S$13*'Bilan 2023'!$G$11/'Bilan 2023'!$H$13</f>
        <v>0.15106599315642957</v>
      </c>
      <c r="AW13" s="205">
        <f>'Bilan 2025'!$S$13*'Bilan 2025'!$G$11/'Bilan 2025'!$H$13</f>
        <v>0.19207972071431259</v>
      </c>
      <c r="AX13" s="205">
        <f>'Bilan 2028'!$S$13*'Bilan 2028'!$G$11/'Bilan 2028'!$H$13</f>
        <v>0.19220948380431432</v>
      </c>
      <c r="AY13" s="205">
        <f>'Bilan 2030'!$S$13*'Bilan 2030'!$G$11/'Bilan 2030'!$H$13</f>
        <v>0.19323905970387023</v>
      </c>
      <c r="AZ13" s="205">
        <f>'Bilan 2033'!$S$13*'Bilan 2033'!$G$11/'Bilan 2033'!$H$13</f>
        <v>0.20518700292618627</v>
      </c>
      <c r="BA13" s="205">
        <f>'Bilan 2035'!$S$13*'Bilan 2035'!$G$11/'Bilan 2035'!$H$13</f>
        <v>0.2133683313868602</v>
      </c>
      <c r="BB13" s="205">
        <f>'Bilan 2038'!$S$13*'Bilan 2038'!$G$11/'Bilan 2038'!$H$13</f>
        <v>0.22013764716948062</v>
      </c>
      <c r="BC13" s="205">
        <f>'Bilan 2040'!$S$13*'Bilan 2040'!$G$11/'Bilan 2040'!$H$13</f>
        <v>0.22461204739343962</v>
      </c>
      <c r="BD13" s="205">
        <f>'Bilan 2045'!$S$13*'Bilan 2045'!$G$11/'Bilan 2045'!$H$13</f>
        <v>0.23343941564066847</v>
      </c>
      <c r="BE13" s="205">
        <f>'Bilan 2050'!$S$13*'Bilan 2050'!$G$11/'Bilan 2050'!$H$13</f>
        <v>0.55614035279178575</v>
      </c>
      <c r="BF13" s="216"/>
      <c r="BG13" s="205" t="s">
        <v>17</v>
      </c>
      <c r="BH13" s="202">
        <f t="shared" si="42"/>
        <v>7.3059440569521336E-2</v>
      </c>
      <c r="BI13" s="202">
        <f t="shared" si="43"/>
        <v>8.1250264353294369E-2</v>
      </c>
      <c r="BJ13" s="202">
        <f t="shared" si="44"/>
        <v>7.9147258171522322E-2</v>
      </c>
      <c r="BK13" s="202">
        <f t="shared" si="45"/>
        <v>8.320024319746698E-2</v>
      </c>
      <c r="BL13" s="202">
        <f t="shared" si="46"/>
        <v>8.1126115862659484E-2</v>
      </c>
      <c r="BM13" s="202">
        <f t="shared" si="47"/>
        <v>7.9819737981502326E-2</v>
      </c>
      <c r="BN13" s="202">
        <f t="shared" si="48"/>
        <v>7.3527202905881953E-2</v>
      </c>
      <c r="BO13" s="202">
        <f t="shared" si="49"/>
        <v>6.9579830040923468E-2</v>
      </c>
      <c r="BP13" s="202">
        <f t="shared" si="50"/>
        <v>6.4168284228046185E-2</v>
      </c>
      <c r="BQ13" s="202">
        <f t="shared" si="51"/>
        <v>6.0748987899782357E-2</v>
      </c>
      <c r="BR13" s="202">
        <f t="shared" si="52"/>
        <v>5.3248068475757866E-2</v>
      </c>
      <c r="BS13" s="202">
        <f t="shared" si="53"/>
        <v>4.8217011887567003E-2</v>
      </c>
      <c r="BU13" s="205" t="s">
        <v>17</v>
      </c>
      <c r="BV13" s="202">
        <f>'Bilan 2015'!$E7+'Bilan 2015'!$I$13*'Bilan 2015'!$G$7/'Bilan 2015'!$H$13</f>
        <v>0.1480660666766172</v>
      </c>
      <c r="BW13" s="202">
        <f>'Bilan 2020'!$E7+'Bilan 2020'!$I$13*'Bilan 2020'!$G$7/'Bilan 2020'!$H$13</f>
        <v>2.7601451899707077</v>
      </c>
      <c r="BX13" s="202">
        <f>'Bilan 2023'!$E7+'Bilan 2023'!$I$13*'Bilan 2023'!$G$7/'Bilan 2023'!$H$13</f>
        <v>3.276430801705644</v>
      </c>
      <c r="BY13" s="202">
        <f>'Bilan 2025'!$E7+'Bilan 2025'!$I$13*'Bilan 2025'!$G$7/'Bilan 2025'!$H$13</f>
        <v>4.0796531588336284</v>
      </c>
      <c r="BZ13" s="202">
        <f>'Bilan 2028'!$E7+'Bilan 2028'!$I$13*'Bilan 2028'!$G$7/'Bilan 2028'!$H$13</f>
        <v>4.7696827204934138</v>
      </c>
      <c r="CA13" s="202">
        <f>'Bilan 2030'!$E7+'Bilan 2030'!$I$13*'Bilan 2030'!$G$7/'Bilan 2030'!$H$13</f>
        <v>5.0530146776846854</v>
      </c>
      <c r="CB13" s="202">
        <f>'Bilan 2033'!$E7+'Bilan 2033'!$I$13*'Bilan 2033'!$G$7/'Bilan 2033'!$H$13</f>
        <v>5.498783831613153</v>
      </c>
      <c r="CC13" s="202">
        <f>'Bilan 2035'!$E7+'Bilan 2035'!$I$13*'Bilan 2035'!$G$7/'Bilan 2035'!$H$13</f>
        <v>5.7570532989686392</v>
      </c>
      <c r="CD13" s="202">
        <f>'Bilan 2038'!$E7+'Bilan 2038'!$I$13*'Bilan 2038'!$G$7/'Bilan 2038'!$H$13</f>
        <v>6.0864380264445872</v>
      </c>
      <c r="CE13" s="202">
        <f>'Bilan 2040'!$E7+'Bilan 2040'!$I$13*'Bilan 2040'!$G$7/'Bilan 2040'!$H$13</f>
        <v>6.2678540060729926</v>
      </c>
      <c r="CF13" s="202">
        <f>'Bilan 2045'!$E7+'Bilan 2045'!$I$13*'Bilan 2045'!$G$7/'Bilan 2045'!$H$13</f>
        <v>6.5896225032455087</v>
      </c>
      <c r="CG13" s="202">
        <f>'Bilan 2050'!$E7+'Bilan 2050'!$I$13*'Bilan 2050'!$G$7/'Bilan 2050'!$H$13</f>
        <v>6.8815476582462871</v>
      </c>
      <c r="CH13" s="206"/>
      <c r="CJ13" s="205" t="s">
        <v>17</v>
      </c>
      <c r="CK13" s="202">
        <f t="shared" si="54"/>
        <v>7.9921040170571458E-2</v>
      </c>
      <c r="CL13" s="202">
        <f t="shared" si="55"/>
        <v>8.7045000077838858E-2</v>
      </c>
      <c r="CM13" s="202">
        <f t="shared" si="56"/>
        <v>8.9559489022963831E-2</v>
      </c>
      <c r="CN13" s="202">
        <f t="shared" si="57"/>
        <v>8.9854060997460142E-2</v>
      </c>
      <c r="CO13" s="202">
        <f t="shared" si="58"/>
        <v>8.9671267020439704E-2</v>
      </c>
      <c r="CP13" s="202">
        <f t="shared" si="59"/>
        <v>8.955655481981814E-2</v>
      </c>
      <c r="CQ13" s="202">
        <f t="shared" si="60"/>
        <v>8.9042391365625459E-2</v>
      </c>
      <c r="CR13" s="202">
        <f t="shared" si="61"/>
        <v>8.8721271934519688E-2</v>
      </c>
      <c r="CS13" s="202">
        <f t="shared" si="62"/>
        <v>8.8282009795459082E-2</v>
      </c>
      <c r="CT13" s="202">
        <f t="shared" si="63"/>
        <v>8.8005993481828471E-2</v>
      </c>
      <c r="CU13" s="202">
        <f t="shared" si="64"/>
        <v>8.7393803421868227E-2</v>
      </c>
      <c r="CV13" s="202">
        <f t="shared" si="65"/>
        <v>8.697382528597257E-2</v>
      </c>
      <c r="CW13" s="206"/>
      <c r="CX13" s="193">
        <f>CX11+1</f>
        <v>2305</v>
      </c>
      <c r="CY13" s="205" t="s">
        <v>417</v>
      </c>
      <c r="CZ13" s="207" t="s">
        <v>276</v>
      </c>
      <c r="DA13" s="202">
        <f>'Bilan 2015'!$K$13*'Bilan 2015'!$G$7/SUM('Bilan 2015'!$G$7:$G$19)</f>
        <v>0.16197214173163446</v>
      </c>
      <c r="DB13" s="202">
        <f>'Bilan 2020'!$K$13*'Bilan 2020'!$G$7/SUM('Bilan 2020'!$G$7:$G$19)</f>
        <v>2.9569976194927343</v>
      </c>
      <c r="DC13" s="202">
        <f>'Bilan 2023'!$K$13*'Bilan 2023'!$G$7/SUM('Bilan 2023'!$G$7:$G$19)</f>
        <v>3.7074622065106122</v>
      </c>
      <c r="DD13" s="202">
        <f>'Bilan 2025'!$K$13*'Bilan 2025'!$G$7/SUM('Bilan 2025'!$G$7:$G$19)</f>
        <v>4.405917455220588</v>
      </c>
      <c r="DE13" s="202">
        <f>'Bilan 2028'!$K$13*'Bilan 2028'!$G$7/SUM('Bilan 2028'!$G$7:$G$19)</f>
        <v>5.2720814781298362</v>
      </c>
      <c r="DF13" s="202">
        <f>'Bilan 2030'!$K$13*'Bilan 2030'!$G$7/SUM('Bilan 2030'!$G$7:$G$19)</f>
        <v>5.6694070593452093</v>
      </c>
      <c r="DG13" s="202">
        <f>'Bilan 2033'!$K$13*'Bilan 2033'!$G$7/SUM('Bilan 2033'!$G$7:$G$19)</f>
        <v>6.6590981652901062</v>
      </c>
      <c r="DH13" s="202">
        <f>'Bilan 2035'!$K$13*'Bilan 2035'!$G$7/SUM('Bilan 2035'!$G$7:$G$19)</f>
        <v>7.3408211974491531</v>
      </c>
      <c r="DI13" s="202">
        <f>'Bilan 2038'!$K$13*'Bilan 2038'!$G$7/SUM('Bilan 2038'!$G$7:$G$19)</f>
        <v>8.3736535569574517</v>
      </c>
      <c r="DJ13" s="202">
        <f>'Bilan 2040'!$K$13*'Bilan 2040'!$G$7/SUM('Bilan 2040'!$G$7:$G$19)</f>
        <v>9.0801301860946477</v>
      </c>
      <c r="DK13" s="202">
        <f>'Bilan 2045'!$K$13*'Bilan 2045'!$G$7/SUM('Bilan 2045'!$G$7:$G$19)</f>
        <v>10.81526880050386</v>
      </c>
      <c r="DL13" s="202">
        <f>'Bilan 2050'!$K$13*'Bilan 2050'!$G$7/SUM('Bilan 2050'!$G$7:$G$19)</f>
        <v>12.412932703524422</v>
      </c>
    </row>
    <row r="14" spans="1:116" ht="14.5">
      <c r="A14" s="203" t="s">
        <v>17</v>
      </c>
      <c r="B14" s="204">
        <f>'Bilan 2015'!$C7+'Bilan 2015'!$C15</f>
        <v>2.6944655873275929</v>
      </c>
      <c r="C14" s="204">
        <f>'Bilan 2020'!$C7+'Bilan 2020'!$C15</f>
        <v>43.442050197585424</v>
      </c>
      <c r="D14" s="204">
        <f>('Bilan 2023'!$C7+'Bilan 2023'!$C15)*(1-SUM('Bilan 2023'!$M$13:$P$13)/'Bilan 2023'!$D$13)</f>
        <v>50.716082712422406</v>
      </c>
      <c r="E14" s="204">
        <f>'Bilan 2025'!$C7+'Bilan 2025'!$C15</f>
        <v>64.725058264068068</v>
      </c>
      <c r="F14" s="204">
        <f>('Bilan 2028'!$C7+'Bilan 2028'!$C15)*(1-SUM('Bilan 2028'!$M$13:$P$13)/'Bilan 2028'!$D$13)</f>
        <v>78.241517928106177</v>
      </c>
      <c r="G14" s="204">
        <f>('Bilan 2030'!$C7+'Bilan 2030'!$C15)*(1-SUM('Bilan 2030'!$M$13:$P$13)/'Bilan 2030'!$D$13)</f>
        <v>84.297049967794123</v>
      </c>
      <c r="H14" s="204">
        <f>('Bilan 2033'!$C7+'Bilan 2033'!$C15)*(1-SUM('Bilan 2033'!$M$13:$P$13)/'Bilan 2033'!$D$13)</f>
        <v>96.490617751961651</v>
      </c>
      <c r="I14" s="204">
        <f>('Bilan 2035'!$C7+'Bilan 2035'!$C15)*(1-SUM('Bilan 2035'!$M$13:$P$13)/'Bilan 2035'!$D$13)</f>
        <v>104.61652024382062</v>
      </c>
      <c r="J14" s="204">
        <f>('Bilan 2038'!$C7+'Bilan 2038'!$C15)*(1-SUM('Bilan 2038'!$M$13:$P$13)/'Bilan 2038'!$D$13)</f>
        <v>116.80011128214937</v>
      </c>
      <c r="K14" s="204">
        <f>('Bilan 2040'!$C7+'Bilan 2040'!$C15)*(1-SUM('Bilan 2040'!$M$13:$P$13)/'Bilan 2040'!$D$13)</f>
        <v>124.91871920899968</v>
      </c>
      <c r="L14" s="204">
        <f>('Bilan 2045'!$C7+'Bilan 2045'!$C15)*(1-SUM('Bilan 2045'!$M$13:$P$13)/'Bilan 2045'!$D$13)</f>
        <v>145.19815460088671</v>
      </c>
      <c r="M14" s="204">
        <f>('Bilan 2050'!$C7+'Bilan 2050'!$C15)*(1-SUM('Bilan 2050'!$M$13:$P$13)/'Bilan 2050'!$D$13)</f>
        <v>165.52901110604901</v>
      </c>
      <c r="N14" s="577"/>
      <c r="O14" s="577"/>
      <c r="P14" s="577"/>
      <c r="Q14" s="572" t="s">
        <v>418</v>
      </c>
      <c r="R14" s="205">
        <f t="shared" si="81"/>
        <v>3.2925160422071951</v>
      </c>
      <c r="S14" s="205">
        <f t="shared" si="81"/>
        <v>53.084236018684109</v>
      </c>
      <c r="T14" s="205">
        <f t="shared" si="81"/>
        <v>61.972777352920005</v>
      </c>
      <c r="U14" s="205">
        <f t="shared" si="81"/>
        <v>61.993288439080395</v>
      </c>
      <c r="V14" s="205">
        <f t="shared" si="81"/>
        <v>61.919208531583756</v>
      </c>
      <c r="W14" s="205">
        <f t="shared" si="81"/>
        <v>61.893597111644702</v>
      </c>
      <c r="X14" s="205">
        <f t="shared" si="81"/>
        <v>61.80749430714755</v>
      </c>
      <c r="Y14" s="205">
        <f t="shared" si="81"/>
        <v>61.759486449947339</v>
      </c>
      <c r="Z14" s="205">
        <f t="shared" si="81"/>
        <v>61.697322377997146</v>
      </c>
      <c r="AA14" s="205">
        <f t="shared" si="81"/>
        <v>61.660801681089012</v>
      </c>
      <c r="AB14" s="205">
        <f t="shared" si="81"/>
        <v>61.580250508614959</v>
      </c>
      <c r="AC14" s="205">
        <f t="shared" si="81"/>
        <v>61.538698668143525</v>
      </c>
      <c r="AD14" s="193">
        <f>AD13+1</f>
        <v>2306</v>
      </c>
      <c r="AE14" s="205" t="s">
        <v>17</v>
      </c>
      <c r="AF14" s="205">
        <f>'Bilan 2015'!$S$13*('Bilan 2015'!$G$7+'Bilan 2015'!$G$15)/SUM('Bilan 2015'!$G$7:$G$19)</f>
        <v>2.0266520729202906</v>
      </c>
      <c r="AG14" s="205">
        <f>'Bilan 2020'!$S$13*('Bilan 2020'!$G$7+'Bilan 2020'!$G$15)/SUM('Bilan 2020'!$G$7:$G$19)</f>
        <v>33.970907195685882</v>
      </c>
      <c r="AH14" s="205">
        <f>'Bilan 2023'!$S$13*('Bilan 2023'!$G$7+'Bilan 2023'!$G$15)/SUM('Bilan 2023'!$G$7:$G$19)</f>
        <v>41.396643135826587</v>
      </c>
      <c r="AI14" s="205">
        <f>'Bilan 2025'!$S$13*('Bilan 2025'!$G$7+'Bilan 2025'!$G$15)/SUM('Bilan 2025'!$G$7:$G$19)</f>
        <v>49.034149445344802</v>
      </c>
      <c r="AJ14" s="205">
        <f>'Bilan 2028'!$S$13*('Bilan 2028'!$G$7+'Bilan 2028'!$G$15)/SUM('Bilan 2028'!$G$7:$G$19)</f>
        <v>58.793431310925001</v>
      </c>
      <c r="AK14" s="205">
        <f>'Bilan 2030'!$S$13*('Bilan 2030'!$G$7+'Bilan 2030'!$G$15)/SUM('Bilan 2030'!$G$7:$G$19)</f>
        <v>63.305327798190547</v>
      </c>
      <c r="AL14" s="205">
        <f>'Bilan 2033'!$S$13*('Bilan 2033'!$G$7+'Bilan 2033'!$G$15)/SUM('Bilan 2033'!$G$7:$G$19)</f>
        <v>74.785706708465952</v>
      </c>
      <c r="AM14" s="205">
        <f>'Bilan 2035'!$S$13*('Bilan 2035'!$G$7+'Bilan 2035'!$G$15)/SUM('Bilan 2035'!$G$7:$G$19)</f>
        <v>82.740261015047338</v>
      </c>
      <c r="AN14" s="205">
        <f>'Bilan 2038'!$S$13*('Bilan 2038'!$G$7+'Bilan 2038'!$G$15)/SUM('Bilan 2038'!$G$7:$G$19)</f>
        <v>94.851188553119727</v>
      </c>
      <c r="AO14" s="205">
        <f>'Bilan 2040'!$S$13*('Bilan 2040'!$G$7+'Bilan 2040'!$G$15)/SUM('Bilan 2040'!$G$7:$G$19)</f>
        <v>103.17627046582365</v>
      </c>
      <c r="AP14" s="205">
        <f>'Bilan 2045'!$S$13*('Bilan 2045'!$G$7+'Bilan 2045'!$G$15)/SUM('Bilan 2045'!$G$7:$G$19)</f>
        <v>123.75326827574135</v>
      </c>
      <c r="AQ14" s="205">
        <f>'Bilan 2050'!$S$13*('Bilan 2050'!$G$7+'Bilan 2050'!$G$15)/SUM('Bilan 2050'!$G$7:$G$19)</f>
        <v>142.72032606028679</v>
      </c>
      <c r="AR14" s="206"/>
      <c r="AS14" s="205" t="s">
        <v>17</v>
      </c>
      <c r="AT14" s="205">
        <f>'Bilan 2015'!$S$13*('Bilan 2015'!$G$7+'Bilan 2015'!$G$15)/SUM('Bilan 2015'!$G$7:$G$19)</f>
        <v>2.0266520729202906</v>
      </c>
      <c r="AU14" s="205">
        <f>'Bilan 2020'!$S$13*('Bilan 2020'!$G$7+'Bilan 2020'!$G$15)/SUM('Bilan 2020'!$G$7:$G$19)</f>
        <v>33.970907195685882</v>
      </c>
      <c r="AV14" s="205">
        <f>'Bilan 2023'!$S$13*('Bilan 2023'!$G$7+'Bilan 2023'!$G$15)/SUM('Bilan 2023'!$G$7:$G$19)</f>
        <v>41.396643135826587</v>
      </c>
      <c r="AW14" s="205">
        <f>'Bilan 2025'!$S$13*('Bilan 2025'!$G$7+'Bilan 2025'!$G$15)/SUM('Bilan 2025'!$G$7:$G$19)</f>
        <v>49.034149445344802</v>
      </c>
      <c r="AX14" s="205">
        <f>'Bilan 2028'!$S$13*('Bilan 2028'!$G$7+'Bilan 2028'!$G$15)/SUM('Bilan 2028'!$G$7:$G$19)</f>
        <v>58.793431310925001</v>
      </c>
      <c r="AY14" s="205">
        <f>'Bilan 2030'!$S$13*('Bilan 2030'!$G$7+'Bilan 2030'!$G$15)/SUM('Bilan 2030'!$G$7:$G$19)</f>
        <v>63.305327798190547</v>
      </c>
      <c r="AZ14" s="205">
        <f>'Bilan 2033'!$S$13*('Bilan 2033'!$G$7+'Bilan 2033'!$G$15)/SUM('Bilan 2033'!$G$7:$G$19)</f>
        <v>74.785706708465952</v>
      </c>
      <c r="BA14" s="205">
        <f>'Bilan 2035'!$S$13*('Bilan 2035'!$G$7+'Bilan 2035'!$G$15)/SUM('Bilan 2035'!$G$7:$G$19)</f>
        <v>82.740261015047338</v>
      </c>
      <c r="BB14" s="205">
        <f>'Bilan 2038'!$S$13*('Bilan 2038'!$G$7+'Bilan 2038'!$G$15)/SUM('Bilan 2038'!$G$7:$G$19)</f>
        <v>94.851188553119727</v>
      </c>
      <c r="BC14" s="205">
        <f>'Bilan 2040'!$S$13*('Bilan 2040'!$G$7+'Bilan 2040'!$G$15)/SUM('Bilan 2040'!$G$7:$G$19)</f>
        <v>103.17627046582365</v>
      </c>
      <c r="BD14" s="205">
        <f>'Bilan 2045'!$S$13*('Bilan 2045'!$G$7+'Bilan 2045'!$G$15)/SUM('Bilan 2045'!$G$7:$G$19)</f>
        <v>123.75326827574135</v>
      </c>
      <c r="BE14" s="205">
        <f>'Bilan 2050'!$S$13*('Bilan 2050'!$G$7+'Bilan 2050'!$G$15)/SUM('Bilan 2050'!$G$7:$G$19)</f>
        <v>142.72032606028679</v>
      </c>
      <c r="BF14" s="216"/>
      <c r="BG14" s="205" t="s">
        <v>279</v>
      </c>
      <c r="BH14" s="202">
        <f t="shared" si="42"/>
        <v>7.305944056952135E-2</v>
      </c>
      <c r="BI14" s="202">
        <f t="shared" si="43"/>
        <v>8.1250264353294355E-2</v>
      </c>
      <c r="BJ14" s="202">
        <f t="shared" si="44"/>
        <v>7.9147258171522322E-2</v>
      </c>
      <c r="BK14" s="202">
        <f t="shared" si="45"/>
        <v>8.320024319746698E-2</v>
      </c>
      <c r="BL14" s="202">
        <f t="shared" si="46"/>
        <v>8.1126115862659498E-2</v>
      </c>
      <c r="BM14" s="202">
        <f t="shared" si="47"/>
        <v>7.9819737981502353E-2</v>
      </c>
      <c r="BN14" s="202">
        <f t="shared" si="48"/>
        <v>7.3527202905881953E-2</v>
      </c>
      <c r="BO14" s="202">
        <f t="shared" si="49"/>
        <v>6.9579830040923468E-2</v>
      </c>
      <c r="BP14" s="202">
        <f t="shared" si="50"/>
        <v>6.4168284228046199E-2</v>
      </c>
      <c r="BQ14" s="202">
        <f t="shared" si="51"/>
        <v>6.0748987899782364E-2</v>
      </c>
      <c r="BR14" s="202">
        <f t="shared" si="52"/>
        <v>5.3248068475757866E-2</v>
      </c>
      <c r="BS14" s="202">
        <f t="shared" si="53"/>
        <v>4.8217011887567003E-2</v>
      </c>
      <c r="BU14" s="205" t="s">
        <v>279</v>
      </c>
      <c r="BV14" s="202">
        <f>'Bilan 2015'!$E9+'Bilan 2015'!$I$13*'Bilan 2015'!$G$9/'Bilan 2015'!$H$13</f>
        <v>6.5253474897547639E-2</v>
      </c>
      <c r="BW14" s="202">
        <f>'Bilan 2020'!$E9+'Bilan 2020'!$I$13*'Bilan 2020'!$G$9/'Bilan 2020'!$H$13</f>
        <v>1.2164101398108085</v>
      </c>
      <c r="BX14" s="202">
        <f>'Bilan 2023'!$E9+'Bilan 2023'!$I$13*'Bilan 2023'!$G$9/'Bilan 2023'!$H$13</f>
        <v>1.4439398565209169</v>
      </c>
      <c r="BY14" s="202">
        <f>'Bilan 2025'!$E9+'Bilan 2025'!$I$13*'Bilan 2025'!$G$9/'Bilan 2025'!$H$13</f>
        <v>1.6654783025008533</v>
      </c>
      <c r="BZ14" s="202">
        <f>'Bilan 2028'!$E9+'Bilan 2028'!$I$13*'Bilan 2028'!$G$9/'Bilan 2028'!$H$13</f>
        <v>1.9801485087673745</v>
      </c>
      <c r="CA14" s="202">
        <f>'Bilan 2030'!$E9+'Bilan 2030'!$I$13*'Bilan 2030'!$G$9/'Bilan 2030'!$H$13</f>
        <v>2.1895585989004416</v>
      </c>
      <c r="CB14" s="202">
        <f>'Bilan 2033'!$E9+'Bilan 2033'!$I$13*'Bilan 2033'!$G$9/'Bilan 2033'!$H$13</f>
        <v>2.8062679220455662</v>
      </c>
      <c r="CC14" s="202">
        <f>'Bilan 2035'!$E9+'Bilan 2035'!$I$13*'Bilan 2035'!$G$9/'Bilan 2035'!$H$13</f>
        <v>3.175767328377165</v>
      </c>
      <c r="CD14" s="202">
        <f>'Bilan 2038'!$E9+'Bilan 2038'!$I$13*'Bilan 2038'!$G$9/'Bilan 2038'!$H$13</f>
        <v>3.6683069504723171</v>
      </c>
      <c r="CE14" s="202">
        <f>'Bilan 2040'!$E9+'Bilan 2040'!$I$13*'Bilan 2040'!$G$9/'Bilan 2040'!$H$13</f>
        <v>3.9560819912096901</v>
      </c>
      <c r="CF14" s="202">
        <f>'Bilan 2045'!$E9+'Bilan 2045'!$I$13*'Bilan 2045'!$G$9/'Bilan 2045'!$H$13</f>
        <v>4.5357201405917076</v>
      </c>
      <c r="CG14" s="202">
        <f>'Bilan 2050'!$E9+'Bilan 2050'!$I$13*'Bilan 2050'!$G$9/'Bilan 2050'!$H$13</f>
        <v>4.6134217601602359</v>
      </c>
      <c r="CH14" s="206"/>
      <c r="CJ14" s="205" t="s">
        <v>279</v>
      </c>
      <c r="CK14" s="202">
        <f t="shared" si="54"/>
        <v>7.9921040170571472E-2</v>
      </c>
      <c r="CL14" s="202">
        <f t="shared" si="55"/>
        <v>8.7045000077838858E-2</v>
      </c>
      <c r="CM14" s="202">
        <f t="shared" si="56"/>
        <v>8.9559489022963817E-2</v>
      </c>
      <c r="CN14" s="202">
        <f t="shared" si="57"/>
        <v>8.9854060997460142E-2</v>
      </c>
      <c r="CO14" s="202">
        <f t="shared" si="58"/>
        <v>8.9671267020439704E-2</v>
      </c>
      <c r="CP14" s="202">
        <f t="shared" si="59"/>
        <v>8.9556554819818154E-2</v>
      </c>
      <c r="CQ14" s="202">
        <f t="shared" si="60"/>
        <v>8.9042391365625459E-2</v>
      </c>
      <c r="CR14" s="202">
        <f t="shared" si="61"/>
        <v>8.8721271934519688E-2</v>
      </c>
      <c r="CS14" s="202">
        <f t="shared" si="62"/>
        <v>8.8282009795459082E-2</v>
      </c>
      <c r="CT14" s="202">
        <f t="shared" si="63"/>
        <v>8.8005993481828471E-2</v>
      </c>
      <c r="CU14" s="202">
        <f t="shared" si="64"/>
        <v>8.7393803421868227E-2</v>
      </c>
      <c r="CV14" s="202">
        <f t="shared" si="65"/>
        <v>8.6973825285972556E-2</v>
      </c>
      <c r="CW14" s="206"/>
      <c r="CX14" s="193">
        <f>CX13+1</f>
        <v>2306</v>
      </c>
      <c r="CY14" s="205" t="s">
        <v>279</v>
      </c>
      <c r="CZ14" s="207" t="s">
        <v>277</v>
      </c>
      <c r="DA14" s="202">
        <f>+'Bilan 2015'!$K$13*'Bilan 2015'!$G$9/SUM('Bilan 2015'!$G$7:$G$19)</f>
        <v>7.1381953487499164E-2</v>
      </c>
      <c r="DB14" s="202">
        <f>+'Bilan 2020'!$K$13*'Bilan 2020'!$G$9/SUM('Bilan 2020'!$G$7:$G$19)</f>
        <v>1.3031640150008044</v>
      </c>
      <c r="DC14" s="202">
        <f>+'Bilan 2023'!$K$13*'Bilan 2023'!$G$9/SUM('Bilan 2023'!$G$7:$G$19)</f>
        <v>1.6338976070359268</v>
      </c>
      <c r="DD14" s="202">
        <f>+'Bilan 2025'!$K$13*'Bilan 2025'!$G$9/SUM('Bilan 2025'!$G$7:$G$19)</f>
        <v>1.7986724945945123</v>
      </c>
      <c r="DE14" s="202">
        <f>+'Bilan 2028'!$K$13*'Bilan 2028'!$G$9/SUM('Bilan 2028'!$G$7:$G$19)</f>
        <v>2.1887209042573263</v>
      </c>
      <c r="DF14" s="202">
        <f>+'Bilan 2030'!$K$13*'Bilan 2030'!$G$9/SUM('Bilan 2030'!$G$7:$G$19)</f>
        <v>2.4566520719358151</v>
      </c>
      <c r="DG14" s="202">
        <f>+'Bilan 2033'!$K$13*'Bilan 2033'!$G$9/SUM('Bilan 2033'!$G$7:$G$19)</f>
        <v>3.398426660013643</v>
      </c>
      <c r="DH14" s="202">
        <f>+'Bilan 2035'!$K$13*'Bilan 2035'!$G$9/SUM('Bilan 2035'!$G$7:$G$19)</f>
        <v>4.0494223193128978</v>
      </c>
      <c r="DI14" s="202">
        <f>+'Bilan 2038'!$K$13*'Bilan 2038'!$G$9/SUM('Bilan 2038'!$G$7:$G$19)</f>
        <v>5.0468157911693661</v>
      </c>
      <c r="DJ14" s="202">
        <f>+'Bilan 2040'!$K$13*'Bilan 2040'!$G$9/SUM('Bilan 2040'!$G$7:$G$19)</f>
        <v>5.7311066071806325</v>
      </c>
      <c r="DK14" s="202">
        <f>+'Bilan 2045'!$K$13*'Bilan 2045'!$G$9/SUM('Bilan 2045'!$G$7:$G$19)</f>
        <v>7.4442856931786281</v>
      </c>
      <c r="DL14" s="202">
        <f>+'Bilan 2050'!$K$13*'Bilan 2050'!$G$9/SUM('Bilan 2050'!$G$7:$G$19)</f>
        <v>8.3216881849566438</v>
      </c>
    </row>
    <row r="15" spans="1:116" ht="14.5">
      <c r="A15" s="209" t="s">
        <v>17</v>
      </c>
      <c r="B15" s="210"/>
      <c r="C15" s="210"/>
      <c r="D15" s="210"/>
      <c r="E15" s="210"/>
      <c r="F15" s="210"/>
      <c r="G15" s="210"/>
      <c r="H15" s="210"/>
      <c r="I15" s="210"/>
      <c r="J15" s="210"/>
      <c r="K15" s="210"/>
      <c r="L15" s="210"/>
      <c r="M15" s="578"/>
      <c r="N15" s="575"/>
      <c r="O15" s="575"/>
      <c r="P15" s="575"/>
      <c r="Q15" s="572" t="s">
        <v>282</v>
      </c>
      <c r="R15" s="205">
        <f t="shared" ref="R15:AB15" si="82">B19</f>
        <v>3.6287762645224984</v>
      </c>
      <c r="S15" s="205">
        <f t="shared" si="82"/>
        <v>26.9657497815802</v>
      </c>
      <c r="T15" s="205">
        <f t="shared" si="82"/>
        <v>47.118857341405615</v>
      </c>
      <c r="U15" s="205">
        <f t="shared" si="82"/>
        <v>47.233969434117441</v>
      </c>
      <c r="V15" s="205">
        <f t="shared" si="82"/>
        <v>45.59549467890993</v>
      </c>
      <c r="W15" s="205">
        <f t="shared" si="82"/>
        <v>44.712404435331194</v>
      </c>
      <c r="X15" s="205">
        <f t="shared" si="82"/>
        <v>43.901828784187387</v>
      </c>
      <c r="Y15" s="205">
        <f t="shared" si="82"/>
        <v>43.428380774930361</v>
      </c>
      <c r="Z15" s="205">
        <f t="shared" si="82"/>
        <v>45.206779021639726</v>
      </c>
      <c r="AA15" s="205">
        <f t="shared" si="82"/>
        <v>46.446688532117498</v>
      </c>
      <c r="AB15" s="205">
        <f t="shared" si="82"/>
        <v>45.905763464369031</v>
      </c>
      <c r="AC15" s="205">
        <f>M19+0.0001</f>
        <v>45.936173650339782</v>
      </c>
      <c r="AD15" s="193">
        <f>AD14+1</f>
        <v>2307</v>
      </c>
      <c r="AE15" s="205" t="s">
        <v>279</v>
      </c>
      <c r="AF15" s="205">
        <f>'Bilan 2015'!$S$13*'Bilan 2015'!$G$9/SUM('Bilan 2015'!$G$7:$G$19)</f>
        <v>0.8931559616235254</v>
      </c>
      <c r="AG15" s="205">
        <f>'Bilan 2020'!$S$13*'Bilan 2020'!$G$9/SUM('Bilan 2020'!$G$7:$G$19)</f>
        <v>14.971153010919259</v>
      </c>
      <c r="AH15" s="205">
        <f>'Bilan 2023'!$S$13*'Bilan 2023'!$G$9/SUM('Bilan 2023'!$G$7:$G$19)</f>
        <v>18.243712920436398</v>
      </c>
      <c r="AI15" s="205">
        <f>'Bilan 2025'!$S$13*'Bilan 2025'!$G$9/SUM('Bilan 2025'!$G$7:$G$19)</f>
        <v>20.017709546209097</v>
      </c>
      <c r="AJ15" s="205">
        <f>'Bilan 2028'!$S$13*'Bilan 2028'!$G$9/SUM('Bilan 2028'!$G$7:$G$19)</f>
        <v>24.408274545272437</v>
      </c>
      <c r="AK15" s="205">
        <f>'Bilan 2030'!$S$13*'Bilan 2030'!$G$9/SUM('Bilan 2030'!$G$7:$G$19)</f>
        <v>27.431292738744094</v>
      </c>
      <c r="AL15" s="205">
        <f>'Bilan 2033'!$S$13*'Bilan 2033'!$G$9/SUM('Bilan 2033'!$G$7:$G$19)</f>
        <v>38.166390276503684</v>
      </c>
      <c r="AM15" s="205">
        <f>'Bilan 2035'!$S$13*'Bilan 2035'!$G$9/SUM('Bilan 2035'!$G$7:$G$19)</f>
        <v>45.642067916942786</v>
      </c>
      <c r="AN15" s="205">
        <f>'Bilan 2038'!$S$13*'Bilan 2038'!$G$9/SUM('Bilan 2038'!$G$7:$G$19)</f>
        <v>57.166978899351662</v>
      </c>
      <c r="AO15" s="205">
        <f>'Bilan 2040'!$S$13*'Bilan 2040'!$G$9/SUM('Bilan 2040'!$G$7:$G$19)</f>
        <v>65.121776147711969</v>
      </c>
      <c r="AP15" s="205">
        <f>'Bilan 2045'!$S$13*'Bilan 2045'!$G$9/SUM('Bilan 2045'!$G$7:$G$19)</f>
        <v>85.180932762972901</v>
      </c>
      <c r="AQ15" s="205">
        <f>'Bilan 2050'!$S$13*'Bilan 2050'!$G$9/SUM('Bilan 2050'!$G$7:$G$19)</f>
        <v>95.680374613795379</v>
      </c>
      <c r="AR15" s="206"/>
      <c r="AS15" s="205" t="s">
        <v>279</v>
      </c>
      <c r="AT15" s="205">
        <f>'Bilan 2015'!$S$13*'Bilan 2015'!$G$9/SUM('Bilan 2015'!$G$7:$G$19)</f>
        <v>0.8931559616235254</v>
      </c>
      <c r="AU15" s="205">
        <f>'Bilan 2020'!$S$13*'Bilan 2020'!$G$9/SUM('Bilan 2020'!$G$7:$G$19)</f>
        <v>14.971153010919259</v>
      </c>
      <c r="AV15" s="205">
        <f>'Bilan 2023'!$S$13*'Bilan 2023'!$G$9/SUM('Bilan 2023'!$G$7:$G$19)</f>
        <v>18.243712920436398</v>
      </c>
      <c r="AW15" s="205">
        <f>'Bilan 2025'!$S$13*'Bilan 2025'!$G$9/SUM('Bilan 2025'!$G$7:$G$19)</f>
        <v>20.017709546209097</v>
      </c>
      <c r="AX15" s="205">
        <f>'Bilan 2028'!$S$13*'Bilan 2028'!$G$9/SUM('Bilan 2028'!$G$7:$G$19)</f>
        <v>24.408274545272437</v>
      </c>
      <c r="AY15" s="205">
        <f>'Bilan 2030'!$S$13*'Bilan 2030'!$G$9/SUM('Bilan 2030'!$G$7:$G$19)</f>
        <v>27.431292738744094</v>
      </c>
      <c r="AZ15" s="205">
        <f>'Bilan 2033'!$S$13*'Bilan 2033'!$G$9/SUM('Bilan 2033'!$G$7:$G$19)</f>
        <v>38.166390276503684</v>
      </c>
      <c r="BA15" s="205">
        <f>'Bilan 2035'!$S$13*'Bilan 2035'!$G$9/SUM('Bilan 2035'!$G$7:$G$19)</f>
        <v>45.642067916942786</v>
      </c>
      <c r="BB15" s="205">
        <f>'Bilan 2038'!$S$13*'Bilan 2038'!$G$9/SUM('Bilan 2038'!$G$7:$G$19)</f>
        <v>57.166978899351662</v>
      </c>
      <c r="BC15" s="205">
        <f>'Bilan 2040'!$S$13*'Bilan 2040'!$G$9/SUM('Bilan 2040'!$G$7:$G$19)</f>
        <v>65.121776147711969</v>
      </c>
      <c r="BD15" s="205">
        <f>'Bilan 2045'!$S$13*'Bilan 2045'!$G$9/SUM('Bilan 2045'!$G$7:$G$19)</f>
        <v>85.180932762972901</v>
      </c>
      <c r="BE15" s="205">
        <f>'Bilan 2050'!$S$13*'Bilan 2050'!$G$9/SUM('Bilan 2050'!$G$7:$G$19)</f>
        <v>95.680374613795379</v>
      </c>
      <c r="BF15" s="216"/>
      <c r="BG15" s="205" t="s">
        <v>418</v>
      </c>
      <c r="BH15" s="202">
        <f t="shared" si="42"/>
        <v>7.3059440569521336E-2</v>
      </c>
      <c r="BI15" s="202">
        <f t="shared" si="43"/>
        <v>8.1250264353294341E-2</v>
      </c>
      <c r="BJ15" s="202">
        <f t="shared" si="44"/>
        <v>7.9147258171522322E-2</v>
      </c>
      <c r="BK15" s="202">
        <f t="shared" si="45"/>
        <v>8.3200243197466994E-2</v>
      </c>
      <c r="BL15" s="202">
        <f t="shared" si="46"/>
        <v>8.1126115862659484E-2</v>
      </c>
      <c r="BM15" s="202">
        <f t="shared" si="47"/>
        <v>7.9819737981502326E-2</v>
      </c>
      <c r="BN15" s="202">
        <f t="shared" si="48"/>
        <v>7.3527202905881939E-2</v>
      </c>
      <c r="BO15" s="202">
        <f t="shared" si="49"/>
        <v>6.9579830040923468E-2</v>
      </c>
      <c r="BP15" s="202">
        <f t="shared" si="50"/>
        <v>6.4168284228046199E-2</v>
      </c>
      <c r="BQ15" s="202">
        <f t="shared" si="51"/>
        <v>6.074898789978235E-2</v>
      </c>
      <c r="BR15" s="202">
        <f t="shared" si="52"/>
        <v>5.3248068475757859E-2</v>
      </c>
      <c r="BS15" s="202">
        <f t="shared" si="53"/>
        <v>4.821701188756701E-2</v>
      </c>
      <c r="BU15" s="205" t="s">
        <v>418</v>
      </c>
      <c r="BV15" s="202">
        <f>'Bilan 2015'!$E$8+'Bilan 2015'!$I$13*'Bilan 2015'!$G$8/'Bilan 2015'!$H$13</f>
        <v>0.18093008948865483</v>
      </c>
      <c r="BW15" s="202">
        <f>'Bilan 2020'!$E$8+'Bilan 2020'!$I$13*'Bilan 2020'!$G$8/'Bilan 2020'!$H$13</f>
        <v>3.3727735694754233</v>
      </c>
      <c r="BX15" s="202">
        <f>'Bilan 2023'!$E$8+'Bilan 2023'!$I$13*'Bilan 2023'!$G$8/'Bilan 2023'!$H$13</f>
        <v>4.0036514203534521</v>
      </c>
      <c r="BY15" s="202">
        <f>'Bilan 2025'!$E$8+'Bilan 2025'!$I$13*'Bilan 2025'!$G$8/'Bilan 2025'!$H$13</f>
        <v>3.9074683250981557</v>
      </c>
      <c r="BZ15" s="202">
        <f>'Bilan 2028'!$E$8+'Bilan 2028'!$I$13*'Bilan 2028'!$G$8/'Bilan 2028'!$H$13</f>
        <v>3.774658094837807</v>
      </c>
      <c r="CA15" s="202">
        <f>'Bilan 2030'!$E$8+'Bilan 2030'!$I$13*'Bilan 2030'!$G$8/'Bilan 2030'!$H$13</f>
        <v>3.7100854036924145</v>
      </c>
      <c r="CB15" s="202">
        <f>'Bilan 2033'!$E$8+'Bilan 2033'!$I$13*'Bilan 2033'!$G$8/'Bilan 2033'!$H$13</f>
        <v>3.5222704371353815</v>
      </c>
      <c r="CC15" s="202">
        <f>'Bilan 2035'!$E$8+'Bilan 2035'!$I$13*'Bilan 2035'!$G$8/'Bilan 2035'!$H$13</f>
        <v>3.3986281935264402</v>
      </c>
      <c r="CD15" s="202">
        <f>'Bilan 2038'!$E$8+'Bilan 2038'!$I$13*'Bilan 2038'!$G$8/'Bilan 2038'!$H$13</f>
        <v>3.2150391376266003</v>
      </c>
      <c r="CE15" s="202">
        <f>'Bilan 2040'!$E$8+'Bilan 2040'!$I$13*'Bilan 2040'!$G$8/'Bilan 2040'!$H$13</f>
        <v>3.0938589931255263</v>
      </c>
      <c r="CF15" s="202">
        <f>'Bilan 2045'!$E$8+'Bilan 2045'!$I$13*'Bilan 2045'!$G$8/'Bilan 2045'!$H$13</f>
        <v>2.7947366522837793</v>
      </c>
      <c r="CG15" s="202">
        <f>'Bilan 2050'!$E$8+'Bilan 2050'!$I$13*'Bilan 2050'!$G$8/'Bilan 2050'!$H$13</f>
        <v>2.5583520669979496</v>
      </c>
      <c r="CH15" s="206"/>
      <c r="CJ15" s="205" t="s">
        <v>418</v>
      </c>
      <c r="CK15" s="202">
        <f t="shared" si="54"/>
        <v>7.9921040170571458E-2</v>
      </c>
      <c r="CL15" s="202">
        <f t="shared" si="55"/>
        <v>8.7045000077838844E-2</v>
      </c>
      <c r="CM15" s="202">
        <f t="shared" si="56"/>
        <v>8.9559489022963831E-2</v>
      </c>
      <c r="CN15" s="202">
        <f t="shared" si="57"/>
        <v>8.9854060997460142E-2</v>
      </c>
      <c r="CO15" s="202">
        <f t="shared" si="58"/>
        <v>8.9671267020439704E-2</v>
      </c>
      <c r="CP15" s="202">
        <f t="shared" si="59"/>
        <v>8.955655481981814E-2</v>
      </c>
      <c r="CQ15" s="202">
        <f t="shared" si="60"/>
        <v>8.9042391365625459E-2</v>
      </c>
      <c r="CR15" s="202">
        <f t="shared" si="61"/>
        <v>8.8721271934519702E-2</v>
      </c>
      <c r="CS15" s="202">
        <f t="shared" si="62"/>
        <v>8.8282009795459082E-2</v>
      </c>
      <c r="CT15" s="202">
        <f t="shared" si="63"/>
        <v>8.8005993481828471E-2</v>
      </c>
      <c r="CU15" s="202">
        <f t="shared" si="64"/>
        <v>8.7393803421868213E-2</v>
      </c>
      <c r="CV15" s="202">
        <f t="shared" si="65"/>
        <v>8.697382528597257E-2</v>
      </c>
      <c r="CW15" s="206"/>
      <c r="CX15" s="193">
        <f>CX14+1</f>
        <v>2307</v>
      </c>
      <c r="CY15" s="205" t="s">
        <v>418</v>
      </c>
      <c r="CZ15" s="207" t="s">
        <v>278</v>
      </c>
      <c r="DA15" s="202">
        <f>'Bilan 2015'!$K$13*'Bilan 2015'!$G$8/SUM('Bilan 2015'!$G$7:$G$19)</f>
        <v>0.19792268921533859</v>
      </c>
      <c r="DB15" s="202">
        <f>'Bilan 2020'!$K$13*'Bilan 2020'!$G$8/SUM('Bilan 2020'!$G$7:$G$19)</f>
        <v>3.6133184052295029</v>
      </c>
      <c r="DC15" s="202">
        <f>'Bilan 2023'!$K$13*'Bilan 2023'!$G$8/SUM('Bilan 2023'!$G$7:$G$19)</f>
        <v>4.5303524558723431</v>
      </c>
      <c r="DD15" s="202">
        <f>'Bilan 2025'!$K$13*'Bilan 2025'!$G$8/SUM('Bilan 2025'!$G$7:$G$19)</f>
        <v>4.2199623911640476</v>
      </c>
      <c r="DE15" s="202">
        <f>'Bilan 2028'!$K$13*'Bilan 2028'!$G$8/SUM('Bilan 2028'!$G$7:$G$19)</f>
        <v>4.1722492237405291</v>
      </c>
      <c r="DF15" s="202">
        <f>'Bilan 2030'!$K$13*'Bilan 2030'!$G$8/SUM('Bilan 2030'!$G$7:$G$19)</f>
        <v>4.1626604552245761</v>
      </c>
      <c r="DG15" s="202">
        <f>'Bilan 2033'!$K$13*'Bilan 2033'!$G$8/SUM('Bilan 2033'!$G$7:$G$19)</f>
        <v>4.2655149436385233</v>
      </c>
      <c r="DH15" s="202">
        <f>'Bilan 2035'!$K$13*'Bilan 2035'!$G$8/SUM('Bilan 2035'!$G$7:$G$19)</f>
        <v>4.3335923066331024</v>
      </c>
      <c r="DI15" s="202">
        <f>'Bilan 2038'!$K$13*'Bilan 2038'!$G$8/SUM('Bilan 2038'!$G$7:$G$19)</f>
        <v>4.4232149893869455</v>
      </c>
      <c r="DJ15" s="202">
        <f>'Bilan 2040'!$K$13*'Bilan 2040'!$G$8/SUM('Bilan 2040'!$G$7:$G$19)</f>
        <v>4.4820192697181866</v>
      </c>
      <c r="DK15" s="202">
        <f>'Bilan 2045'!$K$13*'Bilan 2045'!$G$8/SUM('Bilan 2045'!$G$7:$G$19)</f>
        <v>4.5868831038777405</v>
      </c>
      <c r="DL15" s="202">
        <f>'Bilan 2050'!$K$13*'Bilan 2050'!$G$8/SUM('Bilan 2050'!$G$7:$G$19)</f>
        <v>4.6147543571123215</v>
      </c>
    </row>
    <row r="16" spans="1:116" ht="14.5">
      <c r="A16" s="211" t="s">
        <v>25</v>
      </c>
      <c r="B16" s="212"/>
      <c r="C16" s="212"/>
      <c r="D16" s="212"/>
      <c r="E16" s="212"/>
      <c r="F16" s="212"/>
      <c r="G16" s="212"/>
      <c r="H16" s="212"/>
      <c r="I16" s="212"/>
      <c r="J16" s="212"/>
      <c r="K16" s="212"/>
      <c r="L16" s="212"/>
      <c r="M16" s="579"/>
      <c r="N16" s="575"/>
      <c r="O16" s="575"/>
      <c r="P16" s="575"/>
      <c r="Q16" s="571" t="s">
        <v>285</v>
      </c>
      <c r="R16" s="201">
        <f t="shared" ref="R16" si="83">SUM(R17:R22)</f>
        <v>45.351364450987155</v>
      </c>
      <c r="S16" s="201">
        <f t="shared" ref="S16:AC16" si="84">SUM(S17:S22)</f>
        <v>514.01219611244392</v>
      </c>
      <c r="T16" s="201">
        <f t="shared" si="84"/>
        <v>527.61319397884017</v>
      </c>
      <c r="U16" s="201">
        <f t="shared" si="84"/>
        <v>521.2168101093838</v>
      </c>
      <c r="V16" s="201">
        <f t="shared" ref="V16" si="85">SUM(V17:V22)</f>
        <v>519.19538480783797</v>
      </c>
      <c r="W16" s="201">
        <f t="shared" ref="W16" si="86">SUM(W17:W22)</f>
        <v>518.30568973114976</v>
      </c>
      <c r="X16" s="201">
        <f t="shared" ref="X16" si="87">SUM(X17:X22)</f>
        <v>523.20980721369006</v>
      </c>
      <c r="Y16" s="201">
        <f t="shared" ref="Y16" si="88">SUM(Y17:Y22)</f>
        <v>526.60208563084325</v>
      </c>
      <c r="Z16" s="201">
        <f t="shared" ref="Z16" si="89">SUM(Z17:Z22)</f>
        <v>530.07929769410009</v>
      </c>
      <c r="AA16" s="201">
        <f t="shared" ref="AA16" si="90">SUM(AA17:AA22)</f>
        <v>532.34137291180809</v>
      </c>
      <c r="AB16" s="201">
        <f t="shared" ref="AB16" si="91">SUM(AB17:AB22)</f>
        <v>533.79117600803681</v>
      </c>
      <c r="AC16" s="201">
        <f t="shared" si="84"/>
        <v>529.24290369627317</v>
      </c>
      <c r="AD16" s="193">
        <f>AD15+1</f>
        <v>2308</v>
      </c>
      <c r="AE16" s="205" t="s">
        <v>418</v>
      </c>
      <c r="AF16" s="205">
        <f>'Bilan 2015'!$S$13*'Bilan 2015'!$G$8/SUM('Bilan 2015'!$G$7:$G$19)</f>
        <v>2.4764778935925027</v>
      </c>
      <c r="AG16" s="205">
        <f>'Bilan 2020'!$S$13*'Bilan 2020'!$G$8/SUM('Bilan 2020'!$G$7:$G$19)</f>
        <v>41.510924257548858</v>
      </c>
      <c r="AH16" s="205">
        <f>'Bilan 2023'!$S$13*'Bilan 2023'!$G$8/SUM('Bilan 2023'!$G$7:$G$19)</f>
        <v>50.584840370300924</v>
      </c>
      <c r="AI16" s="205">
        <f>'Bilan 2025'!$S$13*'Bilan 2025'!$G$8/SUM('Bilan 2025'!$G$7:$G$19)</f>
        <v>46.964626243029031</v>
      </c>
      <c r="AJ16" s="205">
        <f>'Bilan 2028'!$S$13*'Bilan 2028'!$G$8/SUM('Bilan 2028'!$G$7:$G$19)</f>
        <v>46.528273351925591</v>
      </c>
      <c r="AK16" s="205">
        <f>'Bilan 2030'!$S$13*'Bilan 2030'!$G$8/SUM('Bilan 2030'!$G$7:$G$19)</f>
        <v>46.48080158509417</v>
      </c>
      <c r="AL16" s="205">
        <f>'Bilan 2033'!$S$13*'Bilan 2033'!$G$8/SUM('Bilan 2033'!$G$7:$G$19)</f>
        <v>47.904317013718618</v>
      </c>
      <c r="AM16" s="205">
        <f>'Bilan 2035'!$S$13*'Bilan 2035'!$G$8/SUM('Bilan 2035'!$G$7:$G$19)</f>
        <v>48.845020051465099</v>
      </c>
      <c r="AN16" s="205">
        <f>'Bilan 2038'!$S$13*'Bilan 2038'!$G$8/SUM('Bilan 2038'!$G$7:$G$19)</f>
        <v>50.103243000868567</v>
      </c>
      <c r="AO16" s="205">
        <f>'Bilan 2040'!$S$13*'Bilan 2040'!$G$8/SUM('Bilan 2040'!$G$7:$G$19)</f>
        <v>50.928568525774743</v>
      </c>
      <c r="AP16" s="205">
        <f>'Bilan 2045'!$S$13*'Bilan 2045'!$G$8/SUM('Bilan 2045'!$G$7:$G$19)</f>
        <v>52.485221197387347</v>
      </c>
      <c r="AQ16" s="205">
        <f>'Bilan 2050'!$S$13*'Bilan 2050'!$G$8/SUM('Bilan 2050'!$G$7:$G$19)</f>
        <v>53.059116831286531</v>
      </c>
      <c r="AR16" s="206"/>
      <c r="AS16" s="205" t="s">
        <v>418</v>
      </c>
      <c r="AT16" s="205">
        <f>'Bilan 2015'!$S$13*'Bilan 2015'!$G$8/SUM('Bilan 2015'!$G$7:$G$19)</f>
        <v>2.4764778935925027</v>
      </c>
      <c r="AU16" s="205">
        <f>'Bilan 2020'!$S$13*'Bilan 2020'!$G$8/SUM('Bilan 2020'!$G$7:$G$19)</f>
        <v>41.510924257548858</v>
      </c>
      <c r="AV16" s="205">
        <f>'Bilan 2023'!$S$13*'Bilan 2023'!$G$8/SUM('Bilan 2023'!$G$7:$G$19)</f>
        <v>50.584840370300924</v>
      </c>
      <c r="AW16" s="205">
        <f>'Bilan 2025'!$S$13*'Bilan 2025'!$G$8/SUM('Bilan 2025'!$G$7:$G$19)</f>
        <v>46.964626243029031</v>
      </c>
      <c r="AX16" s="205">
        <f>'Bilan 2028'!$S$13*'Bilan 2028'!$G$8/SUM('Bilan 2028'!$G$7:$G$19)</f>
        <v>46.528273351925591</v>
      </c>
      <c r="AY16" s="205">
        <f>'Bilan 2030'!$S$13*'Bilan 2030'!$G$8/SUM('Bilan 2030'!$G$7:$G$19)</f>
        <v>46.48080158509417</v>
      </c>
      <c r="AZ16" s="205">
        <f>'Bilan 2033'!$S$13*'Bilan 2033'!$G$8/SUM('Bilan 2033'!$G$7:$G$19)</f>
        <v>47.904317013718618</v>
      </c>
      <c r="BA16" s="205">
        <f>'Bilan 2035'!$S$13*'Bilan 2035'!$G$8/SUM('Bilan 2035'!$G$7:$G$19)</f>
        <v>48.845020051465099</v>
      </c>
      <c r="BB16" s="205">
        <f>'Bilan 2038'!$S$13*'Bilan 2038'!$G$8/SUM('Bilan 2038'!$G$7:$G$19)</f>
        <v>50.103243000868567</v>
      </c>
      <c r="BC16" s="205">
        <f>'Bilan 2040'!$S$13*'Bilan 2040'!$G$8/SUM('Bilan 2040'!$G$7:$G$19)</f>
        <v>50.928568525774743</v>
      </c>
      <c r="BD16" s="205">
        <f>'Bilan 2045'!$S$13*'Bilan 2045'!$G$8/SUM('Bilan 2045'!$G$7:$G$19)</f>
        <v>52.485221197387347</v>
      </c>
      <c r="BE16" s="205">
        <f>'Bilan 2050'!$S$13*'Bilan 2050'!$G$8/SUM('Bilan 2050'!$G$7:$G$19)</f>
        <v>53.059116831286531</v>
      </c>
      <c r="BF16" s="216"/>
      <c r="BG16" s="205" t="s">
        <v>415</v>
      </c>
      <c r="BH16" s="202">
        <f t="shared" si="42"/>
        <v>4.4252345044508434</v>
      </c>
      <c r="BI16" s="202">
        <f t="shared" si="43"/>
        <v>4.2674127401567858</v>
      </c>
      <c r="BJ16" s="202">
        <f t="shared" si="44"/>
        <v>3.5820818624568482</v>
      </c>
      <c r="BK16" s="202">
        <f t="shared" si="45"/>
        <v>3.522532342839618</v>
      </c>
      <c r="BL16" s="202">
        <f t="shared" si="46"/>
        <v>2.8584001657121862</v>
      </c>
      <c r="BM16" s="202">
        <f t="shared" si="47"/>
        <v>2.5019958025223996</v>
      </c>
      <c r="BN16" s="202">
        <f t="shared" si="48"/>
        <v>2.2740498658954333</v>
      </c>
      <c r="BO16" s="202">
        <f t="shared" si="49"/>
        <v>2.1382039622548401</v>
      </c>
      <c r="BP16" s="202">
        <f t="shared" si="50"/>
        <v>1.734298309651886</v>
      </c>
      <c r="BQ16" s="202">
        <f t="shared" si="51"/>
        <v>1.5280626948321578</v>
      </c>
      <c r="BR16" s="202">
        <f t="shared" si="52"/>
        <v>1.3498743072727191</v>
      </c>
      <c r="BS16" s="202">
        <f t="shared" si="53"/>
        <v>1.2000520235192904</v>
      </c>
      <c r="BU16" s="205" t="s">
        <v>283</v>
      </c>
      <c r="BV16" s="202">
        <f>SUM('Bilan 2015'!$E$12:$E$16)+'Bilan 2015'!$I$13*SUM('Bilan 2015'!$G$12:$G$16)/'Bilan 2015'!$H$13</f>
        <v>2.8263041457271392</v>
      </c>
      <c r="BW16" s="202">
        <f>SUM('Bilan 2020'!$E$12:$E$16)+'Bilan 2020'!$I$13*SUM('Bilan 2020'!$G$12:$G$16)/'Bilan 2020'!$H$13</f>
        <v>21.05667717879976</v>
      </c>
      <c r="BX16" s="202">
        <f>SUM('Bilan 2023'!$E$12:$E$16)+'Bilan 2023'!$I$13*SUM('Bilan 2023'!$G$12:$G$16)/'Bilan 2023'!$H$13</f>
        <v>35.698790572791573</v>
      </c>
      <c r="BY16" s="202">
        <f>SUM('Bilan 2025'!$E$12:$E$16)+'Bilan 2025'!$I$13*SUM('Bilan 2025'!$G$12:$G$16)/'Bilan 2025'!$H$13</f>
        <v>34.959358808731963</v>
      </c>
      <c r="BZ16" s="202">
        <f>SUM('Bilan 2028'!$E$12:$E$16)+'Bilan 2028'!$I$13*SUM('Bilan 2028'!$G$12:$G$16)/'Bilan 2028'!$H$13</f>
        <v>31.726468501683261</v>
      </c>
      <c r="CA16" s="202">
        <f>SUM('Bilan 2030'!$E$12:$E$16)+'Bilan 2030'!$I$13*SUM('Bilan 2030'!$G$12:$G$16)/'Bilan 2030'!$H$13</f>
        <v>29.803265008307935</v>
      </c>
      <c r="CB16" s="202">
        <f>SUM('Bilan 2033'!$E$12:$E$16)+'Bilan 2033'!$I$13*SUM('Bilan 2033'!$G$12:$G$16)/'Bilan 2033'!$H$13</f>
        <v>28.602649926749692</v>
      </c>
      <c r="CC16" s="202">
        <f>SUM('Bilan 2035'!$E$12:$E$16)+'Bilan 2035'!$I$13*SUM('Bilan 2035'!$G$12:$G$16)/'Bilan 2035'!$H$13</f>
        <v>27.864171303470339</v>
      </c>
      <c r="CD16" s="202">
        <f>SUM('Bilan 2038'!$E$12:$E$16)+'Bilan 2038'!$I$13*SUM('Bilan 2038'!$G$12:$G$16)/'Bilan 2038'!$H$13</f>
        <v>27.026495226243341</v>
      </c>
      <c r="CE16" s="202">
        <f>SUM('Bilan 2040'!$E$12:$E$16)+'Bilan 2040'!$I$13*SUM('Bilan 2040'!$G$12:$G$16)/'Bilan 2040'!$H$13</f>
        <v>26.508648731428259</v>
      </c>
      <c r="CF16" s="202">
        <f>SUM('Bilan 2045'!$E$12:$E$16)+'Bilan 2045'!$I$13*SUM('Bilan 2045'!$G$12:$G$16)/'Bilan 2045'!$H$13</f>
        <v>25.098426341140033</v>
      </c>
      <c r="CG16" s="202">
        <f>SUM('Bilan 2050'!$E$12:$E$16)+'Bilan 2050'!$I$13*SUM('Bilan 2050'!$G$12:$G$16)/'Bilan 2050'!$H$13</f>
        <v>23.858882048545571</v>
      </c>
      <c r="CH16" s="206"/>
      <c r="CJ16" s="205" t="s">
        <v>415</v>
      </c>
      <c r="CK16" s="202">
        <f t="shared" si="54"/>
        <v>7.9921040170571445E-2</v>
      </c>
      <c r="CL16" s="202">
        <f t="shared" si="55"/>
        <v>8.7045000077838858E-2</v>
      </c>
      <c r="CM16" s="202">
        <f t="shared" si="56"/>
        <v>8.9559489022963817E-2</v>
      </c>
      <c r="CN16" s="202">
        <f t="shared" si="57"/>
        <v>8.9854060997460142E-2</v>
      </c>
      <c r="CO16" s="202">
        <f t="shared" si="58"/>
        <v>8.9671267020439718E-2</v>
      </c>
      <c r="CP16" s="202">
        <f t="shared" si="59"/>
        <v>8.9556554819818154E-2</v>
      </c>
      <c r="CQ16" s="202">
        <f t="shared" si="60"/>
        <v>8.9042391365625445E-2</v>
      </c>
      <c r="CR16" s="202">
        <f t="shared" si="61"/>
        <v>8.8721271934519688E-2</v>
      </c>
      <c r="CS16" s="202">
        <f t="shared" si="62"/>
        <v>8.8282009795459068E-2</v>
      </c>
      <c r="CT16" s="202">
        <f t="shared" si="63"/>
        <v>8.8005993481828484E-2</v>
      </c>
      <c r="CU16" s="202">
        <f t="shared" si="64"/>
        <v>8.7393803421868241E-2</v>
      </c>
      <c r="CV16" s="202">
        <f t="shared" si="65"/>
        <v>8.697382528597257E-2</v>
      </c>
      <c r="CW16" s="206"/>
      <c r="CX16" s="193">
        <f>CX15+1</f>
        <v>2308</v>
      </c>
      <c r="CY16" s="205" t="s">
        <v>415</v>
      </c>
      <c r="CZ16" s="207" t="s">
        <v>280</v>
      </c>
      <c r="DA16" s="202">
        <f>'Bilan 2015'!$K$13*SUM('Bilan 2015'!$G$12:$G$16)/SUM('Bilan 2015'!$G$7:$G$19)</f>
        <v>5.1043886360761896E-2</v>
      </c>
      <c r="DB16" s="202">
        <f>'Bilan 2020'!$K$13*SUM('Bilan 2020'!$G$12:$G$16)/SUM('Bilan 2020'!$G$7:$G$19)</f>
        <v>0.42950578682490231</v>
      </c>
      <c r="DC16" s="202">
        <f>'Bilan 2023'!$K$13*SUM('Bilan 2023'!$G$12:$G$16)/SUM('Bilan 2023'!$G$7:$G$19)</f>
        <v>0.89254393539855237</v>
      </c>
      <c r="DD16" s="202">
        <f>'Bilan 2025'!$K$13*SUM('Bilan 2025'!$G$12:$G$16)/SUM('Bilan 2025'!$G$7:$G$19)</f>
        <v>0.89175628584850697</v>
      </c>
      <c r="DE16" s="202">
        <f>'Bilan 2028'!$K$13*SUM('Bilan 2028'!$G$12:$G$16)/SUM('Bilan 2028'!$G$7:$G$19)</f>
        <v>0.99529543230388595</v>
      </c>
      <c r="DF16" s="202">
        <f>'Bilan 2030'!$K$13*SUM('Bilan 2030'!$G$12:$G$16)/SUM('Bilan 2030'!$G$7:$G$19)</f>
        <v>1.0667794621538749</v>
      </c>
      <c r="DG16" s="202">
        <f>'Bilan 2033'!$K$13*SUM('Bilan 2033'!$G$12:$G$16)/SUM('Bilan 2033'!$G$7:$G$19)</f>
        <v>1.119961521982181</v>
      </c>
      <c r="DH16" s="202">
        <f>'Bilan 2035'!$K$13*SUM('Bilan 2035'!$G$12:$G$16)/SUM('Bilan 2035'!$G$7:$G$19)</f>
        <v>1.1561781584382789</v>
      </c>
      <c r="DI16" s="202">
        <f>'Bilan 2038'!$K$13*SUM('Bilan 2038'!$G$12:$G$16)/SUM('Bilan 2038'!$G$7:$G$19)</f>
        <v>1.3757456275091791</v>
      </c>
      <c r="DJ16" s="202">
        <f>'Bilan 2040'!$K$13*SUM('Bilan 2040'!$G$12:$G$16)/SUM('Bilan 2040'!$G$7:$G$19)</f>
        <v>1.5267174412149391</v>
      </c>
      <c r="DK16" s="202">
        <f>'Bilan 2045'!$K$13*SUM('Bilan 2045'!$G$12:$G$16)/SUM('Bilan 2045'!$G$7:$G$19)</f>
        <v>1.6249267995088101</v>
      </c>
      <c r="DL16" s="202">
        <f>'Bilan 2050'!$K$13*SUM('Bilan 2050'!$G$12:$G$16)/SUM('Bilan 2050'!$G$7:$G$19)</f>
        <v>1.7291735675953162</v>
      </c>
    </row>
    <row r="17" spans="1:116" ht="14.5">
      <c r="A17" s="203" t="s">
        <v>279</v>
      </c>
      <c r="B17" s="204">
        <f>'Bilan 2015'!$C9</f>
        <v>1.1874648021075129</v>
      </c>
      <c r="C17" s="204">
        <f>'Bilan 2020'!$C9</f>
        <v>19.145134301820498</v>
      </c>
      <c r="D17" s="204">
        <f>'Bilan 2023'!$C9*(1-SUM('Bilan 2023'!$M$13:$P$13)/'Bilan 2023'!$D$13)</f>
        <v>22.350837733840002</v>
      </c>
      <c r="E17" s="204">
        <f>'Bilan 2025'!$C9</f>
        <v>26.423368842886727</v>
      </c>
      <c r="F17" s="204">
        <f>'Bilan 2028'!$C9*(1-SUM('Bilan 2028'!$M$13:$P$13)/'Bilan 2028'!$D$13)</f>
        <v>32.482207754273446</v>
      </c>
      <c r="G17" s="204">
        <f>'Bilan 2030'!$C9*(1-SUM('Bilan 2030'!$M$13:$P$13)/'Bilan 2030'!$D$13)</f>
        <v>36.527368787200153</v>
      </c>
      <c r="H17" s="204">
        <f>'Bilan 2033'!$C9*(1-SUM('Bilan 2033'!$M$13:$P$13)/'Bilan 2033'!$D$13)</f>
        <v>49.243347923399526</v>
      </c>
      <c r="I17" s="204">
        <f>'Bilan 2035'!$C9*(1-SUM('Bilan 2035'!$M$13:$P$13)/'Bilan 2035'!$D$13)</f>
        <v>57.709684059786852</v>
      </c>
      <c r="J17" s="204">
        <f>'Bilan 2038'!$C9*(1-SUM('Bilan 2038'!$M$13:$P$13)/'Bilan 2038'!$D$13)</f>
        <v>70.395633401780344</v>
      </c>
      <c r="K17" s="204">
        <f>'Bilan 2040'!$C9*(1-SUM('Bilan 2040'!$M$13:$P$13)/'Bilan 2040'!$D$13)</f>
        <v>78.844959526638419</v>
      </c>
      <c r="L17" s="204">
        <f>'Bilan 2045'!$C9*(1-SUM('Bilan 2045'!$M$13:$P$13)/'Bilan 2045'!$D$13)</f>
        <v>99.941718038571807</v>
      </c>
      <c r="M17" s="204">
        <f>'Bilan 2050'!$C9*(1-SUM('Bilan 2050'!$M$13:$P$13)/'Bilan 2050'!$D$13)</f>
        <v>110.97142382779978</v>
      </c>
      <c r="N17" s="577"/>
      <c r="O17" s="577"/>
      <c r="P17" s="577"/>
      <c r="Q17" s="572" t="s">
        <v>287</v>
      </c>
      <c r="R17" s="205">
        <f t="shared" ref="R17:AC22" si="92">B29</f>
        <v>31.15255442144797</v>
      </c>
      <c r="S17" s="205">
        <f t="shared" si="92"/>
        <v>351.08176898139908</v>
      </c>
      <c r="T17" s="205">
        <f t="shared" si="92"/>
        <v>356.2522594784424</v>
      </c>
      <c r="U17" s="205">
        <f t="shared" si="92"/>
        <v>344.97011583178244</v>
      </c>
      <c r="V17" s="205">
        <f t="shared" si="92"/>
        <v>333.80767927596776</v>
      </c>
      <c r="W17" s="205">
        <f t="shared" si="92"/>
        <v>326.30794866279899</v>
      </c>
      <c r="X17" s="205">
        <f t="shared" si="92"/>
        <v>321.43024337815365</v>
      </c>
      <c r="Y17" s="205">
        <f t="shared" si="92"/>
        <v>318.11332947730165</v>
      </c>
      <c r="Z17" s="205">
        <f t="shared" si="92"/>
        <v>317.2923751843299</v>
      </c>
      <c r="AA17" s="205">
        <f t="shared" si="92"/>
        <v>316.66040691915458</v>
      </c>
      <c r="AB17" s="205">
        <f t="shared" si="92"/>
        <v>310.50804162742168</v>
      </c>
      <c r="AC17" s="205">
        <f t="shared" si="92"/>
        <v>300.44121526989699</v>
      </c>
      <c r="AE17" s="205" t="s">
        <v>415</v>
      </c>
      <c r="AF17" s="205">
        <f>'Bilan 2015'!$S$13*SUM('Bilan 2015'!$G$12:$G$14,'Bilan 2015'!$G$16)/SUM('Bilan 2015'!$G$7:$G$19)</f>
        <v>0.63867895427563881</v>
      </c>
      <c r="AG17" s="205">
        <f>'Bilan 2020'!$S$13*SUM('Bilan 2020'!$G$12:$G$14,'Bilan 2020'!$G$16)/SUM('Bilan 2020'!$G$7:$G$19)</f>
        <v>4.9342958979932492</v>
      </c>
      <c r="AH17" s="205">
        <f>'Bilan 2023'!$S$13*SUM('Bilan 2023'!$G$12:$G$14,'Bilan 2023'!$G$16)/SUM('Bilan 2023'!$G$7:$G$19)</f>
        <v>9.9659337624145721</v>
      </c>
      <c r="AI17" s="205">
        <f>'Bilan 2025'!$S$13*SUM('Bilan 2025'!$G$12:$G$14,'Bilan 2025'!$G$16)/SUM('Bilan 2025'!$G$7:$G$19)</f>
        <v>9.9244961880322116</v>
      </c>
      <c r="AJ17" s="205">
        <f>'Bilan 2028'!$S$13*SUM('Bilan 2028'!$G$12:$G$14,'Bilan 2028'!$G$16)/SUM('Bilan 2028'!$G$7:$G$19)</f>
        <v>11.099379604807165</v>
      </c>
      <c r="AK17" s="205">
        <f>'Bilan 2030'!$S$13*SUM('Bilan 2030'!$G$12:$G$14,'Bilan 2030'!$G$16)/SUM('Bilan 2030'!$G$7:$G$19)</f>
        <v>11.911796565870185</v>
      </c>
      <c r="AL17" s="205">
        <f>'Bilan 2033'!$S$13*SUM('Bilan 2033'!$G$12:$G$14,'Bilan 2033'!$G$16)/SUM('Bilan 2033'!$G$7:$G$19)</f>
        <v>12.577846403331648</v>
      </c>
      <c r="AM17" s="205">
        <f>'Bilan 2035'!$S$13*SUM('Bilan 2035'!$G$12:$G$14,'Bilan 2035'!$G$16)/SUM('Bilan 2035'!$G$7:$G$19)</f>
        <v>13.031577807987137</v>
      </c>
      <c r="AN17" s="205">
        <f>'Bilan 2038'!$S$13*SUM('Bilan 2038'!$G$12:$G$14,'Bilan 2038'!$G$16)/SUM('Bilan 2038'!$G$7:$G$19)</f>
        <v>15.583533164872994</v>
      </c>
      <c r="AO17" s="205">
        <f>'Bilan 2040'!$S$13*SUM('Bilan 2040'!$G$12:$G$14,'Bilan 2040'!$G$16)/SUM('Bilan 2040'!$G$7:$G$19)</f>
        <v>17.347880306926783</v>
      </c>
      <c r="AP17" s="205">
        <f>'Bilan 2045'!$S$13*SUM('Bilan 2045'!$G$12:$G$14,'Bilan 2045'!$G$16)/SUM('Bilan 2045'!$G$7:$G$19)</f>
        <v>18.593158048802927</v>
      </c>
      <c r="AQ17" s="205">
        <f>'Bilan 2050'!$S$13*SUM('Bilan 2050'!$G$12:$G$14,'Bilan 2050'!$G$16)/SUM('Bilan 2050'!$G$7:$G$19)</f>
        <v>19.881539784064241</v>
      </c>
      <c r="AR17" s="206"/>
      <c r="AS17" s="205" t="s">
        <v>415</v>
      </c>
      <c r="AT17" s="205">
        <f>'Bilan 2015'!$S$13*SUM('Bilan 2015'!$G$12:$G$14,'Bilan 2015'!$G$16)/SUM('Bilan 2015'!$G$7:$G$19)</f>
        <v>0.63867895427563881</v>
      </c>
      <c r="AU17" s="205">
        <f>'Bilan 2020'!$S$13*SUM('Bilan 2020'!$G$12:$G$14,'Bilan 2020'!$G$16)/SUM('Bilan 2020'!$G$7:$G$19)</f>
        <v>4.9342958979932492</v>
      </c>
      <c r="AV17" s="205">
        <f>'Bilan 2023'!$S$13*SUM('Bilan 2023'!$G$12:$G$14,'Bilan 2023'!$G$16)/SUM('Bilan 2023'!$G$7:$G$19)</f>
        <v>9.9659337624145721</v>
      </c>
      <c r="AW17" s="205">
        <f>'Bilan 2025'!$S$13*SUM('Bilan 2025'!$G$12:$G$14,'Bilan 2025'!$G$16)/SUM('Bilan 2025'!$G$7:$G$19)</f>
        <v>9.9244961880322116</v>
      </c>
      <c r="AX17" s="205">
        <f>'Bilan 2028'!$S$13*SUM('Bilan 2028'!$G$12:$G$14,'Bilan 2028'!$G$16)/SUM('Bilan 2028'!$G$7:$G$19)</f>
        <v>11.099379604807165</v>
      </c>
      <c r="AY17" s="205">
        <f>'Bilan 2030'!$S$13*SUM('Bilan 2030'!$G$12:$G$14,'Bilan 2030'!$G$16)/SUM('Bilan 2030'!$G$7:$G$19)</f>
        <v>11.911796565870185</v>
      </c>
      <c r="AZ17" s="205">
        <f>'Bilan 2033'!$S$13*SUM('Bilan 2033'!$G$12:$G$14,'Bilan 2033'!$G$16)/SUM('Bilan 2033'!$G$7:$G$19)</f>
        <v>12.577846403331648</v>
      </c>
      <c r="BA17" s="205">
        <f>'Bilan 2035'!$S$13*SUM('Bilan 2035'!$G$12:$G$14,'Bilan 2035'!$G$16)/SUM('Bilan 2035'!$G$7:$G$19)</f>
        <v>13.031577807987137</v>
      </c>
      <c r="BB17" s="205">
        <f>'Bilan 2038'!$S$13*SUM('Bilan 2038'!$G$12:$G$14,'Bilan 2038'!$G$16)/SUM('Bilan 2038'!$G$7:$G$19)</f>
        <v>15.583533164872994</v>
      </c>
      <c r="BC17" s="205">
        <f>'Bilan 2040'!$S$13*SUM('Bilan 2040'!$G$12:$G$14,'Bilan 2040'!$G$16)/SUM('Bilan 2040'!$G$7:$G$19)</f>
        <v>17.347880306926783</v>
      </c>
      <c r="BD17" s="205">
        <f>'Bilan 2045'!$S$13*SUM('Bilan 2045'!$G$12:$G$14,'Bilan 2045'!$G$16)/SUM('Bilan 2045'!$G$7:$G$19)</f>
        <v>18.593158048802927</v>
      </c>
      <c r="BE17" s="205">
        <f>'Bilan 2050'!$S$13*SUM('Bilan 2050'!$G$12:$G$14,'Bilan 2050'!$G$16)/SUM('Bilan 2050'!$G$7:$G$19)</f>
        <v>19.881539784064241</v>
      </c>
      <c r="BF17" s="216"/>
      <c r="BG17" s="205" t="s">
        <v>287</v>
      </c>
      <c r="BH17" s="202">
        <f t="shared" ref="BH17:BS24" si="93">IF(AT19&gt;0,BV17/AT19,0)</f>
        <v>3.6774251198465099E-2</v>
      </c>
      <c r="BI17" s="202">
        <f t="shared" si="93"/>
        <v>2.4320720859512687E-2</v>
      </c>
      <c r="BJ17" s="202">
        <f t="shared" si="93"/>
        <v>2.0686409070139009E-2</v>
      </c>
      <c r="BK17" s="202">
        <f t="shared" si="93"/>
        <v>2.2568669413101108E-2</v>
      </c>
      <c r="BL17" s="202">
        <f t="shared" si="93"/>
        <v>2.2345767195330702E-2</v>
      </c>
      <c r="BM17" s="202">
        <f t="shared" si="93"/>
        <v>2.2230419725424104E-2</v>
      </c>
      <c r="BN17" s="202">
        <f t="shared" si="93"/>
        <v>2.2091558089585274E-2</v>
      </c>
      <c r="BO17" s="202">
        <f t="shared" si="93"/>
        <v>2.2005300339698979E-2</v>
      </c>
      <c r="BP17" s="202">
        <f t="shared" si="93"/>
        <v>2.1615758635112767E-2</v>
      </c>
      <c r="BQ17" s="202">
        <f t="shared" si="93"/>
        <v>2.1362908463975722E-2</v>
      </c>
      <c r="BR17" s="202">
        <f t="shared" si="93"/>
        <v>2.1050971471242876E-2</v>
      </c>
      <c r="BS17" s="202">
        <f t="shared" si="93"/>
        <v>2.1030783170157122E-2</v>
      </c>
      <c r="BU17" s="205" t="s">
        <v>287</v>
      </c>
      <c r="BV17" s="208">
        <f>'Bilan 2015'!$E$24+'Bilan 2015'!$E32+'Bilan 2015'!$E$45</f>
        <v>1.0847899421026994</v>
      </c>
      <c r="BW17" s="208">
        <f>'Bilan 2020'!$E$24+'Bilan 2020'!$E32+'Bilan 2020'!$E$45</f>
        <v>8.2092462988006289</v>
      </c>
      <c r="BX17" s="208">
        <f>'Bilan 2023'!$E$24+'Bilan 2023'!$E32+'Bilan 2023'!$E$45</f>
        <v>7.1018948222162566</v>
      </c>
      <c r="BY17" s="208">
        <f>'Bilan 2025'!$E$24+'Bilan 2025'!$E32+'Bilan 2025'!$E$45</f>
        <v>7.4859299759319127</v>
      </c>
      <c r="BZ17" s="208">
        <f>'Bilan 2028'!$E$24+'Bilan 2028'!$E32+'Bilan 2028'!$E$45</f>
        <v>7.1664164244161874</v>
      </c>
      <c r="CA17" s="208">
        <f>'Bilan 2030'!$E$24+'Bilan 2030'!$E32+'Bilan 2030'!$E$45</f>
        <v>6.9657614620698212</v>
      </c>
      <c r="CB17" s="208">
        <f>'Bilan 2033'!$E$24+'Bilan 2033'!$E32+'Bilan 2033'!$E$45</f>
        <v>6.7896404084181361</v>
      </c>
      <c r="CC17" s="208">
        <f>'Bilan 2035'!$E$24+'Bilan 2035'!$E32+'Bilan 2035'!$E$45</f>
        <v>6.6734488240254057</v>
      </c>
      <c r="CD17" s="208">
        <f>'Bilan 2038'!$E$24+'Bilan 2038'!$E32+'Bilan 2038'!$E$45</f>
        <v>6.5088077297954356</v>
      </c>
      <c r="CE17" s="208">
        <f>'Bilan 2040'!$E$24+'Bilan 2040'!$E32+'Bilan 2040'!$E$45</f>
        <v>6.3999099790092595</v>
      </c>
      <c r="CF17" s="208">
        <f>'Bilan 2045'!$E$24+'Bilan 2045'!$E32+'Bilan 2045'!$E$45</f>
        <v>6.1348448097031962</v>
      </c>
      <c r="CG17" s="208">
        <f>'Bilan 2050'!$E$24+'Bilan 2050'!$E32+'Bilan 2050'!$E$45</f>
        <v>5.8786219759250624</v>
      </c>
      <c r="CH17" s="206"/>
      <c r="CJ17" s="205" t="s">
        <v>287</v>
      </c>
      <c r="CK17" s="202">
        <f t="shared" ref="CK17:CV24" si="94">IF(AT19&gt;0,DA17/AT19,0)</f>
        <v>1.9293672465713421E-2</v>
      </c>
      <c r="CL17" s="202">
        <f t="shared" si="94"/>
        <v>1.5794460421868807E-2</v>
      </c>
      <c r="CM17" s="202">
        <f t="shared" si="94"/>
        <v>1.5831984467440382E-2</v>
      </c>
      <c r="CN17" s="202">
        <f t="shared" si="94"/>
        <v>1.5898785809471249E-2</v>
      </c>
      <c r="CO17" s="202">
        <f t="shared" si="94"/>
        <v>1.5879927562746945E-2</v>
      </c>
      <c r="CP17" s="202">
        <f t="shared" si="94"/>
        <v>1.5869971837507355E-2</v>
      </c>
      <c r="CQ17" s="202">
        <f t="shared" si="94"/>
        <v>1.5942110954398424E-2</v>
      </c>
      <c r="CR17" s="202">
        <f t="shared" si="94"/>
        <v>1.599351437392349E-2</v>
      </c>
      <c r="CS17" s="202">
        <f t="shared" si="94"/>
        <v>1.6046375752067778E-2</v>
      </c>
      <c r="CT17" s="202">
        <f t="shared" si="94"/>
        <v>1.6084183269657486E-2</v>
      </c>
      <c r="CU17" s="202">
        <f t="shared" si="94"/>
        <v>1.6248092703111922E-2</v>
      </c>
      <c r="CV17" s="202">
        <f t="shared" si="94"/>
        <v>1.7779189290055189E-2</v>
      </c>
      <c r="CW17" s="206"/>
      <c r="CX17" s="193">
        <v>2401</v>
      </c>
      <c r="CY17" s="205" t="s">
        <v>287</v>
      </c>
      <c r="CZ17" s="207" t="s">
        <v>281</v>
      </c>
      <c r="DA17" s="202">
        <f>'Bilan 2015'!$K$24+'Bilan 2015'!$K$30*'Bilan 2015'!$G$32/'Bilan 2015'!$H$30</f>
        <v>0.56913685948561954</v>
      </c>
      <c r="DB17" s="202">
        <f>'Bilan 2020'!$K$24+'Bilan 2020'!$K$30*'Bilan 2020'!$G$32/'Bilan 2020'!$H$30</f>
        <v>5.3312817703371946</v>
      </c>
      <c r="DC17" s="202">
        <f>'Bilan 2023'!$K$24+'Bilan 2023'!$K$30*'Bilan 2023'!$G$32/'Bilan 2023'!$H$30</f>
        <v>5.4353120511876014</v>
      </c>
      <c r="DD17" s="202">
        <f>'Bilan 2025'!$K$24+'Bilan 2025'!$K$30*'Bilan 2025'!$G$32/'Bilan 2025'!$H$30</f>
        <v>5.2735584492611807</v>
      </c>
      <c r="DE17" s="202">
        <f>'Bilan 2028'!$K$24+'Bilan 2028'!$K$30*'Bilan 2028'!$G$32/'Bilan 2028'!$H$30</f>
        <v>5.0927843608783663</v>
      </c>
      <c r="DF17" s="202">
        <f>'Bilan 2030'!$K$24+'Bilan 2030'!$K$30*'Bilan 2030'!$G$32/'Bilan 2030'!$H$30</f>
        <v>4.9727553323437377</v>
      </c>
      <c r="DG17" s="202">
        <f>'Bilan 2033'!$K$24+'Bilan 2033'!$K$30*'Bilan 2033'!$G$32/'Bilan 2033'!$H$30</f>
        <v>4.8996634955547842</v>
      </c>
      <c r="DH17" s="202">
        <f>'Bilan 2035'!$K$24+'Bilan 2035'!$K$30*'Bilan 2035'!$G$32/'Bilan 2035'!$H$30</f>
        <v>4.8502814341571119</v>
      </c>
      <c r="DI17" s="202">
        <f>'Bilan 2038'!$K$24+'Bilan 2038'!$K$30*'Bilan 2038'!$G$32/'Bilan 2038'!$H$30</f>
        <v>4.8317885249053134</v>
      </c>
      <c r="DJ17" s="202">
        <f>'Bilan 2040'!$K$24+'Bilan 2040'!$K$30*'Bilan 2040'!$G$32/'Bilan 2040'!$H$30</f>
        <v>4.8185070485733696</v>
      </c>
      <c r="DK17" s="202">
        <f>'Bilan 2045'!$K$24+'Bilan 2045'!$K$30*'Bilan 2045'!$G$32/'Bilan 2045'!$H$30</f>
        <v>4.7351509322708392</v>
      </c>
      <c r="DL17" s="202">
        <f>'Bilan 2050'!$K$24+'Bilan 2050'!$K$30*'Bilan 2050'!$G$32/'Bilan 2050'!$H$30</f>
        <v>4.9697213855050695</v>
      </c>
    </row>
    <row r="18" spans="1:116" ht="14.5">
      <c r="A18" s="203" t="s">
        <v>418</v>
      </c>
      <c r="B18" s="204">
        <f>'Bilan 2015'!$C8</f>
        <v>3.2925160422071951</v>
      </c>
      <c r="C18" s="204">
        <f>'Bilan 2020'!$C8</f>
        <v>53.084236018684109</v>
      </c>
      <c r="D18" s="204">
        <f>'Bilan 2023'!$C8*(1-SUM('Bilan 2023'!$M$13:$P$13)/'Bilan 2023'!$D$13)</f>
        <v>61.972777352920005</v>
      </c>
      <c r="E18" s="204">
        <f>'Bilan 2025'!$C8</f>
        <v>61.993288439080395</v>
      </c>
      <c r="F18" s="204">
        <f>'Bilan 2028'!$C8*(1-SUM('Bilan 2028'!$M$13:$P$13)/'Bilan 2028'!$D$13)</f>
        <v>61.919208531583756</v>
      </c>
      <c r="G18" s="204">
        <f>'Bilan 2030'!$C8*(1-SUM('Bilan 2030'!$M$13:$P$13)/'Bilan 2030'!$D$13)</f>
        <v>61.893597111644702</v>
      </c>
      <c r="H18" s="204">
        <f>'Bilan 2033'!$C8*(1-SUM('Bilan 2033'!$M$13:$P$13)/'Bilan 2033'!$D$13)</f>
        <v>61.80749430714755</v>
      </c>
      <c r="I18" s="204">
        <f>'Bilan 2035'!$C8*(1-SUM('Bilan 2035'!$M$13:$P$13)/'Bilan 2035'!$D$13)</f>
        <v>61.759486449947339</v>
      </c>
      <c r="J18" s="204">
        <f>'Bilan 2038'!$C8*(1-SUM('Bilan 2038'!$M$13:$P$13)/'Bilan 2038'!$D$13)</f>
        <v>61.697322377997146</v>
      </c>
      <c r="K18" s="204">
        <f>'Bilan 2040'!$C8*(1-SUM('Bilan 2040'!$M$13:$P$13)/'Bilan 2040'!$D$13)</f>
        <v>61.660801681089012</v>
      </c>
      <c r="L18" s="204">
        <f>'Bilan 2045'!$C8*(1-SUM('Bilan 2045'!$M$13:$P$13)/'Bilan 2045'!$D$13)</f>
        <v>61.580250508614959</v>
      </c>
      <c r="M18" s="204">
        <f>'Bilan 2050'!$C8*(1-SUM('Bilan 2050'!$M$13:$P$13)/'Bilan 2050'!$D$13)</f>
        <v>61.538698668143525</v>
      </c>
      <c r="N18" s="577"/>
      <c r="O18" s="577"/>
      <c r="P18" s="577"/>
      <c r="Q18" s="572" t="s">
        <v>289</v>
      </c>
      <c r="R18" s="205">
        <f t="shared" si="92"/>
        <v>7.8694706570935882</v>
      </c>
      <c r="S18" s="205">
        <f t="shared" si="92"/>
        <v>97.138025953204789</v>
      </c>
      <c r="T18" s="205">
        <f t="shared" si="92"/>
        <v>110.69785883764862</v>
      </c>
      <c r="U18" s="205">
        <f t="shared" si="92"/>
        <v>109.80664278142234</v>
      </c>
      <c r="V18" s="205">
        <f t="shared" si="92"/>
        <v>113.30875869375242</v>
      </c>
      <c r="W18" s="205">
        <f t="shared" si="92"/>
        <v>115.72179510623764</v>
      </c>
      <c r="X18" s="205">
        <f t="shared" si="92"/>
        <v>121.08053924255684</v>
      </c>
      <c r="Y18" s="205">
        <f t="shared" si="92"/>
        <v>124.68576776701413</v>
      </c>
      <c r="Z18" s="205">
        <f t="shared" si="92"/>
        <v>126.23713879912077</v>
      </c>
      <c r="AA18" s="205">
        <f t="shared" si="92"/>
        <v>127.24134355549103</v>
      </c>
      <c r="AB18" s="205">
        <f t="shared" si="92"/>
        <v>130.2442441029867</v>
      </c>
      <c r="AC18" s="205">
        <f t="shared" si="92"/>
        <v>129.09580912204305</v>
      </c>
      <c r="AD18" s="193">
        <v>2401</v>
      </c>
      <c r="AE18" s="201" t="s">
        <v>285</v>
      </c>
      <c r="AF18" s="201">
        <f t="shared" ref="AF18" si="95">SUM(AF19:AF26)</f>
        <v>41.064079537483643</v>
      </c>
      <c r="AG18" s="201">
        <f t="shared" ref="AG18:AQ18" si="96">SUM(AG19:AG26)</f>
        <v>481.13876802837638</v>
      </c>
      <c r="AH18" s="201">
        <f t="shared" si="96"/>
        <v>496.43711176464859</v>
      </c>
      <c r="AI18" s="201">
        <f t="shared" si="96"/>
        <v>489.08359605940183</v>
      </c>
      <c r="AJ18" s="201">
        <f t="shared" si="96"/>
        <v>487.99392580157837</v>
      </c>
      <c r="AK18" s="201">
        <f t="shared" si="96"/>
        <v>487.48754035990936</v>
      </c>
      <c r="AL18" s="201">
        <f t="shared" si="96"/>
        <v>492.20904537032573</v>
      </c>
      <c r="AM18" s="201">
        <f t="shared" si="96"/>
        <v>495.47068860876499</v>
      </c>
      <c r="AN18" s="201">
        <f t="shared" si="96"/>
        <v>498.49241777711057</v>
      </c>
      <c r="AO18" s="201">
        <f t="shared" si="96"/>
        <v>500.44506521008469</v>
      </c>
      <c r="AP18" s="201">
        <f t="shared" si="96"/>
        <v>501.13430337421448</v>
      </c>
      <c r="AQ18" s="201">
        <f t="shared" si="96"/>
        <v>495.56377313781638</v>
      </c>
      <c r="AR18" s="206"/>
      <c r="AS18" s="201" t="s">
        <v>285</v>
      </c>
      <c r="AT18" s="201">
        <f t="shared" ref="AT18" si="97">SUM(AT19:AT26)</f>
        <v>42.175665778808366</v>
      </c>
      <c r="AU18" s="201">
        <f t="shared" ref="AU18:BE18" si="98">SUM(AU19:AU26)</f>
        <v>493.17670452837638</v>
      </c>
      <c r="AV18" s="201">
        <f t="shared" si="98"/>
        <v>508.45967357687584</v>
      </c>
      <c r="AW18" s="201">
        <f t="shared" si="98"/>
        <v>501.63222910086165</v>
      </c>
      <c r="AX18" s="201">
        <f t="shared" si="98"/>
        <v>500.46766711038003</v>
      </c>
      <c r="AY18" s="201">
        <f t="shared" si="98"/>
        <v>499.90883353371049</v>
      </c>
      <c r="AZ18" s="201">
        <f t="shared" si="98"/>
        <v>504.92504189676447</v>
      </c>
      <c r="BA18" s="201">
        <f t="shared" si="98"/>
        <v>508.38389289265581</v>
      </c>
      <c r="BB18" s="201">
        <f t="shared" si="98"/>
        <v>511.81188725107904</v>
      </c>
      <c r="BC18" s="201">
        <f t="shared" si="98"/>
        <v>514.03483841269031</v>
      </c>
      <c r="BD18" s="201">
        <f t="shared" si="98"/>
        <v>515.48008568211446</v>
      </c>
      <c r="BE18" s="201">
        <f t="shared" si="98"/>
        <v>510.68616217710655</v>
      </c>
      <c r="BF18" s="216"/>
      <c r="BG18" s="205" t="s">
        <v>289</v>
      </c>
      <c r="BH18" s="202">
        <f t="shared" si="93"/>
        <v>1.0432584346731961E-2</v>
      </c>
      <c r="BI18" s="202">
        <f t="shared" si="93"/>
        <v>9.41408203208015E-3</v>
      </c>
      <c r="BJ18" s="202">
        <f t="shared" si="93"/>
        <v>1.5569745103317073E-2</v>
      </c>
      <c r="BK18" s="202">
        <f t="shared" si="93"/>
        <v>1.4722925292896654E-2</v>
      </c>
      <c r="BL18" s="202">
        <f t="shared" si="93"/>
        <v>1.265544048734143E-2</v>
      </c>
      <c r="BM18" s="202">
        <f t="shared" si="93"/>
        <v>1.1443509327589337E-2</v>
      </c>
      <c r="BN18" s="202">
        <f t="shared" si="93"/>
        <v>1.0421946031223882E-2</v>
      </c>
      <c r="BO18" s="202">
        <f t="shared" si="93"/>
        <v>9.8020495486624594E-3</v>
      </c>
      <c r="BP18" s="202">
        <f t="shared" si="93"/>
        <v>9.2885187416383783E-3</v>
      </c>
      <c r="BQ18" s="202">
        <f t="shared" si="93"/>
        <v>8.9655819869113029E-3</v>
      </c>
      <c r="BR18" s="202">
        <f t="shared" si="93"/>
        <v>8.2080905484676042E-3</v>
      </c>
      <c r="BS18" s="202">
        <f t="shared" si="93"/>
        <v>7.8042228755535892E-3</v>
      </c>
      <c r="BU18" s="205" t="s">
        <v>289</v>
      </c>
      <c r="BV18" s="208">
        <f>'Bilan 2015'!$E29+'Bilan 2015'!$E37</f>
        <v>8.0621810108600936E-2</v>
      </c>
      <c r="BW18" s="208">
        <f>'Bilan 2020'!$E29+'Bilan 2020'!$E37</f>
        <v>0.90061888417915248</v>
      </c>
      <c r="BX18" s="208">
        <f>'Bilan 2023'!$E29+'Bilan 2023'!$E37</f>
        <v>1.6821987794597624</v>
      </c>
      <c r="BY18" s="208">
        <f>'Bilan 2025'!$E29+'Bilan 2025'!$E37</f>
        <v>1.5792252437217602</v>
      </c>
      <c r="BZ18" s="208">
        <f>'Bilan 2028'!$E29+'Bilan 2028'!$E37</f>
        <v>1.4044978440875822</v>
      </c>
      <c r="CA18" s="208">
        <f>'Bilan 2030'!$E29+'Bilan 2030'!$E37</f>
        <v>1.2991005570528098</v>
      </c>
      <c r="CB18" s="208">
        <f>'Bilan 2033'!$E29+'Bilan 2033'!$E37</f>
        <v>1.2397870500276726</v>
      </c>
      <c r="CC18" s="208">
        <f>'Bilan 2035'!$E29+'Bilan 2035'!$E37</f>
        <v>1.2018715093685974</v>
      </c>
      <c r="CD18" s="208">
        <f>'Bilan 2038'!$E29+'Bilan 2038'!$E37</f>
        <v>1.1538653302073587</v>
      </c>
      <c r="CE18" s="208">
        <f>'Bilan 2040'!$E29+'Bilan 2040'!$E37</f>
        <v>1.1230934186793133</v>
      </c>
      <c r="CF18" s="208">
        <f>'Bilan 2045'!$E29+'Bilan 2045'!$E37</f>
        <v>1.0535424298458778</v>
      </c>
      <c r="CG18" s="208">
        <f>'Bilan 2050'!$E29+'Bilan 2050'!$E37</f>
        <v>0.99328731755245103</v>
      </c>
      <c r="CH18" s="206"/>
      <c r="CJ18" s="205" t="s">
        <v>289</v>
      </c>
      <c r="CK18" s="202">
        <f t="shared" si="94"/>
        <v>7.8888386487377411E-3</v>
      </c>
      <c r="CL18" s="202">
        <f t="shared" si="94"/>
        <v>5.9603019852703353E-3</v>
      </c>
      <c r="CM18" s="202">
        <f t="shared" si="94"/>
        <v>9.0044411522916864E-3</v>
      </c>
      <c r="CN18" s="202">
        <f t="shared" si="94"/>
        <v>8.9753186111836986E-3</v>
      </c>
      <c r="CO18" s="202">
        <f t="shared" si="94"/>
        <v>8.3302864611255328E-3</v>
      </c>
      <c r="CP18" s="202">
        <f t="shared" si="94"/>
        <v>7.9259571191715138E-3</v>
      </c>
      <c r="CQ18" s="202">
        <f t="shared" si="94"/>
        <v>7.4099835644648457E-3</v>
      </c>
      <c r="CR18" s="202">
        <f t="shared" si="94"/>
        <v>7.0920727750813841E-3</v>
      </c>
      <c r="CS18" s="202">
        <f t="shared" si="94"/>
        <v>6.9098182130917776E-3</v>
      </c>
      <c r="CT18" s="202">
        <f t="shared" si="94"/>
        <v>6.7938186095260001E-3</v>
      </c>
      <c r="CU18" s="202">
        <f t="shared" si="94"/>
        <v>6.5175804151824815E-3</v>
      </c>
      <c r="CV18" s="202">
        <f t="shared" si="94"/>
        <v>6.4969253268615827E-3</v>
      </c>
      <c r="CW18" s="206"/>
      <c r="CX18" s="193">
        <f>CX17+1</f>
        <v>2402</v>
      </c>
      <c r="CY18" s="205" t="s">
        <v>289</v>
      </c>
      <c r="CZ18" s="207" t="s">
        <v>284</v>
      </c>
      <c r="DA18" s="202">
        <f>'Bilan 2015'!$K$30*'Bilan 2015'!$G$29/'Bilan 2015'!$H$30</f>
        <v>6.096403636699655E-2</v>
      </c>
      <c r="DB18" s="202">
        <f>'Bilan 2020'!$K$30*'Bilan 2020'!$G$29/'Bilan 2020'!$H$30</f>
        <v>0.57020541196185481</v>
      </c>
      <c r="DC18" s="202">
        <f>'Bilan 2023'!$K$30*'Bilan 2023'!$G$29/'Bilan 2023'!$H$30</f>
        <v>0.97286499011954075</v>
      </c>
      <c r="DD18" s="202">
        <f>'Bilan 2025'!$K$30*'Bilan 2025'!$G$29/'Bilan 2025'!$H$30</f>
        <v>0.96271966604799375</v>
      </c>
      <c r="DE18" s="202">
        <f>'Bilan 2028'!$K$30*'Bilan 2028'!$G$29/'Bilan 2028'!$H$30</f>
        <v>0.92449325544895478</v>
      </c>
      <c r="DF18" s="202">
        <f>'Bilan 2030'!$K$30*'Bilan 2030'!$G$29/'Bilan 2030'!$H$30</f>
        <v>0.89977777043167384</v>
      </c>
      <c r="DG18" s="202">
        <f>'Bilan 2033'!$K$30*'Bilan 2033'!$G$29/'Bilan 2033'!$H$30</f>
        <v>0.88148620580244696</v>
      </c>
      <c r="DH18" s="202">
        <f>'Bilan 2035'!$K$30*'Bilan 2035'!$G$29/'Bilan 2035'!$H$30</f>
        <v>0.86958958618017923</v>
      </c>
      <c r="DI18" s="202">
        <f>'Bilan 2038'!$K$30*'Bilan 2038'!$G$29/'Bilan 2038'!$H$30</f>
        <v>0.85837149021197201</v>
      </c>
      <c r="DJ18" s="202">
        <f>'Bilan 2040'!$K$30*'Bilan 2040'!$G$29/'Bilan 2040'!$H$30</f>
        <v>0.85104268514846382</v>
      </c>
      <c r="DK18" s="202">
        <f>'Bilan 2045'!$K$30*'Bilan 2045'!$G$29/'Bilan 2045'!$H$30</f>
        <v>0.83655845007816043</v>
      </c>
      <c r="DL18" s="202">
        <f>'Bilan 2050'!$K$30*'Bilan 2050'!$G$29/'Bilan 2050'!$H$30</f>
        <v>0.82690020943298082</v>
      </c>
    </row>
    <row r="19" spans="1:116" ht="14.5">
      <c r="A19" s="203" t="s">
        <v>411</v>
      </c>
      <c r="B19" s="204">
        <f>'Bilan 2015'!$C$12+'Bilan 2015'!$C$13+'Bilan 2015'!$C$14+'Bilan 2015'!$C$16</f>
        <v>3.6287762645224984</v>
      </c>
      <c r="C19" s="204">
        <f>'Bilan 2020'!$C$12+'Bilan 2020'!$C$13+'Bilan 2020'!$C$14+'Bilan 2020'!$C$16</f>
        <v>26.9657497815802</v>
      </c>
      <c r="D19" s="204">
        <f>('Bilan 2023'!$C$12+'Bilan 2023'!$C$13+'Bilan 2023'!$C$14+'Bilan 2023'!$C$16)*(1-SUM('Bilan 2023'!$M$13:$P$13)/'Bilan 2023'!$D$13)</f>
        <v>47.118857341405615</v>
      </c>
      <c r="E19" s="204">
        <f>'Bilan 2025'!$C$12+'Bilan 2025'!$C$13+'Bilan 2025'!$C$14+'Bilan 2025'!$C$16</f>
        <v>47.233969434117441</v>
      </c>
      <c r="F19" s="204">
        <f>('Bilan 2028'!$C$12+'Bilan 2028'!$C$13+'Bilan 2028'!$C$14+'Bilan 2028'!$C$16)*(1-SUM('Bilan 2028'!$M$13:$P$13)/'Bilan 2028'!$D$13)</f>
        <v>45.59549467890993</v>
      </c>
      <c r="G19" s="204">
        <f>('Bilan 2030'!$C$12+'Bilan 2030'!$C$13+'Bilan 2030'!$C$14+'Bilan 2030'!$C$16)*(1-SUM('Bilan 2030'!$M$13:$P$13)/'Bilan 2030'!$D$13)</f>
        <v>44.712404435331194</v>
      </c>
      <c r="H19" s="204">
        <f>('Bilan 2033'!$C$12+'Bilan 2033'!$C$13+'Bilan 2033'!$C$14+'Bilan 2033'!$C$16)*(1-SUM('Bilan 2033'!$M$13:$P$13)/'Bilan 2033'!$D$13)</f>
        <v>43.901828784187387</v>
      </c>
      <c r="I19" s="204">
        <f>('Bilan 2035'!$C$12+'Bilan 2035'!$C$13+'Bilan 2035'!$C$14+'Bilan 2035'!$C$16)*(1-SUM('Bilan 2035'!$M$13:$P$13)/'Bilan 2035'!$D$13)</f>
        <v>43.428380774930361</v>
      </c>
      <c r="J19" s="204">
        <f>('Bilan 2038'!$C$12+'Bilan 2038'!$C$13+'Bilan 2038'!$C$14+'Bilan 2038'!$C$16)*(1-SUM('Bilan 2038'!$M$13:$P$13)/'Bilan 2038'!$D$13)</f>
        <v>45.206779021639726</v>
      </c>
      <c r="K19" s="204">
        <f>('Bilan 2040'!$C$12+'Bilan 2040'!$C$13+'Bilan 2040'!$C$14+'Bilan 2040'!$C$16)*(1-SUM('Bilan 2040'!$M$13:$P$13)/'Bilan 2040'!$D$13)</f>
        <v>46.446688532117498</v>
      </c>
      <c r="L19" s="204">
        <f>('Bilan 2045'!$C$12+'Bilan 2045'!$C$13+'Bilan 2045'!$C$14+'Bilan 2045'!$C$16)*(1-SUM('Bilan 2045'!$M$13:$P$13)/'Bilan 2045'!$D$13)</f>
        <v>45.905763464369031</v>
      </c>
      <c r="M19" s="204">
        <f>('Bilan 2050'!$C$12+'Bilan 2050'!$C$13+'Bilan 2050'!$C$14+'Bilan 2050'!$C$16)*(1-SUM('Bilan 2050'!$M$13:$P$13)/'Bilan 2050'!$D$13)</f>
        <v>45.936073650339779</v>
      </c>
      <c r="Q19" s="205" t="s">
        <v>457</v>
      </c>
      <c r="R19" s="205">
        <f t="shared" si="92"/>
        <v>0.22730793045572523</v>
      </c>
      <c r="S19" s="205">
        <f t="shared" si="92"/>
        <v>5.9336589388889092</v>
      </c>
      <c r="T19" s="205">
        <f t="shared" si="92"/>
        <v>5.0292351373860864</v>
      </c>
      <c r="U19" s="205">
        <f t="shared" si="92"/>
        <v>7.7668115281105008</v>
      </c>
      <c r="V19" s="205">
        <f t="shared" si="92"/>
        <v>7.4175145777894995</v>
      </c>
      <c r="W19" s="205">
        <f t="shared" si="92"/>
        <v>7.4282619819136393</v>
      </c>
      <c r="X19" s="205">
        <f t="shared" si="92"/>
        <v>7.1795682689349354</v>
      </c>
      <c r="Y19" s="205">
        <f t="shared" si="92"/>
        <v>7.0158884992939017</v>
      </c>
      <c r="Z19" s="205">
        <f t="shared" si="92"/>
        <v>6.8649000689318385</v>
      </c>
      <c r="AA19" s="205">
        <f t="shared" si="92"/>
        <v>6.7643230773203076</v>
      </c>
      <c r="AB19" s="205">
        <f t="shared" si="92"/>
        <v>6.4235437704079406</v>
      </c>
      <c r="AC19" s="205">
        <f t="shared" si="92"/>
        <v>6.0528603459678774</v>
      </c>
      <c r="AD19" s="193">
        <f>AD18+1</f>
        <v>2402</v>
      </c>
      <c r="AE19" s="205" t="s">
        <v>287</v>
      </c>
      <c r="AF19" s="205">
        <f>'Bilan 2015'!$G$24-SUM('Bilan 2015'!$K$24:$P$24)+'Bilan 2015'!$G$32*(1-SUM('Bilan 2015'!$K$30:$P$30)/'Bilan 2015'!$H$30)+'Bilan 2015'!$G$45-'Bilan 2015'!$E$53</f>
        <v>28.397041378534922</v>
      </c>
      <c r="AG19" s="205">
        <f>'Bilan 2020'!$G$24-SUM('Bilan 2020'!$K$24:$P$24)+'Bilan 2020'!$G$32*(1-SUM('Bilan 2020'!$K$30:$P$30)/'Bilan 2020'!$H$30)+'Bilan 2020'!$G$45-'Bilan 2020'!$E$53</f>
        <v>325.51330441226122</v>
      </c>
      <c r="AH19" s="205">
        <f>'Bilan 2023'!$G$24-SUM('Bilan 2023'!$K$24:$P$24)+'Bilan 2023'!$G$32*(1-SUM('Bilan 2023'!$K$30:$P$30)/'Bilan 2023'!$H$30)+'Bilan 2023'!$G$45-'Bilan 2023'!$E$53</f>
        <v>331.29955186282797</v>
      </c>
      <c r="AI19" s="205">
        <f>'Bilan 2025'!$G$24-SUM('Bilan 2025'!$K$24:$P$24)+'Bilan 2025'!$G$32*(1-SUM('Bilan 2025'!$K$30:$P$30)/'Bilan 2025'!$H$30)+'Bilan 2025'!$G$45-'Bilan 2025'!$E$53</f>
        <v>319.15703934879332</v>
      </c>
      <c r="AJ19" s="205">
        <f>'Bilan 2028'!$G$24-SUM('Bilan 2028'!$K$24:$P$24)+'Bilan 2028'!$G$32*(1-SUM('Bilan 2028'!$K$30:$P$30)/'Bilan 2028'!$H$30)+'Bilan 2028'!$G$45-'Bilan 2028'!$E$53</f>
        <v>308.24202644454977</v>
      </c>
      <c r="AK19" s="205">
        <f>'Bilan 2030'!$G$24-SUM('Bilan 2030'!$K$24:$P$24)+'Bilan 2030'!$G$32*(1-SUM('Bilan 2030'!$K$30:$P$30)/'Bilan 2030'!$H$30)+'Bilan 2030'!$G$45-'Bilan 2030'!$E$53</f>
        <v>300.93238400847622</v>
      </c>
      <c r="AL19" s="205">
        <f>'Bilan 2033'!$G$24-SUM('Bilan 2033'!$K$24:$P$24)+'Bilan 2033'!$G$32*(1-SUM('Bilan 2033'!$K$30:$P$30)/'Bilan 2033'!$H$30)+'Bilan 2033'!$G$45-'Bilan 2033'!$E$53</f>
        <v>295.15560245950536</v>
      </c>
      <c r="AM19" s="205">
        <f>'Bilan 2035'!$G$24-SUM('Bilan 2035'!$K$24:$P$24)+'Bilan 2035'!$G$32*(1-SUM('Bilan 2035'!$K$30:$P$30)/'Bilan 2035'!$H$30)+'Bilan 2035'!$G$45-'Bilan 2035'!$E$53</f>
        <v>291.23680444735498</v>
      </c>
      <c r="AN19" s="205">
        <f>'Bilan 2038'!$G$24-SUM('Bilan 2038'!$K$24:$P$24)+'Bilan 2038'!$G$32*(1-SUM('Bilan 2038'!$K$30:$P$30)/'Bilan 2038'!$H$30)+'Bilan 2038'!$G$45-'Bilan 2038'!$E$53</f>
        <v>289.23530810900428</v>
      </c>
      <c r="AO19" s="205">
        <f>'Bilan 2040'!$G$24-SUM('Bilan 2040'!$K$24:$P$24)+'Bilan 2040'!$G$32*(1-SUM('Bilan 2040'!$K$30:$P$30)/'Bilan 2040'!$H$30)+'Bilan 2040'!$G$45-'Bilan 2040'!$E$53</f>
        <v>287.81428577929842</v>
      </c>
      <c r="AP19" s="205">
        <f>'Bilan 2045'!$G$24-SUM('Bilan 2045'!$K$24:$P$24)+'Bilan 2045'!$G$32*(1-SUM('Bilan 2045'!$K$30:$P$30)/'Bilan 2045'!$H$30)+'Bilan 2045'!$G$45-'Bilan 2045'!$E$53</f>
        <v>279.9224475503824</v>
      </c>
      <c r="AQ19" s="205">
        <f>'Bilan 2050'!$G$24-SUM('Bilan 2050'!$K$24:$P$24)+'Bilan 2050'!$G$32*(1-SUM('Bilan 2050'!$K$30:$P$30)/'Bilan 2050'!$H$30)+'Bilan 2050'!$G$45-'Bilan 2050'!$E$53</f>
        <v>268.32768009248684</v>
      </c>
      <c r="AR19" s="206"/>
      <c r="AS19" s="205" t="s">
        <v>287</v>
      </c>
      <c r="AT19" s="205">
        <f>'Bilan 2015'!$G$24-SUM('Bilan 2015'!$K$24:$P$24)+'Bilan 2015'!$G$32*(1-SUM('Bilan 2015'!$K$30:$P$30)/'Bilan 2015'!$H$30)+'Bilan 2015'!$G$45</f>
        <v>29.498627619859651</v>
      </c>
      <c r="AU19" s="205">
        <f>'Bilan 2020'!$G$24-SUM('Bilan 2020'!$K$24:$P$24)+'Bilan 2020'!$G$32*(1-SUM('Bilan 2020'!$K$30:$P$30)/'Bilan 2020'!$H$30)+'Bilan 2020'!$G$45</f>
        <v>337.54124091226123</v>
      </c>
      <c r="AV19" s="205">
        <f>'Bilan 2023'!$G$24-SUM('Bilan 2023'!$K$24:$P$24)+'Bilan 2023'!$G$32*(1-SUM('Bilan 2023'!$K$30:$P$30)/'Bilan 2023'!$H$30)+'Bilan 2023'!$G$45</f>
        <v>343.31211367505523</v>
      </c>
      <c r="AW19" s="205">
        <f>'Bilan 2025'!$G$24-SUM('Bilan 2025'!$K$24:$P$24)+'Bilan 2025'!$G$32*(1-SUM('Bilan 2025'!$K$30:$P$30)/'Bilan 2025'!$H$30)+'Bilan 2025'!$G$45</f>
        <v>331.69567239025315</v>
      </c>
      <c r="AX19" s="205">
        <f>'Bilan 2028'!$G$24-SUM('Bilan 2028'!$K$24:$P$24)+'Bilan 2028'!$G$32*(1-SUM('Bilan 2028'!$K$30:$P$30)/'Bilan 2028'!$H$30)+'Bilan 2028'!$G$45</f>
        <v>320.70576775335144</v>
      </c>
      <c r="AY19" s="205">
        <f>'Bilan 2030'!$G$24-SUM('Bilan 2030'!$K$24:$P$24)+'Bilan 2030'!$G$32*(1-SUM('Bilan 2030'!$K$30:$P$30)/'Bilan 2030'!$H$30)+'Bilan 2030'!$G$45</f>
        <v>313.34367718227736</v>
      </c>
      <c r="AZ19" s="205">
        <f>'Bilan 2033'!$G$24-SUM('Bilan 2033'!$K$24:$P$24)+'Bilan 2033'!$G$32*(1-SUM('Bilan 2033'!$K$30:$P$30)/'Bilan 2033'!$H$30)+'Bilan 2033'!$G$45</f>
        <v>307.34094810718705</v>
      </c>
      <c r="BA19" s="205">
        <f>'Bilan 2035'!$G$24-SUM('Bilan 2035'!$K$24:$P$24)+'Bilan 2035'!$G$32*(1-SUM('Bilan 2035'!$K$30:$P$30)/'Bilan 2035'!$H$30)+'Bilan 2035'!$G$45</f>
        <v>303.26551880712458</v>
      </c>
      <c r="BB19" s="205">
        <f>'Bilan 2038'!$G$24-SUM('Bilan 2038'!$K$24:$P$24)+'Bilan 2038'!$G$32*(1-SUM('Bilan 2038'!$K$30:$P$30)/'Bilan 2038'!$H$30)+'Bilan 2038'!$G$45</f>
        <v>301.11400851888169</v>
      </c>
      <c r="BC19" s="205">
        <f>'Bilan 2040'!$G$24-SUM('Bilan 2040'!$K$24:$P$24)+'Bilan 2040'!$G$32*(1-SUM('Bilan 2040'!$K$30:$P$30)/'Bilan 2040'!$H$30)+'Bilan 2040'!$G$45</f>
        <v>299.58046161183665</v>
      </c>
      <c r="BD19" s="205">
        <f>'Bilan 2045'!$G$24-SUM('Bilan 2045'!$K$24:$P$24)+'Bilan 2045'!$G$32*(1-SUM('Bilan 2045'!$K$30:$P$30)/'Bilan 2045'!$H$30)+'Bilan 2045'!$G$45</f>
        <v>291.4281090582366</v>
      </c>
      <c r="BE19" s="205">
        <f>'Bilan 2050'!$G$24-SUM('Bilan 2050'!$K$24:$P$24)+'Bilan 2050'!$G$32*(1-SUM('Bilan 2050'!$K$30:$P$30)/'Bilan 2050'!$H$30)+'Bilan 2050'!$G$45</f>
        <v>279.52463435916559</v>
      </c>
      <c r="BF19" s="216"/>
      <c r="BG19" s="205" t="s">
        <v>457</v>
      </c>
      <c r="BH19" s="202">
        <f t="shared" si="93"/>
        <v>0.57371428858213702</v>
      </c>
      <c r="BI19" s="202">
        <f t="shared" si="93"/>
        <v>6.6765039143923496E-2</v>
      </c>
      <c r="BJ19" s="202">
        <f t="shared" si="93"/>
        <v>0.1842054585654879</v>
      </c>
      <c r="BK19" s="202">
        <f t="shared" si="93"/>
        <v>0.1689528977770367</v>
      </c>
      <c r="BL19" s="202">
        <f t="shared" si="93"/>
        <v>0.15704978604006573</v>
      </c>
      <c r="BM19" s="202">
        <f t="shared" si="93"/>
        <v>0.187101486437455</v>
      </c>
      <c r="BN19" s="202">
        <f t="shared" si="93"/>
        <v>0.16932078228345682</v>
      </c>
      <c r="BO19" s="202">
        <f t="shared" si="93"/>
        <v>0.15770181449103418</v>
      </c>
      <c r="BP19" s="202">
        <f t="shared" si="93"/>
        <v>0.14022366464433322</v>
      </c>
      <c r="BQ19" s="202">
        <f t="shared" si="93"/>
        <v>0.12879351307674386</v>
      </c>
      <c r="BR19" s="202">
        <f t="shared" si="93"/>
        <v>0.1013247113619664</v>
      </c>
      <c r="BS19" s="202">
        <f t="shared" si="93"/>
        <v>8.0395077447629554E-2</v>
      </c>
      <c r="BU19" s="205" t="s">
        <v>457</v>
      </c>
      <c r="BV19" s="208">
        <f>'Bilan 2015'!$E21+'Bilan 2015'!$E22+'Bilan 2015'!$E$26+'Bilan 2015'!$E$36</f>
        <v>6.4959954568152206E-2</v>
      </c>
      <c r="BW19" s="208">
        <f>'Bilan 2020'!$E21+'Bilan 2020'!$E22+'Bilan 2020'!$E$26+'Bilan 2020'!$E$36</f>
        <v>0.35721208878351701</v>
      </c>
      <c r="BX19" s="208">
        <f>'Bilan 2023'!$E21+'Bilan 2023'!$E22+'Bilan 2023'!$E$26+'Bilan 2023'!$E$36</f>
        <v>0.77156656475669372</v>
      </c>
      <c r="BY19" s="208">
        <f>'Bilan 2025'!$E21+'Bilan 2025'!$E22+'Bilan 2025'!$E$26+'Bilan 2025'!$E$36</f>
        <v>1.1053707532513934</v>
      </c>
      <c r="BZ19" s="208">
        <f>'Bilan 2028'!$E21+'Bilan 2028'!$E22+'Bilan 2028'!$E$26+'Bilan 2028'!$E$36</f>
        <v>0.99257710532913734</v>
      </c>
      <c r="CA19" s="208">
        <f>'Bilan 2030'!$E21+'Bilan 2030'!$E22+'Bilan 2030'!$E$26+'Bilan 2030'!$E$36</f>
        <v>1.1546493337797574</v>
      </c>
      <c r="CB19" s="208">
        <f>'Bilan 2033'!$E21+'Bilan 2033'!$E22+'Bilan 2033'!$E$26+'Bilan 2033'!$E$36</f>
        <v>1.0250096636207413</v>
      </c>
      <c r="CC19" s="208">
        <f>'Bilan 2035'!$E21+'Bilan 2035'!$E22+'Bilan 2035'!$E$26+'Bilan 2035'!$E$36</f>
        <v>0.94209203425095123</v>
      </c>
      <c r="CD19" s="208">
        <f>'Bilan 2038'!$E21+'Bilan 2038'!$E22+'Bilan 2038'!$E$26+'Bilan 2038'!$E$36</f>
        <v>0.83199459976409096</v>
      </c>
      <c r="CE19" s="208">
        <f>'Bilan 2040'!$E21+'Bilan 2040'!$E22+'Bilan 2040'!$E$26+'Bilan 2040'!$E$36</f>
        <v>0.76046670720228016</v>
      </c>
      <c r="CF19" s="208">
        <f>'Bilan 2045'!$E21+'Bilan 2045'!$E22+'Bilan 2045'!$E$26+'Bilan 2045'!$E$36</f>
        <v>0.58199772238434411</v>
      </c>
      <c r="CG19" s="208">
        <f>'Bilan 2050'!$E21+'Bilan 2050'!$E22+'Bilan 2050'!$E$26+'Bilan 2050'!$E$36</f>
        <v>0.4427828806218071</v>
      </c>
      <c r="CH19" s="206"/>
      <c r="CJ19" s="205" t="s">
        <v>457</v>
      </c>
      <c r="CK19" s="202">
        <f t="shared" si="94"/>
        <v>0.4338272572430823</v>
      </c>
      <c r="CL19" s="202">
        <f t="shared" si="94"/>
        <v>4.2270695538888292E-2</v>
      </c>
      <c r="CM19" s="202">
        <f t="shared" si="94"/>
        <v>1.648493813152848E-2</v>
      </c>
      <c r="CN19" s="202">
        <f t="shared" si="94"/>
        <v>1.6576473655521656E-2</v>
      </c>
      <c r="CO19" s="202">
        <f t="shared" si="94"/>
        <v>1.658102927540912E-2</v>
      </c>
      <c r="CP19" s="202">
        <f t="shared" si="94"/>
        <v>1.6587649131717449E-2</v>
      </c>
      <c r="CQ19" s="202">
        <f t="shared" si="94"/>
        <v>1.6668149234893896E-2</v>
      </c>
      <c r="CR19" s="202">
        <f t="shared" si="94"/>
        <v>1.6725212147748567E-2</v>
      </c>
      <c r="CS19" s="202">
        <f t="shared" si="94"/>
        <v>1.6780774273546625E-2</v>
      </c>
      <c r="CT19" s="202">
        <f t="shared" si="94"/>
        <v>1.6819995658278974E-2</v>
      </c>
      <c r="CU19" s="202">
        <f t="shared" si="94"/>
        <v>1.7002205436033653E-2</v>
      </c>
      <c r="CV19" s="202">
        <f t="shared" si="94"/>
        <v>1.8608966273312901E-2</v>
      </c>
      <c r="CW19" s="206"/>
      <c r="CX19" s="193">
        <f t="shared" ref="CX19" si="99">CX18+1</f>
        <v>2403</v>
      </c>
      <c r="CY19" s="205" t="s">
        <v>457</v>
      </c>
      <c r="CZ19" s="207" t="s">
        <v>286</v>
      </c>
      <c r="DA19" s="202">
        <f>'Bilan 2015'!$K$21+'Bilan 2015'!$K$30*'Bilan 2015'!$G$26/'Bilan 2015'!$H$30</f>
        <v>4.9120964009077582E-2</v>
      </c>
      <c r="DB19" s="202">
        <f>'Bilan 2020'!$K$21+'Bilan 2020'!$K$30*'Bilan 2020'!$G$26/'Bilan 2020'!$H$30</f>
        <v>0.2261603324342939</v>
      </c>
      <c r="DC19" s="202">
        <f>'Bilan 2023'!$K$21+'Bilan 2023'!$K$30*'Bilan 2023'!$G$26/'Bilan 2023'!$H$30</f>
        <v>6.9049132329855337E-2</v>
      </c>
      <c r="DD19" s="202">
        <f>'Bilan 2025'!$K$21+'Bilan 2025'!$K$30*'Bilan 2025'!$G$26/'Bilan 2025'!$H$30</f>
        <v>0.10845122760212432</v>
      </c>
      <c r="DE19" s="202">
        <f>'Bilan 2028'!$K$21+'Bilan 2028'!$K$30*'Bilan 2028'!$G$26/'Bilan 2028'!$H$30</f>
        <v>0.10479447604828065</v>
      </c>
      <c r="DF19" s="202">
        <f>'Bilan 2030'!$K$21+'Bilan 2030'!$K$30*'Bilan 2030'!$G$26/'Bilan 2030'!$H$30</f>
        <v>0.10236646636857391</v>
      </c>
      <c r="DG19" s="202">
        <f>'Bilan 2033'!$K$21+'Bilan 2033'!$K$30*'Bilan 2033'!$G$26/'Bilan 2033'!$H$30</f>
        <v>0.10090323119247821</v>
      </c>
      <c r="DH19" s="202">
        <f>'Bilan 2035'!$K$21+'Bilan 2035'!$K$30*'Bilan 2035'!$G$26/'Bilan 2035'!$H$30</f>
        <v>9.9914444145136852E-2</v>
      </c>
      <c r="DI19" s="202">
        <f>'Bilan 2038'!$K$21+'Bilan 2038'!$K$30*'Bilan 2038'!$G$26/'Bilan 2038'!$H$30</f>
        <v>9.9566029820025784E-2</v>
      </c>
      <c r="DJ19" s="202">
        <f>'Bilan 2040'!$K$21+'Bilan 2040'!$K$30*'Bilan 2040'!$G$26/'Bilan 2040'!$H$30</f>
        <v>9.9314370792776593E-2</v>
      </c>
      <c r="DK19" s="202">
        <f>'Bilan 2045'!$K$21+'Bilan 2045'!$K$30*'Bilan 2045'!$G$26/'Bilan 2045'!$H$30</f>
        <v>9.7658751811619912E-2</v>
      </c>
      <c r="DL19" s="202">
        <f>'Bilan 2050'!$K$21+'Bilan 2050'!$K$30*'Bilan 2050'!$G$26/'Bilan 2050'!$H$30</f>
        <v>0.10249050008390145</v>
      </c>
    </row>
    <row r="20" spans="1:116" ht="13">
      <c r="A20" s="209" t="s">
        <v>21</v>
      </c>
      <c r="B20" s="210"/>
      <c r="C20" s="210"/>
      <c r="D20" s="210"/>
      <c r="E20" s="210"/>
      <c r="F20" s="210"/>
      <c r="G20" s="210"/>
      <c r="H20" s="210"/>
      <c r="I20" s="210"/>
      <c r="J20" s="210"/>
      <c r="K20" s="210"/>
      <c r="L20" s="210"/>
      <c r="M20" s="578"/>
      <c r="N20" s="575"/>
      <c r="O20" s="575"/>
      <c r="P20" s="575"/>
      <c r="Q20" s="572" t="s">
        <v>293</v>
      </c>
      <c r="R20" s="205">
        <f t="shared" si="92"/>
        <v>0.91085715601083017</v>
      </c>
      <c r="S20" s="205">
        <f t="shared" si="92"/>
        <v>22.30312628047551</v>
      </c>
      <c r="T20" s="205">
        <f t="shared" si="92"/>
        <v>14.314979771434762</v>
      </c>
      <c r="U20" s="205">
        <f t="shared" si="92"/>
        <v>14.477216577336065</v>
      </c>
      <c r="V20" s="205">
        <f t="shared" si="92"/>
        <v>14.356552665834871</v>
      </c>
      <c r="W20" s="205">
        <f t="shared" si="92"/>
        <v>14.270502702475634</v>
      </c>
      <c r="X20" s="205">
        <f t="shared" si="92"/>
        <v>14.092730715505333</v>
      </c>
      <c r="Y20" s="205">
        <f t="shared" si="92"/>
        <v>13.973946365056424</v>
      </c>
      <c r="Z20" s="205">
        <f t="shared" si="92"/>
        <v>13.882205609574779</v>
      </c>
      <c r="AA20" s="205">
        <f t="shared" si="92"/>
        <v>13.819044684691866</v>
      </c>
      <c r="AB20" s="205">
        <f t="shared" si="92"/>
        <v>13.700301379145516</v>
      </c>
      <c r="AC20" s="205">
        <f t="shared" si="92"/>
        <v>13.624829265740908</v>
      </c>
      <c r="AD20" s="193">
        <f>AD19+1</f>
        <v>2403</v>
      </c>
      <c r="AE20" s="205" t="s">
        <v>289</v>
      </c>
      <c r="AF20" s="205">
        <f>'Bilan 2015'!$G$29*(1-SUM('Bilan 2015'!$K$26:$P$34)/'Bilan 2015'!$H$30)+'Bilan 2015'!$G$37</f>
        <v>7.7278848106179909</v>
      </c>
      <c r="AG20" s="205">
        <f>'Bilan 2020'!$G$29*(1-SUM('Bilan 2020'!$K$26:$P$34)/'Bilan 2020'!$H$30)+'Bilan 2020'!$G$37</f>
        <v>95.667201657063785</v>
      </c>
      <c r="AH20" s="205">
        <f>'Bilan 2023'!$G$29*(1-SUM('Bilan 2023'!$K$26:$P$34)/'Bilan 2023'!$H$30)+'Bilan 2023'!$G$37</f>
        <v>108.04279506806932</v>
      </c>
      <c r="AI20" s="205">
        <f>'Bilan 2025'!$G$29*(1-SUM('Bilan 2025'!$K$26:$P$34)/'Bilan 2025'!$H$30)+'Bilan 2025'!$G$37</f>
        <v>107.26300733752187</v>
      </c>
      <c r="AJ20" s="205">
        <f>'Bilan 2028'!$G$29*(1-SUM('Bilan 2028'!$K$26:$P$34)/'Bilan 2028'!$H$30)+'Bilan 2028'!$G$37</f>
        <v>110.97976759421589</v>
      </c>
      <c r="AK20" s="205">
        <f>'Bilan 2030'!$G$29*(1-SUM('Bilan 2030'!$K$26:$P$34)/'Bilan 2030'!$H$30)+'Bilan 2030'!$G$37</f>
        <v>113.52291677875316</v>
      </c>
      <c r="AL20" s="205">
        <f>'Bilan 2033'!$G$29*(1-SUM('Bilan 2033'!$K$26:$P$34)/'Bilan 2033'!$H$30)+'Bilan 2033'!$G$37</f>
        <v>118.95926598672672</v>
      </c>
      <c r="AM20" s="205">
        <f>'Bilan 2035'!$G$29*(1-SUM('Bilan 2035'!$K$26:$P$34)/'Bilan 2035'!$H$30)+'Bilan 2035'!$G$37</f>
        <v>122.61430667146536</v>
      </c>
      <c r="AN20" s="205">
        <f>'Bilan 2038'!$G$29*(1-SUM('Bilan 2038'!$K$26:$P$34)/'Bilan 2038'!$H$30)+'Bilan 2038'!$G$37</f>
        <v>124.22490197870144</v>
      </c>
      <c r="AO20" s="205">
        <f>'Bilan 2040'!$G$29*(1-SUM('Bilan 2040'!$K$26:$P$34)/'Bilan 2040'!$H$30)+'Bilan 2040'!$G$37</f>
        <v>125.26720745166325</v>
      </c>
      <c r="AP20" s="205">
        <f>'Bilan 2045'!$G$29*(1-SUM('Bilan 2045'!$K$26:$P$34)/'Bilan 2045'!$H$30)+'Bilan 2045'!$G$37</f>
        <v>128.35414322306266</v>
      </c>
      <c r="AQ20" s="205">
        <f>'Bilan 2050'!$G$29*(1-SUM('Bilan 2050'!$K$26:$P$34)/'Bilan 2050'!$H$30)+'Bilan 2050'!$G$37</f>
        <v>127.27562159505761</v>
      </c>
      <c r="AR20" s="206"/>
      <c r="AS20" s="205" t="s">
        <v>289</v>
      </c>
      <c r="AT20" s="205">
        <f>'Bilan 2015'!$G$29*(1-SUM('Bilan 2015'!$K$26:$P$34)/'Bilan 2015'!$H$30)+'Bilan 2015'!$G$37</f>
        <v>7.7278848106179909</v>
      </c>
      <c r="AU20" s="205">
        <f>'Bilan 2020'!$G$29*(1-SUM('Bilan 2020'!$K$26:$P$34)/'Bilan 2020'!$H$30)+'Bilan 2020'!$G$37</f>
        <v>95.667201657063785</v>
      </c>
      <c r="AV20" s="205">
        <f>'Bilan 2023'!$G$29*(1-SUM('Bilan 2023'!$K$26:$P$34)/'Bilan 2023'!$H$30)+'Bilan 2023'!$G$37</f>
        <v>108.04279506806932</v>
      </c>
      <c r="AW20" s="205">
        <f>'Bilan 2025'!$G$29*(1-SUM('Bilan 2025'!$K$26:$P$34)/'Bilan 2025'!$H$30)+'Bilan 2025'!$G$37</f>
        <v>107.26300733752187</v>
      </c>
      <c r="AX20" s="205">
        <f>'Bilan 2028'!$G$29*(1-SUM('Bilan 2028'!$K$26:$P$34)/'Bilan 2028'!$H$30)+'Bilan 2028'!$G$37</f>
        <v>110.97976759421589</v>
      </c>
      <c r="AY20" s="205">
        <f>'Bilan 2030'!$G$29*(1-SUM('Bilan 2030'!$K$26:$P$34)/'Bilan 2030'!$H$30)+'Bilan 2030'!$G$37</f>
        <v>113.52291677875316</v>
      </c>
      <c r="AZ20" s="205">
        <f>'Bilan 2033'!$G$29*(1-SUM('Bilan 2033'!$K$26:$P$34)/'Bilan 2033'!$H$30)+'Bilan 2033'!$G$37</f>
        <v>118.95926598672672</v>
      </c>
      <c r="BA20" s="205">
        <f>'Bilan 2035'!$G$29*(1-SUM('Bilan 2035'!$K$26:$P$34)/'Bilan 2035'!$H$30)+'Bilan 2035'!$G$37</f>
        <v>122.61430667146536</v>
      </c>
      <c r="BB20" s="205">
        <f>'Bilan 2038'!$G$29*(1-SUM('Bilan 2038'!$K$26:$P$34)/'Bilan 2038'!$H$30)+'Bilan 2038'!$G$37</f>
        <v>124.22490197870144</v>
      </c>
      <c r="BC20" s="205">
        <f>'Bilan 2040'!$G$29*(1-SUM('Bilan 2040'!$K$26:$P$34)/'Bilan 2040'!$H$30)+'Bilan 2040'!$G$37</f>
        <v>125.26720745166325</v>
      </c>
      <c r="BD20" s="205">
        <f>'Bilan 2045'!$G$29*(1-SUM('Bilan 2045'!$K$26:$P$34)/'Bilan 2045'!$H$30)+'Bilan 2045'!$G$37</f>
        <v>128.35414322306266</v>
      </c>
      <c r="BE20" s="205">
        <f>'Bilan 2050'!$G$29*(1-SUM('Bilan 2050'!$K$26:$P$34)/'Bilan 2050'!$H$30)+'Bilan 2050'!$G$37</f>
        <v>127.27562159505761</v>
      </c>
      <c r="BF20" s="216"/>
      <c r="BG20" s="205" t="s">
        <v>413</v>
      </c>
      <c r="BH20" s="202">
        <f t="shared" si="93"/>
        <v>0</v>
      </c>
      <c r="BI20" s="202">
        <f t="shared" si="93"/>
        <v>0</v>
      </c>
      <c r="BJ20" s="202">
        <f t="shared" si="93"/>
        <v>0.43505494505494513</v>
      </c>
      <c r="BK20" s="202">
        <f t="shared" si="93"/>
        <v>0.435714285714286</v>
      </c>
      <c r="BL20" s="202">
        <f t="shared" si="93"/>
        <v>0.43670329670329672</v>
      </c>
      <c r="BM20" s="202">
        <f t="shared" si="93"/>
        <v>0.43736263736263742</v>
      </c>
      <c r="BN20" s="202">
        <f t="shared" si="93"/>
        <v>0.43591867632745762</v>
      </c>
      <c r="BO20" s="202">
        <f t="shared" si="93"/>
        <v>0.43483146067415712</v>
      </c>
      <c r="BP20" s="202">
        <f t="shared" si="93"/>
        <v>0.43302149178255395</v>
      </c>
      <c r="BQ20" s="202">
        <f t="shared" si="93"/>
        <v>0.43169968717414003</v>
      </c>
      <c r="BR20" s="202">
        <f t="shared" si="93"/>
        <v>0.42801220132180995</v>
      </c>
      <c r="BS20" s="202">
        <f t="shared" si="93"/>
        <v>0.42380952380952369</v>
      </c>
      <c r="BU20" s="205" t="s">
        <v>413</v>
      </c>
      <c r="BV20" s="208">
        <f>'Bilan 2015'!$E$23+'Bilan 2015'!$E$47</f>
        <v>0</v>
      </c>
      <c r="BW20" s="208">
        <f>'Bilan 2020'!$E$23+'Bilan 2020'!$E$47</f>
        <v>0</v>
      </c>
      <c r="BX20" s="208">
        <f>'Bilan 2023'!$E$23+'Bilan 2023'!$E$47</f>
        <v>0.12215600151648892</v>
      </c>
      <c r="BY20" s="208">
        <f>'Bilan 2025'!$E$23+'Bilan 2025'!$E$47</f>
        <v>0.17260395660400402</v>
      </c>
      <c r="BZ20" s="208">
        <f>'Bilan 2028'!$E$23+'Bilan 2028'!$E$47</f>
        <v>0.25615209347689405</v>
      </c>
      <c r="CA20" s="208">
        <f>'Bilan 2030'!$E$23+'Bilan 2030'!$E$47</f>
        <v>0.31211801610932366</v>
      </c>
      <c r="CB20" s="208">
        <f>'Bilan 2033'!$E$23+'Bilan 2033'!$E$47</f>
        <v>0.72859353189346332</v>
      </c>
      <c r="CC20" s="208">
        <f>'Bilan 2035'!$E$23+'Bilan 2035'!$E$47</f>
        <v>1.0073759745042175</v>
      </c>
      <c r="CD20" s="208">
        <f>'Bilan 2038'!$E$23+'Bilan 2038'!$E$47</f>
        <v>1.4618472731749175</v>
      </c>
      <c r="CE20" s="208">
        <f>'Bilan 2040'!$E$23+'Bilan 2040'!$E$47</f>
        <v>1.7674236764824451</v>
      </c>
      <c r="CF20" s="208">
        <f>'Bilan 2045'!$E$23+'Bilan 2045'!$E$47</f>
        <v>2.4607304691619536</v>
      </c>
      <c r="CG20" s="208">
        <f>'Bilan 2050'!$E$23+'Bilan 2050'!$E$47</f>
        <v>2.99690014009302</v>
      </c>
      <c r="CH20" s="206"/>
      <c r="CJ20" s="205" t="s">
        <v>413</v>
      </c>
      <c r="CK20" s="202">
        <f t="shared" si="94"/>
        <v>0</v>
      </c>
      <c r="CL20" s="202">
        <f t="shared" si="94"/>
        <v>0</v>
      </c>
      <c r="CM20" s="202">
        <f t="shared" si="94"/>
        <v>0</v>
      </c>
      <c r="CN20" s="202">
        <f t="shared" si="94"/>
        <v>0</v>
      </c>
      <c r="CO20" s="202">
        <f t="shared" si="94"/>
        <v>0</v>
      </c>
      <c r="CP20" s="202">
        <f t="shared" si="94"/>
        <v>0</v>
      </c>
      <c r="CQ20" s="202">
        <f t="shared" si="94"/>
        <v>0</v>
      </c>
      <c r="CR20" s="202">
        <f t="shared" si="94"/>
        <v>0</v>
      </c>
      <c r="CS20" s="202">
        <f t="shared" si="94"/>
        <v>0</v>
      </c>
      <c r="CT20" s="202">
        <f t="shared" si="94"/>
        <v>0</v>
      </c>
      <c r="CU20" s="202">
        <f t="shared" si="94"/>
        <v>0</v>
      </c>
      <c r="CV20" s="202">
        <f t="shared" si="94"/>
        <v>0</v>
      </c>
      <c r="CW20" s="206"/>
      <c r="CY20" s="205" t="s">
        <v>31</v>
      </c>
      <c r="DA20" s="202">
        <f>'Bilan 2015'!$K$23</f>
        <v>0</v>
      </c>
      <c r="DB20" s="202">
        <f>'Bilan 2020'!$K$23</f>
        <v>0</v>
      </c>
      <c r="DC20" s="202">
        <f>'Bilan 2023'!$K$23</f>
        <v>0</v>
      </c>
      <c r="DD20" s="202">
        <f>'Bilan 2025'!$K$23</f>
        <v>0</v>
      </c>
      <c r="DE20" s="202">
        <f>'Bilan 2028'!$K$23</f>
        <v>0</v>
      </c>
      <c r="DF20" s="202">
        <f>'Bilan 2030'!$K$23</f>
        <v>0</v>
      </c>
      <c r="DG20" s="202">
        <f>'Bilan 2033'!$K$23</f>
        <v>0</v>
      </c>
      <c r="DH20" s="202">
        <f>'Bilan 2035'!$K$23</f>
        <v>0</v>
      </c>
      <c r="DI20" s="202">
        <f>'Bilan 2038'!$K$23</f>
        <v>0</v>
      </c>
      <c r="DJ20" s="202">
        <f>'Bilan 2040'!$K$23</f>
        <v>0</v>
      </c>
      <c r="DK20" s="202">
        <f>'Bilan 2045'!$K$23</f>
        <v>0</v>
      </c>
      <c r="DL20" s="202">
        <f>'Bilan 2050'!$K$23</f>
        <v>0</v>
      </c>
    </row>
    <row r="21" spans="1:116" ht="14.5">
      <c r="A21" s="211" t="s">
        <v>22</v>
      </c>
      <c r="B21" s="212"/>
      <c r="C21" s="212"/>
      <c r="D21" s="212"/>
      <c r="E21" s="212"/>
      <c r="F21" s="212"/>
      <c r="G21" s="212"/>
      <c r="H21" s="212"/>
      <c r="I21" s="212"/>
      <c r="J21" s="212"/>
      <c r="K21" s="212"/>
      <c r="L21" s="212"/>
      <c r="M21" s="579"/>
      <c r="N21" s="575"/>
      <c r="O21" s="575"/>
      <c r="P21" s="575"/>
      <c r="Q21" s="572" t="s">
        <v>295</v>
      </c>
      <c r="R21" s="205">
        <f t="shared" si="92"/>
        <v>5.6719520540355547E-2</v>
      </c>
      <c r="S21" s="205">
        <f t="shared" si="92"/>
        <v>3.6793581777777802</v>
      </c>
      <c r="T21" s="205">
        <f t="shared" si="92"/>
        <v>2.3799799451010251</v>
      </c>
      <c r="U21" s="205">
        <f t="shared" si="92"/>
        <v>2.3429154336529705</v>
      </c>
      <c r="V21" s="205">
        <f t="shared" si="92"/>
        <v>2.2649379614389087</v>
      </c>
      <c r="W21" s="205">
        <f t="shared" si="92"/>
        <v>2.2135118072908004</v>
      </c>
      <c r="X21" s="205">
        <f t="shared" si="92"/>
        <v>2.1765628738461276</v>
      </c>
      <c r="Y21" s="205">
        <f t="shared" si="92"/>
        <v>2.1522238532897298</v>
      </c>
      <c r="Z21" s="205">
        <f t="shared" si="92"/>
        <v>2.1324879830691428</v>
      </c>
      <c r="AA21" s="205">
        <f t="shared" si="92"/>
        <v>2.1193044730706876</v>
      </c>
      <c r="AB21" s="205">
        <f t="shared" si="92"/>
        <v>2.0952309255342936</v>
      </c>
      <c r="AC21" s="205">
        <f t="shared" si="92"/>
        <v>2.0819737774951141</v>
      </c>
      <c r="AE21" s="205" t="s">
        <v>457</v>
      </c>
      <c r="AF21" s="205">
        <f>'Bilan 2015'!$G$21-SUM('Bilan 2015'!$K$21:$P$21)+'Bilan 2015'!$G$26*(1-SUM('Bilan 2015'!$K$26:$P$34)/'Bilan 2015'!$H$30)+'Bilan 2015'!$G$36-'Bilan 2015'!$E$55</f>
        <v>0.11322701187849546</v>
      </c>
      <c r="AG21" s="205">
        <f>'Bilan 2020'!$G$21-SUM('Bilan 2020'!$K$21:$P$21)+'Bilan 2020'!$G$26*(1-SUM('Bilan 2020'!$K$26:$P$34)/'Bilan 2020'!$H$30)+'Bilan 2020'!$G$36-'Bilan 2020'!$E$55</f>
        <v>5.3502865176710985</v>
      </c>
      <c r="AH21" s="205">
        <f>'Bilan 2023'!$G$21-SUM('Bilan 2023'!$K$21:$P$21)+'Bilan 2023'!$G$26*(1-SUM('Bilan 2023'!$K$26:$P$34)/'Bilan 2023'!$H$30)+'Bilan 2023'!$G$36-'Bilan 2023'!$E$55</f>
        <v>4.1886194402995383</v>
      </c>
      <c r="AI21" s="205">
        <f>'Bilan 2025'!$G$21-SUM('Bilan 2025'!$K$21:$P$21)+'Bilan 2025'!$G$26*(1-SUM('Bilan 2025'!$K$26:$P$34)/'Bilan 2025'!$H$30)+'Bilan 2025'!$G$36-'Bilan 2025'!$E$55</f>
        <v>6.5424788079700535</v>
      </c>
      <c r="AJ21" s="205">
        <f>'Bilan 2028'!$G$21-SUM('Bilan 2028'!$K$21:$P$21)+'Bilan 2028'!$G$26*(1-SUM('Bilan 2028'!$K$26:$P$34)/'Bilan 2028'!$H$30)+'Bilan 2028'!$G$36-'Bilan 2028'!$E$55</f>
        <v>6.3201429964120823</v>
      </c>
      <c r="AK21" s="205">
        <f>'Bilan 2030'!$G$21-SUM('Bilan 2030'!$K$21:$P$21)+'Bilan 2030'!$G$26*(1-SUM('Bilan 2030'!$K$26:$P$34)/'Bilan 2030'!$H$30)+'Bilan 2030'!$G$36-'Bilan 2030'!$E$55</f>
        <v>6.1712461817653068</v>
      </c>
      <c r="AL21" s="205">
        <f>'Bilan 2033'!$G$21-SUM('Bilan 2033'!$K$21:$P$21)+'Bilan 2033'!$G$26*(1-SUM('Bilan 2033'!$K$26:$P$34)/'Bilan 2033'!$H$30)+'Bilan 2033'!$G$36-'Bilan 2033'!$E$55</f>
        <v>6.0536553741217158</v>
      </c>
      <c r="AM21" s="205">
        <f>'Bilan 2035'!$G$21-SUM('Bilan 2035'!$K$21:$P$21)+'Bilan 2035'!$G$26*(1-SUM('Bilan 2035'!$K$26:$P$34)/'Bilan 2035'!$H$30)+'Bilan 2035'!$G$36-'Bilan 2035'!$E$55</f>
        <v>5.973882020897813</v>
      </c>
      <c r="AN21" s="205">
        <f>'Bilan 2038'!$G$21-SUM('Bilan 2038'!$K$21:$P$21)+'Bilan 2038'!$G$26*(1-SUM('Bilan 2038'!$K$26:$P$34)/'Bilan 2038'!$H$30)+'Bilan 2038'!$G$36-'Bilan 2038'!$E$55</f>
        <v>5.933339439347721</v>
      </c>
      <c r="AO21" s="205">
        <f>'Bilan 2040'!$G$21-SUM('Bilan 2040'!$K$21:$P$21)+'Bilan 2040'!$G$26*(1-SUM('Bilan 2040'!$K$26:$P$34)/'Bilan 2040'!$H$30)+'Bilan 2040'!$G$36-'Bilan 2040'!$E$55</f>
        <v>5.9045419993252519</v>
      </c>
      <c r="AP21" s="205">
        <f>'Bilan 2045'!$G$21-SUM('Bilan 2045'!$K$21:$P$21)+'Bilan 2045'!$G$26*(1-SUM('Bilan 2045'!$K$26:$P$34)/'Bilan 2045'!$H$30)+'Bilan 2045'!$G$36-'Bilan 2045'!$E$55</f>
        <v>5.7438872962119767</v>
      </c>
      <c r="AQ21" s="205">
        <f>'Bilan 2050'!$G$21-SUM('Bilan 2050'!$K$21:$P$21)+'Bilan 2050'!$G$26*(1-SUM('Bilan 2050'!$K$26:$P$34)/'Bilan 2050'!$H$30)+'Bilan 2050'!$G$36-'Bilan 2050'!$E$55</f>
        <v>5.5075869652621687</v>
      </c>
      <c r="AR21" s="206"/>
      <c r="AS21" s="205" t="s">
        <v>457</v>
      </c>
      <c r="AT21" s="205">
        <f>'Bilan 2015'!$G$21-SUM('Bilan 2015'!$K$21:$P$21)+'Bilan 2015'!$G$26*(1-SUM('Bilan 2015'!$K$26:$P$34)/'Bilan 2015'!$H$30)+'Bilan 2015'!$G$36</f>
        <v>0.11322701187849546</v>
      </c>
      <c r="AU21" s="205">
        <f>'Bilan 2020'!$G$21-SUM('Bilan 2020'!$K$21:$P$21)+'Bilan 2020'!$G$26*(1-SUM('Bilan 2020'!$K$26:$P$34)/'Bilan 2020'!$H$30)+'Bilan 2020'!$G$36</f>
        <v>5.3502865176710985</v>
      </c>
      <c r="AV21" s="205">
        <f>'Bilan 2023'!$G$21-SUM('Bilan 2023'!$K$21:$P$21)+'Bilan 2023'!$G$26*(1-SUM('Bilan 2023'!$K$26:$P$34)/'Bilan 2023'!$H$30)+'Bilan 2023'!$G$36</f>
        <v>4.1886194402995383</v>
      </c>
      <c r="AW21" s="205">
        <f>'Bilan 2025'!$G$21-SUM('Bilan 2025'!$K$21:$P$21)+'Bilan 2025'!$G$26*(1-SUM('Bilan 2025'!$K$26:$P$34)/'Bilan 2025'!$H$30)+'Bilan 2025'!$G$36</f>
        <v>6.5424788079700535</v>
      </c>
      <c r="AX21" s="205">
        <f>'Bilan 2028'!$G$21-SUM('Bilan 2028'!$K$21:$P$21)+'Bilan 2028'!$G$26*(1-SUM('Bilan 2028'!$K$26:$P$34)/'Bilan 2028'!$H$30)+'Bilan 2028'!$G$36</f>
        <v>6.3201429964120823</v>
      </c>
      <c r="AY21" s="205">
        <f>'Bilan 2030'!$G$21-SUM('Bilan 2030'!$K$21:$P$21)+'Bilan 2030'!$G$26*(1-SUM('Bilan 2030'!$K$26:$P$34)/'Bilan 2030'!$H$30)+'Bilan 2030'!$G$36</f>
        <v>6.1712461817653068</v>
      </c>
      <c r="AZ21" s="205">
        <f>'Bilan 2033'!$G$21-SUM('Bilan 2033'!$K$21:$P$21)+'Bilan 2033'!$G$26*(1-SUM('Bilan 2033'!$K$26:$P$34)/'Bilan 2033'!$H$30)+'Bilan 2033'!$G$36</f>
        <v>6.0536553741217158</v>
      </c>
      <c r="BA21" s="205">
        <f>'Bilan 2035'!$G$21-SUM('Bilan 2035'!$K$21:$P$21)+'Bilan 2035'!$G$26*(1-SUM('Bilan 2035'!$K$26:$P$34)/'Bilan 2035'!$H$30)+'Bilan 2035'!$G$36</f>
        <v>5.973882020897813</v>
      </c>
      <c r="BB21" s="205">
        <f>'Bilan 2038'!$G$21-SUM('Bilan 2038'!$K$21:$P$21)+'Bilan 2038'!$G$26*(1-SUM('Bilan 2038'!$K$26:$P$34)/'Bilan 2038'!$H$30)+'Bilan 2038'!$G$36</f>
        <v>5.933339439347721</v>
      </c>
      <c r="BC21" s="205">
        <f>'Bilan 2040'!$G$21-SUM('Bilan 2040'!$K$21:$P$21)+'Bilan 2040'!$G$26*(1-SUM('Bilan 2040'!$K$26:$P$34)/'Bilan 2040'!$H$30)+'Bilan 2040'!$G$36</f>
        <v>5.9045419993252519</v>
      </c>
      <c r="BD21" s="205">
        <f>'Bilan 2045'!$G$21-SUM('Bilan 2045'!$K$21:$P$21)+'Bilan 2045'!$G$26*(1-SUM('Bilan 2045'!$K$26:$P$34)/'Bilan 2045'!$H$30)+'Bilan 2045'!$G$36</f>
        <v>5.7438872962119767</v>
      </c>
      <c r="BE21" s="205">
        <f>'Bilan 2050'!$G$21-SUM('Bilan 2050'!$K$21:$P$21)+'Bilan 2050'!$G$26*(1-SUM('Bilan 2050'!$K$26:$P$34)/'Bilan 2050'!$H$30)+'Bilan 2050'!$G$36</f>
        <v>5.5075869652621687</v>
      </c>
      <c r="BF21" s="216"/>
      <c r="BG21" s="205" t="s">
        <v>293</v>
      </c>
      <c r="BH21" s="202">
        <f t="shared" si="93"/>
        <v>0.40191367704565095</v>
      </c>
      <c r="BI21" s="202">
        <f t="shared" si="93"/>
        <v>0.14568575976370193</v>
      </c>
      <c r="BJ21" s="202">
        <f t="shared" si="93"/>
        <v>0.1392699392322744</v>
      </c>
      <c r="BK21" s="202">
        <f t="shared" si="93"/>
        <v>0.13195589036701774</v>
      </c>
      <c r="BL21" s="202">
        <f t="shared" si="93"/>
        <v>0.12195799115194869</v>
      </c>
      <c r="BM21" s="202">
        <f t="shared" si="93"/>
        <v>0.11574242045037827</v>
      </c>
      <c r="BN21" s="202">
        <f t="shared" si="93"/>
        <v>0.11268125009194464</v>
      </c>
      <c r="BO21" s="202">
        <f t="shared" si="93"/>
        <v>0.110690214314611</v>
      </c>
      <c r="BP21" s="202">
        <f t="shared" si="93"/>
        <v>0.10764499427402316</v>
      </c>
      <c r="BQ21" s="202">
        <f t="shared" si="93"/>
        <v>0.10567406127675832</v>
      </c>
      <c r="BR21" s="202">
        <f t="shared" si="93"/>
        <v>0.10087880185140743</v>
      </c>
      <c r="BS21" s="202">
        <f t="shared" si="93"/>
        <v>9.6301865753041269E-2</v>
      </c>
      <c r="BU21" s="205" t="s">
        <v>293</v>
      </c>
      <c r="BV21" s="208">
        <f>'Bilan 2015'!$E27</f>
        <v>0.21460870053167158</v>
      </c>
      <c r="BW21" s="208">
        <f>'Bilan 2020'!$E27</f>
        <v>2.6247571862404189</v>
      </c>
      <c r="BX21" s="208">
        <f>'Bilan 2023'!$E27</f>
        <v>1.6343857570008014</v>
      </c>
      <c r="BY21" s="208">
        <f>'Bilan 2025'!$E27</f>
        <v>1.5754984206837779</v>
      </c>
      <c r="BZ21" s="208">
        <f>'Bilan 2028'!$E27</f>
        <v>1.4563673922313942</v>
      </c>
      <c r="CA21" s="208">
        <f>'Bilan 2030'!$E27</f>
        <v>1.3811290329665942</v>
      </c>
      <c r="CB21" s="208">
        <f>'Bilan 2033'!$E27</f>
        <v>1.3313128546361188</v>
      </c>
      <c r="CC21" s="208">
        <f>'Bilan 2035'!$E27</f>
        <v>1.2989652999321546</v>
      </c>
      <c r="CD21" s="208">
        <f>'Bilan 2038'!$E27</f>
        <v>1.2581635358539265</v>
      </c>
      <c r="CE21" s="208">
        <f>'Bilan 2040'!$E27</f>
        <v>1.2315531615395752</v>
      </c>
      <c r="CF21" s="208">
        <f>'Bilan 2045'!$E27</f>
        <v>1.1702728867450674</v>
      </c>
      <c r="CG21" s="208">
        <f>'Bilan 2050'!$E27</f>
        <v>1.1152806158510935</v>
      </c>
      <c r="CH21" s="206"/>
      <c r="CJ21" s="205" t="s">
        <v>293</v>
      </c>
      <c r="CK21" s="202">
        <f t="shared" si="94"/>
        <v>0.30391627266615295</v>
      </c>
      <c r="CL21" s="202">
        <f t="shared" si="94"/>
        <v>9.2237471501333629E-2</v>
      </c>
      <c r="CM21" s="202">
        <f t="shared" si="94"/>
        <v>8.0543898681622206E-2</v>
      </c>
      <c r="CN21" s="202">
        <f t="shared" si="94"/>
        <v>8.0442312591086751E-2</v>
      </c>
      <c r="CO21" s="202">
        <f t="shared" si="94"/>
        <v>8.0277332388022524E-2</v>
      </c>
      <c r="CP21" s="202">
        <f t="shared" si="94"/>
        <v>8.0165046848619928E-2</v>
      </c>
      <c r="CQ21" s="202">
        <f t="shared" si="94"/>
        <v>8.0116151887864834E-2</v>
      </c>
      <c r="CR21" s="202">
        <f t="shared" si="94"/>
        <v>8.0087644069876895E-2</v>
      </c>
      <c r="CS21" s="202">
        <f t="shared" si="94"/>
        <v>8.007814406924553E-2</v>
      </c>
      <c r="CT21" s="202">
        <f t="shared" si="94"/>
        <v>8.007627447881531E-2</v>
      </c>
      <c r="CU21" s="202">
        <f t="shared" si="94"/>
        <v>8.0102150356583926E-2</v>
      </c>
      <c r="CV21" s="202">
        <f t="shared" si="94"/>
        <v>8.0170189987119819E-2</v>
      </c>
      <c r="CW21" s="206"/>
      <c r="CX21" s="193">
        <f>CX19+1</f>
        <v>2404</v>
      </c>
      <c r="CY21" s="205" t="s">
        <v>293</v>
      </c>
      <c r="CZ21" s="207" t="s">
        <v>288</v>
      </c>
      <c r="DA21" s="202">
        <f>'Bilan 2015'!$K$30*'Bilan 2015'!$G$27/'Bilan 2015'!$H$30</f>
        <v>0.16228130584345346</v>
      </c>
      <c r="DB21" s="202">
        <f>'Bilan 2020'!$K$30*'Bilan 2020'!$G$27/'Bilan 2020'!$H$30</f>
        <v>1.6618025437520594</v>
      </c>
      <c r="DC21" s="202">
        <f>'Bilan 2023'!$K$30*'Bilan 2023'!$G$27/'Bilan 2023'!$H$30</f>
        <v>0.94521331411662435</v>
      </c>
      <c r="DD21" s="202">
        <f>'Bilan 2025'!$K$30*'Bilan 2025'!$G$27/'Bilan 2025'!$H$30</f>
        <v>0.96044773818665163</v>
      </c>
      <c r="DE21" s="202">
        <f>'Bilan 2028'!$K$30*'Bilan 2028'!$G$27/'Bilan 2028'!$H$30</f>
        <v>0.95863574105261995</v>
      </c>
      <c r="DF21" s="202">
        <f>'Bilan 2030'!$K$30*'Bilan 2030'!$G$27/'Bilan 2030'!$H$30</f>
        <v>0.95659200145398648</v>
      </c>
      <c r="DG21" s="202">
        <f>'Bilan 2033'!$K$30*'Bilan 2033'!$G$27/'Bilan 2033'!$H$30</f>
        <v>0.94656087667879973</v>
      </c>
      <c r="DH21" s="202">
        <f>'Bilan 2035'!$K$30*'Bilan 2035'!$G$27/'Bilan 2035'!$H$30</f>
        <v>0.93983981550892415</v>
      </c>
      <c r="DI21" s="202">
        <f>'Bilan 2038'!$K$30*'Bilan 2038'!$G$27/'Bilan 2038'!$H$30</f>
        <v>0.93595992610959133</v>
      </c>
      <c r="DJ21" s="202">
        <f>'Bilan 2040'!$K$30*'Bilan 2040'!$G$27/'Bilan 2040'!$H$30</f>
        <v>0.93322985609890263</v>
      </c>
      <c r="DK21" s="202">
        <f>'Bilan 2045'!$K$30*'Bilan 2045'!$G$27/'Bilan 2045'!$H$30</f>
        <v>0.92924750306180448</v>
      </c>
      <c r="DL21" s="202">
        <f>'Bilan 2050'!$K$30*'Bilan 2050'!$G$27/'Bilan 2050'!$H$30</f>
        <v>0.92845822002062783</v>
      </c>
    </row>
    <row r="22" spans="1:116" ht="14.5">
      <c r="A22" s="209" t="s">
        <v>297</v>
      </c>
      <c r="B22" s="210"/>
      <c r="C22" s="210"/>
      <c r="D22" s="210"/>
      <c r="E22" s="210"/>
      <c r="F22" s="210"/>
      <c r="G22" s="210"/>
      <c r="H22" s="210"/>
      <c r="I22" s="210"/>
      <c r="J22" s="210"/>
      <c r="K22" s="210"/>
      <c r="L22" s="210"/>
      <c r="M22" s="578"/>
      <c r="N22" s="575"/>
      <c r="O22" s="575"/>
      <c r="P22" s="575"/>
      <c r="Q22" s="572" t="s">
        <v>298</v>
      </c>
      <c r="R22" s="205">
        <f t="shared" si="92"/>
        <v>5.1344547654386874</v>
      </c>
      <c r="S22" s="205">
        <f t="shared" si="92"/>
        <v>33.87625778069777</v>
      </c>
      <c r="T22" s="205">
        <f t="shared" si="92"/>
        <v>38.938880808827278</v>
      </c>
      <c r="U22" s="205">
        <f t="shared" si="92"/>
        <v>41.853107957079459</v>
      </c>
      <c r="V22" s="205">
        <f t="shared" si="92"/>
        <v>48.03994163305439</v>
      </c>
      <c r="W22" s="205">
        <f t="shared" si="92"/>
        <v>52.363669470433123</v>
      </c>
      <c r="X22" s="205">
        <f t="shared" si="92"/>
        <v>57.250162734693113</v>
      </c>
      <c r="Y22" s="205">
        <f t="shared" si="92"/>
        <v>60.660929668887476</v>
      </c>
      <c r="Z22" s="205">
        <f t="shared" si="92"/>
        <v>63.670190049073604</v>
      </c>
      <c r="AA22" s="205">
        <f t="shared" si="92"/>
        <v>65.736950202079697</v>
      </c>
      <c r="AB22" s="205">
        <f t="shared" si="92"/>
        <v>70.819814202540698</v>
      </c>
      <c r="AC22" s="205">
        <f t="shared" si="92"/>
        <v>77.94621591512923</v>
      </c>
      <c r="AD22" s="193">
        <f>AD20+1</f>
        <v>2404</v>
      </c>
      <c r="AE22" s="205" t="s">
        <v>31</v>
      </c>
      <c r="AF22" s="205">
        <f>'Bilan 2015'!$G$23-SUM('Bilan 2015'!$K$23:$P$23)+'Bilan 2015'!$G$47-'Bilan 2015'!$E$57</f>
        <v>0</v>
      </c>
      <c r="AG22" s="205">
        <f>'Bilan 2020'!$G$23-SUM('Bilan 2020'!$K$23:$P$23)+'Bilan 2020'!$G$47-'Bilan 2020'!$E$57</f>
        <v>0</v>
      </c>
      <c r="AH22" s="205">
        <f>'Bilan 2023'!$G$23-SUM('Bilan 2023'!$K$23:$P$23)+'Bilan 2023'!$G$47-'Bilan 2023'!$E$57</f>
        <v>0.28078292846679692</v>
      </c>
      <c r="AI22" s="205">
        <f>'Bilan 2025'!$G$23-SUM('Bilan 2025'!$K$23:$P$23)+'Bilan 2025'!$G$47-'Bilan 2025'!$E$57</f>
        <v>0.39614022827148437</v>
      </c>
      <c r="AJ22" s="205">
        <f>'Bilan 2028'!$G$23-SUM('Bilan 2028'!$K$23:$P$23)+'Bilan 2028'!$G$47-'Bilan 2028'!$E$57</f>
        <v>0.58655864384492595</v>
      </c>
      <c r="AK22" s="205">
        <f>'Bilan 2030'!$G$23-SUM('Bilan 2030'!$K$23:$P$23)+'Bilan 2030'!$G$47-'Bilan 2030'!$E$57</f>
        <v>0.71363666999870479</v>
      </c>
      <c r="AL22" s="205">
        <f>'Bilan 2033'!$G$23-SUM('Bilan 2033'!$K$23:$P$23)+'Bilan 2033'!$G$47-'Bilan 2033'!$E$57</f>
        <v>1.1507469563432244</v>
      </c>
      <c r="AM22" s="205">
        <f>'Bilan 2035'!$G$23-SUM('Bilan 2035'!$K$23:$P$23)+'Bilan 2035'!$G$47-'Bilan 2035'!$E$57</f>
        <v>1.4422145133691282</v>
      </c>
      <c r="AN22" s="205">
        <f>'Bilan 2038'!$G$23-SUM('Bilan 2038'!$K$23:$P$23)+'Bilan 2038'!$G$47-'Bilan 2038'!$E$57</f>
        <v>1.9451540734815072</v>
      </c>
      <c r="AO22" s="205">
        <f>'Bilan 2040'!$G$23-SUM('Bilan 2040'!$K$23:$P$23)+'Bilan 2040'!$G$47-'Bilan 2040'!$E$57</f>
        <v>2.2805072331853324</v>
      </c>
      <c r="AP22" s="205">
        <f>'Bilan 2045'!$G$23-SUM('Bilan 2045'!$K$23:$P$23)+'Bilan 2045'!$G$47-'Bilan 2045'!$E$57</f>
        <v>2.9190855580034509</v>
      </c>
      <c r="AQ22" s="205">
        <f>'Bilan 2050'!$G$23-SUM('Bilan 2050'!$K$23:$P$23)+'Bilan 2050'!$G$47-'Bilan 2050'!$E$57</f>
        <v>3.1559026365968599</v>
      </c>
      <c r="AR22" s="206"/>
      <c r="AS22" s="205" t="s">
        <v>413</v>
      </c>
      <c r="AT22" s="205">
        <f>'Bilan 2015'!$G$23-SUM('Bilan 2015'!$K$23:$P$23)+'Bilan 2015'!$G$47</f>
        <v>0</v>
      </c>
      <c r="AU22" s="205">
        <f>'Bilan 2020'!$G$23-SUM('Bilan 2020'!$K$23:$P$23)+'Bilan 2020'!$G$47</f>
        <v>0</v>
      </c>
      <c r="AV22" s="205">
        <f>'Bilan 2023'!$G$23-SUM('Bilan 2023'!$K$23:$P$23)+'Bilan 2023'!$G$47</f>
        <v>0.28078292846679692</v>
      </c>
      <c r="AW22" s="205">
        <f>'Bilan 2025'!$G$23-SUM('Bilan 2025'!$K$23:$P$23)+'Bilan 2025'!$G$47</f>
        <v>0.39614022827148437</v>
      </c>
      <c r="AX22" s="205">
        <f>'Bilan 2028'!$G$23-SUM('Bilan 2028'!$K$23:$P$23)+'Bilan 2028'!$G$47</f>
        <v>0.58655864384492595</v>
      </c>
      <c r="AY22" s="205">
        <f>'Bilan 2030'!$G$23-SUM('Bilan 2030'!$K$23:$P$23)+'Bilan 2030'!$G$47</f>
        <v>0.71363666999870479</v>
      </c>
      <c r="AZ22" s="205">
        <f>'Bilan 2033'!$G$23-SUM('Bilan 2033'!$K$23:$P$23)+'Bilan 2033'!$G$47</f>
        <v>1.6713978351002134</v>
      </c>
      <c r="BA22" s="205">
        <f>'Bilan 2035'!$G$23-SUM('Bilan 2035'!$K$23:$P$23)+'Bilan 2035'!$G$47</f>
        <v>2.3167044374903201</v>
      </c>
      <c r="BB22" s="205">
        <f>'Bilan 2038'!$G$23-SUM('Bilan 2038'!$K$23:$P$23)+'Bilan 2038'!$G$47</f>
        <v>3.3759231375725771</v>
      </c>
      <c r="BC22" s="205">
        <f>'Bilan 2040'!$G$23-SUM('Bilan 2040'!$K$23:$P$23)+'Bilan 2040'!$G$47</f>
        <v>4.094104603252811</v>
      </c>
      <c r="BD22" s="205">
        <f>'Bilan 2045'!$G$23-SUM('Bilan 2045'!$K$23:$P$23)+'Bilan 2045'!$G$47</f>
        <v>5.7492063580491291</v>
      </c>
      <c r="BE22" s="205">
        <f>'Bilan 2050'!$G$23-SUM('Bilan 2050'!$K$23:$P$23)+'Bilan 2050'!$G$47</f>
        <v>7.071337409208251</v>
      </c>
      <c r="BF22" s="216"/>
      <c r="BG22" s="205" t="s">
        <v>296</v>
      </c>
      <c r="BH22" s="202">
        <f t="shared" si="93"/>
        <v>8.8310867949872807E-2</v>
      </c>
      <c r="BI22" s="202">
        <f t="shared" si="93"/>
        <v>9.2541488827577414E-2</v>
      </c>
      <c r="BJ22" s="202">
        <f t="shared" si="93"/>
        <v>6.2104962666993696E-2</v>
      </c>
      <c r="BK22" s="202">
        <f t="shared" si="93"/>
        <v>5.7090076163850999E-2</v>
      </c>
      <c r="BL22" s="202">
        <f t="shared" si="93"/>
        <v>4.9871414010740356E-2</v>
      </c>
      <c r="BM22" s="202">
        <f t="shared" si="93"/>
        <v>4.5578317509367909E-2</v>
      </c>
      <c r="BN22" s="202">
        <f t="shared" si="93"/>
        <v>4.4074320961875461E-2</v>
      </c>
      <c r="BO22" s="202">
        <f t="shared" si="93"/>
        <v>4.3098874329890235E-2</v>
      </c>
      <c r="BP22" s="202">
        <f t="shared" si="93"/>
        <v>4.1718483935228617E-2</v>
      </c>
      <c r="BQ22" s="202">
        <f t="shared" si="93"/>
        <v>4.0824661292837343E-2</v>
      </c>
      <c r="BR22" s="202">
        <f t="shared" si="93"/>
        <v>3.8658951565073603E-2</v>
      </c>
      <c r="BS22" s="202">
        <f t="shared" si="93"/>
        <v>3.6791520799830689E-2</v>
      </c>
      <c r="BU22" s="205" t="s">
        <v>296</v>
      </c>
      <c r="BV22" s="208">
        <f>'Bilan 2015'!$E$39+'Bilan 2015'!$E$30+'Bilan 2015'!$E$31</f>
        <v>1.3363788731984698E-2</v>
      </c>
      <c r="BW22" s="208">
        <f>'Bilan 2020'!$E$39+'Bilan 2020'!$E$30+'Bilan 2020'!$E$31</f>
        <v>0.43300753878297921</v>
      </c>
      <c r="BX22" s="208">
        <f>'Bilan 2023'!$E$39+'Bilan 2023'!$E$30+'Bilan 2023'!$E$31</f>
        <v>0.27172971155591069</v>
      </c>
      <c r="BY22" s="208">
        <f>'Bilan 2025'!$E$39+'Bilan 2025'!$E$30+'Bilan 2025'!$E$31</f>
        <v>0.25497025245132637</v>
      </c>
      <c r="BZ22" s="208">
        <f>'Bilan 2028'!$E$39+'Bilan 2028'!$E$30+'Bilan 2028'!$E$31</f>
        <v>0.2297614106425773</v>
      </c>
      <c r="CA22" s="208">
        <f>'Bilan 2030'!$E$39+'Bilan 2030'!$E$30+'Bilan 2030'!$E$31</f>
        <v>0.21422829213531003</v>
      </c>
      <c r="CB22" s="208">
        <f>'Bilan 2033'!$E$39+'Bilan 2033'!$E$30+'Bilan 2033'!$E$31</f>
        <v>0.20561566039766468</v>
      </c>
      <c r="CC22" s="208">
        <f>'Bilan 2035'!$E$39+'Bilan 2035'!$E$30+'Bilan 2035'!$E$31</f>
        <v>0.20006260436926637</v>
      </c>
      <c r="CD22" s="208">
        <f>'Bilan 2038'!$E$39+'Bilan 2038'!$E$30+'Bilan 2038'!$E$31</f>
        <v>0.19327034164468507</v>
      </c>
      <c r="CE22" s="208">
        <f>'Bilan 2040'!$E$39+'Bilan 2040'!$E$30+'Bilan 2040'!$E$31</f>
        <v>0.18887239918736587</v>
      </c>
      <c r="CF22" s="208">
        <f>'Bilan 2045'!$E$39+'Bilan 2045'!$E$30+'Bilan 2045'!$E$31</f>
        <v>0.17897357698677774</v>
      </c>
      <c r="CG22" s="208">
        <f>'Bilan 2050'!$E$39+'Bilan 2050'!$E$30+'Bilan 2050'!$E$31</f>
        <v>0.1704230527562732</v>
      </c>
      <c r="CH22" s="206"/>
      <c r="CJ22" s="205" t="s">
        <v>296</v>
      </c>
      <c r="CK22" s="202">
        <f t="shared" si="94"/>
        <v>6.6778294335551255E-2</v>
      </c>
      <c r="CL22" s="202">
        <f t="shared" si="94"/>
        <v>5.8590441181550393E-2</v>
      </c>
      <c r="CM22" s="202">
        <f t="shared" si="94"/>
        <v>3.5917125032514312E-2</v>
      </c>
      <c r="CN22" s="202">
        <f t="shared" si="94"/>
        <v>3.4802976508651058E-2</v>
      </c>
      <c r="CO22" s="202">
        <f t="shared" si="94"/>
        <v>3.2827238636727228E-2</v>
      </c>
      <c r="CP22" s="202">
        <f t="shared" si="94"/>
        <v>3.1568269820192889E-2</v>
      </c>
      <c r="CQ22" s="202">
        <f t="shared" si="94"/>
        <v>3.1336757354527685E-2</v>
      </c>
      <c r="CR22" s="202">
        <f t="shared" si="94"/>
        <v>3.1183310363226788E-2</v>
      </c>
      <c r="CS22" s="202">
        <f t="shared" si="94"/>
        <v>3.1034780478611888E-2</v>
      </c>
      <c r="CT22" s="202">
        <f t="shared" si="94"/>
        <v>3.093556492191811E-2</v>
      </c>
      <c r="CU22" s="202">
        <f t="shared" si="94"/>
        <v>3.0696886700287643E-2</v>
      </c>
      <c r="CV22" s="202">
        <f t="shared" si="94"/>
        <v>3.0628515754839856E-2</v>
      </c>
      <c r="CX22" s="193">
        <f>CX21+1</f>
        <v>2405</v>
      </c>
      <c r="CY22" s="205" t="s">
        <v>296</v>
      </c>
      <c r="CZ22" s="207" t="s">
        <v>290</v>
      </c>
      <c r="DA22" s="202">
        <f>'Bilan 2015'!$K$30*('Bilan 2015'!$G$30/'Bilan 2015'!$H$30)</f>
        <v>1.010533627513603E-2</v>
      </c>
      <c r="DB22" s="202">
        <f>'Bilan 2020'!$K$30*('Bilan 2020'!$G$30/'Bilan 2020'!$H$30)</f>
        <v>0.27414841768432557</v>
      </c>
      <c r="DC22" s="202">
        <f>'Bilan 2023'!$K$30*('Bilan 2023'!$G$30/'Bilan 2023'!$H$30)</f>
        <v>0.15714927770481715</v>
      </c>
      <c r="DD22" s="202">
        <f>'Bilan 2025'!$K$30*('Bilan 2025'!$G$30/'Bilan 2025'!$H$30)</f>
        <v>0.1554337338944928</v>
      </c>
      <c r="DE22" s="202">
        <f>'Bilan 2028'!$K$30*('Bilan 2028'!$G$30/'Bilan 2028'!$H$30)</f>
        <v>0.15123759384585764</v>
      </c>
      <c r="DF22" s="202">
        <f>'Bilan 2030'!$K$30*('Bilan 2030'!$G$30/'Bilan 2030'!$H$30)</f>
        <v>0.14837793272769628</v>
      </c>
      <c r="DG22" s="202">
        <f>'Bilan 2033'!$K$30*('Bilan 2033'!$G$30/'Bilan 2033'!$H$30)</f>
        <v>0.14619233870321227</v>
      </c>
      <c r="DH22" s="202">
        <f>'Bilan 2035'!$K$30*('Bilan 2035'!$G$30/'Bilan 2035'!$H$30)</f>
        <v>0.14475121174558467</v>
      </c>
      <c r="DI22" s="202">
        <f>'Bilan 2038'!$K$30*('Bilan 2038'!$G$30/'Bilan 2038'!$H$30)</f>
        <v>0.14377566153366625</v>
      </c>
      <c r="DJ22" s="202">
        <f>'Bilan 2040'!$K$30*('Bilan 2040'!$G$30/'Bilan 2040'!$H$30)</f>
        <v>0.14312119640400589</v>
      </c>
      <c r="DK22" s="202">
        <f>'Bilan 2045'!$K$30*('Bilan 2045'!$G$30/'Bilan 2045'!$H$30)</f>
        <v>0.14211279387286363</v>
      </c>
      <c r="DL22" s="202">
        <f>'Bilan 2050'!$K$30*('Bilan 2050'!$G$30/'Bilan 2050'!$H$30)</f>
        <v>0.14187522132429597</v>
      </c>
    </row>
    <row r="23" spans="1:116" ht="14.5">
      <c r="A23" s="211" t="s">
        <v>300</v>
      </c>
      <c r="B23" s="212"/>
      <c r="C23" s="212"/>
      <c r="D23" s="212"/>
      <c r="E23" s="212"/>
      <c r="F23" s="212"/>
      <c r="G23" s="212"/>
      <c r="H23" s="212"/>
      <c r="I23" s="212"/>
      <c r="J23" s="212"/>
      <c r="K23" s="212"/>
      <c r="L23" s="212"/>
      <c r="M23" s="579"/>
      <c r="N23" s="575"/>
      <c r="O23" s="575"/>
      <c r="P23" s="575"/>
      <c r="Q23" s="571" t="s">
        <v>42</v>
      </c>
      <c r="R23" s="201">
        <f t="shared" ref="R23:AC23" si="100">B38</f>
        <v>5.5321903370544652</v>
      </c>
      <c r="S23" s="201">
        <f t="shared" si="100"/>
        <v>49.830275396336631</v>
      </c>
      <c r="T23" s="201">
        <f t="shared" si="100"/>
        <v>50.689149577825773</v>
      </c>
      <c r="U23" s="201">
        <f t="shared" si="100"/>
        <v>49.1086717583973</v>
      </c>
      <c r="V23" s="201">
        <f t="shared" si="100"/>
        <v>47.443922804144869</v>
      </c>
      <c r="W23" s="201">
        <f t="shared" si="100"/>
        <v>46.34677612109779</v>
      </c>
      <c r="X23" s="201">
        <f t="shared" si="100"/>
        <v>46.166677563253685</v>
      </c>
      <c r="Y23" s="201">
        <f t="shared" si="100"/>
        <v>46.000479590016539</v>
      </c>
      <c r="Z23" s="201">
        <f t="shared" si="100"/>
        <v>45.545215820424701</v>
      </c>
      <c r="AA23" s="201">
        <f t="shared" si="100"/>
        <v>45.210854825774298</v>
      </c>
      <c r="AB23" s="201">
        <f t="shared" si="100"/>
        <v>44.318034238205584</v>
      </c>
      <c r="AC23" s="201">
        <f t="shared" si="100"/>
        <v>43.273105682596288</v>
      </c>
      <c r="AD23" s="193">
        <f>AD22+1</f>
        <v>2405</v>
      </c>
      <c r="AE23" s="205" t="s">
        <v>293</v>
      </c>
      <c r="AF23" s="205">
        <f>'Bilan 2015'!$G$27*(1-SUM('Bilan 2015'!$K$26:$P$34)/'Bilan 2015'!$H$30)+'Bilan 2015'!$G$44</f>
        <v>0.53396714963570513</v>
      </c>
      <c r="AG23" s="205">
        <f>'Bilan 2020'!$G$27*(1-SUM('Bilan 2020'!$K$26:$P$34)/'Bilan 2020'!$H$30)+'Bilan 2020'!$G$44</f>
        <v>18.016566550483031</v>
      </c>
      <c r="AH23" s="205">
        <f>'Bilan 2023'!$G$27*(1-SUM('Bilan 2023'!$K$26:$P$34)/'Bilan 2023'!$H$30)+'Bilan 2023'!$G$44</f>
        <v>11.735380700317338</v>
      </c>
      <c r="AI23" s="205">
        <f>'Bilan 2025'!$G$27*(1-SUM('Bilan 2025'!$K$26:$P$34)/'Bilan 2025'!$H$30)+'Bilan 2025'!$G$44</f>
        <v>11.939583873836467</v>
      </c>
      <c r="AJ23" s="205">
        <f>'Bilan 2028'!$G$27*(1-SUM('Bilan 2028'!$K$26:$P$34)/'Bilan 2028'!$H$30)+'Bilan 2028'!$G$44</f>
        <v>11.941549532550855</v>
      </c>
      <c r="AK23" s="205">
        <f>'Bilan 2030'!$G$27*(1-SUM('Bilan 2030'!$K$26:$P$34)/'Bilan 2030'!$H$30)+'Bilan 2030'!$G$44</f>
        <v>11.932781668055053</v>
      </c>
      <c r="AL23" s="205">
        <f>'Bilan 2033'!$G$27*(1-SUM('Bilan 2033'!$K$26:$P$34)/'Bilan 2033'!$H$30)+'Bilan 2033'!$G$44</f>
        <v>11.814856984190413</v>
      </c>
      <c r="AM23" s="205">
        <f>'Bilan 2035'!$G$27*(1-SUM('Bilan 2035'!$K$26:$P$34)/'Bilan 2035'!$H$30)+'Bilan 2035'!$G$44</f>
        <v>11.735141249615346</v>
      </c>
      <c r="AN23" s="205">
        <f>'Bilan 2038'!$G$27*(1-SUM('Bilan 2038'!$K$26:$P$34)/'Bilan 2038'!$H$30)+'Bilan 2038'!$G$44</f>
        <v>11.688082147611262</v>
      </c>
      <c r="AO23" s="205">
        <f>'Bilan 2040'!$G$27*(1-SUM('Bilan 2040'!$K$26:$P$34)/'Bilan 2040'!$H$30)+'Bilan 2040'!$G$44</f>
        <v>11.654261667053387</v>
      </c>
      <c r="AP23" s="205">
        <f>'Bilan 2045'!$G$27*(1-SUM('Bilan 2045'!$K$26:$P$34)/'Bilan 2045'!$H$30)+'Bilan 2045'!$G$44</f>
        <v>11.600780989338643</v>
      </c>
      <c r="AQ23" s="205">
        <f>'Bilan 2050'!$G$27*(1-SUM('Bilan 2050'!$K$26:$P$34)/'Bilan 2050'!$H$30)+'Bilan 2050'!$G$44</f>
        <v>11.581090429869187</v>
      </c>
      <c r="AR23" s="206"/>
      <c r="AS23" s="205" t="s">
        <v>293</v>
      </c>
      <c r="AT23" s="205">
        <f>'Bilan 2015'!$G$27*(1-SUM('Bilan 2015'!$K$26:$P$34)/'Bilan 2015'!$H$30)+'Bilan 2015'!$G$44</f>
        <v>0.53396714963570513</v>
      </c>
      <c r="AU23" s="205">
        <f>'Bilan 2020'!$G$27*(1-SUM('Bilan 2020'!$K$26:$P$34)/'Bilan 2020'!$H$30)+'Bilan 2020'!$G$44</f>
        <v>18.016566550483031</v>
      </c>
      <c r="AV23" s="205">
        <f>'Bilan 2023'!$G$27*(1-SUM('Bilan 2023'!$K$26:$P$34)/'Bilan 2023'!$H$30)+'Bilan 2023'!$G$44</f>
        <v>11.735380700317338</v>
      </c>
      <c r="AW23" s="205">
        <f>'Bilan 2025'!$G$27*(1-SUM('Bilan 2025'!$K$26:$P$34)/'Bilan 2025'!$H$30)+'Bilan 2025'!$G$44</f>
        <v>11.939583873836467</v>
      </c>
      <c r="AX23" s="205">
        <f>'Bilan 2028'!$G$27*(1-SUM('Bilan 2028'!$K$26:$P$34)/'Bilan 2028'!$H$30)+'Bilan 2028'!$G$44</f>
        <v>11.941549532550855</v>
      </c>
      <c r="AY23" s="205">
        <f>'Bilan 2030'!$G$27*(1-SUM('Bilan 2030'!$K$26:$P$34)/'Bilan 2030'!$H$30)+'Bilan 2030'!$G$44</f>
        <v>11.932781668055053</v>
      </c>
      <c r="AZ23" s="205">
        <f>'Bilan 2033'!$G$27*(1-SUM('Bilan 2033'!$K$26:$P$34)/'Bilan 2033'!$H$30)+'Bilan 2033'!$G$44</f>
        <v>11.814856984190413</v>
      </c>
      <c r="BA23" s="205">
        <f>'Bilan 2035'!$G$27*(1-SUM('Bilan 2035'!$K$26:$P$34)/'Bilan 2035'!$H$30)+'Bilan 2035'!$G$44</f>
        <v>11.735141249615346</v>
      </c>
      <c r="BB23" s="205">
        <f>'Bilan 2038'!$G$27*(1-SUM('Bilan 2038'!$K$26:$P$34)/'Bilan 2038'!$H$30)+'Bilan 2038'!$G$44</f>
        <v>11.688082147611262</v>
      </c>
      <c r="BC23" s="205">
        <f>'Bilan 2040'!$G$27*(1-SUM('Bilan 2040'!$K$26:$P$34)/'Bilan 2040'!$H$30)+'Bilan 2040'!$G$44</f>
        <v>11.654261667053387</v>
      </c>
      <c r="BD23" s="205">
        <f>'Bilan 2045'!$G$27*(1-SUM('Bilan 2045'!$K$26:$P$34)/'Bilan 2045'!$H$30)+'Bilan 2045'!$G$44</f>
        <v>11.600780989338643</v>
      </c>
      <c r="BE23" s="205">
        <f>'Bilan 2050'!$G$27*(1-SUM('Bilan 2050'!$K$26:$P$34)/'Bilan 2050'!$H$30)+'Bilan 2050'!$G$44</f>
        <v>11.581090429869187</v>
      </c>
      <c r="BF23" s="216"/>
      <c r="BG23" s="205" t="s">
        <v>249</v>
      </c>
      <c r="BH23" s="202">
        <f t="shared" si="93"/>
        <v>0.39870025002763365</v>
      </c>
      <c r="BI23" s="202">
        <f t="shared" si="93"/>
        <v>0</v>
      </c>
      <c r="BJ23" s="202">
        <f t="shared" si="93"/>
        <v>0</v>
      </c>
      <c r="BK23" s="202">
        <f t="shared" si="93"/>
        <v>0</v>
      </c>
      <c r="BL23" s="202">
        <f t="shared" si="93"/>
        <v>0</v>
      </c>
      <c r="BM23" s="202">
        <f t="shared" si="93"/>
        <v>0</v>
      </c>
      <c r="BN23" s="202">
        <f t="shared" si="93"/>
        <v>0</v>
      </c>
      <c r="BO23" s="202">
        <f t="shared" si="93"/>
        <v>0</v>
      </c>
      <c r="BP23" s="202">
        <f t="shared" si="93"/>
        <v>0</v>
      </c>
      <c r="BQ23" s="202">
        <f t="shared" si="93"/>
        <v>0</v>
      </c>
      <c r="BR23" s="202">
        <f t="shared" si="93"/>
        <v>0</v>
      </c>
      <c r="BS23" s="202">
        <f t="shared" si="93"/>
        <v>0</v>
      </c>
      <c r="BU23" s="205" t="s">
        <v>249</v>
      </c>
      <c r="BV23" s="208">
        <f>'Bilan 2015'!$E$28</f>
        <v>0.49866725657423938</v>
      </c>
      <c r="BW23" s="208">
        <f>'Bilan 2020'!$E$28</f>
        <v>0</v>
      </c>
      <c r="BX23" s="208">
        <f>'Bilan 2023'!$E$28</f>
        <v>0</v>
      </c>
      <c r="BY23" s="208">
        <f>'Bilan 2025'!$E$28</f>
        <v>0</v>
      </c>
      <c r="BZ23" s="208">
        <f>'Bilan 2028'!$E$28</f>
        <v>0</v>
      </c>
      <c r="CA23" s="208">
        <f>'Bilan 2030'!$E$28</f>
        <v>0</v>
      </c>
      <c r="CB23" s="208">
        <f>'Bilan 2033'!$E$28</f>
        <v>0</v>
      </c>
      <c r="CC23" s="208">
        <f>'Bilan 2035'!$E$28</f>
        <v>0</v>
      </c>
      <c r="CD23" s="208">
        <f>'Bilan 2038'!$E$28</f>
        <v>0</v>
      </c>
      <c r="CE23" s="208">
        <f>'Bilan 2040'!$E$28</f>
        <v>0</v>
      </c>
      <c r="CF23" s="208">
        <f>'Bilan 2045'!$E$28</f>
        <v>0</v>
      </c>
      <c r="CG23" s="208">
        <f>'Bilan 2050'!$E$28</f>
        <v>0</v>
      </c>
      <c r="CH23" s="206"/>
      <c r="CJ23" s="205" t="s">
        <v>249</v>
      </c>
      <c r="CK23" s="202">
        <f t="shared" si="94"/>
        <v>0.30148636590363792</v>
      </c>
      <c r="CL23" s="202">
        <f t="shared" si="94"/>
        <v>0</v>
      </c>
      <c r="CM23" s="202">
        <f t="shared" si="94"/>
        <v>0</v>
      </c>
      <c r="CN23" s="202">
        <f t="shared" si="94"/>
        <v>0</v>
      </c>
      <c r="CO23" s="202">
        <f t="shared" si="94"/>
        <v>0</v>
      </c>
      <c r="CP23" s="202">
        <f t="shared" si="94"/>
        <v>0</v>
      </c>
      <c r="CQ23" s="202">
        <f t="shared" si="94"/>
        <v>0</v>
      </c>
      <c r="CR23" s="202">
        <f t="shared" si="94"/>
        <v>0</v>
      </c>
      <c r="CS23" s="202">
        <f t="shared" si="94"/>
        <v>0</v>
      </c>
      <c r="CT23" s="202">
        <f t="shared" si="94"/>
        <v>0</v>
      </c>
      <c r="CU23" s="202">
        <f t="shared" si="94"/>
        <v>0</v>
      </c>
      <c r="CV23" s="202">
        <f t="shared" si="94"/>
        <v>0</v>
      </c>
      <c r="CY23" s="205" t="s">
        <v>249</v>
      </c>
      <c r="CZ23" s="207"/>
      <c r="DA23" s="202">
        <f>'Bilan 2015'!$K$30*'Bilan 2015'!$G$28/'Bilan 2015'!$H$30</f>
        <v>0.37707871758115113</v>
      </c>
      <c r="DB23" s="202">
        <f>'Bilan 2020'!$K$30*'Bilan 2020'!$G$28/'Bilan 2020'!$H$30</f>
        <v>0</v>
      </c>
      <c r="DC23" s="202">
        <f>'Bilan 2023'!$K$30*'Bilan 2023'!$G$28/'Bilan 2023'!$H$30</f>
        <v>0</v>
      </c>
      <c r="DD23" s="202">
        <f>'Bilan 2025'!$K$30*'Bilan 2025'!$G$28/'Bilan 2025'!$H$30</f>
        <v>0</v>
      </c>
      <c r="DE23" s="202">
        <f>'Bilan 2028'!$K$30*'Bilan 2028'!$G$28/'Bilan 2028'!$H$30</f>
        <v>0</v>
      </c>
      <c r="DF23" s="202">
        <f>'Bilan 2030'!$K$30*'Bilan 2030'!$G$28/'Bilan 2030'!$H$30</f>
        <v>0</v>
      </c>
      <c r="DG23" s="202">
        <f>'Bilan 2033'!$K$30*'Bilan 2033'!$G$28/'Bilan 2033'!$H$30</f>
        <v>0</v>
      </c>
      <c r="DH23" s="202">
        <f>'Bilan 2035'!$K$30*'Bilan 2035'!$G$28/'Bilan 2035'!$H$30</f>
        <v>0</v>
      </c>
      <c r="DI23" s="202">
        <f>'Bilan 2038'!$K$30*'Bilan 2038'!$G$28/'Bilan 2038'!$H$30</f>
        <v>0</v>
      </c>
      <c r="DJ23" s="202">
        <f>'Bilan 2040'!$K$30*'Bilan 2040'!$G$28/'Bilan 2040'!$H$30</f>
        <v>0</v>
      </c>
      <c r="DK23" s="202">
        <f>'Bilan 2045'!$K$30*'Bilan 2045'!$G$28/'Bilan 2045'!$H$30</f>
        <v>0</v>
      </c>
      <c r="DL23" s="202">
        <f>'Bilan 2050'!$K$30*'Bilan 2050'!$G$28/'Bilan 2050'!$H$30</f>
        <v>0</v>
      </c>
    </row>
    <row r="24" spans="1:116" ht="14.5">
      <c r="A24" s="211"/>
      <c r="B24" s="212"/>
      <c r="C24" s="212"/>
      <c r="D24" s="212"/>
      <c r="E24" s="212"/>
      <c r="F24" s="212"/>
      <c r="G24" s="212"/>
      <c r="H24" s="212"/>
      <c r="I24" s="212"/>
      <c r="J24" s="212"/>
      <c r="K24" s="212"/>
      <c r="L24" s="212"/>
      <c r="M24" s="579"/>
      <c r="N24" s="575"/>
      <c r="O24" s="575"/>
      <c r="P24" s="575"/>
      <c r="Q24" s="564"/>
      <c r="R24" s="564"/>
      <c r="S24" s="564"/>
      <c r="T24" s="564"/>
      <c r="U24" s="564"/>
      <c r="V24" s="564"/>
      <c r="W24" s="564"/>
      <c r="X24" s="564"/>
      <c r="Y24" s="564"/>
      <c r="Z24" s="564"/>
      <c r="AA24" s="564"/>
      <c r="AB24" s="564"/>
      <c r="AC24" s="564"/>
      <c r="AE24" s="205" t="s">
        <v>296</v>
      </c>
      <c r="AF24" s="205">
        <f>'Bilan 2015'!$G$39+'Bilan 2015'!$G$30*(1-SUM('Bilan 2015'!$K$26:$P$34)/'Bilan 2015'!$H$30)</f>
        <v>0.15132666049177865</v>
      </c>
      <c r="AG24" s="205">
        <f>'Bilan 2020'!$G$39+'Bilan 2020'!$G$30*(1-SUM('Bilan 2020'!$K$26:$P$34)/'Bilan 2020'!$H$30)</f>
        <v>4.6790638908971465</v>
      </c>
      <c r="AH24" s="205">
        <f>'Bilan 2023'!$G$39+'Bilan 2023'!$G$30*(1-SUM('Bilan 2023'!$K$26:$P$34)/'Bilan 2023'!$H$30)</f>
        <v>4.3753300845364516</v>
      </c>
      <c r="AI24" s="205">
        <f>'Bilan 2025'!$G$39+'Bilan 2025'!$G$30*(1-SUM('Bilan 2025'!$K$26:$P$34)/'Bilan 2025'!$H$30)</f>
        <v>4.4661046119390466</v>
      </c>
      <c r="AJ24" s="205">
        <f>'Bilan 2028'!$G$39+'Bilan 2028'!$G$30*(1-SUM('Bilan 2028'!$K$26:$P$34)/'Bilan 2028'!$H$30)</f>
        <v>4.607076322181193</v>
      </c>
      <c r="AK24" s="205">
        <f>'Bilan 2030'!$G$39+'Bilan 2030'!$G$30*(1-SUM('Bilan 2030'!$K$26:$P$34)/'Bilan 2030'!$H$30)</f>
        <v>4.7002237871391097</v>
      </c>
      <c r="AL24" s="205">
        <f>'Bilan 2033'!$G$39+'Bilan 2033'!$G$30*(1-SUM('Bilan 2033'!$K$26:$P$34)/'Bilan 2033'!$H$30)</f>
        <v>4.6652031366637141</v>
      </c>
      <c r="AM24" s="205">
        <f>'Bilan 2035'!$G$39+'Bilan 2035'!$G$30*(1-SUM('Bilan 2035'!$K$26:$P$34)/'Bilan 2035'!$H$30)</f>
        <v>4.6419450038981074</v>
      </c>
      <c r="AN24" s="205">
        <f>'Bilan 2038'!$G$39+'Bilan 2038'!$G$30*(1-SUM('Bilan 2038'!$K$26:$P$34)/'Bilan 2038'!$H$30)</f>
        <v>4.6327268734106735</v>
      </c>
      <c r="AO24" s="205">
        <f>'Bilan 2040'!$G$39+'Bilan 2040'!$G$30*(1-SUM('Bilan 2040'!$K$26:$P$34)/'Bilan 2040'!$H$30)</f>
        <v>4.6264290555303003</v>
      </c>
      <c r="AP24" s="205">
        <f>'Bilan 2045'!$G$39+'Bilan 2045'!$G$30*(1-SUM('Bilan 2045'!$K$26:$P$34)/'Bilan 2045'!$H$30)</f>
        <v>4.6295507182991287</v>
      </c>
      <c r="AQ24" s="205">
        <f>'Bilan 2050'!$G$39+'Bilan 2050'!$G$30*(1-SUM('Bilan 2050'!$K$26:$P$34)/'Bilan 2050'!$H$30)</f>
        <v>4.6321285190542456</v>
      </c>
      <c r="AR24" s="206"/>
      <c r="AS24" s="205" t="s">
        <v>296</v>
      </c>
      <c r="AT24" s="205">
        <f>'Bilan 2015'!$G$39+'Bilan 2015'!$G$30*(1-SUM('Bilan 2015'!$K$26:$P$34)/'Bilan 2015'!$H$30)</f>
        <v>0.15132666049177865</v>
      </c>
      <c r="AU24" s="205">
        <f>'Bilan 2020'!$G$39+'Bilan 2020'!$G$30*(1-SUM('Bilan 2020'!$K$26:$P$34)/'Bilan 2020'!$H$30)</f>
        <v>4.6790638908971465</v>
      </c>
      <c r="AV24" s="205">
        <f>'Bilan 2023'!$G$39+'Bilan 2023'!$G$30*(1-SUM('Bilan 2023'!$K$26:$P$34)/'Bilan 2023'!$H$30)</f>
        <v>4.3753300845364516</v>
      </c>
      <c r="AW24" s="205">
        <f>'Bilan 2025'!$G$39+'Bilan 2025'!$G$30*(1-SUM('Bilan 2025'!$K$26:$P$34)/'Bilan 2025'!$H$30)</f>
        <v>4.4661046119390466</v>
      </c>
      <c r="AX24" s="205">
        <f>'Bilan 2028'!$G$39+'Bilan 2028'!$G$30*(1-SUM('Bilan 2028'!$K$26:$P$34)/'Bilan 2028'!$H$30)</f>
        <v>4.607076322181193</v>
      </c>
      <c r="AY24" s="205">
        <f>'Bilan 2030'!$G$39+'Bilan 2030'!$G$30*(1-SUM('Bilan 2030'!$K$26:$P$34)/'Bilan 2030'!$H$30)</f>
        <v>4.7002237871391097</v>
      </c>
      <c r="AZ24" s="205">
        <f>'Bilan 2033'!$G$39+'Bilan 2033'!$G$30*(1-SUM('Bilan 2033'!$K$26:$P$34)/'Bilan 2033'!$H$30)</f>
        <v>4.6652031366637141</v>
      </c>
      <c r="BA24" s="205">
        <f>'Bilan 2035'!$G$39+'Bilan 2035'!$G$30*(1-SUM('Bilan 2035'!$K$26:$P$34)/'Bilan 2035'!$H$30)</f>
        <v>4.6419450038981074</v>
      </c>
      <c r="BB24" s="205">
        <f>'Bilan 2038'!$G$39+'Bilan 2038'!$G$30*(1-SUM('Bilan 2038'!$K$26:$P$34)/'Bilan 2038'!$H$30)</f>
        <v>4.6327268734106735</v>
      </c>
      <c r="BC24" s="205">
        <f>'Bilan 2040'!$G$39+'Bilan 2040'!$G$30*(1-SUM('Bilan 2040'!$K$26:$P$34)/'Bilan 2040'!$H$30)</f>
        <v>4.6264290555303003</v>
      </c>
      <c r="BD24" s="205">
        <f>'Bilan 2045'!$G$39+'Bilan 2045'!$G$30*(1-SUM('Bilan 2045'!$K$26:$P$34)/'Bilan 2045'!$H$30)</f>
        <v>4.6295507182991287</v>
      </c>
      <c r="BE24" s="205">
        <f>'Bilan 2050'!$G$39+'Bilan 2050'!$G$30*(1-SUM('Bilan 2050'!$K$26:$P$34)/'Bilan 2050'!$H$30)</f>
        <v>4.6321285190542456</v>
      </c>
      <c r="BF24" s="216"/>
      <c r="BG24" s="205" t="s">
        <v>299</v>
      </c>
      <c r="BH24" s="202">
        <f t="shared" si="93"/>
        <v>0</v>
      </c>
      <c r="BI24" s="202">
        <f t="shared" si="93"/>
        <v>8.0549113865217709E-3</v>
      </c>
      <c r="BJ24" s="202">
        <f t="shared" si="93"/>
        <v>0</v>
      </c>
      <c r="BK24" s="202">
        <f t="shared" si="93"/>
        <v>0</v>
      </c>
      <c r="BL24" s="202">
        <f t="shared" si="93"/>
        <v>0</v>
      </c>
      <c r="BM24" s="202">
        <f t="shared" si="93"/>
        <v>0</v>
      </c>
      <c r="BN24" s="202">
        <f t="shared" si="93"/>
        <v>0</v>
      </c>
      <c r="BO24" s="202">
        <f t="shared" si="93"/>
        <v>0</v>
      </c>
      <c r="BP24" s="202">
        <f t="shared" si="93"/>
        <v>0</v>
      </c>
      <c r="BQ24" s="202">
        <f t="shared" si="93"/>
        <v>0</v>
      </c>
      <c r="BR24" s="202">
        <f t="shared" si="93"/>
        <v>0</v>
      </c>
      <c r="BS24" s="202">
        <f t="shared" si="93"/>
        <v>0</v>
      </c>
      <c r="BU24" s="205" t="s">
        <v>299</v>
      </c>
      <c r="BV24" s="208">
        <f>+'Bilan 2015'!$E$40</f>
        <v>0</v>
      </c>
      <c r="BW24" s="208">
        <f>+'Bilan 2020'!$E$40</f>
        <v>0.25705111111111101</v>
      </c>
      <c r="BX24" s="208">
        <f>+'Bilan 2023'!$E$40</f>
        <v>0</v>
      </c>
      <c r="BY24" s="208">
        <f>+'Bilan 2025'!$E$40</f>
        <v>0</v>
      </c>
      <c r="BZ24" s="208">
        <f>+'Bilan 2028'!$E$40</f>
        <v>0</v>
      </c>
      <c r="CA24" s="208">
        <f>+'Bilan 2030'!$E$40</f>
        <v>0</v>
      </c>
      <c r="CB24" s="208">
        <f>+'Bilan 2033'!$E$40</f>
        <v>0</v>
      </c>
      <c r="CC24" s="208">
        <f>+'Bilan 2035'!$E$40</f>
        <v>0</v>
      </c>
      <c r="CD24" s="208">
        <f>+'Bilan 2038'!$E$40</f>
        <v>0</v>
      </c>
      <c r="CE24" s="208">
        <f>+'Bilan 2040'!$E$40</f>
        <v>0</v>
      </c>
      <c r="CF24" s="208">
        <f>+'Bilan 2045'!$E$40</f>
        <v>0</v>
      </c>
      <c r="CG24" s="208">
        <f>+'Bilan 2050'!$E$40</f>
        <v>0</v>
      </c>
      <c r="CJ24" s="205" t="s">
        <v>299</v>
      </c>
      <c r="CK24" s="202">
        <f t="shared" si="94"/>
        <v>0</v>
      </c>
      <c r="CL24" s="202">
        <f t="shared" si="94"/>
        <v>0</v>
      </c>
      <c r="CM24" s="202">
        <f t="shared" si="94"/>
        <v>0</v>
      </c>
      <c r="CN24" s="202">
        <f t="shared" si="94"/>
        <v>0</v>
      </c>
      <c r="CO24" s="202">
        <f t="shared" si="94"/>
        <v>0</v>
      </c>
      <c r="CP24" s="202">
        <f t="shared" si="94"/>
        <v>0</v>
      </c>
      <c r="CQ24" s="202">
        <f t="shared" si="94"/>
        <v>0</v>
      </c>
      <c r="CR24" s="202">
        <f t="shared" si="94"/>
        <v>0</v>
      </c>
      <c r="CS24" s="202">
        <f t="shared" si="94"/>
        <v>0</v>
      </c>
      <c r="CT24" s="202">
        <f t="shared" si="94"/>
        <v>0</v>
      </c>
      <c r="CU24" s="202">
        <f t="shared" si="94"/>
        <v>0</v>
      </c>
      <c r="CV24" s="202">
        <f t="shared" si="94"/>
        <v>0</v>
      </c>
      <c r="CX24" s="193">
        <f>CX22+1</f>
        <v>2406</v>
      </c>
      <c r="CY24" s="205" t="s">
        <v>456</v>
      </c>
      <c r="CZ24" s="207" t="s">
        <v>292</v>
      </c>
      <c r="DA24" s="202">
        <f>'Bilan 2015'!$K$30*'Bilan 2015'!$G$31/'Bilan 2015'!$H$30</f>
        <v>0</v>
      </c>
      <c r="DB24" s="202">
        <f>'Bilan 2020'!$K$30*'Bilan 2020'!$G$31/'Bilan 2020'!$H$30</f>
        <v>0</v>
      </c>
      <c r="DC24" s="202">
        <f>'Bilan 2023'!$K$30*'Bilan 2023'!$G$31/'Bilan 2023'!$H$30</f>
        <v>0</v>
      </c>
      <c r="DD24" s="202">
        <f>'Bilan 2025'!$K$30*'Bilan 2025'!$G$31/'Bilan 2025'!$H$30</f>
        <v>0</v>
      </c>
      <c r="DE24" s="202">
        <f>'Bilan 2028'!$K$30*'Bilan 2028'!$G$31/'Bilan 2028'!$H$30</f>
        <v>0</v>
      </c>
      <c r="DF24" s="202">
        <f>'Bilan 2030'!$K$30*'Bilan 2030'!$G$31/'Bilan 2030'!$H$30</f>
        <v>0</v>
      </c>
      <c r="DG24" s="202">
        <f>'Bilan 2033'!$K$30*'Bilan 2033'!$G$31/'Bilan 2033'!$H$30</f>
        <v>0</v>
      </c>
      <c r="DH24" s="202">
        <f>'Bilan 2035'!$K$30*'Bilan 2035'!$G$31/'Bilan 2035'!$H$30</f>
        <v>0</v>
      </c>
      <c r="DI24" s="202">
        <f>'Bilan 2038'!$K$30*'Bilan 2038'!$G$31/'Bilan 2038'!$H$30</f>
        <v>0</v>
      </c>
      <c r="DJ24" s="202">
        <f>'Bilan 2040'!$K$30*'Bilan 2040'!$G$31/'Bilan 2040'!$H$30</f>
        <v>0</v>
      </c>
      <c r="DK24" s="202">
        <f>'Bilan 2045'!$K$30*'Bilan 2045'!$G$31/'Bilan 2045'!$H$30</f>
        <v>0</v>
      </c>
      <c r="DL24" s="202">
        <f>'Bilan 2050'!$K$30*'Bilan 2050'!$G$31/'Bilan 2050'!$H$30</f>
        <v>0</v>
      </c>
    </row>
    <row r="25" spans="1:116" ht="13">
      <c r="A25" s="209" t="s">
        <v>301</v>
      </c>
      <c r="B25" s="210"/>
      <c r="C25" s="210"/>
      <c r="D25" s="210"/>
      <c r="E25" s="210"/>
      <c r="F25" s="210"/>
      <c r="G25" s="210"/>
      <c r="H25" s="210"/>
      <c r="I25" s="210"/>
      <c r="J25" s="210"/>
      <c r="K25" s="210"/>
      <c r="L25" s="210"/>
      <c r="M25" s="578"/>
      <c r="N25" s="575"/>
      <c r="O25" s="575"/>
      <c r="P25" s="575"/>
      <c r="R25" s="216">
        <f>R2-'Bilan 2015'!$C$5</f>
        <v>1.5668237854640665E-2</v>
      </c>
      <c r="S25" s="215">
        <f>S2-'Bilan 2020'!$C$5</f>
        <v>1.0000000000218279E-2</v>
      </c>
      <c r="T25" s="215">
        <f>T2-'Bilan 2023'!$C$5</f>
        <v>1.0007862024849601E-2</v>
      </c>
      <c r="U25" s="216">
        <f>U2-'Bilan 2025'!$C$5</f>
        <v>1.010000000042055E-2</v>
      </c>
      <c r="V25" s="216">
        <f>V2-'Bilan 2028'!$C$5</f>
        <v>1.010000000042055E-2</v>
      </c>
      <c r="W25" s="216">
        <f>W2-'Bilan 2030'!$C$5</f>
        <v>1.0099999999965803E-2</v>
      </c>
      <c r="X25" s="216">
        <f>X2-'Bilan 2033'!$C$5</f>
        <v>1.0099999999965803E-2</v>
      </c>
      <c r="Y25" s="216">
        <f>Y2-'Bilan 2035'!$C$5</f>
        <v>1.0099999999965803E-2</v>
      </c>
      <c r="Z25" s="216">
        <f>Z2-'Bilan 2038'!$C$5</f>
        <v>1.0099999999965803E-2</v>
      </c>
      <c r="AA25" s="216">
        <f>AA2-'Bilan 2040'!$C$5</f>
        <v>1.010000000042055E-2</v>
      </c>
      <c r="AB25" s="216">
        <f>AB2-'Bilan 2045'!$C$5</f>
        <v>1.0099999999965803E-2</v>
      </c>
      <c r="AC25" s="216">
        <f>AC2-'Bilan 2050'!$C$5</f>
        <v>1.0200000000168075E-2</v>
      </c>
      <c r="AD25" s="193">
        <f>AD23+1</f>
        <v>2406</v>
      </c>
      <c r="AE25" s="205" t="s">
        <v>249</v>
      </c>
      <c r="AF25" s="205">
        <f>+'Bilan 2015'!$G$28*(1-SUM('Bilan 2015'!$K$26:$P$34)/'Bilan 2015'!$H$30)</f>
        <v>1.2407322394196569</v>
      </c>
      <c r="AG25" s="205">
        <f>+'Bilan 2020'!$G$28*(1-SUM('Bilan 2020'!$K$26:$P$34)/'Bilan 2020'!$H$30)</f>
        <v>0</v>
      </c>
      <c r="AH25" s="205">
        <f>+'Bilan 2023'!$G$28*(1-SUM('Bilan 2023'!$K$26:$P$34)/'Bilan 2023'!$H$30)</f>
        <v>0</v>
      </c>
      <c r="AI25" s="205">
        <f>+'Bilan 2025'!$G$28*(1-SUM('Bilan 2025'!$K$26:$P$34)/'Bilan 2025'!$H$30)</f>
        <v>0</v>
      </c>
      <c r="AJ25" s="205">
        <f>+'Bilan 2028'!$G$28*(1-SUM('Bilan 2028'!$K$26:$P$34)/'Bilan 2028'!$H$30)</f>
        <v>0</v>
      </c>
      <c r="AK25" s="205">
        <f>+'Bilan 2030'!$G$28*(1-SUM('Bilan 2030'!$K$26:$P$34)/'Bilan 2030'!$H$30)</f>
        <v>0</v>
      </c>
      <c r="AL25" s="205">
        <f>+'Bilan 2033'!$G$28*(1-SUM('Bilan 2033'!$K$26:$P$34)/'Bilan 2033'!$H$30)</f>
        <v>0</v>
      </c>
      <c r="AM25" s="205">
        <f>+'Bilan 2035'!$G$28*(1-SUM('Bilan 2035'!$K$26:$P$34)/'Bilan 2035'!$H$30)</f>
        <v>0</v>
      </c>
      <c r="AN25" s="205">
        <f>+'Bilan 2038'!$G$28*(1-SUM('Bilan 2038'!$K$26:$P$34)/'Bilan 2038'!$H$30)</f>
        <v>0</v>
      </c>
      <c r="AO25" s="205">
        <f>+'Bilan 2040'!$G$28*(1-SUM('Bilan 2040'!$K$26:$P$34)/'Bilan 2040'!$H$30)</f>
        <v>0</v>
      </c>
      <c r="AP25" s="205">
        <f>+'Bilan 2045'!$G$28*(1-SUM('Bilan 2045'!$K$26:$P$34)/'Bilan 2045'!$H$30)</f>
        <v>0</v>
      </c>
      <c r="AQ25" s="205">
        <f>+'Bilan 2050'!$G$28*(1-SUM('Bilan 2050'!$K$26:$P$34)/'Bilan 2050'!$H$30)</f>
        <v>0</v>
      </c>
      <c r="AR25" s="206"/>
      <c r="AS25" s="205" t="s">
        <v>249</v>
      </c>
      <c r="AT25" s="205">
        <f>+'Bilan 2015'!$G$28*(1-SUM('Bilan 2015'!$K$26:$P$34)/'Bilan 2015'!$H$30)+0.01</f>
        <v>1.2507322394196569</v>
      </c>
      <c r="AU25" s="205">
        <f>+'Bilan 2020'!$G$28*(1-SUM('Bilan 2020'!$K$26:$P$34)/'Bilan 2020'!$H$30)+0.01</f>
        <v>0.01</v>
      </c>
      <c r="AV25" s="205">
        <f>+'Bilan 2023'!$G$28*(1-SUM('Bilan 2023'!$K$26:$P$34)/'Bilan 2023'!$H$30)+0.01</f>
        <v>0.01</v>
      </c>
      <c r="AW25" s="205">
        <f>+'Bilan 2025'!$G$28*(1-SUM('Bilan 2025'!$K$26:$P$34)/'Bilan 2025'!$H$30)+0.01</f>
        <v>0.01</v>
      </c>
      <c r="AX25" s="205">
        <f>+'Bilan 2028'!$G$28*(1-SUM('Bilan 2028'!$K$26:$P$34)/'Bilan 2028'!$H$30)+0.01</f>
        <v>0.01</v>
      </c>
      <c r="AY25" s="205">
        <f>+'Bilan 2030'!$G$28*(1-SUM('Bilan 2030'!$K$26:$P$34)/'Bilan 2030'!$H$30)+0.01</f>
        <v>0.01</v>
      </c>
      <c r="AZ25" s="205">
        <f>+'Bilan 2033'!$G$28*(1-SUM('Bilan 2033'!$K$26:$P$34)/'Bilan 2033'!$H$30)+0.01</f>
        <v>0.01</v>
      </c>
      <c r="BA25" s="205">
        <f>+'Bilan 2035'!$G$28*(1-SUM('Bilan 2035'!$K$26:$P$34)/'Bilan 2035'!$H$30)+0.01</f>
        <v>0.01</v>
      </c>
      <c r="BB25" s="205">
        <f>+'Bilan 2038'!$G$28*(1-SUM('Bilan 2038'!$K$26:$P$34)/'Bilan 2038'!$H$30)+0.01</f>
        <v>0.01</v>
      </c>
      <c r="BC25" s="205">
        <f>+'Bilan 2040'!$G$28*(1-SUM('Bilan 2040'!$K$26:$P$34)/'Bilan 2040'!$H$30)+0.01</f>
        <v>0.01</v>
      </c>
      <c r="BD25" s="205">
        <f>+'Bilan 2045'!$G$28*(1-SUM('Bilan 2045'!$K$26:$P$34)/'Bilan 2045'!$H$30)+0.01</f>
        <v>0.01</v>
      </c>
      <c r="BE25" s="205">
        <f>+'Bilan 2050'!$G$28*(1-SUM('Bilan 2050'!$K$26:$P$34)/'Bilan 2050'!$H$30)+0.01</f>
        <v>0.01</v>
      </c>
      <c r="BG25" s="205" t="s">
        <v>42</v>
      </c>
      <c r="BH25" s="202">
        <f t="shared" ref="BH25:BS25" si="101">BV25/AT26</f>
        <v>1.3634965953234096E-2</v>
      </c>
      <c r="BI25" s="202">
        <f t="shared" si="101"/>
        <v>5.8006402865843024E-3</v>
      </c>
      <c r="BJ25" s="202">
        <f t="shared" si="101"/>
        <v>2.1885543704553288E-3</v>
      </c>
      <c r="BK25" s="202">
        <f t="shared" si="101"/>
        <v>3.4179344691423344E-4</v>
      </c>
      <c r="BL25" s="202">
        <f t="shared" si="101"/>
        <v>1.1055536332701415E-4</v>
      </c>
      <c r="BM25" s="202">
        <f t="shared" si="101"/>
        <v>0</v>
      </c>
      <c r="BN25" s="202">
        <f t="shared" si="101"/>
        <v>0</v>
      </c>
      <c r="BO25" s="202">
        <f t="shared" si="101"/>
        <v>0</v>
      </c>
      <c r="BP25" s="202">
        <f t="shared" si="101"/>
        <v>0</v>
      </c>
      <c r="BQ25" s="202">
        <f t="shared" si="101"/>
        <v>0</v>
      </c>
      <c r="BR25" s="202">
        <f t="shared" si="101"/>
        <v>0</v>
      </c>
      <c r="BS25" s="202">
        <f t="shared" si="101"/>
        <v>0</v>
      </c>
      <c r="BU25" s="205" t="s">
        <v>42</v>
      </c>
      <c r="BV25" s="208">
        <f>'Bilan 2015'!$E$34+'Bilan 2015'!$E$46</f>
        <v>3.9540041679724774E-2</v>
      </c>
      <c r="BW25" s="208">
        <f>'Bilan 2020'!$E$34+'Bilan 2020'!$E$46</f>
        <v>0.18511203404637705</v>
      </c>
      <c r="BX25" s="208">
        <f>'Bilan 2023'!$E$34+'Bilan 2023'!$E$46</f>
        <v>7.9914300520204984E-2</v>
      </c>
      <c r="BY25" s="208">
        <f>'Bilan 2025'!$E$34+'Bilan 2025'!$E$46</f>
        <v>1.3439059202331474E-2</v>
      </c>
      <c r="BZ25" s="208">
        <f>'Bilan 2028'!$E$34+'Bilan 2028'!$E$46</f>
        <v>5.010015760648431E-3</v>
      </c>
      <c r="CA25" s="208">
        <f>'Bilan 2030'!$E$34+'Bilan 2030'!$E$46</f>
        <v>0</v>
      </c>
      <c r="CB25" s="208">
        <f>'Bilan 2033'!$E$34+'Bilan 2033'!$E$46</f>
        <v>0</v>
      </c>
      <c r="CC25" s="208">
        <f>'Bilan 2035'!$E$34+'Bilan 2035'!$E$46</f>
        <v>0</v>
      </c>
      <c r="CD25" s="208">
        <f>'Bilan 2038'!$E$34+'Bilan 2038'!$E$46</f>
        <v>0</v>
      </c>
      <c r="CE25" s="208">
        <f>'Bilan 2040'!$E$34+'Bilan 2040'!$E$46</f>
        <v>0</v>
      </c>
      <c r="CF25" s="208">
        <f>'Bilan 2045'!$E$34+'Bilan 2045'!$E$46</f>
        <v>0</v>
      </c>
      <c r="CG25" s="208">
        <f>'Bilan 2050'!$E$34+'Bilan 2050'!$E$46</f>
        <v>0</v>
      </c>
      <c r="CJ25" s="205" t="s">
        <v>42</v>
      </c>
      <c r="CK25" s="202">
        <f t="shared" ref="CK25:CV25" si="102">IF(AT27&gt;0,DA22/AT27,0)</f>
        <v>2.2738979594717724E-3</v>
      </c>
      <c r="CL25" s="202">
        <f t="shared" si="102"/>
        <v>7.0906298186927336E-3</v>
      </c>
      <c r="CM25" s="202">
        <f t="shared" si="102"/>
        <v>3.1079884548343116E-3</v>
      </c>
      <c r="CN25" s="202">
        <f t="shared" si="102"/>
        <v>3.1664932191189888E-3</v>
      </c>
      <c r="CO25" s="202">
        <f t="shared" si="102"/>
        <v>3.1882709609883713E-3</v>
      </c>
      <c r="CP25" s="202">
        <f t="shared" si="102"/>
        <v>3.2014725757840211E-3</v>
      </c>
      <c r="CQ25" s="202">
        <f t="shared" si="102"/>
        <v>3.166620307534842E-3</v>
      </c>
      <c r="CR25" s="202">
        <f t="shared" si="102"/>
        <v>3.1467326653046462E-3</v>
      </c>
      <c r="CS25" s="202">
        <f t="shared" si="102"/>
        <v>3.1567675977328498E-3</v>
      </c>
      <c r="CT25" s="202">
        <f t="shared" si="102"/>
        <v>3.1656379193789057E-3</v>
      </c>
      <c r="CU25" s="202">
        <f t="shared" si="102"/>
        <v>3.2066583348218862E-3</v>
      </c>
      <c r="CV25" s="202">
        <f t="shared" si="102"/>
        <v>3.2786003936240661E-3</v>
      </c>
      <c r="CX25" s="561" t="s">
        <v>416</v>
      </c>
      <c r="CY25" s="202" t="s">
        <v>28</v>
      </c>
      <c r="CZ25" s="213" t="s">
        <v>294</v>
      </c>
      <c r="DA25" s="560">
        <f>'Bilan 2015'!$K$30*'Bilan 2015'!$G$34/'Bilan 2015'!$H$30</f>
        <v>2.9899112109592042E-2</v>
      </c>
      <c r="DB25" s="560">
        <f>'Bilan 2020'!$K$30*'Bilan 2020'!$G$34/'Bilan 2020'!$H$30</f>
        <v>0.1171992787256666</v>
      </c>
      <c r="DC25" s="560">
        <f>'Bilan 2023'!$K$30*'Bilan 2023'!$G$34/'Bilan 2023'!$H$30</f>
        <v>4.6216788488556197E-2</v>
      </c>
      <c r="DD25" s="560">
        <f>'Bilan 2025'!$K$30*'Bilan 2025'!$G$34/'Bilan 2025'!$H$30</f>
        <v>8.1926543656158125E-3</v>
      </c>
      <c r="DE25" s="560">
        <f>'Bilan 2028'!$K$30*'Bilan 2028'!$G$34/'Bilan 2028'!$H$30</f>
        <v>3.2977806266562075E-3</v>
      </c>
      <c r="DF25" s="560">
        <f>'Bilan 2030'!$K$30*'Bilan 2030'!$G$34/'Bilan 2030'!$H$30</f>
        <v>0</v>
      </c>
      <c r="DG25" s="560">
        <f>'Bilan 2033'!$K$30*'Bilan 2033'!$G$34/'Bilan 2033'!$H$30</f>
        <v>0</v>
      </c>
      <c r="DH25" s="560">
        <f>'Bilan 2035'!$K$30*'Bilan 2035'!$G$34/'Bilan 2035'!$H$30</f>
        <v>0</v>
      </c>
      <c r="DI25" s="560">
        <f>'Bilan 2038'!$K$30*'Bilan 2038'!$G$34/'Bilan 2038'!$H$30</f>
        <v>0</v>
      </c>
      <c r="DJ25" s="560">
        <f>'Bilan 2040'!$K$30*'Bilan 2040'!$G$34/'Bilan 2040'!$H$30</f>
        <v>0</v>
      </c>
      <c r="DK25" s="560">
        <f>'Bilan 2045'!$K$30*'Bilan 2045'!$G$34/'Bilan 2045'!$H$30</f>
        <v>0</v>
      </c>
      <c r="DL25" s="560">
        <f>'Bilan 2050'!$K$30*'Bilan 2050'!$G$34/'Bilan 2050'!$H$30</f>
        <v>0</v>
      </c>
    </row>
    <row r="26" spans="1:116" ht="13">
      <c r="A26" s="211" t="s">
        <v>302</v>
      </c>
      <c r="B26" s="212"/>
      <c r="C26" s="212"/>
      <c r="D26" s="212"/>
      <c r="E26" s="212"/>
      <c r="F26" s="212"/>
      <c r="G26" s="212"/>
      <c r="H26" s="212"/>
      <c r="I26" s="212"/>
      <c r="J26" s="212"/>
      <c r="K26" s="212"/>
      <c r="L26" s="212"/>
      <c r="M26" s="579"/>
      <c r="N26" s="575"/>
      <c r="O26" s="575"/>
      <c r="P26" s="575"/>
      <c r="AE26" s="205" t="s">
        <v>299</v>
      </c>
      <c r="AF26" s="205">
        <f>'Bilan 2015'!$G$40+'Bilan 2015'!$G$38+'Bilan 2015'!$G$31*(1-SUM('Bilan 2015'!$K$26:$P$34)/'Bilan 2015'!$H$30)</f>
        <v>2.8999002869050963</v>
      </c>
      <c r="AG26" s="205">
        <f>'Bilan 2020'!$G$40+'Bilan 2020'!$G$38+'Bilan 2020'!$G$31*(1-SUM('Bilan 2020'!$K$26:$P$34)/'Bilan 2020'!$H$30)</f>
        <v>31.912344999999988</v>
      </c>
      <c r="AH26" s="205">
        <f>'Bilan 2023'!$G$40+'Bilan 2023'!$G$38+'Bilan 2023'!$G$31*(1-SUM('Bilan 2023'!$K$26:$P$34)/'Bilan 2023'!$H$30)</f>
        <v>36.514651680131124</v>
      </c>
      <c r="AI26" s="205">
        <f>'Bilan 2025'!$G$40+'Bilan 2025'!$G$38+'Bilan 2025'!$G$31*(1-SUM('Bilan 2025'!$K$26:$P$34)/'Bilan 2025'!$H$30)</f>
        <v>39.319241851069634</v>
      </c>
      <c r="AJ26" s="205">
        <f>'Bilan 2028'!$G$40+'Bilan 2028'!$G$38+'Bilan 2028'!$G$31*(1-SUM('Bilan 2028'!$K$26:$P$34)/'Bilan 2028'!$H$30)</f>
        <v>45.31680426782367</v>
      </c>
      <c r="AK26" s="205">
        <f>'Bilan 2030'!$G$40+'Bilan 2030'!$G$38+'Bilan 2030'!$G$31*(1-SUM('Bilan 2030'!$K$26:$P$34)/'Bilan 2030'!$H$30)</f>
        <v>49.514351265721807</v>
      </c>
      <c r="AL26" s="205">
        <f>'Bilan 2033'!$G$40+'Bilan 2033'!$G$38+'Bilan 2033'!$G$31*(1-SUM('Bilan 2033'!$K$26:$P$34)/'Bilan 2033'!$H$30)</f>
        <v>54.409714472774652</v>
      </c>
      <c r="AM26" s="205">
        <f>'Bilan 2035'!$G$40+'Bilan 2035'!$G$38+'Bilan 2035'!$G$31*(1-SUM('Bilan 2035'!$K$26:$P$34)/'Bilan 2035'!$H$30)</f>
        <v>57.826394702164251</v>
      </c>
      <c r="AN26" s="205">
        <f>'Bilan 2038'!$G$40+'Bilan 2038'!$G$38+'Bilan 2038'!$G$31*(1-SUM('Bilan 2038'!$K$26:$P$34)/'Bilan 2038'!$H$30)</f>
        <v>60.832905155553725</v>
      </c>
      <c r="AO26" s="205">
        <f>'Bilan 2040'!$G$40+'Bilan 2040'!$G$38+'Bilan 2040'!$G$31*(1-SUM('Bilan 2040'!$K$26:$P$34)/'Bilan 2040'!$H$30)</f>
        <v>62.897832024028709</v>
      </c>
      <c r="AP26" s="205">
        <f>'Bilan 2045'!$G$40+'Bilan 2045'!$G$38+'Bilan 2045'!$G$31*(1-SUM('Bilan 2045'!$K$26:$P$34)/'Bilan 2045'!$H$30)</f>
        <v>67.964408038916218</v>
      </c>
      <c r="AQ26" s="205">
        <f>'Bilan 2050'!$G$40+'Bilan 2050'!$G$38+'Bilan 2050'!$G$31*(1-SUM('Bilan 2050'!$K$26:$P$34)/'Bilan 2050'!$H$30)</f>
        <v>75.083762899489528</v>
      </c>
      <c r="AS26" s="205" t="s">
        <v>299</v>
      </c>
      <c r="AT26" s="205">
        <f>'Bilan 2015'!$G$40+'Bilan 2015'!$G$38+'Bilan 2015'!$G$31*(1-SUM('Bilan 2015'!$K$26:$P$34)/'Bilan 2015'!$H$30)</f>
        <v>2.8999002869050963</v>
      </c>
      <c r="AU26" s="205">
        <f>'Bilan 2020'!$G$40+'Bilan 2020'!$G$38+'Bilan 2020'!$G$31*(1-SUM('Bilan 2020'!$K$26:$P$34)/'Bilan 2020'!$H$30)</f>
        <v>31.912344999999988</v>
      </c>
      <c r="AV26" s="205">
        <f>'Bilan 2023'!$G$40+'Bilan 2023'!$G$38+'Bilan 2023'!$G$31*(1-SUM('Bilan 2023'!$K$26:$P$34)/'Bilan 2023'!$H$30)</f>
        <v>36.514651680131124</v>
      </c>
      <c r="AW26" s="205">
        <f>'Bilan 2025'!$G$40+'Bilan 2025'!$G$38+'Bilan 2025'!$G$31*(1-SUM('Bilan 2025'!$K$26:$P$34)/'Bilan 2025'!$H$30)</f>
        <v>39.319241851069634</v>
      </c>
      <c r="AX26" s="205">
        <f>'Bilan 2028'!$G$40+'Bilan 2028'!$G$38+'Bilan 2028'!$G$31*(1-SUM('Bilan 2028'!$K$26:$P$34)/'Bilan 2028'!$H$30)</f>
        <v>45.31680426782367</v>
      </c>
      <c r="AY26" s="205">
        <f>'Bilan 2030'!$G$40+'Bilan 2030'!$G$38+'Bilan 2030'!$G$31*(1-SUM('Bilan 2030'!$K$26:$P$34)/'Bilan 2030'!$H$30)</f>
        <v>49.514351265721807</v>
      </c>
      <c r="AZ26" s="205">
        <f>'Bilan 2033'!$G$40+'Bilan 2033'!$G$38+'Bilan 2033'!$G$31*(1-SUM('Bilan 2033'!$K$26:$P$34)/'Bilan 2033'!$H$30)</f>
        <v>54.409714472774652</v>
      </c>
      <c r="BA26" s="205">
        <f>'Bilan 2035'!$G$40+'Bilan 2035'!$G$38+'Bilan 2035'!$G$31*(1-SUM('Bilan 2035'!$K$26:$P$34)/'Bilan 2035'!$H$30)</f>
        <v>57.826394702164251</v>
      </c>
      <c r="BB26" s="205">
        <f>'Bilan 2038'!$G$40+'Bilan 2038'!$G$38+'Bilan 2038'!$G$31*(1-SUM('Bilan 2038'!$K$26:$P$34)/'Bilan 2038'!$H$30)</f>
        <v>60.832905155553725</v>
      </c>
      <c r="BC26" s="205">
        <f>'Bilan 2040'!$G$40+'Bilan 2040'!$G$38+'Bilan 2040'!$G$31*(1-SUM('Bilan 2040'!$K$26:$P$34)/'Bilan 2040'!$H$30)</f>
        <v>62.897832024028709</v>
      </c>
      <c r="BD26" s="205">
        <f>'Bilan 2045'!$G$40+'Bilan 2045'!$G$38+'Bilan 2045'!$G$31*(1-SUM('Bilan 2045'!$K$26:$P$34)/'Bilan 2045'!$H$30)</f>
        <v>67.964408038916218</v>
      </c>
      <c r="BE26" s="205">
        <f>'Bilan 2050'!$G$40+'Bilan 2050'!$G$38+'Bilan 2050'!$G$31*(1-SUM('Bilan 2050'!$K$26:$P$34)/'Bilan 2050'!$H$30)</f>
        <v>75.083762899489528</v>
      </c>
      <c r="BV26" s="215">
        <f>SUM(BV4:BV25)-SUM('Bilan 2015'!$E$7:$E$48)-'Bilan 2015'!$I$13</f>
        <v>1.4210854715202004E-14</v>
      </c>
      <c r="BW26" s="215">
        <f>SUM(BW4:BW25)-SUM('Bilan 2020'!$E$7:$E$48)-'Bilan 2020'!$I$13</f>
        <v>0</v>
      </c>
      <c r="BX26" s="215">
        <f>SUM(BX4:BX25)-SUM('Bilan 2023'!$E$7:$E$48)-'Bilan 2023'!$I$13</f>
        <v>0</v>
      </c>
      <c r="BY26" s="215">
        <f>SUM(BY4:BY25)-SUM('Bilan 2025'!$E$7:$E$48)-'Bilan 2025'!$I$13</f>
        <v>-1.2789769243681803E-13</v>
      </c>
      <c r="BZ26" s="215">
        <f>SUM(BZ4:BZ25)-SUM('Bilan 2028'!$E$7:$E$48)-'Bilan 2028'!$I$13</f>
        <v>1.2079226507921703E-13</v>
      </c>
      <c r="CA26" s="215">
        <f>SUM(CA4:CA25)-SUM('Bilan 2030'!$E$7:$E$48)-'Bilan 2030'!$I$13</f>
        <v>0</v>
      </c>
      <c r="CB26" s="215">
        <f>SUM(CB4:CB25)-SUM('Bilan 2033'!$E$7:$E$48)-'Bilan 2033'!$I$13</f>
        <v>-1.6342482922482304E-13</v>
      </c>
      <c r="CC26" s="215">
        <f>SUM(CC4:CC25)-SUM('Bilan 2035'!$E$7:$E$48)-'Bilan 2035'!$I$13</f>
        <v>0</v>
      </c>
      <c r="CD26" s="215">
        <f>SUM(CD4:CD25)-SUM('Bilan 2038'!$E$7:$E$48)-'Bilan 2038'!$I$13</f>
        <v>1.4210854715202004E-13</v>
      </c>
      <c r="CE26" s="215">
        <f>SUM(CE4:CE25)-SUM('Bilan 2040'!$E$7:$E$48)-'Bilan 2040'!$I$13</f>
        <v>0</v>
      </c>
      <c r="CF26" s="215">
        <f>SUM(CF4:CF25)-SUM('Bilan 2045'!$E$7:$E$48)-'Bilan 2045'!$I$13</f>
        <v>-7.460698725481052E-14</v>
      </c>
      <c r="CG26" s="215">
        <f>SUM(CG4:CG25)-SUM('Bilan 2050'!$E$7:$E$48)-'Bilan 2050'!$I$13</f>
        <v>1.3855583347321954E-13</v>
      </c>
      <c r="CZ26" s="565"/>
      <c r="DA26" s="566"/>
      <c r="DB26" s="566"/>
      <c r="DC26" s="566"/>
      <c r="DD26" s="566"/>
      <c r="DE26" s="566"/>
      <c r="DF26" s="566"/>
      <c r="DG26" s="566"/>
      <c r="DH26" s="566"/>
      <c r="DI26" s="566"/>
      <c r="DJ26" s="566"/>
      <c r="DK26" s="566"/>
      <c r="DL26" s="566"/>
    </row>
    <row r="27" spans="1:116" ht="13">
      <c r="A27" s="209" t="s">
        <v>30</v>
      </c>
      <c r="B27" s="210"/>
      <c r="C27" s="210"/>
      <c r="D27" s="210"/>
      <c r="E27" s="210"/>
      <c r="F27" s="210"/>
      <c r="G27" s="210"/>
      <c r="H27" s="210"/>
      <c r="I27" s="210"/>
      <c r="J27" s="210"/>
      <c r="K27" s="210"/>
      <c r="L27" s="210"/>
      <c r="M27" s="578"/>
      <c r="N27" s="575"/>
      <c r="O27" s="575"/>
      <c r="P27" s="575"/>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1.229740011136164</v>
      </c>
      <c r="AG27" s="201">
        <f>SUM('Bilan 2020'!$S$46:$W$46)+'Bilan 2020'!$G$34*(1-SUM('Bilan 2020'!$K$26:$P$34)/'Bilan 2020'!$H$30)</f>
        <v>10.868268319377846</v>
      </c>
      <c r="AH27" s="201">
        <f>SUM('Bilan 2023'!$S$46:$W$46)+'Bilan 2023'!$G$34*(1-SUM('Bilan 2023'!$K$26:$P$34)/'Bilan 2023'!$H$30)</f>
        <v>8.3096005200670202</v>
      </c>
      <c r="AI27" s="201">
        <f>SUM('Bilan 2025'!$S$46:$W$46)+'Bilan 2025'!$G$34*(1-SUM('Bilan 2025'!$K$26:$P$34)/'Bilan 2025'!$H$30)</f>
        <v>7.1862444085419259</v>
      </c>
      <c r="AJ27" s="201">
        <f>SUM('Bilan 2028'!$S$46:$W$46)+'Bilan 2028'!$G$34*(1-SUM('Bilan 2028'!$K$26:$P$34)/'Bilan 2028'!$H$30)</f>
        <v>6.7698532890075631</v>
      </c>
      <c r="AK27" s="201">
        <f>SUM('Bilan 2030'!$S$46:$W$46)+'Bilan 2030'!$G$34*(1-SUM('Bilan 2030'!$K$26:$P$34)/'Bilan 2030'!$H$30)</f>
        <v>6.5032741679727843</v>
      </c>
      <c r="AL27" s="201">
        <f>SUM('Bilan 2033'!$S$46:$W$46)+'Bilan 2033'!$G$34*(1-SUM('Bilan 2033'!$K$26:$P$34)/'Bilan 2033'!$H$30)</f>
        <v>6.3476756101286895</v>
      </c>
      <c r="AM27" s="201">
        <f>SUM('Bilan 2035'!$S$46:$W$46)+'Bilan 2035'!$G$34*(1-SUM('Bilan 2035'!$K$26:$P$34)/'Bilan 2035'!$H$30)</f>
        <v>6.2002081056415257</v>
      </c>
      <c r="AN27" s="201">
        <f>SUM('Bilan 2038'!$S$46:$W$46)+'Bilan 2038'!$G$34*(1-SUM('Bilan 2038'!$K$26:$P$34)/'Bilan 2038'!$H$30)</f>
        <v>5.7766123047996905</v>
      </c>
      <c r="AO27" s="201">
        <f>SUM('Bilan 2040'!$S$46:$W$46)+'Bilan 2040'!$G$34*(1-SUM('Bilan 2040'!$K$26:$P$34)/'Bilan 2040'!$H$30)</f>
        <v>5.4657298257742912</v>
      </c>
      <c r="AP27" s="201">
        <f>SUM('Bilan 2045'!$S$46:$W$46)+'Bilan 2045'!$G$34*(1-SUM('Bilan 2045'!$K$26:$P$34)/'Bilan 2045'!$H$30)</f>
        <v>4.6398193944555786</v>
      </c>
      <c r="AQ27" s="201">
        <f>SUM('Bilan 2050'!$S$46:$W$46)+'Bilan 2050'!$G$34*(1-SUM('Bilan 2050'!$K$26:$P$34)/'Bilan 2050'!$H$30)</f>
        <v>3.6733927919712848</v>
      </c>
      <c r="AS27" s="201" t="s">
        <v>42</v>
      </c>
      <c r="AT27" s="201">
        <f>SUM('Bilan 2015'!$S$46:$W$46)+'Bilan 2015'!$G$34*(1-SUM('Bilan 2015'!$K$26:$P$34)/'Bilan 2015'!$H$30)+'Bilan 2015'!$E$52</f>
        <v>4.4440588167305028</v>
      </c>
      <c r="AU27" s="201">
        <f>SUM('Bilan 2020'!$S$46:$W$46)+'Bilan 2020'!$G$34*(1-SUM('Bilan 2020'!$K$26:$P$34)/'Bilan 2020'!$H$30)+'Bilan 2020'!$E$52</f>
        <v>38.663479083564546</v>
      </c>
      <c r="AV27" s="201">
        <f>SUM('Bilan 2023'!$S$46:$W$46)+'Bilan 2023'!$G$34*(1-SUM('Bilan 2023'!$K$26:$P$34)/'Bilan 2023'!$H$30)+'Bilan 2023'!$E$52</f>
        <v>50.563018488817022</v>
      </c>
      <c r="AW27" s="201">
        <f>SUM('Bilan 2025'!$S$46:$W$46)+'Bilan 2025'!$G$34*(1-SUM('Bilan 2025'!$K$26:$P$34)/'Bilan 2025'!$H$30)+'Bilan 2025'!$E$52</f>
        <v>49.087025658541918</v>
      </c>
      <c r="AX27" s="201">
        <f>SUM('Bilan 2028'!$S$46:$W$46)+'Bilan 2028'!$G$34*(1-SUM('Bilan 2028'!$K$26:$P$34)/'Bilan 2028'!$H$30)+'Bilan 2028'!$E$52</f>
        <v>47.435615007757569</v>
      </c>
      <c r="AY27" s="201">
        <f>SUM('Bilan 2030'!$S$46:$W$46)+'Bilan 2030'!$G$34*(1-SUM('Bilan 2030'!$K$26:$P$34)/'Bilan 2030'!$H$30)+'Bilan 2030'!$E$52</f>
        <v>46.346776121097783</v>
      </c>
      <c r="AZ27" s="201">
        <f>SUM('Bilan 2033'!$S$46:$W$46)+'Bilan 2033'!$G$34*(1-SUM('Bilan 2033'!$K$26:$P$34)/'Bilan 2033'!$H$30)+'Bilan 2033'!$E$52</f>
        <v>46.166677563253685</v>
      </c>
      <c r="BA27" s="201">
        <f>SUM('Bilan 2035'!$S$46:$W$46)+'Bilan 2035'!$G$34*(1-SUM('Bilan 2035'!$K$26:$P$34)/'Bilan 2035'!$H$30)+'Bilan 2035'!$E$52</f>
        <v>46.000479590016525</v>
      </c>
      <c r="BB27" s="201">
        <f>SUM('Bilan 2038'!$S$46:$W$46)+'Bilan 2038'!$G$34*(1-SUM('Bilan 2038'!$K$26:$P$34)/'Bilan 2038'!$H$30)+'Bilan 2038'!$E$52</f>
        <v>45.545215820424694</v>
      </c>
      <c r="BC27" s="201">
        <f>SUM('Bilan 2040'!$S$46:$W$46)+'Bilan 2040'!$G$34*(1-SUM('Bilan 2040'!$K$26:$P$34)/'Bilan 2040'!$H$30)+'Bilan 2040'!$E$52</f>
        <v>45.210854825774291</v>
      </c>
      <c r="BD27" s="201">
        <f>SUM('Bilan 2045'!$S$46:$W$46)+'Bilan 2045'!$G$34*(1-SUM('Bilan 2045'!$K$26:$P$34)/'Bilan 2045'!$H$30)+'Bilan 2045'!$E$52</f>
        <v>44.318034238205577</v>
      </c>
      <c r="BE27" s="201">
        <f>SUM('Bilan 2050'!$S$46:$W$46)+'Bilan 2050'!$G$34*(1-SUM('Bilan 2050'!$K$26:$P$34)/'Bilan 2050'!$H$30)+'Bilan 2050'!$E$52</f>
        <v>43.273105682596281</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2023'!$K$7:$K$47)</f>
        <v>0</v>
      </c>
      <c r="DD27" s="215">
        <f>SUM(DD4:DD24,DD25)-SUM('Bilan 2025'!$K$7:$K$47)</f>
        <v>0</v>
      </c>
      <c r="DE27" s="215">
        <f>SUM(DE4:DE24,DE25)-SUM('Bilan 2028'!$K$7:$K$47)</f>
        <v>0</v>
      </c>
      <c r="DF27" s="215">
        <f>SUM(DF4:DF24,DF25)-SUM('Bilan 2030'!$K$7:$K$47)</f>
        <v>0</v>
      </c>
      <c r="DG27" s="215">
        <f>SUM(DG4:DG24,DG25)-SUM('Bilan 2033'!$K$7:$K$47)</f>
        <v>0</v>
      </c>
      <c r="DH27" s="215">
        <f>SUM(DH4:DH24,DH25)-SUM('Bilan 2035'!$K$7:$K$47)</f>
        <v>0</v>
      </c>
      <c r="DI27" s="215">
        <f>SUM(DI4:DI24,DI25)-SUM('Bilan 2038'!$K$7:$K$47)</f>
        <v>0</v>
      </c>
      <c r="DJ27" s="215">
        <f>SUM(DJ4:DJ24,DJ25)-SUM('Bilan 2040'!$K$7:$K$47)</f>
        <v>0</v>
      </c>
      <c r="DK27" s="215">
        <f>SUM(DK4:DK24,DK25)-SUM('Bilan 2045'!$K$7:$K$47)</f>
        <v>0</v>
      </c>
      <c r="DL27" s="215">
        <f>SUM(DL4:DL24,DL25)-SUM('Bilan 2050'!$K$7:$K$47)</f>
        <v>0</v>
      </c>
    </row>
    <row r="28" spans="1:116" ht="58">
      <c r="A28" s="199" t="s">
        <v>285</v>
      </c>
      <c r="B28" s="200">
        <f t="shared" ref="B28" si="103">SUM(B29:B34)</f>
        <v>45.351364450987155</v>
      </c>
      <c r="C28" s="200">
        <f t="shared" ref="C28:M28" si="104">SUM(C29:C34)</f>
        <v>514.01219611244392</v>
      </c>
      <c r="D28" s="200">
        <f t="shared" si="104"/>
        <v>527.61319397884017</v>
      </c>
      <c r="E28" s="200">
        <f t="shared" si="104"/>
        <v>521.2168101093838</v>
      </c>
      <c r="F28" s="200">
        <f t="shared" ref="F28" si="105">SUM(F29:F34)</f>
        <v>519.19538480783797</v>
      </c>
      <c r="G28" s="200">
        <f t="shared" si="104"/>
        <v>518.30568973114976</v>
      </c>
      <c r="H28" s="200">
        <f t="shared" ref="H28" si="106">SUM(H29:H34)</f>
        <v>523.20980721369006</v>
      </c>
      <c r="I28" s="200">
        <f t="shared" ref="I28" si="107">SUM(I29:I34)</f>
        <v>526.60208563084325</v>
      </c>
      <c r="J28" s="200">
        <f t="shared" ref="J28" si="108">SUM(J29:J34)</f>
        <v>530.07929769410009</v>
      </c>
      <c r="K28" s="200">
        <f t="shared" ref="K28" si="109">SUM(K29:K34)</f>
        <v>532.34137291180809</v>
      </c>
      <c r="L28" s="200">
        <f t="shared" ref="L28" si="110">SUM(L29:L34)</f>
        <v>533.79117600803681</v>
      </c>
      <c r="M28" s="200">
        <f t="shared" si="104"/>
        <v>529.24290369627317</v>
      </c>
      <c r="N28" s="216" cm="1">
        <f t="array" ref="N28">C28-SUM('Bilan 2020'!$C$21:$C$32,'Bilan 2020'!$C$36:$C$40,'Bilan 2020'!$C$44:$C$45,'Bilan 2020'!$C$47,-'Bilan 2020'!$M$21:$P$24,-'Bilan 2020'!$M$26:$P$34)</f>
        <v>0</v>
      </c>
      <c r="O28" s="216" cm="1">
        <f t="array" ref="O28">G28-SUM('Bilan 2030'!$C$21:$C$32,'Bilan 2030'!$C$36:$C$40,'Bilan 2030'!$C$44:$C$45,'Bilan 2030'!$C$47,-'Bilan 2030'!$M$21:$P$24,-'Bilan 2030'!$M$26:$P$34)</f>
        <v>0</v>
      </c>
      <c r="P28" s="216" cm="1">
        <f t="array" ref="P28">M28-SUM('Bilan 2050'!$C$21:$C$32,'Bilan 2050'!$C$36:$C$40,'Bilan 2050'!$C$44:$C$45,'Bilan 2050'!$C$47,-'Bilan 2050'!$M$21:$P$24,-'Bilan 2050'!$M$26:$P$34)</f>
        <v>0</v>
      </c>
      <c r="Q28" s="573" t="s">
        <v>303</v>
      </c>
      <c r="R28" s="198"/>
      <c r="S28" s="198"/>
      <c r="T28" s="198"/>
      <c r="U28" s="198"/>
      <c r="V28" s="198"/>
      <c r="W28" s="198"/>
      <c r="X28" s="198"/>
      <c r="Y28" s="198"/>
      <c r="Z28" s="198"/>
      <c r="AA28" s="198"/>
      <c r="AB28" s="198"/>
      <c r="AC28" s="198"/>
      <c r="AF28" s="216">
        <f>AF2-'Bilan 2015'!$S$5</f>
        <v>-2.7889230427983875</v>
      </c>
      <c r="AG28" s="216">
        <f>AG2-'Bilan 2020'!$S$5</f>
        <v>4.294905555616424E-2</v>
      </c>
      <c r="AH28" s="216">
        <f>AH2-'Bilan 2023'!$S$5</f>
        <v>2.8391371026827983E-3</v>
      </c>
      <c r="AI28" s="216">
        <f>AI2-'Bilan 2025'!$S$5</f>
        <v>4.7640221973779262E-3</v>
      </c>
      <c r="AJ28" s="216">
        <f>AJ2-'Bilan 2028'!$S$5</f>
        <v>2.3130955232772976E-3</v>
      </c>
      <c r="AK28" s="216">
        <f>AK2-'Bilan 2030'!$S$5</f>
        <v>6.7914440637650841E-4</v>
      </c>
      <c r="AL28" s="216">
        <f>AL2-'Bilan 2033'!$S$5</f>
        <v>-3.0088542644080007E-4</v>
      </c>
      <c r="AM28" s="216">
        <f>AM2-'Bilan 2035'!$S$5</f>
        <v>-9.5423864831900573E-4</v>
      </c>
      <c r="AN28" s="216">
        <f>AN2-'Bilan 2038'!$S$5</f>
        <v>-1.2009757083433215E-3</v>
      </c>
      <c r="AO28" s="216">
        <f>AO2-'Bilan 2040'!$S$5</f>
        <v>-1.3654670817686565E-3</v>
      </c>
      <c r="AP28" s="216">
        <f>AP2-'Bilan 2045'!$S$5</f>
        <v>1.8022759059022064E-4</v>
      </c>
      <c r="AQ28" s="216">
        <f>AQ2-'Bilan 2050'!$S$5</f>
        <v>-9.9720733376216231E-3</v>
      </c>
      <c r="AT28" s="216">
        <f>AT2-'Bilan 2015'!$S$5-SUM('Bilan 2015'!$E$52:$E$57)</f>
        <v>-2.7789230427983753</v>
      </c>
      <c r="AU28" s="216">
        <f>AU2-'Bilan 2020'!$S$5-SUM('Bilan 2020'!$E$52:$E$57)</f>
        <v>5.2949055556155145E-2</v>
      </c>
      <c r="AV28" s="216">
        <f>AV2-'Bilan 2023'!$S$5-SUM('Bilan 2023'!$E$52:$E$57)</f>
        <v>1.283913710278739E-2</v>
      </c>
      <c r="AW28" s="216">
        <f>AW2-'Bilan 2025'!$S$5-SUM('Bilan 2025'!$E$52:$E$57)</f>
        <v>1.4764022197709892E-2</v>
      </c>
      <c r="AX28" s="216">
        <f>AX2-'Bilan 2028'!$S$5-SUM('Bilan 2028'!$E$52:$E$57)</f>
        <v>1.2313095523154516E-2</v>
      </c>
      <c r="AY28" s="216">
        <f>AY2-'Bilan 2030'!$S$5-SUM('Bilan 2030'!$E$52:$E$57)</f>
        <v>1.0679144406594787E-2</v>
      </c>
      <c r="AZ28" s="216">
        <f>AZ2-'Bilan 2033'!$S$5-SUM('Bilan 2033'!$E$52:$E$57)</f>
        <v>9.6991145736353701E-3</v>
      </c>
      <c r="BA28" s="216">
        <f>BA2-'Bilan 2035'!$S$5-SUM('Bilan 2035'!$E$52:$E$57)</f>
        <v>9.0457613520129598E-3</v>
      </c>
      <c r="BB28" s="216">
        <f>BB2-'Bilan 2038'!$S$5-SUM('Bilan 2038'!$E$52:$E$57)</f>
        <v>8.7990242917328487E-3</v>
      </c>
      <c r="BC28" s="216">
        <f>BC2-'Bilan 2040'!$S$5-SUM('Bilan 2040'!$E$52:$E$57)</f>
        <v>8.6345329181369834E-3</v>
      </c>
      <c r="BD28" s="216">
        <f>BD2-'Bilan 2045'!$S$5-SUM('Bilan 2045'!$E$52:$E$57)</f>
        <v>1.0180227590694813E-2</v>
      </c>
      <c r="BE28" s="216">
        <f>BE2-'Bilan 2050'!$S$5-SUM('Bilan 2050'!$E$52:$E$57)</f>
        <v>2.7926662482968823E-5</v>
      </c>
      <c r="BW28" s="215">
        <f>SUM(BW$17:BW$25)-SUM('Bilan 2020'!$E$21:$E$32)-'Bilan 2020'!$E$40-'Bilan 2020'!$E$34</f>
        <v>-1.27675647831893E-15</v>
      </c>
      <c r="BX28" s="215">
        <f>SUM(BX$17:BX$25)-SUM('Bilan 2023'!$E$21:$E$32)-'Bilan 2023'!$E$40-'Bilan 2023'!$E$34</f>
        <v>-2.2204460492503131E-16</v>
      </c>
      <c r="BY28" s="215">
        <f>SUM(BY$17:BY$25)-SUM('Bilan 2025'!$E$21:$E$32)-'Bilan 2025'!$E$40-'Bilan 2025'!$E$34</f>
        <v>-1.3461454173580023E-15</v>
      </c>
      <c r="BZ28" s="215">
        <f>SUM(BZ$17:BZ$25)-SUM('Bilan 2028'!$E$21:$E$32)-'Bilan 2028'!$E$40-'Bilan 2028'!$E$34</f>
        <v>3.4226094181022404E-15</v>
      </c>
      <c r="CA28" s="215">
        <f>SUM(CA$17:CA$25)-SUM('Bilan 2030'!$E$21:$E$32)-'Bilan 2030'!$E$40-'Bilan 2030'!$E$34</f>
        <v>0</v>
      </c>
      <c r="CB28" s="215">
        <f>SUM(CB$17:CB$25)-SUM('Bilan 2033'!$E$21:$E$32)-'Bilan 2033'!$E$40-'Bilan 2033'!$E$34</f>
        <v>-1.7763568394002505E-15</v>
      </c>
      <c r="CC28" s="215">
        <f>SUM(CC$17:CC$25)-SUM('Bilan 2035'!$E$21:$E$32)-'Bilan 2035'!$E$40-'Bilan 2035'!$E$34</f>
        <v>0</v>
      </c>
      <c r="CD28" s="215">
        <f>SUM(CD$17:CD$25)-SUM('Bilan 2038'!$E$21:$E$32)-'Bilan 2038'!$E$40-'Bilan 2038'!$E$34</f>
        <v>1.7763568394002505E-15</v>
      </c>
      <c r="CE28" s="215">
        <f>SUM(CE$17:CE$25)-SUM('Bilan 2040'!$E$21:$E$32)-'Bilan 2040'!$E$40-'Bilan 2040'!$E$34</f>
        <v>0</v>
      </c>
      <c r="CF28" s="215">
        <f>SUM(CF$17:CF$25)-SUM('Bilan 2045'!$E$21:$E$32)-'Bilan 2045'!$E$40-'Bilan 2045'!$E$34</f>
        <v>0</v>
      </c>
      <c r="CG28" s="215">
        <f>SUM(CG$17:CG$25)-SUM('Bilan 2050'!$E$21:$E$32)-'Bilan 2050'!$E$40-'Bilan 2050'!$E$34</f>
        <v>-1.7763568394002505E-15</v>
      </c>
    </row>
    <row r="29" spans="1:116" ht="13">
      <c r="A29" s="203" t="s">
        <v>287</v>
      </c>
      <c r="B29" s="204">
        <f>'Bilan 2015'!$C$23-SUM('Bilan 2015'!$M$23:$P$23)+'Bilan 2015'!$C$24-SUM('Bilan 2015'!$M$24:$P$24)+'Bilan 2015'!$C$32*(1-SUM('Bilan 2015'!$M$26:$P$34)/'Bilan 2015'!$D$30)+'Bilan 2015'!$C$45+'Bilan 2015'!$C$47</f>
        <v>31.15255442144797</v>
      </c>
      <c r="C29" s="204">
        <f>'Bilan 2020'!$C$23-SUM('Bilan 2020'!$M$23:$P$23)+'Bilan 2020'!$C$24-SUM('Bilan 2020'!$M$24:$P$24)+'Bilan 2020'!$C$32*(1-SUM('Bilan 2020'!$M$26:$P$34)/'Bilan 2020'!$D$30)+'Bilan 2020'!$C$45+'Bilan 2020'!$C$47</f>
        <v>351.08176898139908</v>
      </c>
      <c r="D29" s="204">
        <f>'Bilan 2023'!$C$23-SUM('Bilan 2023'!$M$23:$P$23)+'Bilan 2023'!$C$24-SUM('Bilan 2023'!$M$24:$P$24)+'Bilan 2023'!$C$32*(1-SUM('Bilan 2023'!$M$26:$P$34)/'Bilan 2023'!$D$30)+'Bilan 2023'!$C$45+'Bilan 2023'!$C$47</f>
        <v>356.2522594784424</v>
      </c>
      <c r="E29" s="204">
        <f>'Bilan 2025'!$C$24-'Bilan 2025'!$C$19+'Bilan 2025'!$C$45</f>
        <v>344.97011583178244</v>
      </c>
      <c r="F29" s="204">
        <f>'Bilan 2028'!$C$23-SUM('Bilan 2028'!$M$23:$P$23)+'Bilan 2028'!$C$24-SUM('Bilan 2028'!$M$24:$P$24)+'Bilan 2028'!$C$32*(1-SUM('Bilan 2028'!$M$26:$P$34)/'Bilan 2028'!$D$30)+'Bilan 2028'!$C$45+'Bilan 2028'!$C$47</f>
        <v>333.80767927596776</v>
      </c>
      <c r="G29" s="204">
        <f>'Bilan 2030'!$C$23-SUM('Bilan 2030'!$M$23:$P$23)+'Bilan 2030'!$C$24-SUM('Bilan 2030'!$M$24:$P$24)+'Bilan 2030'!$C$32*(1-SUM('Bilan 2030'!$M$26:$P$34)/'Bilan 2030'!$D$30)+'Bilan 2030'!$C$45+'Bilan 2030'!$C$47</f>
        <v>326.30794866279899</v>
      </c>
      <c r="H29" s="204">
        <f>'Bilan 2033'!$C$23-SUM('Bilan 2033'!$M$23:$P$23)+'Bilan 2033'!$C$24-SUM('Bilan 2033'!$M$24:$P$24)+'Bilan 2033'!$C$32*(1-SUM('Bilan 2033'!$M$26:$P$34)/'Bilan 2033'!$D$30)+'Bilan 2033'!$C$45+'Bilan 2033'!$C$47</f>
        <v>321.43024337815365</v>
      </c>
      <c r="I29" s="204">
        <f>'Bilan 2035'!$C$23-SUM('Bilan 2035'!$M$23:$P$23)+'Bilan 2035'!$C$24-SUM('Bilan 2035'!$M$24:$P$24)+'Bilan 2035'!$C$32*(1-SUM('Bilan 2035'!$M$26:$P$34)/'Bilan 2035'!$D$30)+'Bilan 2035'!$C$45+'Bilan 2035'!$C$47</f>
        <v>318.11332947730165</v>
      </c>
      <c r="J29" s="204">
        <f>'Bilan 2038'!$C$23-SUM('Bilan 2038'!$M$23:$P$23)+'Bilan 2038'!$C$24-SUM('Bilan 2038'!$M$24:$P$24)+'Bilan 2038'!$C$32*(1-SUM('Bilan 2038'!$M$26:$P$34)/'Bilan 2038'!$D$30)+'Bilan 2038'!$C$45+'Bilan 2038'!$C$47</f>
        <v>317.2923751843299</v>
      </c>
      <c r="K29" s="204">
        <f>'Bilan 2040'!$C$23-SUM('Bilan 2040'!$M$23:$P$23)+'Bilan 2040'!$C$24-SUM('Bilan 2040'!$M$24:$P$24)+'Bilan 2040'!$C$32*(1-SUM('Bilan 2040'!$M$26:$P$34)/'Bilan 2040'!$D$30)+'Bilan 2040'!$C$45+'Bilan 2040'!$C$47</f>
        <v>316.66040691915458</v>
      </c>
      <c r="L29" s="204">
        <f>'Bilan 2045'!$C$23-SUM('Bilan 2045'!$M$23:$P$23)+'Bilan 2045'!$C$24-SUM('Bilan 2045'!$M$24:$P$24)+'Bilan 2045'!$C$32*(1-SUM('Bilan 2045'!$M$26:$P$34)/'Bilan 2045'!$D$30)+'Bilan 2045'!$C$45+'Bilan 2045'!$C$47</f>
        <v>310.50804162742168</v>
      </c>
      <c r="M29" s="204">
        <f>'Bilan 2050'!$C$23-SUM('Bilan 2050'!$M$23:$P$23)+'Bilan 2050'!$C$24-SUM('Bilan 2050'!$M$24:$P$24)+'Bilan 2050'!$C$32*(1-SUM('Bilan 2050'!$M$26:$P$34)/'Bilan 2050'!$D$30)+'Bilan 2050'!$C$45+'Bilan 2050'!$C$47</f>
        <v>300.44121526989699</v>
      </c>
      <c r="N29" s="215">
        <f>'Bilan 2020'!$C$24-SUM('Bilan 2020'!$M$24:$P$24)+'Bilan 2020'!$C$32+'Bilan 2020'!$C$45+'Bilan 2020'!$C$23+'Bilan 2020'!$C$47-SUM('Bilan 2020'!$M$23:$P$23)-C29</f>
        <v>0</v>
      </c>
      <c r="O29" s="215">
        <f>'Bilan 2030'!$C$24-SUM('Bilan 2030'!$M$24:$P$24)+'Bilan 2030'!$C$32+'Bilan 2030'!$C$45+'Bilan 2030'!$C$23+'Bilan 2030'!$C$47-SUM('Bilan 2030'!$M$23:$P$23)-G29</f>
        <v>3.4587222683057917E-3</v>
      </c>
      <c r="P29" s="215">
        <f>'Bilan 2050'!$C$24-SUM('Bilan 2050'!$M$24:$P$24)+'Bilan 2050'!$C$32+'Bilan 2050'!$C$45+'Bilan 2050'!$C$23+'Bilan 2050'!$C$47-SUM('Bilan 2050'!$M$23:$P$23)-M29</f>
        <v>3.4724351699196632E-2</v>
      </c>
      <c r="Q29" s="571"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2023'!$E$7:$E$19)-'Bilan 2023'!$I$13</f>
        <v>-7.815970093361102E-14</v>
      </c>
      <c r="BY29" s="215">
        <f>SUM(BY8:BY16)-SUM('Bilan 2025'!$E$7:$E$19)-'Bilan 2025'!$I$13</f>
        <v>0</v>
      </c>
      <c r="BZ29" s="215">
        <f>SUM(BZ8:BZ16)-SUM('Bilan 2028'!$E$7:$E$19)-'Bilan 2028'!$I$13</f>
        <v>1.2079226507921703E-13</v>
      </c>
      <c r="CA29" s="215">
        <f>SUM(CA8:CA16)-SUM('Bilan 2030'!$E$7:$E$19)-'Bilan 2030'!$I$13</f>
        <v>6.3948846218409017E-14</v>
      </c>
      <c r="CB29" s="215">
        <f>SUM(CB8:CB16)-SUM('Bilan 2033'!$E$7:$E$19)-'Bilan 2033'!$I$13</f>
        <v>0</v>
      </c>
      <c r="CC29" s="215">
        <f>SUM(CC8:CC16)-SUM('Bilan 2035'!$E$7:$E$19)-'Bilan 2035'!$I$13</f>
        <v>-9.2370555648813024E-14</v>
      </c>
      <c r="CD29" s="215">
        <f>SUM(CD8:CD16)-SUM('Bilan 2038'!$E$7:$E$19)-'Bilan 2038'!$I$13</f>
        <v>1.4210854715202004E-13</v>
      </c>
      <c r="CE29" s="215">
        <f>SUM(CE8:CE16)-SUM('Bilan 2040'!$E$7:$E$19)-'Bilan 2040'!$I$13</f>
        <v>0</v>
      </c>
      <c r="CF29" s="215">
        <f>SUM(CF8:CF16)-SUM('Bilan 2045'!$E$7:$E$19)-'Bilan 2045'!$I$13</f>
        <v>-1.8829382497642655E-13</v>
      </c>
      <c r="CG29" s="215">
        <f>SUM(CG8:CG16)-SUM('Bilan 2050'!$E$7:$E$19)-'Bilan 2050'!$I$13</f>
        <v>0</v>
      </c>
    </row>
    <row r="30" spans="1:116" ht="13">
      <c r="A30" s="203" t="s">
        <v>306</v>
      </c>
      <c r="B30" s="204">
        <f>'Bilan 2015'!$C$29*(1-SUM('Bilan 2015'!$M$26:$P$34)/'Bilan 2015'!$D$30)+'Bilan 2015'!$C$37</f>
        <v>7.8694706570935882</v>
      </c>
      <c r="C30" s="204">
        <f>'Bilan 2020'!$C$29*(1-SUM('Bilan 2020'!$M$26:$P$34)/'Bilan 2020'!$D$30)+'Bilan 2020'!$C$37</f>
        <v>97.138025953204789</v>
      </c>
      <c r="D30" s="204">
        <f>'Bilan 2023'!$C$29*(1-SUM('Bilan 2023'!$M$26:$P$34)/'Bilan 2023'!$D$30)+'Bilan 2023'!$C$37</f>
        <v>110.69785883764862</v>
      </c>
      <c r="E30" s="204">
        <f>'Bilan 2025'!$C$29+'Bilan 2025'!$C$37</f>
        <v>109.80664278142234</v>
      </c>
      <c r="F30" s="204">
        <f>'Bilan 2028'!$C$29*(1-SUM('Bilan 2028'!$M$26:$P$34)/'Bilan 2028'!$D$30)+'Bilan 2028'!$C$37</f>
        <v>113.30875869375242</v>
      </c>
      <c r="G30" s="204">
        <f>'Bilan 2030'!$C$29*(1-SUM('Bilan 2030'!$M$26:$P$34)/'Bilan 2030'!$D$30)+'Bilan 2030'!$C$37</f>
        <v>115.72179510623764</v>
      </c>
      <c r="H30" s="204">
        <f>'Bilan 2033'!$C$29*(1-SUM('Bilan 2033'!$M$26:$P$34)/'Bilan 2033'!$D$30)+'Bilan 2033'!$C$37</f>
        <v>121.08053924255684</v>
      </c>
      <c r="I30" s="204">
        <f>'Bilan 2035'!$C$29*(1-SUM('Bilan 2035'!$M$26:$P$34)/'Bilan 2035'!$D$30)+'Bilan 2035'!$C$37</f>
        <v>124.68576776701413</v>
      </c>
      <c r="J30" s="204">
        <f>'Bilan 2038'!$C$29*(1-SUM('Bilan 2038'!$M$26:$P$34)/'Bilan 2038'!$D$30)+'Bilan 2038'!$C$37</f>
        <v>126.23713879912077</v>
      </c>
      <c r="K30" s="204">
        <f>'Bilan 2040'!$C$29*(1-SUM('Bilan 2040'!$M$26:$P$34)/'Bilan 2040'!$D$30)+'Bilan 2040'!$C$37</f>
        <v>127.24134355549103</v>
      </c>
      <c r="L30" s="204">
        <f>'Bilan 2045'!$C$29*(1-SUM('Bilan 2045'!$M$26:$P$34)/'Bilan 2045'!$D$30)+'Bilan 2045'!$C$37</f>
        <v>130.2442441029867</v>
      </c>
      <c r="M30" s="204">
        <f>'Bilan 2050'!$C$29*(1-SUM('Bilan 2050'!$M$26:$P$34)/'Bilan 2050'!$D$30)+'Bilan 2050'!$C$37</f>
        <v>129.09580912204305</v>
      </c>
      <c r="N30" s="215">
        <f>'Bilan 2020'!$C$29+'Bilan 2020'!$C$37-C30</f>
        <v>0</v>
      </c>
      <c r="O30" s="215">
        <f>'Bilan 2030'!$C$29+'Bilan 2030'!$C$37-G30</f>
        <v>2.9903180738841684E-3</v>
      </c>
      <c r="P30" s="215">
        <f>'Bilan 2050'!$C$29+'Bilan 2050'!$C$37-M30</f>
        <v>2.8569308663207948E-2</v>
      </c>
      <c r="Q30" s="572" t="s">
        <v>266</v>
      </c>
      <c r="R30" s="219">
        <f t="shared" ref="R30:U31" si="111">R4/R$3</f>
        <v>0.95726353736237946</v>
      </c>
      <c r="S30" s="219">
        <f t="shared" si="111"/>
        <v>0.9525763357643332</v>
      </c>
      <c r="T30" s="219">
        <f t="shared" si="111"/>
        <v>0.94632139087812717</v>
      </c>
      <c r="U30" s="219">
        <f t="shared" si="111"/>
        <v>0.9436374182944155</v>
      </c>
      <c r="V30" s="219">
        <f t="shared" ref="V30:AC30" si="112">V4/V$3</f>
        <v>0.94355872390528606</v>
      </c>
      <c r="W30" s="219">
        <f t="shared" si="112"/>
        <v>0.94346218190079789</v>
      </c>
      <c r="X30" s="219">
        <f t="shared" si="112"/>
        <v>0.94416791496329033</v>
      </c>
      <c r="Y30" s="219">
        <f t="shared" si="112"/>
        <v>0.94468966334943205</v>
      </c>
      <c r="Z30" s="219">
        <f t="shared" si="112"/>
        <v>0.94527616263001568</v>
      </c>
      <c r="AA30" s="219">
        <f t="shared" si="112"/>
        <v>0.94573991096226073</v>
      </c>
      <c r="AB30" s="219">
        <f t="shared" si="112"/>
        <v>0.94575365326955829</v>
      </c>
      <c r="AC30" s="219">
        <f t="shared" si="112"/>
        <v>0.94513501121414711</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9">
        <v>2038</v>
      </c>
      <c r="BC30" s="549">
        <v>2040</v>
      </c>
      <c r="BD30" s="549">
        <v>2045</v>
      </c>
      <c r="BE30" s="193">
        <v>2050</v>
      </c>
    </row>
    <row r="31" spans="1:116" ht="43.5">
      <c r="A31" s="203" t="s">
        <v>307</v>
      </c>
      <c r="B31" s="204">
        <f>'Bilan 2015'!$C$21-SUM('Bilan 2015'!$M$21:$P$21)+'Bilan 2015'!$C$26*(1-SUM('Bilan 2015'!$M$26:$P$34)/'Bilan 2015'!$D$30)+'Bilan 2015'!$C$36</f>
        <v>0.22730793045572523</v>
      </c>
      <c r="C31" s="204">
        <f>'Bilan 2020'!$C$21-SUM('Bilan 2020'!$M$21:$P$21)+'Bilan 2020'!$C$26*(1-SUM('Bilan 2020'!$M$26:$P$34)/'Bilan 2020'!$D$30)+'Bilan 2020'!$C$36</f>
        <v>5.9336589388889092</v>
      </c>
      <c r="D31" s="204">
        <f>'Bilan 2023'!$C$21-SUM('Bilan 2023'!$M$21:$P$21)+'Bilan 2023'!$C$26*(1-SUM('Bilan 2023'!$M$26:$P$34)/'Bilan 2023'!$D$30)+'Bilan 2023'!$C$36</f>
        <v>5.0292351373860864</v>
      </c>
      <c r="E31" s="204">
        <f>'Bilan 2025'!$C$21-'Bilan 2025'!$C$11</f>
        <v>7.7668115281105008</v>
      </c>
      <c r="F31" s="204">
        <f>'Bilan 2028'!$C$21-SUM('Bilan 2028'!$M$21:$P$21)+'Bilan 2028'!$C$26*(1-SUM('Bilan 2028'!$M$26:$P$34)/'Bilan 2028'!$D$30)+'Bilan 2028'!$C$36</f>
        <v>7.4175145777894995</v>
      </c>
      <c r="G31" s="204">
        <f>'Bilan 2030'!$C$21-SUM('Bilan 2030'!$M$21:$P$21)+'Bilan 2030'!$C$26*(1-SUM('Bilan 2030'!$M$26:$P$34)/'Bilan 2030'!$D$30)+'Bilan 2030'!$C$36</f>
        <v>7.4282619819136393</v>
      </c>
      <c r="H31" s="204">
        <f>'Bilan 2033'!$C$21-SUM('Bilan 2033'!$M$21:$P$21)+'Bilan 2033'!$C$26*(1-SUM('Bilan 2033'!$M$26:$P$34)/'Bilan 2033'!$D$30)+'Bilan 2033'!$C$36</f>
        <v>7.1795682689349354</v>
      </c>
      <c r="I31" s="204">
        <f>'Bilan 2035'!$C$21-SUM('Bilan 2035'!$M$21:$P$21)+'Bilan 2035'!$C$26*(1-SUM('Bilan 2035'!$M$26:$P$34)/'Bilan 2035'!$D$30)+'Bilan 2035'!$C$36</f>
        <v>7.0158884992939017</v>
      </c>
      <c r="J31" s="204">
        <f>'Bilan 2038'!$C$21-SUM('Bilan 2038'!$M$21:$P$21)+'Bilan 2038'!$C$26*(1-SUM('Bilan 2038'!$M$26:$P$34)/'Bilan 2038'!$D$30)+'Bilan 2038'!$C$36</f>
        <v>6.8649000689318385</v>
      </c>
      <c r="K31" s="204">
        <f>'Bilan 2040'!$C$21-SUM('Bilan 2040'!$M$21:$P$21)+'Bilan 2040'!$C$26*(1-SUM('Bilan 2040'!$M$26:$P$34)/'Bilan 2040'!$D$30)+'Bilan 2040'!$C$36</f>
        <v>6.7643230773203076</v>
      </c>
      <c r="L31" s="204">
        <f>'Bilan 2045'!$C$21-SUM('Bilan 2045'!$M$21:$P$21)+'Bilan 2045'!$C$26*(1-SUM('Bilan 2045'!$M$26:$P$34)/'Bilan 2045'!$D$30)+'Bilan 2045'!$C$36</f>
        <v>6.4235437704079406</v>
      </c>
      <c r="M31" s="204">
        <f>'Bilan 2050'!$C$21-SUM('Bilan 2050'!$M$21:$P$21)+'Bilan 2050'!$C$26*(1-SUM('Bilan 2050'!$M$26:$P$34)/'Bilan 2050'!$D$30)+'Bilan 2050'!$C$36</f>
        <v>6.0528603459678774</v>
      </c>
      <c r="N31" s="216">
        <f>SUM('Bilan 2020'!$C$21:$C$22)-SUM('Bilan 2020'!$M$21:$P$22)+'Bilan 2020'!$C$26+'Bilan 2020'!$C$28+'Bilan 2020'!$C$36-C31</f>
        <v>0</v>
      </c>
      <c r="O31" s="216">
        <f>SUM('Bilan 2030'!$C$21:$C$22)-SUM('Bilan 2030'!$M$21:$P$22)+'Bilan 2030'!$C$26+'Bilan 2030'!$C$28+'Bilan 2030'!$C$36-G31</f>
        <v>7.3516286473562786E-5</v>
      </c>
      <c r="P31" s="216">
        <f>SUM('Bilan 2050'!$C$21:$C$22)-SUM('Bilan 2050'!$M$21:$P$22)+'Bilan 2050'!$C$26+'Bilan 2050'!$C$28+'Bilan 2050'!$C$36-M31</f>
        <v>7.4554620463906929E-4</v>
      </c>
      <c r="Q31" s="572" t="s">
        <v>268</v>
      </c>
      <c r="R31" s="219">
        <f t="shared" si="111"/>
        <v>4.2736462637620605E-2</v>
      </c>
      <c r="S31" s="219">
        <f t="shared" si="111"/>
        <v>4.7423664235666747E-2</v>
      </c>
      <c r="T31" s="219">
        <f t="shared" si="111"/>
        <v>5.3678609121872785E-2</v>
      </c>
      <c r="U31" s="219">
        <f t="shared" si="111"/>
        <v>5.6362581705584586E-2</v>
      </c>
      <c r="V31" s="219">
        <f t="shared" ref="V31:AC31" si="113">V5/V$3</f>
        <v>5.6441276094713846E-2</v>
      </c>
      <c r="W31" s="219">
        <f t="shared" si="113"/>
        <v>5.6537818099202136E-2</v>
      </c>
      <c r="X31" s="219">
        <f t="shared" si="113"/>
        <v>5.5832085036709604E-2</v>
      </c>
      <c r="Y31" s="219">
        <f t="shared" si="113"/>
        <v>5.5310336650567934E-2</v>
      </c>
      <c r="Z31" s="219">
        <f t="shared" si="113"/>
        <v>5.4723837369984339E-2</v>
      </c>
      <c r="AA31" s="219">
        <f t="shared" si="113"/>
        <v>5.4260089037739254E-2</v>
      </c>
      <c r="AB31" s="219">
        <f t="shared" si="113"/>
        <v>5.4246346730441673E-2</v>
      </c>
      <c r="AC31" s="219">
        <f t="shared" si="113"/>
        <v>5.486498878585281E-2</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3">
      <c r="A32" s="203" t="s">
        <v>293</v>
      </c>
      <c r="B32" s="204">
        <f>'Bilan 2015'!$C$27*(1-SUM('Bilan 2015'!$M$26:$P$34)/'Bilan 2015'!$D$30)+'Bilan 2015'!$C$44</f>
        <v>0.91085715601083017</v>
      </c>
      <c r="C32" s="204">
        <f>'Bilan 2020'!$C$27*(1-SUM('Bilan 2020'!$M$26:$P$34)/'Bilan 2020'!$D$30)+'Bilan 2020'!$C$44</f>
        <v>22.30312628047551</v>
      </c>
      <c r="D32" s="204">
        <f>'Bilan 2023'!$C$27*(1-SUM('Bilan 2023'!$M$26:$P$34)/'Bilan 2023'!$D$30)+'Bilan 2023'!$C$44</f>
        <v>14.314979771434762</v>
      </c>
      <c r="E32" s="204">
        <f>'Bilan 2025'!$C$27+'Bilan 2025'!$C$44</f>
        <v>14.477216577336065</v>
      </c>
      <c r="F32" s="204">
        <f>'Bilan 2028'!$C$27*(1-SUM('Bilan 2028'!$M$26:$P$34)/'Bilan 2028'!$D$30)+'Bilan 2028'!$C$44</f>
        <v>14.356552665834871</v>
      </c>
      <c r="G32" s="204">
        <f>'Bilan 2030'!$C$27*(1-SUM('Bilan 2030'!$M$26:$P$34)/'Bilan 2030'!$D$30)+'Bilan 2030'!$C$44</f>
        <v>14.270502702475634</v>
      </c>
      <c r="H32" s="204">
        <f>'Bilan 2033'!$C$27*(1-SUM('Bilan 2033'!$M$26:$P$34)/'Bilan 2033'!$D$30)+'Bilan 2033'!$C$44</f>
        <v>14.092730715505333</v>
      </c>
      <c r="I32" s="204">
        <f>'Bilan 2035'!$C$27*(1-SUM('Bilan 2035'!$M$26:$P$34)/'Bilan 2035'!$D$30)+'Bilan 2035'!$C$44</f>
        <v>13.973946365056424</v>
      </c>
      <c r="J32" s="204">
        <f>'Bilan 2038'!$C$27*(1-SUM('Bilan 2038'!$M$26:$P$34)/'Bilan 2038'!$D$30)+'Bilan 2038'!$C$44</f>
        <v>13.882205609574779</v>
      </c>
      <c r="K32" s="204">
        <f>'Bilan 2040'!$C$27*(1-SUM('Bilan 2040'!$M$26:$P$34)/'Bilan 2040'!$D$30)+'Bilan 2040'!$C$44</f>
        <v>13.819044684691866</v>
      </c>
      <c r="L32" s="204">
        <f>'Bilan 2045'!$C$27*(1-SUM('Bilan 2045'!$M$26:$P$34)/'Bilan 2045'!$D$30)+'Bilan 2045'!$C$44</f>
        <v>13.700301379145516</v>
      </c>
      <c r="M32" s="204">
        <f>'Bilan 2050'!$C$27*(1-SUM('Bilan 2050'!$M$26:$P$34)/'Bilan 2050'!$D$30)+'Bilan 2050'!$C$44</f>
        <v>13.624829265740908</v>
      </c>
      <c r="N32" s="216">
        <f>'Bilan 2020'!$C$27+'Bilan 2020'!$C$44-C32</f>
        <v>0</v>
      </c>
      <c r="O32" s="216">
        <f>'Bilan 2030'!$C$27+'Bilan 2030'!$C$44-G32</f>
        <v>3.1791342765696839E-3</v>
      </c>
      <c r="P32" s="216">
        <f>'Bilan 2050'!$C$27+'Bilan 2050'!$C$44-M32</f>
        <v>3.2078126436639209E-2</v>
      </c>
      <c r="Q32" s="572"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3">
      <c r="A33" s="203" t="s">
        <v>300</v>
      </c>
      <c r="B33" s="205">
        <f>'Bilan 2015'!$C$30*(1-SUM('Bilan 2015'!$M$26:$P$34)/'Bilan 2015'!$D$30)</f>
        <v>5.6719520540355547E-2</v>
      </c>
      <c r="C33" s="205">
        <f>'Bilan 2020'!$C$30*(1-SUM('Bilan 2020'!$M$26:$P$34)/'Bilan 2020'!$D$30)</f>
        <v>3.6793581777777802</v>
      </c>
      <c r="D33" s="205">
        <f>'Bilan 2023'!$C$30*(1-SUM('Bilan 2023'!$M$26:$P$34)/'Bilan 2023'!$D$30)</f>
        <v>2.3799799451010251</v>
      </c>
      <c r="E33" s="205">
        <f>'Bilan 2025'!$C$30</f>
        <v>2.3429154336529705</v>
      </c>
      <c r="F33" s="205">
        <f>'Bilan 2028'!$C$30*(1-SUM('Bilan 2028'!$M$26:$P$34)/'Bilan 2028'!$D$30)</f>
        <v>2.2649379614389087</v>
      </c>
      <c r="G33" s="205">
        <f>'Bilan 2030'!$C$30*(1-SUM('Bilan 2030'!$M$26:$P$34)/'Bilan 2030'!$D$30)</f>
        <v>2.2135118072908004</v>
      </c>
      <c r="H33" s="205">
        <f>'Bilan 2033'!$C$30*(1-SUM('Bilan 2033'!$M$26:$P$34)/'Bilan 2033'!$D$30)</f>
        <v>2.1765628738461276</v>
      </c>
      <c r="I33" s="205">
        <f>'Bilan 2035'!$C$30*(1-SUM('Bilan 2035'!$M$26:$P$34)/'Bilan 2035'!$D$30)</f>
        <v>2.1522238532897298</v>
      </c>
      <c r="J33" s="205">
        <f>'Bilan 2038'!$C$30*(1-SUM('Bilan 2038'!$M$26:$P$34)/'Bilan 2038'!$D$30)</f>
        <v>2.1324879830691428</v>
      </c>
      <c r="K33" s="205">
        <f>'Bilan 2040'!$C$30*(1-SUM('Bilan 2040'!$M$26:$P$34)/'Bilan 2040'!$D$30)</f>
        <v>2.1193044730706876</v>
      </c>
      <c r="L33" s="205">
        <f>'Bilan 2045'!$C$30*(1-SUM('Bilan 2045'!$M$26:$P$34)/'Bilan 2045'!$D$30)</f>
        <v>2.0952309255342936</v>
      </c>
      <c r="M33" s="205">
        <f>'Bilan 2050'!$C$30*(1-SUM('Bilan 2050'!$M$26:$P$34)/'Bilan 2050'!$D$30)</f>
        <v>2.0819737774951141</v>
      </c>
      <c r="N33" s="216">
        <f>'Bilan 2020'!$C$30-C33</f>
        <v>0</v>
      </c>
      <c r="O33" s="216">
        <f>'Bilan 2030'!$C$30-G33</f>
        <v>4.9311866616497113E-4</v>
      </c>
      <c r="P33" s="216">
        <f>'Bilan 2050'!$C$30-M33</f>
        <v>4.9017728420408524E-3</v>
      </c>
      <c r="Q33" s="571" t="s">
        <v>104</v>
      </c>
      <c r="R33" s="201"/>
      <c r="S33" s="201"/>
      <c r="T33" s="201"/>
      <c r="U33" s="201"/>
      <c r="V33" s="201"/>
      <c r="W33" s="201"/>
      <c r="X33" s="201"/>
      <c r="Y33" s="201"/>
      <c r="Z33" s="201"/>
      <c r="AA33" s="201"/>
      <c r="AB33" s="201"/>
      <c r="AC33" s="201"/>
      <c r="AE33" s="205" t="s">
        <v>266</v>
      </c>
      <c r="AF33" s="219">
        <f t="shared" ref="AF33:AP34" si="114">(AF4+AF6)/AF$3</f>
        <v>0.94639935697901212</v>
      </c>
      <c r="AG33" s="219">
        <f t="shared" si="114"/>
        <v>0.94047460660712889</v>
      </c>
      <c r="AH33" s="219">
        <f t="shared" si="114"/>
        <v>0.92953273445420503</v>
      </c>
      <c r="AI33" s="219">
        <f t="shared" si="114"/>
        <v>0.92568927811611945</v>
      </c>
      <c r="AJ33" s="219">
        <f t="shared" si="114"/>
        <v>0.92475445887603291</v>
      </c>
      <c r="AK33" s="219">
        <f t="shared" si="114"/>
        <v>0.92396376519524825</v>
      </c>
      <c r="AL33" s="219">
        <f t="shared" si="114"/>
        <v>0.92314813113589678</v>
      </c>
      <c r="AM33" s="219">
        <f t="shared" si="114"/>
        <v>0.92248594294186059</v>
      </c>
      <c r="AN33" s="219">
        <f t="shared" si="114"/>
        <v>0.92126667070408153</v>
      </c>
      <c r="AO33" s="219">
        <f t="shared" si="114"/>
        <v>0.9203480161962293</v>
      </c>
      <c r="AP33" s="219">
        <f t="shared" si="114"/>
        <v>0.9173971967637079</v>
      </c>
      <c r="AQ33" s="219">
        <f>(AQ4+AQ6)/AQ$3</f>
        <v>0.9150621093149568</v>
      </c>
      <c r="AS33" s="205" t="s">
        <v>266</v>
      </c>
      <c r="AT33" s="219">
        <f t="shared" ref="AT33:BD34" si="115">(AT4+AT6)/AT$3</f>
        <v>0.95588105807243107</v>
      </c>
      <c r="AU33" s="219">
        <f t="shared" si="115"/>
        <v>0.95161573824348877</v>
      </c>
      <c r="AV33" s="219">
        <f t="shared" si="115"/>
        <v>0.94277431451544924</v>
      </c>
      <c r="AW33" s="219">
        <f t="shared" si="115"/>
        <v>0.93914802250664353</v>
      </c>
      <c r="AX33" s="219">
        <f t="shared" si="115"/>
        <v>0.9391577126350118</v>
      </c>
      <c r="AY33" s="219">
        <f t="shared" si="115"/>
        <v>0.93912696517708827</v>
      </c>
      <c r="AZ33" s="219">
        <f t="shared" si="115"/>
        <v>0.93928839838491351</v>
      </c>
      <c r="BA33" s="219">
        <f t="shared" si="115"/>
        <v>0.93939452653632805</v>
      </c>
      <c r="BB33" s="219">
        <f t="shared" si="115"/>
        <v>0.93931200655923031</v>
      </c>
      <c r="BC33" s="219">
        <f t="shared" si="115"/>
        <v>0.93927064109026825</v>
      </c>
      <c r="BD33" s="219">
        <f t="shared" si="115"/>
        <v>0.93808705018532368</v>
      </c>
      <c r="BE33" s="219">
        <f>(BE4+BE6)/BE$3</f>
        <v>0.93651036759514217</v>
      </c>
    </row>
    <row r="34" spans="1:57" ht="13">
      <c r="A34" s="203" t="s">
        <v>308</v>
      </c>
      <c r="B34" s="220">
        <f>('Bilan 2015'!$C$28+'Bilan 2015'!$C$31)*(1-SUM('Bilan 2015'!$M$26:$P$34)/'Bilan 2015'!$D$30)+'Bilan 2015'!$C$38+'Bilan 2015'!$C$39+'Bilan 2015'!$C$40</f>
        <v>5.1344547654386874</v>
      </c>
      <c r="C34" s="220">
        <f>('Bilan 2020'!$C$28+'Bilan 2020'!$C$31)*(1-SUM('Bilan 2020'!$M$26:$P$34)/'Bilan 2020'!$D$30)+'Bilan 2020'!$C$38+'Bilan 2020'!$C$39+'Bilan 2020'!$C$40</f>
        <v>33.87625778069777</v>
      </c>
      <c r="D34" s="220">
        <f>('Bilan 2023'!$C$28+'Bilan 2023'!$C$31)*(1-SUM('Bilan 2023'!$M$26:$P$34)/'Bilan 2023'!$D$30)+'Bilan 2023'!$C$38+'Bilan 2023'!$C$39+'Bilan 2023'!$C$40</f>
        <v>38.938880808827278</v>
      </c>
      <c r="E34" s="220">
        <f>'Bilan 2025'!$C$28+'Bilan 2025'!$C$31+'Bilan 2025'!$C$38+'Bilan 2025'!$C$39+'Bilan 2025'!$C$40</f>
        <v>41.853107957079459</v>
      </c>
      <c r="F34" s="220">
        <f>('Bilan 2028'!$C$28+'Bilan 2028'!$C$31)*(1-SUM('Bilan 2028'!$M$26:$P$34)/'Bilan 2028'!$D$30)+'Bilan 2028'!$C$38+'Bilan 2028'!$C$39+'Bilan 2028'!$C$40</f>
        <v>48.03994163305439</v>
      </c>
      <c r="G34" s="220">
        <f>('Bilan 2030'!$C$28+'Bilan 2030'!$C$31)*(1-SUM('Bilan 2030'!$M$26:$P$34)/'Bilan 2030'!$D$30)+'Bilan 2030'!$C$38+'Bilan 2030'!$C$39+'Bilan 2030'!$C$40</f>
        <v>52.363669470433123</v>
      </c>
      <c r="H34" s="220">
        <f>('Bilan 2033'!$C$28+'Bilan 2033'!$C$31)*(1-SUM('Bilan 2033'!$M$26:$P$34)/'Bilan 2033'!$D$30)+'Bilan 2033'!$C$38+'Bilan 2033'!$C$39+'Bilan 2033'!$C$40</f>
        <v>57.250162734693113</v>
      </c>
      <c r="I34" s="220">
        <f>('Bilan 2035'!$C$28+'Bilan 2035'!$C$31)*(1-SUM('Bilan 2035'!$M$26:$P$34)/'Bilan 2035'!$D$30)+'Bilan 2035'!$C$38+'Bilan 2035'!$C$39+'Bilan 2035'!$C$40</f>
        <v>60.660929668887476</v>
      </c>
      <c r="J34" s="220">
        <f>('Bilan 2038'!$C$28+'Bilan 2038'!$C$31)*(1-SUM('Bilan 2038'!$M$26:$P$34)/'Bilan 2038'!$D$30)+'Bilan 2038'!$C$38+'Bilan 2038'!$C$39+'Bilan 2038'!$C$40</f>
        <v>63.670190049073604</v>
      </c>
      <c r="K34" s="220">
        <f>('Bilan 2040'!$C$28+'Bilan 2040'!$C$31)*(1-SUM('Bilan 2040'!$M$26:$P$34)/'Bilan 2040'!$D$30)+'Bilan 2040'!$C$38+'Bilan 2040'!$C$39+'Bilan 2040'!$C$40</f>
        <v>65.736950202079697</v>
      </c>
      <c r="L34" s="220">
        <f>('Bilan 2045'!$C$28+'Bilan 2045'!$C$31)*(1-SUM('Bilan 2045'!$M$26:$P$34)/'Bilan 2045'!$D$30)+'Bilan 2045'!$C$38+'Bilan 2045'!$C$39+'Bilan 2045'!$C$40</f>
        <v>70.819814202540698</v>
      </c>
      <c r="M34" s="220">
        <f>('Bilan 2050'!$C$28+'Bilan 2050'!$C$31)*(1-SUM('Bilan 2050'!$M$26:$P$34)/'Bilan 2050'!$D$30)+'Bilan 2050'!$C$38+'Bilan 2050'!$C$39+'Bilan 2050'!$C$40</f>
        <v>77.94621591512923</v>
      </c>
      <c r="N34" s="216">
        <f>'Bilan 2020'!$C$31+'Bilan 2020'!$C$38+'Bilan 2020'!$C$39+'Bilan 2020'!$C$40-C34</f>
        <v>0</v>
      </c>
      <c r="O34" s="216">
        <f>'Bilan 2030'!$C$31+'Bilan 2030'!$C$38+'Bilan 2030'!$C$39+'Bilan 2030'!$C$40-G34</f>
        <v>0</v>
      </c>
      <c r="P34" s="216">
        <f>'Bilan 2050'!$C$31+'Bilan 2050'!$C$38+'Bilan 2050'!$C$39+'Bilan 2050'!$C$40-M34</f>
        <v>0</v>
      </c>
      <c r="Q34" s="572" t="s">
        <v>20</v>
      </c>
      <c r="R34" s="219">
        <f t="shared" ref="R34:U41" si="116">R8/R$7</f>
        <v>0.8611591114363959</v>
      </c>
      <c r="S34" s="219">
        <f t="shared" si="116"/>
        <v>0.8319093450874363</v>
      </c>
      <c r="T34" s="219">
        <f t="shared" si="116"/>
        <v>0.83608015332482111</v>
      </c>
      <c r="U34" s="219">
        <f t="shared" si="116"/>
        <v>0.83812798705647373</v>
      </c>
      <c r="V34" s="219">
        <f t="shared" ref="V34:AC34" si="117">V8/V$7</f>
        <v>0.82805750755091168</v>
      </c>
      <c r="W34" s="219">
        <f t="shared" si="117"/>
        <v>0.82301541444018644</v>
      </c>
      <c r="X34" s="219">
        <f t="shared" si="117"/>
        <v>0.80009940939767576</v>
      </c>
      <c r="Y34" s="219">
        <f t="shared" si="117"/>
        <v>0.78393707633842769</v>
      </c>
      <c r="Z34" s="219">
        <f t="shared" si="117"/>
        <v>0.75719532674375278</v>
      </c>
      <c r="AA34" s="219">
        <f t="shared" si="117"/>
        <v>0.73834105053692345</v>
      </c>
      <c r="AB34" s="219">
        <f t="shared" si="117"/>
        <v>0.68888832045756687</v>
      </c>
      <c r="AC34" s="219">
        <f t="shared" si="117"/>
        <v>0.62152708272801371</v>
      </c>
      <c r="AE34" s="205" t="s">
        <v>268</v>
      </c>
      <c r="AF34" s="219">
        <f t="shared" si="114"/>
        <v>5.3600643020987951E-2</v>
      </c>
      <c r="AG34" s="219">
        <f t="shared" si="114"/>
        <v>5.9525393392871072E-2</v>
      </c>
      <c r="AH34" s="219">
        <f t="shared" si="114"/>
        <v>7.0467265545795035E-2</v>
      </c>
      <c r="AI34" s="219">
        <f t="shared" si="114"/>
        <v>7.4310721883880687E-2</v>
      </c>
      <c r="AJ34" s="219">
        <f t="shared" si="114"/>
        <v>7.5245541123967016E-2</v>
      </c>
      <c r="AK34" s="219">
        <f t="shared" si="114"/>
        <v>7.6036234804751732E-2</v>
      </c>
      <c r="AL34" s="219">
        <f t="shared" si="114"/>
        <v>7.6851868864103182E-2</v>
      </c>
      <c r="AM34" s="219">
        <f t="shared" si="114"/>
        <v>7.751405705813938E-2</v>
      </c>
      <c r="AN34" s="219">
        <f t="shared" si="114"/>
        <v>7.8733329295918419E-2</v>
      </c>
      <c r="AO34" s="219">
        <f t="shared" si="114"/>
        <v>7.9651983803770768E-2</v>
      </c>
      <c r="AP34" s="219">
        <f t="shared" si="114"/>
        <v>8.260280323629203E-2</v>
      </c>
      <c r="AQ34" s="219">
        <f>(AQ5+AQ7)/AQ$3</f>
        <v>8.493789068504326E-2</v>
      </c>
      <c r="AS34" s="205" t="s">
        <v>268</v>
      </c>
      <c r="AT34" s="219">
        <f t="shared" si="115"/>
        <v>4.4118941927568836E-2</v>
      </c>
      <c r="AU34" s="219">
        <f t="shared" si="115"/>
        <v>4.8384261756511185E-2</v>
      </c>
      <c r="AV34" s="219">
        <f t="shared" si="115"/>
        <v>5.7225685484550787E-2</v>
      </c>
      <c r="AW34" s="219">
        <f t="shared" si="115"/>
        <v>6.085197749335635E-2</v>
      </c>
      <c r="AX34" s="219">
        <f t="shared" si="115"/>
        <v>6.0842287364988312E-2</v>
      </c>
      <c r="AY34" s="219">
        <f t="shared" si="115"/>
        <v>6.087303482291171E-2</v>
      </c>
      <c r="AZ34" s="219">
        <f t="shared" si="115"/>
        <v>6.0711601615086562E-2</v>
      </c>
      <c r="BA34" s="219">
        <f t="shared" si="115"/>
        <v>6.0605473463672031E-2</v>
      </c>
      <c r="BB34" s="219">
        <f t="shared" si="115"/>
        <v>6.0687993440769743E-2</v>
      </c>
      <c r="BC34" s="219">
        <f t="shared" si="115"/>
        <v>6.0729358909731815E-2</v>
      </c>
      <c r="BD34" s="219">
        <f t="shared" si="115"/>
        <v>6.19129498146763E-2</v>
      </c>
      <c r="BE34" s="219">
        <f>(BE5+BE7)/BE$3</f>
        <v>6.3489632404857943E-2</v>
      </c>
    </row>
    <row r="35" spans="1:57" ht="13">
      <c r="A35" s="211"/>
      <c r="B35" s="212"/>
      <c r="C35" s="212"/>
      <c r="D35" s="212"/>
      <c r="E35" s="212"/>
      <c r="F35" s="212"/>
      <c r="G35" s="212"/>
      <c r="H35" s="212"/>
      <c r="I35" s="212"/>
      <c r="J35" s="212"/>
      <c r="K35" s="212"/>
      <c r="L35" s="212"/>
      <c r="M35" s="579"/>
      <c r="N35" s="575"/>
      <c r="O35" s="575"/>
      <c r="P35" s="575"/>
      <c r="Q35" s="572" t="s">
        <v>309</v>
      </c>
      <c r="R35" s="219">
        <f t="shared" si="116"/>
        <v>5.3750522547196889E-3</v>
      </c>
      <c r="S35" s="219">
        <f t="shared" si="116"/>
        <v>2.6704296134811398E-3</v>
      </c>
      <c r="T35" s="219">
        <f t="shared" si="116"/>
        <v>7.4695838735928787E-3</v>
      </c>
      <c r="U35" s="219">
        <f t="shared" si="116"/>
        <v>5.5112039660866223E-3</v>
      </c>
      <c r="V35" s="219">
        <f t="shared" ref="V35:AC35" si="118">V9/V$7</f>
        <v>5.323922276352918E-3</v>
      </c>
      <c r="W35" s="219">
        <f t="shared" si="118"/>
        <v>5.2112878208008242E-3</v>
      </c>
      <c r="X35" s="219">
        <f t="shared" si="118"/>
        <v>5.5682797048299893E-3</v>
      </c>
      <c r="Y35" s="219">
        <f t="shared" si="118"/>
        <v>5.8191287360745926E-3</v>
      </c>
      <c r="Z35" s="219">
        <f t="shared" si="118"/>
        <v>5.8069806687042064E-3</v>
      </c>
      <c r="AA35" s="219">
        <f t="shared" si="118"/>
        <v>5.7981695436124837E-3</v>
      </c>
      <c r="AB35" s="219">
        <f t="shared" si="118"/>
        <v>6.4814130363997436E-3</v>
      </c>
      <c r="AC35" s="219">
        <f t="shared" si="118"/>
        <v>6.8965520922920822E-3</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3">
      <c r="A36" s="211"/>
      <c r="B36" s="212"/>
      <c r="C36" s="212"/>
      <c r="D36" s="212"/>
      <c r="E36" s="212"/>
      <c r="F36" s="212"/>
      <c r="G36" s="212"/>
      <c r="H36" s="212"/>
      <c r="I36" s="212"/>
      <c r="J36" s="212"/>
      <c r="K36" s="212"/>
      <c r="L36" s="212"/>
      <c r="M36" s="579"/>
      <c r="N36" s="575"/>
      <c r="O36" s="575"/>
      <c r="P36" s="575"/>
      <c r="Q36" s="572" t="s">
        <v>310</v>
      </c>
      <c r="R36" s="219">
        <f t="shared" si="116"/>
        <v>2.9311099343751462E-2</v>
      </c>
      <c r="S36" s="219">
        <f t="shared" si="116"/>
        <v>4.7131047544950254E-2</v>
      </c>
      <c r="T36" s="219">
        <f t="shared" si="116"/>
        <v>1.4540848007617886E-2</v>
      </c>
      <c r="U36" s="219">
        <f t="shared" si="116"/>
        <v>1.334981034372373E-2</v>
      </c>
      <c r="V36" s="219">
        <f t="shared" ref="V36:AC36" si="119">V10/V$7</f>
        <v>1.2900284932229521E-2</v>
      </c>
      <c r="W36" s="219">
        <f t="shared" si="119"/>
        <v>1.2637158881878347E-2</v>
      </c>
      <c r="X36" s="219">
        <f t="shared" si="119"/>
        <v>1.2881215882816533E-2</v>
      </c>
      <c r="Y36" s="219">
        <f t="shared" si="119"/>
        <v>1.3054881786228822E-2</v>
      </c>
      <c r="Z36" s="219">
        <f t="shared" si="119"/>
        <v>1.3306100851430651E-2</v>
      </c>
      <c r="AA36" s="219">
        <f t="shared" si="119"/>
        <v>1.3484912423689486E-2</v>
      </c>
      <c r="AB36" s="219">
        <f t="shared" si="119"/>
        <v>1.4009598175714908E-2</v>
      </c>
      <c r="AC36" s="219">
        <f t="shared" si="119"/>
        <v>4.0684470165026916E-2</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3">
      <c r="A37" s="209"/>
      <c r="B37" s="210"/>
      <c r="C37" s="210"/>
      <c r="D37" s="210"/>
      <c r="E37" s="210"/>
      <c r="F37" s="210"/>
      <c r="G37" s="210"/>
      <c r="H37" s="210"/>
      <c r="I37" s="210"/>
      <c r="J37" s="210"/>
      <c r="K37" s="210"/>
      <c r="L37" s="210"/>
      <c r="M37" s="578"/>
      <c r="N37" s="575"/>
      <c r="O37" s="575"/>
      <c r="P37" s="575"/>
      <c r="Q37" s="572" t="s">
        <v>312</v>
      </c>
      <c r="R37" s="219">
        <f t="shared" si="116"/>
        <v>2.259871658415057E-2</v>
      </c>
      <c r="S37" s="219">
        <f t="shared" si="116"/>
        <v>7.2588986670967196E-3</v>
      </c>
      <c r="T37" s="219">
        <f t="shared" si="116"/>
        <v>3.4288156407673884E-3</v>
      </c>
      <c r="U37" s="219">
        <f t="shared" si="116"/>
        <v>1.9922837801090269E-3</v>
      </c>
      <c r="V37" s="219">
        <f t="shared" ref="V37:AC37" si="120">V11/V$7</f>
        <v>1.9666846272661125E-3</v>
      </c>
      <c r="W37" s="219">
        <f t="shared" si="120"/>
        <v>1.9536087852376522E-3</v>
      </c>
      <c r="X37" s="219">
        <f t="shared" si="120"/>
        <v>2.0169991882198154E-3</v>
      </c>
      <c r="Y37" s="219">
        <f t="shared" si="120"/>
        <v>2.0614888208650389E-3</v>
      </c>
      <c r="Z37" s="219">
        <f t="shared" si="120"/>
        <v>2.1288924830741842E-3</v>
      </c>
      <c r="AA37" s="219">
        <f t="shared" si="120"/>
        <v>2.1762334812543906E-3</v>
      </c>
      <c r="AB37" s="219">
        <f t="shared" si="120"/>
        <v>2.3095950482852098E-3</v>
      </c>
      <c r="AC37" s="219">
        <f t="shared" si="120"/>
        <v>2.4158558164614785E-3</v>
      </c>
      <c r="AE37" s="205" t="s">
        <v>20</v>
      </c>
      <c r="AF37" s="219">
        <f t="shared" ref="AF37:AQ37" si="121">AF9/AF$8</f>
        <v>0.77628428451802955</v>
      </c>
      <c r="AG37" s="219">
        <f t="shared" si="121"/>
        <v>0.694080913019545</v>
      </c>
      <c r="AH37" s="219">
        <f t="shared" si="121"/>
        <v>0.69114451090098294</v>
      </c>
      <c r="AI37" s="219">
        <f t="shared" si="121"/>
        <v>0.68626280287502539</v>
      </c>
      <c r="AJ37" s="219">
        <f t="shared" si="121"/>
        <v>0.66115142762491208</v>
      </c>
      <c r="AK37" s="219">
        <f t="shared" si="121"/>
        <v>0.64846858622223447</v>
      </c>
      <c r="AL37" s="219">
        <f t="shared" si="121"/>
        <v>0.60809290639199898</v>
      </c>
      <c r="AM37" s="219">
        <f t="shared" si="121"/>
        <v>0.58133482645904555</v>
      </c>
      <c r="AN37" s="219">
        <f t="shared" si="121"/>
        <v>0.53803764681458199</v>
      </c>
      <c r="AO37" s="219">
        <f t="shared" si="121"/>
        <v>0.50934324636234585</v>
      </c>
      <c r="AP37" s="219">
        <f t="shared" si="121"/>
        <v>0.44363771524523193</v>
      </c>
      <c r="AQ37" s="219">
        <f t="shared" si="121"/>
        <v>0.37300389185710525</v>
      </c>
      <c r="AS37" s="205" t="s">
        <v>20</v>
      </c>
      <c r="AT37" s="219">
        <f t="shared" ref="AT37:AV40" si="122">AT9/AT$8</f>
        <v>0.77628428451802955</v>
      </c>
      <c r="AU37" s="219">
        <f t="shared" si="122"/>
        <v>0.694080913019545</v>
      </c>
      <c r="AV37" s="219">
        <f t="shared" si="122"/>
        <v>0.69114451090098294</v>
      </c>
      <c r="AW37" s="219">
        <f t="shared" ref="AW37:BE37" si="123">AV9/AV$8</f>
        <v>0.69114451090098294</v>
      </c>
      <c r="AX37" s="219">
        <f t="shared" si="123"/>
        <v>0.68626280287502539</v>
      </c>
      <c r="AY37" s="219">
        <f t="shared" si="123"/>
        <v>0.66115142762491208</v>
      </c>
      <c r="AZ37" s="219">
        <f t="shared" si="123"/>
        <v>0.64846858622223447</v>
      </c>
      <c r="BA37" s="219">
        <f t="shared" si="123"/>
        <v>0.60809290639199898</v>
      </c>
      <c r="BB37" s="219">
        <f t="shared" si="123"/>
        <v>0.58133482645904555</v>
      </c>
      <c r="BC37" s="219">
        <f t="shared" si="123"/>
        <v>0.53803764681458199</v>
      </c>
      <c r="BD37" s="219">
        <f t="shared" si="123"/>
        <v>0.50934324636234585</v>
      </c>
      <c r="BE37" s="219">
        <f t="shared" si="123"/>
        <v>0.44363771524523193</v>
      </c>
    </row>
    <row r="38" spans="1:57" ht="13">
      <c r="A38" s="199" t="s">
        <v>42</v>
      </c>
      <c r="B38" s="200">
        <f>'Bilan 2015'!$C$34*(1-SUM('Bilan 2015'!$M$26:$P$34)/'Bilan 2015'!$D$30)+'Bilan 2015'!$C$46</f>
        <v>5.5321903370544652</v>
      </c>
      <c r="C38" s="200">
        <f>'Bilan 2020'!$C$34*(1-SUM('Bilan 2020'!$M$26:$P$34)/'Bilan 2020'!$D$30)+'Bilan 2020'!$C$46</f>
        <v>49.830275396336631</v>
      </c>
      <c r="D38" s="200">
        <f>'Bilan 2023'!$C$34*(1-SUM('Bilan 2023'!$M$26:$P$34)/'Bilan 2023'!$D$30)+'Bilan 2023'!$C$46</f>
        <v>50.689149577825773</v>
      </c>
      <c r="E38" s="200">
        <f>'Bilan 2025'!$C$34+'Bilan 2025'!$C$46</f>
        <v>49.1086717583973</v>
      </c>
      <c r="F38" s="200">
        <f>'Bilan 2028'!$C$34*(1-SUM('Bilan 2028'!$M$26:$P$34)/'Bilan 2028'!$D$30)+'Bilan 2028'!$C$46</f>
        <v>47.443922804144869</v>
      </c>
      <c r="G38" s="200">
        <f>'Bilan 2030'!$C$34*(1-SUM('Bilan 2030'!$M$26:$P$34)/'Bilan 2030'!$D$30)+'Bilan 2030'!$C$46</f>
        <v>46.34677612109779</v>
      </c>
      <c r="H38" s="200">
        <f>'Bilan 2033'!$C$34*(1-SUM('Bilan 2033'!$M$26:$P$34)/'Bilan 2033'!$D$30)+'Bilan 2033'!$C$46</f>
        <v>46.166677563253685</v>
      </c>
      <c r="I38" s="200">
        <f>'Bilan 2035'!$C$34*(1-SUM('Bilan 2035'!$M$26:$P$34)/'Bilan 2035'!$D$30)+'Bilan 2035'!$C$46</f>
        <v>46.000479590016539</v>
      </c>
      <c r="J38" s="200">
        <f>'Bilan 2038'!$C$34*(1-SUM('Bilan 2038'!$M$26:$P$34)/'Bilan 2038'!$D$30)+'Bilan 2038'!$C$46</f>
        <v>45.545215820424701</v>
      </c>
      <c r="K38" s="200">
        <f>'Bilan 2040'!$C$34*(1-SUM('Bilan 2040'!$M$26:$P$34)/'Bilan 2040'!$D$30)+'Bilan 2040'!$C$46</f>
        <v>45.210854825774298</v>
      </c>
      <c r="L38" s="200">
        <f>'Bilan 2045'!$C$34*(1-SUM('Bilan 2045'!$M$26:$P$34)/'Bilan 2045'!$D$30)+'Bilan 2045'!$C$46</f>
        <v>44.318034238205584</v>
      </c>
      <c r="M38" s="200">
        <f>'Bilan 2050'!$C$34*(1-SUM('Bilan 2050'!$M$26:$P$34)/'Bilan 2050'!$D$30)+'Bilan 2050'!$C$46</f>
        <v>43.273105682596288</v>
      </c>
      <c r="N38" s="216"/>
      <c r="O38" s="216">
        <f>G38-'Bilan 2030'!$C$46</f>
        <v>0</v>
      </c>
      <c r="P38" s="216">
        <f>M38-'Bilan 2050'!$C$46</f>
        <v>0</v>
      </c>
      <c r="Q38" s="572" t="s">
        <v>17</v>
      </c>
      <c r="R38" s="219">
        <f t="shared" si="116"/>
        <v>2.0341142318019367E-2</v>
      </c>
      <c r="S38" s="219">
        <f t="shared" si="116"/>
        <v>3.3815750462641292E-2</v>
      </c>
      <c r="T38" s="219">
        <f t="shared" si="116"/>
        <v>3.8555386626223029E-2</v>
      </c>
      <c r="U38" s="219">
        <f t="shared" si="116"/>
        <v>4.5551657308758764E-2</v>
      </c>
      <c r="V38" s="219">
        <f t="shared" ref="V38:AC38" si="124">V12/V$7</f>
        <v>5.4405063490572676E-2</v>
      </c>
      <c r="W38" s="219">
        <f t="shared" si="124"/>
        <v>5.8259680362645817E-2</v>
      </c>
      <c r="X38" s="219">
        <f t="shared" si="124"/>
        <v>6.8857303119846919E-2</v>
      </c>
      <c r="Y38" s="219">
        <f t="shared" si="124"/>
        <v>7.6308330323316242E-2</v>
      </c>
      <c r="Z38" s="219">
        <f t="shared" si="124"/>
        <v>8.7992388548802744E-2</v>
      </c>
      <c r="AA38" s="219">
        <f t="shared" si="124"/>
        <v>9.6210979478151271E-2</v>
      </c>
      <c r="AB38" s="219">
        <f t="shared" si="124"/>
        <v>0.11871571935262205</v>
      </c>
      <c r="AC38" s="219">
        <f t="shared" si="124"/>
        <v>0.14160367324032028</v>
      </c>
      <c r="AE38" s="205" t="s">
        <v>309</v>
      </c>
      <c r="AF38" s="219">
        <f t="shared" ref="AF38:AQ38" si="125">AF10/AF$8</f>
        <v>6.10057444272534E-3</v>
      </c>
      <c r="AG38" s="219">
        <f t="shared" si="125"/>
        <v>2.9085724808014545E-3</v>
      </c>
      <c r="AH38" s="219">
        <f t="shared" si="125"/>
        <v>8.1802286529070577E-3</v>
      </c>
      <c r="AI38" s="219">
        <f t="shared" si="125"/>
        <v>5.9768316414400913E-3</v>
      </c>
      <c r="AJ38" s="219">
        <f t="shared" si="125"/>
        <v>5.6512266483537878E-3</v>
      </c>
      <c r="AK38" s="219">
        <f t="shared" si="125"/>
        <v>5.4721539262073257E-3</v>
      </c>
      <c r="AL38" s="219">
        <f t="shared" si="125"/>
        <v>5.6424074214203477E-3</v>
      </c>
      <c r="AM38" s="219">
        <f t="shared" si="125"/>
        <v>5.7552066797420887E-3</v>
      </c>
      <c r="AN38" s="219">
        <f t="shared" si="125"/>
        <v>5.5401745071675529E-3</v>
      </c>
      <c r="AO38" s="219">
        <f t="shared" si="125"/>
        <v>5.397716955759818E-3</v>
      </c>
      <c r="AP38" s="219">
        <f t="shared" si="125"/>
        <v>5.6508105812410406E-3</v>
      </c>
      <c r="AQ38" s="219">
        <f t="shared" si="125"/>
        <v>5.6367924718345097E-3</v>
      </c>
      <c r="AS38" s="205" t="s">
        <v>309</v>
      </c>
      <c r="AT38" s="219">
        <f t="shared" si="122"/>
        <v>6.10057444272534E-3</v>
      </c>
      <c r="AU38" s="219">
        <f t="shared" si="122"/>
        <v>2.9085724808014545E-3</v>
      </c>
      <c r="AV38" s="219">
        <f t="shared" si="122"/>
        <v>8.1802286529070577E-3</v>
      </c>
      <c r="AW38" s="219">
        <f t="shared" ref="AW38:BE38" si="126">AV10/AV$8</f>
        <v>8.1802286529070577E-3</v>
      </c>
      <c r="AX38" s="219">
        <f t="shared" si="126"/>
        <v>5.9768316414400913E-3</v>
      </c>
      <c r="AY38" s="219">
        <f t="shared" si="126"/>
        <v>5.6512266483537878E-3</v>
      </c>
      <c r="AZ38" s="219">
        <f t="shared" si="126"/>
        <v>5.4721539262073257E-3</v>
      </c>
      <c r="BA38" s="219">
        <f t="shared" si="126"/>
        <v>5.6424074214203477E-3</v>
      </c>
      <c r="BB38" s="219">
        <f t="shared" si="126"/>
        <v>5.7552066797420887E-3</v>
      </c>
      <c r="BC38" s="219">
        <f t="shared" si="126"/>
        <v>5.5401745071675529E-3</v>
      </c>
      <c r="BD38" s="219">
        <f t="shared" si="126"/>
        <v>5.397716955759818E-3</v>
      </c>
      <c r="BE38" s="219">
        <f t="shared" si="126"/>
        <v>5.6508105812410406E-3</v>
      </c>
    </row>
    <row r="39" spans="1:57" ht="13">
      <c r="B39" s="215">
        <f>B2-'Bilan 2015'!$C$5</f>
        <v>5.6682378545929168E-3</v>
      </c>
      <c r="C39" s="215">
        <f>C2-'Bilan 2020'!$C$5</f>
        <v>0</v>
      </c>
      <c r="D39" s="215">
        <f>D2-'Bilan 2023'!$C$5</f>
        <v>7.8620246313221287E-6</v>
      </c>
      <c r="E39" s="215">
        <f>E2-'Bilan 2025'!$C$5</f>
        <v>0</v>
      </c>
      <c r="F39" s="215">
        <f>F2-'Bilan 2028'!$C$5</f>
        <v>0</v>
      </c>
      <c r="G39" s="215">
        <f>G2-'Bilan 2030'!$C$5</f>
        <v>0</v>
      </c>
      <c r="H39" s="215">
        <f>H2-'Bilan 2033'!$C$5</f>
        <v>0</v>
      </c>
      <c r="I39" s="215">
        <f>I2-'Bilan 2035'!$C$5</f>
        <v>0</v>
      </c>
      <c r="J39" s="215">
        <f>J2-'Bilan 2038'!$C$5</f>
        <v>0</v>
      </c>
      <c r="K39" s="215">
        <f>K2-'Bilan 2040'!$C$5</f>
        <v>0</v>
      </c>
      <c r="L39" s="215">
        <f>L2-'Bilan 2045'!$C$5</f>
        <v>0</v>
      </c>
      <c r="M39" s="215">
        <f>M2-'Bilan 2050'!$C$5</f>
        <v>0</v>
      </c>
      <c r="N39" s="215"/>
      <c r="Q39" s="572" t="s">
        <v>279</v>
      </c>
      <c r="R39" s="219">
        <f t="shared" si="116"/>
        <v>8.9644457331014837E-3</v>
      </c>
      <c r="S39" s="219">
        <f t="shared" si="116"/>
        <v>1.4902774642990954E-2</v>
      </c>
      <c r="T39" s="219">
        <f t="shared" si="116"/>
        <v>1.6991556606107905E-2</v>
      </c>
      <c r="U39" s="219">
        <f t="shared" si="116"/>
        <v>1.8596016361445294E-2</v>
      </c>
      <c r="V39" s="219">
        <f t="shared" ref="V39:AC39" si="127">V13/V$7</f>
        <v>2.258643009468507E-2</v>
      </c>
      <c r="W39" s="219">
        <f t="shared" si="127"/>
        <v>2.5244926493202331E-2</v>
      </c>
      <c r="X39" s="219">
        <f t="shared" si="127"/>
        <v>3.5140868755902138E-2</v>
      </c>
      <c r="Y39" s="219">
        <f t="shared" si="127"/>
        <v>4.2094017501490624E-2</v>
      </c>
      <c r="Z39" s="219">
        <f t="shared" si="127"/>
        <v>5.3033168020407591E-2</v>
      </c>
      <c r="AA39" s="219">
        <f t="shared" si="127"/>
        <v>6.072549279248908E-2</v>
      </c>
      <c r="AB39" s="219">
        <f t="shared" si="127"/>
        <v>8.1713524410134061E-2</v>
      </c>
      <c r="AC39" s="219">
        <f t="shared" si="127"/>
        <v>9.4931765336635943E-2</v>
      </c>
      <c r="AE39" s="205" t="s">
        <v>310</v>
      </c>
      <c r="AF39" s="219">
        <f t="shared" ref="AF39:AQ39" si="128">AF11/AF$8</f>
        <v>3.9833488081140296E-2</v>
      </c>
      <c r="AG39" s="219">
        <f t="shared" si="128"/>
        <v>5.6350954748359057E-2</v>
      </c>
      <c r="AH39" s="219">
        <f t="shared" si="128"/>
        <v>1.8705555776939952E-2</v>
      </c>
      <c r="AI39" s="219">
        <f t="shared" si="128"/>
        <v>1.7020981953208437E-2</v>
      </c>
      <c r="AJ39" s="219">
        <f t="shared" si="128"/>
        <v>1.6460154277405652E-2</v>
      </c>
      <c r="AK39" s="219">
        <f t="shared" si="128"/>
        <v>1.618424144690201E-2</v>
      </c>
      <c r="AL39" s="219">
        <f t="shared" si="128"/>
        <v>1.6123941640849643E-2</v>
      </c>
      <c r="AM39" s="219">
        <f t="shared" si="128"/>
        <v>1.6083990781743111E-2</v>
      </c>
      <c r="AN39" s="219">
        <f t="shared" si="128"/>
        <v>1.6023439206223154E-2</v>
      </c>
      <c r="AO39" s="219">
        <f t="shared" si="128"/>
        <v>1.5983324143071558E-2</v>
      </c>
      <c r="AP39" s="219">
        <f t="shared" si="128"/>
        <v>1.5885110313895147E-2</v>
      </c>
      <c r="AQ39" s="219">
        <f t="shared" si="128"/>
        <v>4.4374827700718857E-2</v>
      </c>
      <c r="AS39" s="205" t="s">
        <v>310</v>
      </c>
      <c r="AT39" s="219">
        <f t="shared" si="122"/>
        <v>3.9833488081140296E-2</v>
      </c>
      <c r="AU39" s="219">
        <f t="shared" si="122"/>
        <v>5.6350954748359057E-2</v>
      </c>
      <c r="AV39" s="219">
        <f t="shared" si="122"/>
        <v>1.8705555776939952E-2</v>
      </c>
      <c r="AW39" s="219">
        <f t="shared" ref="AW39:BE39" si="129">AV11/AV$8</f>
        <v>1.8705555776939952E-2</v>
      </c>
      <c r="AX39" s="219">
        <f t="shared" si="129"/>
        <v>1.7020981953208437E-2</v>
      </c>
      <c r="AY39" s="219">
        <f t="shared" si="129"/>
        <v>1.6460154277405652E-2</v>
      </c>
      <c r="AZ39" s="219">
        <f t="shared" si="129"/>
        <v>1.618424144690201E-2</v>
      </c>
      <c r="BA39" s="219">
        <f t="shared" si="129"/>
        <v>1.6123941640849643E-2</v>
      </c>
      <c r="BB39" s="219">
        <f t="shared" si="129"/>
        <v>1.6083990781743111E-2</v>
      </c>
      <c r="BC39" s="219">
        <f t="shared" si="129"/>
        <v>1.6023439206223154E-2</v>
      </c>
      <c r="BD39" s="219">
        <f t="shared" si="129"/>
        <v>1.5983324143071558E-2</v>
      </c>
      <c r="BE39" s="219">
        <f t="shared" si="129"/>
        <v>1.5885110313895147E-2</v>
      </c>
    </row>
    <row r="40" spans="1:57" ht="13">
      <c r="A40" s="193" t="s">
        <v>313</v>
      </c>
      <c r="B40" s="222"/>
      <c r="M40" s="222"/>
      <c r="N40" s="221"/>
      <c r="Q40" s="572" t="s">
        <v>418</v>
      </c>
      <c r="R40" s="219">
        <f t="shared" si="116"/>
        <v>2.4855963169054116E-2</v>
      </c>
      <c r="S40" s="219">
        <f t="shared" si="116"/>
        <v>4.1321329691929462E-2</v>
      </c>
      <c r="T40" s="219">
        <f t="shared" si="116"/>
        <v>4.7112952407844647E-2</v>
      </c>
      <c r="U40" s="219">
        <f t="shared" si="116"/>
        <v>4.3629115309544726E-2</v>
      </c>
      <c r="V40" s="219">
        <f t="shared" ref="V40:AC40" si="130">V14/V$7</f>
        <v>4.3055382367993417E-2</v>
      </c>
      <c r="W40" s="219">
        <f t="shared" si="130"/>
        <v>4.2776125446815055E-2</v>
      </c>
      <c r="X40" s="219">
        <f t="shared" si="130"/>
        <v>4.4106851730659064E-2</v>
      </c>
      <c r="Y40" s="219">
        <f t="shared" si="130"/>
        <v>4.5047983641946107E-2</v>
      </c>
      <c r="Z40" s="219">
        <f t="shared" si="130"/>
        <v>4.6480219098345738E-2</v>
      </c>
      <c r="AA40" s="219">
        <f t="shared" si="130"/>
        <v>4.7490449491561962E-2</v>
      </c>
      <c r="AB40" s="219">
        <f t="shared" si="130"/>
        <v>5.0348737262809883E-2</v>
      </c>
      <c r="AC40" s="219">
        <f t="shared" si="130"/>
        <v>5.2643978959407214E-2</v>
      </c>
      <c r="AE40" s="205" t="s">
        <v>312</v>
      </c>
      <c r="AF40" s="219">
        <f t="shared" ref="AF40:AQ40" si="131">AF12/AF$8</f>
        <v>1.8808080016072988E-2</v>
      </c>
      <c r="AG40" s="219">
        <f t="shared" si="131"/>
        <v>5.7328032960696287E-3</v>
      </c>
      <c r="AH40" s="219">
        <f t="shared" si="131"/>
        <v>2.7175976998986217E-3</v>
      </c>
      <c r="AI40" s="219">
        <f t="shared" si="131"/>
        <v>1.5640300876431196E-3</v>
      </c>
      <c r="AJ40" s="219">
        <f t="shared" si="131"/>
        <v>1.5112201922765753E-3</v>
      </c>
      <c r="AK40" s="219">
        <f t="shared" si="131"/>
        <v>1.48505176621444E-3</v>
      </c>
      <c r="AL40" s="219">
        <f t="shared" si="131"/>
        <v>1.4795187090258009E-3</v>
      </c>
      <c r="AM40" s="219">
        <f t="shared" si="131"/>
        <v>1.4758528533184085E-3</v>
      </c>
      <c r="AN40" s="219">
        <f t="shared" si="131"/>
        <v>1.4702966939847747E-3</v>
      </c>
      <c r="AO40" s="219">
        <f t="shared" si="131"/>
        <v>1.4666157710585739E-3</v>
      </c>
      <c r="AP40" s="219">
        <f t="shared" si="131"/>
        <v>1.4576037564415381E-3</v>
      </c>
      <c r="AQ40" s="219">
        <f t="shared" si="131"/>
        <v>1.4293035257467814E-3</v>
      </c>
      <c r="AS40" s="205" t="s">
        <v>312</v>
      </c>
      <c r="AT40" s="219">
        <f t="shared" si="122"/>
        <v>1.8808080016072988E-2</v>
      </c>
      <c r="AU40" s="219">
        <f t="shared" si="122"/>
        <v>5.7328032960696287E-3</v>
      </c>
      <c r="AV40" s="219">
        <f t="shared" si="122"/>
        <v>2.7175976998986217E-3</v>
      </c>
      <c r="AW40" s="219">
        <f t="shared" ref="AW40:BE40" si="132">AW12/AW$8</f>
        <v>1.5640300876431196E-3</v>
      </c>
      <c r="AX40" s="219">
        <f t="shared" si="132"/>
        <v>1.5112201922765753E-3</v>
      </c>
      <c r="AY40" s="219">
        <f t="shared" si="132"/>
        <v>1.48505176621444E-3</v>
      </c>
      <c r="AZ40" s="219">
        <f t="shared" si="132"/>
        <v>1.4795187090258009E-3</v>
      </c>
      <c r="BA40" s="219">
        <f t="shared" si="132"/>
        <v>1.4758528533184085E-3</v>
      </c>
      <c r="BB40" s="219">
        <f t="shared" si="132"/>
        <v>1.4702966939847747E-3</v>
      </c>
      <c r="BC40" s="219">
        <f t="shared" si="132"/>
        <v>1.4666157710585739E-3</v>
      </c>
      <c r="BD40" s="219">
        <f t="shared" si="132"/>
        <v>1.4576037564415381E-3</v>
      </c>
      <c r="BE40" s="219">
        <f t="shared" si="132"/>
        <v>1.4293035257467814E-3</v>
      </c>
    </row>
    <row r="41" spans="1:57" ht="13">
      <c r="A41" s="193" t="s">
        <v>314</v>
      </c>
      <c r="B41" s="222">
        <f>B2-SUM('Bilan 2015'!D51:D55)</f>
        <v>256.0122500057156</v>
      </c>
      <c r="C41" s="222">
        <f>C2-SUM('Bilan 2020'!E51:E55)</f>
        <v>2389.4727507478074</v>
      </c>
      <c r="D41" s="222">
        <f>D2-SUM('Bilan 2023'!F51:F55)</f>
        <v>2630.002107236523</v>
      </c>
      <c r="E41" s="222">
        <f>E2-SUM('Bilan 2025'!G51:G55)</f>
        <v>2724.2956738723865</v>
      </c>
      <c r="F41" s="222">
        <f>F2-SUM('Bilan 2028'!B51:B55)</f>
        <v>2678.5122863720326</v>
      </c>
      <c r="G41" s="222">
        <f>G2-SUM('Bilan 2030'!H51:H55)</f>
        <v>2645.6934582813483</v>
      </c>
      <c r="H41" s="222">
        <f>H2-SUM('Bilan 2033'!D51:D55)</f>
        <v>2557.1577904897672</v>
      </c>
      <c r="I41" s="222">
        <f>I2-SUM('Bilan 2035'!E51:E55)</f>
        <v>2331.6128628761285</v>
      </c>
      <c r="J41" s="222">
        <f>J2-SUM('Bilan 2038'!F51:F55)</f>
        <v>2418.1247907368247</v>
      </c>
      <c r="K41" s="222">
        <f>K2-SUM('Bilan 2040'!G51:G55)</f>
        <v>2364.6954821727309</v>
      </c>
      <c r="L41" s="222">
        <f>L2-SUM('Bilan 2045'!H51:H55)</f>
        <v>2245.6361672888593</v>
      </c>
      <c r="M41" s="222">
        <f>M2-SUM('Bilan 2050'!I51:I55)</f>
        <v>2161.9320758013637</v>
      </c>
      <c r="N41" s="221"/>
      <c r="Q41" s="572" t="s">
        <v>282</v>
      </c>
      <c r="R41" s="219">
        <f t="shared" si="116"/>
        <v>2.7394469160807507E-2</v>
      </c>
      <c r="S41" s="219">
        <f t="shared" si="116"/>
        <v>2.0990424289473866E-2</v>
      </c>
      <c r="T41" s="219">
        <f t="shared" si="116"/>
        <v>3.5820703513025097E-2</v>
      </c>
      <c r="U41" s="219">
        <f t="shared" si="116"/>
        <v>3.32419258738582E-2</v>
      </c>
      <c r="V41" s="219">
        <f t="shared" ref="V41:AC41" si="133">V15/V$7</f>
        <v>3.170472465998854E-2</v>
      </c>
      <c r="W41" s="219">
        <f t="shared" si="133"/>
        <v>3.0901797769233467E-2</v>
      </c>
      <c r="X41" s="219">
        <f t="shared" si="133"/>
        <v>3.1329072220049652E-2</v>
      </c>
      <c r="Y41" s="219">
        <f t="shared" si="133"/>
        <v>3.1677092851651101E-2</v>
      </c>
      <c r="Z41" s="219">
        <f t="shared" si="133"/>
        <v>3.4056923585482277E-2</v>
      </c>
      <c r="AA41" s="219">
        <f t="shared" si="133"/>
        <v>3.5772712252317887E-2</v>
      </c>
      <c r="AB41" s="219">
        <f t="shared" si="133"/>
        <v>3.7533092256467317E-2</v>
      </c>
      <c r="AC41" s="219">
        <f t="shared" si="133"/>
        <v>3.9296621661842446E-2</v>
      </c>
      <c r="AE41" s="202" t="s">
        <v>21</v>
      </c>
      <c r="AF41" s="202"/>
      <c r="AG41" s="219">
        <f t="shared" ref="AG41:AQ41" si="134">AG13/AG$8</f>
        <v>5.1960185794578144E-3</v>
      </c>
      <c r="AH41" s="219">
        <f t="shared" si="134"/>
        <v>3.505461776390702E-4</v>
      </c>
      <c r="AI41" s="219">
        <f t="shared" si="134"/>
        <v>4.4036607550193156E-4</v>
      </c>
      <c r="AJ41" s="219">
        <f t="shared" si="134"/>
        <v>4.2964648563218811E-4</v>
      </c>
      <c r="AK41" s="219">
        <f t="shared" si="134"/>
        <v>4.2497136282513756E-4</v>
      </c>
      <c r="AL41" s="219">
        <f t="shared" si="134"/>
        <v>4.356411699935685E-4</v>
      </c>
      <c r="AM41" s="219">
        <f t="shared" si="134"/>
        <v>4.4287383659631706E-4</v>
      </c>
      <c r="AN41" s="219">
        <f t="shared" si="134"/>
        <v>4.4338482797790375E-4</v>
      </c>
      <c r="AO41" s="219">
        <f t="shared" si="134"/>
        <v>4.4373291828014828E-4</v>
      </c>
      <c r="AP41" s="219">
        <f t="shared" si="134"/>
        <v>4.4428567375379716E-4</v>
      </c>
      <c r="AQ41" s="219">
        <f t="shared" si="134"/>
        <v>1.0262649291766055E-3</v>
      </c>
      <c r="AS41" s="202" t="s">
        <v>21</v>
      </c>
      <c r="AT41" s="202"/>
      <c r="AU41" s="219">
        <f t="shared" ref="AU41:AV44" si="135">AU13/AU$8</f>
        <v>5.1960185794578144E-3</v>
      </c>
      <c r="AV41" s="219">
        <f t="shared" si="135"/>
        <v>3.505461776390702E-4</v>
      </c>
      <c r="AW41" s="219">
        <f t="shared" ref="AW41:BE41" si="136">AW13/AW$8</f>
        <v>4.4036607550193156E-4</v>
      </c>
      <c r="AX41" s="219">
        <f t="shared" si="136"/>
        <v>4.2964648563218811E-4</v>
      </c>
      <c r="AY41" s="219">
        <f t="shared" si="136"/>
        <v>4.2497136282513756E-4</v>
      </c>
      <c r="AZ41" s="219">
        <f t="shared" si="136"/>
        <v>4.356411699935685E-4</v>
      </c>
      <c r="BA41" s="219">
        <f t="shared" si="136"/>
        <v>4.4287383659631706E-4</v>
      </c>
      <c r="BB41" s="219">
        <f t="shared" si="136"/>
        <v>4.4338482797790375E-4</v>
      </c>
      <c r="BC41" s="219">
        <f t="shared" si="136"/>
        <v>4.4373291828014828E-4</v>
      </c>
      <c r="BD41" s="219">
        <f t="shared" si="136"/>
        <v>4.4428567375379716E-4</v>
      </c>
      <c r="BE41" s="219">
        <f t="shared" si="136"/>
        <v>1.0262649291766055E-3</v>
      </c>
    </row>
    <row r="42" spans="1:57" ht="13">
      <c r="A42" s="193" t="s">
        <v>315</v>
      </c>
      <c r="B42" s="222" t="str">
        <f>('Bilan 2015'!B13)</f>
        <v>Bois énergie</v>
      </c>
      <c r="C42" s="222">
        <f>('Bilan 2020'!C13)</f>
        <v>15.525267102350799</v>
      </c>
      <c r="D42" s="222">
        <f>('Bilan 2023'!$C$13)</f>
        <v>34.496026032636451</v>
      </c>
      <c r="E42" s="222">
        <f>('Bilan 2025'!$C$13)</f>
        <v>34.217577807887082</v>
      </c>
      <c r="F42" s="222">
        <f>('Bilan 2028'!$C$13)</f>
        <v>32.565743560582284</v>
      </c>
      <c r="G42" s="222">
        <f>('Bilan 2030'!$C$13)</f>
        <v>31.567770517320518</v>
      </c>
      <c r="H42" s="222">
        <f>('Bilan 2033'!$C$13)</f>
        <v>30.869450548245954</v>
      </c>
      <c r="I42" s="222">
        <f>('Bilan 2035'!$C$13)</f>
        <v>30.45355250478201</v>
      </c>
      <c r="J42" s="222">
        <f>('Bilan 2038'!$C$13)</f>
        <v>29.95115714704033</v>
      </c>
      <c r="K42" s="222">
        <f>('Bilan 2040'!$C$13)</f>
        <v>29.657322749860491</v>
      </c>
      <c r="L42" s="222">
        <f>('Bilan 2045'!$C$13)</f>
        <v>28.98717588629853</v>
      </c>
      <c r="M42" s="222">
        <f>('Bilan 2050'!$C$13)</f>
        <v>28.452469116356035</v>
      </c>
      <c r="N42" s="221"/>
      <c r="Q42" s="571" t="s">
        <v>285</v>
      </c>
      <c r="R42" s="201"/>
      <c r="S42" s="201"/>
      <c r="T42" s="201"/>
      <c r="U42" s="201"/>
      <c r="V42" s="201"/>
      <c r="W42" s="201"/>
      <c r="X42" s="201"/>
      <c r="Y42" s="201"/>
      <c r="Z42" s="201"/>
      <c r="AA42" s="201"/>
      <c r="AB42" s="201"/>
      <c r="AC42" s="201"/>
      <c r="AE42" s="205" t="s">
        <v>17</v>
      </c>
      <c r="AF42" s="219">
        <f t="shared" ref="AF42:AF44" si="137">AF14/AF$8</f>
        <v>5.3217391539930201E-2</v>
      </c>
      <c r="AG42" s="219">
        <f t="shared" ref="AG42:AQ42" si="138">AG14/AG$8</f>
        <v>8.3952357055837243E-2</v>
      </c>
      <c r="AH42" s="219">
        <f t="shared" si="138"/>
        <v>9.6060236424792181E-2</v>
      </c>
      <c r="AI42" s="219">
        <f t="shared" si="138"/>
        <v>0.11241673965643542</v>
      </c>
      <c r="AJ42" s="219">
        <f t="shared" si="138"/>
        <v>0.13142114863964577</v>
      </c>
      <c r="AK42" s="219">
        <f t="shared" si="138"/>
        <v>0.13922108433831445</v>
      </c>
      <c r="AL42" s="219">
        <f t="shared" si="138"/>
        <v>0.15878068447148266</v>
      </c>
      <c r="AM42" s="219">
        <f t="shared" si="138"/>
        <v>0.17173821718779819</v>
      </c>
      <c r="AN42" s="219">
        <f t="shared" si="138"/>
        <v>0.19104218865275124</v>
      </c>
      <c r="AO42" s="219">
        <f t="shared" si="138"/>
        <v>0.20383015124236387</v>
      </c>
      <c r="AP42" s="219">
        <f t="shared" si="138"/>
        <v>0.235529222964451</v>
      </c>
      <c r="AQ42" s="219">
        <f t="shared" si="138"/>
        <v>0.26336672852645704</v>
      </c>
      <c r="AS42" s="205" t="s">
        <v>17</v>
      </c>
      <c r="AT42" s="219">
        <f t="shared" ref="AT42:AT44" si="139">AT14/AT$8</f>
        <v>5.3217391539930201E-2</v>
      </c>
      <c r="AU42" s="219">
        <f t="shared" si="135"/>
        <v>8.3952357055837243E-2</v>
      </c>
      <c r="AV42" s="219">
        <f t="shared" si="135"/>
        <v>9.6060236424792181E-2</v>
      </c>
      <c r="AW42" s="219">
        <f t="shared" ref="AW42:BE42" si="140">AW14/AW$8</f>
        <v>0.11241673965643542</v>
      </c>
      <c r="AX42" s="219">
        <f t="shared" si="140"/>
        <v>0.13142114863964577</v>
      </c>
      <c r="AY42" s="219">
        <f t="shared" si="140"/>
        <v>0.13922108433831445</v>
      </c>
      <c r="AZ42" s="219">
        <f t="shared" si="140"/>
        <v>0.15878068447148266</v>
      </c>
      <c r="BA42" s="219">
        <f t="shared" si="140"/>
        <v>0.17173821718779819</v>
      </c>
      <c r="BB42" s="219">
        <f t="shared" si="140"/>
        <v>0.19104218865275124</v>
      </c>
      <c r="BC42" s="219">
        <f t="shared" si="140"/>
        <v>0.20383015124236387</v>
      </c>
      <c r="BD42" s="219">
        <f t="shared" si="140"/>
        <v>0.235529222964451</v>
      </c>
      <c r="BE42" s="219">
        <f t="shared" si="140"/>
        <v>0.26336672852645704</v>
      </c>
    </row>
    <row r="43" spans="1:57" ht="13">
      <c r="A43" s="193" t="s">
        <v>311</v>
      </c>
      <c r="B43" s="222"/>
      <c r="M43" s="222"/>
      <c r="N43" s="221"/>
      <c r="Q43" s="572" t="s">
        <v>287</v>
      </c>
      <c r="R43" s="219">
        <f t="shared" ref="R43:U45" si="141">R17/R$16</f>
        <v>0.68691548310780493</v>
      </c>
      <c r="S43" s="219">
        <f t="shared" si="141"/>
        <v>0.68302225440697006</v>
      </c>
      <c r="T43" s="219">
        <f t="shared" si="141"/>
        <v>0.67521484213059657</v>
      </c>
      <c r="U43" s="219">
        <f t="shared" si="141"/>
        <v>0.66185531460389047</v>
      </c>
      <c r="V43" s="219">
        <f t="shared" ref="V43:AC43" si="142">V17/V$16</f>
        <v>0.64293267822385403</v>
      </c>
      <c r="W43" s="219">
        <f t="shared" si="142"/>
        <v>0.62956659579033003</v>
      </c>
      <c r="X43" s="219">
        <f t="shared" si="142"/>
        <v>0.61434292504932864</v>
      </c>
      <c r="Y43" s="219">
        <f t="shared" si="142"/>
        <v>0.60408672536155572</v>
      </c>
      <c r="Z43" s="219">
        <f t="shared" si="142"/>
        <v>0.59857530102493084</v>
      </c>
      <c r="AA43" s="219">
        <f t="shared" si="142"/>
        <v>0.59484462984171449</v>
      </c>
      <c r="AB43" s="219">
        <f t="shared" si="142"/>
        <v>0.58170321201178232</v>
      </c>
      <c r="AC43" s="219">
        <f t="shared" si="142"/>
        <v>0.56768114068529296</v>
      </c>
      <c r="AE43" s="205" t="s">
        <v>279</v>
      </c>
      <c r="AF43" s="219">
        <f t="shared" si="137"/>
        <v>2.345317736134744E-2</v>
      </c>
      <c r="AG43" s="219">
        <f t="shared" ref="AG43:AQ43" si="143">AG15/AG$8</f>
        <v>3.6998234279415447E-2</v>
      </c>
      <c r="AH43" s="219">
        <f t="shared" si="143"/>
        <v>4.2334238809002965E-2</v>
      </c>
      <c r="AI43" s="219">
        <f t="shared" si="143"/>
        <v>4.589302900181072E-2</v>
      </c>
      <c r="AJ43" s="219">
        <f t="shared" si="143"/>
        <v>5.4559895646972792E-2</v>
      </c>
      <c r="AK43" s="219">
        <f t="shared" si="143"/>
        <v>6.0326902216891187E-2</v>
      </c>
      <c r="AL43" s="219">
        <f t="shared" si="143"/>
        <v>8.1032671062837958E-2</v>
      </c>
      <c r="AM43" s="219">
        <f t="shared" si="143"/>
        <v>9.4736072580126757E-2</v>
      </c>
      <c r="AN43" s="219">
        <f t="shared" si="143"/>
        <v>0.1151414645846162</v>
      </c>
      <c r="AO43" s="219">
        <f t="shared" si="143"/>
        <v>0.12865149536255366</v>
      </c>
      <c r="AP43" s="219">
        <f t="shared" si="143"/>
        <v>0.16211772977459951</v>
      </c>
      <c r="AQ43" s="219">
        <f t="shared" si="143"/>
        <v>0.17656228752992606</v>
      </c>
      <c r="AS43" s="205" t="s">
        <v>279</v>
      </c>
      <c r="AT43" s="219">
        <f t="shared" si="139"/>
        <v>2.345317736134744E-2</v>
      </c>
      <c r="AU43" s="219">
        <f t="shared" si="135"/>
        <v>3.6998234279415447E-2</v>
      </c>
      <c r="AV43" s="219">
        <f t="shared" si="135"/>
        <v>4.2334238809002965E-2</v>
      </c>
      <c r="AW43" s="219">
        <f t="shared" ref="AW43:BE43" si="144">AW15/AW$8</f>
        <v>4.589302900181072E-2</v>
      </c>
      <c r="AX43" s="219">
        <f t="shared" si="144"/>
        <v>5.4559895646972792E-2</v>
      </c>
      <c r="AY43" s="219">
        <f t="shared" si="144"/>
        <v>6.0326902216891187E-2</v>
      </c>
      <c r="AZ43" s="219">
        <f t="shared" si="144"/>
        <v>8.1032671062837958E-2</v>
      </c>
      <c r="BA43" s="219">
        <f t="shared" si="144"/>
        <v>9.4736072580126757E-2</v>
      </c>
      <c r="BB43" s="219">
        <f t="shared" si="144"/>
        <v>0.1151414645846162</v>
      </c>
      <c r="BC43" s="219">
        <f t="shared" si="144"/>
        <v>0.12865149536255366</v>
      </c>
      <c r="BD43" s="219">
        <f t="shared" si="144"/>
        <v>0.16211772977459951</v>
      </c>
      <c r="BE43" s="219">
        <f t="shared" si="144"/>
        <v>0.17656228752992606</v>
      </c>
    </row>
    <row r="44" spans="1:57" ht="13">
      <c r="A44" s="193" t="s">
        <v>316</v>
      </c>
      <c r="B44" s="222">
        <f>-'Bilan 2015'!$C26</f>
        <v>-0.3</v>
      </c>
      <c r="C44" s="222">
        <f>-'Bilan 2020'!$C26</f>
        <v>-3.0353079388888902</v>
      </c>
      <c r="D44" s="222">
        <f>-'Bilan 2023'!$C26</f>
        <v>-0.22730502357401322</v>
      </c>
      <c r="E44" s="222">
        <f>-'Bilan 2025'!$C26</f>
        <v>-0.35468000245125708</v>
      </c>
      <c r="F44" s="222">
        <f>-'Bilan 2028'!$C26</f>
        <v>-0.33966953640978992</v>
      </c>
      <c r="G44" s="222">
        <f>-'Bilan 2030'!$C26</f>
        <v>-0.33007353312586968</v>
      </c>
      <c r="H44" s="222">
        <f>-'Bilan 2033'!$C26</f>
        <v>-0.32594257421966627</v>
      </c>
      <c r="I44" s="222">
        <f>-'Bilan 2035'!$C26</f>
        <v>-0.32322722394029924</v>
      </c>
      <c r="J44" s="222">
        <f>-'Bilan 2038'!$C26</f>
        <v>-0.32133708059977345</v>
      </c>
      <c r="K44" s="222">
        <f>-'Bilan 2040'!$C26</f>
        <v>-0.32007470171399477</v>
      </c>
      <c r="L44" s="222">
        <f>-'Bilan 2045'!$C26</f>
        <v>-0.31804644322561132</v>
      </c>
      <c r="M44" s="222">
        <f>-'Bilan 2050'!$C26</f>
        <v>-0.31740804730172578</v>
      </c>
      <c r="N44" s="221"/>
      <c r="Q44" s="572" t="s">
        <v>289</v>
      </c>
      <c r="R44" s="219">
        <f t="shared" si="141"/>
        <v>0.17352224684658402</v>
      </c>
      <c r="S44" s="219">
        <f t="shared" si="141"/>
        <v>0.18898000220203945</v>
      </c>
      <c r="T44" s="219">
        <f t="shared" si="141"/>
        <v>0.20980873886578383</v>
      </c>
      <c r="U44" s="219">
        <f t="shared" si="141"/>
        <v>0.21067364031942495</v>
      </c>
      <c r="V44" s="219">
        <f t="shared" ref="V44:AC44" si="145">V18/V$16</f>
        <v>0.21823914851571669</v>
      </c>
      <c r="W44" s="219">
        <f t="shared" si="145"/>
        <v>0.22326938985806555</v>
      </c>
      <c r="X44" s="219">
        <f t="shared" si="145"/>
        <v>0.23141871114259324</v>
      </c>
      <c r="Y44" s="219">
        <f t="shared" si="145"/>
        <v>0.23677416244496402</v>
      </c>
      <c r="Z44" s="219">
        <f t="shared" si="145"/>
        <v>0.23814764950879125</v>
      </c>
      <c r="AA44" s="219">
        <f t="shared" si="145"/>
        <v>0.23902208250225715</v>
      </c>
      <c r="AB44" s="219">
        <f t="shared" si="145"/>
        <v>0.24399849596057341</v>
      </c>
      <c r="AC44" s="219">
        <f t="shared" si="145"/>
        <v>0.24392544183479453</v>
      </c>
      <c r="AE44" s="205" t="s">
        <v>418</v>
      </c>
      <c r="AF44" s="219">
        <f t="shared" si="137"/>
        <v>6.5029264501917913E-2</v>
      </c>
      <c r="AG44" s="219">
        <f t="shared" ref="AG44:AQ44" si="146">AG16/AG$8</f>
        <v>0.1025860132292883</v>
      </c>
      <c r="AH44" s="219">
        <f t="shared" si="146"/>
        <v>0.11738129851587187</v>
      </c>
      <c r="AI44" s="219">
        <f t="shared" si="146"/>
        <v>0.10767210650424822</v>
      </c>
      <c r="AJ44" s="219">
        <f t="shared" si="146"/>
        <v>0.10400480107704191</v>
      </c>
      <c r="AK44" s="219">
        <f t="shared" si="146"/>
        <v>0.10222058431195453</v>
      </c>
      <c r="AL44" s="219">
        <f t="shared" si="146"/>
        <v>0.10170767355623694</v>
      </c>
      <c r="AM44" s="219">
        <f t="shared" si="146"/>
        <v>0.1013842180243462</v>
      </c>
      <c r="AN44" s="219">
        <f t="shared" si="146"/>
        <v>0.10091421465031021</v>
      </c>
      <c r="AO44" s="219">
        <f t="shared" si="146"/>
        <v>0.10061206688609967</v>
      </c>
      <c r="AP44" s="219">
        <f t="shared" si="146"/>
        <v>9.9890722386369396E-2</v>
      </c>
      <c r="AQ44" s="219">
        <f t="shared" si="146"/>
        <v>9.7911813993868099E-2</v>
      </c>
      <c r="AS44" s="205" t="s">
        <v>418</v>
      </c>
      <c r="AT44" s="219">
        <f t="shared" si="139"/>
        <v>6.5029264501917913E-2</v>
      </c>
      <c r="AU44" s="219">
        <f t="shared" si="135"/>
        <v>0.1025860132292883</v>
      </c>
      <c r="AV44" s="219">
        <f t="shared" si="135"/>
        <v>0.11738129851587187</v>
      </c>
      <c r="AW44" s="219">
        <f t="shared" ref="AW44:BE44" si="147">AW16/AW$8</f>
        <v>0.10767210650424822</v>
      </c>
      <c r="AX44" s="219">
        <f t="shared" si="147"/>
        <v>0.10400480107704191</v>
      </c>
      <c r="AY44" s="219">
        <f t="shared" si="147"/>
        <v>0.10222058431195453</v>
      </c>
      <c r="AZ44" s="219">
        <f t="shared" si="147"/>
        <v>0.10170767355623694</v>
      </c>
      <c r="BA44" s="219">
        <f t="shared" si="147"/>
        <v>0.1013842180243462</v>
      </c>
      <c r="BB44" s="219">
        <f t="shared" si="147"/>
        <v>0.10091421465031021</v>
      </c>
      <c r="BC44" s="219">
        <f t="shared" si="147"/>
        <v>0.10061206688609967</v>
      </c>
      <c r="BD44" s="219">
        <f t="shared" si="147"/>
        <v>9.9890722386369396E-2</v>
      </c>
      <c r="BE44" s="219">
        <f t="shared" si="147"/>
        <v>9.7911813993868099E-2</v>
      </c>
    </row>
    <row r="45" spans="1:57" ht="13">
      <c r="A45" s="193" t="s">
        <v>317</v>
      </c>
      <c r="B45" s="222">
        <f>-'Bilan 2015'!$C16</f>
        <v>0</v>
      </c>
      <c r="C45" s="222">
        <f>-'Bilan 2020'!$C16</f>
        <v>0</v>
      </c>
      <c r="D45" s="222">
        <f>-'Bilan 2023'!$C16</f>
        <v>-1.6747440159238469</v>
      </c>
      <c r="E45" s="222">
        <f>-'Bilan 2025'!$C16</f>
        <v>-2.5121160238857705</v>
      </c>
      <c r="F45" s="222">
        <f>-'Bilan 2028'!$C16</f>
        <v>-2.2465763720546779</v>
      </c>
      <c r="G45" s="222">
        <f>-'Bilan 2030'!$C16</f>
        <v>-2.0695499375006161</v>
      </c>
      <c r="H45" s="222">
        <f>-'Bilan 2033'!$C16</f>
        <v>-2.2996832177069302</v>
      </c>
      <c r="I45" s="222">
        <f>-'Bilan 2035'!$C16</f>
        <v>-2.4531054045111396</v>
      </c>
      <c r="J45" s="222">
        <f>-'Bilan 2038'!$C16</f>
        <v>-2.7260808922399375</v>
      </c>
      <c r="K45" s="222">
        <f>-'Bilan 2040'!$C16</f>
        <v>-2.9080645507258027</v>
      </c>
      <c r="L45" s="222">
        <f>-'Bilan 2045'!$C16</f>
        <v>-3.3436367529727189</v>
      </c>
      <c r="M45" s="222">
        <f>-'Bilan 2050'!$C16</f>
        <v>-3.7328950664080915</v>
      </c>
      <c r="N45" s="221"/>
      <c r="Q45" s="572" t="s">
        <v>291</v>
      </c>
      <c r="R45" s="219">
        <f t="shared" si="141"/>
        <v>5.0121519651604978E-3</v>
      </c>
      <c r="S45" s="219">
        <f t="shared" si="141"/>
        <v>1.1543809628966232E-2</v>
      </c>
      <c r="T45" s="219">
        <f t="shared" si="141"/>
        <v>9.5320496052412641E-3</v>
      </c>
      <c r="U45" s="219">
        <f t="shared" si="141"/>
        <v>1.4901306668295176E-2</v>
      </c>
      <c r="V45" s="219">
        <f t="shared" ref="V45:AC45" si="148">V19/V$16</f>
        <v>1.4286557228421499E-2</v>
      </c>
      <c r="W45" s="219">
        <f t="shared" si="148"/>
        <v>1.4331816395391592E-2</v>
      </c>
      <c r="X45" s="219">
        <f t="shared" si="148"/>
        <v>1.3722159198752646E-2</v>
      </c>
      <c r="Y45" s="219">
        <f t="shared" si="148"/>
        <v>1.3322940965737374E-2</v>
      </c>
      <c r="Z45" s="219">
        <f t="shared" si="148"/>
        <v>1.2950703977300878E-2</v>
      </c>
      <c r="AA45" s="219">
        <f t="shared" si="148"/>
        <v>1.2706739362226762E-2</v>
      </c>
      <c r="AB45" s="219">
        <f t="shared" si="148"/>
        <v>1.2033814081466246E-2</v>
      </c>
      <c r="AC45" s="219">
        <f t="shared" si="148"/>
        <v>1.1436828540721538E-2</v>
      </c>
      <c r="AE45" s="205" t="s">
        <v>282</v>
      </c>
      <c r="AF45" s="219">
        <f t="shared" ref="AF45" si="149">AF17/AF$8</f>
        <v>1.6770924043722945E-2</v>
      </c>
      <c r="AG45" s="219">
        <f t="shared" ref="AG45:AQ45" si="150">AG17/AG$8</f>
        <v>1.219413331122606E-2</v>
      </c>
      <c r="AH45" s="219">
        <f t="shared" si="150"/>
        <v>2.3125787041965353E-2</v>
      </c>
      <c r="AI45" s="219">
        <f t="shared" si="150"/>
        <v>2.2753112204686628E-2</v>
      </c>
      <c r="AJ45" s="219">
        <f t="shared" si="150"/>
        <v>2.4810479407759291E-2</v>
      </c>
      <c r="AK45" s="219">
        <f t="shared" si="150"/>
        <v>2.6196424408456483E-2</v>
      </c>
      <c r="AL45" s="219">
        <f t="shared" si="150"/>
        <v>2.6704555576153911E-2</v>
      </c>
      <c r="AM45" s="219">
        <f t="shared" si="150"/>
        <v>2.7048741597283269E-2</v>
      </c>
      <c r="AN45" s="219">
        <f t="shared" si="150"/>
        <v>3.1387190062386966E-2</v>
      </c>
      <c r="AO45" s="219">
        <f t="shared" si="150"/>
        <v>3.4271650358466792E-2</v>
      </c>
      <c r="AP45" s="219">
        <f t="shared" si="150"/>
        <v>3.5386799304016579E-2</v>
      </c>
      <c r="AQ45" s="219">
        <f t="shared" si="150"/>
        <v>3.6688089465166961E-2</v>
      </c>
      <c r="AS45" s="205" t="s">
        <v>282</v>
      </c>
      <c r="AT45" s="219">
        <f t="shared" ref="AT45" si="151">AT17/AT$8</f>
        <v>1.6770924043722945E-2</v>
      </c>
      <c r="AU45" s="219">
        <f t="shared" ref="AU45:BE45" si="152">AU17/AU$8</f>
        <v>1.219413331122606E-2</v>
      </c>
      <c r="AV45" s="219">
        <f t="shared" si="152"/>
        <v>2.3125787041965353E-2</v>
      </c>
      <c r="AW45" s="219">
        <f t="shared" si="152"/>
        <v>2.2753112204686628E-2</v>
      </c>
      <c r="AX45" s="219">
        <f t="shared" si="152"/>
        <v>2.4810479407759291E-2</v>
      </c>
      <c r="AY45" s="219">
        <f t="shared" si="152"/>
        <v>2.6196424408456483E-2</v>
      </c>
      <c r="AZ45" s="219">
        <f t="shared" si="152"/>
        <v>2.6704555576153911E-2</v>
      </c>
      <c r="BA45" s="219">
        <f t="shared" si="152"/>
        <v>2.7048741597283269E-2</v>
      </c>
      <c r="BB45" s="219">
        <f t="shared" si="152"/>
        <v>3.1387190062386966E-2</v>
      </c>
      <c r="BC45" s="219">
        <f t="shared" si="152"/>
        <v>3.4271650358466792E-2</v>
      </c>
      <c r="BD45" s="219">
        <f t="shared" si="152"/>
        <v>3.5386799304016579E-2</v>
      </c>
      <c r="BE45" s="219">
        <f t="shared" si="152"/>
        <v>3.6688089465166961E-2</v>
      </c>
    </row>
    <row r="46" spans="1:57" ht="13">
      <c r="B46" s="222"/>
      <c r="M46" s="222"/>
      <c r="N46" s="221"/>
      <c r="Q46" s="572" t="s">
        <v>293</v>
      </c>
      <c r="R46" s="219">
        <f t="shared" ref="R46:S48" si="153">R20/R$16</f>
        <v>2.0084448771000619E-2</v>
      </c>
      <c r="S46" s="219">
        <f t="shared" si="153"/>
        <v>4.3390266707983988E-2</v>
      </c>
      <c r="T46" s="219">
        <f t="shared" ref="T46" si="154">T20/T$16</f>
        <v>2.7131580360003019E-2</v>
      </c>
      <c r="U46" s="219">
        <f>U20/U$16</f>
        <v>2.7775805186133276E-2</v>
      </c>
      <c r="V46" s="219">
        <f t="shared" ref="V46:AC46" si="155">V20/V$16</f>
        <v>2.765154137714157E-2</v>
      </c>
      <c r="W46" s="219">
        <f t="shared" si="155"/>
        <v>2.7532984848917794E-2</v>
      </c>
      <c r="X46" s="219">
        <f t="shared" si="155"/>
        <v>2.6935142501542522E-2</v>
      </c>
      <c r="Y46" s="219">
        <f t="shared" si="155"/>
        <v>2.6536063464914553E-2</v>
      </c>
      <c r="Z46" s="219">
        <f t="shared" si="155"/>
        <v>2.6188922430971769E-2</v>
      </c>
      <c r="AA46" s="219">
        <f t="shared" si="155"/>
        <v>2.5958990579868453E-2</v>
      </c>
      <c r="AB46" s="219">
        <f t="shared" si="155"/>
        <v>2.5666031952051683E-2</v>
      </c>
      <c r="AC46" s="219">
        <f t="shared" si="155"/>
        <v>2.5743999911163763E-2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3">
      <c r="A47" s="193" t="s">
        <v>10</v>
      </c>
      <c r="B47" s="222">
        <f t="shared" ref="B47" si="156">B2</f>
        <v>256.0122500057156</v>
      </c>
      <c r="C47" s="222">
        <f t="shared" ref="C47:M47" si="157">C2</f>
        <v>2559.7800174335421</v>
      </c>
      <c r="D47" s="222">
        <f t="shared" si="157"/>
        <v>2630.002107236523</v>
      </c>
      <c r="E47" s="222">
        <f t="shared" si="157"/>
        <v>2724.2956738723865</v>
      </c>
      <c r="F47" s="222">
        <f t="shared" ref="F47" si="158">F2</f>
        <v>2678.5122863720326</v>
      </c>
      <c r="G47" s="222">
        <f t="shared" si="157"/>
        <v>2645.6934582813483</v>
      </c>
      <c r="H47" s="222">
        <f t="shared" ref="H47" si="159">H2</f>
        <v>2557.1577904897672</v>
      </c>
      <c r="I47" s="222">
        <f t="shared" ref="I47" si="160">I2</f>
        <v>2498.2261063021315</v>
      </c>
      <c r="J47" s="222">
        <f t="shared" ref="J47" si="161">J2</f>
        <v>2418.1247907368247</v>
      </c>
      <c r="K47" s="222">
        <f t="shared" ref="K47" si="162">K2</f>
        <v>2364.6954821727309</v>
      </c>
      <c r="L47" s="222">
        <f t="shared" ref="L47" si="163">L2</f>
        <v>2245.6361672888593</v>
      </c>
      <c r="M47" s="222">
        <f t="shared" si="157"/>
        <v>2161.9320758013637</v>
      </c>
      <c r="N47" s="221"/>
      <c r="Q47" s="572" t="s">
        <v>295</v>
      </c>
      <c r="R47" s="219">
        <f t="shared" si="153"/>
        <v>1.2506684468480407E-3</v>
      </c>
      <c r="S47" s="219">
        <f t="shared" si="153"/>
        <v>7.1581145459297503E-3</v>
      </c>
      <c r="T47" s="219">
        <f t="shared" ref="T47" si="164">T21/T$16</f>
        <v>4.5108423600120845E-3</v>
      </c>
      <c r="U47" s="219">
        <f>U21/U$16</f>
        <v>4.495088009846192E-3</v>
      </c>
      <c r="V47" s="219">
        <f t="shared" ref="V47:AC47" si="165">V21/V$16</f>
        <v>4.3624000284154998E-3</v>
      </c>
      <c r="W47" s="219">
        <f t="shared" si="165"/>
        <v>4.2706685478196673E-3</v>
      </c>
      <c r="X47" s="219">
        <f t="shared" si="165"/>
        <v>4.1600192577375995E-3</v>
      </c>
      <c r="Y47" s="219">
        <f t="shared" si="165"/>
        <v>4.0870021445347524E-3</v>
      </c>
      <c r="Z47" s="219">
        <f t="shared" si="165"/>
        <v>4.0229603237585147E-3</v>
      </c>
      <c r="AA47" s="219">
        <f t="shared" si="165"/>
        <v>3.9811004383869079E-3</v>
      </c>
      <c r="AB47" s="219">
        <f t="shared" si="165"/>
        <v>3.9251883877202713E-3</v>
      </c>
      <c r="AC47" s="219">
        <f t="shared" si="165"/>
        <v>3.9338718818040805E-3</v>
      </c>
      <c r="AE47" s="205" t="s">
        <v>287</v>
      </c>
      <c r="AF47" s="219">
        <f t="shared" ref="AF47:AG49" si="166">AF19/AF$18</f>
        <v>0.69152996239971387</v>
      </c>
      <c r="AG47" s="219">
        <f t="shared" si="166"/>
        <v>0.67654765328131539</v>
      </c>
      <c r="AH47" s="219">
        <f t="shared" ref="AH47:AQ47" si="167">AH19/AH$18</f>
        <v>0.66735452288242869</v>
      </c>
      <c r="AI47" s="219">
        <f t="shared" si="167"/>
        <v>0.65256132473114059</v>
      </c>
      <c r="AJ47" s="219">
        <f t="shared" si="167"/>
        <v>0.63165135905786474</v>
      </c>
      <c r="AK47" s="219">
        <f t="shared" si="167"/>
        <v>0.61731297539686758</v>
      </c>
      <c r="AL47" s="219">
        <f t="shared" si="167"/>
        <v>0.59965497431571513</v>
      </c>
      <c r="AM47" s="219">
        <f t="shared" si="167"/>
        <v>0.58779825152749299</v>
      </c>
      <c r="AN47" s="219">
        <f t="shared" si="167"/>
        <v>0.58022007515935614</v>
      </c>
      <c r="AO47" s="219">
        <f t="shared" si="167"/>
        <v>0.5751166427397485</v>
      </c>
      <c r="AP47" s="219">
        <f t="shared" si="167"/>
        <v>0.55857770195658418</v>
      </c>
      <c r="AQ47" s="219">
        <f t="shared" si="167"/>
        <v>0.54145943395637364</v>
      </c>
      <c r="AS47" s="205" t="s">
        <v>287</v>
      </c>
      <c r="AT47" s="219">
        <f t="shared" ref="AT47:AU49" si="168">AT19/AT$18</f>
        <v>0.69942292730045219</v>
      </c>
      <c r="AU47" s="219">
        <f t="shared" si="168"/>
        <v>0.68442251593179171</v>
      </c>
      <c r="AV47" s="219">
        <f t="shared" ref="AV47:BE47" si="169">AV19/AV$18</f>
        <v>0.67520027942422189</v>
      </c>
      <c r="AW47" s="219">
        <f t="shared" si="169"/>
        <v>0.66123277801506675</v>
      </c>
      <c r="AX47" s="219">
        <f t="shared" si="169"/>
        <v>0.64081216196254009</v>
      </c>
      <c r="AY47" s="219">
        <f t="shared" si="169"/>
        <v>0.62680164094589375</v>
      </c>
      <c r="AZ47" s="219">
        <f t="shared" si="169"/>
        <v>0.60868628530019531</v>
      </c>
      <c r="BA47" s="219">
        <f t="shared" si="169"/>
        <v>0.59652857426613726</v>
      </c>
      <c r="BB47" s="219">
        <f t="shared" si="169"/>
        <v>0.58832945466771558</v>
      </c>
      <c r="BC47" s="219">
        <f t="shared" si="169"/>
        <v>0.58280186326849692</v>
      </c>
      <c r="BD47" s="219">
        <f t="shared" si="169"/>
        <v>0.56535279859085397</v>
      </c>
      <c r="BE47" s="219">
        <f t="shared" si="169"/>
        <v>0.54735110340081261</v>
      </c>
    </row>
    <row r="48" spans="1:57" ht="13">
      <c r="A48" s="193" t="s">
        <v>318</v>
      </c>
      <c r="B48" s="222">
        <f>'Bilan 2015'!$C$5</f>
        <v>256.00658176786101</v>
      </c>
      <c r="C48" s="222">
        <f>'Bilan 2020'!$C$5</f>
        <v>2559.7800174335421</v>
      </c>
      <c r="D48" s="222">
        <f>'Bilan 2023'!$C$5</f>
        <v>2630.0020993744984</v>
      </c>
      <c r="E48" s="222">
        <f>'Bilan 2025'!$C$5</f>
        <v>2724.295673872386</v>
      </c>
      <c r="F48" s="222">
        <f>'Bilan 2028'!$C$5</f>
        <v>2678.5122863720321</v>
      </c>
      <c r="G48" s="222">
        <f>'Bilan 2030'!$C$5</f>
        <v>2645.6934582813487</v>
      </c>
      <c r="H48" s="222">
        <f>'Bilan 2033'!$C$5</f>
        <v>2557.1577904897672</v>
      </c>
      <c r="I48" s="222">
        <f>'Bilan 2035'!$C$5</f>
        <v>2498.226106302131</v>
      </c>
      <c r="J48" s="222">
        <f>'Bilan 2038'!$C$5</f>
        <v>2418.1247907368247</v>
      </c>
      <c r="K48" s="222">
        <f>'Bilan 2040'!$C$5</f>
        <v>2364.6954821727309</v>
      </c>
      <c r="L48" s="222">
        <f>'Bilan 2045'!$C$5</f>
        <v>2245.6361672888593</v>
      </c>
      <c r="M48" s="222">
        <f>'Bilan 2050'!$C$5</f>
        <v>2161.9320758013632</v>
      </c>
      <c r="N48" s="221"/>
      <c r="Q48" s="572" t="s">
        <v>298</v>
      </c>
      <c r="R48" s="219">
        <f t="shared" si="153"/>
        <v>0.11321500086260197</v>
      </c>
      <c r="S48" s="219">
        <f t="shared" si="153"/>
        <v>6.5905552508110324E-2</v>
      </c>
      <c r="T48" s="219">
        <f t="shared" ref="T48" si="170">T22/T$16</f>
        <v>7.3801946678363234E-2</v>
      </c>
      <c r="U48" s="219">
        <f>U22/U$16</f>
        <v>8.0298845212409917E-2</v>
      </c>
      <c r="V48" s="219">
        <f t="shared" ref="V48:AC48" si="171">V22/V$16</f>
        <v>9.2527674626450493E-2</v>
      </c>
      <c r="W48" s="219">
        <f t="shared" si="171"/>
        <v>0.10102854455947545</v>
      </c>
      <c r="X48" s="219">
        <f t="shared" si="171"/>
        <v>0.10942104285004528</v>
      </c>
      <c r="Y48" s="219">
        <f t="shared" si="171"/>
        <v>0.11519310561829371</v>
      </c>
      <c r="Z48" s="219">
        <f t="shared" si="171"/>
        <v>0.12011446273424661</v>
      </c>
      <c r="AA48" s="219">
        <f t="shared" si="171"/>
        <v>0.12348645727554639</v>
      </c>
      <c r="AB48" s="219">
        <f t="shared" si="171"/>
        <v>0.13267325760640605</v>
      </c>
      <c r="AC48" s="219">
        <f t="shared" si="171"/>
        <v>0.14727871714622315</v>
      </c>
      <c r="AE48" s="205" t="s">
        <v>289</v>
      </c>
      <c r="AF48" s="219">
        <f t="shared" si="166"/>
        <v>0.18819086894578779</v>
      </c>
      <c r="AG48" s="219">
        <f t="shared" si="166"/>
        <v>0.19883494744996638</v>
      </c>
      <c r="AH48" s="219">
        <f t="shared" ref="AH48:AQ48" si="172">AH20/AH$18</f>
        <v>0.21763641860701655</v>
      </c>
      <c r="AI48" s="219">
        <f t="shared" si="172"/>
        <v>0.219314260796623</v>
      </c>
      <c r="AJ48" s="219">
        <f t="shared" si="172"/>
        <v>0.22742038727617483</v>
      </c>
      <c r="AK48" s="219">
        <f t="shared" si="172"/>
        <v>0.23287347343265391</v>
      </c>
      <c r="AL48" s="219">
        <f t="shared" si="172"/>
        <v>0.24168443693923738</v>
      </c>
      <c r="AM48" s="219">
        <f t="shared" si="172"/>
        <v>0.24747035392901803</v>
      </c>
      <c r="AN48" s="219">
        <f t="shared" si="172"/>
        <v>0.24920118651482828</v>
      </c>
      <c r="AO48" s="219">
        <f t="shared" si="172"/>
        <v>0.25031160492925758</v>
      </c>
      <c r="AP48" s="219">
        <f t="shared" si="172"/>
        <v>0.25612723447354219</v>
      </c>
      <c r="AQ48" s="219">
        <f t="shared" si="172"/>
        <v>0.25682995508160811</v>
      </c>
      <c r="AS48" s="205" t="s">
        <v>289</v>
      </c>
      <c r="AT48" s="219">
        <f t="shared" si="168"/>
        <v>0.18323089079724625</v>
      </c>
      <c r="AU48" s="219">
        <f t="shared" si="168"/>
        <v>0.1939815907333865</v>
      </c>
      <c r="AV48" s="219">
        <f t="shared" ref="AV48:BE48" si="173">AV20/AV$18</f>
        <v>0.21249039143658646</v>
      </c>
      <c r="AW48" s="219">
        <f t="shared" si="173"/>
        <v>0.21382798216490756</v>
      </c>
      <c r="AX48" s="219">
        <f t="shared" si="173"/>
        <v>0.22175212283941387</v>
      </c>
      <c r="AY48" s="219">
        <f t="shared" si="173"/>
        <v>0.2270872390397517</v>
      </c>
      <c r="AZ48" s="219">
        <f t="shared" si="173"/>
        <v>0.23559787318104297</v>
      </c>
      <c r="BA48" s="219">
        <f t="shared" si="173"/>
        <v>0.24118448358739625</v>
      </c>
      <c r="BB48" s="219">
        <f t="shared" si="173"/>
        <v>0.24271593738455033</v>
      </c>
      <c r="BC48" s="219">
        <f t="shared" si="173"/>
        <v>0.24369400299497423</v>
      </c>
      <c r="BD48" s="219">
        <f t="shared" si="173"/>
        <v>0.24899922768736388</v>
      </c>
      <c r="BE48" s="219">
        <f t="shared" si="173"/>
        <v>0.2492247313936779</v>
      </c>
    </row>
    <row r="49" spans="1:57" ht="13">
      <c r="Q49" s="571" t="s">
        <v>42</v>
      </c>
      <c r="R49" s="201"/>
      <c r="S49" s="201"/>
      <c r="T49" s="201"/>
      <c r="U49" s="201"/>
      <c r="V49" s="201"/>
      <c r="W49" s="201"/>
      <c r="X49" s="201"/>
      <c r="Y49" s="201"/>
      <c r="Z49" s="201"/>
      <c r="AA49" s="201"/>
      <c r="AB49" s="201"/>
      <c r="AC49" s="201"/>
      <c r="AE49" s="205" t="s">
        <v>291</v>
      </c>
      <c r="AF49" s="219">
        <f t="shared" si="166"/>
        <v>2.7573249699933216E-3</v>
      </c>
      <c r="AG49" s="219">
        <f t="shared" si="166"/>
        <v>1.1120048670356888E-2</v>
      </c>
      <c r="AH49" s="219">
        <f t="shared" ref="AH49:AQ49" si="174">AH21/AH$18</f>
        <v>8.4373616336026122E-3</v>
      </c>
      <c r="AI49" s="219">
        <f t="shared" si="174"/>
        <v>1.3377015423709763E-2</v>
      </c>
      <c r="AJ49" s="219">
        <f t="shared" si="174"/>
        <v>1.2951273903728661E-2</v>
      </c>
      <c r="AK49" s="219">
        <f t="shared" si="174"/>
        <v>1.2659290075822472E-2</v>
      </c>
      <c r="AL49" s="219">
        <f t="shared" si="174"/>
        <v>1.2298951900745947E-2</v>
      </c>
      <c r="AM49" s="219">
        <f t="shared" si="174"/>
        <v>1.2056983709110847E-2</v>
      </c>
      <c r="AN49" s="219">
        <f t="shared" si="174"/>
        <v>1.1902567075755759E-2</v>
      </c>
      <c r="AO49" s="219">
        <f t="shared" si="174"/>
        <v>1.1798581722144768E-2</v>
      </c>
      <c r="AP49" s="219">
        <f t="shared" si="174"/>
        <v>1.146177233834822E-2</v>
      </c>
      <c r="AQ49" s="219">
        <f t="shared" si="174"/>
        <v>1.1113780433119972E-2</v>
      </c>
      <c r="AS49" s="205" t="s">
        <v>291</v>
      </c>
      <c r="AT49" s="219">
        <f t="shared" si="168"/>
        <v>2.6846526258131444E-3</v>
      </c>
      <c r="AU49" s="219">
        <f t="shared" si="168"/>
        <v>1.084861971083481E-2</v>
      </c>
      <c r="AV49" s="219">
        <f t="shared" ref="AV49:BE49" si="175">AV21/AV$18</f>
        <v>8.2378596729879034E-3</v>
      </c>
      <c r="AW49" s="219">
        <f t="shared" si="175"/>
        <v>1.3042381307311451E-2</v>
      </c>
      <c r="AX49" s="219">
        <f t="shared" si="175"/>
        <v>1.2628474148796811E-2</v>
      </c>
      <c r="AY49" s="219">
        <f t="shared" si="175"/>
        <v>1.234474321676326E-2</v>
      </c>
      <c r="AZ49" s="219">
        <f t="shared" si="175"/>
        <v>1.1989215966356109E-2</v>
      </c>
      <c r="BA49" s="219">
        <f t="shared" si="175"/>
        <v>1.1750730313084851E-2</v>
      </c>
      <c r="BB49" s="219">
        <f t="shared" si="175"/>
        <v>1.159281288134093E-2</v>
      </c>
      <c r="BC49" s="219">
        <f t="shared" si="175"/>
        <v>1.1486657242061908E-2</v>
      </c>
      <c r="BD49" s="219">
        <f t="shared" si="175"/>
        <v>1.1142791847353943E-2</v>
      </c>
      <c r="BE49" s="219">
        <f t="shared" si="175"/>
        <v>1.0784680246245112E-2</v>
      </c>
    </row>
    <row r="50" spans="1:57" ht="13">
      <c r="AE50" s="202" t="s">
        <v>413</v>
      </c>
      <c r="AF50" s="202"/>
      <c r="AG50" s="219">
        <f>AG22/AG$18</f>
        <v>0</v>
      </c>
      <c r="AH50" s="219">
        <f t="shared" ref="AH50:AQ50" si="176">AH22/AH$18</f>
        <v>5.6559616880518546E-4</v>
      </c>
      <c r="AI50" s="219">
        <f t="shared" si="176"/>
        <v>8.0996425041287017E-4</v>
      </c>
      <c r="AJ50" s="219">
        <f t="shared" si="176"/>
        <v>1.2019793952997371E-3</v>
      </c>
      <c r="AK50" s="219">
        <f t="shared" si="176"/>
        <v>1.4639075071987086E-3</v>
      </c>
      <c r="AL50" s="219">
        <f t="shared" si="176"/>
        <v>2.3379232201582792E-3</v>
      </c>
      <c r="AM50" s="219">
        <f t="shared" si="176"/>
        <v>2.9107968372836155E-3</v>
      </c>
      <c r="AN50" s="219">
        <f t="shared" si="176"/>
        <v>3.9020735403667425E-3</v>
      </c>
      <c r="AO50" s="219">
        <f t="shared" si="176"/>
        <v>4.556958179271855E-3</v>
      </c>
      <c r="AP50" s="219">
        <f t="shared" si="176"/>
        <v>5.8249565801997546E-3</v>
      </c>
      <c r="AQ50" s="219">
        <f t="shared" si="176"/>
        <v>6.3683077893573201E-3</v>
      </c>
      <c r="AS50" s="202" t="s">
        <v>413</v>
      </c>
      <c r="AT50" s="202"/>
      <c r="AU50" s="219">
        <f>AU22/AU$18</f>
        <v>0</v>
      </c>
      <c r="AV50" s="219">
        <f t="shared" ref="AV50:BE50" si="177">AV22/AV$18</f>
        <v>5.5222261087406444E-4</v>
      </c>
      <c r="AW50" s="219">
        <f t="shared" si="177"/>
        <v>7.8970250572124557E-4</v>
      </c>
      <c r="AX50" s="219">
        <f t="shared" si="177"/>
        <v>1.172021056288454E-3</v>
      </c>
      <c r="AY50" s="219">
        <f t="shared" si="177"/>
        <v>1.4275336263898644E-3</v>
      </c>
      <c r="AZ50" s="219">
        <f t="shared" si="177"/>
        <v>3.3101900211198925E-3</v>
      </c>
      <c r="BA50" s="219">
        <f t="shared" si="177"/>
        <v>4.5569981069000691E-3</v>
      </c>
      <c r="BB50" s="219">
        <f t="shared" si="177"/>
        <v>6.5960233079081533E-3</v>
      </c>
      <c r="BC50" s="219">
        <f t="shared" si="177"/>
        <v>7.9646442172969598E-3</v>
      </c>
      <c r="BD50" s="219">
        <f t="shared" si="177"/>
        <v>1.1153110503660741E-2</v>
      </c>
      <c r="BE50" s="219">
        <f t="shared" si="177"/>
        <v>1.3846737845925621E-2</v>
      </c>
    </row>
    <row r="51" spans="1:57" ht="13">
      <c r="A51" s="193" t="s">
        <v>319</v>
      </c>
      <c r="C51" s="193"/>
      <c r="D51" s="193"/>
      <c r="E51" s="193"/>
      <c r="F51" s="193"/>
      <c r="G51" s="193"/>
      <c r="H51" s="193"/>
      <c r="I51" s="193"/>
      <c r="J51" s="193"/>
      <c r="K51" s="193"/>
      <c r="L51" s="193"/>
      <c r="AE51" s="205" t="s">
        <v>293</v>
      </c>
      <c r="AF51" s="219">
        <f t="shared" ref="AF51:AF52" si="178">AF23/AF$18</f>
        <v>1.3003266008879983E-2</v>
      </c>
      <c r="AG51" s="219">
        <f>AG23/AG$18</f>
        <v>3.7445676274044201E-2</v>
      </c>
      <c r="AH51" s="219">
        <f t="shared" ref="AH51:AQ51" si="179">AH23/AH$18</f>
        <v>2.3639209120773507E-2</v>
      </c>
      <c r="AI51" s="219">
        <f t="shared" si="179"/>
        <v>2.4412153607348427E-2</v>
      </c>
      <c r="AJ51" s="219">
        <f t="shared" si="179"/>
        <v>2.4470692976220301E-2</v>
      </c>
      <c r="AK51" s="219">
        <f t="shared" si="179"/>
        <v>2.4478126475284162E-2</v>
      </c>
      <c r="AL51" s="219">
        <f t="shared" si="179"/>
        <v>2.4003738036348379E-2</v>
      </c>
      <c r="AM51" s="219">
        <f t="shared" si="179"/>
        <v>2.3684834480454366E-2</v>
      </c>
      <c r="AN51" s="219">
        <f t="shared" si="179"/>
        <v>2.3446860435171791E-2</v>
      </c>
      <c r="AO51" s="219">
        <f t="shared" si="179"/>
        <v>2.328779416010622E-2</v>
      </c>
      <c r="AP51" s="219">
        <f t="shared" si="179"/>
        <v>2.3149045896935807E-2</v>
      </c>
      <c r="AQ51" s="219">
        <f t="shared" si="179"/>
        <v>2.3369525896818295E-2</v>
      </c>
      <c r="AS51" s="205" t="s">
        <v>293</v>
      </c>
      <c r="AT51" s="219">
        <f t="shared" ref="AT51:AT52" si="180">AT23/AT$18</f>
        <v>1.2660550575208771E-2</v>
      </c>
      <c r="AU51" s="219">
        <f>AU23/AU$18</f>
        <v>3.6531665800622573E-2</v>
      </c>
      <c r="AV51" s="219">
        <f t="shared" ref="AV51:BE51" si="181">AV23/AV$18</f>
        <v>2.3080258494763445E-2</v>
      </c>
      <c r="AW51" s="219">
        <f t="shared" si="181"/>
        <v>2.3801468847480713E-2</v>
      </c>
      <c r="AX51" s="219">
        <f t="shared" si="181"/>
        <v>2.3860781259855298E-2</v>
      </c>
      <c r="AY51" s="219">
        <f t="shared" si="181"/>
        <v>2.3869915607823294E-2</v>
      </c>
      <c r="AZ51" s="219">
        <f t="shared" si="181"/>
        <v>2.3399229596154682E-2</v>
      </c>
      <c r="BA51" s="219">
        <f t="shared" si="181"/>
        <v>2.3083227878923373E-2</v>
      </c>
      <c r="BB51" s="219">
        <f t="shared" si="181"/>
        <v>2.2836675815381072E-2</v>
      </c>
      <c r="BC51" s="219">
        <f t="shared" si="181"/>
        <v>2.2672124136646203E-2</v>
      </c>
      <c r="BD51" s="219">
        <f t="shared" si="181"/>
        <v>2.250480922844534E-2</v>
      </c>
      <c r="BE51" s="219">
        <f t="shared" si="181"/>
        <v>2.2677509765484601E-2</v>
      </c>
    </row>
    <row r="52" spans="1:57" ht="13">
      <c r="C52" s="193"/>
      <c r="D52" s="193"/>
      <c r="E52" s="193"/>
      <c r="F52" s="193"/>
      <c r="G52" s="193"/>
      <c r="H52" s="193"/>
      <c r="I52" s="193"/>
      <c r="J52" s="193"/>
      <c r="K52" s="193"/>
      <c r="L52" s="193"/>
      <c r="AE52" s="205" t="s">
        <v>295</v>
      </c>
      <c r="AF52" s="219">
        <f t="shared" si="178"/>
        <v>3.6851346041653359E-3</v>
      </c>
      <c r="AG52" s="219">
        <f>AG24/AG$18</f>
        <v>9.7249779103669876E-3</v>
      </c>
      <c r="AH52" s="219">
        <f t="shared" ref="AH52:AQ52" si="182">AH24/AH$18</f>
        <v>8.8134629358868569E-3</v>
      </c>
      <c r="AI52" s="219">
        <f t="shared" si="182"/>
        <v>9.1315771944160944E-3</v>
      </c>
      <c r="AJ52" s="219">
        <f t="shared" si="182"/>
        <v>9.4408476798427642E-3</v>
      </c>
      <c r="AK52" s="219">
        <f t="shared" si="182"/>
        <v>9.6417311172075498E-3</v>
      </c>
      <c r="AL52" s="219">
        <f t="shared" si="182"/>
        <v>9.478093059329562E-3</v>
      </c>
      <c r="AM52" s="219">
        <f t="shared" si="182"/>
        <v>9.3687580529380077E-3</v>
      </c>
      <c r="AN52" s="219">
        <f t="shared" si="182"/>
        <v>9.293475102528221E-3</v>
      </c>
      <c r="AO52" s="219">
        <f t="shared" si="182"/>
        <v>9.2446291853994899E-3</v>
      </c>
      <c r="AP52" s="219">
        <f t="shared" si="182"/>
        <v>9.2381437214089125E-3</v>
      </c>
      <c r="AQ52" s="219">
        <f t="shared" si="182"/>
        <v>9.3471895447975965E-3</v>
      </c>
      <c r="AS52" s="205" t="s">
        <v>295</v>
      </c>
      <c r="AT52" s="219">
        <f t="shared" si="180"/>
        <v>3.5880088126033667E-3</v>
      </c>
      <c r="AU52" s="219">
        <f>AU24/AU$18</f>
        <v>9.4876011943259234E-3</v>
      </c>
      <c r="AV52" s="219">
        <f t="shared" ref="AV52:BE52" si="183">AV24/AV$18</f>
        <v>8.6050680356953221E-3</v>
      </c>
      <c r="AW52" s="219">
        <f t="shared" si="183"/>
        <v>8.9031452782533643E-3</v>
      </c>
      <c r="AX52" s="219">
        <f t="shared" si="183"/>
        <v>9.205542385548526E-3</v>
      </c>
      <c r="AY52" s="219">
        <f t="shared" si="183"/>
        <v>9.4021618980296706E-3</v>
      </c>
      <c r="AZ52" s="219">
        <f t="shared" si="183"/>
        <v>9.239397434396902E-3</v>
      </c>
      <c r="BA52" s="219">
        <f t="shared" si="183"/>
        <v>9.1307869285273454E-3</v>
      </c>
      <c r="BB52" s="219">
        <f t="shared" si="183"/>
        <v>9.0516203097447817E-3</v>
      </c>
      <c r="BC52" s="219">
        <f t="shared" si="183"/>
        <v>9.0002247120378933E-3</v>
      </c>
      <c r="BD52" s="219">
        <f t="shared" si="183"/>
        <v>8.9810466919842818E-3</v>
      </c>
      <c r="BE52" s="219">
        <f t="shared" si="183"/>
        <v>9.0704014757459171E-3</v>
      </c>
    </row>
    <row r="53" spans="1:57" ht="13">
      <c r="AE53" s="205" t="s">
        <v>249</v>
      </c>
      <c r="AF53" s="219"/>
      <c r="AG53" s="219">
        <f>AG25/AG$18</f>
        <v>0</v>
      </c>
      <c r="AH53" s="219">
        <f t="shared" ref="AH53:AQ53" si="184">AH25/AH$18</f>
        <v>0</v>
      </c>
      <c r="AI53" s="219">
        <f t="shared" si="184"/>
        <v>0</v>
      </c>
      <c r="AJ53" s="219">
        <f t="shared" si="184"/>
        <v>0</v>
      </c>
      <c r="AK53" s="219">
        <f t="shared" si="184"/>
        <v>0</v>
      </c>
      <c r="AL53" s="219">
        <f t="shared" si="184"/>
        <v>0</v>
      </c>
      <c r="AM53" s="219">
        <f t="shared" si="184"/>
        <v>0</v>
      </c>
      <c r="AN53" s="219">
        <f t="shared" si="184"/>
        <v>0</v>
      </c>
      <c r="AO53" s="219">
        <f t="shared" si="184"/>
        <v>0</v>
      </c>
      <c r="AP53" s="219">
        <f t="shared" si="184"/>
        <v>0</v>
      </c>
      <c r="AQ53" s="219">
        <f t="shared" si="184"/>
        <v>0</v>
      </c>
      <c r="AS53" s="205" t="s">
        <v>249</v>
      </c>
      <c r="AT53" s="219"/>
      <c r="AU53" s="219">
        <f>AU25/AU$18</f>
        <v>2.027670793891811E-5</v>
      </c>
      <c r="AV53" s="219">
        <f t="shared" ref="AV53:BE53" si="185">AV25/AV$18</f>
        <v>1.9667243086659583E-5</v>
      </c>
      <c r="AW53" s="219">
        <f t="shared" si="185"/>
        <v>1.9934923276210252E-5</v>
      </c>
      <c r="AX53" s="219">
        <f t="shared" si="185"/>
        <v>1.9981310796236638E-5</v>
      </c>
      <c r="AY53" s="219">
        <f t="shared" si="185"/>
        <v>2.0003647323678802E-5</v>
      </c>
      <c r="AZ53" s="219">
        <f t="shared" si="185"/>
        <v>1.9804919879661211E-5</v>
      </c>
      <c r="BA53" s="219">
        <f t="shared" si="185"/>
        <v>1.967017472387049E-5</v>
      </c>
      <c r="BB53" s="219">
        <f t="shared" si="185"/>
        <v>1.9538428569351125E-5</v>
      </c>
      <c r="BC53" s="219">
        <f t="shared" si="185"/>
        <v>1.9453934349818427E-5</v>
      </c>
      <c r="BD53" s="219">
        <f t="shared" si="185"/>
        <v>1.9399391514353837E-5</v>
      </c>
      <c r="BE53" s="219">
        <f t="shared" si="185"/>
        <v>1.958149787605169E-5</v>
      </c>
    </row>
    <row r="54" spans="1:57" ht="13">
      <c r="AE54" s="205" t="s">
        <v>298</v>
      </c>
      <c r="AF54" s="219">
        <f t="shared" ref="AF54" si="186">AF26/AF$18</f>
        <v>7.0618903907441605E-2</v>
      </c>
      <c r="AG54" s="219">
        <f>AG26/AG$18</f>
        <v>6.6326696413949907E-2</v>
      </c>
      <c r="AH54" s="219">
        <f t="shared" ref="AH54:AQ54" si="187">AH26/AH$18</f>
        <v>7.3553428651486522E-2</v>
      </c>
      <c r="AI54" s="219">
        <f t="shared" si="187"/>
        <v>8.0393703996349333E-2</v>
      </c>
      <c r="AJ54" s="219">
        <f t="shared" si="187"/>
        <v>9.2863459710868998E-2</v>
      </c>
      <c r="AK54" s="219">
        <f t="shared" si="187"/>
        <v>0.10157049599496561</v>
      </c>
      <c r="AL54" s="219">
        <f t="shared" si="187"/>
        <v>0.11054188252846542</v>
      </c>
      <c r="AM54" s="219">
        <f t="shared" si="187"/>
        <v>0.11671002146370216</v>
      </c>
      <c r="AN54" s="219">
        <f t="shared" si="187"/>
        <v>0.12203376217199308</v>
      </c>
      <c r="AO54" s="219">
        <f t="shared" si="187"/>
        <v>0.12568378908407155</v>
      </c>
      <c r="AP54" s="219">
        <f t="shared" si="187"/>
        <v>0.13562114503298095</v>
      </c>
      <c r="AQ54" s="219">
        <f t="shared" si="187"/>
        <v>0.15151180729792516</v>
      </c>
      <c r="AS54" s="205" t="s">
        <v>298</v>
      </c>
      <c r="AT54" s="219">
        <f t="shared" ref="AT54" si="188">AT26/AT$18</f>
        <v>6.8757664718648817E-2</v>
      </c>
      <c r="AU54" s="219">
        <f t="shared" ref="AU54:BE54" si="189">AU26/AU$18</f>
        <v>6.4707729921099341E-2</v>
      </c>
      <c r="AV54" s="219">
        <f t="shared" si="189"/>
        <v>7.1814253081784157E-2</v>
      </c>
      <c r="AW54" s="219">
        <f t="shared" si="189"/>
        <v>7.8382606957982826E-2</v>
      </c>
      <c r="AX54" s="219">
        <f t="shared" si="189"/>
        <v>9.0548915036760769E-2</v>
      </c>
      <c r="AY54" s="219">
        <f t="shared" si="189"/>
        <v>9.9046762018024814E-2</v>
      </c>
      <c r="AZ54" s="219">
        <f t="shared" si="189"/>
        <v>0.10775800358085449</v>
      </c>
      <c r="BA54" s="219">
        <f t="shared" si="189"/>
        <v>0.11374552874430696</v>
      </c>
      <c r="BB54" s="219">
        <f t="shared" si="189"/>
        <v>0.11885793720478983</v>
      </c>
      <c r="BC54" s="219">
        <f t="shared" si="189"/>
        <v>0.12236102949413614</v>
      </c>
      <c r="BD54" s="219">
        <f t="shared" si="189"/>
        <v>0.13184681605882329</v>
      </c>
      <c r="BE54" s="219">
        <f t="shared" si="189"/>
        <v>0.14702525437423228</v>
      </c>
    </row>
    <row r="55" spans="1:57" ht="13">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2"/>
    </row>
    <row r="57" spans="1:57">
      <c r="AG57" s="563">
        <f>SUM(AG47:AG54,AG37:AG45,AG33:AG35)-3</f>
        <v>0</v>
      </c>
      <c r="AH57" s="563">
        <f t="shared" ref="AH57:AQ57" si="190">SUM(AH47:AH54,AH37:AH45,AH33:AH35)-3</f>
        <v>0</v>
      </c>
      <c r="AI57" s="563">
        <f t="shared" si="190"/>
        <v>0</v>
      </c>
      <c r="AJ57" s="563">
        <f t="shared" si="190"/>
        <v>0</v>
      </c>
      <c r="AK57" s="563">
        <f t="shared" si="190"/>
        <v>0</v>
      </c>
      <c r="AL57" s="563">
        <f t="shared" si="190"/>
        <v>0</v>
      </c>
      <c r="AM57" s="563">
        <f t="shared" si="190"/>
        <v>0</v>
      </c>
      <c r="AN57" s="563">
        <f t="shared" si="190"/>
        <v>0</v>
      </c>
      <c r="AO57" s="563">
        <f t="shared" si="190"/>
        <v>0</v>
      </c>
      <c r="AP57" s="563">
        <f t="shared" si="190"/>
        <v>0</v>
      </c>
      <c r="AQ57" s="563">
        <f t="shared" si="190"/>
        <v>0</v>
      </c>
    </row>
  </sheetData>
  <mergeCells count="1">
    <mergeCell ref="M1:O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6BB24-CE4D-4BE0-9390-9B26AD01B652}">
  <dimension ref="A1:DL57"/>
  <sheetViews>
    <sheetView topLeftCell="AI1" zoomScale="55" zoomScaleNormal="55" workbookViewId="0">
      <selection activeCell="AY13" sqref="AY13"/>
    </sheetView>
  </sheetViews>
  <sheetFormatPr baseColWidth="10" defaultColWidth="11.453125" defaultRowHeight="12"/>
  <cols>
    <col min="1" max="1" width="53.7265625" style="193" bestFit="1" customWidth="1"/>
    <col min="2" max="2" width="11" style="193" customWidth="1"/>
    <col min="3" max="4" width="7.7265625" style="222" bestFit="1" customWidth="1"/>
    <col min="5" max="6" width="7.7265625" style="222" customWidth="1"/>
    <col min="7" max="12" width="12.26953125" style="222" customWidth="1"/>
    <col min="13" max="13" width="8.7265625" style="193" customWidth="1"/>
    <col min="14" max="14" width="8.7265625" style="574" customWidth="1"/>
    <col min="15" max="15" width="7.81640625" style="574" customWidth="1"/>
    <col min="16" max="16" width="7.26953125" style="574" customWidth="1"/>
    <col min="17" max="17" width="34.26953125" style="193" customWidth="1"/>
    <col min="18" max="18" width="11.1796875" style="193" customWidth="1"/>
    <col min="19" max="20" width="5.54296875" style="193" bestFit="1" customWidth="1"/>
    <col min="21" max="28" width="5.54296875" style="193" customWidth="1"/>
    <col min="29" max="29" width="9" style="193" bestFit="1" customWidth="1"/>
    <col min="30" max="30" width="11.453125" style="193"/>
    <col min="31" max="31" width="40.26953125" style="193" customWidth="1"/>
    <col min="32" max="36" width="10.453125" style="193" customWidth="1"/>
    <col min="37" max="38" width="9.6328125" style="193" customWidth="1"/>
    <col min="39" max="40" width="10" style="193" customWidth="1"/>
    <col min="41" max="41" width="10.08984375" style="193" customWidth="1"/>
    <col min="42" max="42" width="9.7265625" style="193" customWidth="1"/>
    <col min="43" max="43" width="10" style="193" customWidth="1"/>
    <col min="44" max="44" width="11.453125" style="193"/>
    <col min="45" max="45" width="54.26953125" style="193" customWidth="1"/>
    <col min="46" max="46" width="11.453125" style="193"/>
    <col min="47" max="47" width="11.453125" style="193" customWidth="1"/>
    <col min="48" max="56" width="11.453125" style="193"/>
    <col min="57" max="57" width="10.08984375" style="193" customWidth="1"/>
    <col min="58" max="58" width="9.90625" style="206" customWidth="1"/>
    <col min="59" max="59" width="42.81640625" style="193" customWidth="1"/>
    <col min="60" max="60" width="9.54296875" style="193" customWidth="1"/>
    <col min="61" max="64" width="11.453125" style="193"/>
    <col min="65" max="65" width="11.7265625" style="193" bestFit="1" customWidth="1"/>
    <col min="66" max="70" width="11.7265625" style="193" customWidth="1"/>
    <col min="71" max="71" width="11.453125" style="193" customWidth="1"/>
    <col min="72" max="72" width="20.453125" style="193" customWidth="1"/>
    <col min="73" max="73" width="24.7265625" style="193" customWidth="1"/>
    <col min="74" max="85" width="11.453125" style="193" customWidth="1"/>
    <col min="86" max="86" width="19.1796875" style="193" customWidth="1"/>
    <col min="87" max="87" width="11.453125" style="193" customWidth="1"/>
    <col min="88" max="88" width="50.1796875" style="193" customWidth="1"/>
    <col min="89" max="89" width="6" style="193" customWidth="1"/>
    <col min="90" max="100" width="11.453125" style="193" customWidth="1"/>
    <col min="101" max="102" width="11.453125" style="193"/>
    <col min="103" max="103" width="33.6328125" style="193" customWidth="1"/>
    <col min="104" max="104" width="19.81640625" style="193" customWidth="1"/>
    <col min="105" max="109" width="10.453125" style="193" customWidth="1"/>
    <col min="110" max="16384" width="11.453125" style="193"/>
  </cols>
  <sheetData>
    <row r="1" spans="1:116">
      <c r="B1" s="193">
        <v>2015</v>
      </c>
      <c r="C1" s="194">
        <v>2020</v>
      </c>
      <c r="D1" s="194">
        <v>2023</v>
      </c>
      <c r="E1" s="195">
        <v>2025</v>
      </c>
      <c r="F1" s="195">
        <v>2028</v>
      </c>
      <c r="G1" s="195">
        <v>2030</v>
      </c>
      <c r="H1" s="195">
        <v>2033</v>
      </c>
      <c r="I1" s="195">
        <v>2035</v>
      </c>
      <c r="J1" s="195">
        <v>2038</v>
      </c>
      <c r="K1" s="195">
        <v>2040</v>
      </c>
      <c r="L1" s="195">
        <v>2045</v>
      </c>
      <c r="M1" s="677">
        <v>2050</v>
      </c>
      <c r="N1" s="677"/>
      <c r="O1" s="678"/>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9">
        <v>2038</v>
      </c>
      <c r="BC1" s="549">
        <v>2040</v>
      </c>
      <c r="BD1" s="549">
        <v>2045</v>
      </c>
      <c r="BE1" s="193">
        <v>2050</v>
      </c>
    </row>
    <row r="2" spans="1:116" ht="14.5">
      <c r="A2" s="196" t="s">
        <v>10</v>
      </c>
      <c r="B2" s="197">
        <f t="shared" ref="B2:M2" si="0">B3+B9+B28+B38</f>
        <v>256.0122500057156</v>
      </c>
      <c r="C2" s="197">
        <f t="shared" si="0"/>
        <v>2559.7800174335421</v>
      </c>
      <c r="D2" s="197">
        <f t="shared" si="0"/>
        <v>2562.3565436459603</v>
      </c>
      <c r="E2" s="197">
        <f t="shared" si="0"/>
        <v>2515.6038628310966</v>
      </c>
      <c r="F2" s="197">
        <f t="shared" si="0"/>
        <v>2370.96801333945</v>
      </c>
      <c r="G2" s="197">
        <f t="shared" si="0"/>
        <v>2277.1872780746985</v>
      </c>
      <c r="H2" s="197">
        <f t="shared" si="0"/>
        <v>2204.5856621827957</v>
      </c>
      <c r="I2" s="197">
        <f t="shared" si="0"/>
        <v>2155.8080728036434</v>
      </c>
      <c r="J2" s="197">
        <f t="shared" si="0"/>
        <v>2111.4839336593523</v>
      </c>
      <c r="K2" s="197">
        <f t="shared" si="0"/>
        <v>2079.6787440826852</v>
      </c>
      <c r="L2" s="197">
        <f t="shared" si="0"/>
        <v>1907.5955897344315</v>
      </c>
      <c r="M2" s="197">
        <f t="shared" si="0"/>
        <v>1819.2099246348473</v>
      </c>
      <c r="N2" s="575">
        <f>C2-'Bilan 2020'!$C$5</f>
        <v>0</v>
      </c>
      <c r="O2" s="575">
        <f>G2-'Bilan 2030 AMS'!$C$5</f>
        <v>0</v>
      </c>
      <c r="P2" s="575">
        <f>M2-'Bilan 2050 AMS'!$C$5</f>
        <v>0</v>
      </c>
      <c r="Q2" s="570" t="s">
        <v>261</v>
      </c>
      <c r="R2" s="198">
        <f t="shared" ref="R2:AC2" si="1">R3+R7+R16+R23</f>
        <v>256.02225000571565</v>
      </c>
      <c r="S2" s="198">
        <f t="shared" si="1"/>
        <v>2559.7900174335423</v>
      </c>
      <c r="T2" s="198">
        <f t="shared" si="1"/>
        <v>2562.3665436459596</v>
      </c>
      <c r="U2" s="198">
        <f t="shared" si="1"/>
        <v>2515.6139628310966</v>
      </c>
      <c r="V2" s="198">
        <f t="shared" si="1"/>
        <v>2370.9781133394499</v>
      </c>
      <c r="W2" s="198">
        <f t="shared" si="1"/>
        <v>2277.1973780746989</v>
      </c>
      <c r="X2" s="198">
        <f t="shared" si="1"/>
        <v>2204.5957621827956</v>
      </c>
      <c r="Y2" s="198">
        <f t="shared" si="1"/>
        <v>2155.8181728036434</v>
      </c>
      <c r="Z2" s="198">
        <f t="shared" si="1"/>
        <v>2111.4940336593522</v>
      </c>
      <c r="AA2" s="198">
        <f t="shared" si="1"/>
        <v>2079.6888440826851</v>
      </c>
      <c r="AB2" s="198">
        <f t="shared" si="1"/>
        <v>1907.6056897344315</v>
      </c>
      <c r="AC2" s="198">
        <f t="shared" si="1"/>
        <v>1819.220124634847</v>
      </c>
      <c r="AE2" s="198" t="s">
        <v>262</v>
      </c>
      <c r="AF2" s="198">
        <f t="shared" ref="AF2:AQ2" si="2">AF3+AF8+AF18+AF27</f>
        <v>138.32091342986342</v>
      </c>
      <c r="AG2" s="198">
        <f t="shared" si="2"/>
        <v>1463.3250412379907</v>
      </c>
      <c r="AH2" s="198">
        <f t="shared" si="2"/>
        <v>1451.738759790082</v>
      </c>
      <c r="AI2" s="198">
        <f t="shared" si="2"/>
        <v>1425.299199945533</v>
      </c>
      <c r="AJ2" s="198">
        <f t="shared" si="2"/>
        <v>1327.826623998478</v>
      </c>
      <c r="AK2" s="198">
        <f t="shared" si="2"/>
        <v>1263.332440682379</v>
      </c>
      <c r="AL2" s="198">
        <f t="shared" si="2"/>
        <v>1195.4663707392615</v>
      </c>
      <c r="AM2" s="198">
        <f t="shared" si="2"/>
        <v>1150.2637895074165</v>
      </c>
      <c r="AN2" s="198">
        <f t="shared" si="2"/>
        <v>1087.8194462171673</v>
      </c>
      <c r="AO2" s="198">
        <f t="shared" si="2"/>
        <v>1045.9219286436637</v>
      </c>
      <c r="AP2" s="198">
        <f t="shared" si="2"/>
        <v>958.82006470797955</v>
      </c>
      <c r="AQ2" s="198">
        <f t="shared" si="2"/>
        <v>884.93548042238831</v>
      </c>
      <c r="AS2" s="198" t="s">
        <v>263</v>
      </c>
      <c r="AT2" s="198">
        <f t="shared" ref="AT2:BE2" si="3">AT3+AT8+AT18+AT27</f>
        <v>155.0998184767825</v>
      </c>
      <c r="AU2" s="198">
        <f t="shared" si="3"/>
        <v>1633.6423079237254</v>
      </c>
      <c r="AV2" s="198">
        <f t="shared" si="3"/>
        <v>1637.3505007770264</v>
      </c>
      <c r="AW2" s="198">
        <f t="shared" si="3"/>
        <v>1592.9269595433218</v>
      </c>
      <c r="AX2" s="198">
        <f t="shared" si="3"/>
        <v>1479.5967782782743</v>
      </c>
      <c r="AY2" s="198">
        <f t="shared" si="3"/>
        <v>1405.4562872910419</v>
      </c>
      <c r="AZ2" s="198">
        <f t="shared" si="3"/>
        <v>1333.6766595387273</v>
      </c>
      <c r="BA2" s="198">
        <f t="shared" si="3"/>
        <v>1285.9761232958861</v>
      </c>
      <c r="BB2" s="198">
        <f t="shared" si="3"/>
        <v>1220.1026999795424</v>
      </c>
      <c r="BC2" s="198">
        <f t="shared" si="3"/>
        <v>1176.0604184113254</v>
      </c>
      <c r="BD2" s="198">
        <f t="shared" si="3"/>
        <v>1083.4690864359302</v>
      </c>
      <c r="BE2" s="198">
        <f t="shared" si="3"/>
        <v>1003.5690765178977</v>
      </c>
      <c r="BF2" s="216">
        <f>BE2-('Bilan 2050 AMS'!Q5+SUM('Bilan 2050 AMS'!E52:E57))</f>
        <v>0.90626893272508369</v>
      </c>
    </row>
    <row r="3" spans="1:116" ht="13">
      <c r="A3" s="199" t="s">
        <v>264</v>
      </c>
      <c r="B3" s="200">
        <f t="shared" ref="B3" si="4">SUM(B4:B5)</f>
        <v>72.67486672655339</v>
      </c>
      <c r="C3" s="200">
        <f t="shared" ref="C3:M3" si="5">SUM(C4:C5)</f>
        <v>711.27843158471455</v>
      </c>
      <c r="D3" s="200">
        <f t="shared" si="5"/>
        <v>685.2169696068961</v>
      </c>
      <c r="E3" s="200">
        <f t="shared" si="5"/>
        <v>663.45573381839915</v>
      </c>
      <c r="F3" s="200">
        <f t="shared" si="5"/>
        <v>583.82464222529006</v>
      </c>
      <c r="G3" s="200">
        <f t="shared" si="5"/>
        <v>531.04215391278717</v>
      </c>
      <c r="H3" s="200">
        <f t="shared" si="5"/>
        <v>463.47086743500233</v>
      </c>
      <c r="I3" s="200">
        <f t="shared" si="5"/>
        <v>418.61118201518821</v>
      </c>
      <c r="J3" s="200">
        <f t="shared" si="5"/>
        <v>354.07138879575712</v>
      </c>
      <c r="K3" s="200">
        <f t="shared" si="5"/>
        <v>311.24018966657547</v>
      </c>
      <c r="L3" s="200">
        <f t="shared" ref="L3" si="6">SUM(L4:L5)</f>
        <v>221.12844931387241</v>
      </c>
      <c r="M3" s="200">
        <f t="shared" si="5"/>
        <v>196.96567188065154</v>
      </c>
      <c r="N3" s="575">
        <f>C3-'Bilan 2020'!$C$33-'Bilan 2020'!$C$41-'Bilan 2020'!$C$42-'Bilan 2020'!$C$43</f>
        <v>0</v>
      </c>
      <c r="O3" s="575">
        <f>G3-'Bilan 2030 AMS'!$C$33-'Bilan 2030 AMS'!$C$41-'Bilan 2030 AMS'!$C$42-'Bilan 2030 AMS'!$C$43</f>
        <v>0</v>
      </c>
      <c r="P3" s="575">
        <f>M3-'Bilan 2050 AMS'!$C$33-'Bilan 2050 AMS'!$C$41-'Bilan 2050 AMS'!$C$42-'Bilan 2050 AMS'!$C$43</f>
        <v>0</v>
      </c>
      <c r="Q3" s="571" t="s">
        <v>264</v>
      </c>
      <c r="R3" s="201">
        <f>SUM(R4:R6)</f>
        <v>72.67486672655339</v>
      </c>
      <c r="S3" s="201">
        <f>SUM(S4:S6)</f>
        <v>711.27843158471455</v>
      </c>
      <c r="T3" s="201">
        <f>SUM(T4:T6)</f>
        <v>685.2169696068961</v>
      </c>
      <c r="U3" s="201">
        <f t="shared" ref="U3:AC3" si="7">SUM(U4:U6)</f>
        <v>663.45573381839915</v>
      </c>
      <c r="V3" s="201">
        <f t="shared" si="7"/>
        <v>583.82464222529006</v>
      </c>
      <c r="W3" s="201">
        <f t="shared" si="7"/>
        <v>531.04215391278717</v>
      </c>
      <c r="X3" s="201">
        <f t="shared" si="7"/>
        <v>463.47086743500233</v>
      </c>
      <c r="Y3" s="201">
        <f t="shared" si="7"/>
        <v>418.61118201518821</v>
      </c>
      <c r="Z3" s="201">
        <f t="shared" si="7"/>
        <v>354.07138879575712</v>
      </c>
      <c r="AA3" s="201">
        <f t="shared" si="7"/>
        <v>311.24018966657547</v>
      </c>
      <c r="AB3" s="201">
        <f t="shared" si="7"/>
        <v>221.12844931387241</v>
      </c>
      <c r="AC3" s="201">
        <f t="shared" si="7"/>
        <v>196.96567188065154</v>
      </c>
      <c r="AE3" s="201" t="s">
        <v>264</v>
      </c>
      <c r="AF3" s="201">
        <f t="shared" ref="AF3:AQ3" si="8">SUM(AF4:AF7)</f>
        <v>57.944579607697385</v>
      </c>
      <c r="AG3" s="201">
        <f t="shared" si="8"/>
        <v>566.6729372944377</v>
      </c>
      <c r="AH3" s="201">
        <f t="shared" si="8"/>
        <v>528.2115241780732</v>
      </c>
      <c r="AI3" s="201">
        <f t="shared" si="8"/>
        <v>515.7277864958819</v>
      </c>
      <c r="AJ3" s="201">
        <f t="shared" si="8"/>
        <v>443.73018978041841</v>
      </c>
      <c r="AK3" s="201">
        <f t="shared" si="8"/>
        <v>395.94950545432027</v>
      </c>
      <c r="AL3" s="201">
        <f t="shared" si="8"/>
        <v>327.54637437945769</v>
      </c>
      <c r="AM3" s="201">
        <f t="shared" si="8"/>
        <v>281.96277715347082</v>
      </c>
      <c r="AN3" s="201">
        <f t="shared" si="8"/>
        <v>214.72297046389696</v>
      </c>
      <c r="AO3" s="201">
        <f t="shared" si="8"/>
        <v>169.84335832014199</v>
      </c>
      <c r="AP3" s="201">
        <f t="shared" ref="AP3" si="9">SUM(AP4:AP7)</f>
        <v>85.055842103163997</v>
      </c>
      <c r="AQ3" s="201">
        <f t="shared" si="8"/>
        <v>35.794512066007869</v>
      </c>
      <c r="AS3" s="201" t="s">
        <v>264</v>
      </c>
      <c r="AT3" s="201">
        <f>SUM(AT4:AT7)</f>
        <v>70.397579607697395</v>
      </c>
      <c r="AU3" s="201">
        <f>SUM(AU4:AU7)</f>
        <v>697.15705671598573</v>
      </c>
      <c r="AV3" s="201">
        <f t="shared" ref="AV3:BC3" si="10">SUM(AV4:AV7)</f>
        <v>658.59327978459385</v>
      </c>
      <c r="AW3" s="201">
        <f t="shared" si="10"/>
        <v>634.9624511160863</v>
      </c>
      <c r="AX3" s="201">
        <f t="shared" si="10"/>
        <v>554.30816614099103</v>
      </c>
      <c r="AY3" s="201">
        <f t="shared" si="10"/>
        <v>500.84895180967646</v>
      </c>
      <c r="AZ3" s="201">
        <f t="shared" si="10"/>
        <v>426.11719435028272</v>
      </c>
      <c r="BA3" s="201">
        <f t="shared" si="10"/>
        <v>376.49753320005163</v>
      </c>
      <c r="BB3" s="201">
        <f t="shared" si="10"/>
        <v>303.67447312836669</v>
      </c>
      <c r="BC3" s="201">
        <f t="shared" si="10"/>
        <v>255.27505264953027</v>
      </c>
      <c r="BD3" s="201">
        <f t="shared" ref="BD3" si="11">SUM(BD4:BD7)</f>
        <v>162.43321463151784</v>
      </c>
      <c r="BE3" s="201">
        <f t="shared" ref="BE3" si="12">SUM(BE4:BE7)</f>
        <v>105.9391213223241</v>
      </c>
      <c r="BF3" s="216">
        <f>BE3-(SUM('Bilan 2050 AMS'!G41:G43)-'Bilan 2050 AMS'!L41-'Bilan 2050 AMS'!I54-'Bilan 2050 AMS'!E56)</f>
        <v>30.295802166304497</v>
      </c>
      <c r="BG3" s="567" t="s">
        <v>449</v>
      </c>
      <c r="BH3" s="194">
        <v>2020</v>
      </c>
      <c r="BI3" s="194">
        <v>2020</v>
      </c>
      <c r="BJ3" s="194">
        <v>2023</v>
      </c>
      <c r="BK3" s="195">
        <v>2025</v>
      </c>
      <c r="BL3" s="195">
        <v>2028</v>
      </c>
      <c r="BM3" s="195">
        <v>2030</v>
      </c>
      <c r="BN3" s="195">
        <v>2033</v>
      </c>
      <c r="BO3" s="195">
        <v>2035</v>
      </c>
      <c r="BP3" s="195">
        <v>2038</v>
      </c>
      <c r="BQ3" s="195">
        <v>2040</v>
      </c>
      <c r="BR3" s="195">
        <v>2045</v>
      </c>
      <c r="BS3" s="195">
        <v>2050</v>
      </c>
      <c r="BU3" s="568" t="s">
        <v>450</v>
      </c>
      <c r="BV3" s="194">
        <v>2015</v>
      </c>
      <c r="BW3" s="194">
        <v>2020</v>
      </c>
      <c r="BX3" s="194">
        <v>2023</v>
      </c>
      <c r="BY3" s="195">
        <v>2025</v>
      </c>
      <c r="BZ3" s="195">
        <v>2028</v>
      </c>
      <c r="CA3" s="195">
        <v>2030</v>
      </c>
      <c r="CB3" s="195">
        <v>2033</v>
      </c>
      <c r="CC3" s="195">
        <v>2035</v>
      </c>
      <c r="CD3" s="195">
        <v>2038</v>
      </c>
      <c r="CE3" s="195">
        <v>2040</v>
      </c>
      <c r="CF3" s="195">
        <v>2045</v>
      </c>
      <c r="CG3" s="195">
        <v>2050</v>
      </c>
      <c r="CJ3" s="568" t="s">
        <v>451</v>
      </c>
      <c r="CK3" s="202">
        <v>2015</v>
      </c>
      <c r="CL3" s="194">
        <v>2020</v>
      </c>
      <c r="CM3" s="194">
        <v>2023</v>
      </c>
      <c r="CN3" s="195">
        <v>2025</v>
      </c>
      <c r="CO3" s="195">
        <v>2028</v>
      </c>
      <c r="CP3" s="195">
        <v>2030</v>
      </c>
      <c r="CQ3" s="195">
        <v>2033</v>
      </c>
      <c r="CR3" s="195">
        <v>2035</v>
      </c>
      <c r="CS3" s="195">
        <v>2038</v>
      </c>
      <c r="CT3" s="195">
        <v>2040</v>
      </c>
      <c r="CU3" s="195">
        <v>2045</v>
      </c>
      <c r="CV3" s="195">
        <v>2050</v>
      </c>
      <c r="CY3" s="567" t="s">
        <v>452</v>
      </c>
      <c r="CZ3" s="202" t="s">
        <v>265</v>
      </c>
      <c r="DA3" s="202">
        <v>2015</v>
      </c>
      <c r="DB3" s="559">
        <v>2020</v>
      </c>
      <c r="DC3" s="559">
        <v>2023</v>
      </c>
      <c r="DD3" s="559">
        <v>2025</v>
      </c>
      <c r="DE3" s="559">
        <v>2028</v>
      </c>
      <c r="DF3" s="559">
        <v>2030</v>
      </c>
      <c r="DG3" s="559">
        <v>2033</v>
      </c>
      <c r="DH3" s="559">
        <v>2035</v>
      </c>
      <c r="DI3" s="559">
        <v>2038</v>
      </c>
      <c r="DJ3" s="559">
        <v>2040</v>
      </c>
      <c r="DK3" s="559">
        <v>2045</v>
      </c>
      <c r="DL3" s="559">
        <v>2050</v>
      </c>
    </row>
    <row r="4" spans="1:116" ht="13">
      <c r="A4" s="203" t="s">
        <v>266</v>
      </c>
      <c r="B4" s="204">
        <f>'Bilan 2015'!$C$33+'Bilan 2015'!$C$42+'Bilan 2015'!$C$43</f>
        <v>69.568999999999988</v>
      </c>
      <c r="C4" s="204">
        <f>'Bilan 2020'!$C$33+'Bilan 2020'!$C$42+'Bilan 2020'!$C$43</f>
        <v>677.54700206716939</v>
      </c>
      <c r="D4" s="204">
        <f>'Bilan 2023 AMS'!$C$33+'Bilan 2023 AMS'!$C$42+'Bilan 2023 AMS'!$C$43</f>
        <v>640.89957512413184</v>
      </c>
      <c r="E4" s="204">
        <f>'Bilan 2025 AMS'!$C$33+'Bilan 2025 AMS'!$C$42+'Bilan 2025 AMS'!$C$43</f>
        <v>614.95615909151365</v>
      </c>
      <c r="F4" s="204">
        <f>'Bilan 2028 AMS'!$C$33+'Bilan 2028 AMS'!$C$42+'Bilan 2028 AMS'!$C$43</f>
        <v>529.60472361096799</v>
      </c>
      <c r="G4" s="204">
        <f>'Bilan 2030 AMS'!$C$33+'Bilan 2030 AMS'!$C$42+'Bilan 2030 AMS'!$C$43</f>
        <v>473.36113557834653</v>
      </c>
      <c r="H4" s="204">
        <f>'Bilan 2033 AMS'!$C$33+'Bilan 2033 AMS'!$C$42+'Bilan 2033 AMS'!$C$43</f>
        <v>383.19054693003829</v>
      </c>
      <c r="I4" s="204">
        <f>'Bilan 2035 AMS'!$C$33+'Bilan 2035 AMS'!$C$42+'Bilan 2035 AMS'!$C$43</f>
        <v>323.59828272843856</v>
      </c>
      <c r="J4" s="204">
        <f>'Bilan 2038 AMS'!$C$33+'Bilan 2038 AMS'!$C$42+'Bilan 2038 AMS'!$C$43</f>
        <v>229.08672561834555</v>
      </c>
      <c r="K4" s="204">
        <f>'Bilan 2040 AMS'!$C$33+'Bilan 2040 AMS'!$C$42+'Bilan 2040 AMS'!$C$43</f>
        <v>167.26420765086681</v>
      </c>
      <c r="L4" s="204">
        <f>'Bilan 2045 AMS'!$C$33+'Bilan 2045 AMS'!$C$42+'Bilan 2045 AMS'!$C$43</f>
        <v>81.836412298438418</v>
      </c>
      <c r="M4" s="204">
        <f>'Bilan 2050 AMS'!$C$33+'Bilan 2050 AMS'!$C$42+'Bilan 2050 AMS'!$C$43</f>
        <v>61.715744772913638</v>
      </c>
      <c r="N4" s="575"/>
      <c r="O4" s="575"/>
      <c r="P4" s="575"/>
      <c r="Q4" s="572" t="s">
        <v>266</v>
      </c>
      <c r="R4" s="205">
        <f t="shared" ref="R4:AC5" si="13">B4</f>
        <v>69.568999999999988</v>
      </c>
      <c r="S4" s="205">
        <f t="shared" si="13"/>
        <v>677.54700206716939</v>
      </c>
      <c r="T4" s="205">
        <f t="shared" si="13"/>
        <v>640.89957512413184</v>
      </c>
      <c r="U4" s="205">
        <f t="shared" si="13"/>
        <v>614.95615909151365</v>
      </c>
      <c r="V4" s="205">
        <f t="shared" si="13"/>
        <v>529.60472361096799</v>
      </c>
      <c r="W4" s="205">
        <f t="shared" si="13"/>
        <v>473.36113557834653</v>
      </c>
      <c r="X4" s="205">
        <f t="shared" si="13"/>
        <v>383.19054693003829</v>
      </c>
      <c r="Y4" s="205">
        <f t="shared" si="13"/>
        <v>323.59828272843856</v>
      </c>
      <c r="Z4" s="205">
        <f t="shared" si="13"/>
        <v>229.08672561834555</v>
      </c>
      <c r="AA4" s="205">
        <f t="shared" si="13"/>
        <v>167.26420765086681</v>
      </c>
      <c r="AB4" s="205">
        <f t="shared" si="13"/>
        <v>81.836412298438418</v>
      </c>
      <c r="AC4" s="205">
        <f t="shared" si="13"/>
        <v>61.715744772913638</v>
      </c>
      <c r="AD4" s="193">
        <f>2201</f>
        <v>2201</v>
      </c>
      <c r="AE4" s="205" t="s">
        <v>266</v>
      </c>
      <c r="AF4" s="205">
        <f>'Bilan 2015'!$G$42+'Bilan 2015'!$G$43-'Bilan 2015'!$E$54+'Bilan 2015'!$G$33*(1-SUM('Bilan 2015'!$K$26:$P$34)/'Bilan 2015'!$H$30)-AF6</f>
        <v>39.420342364971383</v>
      </c>
      <c r="AG4" s="205">
        <f>'Bilan 2020'!$G$42+'Bilan 2020'!$G$43-'Bilan 2020'!$E$54+'Bilan 2020'!$G$33*(1-SUM('Bilan 2020'!$K$26:$P$34)/'Bilan 2020'!$H$30)-AG6</f>
        <v>384.22736021040407</v>
      </c>
      <c r="AH4" s="205">
        <f>'Bilan 2023 AMS'!$G$42+'Bilan 2023 AMS'!$G$43-'Bilan 2023 AMS'!$E$54+'Bilan 2023 AMS'!$G$33*(1-SUM('Bilan 2023 AMS'!$K$26:$P$34)/'Bilan 2023 AMS'!$H$30)-AH6</f>
        <v>390.45637499935469</v>
      </c>
      <c r="AI4" s="205">
        <f>'Bilan 2025 AMS'!$G$42+'Bilan 2025 AMS'!$G$43-'Bilan 2025 AMS'!$E$54+'Bilan 2025 AMS'!$G$33*(1-SUM('Bilan 2025 AMS'!$K$26:$P$34)/'Bilan 2025 AMS'!$H$30)-AI6</f>
        <v>390.3284905257533</v>
      </c>
      <c r="AJ4" s="205">
        <f>'Bilan 2028 AMS'!$G$42+'Bilan 2028 AMS'!$G$43-'Bilan 2028 AMS'!$E$54+'Bilan 2028 AMS'!$G$33*(1-SUM('Bilan 2028 AMS'!$K$26:$P$34)/'Bilan 2028 AMS'!$H$30)-AJ6</f>
        <v>335.93998919996591</v>
      </c>
      <c r="AK4" s="205">
        <f>'Bilan 2030 AMS'!$G$42+'Bilan 2030 AMS'!$G$43-'Bilan 2030 AMS'!$E$54+'Bilan 2030 AMS'!$G$33*(1-SUM('Bilan 2030 AMS'!$K$26:$P$34)/'Bilan 2030 AMS'!$H$30)-AK6</f>
        <v>299.68098831610797</v>
      </c>
      <c r="AL4" s="205">
        <f>'Bilan 2033 AMS'!$G$42+'Bilan 2033 AMS'!$G$43-'Bilan 2033 AMS'!$E$54+'Bilan 2033 AMS'!$G$33*(1-SUM('Bilan 2033 AMS'!$K$26:$P$34)/'Bilan 2033 AMS'!$H$30)-AL6</f>
        <v>230.06398718142975</v>
      </c>
      <c r="AM4" s="205">
        <f>'Bilan 2035 AMS'!$G$42+'Bilan 2035 AMS'!$G$43-'Bilan 2035 AMS'!$E$54+'Bilan 2035 AMS'!$G$33*(1-SUM('Bilan 2035 AMS'!$K$26:$P$34)/'Bilan 2035 AMS'!$H$30)-AM6</f>
        <v>183.65265309164434</v>
      </c>
      <c r="AN4" s="205">
        <f>'Bilan 2038 AMS'!$G$42+'Bilan 2038 AMS'!$G$43-'Bilan 2038 AMS'!$E$54+'Bilan 2038 AMS'!$G$33*(1-SUM('Bilan 2038 AMS'!$K$26:$P$34)/'Bilan 2038 AMS'!$H$30)-AN6</f>
        <v>110.91379205811306</v>
      </c>
      <c r="AO4" s="205">
        <f>'Bilan 2040 AMS'!$G$42+'Bilan 2040 AMS'!$G$43-'Bilan 2040 AMS'!$E$54+'Bilan 2040 AMS'!$G$33*(1-SUM('Bilan 2040 AMS'!$K$26:$P$34)/'Bilan 2040 AMS'!$H$30)-AO6</f>
        <v>62.421218035758812</v>
      </c>
      <c r="AP4" s="205">
        <f>'Bilan 2045 AMS'!$G$42+'Bilan 2045 AMS'!$G$43-'Bilan 2045 AMS'!$E$54+'Bilan 2045 AMS'!$G$33*(1-SUM('Bilan 2045 AMS'!$K$26:$P$34)/'Bilan 2045 AMS'!$H$30)-AP6</f>
        <v>5.1934680094593784</v>
      </c>
      <c r="AQ4" s="205">
        <f>'Bilan 2050 AMS'!$G$42+'Bilan 2050 AMS'!$G$43-'Bilan 2050 AMS'!$E$54+'Bilan 2050 AMS'!$G$33*(1-SUM('Bilan 2050 AMS'!$K$26:$P$34)/'Bilan 2050 AMS'!$H$30)-AQ6</f>
        <v>2.0327553633446698</v>
      </c>
      <c r="AR4" s="206"/>
      <c r="AS4" s="205" t="s">
        <v>453</v>
      </c>
      <c r="AT4" s="205">
        <f>'Bilan 2015'!$G$42+'Bilan 2015'!$G$43-'Bilan 2015'!$E$54+'Bilan 2015'!$G$33*(1-SUM('Bilan 2015'!$K$26:$P$34)/'Bilan 2015'!$H$30)+'Bilan 2015'!$E$54-AT6</f>
        <v>51.873342364971379</v>
      </c>
      <c r="AU4" s="205">
        <f>'Bilan 2020'!$G$42+'Bilan 2020'!$G$43-'Bilan 2020'!$E$54+'Bilan 2020'!$G$33*(1-SUM('Bilan 2020'!$K$26:$P$34)/'Bilan 2020'!$H$30)+'Bilan 2020'!$E$54-AU6</f>
        <v>514.7114796319521</v>
      </c>
      <c r="AV4" s="205">
        <f>'Bilan 2023 AMS'!$G$42+'Bilan 2023 AMS'!$G$43-'Bilan 2023 AMS'!$E$54+'Bilan 2023 AMS'!$G$33*(1-SUM('Bilan 2023 AMS'!$K$26:$P$34)/'Bilan 2023 AMS'!$H$30)+'Bilan 2023 AMS'!$E$54-AV6</f>
        <v>516.42892312908248</v>
      </c>
      <c r="AW4" s="205">
        <f>'Bilan 2025 AMS'!$G$42+'Bilan 2025 AMS'!$G$43-'Bilan 2025 AMS'!$E$54+'Bilan 2025 AMS'!$G$33*(1-SUM('Bilan 2025 AMS'!$K$26:$P$34)/'Bilan 2025 AMS'!$H$30)+'Bilan 2025 AMS'!$E$54-AW6</f>
        <v>503.54791831715056</v>
      </c>
      <c r="AX4" s="205">
        <f>'Bilan 2028 AMS'!$G$42+'Bilan 2028 AMS'!$G$43-'Bilan 2028 AMS'!$E$54+'Bilan 2028 AMS'!$G$33*(1-SUM('Bilan 2028 AMS'!$K$26:$P$34)/'Bilan 2028 AMS'!$H$30)+'Bilan 2028 AMS'!$E$54-AX6</f>
        <v>438.20809372795469</v>
      </c>
      <c r="AY4" s="205">
        <f>'Bilan 2030 AMS'!$G$42+'Bilan 2030 AMS'!$G$43-'Bilan 2030 AMS'!$E$54+'Bilan 2030 AMS'!$G$33*(1-SUM('Bilan 2030 AMS'!$K$26:$P$34)/'Bilan 2030 AMS'!$H$30)+'Bilan 2030 AMS'!$E$54-AY6</f>
        <v>395.0052487030913</v>
      </c>
      <c r="AZ4" s="205">
        <f>'Bilan 2033 AMS'!$G$42+'Bilan 2033 AMS'!$G$43-'Bilan 2033 AMS'!$E$54+'Bilan 2033 AMS'!$G$33*(1-SUM('Bilan 2033 AMS'!$K$26:$P$34)/'Bilan 2033 AMS'!$H$30)+'Bilan 2033 AMS'!$E$54-AZ6</f>
        <v>314.96529216417855</v>
      </c>
      <c r="BA4" s="205">
        <f>'Bilan 2035 AMS'!$G$42+'Bilan 2035 AMS'!$G$43-'Bilan 2035 AMS'!$E$54+'Bilan 2035 AMS'!$G$33*(1-SUM('Bilan 2035 AMS'!$K$26:$P$34)/'Bilan 2035 AMS'!$H$30)+'Bilan 2035 AMS'!$E$54-BA6</f>
        <v>261.96378889474215</v>
      </c>
      <c r="BB4" s="205">
        <f>'Bilan 2038 AMS'!$G$42+'Bilan 2038 AMS'!$G$43-'Bilan 2038 AMS'!$E$54+'Bilan 2038 AMS'!$G$33*(1-SUM('Bilan 2038 AMS'!$K$26:$P$34)/'Bilan 2038 AMS'!$H$30)+'Bilan 2038 AMS'!$E$54-BB6</f>
        <v>180.08216236372891</v>
      </c>
      <c r="BC4" s="205">
        <f>'Bilan 2040 AMS'!$G$42+'Bilan 2040 AMS'!$G$43-'Bilan 2040 AMS'!$E$54+'Bilan 2040 AMS'!$G$33*(1-SUM('Bilan 2040 AMS'!$K$26:$P$34)/'Bilan 2040 AMS'!$H$30)+'Bilan 2040 AMS'!$E$54-BC6</f>
        <v>125.87483917765897</v>
      </c>
      <c r="BD4" s="205">
        <f>'Bilan 2045 AMS'!$G$42+'Bilan 2045 AMS'!$G$43-'Bilan 2045 AMS'!$E$54+'Bilan 2045 AMS'!$G$33*(1-SUM('Bilan 2045 AMS'!$K$26:$P$34)/'Bilan 2045 AMS'!$H$30)+'Bilan 2045 AMS'!$E$54-BD6</f>
        <v>55.83864641167046</v>
      </c>
      <c r="BE4" s="205">
        <f>'Bilan 2050 AMS'!$G$42+'Bilan 2050 AMS'!$G$43-'Bilan 2050 AMS'!$E$54+'Bilan 2050 AMS'!$G$33*(1-SUM('Bilan 2050 AMS'!$K$26:$P$34)/'Bilan 2050 AMS'!$H$30)+'Bilan 2050 AMS'!$E$54-BE6</f>
        <v>41.881562453356402</v>
      </c>
      <c r="BF4" s="216"/>
      <c r="BG4" s="205" t="s">
        <v>453</v>
      </c>
      <c r="BH4" s="202">
        <f t="shared" ref="BH4:BS7" si="14">IF(AT4&gt;0,BV6/AT4,0)</f>
        <v>2.9219869091767195E-4</v>
      </c>
      <c r="BI4" s="202">
        <f t="shared" si="14"/>
        <v>4.513078113205249E-5</v>
      </c>
      <c r="BJ4" s="202">
        <f t="shared" si="14"/>
        <v>1.500000065900142E-5</v>
      </c>
      <c r="BK4" s="202">
        <f t="shared" si="14"/>
        <v>0</v>
      </c>
      <c r="BL4" s="202">
        <f t="shared" si="14"/>
        <v>0</v>
      </c>
      <c r="BM4" s="202">
        <f t="shared" si="14"/>
        <v>0</v>
      </c>
      <c r="BN4" s="202">
        <f t="shared" si="14"/>
        <v>0</v>
      </c>
      <c r="BO4" s="202">
        <f t="shared" si="14"/>
        <v>0</v>
      </c>
      <c r="BP4" s="202">
        <f t="shared" si="14"/>
        <v>0</v>
      </c>
      <c r="BQ4" s="202">
        <f t="shared" si="14"/>
        <v>0</v>
      </c>
      <c r="BR4" s="202">
        <f t="shared" si="14"/>
        <v>0</v>
      </c>
      <c r="BS4" s="202">
        <f t="shared" si="14"/>
        <v>0</v>
      </c>
      <c r="BU4" s="205" t="s">
        <v>453</v>
      </c>
      <c r="BV4" s="208">
        <f>'Bilan 2015'!$E$42</f>
        <v>2.2449999999999992</v>
      </c>
      <c r="BW4" s="208">
        <f>'Bilan 2020'!$E$42</f>
        <v>14.083438439441963</v>
      </c>
      <c r="BX4" s="208">
        <f>'Bilan 2023 AMS'!$E$42</f>
        <v>28.34245328539324</v>
      </c>
      <c r="BY4" s="208">
        <f>'Bilan 2025 AMS'!$E$42</f>
        <v>30.854076074968333</v>
      </c>
      <c r="BZ4" s="208">
        <f>'Bilan 2028 AMS'!$E$42</f>
        <v>29.400256271028592</v>
      </c>
      <c r="CA4" s="208">
        <f>'Bilan 2030 AMS'!$E$42</f>
        <v>28.431043068402097</v>
      </c>
      <c r="CB4" s="208">
        <f>'Bilan 2033 AMS'!$E$42</f>
        <v>26.973109114538985</v>
      </c>
      <c r="CC4" s="208">
        <f>'Bilan 2035 AMS'!$E$42</f>
        <v>26.001153145296957</v>
      </c>
      <c r="CD4" s="208">
        <f>'Bilan 2038 AMS'!$E$42</f>
        <v>24.555012261242041</v>
      </c>
      <c r="CE4" s="208">
        <f>'Bilan 2040 AMS'!$E$42</f>
        <v>23.590918338538749</v>
      </c>
      <c r="CF4" s="208">
        <f>'Bilan 2045 AMS'!$E$42</f>
        <v>21.202560799752316</v>
      </c>
      <c r="CG4" s="208">
        <f>'Bilan 2050 AMS'!$E$42</f>
        <v>18.838475262055908</v>
      </c>
      <c r="CH4" s="206"/>
      <c r="CJ4" s="205" t="s">
        <v>453</v>
      </c>
      <c r="CK4" s="202">
        <f t="shared" ref="CK4:CV7" si="15">IF(AT4&gt;0,DA4/AT4,0)</f>
        <v>0</v>
      </c>
      <c r="CL4" s="202">
        <f t="shared" si="15"/>
        <v>0</v>
      </c>
      <c r="CM4" s="202">
        <f t="shared" si="15"/>
        <v>0</v>
      </c>
      <c r="CN4" s="202">
        <f t="shared" si="15"/>
        <v>0</v>
      </c>
      <c r="CO4" s="202">
        <f t="shared" si="15"/>
        <v>0</v>
      </c>
      <c r="CP4" s="202">
        <f t="shared" si="15"/>
        <v>0</v>
      </c>
      <c r="CQ4" s="202">
        <f t="shared" si="15"/>
        <v>0</v>
      </c>
      <c r="CR4" s="202">
        <f t="shared" si="15"/>
        <v>0</v>
      </c>
      <c r="CS4" s="202">
        <f t="shared" si="15"/>
        <v>0</v>
      </c>
      <c r="CT4" s="202">
        <f t="shared" si="15"/>
        <v>0</v>
      </c>
      <c r="CU4" s="202">
        <f t="shared" si="15"/>
        <v>0</v>
      </c>
      <c r="CV4" s="202">
        <f t="shared" si="15"/>
        <v>0</v>
      </c>
      <c r="CW4" s="206"/>
      <c r="CX4" s="193">
        <f>2201</f>
        <v>2201</v>
      </c>
      <c r="CY4" s="205" t="s">
        <v>453</v>
      </c>
      <c r="CZ4" s="213" t="s">
        <v>267</v>
      </c>
      <c r="DA4" s="202">
        <f t="shared" ref="DA4:DL5" si="16">DK4</f>
        <v>0</v>
      </c>
      <c r="DB4" s="202">
        <f t="shared" si="16"/>
        <v>0</v>
      </c>
      <c r="DC4" s="202">
        <f t="shared" ref="DC4:DC5" si="17">DM4</f>
        <v>0</v>
      </c>
      <c r="DD4" s="202">
        <f t="shared" ref="DD4:DD5" si="18">DN4</f>
        <v>0</v>
      </c>
      <c r="DE4" s="202">
        <f t="shared" ref="DE4:DE5" si="19">DO4</f>
        <v>0</v>
      </c>
      <c r="DF4" s="202">
        <f t="shared" ref="DF4:DF5" si="20">DP4</f>
        <v>0</v>
      </c>
      <c r="DG4" s="202">
        <f t="shared" ref="DG4:DG5" si="21">DQ4</f>
        <v>0</v>
      </c>
      <c r="DH4" s="202">
        <f t="shared" ref="DH4:DH5" si="22">DR4</f>
        <v>0</v>
      </c>
      <c r="DI4" s="202">
        <f t="shared" ref="DI4:DI5" si="23">DS4</f>
        <v>0</v>
      </c>
      <c r="DJ4" s="202">
        <f t="shared" ref="DJ4:DJ5" si="24">DT4</f>
        <v>0</v>
      </c>
      <c r="DK4" s="202">
        <f t="shared" ref="DK4:DK5" si="25">DU4</f>
        <v>0</v>
      </c>
      <c r="DL4" s="202">
        <f t="shared" si="16"/>
        <v>0</v>
      </c>
    </row>
    <row r="5" spans="1:116" ht="14.5">
      <c r="A5" s="203" t="s">
        <v>268</v>
      </c>
      <c r="B5" s="205">
        <f>'Bilan 2015'!$C$41</f>
        <v>3.1058667265534057</v>
      </c>
      <c r="C5" s="205">
        <f>'Bilan 2020'!$C$41</f>
        <v>33.731429517545166</v>
      </c>
      <c r="D5" s="205">
        <f>'Bilan 2023 AMS'!$C$41</f>
        <v>44.317394482764307</v>
      </c>
      <c r="E5" s="205">
        <f>'Bilan 2025 AMS'!$C$41</f>
        <v>48.499574726885456</v>
      </c>
      <c r="F5" s="205">
        <f>'Bilan 2028 AMS'!$C$41</f>
        <v>54.219918614322069</v>
      </c>
      <c r="G5" s="205">
        <f>'Bilan 2030 AMS'!$C$41</f>
        <v>57.681018334440587</v>
      </c>
      <c r="H5" s="205">
        <f>'Bilan 2033 AMS'!$C$41</f>
        <v>80.280320504964067</v>
      </c>
      <c r="I5" s="205">
        <f>'Bilan 2035 AMS'!$C$41</f>
        <v>95.012899286749615</v>
      </c>
      <c r="J5" s="205">
        <f>'Bilan 2038 AMS'!$C$41</f>
        <v>124.98466317741159</v>
      </c>
      <c r="K5" s="205">
        <f>'Bilan 2040 AMS'!$C$41</f>
        <v>143.97598201570864</v>
      </c>
      <c r="L5" s="205">
        <f>'Bilan 2045 AMS'!$C$41</f>
        <v>139.292037015434</v>
      </c>
      <c r="M5" s="205">
        <f>'Bilan 2050 AMS'!$C$41</f>
        <v>135.2499271077379</v>
      </c>
      <c r="N5" s="576"/>
      <c r="O5" s="576"/>
      <c r="P5" s="576"/>
      <c r="Q5" s="572" t="s">
        <v>268</v>
      </c>
      <c r="R5" s="205">
        <f t="shared" si="13"/>
        <v>3.1058667265534057</v>
      </c>
      <c r="S5" s="205">
        <f t="shared" si="13"/>
        <v>33.731429517545166</v>
      </c>
      <c r="T5" s="205">
        <f t="shared" si="13"/>
        <v>44.317394482764307</v>
      </c>
      <c r="U5" s="205">
        <f t="shared" si="13"/>
        <v>48.499574726885456</v>
      </c>
      <c r="V5" s="205">
        <f t="shared" si="13"/>
        <v>54.219918614322069</v>
      </c>
      <c r="W5" s="205">
        <f t="shared" si="13"/>
        <v>57.681018334440587</v>
      </c>
      <c r="X5" s="205">
        <f t="shared" si="13"/>
        <v>80.280320504964067</v>
      </c>
      <c r="Y5" s="205">
        <f t="shared" si="13"/>
        <v>95.012899286749615</v>
      </c>
      <c r="Z5" s="205">
        <f t="shared" si="13"/>
        <v>124.98466317741159</v>
      </c>
      <c r="AA5" s="205">
        <f t="shared" si="13"/>
        <v>143.97598201570864</v>
      </c>
      <c r="AB5" s="205">
        <f t="shared" si="13"/>
        <v>139.292037015434</v>
      </c>
      <c r="AC5" s="205">
        <f t="shared" si="13"/>
        <v>135.2499271077379</v>
      </c>
      <c r="AD5" s="193">
        <f>AD4+1</f>
        <v>2202</v>
      </c>
      <c r="AE5" s="205" t="s">
        <v>268</v>
      </c>
      <c r="AF5" s="205">
        <f>'Bilan 2015'!$G$41-'Bilan 2015'!$E$56-'Bilan 2015'!$L$41-AF7</f>
        <v>2.9416417890777744</v>
      </c>
      <c r="AG5" s="205">
        <f>'Bilan 2020'!$G$41-'Bilan 2020'!$E$56-'Bilan 2020'!$L$41-AG7</f>
        <v>30.751352031352695</v>
      </c>
      <c r="AH5" s="205">
        <f>'Bilan 2023 AMS'!$G$41-'Bilan 2023 AMS'!$E$56-'Bilan 2023 AMS'!$L$41-AH7</f>
        <v>38.392031856976971</v>
      </c>
      <c r="AI5" s="205">
        <f>'Bilan 2025 AMS'!$G$41-'Bilan 2025 AMS'!$E$56-'Bilan 2025 AMS'!$L$41-AI7</f>
        <v>41.20594896825353</v>
      </c>
      <c r="AJ5" s="205">
        <f>'Bilan 2028 AMS'!$G$41-'Bilan 2028 AMS'!$E$56-'Bilan 2028 AMS'!$L$41-AJ7</f>
        <v>40.886803280175769</v>
      </c>
      <c r="AK5" s="205">
        <f>'Bilan 2030 AMS'!$G$41-'Bilan 2030 AMS'!$E$56-'Bilan 2030 AMS'!$L$41-AK7</f>
        <v>40.674039488123945</v>
      </c>
      <c r="AL5" s="205">
        <f>'Bilan 2033 AMS'!$G$41-'Bilan 2033 AMS'!$E$56-'Bilan 2033 AMS'!$L$41-AL7</f>
        <v>48.207510516229334</v>
      </c>
      <c r="AM5" s="205">
        <f>'Bilan 2035 AMS'!$G$41-'Bilan 2035 AMS'!$E$56-'Bilan 2035 AMS'!$L$41-AM7</f>
        <v>53.229824534966269</v>
      </c>
      <c r="AN5" s="205">
        <f>'Bilan 2038 AMS'!$G$41-'Bilan 2038 AMS'!$E$56-'Bilan 2038 AMS'!$L$41-AN7</f>
        <v>64.247742973737701</v>
      </c>
      <c r="AO5" s="205">
        <f>'Bilan 2040 AMS'!$G$41-'Bilan 2040 AMS'!$E$56-'Bilan 2040 AMS'!$L$41-AO7</f>
        <v>71.593021932918646</v>
      </c>
      <c r="AP5" s="205">
        <f>'Bilan 2045 AMS'!$G$41-'Bilan 2045 AMS'!$E$56-'Bilan 2045 AMS'!$L$41-AP7</f>
        <v>52.900776406618846</v>
      </c>
      <c r="AQ5" s="205">
        <f>'Bilan 2050 AMS'!$G$41-'Bilan 2050 AMS'!$E$56-'Bilan 2050 AMS'!$L$41-AQ7</f>
        <v>14.232306217999419</v>
      </c>
      <c r="AR5" s="206"/>
      <c r="AS5" s="205" t="s">
        <v>268</v>
      </c>
      <c r="AT5" s="205">
        <f>'Bilan 2015'!$G$41-'Bilan 2015'!$E$56-'Bilan 2015'!$L$41+'Bilan 2015'!$E$56-AT7</f>
        <v>2.9416417890777744</v>
      </c>
      <c r="AU5" s="205">
        <f>'Bilan 2020'!$G$41-'Bilan 2020'!$E$56-'Bilan 2020'!$L$41+'Bilan 2020'!$E$56-AU7</f>
        <v>30.751352031352695</v>
      </c>
      <c r="AV5" s="205">
        <f>'Bilan 2023 AMS'!$G$41-'Bilan 2023 AMS'!$E$56-'Bilan 2023 AMS'!$L$41+'Bilan 2023 AMS'!$E$56-AV7</f>
        <v>42.801239333769779</v>
      </c>
      <c r="AW5" s="205">
        <f>'Bilan 2025 AMS'!$G$41-'Bilan 2025 AMS'!$E$56-'Bilan 2025 AMS'!$L$41+'Bilan 2025 AMS'!$E$56-AW7</f>
        <v>47.221185797060734</v>
      </c>
      <c r="AX5" s="205">
        <f>'Bilan 2028 AMS'!$G$41-'Bilan 2028 AMS'!$E$56-'Bilan 2028 AMS'!$L$41+'Bilan 2028 AMS'!$E$56-AX7</f>
        <v>49.196675112759493</v>
      </c>
      <c r="AY5" s="205">
        <f>'Bilan 2030 AMS'!$G$41-'Bilan 2030 AMS'!$E$56-'Bilan 2030 AMS'!$L$41+'Bilan 2030 AMS'!$E$56-AY7</f>
        <v>50.249225456496816</v>
      </c>
      <c r="AZ5" s="205">
        <f>'Bilan 2033 AMS'!$G$41-'Bilan 2033 AMS'!$E$56-'Bilan 2033 AMS'!$L$41+'Bilan 2033 AMS'!$E$56-AZ7</f>
        <v>61.87702550430555</v>
      </c>
      <c r="BA5" s="205">
        <f>'Bilan 2035 AMS'!$G$41-'Bilan 2035 AMS'!$E$56-'Bilan 2035 AMS'!$L$41+'Bilan 2035 AMS'!$E$56-BA7</f>
        <v>69.45344477844931</v>
      </c>
      <c r="BB5" s="205">
        <f>'Bilan 2038 AMS'!$G$41-'Bilan 2038 AMS'!$E$56-'Bilan 2038 AMS'!$L$41+'Bilan 2038 AMS'!$E$56-BB7</f>
        <v>84.030875332591535</v>
      </c>
      <c r="BC5" s="205">
        <f>'Bilan 2040 AMS'!$G$41-'Bilan 2040 AMS'!$E$56-'Bilan 2040 AMS'!$L$41+'Bilan 2040 AMS'!$E$56-BC7</f>
        <v>93.571095120406767</v>
      </c>
      <c r="BD5" s="205">
        <f>'Bilan 2045 AMS'!$G$41-'Bilan 2045 AMS'!$E$56-'Bilan 2045 AMS'!$L$41+'Bilan 2045 AMS'!$E$56-BD7</f>
        <v>79.632970532761604</v>
      </c>
      <c r="BE5" s="205">
        <f>'Bilan 2050 AMS'!$G$41-'Bilan 2050 AMS'!$E$56-'Bilan 2050 AMS'!$L$41+'Bilan 2050 AMS'!$E$56-BE7</f>
        <v>44.528108384303906</v>
      </c>
      <c r="BF5" s="216"/>
      <c r="BG5" s="205" t="s">
        <v>268</v>
      </c>
      <c r="BH5" s="202">
        <f t="shared" si="14"/>
        <v>0</v>
      </c>
      <c r="BI5" s="202">
        <f t="shared" si="14"/>
        <v>0</v>
      </c>
      <c r="BJ5" s="202">
        <f t="shared" si="14"/>
        <v>3.0675934150748339E-5</v>
      </c>
      <c r="BK5" s="202">
        <f t="shared" si="14"/>
        <v>4.8214229622846409E-5</v>
      </c>
      <c r="BL5" s="202">
        <f t="shared" si="14"/>
        <v>8.6803482329911058E-4</v>
      </c>
      <c r="BM5" s="202">
        <f t="shared" si="14"/>
        <v>1.6278130758918055E-3</v>
      </c>
      <c r="BN5" s="202">
        <f t="shared" si="14"/>
        <v>5.0049693863142512E-3</v>
      </c>
      <c r="BO5" s="202">
        <f t="shared" si="14"/>
        <v>6.7424878214996393E-3</v>
      </c>
      <c r="BP5" s="202">
        <f t="shared" si="14"/>
        <v>1.4517086088814543E-2</v>
      </c>
      <c r="BQ5" s="202">
        <f t="shared" si="14"/>
        <v>1.8502627644219317E-2</v>
      </c>
      <c r="BR5" s="202">
        <f t="shared" si="14"/>
        <v>4.1443726831036476E-2</v>
      </c>
      <c r="BS5" s="202">
        <f t="shared" si="14"/>
        <v>0.28301557224870633</v>
      </c>
      <c r="BU5" s="205" t="s">
        <v>268</v>
      </c>
      <c r="BV5" s="214">
        <f>'Bilan 2015'!$E$41*'Bilan 2015'!$X$41/SUM('Bilan 2015'!$T6:CH$41)</f>
        <v>0</v>
      </c>
      <c r="BW5" s="214">
        <f>'Bilan 2020'!$E$41*'Bilan 2020'!$X$41/SUM('Bilan 2020'!$T6:CI$41)</f>
        <v>0</v>
      </c>
      <c r="BX5" s="214">
        <f>'Bilan 2023 AMS'!$E$41*'Bilan 2023 AMS'!$X$41/SUM('Bilan 2023 AMS'!$T$41:$X$41)</f>
        <v>1.5520548878495138E-2</v>
      </c>
      <c r="BY5" s="214">
        <f>'Bilan 2025 AMS'!$E$41*'Bilan 2025 AMS'!$X$41/SUM('Bilan 2025 AMS'!$T$41:$X$41)</f>
        <v>2.5779128368031222E-2</v>
      </c>
      <c r="BZ5" s="214">
        <f>'Bilan 2028 AMS'!$E$41*'Bilan 2028 AMS'!$X$41/SUM('Bilan 2028 AMS'!$T$41:$X$41)</f>
        <v>0.33476336346638147</v>
      </c>
      <c r="CA5" s="214">
        <f>'Bilan 2030 AMS'!$E$41*'Bilan 2030 AMS'!$X$41/SUM('Bilan 2030 AMS'!$T$41:$X$41)</f>
        <v>0.52861273053105184</v>
      </c>
      <c r="CB5" s="214">
        <f>'Bilan 2033 AMS'!$E$41*'Bilan 2033 AMS'!$X$41/SUM('Bilan 2033 AMS'!$T$41:$X$41)</f>
        <v>1.7986168646231946</v>
      </c>
      <c r="CC5" s="214">
        <f>'Bilan 2035 AMS'!$E$41*'Bilan 2035 AMS'!$X$41/SUM('Bilan 2035 AMS'!$T$41:$X$41)</f>
        <v>2.6386207482124431</v>
      </c>
      <c r="CD5" s="214">
        <f>'Bilan 2038 AMS'!$E$41*'Bilan 2038 AMS'!$X$41/SUM('Bilan 2038 AMS'!$T$41:$X$41)</f>
        <v>5.1862994821392627</v>
      </c>
      <c r="CE5" s="214">
        <f>'Bilan 2040 AMS'!$E$41*'Bilan 2040 AMS'!$X$41/SUM('Bilan 2040 AMS'!$T$41:$X$41)</f>
        <v>6.8743872552986272</v>
      </c>
      <c r="CF5" s="214">
        <f>'Bilan 2045 AMS'!$E$41*'Bilan 2045 AMS'!$X$41/SUM('Bilan 2045 AMS'!$T$41:$X$41)</f>
        <v>7.8762364230671906</v>
      </c>
      <c r="CG5" s="214">
        <f>'Bilan 2050 AMS'!$E$41*'Bilan 2050 AMS'!$X$41/SUM('Bilan 2050 AMS'!$T$41:$X$41)</f>
        <v>9.6773558520693719</v>
      </c>
      <c r="CH5" s="206"/>
      <c r="CJ5" s="205" t="s">
        <v>268</v>
      </c>
      <c r="CK5" s="202">
        <f t="shared" si="15"/>
        <v>0</v>
      </c>
      <c r="CL5" s="202">
        <f t="shared" si="15"/>
        <v>0</v>
      </c>
      <c r="CM5" s="202">
        <f t="shared" si="15"/>
        <v>0</v>
      </c>
      <c r="CN5" s="202">
        <f t="shared" si="15"/>
        <v>0</v>
      </c>
      <c r="CO5" s="202">
        <f t="shared" si="15"/>
        <v>0</v>
      </c>
      <c r="CP5" s="202">
        <f t="shared" si="15"/>
        <v>0</v>
      </c>
      <c r="CQ5" s="202">
        <f t="shared" si="15"/>
        <v>0</v>
      </c>
      <c r="CR5" s="202">
        <f t="shared" si="15"/>
        <v>0</v>
      </c>
      <c r="CS5" s="202">
        <f t="shared" si="15"/>
        <v>0</v>
      </c>
      <c r="CT5" s="202">
        <f t="shared" si="15"/>
        <v>0</v>
      </c>
      <c r="CU5" s="202">
        <f t="shared" si="15"/>
        <v>0</v>
      </c>
      <c r="CV5" s="202">
        <f t="shared" si="15"/>
        <v>0</v>
      </c>
      <c r="CW5" s="206"/>
      <c r="CX5" s="193">
        <f>CX4+1</f>
        <v>2202</v>
      </c>
      <c r="CY5" s="205" t="s">
        <v>268</v>
      </c>
      <c r="CZ5" s="207" t="s">
        <v>269</v>
      </c>
      <c r="DA5" s="202">
        <f t="shared" si="16"/>
        <v>0</v>
      </c>
      <c r="DB5" s="202">
        <f t="shared" si="16"/>
        <v>0</v>
      </c>
      <c r="DC5" s="202">
        <f t="shared" si="17"/>
        <v>0</v>
      </c>
      <c r="DD5" s="202">
        <f t="shared" si="18"/>
        <v>0</v>
      </c>
      <c r="DE5" s="202">
        <f t="shared" si="19"/>
        <v>0</v>
      </c>
      <c r="DF5" s="202">
        <f t="shared" si="20"/>
        <v>0</v>
      </c>
      <c r="DG5" s="202">
        <f t="shared" si="21"/>
        <v>0</v>
      </c>
      <c r="DH5" s="202">
        <f t="shared" si="22"/>
        <v>0</v>
      </c>
      <c r="DI5" s="202">
        <f t="shared" si="23"/>
        <v>0</v>
      </c>
      <c r="DJ5" s="202">
        <f t="shared" si="24"/>
        <v>0</v>
      </c>
      <c r="DK5" s="202">
        <f t="shared" si="25"/>
        <v>0</v>
      </c>
      <c r="DL5" s="202">
        <f t="shared" si="16"/>
        <v>0</v>
      </c>
    </row>
    <row r="6" spans="1:116" ht="14.5">
      <c r="A6" s="209" t="s">
        <v>270</v>
      </c>
      <c r="B6" s="210"/>
      <c r="C6" s="210"/>
      <c r="D6" s="578"/>
      <c r="E6" s="578"/>
      <c r="F6" s="578"/>
      <c r="G6" s="578"/>
      <c r="H6" s="578"/>
      <c r="I6" s="578"/>
      <c r="J6" s="578"/>
      <c r="K6" s="578"/>
      <c r="L6" s="578"/>
      <c r="M6" s="578"/>
      <c r="N6" s="575"/>
      <c r="O6" s="575"/>
      <c r="P6" s="575"/>
      <c r="Q6" s="572"/>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 AMS'!$T$43:$W$43)</f>
        <v>96.115325658331443</v>
      </c>
      <c r="AI6" s="205">
        <f>SUM('Bilan 2025 AMS'!$T$43:$W$43)</f>
        <v>80.554164699394761</v>
      </c>
      <c r="AJ6" s="205">
        <f>SUM('Bilan 2028 AMS'!$T$43:$W$43)</f>
        <v>61.996373611984801</v>
      </c>
      <c r="AK6" s="205">
        <f>SUM('Bilan 2030 AMS'!$T$43:$W$43)</f>
        <v>49.924843806853097</v>
      </c>
      <c r="AL6" s="205">
        <f>SUM('Bilan 2033 AMS'!$T$43:$W$43)</f>
        <v>41.252145651320816</v>
      </c>
      <c r="AM6" s="205">
        <f>SUM('Bilan 2035 AMS'!$T$43:$W$43)</f>
        <v>35.633340688399443</v>
      </c>
      <c r="AN6" s="205">
        <f>SUM('Bilan 2038 AMS'!$T$43:$W$43)</f>
        <v>24.449550993374615</v>
      </c>
      <c r="AO6" s="205">
        <f>SUM('Bilan 2040 AMS'!$T$43:$W$43)</f>
        <v>17.798450134669078</v>
      </c>
      <c r="AP6" s="205">
        <f>SUM('Bilan 2045 AMS'!$T$43:$W$43)</f>
        <v>4.7952050870156402</v>
      </c>
      <c r="AQ6" s="205">
        <f>SUM('Bilan 2050 AMS'!$T$43:$W$43)</f>
        <v>0.9957070575013276</v>
      </c>
      <c r="AR6" s="206"/>
      <c r="AS6" s="205" t="s">
        <v>526</v>
      </c>
      <c r="AT6" s="205">
        <f>SUM('Bilan 2015'!$T$43:$W$43)</f>
        <v>15.418370516172601</v>
      </c>
      <c r="AU6" s="205">
        <f>SUM('Bilan 2020'!$T$43:$W$43)</f>
        <v>148.71414756648849</v>
      </c>
      <c r="AV6" s="205">
        <f>SUM('Bilan 2023 AMS'!$T$43:$W$43)</f>
        <v>96.115325658331443</v>
      </c>
      <c r="AW6" s="205">
        <f>SUM('Bilan 2025 AMS'!$T$43:$W$43)</f>
        <v>80.554164699394761</v>
      </c>
      <c r="AX6" s="205">
        <f>SUM('Bilan 2028 AMS'!$T$43:$W$43)</f>
        <v>61.996373611984801</v>
      </c>
      <c r="AY6" s="205">
        <f>SUM('Bilan 2030 AMS'!$T$43:$W$43)</f>
        <v>49.924843806853097</v>
      </c>
      <c r="AZ6" s="205">
        <f>SUM('Bilan 2033 AMS'!$T$43:$W$43)</f>
        <v>41.252145651320816</v>
      </c>
      <c r="BA6" s="205">
        <f>SUM('Bilan 2035 AMS'!$T$43:$W$43)</f>
        <v>35.633340688399443</v>
      </c>
      <c r="BB6" s="205">
        <f>SUM('Bilan 2038 AMS'!$T$43:$W$43)</f>
        <v>24.449550993374615</v>
      </c>
      <c r="BC6" s="205">
        <f>SUM('Bilan 2040 AMS'!$T$43:$W$43)</f>
        <v>17.798450134669078</v>
      </c>
      <c r="BD6" s="205">
        <f>SUM('Bilan 2045 AMS'!$T$43:$W$43)</f>
        <v>4.7952050870156402</v>
      </c>
      <c r="BE6" s="205">
        <f>SUM('Bilan 2050 AMS'!$T$43:$W$43)</f>
        <v>0.9957070575013276</v>
      </c>
      <c r="BF6" s="216"/>
      <c r="BG6" s="205" t="s">
        <v>454</v>
      </c>
      <c r="BH6" s="202">
        <f t="shared" si="14"/>
        <v>4.9893727722872194</v>
      </c>
      <c r="BI6" s="202">
        <f t="shared" si="14"/>
        <v>4.9248055910308661</v>
      </c>
      <c r="BJ6" s="202">
        <f t="shared" si="14"/>
        <v>7.4433339784692336</v>
      </c>
      <c r="BK6" s="202">
        <f t="shared" si="14"/>
        <v>8.8997854314450464</v>
      </c>
      <c r="BL6" s="202">
        <f t="shared" si="14"/>
        <v>11.123817816169485</v>
      </c>
      <c r="BM6" s="202">
        <f t="shared" si="14"/>
        <v>13.449882647836391</v>
      </c>
      <c r="BN6" s="202">
        <f t="shared" si="14"/>
        <v>16.055328148397855</v>
      </c>
      <c r="BO6" s="202">
        <f t="shared" si="14"/>
        <v>18.418270931331538</v>
      </c>
      <c r="BP6" s="202">
        <f t="shared" si="14"/>
        <v>26.957349629632759</v>
      </c>
      <c r="BQ6" s="202">
        <f t="shared" si="14"/>
        <v>37.140672785840856</v>
      </c>
      <c r="BR6" s="202">
        <f t="shared" si="14"/>
        <v>119.51026407631028</v>
      </c>
      <c r="BS6" s="202">
        <f t="shared" si="14"/>
        <v>498.69165616675383</v>
      </c>
      <c r="BU6" s="205" t="s">
        <v>454</v>
      </c>
      <c r="BV6" s="569">
        <f>'Bilan 2015'!$E$43+'Bilan 2015'!$E$33</f>
        <v>1.515732273256885E-2</v>
      </c>
      <c r="BW6" s="569">
        <f>'Bilan 2020'!$E$43+'Bilan 2020'!$E$33</f>
        <v>2.3229331133424524E-2</v>
      </c>
      <c r="BX6" s="569">
        <f>'Bilan 2023 AMS'!$E$43+'Bilan 2023 AMS'!$E$33</f>
        <v>7.7464341872636308E-3</v>
      </c>
      <c r="BY6" s="569">
        <f>'Bilan 2025 AMS'!$E$43+'Bilan 2025 AMS'!$E$33</f>
        <v>0</v>
      </c>
      <c r="BZ6" s="569">
        <f>'Bilan 2028 AMS'!$E$43+'Bilan 2028 AMS'!$E$33</f>
        <v>0</v>
      </c>
      <c r="CA6" s="569">
        <f>'Bilan 2030 AMS'!$E$43+'Bilan 2030 AMS'!$E$33</f>
        <v>0</v>
      </c>
      <c r="CB6" s="569">
        <f>'Bilan 2033 AMS'!$E$43+'Bilan 2033 AMS'!$E$33</f>
        <v>0</v>
      </c>
      <c r="CC6" s="569">
        <f>'Bilan 2035 AMS'!$E$43+'Bilan 2035 AMS'!$E$33</f>
        <v>0</v>
      </c>
      <c r="CD6" s="569">
        <f>'Bilan 2038 AMS'!$E$43+'Bilan 2038 AMS'!$E$33</f>
        <v>0</v>
      </c>
      <c r="CE6" s="569">
        <f>'Bilan 2040 AMS'!$E$43+'Bilan 2040 AMS'!$E$33</f>
        <v>0</v>
      </c>
      <c r="CF6" s="569">
        <f>'Bilan 2045 AMS'!$E$43+'Bilan 2045 AMS'!$E$33</f>
        <v>0</v>
      </c>
      <c r="CG6" s="569">
        <f>'Bilan 2050 AMS'!$E$43+'Bilan 2050 AMS'!$E$33</f>
        <v>0</v>
      </c>
      <c r="CH6" s="206"/>
      <c r="CJ6" s="205" t="s">
        <v>454</v>
      </c>
      <c r="CK6" s="202">
        <f t="shared" si="15"/>
        <v>7.4337027098697237E-4</v>
      </c>
      <c r="CL6" s="202">
        <f t="shared" si="15"/>
        <v>9.8895084255117119E-5</v>
      </c>
      <c r="CM6" s="202">
        <f t="shared" si="15"/>
        <v>5.3338186207281585E-5</v>
      </c>
      <c r="CN6" s="202">
        <f t="shared" si="15"/>
        <v>0</v>
      </c>
      <c r="CO6" s="202">
        <f t="shared" si="15"/>
        <v>0</v>
      </c>
      <c r="CP6" s="202">
        <f t="shared" si="15"/>
        <v>0</v>
      </c>
      <c r="CQ6" s="202">
        <f t="shared" si="15"/>
        <v>0</v>
      </c>
      <c r="CR6" s="202">
        <f t="shared" si="15"/>
        <v>0</v>
      </c>
      <c r="CS6" s="202">
        <f t="shared" si="15"/>
        <v>0</v>
      </c>
      <c r="CT6" s="202">
        <f t="shared" si="15"/>
        <v>0</v>
      </c>
      <c r="CU6" s="202">
        <f t="shared" si="15"/>
        <v>0</v>
      </c>
      <c r="CV6" s="202">
        <f t="shared" si="15"/>
        <v>0</v>
      </c>
      <c r="CW6" s="206"/>
      <c r="CY6" s="205" t="s">
        <v>454</v>
      </c>
      <c r="CZ6" s="207"/>
      <c r="DA6" s="202">
        <f>'Bilan 2015'!$K$30*'Bilan 2015'!$G$33/'Bilan 2015'!$H$30</f>
        <v>1.1461558268784771E-2</v>
      </c>
      <c r="DB6" s="202">
        <f>'Bilan 2020'!$K$30*'Bilan 2020'!$G$33/'Bilan 2020'!$H$30</f>
        <v>1.4707098153515799E-2</v>
      </c>
      <c r="DC6" s="202">
        <f>'Bilan 2023 AMS'!$K$30*'Bilan 2023 AMS'!$G$33/'Bilan 2023 AMS'!$H$30</f>
        <v>5.1266171373375918E-3</v>
      </c>
      <c r="DD6" s="202">
        <f>'Bilan 2025 AMS'!$K$30*'Bilan 2025 AMS'!$G$33/'Bilan 2025 AMS'!$H$30</f>
        <v>0</v>
      </c>
      <c r="DE6" s="202">
        <f>'Bilan 2028 AMS'!$K$30*'Bilan 2028 AMS'!$G$33/'Bilan 2028 AMS'!$H$30</f>
        <v>0</v>
      </c>
      <c r="DF6" s="202">
        <f>'Bilan 2030 AMS'!$K$30*'Bilan 2030 AMS'!$G$33/'Bilan 2030 AMS'!$H$30</f>
        <v>0</v>
      </c>
      <c r="DG6" s="202">
        <f>'Bilan 2033 AMS'!$K$30*'Bilan 2033 AMS'!$G$33/'Bilan 2033 AMS'!$H$30</f>
        <v>0</v>
      </c>
      <c r="DH6" s="202">
        <f>'Bilan 2035 AMS'!$K$30*'Bilan 2035 AMS'!$G$33/'Bilan 2035 AMS'!$H$30</f>
        <v>0</v>
      </c>
      <c r="DI6" s="202">
        <f>'Bilan 2038 AMS'!$K$30*'Bilan 2038 AMS'!$G$33/'Bilan 2038 AMS'!$H$30</f>
        <v>0</v>
      </c>
      <c r="DJ6" s="202">
        <f>'Bilan 2040 AMS'!$K$30*'Bilan 2040 AMS'!$G$33/'Bilan 2040 AMS'!$H$30</f>
        <v>0</v>
      </c>
      <c r="DK6" s="202">
        <f>'Bilan 2045 AMS'!$K$30*'Bilan 2045 AMS'!$G$33/'Bilan 2045 AMS'!$H$30</f>
        <v>0</v>
      </c>
      <c r="DL6" s="202">
        <f>'Bilan 2050 AMS'!$K$30*'Bilan 2050 AMS'!$G$33/'Bilan 2050 AMS'!$H$30</f>
        <v>0</v>
      </c>
    </row>
    <row r="7" spans="1:116" ht="14.5">
      <c r="A7" s="211" t="s">
        <v>272</v>
      </c>
      <c r="B7" s="212"/>
      <c r="C7" s="212"/>
      <c r="D7" s="579"/>
      <c r="E7" s="579"/>
      <c r="F7" s="579"/>
      <c r="G7" s="579"/>
      <c r="H7" s="579"/>
      <c r="I7" s="579"/>
      <c r="J7" s="579"/>
      <c r="K7" s="579"/>
      <c r="L7" s="579"/>
      <c r="M7" s="579"/>
      <c r="N7" s="575"/>
      <c r="O7" s="575"/>
      <c r="P7" s="575"/>
      <c r="Q7" s="571" t="s">
        <v>104</v>
      </c>
      <c r="R7" s="201">
        <f>SUM(R8:R15)</f>
        <v>132.46382849112061</v>
      </c>
      <c r="S7" s="201">
        <f>SUM(S8:S15)</f>
        <v>1284.6691143400469</v>
      </c>
      <c r="T7" s="201">
        <f>SUM(T8:T15)</f>
        <v>1298.6438510525877</v>
      </c>
      <c r="U7" s="201">
        <f t="shared" ref="U7:AC7" si="26">SUM(U8:U15)</f>
        <v>1295.0475958064028</v>
      </c>
      <c r="V7" s="201">
        <f t="shared" si="26"/>
        <v>1262.4407667450512</v>
      </c>
      <c r="W7" s="201">
        <f t="shared" si="26"/>
        <v>1241.2617074322295</v>
      </c>
      <c r="X7" s="201">
        <f t="shared" si="26"/>
        <v>1237.5104024917441</v>
      </c>
      <c r="Y7" s="201">
        <f t="shared" si="26"/>
        <v>1235.9000382545205</v>
      </c>
      <c r="Z7" s="201">
        <f t="shared" si="26"/>
        <v>1249.7595013084679</v>
      </c>
      <c r="AA7" s="201">
        <f t="shared" si="26"/>
        <v>1259.9854048757975</v>
      </c>
      <c r="AB7" s="201">
        <f t="shared" si="26"/>
        <v>1175.6097536222253</v>
      </c>
      <c r="AC7" s="201">
        <f t="shared" si="26"/>
        <v>1099.0796823059541</v>
      </c>
      <c r="AE7" s="205" t="s">
        <v>455</v>
      </c>
      <c r="AF7" s="205">
        <f>SUM('Bilan 2015'!$T$41:$W$41)</f>
        <v>0.16422493747563133</v>
      </c>
      <c r="AG7" s="205">
        <f>SUM('Bilan 2020'!$T$41:$W$41)</f>
        <v>2.9800774861924699</v>
      </c>
      <c r="AH7" s="205">
        <f>SUM('Bilan 2023 AMS'!$T$41:$W$41)</f>
        <v>3.2477916634100645</v>
      </c>
      <c r="AI7" s="205">
        <f>SUM('Bilan 2025 AMS'!$T$41:$W$41)</f>
        <v>3.6391823024802821</v>
      </c>
      <c r="AJ7" s="205">
        <f>SUM('Bilan 2028 AMS'!$T$41:$W$41)</f>
        <v>4.9070236882919964</v>
      </c>
      <c r="AK7" s="205">
        <f>SUM('Bilan 2030 AMS'!$T$41:$W$41)</f>
        <v>5.6696338432352489</v>
      </c>
      <c r="AL7" s="205">
        <f>SUM('Bilan 2033 AMS'!$T$41:$W$41)</f>
        <v>8.0227310304778428</v>
      </c>
      <c r="AM7" s="205">
        <f>SUM('Bilan 2035 AMS'!$T$41:$W$41)</f>
        <v>9.4469588384607608</v>
      </c>
      <c r="AN7" s="205">
        <f>SUM('Bilan 2038 AMS'!$T$41:$W$41)</f>
        <v>15.111884438671611</v>
      </c>
      <c r="AO7" s="205">
        <f>SUM('Bilan 2040 AMS'!$T$41:$W$41)</f>
        <v>18.030668216795462</v>
      </c>
      <c r="AP7" s="205">
        <f>SUM('Bilan 2045 AMS'!$T$41:$W$41)</f>
        <v>22.166392600070129</v>
      </c>
      <c r="AQ7" s="205">
        <f>SUM('Bilan 2050 AMS'!$T$41:$W$41)</f>
        <v>18.533743427162452</v>
      </c>
      <c r="AR7" s="206"/>
      <c r="AS7" s="205" t="s">
        <v>455</v>
      </c>
      <c r="AT7" s="205">
        <f>SUM('Bilan 2015'!$T$41:$W$41)</f>
        <v>0.16422493747563133</v>
      </c>
      <c r="AU7" s="205">
        <f>SUM('Bilan 2020'!$T$41:$W$41)</f>
        <v>2.9800774861924699</v>
      </c>
      <c r="AV7" s="205">
        <f>SUM('Bilan 2023 AMS'!$T$41:$W$41)</f>
        <v>3.2477916634100645</v>
      </c>
      <c r="AW7" s="205">
        <f>SUM('Bilan 2025 AMS'!$T$41:$W$41)</f>
        <v>3.6391823024802821</v>
      </c>
      <c r="AX7" s="205">
        <f>SUM('Bilan 2028 AMS'!$T$41:$W$41)</f>
        <v>4.9070236882919964</v>
      </c>
      <c r="AY7" s="205">
        <f>SUM('Bilan 2030 AMS'!$T$41:$W$41)</f>
        <v>5.6696338432352489</v>
      </c>
      <c r="AZ7" s="205">
        <f>SUM('Bilan 2033 AMS'!$T$41:$W$41)</f>
        <v>8.0227310304778428</v>
      </c>
      <c r="BA7" s="205">
        <f>SUM('Bilan 2035 AMS'!$T$41:$W$41)</f>
        <v>9.4469588384607608</v>
      </c>
      <c r="BB7" s="205">
        <f>SUM('Bilan 2038 AMS'!$T$41:$W$41)</f>
        <v>15.111884438671611</v>
      </c>
      <c r="BC7" s="205">
        <f>SUM('Bilan 2040 AMS'!$T$41:$W$41)</f>
        <v>18.030668216795462</v>
      </c>
      <c r="BD7" s="205">
        <f>SUM('Bilan 2045 AMS'!$T$41:$W$41)</f>
        <v>22.166392600070129</v>
      </c>
      <c r="BE7" s="205">
        <f>SUM('Bilan 2050 AMS'!$T$41:$W$41)</f>
        <v>18.533743427162452</v>
      </c>
      <c r="BF7" s="216"/>
      <c r="BG7" s="205" t="s">
        <v>455</v>
      </c>
      <c r="BH7" s="202">
        <f t="shared" si="14"/>
        <v>2.4971454178459007</v>
      </c>
      <c r="BI7" s="202">
        <f t="shared" si="14"/>
        <v>0.67487271236939406</v>
      </c>
      <c r="BJ7" s="202">
        <f t="shared" si="14"/>
        <v>1.5987585072349755</v>
      </c>
      <c r="BK7" s="202">
        <f t="shared" si="14"/>
        <v>0.78132844214989561</v>
      </c>
      <c r="BL7" s="202">
        <f t="shared" si="14"/>
        <v>0.28657548342064521</v>
      </c>
      <c r="BM7" s="202">
        <f t="shared" si="14"/>
        <v>7.9643209294259582E-2</v>
      </c>
      <c r="BN7" s="202">
        <f t="shared" si="14"/>
        <v>5.7147996664126295E-2</v>
      </c>
      <c r="BO7" s="202">
        <f t="shared" si="14"/>
        <v>4.9026616076453262E-2</v>
      </c>
      <c r="BP7" s="202">
        <f t="shared" si="14"/>
        <v>1.3746897443455516E-2</v>
      </c>
      <c r="BQ7" s="202">
        <f t="shared" si="14"/>
        <v>2.1111152212576079E-3</v>
      </c>
      <c r="BR7" s="202">
        <f t="shared" si="14"/>
        <v>0</v>
      </c>
      <c r="BS7" s="202">
        <f t="shared" si="14"/>
        <v>0</v>
      </c>
      <c r="BU7" s="205" t="s">
        <v>455</v>
      </c>
      <c r="BV7" s="193">
        <f>'Bilan 2015'!$E$41*SUM('Bilan 2015'!$T$41:$W$41)/SUM('Bilan 2015'!$T6:CH$41)</f>
        <v>0</v>
      </c>
      <c r="BW7" s="193">
        <f>'Bilan 2020'!$E$41*SUM('Bilan 2020'!$T$41:$W$41)/SUM('Bilan 2020'!$T6:CI$41)</f>
        <v>0</v>
      </c>
      <c r="BX7" s="193">
        <f>'Bilan 2023 AMS'!$E$41*SUM('Bilan 2023 AMS'!$T$41:$W$41)/SUM('Bilan 2023 AMS'!$T$41:$X$41)</f>
        <v>1.3129679993731415E-3</v>
      </c>
      <c r="BY7" s="193">
        <f>'Bilan 2025 AMS'!$E$41*SUM('Bilan 2025 AMS'!$T$41:$W$41)/SUM('Bilan 2025 AMS'!$T$41:$X$41)</f>
        <v>2.2767330950825798E-3</v>
      </c>
      <c r="BZ7" s="193">
        <f>'Bilan 2028 AMS'!$E$41*SUM('Bilan 2028 AMS'!$T$41:$W$41)/SUM('Bilan 2028 AMS'!$T$41:$X$41)</f>
        <v>4.2704427188407938E-2</v>
      </c>
      <c r="CA7" s="193">
        <f>'Bilan 2030 AMS'!$E$41*SUM('Bilan 2030 AMS'!$T$41:$W$41)/SUM('Bilan 2030 AMS'!$T$41:$X$41)</f>
        <v>8.1796346251520893E-2</v>
      </c>
      <c r="CB7" s="193">
        <f>'Bilan 2033 AMS'!$E$41*SUM('Bilan 2033 AMS'!$T$41:$W$41)/SUM('Bilan 2033 AMS'!$T$41:$X$41)</f>
        <v>0.30969261836523543</v>
      </c>
      <c r="CC7" s="193">
        <f>'Bilan 2035 AMS'!$E$41*SUM('Bilan 2035 AMS'!$T$41:$W$41)/SUM('Bilan 2035 AMS'!$T$41:$X$41)</f>
        <v>0.46828900557989217</v>
      </c>
      <c r="CD7" s="193">
        <f>'Bilan 2038 AMS'!$E$41*SUM('Bilan 2038 AMS'!$T$41:$W$41)/SUM('Bilan 2038 AMS'!$T$41:$X$41)</f>
        <v>1.2198834513216736</v>
      </c>
      <c r="CE7" s="193">
        <f>'Bilan 2040 AMS'!$E$41*SUM('Bilan 2040 AMS'!$T$41:$W$41)/SUM('Bilan 2040 AMS'!$T$41:$X$41)</f>
        <v>1.7313111312747134</v>
      </c>
      <c r="CF7" s="193">
        <f>'Bilan 2045 AMS'!$E$41*SUM('Bilan 2045 AMS'!$T$41:$W$41)/SUM('Bilan 2045 AMS'!$T$41:$X$41)</f>
        <v>3.3002870775037492</v>
      </c>
      <c r="CG7" s="193">
        <f>'Bilan 2050 AMS'!$E$41*SUM('Bilan 2050 AMS'!$T$41:$W$41)/SUM('Bilan 2050 AMS'!$T$41:$X$41)</f>
        <v>12.602148075536189</v>
      </c>
      <c r="CH7" s="206"/>
      <c r="CJ7" s="205" t="s">
        <v>455</v>
      </c>
      <c r="CK7" s="202">
        <f t="shared" si="15"/>
        <v>0</v>
      </c>
      <c r="CL7" s="202">
        <f t="shared" si="15"/>
        <v>0</v>
      </c>
      <c r="CM7" s="202">
        <f t="shared" si="15"/>
        <v>0</v>
      </c>
      <c r="CN7" s="202">
        <f t="shared" si="15"/>
        <v>0</v>
      </c>
      <c r="CO7" s="202">
        <f t="shared" si="15"/>
        <v>0</v>
      </c>
      <c r="CP7" s="202">
        <f t="shared" si="15"/>
        <v>0</v>
      </c>
      <c r="CQ7" s="202">
        <f t="shared" si="15"/>
        <v>0</v>
      </c>
      <c r="CR7" s="202">
        <f t="shared" si="15"/>
        <v>0</v>
      </c>
      <c r="CS7" s="202">
        <f t="shared" si="15"/>
        <v>0</v>
      </c>
      <c r="CT7" s="202">
        <f t="shared" si="15"/>
        <v>0</v>
      </c>
      <c r="CU7" s="202">
        <f t="shared" si="15"/>
        <v>0</v>
      </c>
      <c r="CV7" s="202">
        <f t="shared" si="15"/>
        <v>0</v>
      </c>
      <c r="CW7" s="206"/>
      <c r="CY7" s="205" t="s">
        <v>455</v>
      </c>
      <c r="CZ7" s="207"/>
      <c r="DA7" s="202">
        <v>0</v>
      </c>
      <c r="DB7" s="202">
        <v>0</v>
      </c>
      <c r="DC7" s="202">
        <f t="shared" ref="DC7" si="27">DB7</f>
        <v>0</v>
      </c>
      <c r="DD7" s="202">
        <f t="shared" ref="DD7" si="28">DC7</f>
        <v>0</v>
      </c>
      <c r="DE7" s="202">
        <f t="shared" ref="DE7" si="29">DD7</f>
        <v>0</v>
      </c>
      <c r="DF7" s="202">
        <f t="shared" ref="DF7" si="30">DE7</f>
        <v>0</v>
      </c>
      <c r="DG7" s="202">
        <f t="shared" ref="DG7" si="31">DF7</f>
        <v>0</v>
      </c>
      <c r="DH7" s="202">
        <f t="shared" ref="DH7" si="32">DG7</f>
        <v>0</v>
      </c>
      <c r="DI7" s="202">
        <f t="shared" ref="DI7" si="33">DH7</f>
        <v>0</v>
      </c>
      <c r="DJ7" s="202">
        <f t="shared" ref="DJ7" si="34">DI7</f>
        <v>0</v>
      </c>
      <c r="DK7" s="202">
        <f t="shared" ref="DK7" si="35">DJ7</f>
        <v>0</v>
      </c>
      <c r="DL7" s="202">
        <f t="shared" ref="DL7" si="36">DK7</f>
        <v>0</v>
      </c>
    </row>
    <row r="8" spans="1:116" ht="14.5">
      <c r="A8" s="203" t="s">
        <v>181</v>
      </c>
      <c r="B8" s="204"/>
      <c r="C8" s="204"/>
      <c r="D8" s="204"/>
      <c r="E8" s="204"/>
      <c r="F8" s="204"/>
      <c r="G8" s="204"/>
      <c r="H8" s="204"/>
      <c r="I8" s="204"/>
      <c r="J8" s="204"/>
      <c r="K8" s="204"/>
      <c r="L8" s="204"/>
      <c r="M8" s="204"/>
      <c r="N8" s="577"/>
      <c r="O8" s="577"/>
      <c r="P8" s="577"/>
      <c r="Q8" s="572" t="s">
        <v>20</v>
      </c>
      <c r="R8" s="205">
        <f t="shared" ref="R8:AC8" si="37">B10</f>
        <v>114.07243284087656</v>
      </c>
      <c r="S8" s="205">
        <f t="shared" si="37"/>
        <v>1068.7282415646853</v>
      </c>
      <c r="T8" s="205">
        <f t="shared" si="37"/>
        <v>1040.5235553980992</v>
      </c>
      <c r="U8" s="205">
        <f t="shared" si="37"/>
        <v>1039.5508033930703</v>
      </c>
      <c r="V8" s="205">
        <f t="shared" si="37"/>
        <v>996.66574005258633</v>
      </c>
      <c r="W8" s="205">
        <f t="shared" si="37"/>
        <v>968.24135257131763</v>
      </c>
      <c r="X8" s="205">
        <f t="shared" si="37"/>
        <v>941.07945078899036</v>
      </c>
      <c r="Y8" s="205">
        <f t="shared" si="37"/>
        <v>923.78516465241842</v>
      </c>
      <c r="Z8" s="205">
        <f t="shared" si="37"/>
        <v>905.9927268630114</v>
      </c>
      <c r="AA8" s="205">
        <f t="shared" si="37"/>
        <v>895.32422508105378</v>
      </c>
      <c r="AB8" s="205">
        <f t="shared" si="37"/>
        <v>748.46110983550693</v>
      </c>
      <c r="AC8" s="205">
        <f t="shared" si="37"/>
        <v>590.57597872482324</v>
      </c>
      <c r="AD8" s="193">
        <v>2301</v>
      </c>
      <c r="AE8" s="201" t="s">
        <v>104</v>
      </c>
      <c r="AF8" s="201">
        <f t="shared" ref="AF8" si="38">SUM(AF9:AF17)</f>
        <v>38.082514273546238</v>
      </c>
      <c r="AG8" s="201">
        <f t="shared" ref="AG8:AQ8" si="39">SUM(AG9:AG17)</f>
        <v>404.64506759579865</v>
      </c>
      <c r="AH8" s="201">
        <f t="shared" si="39"/>
        <v>423.48559519818957</v>
      </c>
      <c r="AI8" s="201">
        <f t="shared" si="39"/>
        <v>427.23659308477363</v>
      </c>
      <c r="AJ8" s="201">
        <f t="shared" si="39"/>
        <v>430.71464486881149</v>
      </c>
      <c r="AK8" s="201">
        <f t="shared" si="39"/>
        <v>432.49780149630931</v>
      </c>
      <c r="AL8" s="201">
        <f t="shared" si="39"/>
        <v>443.94370217895607</v>
      </c>
      <c r="AM8" s="201">
        <f t="shared" si="39"/>
        <v>451.26664859097167</v>
      </c>
      <c r="AN8" s="201">
        <f t="shared" si="39"/>
        <v>462.55847852954736</v>
      </c>
      <c r="AO8" s="201">
        <f t="shared" si="39"/>
        <v>469.70988795485198</v>
      </c>
      <c r="AP8" s="201">
        <f t="shared" ref="AP8" si="40">SUM(AP9:AP17)</f>
        <v>476.63476193341512</v>
      </c>
      <c r="AQ8" s="201">
        <f t="shared" si="39"/>
        <v>466.63315347265353</v>
      </c>
      <c r="AR8" s="206"/>
      <c r="AS8" s="201" t="s">
        <v>104</v>
      </c>
      <c r="AT8" s="201">
        <f t="shared" ref="AT8:BE8" si="41">SUM(AT9:AT17)</f>
        <v>38.082514273546238</v>
      </c>
      <c r="AU8" s="201">
        <f t="shared" si="41"/>
        <v>404.64506759579865</v>
      </c>
      <c r="AV8" s="201">
        <f t="shared" si="41"/>
        <v>423.48559519818957</v>
      </c>
      <c r="AW8" s="201">
        <f t="shared" si="41"/>
        <v>427.23659308477363</v>
      </c>
      <c r="AX8" s="201">
        <f t="shared" si="41"/>
        <v>430.71464486881149</v>
      </c>
      <c r="AY8" s="201">
        <f t="shared" si="41"/>
        <v>432.6978014963093</v>
      </c>
      <c r="AZ8" s="201">
        <f t="shared" si="41"/>
        <v>444.0437021789561</v>
      </c>
      <c r="BA8" s="201">
        <f t="shared" si="41"/>
        <v>451.36664859097164</v>
      </c>
      <c r="BB8" s="201">
        <f t="shared" si="41"/>
        <v>462.65847852954738</v>
      </c>
      <c r="BC8" s="201">
        <f t="shared" si="41"/>
        <v>469.90988795485191</v>
      </c>
      <c r="BD8" s="201">
        <f t="shared" ref="BD8" si="42">SUM(BD9:BD17)</f>
        <v>476.93476193341519</v>
      </c>
      <c r="BE8" s="201">
        <f t="shared" si="41"/>
        <v>466.93315347265354</v>
      </c>
      <c r="BF8" s="216"/>
      <c r="BG8" s="205" t="s">
        <v>20</v>
      </c>
      <c r="BH8" s="202">
        <f t="shared" ref="BH8:BS16" si="43">IF(AT9&gt;0,BV8/AT9,0)</f>
        <v>2.6021841240650576</v>
      </c>
      <c r="BI8" s="202">
        <f t="shared" si="43"/>
        <v>2.6076963834600786</v>
      </c>
      <c r="BJ8" s="202">
        <f t="shared" si="43"/>
        <v>2.6002590121978026</v>
      </c>
      <c r="BK8" s="202">
        <f t="shared" si="43"/>
        <v>2.6190261861049371</v>
      </c>
      <c r="BL8" s="202">
        <f t="shared" si="43"/>
        <v>2.631773776517782</v>
      </c>
      <c r="BM8" s="202">
        <f t="shared" si="43"/>
        <v>2.642062169969714</v>
      </c>
      <c r="BN8" s="202">
        <f t="shared" si="43"/>
        <v>2.728422808502724</v>
      </c>
      <c r="BO8" s="202">
        <f t="shared" si="43"/>
        <v>2.7871086563613434</v>
      </c>
      <c r="BP8" s="202">
        <f t="shared" si="43"/>
        <v>2.9371492661529599</v>
      </c>
      <c r="BQ8" s="202">
        <f t="shared" si="43"/>
        <v>3.0384134571929122</v>
      </c>
      <c r="BR8" s="202">
        <f t="shared" si="43"/>
        <v>3.2323326536855301</v>
      </c>
      <c r="BS8" s="202">
        <f t="shared" si="43"/>
        <v>3.9038235444579668</v>
      </c>
      <c r="BU8" s="205" t="s">
        <v>20</v>
      </c>
      <c r="BV8" s="202">
        <f>'Bilan 2015'!$E10+'Bilan 2015'!$I$13*'Bilan 2015'!$G$10/'Bilan 2015'!$H$13</f>
        <v>76.927998046427618</v>
      </c>
      <c r="BW8" s="202">
        <f>'Bilan 2020'!$E10+'Bilan 2020'!$I$13*'Bilan 2020'!$G$10/'Bilan 2020'!$H$13</f>
        <v>732.38826540083176</v>
      </c>
      <c r="BX8" s="202">
        <f>'Bilan 2023 AMS'!$E10+'Bilan 2023 AMS'!$I$13*'Bilan 2023 AMS'!$G$10/'Bilan 2023 AMS'!$H$13</f>
        <v>715.41846932429416</v>
      </c>
      <c r="BY8" s="202">
        <f>'Bilan 2025 AMS'!$E10+'Bilan 2025 AMS'!$I$13*'Bilan 2025 AMS'!$G$10/'Bilan 2025 AMS'!$H$13</f>
        <v>716.91478143389838</v>
      </c>
      <c r="BZ8" s="202">
        <f>'Bilan 2028 AMS'!$E10+'Bilan 2028 AMS'!$I$13*'Bilan 2028 AMS'!$G$10/'Bilan 2028 AMS'!$H$13</f>
        <v>689.63636532289627</v>
      </c>
      <c r="CA8" s="202">
        <f>'Bilan 2030 AMS'!$E10+'Bilan 2030 AMS'!$I$13*'Bilan 2030 AMS'!$G$10/'Bilan 2030 AMS'!$H$13</f>
        <v>671.48329041373563</v>
      </c>
      <c r="CB8" s="202">
        <f>'Bilan 2033 AMS'!$E10+'Bilan 2033 AMS'!$I$13*'Bilan 2033 AMS'!$G$10/'Bilan 2033 AMS'!$H$13</f>
        <v>662.3167352574593</v>
      </c>
      <c r="CC8" s="202">
        <f>'Bilan 2035 AMS'!$E10+'Bilan 2035 AMS'!$I$13*'Bilan 2035 AMS'!$G$10/'Bilan 2035 AMS'!$H$13</f>
        <v>656.30452298738078</v>
      </c>
      <c r="CD8" s="202">
        <f>'Bilan 2038 AMS'!$E10+'Bilan 2038 AMS'!$I$13*'Bilan 2038 AMS'!$G$10/'Bilan 2038 AMS'!$H$13</f>
        <v>659.09509441593445</v>
      </c>
      <c r="CE8" s="202">
        <f>'Bilan 2040 AMS'!$E10+'Bilan 2040 AMS'!$I$13*'Bilan 2040 AMS'!$G$10/'Bilan 2040 AMS'!$H$13</f>
        <v>661.0464125468493</v>
      </c>
      <c r="CF8" s="202">
        <f>'Bilan 2045 AMS'!$E10+'Bilan 2045 AMS'!$I$13*'Bilan 2045 AMS'!$G$10/'Bilan 2045 AMS'!$H$13</f>
        <v>573.07622624930559</v>
      </c>
      <c r="CG8" s="202">
        <f>'Bilan 2050 AMS'!$E10+'Bilan 2050 AMS'!$I$13*'Bilan 2050 AMS'!$G$10/'Bilan 2050 AMS'!$H$13</f>
        <v>496.55080156226222</v>
      </c>
      <c r="CH8" s="206"/>
      <c r="CJ8" s="205" t="s">
        <v>20</v>
      </c>
      <c r="CK8" s="202">
        <f t="shared" ref="CK8:CV16" si="44">IF(AT9&gt;0,DA8/AT9,0)</f>
        <v>7.9921040170571458E-2</v>
      </c>
      <c r="CL8" s="202">
        <f t="shared" si="44"/>
        <v>8.704500007783883E-2</v>
      </c>
      <c r="CM8" s="202">
        <f t="shared" si="44"/>
        <v>8.8958019457663504E-2</v>
      </c>
      <c r="CN8" s="202">
        <f t="shared" si="44"/>
        <v>8.9739051688972282E-2</v>
      </c>
      <c r="CO8" s="202">
        <f t="shared" si="44"/>
        <v>9.1146119561036854E-2</v>
      </c>
      <c r="CP8" s="202">
        <f t="shared" si="44"/>
        <v>9.207671262592286E-2</v>
      </c>
      <c r="CQ8" s="202">
        <f t="shared" si="44"/>
        <v>9.5037851290652148E-2</v>
      </c>
      <c r="CR8" s="202">
        <f t="shared" si="44"/>
        <v>9.683336810198756E-2</v>
      </c>
      <c r="CS8" s="202">
        <f t="shared" si="44"/>
        <v>0.10165970594397469</v>
      </c>
      <c r="CT8" s="202">
        <f t="shared" si="44"/>
        <v>0.10463319289621685</v>
      </c>
      <c r="CU8" s="202">
        <f t="shared" si="44"/>
        <v>0.11028164210292044</v>
      </c>
      <c r="CV8" s="202">
        <f t="shared" si="44"/>
        <v>0.12621816480176404</v>
      </c>
      <c r="CW8" s="206"/>
      <c r="CX8" s="193">
        <v>2301</v>
      </c>
      <c r="CY8" s="205" t="s">
        <v>20</v>
      </c>
      <c r="CZ8" s="207" t="s">
        <v>271</v>
      </c>
      <c r="DA8" s="202">
        <f>'Bilan 2015'!$K$13*'Bilan 2015'!$G$10/SUM('Bilan 2015'!$G$7:$G$19)</f>
        <v>2.3626943094655792</v>
      </c>
      <c r="DB8" s="202">
        <f>'Bilan 2020'!$K$13*'Bilan 2020'!$G$10/SUM('Bilan 2020'!$G$7:$G$19)</f>
        <v>24.447146923690021</v>
      </c>
      <c r="DC8" s="202">
        <f>'Bilan 2023 AMS'!$K$13*'Bilan 2023 AMS'!$G$10/SUM('Bilan 2023 AMS'!$G$7:$G$19)</f>
        <v>24.475334886246753</v>
      </c>
      <c r="DD8" s="202">
        <f>'Bilan 2025 AMS'!$K$13*'Bilan 2025 AMS'!$G$10/SUM('Bilan 2025 AMS'!$G$7:$G$19)</f>
        <v>24.564570208962063</v>
      </c>
      <c r="DE8" s="202">
        <f>'Bilan 2028 AMS'!$K$13*'Bilan 2028 AMS'!$G$10/SUM('Bilan 2028 AMS'!$G$7:$G$19)</f>
        <v>23.88414960594729</v>
      </c>
      <c r="DF8" s="202">
        <f>'Bilan 2030 AMS'!$K$13*'Bilan 2030 AMS'!$G$10/SUM('Bilan 2030 AMS'!$G$7:$G$19)</f>
        <v>23.401407683469984</v>
      </c>
      <c r="DG8" s="202">
        <f>'Bilan 2033 AMS'!$K$13*'Bilan 2033 AMS'!$G$10/SUM('Bilan 2033 AMS'!$G$7:$G$19)</f>
        <v>23.070163171393165</v>
      </c>
      <c r="DH8" s="202">
        <f>'Bilan 2035 AMS'!$K$13*'Bilan 2035 AMS'!$G$10/SUM('Bilan 2035 AMS'!$G$7:$G$19)</f>
        <v>22.802188682663608</v>
      </c>
      <c r="DI8" s="202">
        <f>'Bilan 2038 AMS'!$K$13*'Bilan 2038 AMS'!$G$10/SUM('Bilan 2038 AMS'!$G$7:$G$19)</f>
        <v>22.812396448342692</v>
      </c>
      <c r="DJ8" s="202">
        <f>'Bilan 2040 AMS'!$K$13*'Bilan 2040 AMS'!$G$10/SUM('Bilan 2040 AMS'!$G$7:$G$19)</f>
        <v>22.764313603741098</v>
      </c>
      <c r="DK8" s="202">
        <f>'Bilan 2045 AMS'!$K$13*'Bilan 2045 AMS'!$G$10/SUM('Bilan 2045 AMS'!$G$7:$G$19)</f>
        <v>19.55237720005622</v>
      </c>
      <c r="DL8" s="202">
        <f>'Bilan 2050 AMS'!$K$13*'Bilan 2050 AMS'!$G$10/SUM('Bilan 2050 AMS'!$G$7:$G$19)</f>
        <v>16.054447694749914</v>
      </c>
    </row>
    <row r="9" spans="1:116" ht="14.5">
      <c r="A9" s="199" t="s">
        <v>104</v>
      </c>
      <c r="B9" s="200">
        <f t="shared" ref="B9" si="45">SUM(B10:B19)</f>
        <v>132.45382849112059</v>
      </c>
      <c r="C9" s="200">
        <f t="shared" ref="C9:M9" si="46">SUM(C10:C19)</f>
        <v>1284.6591143400469</v>
      </c>
      <c r="D9" s="200">
        <f t="shared" si="46"/>
        <v>1298.6338510525879</v>
      </c>
      <c r="E9" s="200">
        <f t="shared" si="46"/>
        <v>1295.0374958064028</v>
      </c>
      <c r="F9" s="200">
        <f t="shared" si="46"/>
        <v>1262.4306667450512</v>
      </c>
      <c r="G9" s="200">
        <f t="shared" si="46"/>
        <v>1241.2516074322295</v>
      </c>
      <c r="H9" s="200">
        <f t="shared" si="46"/>
        <v>1237.5003024917442</v>
      </c>
      <c r="I9" s="200">
        <f t="shared" si="46"/>
        <v>1235.8899382545205</v>
      </c>
      <c r="J9" s="200">
        <f t="shared" si="46"/>
        <v>1249.7494013084679</v>
      </c>
      <c r="K9" s="200">
        <f t="shared" si="46"/>
        <v>1259.9753048757975</v>
      </c>
      <c r="L9" s="200">
        <f t="shared" ref="L9" si="47">SUM(L10:L19)</f>
        <v>1175.5996536222253</v>
      </c>
      <c r="M9" s="200">
        <f t="shared" si="46"/>
        <v>1099.0694823059541</v>
      </c>
      <c r="N9" s="215">
        <f>C9-('Bilan 2020'!$D$13-SUM('Bilan 2020'!$M$13:$P$13))</f>
        <v>0</v>
      </c>
      <c r="O9" s="215">
        <f>G9-('Bilan 2030 AMS'!$D$13-SUM('Bilan 2030 AMS'!$M$13:$P$13))</f>
        <v>0</v>
      </c>
      <c r="P9" s="215">
        <f>M9-('Bilan 2050 AMS'!$D$13-SUM('Bilan 2050 AMS'!$M$13:$P$13))</f>
        <v>0</v>
      </c>
      <c r="Q9" s="572" t="s">
        <v>224</v>
      </c>
      <c r="R9" s="205">
        <f t="shared" ref="R9:AC9" si="48">B11+0.01</f>
        <v>0.71199999999999997</v>
      </c>
      <c r="S9" s="205">
        <f t="shared" si="48"/>
        <v>3.4306184464582499</v>
      </c>
      <c r="T9" s="205">
        <f t="shared" si="48"/>
        <v>8.9017058014988546</v>
      </c>
      <c r="U9" s="205">
        <f t="shared" si="48"/>
        <v>4.866019855376531</v>
      </c>
      <c r="V9" s="205">
        <f t="shared" si="48"/>
        <v>2.4000822550052696</v>
      </c>
      <c r="W9" s="205">
        <f t="shared" si="48"/>
        <v>0.77486718248508457</v>
      </c>
      <c r="X9" s="205">
        <f t="shared" si="48"/>
        <v>0.77777088881613821</v>
      </c>
      <c r="Y9" s="205">
        <f t="shared" si="48"/>
        <v>0.77998795810653077</v>
      </c>
      <c r="Z9" s="205">
        <f t="shared" si="48"/>
        <v>0.34869482534661467</v>
      </c>
      <c r="AA9" s="205">
        <f t="shared" si="48"/>
        <v>7.131749064077765E-2</v>
      </c>
      <c r="AB9" s="205">
        <f t="shared" si="48"/>
        <v>0.01</v>
      </c>
      <c r="AC9" s="205">
        <f t="shared" si="48"/>
        <v>0.01</v>
      </c>
      <c r="AD9" s="193">
        <f>AD8+1</f>
        <v>2302</v>
      </c>
      <c r="AE9" s="205" t="s">
        <v>20</v>
      </c>
      <c r="AF9" s="205">
        <f>'Bilan 2015'!$S$13*'Bilan 2015'!$G$10/SUM('Bilan 2015'!$G$7:$G$19)</f>
        <v>29.56285734548749</v>
      </c>
      <c r="AG9" s="205">
        <f>'Bilan 2020'!$S$13*'Bilan 2020'!$G$10/SUM('Bilan 2020'!$G$7:$G$19)</f>
        <v>280.85641796574743</v>
      </c>
      <c r="AH9" s="205">
        <f>'Bilan 2023 AMS'!$S$13*'Bilan 2023 AMS'!$G$10/SUM('Bilan 2023 AMS'!$G$7:$G$19)</f>
        <v>275.13354091583551</v>
      </c>
      <c r="AI9" s="205">
        <f>'Bilan 2025 AMS'!$S$13*'Bilan 2025 AMS'!$G$10/SUM('Bilan 2025 AMS'!$G$7:$G$19)</f>
        <v>273.73333845894336</v>
      </c>
      <c r="AJ9" s="205">
        <f>'Bilan 2028 AMS'!$S$13*'Bilan 2028 AMS'!$G$10/SUM('Bilan 2028 AMS'!$G$7:$G$19)</f>
        <v>262.04241849213389</v>
      </c>
      <c r="AK9" s="205">
        <f>'Bilan 2030 AMS'!$S$13*'Bilan 2030 AMS'!$G$10/SUM('Bilan 2030 AMS'!$G$7:$G$19)</f>
        <v>254.1512073583919</v>
      </c>
      <c r="AL9" s="205">
        <f>'Bilan 2033 AMS'!$S$13*'Bilan 2033 AMS'!$G$10/SUM('Bilan 2033 AMS'!$G$7:$G$19)</f>
        <v>242.7471040021538</v>
      </c>
      <c r="AM9" s="205">
        <f>'Bilan 2035 AMS'!$S$13*'Bilan 2035 AMS'!$G$10/SUM('Bilan 2035 AMS'!$G$7:$G$19)</f>
        <v>235.47862817957252</v>
      </c>
      <c r="AN9" s="205">
        <f>'Bilan 2038 AMS'!$S$13*'Bilan 2038 AMS'!$G$10/SUM('Bilan 2038 AMS'!$G$7:$G$19)</f>
        <v>224.39959113116802</v>
      </c>
      <c r="AO9" s="205">
        <f>'Bilan 2040 AMS'!$S$13*'Bilan 2040 AMS'!$G$10/SUM('Bilan 2040 AMS'!$G$7:$G$19)</f>
        <v>217.56302157691462</v>
      </c>
      <c r="AP9" s="205">
        <f>'Bilan 2045 AMS'!$S$13*'Bilan 2045 AMS'!$G$10/SUM('Bilan 2045 AMS'!$G$7:$G$19)</f>
        <v>177.29494072829408</v>
      </c>
      <c r="AQ9" s="205">
        <f>'Bilan 2050 AMS'!$S$13*'Bilan 2050 AMS'!$G$10/SUM('Bilan 2050 AMS'!$G$7:$G$19)</f>
        <v>127.19601588222059</v>
      </c>
      <c r="AR9" s="206"/>
      <c r="AS9" s="205" t="s">
        <v>20</v>
      </c>
      <c r="AT9" s="205">
        <f>'Bilan 2015'!$S$13*'Bilan 2015'!$G$10/SUM('Bilan 2015'!$G$7:$G$19)</f>
        <v>29.56285734548749</v>
      </c>
      <c r="AU9" s="205">
        <f>'Bilan 2020'!$S$13*'Bilan 2020'!$G$10/SUM('Bilan 2020'!$G$7:$G$19)</f>
        <v>280.85641796574743</v>
      </c>
      <c r="AV9" s="205">
        <f>'Bilan 2023 AMS'!$S$13*'Bilan 2023 AMS'!$G$10/SUM('Bilan 2023 AMS'!$G$7:$G$19)</f>
        <v>275.13354091583551</v>
      </c>
      <c r="AW9" s="205">
        <f>'Bilan 2025 AMS'!$S$13*'Bilan 2025 AMS'!$G$10/SUM('Bilan 2025 AMS'!$G$7:$G$19)</f>
        <v>273.73333845894336</v>
      </c>
      <c r="AX9" s="205">
        <f>'Bilan 2028 AMS'!$S$13*'Bilan 2028 AMS'!$G$10/SUM('Bilan 2028 AMS'!$G$7:$G$19)</f>
        <v>262.04241849213389</v>
      </c>
      <c r="AY9" s="205">
        <f>'Bilan 2030 AMS'!$S$13*'Bilan 2030 AMS'!$G$10/SUM('Bilan 2030 AMS'!$G$7:$G$19)</f>
        <v>254.1512073583919</v>
      </c>
      <c r="AZ9" s="205">
        <f>'Bilan 2033 AMS'!$S$13*'Bilan 2033 AMS'!$G$10/SUM('Bilan 2033 AMS'!$G$7:$G$19)</f>
        <v>242.7471040021538</v>
      </c>
      <c r="BA9" s="205">
        <f>'Bilan 2035 AMS'!$S$13*'Bilan 2035 AMS'!$G$10/SUM('Bilan 2035 AMS'!$G$7:$G$19)</f>
        <v>235.47862817957252</v>
      </c>
      <c r="BB9" s="205">
        <f>'Bilan 2038 AMS'!$S$13*'Bilan 2038 AMS'!$G$10/SUM('Bilan 2038 AMS'!$G$7:$G$19)</f>
        <v>224.39959113116802</v>
      </c>
      <c r="BC9" s="205">
        <f>'Bilan 2040 AMS'!$S$13*'Bilan 2040 AMS'!$G$10/SUM('Bilan 2040 AMS'!$G$7:$G$19)</f>
        <v>217.56302157691462</v>
      </c>
      <c r="BD9" s="205">
        <f>'Bilan 2045 AMS'!$S$13*'Bilan 2045 AMS'!$G$10/SUM('Bilan 2045 AMS'!$G$7:$G$19)</f>
        <v>177.29494072829408</v>
      </c>
      <c r="BE9" s="205">
        <f>'Bilan 2050 AMS'!$S$13*'Bilan 2050 AMS'!$G$10/SUM('Bilan 2050 AMS'!$G$7:$G$19)</f>
        <v>127.19601588222059</v>
      </c>
      <c r="BF9" s="216"/>
      <c r="BG9" s="205" t="s">
        <v>224</v>
      </c>
      <c r="BH9" s="202">
        <f t="shared" si="43"/>
        <v>1.7651702297073344</v>
      </c>
      <c r="BI9" s="202">
        <f t="shared" si="43"/>
        <v>1.7088159266761329</v>
      </c>
      <c r="BJ9" s="202">
        <f t="shared" si="43"/>
        <v>1.6618549565192275</v>
      </c>
      <c r="BK9" s="202">
        <f t="shared" si="43"/>
        <v>1.6733413526023559</v>
      </c>
      <c r="BL9" s="202">
        <f t="shared" si="43"/>
        <v>1.6921435216264538</v>
      </c>
      <c r="BM9" s="202">
        <f t="shared" si="43"/>
        <v>1.7066211320640978</v>
      </c>
      <c r="BN9" s="202">
        <f t="shared" si="43"/>
        <v>1.7481689753447196</v>
      </c>
      <c r="BO9" s="202">
        <f t="shared" si="43"/>
        <v>1.7759073392208484</v>
      </c>
      <c r="BP9" s="202">
        <f t="shared" si="43"/>
        <v>1.8500856839684798</v>
      </c>
      <c r="BQ9" s="202">
        <f t="shared" si="43"/>
        <v>0.31709099884247754</v>
      </c>
      <c r="BR9" s="202">
        <f t="shared" si="43"/>
        <v>0</v>
      </c>
      <c r="BS9" s="202">
        <f t="shared" si="43"/>
        <v>0</v>
      </c>
      <c r="BU9" s="205" t="s">
        <v>224</v>
      </c>
      <c r="BV9" s="202">
        <f>'Bilan 2015'!$E17+'Bilan 2015'!$I$13*'Bilan 2015'!$G$17/'Bilan 2015'!$H$13</f>
        <v>0.41009355011330234</v>
      </c>
      <c r="BW9" s="202">
        <f>'Bilan 2020'!$E17+'Bilan 2020'!$I$13*'Bilan 2020'!$G$17/'Bilan 2020'!$H$13</f>
        <v>2.0111729761776775</v>
      </c>
      <c r="BX9" s="202">
        <f>'Bilan 2023 AMS'!$E17+'Bilan 2023 AMS'!$I$13*'Bilan 2023 AMS'!$G$17/'Bilan 2023 AMS'!$H$13</f>
        <v>5.1924345516036725</v>
      </c>
      <c r="BY9" s="202">
        <f>'Bilan 2025 AMS'!$E17+'Bilan 2025 AMS'!$I$13*'Bilan 2025 AMS'!$G$17/'Bilan 2025 AMS'!$H$13</f>
        <v>2.843396639096389</v>
      </c>
      <c r="BZ9" s="202">
        <f>'Bilan 2028 AMS'!$E17+'Bilan 2028 AMS'!$I$13*'Bilan 2028 AMS'!$G$17/'Bilan 2028 AMS'!$H$13</f>
        <v>1.4062326856288363</v>
      </c>
      <c r="CA9" s="202">
        <f>'Bilan 2030 AMS'!$E17+'Bilan 2030 AMS'!$I$13*'Bilan 2030 AMS'!$G$17/'Bilan 2030 AMS'!$H$13</f>
        <v>0.45154783479860228</v>
      </c>
      <c r="CB9" s="202">
        <f>'Bilan 2033 AMS'!$E17+'Bilan 2033 AMS'!$I$13*'Bilan 2033 AMS'!$G$17/'Bilan 2033 AMS'!$H$13</f>
        <v>0.45848300616693027</v>
      </c>
      <c r="CC9" s="202">
        <f>'Bilan 2035 AMS'!$E17+'Bilan 2035 AMS'!$I$13*'Bilan 2035 AMS'!$G$17/'Bilan 2035 AMS'!$H$13</f>
        <v>0.46315242406327256</v>
      </c>
      <c r="CD9" s="202">
        <f>'Bilan 2038 AMS'!$E17+'Bilan 2038 AMS'!$I$13*'Bilan 2038 AMS'!$G$17/'Bilan 2038 AMS'!$H$13</f>
        <v>0.20774152555576997</v>
      </c>
      <c r="CE9" s="202">
        <f>'Bilan 2040 AMS'!$E17+'Bilan 2040 AMS'!$I$13*'Bilan 2040 AMS'!$G$17/'Bilan 2040 AMS'!$H$13</f>
        <v>3.8064818121922674E-2</v>
      </c>
      <c r="CF9" s="202">
        <f>'Bilan 2045 AMS'!$E17+'Bilan 2045 AMS'!$I$13*'Bilan 2045 AMS'!$G$17/'Bilan 2045 AMS'!$H$13</f>
        <v>0</v>
      </c>
      <c r="CG9" s="202">
        <f>'Bilan 2050 AMS'!$E17+'Bilan 2050 AMS'!$I$13*'Bilan 2050 AMS'!$G$17/'Bilan 2050 AMS'!$H$13</f>
        <v>0</v>
      </c>
      <c r="CH9" s="206"/>
      <c r="CJ9" s="205" t="s">
        <v>224</v>
      </c>
      <c r="CK9" s="202">
        <f t="shared" si="44"/>
        <v>7.9921040170571458E-2</v>
      </c>
      <c r="CL9" s="202">
        <f t="shared" si="44"/>
        <v>8.7045000077838844E-2</v>
      </c>
      <c r="CM9" s="202">
        <f t="shared" si="44"/>
        <v>8.8958019457663476E-2</v>
      </c>
      <c r="CN9" s="202">
        <f t="shared" si="44"/>
        <v>8.9739051688972268E-2</v>
      </c>
      <c r="CO9" s="202">
        <f t="shared" si="44"/>
        <v>9.1146119561036867E-2</v>
      </c>
      <c r="CP9" s="202">
        <f t="shared" si="44"/>
        <v>9.2076712625922874E-2</v>
      </c>
      <c r="CQ9" s="202">
        <f t="shared" si="44"/>
        <v>9.503785129065212E-2</v>
      </c>
      <c r="CR9" s="202">
        <f t="shared" si="44"/>
        <v>9.683336810198756E-2</v>
      </c>
      <c r="CS9" s="202">
        <f t="shared" si="44"/>
        <v>0.10165970594397468</v>
      </c>
      <c r="CT9" s="202">
        <f t="shared" si="44"/>
        <v>1.7470701954402302E-2</v>
      </c>
      <c r="CU9" s="202">
        <f t="shared" si="44"/>
        <v>0</v>
      </c>
      <c r="CV9" s="202">
        <f t="shared" si="44"/>
        <v>0</v>
      </c>
      <c r="CW9" s="206"/>
      <c r="CX9" s="193">
        <f>CX8+1</f>
        <v>2302</v>
      </c>
      <c r="CY9" s="205" t="s">
        <v>224</v>
      </c>
      <c r="CZ9" s="207" t="s">
        <v>273</v>
      </c>
      <c r="DA9" s="202">
        <f>'Bilan 2015'!$K$13*'Bilan 2015'!$G$17/SUM('Bilan 2015'!$G$7:$G$19)</f>
        <v>1.8567672704140052E-2</v>
      </c>
      <c r="DB9" s="202">
        <f>'Bilan 2020'!$K$13*'Bilan 2020'!$G$17/SUM('Bilan 2020'!$G$7:$G$19)</f>
        <v>0.10244669957427921</v>
      </c>
      <c r="DC9" s="202">
        <f>'Bilan 2023 AMS'!$K$13*'Bilan 2023 AMS'!$G$17/SUM('Bilan 2023 AMS'!$G$7:$G$19)</f>
        <v>0.2779476584657401</v>
      </c>
      <c r="DD9" s="202">
        <f>'Bilan 2025 AMS'!$K$13*'Bilan 2025 AMS'!$G$17/SUM('Bilan 2025 AMS'!$G$7:$G$19)</f>
        <v>0.1524875468901154</v>
      </c>
      <c r="DE9" s="202">
        <f>'Bilan 2028 AMS'!$K$13*'Bilan 2028 AMS'!$G$17/SUM('Bilan 2028 AMS'!$G$7:$G$19)</f>
        <v>7.5745733654889361E-2</v>
      </c>
      <c r="DF9" s="202">
        <f>'Bilan 2030 AMS'!$K$13*'Bilan 2030 AMS'!$G$17/SUM('Bilan 2030 AMS'!$G$7:$G$19)</f>
        <v>2.4362196998769514E-2</v>
      </c>
      <c r="DG9" s="202">
        <f>'Bilan 2033 AMS'!$K$13*'Bilan 2033 AMS'!$G$17/SUM('Bilan 2033 AMS'!$G$7:$G$19)</f>
        <v>2.4925073247448346E-2</v>
      </c>
      <c r="DH9" s="202">
        <f>'Bilan 2035 AMS'!$K$13*'Bilan 2035 AMS'!$G$17/SUM('Bilan 2035 AMS'!$G$7:$G$19)</f>
        <v>2.5253912845657443E-2</v>
      </c>
      <c r="DI9" s="202">
        <f>'Bilan 2038 AMS'!$K$13*'Bilan 2038 AMS'!$G$17/SUM('Bilan 2038 AMS'!$G$7:$G$19)</f>
        <v>1.1415115842122306E-2</v>
      </c>
      <c r="DJ9" s="202">
        <f>'Bilan 2040 AMS'!$K$13*'Bilan 2040 AMS'!$G$17/SUM('Bilan 2040 AMS'!$G$7:$G$19)</f>
        <v>2.0972499843396894E-3</v>
      </c>
      <c r="DK9" s="202">
        <f>'Bilan 2045 AMS'!$K$13*'Bilan 2045 AMS'!$G$17/SUM('Bilan 2045 AMS'!$G$7:$G$19)</f>
        <v>0</v>
      </c>
      <c r="DL9" s="202">
        <f>'Bilan 2050 AMS'!$K$13*'Bilan 2050 AMS'!$G$17/SUM('Bilan 2050 AMS'!$G$7:$G$19)</f>
        <v>0</v>
      </c>
    </row>
    <row r="10" spans="1:116" ht="14.5">
      <c r="A10" s="203" t="s">
        <v>20</v>
      </c>
      <c r="B10" s="204">
        <f>'Bilan 2015'!$C10</f>
        <v>114.07243284087656</v>
      </c>
      <c r="C10" s="204">
        <f>'Bilan 2020'!$C10</f>
        <v>1068.7282415646853</v>
      </c>
      <c r="D10" s="204">
        <f>'Bilan 2023 AMS'!$C10*(1-SUM('Bilan 2023 AMS'!$M$13:$P$13)/'Bilan 2023 AMS'!$D$13)</f>
        <v>1040.5235553980992</v>
      </c>
      <c r="E10" s="204">
        <f>'Bilan 2025 AMS'!$C10*(1-SUM('Bilan 2025 AMS'!$M$13:$P$13)/'Bilan 2025 AMS'!$D$13)</f>
        <v>1039.5508033930703</v>
      </c>
      <c r="F10" s="204">
        <f>'Bilan 2028 AMS'!$C10*(1-SUM('Bilan 2028 AMS'!$M$13:$P$13)/'Bilan 2028 AMS'!$D$13)</f>
        <v>996.66574005258633</v>
      </c>
      <c r="G10" s="204">
        <f>'Bilan 2030 AMS'!$C10*(1-SUM('Bilan 2030 AMS'!$M$13:$P$13)/'Bilan 2030 AMS'!$D$13)</f>
        <v>968.24135257131763</v>
      </c>
      <c r="H10" s="204">
        <f>'Bilan 2033 AMS'!$C10*(1-SUM('Bilan 2033 AMS'!$M$13:$P$13)/'Bilan 2033 AMS'!$D$13)</f>
        <v>941.07945078899036</v>
      </c>
      <c r="I10" s="204">
        <f>'Bilan 2035 AMS'!$C10*(1-SUM('Bilan 2035 AMS'!$M$13:$P$13)/'Bilan 2035 AMS'!$D$13)</f>
        <v>923.78516465241842</v>
      </c>
      <c r="J10" s="204">
        <f>'Bilan 2038 AMS'!$C10*(1-SUM('Bilan 2038 AMS'!$M$13:$P$13)/'Bilan 2038 AMS'!$D$13)</f>
        <v>905.9927268630114</v>
      </c>
      <c r="K10" s="204">
        <f>'Bilan 2040 AMS'!$C10*(1-SUM('Bilan 2040 AMS'!$M$13:$P$13)/'Bilan 2040 AMS'!$D$13)</f>
        <v>895.32422508105378</v>
      </c>
      <c r="L10" s="204">
        <f>'Bilan 2045 AMS'!$C10*(1-SUM('Bilan 2045 AMS'!$M$13:$P$13)/'Bilan 2045 AMS'!$D$13)</f>
        <v>748.46110983550693</v>
      </c>
      <c r="M10" s="204">
        <f>'Bilan 2050 AMS'!$C10*(1-SUM('Bilan 2050 AMS'!$M$13:$P$13)/'Bilan 2050 AMS'!$D$13)</f>
        <v>590.57597872482324</v>
      </c>
      <c r="N10" s="577"/>
      <c r="O10" s="577"/>
      <c r="P10" s="577"/>
      <c r="Q10" s="572" t="s">
        <v>32</v>
      </c>
      <c r="R10" s="205">
        <f t="shared" ref="R10:AC10" si="49">B12</f>
        <v>3.8826604363568915</v>
      </c>
      <c r="S10" s="205">
        <f t="shared" si="49"/>
        <v>60.547801107489889</v>
      </c>
      <c r="T10" s="205">
        <f t="shared" si="49"/>
        <v>52.002770545412318</v>
      </c>
      <c r="U10" s="205">
        <f t="shared" si="49"/>
        <v>41.821462437390863</v>
      </c>
      <c r="V10" s="205">
        <f t="shared" si="49"/>
        <v>40.652495136782591</v>
      </c>
      <c r="W10" s="205">
        <f t="shared" si="49"/>
        <v>39.896357493060023</v>
      </c>
      <c r="X10" s="205">
        <f t="shared" si="49"/>
        <v>23.565027810564029</v>
      </c>
      <c r="Y10" s="205">
        <f t="shared" si="49"/>
        <v>13.168404390675478</v>
      </c>
      <c r="Z10" s="205">
        <f t="shared" si="49"/>
        <v>10.813846726892312</v>
      </c>
      <c r="AA10" s="205">
        <f t="shared" si="49"/>
        <v>9.3627774802728645</v>
      </c>
      <c r="AB10" s="205">
        <f t="shared" si="49"/>
        <v>10.219613974096065</v>
      </c>
      <c r="AC10" s="205">
        <f t="shared" si="49"/>
        <v>21.571491178709266</v>
      </c>
      <c r="AD10" s="193">
        <f t="shared" ref="AD10:AD11" si="50">AD9+1</f>
        <v>2303</v>
      </c>
      <c r="AE10" s="205" t="s">
        <v>224</v>
      </c>
      <c r="AF10" s="205">
        <f>'Bilan 2015'!$S$13*'Bilan 2015'!$G$17/SUM('Bilan 2015'!$G$7:$G$19)</f>
        <v>0.23232521329191913</v>
      </c>
      <c r="AG10" s="205">
        <f>'Bilan 2020'!$S$13*'Bilan 2020'!$G$17/SUM('Bilan 2020'!$G$7:$G$19)</f>
        <v>1.1769395081011844</v>
      </c>
      <c r="AH10" s="205">
        <f>'Bilan 2023 AMS'!$S$13*'Bilan 2023 AMS'!$G$17/SUM('Bilan 2023 AMS'!$G$7:$G$19)</f>
        <v>3.1244811896696931</v>
      </c>
      <c r="AI10" s="205">
        <f>'Bilan 2025 AMS'!$S$13*'Bilan 2025 AMS'!$G$17/SUM('Bilan 2025 AMS'!$G$7:$G$19)</f>
        <v>1.6992328759905324</v>
      </c>
      <c r="AJ10" s="205">
        <f>'Bilan 2028 AMS'!$S$13*'Bilan 2028 AMS'!$G$17/SUM('Bilan 2028 AMS'!$G$7:$G$19)</f>
        <v>0.83103629665951395</v>
      </c>
      <c r="AK10" s="205">
        <f>'Bilan 2030 AMS'!$S$13*'Bilan 2030 AMS'!$G$17/SUM('Bilan 2030 AMS'!$G$7:$G$19)</f>
        <v>0.26458586871737089</v>
      </c>
      <c r="AL10" s="205">
        <f>'Bilan 2033 AMS'!$S$13*'Bilan 2033 AMS'!$G$17/SUM('Bilan 2033 AMS'!$G$7:$G$19)</f>
        <v>0.26226469673878205</v>
      </c>
      <c r="AM10" s="205">
        <f>'Bilan 2035 AMS'!$S$13*'Bilan 2035 AMS'!$G$17/SUM('Bilan 2035 AMS'!$G$7:$G$19)</f>
        <v>0.26079762937770923</v>
      </c>
      <c r="AN10" s="205">
        <f>'Bilan 2038 AMS'!$S$13*'Bilan 2038 AMS'!$G$17/SUM('Bilan 2038 AMS'!$G$7:$G$19)</f>
        <v>0.11228751584637919</v>
      </c>
      <c r="AO10" s="205">
        <f>'Bilan 2040 AMS'!$S$13*'Bilan 2040 AMS'!$G$17/SUM('Bilan 2040 AMS'!$G$7:$G$19)</f>
        <v>2.0043830511985824E-2</v>
      </c>
      <c r="AP10" s="205">
        <f>'Bilan 2045 AMS'!$S$13*'Bilan 2045 AMS'!$G$17/SUM('Bilan 2045 AMS'!$G$7:$G$19)</f>
        <v>0</v>
      </c>
      <c r="AQ10" s="205">
        <f>'Bilan 2050 AMS'!$S$13*'Bilan 2050 AMS'!$G$17/SUM('Bilan 2050 AMS'!$G$7:$G$19)</f>
        <v>0</v>
      </c>
      <c r="AR10" s="206"/>
      <c r="AS10" s="205" t="s">
        <v>224</v>
      </c>
      <c r="AT10" s="205">
        <f>'Bilan 2015'!$S$13*'Bilan 2015'!$G$17/SUM('Bilan 2015'!$G$7:$G$19)</f>
        <v>0.23232521329191913</v>
      </c>
      <c r="AU10" s="205">
        <f>'Bilan 2020'!$S$13*'Bilan 2020'!$G$17/SUM('Bilan 2020'!$G$7:$G$19)</f>
        <v>1.1769395081011844</v>
      </c>
      <c r="AV10" s="205">
        <f>'Bilan 2023 AMS'!$S$13*'Bilan 2023 AMS'!$G$17/SUM('Bilan 2023 AMS'!$G$7:$G$19)</f>
        <v>3.1244811896696931</v>
      </c>
      <c r="AW10" s="205">
        <f>'Bilan 2025 AMS'!$S$13*'Bilan 2025 AMS'!$G$17/SUM('Bilan 2025 AMS'!$G$7:$G$19)</f>
        <v>1.6992328759905324</v>
      </c>
      <c r="AX10" s="205">
        <f>'Bilan 2028 AMS'!$S$13*'Bilan 2028 AMS'!$G$17/SUM('Bilan 2028 AMS'!$G$7:$G$19)</f>
        <v>0.83103629665951395</v>
      </c>
      <c r="AY10" s="205">
        <f>'Bilan 2030 AMS'!$S$13*'Bilan 2030 AMS'!$G$17/SUM('Bilan 2030 AMS'!$G$7:$G$19)+0</f>
        <v>0.26458586871737089</v>
      </c>
      <c r="AZ10" s="205">
        <f>'Bilan 2033 AMS'!$S$13*'Bilan 2033 AMS'!$G$17/SUM('Bilan 2033 AMS'!$G$7:$G$19)+0</f>
        <v>0.26226469673878205</v>
      </c>
      <c r="BA10" s="205">
        <f>'Bilan 2035 AMS'!$S$13*'Bilan 2035 AMS'!$G$17/SUM('Bilan 2035 AMS'!$G$7:$G$19)+0</f>
        <v>0.26079762937770923</v>
      </c>
      <c r="BB10" s="205">
        <f>'Bilan 2038 AMS'!$S$13*'Bilan 2038 AMS'!$G$17/SUM('Bilan 2038 AMS'!$G$7:$G$19)</f>
        <v>0.11228751584637919</v>
      </c>
      <c r="BC10" s="205">
        <f>'Bilan 2040 AMS'!$S$13*'Bilan 2040 AMS'!$G$17/SUM('Bilan 2040 AMS'!$G$7:$G$19)+0.1</f>
        <v>0.12004383051198583</v>
      </c>
      <c r="BD10" s="205">
        <f>'Bilan 2045 AMS'!$S$13*'Bilan 2045 AMS'!$G$17/SUM('Bilan 2045 AMS'!$G$7:$G$19)+0.1</f>
        <v>0.1</v>
      </c>
      <c r="BE10" s="205">
        <f>'Bilan 2050 AMS'!$S$13*'Bilan 2050 AMS'!$G$17/SUM('Bilan 2050 AMS'!$G$7:$G$19)+0.1</f>
        <v>0.1</v>
      </c>
      <c r="BF10" s="216"/>
      <c r="BG10" s="205" t="s">
        <v>32</v>
      </c>
      <c r="BH10" s="202">
        <f t="shared" si="43"/>
        <v>1.2711400563441757</v>
      </c>
      <c r="BI10" s="202">
        <f t="shared" si="43"/>
        <v>1.2336304060359775</v>
      </c>
      <c r="BJ10" s="202">
        <f t="shared" si="43"/>
        <v>1.195407506745785</v>
      </c>
      <c r="BK10" s="202">
        <f t="shared" si="43"/>
        <v>1.1850752439563723</v>
      </c>
      <c r="BL10" s="202">
        <f t="shared" si="43"/>
        <v>1.1437760969773334</v>
      </c>
      <c r="BM10" s="202">
        <f t="shared" si="43"/>
        <v>1.1180499924142584</v>
      </c>
      <c r="BN10" s="202">
        <f t="shared" si="43"/>
        <v>1.1110670687730584</v>
      </c>
      <c r="BO10" s="202">
        <f t="shared" si="43"/>
        <v>1.1060197402742109</v>
      </c>
      <c r="BP10" s="202">
        <f t="shared" si="43"/>
        <v>1.1177058928747794</v>
      </c>
      <c r="BQ10" s="202">
        <f t="shared" si="43"/>
        <v>1.1242107599580331</v>
      </c>
      <c r="BR10" s="202">
        <f t="shared" si="43"/>
        <v>1.1137281758727593</v>
      </c>
      <c r="BS10" s="202">
        <f t="shared" si="43"/>
        <v>1.1939285855158561</v>
      </c>
      <c r="BU10" s="205" t="s">
        <v>32</v>
      </c>
      <c r="BV10" s="202">
        <f>'Bilan 2015'!$E19+'Bilan 2015'!$I$13*'Bilan 2015'!$G$19/'Bilan 2015'!$H$13</f>
        <v>1.9282678297504712</v>
      </c>
      <c r="BW10" s="202">
        <f>'Bilan 2020'!$E19+'Bilan 2020'!$I$13*'Bilan 2020'!$G$19/'Bilan 2020'!$H$13</f>
        <v>28.129408160462162</v>
      </c>
      <c r="BX10" s="202">
        <f>'Bilan 2023 AMS'!$E19+'Bilan 2023 AMS'!$I$13*'Bilan 2023 AMS'!$G$19/'Bilan 2023 AMS'!$H$13</f>
        <v>23.139004500669724</v>
      </c>
      <c r="BY10" s="202">
        <f>'Bilan 2025 AMS'!$E19+'Bilan 2025 AMS'!$I$13*'Bilan 2025 AMS'!$G$19/'Bilan 2025 AMS'!$H$13</f>
        <v>18.124120528302196</v>
      </c>
      <c r="BZ10" s="202">
        <f>'Bilan 2028 AMS'!$E19+'Bilan 2028 AMS'!$I$13*'Bilan 2028 AMS'!$G$19/'Bilan 2028 AMS'!$H$13</f>
        <v>17.044068288278829</v>
      </c>
      <c r="CA10" s="202">
        <f>'Bilan 2030 AMS'!$E19+'Bilan 2030 AMS'!$I$13*'Bilan 2030 AMS'!$G$19/'Bilan 2030 AMS'!$H$13</f>
        <v>16.356205371907322</v>
      </c>
      <c r="CB10" s="202">
        <f>'Bilan 2033 AMS'!$E19+'Bilan 2033 AMS'!$I$13*'Bilan 2033 AMS'!$G$19/'Bilan 2033 AMS'!$H$13</f>
        <v>9.2518009624368389</v>
      </c>
      <c r="CC10" s="202">
        <f>'Bilan 2035 AMS'!$E19+'Bilan 2035 AMS'!$I$13*'Bilan 2035 AMS'!$G$19/'Bilan 2035 AMS'!$H$13</f>
        <v>5.0035869221294549</v>
      </c>
      <c r="CD10" s="202">
        <f>'Bilan 2038 AMS'!$E19+'Bilan 2038 AMS'!$I$13*'Bilan 2038 AMS'!$G$19/'Bilan 2038 AMS'!$H$13</f>
        <v>4.2849040272416312</v>
      </c>
      <c r="CE10" s="202">
        <f>'Bilan 2040 AMS'!$E19+'Bilan 2040 AMS'!$I$13*'Bilan 2040 AMS'!$G$19/'Bilan 2040 AMS'!$H$13</f>
        <v>3.8412899052544192</v>
      </c>
      <c r="CF10" s="202">
        <f>'Bilan 2045 AMS'!$E19+'Bilan 2045 AMS'!$I$13*'Bilan 2045 AMS'!$G$19/'Bilan 2045 AMS'!$H$13</f>
        <v>4.8474694727458987</v>
      </c>
      <c r="CG10" s="202">
        <f>'Bilan 2050 AMS'!$E19+'Bilan 2050 AMS'!$I$13*'Bilan 2050 AMS'!$G$19/'Bilan 2050 AMS'!$H$13</f>
        <v>10.696908428833527</v>
      </c>
      <c r="CH10" s="206"/>
      <c r="CJ10" s="205" t="s">
        <v>32</v>
      </c>
      <c r="CK10" s="202">
        <f t="shared" si="44"/>
        <v>7.9921040170571458E-2</v>
      </c>
      <c r="CL10" s="202">
        <f t="shared" si="44"/>
        <v>8.7045000077838858E-2</v>
      </c>
      <c r="CM10" s="202">
        <f t="shared" si="44"/>
        <v>8.8958019457663504E-2</v>
      </c>
      <c r="CN10" s="202">
        <f t="shared" si="44"/>
        <v>8.9739051688972282E-2</v>
      </c>
      <c r="CO10" s="202">
        <f t="shared" si="44"/>
        <v>9.1146119561036854E-2</v>
      </c>
      <c r="CP10" s="202">
        <f t="shared" si="44"/>
        <v>9.207671262592286E-2</v>
      </c>
      <c r="CQ10" s="202">
        <f t="shared" si="44"/>
        <v>9.5037851290652162E-2</v>
      </c>
      <c r="CR10" s="202">
        <f t="shared" si="44"/>
        <v>9.6833368101987574E-2</v>
      </c>
      <c r="CS10" s="202">
        <f t="shared" si="44"/>
        <v>0.10165970594397468</v>
      </c>
      <c r="CT10" s="202">
        <f t="shared" si="44"/>
        <v>0.10463319289621685</v>
      </c>
      <c r="CU10" s="202">
        <f t="shared" si="44"/>
        <v>0.11028164210292045</v>
      </c>
      <c r="CV10" s="202">
        <f t="shared" si="44"/>
        <v>0.12621816480176401</v>
      </c>
      <c r="CW10" s="206"/>
      <c r="CX10" s="193">
        <f t="shared" ref="CX10:CX11" si="51">CX9+1</f>
        <v>2303</v>
      </c>
      <c r="CY10" s="205" t="s">
        <v>32</v>
      </c>
      <c r="CZ10" s="207" t="s">
        <v>274</v>
      </c>
      <c r="DA10" s="202">
        <f>'Bilan 2015'!$K$13*'Bilan 2015'!$G$19/SUM('Bilan 2015'!$G$7:$G$19)</f>
        <v>0.12123697141944305</v>
      </c>
      <c r="DB10" s="202">
        <f>'Bilan 2020'!$K$13*'Bilan 2020'!$G$19/SUM('Bilan 2020'!$G$7:$G$19)</f>
        <v>1.984811920601754</v>
      </c>
      <c r="DC10" s="202">
        <f>'Bilan 2023 AMS'!$K$13*'Bilan 2023 AMS'!$G$19/SUM('Bilan 2023 AMS'!$G$7:$G$19)</f>
        <v>1.7219232780334877</v>
      </c>
      <c r="DD10" s="202">
        <f>'Bilan 2025 AMS'!$K$13*'Bilan 2025 AMS'!$G$19/SUM('Bilan 2025 AMS'!$G$7:$G$19)</f>
        <v>1.3724372331638639</v>
      </c>
      <c r="DE10" s="202">
        <f>'Bilan 2028 AMS'!$K$13*'Bilan 2028 AMS'!$G$19/SUM('Bilan 2028 AMS'!$G$7:$G$19)</f>
        <v>1.3582209753424539</v>
      </c>
      <c r="DF10" s="202">
        <f>'Bilan 2030 AMS'!$K$13*'Bilan 2030 AMS'!$G$19/SUM('Bilan 2030 AMS'!$G$7:$G$19)</f>
        <v>1.3470109851060001</v>
      </c>
      <c r="DG10" s="202">
        <f>'Bilan 2033 AMS'!$K$13*'Bilan 2033 AMS'!$G$19/SUM('Bilan 2033 AMS'!$G$7:$G$19)</f>
        <v>0.79137552426043578</v>
      </c>
      <c r="DH10" s="202">
        <f>'Bilan 2035 AMS'!$K$13*'Bilan 2035 AMS'!$G$19/SUM('Bilan 2035 AMS'!$G$7:$G$19)</f>
        <v>0.43807009641684058</v>
      </c>
      <c r="DI10" s="202">
        <f>'Bilan 2038 AMS'!$K$13*'Bilan 2038 AMS'!$G$19/SUM('Bilan 2038 AMS'!$G$7:$G$19)</f>
        <v>0.38972871681579224</v>
      </c>
      <c r="DJ10" s="202">
        <f>'Bilan 2040 AMS'!$K$13*'Bilan 2040 AMS'!$G$19/SUM('Bilan 2040 AMS'!$G$7:$G$19)</f>
        <v>0.35751875177015752</v>
      </c>
      <c r="DK10" s="202">
        <f>'Bilan 2045 AMS'!$K$13*'Bilan 2045 AMS'!$G$19/SUM('Bilan 2045 AMS'!$G$7:$G$19)</f>
        <v>0.47999763773532378</v>
      </c>
      <c r="DL10" s="202">
        <f>'Bilan 2050 AMS'!$K$13*'Bilan 2050 AMS'!$G$19/SUM('Bilan 2050 AMS'!$G$7:$G$19)</f>
        <v>1.1308416326731445</v>
      </c>
    </row>
    <row r="11" spans="1:116" ht="14.5">
      <c r="A11" s="203" t="s">
        <v>224</v>
      </c>
      <c r="B11" s="204">
        <f>'Bilan 2015'!$C$17</f>
        <v>0.70199999999999996</v>
      </c>
      <c r="C11" s="204">
        <f>'Bilan 2020'!$C$17</f>
        <v>3.4206184464582501</v>
      </c>
      <c r="D11" s="204">
        <f>'Bilan 2023 AMS'!$C$17*(1-SUM('Bilan 2023 AMS'!$M$13:$P$13)/'Bilan 2023 AMS'!$D$13)</f>
        <v>8.8917058014988548</v>
      </c>
      <c r="E11" s="204">
        <f>'Bilan 2025 AMS'!$C$17*(1-SUM('Bilan 2025 AMS'!$M$13:$P$13)/'Bilan 2025 AMS'!$D$13)</f>
        <v>4.8560198553765312</v>
      </c>
      <c r="F11" s="204">
        <f>'Bilan 2028 AMS'!$C$17*(1-SUM('Bilan 2028 AMS'!$M$13:$P$13)/'Bilan 2028 AMS'!$D$13)</f>
        <v>2.3900822550052698</v>
      </c>
      <c r="G11" s="204">
        <f>'Bilan 2030 AMS'!$C$17*(1-SUM('Bilan 2030 AMS'!$M$13:$P$13)/'Bilan 2030 AMS'!$D$13)</f>
        <v>0.76486718248508456</v>
      </c>
      <c r="H11" s="204">
        <f>'Bilan 2033 AMS'!$C$17*(1-SUM('Bilan 2033 AMS'!$M$13:$P$13)/'Bilan 2033 AMS'!$D$13)</f>
        <v>0.7677708888161382</v>
      </c>
      <c r="I11" s="204">
        <f>'Bilan 2035 AMS'!$C$17*(1-SUM('Bilan 2035 AMS'!$M$13:$P$13)/'Bilan 2035 AMS'!$D$13)</f>
        <v>0.76998795810653076</v>
      </c>
      <c r="J11" s="204">
        <f>'Bilan 2038 AMS'!$C$17*(1-SUM('Bilan 2038 AMS'!$M$13:$P$13)/'Bilan 2038 AMS'!$D$13)</f>
        <v>0.33869482534661466</v>
      </c>
      <c r="K11" s="204">
        <f>'Bilan 2040 AMS'!$C$17*(1-SUM('Bilan 2040 AMS'!$M$13:$P$13)/'Bilan 2040 AMS'!$D$13)</f>
        <v>6.1317490640777648E-2</v>
      </c>
      <c r="L11" s="204">
        <f>'Bilan 2045 AMS'!$C$17*(1-SUM('Bilan 2045 AMS'!$M$13:$P$13)/'Bilan 2045 AMS'!$D$13)</f>
        <v>0</v>
      </c>
      <c r="M11" s="204">
        <f>'Bilan 2050 AMS'!$C$17*(1-SUM('Bilan 2050 AMS'!$M$13:$P$13)/'Bilan 2050 AMS'!$D$13)</f>
        <v>0</v>
      </c>
      <c r="N11" s="577"/>
      <c r="O11" s="577"/>
      <c r="P11" s="577"/>
      <c r="Q11" s="572" t="s">
        <v>42</v>
      </c>
      <c r="R11" s="205">
        <f t="shared" ref="R11:T12" si="52">B13</f>
        <v>2.993512517722364</v>
      </c>
      <c r="S11" s="205">
        <f t="shared" si="52"/>
        <v>9.3252829217432893</v>
      </c>
      <c r="T11" s="205">
        <f t="shared" si="52"/>
        <v>6.8187900302322859</v>
      </c>
      <c r="U11" s="205">
        <f t="shared" ref="U11:AC11" si="53">E13+0.0001</f>
        <v>5.0009671482213678</v>
      </c>
      <c r="V11" s="205">
        <f t="shared" si="53"/>
        <v>1.9866055805927569</v>
      </c>
      <c r="W11" s="205">
        <f t="shared" si="53"/>
        <v>1E-4</v>
      </c>
      <c r="X11" s="205">
        <f t="shared" si="53"/>
        <v>1E-4</v>
      </c>
      <c r="Y11" s="205">
        <f t="shared" si="53"/>
        <v>1E-4</v>
      </c>
      <c r="Z11" s="205">
        <f t="shared" si="53"/>
        <v>1E-4</v>
      </c>
      <c r="AA11" s="205">
        <f t="shared" si="53"/>
        <v>1E-4</v>
      </c>
      <c r="AB11" s="205">
        <f t="shared" si="53"/>
        <v>1E-4</v>
      </c>
      <c r="AC11" s="205">
        <f t="shared" si="53"/>
        <v>1E-4</v>
      </c>
      <c r="AD11" s="193">
        <f t="shared" si="50"/>
        <v>2304</v>
      </c>
      <c r="AE11" s="205" t="s">
        <v>32</v>
      </c>
      <c r="AF11" s="205">
        <f>'Bilan 2015'!$S$13*'Bilan 2015'!$G$19/SUM('Bilan 2015'!$G$7:$G$19)</f>
        <v>1.5169593784151592</v>
      </c>
      <c r="AG11" s="205">
        <f>'Bilan 2020'!$S$13*'Bilan 2020'!$G$19/SUM('Bilan 2020'!$G$7:$G$19)</f>
        <v>22.802135893237541</v>
      </c>
      <c r="AH11" s="205">
        <f>'Bilan 2023 AMS'!$S$13*'Bilan 2023 AMS'!$G$19/SUM('Bilan 2023 AMS'!$G$7:$G$19)</f>
        <v>19.356582897542786</v>
      </c>
      <c r="AI11" s="205">
        <f>'Bilan 2025 AMS'!$S$13*'Bilan 2025 AMS'!$G$19/SUM('Bilan 2025 AMS'!$G$7:$G$19)</f>
        <v>15.293645378832522</v>
      </c>
      <c r="AJ11" s="205">
        <f>'Bilan 2028 AMS'!$S$13*'Bilan 2028 AMS'!$G$19/SUM('Bilan 2028 AMS'!$G$7:$G$19)</f>
        <v>14.901577619362154</v>
      </c>
      <c r="AK11" s="205">
        <f>'Bilan 2030 AMS'!$S$13*'Bilan 2030 AMS'!$G$19/SUM('Bilan 2030 AMS'!$G$7:$G$19)</f>
        <v>14.629225421833411</v>
      </c>
      <c r="AL11" s="205">
        <f>'Bilan 2033 AMS'!$S$13*'Bilan 2033 AMS'!$G$19/SUM('Bilan 2033 AMS'!$G$7:$G$19)</f>
        <v>8.3269509307422105</v>
      </c>
      <c r="AM11" s="205">
        <f>'Bilan 2035 AMS'!$S$13*'Bilan 2035 AMS'!$G$19/SUM('Bilan 2035 AMS'!$G$7:$G$19)</f>
        <v>4.5239580632520502</v>
      </c>
      <c r="AN11" s="205">
        <f>'Bilan 2038 AMS'!$S$13*'Bilan 2038 AMS'!$G$19/SUM('Bilan 2038 AMS'!$G$7:$G$19)</f>
        <v>3.8336596904045175</v>
      </c>
      <c r="AO11" s="205">
        <f>'Bilan 2040 AMS'!$S$13*'Bilan 2040 AMS'!$G$19/SUM('Bilan 2040 AMS'!$G$7:$G$19)</f>
        <v>3.4168770145891636</v>
      </c>
      <c r="AP11" s="205">
        <f>'Bilan 2045 AMS'!$S$13*'Bilan 2045 AMS'!$G$19/SUM('Bilan 2045 AMS'!$G$7:$G$19)</f>
        <v>4.3524708970815427</v>
      </c>
      <c r="AQ11" s="205">
        <f>'Bilan 2050 AMS'!$S$13*'Bilan 2050 AMS'!$G$19/SUM('Bilan 2050 AMS'!$G$7:$G$19)</f>
        <v>8.9594206543030008</v>
      </c>
      <c r="AR11" s="206"/>
      <c r="AS11" s="205" t="s">
        <v>32</v>
      </c>
      <c r="AT11" s="205">
        <f>'Bilan 2015'!$S$13*'Bilan 2015'!$G$19/SUM('Bilan 2015'!$G$7:$G$19)</f>
        <v>1.5169593784151592</v>
      </c>
      <c r="AU11" s="205">
        <f>'Bilan 2020'!$S$13*'Bilan 2020'!$G$19/SUM('Bilan 2020'!$G$7:$G$19)</f>
        <v>22.802135893237541</v>
      </c>
      <c r="AV11" s="205">
        <f>'Bilan 2023 AMS'!$S$13*'Bilan 2023 AMS'!$G$19/SUM('Bilan 2023 AMS'!$G$7:$G$19)</f>
        <v>19.356582897542786</v>
      </c>
      <c r="AW11" s="205">
        <f>'Bilan 2025 AMS'!$S$13*'Bilan 2025 AMS'!$G$19/SUM('Bilan 2025 AMS'!$G$7:$G$19)</f>
        <v>15.293645378832522</v>
      </c>
      <c r="AX11" s="205">
        <f>'Bilan 2028 AMS'!$S$13*'Bilan 2028 AMS'!$G$19/SUM('Bilan 2028 AMS'!$G$7:$G$19)</f>
        <v>14.901577619362154</v>
      </c>
      <c r="AY11" s="205">
        <f>'Bilan 2030 AMS'!$S$13*'Bilan 2030 AMS'!$G$19/SUM('Bilan 2030 AMS'!$G$7:$G$19)</f>
        <v>14.629225421833411</v>
      </c>
      <c r="AZ11" s="205">
        <f>'Bilan 2033 AMS'!$S$13*'Bilan 2033 AMS'!$G$19/SUM('Bilan 2033 AMS'!$G$7:$G$19)</f>
        <v>8.3269509307422105</v>
      </c>
      <c r="BA11" s="205">
        <f>'Bilan 2035 AMS'!$S$13*'Bilan 2035 AMS'!$G$19/SUM('Bilan 2035 AMS'!$G$7:$G$19)</f>
        <v>4.5239580632520502</v>
      </c>
      <c r="BB11" s="205">
        <f>'Bilan 2038 AMS'!$S$13*'Bilan 2038 AMS'!$G$19/SUM('Bilan 2038 AMS'!$G$7:$G$19)</f>
        <v>3.8336596904045175</v>
      </c>
      <c r="BC11" s="205">
        <f>'Bilan 2040 AMS'!$S$13*'Bilan 2040 AMS'!$G$19/SUM('Bilan 2040 AMS'!$G$7:$G$19)</f>
        <v>3.4168770145891636</v>
      </c>
      <c r="BD11" s="205">
        <f>'Bilan 2045 AMS'!$S$13*'Bilan 2045 AMS'!$G$19/SUM('Bilan 2045 AMS'!$G$7:$G$19)</f>
        <v>4.3524708970815427</v>
      </c>
      <c r="BE11" s="205">
        <f>'Bilan 2050 AMS'!$S$13*'Bilan 2050 AMS'!$G$19/SUM('Bilan 2050 AMS'!$G$7:$G$19)</f>
        <v>8.9594206543030008</v>
      </c>
      <c r="BF11" s="216"/>
      <c r="BG11" s="205" t="s">
        <v>42</v>
      </c>
      <c r="BH11" s="202">
        <f t="shared" si="43"/>
        <v>2.92291555534656</v>
      </c>
      <c r="BI11" s="202">
        <f t="shared" si="43"/>
        <v>2.8223993573954025</v>
      </c>
      <c r="BJ11" s="202">
        <f t="shared" si="43"/>
        <v>2.75496097260576</v>
      </c>
      <c r="BK11" s="202">
        <f t="shared" si="43"/>
        <v>2.7750384596649846</v>
      </c>
      <c r="BL11" s="202">
        <f t="shared" si="43"/>
        <v>2.8086031703675465</v>
      </c>
      <c r="BM11" s="202">
        <f t="shared" si="43"/>
        <v>0</v>
      </c>
      <c r="BN11" s="202">
        <f t="shared" si="43"/>
        <v>0</v>
      </c>
      <c r="BO11" s="202">
        <f t="shared" si="43"/>
        <v>0</v>
      </c>
      <c r="BP11" s="202">
        <f t="shared" si="43"/>
        <v>0</v>
      </c>
      <c r="BQ11" s="202">
        <f t="shared" si="43"/>
        <v>0</v>
      </c>
      <c r="BR11" s="202">
        <f t="shared" si="43"/>
        <v>0</v>
      </c>
      <c r="BS11" s="202">
        <f t="shared" si="43"/>
        <v>0</v>
      </c>
      <c r="BU11" s="205" t="s">
        <v>42</v>
      </c>
      <c r="BV11" s="202">
        <f>'Bilan 2015'!$E18+'Bilan 2015'!$I$13*'Bilan 2015'!$G$18/'Bilan 2015'!$H$13</f>
        <v>2.0935645016427267</v>
      </c>
      <c r="BW11" s="202">
        <f>'Bilan 2020'!$E18+'Bilan 2020'!$I$13*'Bilan 2020'!$G$18/'Bilan 2020'!$H$13</f>
        <v>6.5472625385522827</v>
      </c>
      <c r="BX11" s="202">
        <f>'Bilan 2023 AMS'!$E18+'Bilan 2023 AMS'!$I$13*'Bilan 2023 AMS'!$G$18/'Bilan 2023 AMS'!$H$13</f>
        <v>4.7724937064936315</v>
      </c>
      <c r="BY11" s="202">
        <f>'Bilan 2025 AMS'!$E18+'Bilan 2025 AMS'!$I$13*'Bilan 2025 AMS'!$G$18/'Bilan 2025 AMS'!$H$13</f>
        <v>3.5108844670313641</v>
      </c>
      <c r="BZ11" s="202">
        <f>'Bilan 2028 AMS'!$E18+'Bilan 2028 AMS'!$I$13*'Bilan 2028 AMS'!$G$18/'Bilan 2028 AMS'!$H$13</f>
        <v>1.4025458989001482</v>
      </c>
      <c r="CA11" s="202">
        <f>'Bilan 2030 AMS'!$E18+'Bilan 2030 AMS'!$I$13*'Bilan 2030 AMS'!$G$18/'Bilan 2030 AMS'!$H$13</f>
        <v>0</v>
      </c>
      <c r="CB11" s="202">
        <f>'Bilan 2033 AMS'!$E18+'Bilan 2033 AMS'!$I$13*'Bilan 2033 AMS'!$G$18/'Bilan 2033 AMS'!$H$13</f>
        <v>0</v>
      </c>
      <c r="CC11" s="202">
        <f>'Bilan 2035 AMS'!$E18+'Bilan 2035 AMS'!$I$13*'Bilan 2035 AMS'!$G$18/'Bilan 2035 AMS'!$H$13</f>
        <v>0</v>
      </c>
      <c r="CD11" s="202">
        <f>'Bilan 2038 AMS'!$E18+'Bilan 2038 AMS'!$I$13*'Bilan 2038 AMS'!$G$18/'Bilan 2038 AMS'!$H$13</f>
        <v>0</v>
      </c>
      <c r="CE11" s="202">
        <f>'Bilan 2040 AMS'!$E18+'Bilan 2040 AMS'!$I$13*'Bilan 2040 AMS'!$G$18/'Bilan 2040 AMS'!$H$13</f>
        <v>0</v>
      </c>
      <c r="CF11" s="202">
        <f>'Bilan 2045 AMS'!$E18+'Bilan 2045 AMS'!$I$13*'Bilan 2045 AMS'!$G$18/'Bilan 2045 AMS'!$H$13</f>
        <v>0</v>
      </c>
      <c r="CG11" s="202">
        <f>'Bilan 2050 AMS'!$E18+'Bilan 2050 AMS'!$I$13*'Bilan 2050 AMS'!$G$18/'Bilan 2050 AMS'!$H$13</f>
        <v>0</v>
      </c>
      <c r="CH11" s="206"/>
      <c r="CJ11" s="205" t="s">
        <v>42</v>
      </c>
      <c r="CK11" s="202">
        <f t="shared" si="44"/>
        <v>7.9921040170571458E-2</v>
      </c>
      <c r="CL11" s="202">
        <f t="shared" si="44"/>
        <v>8.7045000077838858E-2</v>
      </c>
      <c r="CM11" s="202">
        <f t="shared" si="44"/>
        <v>8.895801945766349E-2</v>
      </c>
      <c r="CN11" s="202">
        <f t="shared" si="44"/>
        <v>8.9739051688972268E-2</v>
      </c>
      <c r="CO11" s="202">
        <f t="shared" si="44"/>
        <v>9.1146119561036867E-2</v>
      </c>
      <c r="CP11" s="202">
        <f t="shared" si="44"/>
        <v>0</v>
      </c>
      <c r="CQ11" s="202">
        <f t="shared" si="44"/>
        <v>0</v>
      </c>
      <c r="CR11" s="202">
        <f t="shared" si="44"/>
        <v>0</v>
      </c>
      <c r="CS11" s="202">
        <f t="shared" si="44"/>
        <v>0</v>
      </c>
      <c r="CT11" s="202">
        <f t="shared" si="44"/>
        <v>0</v>
      </c>
      <c r="CU11" s="202">
        <f t="shared" si="44"/>
        <v>0</v>
      </c>
      <c r="CV11" s="202">
        <f t="shared" si="44"/>
        <v>0</v>
      </c>
      <c r="CW11" s="206"/>
      <c r="CX11" s="193">
        <f t="shared" si="51"/>
        <v>2304</v>
      </c>
      <c r="CY11" s="205" t="s">
        <v>42</v>
      </c>
      <c r="CZ11" s="207" t="s">
        <v>275</v>
      </c>
      <c r="DA11" s="202">
        <f>'Bilan 2015'!$K$13*'Bilan 2015'!$G$18/SUM('Bilan 2015'!$G$7:$G$19)</f>
        <v>5.7244162367062375E-2</v>
      </c>
      <c r="DB11" s="202">
        <f>'Bilan 2020'!$K$13*'Bilan 2020'!$G$18/SUM('Bilan 2020'!$G$7:$G$19)</f>
        <v>0.20192268917742462</v>
      </c>
      <c r="DC11" s="202">
        <f>'Bilan 2023 AMS'!$K$13*'Bilan 2023 AMS'!$G$18/SUM('Bilan 2023 AMS'!$G$7:$G$19)</f>
        <v>0.15410439284817815</v>
      </c>
      <c r="DD11" s="202">
        <f>'Bilan 2025 AMS'!$K$13*'Bilan 2025 AMS'!$G$18/SUM('Bilan 2025 AMS'!$G$7:$G$19)</f>
        <v>0.11353480221638923</v>
      </c>
      <c r="DE11" s="202">
        <f>'Bilan 2028 AMS'!$K$13*'Bilan 2028 AMS'!$G$18/SUM('Bilan 2028 AMS'!$G$7:$G$19)</f>
        <v>4.5516083418173162E-2</v>
      </c>
      <c r="DF11" s="202">
        <f>'Bilan 2030 AMS'!$K$13*'Bilan 2030 AMS'!$G$18/SUM('Bilan 2030 AMS'!$G$7:$G$19)</f>
        <v>0</v>
      </c>
      <c r="DG11" s="202">
        <f>'Bilan 2033 AMS'!$K$13*'Bilan 2033 AMS'!$G$18/SUM('Bilan 2033 AMS'!$G$7:$G$19)</f>
        <v>0</v>
      </c>
      <c r="DH11" s="202">
        <f>'Bilan 2035 AMS'!$K$13*'Bilan 2035 AMS'!$G$18/SUM('Bilan 2035 AMS'!$G$7:$G$19)</f>
        <v>0</v>
      </c>
      <c r="DI11" s="202">
        <f>'Bilan 2038 AMS'!$K$13*'Bilan 2038 AMS'!$G$18/SUM('Bilan 2038 AMS'!$G$7:$G$19)</f>
        <v>0</v>
      </c>
      <c r="DJ11" s="202">
        <f>'Bilan 2040 AMS'!$K$13*'Bilan 2040 AMS'!$G$18/SUM('Bilan 2040 AMS'!$G$7:$G$19)</f>
        <v>0</v>
      </c>
      <c r="DK11" s="202">
        <f>'Bilan 2045 AMS'!$K$13*'Bilan 2045 AMS'!$G$18/SUM('Bilan 2045 AMS'!$G$7:$G$19)</f>
        <v>0</v>
      </c>
      <c r="DL11" s="202">
        <f>'Bilan 2050 AMS'!$K$13*'Bilan 2050 AMS'!$G$18/SUM('Bilan 2050 AMS'!$G$7:$G$19)</f>
        <v>0</v>
      </c>
    </row>
    <row r="12" spans="1:116" ht="13">
      <c r="A12" s="203" t="s">
        <v>412</v>
      </c>
      <c r="B12" s="204">
        <f>'Bilan 2015'!$C$11+'Bilan 2015'!$C$19</f>
        <v>3.8826604363568915</v>
      </c>
      <c r="C12" s="204">
        <f>'Bilan 2020'!$C$11+'Bilan 2020'!$C$19</f>
        <v>60.547801107489889</v>
      </c>
      <c r="D12" s="204">
        <f>('Bilan 2023 AMS'!$C$11+'Bilan 2023 AMS'!$C$19)*(1-SUM('Bilan 2023 AMS'!$M$13:$P$13)/'Bilan 2023 AMS'!$D$13)</f>
        <v>52.002770545412318</v>
      </c>
      <c r="E12" s="204">
        <f>('Bilan 2025 AMS'!$C$11+'Bilan 2025 AMS'!$C$19)*(1-SUM('Bilan 2025 AMS'!$M$13:$P$13)/'Bilan 2025 AMS'!$D$13)</f>
        <v>41.821462437390863</v>
      </c>
      <c r="F12" s="204">
        <f>('Bilan 2028 AMS'!$C$11+'Bilan 2028 AMS'!$C$19)*(1-SUM('Bilan 2028 AMS'!$M$13:$P$13)/'Bilan 2028 AMS'!$D$13)</f>
        <v>40.652495136782591</v>
      </c>
      <c r="G12" s="204">
        <f>('Bilan 2030 AMS'!$C$11+'Bilan 2030 AMS'!$C$19)*(1-SUM('Bilan 2030 AMS'!$M$13:$P$13)/'Bilan 2030 AMS'!$D$13)</f>
        <v>39.896357493060023</v>
      </c>
      <c r="H12" s="204">
        <f>('Bilan 2033 AMS'!$C$11+'Bilan 2033 AMS'!$C$19)*(1-SUM('Bilan 2033 AMS'!$M$13:$P$13)/'Bilan 2033 AMS'!$D$13)</f>
        <v>23.565027810564029</v>
      </c>
      <c r="I12" s="204">
        <f>('Bilan 2035 AMS'!$C$11+'Bilan 2035 AMS'!$C$19)*(1-SUM('Bilan 2035 AMS'!$M$13:$P$13)/'Bilan 2035 AMS'!$D$13)</f>
        <v>13.168404390675478</v>
      </c>
      <c r="J12" s="204">
        <f>('Bilan 2038 AMS'!$C$11+'Bilan 2038 AMS'!$C$19)*(1-SUM('Bilan 2038 AMS'!$M$13:$P$13)/'Bilan 2038 AMS'!$D$13)</f>
        <v>10.813846726892312</v>
      </c>
      <c r="K12" s="204">
        <f>('Bilan 2040 AMS'!$C$11+'Bilan 2040 AMS'!$C$19)*(1-SUM('Bilan 2040 AMS'!$M$13:$P$13)/'Bilan 2040 AMS'!$D$13)</f>
        <v>9.3627774802728645</v>
      </c>
      <c r="L12" s="204">
        <f>('Bilan 2045 AMS'!$C$11+'Bilan 2045 AMS'!$C$19)*(1-SUM('Bilan 2045 AMS'!$M$13:$P$13)/'Bilan 2045 AMS'!$D$13)</f>
        <v>10.219613974096065</v>
      </c>
      <c r="M12" s="204">
        <f>('Bilan 2050 AMS'!$C$11+'Bilan 2050 AMS'!$C$19)*(1-SUM('Bilan 2050 AMS'!$M$13:$P$13)/'Bilan 2050 AMS'!$D$13)</f>
        <v>21.571491178709266</v>
      </c>
      <c r="N12" s="577"/>
      <c r="O12" s="577"/>
      <c r="P12" s="577"/>
      <c r="Q12" s="572" t="s">
        <v>17</v>
      </c>
      <c r="R12" s="205">
        <f t="shared" si="52"/>
        <v>2.6944655873275929</v>
      </c>
      <c r="S12" s="205">
        <f t="shared" si="52"/>
        <v>43.442050197585424</v>
      </c>
      <c r="T12" s="205">
        <f t="shared" si="52"/>
        <v>52.895420088743535</v>
      </c>
      <c r="U12" s="205">
        <f t="shared" ref="U12:AC12" si="54">E14</f>
        <v>59.992860758734913</v>
      </c>
      <c r="V12" s="205">
        <f t="shared" si="54"/>
        <v>70.307037321892565</v>
      </c>
      <c r="W12" s="205">
        <f t="shared" si="54"/>
        <v>77.052076740536592</v>
      </c>
      <c r="X12" s="205">
        <f t="shared" si="54"/>
        <v>102.33026242890374</v>
      </c>
      <c r="Y12" s="205">
        <f t="shared" si="54"/>
        <v>118.77846766274499</v>
      </c>
      <c r="Z12" s="205">
        <f t="shared" si="54"/>
        <v>144.95776916269725</v>
      </c>
      <c r="AA12" s="205">
        <f t="shared" si="54"/>
        <v>161.76117327410847</v>
      </c>
      <c r="AB12" s="205">
        <f t="shared" si="54"/>
        <v>210.24806791257907</v>
      </c>
      <c r="AC12" s="205">
        <f t="shared" si="54"/>
        <v>263.70631574064754</v>
      </c>
      <c r="AE12" s="205" t="s">
        <v>42</v>
      </c>
      <c r="AF12" s="205">
        <f>'Bilan 2015'!$S$13*'Bilan 2015'!$G$18/SUM('Bilan 2015'!$G$7:$G$19)</f>
        <v>0.71625897567009933</v>
      </c>
      <c r="AG12" s="205">
        <f>'Bilan 2020'!$S$13*'Bilan 2020'!$G$18/SUM('Bilan 2020'!$G$7:$G$19)</f>
        <v>2.3197505772515123</v>
      </c>
      <c r="AH12" s="205">
        <f>'Bilan 2023 AMS'!$S$13*'Bilan 2023 AMS'!$G$18/SUM('Bilan 2023 AMS'!$G$7:$G$19)</f>
        <v>1.7323271559740472</v>
      </c>
      <c r="AI12" s="205">
        <f>'Bilan 2025 AMS'!$S$13*'Bilan 2025 AMS'!$G$18/SUM('Bilan 2025 AMS'!$G$7:$G$19)</f>
        <v>1.2651660573580714</v>
      </c>
      <c r="AJ12" s="205">
        <f>'Bilan 2028 AMS'!$S$13*'Bilan 2028 AMS'!$G$18/SUM('Bilan 2028 AMS'!$G$7:$G$19)</f>
        <v>0.49937488987331907</v>
      </c>
      <c r="AK12" s="205">
        <f>'Bilan 2030 AMS'!$S$13*'Bilan 2030 AMS'!$G$18/SUM('Bilan 2030 AMS'!$G$7:$G$19)</f>
        <v>0</v>
      </c>
      <c r="AL12" s="205">
        <f>'Bilan 2033 AMS'!$S$13*'Bilan 2033 AMS'!$G$18/SUM('Bilan 2033 AMS'!$G$7:$G$19)</f>
        <v>0</v>
      </c>
      <c r="AM12" s="205">
        <f>'Bilan 2035 AMS'!$S$13*'Bilan 2035 AMS'!$G$18/SUM('Bilan 2035 AMS'!$G$7:$G$19)</f>
        <v>0</v>
      </c>
      <c r="AN12" s="205">
        <f>'Bilan 2038 AMS'!$S$13*'Bilan 2038 AMS'!$G$18/SUM('Bilan 2038 AMS'!$G$7:$G$19)</f>
        <v>0</v>
      </c>
      <c r="AO12" s="205">
        <f>'Bilan 2040 AMS'!$S$13*'Bilan 2040 AMS'!$G$18/SUM('Bilan 2040 AMS'!$G$7:$G$19)</f>
        <v>0</v>
      </c>
      <c r="AP12" s="205">
        <f>'Bilan 2045 AMS'!$S$13*'Bilan 2045 AMS'!$G$18/SUM('Bilan 2045 AMS'!$G$7:$G$19)</f>
        <v>0</v>
      </c>
      <c r="AQ12" s="205">
        <f>'Bilan 2050 AMS'!$S$13*'Bilan 2050 AMS'!$G$18/SUM('Bilan 2050 AMS'!$G$7:$G$19)</f>
        <v>0</v>
      </c>
      <c r="AR12" s="206"/>
      <c r="AS12" s="205" t="s">
        <v>42</v>
      </c>
      <c r="AT12" s="205">
        <f>'Bilan 2015'!$S$13*'Bilan 2015'!$G$18/SUM('Bilan 2015'!$G$7:$G$19)</f>
        <v>0.71625897567009933</v>
      </c>
      <c r="AU12" s="205">
        <f>'Bilan 2020'!$S$13*'Bilan 2020'!$G$18/SUM('Bilan 2020'!$G$7:$G$19)</f>
        <v>2.3197505772515123</v>
      </c>
      <c r="AV12" s="205">
        <f>'Bilan 2023 AMS'!$S$13*'Bilan 2023 AMS'!$G$18/SUM('Bilan 2023 AMS'!$G$7:$G$19)</f>
        <v>1.7323271559740472</v>
      </c>
      <c r="AW12" s="205">
        <f>'Bilan 2025 AMS'!$S$13*'Bilan 2025 AMS'!$G$18/SUM('Bilan 2025 AMS'!$G$7:$G$19)</f>
        <v>1.2651660573580714</v>
      </c>
      <c r="AX12" s="205">
        <f>'Bilan 2028 AMS'!$S$13*'Bilan 2028 AMS'!$G$18/SUM('Bilan 2028 AMS'!$G$7:$G$19)</f>
        <v>0.49937488987331907</v>
      </c>
      <c r="AY12" s="205">
        <f>'Bilan 2030 AMS'!$S$13*'Bilan 2030 AMS'!$G$18/SUM('Bilan 2030 AMS'!$G$7:$G$19)+0.2</f>
        <v>0.2</v>
      </c>
      <c r="AZ12" s="205">
        <f>'Bilan 2033 AMS'!$S$13*'Bilan 2033 AMS'!$G$18/SUM('Bilan 2033 AMS'!$G$7:$G$19)+0.1</f>
        <v>0.1</v>
      </c>
      <c r="BA12" s="205">
        <f>'Bilan 2035 AMS'!$S$13*'Bilan 2035 AMS'!$G$18/SUM('Bilan 2035 AMS'!$G$7:$G$19)+0.1</f>
        <v>0.1</v>
      </c>
      <c r="BB12" s="205">
        <f>'Bilan 2038 AMS'!$S$13*'Bilan 2038 AMS'!$G$18/SUM('Bilan 2038 AMS'!$G$7:$G$19)+0.1</f>
        <v>0.1</v>
      </c>
      <c r="BC12" s="205">
        <f>'Bilan 2040 AMS'!$S$13*'Bilan 2040 AMS'!$G$18/SUM('Bilan 2040 AMS'!$G$7:$G$19)+0.1</f>
        <v>0.1</v>
      </c>
      <c r="BD12" s="205">
        <f>'Bilan 2045 AMS'!$S$13*'Bilan 2045 AMS'!$G$18/SUM('Bilan 2045 AMS'!$G$7:$G$19)+0.1</f>
        <v>0.1</v>
      </c>
      <c r="BE12" s="205">
        <f>'Bilan 2050 AMS'!$S$13*'Bilan 2050 AMS'!$G$18/SUM('Bilan 2050 AMS'!$G$7:$G$19)+0.1</f>
        <v>0.1</v>
      </c>
      <c r="BF12" s="216"/>
      <c r="BG12" s="205" t="s">
        <v>414</v>
      </c>
      <c r="BH12" s="202">
        <f t="shared" si="43"/>
        <v>1.2711400563441755</v>
      </c>
      <c r="BI12" s="202">
        <f t="shared" si="43"/>
        <v>1.2336304060359773</v>
      </c>
      <c r="BJ12" s="202">
        <f t="shared" si="43"/>
        <v>1.195407506745785</v>
      </c>
      <c r="BK12" s="202">
        <f t="shared" si="43"/>
        <v>1.1850752439563719</v>
      </c>
      <c r="BL12" s="202">
        <f t="shared" si="43"/>
        <v>1.1437760969773336</v>
      </c>
      <c r="BM12" s="202">
        <f t="shared" si="43"/>
        <v>1.1180499924142586</v>
      </c>
      <c r="BN12" s="202">
        <f t="shared" si="43"/>
        <v>1.1110670687730586</v>
      </c>
      <c r="BO12" s="202">
        <f t="shared" si="43"/>
        <v>1.1060197402742109</v>
      </c>
      <c r="BP12" s="202">
        <f t="shared" si="43"/>
        <v>1.1177058928747792</v>
      </c>
      <c r="BQ12" s="202">
        <f t="shared" si="43"/>
        <v>1.1242107599580333</v>
      </c>
      <c r="BR12" s="202">
        <f t="shared" si="43"/>
        <v>0.34024233075700133</v>
      </c>
      <c r="BS12" s="202">
        <f t="shared" si="43"/>
        <v>0.33596509971172006</v>
      </c>
      <c r="BU12" s="205" t="s">
        <v>414</v>
      </c>
      <c r="BV12" s="202">
        <f>'Bilan 2015'!$E$11+'Bilan 2015'!$I$13*'Bilan 2015'!$G$11/'Bilan 2015'!$H$13</f>
        <v>2.434039774653048E-2</v>
      </c>
      <c r="BW12" s="202">
        <f>'Bilan 2020'!$E$11+'Bilan 2020'!$I$13*'Bilan 2020'!$G$11/'Bilan 2020'!$H$13</f>
        <v>2.5937613317043193</v>
      </c>
      <c r="BX12" s="202">
        <f>'Bilan 2023 AMS'!$E$11+'Bilan 2023 AMS'!$I$13*'Bilan 2023 AMS'!$G$11/'Bilan 2023 AMS'!$H$13</f>
        <v>2.9746923462695931</v>
      </c>
      <c r="BY12" s="202">
        <f>'Bilan 2025 AMS'!$E$11+'Bilan 2025 AMS'!$I$13*'Bilan 2025 AMS'!$G$11/'Bilan 2025 AMS'!$H$13</f>
        <v>2.7659921539651471</v>
      </c>
      <c r="BZ12" s="202">
        <f>'Bilan 2028 AMS'!$E$11+'Bilan 2028 AMS'!$I$13*'Bilan 2028 AMS'!$G$11/'Bilan 2028 AMS'!$H$13</f>
        <v>2.871008163517903</v>
      </c>
      <c r="CA12" s="202">
        <f>'Bilan 2030 AMS'!$E$11+'Bilan 2030 AMS'!$I$13*'Bilan 2030 AMS'!$G$11/'Bilan 2030 AMS'!$H$13</f>
        <v>2.9317015037394087</v>
      </c>
      <c r="CB12" s="202">
        <f>'Bilan 2033 AMS'!$E$11+'Bilan 2033 AMS'!$I$13*'Bilan 2033 AMS'!$G$11/'Bilan 2033 AMS'!$H$13</f>
        <v>2.0802526565051154</v>
      </c>
      <c r="CC12" s="202">
        <f>'Bilan 2035 AMS'!$E$11+'Bilan 2035 AMS'!$I$13*'Bilan 2035 AMS'!$G$11/'Bilan 2035 AMS'!$H$13</f>
        <v>1.3028722672498398</v>
      </c>
      <c r="CD12" s="202">
        <f>'Bilan 2038 AMS'!$E$11+'Bilan 2038 AMS'!$I$13*'Bilan 2038 AMS'!$G$11/'Bilan 2038 AMS'!$H$13</f>
        <v>0.90611764535029615</v>
      </c>
      <c r="CE12" s="202">
        <f>'Bilan 2040 AMS'!$E$11+'Bilan 2040 AMS'!$I$13*'Bilan 2040 AMS'!$G$11/'Bilan 2040 AMS'!$H$13</f>
        <v>0.65509991629527331</v>
      </c>
      <c r="CF12" s="202">
        <f>'Bilan 2045 AMS'!$E$11+'Bilan 2045 AMS'!$I$13*'Bilan 2045 AMS'!$G$11/'Bilan 2045 AMS'!$H$13</f>
        <v>4.8990873301887033E-2</v>
      </c>
      <c r="CG12" s="202">
        <f>'Bilan 2050 AMS'!$E$11+'Bilan 2050 AMS'!$I$13*'Bilan 2050 AMS'!$G$11/'Bilan 2050 AMS'!$H$13</f>
        <v>4.6752378500765072E-2</v>
      </c>
      <c r="CH12" s="206"/>
      <c r="CJ12" s="205" t="s">
        <v>414</v>
      </c>
      <c r="CK12" s="202">
        <f t="shared" si="44"/>
        <v>7.9921040170571458E-2</v>
      </c>
      <c r="CL12" s="202">
        <f t="shared" si="44"/>
        <v>8.7045000077838844E-2</v>
      </c>
      <c r="CM12" s="202">
        <f t="shared" si="44"/>
        <v>8.8958019457663504E-2</v>
      </c>
      <c r="CN12" s="202">
        <f t="shared" si="44"/>
        <v>8.9739051688972268E-2</v>
      </c>
      <c r="CO12" s="202">
        <f t="shared" si="44"/>
        <v>9.1146119561036867E-2</v>
      </c>
      <c r="CP12" s="202">
        <f t="shared" si="44"/>
        <v>9.2076712625922874E-2</v>
      </c>
      <c r="CQ12" s="202">
        <f t="shared" si="44"/>
        <v>9.5037851290652134E-2</v>
      </c>
      <c r="CR12" s="202">
        <f t="shared" si="44"/>
        <v>9.6833368101987574E-2</v>
      </c>
      <c r="CS12" s="202">
        <f t="shared" si="44"/>
        <v>0.10165970594397468</v>
      </c>
      <c r="CT12" s="202">
        <f t="shared" si="44"/>
        <v>0.10463319289621686</v>
      </c>
      <c r="CU12" s="202">
        <f t="shared" si="44"/>
        <v>3.3690880559255912E-2</v>
      </c>
      <c r="CV12" s="202">
        <f t="shared" si="44"/>
        <v>3.5517114538917968E-2</v>
      </c>
      <c r="CW12" s="206"/>
      <c r="CY12" s="205" t="s">
        <v>21</v>
      </c>
      <c r="DA12" s="202">
        <f>'Bilan 2015'!$K$13*'Bilan 2015'!$G$11/SUM('Bilan 2015'!$G$7:$G$19)</f>
        <v>1.5303663009903882E-3</v>
      </c>
      <c r="DB12" s="202">
        <f>'Bilan 2020'!$K$13*'Bilan 2020'!$G$11/SUM('Bilan 2020'!$G$7:$G$19)</f>
        <v>0.18301588078197342</v>
      </c>
      <c r="DC12" s="202">
        <f>'Bilan 2023 AMS'!$K$13*'Bilan 2023 AMS'!$G$11/SUM('Bilan 2023 AMS'!$G$7:$G$19)</f>
        <v>0.22136613508508587</v>
      </c>
      <c r="DD12" s="202">
        <f>'Bilan 2025 AMS'!$K$13*'Bilan 2025 AMS'!$G$11/SUM('Bilan 2025 AMS'!$G$7:$G$19)</f>
        <v>0.20945295595518162</v>
      </c>
      <c r="DE12" s="202">
        <f>'Bilan 2028 AMS'!$K$13*'Bilan 2028 AMS'!$G$11/SUM('Bilan 2028 AMS'!$G$7:$G$19)</f>
        <v>0.22878713239790796</v>
      </c>
      <c r="DF12" s="202">
        <f>'Bilan 2030 AMS'!$K$13*'Bilan 2030 AMS'!$G$11/SUM('Bilan 2030 AMS'!$G$7:$G$19)</f>
        <v>0.24143950511721046</v>
      </c>
      <c r="DG12" s="202">
        <f>'Bilan 2033 AMS'!$K$13*'Bilan 2033 AMS'!$G$11/SUM('Bilan 2033 AMS'!$G$7:$G$19)</f>
        <v>0.17793952153963</v>
      </c>
      <c r="DH12" s="202">
        <f>'Bilan 2035 AMS'!$K$13*'Bilan 2035 AMS'!$G$11/SUM('Bilan 2035 AMS'!$G$7:$G$19)</f>
        <v>0.11406804530739764</v>
      </c>
      <c r="DI12" s="202">
        <f>'Bilan 2038 AMS'!$K$13*'Bilan 2038 AMS'!$G$11/SUM('Bilan 2038 AMS'!$G$7:$G$19)</f>
        <v>8.2414930407169198E-2</v>
      </c>
      <c r="DJ12" s="202">
        <f>'Bilan 2040 AMS'!$K$13*'Bilan 2040 AMS'!$G$11/SUM('Bilan 2040 AMS'!$G$7:$G$19)</f>
        <v>6.097183762106817E-2</v>
      </c>
      <c r="DK12" s="202">
        <f>'Bilan 2045 AMS'!$K$13*'Bilan 2045 AMS'!$G$11/SUM('Bilan 2045 AMS'!$G$7:$G$19)</f>
        <v>4.8510885086968302E-3</v>
      </c>
      <c r="DL12" s="202">
        <f>'Bilan 2050 AMS'!$K$13*'Bilan 2050 AMS'!$G$11/SUM('Bilan 2050 AMS'!$G$7:$G$19)</f>
        <v>4.9425061817532367E-3</v>
      </c>
    </row>
    <row r="13" spans="1:116" ht="14.5">
      <c r="A13" s="203" t="s">
        <v>42</v>
      </c>
      <c r="B13" s="205">
        <f>'Bilan 2015'!$C$18</f>
        <v>2.993512517722364</v>
      </c>
      <c r="C13" s="205">
        <f>'Bilan 2020'!$C$18</f>
        <v>9.3252829217432893</v>
      </c>
      <c r="D13" s="205">
        <f>'Bilan 2023 AMS'!$C$18*(1-SUM('Bilan 2023 AMS'!$M$13:$P$13)/'Bilan 2023 AMS'!$D$13)</f>
        <v>6.8187900302322859</v>
      </c>
      <c r="E13" s="205">
        <f>'Bilan 2025 AMS'!$C$18*(1-SUM('Bilan 2025 AMS'!$M$13:$P$13)/'Bilan 2025 AMS'!$D$13)</f>
        <v>5.000867148221368</v>
      </c>
      <c r="F13" s="205">
        <f>'Bilan 2028 AMS'!$C$18*(1-SUM('Bilan 2028 AMS'!$M$13:$P$13)/'Bilan 2028 AMS'!$D$13)</f>
        <v>1.9865055805927569</v>
      </c>
      <c r="G13" s="205">
        <f>'Bilan 2030 AMS'!$C$18*(1-SUM('Bilan 2030 AMS'!$M$13:$P$13)/'Bilan 2030 AMS'!$D$13)</f>
        <v>0</v>
      </c>
      <c r="H13" s="205">
        <f>'Bilan 2033 AMS'!$C$18*(1-SUM('Bilan 2033 AMS'!$M$13:$P$13)/'Bilan 2033 AMS'!$D$13)</f>
        <v>0</v>
      </c>
      <c r="I13" s="205">
        <f>'Bilan 2035 AMS'!$C$18*(1-SUM('Bilan 2035 AMS'!$M$13:$P$13)/'Bilan 2035 AMS'!$D$13)</f>
        <v>0</v>
      </c>
      <c r="J13" s="205">
        <f>'Bilan 2038 AMS'!$C$18*(1-SUM('Bilan 2038 AMS'!$M$13:$P$13)/'Bilan 2038 AMS'!$D$13)</f>
        <v>0</v>
      </c>
      <c r="K13" s="205">
        <f>'Bilan 2040 AMS'!$C$18*(1-SUM('Bilan 2040 AMS'!$M$13:$P$13)/'Bilan 2040 AMS'!$D$13)</f>
        <v>0</v>
      </c>
      <c r="L13" s="205">
        <f>'Bilan 2045 AMS'!$C$18*(1-SUM('Bilan 2045 AMS'!$M$13:$P$13)/'Bilan 2045 AMS'!$D$13)</f>
        <v>0</v>
      </c>
      <c r="M13" s="205">
        <f>'Bilan 2050 AMS'!$C$18*(1-SUM('Bilan 2050 AMS'!$M$13:$P$13)/'Bilan 2050 AMS'!$D$13)</f>
        <v>0</v>
      </c>
      <c r="N13" s="577"/>
      <c r="O13" s="577"/>
      <c r="P13" s="577"/>
      <c r="Q13" s="572" t="s">
        <v>279</v>
      </c>
      <c r="R13" s="205">
        <f t="shared" ref="R13:AC14" si="55">B17</f>
        <v>1.1874648021075129</v>
      </c>
      <c r="S13" s="205">
        <f t="shared" si="55"/>
        <v>19.145134301820498</v>
      </c>
      <c r="T13" s="205">
        <f t="shared" si="55"/>
        <v>22.428257433858789</v>
      </c>
      <c r="U13" s="205">
        <f t="shared" si="55"/>
        <v>29.212940696822123</v>
      </c>
      <c r="V13" s="205">
        <f t="shared" si="55"/>
        <v>43.939722903254221</v>
      </c>
      <c r="W13" s="205">
        <f t="shared" si="55"/>
        <v>53.297337828061913</v>
      </c>
      <c r="X13" s="205">
        <f t="shared" si="55"/>
        <v>67.426254787453573</v>
      </c>
      <c r="Y13" s="205">
        <f t="shared" si="55"/>
        <v>76.637665392602059</v>
      </c>
      <c r="Z13" s="205">
        <f t="shared" si="55"/>
        <v>87.845399414222683</v>
      </c>
      <c r="AA13" s="205">
        <f t="shared" si="55"/>
        <v>95.127752344391041</v>
      </c>
      <c r="AB13" s="205">
        <f t="shared" si="55"/>
        <v>117.36964893199854</v>
      </c>
      <c r="AC13" s="205">
        <f t="shared" si="55"/>
        <v>137.12937327612582</v>
      </c>
      <c r="AD13" s="193">
        <f>AD11+1</f>
        <v>2305</v>
      </c>
      <c r="AE13" s="205" t="s">
        <v>21</v>
      </c>
      <c r="AF13" s="205">
        <f>'Bilan 2015'!$S$13*'Bilan 2015'!$G$11/'Bilan 2015'!$H$13</f>
        <v>1.9148478269604655E-2</v>
      </c>
      <c r="AG13" s="205">
        <f>'Bilan 2020'!$S$13*'Bilan 2020'!$G$11/'Bilan 2020'!$H$13</f>
        <v>2.1025432893137328</v>
      </c>
      <c r="AH13" s="205">
        <f>'Bilan 2023 AMS'!$S$13*'Bilan 2023 AMS'!$G$11/'Bilan 2023 AMS'!$H$13</f>
        <v>2.4884337177767031</v>
      </c>
      <c r="AI13" s="205">
        <f>'Bilan 2025 AMS'!$S$13*'Bilan 2025 AMS'!$G$11/'Bilan 2025 AMS'!$H$13</f>
        <v>2.3340223906212794</v>
      </c>
      <c r="AJ13" s="205">
        <f>'Bilan 2028 AMS'!$S$13*'Bilan 2028 AMS'!$G$11/'Bilan 2028 AMS'!$H$13</f>
        <v>2.5101137985879749</v>
      </c>
      <c r="AK13" s="205">
        <f>'Bilan 2030 AMS'!$S$13*'Bilan 2030 AMS'!$G$11/'Bilan 2030 AMS'!$H$13</f>
        <v>2.6221560070036278</v>
      </c>
      <c r="AL13" s="205">
        <f>'Bilan 2033 AMS'!$S$13*'Bilan 2033 AMS'!$G$11/'Bilan 2033 AMS'!$H$13</f>
        <v>1.8723016053408188</v>
      </c>
      <c r="AM13" s="205">
        <f>'Bilan 2035 AMS'!$S$13*'Bilan 2035 AMS'!$G$11/'Bilan 2035 AMS'!$H$13</f>
        <v>1.1779828332239568</v>
      </c>
      <c r="AN13" s="205">
        <f>'Bilan 2038 AMS'!$S$13*'Bilan 2038 AMS'!$G$11/'Bilan 2038 AMS'!$H$13</f>
        <v>0.81069416483054357</v>
      </c>
      <c r="AO13" s="205">
        <f>'Bilan 2040 AMS'!$S$13*'Bilan 2040 AMS'!$G$11/'Bilan 2040 AMS'!$H$13</f>
        <v>0.58271984189132664</v>
      </c>
      <c r="AP13" s="205">
        <f>'Bilan 2045 AMS'!$S$13*'Bilan 2045 AMS'!$G$11/'Bilan 2045 AMS'!$H$13</f>
        <v>4.3988178052060088E-2</v>
      </c>
      <c r="AQ13" s="205">
        <f>'Bilan 2050 AMS'!$S$13*'Bilan 2050 AMS'!$G$11/'Bilan 2050 AMS'!$H$13</f>
        <v>3.9158438007047942E-2</v>
      </c>
      <c r="AR13" s="206"/>
      <c r="AS13" s="205" t="s">
        <v>414</v>
      </c>
      <c r="AT13" s="205">
        <f>'Bilan 2015'!$S$13*'Bilan 2015'!$G$11/'Bilan 2015'!$H$13</f>
        <v>1.9148478269604655E-2</v>
      </c>
      <c r="AU13" s="205">
        <f>'Bilan 2020'!$S$13*'Bilan 2020'!$G$11/'Bilan 2020'!$H$13</f>
        <v>2.1025432893137328</v>
      </c>
      <c r="AV13" s="205">
        <f>'Bilan 2023 AMS'!$S$13*'Bilan 2023 AMS'!$G$11/'Bilan 2023 AMS'!$H$13</f>
        <v>2.4884337177767031</v>
      </c>
      <c r="AW13" s="205">
        <f>'Bilan 2025 AMS'!$S$13*'Bilan 2025 AMS'!$G$11/'Bilan 2025 AMS'!$H$13</f>
        <v>2.3340223906212794</v>
      </c>
      <c r="AX13" s="205">
        <f>'Bilan 2028 AMS'!$S$13*'Bilan 2028 AMS'!$G$11/'Bilan 2028 AMS'!$H$13</f>
        <v>2.5101137985879749</v>
      </c>
      <c r="AY13" s="205">
        <f>'Bilan 2030 AMS'!$S$13*'Bilan 2030 AMS'!$G$11/'Bilan 2030 AMS'!$H$13</f>
        <v>2.6221560070036278</v>
      </c>
      <c r="AZ13" s="205">
        <f>'Bilan 2033 AMS'!$S$13*'Bilan 2033 AMS'!$G$11/'Bilan 2033 AMS'!$H$13</f>
        <v>1.8723016053408188</v>
      </c>
      <c r="BA13" s="205">
        <f>'Bilan 2035 AMS'!$S$13*'Bilan 2035 AMS'!$G$11/'Bilan 2035 AMS'!$H$13</f>
        <v>1.1779828332239568</v>
      </c>
      <c r="BB13" s="205">
        <f>'Bilan 2038 AMS'!$S$13*'Bilan 2038 AMS'!$G$11/'Bilan 2038 AMS'!$H$13</f>
        <v>0.81069416483054357</v>
      </c>
      <c r="BC13" s="205">
        <f>'Bilan 2040 AMS'!$S$13*'Bilan 2040 AMS'!$G$11/'Bilan 2040 AMS'!$H$13</f>
        <v>0.58271984189132664</v>
      </c>
      <c r="BD13" s="205">
        <f>'Bilan 2045 AMS'!$S$13*'Bilan 2045 AMS'!$G$11/'Bilan 2045 AMS'!$H$13+0.1</f>
        <v>0.1439881780520601</v>
      </c>
      <c r="BE13" s="205">
        <f>'Bilan 2050 AMS'!$S$13*'Bilan 2050 AMS'!$G$11/'Bilan 2050 AMS'!$H$13+0.1</f>
        <v>0.13915843800704794</v>
      </c>
      <c r="BF13" s="216"/>
      <c r="BG13" s="205" t="s">
        <v>17</v>
      </c>
      <c r="BH13" s="202">
        <f t="shared" si="43"/>
        <v>7.3059440569521336E-2</v>
      </c>
      <c r="BI13" s="202">
        <f t="shared" si="43"/>
        <v>8.1250264353294369E-2</v>
      </c>
      <c r="BJ13" s="202">
        <f t="shared" si="43"/>
        <v>6.4218202969631821E-2</v>
      </c>
      <c r="BK13" s="202">
        <f t="shared" si="43"/>
        <v>6.3148229867601019E-2</v>
      </c>
      <c r="BL13" s="202">
        <f t="shared" si="43"/>
        <v>6.0374102709778846E-2</v>
      </c>
      <c r="BM13" s="202">
        <f t="shared" si="43"/>
        <v>5.8621941044549444E-2</v>
      </c>
      <c r="BN13" s="202">
        <f t="shared" si="43"/>
        <v>5.5375654224101976E-2</v>
      </c>
      <c r="BO13" s="202">
        <f t="shared" si="43"/>
        <v>5.333922764378117E-2</v>
      </c>
      <c r="BP13" s="202">
        <f t="shared" si="43"/>
        <v>5.1811612298409943E-2</v>
      </c>
      <c r="BQ13" s="202">
        <f t="shared" si="43"/>
        <v>5.0874717649111299E-2</v>
      </c>
      <c r="BR13" s="202">
        <f t="shared" si="43"/>
        <v>4.2882914468987267E-2</v>
      </c>
      <c r="BS13" s="202">
        <f t="shared" si="43"/>
        <v>3.6904822836983639E-2</v>
      </c>
      <c r="BU13" s="205" t="s">
        <v>17</v>
      </c>
      <c r="BV13" s="202">
        <f>'Bilan 2015'!$E7+'Bilan 2015'!$I$13*'Bilan 2015'!$G$7/'Bilan 2015'!$H$13</f>
        <v>0.1480660666766172</v>
      </c>
      <c r="BW13" s="202">
        <f>'Bilan 2020'!$E7+'Bilan 2020'!$I$13*'Bilan 2020'!$G$7/'Bilan 2020'!$H$13</f>
        <v>2.7601451899707077</v>
      </c>
      <c r="BX13" s="202">
        <f>'Bilan 2023 AMS'!$E7+'Bilan 2023 AMS'!$I$13*'Bilan 2023 AMS'!$G$7/'Bilan 2023 AMS'!$H$13</f>
        <v>2.7127912261649811</v>
      </c>
      <c r="BY13" s="202">
        <f>'Bilan 2025 AMS'!$E7+'Bilan 2025 AMS'!$I$13*'Bilan 2025 AMS'!$G$7/'Bilan 2025 AMS'!$H$13</f>
        <v>3.0128709130394</v>
      </c>
      <c r="BZ13" s="202">
        <f>'Bilan 2028 AMS'!$E7+'Bilan 2028 AMS'!$I$13*'Bilan 2028 AMS'!$G$7/'Bilan 2028 AMS'!$H$13</f>
        <v>3.3543158580213164</v>
      </c>
      <c r="CA13" s="202">
        <f>'Bilan 2030 AMS'!$E7+'Bilan 2030 AMS'!$I$13*'Bilan 2030 AMS'!$G$7/'Bilan 2030 AMS'!$H$13</f>
        <v>3.5511783488532291</v>
      </c>
      <c r="CB13" s="202">
        <f>'Bilan 2033 AMS'!$E7+'Bilan 2033 AMS'!$I$13*'Bilan 2033 AMS'!$G$7/'Bilan 2033 AMS'!$H$13</f>
        <v>4.3992482995269482</v>
      </c>
      <c r="CC13" s="202">
        <f>'Bilan 2035 AMS'!$E7+'Bilan 2035 AMS'!$I$13*'Bilan 2035 AMS'!$G$7/'Bilan 2035 AMS'!$H$13</f>
        <v>4.8769855704885572</v>
      </c>
      <c r="CD13" s="202">
        <f>'Bilan 2038 AMS'!$E7+'Bilan 2038 AMS'!$I$13*'Bilan 2038 AMS'!$G$7/'Bilan 2038 AMS'!$H$13</f>
        <v>5.6589888716800454</v>
      </c>
      <c r="CE13" s="202">
        <f>'Bilan 2040 AMS'!$E7+'Bilan 2040 AMS'!$I$13*'Bilan 2040 AMS'!$G$7/'Bilan 2040 AMS'!$H$13</f>
        <v>6.113923100762789</v>
      </c>
      <c r="CF13" s="202">
        <f>'Bilan 2045 AMS'!$E7+'Bilan 2045 AMS'!$I$13*'Bilan 2045 AMS'!$G$7/'Bilan 2045 AMS'!$H$13</f>
        <v>6.6020221906825594</v>
      </c>
      <c r="CG13" s="202">
        <f>'Bilan 2050 AMS'!$E7+'Bilan 2050 AMS'!$I$13*'Bilan 2050 AMS'!$G$7/'Bilan 2050 AMS'!$H$13</f>
        <v>6.7662209597173346</v>
      </c>
      <c r="CH13" s="206"/>
      <c r="CJ13" s="205" t="s">
        <v>17</v>
      </c>
      <c r="CK13" s="202">
        <f t="shared" si="44"/>
        <v>7.9921040170571458E-2</v>
      </c>
      <c r="CL13" s="202">
        <f t="shared" si="44"/>
        <v>8.7045000077838858E-2</v>
      </c>
      <c r="CM13" s="202">
        <f t="shared" si="44"/>
        <v>8.895801945766349E-2</v>
      </c>
      <c r="CN13" s="202">
        <f t="shared" si="44"/>
        <v>8.9739051688972282E-2</v>
      </c>
      <c r="CO13" s="202">
        <f t="shared" si="44"/>
        <v>9.1146119561036854E-2</v>
      </c>
      <c r="CP13" s="202">
        <f t="shared" si="44"/>
        <v>9.207671262592286E-2</v>
      </c>
      <c r="CQ13" s="202">
        <f t="shared" si="44"/>
        <v>9.503785129065212E-2</v>
      </c>
      <c r="CR13" s="202">
        <f t="shared" si="44"/>
        <v>9.6833368101987574E-2</v>
      </c>
      <c r="CS13" s="202">
        <f t="shared" si="44"/>
        <v>0.10165970594397471</v>
      </c>
      <c r="CT13" s="202">
        <f t="shared" si="44"/>
        <v>0.10463319289621685</v>
      </c>
      <c r="CU13" s="202">
        <f t="shared" si="44"/>
        <v>0.11028164210292044</v>
      </c>
      <c r="CV13" s="202">
        <f t="shared" si="44"/>
        <v>0.12621816480176404</v>
      </c>
      <c r="CW13" s="206"/>
      <c r="CX13" s="193">
        <f>CX11+1</f>
        <v>2305</v>
      </c>
      <c r="CY13" s="205" t="s">
        <v>417</v>
      </c>
      <c r="CZ13" s="207" t="s">
        <v>276</v>
      </c>
      <c r="DA13" s="202">
        <f>'Bilan 2015'!$K$13*'Bilan 2015'!$G$7/SUM('Bilan 2015'!$G$7:$G$19)</f>
        <v>0.16197214173163446</v>
      </c>
      <c r="DB13" s="202">
        <f>'Bilan 2020'!$K$13*'Bilan 2020'!$G$7/SUM('Bilan 2020'!$G$7:$G$19)</f>
        <v>2.9569976194927343</v>
      </c>
      <c r="DC13" s="202">
        <f>'Bilan 2023 AMS'!$K$13*'Bilan 2023 AMS'!$G$7/SUM('Bilan 2023 AMS'!$G$7:$G$19)</f>
        <v>3.7578836454810682</v>
      </c>
      <c r="DD13" s="202">
        <f>'Bilan 2025 AMS'!$K$13*'Bilan 2025 AMS'!$G$7/SUM('Bilan 2025 AMS'!$G$7:$G$19)</f>
        <v>4.2815480206542036</v>
      </c>
      <c r="DE13" s="202">
        <f>'Bilan 2028 AMS'!$K$13*'Bilan 2028 AMS'!$G$7/SUM('Bilan 2028 AMS'!$G$7:$G$19)</f>
        <v>5.0639737986726718</v>
      </c>
      <c r="DF13" s="202">
        <f>'Bilan 2030 AMS'!$K$13*'Bilan 2030 AMS'!$G$7/SUM('Bilan 2030 AMS'!$G$7:$G$19)</f>
        <v>5.5777891773025843</v>
      </c>
      <c r="DG13" s="202">
        <f>'Bilan 2033 AMS'!$K$13*'Bilan 2033 AMS'!$G$7/SUM('Bilan 2033 AMS'!$G$7:$G$19)</f>
        <v>7.5501610146056306</v>
      </c>
      <c r="DH13" s="202">
        <f>'Bilan 2035 AMS'!$K$13*'Bilan 2035 AMS'!$G$7/SUM('Bilan 2035 AMS'!$G$7:$G$19)</f>
        <v>8.8538015984987855</v>
      </c>
      <c r="DI13" s="202">
        <f>'Bilan 2038 AMS'!$K$13*'Bilan 2038 AMS'!$G$7/SUM('Bilan 2038 AMS'!$G$7:$G$19)</f>
        <v>11.103517514989084</v>
      </c>
      <c r="DJ13" s="202">
        <f>'Bilan 2040 AMS'!$K$13*'Bilan 2040 AMS'!$G$7/SUM('Bilan 2040 AMS'!$G$7:$G$19)</f>
        <v>12.574404826518462</v>
      </c>
      <c r="DK13" s="202">
        <f>'Bilan 2045 AMS'!$K$13*'Bilan 2045 AMS'!$G$7/SUM('Bilan 2045 AMS'!$G$7:$G$19)</f>
        <v>16.978366731928592</v>
      </c>
      <c r="DL13" s="202">
        <f>'Bilan 2050 AMS'!$K$13*'Bilan 2050 AMS'!$G$7/SUM('Bilan 2050 AMS'!$G$7:$G$19)</f>
        <v>23.141148677264713</v>
      </c>
    </row>
    <row r="14" spans="1:116" ht="14.5">
      <c r="A14" s="203" t="s">
        <v>17</v>
      </c>
      <c r="B14" s="204">
        <f>'Bilan 2015'!$C7+'Bilan 2015'!$C15</f>
        <v>2.6944655873275929</v>
      </c>
      <c r="C14" s="204">
        <f>'Bilan 2020'!$C7+'Bilan 2020'!$C15</f>
        <v>43.442050197585424</v>
      </c>
      <c r="D14" s="204">
        <f>('Bilan 2023 AMS'!$C7+'Bilan 2023 AMS'!$C15)*(1-SUM('Bilan 2023 AMS'!$M$13:$P$13)/'Bilan 2023 AMS'!$D$13)</f>
        <v>52.895420088743535</v>
      </c>
      <c r="E14" s="204">
        <f>('Bilan 2025 AMS'!$C7+'Bilan 2025 AMS'!$C15)*(1-SUM('Bilan 2025 AMS'!$M$13:$P$13)/'Bilan 2025 AMS'!$D$13)</f>
        <v>59.992860758734913</v>
      </c>
      <c r="F14" s="204">
        <f>('Bilan 2028 AMS'!$C7+'Bilan 2028 AMS'!$C15)*(1-SUM('Bilan 2028 AMS'!$M$13:$P$13)/'Bilan 2028 AMS'!$D$13)</f>
        <v>70.307037321892565</v>
      </c>
      <c r="G14" s="204">
        <f>('Bilan 2030 AMS'!$C7+'Bilan 2030 AMS'!$C15)*(1-SUM('Bilan 2030 AMS'!$M$13:$P$13)/'Bilan 2030 AMS'!$D$13)</f>
        <v>77.052076740536592</v>
      </c>
      <c r="H14" s="204">
        <f>('Bilan 2033 AMS'!$C7+'Bilan 2033 AMS'!$C15)*(1-SUM('Bilan 2033 AMS'!$M$13:$P$13)/'Bilan 2033 AMS'!$D$13)</f>
        <v>102.33026242890374</v>
      </c>
      <c r="I14" s="204">
        <f>('Bilan 2035 AMS'!$C7+'Bilan 2035 AMS'!$C15)*(1-SUM('Bilan 2035 AMS'!$M$13:$P$13)/'Bilan 2035 AMS'!$D$13)</f>
        <v>118.77846766274499</v>
      </c>
      <c r="J14" s="204">
        <f>('Bilan 2038 AMS'!$C7+'Bilan 2038 AMS'!$C15)*(1-SUM('Bilan 2038 AMS'!$M$13:$P$13)/'Bilan 2038 AMS'!$D$13)</f>
        <v>144.95776916269725</v>
      </c>
      <c r="K14" s="204">
        <f>('Bilan 2040 AMS'!$C7+'Bilan 2040 AMS'!$C15)*(1-SUM('Bilan 2040 AMS'!$M$13:$P$13)/'Bilan 2040 AMS'!$D$13)</f>
        <v>161.76117327410847</v>
      </c>
      <c r="L14" s="204">
        <f>('Bilan 2045 AMS'!$C7+'Bilan 2045 AMS'!$C15)*(1-SUM('Bilan 2045 AMS'!$M$13:$P$13)/'Bilan 2045 AMS'!$D$13)</f>
        <v>210.24806791257907</v>
      </c>
      <c r="M14" s="204">
        <f>('Bilan 2050 AMS'!$C7+'Bilan 2050 AMS'!$C15)*(1-SUM('Bilan 2050 AMS'!$M$13:$P$13)/'Bilan 2050 AMS'!$D$13)</f>
        <v>263.70631574064754</v>
      </c>
      <c r="N14" s="577"/>
      <c r="O14" s="577"/>
      <c r="P14" s="577"/>
      <c r="Q14" s="572" t="s">
        <v>418</v>
      </c>
      <c r="R14" s="205">
        <f t="shared" si="55"/>
        <v>3.2925160422071951</v>
      </c>
      <c r="S14" s="205">
        <f t="shared" si="55"/>
        <v>53.084236018684109</v>
      </c>
      <c r="T14" s="205">
        <f t="shared" si="55"/>
        <v>63.797035534053222</v>
      </c>
      <c r="U14" s="205">
        <f t="shared" si="55"/>
        <v>63.977211411020768</v>
      </c>
      <c r="V14" s="205">
        <f t="shared" si="55"/>
        <v>62.23110335986992</v>
      </c>
      <c r="W14" s="205">
        <f t="shared" si="55"/>
        <v>61.447876982538219</v>
      </c>
      <c r="X14" s="205">
        <f t="shared" si="55"/>
        <v>61.315148123515883</v>
      </c>
      <c r="Y14" s="205">
        <f t="shared" si="55"/>
        <v>61.33699523170138</v>
      </c>
      <c r="Z14" s="205">
        <f t="shared" si="55"/>
        <v>59.756733821362154</v>
      </c>
      <c r="AA14" s="205">
        <f t="shared" si="55"/>
        <v>58.97774246700731</v>
      </c>
      <c r="AB14" s="205">
        <f t="shared" si="55"/>
        <v>60.30360917190017</v>
      </c>
      <c r="AC14" s="205">
        <f t="shared" si="55"/>
        <v>60.71330640010865</v>
      </c>
      <c r="AD14" s="193">
        <f>AD13+1</f>
        <v>2306</v>
      </c>
      <c r="AE14" s="205" t="s">
        <v>17</v>
      </c>
      <c r="AF14" s="205">
        <f>'Bilan 2015'!$S$13*('Bilan 2015'!$G$7+'Bilan 2015'!$G$15)/SUM('Bilan 2015'!$G$7:$G$19)</f>
        <v>2.0266520729202906</v>
      </c>
      <c r="AG14" s="205">
        <f>'Bilan 2020'!$S$13*('Bilan 2020'!$G$7+'Bilan 2020'!$G$15)/SUM('Bilan 2020'!$G$7:$G$19)</f>
        <v>33.970907195685882</v>
      </c>
      <c r="AH14" s="205">
        <f>'Bilan 2023 AMS'!$S$13*('Bilan 2023 AMS'!$G$7+'Bilan 2023 AMS'!$G$15)/SUM('Bilan 2023 AMS'!$G$7:$G$19)</f>
        <v>42.243337569689302</v>
      </c>
      <c r="AI14" s="205">
        <f>'Bilan 2025 AMS'!$S$13*('Bilan 2025 AMS'!$G$7+'Bilan 2025 AMS'!$G$15)/SUM('Bilan 2025 AMS'!$G$7:$G$19)</f>
        <v>47.711090546105559</v>
      </c>
      <c r="AJ14" s="205">
        <f>'Bilan 2028 AMS'!$S$13*('Bilan 2028 AMS'!$G$7+'Bilan 2028 AMS'!$G$15)/SUM('Bilan 2028 AMS'!$G$7:$G$19)</f>
        <v>55.558852346769783</v>
      </c>
      <c r="AK14" s="205">
        <f>'Bilan 2030 AMS'!$S$13*('Bilan 2030 AMS'!$G$7+'Bilan 2030 AMS'!$G$15)/SUM('Bilan 2030 AMS'!$G$7:$G$19)</f>
        <v>60.577631609886978</v>
      </c>
      <c r="AL14" s="205">
        <f>'Bilan 2033 AMS'!$S$13*('Bilan 2033 AMS'!$G$7+'Bilan 2033 AMS'!$G$15)/SUM('Bilan 2033 AMS'!$G$7:$G$19)</f>
        <v>79.443725968878894</v>
      </c>
      <c r="AM14" s="205">
        <f>'Bilan 2035 AMS'!$S$13*('Bilan 2035 AMS'!$G$7+'Bilan 2035 AMS'!$G$15)/SUM('Bilan 2035 AMS'!$G$7:$G$19)</f>
        <v>91.433374383649621</v>
      </c>
      <c r="AN14" s="205">
        <f>'Bilan 2038 AMS'!$S$13*('Bilan 2038 AMS'!$G$7+'Bilan 2038 AMS'!$G$15)/SUM('Bilan 2038 AMS'!$G$7:$G$19)</f>
        <v>109.22240441171748</v>
      </c>
      <c r="AO14" s="205">
        <f>'Bilan 2040 AMS'!$S$13*('Bilan 2040 AMS'!$G$7+'Bilan 2040 AMS'!$G$15)/SUM('Bilan 2040 AMS'!$G$7:$G$19)</f>
        <v>120.17605960845248</v>
      </c>
      <c r="AP14" s="205">
        <f>'Bilan 2045 AMS'!$S$13*('Bilan 2045 AMS'!$G$7+'Bilan 2045 AMS'!$G$15)/SUM('Bilan 2045 AMS'!$G$7:$G$19)</f>
        <v>153.95460575463247</v>
      </c>
      <c r="AQ14" s="205">
        <f>'Bilan 2050 AMS'!$S$13*('Bilan 2050 AMS'!$G$7+'Bilan 2050 AMS'!$G$15)/SUM('Bilan 2050 AMS'!$G$7:$G$19)</f>
        <v>183.34245877849503</v>
      </c>
      <c r="AR14" s="206"/>
      <c r="AS14" s="205" t="s">
        <v>17</v>
      </c>
      <c r="AT14" s="205">
        <f>'Bilan 2015'!$S$13*('Bilan 2015'!$G$7+'Bilan 2015'!$G$15)/SUM('Bilan 2015'!$G$7:$G$19)</f>
        <v>2.0266520729202906</v>
      </c>
      <c r="AU14" s="205">
        <f>'Bilan 2020'!$S$13*('Bilan 2020'!$G$7+'Bilan 2020'!$G$15)/SUM('Bilan 2020'!$G$7:$G$19)</f>
        <v>33.970907195685882</v>
      </c>
      <c r="AV14" s="205">
        <f>'Bilan 2023 AMS'!$S$13*('Bilan 2023 AMS'!$G$7+'Bilan 2023 AMS'!$G$15)/SUM('Bilan 2023 AMS'!$G$7:$G$19)</f>
        <v>42.243337569689302</v>
      </c>
      <c r="AW14" s="205">
        <f>'Bilan 2025 AMS'!$S$13*('Bilan 2025 AMS'!$G$7+'Bilan 2025 AMS'!$G$15)/SUM('Bilan 2025 AMS'!$G$7:$G$19)</f>
        <v>47.711090546105559</v>
      </c>
      <c r="AX14" s="205">
        <f>'Bilan 2028 AMS'!$S$13*('Bilan 2028 AMS'!$G$7+'Bilan 2028 AMS'!$G$15)/SUM('Bilan 2028 AMS'!$G$7:$G$19)</f>
        <v>55.558852346769783</v>
      </c>
      <c r="AY14" s="205">
        <f>'Bilan 2030 AMS'!$S$13*('Bilan 2030 AMS'!$G$7+'Bilan 2030 AMS'!$G$15)/SUM('Bilan 2030 AMS'!$G$7:$G$19)</f>
        <v>60.577631609886978</v>
      </c>
      <c r="AZ14" s="205">
        <f>'Bilan 2033 AMS'!$S$13*('Bilan 2033 AMS'!$G$7+'Bilan 2033 AMS'!$G$15)/SUM('Bilan 2033 AMS'!$G$7:$G$19)</f>
        <v>79.443725968878894</v>
      </c>
      <c r="BA14" s="205">
        <f>'Bilan 2035 AMS'!$S$13*('Bilan 2035 AMS'!$G$7+'Bilan 2035 AMS'!$G$15)/SUM('Bilan 2035 AMS'!$G$7:$G$19)</f>
        <v>91.433374383649621</v>
      </c>
      <c r="BB14" s="205">
        <f>'Bilan 2038 AMS'!$S$13*('Bilan 2038 AMS'!$G$7+'Bilan 2038 AMS'!$G$15)/SUM('Bilan 2038 AMS'!$G$7:$G$19)</f>
        <v>109.22240441171748</v>
      </c>
      <c r="BC14" s="205">
        <f>'Bilan 2040 AMS'!$S$13*('Bilan 2040 AMS'!$G$7+'Bilan 2040 AMS'!$G$15)/SUM('Bilan 2040 AMS'!$G$7:$G$19)</f>
        <v>120.17605960845248</v>
      </c>
      <c r="BD14" s="205">
        <f>'Bilan 2045 AMS'!$S$13*('Bilan 2045 AMS'!$G$7+'Bilan 2045 AMS'!$G$15)/SUM('Bilan 2045 AMS'!$G$7:$G$19)</f>
        <v>153.95460575463247</v>
      </c>
      <c r="BE14" s="205">
        <f>'Bilan 2050 AMS'!$S$13*('Bilan 2050 AMS'!$G$7+'Bilan 2050 AMS'!$G$15)/SUM('Bilan 2050 AMS'!$G$7:$G$19)</f>
        <v>183.34245877849503</v>
      </c>
      <c r="BF14" s="216"/>
      <c r="BG14" s="205" t="s">
        <v>279</v>
      </c>
      <c r="BH14" s="202">
        <f t="shared" si="43"/>
        <v>7.305944056952135E-2</v>
      </c>
      <c r="BI14" s="202">
        <f t="shared" si="43"/>
        <v>8.1250264353294355E-2</v>
      </c>
      <c r="BJ14" s="202">
        <f t="shared" si="43"/>
        <v>6.4218202969631835E-2</v>
      </c>
      <c r="BK14" s="202">
        <f t="shared" si="43"/>
        <v>6.3148229867601019E-2</v>
      </c>
      <c r="BL14" s="202">
        <f t="shared" si="43"/>
        <v>6.0374102709778846E-2</v>
      </c>
      <c r="BM14" s="202">
        <f t="shared" si="43"/>
        <v>5.862194104454943E-2</v>
      </c>
      <c r="BN14" s="202">
        <f t="shared" si="43"/>
        <v>5.5375654224101983E-2</v>
      </c>
      <c r="BO14" s="202">
        <f t="shared" si="43"/>
        <v>5.333922764378117E-2</v>
      </c>
      <c r="BP14" s="202">
        <f t="shared" si="43"/>
        <v>5.1811612298409929E-2</v>
      </c>
      <c r="BQ14" s="202">
        <f t="shared" si="43"/>
        <v>5.0874717649111292E-2</v>
      </c>
      <c r="BR14" s="202">
        <f t="shared" si="43"/>
        <v>4.2882914468987267E-2</v>
      </c>
      <c r="BS14" s="202">
        <f t="shared" si="43"/>
        <v>3.6904822836983639E-2</v>
      </c>
      <c r="BU14" s="205" t="s">
        <v>279</v>
      </c>
      <c r="BV14" s="202">
        <f>'Bilan 2015'!$E9+'Bilan 2015'!$I$13*'Bilan 2015'!$G$9/'Bilan 2015'!$H$13</f>
        <v>6.5253474897547639E-2</v>
      </c>
      <c r="BW14" s="202">
        <f>'Bilan 2020'!$E9+'Bilan 2020'!$I$13*'Bilan 2020'!$G$9/'Bilan 2020'!$H$13</f>
        <v>1.2164101398108085</v>
      </c>
      <c r="BX14" s="202">
        <f>'Bilan 2023 AMS'!$E9+'Bilan 2023 AMS'!$I$13*'Bilan 2023 AMS'!$G$9/'Bilan 2023 AMS'!$H$13</f>
        <v>1.1502542163889429</v>
      </c>
      <c r="BY14" s="202">
        <f>'Bilan 2025 AMS'!$E9+'Bilan 2025 AMS'!$I$13*'Bilan 2025 AMS'!$G$9/'Bilan 2025 AMS'!$H$13</f>
        <v>1.4670882201093474</v>
      </c>
      <c r="BZ14" s="202">
        <f>'Bilan 2028 AMS'!$E9+'Bilan 2028 AMS'!$I$13*'Bilan 2028 AMS'!$G$9/'Bilan 2028 AMS'!$H$13</f>
        <v>2.0963436228531527</v>
      </c>
      <c r="CA14" s="202">
        <f>'Bilan 2030 AMS'!$E9+'Bilan 2030 AMS'!$I$13*'Bilan 2030 AMS'!$G$9/'Bilan 2030 AMS'!$H$13</f>
        <v>2.4563692524974714</v>
      </c>
      <c r="CB14" s="202">
        <f>'Bilan 2033 AMS'!$E9+'Bilan 2033 AMS'!$I$13*'Bilan 2033 AMS'!$G$9/'Bilan 2033 AMS'!$H$13</f>
        <v>2.8987010262312451</v>
      </c>
      <c r="CC14" s="202">
        <f>'Bilan 2035 AMS'!$E9+'Bilan 2035 AMS'!$I$13*'Bilan 2035 AMS'!$G$9/'Bilan 2035 AMS'!$H$13</f>
        <v>3.1467049174004544</v>
      </c>
      <c r="CD14" s="202">
        <f>'Bilan 2038 AMS'!$E9+'Bilan 2038 AMS'!$I$13*'Bilan 2038 AMS'!$G$9/'Bilan 2038 AMS'!$H$13</f>
        <v>3.4293859555428399</v>
      </c>
      <c r="CE14" s="202">
        <f>'Bilan 2040 AMS'!$E9+'Bilan 2040 AMS'!$I$13*'Bilan 2040 AMS'!$G$9/'Bilan 2040 AMS'!$H$13</f>
        <v>3.5954472313110104</v>
      </c>
      <c r="CF14" s="202">
        <f>'Bilan 2045 AMS'!$E9+'Bilan 2045 AMS'!$I$13*'Bilan 2045 AMS'!$G$9/'Bilan 2045 AMS'!$H$13</f>
        <v>3.6855369680917542</v>
      </c>
      <c r="CG14" s="202">
        <f>'Bilan 2050 AMS'!$E9+'Bilan 2050 AMS'!$I$13*'Bilan 2050 AMS'!$G$9/'Bilan 2050 AMS'!$H$13</f>
        <v>3.5184885013006411</v>
      </c>
      <c r="CH14" s="206"/>
      <c r="CJ14" s="205" t="s">
        <v>279</v>
      </c>
      <c r="CK14" s="202">
        <f t="shared" si="44"/>
        <v>7.9921040170571472E-2</v>
      </c>
      <c r="CL14" s="202">
        <f t="shared" si="44"/>
        <v>8.7045000077838858E-2</v>
      </c>
      <c r="CM14" s="202">
        <f t="shared" si="44"/>
        <v>8.8958019457663504E-2</v>
      </c>
      <c r="CN14" s="202">
        <f t="shared" si="44"/>
        <v>8.9739051688972282E-2</v>
      </c>
      <c r="CO14" s="202">
        <f t="shared" si="44"/>
        <v>9.1146119561036867E-2</v>
      </c>
      <c r="CP14" s="202">
        <f t="shared" si="44"/>
        <v>9.2076712625922846E-2</v>
      </c>
      <c r="CQ14" s="202">
        <f t="shared" si="44"/>
        <v>9.5037851290652134E-2</v>
      </c>
      <c r="CR14" s="202">
        <f t="shared" si="44"/>
        <v>9.6833368101987546E-2</v>
      </c>
      <c r="CS14" s="202">
        <f t="shared" si="44"/>
        <v>0.10165970594397467</v>
      </c>
      <c r="CT14" s="202">
        <f t="shared" si="44"/>
        <v>0.10463319289621684</v>
      </c>
      <c r="CU14" s="202">
        <f t="shared" si="44"/>
        <v>0.11028164210292045</v>
      </c>
      <c r="CV14" s="202">
        <f t="shared" si="44"/>
        <v>0.12621816480176401</v>
      </c>
      <c r="CW14" s="206"/>
      <c r="CX14" s="193">
        <f>CX13+1</f>
        <v>2306</v>
      </c>
      <c r="CY14" s="205" t="s">
        <v>279</v>
      </c>
      <c r="CZ14" s="207" t="s">
        <v>277</v>
      </c>
      <c r="DA14" s="202">
        <f>+'Bilan 2015'!$K$13*'Bilan 2015'!$G$9/SUM('Bilan 2015'!$G$7:$G$19)</f>
        <v>7.1381953487499164E-2</v>
      </c>
      <c r="DB14" s="202">
        <f>+'Bilan 2020'!$K$13*'Bilan 2020'!$G$9/SUM('Bilan 2020'!$G$7:$G$19)</f>
        <v>1.3031640150008044</v>
      </c>
      <c r="DC14" s="202">
        <f>+'Bilan 2023 AMS'!$K$13*'Bilan 2023 AMS'!$G$9/SUM('Bilan 2023 AMS'!$G$7:$G$19)</f>
        <v>1.5933852432958184</v>
      </c>
      <c r="DD14" s="202">
        <f>+'Bilan 2025 AMS'!$K$13*'Bilan 2025 AMS'!$G$9/SUM('Bilan 2025 AMS'!$G$7:$G$19)</f>
        <v>2.0848582120624468</v>
      </c>
      <c r="DE14" s="202">
        <f>+'Bilan 2028 AMS'!$K$13*'Bilan 2028 AMS'!$G$9/SUM('Bilan 2028 AMS'!$G$7:$G$19)</f>
        <v>3.1648269359478576</v>
      </c>
      <c r="DF14" s="202">
        <f>+'Bilan 2030 AMS'!$K$13*'Bilan 2030 AMS'!$G$9/SUM('Bilan 2030 AMS'!$G$7:$G$19)</f>
        <v>3.858186913215353</v>
      </c>
      <c r="DG14" s="202">
        <f>+'Bilan 2033 AMS'!$K$13*'Bilan 2033 AMS'!$G$9/SUM('Bilan 2033 AMS'!$G$7:$G$19)</f>
        <v>4.9748634291912666</v>
      </c>
      <c r="DH14" s="202">
        <f>+'Bilan 2035 AMS'!$K$13*'Bilan 2035 AMS'!$G$9/SUM('Bilan 2035 AMS'!$G$7:$G$19)</f>
        <v>5.71260681931712</v>
      </c>
      <c r="DI14" s="202">
        <f>+'Bilan 2038 AMS'!$K$13*'Bilan 2038 AMS'!$G$9/SUM('Bilan 2038 AMS'!$G$7:$G$19)</f>
        <v>6.7288075460948535</v>
      </c>
      <c r="DJ14" s="202">
        <f>+'Bilan 2040 AMS'!$K$13*'Bilan 2040 AMS'!$G$9/SUM('Bilan 2040 AMS'!$G$7:$G$19)</f>
        <v>7.3946970339304752</v>
      </c>
      <c r="DK14" s="202">
        <f>+'Bilan 2045 AMS'!$K$13*'Bilan 2045 AMS'!$G$9/SUM('Bilan 2045 AMS'!$G$7:$G$19)</f>
        <v>9.4780654231446437</v>
      </c>
      <c r="DL14" s="202">
        <f>+'Bilan 2050 AMS'!$K$13*'Bilan 2050 AMS'!$G$9/SUM('Bilan 2050 AMS'!$G$7:$G$19)</f>
        <v>12.033580637196026</v>
      </c>
    </row>
    <row r="15" spans="1:116" ht="14.5">
      <c r="A15" s="209" t="s">
        <v>17</v>
      </c>
      <c r="B15" s="210"/>
      <c r="C15" s="210"/>
      <c r="D15" s="578"/>
      <c r="E15" s="578"/>
      <c r="F15" s="578"/>
      <c r="G15" s="578"/>
      <c r="H15" s="578"/>
      <c r="I15" s="578"/>
      <c r="J15" s="578"/>
      <c r="K15" s="578"/>
      <c r="L15" s="578"/>
      <c r="M15" s="578"/>
      <c r="N15" s="575"/>
      <c r="O15" s="575"/>
      <c r="P15" s="575"/>
      <c r="Q15" s="572" t="s">
        <v>282</v>
      </c>
      <c r="R15" s="205">
        <f t="shared" ref="R15:AB15" si="56">B19</f>
        <v>3.6287762645224984</v>
      </c>
      <c r="S15" s="205">
        <f t="shared" si="56"/>
        <v>26.9657497815802</v>
      </c>
      <c r="T15" s="205">
        <f t="shared" si="56"/>
        <v>51.276316220689424</v>
      </c>
      <c r="U15" s="205">
        <f t="shared" si="56"/>
        <v>50.625330105765755</v>
      </c>
      <c r="V15" s="205">
        <f t="shared" si="56"/>
        <v>44.257980135067626</v>
      </c>
      <c r="W15" s="205">
        <f t="shared" si="56"/>
        <v>40.551738634230027</v>
      </c>
      <c r="X15" s="205">
        <f t="shared" si="56"/>
        <v>41.016387663500403</v>
      </c>
      <c r="Y15" s="205">
        <f t="shared" si="56"/>
        <v>41.413252966271671</v>
      </c>
      <c r="Z15" s="205">
        <f t="shared" si="56"/>
        <v>40.04423049493559</v>
      </c>
      <c r="AA15" s="205">
        <f t="shared" si="56"/>
        <v>39.360316738323228</v>
      </c>
      <c r="AB15" s="205">
        <f t="shared" si="56"/>
        <v>28.997603796144627</v>
      </c>
      <c r="AC15" s="205">
        <f>M19+0.0001</f>
        <v>25.373116985539568</v>
      </c>
      <c r="AD15" s="193">
        <f>AD14+1</f>
        <v>2307</v>
      </c>
      <c r="AE15" s="205" t="s">
        <v>279</v>
      </c>
      <c r="AF15" s="205">
        <f>'Bilan 2015'!$S$13*'Bilan 2015'!$G$9/SUM('Bilan 2015'!$G$7:$G$19)</f>
        <v>0.8931559616235254</v>
      </c>
      <c r="AG15" s="205">
        <f>'Bilan 2020'!$S$13*'Bilan 2020'!$G$9/SUM('Bilan 2020'!$G$7:$G$19)</f>
        <v>14.971153010919259</v>
      </c>
      <c r="AH15" s="205">
        <f>'Bilan 2023 AMS'!$S$13*'Bilan 2023 AMS'!$G$9/SUM('Bilan 2023 AMS'!$G$7:$G$19)</f>
        <v>17.911653755445119</v>
      </c>
      <c r="AI15" s="205">
        <f>'Bilan 2025 AMS'!$S$13*'Bilan 2025 AMS'!$G$9/SUM('Bilan 2025 AMS'!$G$7:$G$19)</f>
        <v>23.232452013069889</v>
      </c>
      <c r="AJ15" s="205">
        <f>'Bilan 2028 AMS'!$S$13*'Bilan 2028 AMS'!$G$9/SUM('Bilan 2028 AMS'!$G$7:$G$19)</f>
        <v>34.722563628487784</v>
      </c>
      <c r="AK15" s="205">
        <f>'Bilan 2030 AMS'!$S$13*'Bilan 2030 AMS'!$G$9/SUM('Bilan 2030 AMS'!$G$7:$G$19)</f>
        <v>41.901875112438987</v>
      </c>
      <c r="AL15" s="205">
        <f>'Bilan 2033 AMS'!$S$13*'Bilan 2033 AMS'!$G$9/SUM('Bilan 2033 AMS'!$G$7:$G$19)</f>
        <v>52.346126955003989</v>
      </c>
      <c r="AM15" s="205">
        <f>'Bilan 2035 AMS'!$S$13*'Bilan 2035 AMS'!$G$9/SUM('Bilan 2035 AMS'!$G$7:$G$19)</f>
        <v>58.994197261634504</v>
      </c>
      <c r="AN15" s="205">
        <f>'Bilan 2038 AMS'!$S$13*'Bilan 2038 AMS'!$G$9/SUM('Bilan 2038 AMS'!$G$7:$G$19)</f>
        <v>66.189523996883722</v>
      </c>
      <c r="AO15" s="205">
        <f>'Bilan 2040 AMS'!$S$13*'Bilan 2040 AMS'!$G$9/SUM('Bilan 2040 AMS'!$G$7:$G$19)</f>
        <v>70.672573676166976</v>
      </c>
      <c r="AP15" s="205">
        <f>'Bilan 2045 AMS'!$S$13*'Bilan 2045 AMS'!$G$9/SUM('Bilan 2045 AMS'!$G$7:$G$19)</f>
        <v>85.944181120364803</v>
      </c>
      <c r="AQ15" s="205">
        <f>'Bilan 2050 AMS'!$S$13*'Bilan 2050 AMS'!$G$9/SUM('Bilan 2050 AMS'!$G$7:$G$19)</f>
        <v>95.339531010419549</v>
      </c>
      <c r="AR15" s="206"/>
      <c r="AS15" s="205" t="s">
        <v>279</v>
      </c>
      <c r="AT15" s="205">
        <f>'Bilan 2015'!$S$13*'Bilan 2015'!$G$9/SUM('Bilan 2015'!$G$7:$G$19)</f>
        <v>0.8931559616235254</v>
      </c>
      <c r="AU15" s="205">
        <f>'Bilan 2020'!$S$13*'Bilan 2020'!$G$9/SUM('Bilan 2020'!$G$7:$G$19)</f>
        <v>14.971153010919259</v>
      </c>
      <c r="AV15" s="205">
        <f>'Bilan 2023 AMS'!$S$13*'Bilan 2023 AMS'!$G$9/SUM('Bilan 2023 AMS'!$G$7:$G$19)</f>
        <v>17.911653755445119</v>
      </c>
      <c r="AW15" s="205">
        <f>'Bilan 2025 AMS'!$S$13*'Bilan 2025 AMS'!$G$9/SUM('Bilan 2025 AMS'!$G$7:$G$19)</f>
        <v>23.232452013069889</v>
      </c>
      <c r="AX15" s="205">
        <f>'Bilan 2028 AMS'!$S$13*'Bilan 2028 AMS'!$G$9/SUM('Bilan 2028 AMS'!$G$7:$G$19)</f>
        <v>34.722563628487784</v>
      </c>
      <c r="AY15" s="205">
        <f>'Bilan 2030 AMS'!$S$13*'Bilan 2030 AMS'!$G$9/SUM('Bilan 2030 AMS'!$G$7:$G$19)</f>
        <v>41.901875112438987</v>
      </c>
      <c r="AZ15" s="205">
        <f>'Bilan 2033 AMS'!$S$13*'Bilan 2033 AMS'!$G$9/SUM('Bilan 2033 AMS'!$G$7:$G$19)</f>
        <v>52.346126955003989</v>
      </c>
      <c r="BA15" s="205">
        <f>'Bilan 2035 AMS'!$S$13*'Bilan 2035 AMS'!$G$9/SUM('Bilan 2035 AMS'!$G$7:$G$19)</f>
        <v>58.994197261634504</v>
      </c>
      <c r="BB15" s="205">
        <f>'Bilan 2038 AMS'!$S$13*'Bilan 2038 AMS'!$G$9/SUM('Bilan 2038 AMS'!$G$7:$G$19)</f>
        <v>66.189523996883722</v>
      </c>
      <c r="BC15" s="205">
        <f>'Bilan 2040 AMS'!$S$13*'Bilan 2040 AMS'!$G$9/SUM('Bilan 2040 AMS'!$G$7:$G$19)</f>
        <v>70.672573676166976</v>
      </c>
      <c r="BD15" s="205">
        <f>'Bilan 2045 AMS'!$S$13*'Bilan 2045 AMS'!$G$9/SUM('Bilan 2045 AMS'!$G$7:$G$19)</f>
        <v>85.944181120364803</v>
      </c>
      <c r="BE15" s="205">
        <f>'Bilan 2050 AMS'!$S$13*'Bilan 2050 AMS'!$G$9/SUM('Bilan 2050 AMS'!$G$7:$G$19)</f>
        <v>95.339531010419549</v>
      </c>
      <c r="BF15" s="216"/>
      <c r="BG15" s="205" t="s">
        <v>418</v>
      </c>
      <c r="BH15" s="202">
        <f t="shared" si="43"/>
        <v>7.3059440569521336E-2</v>
      </c>
      <c r="BI15" s="202">
        <f t="shared" si="43"/>
        <v>8.1250264353294341E-2</v>
      </c>
      <c r="BJ15" s="202">
        <f t="shared" si="43"/>
        <v>6.4218202969631821E-2</v>
      </c>
      <c r="BK15" s="202">
        <f t="shared" si="43"/>
        <v>6.3148229867601019E-2</v>
      </c>
      <c r="BL15" s="202">
        <f t="shared" si="43"/>
        <v>6.0374102709778853E-2</v>
      </c>
      <c r="BM15" s="202">
        <f t="shared" si="43"/>
        <v>5.862194104454943E-2</v>
      </c>
      <c r="BN15" s="202">
        <f t="shared" si="43"/>
        <v>5.5375654224101969E-2</v>
      </c>
      <c r="BO15" s="202">
        <f t="shared" si="43"/>
        <v>5.3339227643781177E-2</v>
      </c>
      <c r="BP15" s="202">
        <f t="shared" si="43"/>
        <v>5.1811612298409936E-2</v>
      </c>
      <c r="BQ15" s="202">
        <f t="shared" si="43"/>
        <v>5.0874717649111299E-2</v>
      </c>
      <c r="BR15" s="202">
        <f t="shared" si="43"/>
        <v>4.2882914468987267E-2</v>
      </c>
      <c r="BS15" s="202">
        <f t="shared" si="43"/>
        <v>3.6904822836983646E-2</v>
      </c>
      <c r="BU15" s="205" t="s">
        <v>418</v>
      </c>
      <c r="BV15" s="202">
        <f>'Bilan 2015'!$E$8+'Bilan 2015'!$I$13*'Bilan 2015'!$G$8/'Bilan 2015'!$H$13</f>
        <v>0.18093008948865483</v>
      </c>
      <c r="BW15" s="202">
        <f>'Bilan 2020'!$E$8+'Bilan 2020'!$I$13*'Bilan 2020'!$G$8/'Bilan 2020'!$H$13</f>
        <v>3.3727735694754233</v>
      </c>
      <c r="BX15" s="202">
        <f>'Bilan 2023 AMS'!$E$8+'Bilan 2023 AMS'!$I$13*'Bilan 2023 AMS'!$G$8/'Bilan 2023 AMS'!$H$13</f>
        <v>3.2718907981401033</v>
      </c>
      <c r="BY15" s="202">
        <f>'Bilan 2025 AMS'!$E$8+'Bilan 2025 AMS'!$I$13*'Bilan 2025 AMS'!$G$8/'Bilan 2025 AMS'!$H$13</f>
        <v>3.2129669583988272</v>
      </c>
      <c r="BZ15" s="202">
        <f>'Bilan 2028 AMS'!$E$8+'Bilan 2028 AMS'!$I$13*'Bilan 2028 AMS'!$G$8/'Bilan 2028 AMS'!$H$13</f>
        <v>2.969016826956751</v>
      </c>
      <c r="CA15" s="202">
        <f>'Bilan 2030 AMS'!$E$8+'Bilan 2030 AMS'!$I$13*'Bilan 2030 AMS'!$G$8/'Bilan 2030 AMS'!$H$13</f>
        <v>2.8320115375759407</v>
      </c>
      <c r="CB15" s="202">
        <f>'Bilan 2033 AMS'!$E$8+'Bilan 2033 AMS'!$I$13*'Bilan 2033 AMS'!$G$8/'Bilan 2033 AMS'!$H$13</f>
        <v>2.6359803514139188</v>
      </c>
      <c r="CC15" s="202">
        <f>'Bilan 2035 AMS'!$E$8+'Bilan 2035 AMS'!$I$13*'Bilan 2035 AMS'!$G$8/'Bilan 2035 AMS'!$H$13</f>
        <v>2.518466912130056</v>
      </c>
      <c r="CD15" s="202">
        <f>'Bilan 2038 AMS'!$E$8+'Bilan 2038 AMS'!$I$13*'Bilan 2038 AMS'!$G$8/'Bilan 2038 AMS'!$H$13</f>
        <v>2.3328359263275433</v>
      </c>
      <c r="CE15" s="202">
        <f>'Bilan 2040 AMS'!$E$8+'Bilan 2040 AMS'!$I$13*'Bilan 2040 AMS'!$G$8/'Bilan 2040 AMS'!$H$13</f>
        <v>2.2291219505984499</v>
      </c>
      <c r="CF15" s="202">
        <f>'Bilan 2045 AMS'!$E$8+'Bilan 2045 AMS'!$I$13*'Bilan 2045 AMS'!$G$8/'Bilan 2045 AMS'!$H$13</f>
        <v>1.8936001166806129</v>
      </c>
      <c r="CG15" s="202">
        <f>'Bilan 2050 AMS'!$E$8+'Bilan 2050 AMS'!$I$13*'Bilan 2050 AMS'!$G$8/'Bilan 2050 AMS'!$H$13</f>
        <v>1.5577922172412928</v>
      </c>
      <c r="CH15" s="206"/>
      <c r="CJ15" s="205" t="s">
        <v>418</v>
      </c>
      <c r="CK15" s="202">
        <f t="shared" si="44"/>
        <v>7.9921040170571458E-2</v>
      </c>
      <c r="CL15" s="202">
        <f t="shared" si="44"/>
        <v>8.7045000077838844E-2</v>
      </c>
      <c r="CM15" s="202">
        <f t="shared" si="44"/>
        <v>8.8958019457663476E-2</v>
      </c>
      <c r="CN15" s="202">
        <f t="shared" si="44"/>
        <v>8.9739051688972282E-2</v>
      </c>
      <c r="CO15" s="202">
        <f t="shared" si="44"/>
        <v>9.1146119561036854E-2</v>
      </c>
      <c r="CP15" s="202">
        <f t="shared" si="44"/>
        <v>9.207671262592286E-2</v>
      </c>
      <c r="CQ15" s="202">
        <f t="shared" si="44"/>
        <v>9.5037851290652134E-2</v>
      </c>
      <c r="CR15" s="202">
        <f t="shared" si="44"/>
        <v>9.6833368101987574E-2</v>
      </c>
      <c r="CS15" s="202">
        <f t="shared" si="44"/>
        <v>0.10165970594397469</v>
      </c>
      <c r="CT15" s="202">
        <f t="shared" si="44"/>
        <v>0.10463319289621684</v>
      </c>
      <c r="CU15" s="202">
        <f t="shared" si="44"/>
        <v>0.11028164210292046</v>
      </c>
      <c r="CV15" s="202">
        <f t="shared" si="44"/>
        <v>0.12621816480176404</v>
      </c>
      <c r="CW15" s="206"/>
      <c r="CX15" s="193">
        <f>CX14+1</f>
        <v>2307</v>
      </c>
      <c r="CY15" s="205" t="s">
        <v>418</v>
      </c>
      <c r="CZ15" s="207" t="s">
        <v>278</v>
      </c>
      <c r="DA15" s="202">
        <f>'Bilan 2015'!$K$13*'Bilan 2015'!$G$8/SUM('Bilan 2015'!$G$7:$G$19)</f>
        <v>0.19792268921533859</v>
      </c>
      <c r="DB15" s="202">
        <f>'Bilan 2020'!$K$13*'Bilan 2020'!$G$8/SUM('Bilan 2020'!$G$7:$G$19)</f>
        <v>3.6133184052295029</v>
      </c>
      <c r="DC15" s="202">
        <f>'Bilan 2023 AMS'!$K$13*'Bilan 2023 AMS'!$G$8/SUM('Bilan 2023 AMS'!$G$7:$G$19)</f>
        <v>4.5323741840290568</v>
      </c>
      <c r="DD15" s="202">
        <f>'Bilan 2025 AMS'!$K$13*'Bilan 2025 AMS'!$G$8/SUM('Bilan 2025 AMS'!$G$7:$G$19)</f>
        <v>4.5659016659569573</v>
      </c>
      <c r="DE15" s="202">
        <f>'Bilan 2028 AMS'!$K$13*'Bilan 2028 AMS'!$G$8/SUM('Bilan 2028 AMS'!$G$7:$G$19)</f>
        <v>4.4822920845612604</v>
      </c>
      <c r="DF15" s="202">
        <f>'Bilan 2030 AMS'!$K$13*'Bilan 2030 AMS'!$G$8/SUM('Bilan 2030 AMS'!$G$7:$G$19)</f>
        <v>4.4482033152145695</v>
      </c>
      <c r="DG15" s="202">
        <f>'Bilan 2033 AMS'!$K$13*'Bilan 2033 AMS'!$G$8/SUM('Bilan 2033 AMS'!$G$7:$G$19)</f>
        <v>4.5239719900901925</v>
      </c>
      <c r="DH15" s="202">
        <f>'Bilan 2035 AMS'!$K$13*'Bilan 2035 AMS'!$G$8/SUM('Bilan 2035 AMS'!$G$7:$G$19)</f>
        <v>4.5720878296856764</v>
      </c>
      <c r="DI15" s="202">
        <f>'Bilan 2038 AMS'!$K$13*'Bilan 2038 AMS'!$G$8/SUM('Bilan 2038 AMS'!$G$7:$G$19)</f>
        <v>4.5772637400298777</v>
      </c>
      <c r="DJ15" s="202">
        <f>'Bilan 2040 AMS'!$K$13*'Bilan 2040 AMS'!$G$8/SUM('Bilan 2040 AMS'!$G$7:$G$19)</f>
        <v>4.5845983589499699</v>
      </c>
      <c r="DK15" s="202">
        <f>'Bilan 2045 AMS'!$K$13*'Bilan 2045 AMS'!$G$8/SUM('Bilan 2045 AMS'!$G$7:$G$19)</f>
        <v>4.8697560074850843</v>
      </c>
      <c r="DL15" s="202">
        <f>'Bilan 2050 AMS'!$K$13*'Bilan 2050 AMS'!$G$8/SUM('Bilan 2050 AMS'!$G$7:$G$19)</f>
        <v>5.3278043271251061</v>
      </c>
    </row>
    <row r="16" spans="1:116" ht="14.5">
      <c r="A16" s="211" t="s">
        <v>25</v>
      </c>
      <c r="B16" s="212"/>
      <c r="C16" s="212"/>
      <c r="D16" s="579"/>
      <c r="E16" s="579"/>
      <c r="F16" s="579"/>
      <c r="G16" s="579"/>
      <c r="H16" s="579"/>
      <c r="I16" s="579"/>
      <c r="J16" s="579"/>
      <c r="K16" s="579"/>
      <c r="L16" s="579"/>
      <c r="M16" s="579"/>
      <c r="N16" s="575"/>
      <c r="O16" s="575"/>
      <c r="P16" s="575"/>
      <c r="Q16" s="571" t="s">
        <v>285</v>
      </c>
      <c r="R16" s="201">
        <f t="shared" ref="R16" si="57">SUM(R17:R22)</f>
        <v>45.351364450987155</v>
      </c>
      <c r="S16" s="201">
        <f t="shared" ref="S16:AC16" si="58">SUM(S17:S22)</f>
        <v>514.01219611244392</v>
      </c>
      <c r="T16" s="201">
        <f t="shared" si="58"/>
        <v>529.91060460088556</v>
      </c>
      <c r="U16" s="201">
        <f t="shared" si="58"/>
        <v>520.34742997713363</v>
      </c>
      <c r="V16" s="201">
        <f t="shared" ref="V16:AB16" si="59">SUM(V17:V22)</f>
        <v>498.83593477904355</v>
      </c>
      <c r="W16" s="201">
        <f t="shared" si="59"/>
        <v>485.39262175132649</v>
      </c>
      <c r="X16" s="201">
        <f t="shared" si="59"/>
        <v>486.13276143978516</v>
      </c>
      <c r="Y16" s="201">
        <f t="shared" si="59"/>
        <v>485.12807026667866</v>
      </c>
      <c r="Z16" s="201">
        <f t="shared" si="59"/>
        <v>493.80396653569187</v>
      </c>
      <c r="AA16" s="201">
        <f t="shared" si="59"/>
        <v>496.06114624559996</v>
      </c>
      <c r="AB16" s="201">
        <f t="shared" si="59"/>
        <v>501.75859075743915</v>
      </c>
      <c r="AC16" s="201">
        <f t="shared" si="58"/>
        <v>517.24358164573766</v>
      </c>
      <c r="AD16" s="193">
        <f>AD15+1</f>
        <v>2308</v>
      </c>
      <c r="AE16" s="205" t="s">
        <v>418</v>
      </c>
      <c r="AF16" s="205">
        <f>'Bilan 2015'!$S$13*'Bilan 2015'!$G$8/SUM('Bilan 2015'!$G$7:$G$19)</f>
        <v>2.4764778935925027</v>
      </c>
      <c r="AG16" s="205">
        <f>'Bilan 2020'!$S$13*'Bilan 2020'!$G$8/SUM('Bilan 2020'!$G$7:$G$19)</f>
        <v>41.510924257548858</v>
      </c>
      <c r="AH16" s="205">
        <f>'Bilan 2023 AMS'!$S$13*'Bilan 2023 AMS'!$G$8/SUM('Bilan 2023 AMS'!$G$7:$G$19)</f>
        <v>50.949585115101229</v>
      </c>
      <c r="AI16" s="205">
        <f>'Bilan 2025 AMS'!$S$13*'Bilan 2025 AMS'!$G$8/SUM('Bilan 2025 AMS'!$G$7:$G$19)</f>
        <v>50.879762823680977</v>
      </c>
      <c r="AJ16" s="205">
        <f>'Bilan 2028 AMS'!$S$13*'Bilan 2028 AMS'!$G$8/SUM('Bilan 2028 AMS'!$G$7:$G$19)</f>
        <v>49.176993010214233</v>
      </c>
      <c r="AK16" s="205">
        <f>'Bilan 2030 AMS'!$S$13*'Bilan 2030 AMS'!$G$8/SUM('Bilan 2030 AMS'!$G$7:$G$19)</f>
        <v>48.309753773314476</v>
      </c>
      <c r="AL16" s="205">
        <f>'Bilan 2033 AMS'!$S$13*'Bilan 2033 AMS'!$G$8/SUM('Bilan 2033 AMS'!$G$7:$G$19)</f>
        <v>47.601791587802531</v>
      </c>
      <c r="AM16" s="205">
        <f>'Bilan 2035 AMS'!$S$13*'Bilan 2035 AMS'!$G$8/SUM('Bilan 2035 AMS'!$G$7:$G$19)</f>
        <v>47.216036365380035</v>
      </c>
      <c r="AN16" s="205">
        <f>'Bilan 2038 AMS'!$S$13*'Bilan 2038 AMS'!$G$8/SUM('Bilan 2038 AMS'!$G$7:$G$19)</f>
        <v>45.025349006541852</v>
      </c>
      <c r="AO16" s="205">
        <f>'Bilan 2040 AMS'!$S$13*'Bilan 2040 AMS'!$G$8/SUM('Bilan 2040 AMS'!$G$7:$G$19)</f>
        <v>43.815908050300287</v>
      </c>
      <c r="AP16" s="205">
        <f>'Bilan 2045 AMS'!$S$13*'Bilan 2045 AMS'!$G$8/SUM('Bilan 2045 AMS'!$G$7:$G$19)</f>
        <v>44.157449187602587</v>
      </c>
      <c r="AQ16" s="205">
        <f>'Bilan 2050 AMS'!$S$13*'Bilan 2050 AMS'!$G$8/SUM('Bilan 2050 AMS'!$G$7:$G$19)</f>
        <v>42.211074257757268</v>
      </c>
      <c r="AR16" s="206"/>
      <c r="AS16" s="205" t="s">
        <v>418</v>
      </c>
      <c r="AT16" s="205">
        <f>'Bilan 2015'!$S$13*'Bilan 2015'!$G$8/SUM('Bilan 2015'!$G$7:$G$19)</f>
        <v>2.4764778935925027</v>
      </c>
      <c r="AU16" s="205">
        <f>'Bilan 2020'!$S$13*'Bilan 2020'!$G$8/SUM('Bilan 2020'!$G$7:$G$19)</f>
        <v>41.510924257548858</v>
      </c>
      <c r="AV16" s="205">
        <f>'Bilan 2023 AMS'!$S$13*'Bilan 2023 AMS'!$G$8/SUM('Bilan 2023 AMS'!$G$7:$G$19)</f>
        <v>50.949585115101229</v>
      </c>
      <c r="AW16" s="205">
        <f>'Bilan 2025 AMS'!$S$13*'Bilan 2025 AMS'!$G$8/SUM('Bilan 2025 AMS'!$G$7:$G$19)</f>
        <v>50.879762823680977</v>
      </c>
      <c r="AX16" s="205">
        <f>'Bilan 2028 AMS'!$S$13*'Bilan 2028 AMS'!$G$8/SUM('Bilan 2028 AMS'!$G$7:$G$19)</f>
        <v>49.176993010214233</v>
      </c>
      <c r="AY16" s="205">
        <f>'Bilan 2030 AMS'!$S$13*'Bilan 2030 AMS'!$G$8/SUM('Bilan 2030 AMS'!$G$7:$G$19)</f>
        <v>48.309753773314476</v>
      </c>
      <c r="AZ16" s="205">
        <f>'Bilan 2033 AMS'!$S$13*'Bilan 2033 AMS'!$G$8/SUM('Bilan 2033 AMS'!$G$7:$G$19)</f>
        <v>47.601791587802531</v>
      </c>
      <c r="BA16" s="205">
        <f>'Bilan 2035 AMS'!$S$13*'Bilan 2035 AMS'!$G$8/SUM('Bilan 2035 AMS'!$G$7:$G$19)</f>
        <v>47.216036365380035</v>
      </c>
      <c r="BB16" s="205">
        <f>'Bilan 2038 AMS'!$S$13*'Bilan 2038 AMS'!$G$8/SUM('Bilan 2038 AMS'!$G$7:$G$19)</f>
        <v>45.025349006541852</v>
      </c>
      <c r="BC16" s="205">
        <f>'Bilan 2040 AMS'!$S$13*'Bilan 2040 AMS'!$G$8/SUM('Bilan 2040 AMS'!$G$7:$G$19)</f>
        <v>43.815908050300287</v>
      </c>
      <c r="BD16" s="205">
        <f>'Bilan 2045 AMS'!$S$13*'Bilan 2045 AMS'!$G$8/SUM('Bilan 2045 AMS'!$G$7:$G$19)</f>
        <v>44.157449187602587</v>
      </c>
      <c r="BE16" s="205">
        <f>'Bilan 2050 AMS'!$S$13*'Bilan 2050 AMS'!$G$8/SUM('Bilan 2050 AMS'!$G$7:$G$19)</f>
        <v>42.211074257757268</v>
      </c>
      <c r="BF16" s="216"/>
      <c r="BG16" s="205" t="s">
        <v>415</v>
      </c>
      <c r="BH16" s="202">
        <f t="shared" si="43"/>
        <v>4.4252345044508434</v>
      </c>
      <c r="BI16" s="202">
        <f t="shared" si="43"/>
        <v>4.2674127401567858</v>
      </c>
      <c r="BJ16" s="202">
        <f t="shared" si="43"/>
        <v>3.6833885870823697</v>
      </c>
      <c r="BK16" s="202">
        <f t="shared" si="43"/>
        <v>3.3918975784893304</v>
      </c>
      <c r="BL16" s="202">
        <f t="shared" si="43"/>
        <v>3.0603191474628417</v>
      </c>
      <c r="BM16" s="202">
        <f t="shared" si="43"/>
        <v>2.874943163302881</v>
      </c>
      <c r="BN16" s="202">
        <f t="shared" si="43"/>
        <v>2.4590018439495651</v>
      </c>
      <c r="BO16" s="202">
        <f t="shared" si="43"/>
        <v>2.241826811335689</v>
      </c>
      <c r="BP16" s="202">
        <f t="shared" si="43"/>
        <v>1.9270897513508123</v>
      </c>
      <c r="BQ16" s="202">
        <f t="shared" si="43"/>
        <v>1.7528850894355834</v>
      </c>
      <c r="BR16" s="202">
        <f t="shared" si="43"/>
        <v>1.4922821018788917</v>
      </c>
      <c r="BS16" s="202">
        <f t="shared" si="43"/>
        <v>1.5087441679409024</v>
      </c>
      <c r="BU16" s="205" t="s">
        <v>283</v>
      </c>
      <c r="BV16" s="202">
        <f>SUM('Bilan 2015'!$E$12:$E$16)+'Bilan 2015'!$I$13*SUM('Bilan 2015'!$G$12:$G$16)/'Bilan 2015'!$H$13</f>
        <v>2.8263041457271392</v>
      </c>
      <c r="BW16" s="202">
        <f>SUM('Bilan 2020'!$E$12:$E$16)+'Bilan 2020'!$I$13*SUM('Bilan 2020'!$G$12:$G$16)/'Bilan 2020'!$H$13</f>
        <v>21.05667717879976</v>
      </c>
      <c r="BX16" s="202">
        <f>SUM('Bilan 2023 AMS'!$E$12:$E$16)+'Bilan 2023 AMS'!$I$13*SUM('Bilan 2023 AMS'!$G$12:$G$16)/'Bilan 2023 AMS'!$H$13</f>
        <v>38.84373746577937</v>
      </c>
      <c r="BY16" s="202">
        <f>SUM('Bilan 2025 AMS'!$E$12:$E$16)+'Bilan 2025 AMS'!$I$13*SUM('Bilan 2025 AMS'!$G$12:$G$16)/'Bilan 2025 AMS'!$H$13</f>
        <v>37.608961938581636</v>
      </c>
      <c r="BZ16" s="202">
        <f>SUM('Bilan 2028 AMS'!$E$12:$E$16)+'Bilan 2028 AMS'!$I$13*SUM('Bilan 2028 AMS'!$G$12:$G$16)/'Bilan 2028 AMS'!$H$13</f>
        <v>32.046789268577598</v>
      </c>
      <c r="CA16" s="202">
        <f>SUM('Bilan 2030 AMS'!$E$12:$E$16)+'Bilan 2030 AMS'!$I$13*SUM('Bilan 2030 AMS'!$G$12:$G$16)/'Bilan 2030 AMS'!$H$13</f>
        <v>28.868357522979743</v>
      </c>
      <c r="CB16" s="202">
        <f>SUM('Bilan 2033 AMS'!$E$12:$E$16)+'Bilan 2033 AMS'!$I$13*SUM('Bilan 2033 AMS'!$G$12:$G$16)/'Bilan 2033 AMS'!$H$13</f>
        <v>27.89353110373818</v>
      </c>
      <c r="CC16" s="202">
        <f>SUM('Bilan 2035 AMS'!$E$12:$E$16)+'Bilan 2035 AMS'!$I$13*SUM('Bilan 2035 AMS'!$G$12:$G$16)/'Bilan 2035 AMS'!$H$13</f>
        <v>27.309203099656315</v>
      </c>
      <c r="CD16" s="202">
        <f>SUM('Bilan 2038 AMS'!$E$12:$E$16)+'Bilan 2038 AMS'!$I$13*SUM('Bilan 2038 AMS'!$G$12:$G$16)/'Bilan 2038 AMS'!$H$13</f>
        <v>24.9846581390686</v>
      </c>
      <c r="CE16" s="202">
        <f>SUM('Bilan 2040 AMS'!$E$12:$E$16)+'Bilan 2040 AMS'!$I$13*SUM('Bilan 2040 AMS'!$G$12:$G$16)/'Bilan 2040 AMS'!$H$13</f>
        <v>23.598538671454126</v>
      </c>
      <c r="CF16" s="202">
        <f>SUM('Bilan 2045 AMS'!$E$12:$E$16)+'Bilan 2045 AMS'!$I$13*SUM('Bilan 2045 AMS'!$G$12:$G$16)/'Bilan 2045 AMS'!$H$13</f>
        <v>16.2466633712617</v>
      </c>
      <c r="CG16" s="202">
        <f>SUM('Bilan 2050 AMS'!$E$12:$E$16)+'Bilan 2050 AMS'!$I$13*SUM('Bilan 2050 AMS'!$G$12:$G$16)/'Bilan 2050 AMS'!$H$13</f>
        <v>14.401709083739078</v>
      </c>
      <c r="CH16" s="206"/>
      <c r="CJ16" s="205" t="s">
        <v>415</v>
      </c>
      <c r="CK16" s="202">
        <f t="shared" si="44"/>
        <v>7.9921040170571445E-2</v>
      </c>
      <c r="CL16" s="202">
        <f t="shared" si="44"/>
        <v>8.7045000077838858E-2</v>
      </c>
      <c r="CM16" s="202">
        <f t="shared" si="44"/>
        <v>8.895801945766349E-2</v>
      </c>
      <c r="CN16" s="202">
        <f t="shared" si="44"/>
        <v>8.9739051688972296E-2</v>
      </c>
      <c r="CO16" s="202">
        <f t="shared" si="44"/>
        <v>9.1146119561036867E-2</v>
      </c>
      <c r="CP16" s="202">
        <f t="shared" si="44"/>
        <v>9.207671262592286E-2</v>
      </c>
      <c r="CQ16" s="202">
        <f t="shared" si="44"/>
        <v>9.5037851290652134E-2</v>
      </c>
      <c r="CR16" s="202">
        <f t="shared" si="44"/>
        <v>9.683336810198756E-2</v>
      </c>
      <c r="CS16" s="202">
        <f t="shared" si="44"/>
        <v>0.10165970594397468</v>
      </c>
      <c r="CT16" s="202">
        <f t="shared" si="44"/>
        <v>0.10463319289621684</v>
      </c>
      <c r="CU16" s="202">
        <f t="shared" si="44"/>
        <v>0.11028164210292046</v>
      </c>
      <c r="CV16" s="202">
        <f t="shared" si="44"/>
        <v>0.12621816480176404</v>
      </c>
      <c r="CW16" s="206"/>
      <c r="CX16" s="193">
        <f>CX15+1</f>
        <v>2308</v>
      </c>
      <c r="CY16" s="205" t="s">
        <v>415</v>
      </c>
      <c r="CZ16" s="207" t="s">
        <v>280</v>
      </c>
      <c r="DA16" s="202">
        <f>'Bilan 2015'!$K$13*SUM('Bilan 2015'!$G$12:$G$16)/SUM('Bilan 2015'!$G$7:$G$19)</f>
        <v>5.1043886360761896E-2</v>
      </c>
      <c r="DB16" s="202">
        <f>'Bilan 2020'!$K$13*SUM('Bilan 2020'!$G$12:$G$16)/SUM('Bilan 2020'!$G$7:$G$19)</f>
        <v>0.42950578682490231</v>
      </c>
      <c r="DC16" s="202">
        <f>'Bilan 2023 AMS'!$K$13*SUM('Bilan 2023 AMS'!$G$12:$G$16)/SUM('Bilan 2023 AMS'!$G$7:$G$19)</f>
        <v>0.93812039419556925</v>
      </c>
      <c r="DD16" s="202">
        <f>'Bilan 2025 AMS'!$K$13*SUM('Bilan 2025 AMS'!$G$12:$G$16)/SUM('Bilan 2025 AMS'!$G$7:$G$19)</f>
        <v>0.99501606439369827</v>
      </c>
      <c r="DE16" s="202">
        <f>'Bilan 2028 AMS'!$K$13*SUM('Bilan 2028 AMS'!$G$12:$G$16)/SUM('Bilan 2028 AMS'!$G$7:$G$19)</f>
        <v>0.95445616795971544</v>
      </c>
      <c r="DF16" s="202">
        <f>'Bilan 2030 AMS'!$K$13*SUM('Bilan 2030 AMS'!$G$12:$G$16)/SUM('Bilan 2030 AMS'!$G$7:$G$19)</f>
        <v>0.92457600329463197</v>
      </c>
      <c r="DG16" s="202">
        <f>'Bilan 2033 AMS'!$K$13*SUM('Bilan 2033 AMS'!$G$12:$G$16)/SUM('Bilan 2033 AMS'!$G$7:$G$19)</f>
        <v>1.0780558247774217</v>
      </c>
      <c r="DH16" s="202">
        <f>'Bilan 2035 AMS'!$K$13*SUM('Bilan 2035 AMS'!$G$12:$G$16)/SUM('Bilan 2035 AMS'!$G$7:$G$19)</f>
        <v>1.179592510424742</v>
      </c>
      <c r="DI16" s="202">
        <f>'Bilan 2038 AMS'!$K$13*SUM('Bilan 2038 AMS'!$G$12:$G$16)/SUM('Bilan 2038 AMS'!$G$7:$G$19)</f>
        <v>1.3180148966845249</v>
      </c>
      <c r="DJ16" s="202">
        <f>'Bilan 2040 AMS'!$K$13*SUM('Bilan 2040 AMS'!$G$12:$G$16)/SUM('Bilan 2040 AMS'!$G$7:$G$19)</f>
        <v>1.4086436491248573</v>
      </c>
      <c r="DK16" s="202">
        <f>'Bilan 2045 AMS'!$K$13*SUM('Bilan 2045 AMS'!$G$12:$G$16)/SUM('Bilan 2045 AMS'!$G$7:$G$19)</f>
        <v>1.2006501404930197</v>
      </c>
      <c r="DL16" s="202">
        <f>'Bilan 2050 AMS'!$K$13*SUM('Bilan 2050 AMS'!$G$12:$G$16)/SUM('Bilan 2050 AMS'!$G$7:$G$19)</f>
        <v>1.204814791787578</v>
      </c>
    </row>
    <row r="17" spans="1:116" ht="14.5">
      <c r="A17" s="203" t="s">
        <v>279</v>
      </c>
      <c r="B17" s="204">
        <f>'Bilan 2015'!$C9</f>
        <v>1.1874648021075129</v>
      </c>
      <c r="C17" s="204">
        <f>'Bilan 2020'!$C9</f>
        <v>19.145134301820498</v>
      </c>
      <c r="D17" s="204">
        <f>'Bilan 2023 AMS'!$C9*(1-SUM('Bilan 2023 AMS'!$M$13:$P$13)/'Bilan 2023 AMS'!$D$13)</f>
        <v>22.428257433858789</v>
      </c>
      <c r="E17" s="204">
        <f>'Bilan 2025 AMS'!$C9*(1-SUM('Bilan 2025 AMS'!$M$13:$P$13)/'Bilan 2025 AMS'!$D$13)</f>
        <v>29.212940696822123</v>
      </c>
      <c r="F17" s="204">
        <f>'Bilan 2028 AMS'!$C9*(1-SUM('Bilan 2028 AMS'!$M$13:$P$13)/'Bilan 2028 AMS'!$D$13)</f>
        <v>43.939722903254221</v>
      </c>
      <c r="G17" s="204">
        <f>'Bilan 2030 AMS'!$C9*(1-SUM('Bilan 2030 AMS'!$M$13:$P$13)/'Bilan 2030 AMS'!$D$13)</f>
        <v>53.297337828061913</v>
      </c>
      <c r="H17" s="204">
        <f>'Bilan 2033 AMS'!$C9*(1-SUM('Bilan 2033 AMS'!$M$13:$P$13)/'Bilan 2033 AMS'!$D$13)</f>
        <v>67.426254787453573</v>
      </c>
      <c r="I17" s="204">
        <f>'Bilan 2035 AMS'!$C9*(1-SUM('Bilan 2035 AMS'!$M$13:$P$13)/'Bilan 2035 AMS'!$D$13)</f>
        <v>76.637665392602059</v>
      </c>
      <c r="J17" s="204">
        <f>'Bilan 2038 AMS'!$C9*(1-SUM('Bilan 2038 AMS'!$M$13:$P$13)/'Bilan 2038 AMS'!$D$13)</f>
        <v>87.845399414222683</v>
      </c>
      <c r="K17" s="204">
        <f>'Bilan 2040 AMS'!$C9*(1-SUM('Bilan 2040 AMS'!$M$13:$P$13)/'Bilan 2040 AMS'!$D$13)</f>
        <v>95.127752344391041</v>
      </c>
      <c r="L17" s="204">
        <f>'Bilan 2045 AMS'!$C9*(1-SUM('Bilan 2045 AMS'!$M$13:$P$13)/'Bilan 2045 AMS'!$D$13)</f>
        <v>117.36964893199854</v>
      </c>
      <c r="M17" s="204">
        <f>'Bilan 2050 AMS'!$C9*(1-SUM('Bilan 2050 AMS'!$M$13:$P$13)/'Bilan 2050 AMS'!$D$13)</f>
        <v>137.12937327612582</v>
      </c>
      <c r="N17" s="577"/>
      <c r="O17" s="577"/>
      <c r="P17" s="577"/>
      <c r="Q17" s="572" t="s">
        <v>287</v>
      </c>
      <c r="R17" s="205">
        <f t="shared" ref="R17:AC22" si="60">B29</f>
        <v>31.15255442144797</v>
      </c>
      <c r="S17" s="205">
        <f t="shared" si="60"/>
        <v>351.08176898139908</v>
      </c>
      <c r="T17" s="205">
        <f t="shared" si="60"/>
        <v>329.59702591002554</v>
      </c>
      <c r="U17" s="205">
        <f t="shared" si="60"/>
        <v>305.05394748972014</v>
      </c>
      <c r="V17" s="205">
        <f t="shared" si="60"/>
        <v>257.54068781890248</v>
      </c>
      <c r="W17" s="205">
        <f t="shared" si="60"/>
        <v>228.17466834167701</v>
      </c>
      <c r="X17" s="205">
        <f t="shared" si="60"/>
        <v>199.86795271324888</v>
      </c>
      <c r="Y17" s="205">
        <f t="shared" si="60"/>
        <v>182.97698148415333</v>
      </c>
      <c r="Z17" s="205">
        <f t="shared" si="60"/>
        <v>164.68246182695583</v>
      </c>
      <c r="AA17" s="205">
        <f t="shared" si="60"/>
        <v>154.19750798492552</v>
      </c>
      <c r="AB17" s="205">
        <f t="shared" si="60"/>
        <v>136.98306553365924</v>
      </c>
      <c r="AC17" s="205">
        <f t="shared" si="60"/>
        <v>124.84416717805334</v>
      </c>
      <c r="AE17" s="205" t="s">
        <v>415</v>
      </c>
      <c r="AF17" s="205">
        <f>'Bilan 2015'!$S$13*SUM('Bilan 2015'!$G$12:$G$14,'Bilan 2015'!$G$16)/SUM('Bilan 2015'!$G$7:$G$19)</f>
        <v>0.63867895427563881</v>
      </c>
      <c r="AG17" s="205">
        <f>'Bilan 2020'!$S$13*SUM('Bilan 2020'!$G$12:$G$14,'Bilan 2020'!$G$16)/SUM('Bilan 2020'!$G$7:$G$19)</f>
        <v>4.9342958979932492</v>
      </c>
      <c r="AH17" s="205">
        <f>'Bilan 2023 AMS'!$S$13*SUM('Bilan 2023 AMS'!$G$12:$G$14,'Bilan 2023 AMS'!$G$16)/SUM('Bilan 2023 AMS'!$G$7:$G$19)</f>
        <v>10.545652881155199</v>
      </c>
      <c r="AI17" s="205">
        <f>'Bilan 2025 AMS'!$S$13*SUM('Bilan 2025 AMS'!$G$12:$G$14,'Bilan 2025 AMS'!$G$16)/SUM('Bilan 2025 AMS'!$G$7:$G$19)</f>
        <v>11.08788254017144</v>
      </c>
      <c r="AJ17" s="205">
        <f>'Bilan 2028 AMS'!$S$13*SUM('Bilan 2028 AMS'!$G$12:$G$14,'Bilan 2028 AMS'!$G$16)/SUM('Bilan 2028 AMS'!$G$7:$G$19)</f>
        <v>10.471714786722815</v>
      </c>
      <c r="AK17" s="205">
        <f>'Bilan 2030 AMS'!$S$13*SUM('Bilan 2030 AMS'!$G$12:$G$14,'Bilan 2030 AMS'!$G$16)/SUM('Bilan 2030 AMS'!$G$7:$G$19)</f>
        <v>10.041366344722553</v>
      </c>
      <c r="AL17" s="205">
        <f>'Bilan 2033 AMS'!$S$13*SUM('Bilan 2033 AMS'!$G$12:$G$14,'Bilan 2033 AMS'!$G$16)/SUM('Bilan 2033 AMS'!$G$7:$G$19)</f>
        <v>11.343436432295041</v>
      </c>
      <c r="AM17" s="205">
        <f>'Bilan 2035 AMS'!$S$13*SUM('Bilan 2035 AMS'!$G$12:$G$14,'Bilan 2035 AMS'!$G$16)/SUM('Bilan 2035 AMS'!$G$7:$G$19)</f>
        <v>12.181673874881257</v>
      </c>
      <c r="AN17" s="205">
        <f>'Bilan 2038 AMS'!$S$13*SUM('Bilan 2038 AMS'!$G$12:$G$14,'Bilan 2038 AMS'!$G$16)/SUM('Bilan 2038 AMS'!$G$7:$G$19)</f>
        <v>12.964968612154863</v>
      </c>
      <c r="AO17" s="205">
        <f>'Bilan 2040 AMS'!$S$13*SUM('Bilan 2040 AMS'!$G$12:$G$14,'Bilan 2040 AMS'!$G$16)/SUM('Bilan 2040 AMS'!$G$7:$G$19)</f>
        <v>13.462684356025122</v>
      </c>
      <c r="AP17" s="205">
        <f>'Bilan 2045 AMS'!$S$13*SUM('Bilan 2045 AMS'!$G$12:$G$14,'Bilan 2045 AMS'!$G$16)/SUM('Bilan 2045 AMS'!$G$7:$G$19)</f>
        <v>10.887126067387641</v>
      </c>
      <c r="AQ17" s="205">
        <f>'Bilan 2050 AMS'!$S$13*SUM('Bilan 2050 AMS'!$G$12:$G$14,'Bilan 2050 AMS'!$G$16)/SUM('Bilan 2050 AMS'!$G$7:$G$19)</f>
        <v>9.5454944514510913</v>
      </c>
      <c r="AR17" s="206"/>
      <c r="AS17" s="205" t="s">
        <v>415</v>
      </c>
      <c r="AT17" s="205">
        <f>'Bilan 2015'!$S$13*SUM('Bilan 2015'!$G$12:$G$14,'Bilan 2015'!$G$16)/SUM('Bilan 2015'!$G$7:$G$19)</f>
        <v>0.63867895427563881</v>
      </c>
      <c r="AU17" s="205">
        <f>'Bilan 2020'!$S$13*SUM('Bilan 2020'!$G$12:$G$14,'Bilan 2020'!$G$16)/SUM('Bilan 2020'!$G$7:$G$19)</f>
        <v>4.9342958979932492</v>
      </c>
      <c r="AV17" s="205">
        <f>'Bilan 2023 AMS'!$S$13*SUM('Bilan 2023 AMS'!$G$12:$G$14,'Bilan 2023 AMS'!$G$16)/SUM('Bilan 2023 AMS'!$G$7:$G$19)</f>
        <v>10.545652881155199</v>
      </c>
      <c r="AW17" s="205">
        <f>'Bilan 2025 AMS'!$S$13*SUM('Bilan 2025 AMS'!$G$12:$G$14,'Bilan 2025 AMS'!$G$16)/SUM('Bilan 2025 AMS'!$G$7:$G$19)</f>
        <v>11.08788254017144</v>
      </c>
      <c r="AX17" s="205">
        <f>'Bilan 2028 AMS'!$S$13*SUM('Bilan 2028 AMS'!$G$12:$G$14,'Bilan 2028 AMS'!$G$16)/SUM('Bilan 2028 AMS'!$G$7:$G$19)</f>
        <v>10.471714786722815</v>
      </c>
      <c r="AY17" s="205">
        <f>'Bilan 2030 AMS'!$S$13*SUM('Bilan 2030 AMS'!$G$12:$G$14,'Bilan 2030 AMS'!$G$16)/SUM('Bilan 2030 AMS'!$G$7:$G$19)</f>
        <v>10.041366344722553</v>
      </c>
      <c r="AZ17" s="205">
        <f>'Bilan 2033 AMS'!$S$13*SUM('Bilan 2033 AMS'!$G$12:$G$14,'Bilan 2033 AMS'!$G$16)/SUM('Bilan 2033 AMS'!$G$7:$G$19)</f>
        <v>11.343436432295041</v>
      </c>
      <c r="BA17" s="205">
        <f>'Bilan 2035 AMS'!$S$13*SUM('Bilan 2035 AMS'!$G$12:$G$14,'Bilan 2035 AMS'!$G$16)/SUM('Bilan 2035 AMS'!$G$7:$G$19)</f>
        <v>12.181673874881257</v>
      </c>
      <c r="BB17" s="205">
        <f>'Bilan 2038 AMS'!$S$13*SUM('Bilan 2038 AMS'!$G$12:$G$14,'Bilan 2038 AMS'!$G$16)/SUM('Bilan 2038 AMS'!$G$7:$G$19)</f>
        <v>12.964968612154863</v>
      </c>
      <c r="BC17" s="205">
        <f>'Bilan 2040 AMS'!$S$13*SUM('Bilan 2040 AMS'!$G$12:$G$14,'Bilan 2040 AMS'!$G$16)/SUM('Bilan 2040 AMS'!$G$7:$G$19)</f>
        <v>13.462684356025122</v>
      </c>
      <c r="BD17" s="205">
        <f>'Bilan 2045 AMS'!$S$13*SUM('Bilan 2045 AMS'!$G$12:$G$14,'Bilan 2045 AMS'!$G$16)/SUM('Bilan 2045 AMS'!$G$7:$G$19)</f>
        <v>10.887126067387641</v>
      </c>
      <c r="BE17" s="205">
        <f>'Bilan 2050 AMS'!$S$13*SUM('Bilan 2050 AMS'!$G$12:$G$14,'Bilan 2050 AMS'!$G$16)/SUM('Bilan 2050 AMS'!$G$7:$G$19)</f>
        <v>9.5454944514510913</v>
      </c>
      <c r="BF17" s="216"/>
      <c r="BG17" s="205" t="s">
        <v>287</v>
      </c>
      <c r="BH17" s="202">
        <f t="shared" ref="BH17:BS24" si="61">IF(AT19&gt;0,BV17/AT19,0)</f>
        <v>3.6774251198465099E-2</v>
      </c>
      <c r="BI17" s="202">
        <f t="shared" si="61"/>
        <v>2.4320720859512687E-2</v>
      </c>
      <c r="BJ17" s="202">
        <f t="shared" si="61"/>
        <v>2.2050698936407771E-2</v>
      </c>
      <c r="BK17" s="202">
        <f t="shared" si="61"/>
        <v>2.5593000591139108E-2</v>
      </c>
      <c r="BL17" s="202">
        <f t="shared" si="61"/>
        <v>2.9224128875111232E-2</v>
      </c>
      <c r="BM17" s="202">
        <f t="shared" si="61"/>
        <v>3.236902994938283E-2</v>
      </c>
      <c r="BN17" s="202">
        <f t="shared" si="61"/>
        <v>3.4572482142005041E-2</v>
      </c>
      <c r="BO17" s="202">
        <f t="shared" si="61"/>
        <v>3.6340551163184749E-2</v>
      </c>
      <c r="BP17" s="202">
        <f t="shared" si="61"/>
        <v>3.8361450214429625E-2</v>
      </c>
      <c r="BQ17" s="202">
        <f t="shared" si="61"/>
        <v>4.0063017784184751E-2</v>
      </c>
      <c r="BR17" s="202">
        <f t="shared" si="61"/>
        <v>4.4483509859873836E-2</v>
      </c>
      <c r="BS17" s="202">
        <f t="shared" si="61"/>
        <v>0</v>
      </c>
      <c r="BU17" s="205" t="s">
        <v>287</v>
      </c>
      <c r="BV17" s="208">
        <f>'Bilan 2015'!$E$24+'Bilan 2015'!$E32+'Bilan 2015'!$E$45</f>
        <v>1.0847899421026994</v>
      </c>
      <c r="BW17" s="208">
        <f>'Bilan 2020'!$E$24+'Bilan 2020'!$E32+'Bilan 2020'!$E$45</f>
        <v>8.2092462988006289</v>
      </c>
      <c r="BX17" s="208">
        <f>'Bilan 2023 AMS'!$E$24+'Bilan 2023 AMS'!$E32+'Bilan 2023 AMS'!$E$45</f>
        <v>6.9215471706573481</v>
      </c>
      <c r="BY17" s="208">
        <f>'Bilan 2025 AMS'!$E$24+'Bilan 2025 AMS'!$E32+'Bilan 2025 AMS'!$E$45</f>
        <v>7.2877884382009226</v>
      </c>
      <c r="BZ17" s="208">
        <f>'Bilan 2028 AMS'!$E$24+'Bilan 2028 AMS'!$E32+'Bilan 2028 AMS'!$E$45</f>
        <v>6.7529341251700412</v>
      </c>
      <c r="CA17" s="208">
        <f>'Bilan 2030 AMS'!$E$24+'Bilan 2030 AMS'!$E32+'Bilan 2030 AMS'!$E$45</f>
        <v>6.3968883227433206</v>
      </c>
      <c r="CB17" s="208">
        <f>'Bilan 2033 AMS'!$E$24+'Bilan 2033 AMS'!$E32+'Bilan 2033 AMS'!$E$45</f>
        <v>5.4773373707366142</v>
      </c>
      <c r="CC17" s="208">
        <f>'Bilan 2035 AMS'!$E$24+'Bilan 2035 AMS'!$E32+'Bilan 2035 AMS'!$E$45</f>
        <v>4.8983124321817346</v>
      </c>
      <c r="CD17" s="208">
        <f>'Bilan 2038 AMS'!$E$24+'Bilan 2038 AMS'!$E32+'Bilan 2038 AMS'!$E$45</f>
        <v>3.9384616815438025</v>
      </c>
      <c r="CE17" s="208">
        <f>'Bilan 2040 AMS'!$E$24+'Bilan 2040 AMS'!$E32+'Bilan 2040 AMS'!$E$45</f>
        <v>3.3515317551625223</v>
      </c>
      <c r="CF17" s="208">
        <f>'Bilan 2045 AMS'!$E$24+'Bilan 2045 AMS'!$E32+'Bilan 2045 AMS'!$E$45</f>
        <v>2.12114010004401</v>
      </c>
      <c r="CG17" s="208">
        <f>'Bilan 2050 AMS'!$E$24+'Bilan 2050 AMS'!$E32+'Bilan 2050 AMS'!$E$45</f>
        <v>0</v>
      </c>
      <c r="CH17" s="206"/>
      <c r="CJ17" s="205" t="s">
        <v>287</v>
      </c>
      <c r="CK17" s="202">
        <f t="shared" ref="CK17:CV24" si="62">IF(AT19&gt;0,DA17/AT19,0)</f>
        <v>1.9293672465713421E-2</v>
      </c>
      <c r="CL17" s="202">
        <f t="shared" si="62"/>
        <v>1.5794460421868807E-2</v>
      </c>
      <c r="CM17" s="202">
        <f t="shared" si="62"/>
        <v>1.7842976379072482E-2</v>
      </c>
      <c r="CN17" s="202">
        <f t="shared" si="62"/>
        <v>1.8068395165006364E-2</v>
      </c>
      <c r="CO17" s="202">
        <f t="shared" si="62"/>
        <v>1.9210978545792314E-2</v>
      </c>
      <c r="CP17" s="202">
        <f t="shared" si="62"/>
        <v>2.0092923004411692E-2</v>
      </c>
      <c r="CQ17" s="202">
        <f t="shared" si="62"/>
        <v>1.967688776861317E-2</v>
      </c>
      <c r="CR17" s="202">
        <f t="shared" si="62"/>
        <v>1.9114046976930876E-2</v>
      </c>
      <c r="CS17" s="202">
        <f t="shared" si="62"/>
        <v>1.9146858046153001E-2</v>
      </c>
      <c r="CT17" s="202">
        <f t="shared" si="62"/>
        <v>1.8695848967603023E-2</v>
      </c>
      <c r="CU17" s="202">
        <f t="shared" si="62"/>
        <v>1.7040485377994422E-2</v>
      </c>
      <c r="CV17" s="202">
        <f t="shared" si="62"/>
        <v>0</v>
      </c>
      <c r="CW17" s="206"/>
      <c r="CX17" s="193">
        <v>2401</v>
      </c>
      <c r="CY17" s="205" t="s">
        <v>287</v>
      </c>
      <c r="CZ17" s="207" t="s">
        <v>281</v>
      </c>
      <c r="DA17" s="202">
        <f>'Bilan 2015'!$K$24+'Bilan 2015'!$K$30*'Bilan 2015'!$G$32/'Bilan 2015'!$H$30</f>
        <v>0.56913685948561954</v>
      </c>
      <c r="DB17" s="202">
        <f>'Bilan 2020'!$K$24+'Bilan 2020'!$K$30*'Bilan 2020'!$G$32/'Bilan 2020'!$H$30</f>
        <v>5.3312817703371946</v>
      </c>
      <c r="DC17" s="202">
        <f>'Bilan 2023 AMS'!$K$24+'Bilan 2023 AMS'!$K$30*'Bilan 2023 AMS'!$G$32/'Bilan 2023 AMS'!$H$30</f>
        <v>5.6007749699381773</v>
      </c>
      <c r="DD17" s="202">
        <f>'Bilan 2025 AMS'!$K$24+'Bilan 2025 AMS'!$K$30*'Bilan 2025 AMS'!$G$32/'Bilan 2025 AMS'!$H$30</f>
        <v>5.1451036743995164</v>
      </c>
      <c r="DE17" s="202">
        <f>'Bilan 2028 AMS'!$K$24+'Bilan 2028 AMS'!$K$30*'Bilan 2028 AMS'!$G$32/'Bilan 2028 AMS'!$H$30</f>
        <v>4.4391561902218264</v>
      </c>
      <c r="DF17" s="202">
        <f>'Bilan 2030 AMS'!$K$24+'Bilan 2030 AMS'!$K$30*'Bilan 2030 AMS'!$G$32/'Bilan 2030 AMS'!$H$30</f>
        <v>3.9708383210029581</v>
      </c>
      <c r="DG17" s="202">
        <f>'Bilan 2033 AMS'!$K$24+'Bilan 2033 AMS'!$K$30*'Bilan 2033 AMS'!$G$32/'Bilan 2033 AMS'!$H$30</f>
        <v>3.117420157225788</v>
      </c>
      <c r="DH17" s="202">
        <f>'Bilan 2035 AMS'!$K$24+'Bilan 2035 AMS'!$K$30*'Bilan 2035 AMS'!$G$32/'Bilan 2035 AMS'!$H$30</f>
        <v>2.5763663714395113</v>
      </c>
      <c r="DI17" s="202">
        <f>'Bilan 2038 AMS'!$K$24+'Bilan 2038 AMS'!$K$30*'Bilan 2038 AMS'!$G$32/'Bilan 2038 AMS'!$H$30</f>
        <v>1.9657538053232186</v>
      </c>
      <c r="DJ17" s="202">
        <f>'Bilan 2040 AMS'!$K$24+'Bilan 2040 AMS'!$K$30*'Bilan 2040 AMS'!$G$32/'Bilan 2040 AMS'!$H$30</f>
        <v>1.5640292461787415</v>
      </c>
      <c r="DK17" s="202">
        <f>'Bilan 2045 AMS'!$K$24+'Bilan 2045 AMS'!$K$30*'Bilan 2045 AMS'!$G$32/'Bilan 2045 AMS'!$H$30</f>
        <v>0.81255406718889012</v>
      </c>
      <c r="DL17" s="202">
        <f>'Bilan 2050 AMS'!$K$24+'Bilan 2050 AMS'!$K$30*'Bilan 2050 AMS'!$G$32/'Bilan 2050 AMS'!$H$30</f>
        <v>0</v>
      </c>
    </row>
    <row r="18" spans="1:116" ht="14.5">
      <c r="A18" s="203" t="s">
        <v>418</v>
      </c>
      <c r="B18" s="204">
        <f>'Bilan 2015'!$C8</f>
        <v>3.2925160422071951</v>
      </c>
      <c r="C18" s="204">
        <f>'Bilan 2020'!$C8</f>
        <v>53.084236018684109</v>
      </c>
      <c r="D18" s="204">
        <f>'Bilan 2023 AMS'!$C8*(1-SUM('Bilan 2023 AMS'!$M$13:$P$13)/'Bilan 2023 AMS'!$D$13)</f>
        <v>63.797035534053222</v>
      </c>
      <c r="E18" s="204">
        <f>'Bilan 2025 AMS'!$C8*(1-SUM('Bilan 2025 AMS'!$M$13:$P$13)/'Bilan 2025 AMS'!$D$13)</f>
        <v>63.977211411020768</v>
      </c>
      <c r="F18" s="204">
        <f>'Bilan 2028 AMS'!$C8*(1-SUM('Bilan 2028 AMS'!$M$13:$P$13)/'Bilan 2028 AMS'!$D$13)</f>
        <v>62.23110335986992</v>
      </c>
      <c r="G18" s="204">
        <f>'Bilan 2030 AMS'!$C8*(1-SUM('Bilan 2030 AMS'!$M$13:$P$13)/'Bilan 2030 AMS'!$D$13)</f>
        <v>61.447876982538219</v>
      </c>
      <c r="H18" s="204">
        <f>'Bilan 2033 AMS'!$C8*(1-SUM('Bilan 2033 AMS'!$M$13:$P$13)/'Bilan 2033 AMS'!$D$13)</f>
        <v>61.315148123515883</v>
      </c>
      <c r="I18" s="204">
        <f>'Bilan 2035 AMS'!$C8*(1-SUM('Bilan 2035 AMS'!$M$13:$P$13)/'Bilan 2035 AMS'!$D$13)</f>
        <v>61.33699523170138</v>
      </c>
      <c r="J18" s="204">
        <f>'Bilan 2038 AMS'!$C8*(1-SUM('Bilan 2038 AMS'!$M$13:$P$13)/'Bilan 2038 AMS'!$D$13)</f>
        <v>59.756733821362154</v>
      </c>
      <c r="K18" s="204">
        <f>'Bilan 2040 AMS'!$C8*(1-SUM('Bilan 2040 AMS'!$M$13:$P$13)/'Bilan 2040 AMS'!$D$13)</f>
        <v>58.97774246700731</v>
      </c>
      <c r="L18" s="204">
        <f>'Bilan 2045 AMS'!$C8*(1-SUM('Bilan 2045 AMS'!$M$13:$P$13)/'Bilan 2045 AMS'!$D$13)</f>
        <v>60.30360917190017</v>
      </c>
      <c r="M18" s="204">
        <f>'Bilan 2050 AMS'!$C8*(1-SUM('Bilan 2050 AMS'!$M$13:$P$13)/'Bilan 2050 AMS'!$D$13)</f>
        <v>60.71330640010865</v>
      </c>
      <c r="N18" s="577"/>
      <c r="O18" s="577"/>
      <c r="P18" s="577"/>
      <c r="Q18" s="572" t="s">
        <v>289</v>
      </c>
      <c r="R18" s="205">
        <f t="shared" si="60"/>
        <v>7.8694706570935882</v>
      </c>
      <c r="S18" s="205">
        <f t="shared" si="60"/>
        <v>97.138025953204789</v>
      </c>
      <c r="T18" s="205">
        <f t="shared" si="60"/>
        <v>110.7110107512238</v>
      </c>
      <c r="U18" s="205">
        <f t="shared" si="60"/>
        <v>106.00968673009831</v>
      </c>
      <c r="V18" s="205">
        <f t="shared" si="60"/>
        <v>104.12004973791024</v>
      </c>
      <c r="W18" s="205">
        <f t="shared" si="60"/>
        <v>102.86577885636285</v>
      </c>
      <c r="X18" s="205">
        <f t="shared" si="60"/>
        <v>100.17888795086429</v>
      </c>
      <c r="Y18" s="205">
        <f t="shared" si="60"/>
        <v>98.318480711128529</v>
      </c>
      <c r="Z18" s="205">
        <f t="shared" si="60"/>
        <v>95.596904611099788</v>
      </c>
      <c r="AA18" s="205">
        <f t="shared" si="60"/>
        <v>93.699212065835411</v>
      </c>
      <c r="AB18" s="205">
        <f t="shared" si="60"/>
        <v>90.152699057282064</v>
      </c>
      <c r="AC18" s="205">
        <f t="shared" si="60"/>
        <v>86.683607869816115</v>
      </c>
      <c r="AD18" s="193">
        <v>2401</v>
      </c>
      <c r="AE18" s="201" t="s">
        <v>285</v>
      </c>
      <c r="AF18" s="201">
        <f t="shared" ref="AF18:AQ18" si="63">SUM(AF19:AF26)</f>
        <v>41.064079537483643</v>
      </c>
      <c r="AG18" s="201">
        <f t="shared" si="63"/>
        <v>481.13876802837638</v>
      </c>
      <c r="AH18" s="201">
        <f t="shared" si="63"/>
        <v>492.72308200312443</v>
      </c>
      <c r="AI18" s="201">
        <f t="shared" si="63"/>
        <v>476.40734905149679</v>
      </c>
      <c r="AJ18" s="201">
        <f t="shared" si="63"/>
        <v>449.01003650989162</v>
      </c>
      <c r="AK18" s="201">
        <f t="shared" si="63"/>
        <v>431.45985447605023</v>
      </c>
      <c r="AL18" s="201">
        <f t="shared" si="63"/>
        <v>420.46432898958369</v>
      </c>
      <c r="AM18" s="201">
        <f t="shared" si="63"/>
        <v>413.5055581558741</v>
      </c>
      <c r="AN18" s="201">
        <f t="shared" si="63"/>
        <v>407.4618289933502</v>
      </c>
      <c r="AO18" s="201">
        <f t="shared" si="63"/>
        <v>403.58449411302007</v>
      </c>
      <c r="AP18" s="201">
        <f t="shared" ref="AP18" si="64">SUM(AP19:AP26)</f>
        <v>394.97789763831827</v>
      </c>
      <c r="AQ18" s="201">
        <f t="shared" si="63"/>
        <v>381.22337949919176</v>
      </c>
      <c r="AR18" s="206"/>
      <c r="AS18" s="201" t="s">
        <v>285</v>
      </c>
      <c r="AT18" s="201">
        <f t="shared" ref="AT18:BE18" si="65">SUM(AT19:AT26)</f>
        <v>42.175665778808366</v>
      </c>
      <c r="AU18" s="201">
        <f t="shared" si="65"/>
        <v>493.17670452837638</v>
      </c>
      <c r="AV18" s="201">
        <f t="shared" si="65"/>
        <v>506.76308691479812</v>
      </c>
      <c r="AW18" s="201">
        <f t="shared" si="65"/>
        <v>493.99637859939355</v>
      </c>
      <c r="AX18" s="201">
        <f t="shared" si="65"/>
        <v>468.70945075724018</v>
      </c>
      <c r="AY18" s="201">
        <f t="shared" si="65"/>
        <v>452.40863900670081</v>
      </c>
      <c r="AZ18" s="201">
        <f t="shared" si="65"/>
        <v>446.03403219322445</v>
      </c>
      <c r="BA18" s="201">
        <f t="shared" si="65"/>
        <v>441.93305923760641</v>
      </c>
      <c r="BB18" s="201">
        <f t="shared" si="65"/>
        <v>439.91057130219315</v>
      </c>
      <c r="BC18" s="201">
        <f t="shared" si="65"/>
        <v>438.47337451223098</v>
      </c>
      <c r="BD18" s="201">
        <f t="shared" ref="BD18" si="66">SUM(BD19:BD26)</f>
        <v>434.99221383010246</v>
      </c>
      <c r="BE18" s="201">
        <f t="shared" si="65"/>
        <v>424.76561292041617</v>
      </c>
      <c r="BF18" s="216"/>
      <c r="BG18" s="205" t="s">
        <v>289</v>
      </c>
      <c r="BH18" s="202">
        <f t="shared" si="61"/>
        <v>1.0432584346731961E-2</v>
      </c>
      <c r="BI18" s="202">
        <f t="shared" si="61"/>
        <v>9.41408203208015E-3</v>
      </c>
      <c r="BJ18" s="202">
        <f t="shared" si="61"/>
        <v>2.0647207931348745E-2</v>
      </c>
      <c r="BK18" s="202">
        <f t="shared" si="61"/>
        <v>2.4946866164704096E-2</v>
      </c>
      <c r="BL18" s="202">
        <f t="shared" si="61"/>
        <v>2.8089382856774911E-2</v>
      </c>
      <c r="BM18" s="202">
        <f t="shared" si="61"/>
        <v>3.0254091085545887E-2</v>
      </c>
      <c r="BN18" s="202">
        <f t="shared" si="61"/>
        <v>3.0505555489789025E-2</v>
      </c>
      <c r="BO18" s="202">
        <f t="shared" si="61"/>
        <v>3.0570959374439485E-2</v>
      </c>
      <c r="BP18" s="202">
        <f t="shared" si="61"/>
        <v>2.8623881292865694E-2</v>
      </c>
      <c r="BQ18" s="202">
        <f t="shared" si="61"/>
        <v>2.7248641345538702E-2</v>
      </c>
      <c r="BR18" s="202">
        <f t="shared" si="61"/>
        <v>2.286493685605899E-2</v>
      </c>
      <c r="BS18" s="202">
        <f t="shared" si="61"/>
        <v>1.7651012528996802E-2</v>
      </c>
      <c r="BU18" s="205" t="s">
        <v>289</v>
      </c>
      <c r="BV18" s="208">
        <f>'Bilan 2015'!$E29+'Bilan 2015'!$E37</f>
        <v>8.0621810108600936E-2</v>
      </c>
      <c r="BW18" s="208">
        <f>'Bilan 2020'!$E29+'Bilan 2020'!$E37</f>
        <v>0.90061888417915248</v>
      </c>
      <c r="BX18" s="208">
        <f>'Bilan 2023 AMS'!$E29+'Bilan 2023 AMS'!$E37</f>
        <v>2.2100431385113226</v>
      </c>
      <c r="BY18" s="208">
        <f>'Bilan 2025 AMS'!$E29+'Bilan 2025 AMS'!$E37</f>
        <v>2.5368353325476596</v>
      </c>
      <c r="BZ18" s="208">
        <f>'Bilan 2028 AMS'!$E29+'Bilan 2028 AMS'!$E37</f>
        <v>2.7875016531824999</v>
      </c>
      <c r="CA18" s="208">
        <f>'Bilan 2030 AMS'!$E29+'Bilan 2030 AMS'!$E37</f>
        <v>2.9525091195874715</v>
      </c>
      <c r="CB18" s="208">
        <f>'Bilan 2033 AMS'!$E29+'Bilan 2033 AMS'!$E37</f>
        <v>2.8938531247720714</v>
      </c>
      <c r="CC18" s="208">
        <f>'Bilan 2035 AMS'!$E29+'Bilan 2035 AMS'!$E37</f>
        <v>2.842737036103641</v>
      </c>
      <c r="CD18" s="208">
        <f>'Bilan 2038 AMS'!$E29+'Bilan 2038 AMS'!$E37</f>
        <v>2.5910169870852728</v>
      </c>
      <c r="CE18" s="208">
        <f>'Bilan 2040 AMS'!$E29+'Bilan 2040 AMS'!$E37</f>
        <v>2.4195614223615127</v>
      </c>
      <c r="CF18" s="208">
        <f>'Bilan 2045 AMS'!$E29+'Bilan 2045 AMS'!$E37</f>
        <v>1.9598633744662244</v>
      </c>
      <c r="CG18" s="208">
        <f>'Bilan 2050 AMS'!$E29+'Bilan 2050 AMS'!$E37</f>
        <v>1.4614452695725109</v>
      </c>
      <c r="CH18" s="206"/>
      <c r="CJ18" s="205" t="s">
        <v>289</v>
      </c>
      <c r="CK18" s="202">
        <f t="shared" si="62"/>
        <v>7.8888386487377411E-3</v>
      </c>
      <c r="CL18" s="202">
        <f t="shared" si="62"/>
        <v>5.9603019852703353E-3</v>
      </c>
      <c r="CM18" s="202">
        <f t="shared" si="62"/>
        <v>1.3664394153513868E-2</v>
      </c>
      <c r="CN18" s="202">
        <f t="shared" si="62"/>
        <v>1.7536827233746333E-2</v>
      </c>
      <c r="CO18" s="202">
        <f t="shared" si="62"/>
        <v>2.111822454159332E-2</v>
      </c>
      <c r="CP18" s="202">
        <f t="shared" si="62"/>
        <v>2.3802142800312676E-2</v>
      </c>
      <c r="CQ18" s="202">
        <f t="shared" si="62"/>
        <v>2.5530287908845324E-2</v>
      </c>
      <c r="CR18" s="202">
        <f t="shared" si="62"/>
        <v>2.6751698825501144E-2</v>
      </c>
      <c r="CS18" s="202">
        <f t="shared" si="62"/>
        <v>2.7468943722437685E-2</v>
      </c>
      <c r="CT18" s="202">
        <f t="shared" si="62"/>
        <v>2.7974094620221483E-2</v>
      </c>
      <c r="CU18" s="202">
        <f t="shared" si="62"/>
        <v>2.8910303297839758E-2</v>
      </c>
      <c r="CV18" s="202">
        <f t="shared" si="62"/>
        <v>2.9294419109594568E-2</v>
      </c>
      <c r="CW18" s="206"/>
      <c r="CX18" s="193">
        <f>CX17+1</f>
        <v>2402</v>
      </c>
      <c r="CY18" s="205" t="s">
        <v>289</v>
      </c>
      <c r="CZ18" s="207" t="s">
        <v>284</v>
      </c>
      <c r="DA18" s="202">
        <f>'Bilan 2015'!$K$30*'Bilan 2015'!$G$29/'Bilan 2015'!$H$30</f>
        <v>6.096403636699655E-2</v>
      </c>
      <c r="DB18" s="202">
        <f>'Bilan 2020'!$K$30*'Bilan 2020'!$G$29/'Bilan 2020'!$H$30</f>
        <v>0.57020541196185481</v>
      </c>
      <c r="DC18" s="202">
        <f>'Bilan 2023 AMS'!$K$30*'Bilan 2023 AMS'!$G$29/'Bilan 2023 AMS'!$H$30</f>
        <v>1.4626142498926664</v>
      </c>
      <c r="DD18" s="202">
        <f>'Bilan 2025 AMS'!$K$30*'Bilan 2025 AMS'!$G$29/'Bilan 2025 AMS'!$H$30</f>
        <v>1.7833118858951245</v>
      </c>
      <c r="DE18" s="202">
        <f>'Bilan 2028 AMS'!$K$30*'Bilan 2028 AMS'!$G$29/'Bilan 2028 AMS'!$H$30</f>
        <v>2.0957059157236841</v>
      </c>
      <c r="DF18" s="202">
        <f>'Bilan 2030 AMS'!$K$30*'Bilan 2030 AMS'!$G$29/'Bilan 2030 AMS'!$H$30</f>
        <v>2.3228608483042925</v>
      </c>
      <c r="DG18" s="202">
        <f>'Bilan 2033 AMS'!$K$30*'Bilan 2033 AMS'!$G$29/'Bilan 2033 AMS'!$H$30</f>
        <v>2.4218835636699834</v>
      </c>
      <c r="DH18" s="202">
        <f>'Bilan 2035 AMS'!$K$30*'Bilan 2035 AMS'!$G$29/'Bilan 2035 AMS'!$H$30</f>
        <v>2.4875910532767409</v>
      </c>
      <c r="DI18" s="202">
        <f>'Bilan 2038 AMS'!$K$30*'Bilan 2038 AMS'!$G$29/'Bilan 2038 AMS'!$H$30</f>
        <v>2.4864727139524807</v>
      </c>
      <c r="DJ18" s="202">
        <f>'Bilan 2040 AMS'!$K$30*'Bilan 2040 AMS'!$G$29/'Bilan 2040 AMS'!$H$30</f>
        <v>2.4839785334713724</v>
      </c>
      <c r="DK18" s="202">
        <f>'Bilan 2045 AMS'!$K$30*'Bilan 2045 AMS'!$G$29/'Bilan 2045 AMS'!$H$30</f>
        <v>2.4780407195015637</v>
      </c>
      <c r="DL18" s="202">
        <f>'Bilan 2050 AMS'!$K$30*'Bilan 2050 AMS'!$G$29/'Bilan 2050 AMS'!$H$30</f>
        <v>2.425480700456156</v>
      </c>
    </row>
    <row r="19" spans="1:116" ht="14.5">
      <c r="A19" s="203" t="s">
        <v>411</v>
      </c>
      <c r="B19" s="204">
        <f>'Bilan 2015'!$C$12+'Bilan 2015'!$C$13+'Bilan 2015'!$C$14+'Bilan 2015'!$C$16</f>
        <v>3.6287762645224984</v>
      </c>
      <c r="C19" s="204">
        <f>'Bilan 2020'!$C$12+'Bilan 2020'!$C$13+'Bilan 2020'!$C$14+'Bilan 2020'!$C$16</f>
        <v>26.9657497815802</v>
      </c>
      <c r="D19" s="204">
        <f>('Bilan 2023 AMS'!$C$12+'Bilan 2023 AMS'!$C$13+'Bilan 2023 AMS'!$C$14+'Bilan 2023 AMS'!$C$16)*(1-SUM('Bilan 2023 AMS'!$M$13:$P$13)/'Bilan 2023 AMS'!$D$13)</f>
        <v>51.276316220689424</v>
      </c>
      <c r="E19" s="204">
        <f>('Bilan 2025 AMS'!$C$12+'Bilan 2025 AMS'!$C$13+'Bilan 2025 AMS'!$C$14+'Bilan 2025 AMS'!$C$16)*(1-SUM('Bilan 2025 AMS'!$M$13:$P$13)/'Bilan 2025 AMS'!$D$13)</f>
        <v>50.625330105765755</v>
      </c>
      <c r="F19" s="204">
        <f>('Bilan 2028 AMS'!$C$12+'Bilan 2028 AMS'!$C$13+'Bilan 2028 AMS'!$C$14+'Bilan 2028 AMS'!$C$16)*(1-SUM('Bilan 2028 AMS'!$M$13:$P$13)/'Bilan 2028 AMS'!$D$13)</f>
        <v>44.257980135067626</v>
      </c>
      <c r="G19" s="204">
        <f>('Bilan 2030 AMS'!$C$12+'Bilan 2030 AMS'!$C$13+'Bilan 2030 AMS'!$C$14+'Bilan 2030 AMS'!$C$16)*(1-SUM('Bilan 2030 AMS'!$M$13:$P$13)/'Bilan 2030 AMS'!$D$13)</f>
        <v>40.551738634230027</v>
      </c>
      <c r="H19" s="204">
        <f>('Bilan 2033 AMS'!$C$12+'Bilan 2033 AMS'!$C$13+'Bilan 2033 AMS'!$C$14+'Bilan 2033 AMS'!$C$16)*(1-SUM('Bilan 2033 AMS'!$M$13:$P$13)/'Bilan 2033 AMS'!$D$13)</f>
        <v>41.016387663500403</v>
      </c>
      <c r="I19" s="204">
        <f>('Bilan 2035 AMS'!$C$12+'Bilan 2035 AMS'!$C$13+'Bilan 2035 AMS'!$C$14+'Bilan 2035 AMS'!$C$16)*(1-SUM('Bilan 2035 AMS'!$M$13:$P$13)/'Bilan 2035 AMS'!$D$13)</f>
        <v>41.413252966271671</v>
      </c>
      <c r="J19" s="204">
        <f>('Bilan 2038 AMS'!$C$12+'Bilan 2038 AMS'!$C$13+'Bilan 2038 AMS'!$C$14+'Bilan 2038 AMS'!$C$16)*(1-SUM('Bilan 2038 AMS'!$M$13:$P$13)/'Bilan 2038 AMS'!$D$13)</f>
        <v>40.04423049493559</v>
      </c>
      <c r="K19" s="204">
        <f>('Bilan 2040 AMS'!$C$12+'Bilan 2040 AMS'!$C$13+'Bilan 2040 AMS'!$C$14+'Bilan 2040 AMS'!$C$16)*(1-SUM('Bilan 2040 AMS'!$M$13:$P$13)/'Bilan 2040 AMS'!$D$13)</f>
        <v>39.360316738323228</v>
      </c>
      <c r="L19" s="204">
        <f>('Bilan 2045 AMS'!$C$12+'Bilan 2045 AMS'!$C$13+'Bilan 2045 AMS'!$C$14+'Bilan 2045 AMS'!$C$16)*(1-SUM('Bilan 2045 AMS'!$M$13:$P$13)/'Bilan 2045 AMS'!$D$13)</f>
        <v>28.997603796144627</v>
      </c>
      <c r="M19" s="204">
        <f>('Bilan 2050 AMS'!$C$12+'Bilan 2050 AMS'!$C$13+'Bilan 2050 AMS'!$C$14+'Bilan 2050 AMS'!$C$16)*(1-SUM('Bilan 2050 AMS'!$M$13:$P$13)/'Bilan 2050 AMS'!$D$13)</f>
        <v>25.373016985539568</v>
      </c>
      <c r="Q19" s="205" t="s">
        <v>457</v>
      </c>
      <c r="R19" s="205">
        <f t="shared" si="60"/>
        <v>0.22730793045572523</v>
      </c>
      <c r="S19" s="205">
        <f t="shared" si="60"/>
        <v>5.9336589388889092</v>
      </c>
      <c r="T19" s="205">
        <f t="shared" si="60"/>
        <v>14.055255746161507</v>
      </c>
      <c r="U19" s="205">
        <f t="shared" si="60"/>
        <v>19.754622554923007</v>
      </c>
      <c r="V19" s="205">
        <f t="shared" si="60"/>
        <v>29.173753475757472</v>
      </c>
      <c r="W19" s="205">
        <f t="shared" si="60"/>
        <v>33.748708738883792</v>
      </c>
      <c r="X19" s="205">
        <f t="shared" si="60"/>
        <v>49.924454198060396</v>
      </c>
      <c r="Y19" s="205">
        <f t="shared" si="60"/>
        <v>57.120836293137856</v>
      </c>
      <c r="Z19" s="205">
        <f t="shared" si="60"/>
        <v>72.600346309209442</v>
      </c>
      <c r="AA19" s="205">
        <f t="shared" si="60"/>
        <v>77.690754768037706</v>
      </c>
      <c r="AB19" s="205">
        <f t="shared" si="60"/>
        <v>85.087268693294874</v>
      </c>
      <c r="AC19" s="205">
        <f t="shared" si="60"/>
        <v>104.44466701645318</v>
      </c>
      <c r="AD19" s="193">
        <f>AD18+1</f>
        <v>2402</v>
      </c>
      <c r="AE19" s="205" t="s">
        <v>287</v>
      </c>
      <c r="AF19" s="205">
        <f>'Bilan 2015'!$G$24-SUM('Bilan 2015'!$K$24:$P$24)+'Bilan 2015'!$G$32*(1-SUM('Bilan 2015'!$K$30:$P$30)/'Bilan 2015'!$H$30)+'Bilan 2015'!$G$45-'Bilan 2015'!$E$53</f>
        <v>28.397041378534922</v>
      </c>
      <c r="AG19" s="205">
        <f>'Bilan 2020'!$G$24-SUM('Bilan 2020'!$K$24:$P$24)+'Bilan 2020'!$G$32*(1-SUM('Bilan 2020'!$K$30:$P$30)/'Bilan 2020'!$H$30)+'Bilan 2020'!$G$45-'Bilan 2020'!$E$53</f>
        <v>325.51330441226122</v>
      </c>
      <c r="AH19" s="205">
        <f>'Bilan 2023 AMS'!$G$24-SUM('Bilan 2023 AMS'!$K$24:$P$24)+'Bilan 2023 AMS'!$G$32*(1-SUM('Bilan 2023 AMS'!$K$30:$P$30)/'Bilan 2023 AMS'!$H$30)+'Bilan 2023 AMS'!$G$45-'Bilan 2023 AMS'!$E$53</f>
        <v>302.05603104473892</v>
      </c>
      <c r="AI19" s="205">
        <f>'Bilan 2025 AMS'!$G$24-SUM('Bilan 2025 AMS'!$K$24:$P$24)+'Bilan 2025 AMS'!$G$32*(1-SUM('Bilan 2025 AMS'!$K$30:$P$30)/'Bilan 2025 AMS'!$H$30)+'Bilan 2025 AMS'!$G$45-'Bilan 2025 AMS'!$E$53</f>
        <v>272.17818010952266</v>
      </c>
      <c r="AJ19" s="205">
        <f>'Bilan 2028 AMS'!$G$24-SUM('Bilan 2028 AMS'!$K$24:$P$24)+'Bilan 2028 AMS'!$G$32*(1-SUM('Bilan 2028 AMS'!$K$30:$P$30)/'Bilan 2028 AMS'!$H$30)+'Bilan 2028 AMS'!$G$45-'Bilan 2028 AMS'!$E$53</f>
        <v>219.83607210970399</v>
      </c>
      <c r="AK19" s="205">
        <f>'Bilan 2030 AMS'!$G$24-SUM('Bilan 2030 AMS'!$K$24:$P$24)+'Bilan 2030 AMS'!$G$32*(1-SUM('Bilan 2030 AMS'!$K$30:$P$30)/'Bilan 2030 AMS'!$H$30)+'Bilan 2030 AMS'!$G$45-'Bilan 2030 AMS'!$E$53</f>
        <v>187.267464449214</v>
      </c>
      <c r="AL19" s="205">
        <f>'Bilan 2033 AMS'!$G$24-SUM('Bilan 2033 AMS'!$K$24:$P$24)+'Bilan 2033 AMS'!$G$32*(1-SUM('Bilan 2033 AMS'!$K$30:$P$30)/'Bilan 2033 AMS'!$H$30)+'Bilan 2033 AMS'!$G$45-'Bilan 2033 AMS'!$E$53</f>
        <v>149.15336132665678</v>
      </c>
      <c r="AM19" s="205">
        <f>'Bilan 2035 AMS'!$G$24-SUM('Bilan 2035 AMS'!$K$24:$P$24)+'Bilan 2035 AMS'!$G$32*(1-SUM('Bilan 2035 AMS'!$K$30:$P$30)/'Bilan 2035 AMS'!$H$30)+'Bilan 2035 AMS'!$G$45-'Bilan 2035 AMS'!$E$53</f>
        <v>126.25158275901379</v>
      </c>
      <c r="AN19" s="205">
        <f>'Bilan 2038 AMS'!$G$24-SUM('Bilan 2038 AMS'!$K$24:$P$24)+'Bilan 2038 AMS'!$G$32*(1-SUM('Bilan 2038 AMS'!$K$30:$P$30)/'Bilan 2038 AMS'!$H$30)+'Bilan 2038 AMS'!$G$45-'Bilan 2038 AMS'!$E$53</f>
        <v>95.191510788940448</v>
      </c>
      <c r="AO19" s="205">
        <f>'Bilan 2040 AMS'!$G$24-SUM('Bilan 2040 AMS'!$K$24:$P$24)+'Bilan 2040 AMS'!$G$32*(1-SUM('Bilan 2040 AMS'!$K$30:$P$30)/'Bilan 2040 AMS'!$H$30)+'Bilan 2040 AMS'!$G$45-'Bilan 2040 AMS'!$E$53</f>
        <v>76.924386945117604</v>
      </c>
      <c r="AP19" s="205">
        <f>'Bilan 2045 AMS'!$G$24-SUM('Bilan 2045 AMS'!$K$24:$P$24)+'Bilan 2045 AMS'!$G$32*(1-SUM('Bilan 2045 AMS'!$K$30:$P$30)/'Bilan 2045 AMS'!$H$30)+'Bilan 2045 AMS'!$G$45-'Bilan 2045 AMS'!$E$53</f>
        <v>42.903746431182029</v>
      </c>
      <c r="AQ19" s="205">
        <f>'Bilan 2050 AMS'!$G$24-SUM('Bilan 2050 AMS'!$K$24:$P$24)+'Bilan 2050 AMS'!$G$32*(1-SUM('Bilan 2050 AMS'!$K$30:$P$30)/'Bilan 2050 AMS'!$H$30)+'Bilan 2050 AMS'!$G$45-'Bilan 2050 AMS'!$E$53</f>
        <v>0</v>
      </c>
      <c r="AR19" s="206"/>
      <c r="AS19" s="205" t="s">
        <v>287</v>
      </c>
      <c r="AT19" s="205">
        <f>'Bilan 2015'!$G$24-SUM('Bilan 2015'!$K$24:$P$24)+'Bilan 2015'!$G$32*(1-SUM('Bilan 2015'!$K$30:$P$30)/'Bilan 2015'!$H$30)+'Bilan 2015'!$G$45</f>
        <v>29.498627619859651</v>
      </c>
      <c r="AU19" s="205">
        <f>'Bilan 2020'!$G$24-SUM('Bilan 2020'!$K$24:$P$24)+'Bilan 2020'!$G$32*(1-SUM('Bilan 2020'!$K$30:$P$30)/'Bilan 2020'!$H$30)+'Bilan 2020'!$G$45</f>
        <v>337.54124091226123</v>
      </c>
      <c r="AV19" s="205">
        <f>'Bilan 2023 AMS'!$G$24-SUM('Bilan 2023 AMS'!$K$24:$P$24)+'Bilan 2023 AMS'!$G$32*(1-SUM('Bilan 2023 AMS'!$K$30:$P$30)/'Bilan 2023 AMS'!$H$30)+'Bilan 2023 AMS'!$G$45</f>
        <v>313.89241631834284</v>
      </c>
      <c r="AW19" s="205">
        <f>'Bilan 2025 AMS'!$G$24-SUM('Bilan 2025 AMS'!$K$24:$P$24)+'Bilan 2025 AMS'!$G$32*(1-SUM('Bilan 2025 AMS'!$K$30:$P$30)/'Bilan 2025 AMS'!$H$30)+'Bilan 2025 AMS'!$G$45</f>
        <v>284.75709255928842</v>
      </c>
      <c r="AX19" s="205">
        <f>'Bilan 2028 AMS'!$G$24-SUM('Bilan 2028 AMS'!$K$24:$P$24)+'Bilan 2028 AMS'!$G$32*(1-SUM('Bilan 2028 AMS'!$K$30:$P$30)/'Bilan 2028 AMS'!$H$30)+'Bilan 2028 AMS'!$G$45</f>
        <v>231.07392367548675</v>
      </c>
      <c r="AY19" s="205">
        <f>'Bilan 2030 AMS'!$G$24-SUM('Bilan 2030 AMS'!$K$24:$P$24)+'Bilan 2030 AMS'!$G$32*(1-SUM('Bilan 2030 AMS'!$K$30:$P$30)/'Bilan 2030 AMS'!$H$30)+'Bilan 2030 AMS'!$G$45</f>
        <v>197.62372652953994</v>
      </c>
      <c r="AZ19" s="205">
        <f>'Bilan 2033 AMS'!$G$24-SUM('Bilan 2033 AMS'!$K$24:$P$24)+'Bilan 2033 AMS'!$G$32*(1-SUM('Bilan 2033 AMS'!$K$30:$P$30)/'Bilan 2033 AMS'!$H$30)+'Bilan 2033 AMS'!$G$45</f>
        <v>158.43055029253259</v>
      </c>
      <c r="BA19" s="205">
        <f>'Bilan 2035 AMS'!$G$24-SUM('Bilan 2035 AMS'!$K$24:$P$24)+'Bilan 2035 AMS'!$G$32*(1-SUM('Bilan 2035 AMS'!$K$30:$P$30)/'Bilan 2035 AMS'!$H$30)+'Bilan 2035 AMS'!$G$45</f>
        <v>134.78916184254331</v>
      </c>
      <c r="BB19" s="205">
        <f>'Bilan 2038 AMS'!$G$24-SUM('Bilan 2038 AMS'!$K$24:$P$24)+'Bilan 2038 AMS'!$G$32*(1-SUM('Bilan 2038 AMS'!$K$30:$P$30)/'Bilan 2038 AMS'!$H$30)+'Bilan 2038 AMS'!$G$45</f>
        <v>102.6671739344816</v>
      </c>
      <c r="BC19" s="205">
        <f>'Bilan 2040 AMS'!$G$24-SUM('Bilan 2040 AMS'!$K$24:$P$24)+'Bilan 2040 AMS'!$G$32*(1-SUM('Bilan 2040 AMS'!$K$30:$P$30)/'Bilan 2040 AMS'!$H$30)+'Bilan 2040 AMS'!$G$45</f>
        <v>83.656497701118525</v>
      </c>
      <c r="BD19" s="205">
        <f>'Bilan 2045 AMS'!$G$24-SUM('Bilan 2045 AMS'!$K$24:$P$24)+'Bilan 2045 AMS'!$G$32*(1-SUM('Bilan 2045 AMS'!$K$30:$P$30)/'Bilan 2045 AMS'!$H$30)+'Bilan 2045 AMS'!$G$45</f>
        <v>47.683739586326475</v>
      </c>
      <c r="BE19" s="205">
        <f>'Bilan 2050 AMS'!$G$24-SUM('Bilan 2050 AMS'!$K$24:$P$24)+'Bilan 2050 AMS'!$G$32*(1-SUM('Bilan 2050 AMS'!$K$30:$P$30)/'Bilan 2050 AMS'!$H$30)+'Bilan 2050 AMS'!$G$45</f>
        <v>2.6585092475046008</v>
      </c>
      <c r="BF19" s="216"/>
      <c r="BG19" s="205" t="s">
        <v>525</v>
      </c>
      <c r="BH19" s="202">
        <f t="shared" si="61"/>
        <v>0.57371428858213702</v>
      </c>
      <c r="BI19" s="202">
        <f t="shared" si="61"/>
        <v>6.6765039143923496E-2</v>
      </c>
      <c r="BJ19" s="202">
        <f t="shared" si="61"/>
        <v>0.15667790704947546</v>
      </c>
      <c r="BK19" s="202">
        <f t="shared" si="61"/>
        <v>0.14678653784961682</v>
      </c>
      <c r="BL19" s="202">
        <f t="shared" si="61"/>
        <v>0.14185394425716066</v>
      </c>
      <c r="BM19" s="202">
        <f t="shared" si="61"/>
        <v>0.16800370635690703</v>
      </c>
      <c r="BN19" s="202">
        <f t="shared" si="61"/>
        <v>0.16057880117578738</v>
      </c>
      <c r="BO19" s="202">
        <f t="shared" si="61"/>
        <v>0.15240463497025486</v>
      </c>
      <c r="BP19" s="202">
        <f t="shared" si="61"/>
        <v>0.14311482167360384</v>
      </c>
      <c r="BQ19" s="202">
        <f t="shared" si="61"/>
        <v>0.13340227225567713</v>
      </c>
      <c r="BR19" s="202">
        <f t="shared" si="61"/>
        <v>0.12030607209514847</v>
      </c>
      <c r="BS19" s="202">
        <f t="shared" si="61"/>
        <v>0.12053178858444406</v>
      </c>
      <c r="BU19" s="205" t="s">
        <v>525</v>
      </c>
      <c r="BV19" s="208">
        <f>'Bilan 2015'!$E21+'Bilan 2015'!$E22+'Bilan 2015'!$E$26+'Bilan 2015'!$E$36</f>
        <v>6.4959954568152206E-2</v>
      </c>
      <c r="BW19" s="208">
        <f>'Bilan 2020'!$E21+'Bilan 2020'!$E22+'Bilan 2020'!$E$26+'Bilan 2020'!$E$36</f>
        <v>0.35721208878351701</v>
      </c>
      <c r="BX19" s="208">
        <f>'Bilan 2023 AMS'!$E21+'Bilan 2023 AMS'!$E22+'Bilan 2023 AMS'!$E$26+'Bilan 2023 AMS'!$E$36</f>
        <v>1.8551529072617219</v>
      </c>
      <c r="BY19" s="208">
        <f>'Bilan 2025 AMS'!$E21+'Bilan 2025 AMS'!$E22+'Bilan 2025 AMS'!$E$26+'Bilan 2025 AMS'!$E$36</f>
        <v>2.4702224878316392</v>
      </c>
      <c r="BZ19" s="208">
        <f>'Bilan 2028 AMS'!$E21+'Bilan 2028 AMS'!$E22+'Bilan 2028 AMS'!$E$26+'Bilan 2028 AMS'!$E$36</f>
        <v>3.5309899726855241</v>
      </c>
      <c r="CA19" s="208">
        <f>'Bilan 2030 AMS'!$E21+'Bilan 2030 AMS'!$E22+'Bilan 2030 AMS'!$E$26+'Bilan 2030 AMS'!$E$36</f>
        <v>4.738984738769572</v>
      </c>
      <c r="CB19" s="208">
        <f>'Bilan 2033 AMS'!$E21+'Bilan 2033 AMS'!$E22+'Bilan 2033 AMS'!$E$26+'Bilan 2033 AMS'!$E$36</f>
        <v>6.6731896710740095</v>
      </c>
      <c r="CC19" s="208">
        <f>'Bilan 2035 AMS'!$E21+'Bilan 2035 AMS'!$E22+'Bilan 2035 AMS'!$E$26+'Bilan 2035 AMS'!$E$36</f>
        <v>7.3392995456875143</v>
      </c>
      <c r="CD19" s="208">
        <f>'Bilan 2038 AMS'!$E21+'Bilan 2038 AMS'!$E22+'Bilan 2038 AMS'!$E$26+'Bilan 2038 AMS'!$E$36</f>
        <v>8.5978247121099027</v>
      </c>
      <c r="CE19" s="208">
        <f>'Bilan 2040 AMS'!$E21+'Bilan 2040 AMS'!$E22+'Bilan 2040 AMS'!$E$26+'Bilan 2040 AMS'!$E$36</f>
        <v>8.7649887051329483</v>
      </c>
      <c r="CF19" s="208">
        <f>'Bilan 2045 AMS'!$E21+'Bilan 2045 AMS'!$E22+'Bilan 2045 AMS'!$E$26+'Bilan 2045 AMS'!$E$36</f>
        <v>8.7910045756453314</v>
      </c>
      <c r="CG19" s="208">
        <f>'Bilan 2050 AMS'!$E21+'Bilan 2050 AMS'!$E22+'Bilan 2050 AMS'!$E$26+'Bilan 2050 AMS'!$E$36</f>
        <v>11.047256329963469</v>
      </c>
      <c r="CH19" s="206"/>
      <c r="CJ19" s="205" t="s">
        <v>525</v>
      </c>
      <c r="CK19" s="202">
        <f t="shared" si="62"/>
        <v>0.4338272572430823</v>
      </c>
      <c r="CL19" s="202">
        <f t="shared" si="62"/>
        <v>4.2270695538888292E-2</v>
      </c>
      <c r="CM19" s="202">
        <f t="shared" si="62"/>
        <v>2.8678071025973247E-2</v>
      </c>
      <c r="CN19" s="202">
        <f t="shared" si="62"/>
        <v>2.5452643146209181E-2</v>
      </c>
      <c r="CO19" s="202">
        <f t="shared" si="62"/>
        <v>2.387989405106998E-2</v>
      </c>
      <c r="CP19" s="202">
        <f t="shared" si="62"/>
        <v>2.3954251134611349E-2</v>
      </c>
      <c r="CQ19" s="202">
        <f t="shared" si="62"/>
        <v>2.0737306157998285E-2</v>
      </c>
      <c r="CR19" s="202">
        <f t="shared" si="62"/>
        <v>1.9159327319522513E-2</v>
      </c>
      <c r="CS19" s="202">
        <f t="shared" si="62"/>
        <v>1.9682343523131893E-2</v>
      </c>
      <c r="CT19" s="202">
        <f t="shared" si="62"/>
        <v>1.9491719216313118E-2</v>
      </c>
      <c r="CU19" s="202">
        <f t="shared" si="62"/>
        <v>1.984790405541784E-2</v>
      </c>
      <c r="CV19" s="202">
        <f t="shared" si="62"/>
        <v>1.9366892378572278E-2</v>
      </c>
      <c r="CW19" s="206"/>
      <c r="CX19" s="193">
        <f t="shared" ref="CX19" si="67">CX18+1</f>
        <v>2403</v>
      </c>
      <c r="CY19" s="205" t="s">
        <v>525</v>
      </c>
      <c r="CZ19" s="207" t="s">
        <v>286</v>
      </c>
      <c r="DA19" s="202">
        <f>'Bilan 2015'!$K$21+'Bilan 2015'!$K$30*'Bilan 2015'!$G$26/'Bilan 2015'!$H$30</f>
        <v>4.9120964009077582E-2</v>
      </c>
      <c r="DB19" s="202">
        <f>'Bilan 2020'!$K$21+'Bilan 2020'!$K$30*'Bilan 2020'!$G$26/'Bilan 2020'!$H$30</f>
        <v>0.2261603324342939</v>
      </c>
      <c r="DC19" s="202">
        <f>'Bilan 2023 AMS'!$K$21+'Bilan 2023 AMS'!$K$22+'Bilan 2023 AMS'!$K$30*'Bilan 2023 AMS'!$G$26/'Bilan 2023 AMS'!$H$30</f>
        <v>0.33956419153398776</v>
      </c>
      <c r="DD19" s="202">
        <f>'Bilan 2025 AMS'!$K$21+'Bilan 2025 AMS'!$K$22+'Bilan 2025 AMS'!$K$30*'Bilan 2025 AMS'!$G$26/'Bilan 2025 AMS'!$H$30</f>
        <v>0.42833418101961107</v>
      </c>
      <c r="DE19" s="202">
        <f>'Bilan 2028 AMS'!$K$21+'Bilan 2028 AMS'!$K$22+'Bilan 2028 AMS'!$K$30*'Bilan 2028 AMS'!$G$26/'Bilan 2028 AMS'!$H$30</f>
        <v>0.5944118571018473</v>
      </c>
      <c r="DF19" s="202">
        <f>'Bilan 2030 AMS'!$K$21+'Bilan 2030 AMS'!$K$22+'Bilan 2030 AMS'!$K$30*'Bilan 2030 AMS'!$G$26/'Bilan 2030 AMS'!$H$30</f>
        <v>0.67569241784712486</v>
      </c>
      <c r="DG19" s="202">
        <f>'Bilan 2033 AMS'!$K$21+'Bilan 2033 AMS'!$K$22+'Bilan 2033 AMS'!$K$30*'Bilan 2033 AMS'!$G$26/'Bilan 2033 AMS'!$H$30</f>
        <v>0.86178235387349256</v>
      </c>
      <c r="DH19" s="202">
        <f>'Bilan 2035 AMS'!$K$21+'Bilan 2035 AMS'!$K$22+'Bilan 2035 AMS'!$K$30*'Bilan 2035 AMS'!$G$26/'Bilan 2035 AMS'!$H$30</f>
        <v>0.9226493821483468</v>
      </c>
      <c r="DI19" s="202">
        <f>'Bilan 2038 AMS'!$K$21+'Bilan 2038 AMS'!$K$22+'Bilan 2038 AMS'!$K$30*'Bilan 2038 AMS'!$G$26/'Bilan 2038 AMS'!$H$30</f>
        <v>1.1824445403800665</v>
      </c>
      <c r="DJ19" s="202">
        <f>'Bilan 2040 AMS'!$K$21+'Bilan 2040 AMS'!$K$22+'Bilan 2040 AMS'!$K$30*'Bilan 2040 AMS'!$G$26/'Bilan 2040 AMS'!$H$30</f>
        <v>1.2806730791449226</v>
      </c>
      <c r="DK19" s="202">
        <f>'Bilan 2045 AMS'!$K$21+'Bilan 2045 AMS'!$K$22+'Bilan 2045 AMS'!$K$30*'Bilan 2045 AMS'!$G$26/'Bilan 2045 AMS'!$H$30</f>
        <v>1.4503259256120629</v>
      </c>
      <c r="DL19" s="202">
        <f>'Bilan 2050 AMS'!$K$21+'Bilan 2050 AMS'!$K$22+'Bilan 2050 AMS'!$K$30*'Bilan 2050 AMS'!$G$26/'Bilan 2050 AMS'!$H$30</f>
        <v>1.7750589029964545</v>
      </c>
    </row>
    <row r="20" spans="1:116" ht="13">
      <c r="A20" s="209" t="s">
        <v>21</v>
      </c>
      <c r="B20" s="210"/>
      <c r="C20" s="210"/>
      <c r="D20" s="578"/>
      <c r="E20" s="578"/>
      <c r="F20" s="578"/>
      <c r="G20" s="578"/>
      <c r="H20" s="578"/>
      <c r="I20" s="578"/>
      <c r="J20" s="578"/>
      <c r="K20" s="578"/>
      <c r="L20" s="578"/>
      <c r="M20" s="578"/>
      <c r="N20" s="575"/>
      <c r="O20" s="575"/>
      <c r="P20" s="575"/>
      <c r="Q20" s="572" t="s">
        <v>293</v>
      </c>
      <c r="R20" s="205">
        <f t="shared" si="60"/>
        <v>0.91085715601083017</v>
      </c>
      <c r="S20" s="205">
        <f t="shared" si="60"/>
        <v>22.30312628047551</v>
      </c>
      <c r="T20" s="205">
        <f t="shared" si="60"/>
        <v>17.142428473906087</v>
      </c>
      <c r="U20" s="205">
        <f t="shared" si="60"/>
        <v>18.11984159632016</v>
      </c>
      <c r="V20" s="205">
        <f t="shared" si="60"/>
        <v>18.272934200797707</v>
      </c>
      <c r="W20" s="205">
        <f t="shared" si="60"/>
        <v>18.198359716679434</v>
      </c>
      <c r="X20" s="205">
        <f t="shared" si="60"/>
        <v>17.391107538687592</v>
      </c>
      <c r="Y20" s="205">
        <f t="shared" si="60"/>
        <v>16.846403203963913</v>
      </c>
      <c r="Z20" s="205">
        <f t="shared" si="60"/>
        <v>16.80772371990394</v>
      </c>
      <c r="AA20" s="205">
        <f t="shared" si="60"/>
        <v>16.769040256511662</v>
      </c>
      <c r="AB20" s="205">
        <f t="shared" si="60"/>
        <v>16.704419498639645</v>
      </c>
      <c r="AC20" s="205">
        <f t="shared" si="60"/>
        <v>16.42335846628184</v>
      </c>
      <c r="AD20" s="193">
        <f>AD19+1</f>
        <v>2403</v>
      </c>
      <c r="AE20" s="205" t="s">
        <v>289</v>
      </c>
      <c r="AF20" s="205">
        <f>'Bilan 2015'!$G$29*(1-SUM('Bilan 2015'!$K$26:$P$34)/'Bilan 2015'!$H$30)+'Bilan 2015'!$G$37</f>
        <v>7.7278848106179909</v>
      </c>
      <c r="AG20" s="205">
        <f>'Bilan 2020'!$G$29*(1-SUM('Bilan 2020'!$K$26:$P$34)/'Bilan 2020'!$H$30)+'Bilan 2020'!$G$37</f>
        <v>95.667201657063785</v>
      </c>
      <c r="AH20" s="205">
        <f>'Bilan 2023 AMS'!$G$29*(1-SUM('Bilan 2023 AMS'!$K$26:$P$34)/'Bilan 2023 AMS'!$H$30)+'Bilan 2023 AMS'!$G$37-'Bilan 2023 AMS'!$E$58</f>
        <v>106.99833033215629</v>
      </c>
      <c r="AI20" s="205">
        <f>'Bilan 2025 AMS'!$G$29*(1-SUM('Bilan 2025 AMS'!$K$26:$P$34)/'Bilan 2025 AMS'!$H$30)+'Bilan 2025 AMS'!$G$37-'Bilan 2025 AMS'!$E$58</f>
        <v>101.62765795712428</v>
      </c>
      <c r="AJ20" s="205">
        <f>'Bilan 2028 AMS'!$G$29*(1-SUM('Bilan 2028 AMS'!$K$26:$P$34)/'Bilan 2028 AMS'!$H$30)+'Bilan 2028 AMS'!$G$37-'Bilan 2028 AMS'!$E$58</f>
        <v>99.141688747079598</v>
      </c>
      <c r="AK20" s="205">
        <f>'Bilan 2030 AMS'!$G$29*(1-SUM('Bilan 2030 AMS'!$K$26:$P$34)/'Bilan 2030 AMS'!$H$30)+'Bilan 2030 AMS'!$G$37-'Bilan 2030 AMS'!$E$58</f>
        <v>97.47265472317271</v>
      </c>
      <c r="AL20" s="205">
        <f>'Bilan 2033 AMS'!$G$29*(1-SUM('Bilan 2033 AMS'!$K$26:$P$34)/'Bilan 2033 AMS'!$H$30)+'Bilan 2033 AMS'!$G$37-'Bilan 2033 AMS'!$E$58</f>
        <v>94.65474641525455</v>
      </c>
      <c r="AM20" s="205">
        <f>'Bilan 2035 AMS'!$G$29*(1-SUM('Bilan 2035 AMS'!$K$26:$P$34)/'Bilan 2035 AMS'!$H$30)+'Bilan 2035 AMS'!$G$37-'Bilan 2035 AMS'!$E$58</f>
        <v>92.720262708911136</v>
      </c>
      <c r="AN20" s="205">
        <f>'Bilan 2038 AMS'!$G$29*(1-SUM('Bilan 2038 AMS'!$K$26:$P$34)/'Bilan 2038 AMS'!$H$30)+'Bilan 2038 AMS'!$G$37-'Bilan 2038 AMS'!$E$58</f>
        <v>90.164611722234795</v>
      </c>
      <c r="AO20" s="205">
        <f>'Bilan 2040 AMS'!$G$29*(1-SUM('Bilan 2040 AMS'!$K$26:$P$34)/'Bilan 2040 AMS'!$H$30)+'Bilan 2040 AMS'!$G$37-'Bilan 2040 AMS'!$E$58</f>
        <v>88.387019806018841</v>
      </c>
      <c r="AP20" s="205">
        <f>'Bilan 2045 AMS'!$G$29*(1-SUM('Bilan 2045 AMS'!$K$26:$P$34)/'Bilan 2045 AMS'!$H$30)+'Bilan 2045 AMS'!$G$37-'Bilan 2045 AMS'!$E$58</f>
        <v>85.190596408114246</v>
      </c>
      <c r="AQ20" s="205">
        <f>'Bilan 2050 AMS'!$G$29*(1-SUM('Bilan 2050 AMS'!$K$26:$P$34)/'Bilan 2050 AMS'!$H$30)+'Bilan 2050 AMS'!$G$37-'Bilan 2050 AMS'!$E$58</f>
        <v>82.200412967062135</v>
      </c>
      <c r="AR20" s="206"/>
      <c r="AS20" s="205" t="s">
        <v>289</v>
      </c>
      <c r="AT20" s="205">
        <f>'Bilan 2015'!$G$29*(1-SUM('Bilan 2015'!$K$26:$P$34)/'Bilan 2015'!$H$30)+'Bilan 2015'!$G$37</f>
        <v>7.7278848106179909</v>
      </c>
      <c r="AU20" s="205">
        <f>'Bilan 2020'!$G$29*(1-SUM('Bilan 2020'!$K$26:$P$34)/'Bilan 2020'!$H$30)+'Bilan 2020'!$G$37</f>
        <v>95.667201657063785</v>
      </c>
      <c r="AV20" s="205">
        <f>'Bilan 2023 AMS'!$G$29*(1-SUM('Bilan 2023 AMS'!$K$26:$P$34)/'Bilan 2023 AMS'!$H$30)+'Bilan 2023 AMS'!$G$37</f>
        <v>107.03835336281981</v>
      </c>
      <c r="AW20" s="205">
        <f>'Bilan 2025 AMS'!$G$29*(1-SUM('Bilan 2025 AMS'!$K$26:$P$34)/'Bilan 2025 AMS'!$H$30)+'Bilan 2025 AMS'!$G$37</f>
        <v>101.68953951165552</v>
      </c>
      <c r="AX20" s="205">
        <f>'Bilan 2028 AMS'!$G$29*(1-SUM('Bilan 2028 AMS'!$K$26:$P$34)/'Bilan 2028 AMS'!$H$30)+'Bilan 2028 AMS'!$G$37</f>
        <v>99.236842169004049</v>
      </c>
      <c r="AY20" s="205">
        <f>'Bilan 2030 AMS'!$G$29*(1-SUM('Bilan 2030 AMS'!$K$26:$P$34)/'Bilan 2030 AMS'!$H$30)+'Bilan 2030 AMS'!$G$37</f>
        <v>97.590408888471103</v>
      </c>
      <c r="AZ20" s="205">
        <f>'Bilan 2033 AMS'!$G$29*(1-SUM('Bilan 2033 AMS'!$K$26:$P$34)/'Bilan 2033 AMS'!$H$30)+'Bilan 2033 AMS'!$G$37</f>
        <v>94.863151262422235</v>
      </c>
      <c r="BA20" s="205">
        <f>'Bilan 2035 AMS'!$G$29*(1-SUM('Bilan 2035 AMS'!$K$26:$P$34)/'Bilan 2035 AMS'!$H$30)+'Bilan 2035 AMS'!$G$37</f>
        <v>92.988152621748142</v>
      </c>
      <c r="BB20" s="205">
        <f>'Bilan 2038 AMS'!$G$29*(1-SUM('Bilan 2038 AMS'!$K$26:$P$34)/'Bilan 2038 AMS'!$H$30)+'Bilan 2038 AMS'!$G$37</f>
        <v>90.519414910062039</v>
      </c>
      <c r="BC20" s="205">
        <f>'Bilan 2040 AMS'!$G$29*(1-SUM('Bilan 2040 AMS'!$K$26:$P$34)/'Bilan 2040 AMS'!$H$30)+'Bilan 2040 AMS'!$G$37</f>
        <v>88.795672110002528</v>
      </c>
      <c r="BD20" s="205">
        <f>'Bilan 2045 AMS'!$G$29*(1-SUM('Bilan 2045 AMS'!$K$26:$P$34)/'Bilan 2045 AMS'!$H$30)+'Bilan 2045 AMS'!$G$37</f>
        <v>85.71479496331429</v>
      </c>
      <c r="BE20" s="205">
        <f>'Bilan 2050 AMS'!$G$29*(1-SUM('Bilan 2050 AMS'!$K$26:$P$34)/'Bilan 2050 AMS'!$H$30)+'Bilan 2050 AMS'!$G$37</f>
        <v>82.796681899787444</v>
      </c>
      <c r="BF20" s="216"/>
      <c r="BG20" s="205" t="s">
        <v>413</v>
      </c>
      <c r="BH20" s="202">
        <f t="shared" si="61"/>
        <v>0</v>
      </c>
      <c r="BI20" s="202">
        <f t="shared" si="61"/>
        <v>0</v>
      </c>
      <c r="BJ20" s="202">
        <f t="shared" si="61"/>
        <v>0.55415925749614325</v>
      </c>
      <c r="BK20" s="202">
        <f t="shared" si="61"/>
        <v>0.54901373826564326</v>
      </c>
      <c r="BL20" s="202">
        <f t="shared" si="61"/>
        <v>0.61465050195875837</v>
      </c>
      <c r="BM20" s="202">
        <f t="shared" si="61"/>
        <v>0.63274939056453194</v>
      </c>
      <c r="BN20" s="202">
        <f t="shared" si="61"/>
        <v>0.71784972206535513</v>
      </c>
      <c r="BO20" s="202">
        <f t="shared" si="61"/>
        <v>0.73601919680718142</v>
      </c>
      <c r="BP20" s="202">
        <f t="shared" si="61"/>
        <v>0.8767825976082021</v>
      </c>
      <c r="BQ20" s="202">
        <f t="shared" si="61"/>
        <v>0.92941816288826884</v>
      </c>
      <c r="BR20" s="202">
        <f t="shared" si="61"/>
        <v>0.96045888410377322</v>
      </c>
      <c r="BS20" s="202">
        <f t="shared" si="61"/>
        <v>1.2827674050446312</v>
      </c>
      <c r="BU20" s="205" t="s">
        <v>413</v>
      </c>
      <c r="BV20" s="208">
        <f>'Bilan 2015'!$E$23+'Bilan 2015'!$E$47</f>
        <v>0</v>
      </c>
      <c r="BW20" s="208">
        <f>'Bilan 2020'!$E$23+'Bilan 2020'!$E$47</f>
        <v>0</v>
      </c>
      <c r="BX20" s="208">
        <f>'Bilan 2023 AMS'!$E$23+'Bilan 2023 AMS'!$E$47</f>
        <v>1.1346932706722095</v>
      </c>
      <c r="BY20" s="208">
        <f>'Bilan 2025 AMS'!$E$23+'Bilan 2025 AMS'!$E$47</f>
        <v>2.7872080908937384</v>
      </c>
      <c r="BZ20" s="208">
        <f>'Bilan 2028 AMS'!$E$23+'Bilan 2028 AMS'!$E$47</f>
        <v>5.8146242324650217</v>
      </c>
      <c r="CA20" s="208">
        <f>'Bilan 2030 AMS'!$E$23+'Bilan 2030 AMS'!$E$47</f>
        <v>7.8217252269293311</v>
      </c>
      <c r="CB20" s="208">
        <f>'Bilan 2033 AMS'!$E$23+'Bilan 2033 AMS'!$E$47</f>
        <v>13.68827322291467</v>
      </c>
      <c r="CC20" s="208">
        <f>'Bilan 2035 AMS'!$E$23+'Bilan 2035 AMS'!$E$47</f>
        <v>17.20040831138288</v>
      </c>
      <c r="CD20" s="208">
        <f>'Bilan 2038 AMS'!$E$23+'Bilan 2038 AMS'!$E$47</f>
        <v>26.00053513357134</v>
      </c>
      <c r="CE20" s="208">
        <f>'Bilan 2040 AMS'!$E$23+'Bilan 2040 AMS'!$E$47</f>
        <v>31.292224159614491</v>
      </c>
      <c r="CF20" s="208">
        <f>'Bilan 2045 AMS'!$E$23+'Bilan 2045 AMS'!$E$47</f>
        <v>40.846053340873411</v>
      </c>
      <c r="CG20" s="208">
        <f>'Bilan 2050 AMS'!$E$23+'Bilan 2050 AMS'!$E$47</f>
        <v>63.589861299811105</v>
      </c>
      <c r="CH20" s="206"/>
      <c r="CJ20" s="205" t="s">
        <v>413</v>
      </c>
      <c r="CK20" s="202">
        <f t="shared" si="62"/>
        <v>0</v>
      </c>
      <c r="CL20" s="202">
        <f t="shared" si="62"/>
        <v>0</v>
      </c>
      <c r="CM20" s="202">
        <f t="shared" si="62"/>
        <v>0</v>
      </c>
      <c r="CN20" s="202">
        <f t="shared" si="62"/>
        <v>0</v>
      </c>
      <c r="CO20" s="202">
        <f t="shared" si="62"/>
        <v>0</v>
      </c>
      <c r="CP20" s="202">
        <f t="shared" si="62"/>
        <v>0</v>
      </c>
      <c r="CQ20" s="202">
        <f t="shared" si="62"/>
        <v>0</v>
      </c>
      <c r="CR20" s="202">
        <f t="shared" si="62"/>
        <v>0</v>
      </c>
      <c r="CS20" s="202">
        <f t="shared" si="62"/>
        <v>0</v>
      </c>
      <c r="CT20" s="202">
        <f t="shared" si="62"/>
        <v>0</v>
      </c>
      <c r="CU20" s="202">
        <f t="shared" si="62"/>
        <v>0</v>
      </c>
      <c r="CV20" s="202">
        <f t="shared" si="62"/>
        <v>0</v>
      </c>
      <c r="CW20" s="206"/>
      <c r="CY20" s="205" t="s">
        <v>31</v>
      </c>
      <c r="DA20" s="202">
        <f>'Bilan 2015'!$K$23</f>
        <v>0</v>
      </c>
      <c r="DB20" s="202">
        <f>'Bilan 2020'!$K$23</f>
        <v>0</v>
      </c>
      <c r="DC20" s="202">
        <f>'Bilan 2023 AMS'!$K$23</f>
        <v>0</v>
      </c>
      <c r="DD20" s="202">
        <f>'Bilan 2025 AMS'!$K$23</f>
        <v>0</v>
      </c>
      <c r="DE20" s="202">
        <f>'Bilan 2028 AMS'!$K$23</f>
        <v>0</v>
      </c>
      <c r="DF20" s="202">
        <f>'Bilan 2030 AMS'!$K$23</f>
        <v>0</v>
      </c>
      <c r="DG20" s="202">
        <f>'Bilan 2033 AMS'!$K$23</f>
        <v>0</v>
      </c>
      <c r="DH20" s="202">
        <f>'Bilan 2035 AMS'!$K$23</f>
        <v>0</v>
      </c>
      <c r="DI20" s="202">
        <f>'Bilan 2038 AMS'!$K$23</f>
        <v>0</v>
      </c>
      <c r="DJ20" s="202">
        <f>'Bilan 2040 AMS'!$K$23</f>
        <v>0</v>
      </c>
      <c r="DK20" s="202">
        <f>'Bilan 2045 AMS'!$K$23</f>
        <v>0</v>
      </c>
      <c r="DL20" s="202">
        <f>'Bilan 2050 AMS'!$K$23</f>
        <v>0</v>
      </c>
    </row>
    <row r="21" spans="1:116" ht="14.5">
      <c r="A21" s="211" t="s">
        <v>22</v>
      </c>
      <c r="B21" s="212"/>
      <c r="C21" s="212"/>
      <c r="D21" s="579"/>
      <c r="E21" s="579"/>
      <c r="F21" s="579"/>
      <c r="G21" s="579"/>
      <c r="H21" s="579"/>
      <c r="I21" s="579"/>
      <c r="J21" s="579"/>
      <c r="K21" s="579"/>
      <c r="L21" s="579"/>
      <c r="M21" s="579"/>
      <c r="N21" s="575"/>
      <c r="O21" s="575"/>
      <c r="P21" s="575"/>
      <c r="Q21" s="572" t="s">
        <v>295</v>
      </c>
      <c r="R21" s="205">
        <f t="shared" si="60"/>
        <v>5.6719520540355547E-2</v>
      </c>
      <c r="S21" s="205">
        <f t="shared" si="60"/>
        <v>3.6793581777777802</v>
      </c>
      <c r="T21" s="205">
        <f t="shared" si="60"/>
        <v>4.3023879699163166</v>
      </c>
      <c r="U21" s="205">
        <f t="shared" si="60"/>
        <v>5.6407627218251397</v>
      </c>
      <c r="V21" s="205">
        <f t="shared" si="60"/>
        <v>6.7289973607209745</v>
      </c>
      <c r="W21" s="205">
        <f t="shared" si="60"/>
        <v>7.5015461547405717</v>
      </c>
      <c r="X21" s="205">
        <f t="shared" si="60"/>
        <v>9.4996550719303219</v>
      </c>
      <c r="Y21" s="205">
        <f t="shared" si="60"/>
        <v>10.825953288370551</v>
      </c>
      <c r="Z21" s="205">
        <f t="shared" si="60"/>
        <v>10.952590418500169</v>
      </c>
      <c r="AA21" s="205">
        <f t="shared" si="60"/>
        <v>11.02899005085181</v>
      </c>
      <c r="AB21" s="205">
        <f t="shared" si="60"/>
        <v>11.276034288959668</v>
      </c>
      <c r="AC21" s="205">
        <f t="shared" si="60"/>
        <v>11.316516045102318</v>
      </c>
      <c r="AE21" s="205" t="s">
        <v>525</v>
      </c>
      <c r="AF21" s="205">
        <f>'Bilan 2015'!$G$21-SUM('Bilan 2015'!$K$21:$P$21)+'Bilan 2015'!$G$26*(1-SUM('Bilan 2015'!$K$26:$P$34)/'Bilan 2015'!$H$30)+'Bilan 2015'!$G$36-'Bilan 2015'!$E$55</f>
        <v>0.11322701187849546</v>
      </c>
      <c r="AG21" s="205">
        <f>'Bilan 2020'!$G$21-SUM('Bilan 2020'!$K$21:$P$21)+'Bilan 2020'!$G$26*(1-SUM('Bilan 2020'!$K$26:$P$34)/'Bilan 2020'!$H$30)+'Bilan 2020'!$G$36-'Bilan 2020'!$E$55</f>
        <v>5.3502865176710985</v>
      </c>
      <c r="AH21" s="205">
        <f>'Bilan 2023 AMS'!$G$22-SUM('Bilan 2023 AMS'!$K$22:$P$22)+'Bilan 2023 AMS'!$G$21-SUM('Bilan 2023 AMS'!$K$21:$P$21)+'Bilan 2023 AMS'!$G$26*(1-SUM('Bilan 2023 AMS'!$K$26:$P$34)/'Bilan 2023 AMS'!$H$30)+'Bilan 2023 AMS'!$G$36-'Bilan 2023 AMS'!$E$55</f>
        <v>11.524403925594825</v>
      </c>
      <c r="AI21" s="205">
        <f>'Bilan 2025 AMS'!$G$22-SUM('Bilan 2025 AMS'!$K$22:$P$22)+'Bilan 2025 AMS'!$G$21-SUM('Bilan 2025 AMS'!$K$21:$P$21)+'Bilan 2025 AMS'!$G$26*(1-SUM('Bilan 2025 AMS'!$K$26:$P$34)/'Bilan 2025 AMS'!$H$30)+'Bilan 2025 AMS'!$G$36-'Bilan 2025 AMS'!$E$55</f>
        <v>16.295295216434251</v>
      </c>
      <c r="AJ21" s="205">
        <f>'Bilan 2028 AMS'!$G$22-SUM('Bilan 2028 AMS'!$K$22:$P$22)+'Bilan 2028 AMS'!$G$21-SUM('Bilan 2028 AMS'!$K$21:$P$21)+'Bilan 2028 AMS'!$G$26*(1-SUM('Bilan 2028 AMS'!$K$26:$P$34)/'Bilan 2028 AMS'!$H$30)+'Bilan 2028 AMS'!$G$36-'Bilan 2028 AMS'!$E$55</f>
        <v>24.088237850361516</v>
      </c>
      <c r="AK21" s="205">
        <f>'Bilan 2030 AMS'!$G$22-SUM('Bilan 2030 AMS'!$K$22:$P$22)+'Bilan 2030 AMS'!$G$21-SUM('Bilan 2030 AMS'!$K$21:$P$21)+'Bilan 2030 AMS'!$G$26*(1-SUM('Bilan 2030 AMS'!$K$26:$P$34)/'Bilan 2030 AMS'!$H$30)+'Bilan 2030 AMS'!$G$36-'Bilan 2030 AMS'!$E$55</f>
        <v>27.22328306834039</v>
      </c>
      <c r="AL21" s="205">
        <f>'Bilan 2033 AMS'!$G$22-SUM('Bilan 2033 AMS'!$K$22:$P$22)+'Bilan 2033 AMS'!$G$21-SUM('Bilan 2033 AMS'!$K$21:$P$21)+'Bilan 2033 AMS'!$G$26*(1-SUM('Bilan 2033 AMS'!$K$26:$P$34)/'Bilan 2033 AMS'!$H$30)+'Bilan 2033 AMS'!$G$36-'Bilan 2033 AMS'!$E$55</f>
        <v>40.08863335939035</v>
      </c>
      <c r="AM21" s="205">
        <f>'Bilan 2035 AMS'!$G$22-SUM('Bilan 2035 AMS'!$K$22:$P$22)+'Bilan 2035 AMS'!$G$21-SUM('Bilan 2035 AMS'!$K$21:$P$21)+'Bilan 2035 AMS'!$G$26*(1-SUM('Bilan 2035 AMS'!$K$26:$P$34)/'Bilan 2035 AMS'!$H$30)+'Bilan 2035 AMS'!$G$36-'Bilan 2035 AMS'!$E$55</f>
        <v>46.356217624943334</v>
      </c>
      <c r="AN21" s="205">
        <f>'Bilan 2038 AMS'!$G$22-SUM('Bilan 2038 AMS'!$K$22:$P$22)+'Bilan 2038 AMS'!$G$21-SUM('Bilan 2038 AMS'!$K$21:$P$21)+'Bilan 2038 AMS'!$G$26*(1-SUM('Bilan 2038 AMS'!$K$26:$P$34)/'Bilan 2038 AMS'!$H$30)+'Bilan 2038 AMS'!$G$36-'Bilan 2038 AMS'!$E$55</f>
        <v>57.735998477120141</v>
      </c>
      <c r="AO21" s="205">
        <f>'Bilan 2040 AMS'!$G$22-SUM('Bilan 2040 AMS'!$K$22:$P$22)+'Bilan 2040 AMS'!$G$21-SUM('Bilan 2040 AMS'!$K$21:$P$21)+'Bilan 2040 AMS'!$G$26*(1-SUM('Bilan 2040 AMS'!$K$26:$P$34)/'Bilan 2040 AMS'!$H$30)+'Bilan 2040 AMS'!$G$36-'Bilan 2040 AMS'!$E$55</f>
        <v>62.989292065652975</v>
      </c>
      <c r="AP21" s="205">
        <f>'Bilan 2045 AMS'!$G$22-SUM('Bilan 2045 AMS'!$K$22:$P$22)+'Bilan 2045 AMS'!$G$21-SUM('Bilan 2045 AMS'!$K$21:$P$21)+'Bilan 2045 AMS'!$G$26*(1-SUM('Bilan 2045 AMS'!$K$26:$P$34)/'Bilan 2045 AMS'!$H$30)+'Bilan 2045 AMS'!$G$36-'Bilan 2045 AMS'!$E$55</f>
        <v>69.357260259013671</v>
      </c>
      <c r="AQ21" s="205">
        <f>'Bilan 2050 AMS'!$G$22-SUM('Bilan 2050 AMS'!$K$22:$P$22)+'Bilan 2050 AMS'!$G$21-SUM('Bilan 2050 AMS'!$K$21:$P$21)+'Bilan 2050 AMS'!$G$26*(1-SUM('Bilan 2050 AMS'!$K$26:$P$34)/'Bilan 2050 AMS'!$H$30)+'Bilan 2050 AMS'!$G$36-'Bilan 2050 AMS'!$E$55</f>
        <v>86.873555562786436</v>
      </c>
      <c r="AR21" s="206"/>
      <c r="AS21" s="205" t="s">
        <v>525</v>
      </c>
      <c r="AT21" s="205">
        <f>'Bilan 2015'!$G$21-SUM('Bilan 2015'!$K$21:$P$21)+'Bilan 2015'!$G$26*(1-SUM('Bilan 2015'!$K$26:$P$34)/'Bilan 2015'!$H$30)+'Bilan 2015'!$G$36</f>
        <v>0.11322701187849546</v>
      </c>
      <c r="AU21" s="205">
        <f>'Bilan 2020'!$G$21-SUM('Bilan 2020'!$K$21:$P$21)+'Bilan 2020'!$G$26*(1-SUM('Bilan 2020'!$K$26:$P$34)/'Bilan 2020'!$H$30)+'Bilan 2020'!$G$36</f>
        <v>5.3502865176710985</v>
      </c>
      <c r="AV21" s="205">
        <f>'Bilan 2023 AMS'!$G$22-SUM('Bilan 2023 AMS'!$K$22:$P$22)+'Bilan 2023 AMS'!$G$21-SUM('Bilan 2023 AMS'!$K$21:$P$21)+'Bilan 2023 AMS'!$G$26*(1-SUM('Bilan 2023 AMS'!$K$26:$P$34)/'Bilan 2023 AMS'!$H$30)+'Bilan 2023 AMS'!$G$36</f>
        <v>11.840552010156129</v>
      </c>
      <c r="AW21" s="205">
        <f>'Bilan 2025 AMS'!$G$22-SUM('Bilan 2025 AMS'!$K$22:$P$22)+'Bilan 2025 AMS'!$G$21-SUM('Bilan 2025 AMS'!$K$21:$P$21)+'Bilan 2025 AMS'!$G$26*(1-SUM('Bilan 2025 AMS'!$K$26:$P$34)/'Bilan 2025 AMS'!$H$30)+'Bilan 2025 AMS'!$G$36</f>
        <v>16.82867192059798</v>
      </c>
      <c r="AX21" s="205">
        <f>'Bilan 2028 AMS'!$G$22-SUM('Bilan 2028 AMS'!$K$22:$P$22)+'Bilan 2028 AMS'!$G$21-SUM('Bilan 2028 AMS'!$K$21:$P$21)+'Bilan 2028 AMS'!$G$26*(1-SUM('Bilan 2028 AMS'!$K$26:$P$34)/'Bilan 2028 AMS'!$H$30)+'Bilan 2028 AMS'!$G$36</f>
        <v>24.891729244301803</v>
      </c>
      <c r="AY21" s="205">
        <f>'Bilan 2030 AMS'!$G$22-SUM('Bilan 2030 AMS'!$K$22:$P$22)+'Bilan 2030 AMS'!$G$21-SUM('Bilan 2030 AMS'!$K$21:$P$21)+'Bilan 2030 AMS'!$G$26*(1-SUM('Bilan 2030 AMS'!$K$26:$P$34)/'Bilan 2030 AMS'!$H$30)+'Bilan 2030 AMS'!$G$36</f>
        <v>28.207620186081336</v>
      </c>
      <c r="AZ21" s="205">
        <f>'Bilan 2033 AMS'!$G$22-SUM('Bilan 2033 AMS'!$K$22:$P$22)+'Bilan 2033 AMS'!$G$21-SUM('Bilan 2033 AMS'!$K$21:$P$21)+'Bilan 2033 AMS'!$G$26*(1-SUM('Bilan 2033 AMS'!$K$26:$P$34)/'Bilan 2033 AMS'!$H$30)+'Bilan 2033 AMS'!$G$36</f>
        <v>41.557102321176224</v>
      </c>
      <c r="BA21" s="205">
        <f>'Bilan 2035 AMS'!$G$22-SUM('Bilan 2035 AMS'!$K$22:$P$22)+'Bilan 2035 AMS'!$G$21-SUM('Bilan 2035 AMS'!$K$21:$P$21)+'Bilan 2035 AMS'!$G$26*(1-SUM('Bilan 2035 AMS'!$K$26:$P$34)/'Bilan 2035 AMS'!$H$30)+'Bilan 2035 AMS'!$G$36</f>
        <v>48.156668903934197</v>
      </c>
      <c r="BB21" s="205">
        <f>'Bilan 2038 AMS'!$G$22-SUM('Bilan 2038 AMS'!$K$22:$P$22)+'Bilan 2038 AMS'!$G$21-SUM('Bilan 2038 AMS'!$K$21:$P$21)+'Bilan 2038 AMS'!$G$26*(1-SUM('Bilan 2038 AMS'!$K$26:$P$34)/'Bilan 2038 AMS'!$H$30)+'Bilan 2038 AMS'!$G$36</f>
        <v>60.076410057084182</v>
      </c>
      <c r="BC21" s="205">
        <f>'Bilan 2040 AMS'!$G$22-SUM('Bilan 2040 AMS'!$K$22:$P$22)+'Bilan 2040 AMS'!$G$21-SUM('Bilan 2040 AMS'!$K$21:$P$21)+'Bilan 2040 AMS'!$G$26*(1-SUM('Bilan 2040 AMS'!$K$26:$P$34)/'Bilan 2040 AMS'!$H$30)+'Bilan 2040 AMS'!$G$36</f>
        <v>65.703443853895379</v>
      </c>
      <c r="BD21" s="205">
        <f>'Bilan 2045 AMS'!$G$22-SUM('Bilan 2045 AMS'!$K$22:$P$22)+'Bilan 2045 AMS'!$G$21-SUM('Bilan 2045 AMS'!$K$21:$P$21)+'Bilan 2045 AMS'!$G$26*(1-SUM('Bilan 2045 AMS'!$K$26:$P$34)/'Bilan 2045 AMS'!$H$30)+'Bilan 2045 AMS'!$G$36</f>
        <v>73.071993977931911</v>
      </c>
      <c r="BE21" s="205">
        <f>'Bilan 2050 AMS'!$G$22-SUM('Bilan 2050 AMS'!$K$22:$P$22)+'Bilan 2050 AMS'!$G$21-SUM('Bilan 2050 AMS'!$K$21:$P$21)+'Bilan 2050 AMS'!$G$26*(1-SUM('Bilan 2050 AMS'!$K$26:$P$34)/'Bilan 2050 AMS'!$H$30)+'Bilan 2050 AMS'!$G$36</f>
        <v>91.654296843224955</v>
      </c>
      <c r="BF21" s="216"/>
      <c r="BG21" s="205" t="s">
        <v>293</v>
      </c>
      <c r="BH21" s="202">
        <f t="shared" si="61"/>
        <v>0.40191367704565095</v>
      </c>
      <c r="BI21" s="202">
        <f t="shared" si="61"/>
        <v>0.14568575976370193</v>
      </c>
      <c r="BJ21" s="202">
        <f t="shared" si="61"/>
        <v>0.12193071358795073</v>
      </c>
      <c r="BK21" s="202">
        <f t="shared" si="61"/>
        <v>0.11512770586294586</v>
      </c>
      <c r="BL21" s="202">
        <f t="shared" si="61"/>
        <v>0.10757480295721725</v>
      </c>
      <c r="BM21" s="202">
        <f t="shared" si="61"/>
        <v>0.10280277873857768</v>
      </c>
      <c r="BN21" s="202">
        <f t="shared" si="61"/>
        <v>9.6716325844134476E-2</v>
      </c>
      <c r="BO21" s="202">
        <f t="shared" si="61"/>
        <v>9.2553683219040991E-2</v>
      </c>
      <c r="BP21" s="202">
        <f t="shared" si="61"/>
        <v>8.4434430240430208E-2</v>
      </c>
      <c r="BQ21" s="202">
        <f t="shared" si="61"/>
        <v>7.8956611153773767E-2</v>
      </c>
      <c r="BR21" s="202">
        <f t="shared" si="61"/>
        <v>6.4203259509210769E-2</v>
      </c>
      <c r="BS21" s="202">
        <f t="shared" si="61"/>
        <v>4.8984360661910323E-2</v>
      </c>
      <c r="BU21" s="205" t="s">
        <v>293</v>
      </c>
      <c r="BV21" s="208">
        <f>'Bilan 2015'!$E27</f>
        <v>0.21460870053167158</v>
      </c>
      <c r="BW21" s="208">
        <f>'Bilan 2020'!$E27</f>
        <v>2.6247571862404189</v>
      </c>
      <c r="BX21" s="208">
        <f>'Bilan 2023 AMS'!$E27</f>
        <v>1.7380220241891027</v>
      </c>
      <c r="BY21" s="208">
        <f>'Bilan 2025 AMS'!$E27</f>
        <v>1.7441416487413606</v>
      </c>
      <c r="BZ21" s="208">
        <f>'Bilan 2028 AMS'!$E27</f>
        <v>1.6540065536420812</v>
      </c>
      <c r="CA21" s="208">
        <f>'Bilan 2030 AMS'!$E27</f>
        <v>1.5805275359013939</v>
      </c>
      <c r="CB21" s="208">
        <f>'Bilan 2033 AMS'!$E27</f>
        <v>1.4282608848536806</v>
      </c>
      <c r="CC21" s="208">
        <f>'Bilan 2035 AMS'!$E27</f>
        <v>1.3286216325780458</v>
      </c>
      <c r="CD21" s="208">
        <f>'Bilan 2038 AMS'!$E27</f>
        <v>1.2176720735888795</v>
      </c>
      <c r="CE21" s="208">
        <f>'Bilan 2040 AMS'!$E27</f>
        <v>1.1413871584603401</v>
      </c>
      <c r="CF21" s="208">
        <f>'Bilan 2045 AMS'!$E27</f>
        <v>0.93635017257460029</v>
      </c>
      <c r="CG21" s="208">
        <f>'Bilan 2050 AMS'!$E27</f>
        <v>0.71175902152155091</v>
      </c>
      <c r="CH21" s="206"/>
      <c r="CJ21" s="205" t="s">
        <v>293</v>
      </c>
      <c r="CK21" s="202">
        <f t="shared" si="62"/>
        <v>0.30391627266615295</v>
      </c>
      <c r="CL21" s="202">
        <f t="shared" si="62"/>
        <v>9.2237471501333629E-2</v>
      </c>
      <c r="CM21" s="202">
        <f t="shared" si="62"/>
        <v>8.0694171116246008E-2</v>
      </c>
      <c r="CN21" s="202">
        <f t="shared" si="62"/>
        <v>8.093099446665486E-2</v>
      </c>
      <c r="CO21" s="202">
        <f t="shared" si="62"/>
        <v>8.0877136228012042E-2</v>
      </c>
      <c r="CP21" s="202">
        <f t="shared" si="62"/>
        <v>8.0879191276501824E-2</v>
      </c>
      <c r="CQ21" s="202">
        <f t="shared" si="62"/>
        <v>8.094249079033991E-2</v>
      </c>
      <c r="CR21" s="202">
        <f t="shared" si="62"/>
        <v>8.0990858950170594E-2</v>
      </c>
      <c r="CS21" s="202">
        <f t="shared" si="62"/>
        <v>8.1027607289880149E-2</v>
      </c>
      <c r="CT21" s="202">
        <f t="shared" si="62"/>
        <v>8.1058709801299117E-2</v>
      </c>
      <c r="CU21" s="202">
        <f t="shared" si="62"/>
        <v>8.1178256332220727E-2</v>
      </c>
      <c r="CV21" s="202">
        <f t="shared" si="62"/>
        <v>8.1296661519456442E-2</v>
      </c>
      <c r="CW21" s="206"/>
      <c r="CX21" s="193">
        <f>CX19+1</f>
        <v>2404</v>
      </c>
      <c r="CY21" s="205" t="s">
        <v>293</v>
      </c>
      <c r="CZ21" s="207" t="s">
        <v>288</v>
      </c>
      <c r="DA21" s="202">
        <f>'Bilan 2015'!$K$30*'Bilan 2015'!$G$27/'Bilan 2015'!$H$30</f>
        <v>0.16228130584345346</v>
      </c>
      <c r="DB21" s="202">
        <f>'Bilan 2020'!$K$30*'Bilan 2020'!$G$27/'Bilan 2020'!$H$30</f>
        <v>1.6618025437520594</v>
      </c>
      <c r="DC21" s="202">
        <f>'Bilan 2023 AMS'!$K$30*'Bilan 2023 AMS'!$G$27/'Bilan 2023 AMS'!$H$30</f>
        <v>1.1502290316914798</v>
      </c>
      <c r="DD21" s="202">
        <f>'Bilan 2025 AMS'!$K$30*'Bilan 2025 AMS'!$G$27/'Bilan 2025 AMS'!$H$30</f>
        <v>1.2260742717429625</v>
      </c>
      <c r="DE21" s="202">
        <f>'Bilan 2028 AMS'!$K$30*'Bilan 2028 AMS'!$G$27/'Bilan 2028 AMS'!$H$30</f>
        <v>1.2435190182419993</v>
      </c>
      <c r="DF21" s="202">
        <f>'Bilan 2030 AMS'!$K$30*'Bilan 2030 AMS'!$G$27/'Bilan 2030 AMS'!$H$30</f>
        <v>1.2434662804107346</v>
      </c>
      <c r="DG21" s="202">
        <f>'Bilan 2033 AMS'!$K$30*'Bilan 2033 AMS'!$G$27/'Bilan 2033 AMS'!$H$30</f>
        <v>1.19532036095727</v>
      </c>
      <c r="DH21" s="202">
        <f>'Bilan 2035 AMS'!$K$30*'Bilan 2035 AMS'!$G$27/'Bilan 2035 AMS'!$H$30</f>
        <v>1.1626356023844997</v>
      </c>
      <c r="DI21" s="202">
        <f>'Bilan 2038 AMS'!$K$30*'Bilan 2038 AMS'!$G$27/'Bilan 2038 AMS'!$H$30</f>
        <v>1.1685405385653853</v>
      </c>
      <c r="DJ21" s="202">
        <f>'Bilan 2040 AMS'!$K$30*'Bilan 2040 AMS'!$G$27/'Bilan 2040 AMS'!$H$30</f>
        <v>1.171774840594132</v>
      </c>
      <c r="DK21" s="202">
        <f>'Bilan 2045 AMS'!$K$30*'Bilan 2045 AMS'!$G$27/'Bilan 2045 AMS'!$H$30</f>
        <v>1.1839161267984413</v>
      </c>
      <c r="DL21" s="202">
        <f>'Bilan 2050 AMS'!$K$30*'Bilan 2050 AMS'!$G$27/'Bilan 2050 AMS'!$H$30</f>
        <v>1.1812674795417129</v>
      </c>
    </row>
    <row r="22" spans="1:116" ht="14.5">
      <c r="A22" s="209" t="s">
        <v>297</v>
      </c>
      <c r="B22" s="210"/>
      <c r="C22" s="210"/>
      <c r="D22" s="578"/>
      <c r="E22" s="578"/>
      <c r="F22" s="578"/>
      <c r="G22" s="578"/>
      <c r="H22" s="578"/>
      <c r="I22" s="578"/>
      <c r="J22" s="578"/>
      <c r="K22" s="578"/>
      <c r="L22" s="578"/>
      <c r="M22" s="578"/>
      <c r="N22" s="575"/>
      <c r="O22" s="575"/>
      <c r="P22" s="575"/>
      <c r="Q22" s="572" t="s">
        <v>298</v>
      </c>
      <c r="R22" s="205">
        <f t="shared" si="60"/>
        <v>5.1344547654386874</v>
      </c>
      <c r="S22" s="205">
        <f t="shared" si="60"/>
        <v>33.87625778069777</v>
      </c>
      <c r="T22" s="205">
        <f t="shared" si="60"/>
        <v>54.102495749652313</v>
      </c>
      <c r="U22" s="205">
        <f t="shared" si="60"/>
        <v>65.768568884246903</v>
      </c>
      <c r="V22" s="205">
        <f t="shared" si="60"/>
        <v>82.999512184954682</v>
      </c>
      <c r="W22" s="205">
        <f t="shared" si="60"/>
        <v>94.90355994298281</v>
      </c>
      <c r="X22" s="205">
        <f t="shared" si="60"/>
        <v>109.27070396699366</v>
      </c>
      <c r="Y22" s="205">
        <f t="shared" si="60"/>
        <v>119.03941528592445</v>
      </c>
      <c r="Z22" s="205">
        <f t="shared" si="60"/>
        <v>133.16393965002271</v>
      </c>
      <c r="AA22" s="205">
        <f t="shared" si="60"/>
        <v>142.67564111943781</v>
      </c>
      <c r="AB22" s="205">
        <f t="shared" si="60"/>
        <v>161.55510368560363</v>
      </c>
      <c r="AC22" s="205">
        <f t="shared" si="60"/>
        <v>173.53126507003083</v>
      </c>
      <c r="AD22" s="193">
        <f>AD20+1</f>
        <v>2404</v>
      </c>
      <c r="AE22" s="205" t="s">
        <v>31</v>
      </c>
      <c r="AF22" s="205">
        <f>'Bilan 2015'!$G$23-SUM('Bilan 2015'!$K$23:$P$23)+'Bilan 2015'!$G$47-'Bilan 2015'!$E$57</f>
        <v>0</v>
      </c>
      <c r="AG22" s="205">
        <f>'Bilan 2020'!$G$23-SUM('Bilan 2020'!$K$23:$P$23)+'Bilan 2020'!$G$47-'Bilan 2020'!$E$57</f>
        <v>0</v>
      </c>
      <c r="AH22" s="205">
        <f>'Bilan 2023 AMS'!$G$23-SUM('Bilan 2023 AMS'!$K$23:$P$23)+'Bilan 2023 AMS'!$G$47-'Bilan 2023 AMS'!$E$57</f>
        <v>0.21014565757002979</v>
      </c>
      <c r="AI22" s="205">
        <f>'Bilan 2025 AMS'!$G$23-SUM('Bilan 2025 AMS'!$K$23:$P$23)+'Bilan 2025 AMS'!$G$47-'Bilan 2025 AMS'!$E$57</f>
        <v>0.67189588750148044</v>
      </c>
      <c r="AJ22" s="205">
        <f>'Bilan 2028 AMS'!$G$23-SUM('Bilan 2028 AMS'!$K$23:$P$23)+'Bilan 2028 AMS'!$G$47-'Bilan 2028 AMS'!$E$57</f>
        <v>1.9071317298578512</v>
      </c>
      <c r="AK22" s="205">
        <f>'Bilan 2030 AMS'!$G$23-SUM('Bilan 2030 AMS'!$K$23:$P$23)+'Bilan 2030 AMS'!$G$47-'Bilan 2030 AMS'!$E$57</f>
        <v>2.8810587741761626</v>
      </c>
      <c r="AL22" s="205">
        <f>'Bilan 2033 AMS'!$G$23-SUM('Bilan 2033 AMS'!$K$23:$P$23)+'Bilan 2033 AMS'!$G$47-'Bilan 2033 AMS'!$E$57</f>
        <v>4.462797995224717</v>
      </c>
      <c r="AM22" s="205">
        <f>'Bilan 2035 AMS'!$G$23-SUM('Bilan 2035 AMS'!$K$23:$P$23)+'Bilan 2035 AMS'!$G$47-'Bilan 2035 AMS'!$E$57</f>
        <v>5.5579296438924999</v>
      </c>
      <c r="AN22" s="205">
        <f>'Bilan 2038 AMS'!$G$23-SUM('Bilan 2038 AMS'!$K$23:$P$23)+'Bilan 2038 AMS'!$G$47-'Bilan 2038 AMS'!$E$57</f>
        <v>7.3866191725927486</v>
      </c>
      <c r="AO22" s="205">
        <f>'Bilan 2040 AMS'!$G$23-SUM('Bilan 2040 AMS'!$K$23:$P$23)+'Bilan 2040 AMS'!$G$47-'Bilan 2040 AMS'!$E$57</f>
        <v>8.6446514495387454</v>
      </c>
      <c r="AP22" s="205">
        <f>'Bilan 2045 AMS'!$G$23-SUM('Bilan 2045 AMS'!$K$23:$P$23)+'Bilan 2045 AMS'!$G$47-'Bilan 2045 AMS'!$E$57</f>
        <v>11.542253072006442</v>
      </c>
      <c r="AQ22" s="205">
        <f>'Bilan 2050 AMS'!$G$23-SUM('Bilan 2050 AMS'!$K$23:$P$23)+'Bilan 2050 AMS'!$G$47-'Bilan 2050 AMS'!$E$57</f>
        <v>14.075687902585045</v>
      </c>
      <c r="AR22" s="206"/>
      <c r="AS22" s="205" t="s">
        <v>31</v>
      </c>
      <c r="AT22" s="205">
        <f>'Bilan 2015'!$G$23-SUM('Bilan 2015'!$K$23:$P$23)+'Bilan 2015'!$G$47</f>
        <v>0</v>
      </c>
      <c r="AU22" s="205">
        <f>'Bilan 2020'!$G$23-SUM('Bilan 2020'!$K$23:$P$23)+'Bilan 2020'!$G$47</f>
        <v>0</v>
      </c>
      <c r="AV22" s="205">
        <f>'Bilan 2023 AMS'!$G$23-SUM('Bilan 2023 AMS'!$K$23:$P$23)+'Bilan 2023 AMS'!$G$47</f>
        <v>2.0475941804150164</v>
      </c>
      <c r="AW22" s="205">
        <f>'Bilan 2025 AMS'!$G$23-SUM('Bilan 2025 AMS'!$K$23:$P$23)+'Bilan 2025 AMS'!$G$47</f>
        <v>5.0767547269375122</v>
      </c>
      <c r="AX22" s="205">
        <f>'Bilan 2028 AMS'!$G$23-SUM('Bilan 2028 AMS'!$K$23:$P$23)+'Bilan 2028 AMS'!$G$47</f>
        <v>9.4600495955588908</v>
      </c>
      <c r="AY22" s="205">
        <f>'Bilan 2030 AMS'!$G$23-SUM('Bilan 2030 AMS'!$K$23:$P$23)+'Bilan 2030 AMS'!$G$47</f>
        <v>12.361489941461461</v>
      </c>
      <c r="AZ22" s="205">
        <f>'Bilan 2033 AMS'!$G$23-SUM('Bilan 2033 AMS'!$K$23:$P$23)+'Bilan 2033 AMS'!$G$47</f>
        <v>19.068438424036124</v>
      </c>
      <c r="BA22" s="205">
        <f>'Bilan 2035 AMS'!$G$23-SUM('Bilan 2035 AMS'!$K$23:$P$23)+'Bilan 2035 AMS'!$G$47</f>
        <v>23.369510450267448</v>
      </c>
      <c r="BB22" s="205">
        <f>'Bilan 2038 AMS'!$G$23-SUM('Bilan 2038 AMS'!$K$23:$P$23)+'Bilan 2038 AMS'!$G$47</f>
        <v>29.654483568103281</v>
      </c>
      <c r="BC22" s="205">
        <f>'Bilan 2040 AMS'!$G$23-SUM('Bilan 2040 AMS'!$K$23:$P$23)+'Bilan 2040 AMS'!$G$47</f>
        <v>33.668617000522644</v>
      </c>
      <c r="BD22" s="205">
        <f>'Bilan 2045 AMS'!$G$23-SUM('Bilan 2045 AMS'!$K$23:$P$23)+'Bilan 2045 AMS'!$G$47</f>
        <v>42.527643834527936</v>
      </c>
      <c r="BE22" s="205">
        <f>'Bilan 2050 AMS'!$G$23-SUM('Bilan 2050 AMS'!$K$23:$P$23)+'Bilan 2050 AMS'!$G$47</f>
        <v>49.572401863141067</v>
      </c>
      <c r="BF22" s="216"/>
      <c r="BG22" s="205" t="s">
        <v>296</v>
      </c>
      <c r="BH22" s="202">
        <f t="shared" si="61"/>
        <v>8.8310867949872807E-2</v>
      </c>
      <c r="BI22" s="202">
        <f t="shared" si="61"/>
        <v>9.2541488827577414E-2</v>
      </c>
      <c r="BJ22" s="202">
        <f t="shared" si="61"/>
        <v>7.2841789250657041E-2</v>
      </c>
      <c r="BK22" s="202">
        <f t="shared" si="61"/>
        <v>7.3498122106258765E-2</v>
      </c>
      <c r="BL22" s="202">
        <f t="shared" si="61"/>
        <v>6.9821647072354845E-2</v>
      </c>
      <c r="BM22" s="202">
        <f t="shared" si="61"/>
        <v>6.7450166613065035E-2</v>
      </c>
      <c r="BN22" s="202">
        <f t="shared" si="61"/>
        <v>6.5327610505655512E-2</v>
      </c>
      <c r="BO22" s="202">
        <f t="shared" si="61"/>
        <v>6.3384531112399056E-2</v>
      </c>
      <c r="BP22" s="202">
        <f t="shared" si="61"/>
        <v>5.6188834707907601E-2</v>
      </c>
      <c r="BQ22" s="202">
        <f t="shared" si="61"/>
        <v>5.1590471399205209E-2</v>
      </c>
      <c r="BR22" s="202">
        <f t="shared" si="61"/>
        <v>4.0570939977563662E-2</v>
      </c>
      <c r="BS22" s="202">
        <f t="shared" si="61"/>
        <v>3.0078043458327444E-2</v>
      </c>
      <c r="BU22" s="205" t="s">
        <v>296</v>
      </c>
      <c r="BV22" s="208">
        <f>'Bilan 2015'!$E$39+'Bilan 2015'!$E$30+'Bilan 2015'!$E$31</f>
        <v>1.3363788731984698E-2</v>
      </c>
      <c r="BW22" s="208">
        <f>'Bilan 2020'!$E$39+'Bilan 2020'!$E$30+'Bilan 2020'!$E$31</f>
        <v>0.43300753878297921</v>
      </c>
      <c r="BX22" s="208">
        <f>'Bilan 2023 AMS'!$E$39+'Bilan 2023 AMS'!$E$30+'Bilan 2023 AMS'!$E$31</f>
        <v>0.43620686880526555</v>
      </c>
      <c r="BY22" s="208">
        <f>'Bilan 2025 AMS'!$E$39+'Bilan 2025 AMS'!$E$30+'Bilan 2025 AMS'!$E$31</f>
        <v>0.54295668874947001</v>
      </c>
      <c r="BZ22" s="208">
        <f>'Bilan 2028 AMS'!$E$39+'Bilan 2028 AMS'!$E$30+'Bilan 2028 AMS'!$E$31</f>
        <v>0.60908694858578794</v>
      </c>
      <c r="CA22" s="208">
        <f>'Bilan 2030 AMS'!$E$39+'Bilan 2030 AMS'!$E$30+'Bilan 2030 AMS'!$E$31</f>
        <v>0.65150928127527274</v>
      </c>
      <c r="CB22" s="208">
        <f>'Bilan 2033 AMS'!$E$39+'Bilan 2033 AMS'!$E$30+'Bilan 2033 AMS'!$E$31</f>
        <v>0.78016800992444757</v>
      </c>
      <c r="CC22" s="208">
        <f>'Bilan 2035 AMS'!$E$39+'Bilan 2035 AMS'!$E$30+'Bilan 2035 AMS'!$E$31</f>
        <v>0.85380811310654869</v>
      </c>
      <c r="CD22" s="208">
        <f>'Bilan 2038 AMS'!$E$39+'Bilan 2038 AMS'!$E$30+'Bilan 2038 AMS'!$E$31</f>
        <v>0.79348421644219036</v>
      </c>
      <c r="CE22" s="208">
        <f>'Bilan 2040 AMS'!$E$39+'Bilan 2040 AMS'!$E$30+'Bilan 2040 AMS'!$E$31</f>
        <v>0.75068980825786213</v>
      </c>
      <c r="CF22" s="208">
        <f>'Bilan 2045 AMS'!$E$39+'Bilan 2045 AMS'!$E$30+'Bilan 2045 AMS'!$E$31</f>
        <v>0.63206725940307773</v>
      </c>
      <c r="CG22" s="208">
        <f>'Bilan 2050 AMS'!$E$39+'Bilan 2050 AMS'!$E$30+'Bilan 2050 AMS'!$E$31</f>
        <v>0.4904375925199228</v>
      </c>
      <c r="CH22" s="206"/>
      <c r="CJ22" s="205" t="s">
        <v>296</v>
      </c>
      <c r="CK22" s="202">
        <f t="shared" si="62"/>
        <v>6.6778294335551255E-2</v>
      </c>
      <c r="CL22" s="202">
        <f t="shared" si="62"/>
        <v>5.8590441181550393E-2</v>
      </c>
      <c r="CM22" s="202">
        <f t="shared" si="62"/>
        <v>4.8206949941010678E-2</v>
      </c>
      <c r="CN22" s="202">
        <f t="shared" si="62"/>
        <v>5.166676491037088E-2</v>
      </c>
      <c r="CO22" s="202">
        <f t="shared" si="62"/>
        <v>5.2493471581638272E-2</v>
      </c>
      <c r="CP22" s="202">
        <f t="shared" si="62"/>
        <v>5.3065831430516047E-2</v>
      </c>
      <c r="CQ22" s="202">
        <f t="shared" si="62"/>
        <v>5.4673080946339728E-2</v>
      </c>
      <c r="CR22" s="202">
        <f t="shared" si="62"/>
        <v>5.5465838207623991E-2</v>
      </c>
      <c r="CS22" s="202">
        <f t="shared" si="62"/>
        <v>5.39216859736475E-2</v>
      </c>
      <c r="CT22" s="202">
        <f t="shared" si="62"/>
        <v>5.2963988557157358E-2</v>
      </c>
      <c r="CU22" s="202">
        <f t="shared" si="62"/>
        <v>5.1297678502838534E-2</v>
      </c>
      <c r="CV22" s="202">
        <f t="shared" si="62"/>
        <v>4.9918881968802377E-2</v>
      </c>
      <c r="CX22" s="193">
        <f>CX21+1</f>
        <v>2405</v>
      </c>
      <c r="CY22" s="205" t="s">
        <v>296</v>
      </c>
      <c r="CZ22" s="207" t="s">
        <v>290</v>
      </c>
      <c r="DA22" s="202">
        <f>'Bilan 2015'!$K$30*('Bilan 2015'!$G$30/'Bilan 2015'!$H$30)</f>
        <v>1.010533627513603E-2</v>
      </c>
      <c r="DB22" s="202">
        <f>'Bilan 2020'!$K$30*('Bilan 2020'!$G$30/'Bilan 2020'!$H$30)</f>
        <v>0.27414841768432557</v>
      </c>
      <c r="DC22" s="202">
        <f>'Bilan 2023 AMS'!$K$30*('Bilan 2023 AMS'!$G$30/'Bilan 2023 AMS'!$H$30)</f>
        <v>0.28868322572445282</v>
      </c>
      <c r="DD22" s="202">
        <f>'Bilan 2025 AMS'!$K$30*('Bilan 2025 AMS'!$G$30/'Bilan 2025 AMS'!$H$30)</f>
        <v>0.38168071224425787</v>
      </c>
      <c r="DE22" s="202">
        <f>'Bilan 2028 AMS'!$K$30*('Bilan 2028 AMS'!$G$30/'Bilan 2028 AMS'!$H$30)</f>
        <v>0.45792515311478876</v>
      </c>
      <c r="DF22" s="202">
        <f>'Bilan 2030 AMS'!$K$30*('Bilan 2030 AMS'!$G$30/'Bilan 2030 AMS'!$H$30)</f>
        <v>0.51256925566842937</v>
      </c>
      <c r="DG22" s="202">
        <f>'Bilan 2033 AMS'!$K$30*('Bilan 2033 AMS'!$G$30/'Bilan 2033 AMS'!$H$30)</f>
        <v>0.65292742881895949</v>
      </c>
      <c r="DH22" s="202">
        <f>'Bilan 2035 AMS'!$K$30*('Bilan 2035 AMS'!$G$30/'Bilan 2035 AMS'!$H$30)</f>
        <v>0.74714101107645037</v>
      </c>
      <c r="DI22" s="202">
        <f>'Bilan 2038 AMS'!$K$30*('Bilan 2038 AMS'!$G$30/'Bilan 2038 AMS'!$H$30)</f>
        <v>0.76146812736837466</v>
      </c>
      <c r="DJ22" s="202">
        <f>'Bilan 2040 AMS'!$K$30*('Bilan 2040 AMS'!$G$30/'Bilan 2040 AMS'!$H$30)</f>
        <v>0.77067577279700117</v>
      </c>
      <c r="DK22" s="202">
        <f>'Bilan 2045 AMS'!$K$30*('Bilan 2045 AMS'!$G$30/'Bilan 2045 AMS'!$H$30)</f>
        <v>0.79918244642495473</v>
      </c>
      <c r="DL22" s="202">
        <f>'Bilan 2050 AMS'!$K$30*('Bilan 2050 AMS'!$G$30/'Bilan 2050 AMS'!$H$30)</f>
        <v>0.81395242107370114</v>
      </c>
    </row>
    <row r="23" spans="1:116" ht="14.5">
      <c r="A23" s="211" t="s">
        <v>300</v>
      </c>
      <c r="B23" s="212"/>
      <c r="C23" s="212"/>
      <c r="D23" s="579"/>
      <c r="E23" s="579"/>
      <c r="F23" s="579"/>
      <c r="G23" s="579"/>
      <c r="H23" s="579"/>
      <c r="I23" s="579"/>
      <c r="J23" s="579"/>
      <c r="K23" s="579"/>
      <c r="L23" s="579"/>
      <c r="M23" s="579"/>
      <c r="N23" s="575"/>
      <c r="O23" s="575"/>
      <c r="P23" s="575"/>
      <c r="Q23" s="571" t="s">
        <v>42</v>
      </c>
      <c r="R23" s="201">
        <f t="shared" ref="R23:AC23" si="68">B38</f>
        <v>5.5321903370544652</v>
      </c>
      <c r="S23" s="201">
        <f t="shared" si="68"/>
        <v>49.830275396336631</v>
      </c>
      <c r="T23" s="201">
        <f t="shared" si="68"/>
        <v>48.595118385590432</v>
      </c>
      <c r="U23" s="201">
        <f t="shared" si="68"/>
        <v>36.76320322916078</v>
      </c>
      <c r="V23" s="201">
        <f t="shared" si="68"/>
        <v>25.876769590065134</v>
      </c>
      <c r="W23" s="201">
        <f t="shared" si="68"/>
        <v>19.500894978355525</v>
      </c>
      <c r="X23" s="201">
        <f t="shared" si="68"/>
        <v>17.481730816264069</v>
      </c>
      <c r="Y23" s="201">
        <f t="shared" si="68"/>
        <v>16.178882267256224</v>
      </c>
      <c r="Z23" s="201">
        <f t="shared" si="68"/>
        <v>13.859177019435306</v>
      </c>
      <c r="AA23" s="201">
        <f t="shared" si="68"/>
        <v>12.402103294712147</v>
      </c>
      <c r="AB23" s="201">
        <f t="shared" si="68"/>
        <v>9.1088960408946864</v>
      </c>
      <c r="AC23" s="201">
        <f t="shared" si="68"/>
        <v>5.9311888025037742</v>
      </c>
      <c r="AD23" s="193">
        <f>AD22+1</f>
        <v>2405</v>
      </c>
      <c r="AE23" s="205" t="s">
        <v>293</v>
      </c>
      <c r="AF23" s="205">
        <f>'Bilan 2015'!$G$27*(1-SUM('Bilan 2015'!$K$26:$P$34)/'Bilan 2015'!$H$30)+'Bilan 2015'!$G$44</f>
        <v>0.53396714963570513</v>
      </c>
      <c r="AG23" s="205">
        <f>'Bilan 2020'!$G$27*(1-SUM('Bilan 2020'!$K$26:$P$34)/'Bilan 2020'!$H$30)+'Bilan 2020'!$G$44</f>
        <v>18.016566550483031</v>
      </c>
      <c r="AH23" s="205">
        <f>'Bilan 2023 AMS'!$G$27*(1-SUM('Bilan 2023 AMS'!$K$26:$P$34)/'Bilan 2023 AMS'!$H$30)+'Bilan 2023 AMS'!$G$44</f>
        <v>14.254177418025504</v>
      </c>
      <c r="AI23" s="205">
        <f>'Bilan 2025 AMS'!$G$27*(1-SUM('Bilan 2025 AMS'!$K$26:$P$34)/'Bilan 2025 AMS'!$H$30)+'Bilan 2025 AMS'!$G$44</f>
        <v>15.149625675835836</v>
      </c>
      <c r="AJ23" s="205">
        <f>'Bilan 2028 AMS'!$G$27*(1-SUM('Bilan 2028 AMS'!$K$26:$P$34)/'Bilan 2028 AMS'!$H$30)+'Bilan 2028 AMS'!$G$44</f>
        <v>15.375408628913627</v>
      </c>
      <c r="AK23" s="205">
        <f>'Bilan 2030 AMS'!$G$27*(1-SUM('Bilan 2030 AMS'!$K$26:$P$34)/'Bilan 2030 AMS'!$H$30)+'Bilan 2030 AMS'!$G$44</f>
        <v>15.374365900367307</v>
      </c>
      <c r="AL23" s="205">
        <f>'Bilan 2033 AMS'!$G$27*(1-SUM('Bilan 2033 AMS'!$K$26:$P$34)/'Bilan 2033 AMS'!$H$30)+'Bilan 2033 AMS'!$G$44</f>
        <v>14.767526292876642</v>
      </c>
      <c r="AM23" s="205">
        <f>'Bilan 2035 AMS'!$G$27*(1-SUM('Bilan 2035 AMS'!$K$26:$P$34)/'Bilan 2035 AMS'!$H$30)+'Bilan 2035 AMS'!$G$44</f>
        <v>14.355145969001368</v>
      </c>
      <c r="AN23" s="205">
        <f>'Bilan 2038 AMS'!$G$27*(1-SUM('Bilan 2038 AMS'!$K$26:$P$34)/'Bilan 2038 AMS'!$H$30)+'Bilan 2038 AMS'!$G$44</f>
        <v>14.421511107749676</v>
      </c>
      <c r="AO23" s="205">
        <f>'Bilan 2040 AMS'!$G$27*(1-SUM('Bilan 2040 AMS'!$K$26:$P$34)/'Bilan 2040 AMS'!$H$30)+'Bilan 2040 AMS'!$G$44</f>
        <v>14.45587825745719</v>
      </c>
      <c r="AP23" s="205">
        <f>'Bilan 2045 AMS'!$G$27*(1-SUM('Bilan 2045 AMS'!$K$26:$P$34)/'Bilan 2045 AMS'!$H$30)+'Bilan 2045 AMS'!$G$44</f>
        <v>14.584153199266604</v>
      </c>
      <c r="AQ23" s="205">
        <f>'Bilan 2050 AMS'!$G$27*(1-SUM('Bilan 2050 AMS'!$K$26:$P$34)/'Bilan 2050 AMS'!$H$30)+'Bilan 2050 AMS'!$G$44</f>
        <v>14.530331965218576</v>
      </c>
      <c r="AR23" s="206"/>
      <c r="AS23" s="205" t="s">
        <v>293</v>
      </c>
      <c r="AT23" s="205">
        <f>'Bilan 2015'!$G$27*(1-SUM('Bilan 2015'!$K$26:$P$34)/'Bilan 2015'!$H$30)+'Bilan 2015'!$G$44</f>
        <v>0.53396714963570513</v>
      </c>
      <c r="AU23" s="205">
        <f>'Bilan 2020'!$G$27*(1-SUM('Bilan 2020'!$K$26:$P$34)/'Bilan 2020'!$H$30)+'Bilan 2020'!$G$44</f>
        <v>18.016566550483031</v>
      </c>
      <c r="AV23" s="205">
        <f>'Bilan 2023 AMS'!$G$27*(1-SUM('Bilan 2023 AMS'!$K$26:$P$34)/'Bilan 2023 AMS'!$H$30)+'Bilan 2023 AMS'!$G$44</f>
        <v>14.254177418025504</v>
      </c>
      <c r="AW23" s="205">
        <f>'Bilan 2025 AMS'!$G$27*(1-SUM('Bilan 2025 AMS'!$K$26:$P$34)/'Bilan 2025 AMS'!$H$30)+'Bilan 2025 AMS'!$G$44</f>
        <v>15.149625675835836</v>
      </c>
      <c r="AX23" s="205">
        <f>'Bilan 2028 AMS'!$G$27*(1-SUM('Bilan 2028 AMS'!$K$26:$P$34)/'Bilan 2028 AMS'!$H$30)+'Bilan 2028 AMS'!$G$44</f>
        <v>15.375408628913627</v>
      </c>
      <c r="AY23" s="205">
        <f>'Bilan 2030 AMS'!$G$27*(1-SUM('Bilan 2030 AMS'!$K$26:$P$34)/'Bilan 2030 AMS'!$H$30)+'Bilan 2030 AMS'!$G$44</f>
        <v>15.374365900367307</v>
      </c>
      <c r="AZ23" s="205">
        <f>'Bilan 2033 AMS'!$G$27*(1-SUM('Bilan 2033 AMS'!$K$26:$P$34)/'Bilan 2033 AMS'!$H$30)+'Bilan 2033 AMS'!$G$44</f>
        <v>14.767526292876642</v>
      </c>
      <c r="BA23" s="205">
        <f>'Bilan 2035 AMS'!$G$27*(1-SUM('Bilan 2035 AMS'!$K$26:$P$34)/'Bilan 2035 AMS'!$H$30)+'Bilan 2035 AMS'!$G$44</f>
        <v>14.355145969001368</v>
      </c>
      <c r="BB23" s="205">
        <f>'Bilan 2038 AMS'!$G$27*(1-SUM('Bilan 2038 AMS'!$K$26:$P$34)/'Bilan 2038 AMS'!$H$30)+'Bilan 2038 AMS'!$G$44</f>
        <v>14.421511107749676</v>
      </c>
      <c r="BC23" s="205">
        <f>'Bilan 2040 AMS'!$G$27*(1-SUM('Bilan 2040 AMS'!$K$26:$P$34)/'Bilan 2040 AMS'!$H$30)+'Bilan 2040 AMS'!$G$44</f>
        <v>14.45587825745719</v>
      </c>
      <c r="BD23" s="205">
        <f>'Bilan 2045 AMS'!$G$27*(1-SUM('Bilan 2045 AMS'!$K$26:$P$34)/'Bilan 2045 AMS'!$H$30)+'Bilan 2045 AMS'!$G$44</f>
        <v>14.584153199266604</v>
      </c>
      <c r="BE23" s="205">
        <f>'Bilan 2050 AMS'!$G$27*(1-SUM('Bilan 2050 AMS'!$K$26:$P$34)/'Bilan 2050 AMS'!$H$30)+'Bilan 2050 AMS'!$G$44</f>
        <v>14.530331965218576</v>
      </c>
      <c r="BF23" s="216"/>
      <c r="BG23" s="205" t="s">
        <v>249</v>
      </c>
      <c r="BH23" s="202">
        <f t="shared" si="61"/>
        <v>0.39870025002763365</v>
      </c>
      <c r="BI23" s="202">
        <f t="shared" si="61"/>
        <v>0</v>
      </c>
      <c r="BJ23" s="202">
        <f t="shared" si="61"/>
        <v>0</v>
      </c>
      <c r="BK23" s="202">
        <f t="shared" si="61"/>
        <v>0</v>
      </c>
      <c r="BL23" s="202">
        <f t="shared" si="61"/>
        <v>0</v>
      </c>
      <c r="BM23" s="202">
        <f t="shared" si="61"/>
        <v>0</v>
      </c>
      <c r="BN23" s="202">
        <f t="shared" si="61"/>
        <v>0</v>
      </c>
      <c r="BO23" s="202">
        <f t="shared" si="61"/>
        <v>0</v>
      </c>
      <c r="BP23" s="202">
        <f t="shared" si="61"/>
        <v>0</v>
      </c>
      <c r="BQ23" s="202">
        <f t="shared" si="61"/>
        <v>0</v>
      </c>
      <c r="BR23" s="202">
        <f t="shared" si="61"/>
        <v>0</v>
      </c>
      <c r="BS23" s="202">
        <f t="shared" si="61"/>
        <v>0</v>
      </c>
      <c r="BU23" s="205" t="s">
        <v>249</v>
      </c>
      <c r="BV23" s="208">
        <f>'Bilan 2015'!$E$28</f>
        <v>0.49866725657423938</v>
      </c>
      <c r="BW23" s="208">
        <f>'Bilan 2020'!$E$28</f>
        <v>0</v>
      </c>
      <c r="BX23" s="208">
        <f>'Bilan 2023 AMS'!$E$28</f>
        <v>0</v>
      </c>
      <c r="BY23" s="208">
        <f>'Bilan 2025 AMS'!$E$28</f>
        <v>0</v>
      </c>
      <c r="BZ23" s="208">
        <f>'Bilan 2028 AMS'!$E$28</f>
        <v>0</v>
      </c>
      <c r="CA23" s="208">
        <f>'Bilan 2030 AMS'!$E$28</f>
        <v>0</v>
      </c>
      <c r="CB23" s="208">
        <f>'Bilan 2033 AMS'!$E$28</f>
        <v>0</v>
      </c>
      <c r="CC23" s="208">
        <f>'Bilan 2035 AMS'!$E$28</f>
        <v>0</v>
      </c>
      <c r="CD23" s="208">
        <f>'Bilan 2038 AMS'!$E$28</f>
        <v>0</v>
      </c>
      <c r="CE23" s="208">
        <f>'Bilan 2040 AMS'!$E$28</f>
        <v>0</v>
      </c>
      <c r="CF23" s="208">
        <f>'Bilan 2045 AMS'!$E$28</f>
        <v>0</v>
      </c>
      <c r="CG23" s="208">
        <f>'Bilan 2050 AMS'!$E$28</f>
        <v>0</v>
      </c>
      <c r="CH23" s="206"/>
      <c r="CJ23" s="205" t="s">
        <v>249</v>
      </c>
      <c r="CK23" s="202">
        <f t="shared" si="62"/>
        <v>0.30148636590363792</v>
      </c>
      <c r="CL23" s="202">
        <f t="shared" si="62"/>
        <v>0</v>
      </c>
      <c r="CM23" s="202">
        <f t="shared" si="62"/>
        <v>0</v>
      </c>
      <c r="CN23" s="202">
        <f t="shared" si="62"/>
        <v>0</v>
      </c>
      <c r="CO23" s="202">
        <f t="shared" si="62"/>
        <v>0</v>
      </c>
      <c r="CP23" s="202">
        <f t="shared" si="62"/>
        <v>0</v>
      </c>
      <c r="CQ23" s="202">
        <f t="shared" si="62"/>
        <v>0</v>
      </c>
      <c r="CR23" s="202">
        <f t="shared" si="62"/>
        <v>0</v>
      </c>
      <c r="CS23" s="202">
        <f t="shared" si="62"/>
        <v>0</v>
      </c>
      <c r="CT23" s="202">
        <f t="shared" si="62"/>
        <v>0</v>
      </c>
      <c r="CU23" s="202">
        <f t="shared" si="62"/>
        <v>0</v>
      </c>
      <c r="CV23" s="202">
        <f t="shared" si="62"/>
        <v>0</v>
      </c>
      <c r="CY23" s="205" t="s">
        <v>249</v>
      </c>
      <c r="CZ23" s="207"/>
      <c r="DA23" s="202">
        <f>'Bilan 2015'!$K$30*'Bilan 2015'!$G$28/'Bilan 2015'!$H$30</f>
        <v>0.37707871758115113</v>
      </c>
      <c r="DB23" s="202">
        <f>'Bilan 2020'!$K$30*'Bilan 2020'!$G$28/'Bilan 2020'!$H$30</f>
        <v>0</v>
      </c>
      <c r="DC23" s="202">
        <f>'Bilan 2023 AMS'!$K$30*'Bilan 2023 AMS'!$G$28/'Bilan 2023 AMS'!$H$30</f>
        <v>0</v>
      </c>
      <c r="DD23" s="202">
        <f>'Bilan 2025 AMS'!$K$30*'Bilan 2025 AMS'!$G$28/'Bilan 2025 AMS'!$H$30</f>
        <v>0</v>
      </c>
      <c r="DE23" s="202">
        <f>'Bilan 2028 AMS'!$K$30*'Bilan 2028 AMS'!$G$28/'Bilan 2028 AMS'!$H$30</f>
        <v>0</v>
      </c>
      <c r="DF23" s="202">
        <f>'Bilan 2030 AMS'!$K$30*'Bilan 2030 AMS'!$G$28/'Bilan 2030 AMS'!$H$30</f>
        <v>0</v>
      </c>
      <c r="DG23" s="202">
        <f>'Bilan 2033 AMS'!$K$30*'Bilan 2033 AMS'!$G$28/'Bilan 2033 AMS'!$H$30</f>
        <v>0</v>
      </c>
      <c r="DH23" s="202">
        <f>'Bilan 2035 AMS'!$K$30*'Bilan 2035 AMS'!$G$28/'Bilan 2035 AMS'!$H$30</f>
        <v>0</v>
      </c>
      <c r="DI23" s="202">
        <f>'Bilan 2038 AMS'!$K$30*'Bilan 2038 AMS'!$G$28/'Bilan 2038 AMS'!$H$30</f>
        <v>0</v>
      </c>
      <c r="DJ23" s="202">
        <f>'Bilan 2040 AMS'!$K$30*'Bilan 2040 AMS'!$G$28/'Bilan 2040 AMS'!$H$30</f>
        <v>0</v>
      </c>
      <c r="DK23" s="202">
        <f>'Bilan 2045 AMS'!$K$30*'Bilan 2045 AMS'!$G$28/'Bilan 2045 AMS'!$H$30</f>
        <v>0</v>
      </c>
      <c r="DL23" s="202">
        <f>'Bilan 2050 AMS'!$K$30*'Bilan 2050 AMS'!$G$28/'Bilan 2050 AMS'!$H$30</f>
        <v>0</v>
      </c>
    </row>
    <row r="24" spans="1:116" ht="14.5">
      <c r="A24" s="211"/>
      <c r="B24" s="212"/>
      <c r="C24" s="212"/>
      <c r="D24" s="579"/>
      <c r="E24" s="579"/>
      <c r="F24" s="579"/>
      <c r="G24" s="579"/>
      <c r="H24" s="579"/>
      <c r="I24" s="579"/>
      <c r="J24" s="579"/>
      <c r="K24" s="579"/>
      <c r="L24" s="579"/>
      <c r="M24" s="579"/>
      <c r="N24" s="575"/>
      <c r="O24" s="575"/>
      <c r="P24" s="575"/>
      <c r="Q24" s="564"/>
      <c r="R24" s="564"/>
      <c r="S24" s="564"/>
      <c r="T24" s="564"/>
      <c r="U24" s="564"/>
      <c r="V24" s="564"/>
      <c r="W24" s="564"/>
      <c r="X24" s="564"/>
      <c r="Y24" s="564"/>
      <c r="Z24" s="564"/>
      <c r="AA24" s="564"/>
      <c r="AB24" s="564"/>
      <c r="AC24" s="564"/>
      <c r="AE24" s="205" t="s">
        <v>296</v>
      </c>
      <c r="AF24" s="205">
        <f>'Bilan 2015'!$G$39+'Bilan 2015'!$G$30*(1-SUM('Bilan 2015'!$K$26:$P$34)/'Bilan 2015'!$H$30)</f>
        <v>0.15132666049177865</v>
      </c>
      <c r="AG24" s="205">
        <f>'Bilan 2020'!$G$39+'Bilan 2020'!$G$30*(1-SUM('Bilan 2020'!$K$26:$P$34)/'Bilan 2020'!$H$30)</f>
        <v>4.6790638908971465</v>
      </c>
      <c r="AH24" s="205">
        <f>'Bilan 2023 AMS'!$G$39+'Bilan 2023 AMS'!$G$30*(1-SUM('Bilan 2023 AMS'!$K$26:$P$34)/'Bilan 2023 AMS'!$H$30)</f>
        <v>5.9884150745422673</v>
      </c>
      <c r="AI24" s="205">
        <f>'Bilan 2025 AMS'!$G$39+'Bilan 2025 AMS'!$G$30*(1-SUM('Bilan 2025 AMS'!$K$26:$P$34)/'Bilan 2025 AMS'!$H$30)</f>
        <v>7.3873545770938041</v>
      </c>
      <c r="AJ24" s="205">
        <f>'Bilan 2028 AMS'!$G$39+'Bilan 2028 AMS'!$G$30*(1-SUM('Bilan 2028 AMS'!$K$26:$P$34)/'Bilan 2028 AMS'!$H$30)</f>
        <v>8.7234686393834675</v>
      </c>
      <c r="AK24" s="205">
        <f>'Bilan 2030 AMS'!$G$39+'Bilan 2030 AMS'!$G$30*(1-SUM('Bilan 2030 AMS'!$K$26:$P$34)/'Bilan 2030 AMS'!$H$30)</f>
        <v>9.6591204142270577</v>
      </c>
      <c r="AL24" s="205">
        <f>'Bilan 2033 AMS'!$G$39+'Bilan 2033 AMS'!$G$30*(1-SUM('Bilan 2033 AMS'!$K$26:$P$34)/'Bilan 2033 AMS'!$H$30)</f>
        <v>11.942393176265146</v>
      </c>
      <c r="AM24" s="205">
        <f>'Bilan 2035 AMS'!$G$39+'Bilan 2035 AMS'!$G$30*(1-SUM('Bilan 2035 AMS'!$K$26:$P$34)/'Bilan 2035 AMS'!$H$30)</f>
        <v>13.470291538364474</v>
      </c>
      <c r="AN24" s="205">
        <f>'Bilan 2038 AMS'!$G$39+'Bilan 2038 AMS'!$G$30*(1-SUM('Bilan 2038 AMS'!$K$26:$P$34)/'Bilan 2038 AMS'!$H$30)</f>
        <v>14.121741811643609</v>
      </c>
      <c r="AO24" s="205">
        <f>'Bilan 2040 AMS'!$G$39+'Bilan 2040 AMS'!$G$30*(1-SUM('Bilan 2040 AMS'!$K$26:$P$34)/'Bilan 2040 AMS'!$H$30)</f>
        <v>14.550939115269008</v>
      </c>
      <c r="AP24" s="205">
        <f>'Bilan 2045 AMS'!$G$39+'Bilan 2045 AMS'!$G$30*(1-SUM('Bilan 2045 AMS'!$K$26:$P$34)/'Bilan 2045 AMS'!$H$30)</f>
        <v>15.579310209539646</v>
      </c>
      <c r="AQ24" s="205">
        <f>'Bilan 2050 AMS'!$G$39+'Bilan 2050 AMS'!$G$30*(1-SUM('Bilan 2050 AMS'!$K$26:$P$34)/'Bilan 2050 AMS'!$H$30)</f>
        <v>16.305501825589644</v>
      </c>
      <c r="AR24" s="206"/>
      <c r="AS24" s="205" t="s">
        <v>296</v>
      </c>
      <c r="AT24" s="205">
        <f>'Bilan 2015'!$G$39+'Bilan 2015'!$G$30*(1-SUM('Bilan 2015'!$K$26:$P$34)/'Bilan 2015'!$H$30)</f>
        <v>0.15132666049177865</v>
      </c>
      <c r="AU24" s="205">
        <f>'Bilan 2020'!$G$39+'Bilan 2020'!$G$30*(1-SUM('Bilan 2020'!$K$26:$P$34)/'Bilan 2020'!$H$30)</f>
        <v>4.6790638908971465</v>
      </c>
      <c r="AV24" s="205">
        <f>'Bilan 2023 AMS'!$G$39+'Bilan 2023 AMS'!$G$30*(1-SUM('Bilan 2023 AMS'!$K$26:$P$34)/'Bilan 2023 AMS'!$H$30)</f>
        <v>5.9884150745422673</v>
      </c>
      <c r="AW24" s="205">
        <f>'Bilan 2025 AMS'!$G$39+'Bilan 2025 AMS'!$G$30*(1-SUM('Bilan 2025 AMS'!$K$26:$P$34)/'Bilan 2025 AMS'!$H$30)</f>
        <v>7.3873545770938041</v>
      </c>
      <c r="AX24" s="205">
        <f>'Bilan 2028 AMS'!$G$39+'Bilan 2028 AMS'!$G$30*(1-SUM('Bilan 2028 AMS'!$K$26:$P$34)/'Bilan 2028 AMS'!$H$30)</f>
        <v>8.7234686393834675</v>
      </c>
      <c r="AY24" s="205">
        <f>'Bilan 2030 AMS'!$G$39+'Bilan 2030 AMS'!$G$30*(1-SUM('Bilan 2030 AMS'!$K$26:$P$34)/'Bilan 2030 AMS'!$H$30)</f>
        <v>9.6591204142270577</v>
      </c>
      <c r="AZ24" s="205">
        <f>'Bilan 2033 AMS'!$G$39+'Bilan 2033 AMS'!$G$30*(1-SUM('Bilan 2033 AMS'!$K$26:$P$34)/'Bilan 2033 AMS'!$H$30)</f>
        <v>11.942393176265146</v>
      </c>
      <c r="BA24" s="205">
        <f>'Bilan 2035 AMS'!$G$39+'Bilan 2035 AMS'!$G$30*(1-SUM('Bilan 2035 AMS'!$K$26:$P$34)/'Bilan 2035 AMS'!$H$30)</f>
        <v>13.470291538364474</v>
      </c>
      <c r="BB24" s="205">
        <f>'Bilan 2038 AMS'!$G$39+'Bilan 2038 AMS'!$G$30*(1-SUM('Bilan 2038 AMS'!$K$26:$P$34)/'Bilan 2038 AMS'!$H$30)</f>
        <v>14.121741811643609</v>
      </c>
      <c r="BC24" s="205">
        <f>'Bilan 2040 AMS'!$G$39+'Bilan 2040 AMS'!$G$30*(1-SUM('Bilan 2040 AMS'!$K$26:$P$34)/'Bilan 2040 AMS'!$H$30)</f>
        <v>14.550939115269008</v>
      </c>
      <c r="BD24" s="205">
        <f>'Bilan 2045 AMS'!$G$39+'Bilan 2045 AMS'!$G$30*(1-SUM('Bilan 2045 AMS'!$K$26:$P$34)/'Bilan 2045 AMS'!$H$30)</f>
        <v>15.579310209539646</v>
      </c>
      <c r="BE24" s="205">
        <f>'Bilan 2050 AMS'!$G$39+'Bilan 2050 AMS'!$G$30*(1-SUM('Bilan 2050 AMS'!$K$26:$P$34)/'Bilan 2050 AMS'!$H$30)</f>
        <v>16.305501825589644</v>
      </c>
      <c r="BF24" s="216"/>
      <c r="BG24" s="205" t="s">
        <v>299</v>
      </c>
      <c r="BH24" s="202">
        <f t="shared" si="61"/>
        <v>0</v>
      </c>
      <c r="BI24" s="202">
        <f t="shared" si="61"/>
        <v>8.0549113865217709E-3</v>
      </c>
      <c r="BJ24" s="202">
        <f t="shared" si="61"/>
        <v>0</v>
      </c>
      <c r="BK24" s="202">
        <f t="shared" si="61"/>
        <v>0</v>
      </c>
      <c r="BL24" s="202">
        <f t="shared" si="61"/>
        <v>0</v>
      </c>
      <c r="BM24" s="202">
        <f t="shared" si="61"/>
        <v>0</v>
      </c>
      <c r="BN24" s="202">
        <f t="shared" si="61"/>
        <v>0</v>
      </c>
      <c r="BO24" s="202">
        <f t="shared" si="61"/>
        <v>0</v>
      </c>
      <c r="BP24" s="202">
        <f t="shared" si="61"/>
        <v>0</v>
      </c>
      <c r="BQ24" s="202">
        <f t="shared" si="61"/>
        <v>0</v>
      </c>
      <c r="BR24" s="202">
        <f t="shared" si="61"/>
        <v>0</v>
      </c>
      <c r="BS24" s="202">
        <f t="shared" si="61"/>
        <v>0</v>
      </c>
      <c r="BU24" s="205" t="s">
        <v>299</v>
      </c>
      <c r="BV24" s="208">
        <f>+'Bilan 2015'!$E$40</f>
        <v>0</v>
      </c>
      <c r="BW24" s="208">
        <f>+'Bilan 2020'!$E$40</f>
        <v>0.25705111111111101</v>
      </c>
      <c r="BX24" s="208">
        <f>+'Bilan 2023 AMS'!$E$40</f>
        <v>0</v>
      </c>
      <c r="BY24" s="208">
        <f>+'Bilan 2025 AMS'!$E$40</f>
        <v>0</v>
      </c>
      <c r="BZ24" s="208">
        <f>+'Bilan 2028 AMS'!$E$40</f>
        <v>0</v>
      </c>
      <c r="CA24" s="208">
        <f>+'Bilan 2030 AMS'!$E$40</f>
        <v>0</v>
      </c>
      <c r="CB24" s="208">
        <f>+'Bilan 2033 AMS'!$E$40</f>
        <v>0</v>
      </c>
      <c r="CC24" s="208">
        <f>+'Bilan 2035 AMS'!$E$40</f>
        <v>0</v>
      </c>
      <c r="CD24" s="208">
        <f>+'Bilan 2038 AMS'!$E$40</f>
        <v>0</v>
      </c>
      <c r="CE24" s="208">
        <f>+'Bilan 2040 AMS'!$E$40</f>
        <v>0</v>
      </c>
      <c r="CF24" s="208">
        <f>+'Bilan 2045 AMS'!$E$40</f>
        <v>0</v>
      </c>
      <c r="CG24" s="208">
        <f>+'Bilan 2050 AMS'!$E$40</f>
        <v>0</v>
      </c>
      <c r="CJ24" s="205" t="s">
        <v>299</v>
      </c>
      <c r="CK24" s="202">
        <f t="shared" si="62"/>
        <v>0</v>
      </c>
      <c r="CL24" s="202">
        <f t="shared" si="62"/>
        <v>0</v>
      </c>
      <c r="CM24" s="202">
        <f t="shared" si="62"/>
        <v>0</v>
      </c>
      <c r="CN24" s="202">
        <f t="shared" si="62"/>
        <v>0</v>
      </c>
      <c r="CO24" s="202">
        <f t="shared" si="62"/>
        <v>0</v>
      </c>
      <c r="CP24" s="202">
        <f t="shared" si="62"/>
        <v>0</v>
      </c>
      <c r="CQ24" s="202">
        <f t="shared" si="62"/>
        <v>0</v>
      </c>
      <c r="CR24" s="202">
        <f t="shared" si="62"/>
        <v>0</v>
      </c>
      <c r="CS24" s="202">
        <f t="shared" si="62"/>
        <v>0</v>
      </c>
      <c r="CT24" s="202">
        <f t="shared" si="62"/>
        <v>0</v>
      </c>
      <c r="CU24" s="202">
        <f t="shared" si="62"/>
        <v>0</v>
      </c>
      <c r="CV24" s="202">
        <f t="shared" si="62"/>
        <v>0</v>
      </c>
      <c r="CX24" s="193">
        <f>CX22+1</f>
        <v>2406</v>
      </c>
      <c r="CY24" s="205" t="s">
        <v>456</v>
      </c>
      <c r="CZ24" s="207" t="s">
        <v>292</v>
      </c>
      <c r="DA24" s="202">
        <f>'Bilan 2015'!$K$30*'Bilan 2015'!$G$31/'Bilan 2015'!$H$30</f>
        <v>0</v>
      </c>
      <c r="DB24" s="202">
        <f>'Bilan 2020'!$K$30*'Bilan 2020'!$G$31/'Bilan 2020'!$H$30</f>
        <v>0</v>
      </c>
      <c r="DC24" s="202">
        <f>'Bilan 2023 AMS'!$K$30*'Bilan 2023 AMS'!$G$31/'Bilan 2023 AMS'!$H$30</f>
        <v>0</v>
      </c>
      <c r="DD24" s="202">
        <f>'Bilan 2025 AMS'!$K$30*'Bilan 2025 AMS'!$G$31/'Bilan 2025 AMS'!$H$30</f>
        <v>0</v>
      </c>
      <c r="DE24" s="202">
        <f>'Bilan 2028 AMS'!$K$30*'Bilan 2028 AMS'!$G$31/'Bilan 2028 AMS'!$H$30</f>
        <v>0</v>
      </c>
      <c r="DF24" s="202">
        <f>'Bilan 2030 AMS'!$K$30*'Bilan 2030 AMS'!$G$31/'Bilan 2030 AMS'!$H$30</f>
        <v>0</v>
      </c>
      <c r="DG24" s="202">
        <f>'Bilan 2033 AMS'!$K$30*'Bilan 2033 AMS'!$G$31/'Bilan 2033 AMS'!$H$30</f>
        <v>0</v>
      </c>
      <c r="DH24" s="202">
        <f>'Bilan 2035 AMS'!$K$30*'Bilan 2035 AMS'!$G$31/'Bilan 2035 AMS'!$H$30</f>
        <v>0</v>
      </c>
      <c r="DI24" s="202">
        <f>'Bilan 2038 AMS'!$K$30*'Bilan 2038 AMS'!$G$31/'Bilan 2038 AMS'!$H$30</f>
        <v>0</v>
      </c>
      <c r="DJ24" s="202">
        <f>'Bilan 2040 AMS'!$K$30*'Bilan 2040 AMS'!$G$31/'Bilan 2040 AMS'!$H$30</f>
        <v>0</v>
      </c>
      <c r="DK24" s="202">
        <f>'Bilan 2045 AMS'!$K$30*'Bilan 2045 AMS'!$G$31/'Bilan 2045 AMS'!$H$30</f>
        <v>0</v>
      </c>
      <c r="DL24" s="202">
        <f>'Bilan 2050 AMS'!$K$30*'Bilan 2050 AMS'!$G$31/'Bilan 2050 AMS'!$H$30</f>
        <v>0</v>
      </c>
    </row>
    <row r="25" spans="1:116" ht="13">
      <c r="A25" s="209" t="s">
        <v>301</v>
      </c>
      <c r="B25" s="210"/>
      <c r="C25" s="210"/>
      <c r="D25" s="578"/>
      <c r="E25" s="578"/>
      <c r="F25" s="578"/>
      <c r="G25" s="578"/>
      <c r="H25" s="578"/>
      <c r="I25" s="578"/>
      <c r="J25" s="578"/>
      <c r="K25" s="578"/>
      <c r="L25" s="578"/>
      <c r="M25" s="578"/>
      <c r="N25" s="575"/>
      <c r="O25" s="575"/>
      <c r="P25" s="575"/>
      <c r="R25" s="216">
        <f>R2-'Bilan 2015'!$C$5</f>
        <v>1.5668237854640665E-2</v>
      </c>
      <c r="S25" s="215">
        <f>S2-'Bilan 2020'!$C$5</f>
        <v>1.0000000000218279E-2</v>
      </c>
      <c r="T25" s="215">
        <f>T2-'Bilan 2023 AMS'!$C$5</f>
        <v>9.9999999997635314E-3</v>
      </c>
      <c r="U25" s="216">
        <f>U2-'Bilan 2025 AMS'!$C$5</f>
        <v>1.0100000000875298E-2</v>
      </c>
      <c r="V25" s="216">
        <f>V2-'Bilan 2028 AMS'!$C$5</f>
        <v>1.010000000042055E-2</v>
      </c>
      <c r="W25" s="216">
        <f>W2-'Bilan 2030 AMS'!$C$5</f>
        <v>1.0099999999965803E-2</v>
      </c>
      <c r="X25" s="216">
        <f>X2-'Bilan 2033 AMS'!$C$5</f>
        <v>1.0099999999511056E-2</v>
      </c>
      <c r="Y25" s="216">
        <f>Y2-'Bilan 2035 AMS'!$C$5</f>
        <v>1.0099999999965803E-2</v>
      </c>
      <c r="Z25" s="216">
        <f>Z2-'Bilan 2038 AMS'!$C$5</f>
        <v>1.0099999999965803E-2</v>
      </c>
      <c r="AA25" s="216">
        <f>AA2-'Bilan 2040 AMS'!$C$5</f>
        <v>1.010000000042055E-2</v>
      </c>
      <c r="AB25" s="216">
        <f>AB2-'Bilan 2045 AMS'!$C$5</f>
        <v>1.0099999999511056E-2</v>
      </c>
      <c r="AC25" s="216">
        <f>AC2-'Bilan 2050 AMS'!$C$5</f>
        <v>1.0200000000168075E-2</v>
      </c>
      <c r="AD25" s="193">
        <f>AD23+1</f>
        <v>2406</v>
      </c>
      <c r="AE25" s="205" t="s">
        <v>249</v>
      </c>
      <c r="AF25" s="205">
        <f>+'Bilan 2015'!$G$28*(1-SUM('Bilan 2015'!$K$26:$P$34)/'Bilan 2015'!$H$30)</f>
        <v>1.2407322394196569</v>
      </c>
      <c r="AG25" s="205">
        <f>+'Bilan 2020'!$G$28*(1-SUM('Bilan 2020'!$K$26:$P$34)/'Bilan 2020'!$H$30)</f>
        <v>0</v>
      </c>
      <c r="AH25" s="205">
        <f>+'Bilan 2023 AMS'!$G$28*(1-SUM('Bilan 2023 AMS'!$K$26:$P$34)/'Bilan 2023 AMS'!$H$30)</f>
        <v>0</v>
      </c>
      <c r="AI25" s="205">
        <f>+'Bilan 2025 AMS'!$G$28*(1-SUM('Bilan 2025 AMS'!$K$26:$P$34)/'Bilan 2025 AMS'!$H$30)</f>
        <v>0</v>
      </c>
      <c r="AJ25" s="205">
        <f>+'Bilan 2028 AMS'!$G$28*(1-SUM('Bilan 2028 AMS'!$K$26:$P$34)/'Bilan 2028 AMS'!$H$30)</f>
        <v>0</v>
      </c>
      <c r="AK25" s="205">
        <f>+'Bilan 2030 AMS'!$G$28*(1-SUM('Bilan 2030 AMS'!$K$26:$P$34)/'Bilan 2030 AMS'!$H$30)</f>
        <v>0</v>
      </c>
      <c r="AL25" s="205">
        <f>+'Bilan 2033 AMS'!$G$28*(1-SUM('Bilan 2033 AMS'!$K$26:$P$34)/'Bilan 2033 AMS'!$H$30)</f>
        <v>0</v>
      </c>
      <c r="AM25" s="205">
        <f>+'Bilan 2035 AMS'!$G$28*(1-SUM('Bilan 2035 AMS'!$K$26:$P$34)/'Bilan 2035 AMS'!$H$30)</f>
        <v>0</v>
      </c>
      <c r="AN25" s="205">
        <f>+'Bilan 2038 AMS'!$G$28*(1-SUM('Bilan 2038 AMS'!$K$26:$P$34)/'Bilan 2038 AMS'!$H$30)</f>
        <v>0</v>
      </c>
      <c r="AO25" s="205">
        <f>+'Bilan 2040 AMS'!$G$28*(1-SUM('Bilan 2040 AMS'!$K$26:$P$34)/'Bilan 2040 AMS'!$H$30)</f>
        <v>0</v>
      </c>
      <c r="AP25" s="205">
        <f>+'Bilan 2045 AMS'!$G$28*(1-SUM('Bilan 2045 AMS'!$K$26:$P$34)/'Bilan 2045 AMS'!$H$30)</f>
        <v>0</v>
      </c>
      <c r="AQ25" s="205">
        <f>+'Bilan 2050 AMS'!$G$28*(1-SUM('Bilan 2050 AMS'!$K$26:$P$34)/'Bilan 2050 AMS'!$H$30)</f>
        <v>0</v>
      </c>
      <c r="AR25" s="206"/>
      <c r="AS25" s="205" t="s">
        <v>249</v>
      </c>
      <c r="AT25" s="205">
        <f>+'Bilan 2015'!$G$28*(1-SUM('Bilan 2015'!$K$26:$P$34)/'Bilan 2015'!$H$30)+0.01</f>
        <v>1.2507322394196569</v>
      </c>
      <c r="AU25" s="205">
        <f>+'Bilan 2020'!$G$28*(1-SUM('Bilan 2020'!$K$26:$P$34)/'Bilan 2020'!$H$30)+0.01</f>
        <v>0.01</v>
      </c>
      <c r="AV25" s="205">
        <f>+'Bilan 2023 AMS'!$G$28*(1-SUM('Bilan 2023 AMS'!$K$26:$P$34)/'Bilan 2023 AMS'!$H$30)+0.01</f>
        <v>0.01</v>
      </c>
      <c r="AW25" s="205">
        <f>+'Bilan 2025 AMS'!$G$28*(1-SUM('Bilan 2025 AMS'!$K$26:$P$34)/'Bilan 2025 AMS'!$H$30)+0.01</f>
        <v>0.01</v>
      </c>
      <c r="AX25" s="205">
        <f>+'Bilan 2028 AMS'!$G$28*(1-SUM('Bilan 2028 AMS'!$K$26:$P$34)/'Bilan 2028 AMS'!$H$30)+0.01</f>
        <v>0.01</v>
      </c>
      <c r="AY25" s="205">
        <f>+'Bilan 2030 AMS'!$G$28*(1-SUM('Bilan 2030 AMS'!$K$26:$P$34)/'Bilan 2030 AMS'!$H$30)+0.01</f>
        <v>0.01</v>
      </c>
      <c r="AZ25" s="205">
        <f>+'Bilan 2033 AMS'!$G$28*(1-SUM('Bilan 2033 AMS'!$K$26:$P$34)/'Bilan 2033 AMS'!$H$30)+0.01</f>
        <v>0.01</v>
      </c>
      <c r="BA25" s="205">
        <f>+'Bilan 2035 AMS'!$G$28*(1-SUM('Bilan 2035 AMS'!$K$26:$P$34)/'Bilan 2035 AMS'!$H$30)+0.01</f>
        <v>0.01</v>
      </c>
      <c r="BB25" s="205">
        <f>+'Bilan 2038 AMS'!$G$28*(1-SUM('Bilan 2038 AMS'!$K$26:$P$34)/'Bilan 2038 AMS'!$H$30)+0.01</f>
        <v>0.01</v>
      </c>
      <c r="BC25" s="205">
        <f>+'Bilan 2040 AMS'!$G$28*(1-SUM('Bilan 2040 AMS'!$K$26:$P$34)/'Bilan 2040 AMS'!$H$30)+0.01</f>
        <v>0.01</v>
      </c>
      <c r="BD25" s="205">
        <f>+'Bilan 2045 AMS'!$G$28*(1-SUM('Bilan 2045 AMS'!$K$26:$P$34)/'Bilan 2045 AMS'!$H$30)+0.01</f>
        <v>0.01</v>
      </c>
      <c r="BE25" s="205">
        <f>+'Bilan 2050 AMS'!$G$28*(1-SUM('Bilan 2050 AMS'!$K$26:$P$34)/'Bilan 2050 AMS'!$H$30)+0.01</f>
        <v>0.01</v>
      </c>
      <c r="BG25" s="205" t="s">
        <v>42</v>
      </c>
      <c r="BH25" s="202">
        <f t="shared" ref="BH25:BS25" si="69">BV25/AT26</f>
        <v>1.3634965953234096E-2</v>
      </c>
      <c r="BI25" s="202">
        <f t="shared" si="69"/>
        <v>5.8006402865843024E-3</v>
      </c>
      <c r="BJ25" s="202">
        <f t="shared" si="69"/>
        <v>1.0078958202512627E-3</v>
      </c>
      <c r="BK25" s="202">
        <f t="shared" si="69"/>
        <v>2.9470164280690668E-4</v>
      </c>
      <c r="BL25" s="202">
        <f t="shared" si="69"/>
        <v>8.7498728374877849E-5</v>
      </c>
      <c r="BM25" s="202">
        <f t="shared" si="69"/>
        <v>0</v>
      </c>
      <c r="BN25" s="202">
        <f t="shared" si="69"/>
        <v>0</v>
      </c>
      <c r="BO25" s="202">
        <f t="shared" si="69"/>
        <v>0</v>
      </c>
      <c r="BP25" s="202">
        <f t="shared" si="69"/>
        <v>0</v>
      </c>
      <c r="BQ25" s="202">
        <f t="shared" si="69"/>
        <v>0</v>
      </c>
      <c r="BR25" s="202">
        <f t="shared" si="69"/>
        <v>0</v>
      </c>
      <c r="BS25" s="202">
        <f t="shared" si="69"/>
        <v>0</v>
      </c>
      <c r="BU25" s="205" t="s">
        <v>42</v>
      </c>
      <c r="BV25" s="208">
        <f>'Bilan 2015'!$E$34+'Bilan 2015'!$E$46</f>
        <v>3.9540041679724774E-2</v>
      </c>
      <c r="BW25" s="208">
        <f>'Bilan 2020'!$E$34+'Bilan 2020'!$E$46</f>
        <v>0.18511203404637705</v>
      </c>
      <c r="BX25" s="208">
        <f>'Bilan 2023 AMS'!$E$34+'Bilan 2023 AMS'!$E$46</f>
        <v>5.2099725963235394E-2</v>
      </c>
      <c r="BY25" s="208">
        <f>'Bilan 2025 AMS'!$E$34+'Bilan 2025 AMS'!$E$46</f>
        <v>1.859488964511237E-2</v>
      </c>
      <c r="BZ25" s="208">
        <f>'Bilan 2028 AMS'!$E$34+'Bilan 2028 AMS'!$E$46</f>
        <v>6.9944758691961231E-3</v>
      </c>
      <c r="CA25" s="208">
        <f>'Bilan 2030 AMS'!$E$34+'Bilan 2030 AMS'!$E$46</f>
        <v>0</v>
      </c>
      <c r="CB25" s="208">
        <f>'Bilan 2033 AMS'!$E$34+'Bilan 2033 AMS'!$E$46</f>
        <v>0</v>
      </c>
      <c r="CC25" s="208">
        <f>'Bilan 2035 AMS'!$E$34+'Bilan 2035 AMS'!$E$46</f>
        <v>0</v>
      </c>
      <c r="CD25" s="208">
        <f>'Bilan 2038 AMS'!$E$34+'Bilan 2038 AMS'!$E$46</f>
        <v>0</v>
      </c>
      <c r="CE25" s="208">
        <f>'Bilan 2040 AMS'!$E$34+'Bilan 2040 AMS'!$E$46</f>
        <v>0</v>
      </c>
      <c r="CF25" s="208">
        <f>'Bilan 2045 AMS'!$E$34+'Bilan 2045 AMS'!$E$46</f>
        <v>0</v>
      </c>
      <c r="CG25" s="208">
        <f>'Bilan 2050 AMS'!$E$34+'Bilan 2050 AMS'!$E$46</f>
        <v>0</v>
      </c>
      <c r="CJ25" s="205" t="s">
        <v>42</v>
      </c>
      <c r="CK25" s="202">
        <f t="shared" ref="CK25:CV25" si="70">IF(AT27&gt;0,DA22/AT27,0)</f>
        <v>2.2738979594717724E-3</v>
      </c>
      <c r="CL25" s="202">
        <f t="shared" si="70"/>
        <v>7.0906298186927336E-3</v>
      </c>
      <c r="CM25" s="202">
        <f t="shared" si="70"/>
        <v>5.9511836965837816E-3</v>
      </c>
      <c r="CN25" s="202">
        <f t="shared" si="70"/>
        <v>1.0391090220756637E-2</v>
      </c>
      <c r="CO25" s="202">
        <f t="shared" si="70"/>
        <v>1.770476370265555E-2</v>
      </c>
      <c r="CP25" s="202">
        <f t="shared" si="70"/>
        <v>2.6284396497562871E-2</v>
      </c>
      <c r="CQ25" s="202">
        <f t="shared" si="70"/>
        <v>3.7349129538793185E-2</v>
      </c>
      <c r="CR25" s="202">
        <f t="shared" si="70"/>
        <v>4.6180014090871926E-2</v>
      </c>
      <c r="CS25" s="202">
        <f t="shared" si="70"/>
        <v>5.4943242755362463E-2</v>
      </c>
      <c r="CT25" s="202">
        <f t="shared" si="70"/>
        <v>6.2140731655217898E-2</v>
      </c>
      <c r="CU25" s="202">
        <f t="shared" si="70"/>
        <v>8.7736476828476143E-2</v>
      </c>
      <c r="CV25" s="202">
        <f t="shared" si="70"/>
        <v>0.13723259335971597</v>
      </c>
      <c r="CX25" s="561" t="s">
        <v>416</v>
      </c>
      <c r="CY25" s="202" t="s">
        <v>28</v>
      </c>
      <c r="CZ25" s="213" t="s">
        <v>294</v>
      </c>
      <c r="DA25" s="202">
        <f>'Bilan 2015'!$K$30*'Bilan 2015'!$G$34/'Bilan 2015'!$H$30</f>
        <v>2.9899112109592042E-2</v>
      </c>
      <c r="DB25" s="202">
        <f>'Bilan 2020'!$K$30*'Bilan 2020'!$G$34/'Bilan 2020'!$H$30</f>
        <v>0.1171992787256666</v>
      </c>
      <c r="DC25" s="202">
        <f>'Bilan 2023 AMS'!$K$30*'Bilan 2023 AMS'!$G$34/'Bilan 2023 AMS'!$H$30</f>
        <v>3.4479780182327238E-2</v>
      </c>
      <c r="DD25" s="202">
        <f>'Bilan 2025 AMS'!$K$30*'Bilan 2025 AMS'!$G$34/'Bilan 2025 AMS'!$H$30</f>
        <v>1.3071596447584592E-2</v>
      </c>
      <c r="DE25" s="202">
        <f>'Bilan 2028 AMS'!$K$30*'Bilan 2028 AMS'!$G$34/'Bilan 2028 AMS'!$H$30</f>
        <v>5.2586029643158661E-3</v>
      </c>
      <c r="DF25" s="202">
        <f>'Bilan 2030 AMS'!$K$30*'Bilan 2030 AMS'!$G$34/'Bilan 2030 AMS'!$H$30</f>
        <v>0</v>
      </c>
      <c r="DG25" s="202">
        <f>'Bilan 2033 AMS'!$K$30*'Bilan 2033 AMS'!$G$34/'Bilan 2033 AMS'!$H$30</f>
        <v>0</v>
      </c>
      <c r="DH25" s="202">
        <f>'Bilan 2035 AMS'!$K$30*'Bilan 2035 AMS'!$G$34/'Bilan 2035 AMS'!$H$30</f>
        <v>0</v>
      </c>
      <c r="DI25" s="202">
        <f>'Bilan 2038 AMS'!$K$30*'Bilan 2038 AMS'!$G$34/'Bilan 2038 AMS'!$H$30</f>
        <v>0</v>
      </c>
      <c r="DJ25" s="202">
        <f>'Bilan 2040 AMS'!$K$30*'Bilan 2040 AMS'!$G$34/'Bilan 2040 AMS'!$H$30</f>
        <v>0</v>
      </c>
      <c r="DK25" s="202">
        <f>'Bilan 2045 AMS'!$K$30*'Bilan 2045 AMS'!$G$34/'Bilan 2045 AMS'!$H$30</f>
        <v>0</v>
      </c>
      <c r="DL25" s="202">
        <f>'Bilan 2050 AMS'!$K$30*'Bilan 2050 AMS'!$G$34/'Bilan 2050 AMS'!$H$30</f>
        <v>0</v>
      </c>
    </row>
    <row r="26" spans="1:116" ht="13">
      <c r="A26" s="211" t="s">
        <v>302</v>
      </c>
      <c r="B26" s="212"/>
      <c r="C26" s="212"/>
      <c r="D26" s="579"/>
      <c r="E26" s="579"/>
      <c r="F26" s="579"/>
      <c r="G26" s="579"/>
      <c r="H26" s="579"/>
      <c r="I26" s="579"/>
      <c r="J26" s="579"/>
      <c r="K26" s="579"/>
      <c r="L26" s="579"/>
      <c r="M26" s="579"/>
      <c r="N26" s="575"/>
      <c r="O26" s="575"/>
      <c r="P26" s="575"/>
      <c r="AE26" s="205" t="s">
        <v>299</v>
      </c>
      <c r="AF26" s="205">
        <f>'Bilan 2015'!$G$40+'Bilan 2015'!$G$38+'Bilan 2015'!$G$31*(1-SUM('Bilan 2015'!$K$26:$P$34)/'Bilan 2015'!$H$30)</f>
        <v>2.8999002869050963</v>
      </c>
      <c r="AG26" s="205">
        <f>'Bilan 2020'!$G$40+'Bilan 2020'!$G$38+'Bilan 2020'!$G$31*(1-SUM('Bilan 2020'!$K$26:$P$34)/'Bilan 2020'!$H$30)</f>
        <v>31.912344999999988</v>
      </c>
      <c r="AH26" s="205">
        <f>'Bilan 2023 AMS'!$G$40+'Bilan 2023 AMS'!$G$38+'Bilan 2023 AMS'!$G$31*(1-SUM('Bilan 2023 AMS'!$K$26:$P$34)/'Bilan 2023 AMS'!$H$30)</f>
        <v>51.691578550496644</v>
      </c>
      <c r="AI26" s="205">
        <f>'Bilan 2025 AMS'!$G$40+'Bilan 2025 AMS'!$G$38+'Bilan 2025 AMS'!$G$31*(1-SUM('Bilan 2025 AMS'!$K$26:$P$34)/'Bilan 2025 AMS'!$H$30)</f>
        <v>63.09733962798451</v>
      </c>
      <c r="AJ26" s="205">
        <f>'Bilan 2028 AMS'!$G$40+'Bilan 2028 AMS'!$G$38+'Bilan 2028 AMS'!$G$31*(1-SUM('Bilan 2028 AMS'!$K$26:$P$34)/'Bilan 2028 AMS'!$H$30)</f>
        <v>79.93802880459161</v>
      </c>
      <c r="AK26" s="205">
        <f>'Bilan 2030 AMS'!$G$40+'Bilan 2030 AMS'!$G$38+'Bilan 2030 AMS'!$G$31*(1-SUM('Bilan 2030 AMS'!$K$26:$P$34)/'Bilan 2030 AMS'!$H$30)</f>
        <v>91.581907146552624</v>
      </c>
      <c r="AL26" s="205">
        <f>'Bilan 2033 AMS'!$G$40+'Bilan 2033 AMS'!$G$38+'Bilan 2033 AMS'!$G$31*(1-SUM('Bilan 2033 AMS'!$K$26:$P$34)/'Bilan 2033 AMS'!$H$30)</f>
        <v>105.39487042391544</v>
      </c>
      <c r="AM26" s="205">
        <f>'Bilan 2035 AMS'!$G$40+'Bilan 2035 AMS'!$G$38+'Bilan 2035 AMS'!$G$31*(1-SUM('Bilan 2035 AMS'!$K$26:$P$34)/'Bilan 2035 AMS'!$H$30)</f>
        <v>114.79412791174752</v>
      </c>
      <c r="AN26" s="205">
        <f>'Bilan 2038 AMS'!$G$40+'Bilan 2038 AMS'!$G$38+'Bilan 2038 AMS'!$G$31*(1-SUM('Bilan 2038 AMS'!$K$26:$P$34)/'Bilan 2038 AMS'!$H$30)</f>
        <v>128.43983591306872</v>
      </c>
      <c r="AO26" s="205">
        <f>'Bilan 2040 AMS'!$G$40+'Bilan 2040 AMS'!$G$38+'Bilan 2040 AMS'!$G$31*(1-SUM('Bilan 2040 AMS'!$K$26:$P$34)/'Bilan 2040 AMS'!$H$30)</f>
        <v>137.63232647396575</v>
      </c>
      <c r="AP26" s="205">
        <f>'Bilan 2045 AMS'!$G$40+'Bilan 2045 AMS'!$G$38+'Bilan 2045 AMS'!$G$31*(1-SUM('Bilan 2045 AMS'!$K$26:$P$34)/'Bilan 2045 AMS'!$H$30)</f>
        <v>155.82057805919561</v>
      </c>
      <c r="AQ26" s="205">
        <f>'Bilan 2050 AMS'!$G$40+'Bilan 2050 AMS'!$G$38+'Bilan 2050 AMS'!$G$31*(1-SUM('Bilan 2050 AMS'!$K$26:$P$34)/'Bilan 2050 AMS'!$H$30)</f>
        <v>167.23788927594987</v>
      </c>
      <c r="AS26" s="205" t="s">
        <v>299</v>
      </c>
      <c r="AT26" s="205">
        <f>'Bilan 2015'!$G$40+'Bilan 2015'!$G$38+'Bilan 2015'!$G$31*(1-SUM('Bilan 2015'!$K$26:$P$34)/'Bilan 2015'!$H$30)</f>
        <v>2.8999002869050963</v>
      </c>
      <c r="AU26" s="205">
        <f>'Bilan 2020'!$G$40+'Bilan 2020'!$G$38+'Bilan 2020'!$G$31*(1-SUM('Bilan 2020'!$K$26:$P$34)/'Bilan 2020'!$H$30)</f>
        <v>31.912344999999988</v>
      </c>
      <c r="AV26" s="205">
        <f>'Bilan 2023 AMS'!$G$40+'Bilan 2023 AMS'!$G$38+'Bilan 2023 AMS'!$G$31*(1-SUM('Bilan 2023 AMS'!$K$26:$P$34)/'Bilan 2023 AMS'!$H$30)</f>
        <v>51.691578550496644</v>
      </c>
      <c r="AW26" s="205">
        <f>'Bilan 2025 AMS'!$G$40+'Bilan 2025 AMS'!$G$38+'Bilan 2025 AMS'!$G$31*(1-SUM('Bilan 2025 AMS'!$K$26:$P$34)/'Bilan 2025 AMS'!$H$30)</f>
        <v>63.09733962798451</v>
      </c>
      <c r="AX26" s="205">
        <f>'Bilan 2028 AMS'!$G$40+'Bilan 2028 AMS'!$G$38+'Bilan 2028 AMS'!$G$31*(1-SUM('Bilan 2028 AMS'!$K$26:$P$34)/'Bilan 2028 AMS'!$H$30)</f>
        <v>79.93802880459161</v>
      </c>
      <c r="AY26" s="205">
        <f>'Bilan 2030 AMS'!$G$40+'Bilan 2030 AMS'!$G$38+'Bilan 2030 AMS'!$G$31*(1-SUM('Bilan 2030 AMS'!$K$26:$P$34)/'Bilan 2030 AMS'!$H$30)</f>
        <v>91.581907146552624</v>
      </c>
      <c r="AZ26" s="205">
        <f>'Bilan 2033 AMS'!$G$40+'Bilan 2033 AMS'!$G$38+'Bilan 2033 AMS'!$G$31*(1-SUM('Bilan 2033 AMS'!$K$26:$P$34)/'Bilan 2033 AMS'!$H$30)</f>
        <v>105.39487042391544</v>
      </c>
      <c r="BA26" s="205">
        <f>'Bilan 2035 AMS'!$G$40+'Bilan 2035 AMS'!$G$38+'Bilan 2035 AMS'!$G$31*(1-SUM('Bilan 2035 AMS'!$K$26:$P$34)/'Bilan 2035 AMS'!$H$30)</f>
        <v>114.79412791174752</v>
      </c>
      <c r="BB26" s="205">
        <f>'Bilan 2038 AMS'!$G$40+'Bilan 2038 AMS'!$G$38+'Bilan 2038 AMS'!$G$31*(1-SUM('Bilan 2038 AMS'!$K$26:$P$34)/'Bilan 2038 AMS'!$H$30)</f>
        <v>128.43983591306872</v>
      </c>
      <c r="BC26" s="205">
        <f>'Bilan 2040 AMS'!$G$40+'Bilan 2040 AMS'!$G$38+'Bilan 2040 AMS'!$G$31*(1-SUM('Bilan 2040 AMS'!$K$26:$P$34)/'Bilan 2040 AMS'!$H$30)</f>
        <v>137.63232647396575</v>
      </c>
      <c r="BD26" s="205">
        <f>'Bilan 2045 AMS'!$G$40+'Bilan 2045 AMS'!$G$38+'Bilan 2045 AMS'!$G$31*(1-SUM('Bilan 2045 AMS'!$K$26:$P$34)/'Bilan 2045 AMS'!$H$30)</f>
        <v>155.82057805919561</v>
      </c>
      <c r="BE26" s="205">
        <f>'Bilan 2050 AMS'!$G$40+'Bilan 2050 AMS'!$G$38+'Bilan 2050 AMS'!$G$31*(1-SUM('Bilan 2050 AMS'!$K$26:$P$34)/'Bilan 2050 AMS'!$H$30)</f>
        <v>167.23788927594987</v>
      </c>
      <c r="BV26" s="215">
        <f>SUM(BV4:BV25)-SUM('Bilan 2015'!$E$7:$E$48)-'Bilan 2015'!$I$13</f>
        <v>1.4210854715202004E-14</v>
      </c>
      <c r="BW26" s="215">
        <f>SUM(BW4:BW25)-SUM('Bilan 2020'!$E$7:$E$48)-'Bilan 2020'!$I$13</f>
        <v>0</v>
      </c>
      <c r="BX26" s="215">
        <f>SUM(BX4:BX25)-SUM('Bilan 2023 AMS'!$E$7:$E$48)-'Bilan 2023 AMS'!$I$13</f>
        <v>3.907985046680551E-14</v>
      </c>
      <c r="BY26" s="215">
        <f>SUM(BY4:BY25)-SUM('Bilan 2025 AMS'!$E$7:$E$48)-'Bilan 2025 AMS'!$I$13</f>
        <v>-2.3803181647963356E-13</v>
      </c>
      <c r="BZ26" s="215">
        <f>SUM(BZ4:BZ25)-SUM('Bilan 2028 AMS'!$E$7:$E$48)-'Bilan 2028 AMS'!$I$13</f>
        <v>-1.7053025658242404E-13</v>
      </c>
      <c r="CA26" s="215">
        <f>SUM(CA4:CA25)-SUM('Bilan 2030 AMS'!$E$7:$E$48)-'Bilan 2030 AMS'!$I$13</f>
        <v>-1.9539925233402755E-13</v>
      </c>
      <c r="CB26" s="215">
        <f>SUM(CB4:CB25)-SUM('Bilan 2033 AMS'!$E$7:$E$48)-'Bilan 2033 AMS'!$I$13</f>
        <v>8.5265128291212022E-14</v>
      </c>
      <c r="CC26" s="215">
        <f>SUM(CC4:CC25)-SUM('Bilan 2035 AMS'!$E$7:$E$48)-'Bilan 2035 AMS'!$I$13</f>
        <v>2.3447910280083306E-13</v>
      </c>
      <c r="CD26" s="215">
        <f>SUM(CD4:CD25)-SUM('Bilan 2038 AMS'!$E$7:$E$48)-'Bilan 2038 AMS'!$I$13</f>
        <v>0</v>
      </c>
      <c r="CE26" s="215">
        <f>SUM(CE4:CE25)-SUM('Bilan 2040 AMS'!$E$7:$E$48)-'Bilan 2040 AMS'!$I$13</f>
        <v>2.1671553440683056E-13</v>
      </c>
      <c r="CF26" s="215">
        <f>SUM(CF4:CF25)-SUM('Bilan 2045 AMS'!$E$7:$E$48)-'Bilan 2045 AMS'!$I$13</f>
        <v>-7.1054273576010019E-14</v>
      </c>
      <c r="CG26" s="215">
        <f>SUM(CG4:CG25)-SUM('Bilan 2050 AMS'!$E$7:$E$48)-'Bilan 2050 AMS'!$I$13</f>
        <v>1.9184653865522705E-13</v>
      </c>
      <c r="CZ26" s="565"/>
      <c r="DA26" s="566"/>
      <c r="DB26" s="566"/>
      <c r="DC26" s="566"/>
      <c r="DD26" s="566"/>
      <c r="DE26" s="566"/>
      <c r="DF26" s="566"/>
      <c r="DG26" s="566"/>
      <c r="DH26" s="566"/>
      <c r="DI26" s="566"/>
      <c r="DJ26" s="566"/>
      <c r="DK26" s="566"/>
      <c r="DL26" s="566"/>
    </row>
    <row r="27" spans="1:116" ht="13">
      <c r="A27" s="209" t="s">
        <v>30</v>
      </c>
      <c r="B27" s="210"/>
      <c r="C27" s="210"/>
      <c r="D27" s="578"/>
      <c r="E27" s="578"/>
      <c r="F27" s="578"/>
      <c r="G27" s="578"/>
      <c r="H27" s="578"/>
      <c r="I27" s="578"/>
      <c r="J27" s="578"/>
      <c r="K27" s="578"/>
      <c r="L27" s="578"/>
      <c r="M27" s="578"/>
      <c r="N27" s="575"/>
      <c r="O27" s="575"/>
      <c r="P27" s="575"/>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1.229740011136164</v>
      </c>
      <c r="AG27" s="201">
        <f>SUM('Bilan 2020'!$S$46:$W$46)+'Bilan 2020'!$G$34*(1-SUM('Bilan 2020'!$K$26:$P$34)/'Bilan 2020'!$H$30)</f>
        <v>10.868268319377846</v>
      </c>
      <c r="AH27" s="201">
        <f>SUM('Bilan 2023 AMS'!$S$46:$W$46)+'Bilan 2023 AMS'!$G$34*(1-SUM('Bilan 2023 AMS'!$K$26:$P$34)/'Bilan 2023 AMS'!$H$30)</f>
        <v>7.3185584106948687</v>
      </c>
      <c r="AI27" s="201">
        <f>SUM('Bilan 2025 AMS'!$S$46:$W$46)+'Bilan 2025 AMS'!$G$34*(1-SUM('Bilan 2025 AMS'!$K$26:$P$34)/'Bilan 2025 AMS'!$H$30)</f>
        <v>5.9274713133805808</v>
      </c>
      <c r="AJ27" s="201">
        <f>SUM('Bilan 2028 AMS'!$S$46:$W$46)+'Bilan 2028 AMS'!$G$34*(1-SUM('Bilan 2028 AMS'!$K$26:$P$34)/'Bilan 2028 AMS'!$H$30)</f>
        <v>4.3717528393566214</v>
      </c>
      <c r="AK27" s="201">
        <f>SUM('Bilan 2030 AMS'!$S$46:$W$46)+'Bilan 2030 AMS'!$G$34*(1-SUM('Bilan 2030 AMS'!$K$26:$P$34)/'Bilan 2030 AMS'!$H$30)</f>
        <v>3.4252792556992748</v>
      </c>
      <c r="AL27" s="201">
        <f>SUM('Bilan 2033 AMS'!$S$46:$W$46)+'Bilan 2033 AMS'!$G$34*(1-SUM('Bilan 2033 AMS'!$K$26:$P$34)/'Bilan 2033 AMS'!$H$30)</f>
        <v>3.5119651912640659</v>
      </c>
      <c r="AM27" s="201">
        <f>SUM('Bilan 2035 AMS'!$S$46:$W$46)+'Bilan 2035 AMS'!$G$34*(1-SUM('Bilan 2035 AMS'!$K$26:$P$34)/'Bilan 2035 AMS'!$H$30)</f>
        <v>3.5288056070999749</v>
      </c>
      <c r="AN27" s="201">
        <f>SUM('Bilan 2038 AMS'!$S$46:$W$46)+'Bilan 2038 AMS'!$G$34*(1-SUM('Bilan 2038 AMS'!$K$26:$P$34)/'Bilan 2038 AMS'!$H$30)</f>
        <v>3.0761682303728053</v>
      </c>
      <c r="AO27" s="201">
        <f>SUM('Bilan 2040 AMS'!$S$46:$W$46)+'Bilan 2040 AMS'!$G$34*(1-SUM('Bilan 2040 AMS'!$K$26:$P$34)/'Bilan 2040 AMS'!$H$30)</f>
        <v>2.7841882556496467</v>
      </c>
      <c r="AP27" s="201">
        <f>SUM('Bilan 2045 AMS'!$S$46:$W$46)+'Bilan 2045 AMS'!$G$34*(1-SUM('Bilan 2045 AMS'!$K$26:$P$34)/'Bilan 2045 AMS'!$H$30)</f>
        <v>2.1515630330821871</v>
      </c>
      <c r="AQ27" s="201">
        <f>SUM('Bilan 2050 AMS'!$S$46:$W$46)+'Bilan 2050 AMS'!$G$34*(1-SUM('Bilan 2050 AMS'!$K$26:$P$34)/'Bilan 2050 AMS'!$H$30)</f>
        <v>1.2844353845350245</v>
      </c>
      <c r="AS27" s="201" t="s">
        <v>42</v>
      </c>
      <c r="AT27" s="201">
        <f>SUM('Bilan 2015'!$S$46:$W$46)+'Bilan 2015'!$G$34*(1-SUM('Bilan 2015'!$K$26:$P$34)/'Bilan 2015'!$H$30)+'Bilan 2015'!$E$52</f>
        <v>4.4440588167305028</v>
      </c>
      <c r="AU27" s="201">
        <f>SUM('Bilan 2020'!$S$46:$W$46)+'Bilan 2020'!$G$34*(1-SUM('Bilan 2020'!$K$26:$P$34)/'Bilan 2020'!$H$30)+'Bilan 2020'!$E$52</f>
        <v>38.663479083564546</v>
      </c>
      <c r="AV27" s="201">
        <f>SUM('Bilan 2023 AMS'!$S$46:$W$46)+'Bilan 2023 AMS'!$G$34*(1-SUM('Bilan 2023 AMS'!$K$26:$P$34)/'Bilan 2023 AMS'!$H$30)+'Bilan 2023 AMS'!$E$52</f>
        <v>48.50853887944487</v>
      </c>
      <c r="AW27" s="201">
        <f>SUM('Bilan 2025 AMS'!$S$46:$W$46)+'Bilan 2025 AMS'!$G$34*(1-SUM('Bilan 2025 AMS'!$K$26:$P$34)/'Bilan 2025 AMS'!$H$30)+'Bilan 2025 AMS'!$E$52</f>
        <v>36.731536743068084</v>
      </c>
      <c r="AX27" s="201">
        <f>SUM('Bilan 2028 AMS'!$S$46:$W$46)+'Bilan 2028 AMS'!$G$34*(1-SUM('Bilan 2028 AMS'!$K$26:$P$34)/'Bilan 2028 AMS'!$H$30)+'Bilan 2028 AMS'!$E$52</f>
        <v>25.864516511231621</v>
      </c>
      <c r="AY27" s="201">
        <f>SUM('Bilan 2030 AMS'!$S$46:$W$46)+'Bilan 2030 AMS'!$G$34*(1-SUM('Bilan 2030 AMS'!$K$26:$P$34)/'Bilan 2030 AMS'!$H$30)+'Bilan 2030 AMS'!$E$52</f>
        <v>19.500894978355525</v>
      </c>
      <c r="AZ27" s="201">
        <f>SUM('Bilan 2033 AMS'!$S$46:$W$46)+'Bilan 2033 AMS'!$G$34*(1-SUM('Bilan 2033 AMS'!$K$26:$P$34)/'Bilan 2033 AMS'!$H$30)+'Bilan 2033 AMS'!$E$52</f>
        <v>17.481730816264069</v>
      </c>
      <c r="BA27" s="201">
        <f>SUM('Bilan 2035 AMS'!$S$46:$W$46)+'Bilan 2035 AMS'!$G$34*(1-SUM('Bilan 2035 AMS'!$K$26:$P$34)/'Bilan 2035 AMS'!$H$30)+'Bilan 2035 AMS'!$E$52</f>
        <v>16.178882267256224</v>
      </c>
      <c r="BB27" s="201">
        <f>SUM('Bilan 2038 AMS'!$S$46:$W$46)+'Bilan 2038 AMS'!$G$34*(1-SUM('Bilan 2038 AMS'!$K$26:$P$34)/'Bilan 2038 AMS'!$H$30)+'Bilan 2038 AMS'!$E$52</f>
        <v>13.859177019435304</v>
      </c>
      <c r="BC27" s="201">
        <f>SUM('Bilan 2040 AMS'!$S$46:$W$46)+'Bilan 2040 AMS'!$G$34*(1-SUM('Bilan 2040 AMS'!$K$26:$P$34)/'Bilan 2040 AMS'!$H$30)+'Bilan 2040 AMS'!$E$52</f>
        <v>12.402103294712145</v>
      </c>
      <c r="BD27" s="201">
        <f>SUM('Bilan 2045 AMS'!$S$46:$W$46)+'Bilan 2045 AMS'!$G$34*(1-SUM('Bilan 2045 AMS'!$K$26:$P$34)/'Bilan 2045 AMS'!$H$30)+'Bilan 2045 AMS'!$E$52</f>
        <v>9.1088960408946864</v>
      </c>
      <c r="BE27" s="201">
        <f>SUM('Bilan 2050 AMS'!$S$46:$W$46)+'Bilan 2050 AMS'!$G$34*(1-SUM('Bilan 2050 AMS'!$K$26:$P$34)/'Bilan 2050 AMS'!$H$30)+'Bilan 2050 AMS'!$E$52</f>
        <v>5.9311888025037742</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 AMS'!$K$7:$K$47)</f>
        <v>0</v>
      </c>
      <c r="DD27" s="215">
        <f>SUM(DD4:DD24,DD25)-SUM('Bilan 2025 AMS'!$K$7:$K$47)</f>
        <v>0</v>
      </c>
      <c r="DE27" s="215">
        <f>SUM(DE4:DE24,DE25)-SUM('Bilan 2028 AMS'!$K$7:$K$47)</f>
        <v>0</v>
      </c>
      <c r="DF27" s="215">
        <f>SUM(DF4:DF24,DF25)-SUM('Bilan 2030 AMS'!$K$7:$K$47)</f>
        <v>0</v>
      </c>
      <c r="DG27" s="215">
        <f>SUM(DG4:DG24,DG25)-SUM('Bilan 2033 AMS'!$K$7:$K$47)</f>
        <v>0</v>
      </c>
      <c r="DH27" s="215">
        <f>SUM(DH4:DH24,DH25)-SUM('Bilan 2035 AMS'!$K$7:$K$47)</f>
        <v>0</v>
      </c>
      <c r="DI27" s="215">
        <f>SUM(DI4:DI24,DI25)-SUM('Bilan 2038 AMS'!$K$7:$K$47)</f>
        <v>0</v>
      </c>
      <c r="DJ27" s="215">
        <f>SUM(DJ4:DJ24,DJ25)-SUM('Bilan 2040 AMS'!$K$7:$K$47)</f>
        <v>0</v>
      </c>
      <c r="DK27" s="215">
        <f>SUM(DK4:DK24,DK25)-SUM('Bilan 2045 AMS'!$K$7:$K$47)</f>
        <v>0</v>
      </c>
      <c r="DL27" s="215">
        <f>SUM(DL4:DL24,DL25)-SUM('Bilan 2050 AMS'!$K$7:$K$47)</f>
        <v>0</v>
      </c>
    </row>
    <row r="28" spans="1:116" ht="58">
      <c r="A28" s="199" t="s">
        <v>285</v>
      </c>
      <c r="B28" s="200">
        <f t="shared" ref="B28:M28" si="71">SUM(B29:B34)</f>
        <v>45.351364450987155</v>
      </c>
      <c r="C28" s="200">
        <f t="shared" si="71"/>
        <v>514.01219611244392</v>
      </c>
      <c r="D28" s="200">
        <f t="shared" si="71"/>
        <v>529.91060460088556</v>
      </c>
      <c r="E28" s="200">
        <f t="shared" si="71"/>
        <v>520.34742997713363</v>
      </c>
      <c r="F28" s="200">
        <f t="shared" si="71"/>
        <v>498.83593477904355</v>
      </c>
      <c r="G28" s="200">
        <f t="shared" si="71"/>
        <v>485.39262175132649</v>
      </c>
      <c r="H28" s="200">
        <f t="shared" si="71"/>
        <v>486.13276143978516</v>
      </c>
      <c r="I28" s="200">
        <f t="shared" si="71"/>
        <v>485.12807026667866</v>
      </c>
      <c r="J28" s="200">
        <f t="shared" si="71"/>
        <v>493.80396653569187</v>
      </c>
      <c r="K28" s="200">
        <f t="shared" si="71"/>
        <v>496.06114624559996</v>
      </c>
      <c r="L28" s="200">
        <f t="shared" ref="L28" si="72">SUM(L29:L34)</f>
        <v>501.75859075743915</v>
      </c>
      <c r="M28" s="200">
        <f t="shared" si="71"/>
        <v>517.24358164573766</v>
      </c>
      <c r="N28" s="216" cm="1">
        <f t="array" ref="N28">C28-SUM('Bilan 2020'!$C$21:$C$32,'Bilan 2020'!$C$36:$C$40,'Bilan 2020'!$C$44:$C$45,'Bilan 2020'!$C$47,-'Bilan 2020'!$M$21:$P$24,-'Bilan 2020'!$M$26:$P$34)</f>
        <v>0</v>
      </c>
      <c r="O28" s="216" cm="1">
        <f t="array" ref="O28">G28-SUM('Bilan 2030 AMS'!$C$21:$C$32,'Bilan 2030 AMS'!$C$36:$C$40,'Bilan 2030 AMS'!$C$44:$C$45,'Bilan 2030 AMS'!$C$47,-'Bilan 2030 AMS'!$M$21:$P$24,-'Bilan 2030 AMS'!$M$26:$P$34)</f>
        <v>0</v>
      </c>
      <c r="P28" s="216" cm="1">
        <f t="array" ref="P28">M28-SUM('Bilan 2050 AMS'!$C$21:$C$32,'Bilan 2050 AMS'!$C$36:$C$40,'Bilan 2050 AMS'!$C$44:$C$45,'Bilan 2050 AMS'!$C$47,-'Bilan 2050 AMS'!$M$21:$P$24,-'Bilan 2050 AMS'!$M$26:$P$34)</f>
        <v>0</v>
      </c>
      <c r="Q28" s="573" t="s">
        <v>303</v>
      </c>
      <c r="R28" s="198"/>
      <c r="S28" s="198"/>
      <c r="T28" s="198"/>
      <c r="U28" s="198"/>
      <c r="V28" s="198"/>
      <c r="W28" s="198"/>
      <c r="X28" s="198"/>
      <c r="Y28" s="198"/>
      <c r="Z28" s="198"/>
      <c r="AA28" s="198"/>
      <c r="AB28" s="198"/>
      <c r="AC28" s="198"/>
      <c r="AF28" s="216">
        <f>AF2-'Bilan 2015'!$S$5</f>
        <v>-2.7889230427983875</v>
      </c>
      <c r="AG28" s="216">
        <f>AG2-'Bilan 2020'!$S$5</f>
        <v>4.294905555616424E-2</v>
      </c>
      <c r="AH28" s="216">
        <f>AH2-'Bilan 2023 AMS'!$S$5</f>
        <v>-1.9276216335128993E-5</v>
      </c>
      <c r="AI28" s="216">
        <f>AI2-'Bilan 2025 AMS'!$S$5</f>
        <v>0</v>
      </c>
      <c r="AJ28" s="216">
        <f>AJ2-'Bilan 2028 AMS'!$S$5</f>
        <v>2.4202586464205069</v>
      </c>
      <c r="AK28" s="216">
        <f>AK2-'Bilan 2030 AMS'!$S$5</f>
        <v>4.0337644107012238</v>
      </c>
      <c r="AL28" s="216">
        <f>AL2-'Bilan 2033 AMS'!$S$5</f>
        <v>1.6135057642804895</v>
      </c>
      <c r="AM28" s="216">
        <f>AM2-'Bilan 2035 AMS'!$S$5</f>
        <v>0</v>
      </c>
      <c r="AN28" s="216">
        <f>AN2-'Bilan 2038 AMS'!$S$5</f>
        <v>0</v>
      </c>
      <c r="AO28" s="216">
        <f>AO2-'Bilan 2040 AMS'!$S$5</f>
        <v>0</v>
      </c>
      <c r="AP28" s="216">
        <f>AP2-'Bilan 2045 AMS'!$S$5</f>
        <v>0</v>
      </c>
      <c r="AQ28" s="216">
        <f>AQ2-'Bilan 2050 AMS'!$S$5</f>
        <v>0</v>
      </c>
      <c r="AT28" s="216">
        <f>AT2-'Bilan 2015'!$S$5-SUM('Bilan 2015'!$E$52:$E$57)</f>
        <v>-2.7789230427983753</v>
      </c>
      <c r="AU28" s="216">
        <f>AU2-'Bilan 2020'!$S$5-SUM('Bilan 2020'!$E$52:$E$57)</f>
        <v>5.2949055556155145E-2</v>
      </c>
      <c r="AV28" s="216">
        <f>AV2-'Bilan 2023 AMS'!$S$5-SUM('Bilan 2023 AMS'!$E$52:$E$58)</f>
        <v>9.9807237836841978E-3</v>
      </c>
      <c r="AW28" s="216">
        <f>AW2-'Bilan 2025 AMS'!$S$5-SUM('Bilan 2025 AMS'!$E$52:$E$58)</f>
        <v>1.0000000000559339E-2</v>
      </c>
      <c r="AX28" s="216">
        <f>AX2-'Bilan 2028 AMS'!$S$5-SUM('Bilan 2028 AMS'!$E$52:$E$58)</f>
        <v>2.4302586464208105</v>
      </c>
      <c r="AY28" s="216">
        <f>AY2-'Bilan 2030 AMS'!$S$5-SUM('Bilan 2030 AMS'!$E$52:$E$58)</f>
        <v>4.2437644107011181</v>
      </c>
      <c r="AZ28" s="216">
        <f>AZ2-'Bilan 2033 AMS'!$S$5-SUM('Bilan 2033 AMS'!$E$52:$E$58)</f>
        <v>1.72350576428056</v>
      </c>
      <c r="BA28" s="216">
        <f>BA2-'Bilan 2035 AMS'!$S$5-SUM('Bilan 2035 AMS'!$E$52:$E$58)</f>
        <v>0.11000000000007049</v>
      </c>
      <c r="BB28" s="216">
        <f>BB2-'Bilan 2038 AMS'!$S$5-SUM('Bilan 2038 AMS'!$E$52:$E$58)</f>
        <v>0.11000000000001364</v>
      </c>
      <c r="BC28" s="216">
        <f>BC2-'Bilan 2040 AMS'!$S$5-SUM('Bilan 2040 AMS'!$E$52:$E$58)</f>
        <v>0.20999999999997954</v>
      </c>
      <c r="BD28" s="216">
        <f>BD2-'Bilan 2045 AMS'!$S$5-SUM('Bilan 2045 AMS'!$E$52:$E$58)</f>
        <v>0.30999999999997385</v>
      </c>
      <c r="BE28" s="216">
        <f>BE2-'Bilan 2050 AMS'!$S$5-SUM('Bilan 2050 AMS'!$E$52:$E$58)</f>
        <v>0.31000000000004491</v>
      </c>
      <c r="BW28" s="215">
        <f>SUM(BW$17:BW$25)-SUM('Bilan 2020'!$E$21:$E$32)-'Bilan 2020'!$E$40-'Bilan 2020'!$E$34</f>
        <v>-1.27675647831893E-15</v>
      </c>
      <c r="BX28" s="215">
        <f>SUM(BX$17:BX$25)-SUM('Bilan 2023 AMS'!$E$21:$E$32)-'Bilan 2023 AMS'!$E$40-'Bilan 2023 AMS'!$E$34</f>
        <v>9.1593399531575415E-16</v>
      </c>
      <c r="BY28" s="215">
        <f>SUM(BY$17:BY$25)-SUM('Bilan 2025 AMS'!$E$21:$E$32)-'Bilan 2025 AMS'!$E$40-'Bilan 2025 AMS'!$E$34</f>
        <v>2.7616797737550769E-15</v>
      </c>
      <c r="BZ28" s="215">
        <f>SUM(BZ$17:BZ$25)-SUM('Bilan 2028 AMS'!$E$21:$E$32)-'Bilan 2028 AMS'!$E$40-'Bilan 2028 AMS'!$E$34</f>
        <v>-7.9623807547335446E-16</v>
      </c>
      <c r="CA28" s="215">
        <f>SUM(CA$17:CA$25)-SUM('Bilan 2030 AMS'!$E$21:$E$32)-'Bilan 2030 AMS'!$E$40-'Bilan 2030 AMS'!$E$34</f>
        <v>3.5527136788005009E-15</v>
      </c>
      <c r="CB28" s="215">
        <f>SUM(CB$17:CB$25)-SUM('Bilan 2033 AMS'!$E$21:$E$32)-'Bilan 2033 AMS'!$E$40-'Bilan 2033 AMS'!$E$34</f>
        <v>-3.5527136788005009E-15</v>
      </c>
      <c r="CC28" s="215">
        <f>SUM(CC$17:CC$25)-SUM('Bilan 2035 AMS'!$E$21:$E$32)-'Bilan 2035 AMS'!$E$40-'Bilan 2035 AMS'!$E$34</f>
        <v>0</v>
      </c>
      <c r="CD28" s="215">
        <f>SUM(CD$17:CD$25)-SUM('Bilan 2038 AMS'!$E$21:$E$32)-'Bilan 2038 AMS'!$E$40-'Bilan 2038 AMS'!$E$34</f>
        <v>-7.1054273576010019E-15</v>
      </c>
      <c r="CE28" s="215">
        <f>SUM(CE$17:CE$25)-SUM('Bilan 2040 AMS'!$E$21:$E$32)-'Bilan 2040 AMS'!$E$40-'Bilan 2040 AMS'!$E$34</f>
        <v>0</v>
      </c>
      <c r="CF28" s="215">
        <f>SUM(CF$17:CF$25)-SUM('Bilan 2045 AMS'!$E$21:$E$32)-'Bilan 2045 AMS'!$E$40-'Bilan 2045 AMS'!$E$34</f>
        <v>-7.1054273576010019E-15</v>
      </c>
      <c r="CG28" s="215">
        <f>SUM(CG$17:CG$25)-SUM('Bilan 2050 AMS'!$E$21:$E$32)-'Bilan 2050 AMS'!$E$40-'Bilan 2050 AMS'!$E$34</f>
        <v>0</v>
      </c>
    </row>
    <row r="29" spans="1:116" ht="13">
      <c r="A29" s="203" t="s">
        <v>287</v>
      </c>
      <c r="B29" s="204">
        <f>'Bilan 2015'!$C$23-SUM('Bilan 2015'!$M$23:$P$23)+'Bilan 2015'!$C$24-SUM('Bilan 2015'!$M$24:$P$24)+'Bilan 2015'!$C$32*(1-SUM('Bilan 2015'!$M$26:$P$34)/'Bilan 2015'!$D$30)+'Bilan 2015'!$C$45+'Bilan 2015'!$C$47</f>
        <v>31.15255442144797</v>
      </c>
      <c r="C29" s="204">
        <f>'Bilan 2020'!$C$23-SUM('Bilan 2020'!$M$23:$P$23)+'Bilan 2020'!$C$24-SUM('Bilan 2020'!$M$24:$P$24)+'Bilan 2020'!$C$32*(1-SUM('Bilan 2020'!$M$26:$P$34)/'Bilan 2020'!$D$30)+'Bilan 2020'!$C$45+'Bilan 2020'!$C$47</f>
        <v>351.08176898139908</v>
      </c>
      <c r="D29" s="204">
        <f>'Bilan 2023 AMS'!$C$22+'Bilan 2023 AMS'!$C$23-SUM('Bilan 2023 AMS'!$M$23:$P$23)+'Bilan 2023 AMS'!$C$24-SUM('Bilan 2023 AMS'!$M$24:$P$24)+'Bilan 2023 AMS'!$C$32*(1-SUM('Bilan 2023 AMS'!$M$26:$P$34)/'Bilan 2023 AMS'!$D$30)+'Bilan 2023 AMS'!$C$45+'Bilan 2023 AMS'!$C$47</f>
        <v>329.59702591002554</v>
      </c>
      <c r="E29" s="204">
        <f>'Bilan 2025 AMS'!$C$22+'Bilan 2025 AMS'!$C$23-SUM('Bilan 2025 AMS'!$M$23:$P$23)+'Bilan 2025 AMS'!$C$24-SUM('Bilan 2025 AMS'!$M$24:$P$24)+'Bilan 2025 AMS'!$C$32*(1-SUM('Bilan 2025 AMS'!$M$26:$P$34)/'Bilan 2025 AMS'!$D$30)+'Bilan 2025 AMS'!$C$45+'Bilan 2025 AMS'!$C$47</f>
        <v>305.05394748972014</v>
      </c>
      <c r="F29" s="204">
        <f>'Bilan 2028 AMS'!$C$22+'Bilan 2028 AMS'!$C$23-SUM('Bilan 2028 AMS'!$M$23:$P$23)+'Bilan 2028 AMS'!$C$24-SUM('Bilan 2028 AMS'!$M$24:$P$24)+'Bilan 2028 AMS'!$C$32*(1-SUM('Bilan 2028 AMS'!$M$26:$P$34)/'Bilan 2028 AMS'!$D$30)+'Bilan 2028 AMS'!$C$45+'Bilan 2028 AMS'!$C$47</f>
        <v>257.54068781890248</v>
      </c>
      <c r="G29" s="204">
        <f>'Bilan 2030 AMS'!$C$22+'Bilan 2030 AMS'!$C$23-SUM('Bilan 2030 AMS'!$M$23:$P$23)+'Bilan 2030 AMS'!$C$24-SUM('Bilan 2030 AMS'!$M$24:$P$24)+'Bilan 2030 AMS'!$C$32*(1-SUM('Bilan 2030 AMS'!$M$26:$P$34)/'Bilan 2030 AMS'!$D$30)+'Bilan 2030 AMS'!$C$45+'Bilan 2030 AMS'!$C$47</f>
        <v>228.17466834167701</v>
      </c>
      <c r="H29" s="204">
        <f>'Bilan 2033 AMS'!$C$22+'Bilan 2033 AMS'!$C$23-SUM('Bilan 2033 AMS'!$M$23:$P$23)+'Bilan 2033 AMS'!$C$24-SUM('Bilan 2033 AMS'!$M$24:$P$24)+'Bilan 2033 AMS'!$C$32*(1-SUM('Bilan 2033 AMS'!$M$26:$P$34)/'Bilan 2033 AMS'!$D$30)+'Bilan 2033 AMS'!$C$45+'Bilan 2033 AMS'!$C$47</f>
        <v>199.86795271324888</v>
      </c>
      <c r="I29" s="204">
        <f>'Bilan 2035 AMS'!$C$22+'Bilan 2035 AMS'!$C$23-SUM('Bilan 2035 AMS'!$M$23:$P$23)+'Bilan 2035 AMS'!$C$24-SUM('Bilan 2035 AMS'!$M$24:$P$24)+'Bilan 2035 AMS'!$C$32*(1-SUM('Bilan 2035 AMS'!$M$26:$P$34)/'Bilan 2035 AMS'!$D$30)+'Bilan 2035 AMS'!$C$45+'Bilan 2035 AMS'!$C$47</f>
        <v>182.97698148415333</v>
      </c>
      <c r="J29" s="204">
        <f>'Bilan 2038 AMS'!$C$22+'Bilan 2038 AMS'!$C$23-SUM('Bilan 2038 AMS'!$M$23:$P$23)+'Bilan 2038 AMS'!$C$24-SUM('Bilan 2038 AMS'!$M$24:$P$24)+'Bilan 2038 AMS'!$C$32*(1-SUM('Bilan 2038 AMS'!$M$26:$P$34)/'Bilan 2038 AMS'!$D$30)+'Bilan 2038 AMS'!$C$45+'Bilan 2038 AMS'!$C$47</f>
        <v>164.68246182695583</v>
      </c>
      <c r="K29" s="204">
        <f>'Bilan 2040 AMS'!$C$22+'Bilan 2040 AMS'!$C$23-SUM('Bilan 2040 AMS'!$M$23:$P$23)+'Bilan 2040 AMS'!$C$24-SUM('Bilan 2040 AMS'!$M$24:$P$24)+'Bilan 2040 AMS'!$C$32*(1-SUM('Bilan 2040 AMS'!$M$26:$P$34)/'Bilan 2040 AMS'!$D$30)+'Bilan 2040 AMS'!$C$45+'Bilan 2040 AMS'!$C$47</f>
        <v>154.19750798492552</v>
      </c>
      <c r="L29" s="204">
        <f>'Bilan 2045 AMS'!$C$22+'Bilan 2045 AMS'!$C$23-SUM('Bilan 2045 AMS'!$M$23:$P$23)+'Bilan 2045 AMS'!$C$24-SUM('Bilan 2045 AMS'!$M$24:$P$24)+'Bilan 2045 AMS'!$C$32*(1-SUM('Bilan 2045 AMS'!$M$26:$P$34)/'Bilan 2045 AMS'!$D$30)+'Bilan 2045 AMS'!$C$45+'Bilan 2045 AMS'!$C$47</f>
        <v>136.98306553365924</v>
      </c>
      <c r="M29" s="204">
        <f>'Bilan 2050 AMS'!$C$22+'Bilan 2050 AMS'!$C$23-SUM('Bilan 2050 AMS'!$M$23:$P$23)+'Bilan 2050 AMS'!$C$24-SUM('Bilan 2050 AMS'!$M$24:$P$24)+'Bilan 2050 AMS'!$C$32*(1-SUM('Bilan 2050 AMS'!$M$26:$P$34)/'Bilan 2050 AMS'!$D$30)+'Bilan 2050 AMS'!$C$45+'Bilan 2050 AMS'!$C$47</f>
        <v>124.84416717805334</v>
      </c>
      <c r="N29" s="215">
        <f>'Bilan 2020'!$C$24-SUM('Bilan 2020'!$M$24:$P$24)+'Bilan 2020'!$C$32+'Bilan 2020'!$C$45+'Bilan 2020'!$C$23+'Bilan 2020'!$C$47-SUM('Bilan 2020'!$M$23:$P$23)-C29</f>
        <v>0</v>
      </c>
      <c r="O29" s="215">
        <f>'Bilan 2030 AMS'!$C$24-SUM('Bilan 2030 AMS'!$M$24:$P$24)+'Bilan 2030 AMS'!$C$32+'Bilan 2030 AMS'!$C$45+'Bilan 2030 AMS'!$C$23+'Bilan 2030 AMS'!$C$47-SUM('Bilan 2030 AMS'!$M$23:$P$23)-G29</f>
        <v>0</v>
      </c>
      <c r="P29" s="215">
        <f>'Bilan 2050 AMS'!$C$24-SUM('Bilan 2050 AMS'!$M$24:$P$24)+'Bilan 2050 AMS'!$C$32+'Bilan 2050 AMS'!$C$45+'Bilan 2050 AMS'!$C$23+'Bilan 2050 AMS'!$C$47-SUM('Bilan 2050 AMS'!$M$23:$P$23)-M29</f>
        <v>-6.4074201765093619</v>
      </c>
      <c r="Q29" s="571"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 AMS'!$E$7:$E$19)-'Bilan 2023 AMS'!$I$13</f>
        <v>3.907985046680551E-14</v>
      </c>
      <c r="BY29" s="215">
        <f>SUM(BY8:BY16)-SUM('Bilan 2025 AMS'!$E$7:$E$19)-'Bilan 2025 AMS'!$I$13</f>
        <v>-1.2434497875801753E-13</v>
      </c>
      <c r="BZ29" s="215">
        <f>SUM(BZ8:BZ16)-SUM('Bilan 2028 AMS'!$E$7:$E$19)-'Bilan 2028 AMS'!$I$13</f>
        <v>5.6843418860808015E-14</v>
      </c>
      <c r="CA29" s="215">
        <f>SUM(CA8:CA16)-SUM('Bilan 2030 AMS'!$E$7:$E$19)-'Bilan 2030 AMS'!$I$13</f>
        <v>3.1974423109204508E-14</v>
      </c>
      <c r="CB29" s="215">
        <f>SUM(CB8:CB16)-SUM('Bilan 2033 AMS'!$E$7:$E$19)-'Bilan 2033 AMS'!$I$13</f>
        <v>-2.8421709430404007E-14</v>
      </c>
      <c r="CC29" s="215">
        <f>SUM(CC8:CC16)-SUM('Bilan 2035 AMS'!$E$7:$E$19)-'Bilan 2035 AMS'!$I$13</f>
        <v>1.2079226507921703E-13</v>
      </c>
      <c r="CD29" s="215">
        <f>SUM(CD8:CD16)-SUM('Bilan 2038 AMS'!$E$7:$E$19)-'Bilan 2038 AMS'!$I$13</f>
        <v>0</v>
      </c>
      <c r="CE29" s="215">
        <f>SUM(CE8:CE16)-SUM('Bilan 2040 AMS'!$E$7:$E$19)-'Bilan 2040 AMS'!$I$13</f>
        <v>0</v>
      </c>
      <c r="CF29" s="215">
        <f>SUM(CF8:CF16)-SUM('Bilan 2045 AMS'!$E$7:$E$19)-'Bilan 2045 AMS'!$I$13</f>
        <v>4.2632564145606011E-14</v>
      </c>
      <c r="CG29" s="215">
        <f>SUM(CG8:CG16)-SUM('Bilan 2050 AMS'!$E$7:$E$19)-'Bilan 2050 AMS'!$I$13</f>
        <v>7.815970093361102E-14</v>
      </c>
    </row>
    <row r="30" spans="1:116" ht="13">
      <c r="A30" s="203" t="s">
        <v>306</v>
      </c>
      <c r="B30" s="204">
        <f>'Bilan 2015'!$C$29*(1-SUM('Bilan 2015'!$M$26:$P$34)/'Bilan 2015'!$D$30)+'Bilan 2015'!$C$37</f>
        <v>7.8694706570935882</v>
      </c>
      <c r="C30" s="204">
        <f>'Bilan 2020'!$C$29*(1-SUM('Bilan 2020'!$M$26:$P$34)/'Bilan 2020'!$D$30)+'Bilan 2020'!$C$37</f>
        <v>97.138025953204789</v>
      </c>
      <c r="D30" s="204">
        <f>'Bilan 2023 AMS'!$C$29*(1-SUM('Bilan 2023 AMS'!$M$26:$P$34)/'Bilan 2023 AMS'!$D$30)+'Bilan 2023 AMS'!$C$37</f>
        <v>110.7110107512238</v>
      </c>
      <c r="E30" s="204">
        <f>'Bilan 2025 AMS'!$C$29*(1-SUM('Bilan 2025 AMS'!$M$26:$P$34)/'Bilan 2025 AMS'!$D$30)+'Bilan 2025 AMS'!$C$37</f>
        <v>106.00968673009831</v>
      </c>
      <c r="F30" s="204">
        <f>'Bilan 2028 AMS'!$C$29*(1-SUM('Bilan 2028 AMS'!$M$26:$P$34)/'Bilan 2028 AMS'!$D$30)+'Bilan 2028 AMS'!$C$37</f>
        <v>104.12004973791024</v>
      </c>
      <c r="G30" s="204">
        <f>'Bilan 2030 AMS'!$C$29*(1-SUM('Bilan 2030 AMS'!$M$26:$P$34)/'Bilan 2030 AMS'!$D$30)+'Bilan 2030 AMS'!$C$37</f>
        <v>102.86577885636285</v>
      </c>
      <c r="H30" s="204">
        <f>'Bilan 2033 AMS'!$C$29*(1-SUM('Bilan 2033 AMS'!$M$26:$P$34)/'Bilan 2033 AMS'!$D$30)+'Bilan 2033 AMS'!$C$37</f>
        <v>100.17888795086429</v>
      </c>
      <c r="I30" s="204">
        <f>'Bilan 2035 AMS'!$C$29*(1-SUM('Bilan 2035 AMS'!$M$26:$P$34)/'Bilan 2035 AMS'!$D$30)+'Bilan 2035 AMS'!$C$37</f>
        <v>98.318480711128529</v>
      </c>
      <c r="J30" s="204">
        <f>'Bilan 2038 AMS'!$C$29*(1-SUM('Bilan 2038 AMS'!$M$26:$P$34)/'Bilan 2038 AMS'!$D$30)+'Bilan 2038 AMS'!$C$37</f>
        <v>95.596904611099788</v>
      </c>
      <c r="K30" s="204">
        <f>'Bilan 2040 AMS'!$C$29*(1-SUM('Bilan 2040 AMS'!$M$26:$P$34)/'Bilan 2040 AMS'!$D$30)+'Bilan 2040 AMS'!$C$37</f>
        <v>93.699212065835411</v>
      </c>
      <c r="L30" s="204">
        <f>'Bilan 2045 AMS'!$C$29*(1-SUM('Bilan 2045 AMS'!$M$26:$P$34)/'Bilan 2045 AMS'!$D$30)+'Bilan 2045 AMS'!$C$37</f>
        <v>90.152699057282064</v>
      </c>
      <c r="M30" s="204">
        <f>'Bilan 2050 AMS'!$C$29*(1-SUM('Bilan 2050 AMS'!$M$26:$P$34)/'Bilan 2050 AMS'!$D$30)+'Bilan 2050 AMS'!$C$37</f>
        <v>86.683607869816115</v>
      </c>
      <c r="N30" s="215">
        <f>'Bilan 2020'!$C$29+'Bilan 2020'!$C$37-C30</f>
        <v>0</v>
      </c>
      <c r="O30" s="215">
        <f>'Bilan 2030 AMS'!$C$29+'Bilan 2030 AMS'!$C$37-G30</f>
        <v>0</v>
      </c>
      <c r="P30" s="215">
        <f>'Bilan 2050 AMS'!$C$29+'Bilan 2050 AMS'!$C$37-M30</f>
        <v>0</v>
      </c>
      <c r="Q30" s="572" t="s">
        <v>266</v>
      </c>
      <c r="R30" s="219">
        <f t="shared" ref="R30:AC31" si="73">R4/R$3</f>
        <v>0.95726353736237946</v>
      </c>
      <c r="S30" s="219">
        <f t="shared" si="73"/>
        <v>0.9525763357643332</v>
      </c>
      <c r="T30" s="219">
        <f t="shared" si="73"/>
        <v>0.93532355961909586</v>
      </c>
      <c r="U30" s="219">
        <f t="shared" si="73"/>
        <v>0.92689855214943284</v>
      </c>
      <c r="V30" s="219">
        <f t="shared" si="73"/>
        <v>0.90712978745182993</v>
      </c>
      <c r="W30" s="219">
        <f t="shared" si="73"/>
        <v>0.89138146960756426</v>
      </c>
      <c r="X30" s="219">
        <f t="shared" si="73"/>
        <v>0.8267845378302604</v>
      </c>
      <c r="Y30" s="219">
        <f t="shared" si="73"/>
        <v>0.7730282816876537</v>
      </c>
      <c r="Z30" s="219">
        <f t="shared" si="73"/>
        <v>0.64700716541231795</v>
      </c>
      <c r="AA30" s="219">
        <f t="shared" si="73"/>
        <v>0.53741198342686125</v>
      </c>
      <c r="AB30" s="219">
        <f t="shared" si="73"/>
        <v>0.37008540760975905</v>
      </c>
      <c r="AC30" s="219">
        <f t="shared" si="73"/>
        <v>0.31333249181770817</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9">
        <v>2038</v>
      </c>
      <c r="BC30" s="549">
        <v>2040</v>
      </c>
      <c r="BD30" s="549">
        <v>2045</v>
      </c>
      <c r="BE30" s="193">
        <v>2050</v>
      </c>
    </row>
    <row r="31" spans="1:116" ht="43.5">
      <c r="A31" s="203" t="s">
        <v>307</v>
      </c>
      <c r="B31" s="204">
        <f>'Bilan 2015'!$C$21-SUM('Bilan 2015'!$M$21:$P$21)+'Bilan 2015'!$C$26*(1-SUM('Bilan 2015'!$M$26:$P$34)/'Bilan 2015'!$D$30)+'Bilan 2015'!$C$36</f>
        <v>0.22730793045572523</v>
      </c>
      <c r="C31" s="204">
        <f>'Bilan 2020'!$C$21-SUM('Bilan 2020'!$M$21:$P$21)+'Bilan 2020'!$C$26*(1-SUM('Bilan 2020'!$M$26:$P$34)/'Bilan 2020'!$D$30)+'Bilan 2020'!$C$36</f>
        <v>5.9336589388889092</v>
      </c>
      <c r="D31" s="204">
        <f>'Bilan 2023 AMS'!$C$21-SUM('Bilan 2023 AMS'!$M$21:$P$21)+'Bilan 2023 AMS'!$C$26*(1-SUM('Bilan 2023 AMS'!$M$26:$P$34)/'Bilan 2023 AMS'!$D$30)+'Bilan 2023 AMS'!$C$36</f>
        <v>14.055255746161507</v>
      </c>
      <c r="E31" s="204">
        <f>'Bilan 2025 AMS'!$C$21-SUM('Bilan 2025 AMS'!$M$21:$P$21)+'Bilan 2025 AMS'!$C$26*(1-SUM('Bilan 2025 AMS'!$M$26:$P$34)/'Bilan 2025 AMS'!$D$30)+'Bilan 2025 AMS'!$C$36</f>
        <v>19.754622554923007</v>
      </c>
      <c r="F31" s="204">
        <f>'Bilan 2028 AMS'!$C$21-SUM('Bilan 2028 AMS'!$M$21:$P$21)+'Bilan 2028 AMS'!$C$26*(1-SUM('Bilan 2028 AMS'!$M$26:$P$34)/'Bilan 2028 AMS'!$D$30)+'Bilan 2028 AMS'!$C$36</f>
        <v>29.173753475757472</v>
      </c>
      <c r="G31" s="204">
        <f>'Bilan 2030 AMS'!$C$21-SUM('Bilan 2030 AMS'!$M$21:$P$21)+'Bilan 2030 AMS'!$C$26*(1-SUM('Bilan 2030 AMS'!$M$26:$P$34)/'Bilan 2030 AMS'!$D$30)+'Bilan 2030 AMS'!$C$36</f>
        <v>33.748708738883792</v>
      </c>
      <c r="H31" s="204">
        <f>'Bilan 2033 AMS'!$C$21-SUM('Bilan 2033 AMS'!$M$21:$P$21)+'Bilan 2033 AMS'!$C$26*(1-SUM('Bilan 2033 AMS'!$M$26:$P$34)/'Bilan 2033 AMS'!$D$30)+'Bilan 2033 AMS'!$C$36</f>
        <v>49.924454198060396</v>
      </c>
      <c r="I31" s="204">
        <f>'Bilan 2035 AMS'!$C$21-SUM('Bilan 2035 AMS'!$M$21:$P$21)+'Bilan 2035 AMS'!$C$26*(1-SUM('Bilan 2035 AMS'!$M$26:$P$34)/'Bilan 2035 AMS'!$D$30)+'Bilan 2035 AMS'!$C$36</f>
        <v>57.120836293137856</v>
      </c>
      <c r="J31" s="204">
        <f>'Bilan 2038 AMS'!$C$21-SUM('Bilan 2038 AMS'!$M$21:$P$21)+'Bilan 2038 AMS'!$C$26*(1-SUM('Bilan 2038 AMS'!$M$26:$P$34)/'Bilan 2038 AMS'!$D$30)+'Bilan 2038 AMS'!$C$36</f>
        <v>72.600346309209442</v>
      </c>
      <c r="K31" s="204">
        <f>'Bilan 2040 AMS'!$C$21-SUM('Bilan 2040 AMS'!$M$21:$P$21)+'Bilan 2040 AMS'!$C$26*(1-SUM('Bilan 2040 AMS'!$M$26:$P$34)/'Bilan 2040 AMS'!$D$30)+'Bilan 2040 AMS'!$C$36</f>
        <v>77.690754768037706</v>
      </c>
      <c r="L31" s="204">
        <f>'Bilan 2045 AMS'!$C$21-SUM('Bilan 2045 AMS'!$M$21:$P$21)+'Bilan 2045 AMS'!$C$26*(1-SUM('Bilan 2045 AMS'!$M$26:$P$34)/'Bilan 2045 AMS'!$D$30)+'Bilan 2045 AMS'!$C$36</f>
        <v>85.087268693294874</v>
      </c>
      <c r="M31" s="204">
        <f>'Bilan 2050 AMS'!$C$21-SUM('Bilan 2050 AMS'!$M$21:$P$21)+'Bilan 2050 AMS'!$C$26*(1-SUM('Bilan 2050 AMS'!$M$26:$P$34)/'Bilan 2050 AMS'!$D$30)+'Bilan 2050 AMS'!$C$36</f>
        <v>104.44466701645318</v>
      </c>
      <c r="N31" s="216">
        <f>SUM('Bilan 2020'!$C$21:$C$22)-SUM('Bilan 2020'!$M$21:$P$22)+'Bilan 2020'!$C$26+'Bilan 2020'!$C$28+'Bilan 2020'!$C$36-C31</f>
        <v>0</v>
      </c>
      <c r="O31" s="216">
        <f>SUM('Bilan 2030 AMS'!$C$21:$C$22)-SUM('Bilan 2030 AMS'!$M$21:$P$22)+'Bilan 2030 AMS'!$C$26+'Bilan 2030 AMS'!$C$28+'Bilan 2030 AMS'!$C$36-G31</f>
        <v>0</v>
      </c>
      <c r="P31" s="216">
        <f>SUM('Bilan 2050 AMS'!$C$21:$C$22)-SUM('Bilan 2050 AMS'!$M$21:$P$22)+'Bilan 2050 AMS'!$C$26+'Bilan 2050 AMS'!$C$28+'Bilan 2050 AMS'!$C$36-M31</f>
        <v>6.4074201765093903</v>
      </c>
      <c r="Q31" s="572" t="s">
        <v>268</v>
      </c>
      <c r="R31" s="219">
        <f t="shared" si="73"/>
        <v>4.2736462637620605E-2</v>
      </c>
      <c r="S31" s="219">
        <f t="shared" si="73"/>
        <v>4.7423664235666747E-2</v>
      </c>
      <c r="T31" s="219">
        <f t="shared" si="73"/>
        <v>6.4676440380904268E-2</v>
      </c>
      <c r="U31" s="219">
        <f t="shared" si="73"/>
        <v>7.3101447850567131E-2</v>
      </c>
      <c r="V31" s="219">
        <f t="shared" si="73"/>
        <v>9.2870212548170128E-2</v>
      </c>
      <c r="W31" s="219">
        <f t="shared" si="73"/>
        <v>0.1086185303924357</v>
      </c>
      <c r="X31" s="219">
        <f t="shared" si="73"/>
        <v>0.17321546216973965</v>
      </c>
      <c r="Y31" s="219">
        <f t="shared" si="73"/>
        <v>0.22697171831234628</v>
      </c>
      <c r="Z31" s="219">
        <f t="shared" si="73"/>
        <v>0.35299283458768216</v>
      </c>
      <c r="AA31" s="219">
        <f t="shared" si="73"/>
        <v>0.46258801657313869</v>
      </c>
      <c r="AB31" s="219">
        <f t="shared" si="73"/>
        <v>0.62991459239024095</v>
      </c>
      <c r="AC31" s="219">
        <f t="shared" si="73"/>
        <v>0.68666750818229183</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3">
      <c r="A32" s="203" t="s">
        <v>293</v>
      </c>
      <c r="B32" s="204">
        <f>'Bilan 2015'!$C$27*(1-SUM('Bilan 2015'!$M$26:$P$34)/'Bilan 2015'!$D$30)+'Bilan 2015'!$C$44</f>
        <v>0.91085715601083017</v>
      </c>
      <c r="C32" s="204">
        <f>'Bilan 2020'!$C$27*(1-SUM('Bilan 2020'!$M$26:$P$34)/'Bilan 2020'!$D$30)+'Bilan 2020'!$C$44</f>
        <v>22.30312628047551</v>
      </c>
      <c r="D32" s="204">
        <f>'Bilan 2023 AMS'!$C$27*(1-SUM('Bilan 2023 AMS'!$M$26:$P$34)/'Bilan 2023 AMS'!$D$30)+'Bilan 2023 AMS'!$C$44</f>
        <v>17.142428473906087</v>
      </c>
      <c r="E32" s="204">
        <f>'Bilan 2025 AMS'!$C$27*(1-SUM('Bilan 2025 AMS'!$M$26:$P$34)/'Bilan 2025 AMS'!$D$30)+'Bilan 2025 AMS'!$C$44</f>
        <v>18.11984159632016</v>
      </c>
      <c r="F32" s="204">
        <f>'Bilan 2028 AMS'!$C$27*(1-SUM('Bilan 2028 AMS'!$M$26:$P$34)/'Bilan 2028 AMS'!$D$30)+'Bilan 2028 AMS'!$C$44</f>
        <v>18.272934200797707</v>
      </c>
      <c r="G32" s="204">
        <f>'Bilan 2030 AMS'!$C$27*(1-SUM('Bilan 2030 AMS'!$M$26:$P$34)/'Bilan 2030 AMS'!$D$30)+'Bilan 2030 AMS'!$C$44</f>
        <v>18.198359716679434</v>
      </c>
      <c r="H32" s="204">
        <f>'Bilan 2033 AMS'!$C$27*(1-SUM('Bilan 2033 AMS'!$M$26:$P$34)/'Bilan 2033 AMS'!$D$30)+'Bilan 2033 AMS'!$C$44</f>
        <v>17.391107538687592</v>
      </c>
      <c r="I32" s="204">
        <f>'Bilan 2035 AMS'!$C$27*(1-SUM('Bilan 2035 AMS'!$M$26:$P$34)/'Bilan 2035 AMS'!$D$30)+'Bilan 2035 AMS'!$C$44</f>
        <v>16.846403203963913</v>
      </c>
      <c r="J32" s="204">
        <f>'Bilan 2038 AMS'!$C$27*(1-SUM('Bilan 2038 AMS'!$M$26:$P$34)/'Bilan 2038 AMS'!$D$30)+'Bilan 2038 AMS'!$C$44</f>
        <v>16.80772371990394</v>
      </c>
      <c r="K32" s="204">
        <f>'Bilan 2040 AMS'!$C$27*(1-SUM('Bilan 2040 AMS'!$M$26:$P$34)/'Bilan 2040 AMS'!$D$30)+'Bilan 2040 AMS'!$C$44</f>
        <v>16.769040256511662</v>
      </c>
      <c r="L32" s="204">
        <f>'Bilan 2045 AMS'!$C$27*(1-SUM('Bilan 2045 AMS'!$M$26:$P$34)/'Bilan 2045 AMS'!$D$30)+'Bilan 2045 AMS'!$C$44</f>
        <v>16.704419498639645</v>
      </c>
      <c r="M32" s="204">
        <f>'Bilan 2050 AMS'!$C$27*(1-SUM('Bilan 2050 AMS'!$M$26:$P$34)/'Bilan 2050 AMS'!$D$30)+'Bilan 2050 AMS'!$C$44</f>
        <v>16.42335846628184</v>
      </c>
      <c r="N32" s="216">
        <f>'Bilan 2020'!$C$27+'Bilan 2020'!$C$44-C32</f>
        <v>0</v>
      </c>
      <c r="O32" s="216">
        <f>'Bilan 2030 AMS'!$C$27+'Bilan 2030 AMS'!$C$44-G32</f>
        <v>0</v>
      </c>
      <c r="P32" s="216">
        <f>'Bilan 2050 AMS'!$C$27+'Bilan 2050 AMS'!$C$44-M32</f>
        <v>0</v>
      </c>
      <c r="Q32" s="572"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3">
      <c r="A33" s="203" t="s">
        <v>300</v>
      </c>
      <c r="B33" s="205">
        <f>'Bilan 2015'!$C$30*(1-SUM('Bilan 2015'!$M$26:$P$34)/'Bilan 2015'!$D$30)</f>
        <v>5.6719520540355547E-2</v>
      </c>
      <c r="C33" s="205">
        <f>'Bilan 2020'!$C$30*(1-SUM('Bilan 2020'!$M$26:$P$34)/'Bilan 2020'!$D$30)</f>
        <v>3.6793581777777802</v>
      </c>
      <c r="D33" s="205">
        <f>'Bilan 2023 AMS'!$C$30*(1-SUM('Bilan 2023 AMS'!$M$26:$P$34)/'Bilan 2023 AMS'!$D$30)</f>
        <v>4.3023879699163166</v>
      </c>
      <c r="E33" s="205">
        <f>'Bilan 2025 AMS'!$C$30*(1-SUM('Bilan 2025 AMS'!$M$26:$P$34)/'Bilan 2025 AMS'!$D$30)</f>
        <v>5.6407627218251397</v>
      </c>
      <c r="F33" s="205">
        <f>'Bilan 2028 AMS'!$C$30*(1-SUM('Bilan 2028 AMS'!$M$26:$P$34)/'Bilan 2028 AMS'!$D$30)</f>
        <v>6.7289973607209745</v>
      </c>
      <c r="G33" s="205">
        <f>'Bilan 2030 AMS'!$C$30*(1-SUM('Bilan 2030 AMS'!$M$26:$P$34)/'Bilan 2030 AMS'!$D$30)</f>
        <v>7.5015461547405717</v>
      </c>
      <c r="H33" s="205">
        <f>'Bilan 2033 AMS'!$C$30*(1-SUM('Bilan 2033 AMS'!$M$26:$P$34)/'Bilan 2033 AMS'!$D$30)</f>
        <v>9.4996550719303219</v>
      </c>
      <c r="I33" s="205">
        <f>'Bilan 2035 AMS'!$C$30*(1-SUM('Bilan 2035 AMS'!$M$26:$P$34)/'Bilan 2035 AMS'!$D$30)</f>
        <v>10.825953288370551</v>
      </c>
      <c r="J33" s="205">
        <f>'Bilan 2038 AMS'!$C$30*(1-SUM('Bilan 2038 AMS'!$M$26:$P$34)/'Bilan 2038 AMS'!$D$30)</f>
        <v>10.952590418500169</v>
      </c>
      <c r="K33" s="205">
        <f>'Bilan 2040 AMS'!$C$30*(1-SUM('Bilan 2040 AMS'!$M$26:$P$34)/'Bilan 2040 AMS'!$D$30)</f>
        <v>11.02899005085181</v>
      </c>
      <c r="L33" s="205">
        <f>'Bilan 2045 AMS'!$C$30*(1-SUM('Bilan 2045 AMS'!$M$26:$P$34)/'Bilan 2045 AMS'!$D$30)</f>
        <v>11.276034288959668</v>
      </c>
      <c r="M33" s="205">
        <f>'Bilan 2050 AMS'!$C$30*(1-SUM('Bilan 2050 AMS'!$M$26:$P$34)/'Bilan 2050 AMS'!$D$30)</f>
        <v>11.316516045102318</v>
      </c>
      <c r="N33" s="216">
        <f>'Bilan 2020'!$C$30-C33</f>
        <v>0</v>
      </c>
      <c r="O33" s="216">
        <f>'Bilan 2030 AMS'!$C$30-G33</f>
        <v>0</v>
      </c>
      <c r="P33" s="216">
        <f>'Bilan 2050 AMS'!$C$30-M33</f>
        <v>0</v>
      </c>
      <c r="Q33" s="571" t="s">
        <v>104</v>
      </c>
      <c r="R33" s="201"/>
      <c r="S33" s="201"/>
      <c r="T33" s="201"/>
      <c r="U33" s="201"/>
      <c r="V33" s="201"/>
      <c r="W33" s="201"/>
      <c r="X33" s="201"/>
      <c r="Y33" s="201"/>
      <c r="Z33" s="201"/>
      <c r="AA33" s="201"/>
      <c r="AB33" s="201"/>
      <c r="AC33" s="201"/>
      <c r="AE33" s="205" t="s">
        <v>266</v>
      </c>
      <c r="AF33" s="219">
        <f t="shared" ref="AF33:AP33" si="74">(AF4+AF6)/AF$3</f>
        <v>0.94639935697901212</v>
      </c>
      <c r="AG33" s="219">
        <f t="shared" si="74"/>
        <v>0.94047460660712889</v>
      </c>
      <c r="AH33" s="219">
        <f t="shared" si="74"/>
        <v>0.92116827896706543</v>
      </c>
      <c r="AI33" s="219">
        <f t="shared" si="74"/>
        <v>0.91304495812522612</v>
      </c>
      <c r="AJ33" s="219">
        <f t="shared" si="74"/>
        <v>0.89679803623204235</v>
      </c>
      <c r="AK33" s="219">
        <f t="shared" si="74"/>
        <v>0.88295559738562235</v>
      </c>
      <c r="AL33" s="219">
        <f t="shared" si="74"/>
        <v>0.82832891478882553</v>
      </c>
      <c r="AM33" s="219">
        <f t="shared" si="74"/>
        <v>0.77771256189850757</v>
      </c>
      <c r="AN33" s="219">
        <f t="shared" si="74"/>
        <v>0.63040923269197868</v>
      </c>
      <c r="AO33" s="219">
        <f t="shared" si="74"/>
        <v>0.4723156028228071</v>
      </c>
      <c r="AP33" s="219">
        <f t="shared" si="74"/>
        <v>0.11743664925872799</v>
      </c>
      <c r="AQ33" s="219">
        <f>(AQ4+AQ6)/AQ$3</f>
        <v>8.4606892119699156E-2</v>
      </c>
      <c r="AS33" s="205" t="s">
        <v>266</v>
      </c>
      <c r="AT33" s="219">
        <f t="shared" ref="AT33:BD33" si="75">(AT4+AT6)/AT$3</f>
        <v>0.95588105807243107</v>
      </c>
      <c r="AU33" s="219">
        <f t="shared" si="75"/>
        <v>0.95161573824348877</v>
      </c>
      <c r="AV33" s="219">
        <f t="shared" si="75"/>
        <v>0.93007971321504956</v>
      </c>
      <c r="AW33" s="219">
        <f t="shared" si="75"/>
        <v>0.91990019565701453</v>
      </c>
      <c r="AX33" s="219">
        <f t="shared" si="75"/>
        <v>0.90239418773547342</v>
      </c>
      <c r="AY33" s="219">
        <f t="shared" si="75"/>
        <v>0.88835184919987353</v>
      </c>
      <c r="AZ33" s="219">
        <f t="shared" si="75"/>
        <v>0.83596119222233634</v>
      </c>
      <c r="BA33" s="219">
        <f t="shared" si="75"/>
        <v>0.79043580193927498</v>
      </c>
      <c r="BB33" s="219">
        <f t="shared" si="75"/>
        <v>0.67352290513613766</v>
      </c>
      <c r="BC33" s="219">
        <f t="shared" si="75"/>
        <v>0.56281758762215817</v>
      </c>
      <c r="BD33" s="219">
        <f t="shared" si="75"/>
        <v>0.37328480899817745</v>
      </c>
      <c r="BE33" s="219">
        <f>(BE4+BE6)/BE$3</f>
        <v>0.40473499284935438</v>
      </c>
    </row>
    <row r="34" spans="1:57" ht="13">
      <c r="A34" s="203" t="s">
        <v>308</v>
      </c>
      <c r="B34" s="220">
        <f>('Bilan 2015'!$C$28+'Bilan 2015'!$C$31)*(1-SUM('Bilan 2015'!$M$26:$P$34)/'Bilan 2015'!$D$30)+'Bilan 2015'!$C$38+'Bilan 2015'!$C$39+'Bilan 2015'!$C$40</f>
        <v>5.1344547654386874</v>
      </c>
      <c r="C34" s="220">
        <f>('Bilan 2020'!$C$28+'Bilan 2020'!$C$31)*(1-SUM('Bilan 2020'!$M$26:$P$34)/'Bilan 2020'!$D$30)+'Bilan 2020'!$C$38+'Bilan 2020'!$C$39+'Bilan 2020'!$C$40</f>
        <v>33.87625778069777</v>
      </c>
      <c r="D34" s="220">
        <f>('Bilan 2023 AMS'!$C$28+'Bilan 2023 AMS'!$C$31)*(1-SUM('Bilan 2023 AMS'!$M$26:$P$34)/'Bilan 2023 AMS'!$D$30)+'Bilan 2023 AMS'!$C$38+'Bilan 2023 AMS'!$C$39+'Bilan 2023 AMS'!$C$40</f>
        <v>54.102495749652313</v>
      </c>
      <c r="E34" s="220">
        <f>('Bilan 2025 AMS'!$C$28+'Bilan 2025 AMS'!$C$31)*(1-SUM('Bilan 2025 AMS'!$M$26:$P$34)/'Bilan 2025 AMS'!$D$30)+'Bilan 2025 AMS'!$C$38+'Bilan 2025 AMS'!$C$39+'Bilan 2025 AMS'!$C$40</f>
        <v>65.768568884246903</v>
      </c>
      <c r="F34" s="220">
        <f>('Bilan 2028 AMS'!$C$28+'Bilan 2028 AMS'!$C$31)*(1-SUM('Bilan 2028 AMS'!$M$26:$P$34)/'Bilan 2028 AMS'!$D$30)+'Bilan 2028 AMS'!$C$38+'Bilan 2028 AMS'!$C$39+'Bilan 2028 AMS'!$C$40</f>
        <v>82.999512184954682</v>
      </c>
      <c r="G34" s="220">
        <f>('Bilan 2030 AMS'!$C$28+'Bilan 2030 AMS'!$C$31)*(1-SUM('Bilan 2030 AMS'!$M$26:$P$34)/'Bilan 2030 AMS'!$D$30)+'Bilan 2030 AMS'!$C$38+'Bilan 2030 AMS'!$C$39+'Bilan 2030 AMS'!$C$40</f>
        <v>94.90355994298281</v>
      </c>
      <c r="H34" s="220">
        <f>('Bilan 2033 AMS'!$C$28+'Bilan 2033 AMS'!$C$31)*(1-SUM('Bilan 2033 AMS'!$M$26:$P$34)/'Bilan 2033 AMS'!$D$30)+'Bilan 2033 AMS'!$C$38+'Bilan 2033 AMS'!$C$39+'Bilan 2033 AMS'!$C$40</f>
        <v>109.27070396699366</v>
      </c>
      <c r="I34" s="220">
        <f>('Bilan 2035 AMS'!$C$28+'Bilan 2035 AMS'!$C$31)*(1-SUM('Bilan 2035 AMS'!$M$26:$P$34)/'Bilan 2035 AMS'!$D$30)+'Bilan 2035 AMS'!$C$38+'Bilan 2035 AMS'!$C$39+'Bilan 2035 AMS'!$C$40</f>
        <v>119.03941528592445</v>
      </c>
      <c r="J34" s="220">
        <f>('Bilan 2038 AMS'!$C$28+'Bilan 2038 AMS'!$C$31)*(1-SUM('Bilan 2038 AMS'!$M$26:$P$34)/'Bilan 2038 AMS'!$D$30)+'Bilan 2038 AMS'!$C$38+'Bilan 2038 AMS'!$C$39+'Bilan 2038 AMS'!$C$40</f>
        <v>133.16393965002271</v>
      </c>
      <c r="K34" s="220">
        <f>('Bilan 2040 AMS'!$C$28+'Bilan 2040 AMS'!$C$31)*(1-SUM('Bilan 2040 AMS'!$M$26:$P$34)/'Bilan 2040 AMS'!$D$30)+'Bilan 2040 AMS'!$C$38+'Bilan 2040 AMS'!$C$39+'Bilan 2040 AMS'!$C$40</f>
        <v>142.67564111943781</v>
      </c>
      <c r="L34" s="220">
        <f>('Bilan 2045 AMS'!$C$28+'Bilan 2045 AMS'!$C$31)*(1-SUM('Bilan 2045 AMS'!$M$26:$P$34)/'Bilan 2045 AMS'!$D$30)+'Bilan 2045 AMS'!$C$38+'Bilan 2045 AMS'!$C$39+'Bilan 2045 AMS'!$C$40</f>
        <v>161.55510368560363</v>
      </c>
      <c r="M34" s="220">
        <f>('Bilan 2050 AMS'!$C$28+'Bilan 2050 AMS'!$C$31)*(1-SUM('Bilan 2050 AMS'!$M$26:$P$34)/'Bilan 2050 AMS'!$D$30)+'Bilan 2050 AMS'!$C$38+'Bilan 2050 AMS'!$C$39+'Bilan 2050 AMS'!$C$40</f>
        <v>173.53126507003083</v>
      </c>
      <c r="N34" s="216">
        <f>'Bilan 2020'!$C$31+'Bilan 2020'!$C$38+'Bilan 2020'!$C$39+'Bilan 2020'!$C$40-C34</f>
        <v>0</v>
      </c>
      <c r="O34" s="216">
        <f>'Bilan 2030 AMS'!$C$31+'Bilan 2030 AMS'!$C$38+'Bilan 2030 AMS'!$C$39+'Bilan 2030 AMS'!$C$40-G34</f>
        <v>0</v>
      </c>
      <c r="P34" s="216">
        <f>'Bilan 2050 AMS'!$C$31+'Bilan 2050 AMS'!$C$38+'Bilan 2050 AMS'!$C$39+'Bilan 2050 AMS'!$C$40-M34</f>
        <v>0</v>
      </c>
      <c r="Q34" s="572" t="s">
        <v>20</v>
      </c>
      <c r="R34" s="219">
        <f t="shared" ref="R34:AC41" si="76">R8/R$7</f>
        <v>0.8611591114363959</v>
      </c>
      <c r="S34" s="219">
        <f t="shared" si="76"/>
        <v>0.8319093450874363</v>
      </c>
      <c r="T34" s="219">
        <f t="shared" si="76"/>
        <v>0.80123858019635275</v>
      </c>
      <c r="U34" s="219">
        <f t="shared" si="76"/>
        <v>0.80271243061592712</v>
      </c>
      <c r="V34" s="219">
        <f t="shared" si="76"/>
        <v>0.78947525009215902</v>
      </c>
      <c r="W34" s="219">
        <f t="shared" si="76"/>
        <v>0.78004609887974152</v>
      </c>
      <c r="X34" s="219">
        <f t="shared" si="76"/>
        <v>0.76046185057847915</v>
      </c>
      <c r="Y34" s="219">
        <f t="shared" si="76"/>
        <v>0.74745945145943482</v>
      </c>
      <c r="Z34" s="219">
        <f t="shared" si="76"/>
        <v>0.72493365796736009</v>
      </c>
      <c r="AA34" s="219">
        <f t="shared" si="76"/>
        <v>0.710583012800303</v>
      </c>
      <c r="AB34" s="219">
        <f t="shared" si="76"/>
        <v>0.63665779186451033</v>
      </c>
      <c r="AC34" s="219">
        <f t="shared" si="76"/>
        <v>0.5373368175506158</v>
      </c>
      <c r="AE34" s="205" t="s">
        <v>268</v>
      </c>
      <c r="AF34" s="219">
        <f t="shared" ref="AF34:AP34" si="77">(AF5+AF7)/AF$3</f>
        <v>5.3600643020987951E-2</v>
      </c>
      <c r="AG34" s="219">
        <f t="shared" si="77"/>
        <v>5.9525393392871072E-2</v>
      </c>
      <c r="AH34" s="219">
        <f t="shared" si="77"/>
        <v>7.8831721032934551E-2</v>
      </c>
      <c r="AI34" s="219">
        <f t="shared" si="77"/>
        <v>8.6955041874773792E-2</v>
      </c>
      <c r="AJ34" s="219">
        <f t="shared" si="77"/>
        <v>0.10320196376795777</v>
      </c>
      <c r="AK34" s="219">
        <f t="shared" si="77"/>
        <v>0.11704440261437768</v>
      </c>
      <c r="AL34" s="219">
        <f t="shared" si="77"/>
        <v>0.17167108521117461</v>
      </c>
      <c r="AM34" s="219">
        <f t="shared" si="77"/>
        <v>0.22228743810149235</v>
      </c>
      <c r="AN34" s="219">
        <f t="shared" si="77"/>
        <v>0.36959076730802148</v>
      </c>
      <c r="AO34" s="219">
        <f t="shared" si="77"/>
        <v>0.52768439717719295</v>
      </c>
      <c r="AP34" s="219">
        <f t="shared" si="77"/>
        <v>0.8825633507412719</v>
      </c>
      <c r="AQ34" s="219">
        <f>(AQ5+AQ7)/AQ$3</f>
        <v>0.91539310788030082</v>
      </c>
      <c r="AS34" s="205" t="s">
        <v>268</v>
      </c>
      <c r="AT34" s="219">
        <f t="shared" ref="AT34:BD34" si="78">(AT5+AT7)/AT$3</f>
        <v>4.4118941927568836E-2</v>
      </c>
      <c r="AU34" s="219">
        <f t="shared" si="78"/>
        <v>4.8384261756511185E-2</v>
      </c>
      <c r="AV34" s="219">
        <f t="shared" si="78"/>
        <v>6.9920286784950339E-2</v>
      </c>
      <c r="AW34" s="219">
        <f t="shared" si="78"/>
        <v>8.0099804342985512E-2</v>
      </c>
      <c r="AX34" s="219">
        <f t="shared" si="78"/>
        <v>9.7605812264526429E-2</v>
      </c>
      <c r="AY34" s="219">
        <f t="shared" si="78"/>
        <v>0.11164815080012652</v>
      </c>
      <c r="AZ34" s="219">
        <f t="shared" si="78"/>
        <v>0.16403880777766369</v>
      </c>
      <c r="BA34" s="219">
        <f t="shared" si="78"/>
        <v>0.20956419806072515</v>
      </c>
      <c r="BB34" s="219">
        <f t="shared" si="78"/>
        <v>0.32647709486386223</v>
      </c>
      <c r="BC34" s="219">
        <f t="shared" si="78"/>
        <v>0.43718241237784183</v>
      </c>
      <c r="BD34" s="219">
        <f t="shared" si="78"/>
        <v>0.62671519100182249</v>
      </c>
      <c r="BE34" s="219">
        <f>(BE5+BE7)/BE$3</f>
        <v>0.59526500715064545</v>
      </c>
    </row>
    <row r="35" spans="1:57" ht="13">
      <c r="A35" s="211"/>
      <c r="B35" s="212"/>
      <c r="C35" s="212"/>
      <c r="D35" s="579"/>
      <c r="E35" s="579"/>
      <c r="F35" s="579"/>
      <c r="G35" s="579"/>
      <c r="H35" s="579"/>
      <c r="I35" s="579"/>
      <c r="J35" s="579"/>
      <c r="K35" s="579"/>
      <c r="L35" s="579"/>
      <c r="M35" s="579"/>
      <c r="N35" s="575"/>
      <c r="O35" s="575"/>
      <c r="P35" s="575"/>
      <c r="Q35" s="572" t="s">
        <v>309</v>
      </c>
      <c r="R35" s="219">
        <f t="shared" si="76"/>
        <v>5.3750522547196889E-3</v>
      </c>
      <c r="S35" s="219">
        <f t="shared" si="76"/>
        <v>2.6704296134811398E-3</v>
      </c>
      <c r="T35" s="219">
        <f t="shared" si="76"/>
        <v>6.8546166789946062E-3</v>
      </c>
      <c r="U35" s="219">
        <f t="shared" si="76"/>
        <v>3.7574061919682174E-3</v>
      </c>
      <c r="V35" s="219">
        <f t="shared" si="76"/>
        <v>1.9011444483002537E-3</v>
      </c>
      <c r="W35" s="219">
        <f t="shared" si="76"/>
        <v>6.2425770314628905E-4</v>
      </c>
      <c r="X35" s="219">
        <f t="shared" si="76"/>
        <v>6.2849644516125755E-4</v>
      </c>
      <c r="Y35" s="219">
        <f t="shared" si="76"/>
        <v>6.3110925961950691E-4</v>
      </c>
      <c r="Z35" s="219">
        <f t="shared" si="76"/>
        <v>2.7900954142100112E-4</v>
      </c>
      <c r="AA35" s="219">
        <f t="shared" si="76"/>
        <v>5.6601838691780517E-5</v>
      </c>
      <c r="AB35" s="219">
        <f t="shared" si="76"/>
        <v>8.5062240843005431E-6</v>
      </c>
      <c r="AC35" s="219">
        <f t="shared" si="76"/>
        <v>9.0985213911144532E-6</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3">
      <c r="A36" s="211"/>
      <c r="B36" s="212"/>
      <c r="C36" s="212"/>
      <c r="D36" s="579"/>
      <c r="E36" s="579"/>
      <c r="F36" s="579"/>
      <c r="G36" s="579"/>
      <c r="H36" s="579"/>
      <c r="I36" s="579"/>
      <c r="J36" s="579"/>
      <c r="K36" s="579"/>
      <c r="L36" s="579"/>
      <c r="M36" s="579"/>
      <c r="N36" s="575"/>
      <c r="O36" s="575"/>
      <c r="P36" s="575"/>
      <c r="Q36" s="572" t="s">
        <v>310</v>
      </c>
      <c r="R36" s="219">
        <f t="shared" si="76"/>
        <v>2.9311099343751462E-2</v>
      </c>
      <c r="S36" s="219">
        <f t="shared" si="76"/>
        <v>4.7131047544950254E-2</v>
      </c>
      <c r="T36" s="219">
        <f t="shared" si="76"/>
        <v>4.0043904649656327E-2</v>
      </c>
      <c r="U36" s="219">
        <f t="shared" si="76"/>
        <v>3.2293378693428944E-2</v>
      </c>
      <c r="V36" s="219">
        <f t="shared" si="76"/>
        <v>3.220150695988442E-2</v>
      </c>
      <c r="W36" s="219">
        <f t="shared" si="76"/>
        <v>3.2141777398090147E-2</v>
      </c>
      <c r="X36" s="219">
        <f t="shared" si="76"/>
        <v>1.9042286645118717E-2</v>
      </c>
      <c r="Y36" s="219">
        <f t="shared" si="76"/>
        <v>1.0654910577778932E-2</v>
      </c>
      <c r="Z36" s="219">
        <f t="shared" si="76"/>
        <v>8.6527421600479746E-3</v>
      </c>
      <c r="AA36" s="219">
        <f t="shared" si="76"/>
        <v>7.4308618528766178E-3</v>
      </c>
      <c r="AB36" s="219">
        <f t="shared" si="76"/>
        <v>8.6930326518710327E-3</v>
      </c>
      <c r="AC36" s="219">
        <f t="shared" si="76"/>
        <v>1.9626867392772297E-2</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3">
      <c r="A37" s="209"/>
      <c r="B37" s="210"/>
      <c r="C37" s="210"/>
      <c r="D37" s="578"/>
      <c r="E37" s="578"/>
      <c r="F37" s="578"/>
      <c r="G37" s="578"/>
      <c r="H37" s="578"/>
      <c r="I37" s="578"/>
      <c r="J37" s="578"/>
      <c r="K37" s="578"/>
      <c r="L37" s="578"/>
      <c r="M37" s="578"/>
      <c r="N37" s="575"/>
      <c r="O37" s="575"/>
      <c r="P37" s="575"/>
      <c r="Q37" s="572" t="s">
        <v>312</v>
      </c>
      <c r="R37" s="219">
        <f t="shared" si="76"/>
        <v>2.259871658415057E-2</v>
      </c>
      <c r="S37" s="219">
        <f t="shared" si="76"/>
        <v>7.2588986670967196E-3</v>
      </c>
      <c r="T37" s="219">
        <f t="shared" si="76"/>
        <v>5.250700586388996E-3</v>
      </c>
      <c r="U37" s="219">
        <f t="shared" si="76"/>
        <v>3.8616087658981798E-3</v>
      </c>
      <c r="V37" s="219">
        <f t="shared" si="76"/>
        <v>1.573622805064208E-3</v>
      </c>
      <c r="W37" s="219">
        <f t="shared" si="76"/>
        <v>8.0563187763898538E-8</v>
      </c>
      <c r="X37" s="219">
        <f t="shared" si="76"/>
        <v>8.0807401536705171E-8</v>
      </c>
      <c r="Y37" s="219">
        <f t="shared" si="76"/>
        <v>8.0912692697405728E-8</v>
      </c>
      <c r="Z37" s="219">
        <f t="shared" si="76"/>
        <v>8.001539487821651E-8</v>
      </c>
      <c r="AA37" s="219">
        <f t="shared" si="76"/>
        <v>7.936599869572097E-8</v>
      </c>
      <c r="AB37" s="219">
        <f t="shared" si="76"/>
        <v>8.5062240843005433E-8</v>
      </c>
      <c r="AC37" s="219">
        <f t="shared" si="76"/>
        <v>9.0985213911144536E-8</v>
      </c>
      <c r="AE37" s="205" t="s">
        <v>20</v>
      </c>
      <c r="AF37" s="219">
        <f t="shared" ref="AF37:AQ45" si="79">AF9/AF$8</f>
        <v>0.77628428451802955</v>
      </c>
      <c r="AG37" s="219">
        <f t="shared" si="79"/>
        <v>0.694080913019545</v>
      </c>
      <c r="AH37" s="219">
        <f t="shared" si="79"/>
        <v>0.64968807448355859</v>
      </c>
      <c r="AI37" s="219">
        <f t="shared" si="79"/>
        <v>0.64070667842964546</v>
      </c>
      <c r="AJ37" s="219">
        <f t="shared" si="79"/>
        <v>0.60838985071414897</v>
      </c>
      <c r="AK37" s="219">
        <f t="shared" si="79"/>
        <v>0.58763583648080275</v>
      </c>
      <c r="AL37" s="219">
        <f t="shared" si="79"/>
        <v>0.54679704388350836</v>
      </c>
      <c r="AM37" s="219">
        <f t="shared" si="79"/>
        <v>0.52181704301620235</v>
      </c>
      <c r="AN37" s="219">
        <f t="shared" si="79"/>
        <v>0.48512696566393992</v>
      </c>
      <c r="AO37" s="219">
        <f t="shared" si="79"/>
        <v>0.46318595191640194</v>
      </c>
      <c r="AP37" s="219">
        <f t="shared" si="79"/>
        <v>0.37197232532750479</v>
      </c>
      <c r="AQ37" s="219">
        <f t="shared" si="79"/>
        <v>0.27258246640993278</v>
      </c>
      <c r="AS37" s="205" t="s">
        <v>20</v>
      </c>
      <c r="AT37" s="219">
        <f t="shared" ref="AT37:BE45" si="80">AT9/AT$8</f>
        <v>0.77628428451802955</v>
      </c>
      <c r="AU37" s="219">
        <f t="shared" si="80"/>
        <v>0.694080913019545</v>
      </c>
      <c r="AV37" s="219">
        <f t="shared" si="80"/>
        <v>0.64968807448355859</v>
      </c>
      <c r="AW37" s="219">
        <f t="shared" ref="AW37:BE39" si="81">AV9/AV$8</f>
        <v>0.64968807448355859</v>
      </c>
      <c r="AX37" s="219">
        <f t="shared" si="81"/>
        <v>0.64070667842964546</v>
      </c>
      <c r="AY37" s="219">
        <f t="shared" si="81"/>
        <v>0.60838985071414897</v>
      </c>
      <c r="AZ37" s="219">
        <f t="shared" si="81"/>
        <v>0.58736422158724488</v>
      </c>
      <c r="BA37" s="219">
        <f t="shared" si="81"/>
        <v>0.54667390351664791</v>
      </c>
      <c r="BB37" s="219">
        <f t="shared" si="81"/>
        <v>0.52170143477517594</v>
      </c>
      <c r="BC37" s="219">
        <f t="shared" si="81"/>
        <v>0.48502210927673917</v>
      </c>
      <c r="BD37" s="219">
        <f t="shared" si="81"/>
        <v>0.46298881371446621</v>
      </c>
      <c r="BE37" s="219">
        <f t="shared" si="81"/>
        <v>0.37173834846839326</v>
      </c>
    </row>
    <row r="38" spans="1:57" ht="13">
      <c r="A38" s="199" t="s">
        <v>42</v>
      </c>
      <c r="B38" s="200">
        <f>'Bilan 2015'!$C$34*(1-SUM('Bilan 2015'!$M$26:$P$34)/'Bilan 2015'!$D$30)+'Bilan 2015'!$C$46</f>
        <v>5.5321903370544652</v>
      </c>
      <c r="C38" s="200">
        <f>'Bilan 2020'!$C$34*(1-SUM('Bilan 2020'!$M$26:$P$34)/'Bilan 2020'!$D$30)+'Bilan 2020'!$C$46</f>
        <v>49.830275396336631</v>
      </c>
      <c r="D38" s="200">
        <f>'Bilan 2023 AMS'!$C$34*(1-SUM('Bilan 2023 AMS'!$M$26:$P$34)/'Bilan 2023 AMS'!$D$30)+'Bilan 2023 AMS'!$C$46</f>
        <v>48.595118385590432</v>
      </c>
      <c r="E38" s="200">
        <f>'Bilan 2025 AMS'!$C$34*(1-SUM('Bilan 2025 AMS'!$M$26:$P$34)/'Bilan 2025 AMS'!$D$30)+'Bilan 2025 AMS'!$C$46</f>
        <v>36.76320322916078</v>
      </c>
      <c r="F38" s="200">
        <f>'Bilan 2028 AMS'!$C$34*(1-SUM('Bilan 2028 AMS'!$M$26:$P$34)/'Bilan 2028 AMS'!$D$30)+'Bilan 2028 AMS'!$C$46</f>
        <v>25.876769590065134</v>
      </c>
      <c r="G38" s="200">
        <f>'Bilan 2030 AMS'!$C$34*(1-SUM('Bilan 2030 AMS'!$M$26:$P$34)/'Bilan 2030 AMS'!$D$30)+'Bilan 2030 AMS'!$C$46</f>
        <v>19.500894978355525</v>
      </c>
      <c r="H38" s="200">
        <f>'Bilan 2033 AMS'!$C$34*(1-SUM('Bilan 2033 AMS'!$M$26:$P$34)/'Bilan 2033 AMS'!$D$30)+'Bilan 2033 AMS'!$C$46</f>
        <v>17.481730816264069</v>
      </c>
      <c r="I38" s="200">
        <f>'Bilan 2035 AMS'!$C$34*(1-SUM('Bilan 2035 AMS'!$M$26:$P$34)/'Bilan 2035 AMS'!$D$30)+'Bilan 2035 AMS'!$C$46</f>
        <v>16.178882267256224</v>
      </c>
      <c r="J38" s="200">
        <f>'Bilan 2038 AMS'!$C$34*(1-SUM('Bilan 2038 AMS'!$M$26:$P$34)/'Bilan 2038 AMS'!$D$30)+'Bilan 2038 AMS'!$C$46</f>
        <v>13.859177019435306</v>
      </c>
      <c r="K38" s="200">
        <f>'Bilan 2040 AMS'!$C$34*(1-SUM('Bilan 2040 AMS'!$M$26:$P$34)/'Bilan 2040 AMS'!$D$30)+'Bilan 2040 AMS'!$C$46</f>
        <v>12.402103294712147</v>
      </c>
      <c r="L38" s="200">
        <f>'Bilan 2045 AMS'!$C$34*(1-SUM('Bilan 2045 AMS'!$M$26:$P$34)/'Bilan 2045 AMS'!$D$30)+'Bilan 2045 AMS'!$C$46</f>
        <v>9.1088960408946864</v>
      </c>
      <c r="M38" s="200">
        <f>'Bilan 2050 AMS'!$C$34*(1-SUM('Bilan 2050 AMS'!$M$26:$P$34)/'Bilan 2050 AMS'!$D$30)+'Bilan 2050 AMS'!$C$46</f>
        <v>5.9311888025037742</v>
      </c>
      <c r="N38" s="216"/>
      <c r="O38" s="216">
        <f>G38-'Bilan 2030 AMS'!$C$46</f>
        <v>0</v>
      </c>
      <c r="P38" s="216">
        <f>M38-'Bilan 2050 AMS'!$C$46</f>
        <v>0</v>
      </c>
      <c r="Q38" s="572" t="s">
        <v>17</v>
      </c>
      <c r="R38" s="219">
        <f t="shared" si="76"/>
        <v>2.0341142318019367E-2</v>
      </c>
      <c r="S38" s="219">
        <f t="shared" si="76"/>
        <v>3.3815750462641292E-2</v>
      </c>
      <c r="T38" s="219">
        <f t="shared" si="76"/>
        <v>4.0731275203644397E-2</v>
      </c>
      <c r="U38" s="219">
        <f t="shared" si="76"/>
        <v>4.6324830803904503E-2</v>
      </c>
      <c r="V38" s="219">
        <f t="shared" si="76"/>
        <v>5.5691355328428657E-2</v>
      </c>
      <c r="W38" s="219">
        <f t="shared" si="76"/>
        <v>6.2075609260461684E-2</v>
      </c>
      <c r="X38" s="219">
        <f t="shared" si="76"/>
        <v>8.2690426054488397E-2</v>
      </c>
      <c r="Y38" s="219">
        <f t="shared" si="76"/>
        <v>9.6106856530644283E-2</v>
      </c>
      <c r="Z38" s="219">
        <f t="shared" si="76"/>
        <v>0.11598853140218576</v>
      </c>
      <c r="AA38" s="219">
        <f t="shared" si="76"/>
        <v>0.12838337067091188</v>
      </c>
      <c r="AB38" s="219">
        <f t="shared" si="76"/>
        <v>0.17884171789556363</v>
      </c>
      <c r="AC38" s="219">
        <f t="shared" si="76"/>
        <v>0.23993375547382637</v>
      </c>
      <c r="AE38" s="205" t="s">
        <v>309</v>
      </c>
      <c r="AF38" s="219">
        <f t="shared" si="79"/>
        <v>6.10057444272534E-3</v>
      </c>
      <c r="AG38" s="219">
        <f t="shared" si="79"/>
        <v>2.9085724808014545E-3</v>
      </c>
      <c r="AH38" s="219">
        <f t="shared" si="79"/>
        <v>7.3780105512383449E-3</v>
      </c>
      <c r="AI38" s="219">
        <f t="shared" si="79"/>
        <v>3.9772643624029769E-3</v>
      </c>
      <c r="AJ38" s="219">
        <f t="shared" si="79"/>
        <v>1.929435895806686E-3</v>
      </c>
      <c r="AK38" s="219">
        <f t="shared" si="79"/>
        <v>6.1176234376680112E-4</v>
      </c>
      <c r="AL38" s="219">
        <f t="shared" si="79"/>
        <v>5.9076116059657887E-4</v>
      </c>
      <c r="AM38" s="219">
        <f t="shared" si="79"/>
        <v>5.7792356291345678E-4</v>
      </c>
      <c r="AN38" s="219">
        <f t="shared" si="79"/>
        <v>2.4275312432567696E-4</v>
      </c>
      <c r="AO38" s="219">
        <f t="shared" si="79"/>
        <v>4.2672788088958466E-5</v>
      </c>
      <c r="AP38" s="219">
        <f t="shared" si="79"/>
        <v>0</v>
      </c>
      <c r="AQ38" s="219">
        <f t="shared" si="79"/>
        <v>0</v>
      </c>
      <c r="AS38" s="205" t="s">
        <v>309</v>
      </c>
      <c r="AT38" s="219">
        <f t="shared" si="80"/>
        <v>6.10057444272534E-3</v>
      </c>
      <c r="AU38" s="219">
        <f t="shared" si="80"/>
        <v>2.9085724808014545E-3</v>
      </c>
      <c r="AV38" s="219">
        <f t="shared" si="80"/>
        <v>7.3780105512383449E-3</v>
      </c>
      <c r="AW38" s="219">
        <f t="shared" si="81"/>
        <v>7.3780105512383449E-3</v>
      </c>
      <c r="AX38" s="219">
        <f t="shared" si="81"/>
        <v>3.9772643624029769E-3</v>
      </c>
      <c r="AY38" s="219">
        <f t="shared" si="81"/>
        <v>1.929435895806686E-3</v>
      </c>
      <c r="AZ38" s="219">
        <f t="shared" si="81"/>
        <v>6.1147957720702139E-4</v>
      </c>
      <c r="BA38" s="219">
        <f t="shared" si="81"/>
        <v>5.9062811937615441E-4</v>
      </c>
      <c r="BB38" s="219">
        <f t="shared" si="81"/>
        <v>5.7779552430787585E-4</v>
      </c>
      <c r="BC38" s="219">
        <f t="shared" si="81"/>
        <v>2.427006551425557E-4</v>
      </c>
      <c r="BD38" s="219">
        <f t="shared" si="81"/>
        <v>2.5546138438252956E-4</v>
      </c>
      <c r="BE38" s="219">
        <f t="shared" si="81"/>
        <v>2.0967228221028896E-4</v>
      </c>
    </row>
    <row r="39" spans="1:57" ht="13">
      <c r="B39" s="215">
        <f>B2-'Bilan 2015'!$C$5</f>
        <v>5.6682378545929168E-3</v>
      </c>
      <c r="C39" s="215">
        <f>C2-'Bilan 2020'!$C$5</f>
        <v>0</v>
      </c>
      <c r="D39" s="215">
        <f>D2-'Bilan 2023 AMS'!$C$5</f>
        <v>0</v>
      </c>
      <c r="E39" s="215">
        <f>E2-'Bilan 2025 AMS'!$C$5</f>
        <v>0</v>
      </c>
      <c r="F39" s="215">
        <f>F2-'Bilan 2028 AMS'!$C$5</f>
        <v>0</v>
      </c>
      <c r="G39" s="215">
        <f>G2-'Bilan 2030 AMS'!$C$5</f>
        <v>0</v>
      </c>
      <c r="H39" s="215">
        <f>H2-'Bilan 2033 AMS'!$C$5</f>
        <v>0</v>
      </c>
      <c r="I39" s="215">
        <f>I2-'Bilan 2035 AMS'!$C$5</f>
        <v>0</v>
      </c>
      <c r="J39" s="215">
        <f>J2-'Bilan 2038 AMS'!$C$5</f>
        <v>0</v>
      </c>
      <c r="K39" s="215">
        <f>K2-'Bilan 2040 AMS'!$C$5</f>
        <v>0</v>
      </c>
      <c r="L39" s="215">
        <f>L2-'Bilan 2045 AMS'!$C$5</f>
        <v>0</v>
      </c>
      <c r="M39" s="215">
        <f>M2-'Bilan 2050 AMS'!$C$5</f>
        <v>0</v>
      </c>
      <c r="N39" s="215"/>
      <c r="Q39" s="572" t="s">
        <v>279</v>
      </c>
      <c r="R39" s="219">
        <f t="shared" si="76"/>
        <v>8.9644457331014837E-3</v>
      </c>
      <c r="S39" s="219">
        <f t="shared" si="76"/>
        <v>1.4902774642990954E-2</v>
      </c>
      <c r="T39" s="219">
        <f t="shared" si="76"/>
        <v>1.7270522180257541E-2</v>
      </c>
      <c r="U39" s="219">
        <f t="shared" si="76"/>
        <v>2.2557426299557547E-2</v>
      </c>
      <c r="V39" s="219">
        <f t="shared" si="76"/>
        <v>3.4805373892150153E-2</v>
      </c>
      <c r="W39" s="219">
        <f t="shared" si="76"/>
        <v>4.2938034347580839E-2</v>
      </c>
      <c r="X39" s="219">
        <f t="shared" si="76"/>
        <v>5.4485404447259501E-2</v>
      </c>
      <c r="Y39" s="219">
        <f t="shared" si="76"/>
        <v>6.2009598689582161E-2</v>
      </c>
      <c r="Z39" s="219">
        <f t="shared" si="76"/>
        <v>7.028984322363678E-2</v>
      </c>
      <c r="AA39" s="219">
        <f t="shared" si="76"/>
        <v>7.5499090684918072E-2</v>
      </c>
      <c r="AB39" s="219">
        <f t="shared" si="76"/>
        <v>9.983725345112654E-2</v>
      </c>
      <c r="AC39" s="219">
        <f t="shared" si="76"/>
        <v>0.12476745361029494</v>
      </c>
      <c r="AE39" s="205" t="s">
        <v>310</v>
      </c>
      <c r="AF39" s="219">
        <f t="shared" si="79"/>
        <v>3.9833488081140296E-2</v>
      </c>
      <c r="AG39" s="219">
        <f t="shared" si="79"/>
        <v>5.6350954748359057E-2</v>
      </c>
      <c r="AH39" s="219">
        <f t="shared" si="79"/>
        <v>4.5707771685797205E-2</v>
      </c>
      <c r="AI39" s="219">
        <f t="shared" si="79"/>
        <v>3.5796665422331717E-2</v>
      </c>
      <c r="AJ39" s="219">
        <f t="shared" si="79"/>
        <v>3.4597332124383477E-2</v>
      </c>
      <c r="AK39" s="219">
        <f t="shared" si="79"/>
        <v>3.3824970603829184E-2</v>
      </c>
      <c r="AL39" s="219">
        <f t="shared" si="79"/>
        <v>1.8756772288630354E-2</v>
      </c>
      <c r="AM39" s="219">
        <f t="shared" si="79"/>
        <v>1.0025021962907275E-2</v>
      </c>
      <c r="AN39" s="219">
        <f t="shared" si="79"/>
        <v>8.2879459967776393E-3</v>
      </c>
      <c r="AO39" s="219">
        <f t="shared" si="79"/>
        <v>7.2744413141193872E-3</v>
      </c>
      <c r="AP39" s="219">
        <f t="shared" si="79"/>
        <v>9.1316690361110796E-3</v>
      </c>
      <c r="AQ39" s="219">
        <f t="shared" si="79"/>
        <v>1.9200137383354732E-2</v>
      </c>
      <c r="AS39" s="205" t="s">
        <v>310</v>
      </c>
      <c r="AT39" s="219">
        <f t="shared" si="80"/>
        <v>3.9833488081140296E-2</v>
      </c>
      <c r="AU39" s="219">
        <f t="shared" si="80"/>
        <v>5.6350954748359057E-2</v>
      </c>
      <c r="AV39" s="219">
        <f t="shared" si="80"/>
        <v>4.5707771685797205E-2</v>
      </c>
      <c r="AW39" s="219">
        <f t="shared" si="81"/>
        <v>4.5707771685797205E-2</v>
      </c>
      <c r="AX39" s="219">
        <f t="shared" si="81"/>
        <v>3.5796665422331717E-2</v>
      </c>
      <c r="AY39" s="219">
        <f t="shared" si="81"/>
        <v>3.4597332124383477E-2</v>
      </c>
      <c r="AZ39" s="219">
        <f t="shared" si="81"/>
        <v>3.3809336149257491E-2</v>
      </c>
      <c r="BA39" s="219">
        <f t="shared" si="81"/>
        <v>1.8752548206136539E-2</v>
      </c>
      <c r="BB39" s="219">
        <f t="shared" si="81"/>
        <v>1.0022800925532404E-2</v>
      </c>
      <c r="BC39" s="219">
        <f t="shared" si="81"/>
        <v>8.2861546222797334E-3</v>
      </c>
      <c r="BD39" s="219">
        <f t="shared" si="81"/>
        <v>7.2713452135688E-3</v>
      </c>
      <c r="BE39" s="219">
        <f t="shared" si="81"/>
        <v>9.1259250624495074E-3</v>
      </c>
    </row>
    <row r="40" spans="1:57" ht="13">
      <c r="A40" s="193" t="s">
        <v>313</v>
      </c>
      <c r="B40" s="222"/>
      <c r="M40" s="222"/>
      <c r="N40" s="221"/>
      <c r="Q40" s="572" t="s">
        <v>418</v>
      </c>
      <c r="R40" s="219">
        <f t="shared" si="76"/>
        <v>2.4855963169054116E-2</v>
      </c>
      <c r="S40" s="219">
        <f t="shared" si="76"/>
        <v>4.1321329691929462E-2</v>
      </c>
      <c r="T40" s="219">
        <f t="shared" si="76"/>
        <v>4.9125890429730916E-2</v>
      </c>
      <c r="U40" s="219">
        <f t="shared" si="76"/>
        <v>4.9401436378238524E-2</v>
      </c>
      <c r="V40" s="219">
        <f t="shared" si="76"/>
        <v>4.9294275818041161E-2</v>
      </c>
      <c r="W40" s="219">
        <f t="shared" si="76"/>
        <v>4.9504368510371655E-2</v>
      </c>
      <c r="X40" s="219">
        <f t="shared" si="76"/>
        <v>4.9547177946995029E-2</v>
      </c>
      <c r="Y40" s="219">
        <f t="shared" si="76"/>
        <v>4.9629414461648945E-2</v>
      </c>
      <c r="Z40" s="219">
        <f t="shared" si="76"/>
        <v>4.7814586533487684E-2</v>
      </c>
      <c r="AA40" s="219">
        <f t="shared" si="76"/>
        <v>4.6808274317130694E-2</v>
      </c>
      <c r="AB40" s="219">
        <f t="shared" si="76"/>
        <v>5.1295601270826434E-2</v>
      </c>
      <c r="AC40" s="219">
        <f t="shared" si="76"/>
        <v>5.5240131700667452E-2</v>
      </c>
      <c r="AE40" s="205" t="s">
        <v>312</v>
      </c>
      <c r="AF40" s="219">
        <f t="shared" si="79"/>
        <v>1.8808080016072988E-2</v>
      </c>
      <c r="AG40" s="219">
        <f t="shared" si="79"/>
        <v>5.7328032960696287E-3</v>
      </c>
      <c r="AH40" s="219">
        <f t="shared" si="79"/>
        <v>4.0906400964201041E-3</v>
      </c>
      <c r="AI40" s="219">
        <f t="shared" si="79"/>
        <v>2.9612773761329785E-3</v>
      </c>
      <c r="AJ40" s="219">
        <f t="shared" si="79"/>
        <v>1.1594100544814777E-3</v>
      </c>
      <c r="AK40" s="219">
        <f t="shared" si="79"/>
        <v>0</v>
      </c>
      <c r="AL40" s="219">
        <f t="shared" si="79"/>
        <v>0</v>
      </c>
      <c r="AM40" s="219">
        <f t="shared" si="79"/>
        <v>0</v>
      </c>
      <c r="AN40" s="219">
        <f t="shared" si="79"/>
        <v>0</v>
      </c>
      <c r="AO40" s="219">
        <f t="shared" si="79"/>
        <v>0</v>
      </c>
      <c r="AP40" s="219">
        <f t="shared" si="79"/>
        <v>0</v>
      </c>
      <c r="AQ40" s="219">
        <f t="shared" si="79"/>
        <v>0</v>
      </c>
      <c r="AS40" s="205" t="s">
        <v>312</v>
      </c>
      <c r="AT40" s="219">
        <f t="shared" si="80"/>
        <v>1.8808080016072988E-2</v>
      </c>
      <c r="AU40" s="219">
        <f t="shared" si="80"/>
        <v>5.7328032960696287E-3</v>
      </c>
      <c r="AV40" s="219">
        <f t="shared" si="80"/>
        <v>4.0906400964201041E-3</v>
      </c>
      <c r="AW40" s="219">
        <f t="shared" si="80"/>
        <v>2.9612773761329785E-3</v>
      </c>
      <c r="AX40" s="219">
        <f t="shared" si="80"/>
        <v>1.1594100544814777E-3</v>
      </c>
      <c r="AY40" s="219">
        <f t="shared" si="80"/>
        <v>4.6221635355756695E-4</v>
      </c>
      <c r="AZ40" s="219">
        <f t="shared" si="80"/>
        <v>2.2520305886400917E-4</v>
      </c>
      <c r="BA40" s="219">
        <f t="shared" si="80"/>
        <v>2.2154937745659623E-4</v>
      </c>
      <c r="BB40" s="219">
        <f t="shared" si="80"/>
        <v>2.1614215374983898E-4</v>
      </c>
      <c r="BC40" s="219">
        <f t="shared" si="80"/>
        <v>2.1280675840898208E-4</v>
      </c>
      <c r="BD40" s="219">
        <f t="shared" si="80"/>
        <v>2.0967228221028896E-4</v>
      </c>
      <c r="BE40" s="219">
        <f t="shared" si="80"/>
        <v>2.1416341773182018E-4</v>
      </c>
    </row>
    <row r="41" spans="1:57" ht="13">
      <c r="A41" s="193" t="s">
        <v>314</v>
      </c>
      <c r="B41" s="222">
        <f>B2-SUM('Bilan 2015'!D51:D55)</f>
        <v>256.0122500057156</v>
      </c>
      <c r="C41" s="222">
        <f>C2-SUM('Bilan 2020'!E51:E55)</f>
        <v>2389.4727507478074</v>
      </c>
      <c r="D41" s="222">
        <f>D2-SUM('Bilan 2023 AMS'!F51:F55)</f>
        <v>2562.3565436459603</v>
      </c>
      <c r="E41" s="222">
        <f>E2-SUM('Bilan 2025 AMS'!G51:G55)</f>
        <v>2515.6038628310966</v>
      </c>
      <c r="F41" s="222">
        <f>F2-SUM('Bilan 2028 AMS'!B51:B55)</f>
        <v>2370.96801333945</v>
      </c>
      <c r="G41" s="222">
        <f>G2-SUM('Bilan 2030 AMS'!H51:H55)</f>
        <v>2277.1872780746985</v>
      </c>
      <c r="H41" s="222">
        <f>H2-SUM('Bilan 2033 AMS'!D51:D55)</f>
        <v>2204.5856621827957</v>
      </c>
      <c r="I41" s="222">
        <f>I2-SUM('Bilan 2035 AMS'!E51:E55)</f>
        <v>2054.508829977869</v>
      </c>
      <c r="J41" s="222">
        <f>J2-SUM('Bilan 2038 AMS'!F51:F55)</f>
        <v>2111.4839336593523</v>
      </c>
      <c r="K41" s="222">
        <f>K2-SUM('Bilan 2040 AMS'!G51:G55)</f>
        <v>2079.6787440826852</v>
      </c>
      <c r="L41" s="222">
        <f>L2-SUM('Bilan 2045 AMS'!H51:H55)</f>
        <v>1907.5955897344315</v>
      </c>
      <c r="M41" s="222">
        <f>M2-SUM('Bilan 2050 AMS'!I51:I55)</f>
        <v>1819.2099246348473</v>
      </c>
      <c r="N41" s="221"/>
      <c r="Q41" s="572" t="s">
        <v>282</v>
      </c>
      <c r="R41" s="219">
        <f t="shared" si="76"/>
        <v>2.7394469160807507E-2</v>
      </c>
      <c r="S41" s="219">
        <f t="shared" si="76"/>
        <v>2.0990424289473866E-2</v>
      </c>
      <c r="T41" s="219">
        <f t="shared" si="76"/>
        <v>3.9484510074974374E-2</v>
      </c>
      <c r="U41" s="219">
        <f t="shared" si="76"/>
        <v>3.9091482251076858E-2</v>
      </c>
      <c r="V41" s="219">
        <f t="shared" si="76"/>
        <v>3.5057470655972159E-2</v>
      </c>
      <c r="W41" s="219">
        <f t="shared" si="76"/>
        <v>3.2669773337420119E-2</v>
      </c>
      <c r="X41" s="219">
        <f t="shared" si="76"/>
        <v>3.3144277075096373E-2</v>
      </c>
      <c r="Y41" s="219">
        <f t="shared" si="76"/>
        <v>3.3508578108598662E-2</v>
      </c>
      <c r="Z41" s="219">
        <f t="shared" si="76"/>
        <v>3.2041549156465905E-2</v>
      </c>
      <c r="AA41" s="219">
        <f t="shared" si="76"/>
        <v>3.1238708469169256E-2</v>
      </c>
      <c r="AB41" s="219">
        <f t="shared" si="76"/>
        <v>2.4666011579777027E-2</v>
      </c>
      <c r="AC41" s="219">
        <f t="shared" si="76"/>
        <v>2.3085784765218123E-2</v>
      </c>
      <c r="AE41" s="202" t="s">
        <v>21</v>
      </c>
      <c r="AF41" s="202"/>
      <c r="AG41" s="219">
        <f t="shared" si="79"/>
        <v>5.1960185794578144E-3</v>
      </c>
      <c r="AH41" s="219">
        <f t="shared" si="79"/>
        <v>5.8760764143869545E-3</v>
      </c>
      <c r="AI41" s="219">
        <f t="shared" si="79"/>
        <v>5.4630676032896728E-3</v>
      </c>
      <c r="AJ41" s="219">
        <f t="shared" si="79"/>
        <v>5.8277883710049234E-3</v>
      </c>
      <c r="AK41" s="219">
        <f t="shared" si="79"/>
        <v>6.0628192742986781E-3</v>
      </c>
      <c r="AL41" s="219">
        <f t="shared" si="79"/>
        <v>4.2174302645836027E-3</v>
      </c>
      <c r="AM41" s="219">
        <f t="shared" si="79"/>
        <v>2.6103919642678514E-3</v>
      </c>
      <c r="AN41" s="219">
        <f t="shared" si="79"/>
        <v>1.7526306455514639E-3</v>
      </c>
      <c r="AO41" s="219">
        <f t="shared" si="79"/>
        <v>1.2405952202295069E-3</v>
      </c>
      <c r="AP41" s="219">
        <f t="shared" si="79"/>
        <v>9.2289068203139463E-5</v>
      </c>
      <c r="AQ41" s="219">
        <f t="shared" si="79"/>
        <v>8.3916964998379125E-5</v>
      </c>
      <c r="AS41" s="202" t="s">
        <v>21</v>
      </c>
      <c r="AT41" s="202"/>
      <c r="AU41" s="219">
        <f t="shared" si="80"/>
        <v>5.1960185794578144E-3</v>
      </c>
      <c r="AV41" s="219">
        <f t="shared" si="80"/>
        <v>5.8760764143869545E-3</v>
      </c>
      <c r="AW41" s="219">
        <f t="shared" si="80"/>
        <v>5.4630676032896728E-3</v>
      </c>
      <c r="AX41" s="219">
        <f t="shared" si="80"/>
        <v>5.8277883710049234E-3</v>
      </c>
      <c r="AY41" s="219">
        <f t="shared" si="80"/>
        <v>6.0600169400814334E-3</v>
      </c>
      <c r="AZ41" s="219">
        <f t="shared" si="80"/>
        <v>4.2164804863874727E-3</v>
      </c>
      <c r="BA41" s="219">
        <f t="shared" si="80"/>
        <v>2.6098136335532506E-3</v>
      </c>
      <c r="BB41" s="219">
        <f t="shared" si="80"/>
        <v>1.7522518281890063E-3</v>
      </c>
      <c r="BC41" s="219">
        <f t="shared" si="80"/>
        <v>1.2400672061348777E-3</v>
      </c>
      <c r="BD41" s="219">
        <f t="shared" si="80"/>
        <v>3.0190329903476875E-4</v>
      </c>
      <c r="BE41" s="219">
        <f t="shared" si="80"/>
        <v>2.9802646689811008E-4</v>
      </c>
    </row>
    <row r="42" spans="1:57" ht="13">
      <c r="A42" s="193" t="s">
        <v>315</v>
      </c>
      <c r="B42" s="222" t="str">
        <f>('Bilan 2015'!B13)</f>
        <v>Bois énergie</v>
      </c>
      <c r="C42" s="222">
        <f>('Bilan 2020'!C13)</f>
        <v>15.525267102350799</v>
      </c>
      <c r="D42" s="222">
        <f>('Bilan 2023 AMS'!$C$13)</f>
        <v>35.526476644989941</v>
      </c>
      <c r="E42" s="222">
        <f>('Bilan 2025 AMS'!$C$13)</f>
        <v>33.862945169490679</v>
      </c>
      <c r="F42" s="222">
        <f>('Bilan 2028 AMS'!$C$13)</f>
        <v>29.565327526851199</v>
      </c>
      <c r="G42" s="222">
        <f>('Bilan 2030 AMS'!$C$13)</f>
        <v>27.099203250664136</v>
      </c>
      <c r="H42" s="222">
        <f>('Bilan 2033 AMS'!$C$13)</f>
        <v>26.063195396520957</v>
      </c>
      <c r="I42" s="222">
        <f>('Bilan 2035 AMS'!$C$13)</f>
        <v>25.455194099059376</v>
      </c>
      <c r="J42" s="222">
        <f>('Bilan 2038 AMS'!$C$13)</f>
        <v>22.176349392164049</v>
      </c>
      <c r="K42" s="222">
        <f>('Bilan 2040 AMS'!$C$13)</f>
        <v>20.176267010584041</v>
      </c>
      <c r="L42" s="222">
        <f>('Bilan 2045 AMS'!$C$13)</f>
        <v>14.188154051569427</v>
      </c>
      <c r="M42" s="222">
        <f>('Bilan 2050 AMS'!$C$13)</f>
        <v>14.491283228737107</v>
      </c>
      <c r="N42" s="221"/>
      <c r="Q42" s="571" t="s">
        <v>285</v>
      </c>
      <c r="R42" s="201"/>
      <c r="S42" s="201"/>
      <c r="T42" s="201"/>
      <c r="U42" s="201"/>
      <c r="V42" s="201"/>
      <c r="W42" s="201"/>
      <c r="X42" s="201"/>
      <c r="Y42" s="201"/>
      <c r="Z42" s="201"/>
      <c r="AA42" s="201"/>
      <c r="AB42" s="201"/>
      <c r="AC42" s="201"/>
      <c r="AE42" s="205" t="s">
        <v>17</v>
      </c>
      <c r="AF42" s="219">
        <f t="shared" ref="AF42:AF45" si="82">AF14/AF$8</f>
        <v>5.3217391539930201E-2</v>
      </c>
      <c r="AG42" s="219">
        <f t="shared" si="79"/>
        <v>8.3952357055837243E-2</v>
      </c>
      <c r="AH42" s="219">
        <f t="shared" si="79"/>
        <v>9.9751533579128207E-2</v>
      </c>
      <c r="AI42" s="219">
        <f t="shared" si="79"/>
        <v>0.11167369864462563</v>
      </c>
      <c r="AJ42" s="219">
        <f t="shared" si="79"/>
        <v>0.12899225277954524</v>
      </c>
      <c r="AK42" s="219">
        <f t="shared" si="79"/>
        <v>0.14006460009809765</v>
      </c>
      <c r="AL42" s="219">
        <f t="shared" si="79"/>
        <v>0.17895000104507555</v>
      </c>
      <c r="AM42" s="219">
        <f t="shared" si="79"/>
        <v>0.20261496095299716</v>
      </c>
      <c r="AN42" s="219">
        <f t="shared" si="79"/>
        <v>0.23612669420508861</v>
      </c>
      <c r="AO42" s="219">
        <f t="shared" si="79"/>
        <v>0.25585167076577209</v>
      </c>
      <c r="AP42" s="219">
        <f t="shared" si="79"/>
        <v>0.32300330997708387</v>
      </c>
      <c r="AQ42" s="219">
        <f t="shared" si="79"/>
        <v>0.39290491345090334</v>
      </c>
      <c r="AS42" s="205" t="s">
        <v>17</v>
      </c>
      <c r="AT42" s="219">
        <f t="shared" ref="AT42:AT45" si="83">AT14/AT$8</f>
        <v>5.3217391539930201E-2</v>
      </c>
      <c r="AU42" s="219">
        <f t="shared" si="80"/>
        <v>8.3952357055837243E-2</v>
      </c>
      <c r="AV42" s="219">
        <f t="shared" si="80"/>
        <v>9.9751533579128207E-2</v>
      </c>
      <c r="AW42" s="219">
        <f t="shared" si="80"/>
        <v>0.11167369864462563</v>
      </c>
      <c r="AX42" s="219">
        <f t="shared" si="80"/>
        <v>0.12899225277954524</v>
      </c>
      <c r="AY42" s="219">
        <f t="shared" si="80"/>
        <v>0.1399998599493778</v>
      </c>
      <c r="AZ42" s="219">
        <f t="shared" si="80"/>
        <v>0.17890970095745645</v>
      </c>
      <c r="BA42" s="219">
        <f t="shared" si="80"/>
        <v>0.20257007173453465</v>
      </c>
      <c r="BB42" s="219">
        <f t="shared" si="80"/>
        <v>0.2360756572728453</v>
      </c>
      <c r="BC42" s="219">
        <f t="shared" si="80"/>
        <v>0.25574277683639374</v>
      </c>
      <c r="BD42" s="219">
        <f t="shared" si="80"/>
        <v>0.32280013545359071</v>
      </c>
      <c r="BE42" s="219">
        <f t="shared" si="80"/>
        <v>0.39265247587357849</v>
      </c>
    </row>
    <row r="43" spans="1:57" ht="13">
      <c r="A43" s="193" t="s">
        <v>311</v>
      </c>
      <c r="B43" s="222"/>
      <c r="M43" s="222"/>
      <c r="N43" s="221"/>
      <c r="Q43" s="572" t="s">
        <v>287</v>
      </c>
      <c r="R43" s="219">
        <f t="shared" ref="R43:AC48" si="84">R17/R$16</f>
        <v>0.68691548310780493</v>
      </c>
      <c r="S43" s="219">
        <f t="shared" si="84"/>
        <v>0.68302225440697006</v>
      </c>
      <c r="T43" s="219">
        <f t="shared" si="84"/>
        <v>0.62198609170742891</v>
      </c>
      <c r="U43" s="219">
        <f t="shared" si="84"/>
        <v>0.58625051247610771</v>
      </c>
      <c r="V43" s="219">
        <f t="shared" si="84"/>
        <v>0.51628335062304331</v>
      </c>
      <c r="W43" s="219">
        <f t="shared" si="84"/>
        <v>0.47008268794529412</v>
      </c>
      <c r="X43" s="219">
        <f t="shared" si="84"/>
        <v>0.41113862007838681</v>
      </c>
      <c r="Y43" s="219">
        <f t="shared" si="84"/>
        <v>0.3771725296859641</v>
      </c>
      <c r="Z43" s="219">
        <f t="shared" si="84"/>
        <v>0.33349764883885896</v>
      </c>
      <c r="AA43" s="219">
        <f t="shared" si="84"/>
        <v>0.31084375213006971</v>
      </c>
      <c r="AB43" s="219">
        <f t="shared" si="84"/>
        <v>0.27300591969312149</v>
      </c>
      <c r="AC43" s="219">
        <f t="shared" si="84"/>
        <v>0.24136436218470014</v>
      </c>
      <c r="AE43" s="205" t="s">
        <v>279</v>
      </c>
      <c r="AF43" s="219">
        <f t="shared" si="82"/>
        <v>2.345317736134744E-2</v>
      </c>
      <c r="AG43" s="219">
        <f t="shared" si="79"/>
        <v>3.6998234279415447E-2</v>
      </c>
      <c r="AH43" s="219">
        <f t="shared" si="79"/>
        <v>4.2295780443399822E-2</v>
      </c>
      <c r="AI43" s="219">
        <f t="shared" si="79"/>
        <v>5.4378422609647654E-2</v>
      </c>
      <c r="AJ43" s="219">
        <f t="shared" si="79"/>
        <v>8.061616674089106E-2</v>
      </c>
      <c r="AK43" s="219">
        <f t="shared" si="79"/>
        <v>9.6883440719169878E-2</v>
      </c>
      <c r="AL43" s="219">
        <f t="shared" si="79"/>
        <v>0.11791163315996987</v>
      </c>
      <c r="AM43" s="219">
        <f t="shared" si="79"/>
        <v>0.1307302399719481</v>
      </c>
      <c r="AN43" s="219">
        <f t="shared" si="79"/>
        <v>0.14309439145358929</v>
      </c>
      <c r="AO43" s="219">
        <f t="shared" si="79"/>
        <v>0.15046005095587842</v>
      </c>
      <c r="AP43" s="219">
        <f t="shared" si="79"/>
        <v>0.18031454686968681</v>
      </c>
      <c r="AQ43" s="219">
        <f t="shared" si="79"/>
        <v>0.2043136676014316</v>
      </c>
      <c r="AS43" s="205" t="s">
        <v>279</v>
      </c>
      <c r="AT43" s="219">
        <f t="shared" si="83"/>
        <v>2.345317736134744E-2</v>
      </c>
      <c r="AU43" s="219">
        <f t="shared" si="80"/>
        <v>3.6998234279415447E-2</v>
      </c>
      <c r="AV43" s="219">
        <f t="shared" si="80"/>
        <v>4.2295780443399822E-2</v>
      </c>
      <c r="AW43" s="219">
        <f t="shared" si="80"/>
        <v>5.4378422609647654E-2</v>
      </c>
      <c r="AX43" s="219">
        <f t="shared" si="80"/>
        <v>8.061616674089106E-2</v>
      </c>
      <c r="AY43" s="219">
        <f t="shared" si="80"/>
        <v>9.6838659608480565E-2</v>
      </c>
      <c r="AZ43" s="219">
        <f t="shared" si="80"/>
        <v>0.1178850790995066</v>
      </c>
      <c r="BA43" s="219">
        <f t="shared" si="80"/>
        <v>0.13070127676866758</v>
      </c>
      <c r="BB43" s="219">
        <f t="shared" si="80"/>
        <v>0.14306346272363096</v>
      </c>
      <c r="BC43" s="219">
        <f t="shared" si="80"/>
        <v>0.1503960131244505</v>
      </c>
      <c r="BD43" s="219">
        <f t="shared" si="80"/>
        <v>0.18020112598201316</v>
      </c>
      <c r="BE43" s="219">
        <f t="shared" si="80"/>
        <v>0.20418239806140306</v>
      </c>
    </row>
    <row r="44" spans="1:57" ht="13">
      <c r="A44" s="193" t="s">
        <v>316</v>
      </c>
      <c r="B44" s="222">
        <f>-'Bilan 2015'!$C26</f>
        <v>-0.3</v>
      </c>
      <c r="C44" s="222">
        <f>-'Bilan 2020'!$C26</f>
        <v>-3.0353079388888902</v>
      </c>
      <c r="D44" s="222">
        <f>-'Bilan 2023 AMS'!$C26</f>
        <v>-3.0216984697001137</v>
      </c>
      <c r="E44" s="222">
        <f>-'Bilan 2025 AMS'!$C26</f>
        <v>-3.312429986969792</v>
      </c>
      <c r="F44" s="222">
        <f>-'Bilan 2028 AMS'!$C26</f>
        <v>-3.9361494776423425</v>
      </c>
      <c r="G44" s="222">
        <f>-'Bilan 2030 AMS'!$C26</f>
        <v>-4.3055711350701857</v>
      </c>
      <c r="H44" s="222">
        <f>-'Bilan 2033 AMS'!$C26</f>
        <v>-4.2657087375224645</v>
      </c>
      <c r="I44" s="222">
        <f>-'Bilan 2035 AMS'!$C26</f>
        <v>-4.1400526748892315</v>
      </c>
      <c r="J44" s="222">
        <f>-'Bilan 2038 AMS'!$C26</f>
        <v>-5.4622758911360467</v>
      </c>
      <c r="K44" s="222">
        <f>-'Bilan 2040 AMS'!$C26</f>
        <v>-6.1169134542385972</v>
      </c>
      <c r="L44" s="222">
        <f>-'Bilan 2045 AMS'!$C26</f>
        <v>-7.6477038720835147</v>
      </c>
      <c r="M44" s="222">
        <f>-'Bilan 2050 AMS'!$C26</f>
        <v>-8.1785673020738106</v>
      </c>
      <c r="N44" s="221"/>
      <c r="Q44" s="572" t="s">
        <v>289</v>
      </c>
      <c r="R44" s="219">
        <f t="shared" si="84"/>
        <v>0.17352224684658402</v>
      </c>
      <c r="S44" s="219">
        <f t="shared" si="84"/>
        <v>0.18898000220203945</v>
      </c>
      <c r="T44" s="219">
        <f t="shared" si="84"/>
        <v>0.20892393884928639</v>
      </c>
      <c r="U44" s="219">
        <f t="shared" si="84"/>
        <v>0.20372866400965378</v>
      </c>
      <c r="V44" s="219">
        <f t="shared" si="84"/>
        <v>0.20872604092571959</v>
      </c>
      <c r="W44" s="219">
        <f t="shared" si="84"/>
        <v>0.21192283163517564</v>
      </c>
      <c r="X44" s="219">
        <f t="shared" si="84"/>
        <v>0.20607310573795376</v>
      </c>
      <c r="Y44" s="219">
        <f t="shared" si="84"/>
        <v>0.2026650007225558</v>
      </c>
      <c r="Z44" s="219">
        <f t="shared" si="84"/>
        <v>0.19359282445980533</v>
      </c>
      <c r="AA44" s="219">
        <f t="shared" si="84"/>
        <v>0.18888641606985465</v>
      </c>
      <c r="AB44" s="219">
        <f t="shared" si="84"/>
        <v>0.17967345396356912</v>
      </c>
      <c r="AC44" s="219">
        <f t="shared" si="84"/>
        <v>0.16758759498573361</v>
      </c>
      <c r="AE44" s="205" t="s">
        <v>418</v>
      </c>
      <c r="AF44" s="219">
        <f t="shared" si="82"/>
        <v>6.5029264501917913E-2</v>
      </c>
      <c r="AG44" s="219">
        <f t="shared" si="79"/>
        <v>0.1025860132292883</v>
      </c>
      <c r="AH44" s="219">
        <f t="shared" si="79"/>
        <v>0.12031007829500559</v>
      </c>
      <c r="AI44" s="219">
        <f t="shared" si="79"/>
        <v>0.11909036736838048</v>
      </c>
      <c r="AJ44" s="219">
        <f t="shared" si="79"/>
        <v>0.11417534461869233</v>
      </c>
      <c r="AK44" s="219">
        <f t="shared" si="79"/>
        <v>0.11169942045064181</v>
      </c>
      <c r="AL44" s="219">
        <f t="shared" si="79"/>
        <v>0.10722483809132625</v>
      </c>
      <c r="AM44" s="219">
        <f t="shared" si="79"/>
        <v>0.10463001534194181</v>
      </c>
      <c r="AN44" s="219">
        <f t="shared" si="79"/>
        <v>9.7339798309773531E-2</v>
      </c>
      <c r="AO44" s="219">
        <f t="shared" si="79"/>
        <v>9.3282916059267265E-2</v>
      </c>
      <c r="AP44" s="219">
        <f t="shared" si="79"/>
        <v>9.2644206243965244E-2</v>
      </c>
      <c r="AQ44" s="219">
        <f t="shared" si="79"/>
        <v>9.0458798187880995E-2</v>
      </c>
      <c r="AS44" s="205" t="s">
        <v>418</v>
      </c>
      <c r="AT44" s="219">
        <f t="shared" si="83"/>
        <v>6.5029264501917913E-2</v>
      </c>
      <c r="AU44" s="219">
        <f t="shared" si="80"/>
        <v>0.1025860132292883</v>
      </c>
      <c r="AV44" s="219">
        <f t="shared" si="80"/>
        <v>0.12031007829500559</v>
      </c>
      <c r="AW44" s="219">
        <f t="shared" si="80"/>
        <v>0.11909036736838048</v>
      </c>
      <c r="AX44" s="219">
        <f t="shared" si="80"/>
        <v>0.11417534461869233</v>
      </c>
      <c r="AY44" s="219">
        <f t="shared" si="80"/>
        <v>0.11164779115182663</v>
      </c>
      <c r="AZ44" s="219">
        <f t="shared" si="80"/>
        <v>0.10720069072980189</v>
      </c>
      <c r="BA44" s="219">
        <f t="shared" si="80"/>
        <v>0.10460683462717955</v>
      </c>
      <c r="BB44" s="219">
        <f t="shared" si="80"/>
        <v>9.7318759076121281E-2</v>
      </c>
      <c r="BC44" s="219">
        <f t="shared" si="80"/>
        <v>9.324321358930425E-2</v>
      </c>
      <c r="BD44" s="219">
        <f t="shared" si="80"/>
        <v>9.258593147749504E-2</v>
      </c>
      <c r="BE44" s="219">
        <f t="shared" si="80"/>
        <v>9.0400679291729513E-2</v>
      </c>
    </row>
    <row r="45" spans="1:57" ht="13">
      <c r="A45" s="193" t="s">
        <v>317</v>
      </c>
      <c r="B45" s="222">
        <f>-'Bilan 2015'!$C16</f>
        <v>0</v>
      </c>
      <c r="C45" s="222">
        <f>-'Bilan 2020'!$C16</f>
        <v>0</v>
      </c>
      <c r="D45" s="222">
        <f>-'Bilan 2023 AMS'!$C16</f>
        <v>-3.7008210788065874</v>
      </c>
      <c r="E45" s="222">
        <f>-'Bilan 2025 AMS'!$C16</f>
        <v>-5.5512316182098811</v>
      </c>
      <c r="F45" s="222">
        <f>-'Bilan 2028 AMS'!$C16</f>
        <v>-4.867247129818443</v>
      </c>
      <c r="G45" s="222">
        <f>-'Bilan 2030 AMS'!$C16</f>
        <v>-4.4112574708908179</v>
      </c>
      <c r="H45" s="222">
        <f>-'Bilan 2033 AMS'!$C16</f>
        <v>-4.7819832265678626</v>
      </c>
      <c r="I45" s="222">
        <f>-'Bilan 2035 AMS'!$C16</f>
        <v>-5.0291337303525587</v>
      </c>
      <c r="J45" s="222">
        <f>-'Bilan 2038 AMS'!$C16</f>
        <v>-5.3878161949008447</v>
      </c>
      <c r="K45" s="222">
        <f>-'Bilan 2040 AMS'!$C16</f>
        <v>-5.6269378379330357</v>
      </c>
      <c r="L45" s="222">
        <f>-'Bilan 2045 AMS'!$C16</f>
        <v>-6.3451610040287907</v>
      </c>
      <c r="M45" s="222">
        <f>-'Bilan 2050 AMS'!$C16</f>
        <v>-6.5561937148871507</v>
      </c>
      <c r="N45" s="221"/>
      <c r="Q45" s="572" t="s">
        <v>291</v>
      </c>
      <c r="R45" s="219">
        <f t="shared" si="84"/>
        <v>5.0121519651604978E-3</v>
      </c>
      <c r="S45" s="219">
        <f t="shared" si="84"/>
        <v>1.1543809628966232E-2</v>
      </c>
      <c r="T45" s="219">
        <f t="shared" si="84"/>
        <v>2.652382425286157E-2</v>
      </c>
      <c r="U45" s="219">
        <f t="shared" si="84"/>
        <v>3.7964293502499115E-2</v>
      </c>
      <c r="V45" s="219">
        <f t="shared" si="84"/>
        <v>5.8483664551311473E-2</v>
      </c>
      <c r="W45" s="219">
        <f t="shared" si="84"/>
        <v>6.9528680961643732E-2</v>
      </c>
      <c r="X45" s="219">
        <f t="shared" si="84"/>
        <v>0.10269716044275343</v>
      </c>
      <c r="Y45" s="219">
        <f t="shared" si="84"/>
        <v>0.11774382847345463</v>
      </c>
      <c r="Z45" s="219">
        <f t="shared" si="84"/>
        <v>0.14702260659941849</v>
      </c>
      <c r="AA45" s="219">
        <f t="shared" si="84"/>
        <v>0.15661527889461635</v>
      </c>
      <c r="AB45" s="219">
        <f t="shared" si="84"/>
        <v>0.1695781004264417</v>
      </c>
      <c r="AC45" s="219">
        <f t="shared" si="84"/>
        <v>0.20192549646365215</v>
      </c>
      <c r="AE45" s="205" t="s">
        <v>282</v>
      </c>
      <c r="AF45" s="219">
        <f t="shared" si="82"/>
        <v>1.6770924043722945E-2</v>
      </c>
      <c r="AG45" s="219">
        <f t="shared" si="79"/>
        <v>1.219413331122606E-2</v>
      </c>
      <c r="AH45" s="219">
        <f t="shared" si="79"/>
        <v>2.4902034451065272E-2</v>
      </c>
      <c r="AI45" s="219">
        <f t="shared" si="79"/>
        <v>2.5952558183543393E-2</v>
      </c>
      <c r="AJ45" s="219">
        <f t="shared" si="79"/>
        <v>2.4312418701045852E-2</v>
      </c>
      <c r="AK45" s="219">
        <f t="shared" si="79"/>
        <v>2.3217150029393247E-2</v>
      </c>
      <c r="AL45" s="219">
        <f t="shared" si="79"/>
        <v>2.5551520106309428E-2</v>
      </c>
      <c r="AM45" s="219">
        <f t="shared" si="79"/>
        <v>2.6994403226821961E-2</v>
      </c>
      <c r="AN45" s="219">
        <f t="shared" si="79"/>
        <v>2.8028820600953887E-2</v>
      </c>
      <c r="AO45" s="219">
        <f t="shared" si="79"/>
        <v>2.8661700980242386E-2</v>
      </c>
      <c r="AP45" s="219">
        <f t="shared" si="79"/>
        <v>2.2841653477445167E-2</v>
      </c>
      <c r="AQ45" s="219">
        <f t="shared" si="79"/>
        <v>2.0456100001498272E-2</v>
      </c>
      <c r="AS45" s="205" t="s">
        <v>282</v>
      </c>
      <c r="AT45" s="219">
        <f t="shared" si="83"/>
        <v>1.6770924043722945E-2</v>
      </c>
      <c r="AU45" s="219">
        <f t="shared" si="80"/>
        <v>1.219413331122606E-2</v>
      </c>
      <c r="AV45" s="219">
        <f t="shared" si="80"/>
        <v>2.4902034451065272E-2</v>
      </c>
      <c r="AW45" s="219">
        <f t="shared" si="80"/>
        <v>2.5952558183543393E-2</v>
      </c>
      <c r="AX45" s="219">
        <f t="shared" si="80"/>
        <v>2.4312418701045852E-2</v>
      </c>
      <c r="AY45" s="219">
        <f t="shared" si="80"/>
        <v>2.3206418682966662E-2</v>
      </c>
      <c r="AZ45" s="219">
        <f t="shared" si="80"/>
        <v>2.5545765825822863E-2</v>
      </c>
      <c r="BA45" s="219">
        <f t="shared" si="80"/>
        <v>2.6988422633592246E-2</v>
      </c>
      <c r="BB45" s="219">
        <f t="shared" si="80"/>
        <v>2.8022762391302126E-2</v>
      </c>
      <c r="BC45" s="219">
        <f t="shared" si="80"/>
        <v>2.8649502172890202E-2</v>
      </c>
      <c r="BD45" s="219">
        <f t="shared" si="80"/>
        <v>2.2827285692602946E-2</v>
      </c>
      <c r="BE45" s="219">
        <f t="shared" si="80"/>
        <v>2.0442957156628916E-2</v>
      </c>
    </row>
    <row r="46" spans="1:57" ht="13">
      <c r="B46" s="222"/>
      <c r="M46" s="222"/>
      <c r="N46" s="221"/>
      <c r="Q46" s="572" t="s">
        <v>293</v>
      </c>
      <c r="R46" s="219">
        <f t="shared" si="84"/>
        <v>2.0084448771000619E-2</v>
      </c>
      <c r="S46" s="219">
        <f t="shared" si="84"/>
        <v>4.3390266707983988E-2</v>
      </c>
      <c r="T46" s="219">
        <f t="shared" si="84"/>
        <v>3.2349661103342711E-2</v>
      </c>
      <c r="U46" s="219">
        <f>U20/U$16</f>
        <v>3.4822583052089691E-2</v>
      </c>
      <c r="V46" s="219">
        <f t="shared" si="84"/>
        <v>3.6631150498192551E-2</v>
      </c>
      <c r="W46" s="219">
        <f t="shared" si="84"/>
        <v>3.7492040260147817E-2</v>
      </c>
      <c r="X46" s="219">
        <f t="shared" si="84"/>
        <v>3.5774399337292435E-2</v>
      </c>
      <c r="Y46" s="219">
        <f t="shared" si="84"/>
        <v>3.4725682219755527E-2</v>
      </c>
      <c r="Z46" s="219">
        <f t="shared" si="84"/>
        <v>3.4037239185864432E-2</v>
      </c>
      <c r="AA46" s="219">
        <f t="shared" si="84"/>
        <v>3.3804381543337619E-2</v>
      </c>
      <c r="AB46" s="219">
        <f t="shared" si="84"/>
        <v>3.3291745884057852E-2</v>
      </c>
      <c r="AC46" s="219">
        <f t="shared" si="84"/>
        <v>3.1751691174256594E-2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3">
      <c r="A47" s="193" t="s">
        <v>10</v>
      </c>
      <c r="B47" s="222">
        <f t="shared" ref="B47:M47" si="85">B2</f>
        <v>256.0122500057156</v>
      </c>
      <c r="C47" s="222">
        <f t="shared" si="85"/>
        <v>2559.7800174335421</v>
      </c>
      <c r="D47" s="222">
        <f t="shared" si="85"/>
        <v>2562.3565436459603</v>
      </c>
      <c r="E47" s="222">
        <f t="shared" si="85"/>
        <v>2515.6038628310966</v>
      </c>
      <c r="F47" s="222">
        <f t="shared" si="85"/>
        <v>2370.96801333945</v>
      </c>
      <c r="G47" s="222">
        <f t="shared" si="85"/>
        <v>2277.1872780746985</v>
      </c>
      <c r="H47" s="222">
        <f t="shared" si="85"/>
        <v>2204.5856621827957</v>
      </c>
      <c r="I47" s="222">
        <f t="shared" si="85"/>
        <v>2155.8080728036434</v>
      </c>
      <c r="J47" s="222">
        <f t="shared" si="85"/>
        <v>2111.4839336593523</v>
      </c>
      <c r="K47" s="222">
        <f t="shared" si="85"/>
        <v>2079.6787440826852</v>
      </c>
      <c r="L47" s="222">
        <f t="shared" si="85"/>
        <v>1907.5955897344315</v>
      </c>
      <c r="M47" s="222">
        <f t="shared" si="85"/>
        <v>1819.2099246348473</v>
      </c>
      <c r="N47" s="221"/>
      <c r="Q47" s="572" t="s">
        <v>295</v>
      </c>
      <c r="R47" s="219">
        <f t="shared" si="84"/>
        <v>1.2506684468480407E-3</v>
      </c>
      <c r="S47" s="219">
        <f t="shared" si="84"/>
        <v>7.1581145459297503E-3</v>
      </c>
      <c r="T47" s="219">
        <f t="shared" si="84"/>
        <v>8.1190826010299599E-3</v>
      </c>
      <c r="U47" s="219">
        <f>U21/U$16</f>
        <v>1.0840377787727364E-2</v>
      </c>
      <c r="V47" s="219">
        <f t="shared" si="84"/>
        <v>1.3489399803768235E-2</v>
      </c>
      <c r="W47" s="219">
        <f t="shared" si="84"/>
        <v>1.5454594525303107E-2</v>
      </c>
      <c r="X47" s="219">
        <f t="shared" si="84"/>
        <v>1.9541277250673419E-2</v>
      </c>
      <c r="Y47" s="219">
        <f t="shared" si="84"/>
        <v>2.2315660444920123E-2</v>
      </c>
      <c r="Z47" s="219">
        <f t="shared" si="84"/>
        <v>2.2180037344249486E-2</v>
      </c>
      <c r="AA47" s="219">
        <f t="shared" si="84"/>
        <v>2.2233126166650744E-2</v>
      </c>
      <c r="AB47" s="219">
        <f t="shared" si="84"/>
        <v>2.2473026863252539E-2</v>
      </c>
      <c r="AC47" s="219">
        <f t="shared" si="84"/>
        <v>2.1878504531841727E-2</v>
      </c>
      <c r="AE47" s="205" t="s">
        <v>287</v>
      </c>
      <c r="AF47" s="219">
        <f t="shared" ref="AF47:AQ54" si="86">AF19/AF$18</f>
        <v>0.69152996239971387</v>
      </c>
      <c r="AG47" s="219">
        <f t="shared" si="86"/>
        <v>0.67654765328131539</v>
      </c>
      <c r="AH47" s="219">
        <f t="shared" si="86"/>
        <v>0.61303405924633247</v>
      </c>
      <c r="AI47" s="219">
        <f t="shared" si="86"/>
        <v>0.57131398298413283</v>
      </c>
      <c r="AJ47" s="219">
        <f t="shared" si="86"/>
        <v>0.48960168868042897</v>
      </c>
      <c r="AK47" s="219">
        <f t="shared" si="86"/>
        <v>0.4340321874827151</v>
      </c>
      <c r="AL47" s="219">
        <f t="shared" si="86"/>
        <v>0.35473487533433973</v>
      </c>
      <c r="AM47" s="219">
        <f t="shared" si="86"/>
        <v>0.30532015898906556</v>
      </c>
      <c r="AN47" s="219">
        <f t="shared" si="86"/>
        <v>0.23362068300757072</v>
      </c>
      <c r="AO47" s="219">
        <f t="shared" si="86"/>
        <v>0.19060292966452683</v>
      </c>
      <c r="AP47" s="219">
        <f t="shared" si="86"/>
        <v>0.10862315761898414</v>
      </c>
      <c r="AQ47" s="219">
        <f t="shared" si="86"/>
        <v>0</v>
      </c>
      <c r="AS47" s="205" t="s">
        <v>287</v>
      </c>
      <c r="AT47" s="219">
        <f t="shared" ref="AT47:BE53" si="87">AT19/AT$18</f>
        <v>0.69942292730045219</v>
      </c>
      <c r="AU47" s="219">
        <f t="shared" si="87"/>
        <v>0.68442251593179171</v>
      </c>
      <c r="AV47" s="219">
        <f t="shared" si="87"/>
        <v>0.61940663087624903</v>
      </c>
      <c r="AW47" s="219">
        <f t="shared" si="87"/>
        <v>0.57643558717302301</v>
      </c>
      <c r="AX47" s="219">
        <f t="shared" si="87"/>
        <v>0.49300035086164162</v>
      </c>
      <c r="AY47" s="219">
        <f t="shared" si="87"/>
        <v>0.43682571350414212</v>
      </c>
      <c r="AZ47" s="219">
        <f t="shared" si="87"/>
        <v>0.35519834554664559</v>
      </c>
      <c r="BA47" s="219">
        <f t="shared" si="87"/>
        <v>0.30499904685807533</v>
      </c>
      <c r="BB47" s="219">
        <f t="shared" si="87"/>
        <v>0.23338192039935129</v>
      </c>
      <c r="BC47" s="219">
        <f t="shared" si="87"/>
        <v>0.19079037078176106</v>
      </c>
      <c r="BD47" s="219">
        <f t="shared" si="87"/>
        <v>0.10961975426289032</v>
      </c>
      <c r="BE47" s="219">
        <f t="shared" si="87"/>
        <v>6.2587675806108564E-3</v>
      </c>
    </row>
    <row r="48" spans="1:57" ht="13">
      <c r="A48" s="193" t="s">
        <v>318</v>
      </c>
      <c r="B48" s="222">
        <f>'Bilan 2015'!$C$5</f>
        <v>256.00658176786101</v>
      </c>
      <c r="C48" s="222">
        <f>'Bilan 2020'!$C$5</f>
        <v>2559.7800174335421</v>
      </c>
      <c r="D48" s="222">
        <f>'Bilan 2023 AMS'!$C$5</f>
        <v>2562.3565436459598</v>
      </c>
      <c r="E48" s="222">
        <f>'Bilan 2025 AMS'!$C$5</f>
        <v>2515.6038628310957</v>
      </c>
      <c r="F48" s="222">
        <f>'Bilan 2028 AMS'!$C$5</f>
        <v>2370.9680133394495</v>
      </c>
      <c r="G48" s="222">
        <f>'Bilan 2030 AMS'!$C$5</f>
        <v>2277.187278074699</v>
      </c>
      <c r="H48" s="222">
        <f>'Bilan 2033 AMS'!$C$5</f>
        <v>2204.5856621827961</v>
      </c>
      <c r="I48" s="222">
        <f>'Bilan 2035 AMS'!$C$5</f>
        <v>2155.8080728036434</v>
      </c>
      <c r="J48" s="222">
        <f>'Bilan 2038 AMS'!$C$5</f>
        <v>2111.4839336593523</v>
      </c>
      <c r="K48" s="222">
        <f>'Bilan 2040 AMS'!$C$5</f>
        <v>2079.6787440826847</v>
      </c>
      <c r="L48" s="222">
        <f>'Bilan 2045 AMS'!$C$5</f>
        <v>1907.595589734432</v>
      </c>
      <c r="M48" s="222">
        <f>'Bilan 2050 AMS'!$C$5</f>
        <v>1819.2099246348469</v>
      </c>
      <c r="N48" s="221"/>
      <c r="Q48" s="572" t="s">
        <v>298</v>
      </c>
      <c r="R48" s="219">
        <f t="shared" si="84"/>
        <v>0.11321500086260197</v>
      </c>
      <c r="S48" s="219">
        <f t="shared" si="84"/>
        <v>6.5905552508110324E-2</v>
      </c>
      <c r="T48" s="219">
        <f t="shared" si="84"/>
        <v>0.10209740148605038</v>
      </c>
      <c r="U48" s="219">
        <f>U22/U$16</f>
        <v>0.12639356917192243</v>
      </c>
      <c r="V48" s="219">
        <f t="shared" si="84"/>
        <v>0.16638639359796489</v>
      </c>
      <c r="W48" s="219">
        <f t="shared" si="84"/>
        <v>0.19551916467243552</v>
      </c>
      <c r="X48" s="219">
        <f t="shared" si="84"/>
        <v>0.22477543715294013</v>
      </c>
      <c r="Y48" s="219">
        <f t="shared" si="84"/>
        <v>0.24537729845334977</v>
      </c>
      <c r="Z48" s="219">
        <f t="shared" si="84"/>
        <v>0.26966964357180329</v>
      </c>
      <c r="AA48" s="219">
        <f t="shared" si="84"/>
        <v>0.28761704519547088</v>
      </c>
      <c r="AB48" s="219">
        <f t="shared" si="84"/>
        <v>0.32197775316955723</v>
      </c>
      <c r="AC48" s="219">
        <f t="shared" si="84"/>
        <v>0.3354923506598157</v>
      </c>
      <c r="AE48" s="205" t="s">
        <v>289</v>
      </c>
      <c r="AF48" s="219">
        <f t="shared" si="86"/>
        <v>0.18819086894578779</v>
      </c>
      <c r="AG48" s="219">
        <f t="shared" si="86"/>
        <v>0.19883494744996638</v>
      </c>
      <c r="AH48" s="219">
        <f t="shared" si="86"/>
        <v>0.21715712991801303</v>
      </c>
      <c r="AI48" s="219">
        <f t="shared" si="86"/>
        <v>0.21332092831787727</v>
      </c>
      <c r="AJ48" s="219">
        <f t="shared" si="86"/>
        <v>0.22080060730423232</v>
      </c>
      <c r="AK48" s="219">
        <f t="shared" si="86"/>
        <v>0.22591361331065227</v>
      </c>
      <c r="AL48" s="219">
        <f t="shared" si="86"/>
        <v>0.22511956398945668</v>
      </c>
      <c r="AM48" s="219">
        <f t="shared" si="86"/>
        <v>0.22422978574319313</v>
      </c>
      <c r="AN48" s="219">
        <f t="shared" si="86"/>
        <v>0.22128357874648005</v>
      </c>
      <c r="AO48" s="219">
        <f t="shared" si="86"/>
        <v>0.21900499423366568</v>
      </c>
      <c r="AP48" s="219">
        <f t="shared" si="86"/>
        <v>0.21568446466876326</v>
      </c>
      <c r="AQ48" s="219">
        <f t="shared" si="86"/>
        <v>0.21562269626550123</v>
      </c>
      <c r="AS48" s="205" t="s">
        <v>289</v>
      </c>
      <c r="AT48" s="219">
        <f t="shared" si="87"/>
        <v>0.18323089079724625</v>
      </c>
      <c r="AU48" s="219">
        <f t="shared" si="87"/>
        <v>0.1939815907333865</v>
      </c>
      <c r="AV48" s="219">
        <f t="shared" si="87"/>
        <v>0.21121971218242286</v>
      </c>
      <c r="AW48" s="219">
        <f t="shared" si="87"/>
        <v>0.20585077931132098</v>
      </c>
      <c r="AX48" s="219">
        <f t="shared" si="87"/>
        <v>0.21172357845287407</v>
      </c>
      <c r="AY48" s="219">
        <f t="shared" si="87"/>
        <v>0.21571296494854433</v>
      </c>
      <c r="AZ48" s="219">
        <f t="shared" si="87"/>
        <v>0.21268141983687691</v>
      </c>
      <c r="BA48" s="219">
        <f t="shared" si="87"/>
        <v>0.21041230267354322</v>
      </c>
      <c r="BB48" s="219">
        <f t="shared" si="87"/>
        <v>0.20576776466660637</v>
      </c>
      <c r="BC48" s="219">
        <f t="shared" si="87"/>
        <v>0.20251097848023522</v>
      </c>
      <c r="BD48" s="219">
        <f t="shared" si="87"/>
        <v>0.19704903269094476</v>
      </c>
      <c r="BE48" s="219">
        <f t="shared" si="87"/>
        <v>0.19492322208130389</v>
      </c>
    </row>
    <row r="49" spans="1:57" ht="13">
      <c r="Q49" s="571" t="s">
        <v>42</v>
      </c>
      <c r="R49" s="201"/>
      <c r="S49" s="201"/>
      <c r="T49" s="201"/>
      <c r="U49" s="201"/>
      <c r="V49" s="201"/>
      <c r="W49" s="201"/>
      <c r="X49" s="201"/>
      <c r="Y49" s="201"/>
      <c r="Z49" s="201"/>
      <c r="AA49" s="201"/>
      <c r="AB49" s="201"/>
      <c r="AC49" s="201"/>
      <c r="AE49" s="205" t="s">
        <v>291</v>
      </c>
      <c r="AF49" s="219">
        <f t="shared" si="86"/>
        <v>2.7573249699933216E-3</v>
      </c>
      <c r="AG49" s="219">
        <f t="shared" si="86"/>
        <v>1.1120048670356888E-2</v>
      </c>
      <c r="AH49" s="219">
        <f t="shared" si="86"/>
        <v>2.3389210586082808E-2</v>
      </c>
      <c r="AI49" s="219">
        <f t="shared" si="86"/>
        <v>3.420454207702163E-2</v>
      </c>
      <c r="AJ49" s="219">
        <f t="shared" si="86"/>
        <v>5.3647437455066456E-2</v>
      </c>
      <c r="AK49" s="219">
        <f t="shared" si="86"/>
        <v>6.3095749896359174E-2</v>
      </c>
      <c r="AL49" s="219">
        <f t="shared" si="86"/>
        <v>9.5343720252624525E-2</v>
      </c>
      <c r="AM49" s="219">
        <f t="shared" si="86"/>
        <v>0.11210542811487192</v>
      </c>
      <c r="AN49" s="219">
        <f t="shared" si="86"/>
        <v>0.14169670474350715</v>
      </c>
      <c r="AO49" s="219">
        <f t="shared" si="86"/>
        <v>0.15607460887239491</v>
      </c>
      <c r="AP49" s="219">
        <f t="shared" si="86"/>
        <v>0.17559782629286308</v>
      </c>
      <c r="AQ49" s="219">
        <f t="shared" si="86"/>
        <v>0.22788097539272409</v>
      </c>
      <c r="AS49" s="205" t="s">
        <v>291</v>
      </c>
      <c r="AT49" s="219">
        <f t="shared" si="87"/>
        <v>2.6846526258131444E-3</v>
      </c>
      <c r="AU49" s="219">
        <f t="shared" si="87"/>
        <v>1.084861971083481E-2</v>
      </c>
      <c r="AV49" s="219">
        <f t="shared" si="87"/>
        <v>2.3365064101732565E-2</v>
      </c>
      <c r="AW49" s="219">
        <f t="shared" si="87"/>
        <v>3.4066387223954116E-2</v>
      </c>
      <c r="AX49" s="219">
        <f t="shared" si="87"/>
        <v>5.3106949740584677E-2</v>
      </c>
      <c r="AY49" s="219">
        <f t="shared" si="87"/>
        <v>6.2349870789411566E-2</v>
      </c>
      <c r="AZ49" s="219">
        <f t="shared" si="87"/>
        <v>9.3170250074490854E-2</v>
      </c>
      <c r="BA49" s="219">
        <f t="shared" si="87"/>
        <v>0.10896824280810964</v>
      </c>
      <c r="BB49" s="219">
        <f t="shared" si="87"/>
        <v>0.13656505202693836</v>
      </c>
      <c r="BC49" s="219">
        <f t="shared" si="87"/>
        <v>0.14984591465099922</v>
      </c>
      <c r="BD49" s="219">
        <f t="shared" si="87"/>
        <v>0.16798460214846991</v>
      </c>
      <c r="BE49" s="219">
        <f t="shared" si="87"/>
        <v>0.21577616938685018</v>
      </c>
    </row>
    <row r="50" spans="1:57" ht="13">
      <c r="AE50" s="202" t="s">
        <v>413</v>
      </c>
      <c r="AF50" s="202"/>
      <c r="AG50" s="219">
        <f>AG22/AG$18</f>
        <v>0</v>
      </c>
      <c r="AH50" s="219">
        <f t="shared" si="86"/>
        <v>4.2649850442504176E-4</v>
      </c>
      <c r="AI50" s="219">
        <f t="shared" si="86"/>
        <v>1.4103390487976131E-3</v>
      </c>
      <c r="AJ50" s="219">
        <f t="shared" si="86"/>
        <v>4.2474144780410431E-3</v>
      </c>
      <c r="AK50" s="219">
        <f t="shared" si="86"/>
        <v>6.6774666154625663E-3</v>
      </c>
      <c r="AL50" s="219">
        <f t="shared" si="86"/>
        <v>1.0613975282871797E-2</v>
      </c>
      <c r="AM50" s="219">
        <f t="shared" si="86"/>
        <v>1.3441003474486299E-2</v>
      </c>
      <c r="AN50" s="219">
        <f t="shared" si="86"/>
        <v>1.8128370922109855E-2</v>
      </c>
      <c r="AO50" s="219">
        <f t="shared" si="86"/>
        <v>2.1419681815421511E-2</v>
      </c>
      <c r="AP50" s="219">
        <f t="shared" si="86"/>
        <v>2.9222529009903478E-2</v>
      </c>
      <c r="AQ50" s="219">
        <f t="shared" si="86"/>
        <v>3.6922415202016452E-2</v>
      </c>
      <c r="AS50" s="202" t="s">
        <v>413</v>
      </c>
      <c r="AT50" s="202"/>
      <c r="AU50" s="219">
        <f>AU22/AU$18</f>
        <v>0</v>
      </c>
      <c r="AV50" s="219">
        <f t="shared" si="87"/>
        <v>4.0405353769566834E-3</v>
      </c>
      <c r="AW50" s="219">
        <f t="shared" si="87"/>
        <v>1.0276906768692138E-2</v>
      </c>
      <c r="AX50" s="219">
        <f t="shared" si="87"/>
        <v>2.0183185084651851E-2</v>
      </c>
      <c r="AY50" s="219">
        <f t="shared" si="87"/>
        <v>2.7323726550850348E-2</v>
      </c>
      <c r="AZ50" s="219">
        <f t="shared" si="87"/>
        <v>4.2751084105115029E-2</v>
      </c>
      <c r="BA50" s="219">
        <f t="shared" si="87"/>
        <v>5.288020427931546E-2</v>
      </c>
      <c r="BB50" s="219">
        <f t="shared" si="87"/>
        <v>6.7410254498595265E-2</v>
      </c>
      <c r="BC50" s="219">
        <f t="shared" si="87"/>
        <v>7.67860010610142E-2</v>
      </c>
      <c r="BD50" s="219">
        <f t="shared" si="87"/>
        <v>9.7766448415415125E-2</v>
      </c>
      <c r="BE50" s="219">
        <f t="shared" si="87"/>
        <v>0.11670530842248034</v>
      </c>
    </row>
    <row r="51" spans="1:57" ht="13">
      <c r="A51" s="193" t="s">
        <v>319</v>
      </c>
      <c r="C51" s="193"/>
      <c r="D51" s="193"/>
      <c r="E51" s="193"/>
      <c r="F51" s="193"/>
      <c r="G51" s="193"/>
      <c r="H51" s="193"/>
      <c r="I51" s="193"/>
      <c r="J51" s="193"/>
      <c r="K51" s="193"/>
      <c r="L51" s="193"/>
      <c r="AE51" s="205" t="s">
        <v>293</v>
      </c>
      <c r="AF51" s="219">
        <f t="shared" ref="AF51:AF52" si="88">AF23/AF$18</f>
        <v>1.3003266008879983E-2</v>
      </c>
      <c r="AG51" s="219">
        <f>AG23/AG$18</f>
        <v>3.7445676274044201E-2</v>
      </c>
      <c r="AH51" s="219">
        <f t="shared" si="86"/>
        <v>2.8929388410375134E-2</v>
      </c>
      <c r="AI51" s="219">
        <f t="shared" si="86"/>
        <v>3.1799731271983905E-2</v>
      </c>
      <c r="AJ51" s="219">
        <f t="shared" si="86"/>
        <v>3.4242906346648914E-2</v>
      </c>
      <c r="AK51" s="219">
        <f t="shared" si="86"/>
        <v>3.5633363662622562E-2</v>
      </c>
      <c r="AL51" s="219">
        <f t="shared" si="86"/>
        <v>3.5121947986323669E-2</v>
      </c>
      <c r="AM51" s="219">
        <f t="shared" si="86"/>
        <v>3.4715726755939001E-2</v>
      </c>
      <c r="AN51" s="219">
        <f t="shared" si="86"/>
        <v>3.5393526660837317E-2</v>
      </c>
      <c r="AO51" s="219">
        <f t="shared" si="86"/>
        <v>3.5818715704694436E-2</v>
      </c>
      <c r="AP51" s="219">
        <f t="shared" si="86"/>
        <v>3.6923972927268275E-2</v>
      </c>
      <c r="AQ51" s="219">
        <f t="shared" si="86"/>
        <v>3.8115007490639438E-2</v>
      </c>
      <c r="AS51" s="205" t="s">
        <v>293</v>
      </c>
      <c r="AT51" s="219">
        <f t="shared" ref="AT51:AT52" si="89">AT23/AT$18</f>
        <v>1.2660550575208771E-2</v>
      </c>
      <c r="AU51" s="219">
        <f>AU23/AU$18</f>
        <v>3.6531665800622573E-2</v>
      </c>
      <c r="AV51" s="219">
        <f t="shared" si="87"/>
        <v>2.8127892078339267E-2</v>
      </c>
      <c r="AW51" s="219">
        <f t="shared" si="87"/>
        <v>3.0667483269389364E-2</v>
      </c>
      <c r="AX51" s="219">
        <f t="shared" si="87"/>
        <v>3.280370942824673E-2</v>
      </c>
      <c r="AY51" s="219">
        <f t="shared" si="87"/>
        <v>3.3983360561201818E-2</v>
      </c>
      <c r="AZ51" s="219">
        <f t="shared" si="87"/>
        <v>3.3108519142053421E-2</v>
      </c>
      <c r="BA51" s="219">
        <f t="shared" si="87"/>
        <v>3.2482625295708618E-2</v>
      </c>
      <c r="BB51" s="219">
        <f t="shared" si="87"/>
        <v>3.2782824620604382E-2</v>
      </c>
      <c r="BC51" s="219">
        <f t="shared" si="87"/>
        <v>3.2968656930510959E-2</v>
      </c>
      <c r="BD51" s="219">
        <f t="shared" si="87"/>
        <v>3.3527389078653311E-2</v>
      </c>
      <c r="BE51" s="219">
        <f t="shared" si="87"/>
        <v>3.4207882001834666E-2</v>
      </c>
    </row>
    <row r="52" spans="1:57" ht="13">
      <c r="C52" s="193"/>
      <c r="D52" s="193"/>
      <c r="E52" s="193"/>
      <c r="F52" s="193"/>
      <c r="G52" s="193"/>
      <c r="H52" s="193"/>
      <c r="I52" s="193"/>
      <c r="J52" s="193"/>
      <c r="K52" s="193"/>
      <c r="L52" s="193"/>
      <c r="AE52" s="205" t="s">
        <v>295</v>
      </c>
      <c r="AF52" s="219">
        <f t="shared" si="88"/>
        <v>3.6851346041653359E-3</v>
      </c>
      <c r="AG52" s="219">
        <f>AG24/AG$18</f>
        <v>9.7249779103669876E-3</v>
      </c>
      <c r="AH52" s="219">
        <f t="shared" si="86"/>
        <v>1.2153713299155516E-2</v>
      </c>
      <c r="AI52" s="219">
        <f t="shared" si="86"/>
        <v>1.5506382493472566E-2</v>
      </c>
      <c r="AJ52" s="219">
        <f t="shared" si="86"/>
        <v>1.9428226387076072E-2</v>
      </c>
      <c r="AK52" s="219">
        <f t="shared" si="86"/>
        <v>2.2387066407271554E-2</v>
      </c>
      <c r="AL52" s="219">
        <f t="shared" si="86"/>
        <v>2.8402868811639427E-2</v>
      </c>
      <c r="AM52" s="219">
        <f t="shared" si="86"/>
        <v>3.2575841539926154E-2</v>
      </c>
      <c r="AN52" s="219">
        <f t="shared" si="86"/>
        <v>3.4657827572540732E-2</v>
      </c>
      <c r="AO52" s="219">
        <f t="shared" si="86"/>
        <v>3.6054257107296477E-2</v>
      </c>
      <c r="AP52" s="219">
        <f t="shared" si="86"/>
        <v>3.9443498744341485E-2</v>
      </c>
      <c r="AQ52" s="219">
        <f t="shared" si="86"/>
        <v>4.2771515868229207E-2</v>
      </c>
      <c r="AS52" s="205" t="s">
        <v>295</v>
      </c>
      <c r="AT52" s="219">
        <f t="shared" si="89"/>
        <v>3.5880088126033667E-3</v>
      </c>
      <c r="AU52" s="219">
        <f>AU24/AU$18</f>
        <v>9.4876011943259234E-3</v>
      </c>
      <c r="AV52" s="219">
        <f t="shared" si="87"/>
        <v>1.18169914683409E-2</v>
      </c>
      <c r="AW52" s="219">
        <f t="shared" si="87"/>
        <v>1.4954268689254058E-2</v>
      </c>
      <c r="AX52" s="219">
        <f t="shared" si="87"/>
        <v>1.8611676434708024E-2</v>
      </c>
      <c r="AY52" s="219">
        <f t="shared" si="87"/>
        <v>2.13504331735009E-2</v>
      </c>
      <c r="AZ52" s="219">
        <f t="shared" si="87"/>
        <v>2.6774623267068628E-2</v>
      </c>
      <c r="BA52" s="219">
        <f t="shared" si="87"/>
        <v>3.0480388956649968E-2</v>
      </c>
      <c r="BB52" s="219">
        <f t="shared" si="87"/>
        <v>3.2101392266708655E-2</v>
      </c>
      <c r="BC52" s="219">
        <f t="shared" si="87"/>
        <v>3.3185456543298318E-2</v>
      </c>
      <c r="BD52" s="219">
        <f t="shared" si="87"/>
        <v>3.5815147292784767E-2</v>
      </c>
      <c r="BE52" s="219">
        <f t="shared" si="87"/>
        <v>3.838705707244864E-2</v>
      </c>
    </row>
    <row r="53" spans="1:57" ht="13">
      <c r="AE53" s="205" t="s">
        <v>249</v>
      </c>
      <c r="AF53" s="219"/>
      <c r="AG53" s="219">
        <f>AG25/AG$18</f>
        <v>0</v>
      </c>
      <c r="AH53" s="219">
        <f t="shared" si="86"/>
        <v>0</v>
      </c>
      <c r="AI53" s="219">
        <f t="shared" si="86"/>
        <v>0</v>
      </c>
      <c r="AJ53" s="219">
        <f t="shared" si="86"/>
        <v>0</v>
      </c>
      <c r="AK53" s="219">
        <f t="shared" si="86"/>
        <v>0</v>
      </c>
      <c r="AL53" s="219">
        <f t="shared" si="86"/>
        <v>0</v>
      </c>
      <c r="AM53" s="219">
        <f t="shared" si="86"/>
        <v>0</v>
      </c>
      <c r="AN53" s="219">
        <f t="shared" si="86"/>
        <v>0</v>
      </c>
      <c r="AO53" s="219">
        <f t="shared" si="86"/>
        <v>0</v>
      </c>
      <c r="AP53" s="219">
        <f t="shared" si="86"/>
        <v>0</v>
      </c>
      <c r="AQ53" s="219">
        <f t="shared" si="86"/>
        <v>0</v>
      </c>
      <c r="AS53" s="205" t="s">
        <v>249</v>
      </c>
      <c r="AT53" s="219"/>
      <c r="AU53" s="219">
        <f>AU25/AU$18</f>
        <v>2.027670793891811E-5</v>
      </c>
      <c r="AV53" s="219">
        <f t="shared" si="87"/>
        <v>1.973308683724491E-5</v>
      </c>
      <c r="AW53" s="219">
        <f t="shared" si="87"/>
        <v>2.0243063377008078E-5</v>
      </c>
      <c r="AX53" s="219">
        <f t="shared" si="87"/>
        <v>2.1335178934079835E-5</v>
      </c>
      <c r="AY53" s="219">
        <f t="shared" si="87"/>
        <v>2.2103910354045838E-5</v>
      </c>
      <c r="AZ53" s="219">
        <f t="shared" si="87"/>
        <v>2.2419813911571536E-5</v>
      </c>
      <c r="BA53" s="219">
        <f t="shared" si="87"/>
        <v>2.2627861371700359E-5</v>
      </c>
      <c r="BB53" s="219">
        <f t="shared" si="87"/>
        <v>2.2731892917232439E-5</v>
      </c>
      <c r="BC53" s="219">
        <f t="shared" si="87"/>
        <v>2.2806401896407635E-5</v>
      </c>
      <c r="BD53" s="219">
        <f t="shared" si="87"/>
        <v>2.2988917231299594E-5</v>
      </c>
      <c r="BE53" s="219">
        <f t="shared" si="87"/>
        <v>2.3542395372465317E-5</v>
      </c>
    </row>
    <row r="54" spans="1:57" ht="13">
      <c r="AE54" s="205" t="s">
        <v>298</v>
      </c>
      <c r="AF54" s="219">
        <f t="shared" ref="AF54" si="90">AF26/AF$18</f>
        <v>7.0618903907441605E-2</v>
      </c>
      <c r="AG54" s="219">
        <f>AG26/AG$18</f>
        <v>6.6326696413949907E-2</v>
      </c>
      <c r="AH54" s="219">
        <f t="shared" si="86"/>
        <v>0.10491000003561607</v>
      </c>
      <c r="AI54" s="219">
        <f t="shared" si="86"/>
        <v>0.13244409380671426</v>
      </c>
      <c r="AJ54" s="219">
        <f t="shared" si="86"/>
        <v>0.17803171934850634</v>
      </c>
      <c r="AK54" s="219">
        <f t="shared" si="86"/>
        <v>0.21226055262491686</v>
      </c>
      <c r="AL54" s="219">
        <f t="shared" si="86"/>
        <v>0.250663048342744</v>
      </c>
      <c r="AM54" s="219">
        <f t="shared" si="86"/>
        <v>0.27761205538251799</v>
      </c>
      <c r="AN54" s="219">
        <f t="shared" si="86"/>
        <v>0.31521930834695405</v>
      </c>
      <c r="AO54" s="219">
        <f t="shared" si="86"/>
        <v>0.34102481260200024</v>
      </c>
      <c r="AP54" s="219">
        <f t="shared" si="86"/>
        <v>0.39450455073787621</v>
      </c>
      <c r="AQ54" s="219">
        <f t="shared" si="86"/>
        <v>0.43868738978088945</v>
      </c>
      <c r="AS54" s="205" t="s">
        <v>298</v>
      </c>
      <c r="AT54" s="219">
        <f t="shared" ref="AT54:BE54" si="91">AT26/AT$18</f>
        <v>6.8757664718648817E-2</v>
      </c>
      <c r="AU54" s="219">
        <f t="shared" si="91"/>
        <v>6.4707729921099341E-2</v>
      </c>
      <c r="AV54" s="219">
        <f t="shared" si="91"/>
        <v>0.10200344082912165</v>
      </c>
      <c r="AW54" s="219">
        <f t="shared" si="91"/>
        <v>0.12772834450098935</v>
      </c>
      <c r="AX54" s="219">
        <f t="shared" si="91"/>
        <v>0.170549214818359</v>
      </c>
      <c r="AY54" s="219">
        <f t="shared" si="91"/>
        <v>0.2024318265619949</v>
      </c>
      <c r="AZ54" s="219">
        <f t="shared" si="91"/>
        <v>0.23629333821383788</v>
      </c>
      <c r="BA54" s="219">
        <f t="shared" si="91"/>
        <v>0.25975456126722618</v>
      </c>
      <c r="BB54" s="219">
        <f t="shared" si="91"/>
        <v>0.29196805962827832</v>
      </c>
      <c r="BC54" s="219">
        <f t="shared" si="91"/>
        <v>0.31388981515028475</v>
      </c>
      <c r="BD54" s="219">
        <f t="shared" si="91"/>
        <v>0.35821463719361052</v>
      </c>
      <c r="BE54" s="219">
        <f t="shared" si="91"/>
        <v>0.39371805105909891</v>
      </c>
    </row>
    <row r="55" spans="1:57" ht="13">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2"/>
    </row>
    <row r="57" spans="1:57">
      <c r="AG57" s="563">
        <f>SUM(AG47:AG54,AG37:AG45,AG33:AG35)-3</f>
        <v>0</v>
      </c>
      <c r="AH57" s="563">
        <f t="shared" ref="AH57:AQ57" si="92">SUM(AH47:AH54,AH37:AH45,AH33:AH35)-3</f>
        <v>0</v>
      </c>
      <c r="AI57" s="563">
        <f t="shared" si="92"/>
        <v>0</v>
      </c>
      <c r="AJ57" s="563">
        <f t="shared" si="92"/>
        <v>0</v>
      </c>
      <c r="AK57" s="563">
        <f t="shared" si="92"/>
        <v>0</v>
      </c>
      <c r="AL57" s="563">
        <f t="shared" si="92"/>
        <v>0</v>
      </c>
      <c r="AM57" s="563">
        <f t="shared" si="92"/>
        <v>0</v>
      </c>
      <c r="AN57" s="563">
        <f t="shared" si="92"/>
        <v>0</v>
      </c>
      <c r="AO57" s="563">
        <f t="shared" si="92"/>
        <v>0</v>
      </c>
      <c r="AP57" s="563">
        <f t="shared" si="92"/>
        <v>0</v>
      </c>
      <c r="AQ57" s="563">
        <f t="shared" si="92"/>
        <v>0</v>
      </c>
    </row>
  </sheetData>
  <mergeCells count="1">
    <mergeCell ref="M1:O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F1C9-EEA3-45C4-B1C6-11A175F3F15A}">
  <dimension ref="A2:AM75"/>
  <sheetViews>
    <sheetView tabSelected="1" topLeftCell="A14" zoomScale="70" zoomScaleNormal="70" workbookViewId="0">
      <selection activeCell="A20" sqref="A20:AM37"/>
    </sheetView>
  </sheetViews>
  <sheetFormatPr baseColWidth="10" defaultRowHeight="14.5"/>
  <cols>
    <col min="1" max="1" width="21.1796875" customWidth="1"/>
    <col min="2" max="2" width="39" customWidth="1"/>
    <col min="3" max="3" width="6.7265625" hidden="1" customWidth="1"/>
    <col min="4" max="10" width="12.453125" hidden="1" customWidth="1"/>
    <col min="11" max="11" width="12.453125" customWidth="1"/>
    <col min="12" max="13" width="0" hidden="1" customWidth="1"/>
    <col min="15" max="16" width="12.453125" hidden="1" customWidth="1"/>
    <col min="17" max="18" width="0" hidden="1" customWidth="1"/>
    <col min="20" max="21" width="12.453125" hidden="1" customWidth="1"/>
    <col min="22" max="24" width="0" hidden="1" customWidth="1"/>
    <col min="25" max="26" width="12.453125" hidden="1" customWidth="1"/>
    <col min="27" max="28" width="0" hidden="1" customWidth="1"/>
    <col min="30" max="38" width="0" hidden="1" customWidth="1"/>
  </cols>
  <sheetData>
    <row r="2" spans="1:39" ht="15" thickBot="1">
      <c r="B2" t="s">
        <v>482</v>
      </c>
      <c r="D2" s="559">
        <v>2015</v>
      </c>
      <c r="E2" s="559">
        <v>2016</v>
      </c>
      <c r="F2" s="559">
        <v>2017</v>
      </c>
      <c r="G2" s="559">
        <v>2018</v>
      </c>
      <c r="H2" s="559">
        <v>2019</v>
      </c>
      <c r="I2" s="559">
        <v>2020</v>
      </c>
      <c r="J2" s="559">
        <v>2021</v>
      </c>
      <c r="K2" s="559">
        <v>2022</v>
      </c>
      <c r="L2" s="559">
        <v>2023</v>
      </c>
      <c r="M2" s="559">
        <v>2024</v>
      </c>
      <c r="N2" s="559">
        <v>2025</v>
      </c>
      <c r="O2" s="559">
        <v>2026</v>
      </c>
      <c r="P2" s="559">
        <v>2027</v>
      </c>
      <c r="Q2" s="559">
        <v>2028</v>
      </c>
      <c r="R2" s="559">
        <v>2029</v>
      </c>
      <c r="S2" s="559">
        <v>2030</v>
      </c>
      <c r="T2" s="559">
        <v>2031</v>
      </c>
      <c r="U2" s="559">
        <v>2032</v>
      </c>
      <c r="V2" s="559">
        <v>2033</v>
      </c>
      <c r="W2" s="559">
        <v>2034</v>
      </c>
      <c r="X2" s="559">
        <v>2035</v>
      </c>
      <c r="Y2" s="559">
        <v>2036</v>
      </c>
      <c r="Z2" s="559">
        <v>2037</v>
      </c>
      <c r="AA2" s="559">
        <v>2038</v>
      </c>
      <c r="AB2" s="559">
        <v>2039</v>
      </c>
      <c r="AC2" s="559">
        <v>2040</v>
      </c>
      <c r="AD2" s="559">
        <v>2041</v>
      </c>
      <c r="AE2" s="559">
        <v>2042</v>
      </c>
      <c r="AF2" s="559">
        <v>2043</v>
      </c>
      <c r="AG2" s="559">
        <v>2044</v>
      </c>
      <c r="AH2" s="559">
        <v>2045</v>
      </c>
      <c r="AI2" s="559">
        <v>2046</v>
      </c>
      <c r="AJ2" s="559">
        <v>2047</v>
      </c>
      <c r="AK2" s="559">
        <v>2048</v>
      </c>
      <c r="AL2" s="559">
        <v>2049</v>
      </c>
      <c r="AM2" s="559">
        <v>2050</v>
      </c>
    </row>
    <row r="3" spans="1:39">
      <c r="A3" s="593" t="s">
        <v>479</v>
      </c>
      <c r="B3" s="590" t="s">
        <v>266</v>
      </c>
      <c r="C3">
        <v>2201</v>
      </c>
      <c r="D3">
        <f>('Cibles THREEME'!AT4+'Cibles THREEME'!AT6)*11.64</f>
        <v>783.275537936516</v>
      </c>
      <c r="E3">
        <f>D3+(I3-D3)/5</f>
        <v>759.30555578890096</v>
      </c>
      <c r="F3">
        <f>E3+(I3-D3)/5</f>
        <v>735.33557364128592</v>
      </c>
      <c r="G3">
        <f>F3+(I3-D3)/5</f>
        <v>711.36559149367088</v>
      </c>
      <c r="H3">
        <f>G3+(I3-D3)/5</f>
        <v>687.39560934605583</v>
      </c>
      <c r="I3">
        <f>'Cibles THREEME'!$AU4+'Cibles THREEME'!$AU6</f>
        <v>663.42562719844057</v>
      </c>
      <c r="J3">
        <f>I3+(L3-I3)/3</f>
        <v>664.8895390287222</v>
      </c>
      <c r="K3">
        <f>J3+(L3-I3)/3</f>
        <v>666.35345085900383</v>
      </c>
      <c r="L3">
        <f>'Cibles THREEME'!$AV4+'Cibles THREEME'!$AV6</f>
        <v>667.81736268928557</v>
      </c>
      <c r="M3">
        <f>(L3+N3)/2</f>
        <v>663.83229487625317</v>
      </c>
      <c r="N3">
        <f>'Cibles THREEME'!$AW4+'Cibles THREEME'!$AW6</f>
        <v>659.84722706322077</v>
      </c>
      <c r="O3">
        <f>N3+(Q3-N3)/3</f>
        <v>641.39662324652784</v>
      </c>
      <c r="P3">
        <f>O3+(Q3-N3)/3</f>
        <v>622.94601942983491</v>
      </c>
      <c r="Q3">
        <f>'Cibles THREEME'!$AX4+'Cibles THREEME'!$AX6</f>
        <v>604.49541561314186</v>
      </c>
      <c r="R3">
        <f>(Q3+S3)/2</f>
        <v>585.99513197565273</v>
      </c>
      <c r="S3">
        <f>'Cibles THREEME'!$AY4+'Cibles THREEME'!$AY6</f>
        <v>567.49484833816359</v>
      </c>
      <c r="T3">
        <f>S3+(V3-S3)/3</f>
        <v>552.86956268333427</v>
      </c>
      <c r="U3">
        <f>T3+(V3-S3)/3</f>
        <v>538.24427702850494</v>
      </c>
      <c r="V3">
        <f>'Cibles THREEME'!$AZ4+'Cibles THREEME'!$AZ6</f>
        <v>523.61899137367573</v>
      </c>
      <c r="W3">
        <f>(V3+X3)/2</f>
        <v>508.96688470556217</v>
      </c>
      <c r="X3">
        <f>'Cibles THREEME'!$BA4+'Cibles THREEME'!$BA6</f>
        <v>494.31477803744855</v>
      </c>
      <c r="Y3">
        <f>X3+(AA3-X3)/3</f>
        <v>482.18728526668616</v>
      </c>
      <c r="Z3">
        <f>Y3+(AA3-X3)/3</f>
        <v>470.05979249592377</v>
      </c>
      <c r="AA3">
        <f>'Cibles THREEME'!$BB4+'Cibles THREEME'!$BB6</f>
        <v>457.93229972516144</v>
      </c>
      <c r="AB3">
        <f>(AA3+AC3)/2</f>
        <v>445.81404514777034</v>
      </c>
      <c r="AC3">
        <f>'Cibles THREEME'!$BC4+'Cibles THREEME'!$BC6</f>
        <v>433.69579057037924</v>
      </c>
      <c r="AD3">
        <f>AC3+(AH3-AC3)/5</f>
        <v>425.53943810014869</v>
      </c>
      <c r="AE3">
        <f>AD3+(AH3-AC3)/5</f>
        <v>417.38308562991813</v>
      </c>
      <c r="AF3">
        <f>AE3+(AH3-AC3)/5</f>
        <v>409.22673315968757</v>
      </c>
      <c r="AG3">
        <f>AF3+(AH3-AC3)/5</f>
        <v>401.07038068945701</v>
      </c>
      <c r="AH3">
        <f>'Cibles THREEME'!$BD4+'Cibles THREEME'!$BD6</f>
        <v>392.91402821922645</v>
      </c>
      <c r="AI3">
        <f>AH3+(AM3-AH3)/5</f>
        <v>388.54618655186033</v>
      </c>
      <c r="AJ3">
        <f>AI3+(AM3-AH3)/5</f>
        <v>384.17834488449421</v>
      </c>
      <c r="AK3">
        <f>AJ3+(AM3-AH3)/5</f>
        <v>379.81050321712809</v>
      </c>
      <c r="AL3">
        <f>AK3+(AM3-AH3)/5</f>
        <v>375.44266154976197</v>
      </c>
      <c r="AM3">
        <f>'Cibles THREEME'!$BE4+'Cibles THREEME'!$BE6</f>
        <v>371.07481988239579</v>
      </c>
    </row>
    <row r="4" spans="1:39" ht="15" thickBot="1">
      <c r="A4" s="594"/>
      <c r="B4" s="592" t="s">
        <v>346</v>
      </c>
      <c r="C4">
        <v>2202</v>
      </c>
      <c r="D4">
        <f>('Cibles THREEME'!AT5+'Cibles THREEME'!AT7)*11.64</f>
        <v>36.152288697081644</v>
      </c>
      <c r="E4">
        <f t="shared" ref="E4:E12" si="0">D4+(I4-D4)/5</f>
        <v>35.668116861174347</v>
      </c>
      <c r="F4">
        <f t="shared" ref="F4:F12" si="1">E4+(I4-D4)/5</f>
        <v>35.18394502526705</v>
      </c>
      <c r="G4">
        <f t="shared" ref="G4:G12" si="2">F4+(I4-D4)/5</f>
        <v>34.699773189359753</v>
      </c>
      <c r="H4">
        <f t="shared" ref="H4:H12" si="3">G4+(I4-D4)/5</f>
        <v>34.215601353452456</v>
      </c>
      <c r="I4">
        <f>'Cibles THREEME'!$AU5+'Cibles THREEME'!$AU7</f>
        <v>33.731429517545166</v>
      </c>
      <c r="J4">
        <f t="shared" ref="J4:J12" si="4">I4+(L4-I4)/3</f>
        <v>35.999622063232898</v>
      </c>
      <c r="K4">
        <f t="shared" ref="K4:K12" si="5">J4+(L4-I4)/3</f>
        <v>38.267814608920631</v>
      </c>
      <c r="L4">
        <f>'Cibles THREEME'!$AV5+'Cibles THREEME'!$AV7</f>
        <v>40.536007154608356</v>
      </c>
      <c r="M4">
        <f t="shared" ref="M4:M12" si="6">(L4+N4)/2</f>
        <v>41.645362443020502</v>
      </c>
      <c r="N4">
        <f>'Cibles THREEME'!$AW5+'Cibles THREEME'!$AW7</f>
        <v>42.754717731432656</v>
      </c>
      <c r="O4">
        <f t="shared" ref="O4:O12" si="7">N4+(Q4-N4)/3</f>
        <v>41.556999436959678</v>
      </c>
      <c r="P4">
        <f t="shared" ref="P4:P12" si="8">O4+(Q4-N4)/3</f>
        <v>40.359281142486701</v>
      </c>
      <c r="Q4">
        <f>'Cibles THREEME'!$AX5+'Cibles THREEME'!$AX7</f>
        <v>39.161562848013716</v>
      </c>
      <c r="R4">
        <f t="shared" ref="R4:R12" si="9">(Q4+S4)/2</f>
        <v>37.972934426555327</v>
      </c>
      <c r="S4">
        <f>'Cibles THREEME'!$AY5+'Cibles THREEME'!$AY7</f>
        <v>36.784306005096937</v>
      </c>
      <c r="T4">
        <f t="shared" ref="T4:T12" si="10">S4+(V4-S4)/3</f>
        <v>35.804371168042259</v>
      </c>
      <c r="U4">
        <f t="shared" ref="U4:U12" si="11">T4+(V4-S4)/3</f>
        <v>34.824436330987581</v>
      </c>
      <c r="V4">
        <f>'Cibles THREEME'!$AZ5+'Cibles THREEME'!$AZ7</f>
        <v>33.844501493932903</v>
      </c>
      <c r="W4">
        <f t="shared" ref="W4:W12" si="12">(V4+X4)/2</f>
        <v>32.867724302954315</v>
      </c>
      <c r="X4">
        <f>'Cibles THREEME'!$BA5+'Cibles THREEME'!$BA7</f>
        <v>31.890947111975727</v>
      </c>
      <c r="Y4">
        <f t="shared" ref="Y4:Y12" si="13">X4+(AA4-X4)/3</f>
        <v>31.12281146032435</v>
      </c>
      <c r="Z4">
        <f t="shared" ref="Z4:Z12" si="14">Y4+(AA4-X4)/3</f>
        <v>30.354675808672972</v>
      </c>
      <c r="AA4">
        <f>'Cibles THREEME'!$BB5+'Cibles THREEME'!$BB7</f>
        <v>29.586540157021599</v>
      </c>
      <c r="AB4">
        <f t="shared" ref="AB4:AB12" si="15">(AA4+AC4)/2</f>
        <v>28.81375904674697</v>
      </c>
      <c r="AC4">
        <f>'Cibles THREEME'!$BC5+'Cibles THREEME'!$BC7</f>
        <v>28.040977936472341</v>
      </c>
      <c r="AD4">
        <f t="shared" ref="AD4:AD12" si="16">AC4+(AH4-AC4)/5</f>
        <v>27.619180883474549</v>
      </c>
      <c r="AE4">
        <f t="shared" ref="AE4:AE12" si="17">AD4+(AH4-AC4)/5</f>
        <v>27.197383830476756</v>
      </c>
      <c r="AF4">
        <f t="shared" ref="AF4:AF12" si="18">AE4+(AH4-AC4)/5</f>
        <v>26.775586777478964</v>
      </c>
      <c r="AG4">
        <f t="shared" ref="AG4:AG12" si="19">AF4+(AH4-AC4)/5</f>
        <v>26.353789724481171</v>
      </c>
      <c r="AH4">
        <f>'Cibles THREEME'!$BD5+'Cibles THREEME'!$BD7</f>
        <v>25.931992671483378</v>
      </c>
      <c r="AI4">
        <f t="shared" ref="AI4:AI12" si="20">AH4+(AM4-AH4)/5</f>
        <v>25.776911402692303</v>
      </c>
      <c r="AJ4">
        <f t="shared" ref="AJ4:AJ12" si="21">AI4+(AM4-AH4)/5</f>
        <v>25.621830133901227</v>
      </c>
      <c r="AK4">
        <f t="shared" ref="AK4:AK12" si="22">AJ4+(AM4-AH4)/5</f>
        <v>25.466748865110151</v>
      </c>
      <c r="AL4">
        <f t="shared" ref="AL4:AL12" si="23">AK4+(AM4-AH4)/5</f>
        <v>25.311667596319076</v>
      </c>
      <c r="AM4">
        <f>'Cibles THREEME'!$BE5+'Cibles THREEME'!$BE7</f>
        <v>25.156586327528007</v>
      </c>
    </row>
    <row r="5" spans="1:39">
      <c r="A5" s="593"/>
      <c r="B5" s="590" t="s">
        <v>20</v>
      </c>
      <c r="C5">
        <v>2301</v>
      </c>
      <c r="D5">
        <f>'Cibles THREEME'!AT9*11.64</f>
        <v>344.11165950147438</v>
      </c>
      <c r="E5">
        <f t="shared" si="0"/>
        <v>331.46061119432898</v>
      </c>
      <c r="F5">
        <f t="shared" si="1"/>
        <v>318.80956288718357</v>
      </c>
      <c r="G5">
        <f t="shared" si="2"/>
        <v>306.15851458003817</v>
      </c>
      <c r="H5">
        <f t="shared" si="3"/>
        <v>293.50746627289277</v>
      </c>
      <c r="I5">
        <f>'Cibles THREEME'!$AU9</f>
        <v>280.85641796574743</v>
      </c>
      <c r="J5">
        <f t="shared" si="4"/>
        <v>286.51928404013722</v>
      </c>
      <c r="K5">
        <f t="shared" si="5"/>
        <v>292.18215011452702</v>
      </c>
      <c r="L5">
        <f>'Cibles THREEME'!$AV9</f>
        <v>297.84501618891676</v>
      </c>
      <c r="M5">
        <f t="shared" si="6"/>
        <v>298.59022189667434</v>
      </c>
      <c r="N5">
        <f>'Cibles THREEME'!$AW9</f>
        <v>299.33542760443191</v>
      </c>
      <c r="O5">
        <f t="shared" si="7"/>
        <v>298.149305271841</v>
      </c>
      <c r="P5">
        <f t="shared" si="8"/>
        <v>296.96318293925009</v>
      </c>
      <c r="Q5">
        <f>'Cibles THREEME'!$AX9</f>
        <v>295.77706060665918</v>
      </c>
      <c r="R5">
        <f t="shared" si="9"/>
        <v>295.32135850150115</v>
      </c>
      <c r="S5">
        <f>'Cibles THREEME'!$AY9</f>
        <v>294.86565639634313</v>
      </c>
      <c r="T5">
        <f t="shared" si="10"/>
        <v>292.04769608569677</v>
      </c>
      <c r="U5">
        <f t="shared" si="11"/>
        <v>289.22973577505041</v>
      </c>
      <c r="V5">
        <f>'Cibles THREEME'!$AZ9</f>
        <v>286.41177546440406</v>
      </c>
      <c r="W5">
        <f t="shared" si="12"/>
        <v>283.24401106313439</v>
      </c>
      <c r="X5">
        <f>'Cibles THREEME'!$BA9</f>
        <v>280.07624666186479</v>
      </c>
      <c r="Y5">
        <f t="shared" si="13"/>
        <v>275.76154723572819</v>
      </c>
      <c r="Z5">
        <f t="shared" si="14"/>
        <v>271.44684780959159</v>
      </c>
      <c r="AA5">
        <f>'Cibles THREEME'!$BB9</f>
        <v>267.13214838345505</v>
      </c>
      <c r="AB5">
        <f t="shared" si="15"/>
        <v>262.47766118293526</v>
      </c>
      <c r="AC5">
        <f>'Cibles THREEME'!$BC9</f>
        <v>257.82317398241548</v>
      </c>
      <c r="AD5">
        <f t="shared" si="16"/>
        <v>252.87833141465856</v>
      </c>
      <c r="AE5">
        <f t="shared" si="17"/>
        <v>247.93348884690164</v>
      </c>
      <c r="AF5">
        <f t="shared" si="18"/>
        <v>242.98864627914472</v>
      </c>
      <c r="AG5">
        <f t="shared" si="19"/>
        <v>238.0438037113878</v>
      </c>
      <c r="AH5">
        <f>'Cibles THREEME'!$BD9</f>
        <v>233.09896114363087</v>
      </c>
      <c r="AI5">
        <f t="shared" si="20"/>
        <v>226.90586773556015</v>
      </c>
      <c r="AJ5">
        <f t="shared" si="21"/>
        <v>220.71277432748943</v>
      </c>
      <c r="AK5">
        <f t="shared" si="22"/>
        <v>214.5196809194187</v>
      </c>
      <c r="AL5">
        <f t="shared" si="23"/>
        <v>208.32658751134798</v>
      </c>
      <c r="AM5">
        <f>'Cibles THREEME'!$BE9</f>
        <v>202.13349410327723</v>
      </c>
    </row>
    <row r="6" spans="1:39">
      <c r="A6" s="595"/>
      <c r="B6" s="591" t="s">
        <v>224</v>
      </c>
      <c r="C6">
        <f>C5+1</f>
        <v>2302</v>
      </c>
      <c r="D6">
        <f>'Cibles THREEME'!AT10*11.64</f>
        <v>2.7042654827179389</v>
      </c>
      <c r="E6">
        <f t="shared" si="0"/>
        <v>2.3988002877945878</v>
      </c>
      <c r="F6">
        <f t="shared" si="1"/>
        <v>2.0933350928712366</v>
      </c>
      <c r="G6">
        <f t="shared" si="2"/>
        <v>1.7878698979478858</v>
      </c>
      <c r="H6">
        <f t="shared" si="3"/>
        <v>1.4824047030245349</v>
      </c>
      <c r="I6">
        <f>'Cibles THREEME'!$AU10</f>
        <v>1.1769395081011844</v>
      </c>
      <c r="J6">
        <f t="shared" si="4"/>
        <v>1.9597015447273316</v>
      </c>
      <c r="K6">
        <f t="shared" si="5"/>
        <v>2.7424635813534786</v>
      </c>
      <c r="L6">
        <f>'Cibles THREEME'!$AV10</f>
        <v>3.5252256179796255</v>
      </c>
      <c r="M6">
        <f t="shared" si="6"/>
        <v>3.0661057621376577</v>
      </c>
      <c r="N6">
        <f>'Cibles THREEME'!$AW10</f>
        <v>2.6069859062956899</v>
      </c>
      <c r="O6">
        <f t="shared" si="7"/>
        <v>2.5807139385860083</v>
      </c>
      <c r="P6">
        <f t="shared" si="8"/>
        <v>2.5544419708763266</v>
      </c>
      <c r="Q6">
        <f>'Cibles THREEME'!$AX10</f>
        <v>2.528170003166645</v>
      </c>
      <c r="R6">
        <f t="shared" si="9"/>
        <v>2.5082086905602741</v>
      </c>
      <c r="S6">
        <f>'Cibles THREEME'!$AY10</f>
        <v>2.4882473779539032</v>
      </c>
      <c r="T6">
        <f t="shared" si="10"/>
        <v>2.5446896016656289</v>
      </c>
      <c r="U6">
        <f t="shared" si="11"/>
        <v>2.6011318253773545</v>
      </c>
      <c r="V6">
        <f>'Cibles THREEME'!$AZ10</f>
        <v>2.6575740490890798</v>
      </c>
      <c r="W6">
        <f t="shared" si="12"/>
        <v>2.7151624937759653</v>
      </c>
      <c r="X6">
        <f>'Cibles THREEME'!$BA10</f>
        <v>2.7727509384628508</v>
      </c>
      <c r="Y6">
        <f t="shared" si="13"/>
        <v>2.7653873449268924</v>
      </c>
      <c r="Z6">
        <f t="shared" si="14"/>
        <v>2.758023751390934</v>
      </c>
      <c r="AA6">
        <f>'Cibles THREEME'!$BB10</f>
        <v>2.7506601578549756</v>
      </c>
      <c r="AB6">
        <f t="shared" si="15"/>
        <v>2.7414584488741816</v>
      </c>
      <c r="AC6">
        <f>'Cibles THREEME'!$BC10</f>
        <v>2.7322567398933875</v>
      </c>
      <c r="AD6">
        <f t="shared" si="16"/>
        <v>2.7796223875588288</v>
      </c>
      <c r="AE6">
        <f t="shared" si="17"/>
        <v>2.8269880352242702</v>
      </c>
      <c r="AF6">
        <f t="shared" si="18"/>
        <v>2.8743536828897116</v>
      </c>
      <c r="AG6">
        <f t="shared" si="19"/>
        <v>2.921719330555153</v>
      </c>
      <c r="AH6">
        <f>'Cibles THREEME'!$BD10</f>
        <v>2.9690849782205939</v>
      </c>
      <c r="AI6">
        <f t="shared" si="20"/>
        <v>2.9861916660770471</v>
      </c>
      <c r="AJ6">
        <f t="shared" si="21"/>
        <v>3.0032983539335003</v>
      </c>
      <c r="AK6">
        <f t="shared" si="22"/>
        <v>3.0204050417899535</v>
      </c>
      <c r="AL6">
        <f t="shared" si="23"/>
        <v>3.0375117296464067</v>
      </c>
      <c r="AM6">
        <f>'Cibles THREEME'!$BE10</f>
        <v>3.054618417502859</v>
      </c>
    </row>
    <row r="7" spans="1:39">
      <c r="A7" s="595"/>
      <c r="B7" s="591" t="s">
        <v>32</v>
      </c>
      <c r="C7">
        <f t="shared" ref="C7:C12" si="24">C6+1</f>
        <v>2303</v>
      </c>
      <c r="D7">
        <f>('Cibles THREEME'!AT11+'Cibles THREEME'!AT13)*11.64</f>
        <v>17.880295451810653</v>
      </c>
      <c r="E7">
        <f t="shared" si="0"/>
        <v>19.285172197958776</v>
      </c>
      <c r="F7">
        <f t="shared" si="1"/>
        <v>20.690048944106898</v>
      </c>
      <c r="G7">
        <f t="shared" si="2"/>
        <v>22.094925690255021</v>
      </c>
      <c r="H7">
        <f t="shared" si="3"/>
        <v>23.499802436403144</v>
      </c>
      <c r="I7">
        <f>'Cibles THREEME'!$AU11+'Cibles THREEME'!$AU13</f>
        <v>24.904679182551273</v>
      </c>
      <c r="J7">
        <f t="shared" si="4"/>
        <v>19.340494396472625</v>
      </c>
      <c r="K7">
        <f t="shared" si="5"/>
        <v>13.776309610393977</v>
      </c>
      <c r="L7">
        <f>'Cibles THREEME'!$AV11+'Cibles THREEME'!$AV13</f>
        <v>8.2121248243153264</v>
      </c>
      <c r="M7">
        <f t="shared" si="6"/>
        <v>7.9142245745440682</v>
      </c>
      <c r="N7">
        <f>'Cibles THREEME'!$AW11+'Cibles THREEME'!$AW13</f>
        <v>7.6163243247728092</v>
      </c>
      <c r="O7">
        <f t="shared" si="7"/>
        <v>7.5961937490397622</v>
      </c>
      <c r="P7">
        <f t="shared" si="8"/>
        <v>7.5760631733067152</v>
      </c>
      <c r="Q7">
        <f>'Cibles THREEME'!$AX11+'Cibles THREEME'!$AX13</f>
        <v>7.5559325975736691</v>
      </c>
      <c r="R7">
        <f t="shared" si="9"/>
        <v>7.554160351530312</v>
      </c>
      <c r="S7">
        <f>'Cibles THREEME'!$AY11+'Cibles THREEME'!$AY13</f>
        <v>7.5523881054869557</v>
      </c>
      <c r="T7">
        <f t="shared" si="10"/>
        <v>7.6347800552244367</v>
      </c>
      <c r="U7">
        <f t="shared" si="11"/>
        <v>7.7171720049619177</v>
      </c>
      <c r="V7">
        <f>'Cibles THREEME'!$AZ11+'Cibles THREEME'!$AZ13</f>
        <v>7.7995639546993987</v>
      </c>
      <c r="W7">
        <f t="shared" si="12"/>
        <v>7.8809491126368982</v>
      </c>
      <c r="X7">
        <f>'Cibles THREEME'!$BA11+'Cibles THREEME'!$BA13</f>
        <v>7.9623342705743987</v>
      </c>
      <c r="Y7">
        <f t="shared" si="13"/>
        <v>8.0334460771533944</v>
      </c>
      <c r="Z7">
        <f t="shared" si="14"/>
        <v>8.1045578837323902</v>
      </c>
      <c r="AA7">
        <f>'Cibles THREEME'!$BB11+'Cibles THREEME'!$BB13</f>
        <v>8.1756696903113859</v>
      </c>
      <c r="AB7">
        <f t="shared" si="15"/>
        <v>8.2454201483826068</v>
      </c>
      <c r="AC7">
        <f>'Cibles THREEME'!$BC11+'Cibles THREEME'!$BC13</f>
        <v>8.315170606453826</v>
      </c>
      <c r="AD7">
        <f t="shared" si="16"/>
        <v>8.3681155870389592</v>
      </c>
      <c r="AE7">
        <f t="shared" si="17"/>
        <v>8.4210605676240924</v>
      </c>
      <c r="AF7">
        <f t="shared" si="18"/>
        <v>8.4740055482092256</v>
      </c>
      <c r="AG7">
        <f t="shared" si="19"/>
        <v>8.5269505287943588</v>
      </c>
      <c r="AH7">
        <f>'Cibles THREEME'!$BD11+'Cibles THREEME'!$BD13</f>
        <v>8.579895509379492</v>
      </c>
      <c r="AI7">
        <f t="shared" si="20"/>
        <v>11.784552191595083</v>
      </c>
      <c r="AJ7">
        <f t="shared" si="21"/>
        <v>14.989208873810671</v>
      </c>
      <c r="AK7">
        <f t="shared" si="22"/>
        <v>18.19386555602626</v>
      </c>
      <c r="AL7">
        <f t="shared" si="23"/>
        <v>21.398522238241849</v>
      </c>
      <c r="AM7">
        <f>'Cibles THREEME'!$BE11+'Cibles THREEME'!$BE13</f>
        <v>24.603178920457438</v>
      </c>
    </row>
    <row r="8" spans="1:39">
      <c r="A8" s="595" t="s">
        <v>104</v>
      </c>
      <c r="B8" s="591" t="s">
        <v>42</v>
      </c>
      <c r="C8">
        <f t="shared" si="24"/>
        <v>2304</v>
      </c>
      <c r="D8">
        <f>'Cibles THREEME'!AT12*11.64</f>
        <v>8.3372544767999575</v>
      </c>
      <c r="E8">
        <f t="shared" si="0"/>
        <v>7.1337536968902686</v>
      </c>
      <c r="F8">
        <f t="shared" si="1"/>
        <v>5.9302529169805798</v>
      </c>
      <c r="G8">
        <f t="shared" si="2"/>
        <v>4.7267521370708909</v>
      </c>
      <c r="H8">
        <f t="shared" si="3"/>
        <v>3.5232513571612021</v>
      </c>
      <c r="I8">
        <f>'Cibles THREEME'!$AU12</f>
        <v>2.3197505772515123</v>
      </c>
      <c r="J8">
        <f t="shared" si="4"/>
        <v>1.9368784307927747</v>
      </c>
      <c r="K8">
        <f t="shared" si="5"/>
        <v>1.554006284334037</v>
      </c>
      <c r="L8">
        <f>'Cibles THREEME'!$AV12</f>
        <v>1.1711341378752991</v>
      </c>
      <c r="M8">
        <f t="shared" si="6"/>
        <v>0.92666789292920448</v>
      </c>
      <c r="N8">
        <f>'Cibles THREEME'!$AW12</f>
        <v>0.68220164798310978</v>
      </c>
      <c r="O8">
        <f t="shared" si="7"/>
        <v>0.68015757410345934</v>
      </c>
      <c r="P8">
        <f t="shared" si="8"/>
        <v>0.6781135002238089</v>
      </c>
      <c r="Q8">
        <f>'Cibles THREEME'!$AX12</f>
        <v>0.67606942634415856</v>
      </c>
      <c r="R8">
        <f t="shared" si="9"/>
        <v>0.67566923636338583</v>
      </c>
      <c r="S8">
        <f>'Cibles THREEME'!$AY12</f>
        <v>0.67526904638261309</v>
      </c>
      <c r="T8">
        <f t="shared" si="10"/>
        <v>0.68246381499749575</v>
      </c>
      <c r="U8">
        <f t="shared" si="11"/>
        <v>0.68965858361237842</v>
      </c>
      <c r="V8">
        <f>'Cibles THREEME'!$AZ12</f>
        <v>0.69685335222726119</v>
      </c>
      <c r="W8">
        <f t="shared" si="12"/>
        <v>0.70394582701361863</v>
      </c>
      <c r="X8">
        <f>'Cibles THREEME'!$BA12</f>
        <v>0.71103830179997607</v>
      </c>
      <c r="Y8">
        <f t="shared" si="13"/>
        <v>0.7173564098296068</v>
      </c>
      <c r="Z8">
        <f t="shared" si="14"/>
        <v>0.72367451785923753</v>
      </c>
      <c r="AA8">
        <f>'Cibles THREEME'!$BB12</f>
        <v>0.72999262588886837</v>
      </c>
      <c r="AB8">
        <f t="shared" si="15"/>
        <v>0.73618758308251886</v>
      </c>
      <c r="AC8">
        <f>'Cibles THREEME'!$BC12</f>
        <v>0.74238254027616946</v>
      </c>
      <c r="AD8">
        <f t="shared" si="16"/>
        <v>0.74707872683629861</v>
      </c>
      <c r="AE8">
        <f t="shared" si="17"/>
        <v>0.75177491339642777</v>
      </c>
      <c r="AF8">
        <f t="shared" si="18"/>
        <v>0.75647109995655692</v>
      </c>
      <c r="AG8">
        <f t="shared" si="19"/>
        <v>0.76116728651668608</v>
      </c>
      <c r="AH8">
        <f>'Cibles THREEME'!$BD12</f>
        <v>0.76586347307681524</v>
      </c>
      <c r="AI8">
        <f t="shared" si="20"/>
        <v>0.76760075237883396</v>
      </c>
      <c r="AJ8">
        <f t="shared" si="21"/>
        <v>0.76933803168085269</v>
      </c>
      <c r="AK8">
        <f t="shared" si="22"/>
        <v>0.77107531098287141</v>
      </c>
      <c r="AL8">
        <f t="shared" si="23"/>
        <v>0.77281259028489013</v>
      </c>
      <c r="AM8">
        <f>'Cibles THREEME'!$BE12</f>
        <v>0.77454986958690908</v>
      </c>
    </row>
    <row r="9" spans="1:39">
      <c r="A9" s="595"/>
      <c r="B9" s="591" t="s">
        <v>477</v>
      </c>
      <c r="C9">
        <f t="shared" si="24"/>
        <v>2305</v>
      </c>
      <c r="D9">
        <f>'Cibles THREEME'!AT14*11.64</f>
        <v>23.590230128792182</v>
      </c>
      <c r="E9">
        <f t="shared" si="0"/>
        <v>25.666365542170922</v>
      </c>
      <c r="F9">
        <f t="shared" si="1"/>
        <v>27.742500955549662</v>
      </c>
      <c r="G9">
        <f t="shared" si="2"/>
        <v>29.818636368928402</v>
      </c>
      <c r="H9">
        <f t="shared" si="3"/>
        <v>31.894771782307142</v>
      </c>
      <c r="I9">
        <f>'Cibles THREEME'!$AU14</f>
        <v>33.970907195685882</v>
      </c>
      <c r="J9">
        <f t="shared" si="4"/>
        <v>36.446152509066117</v>
      </c>
      <c r="K9">
        <f t="shared" si="5"/>
        <v>38.921397822446352</v>
      </c>
      <c r="L9">
        <f>'Cibles THREEME'!$AV14</f>
        <v>41.396643135826587</v>
      </c>
      <c r="M9">
        <f t="shared" si="6"/>
        <v>45.215396290585694</v>
      </c>
      <c r="N9">
        <f>'Cibles THREEME'!$AW14</f>
        <v>49.034149445344802</v>
      </c>
      <c r="O9">
        <f t="shared" si="7"/>
        <v>52.287243400538202</v>
      </c>
      <c r="P9">
        <f t="shared" si="8"/>
        <v>55.540337355731602</v>
      </c>
      <c r="Q9">
        <f>'Cibles THREEME'!$AX14</f>
        <v>58.793431310925001</v>
      </c>
      <c r="R9">
        <f t="shared" si="9"/>
        <v>61.049379554557774</v>
      </c>
      <c r="S9">
        <f>'Cibles THREEME'!$AY14</f>
        <v>63.305327798190547</v>
      </c>
      <c r="T9">
        <f t="shared" si="10"/>
        <v>67.132120768282348</v>
      </c>
      <c r="U9">
        <f t="shared" si="11"/>
        <v>70.95891373837415</v>
      </c>
      <c r="V9">
        <f>'Cibles THREEME'!$AZ14</f>
        <v>74.785706708465952</v>
      </c>
      <c r="W9">
        <f t="shared" si="12"/>
        <v>78.762983861756652</v>
      </c>
      <c r="X9">
        <f>'Cibles THREEME'!$BA14</f>
        <v>82.740261015047338</v>
      </c>
      <c r="Y9">
        <f t="shared" si="13"/>
        <v>86.777236861071472</v>
      </c>
      <c r="Z9">
        <f t="shared" si="14"/>
        <v>90.814212707095606</v>
      </c>
      <c r="AA9">
        <f>'Cibles THREEME'!$BB14</f>
        <v>94.851188553119727</v>
      </c>
      <c r="AB9">
        <f t="shared" si="15"/>
        <v>99.013729509471688</v>
      </c>
      <c r="AC9">
        <f>'Cibles THREEME'!$BC14</f>
        <v>103.17627046582365</v>
      </c>
      <c r="AD9">
        <f t="shared" si="16"/>
        <v>107.29167002780719</v>
      </c>
      <c r="AE9">
        <f t="shared" si="17"/>
        <v>111.40706958979072</v>
      </c>
      <c r="AF9">
        <f t="shared" si="18"/>
        <v>115.52246915177426</v>
      </c>
      <c r="AG9">
        <f t="shared" si="19"/>
        <v>119.6378687137578</v>
      </c>
      <c r="AH9">
        <f>'Cibles THREEME'!$BD14</f>
        <v>123.75326827574135</v>
      </c>
      <c r="AI9">
        <f t="shared" si="20"/>
        <v>127.54667983265044</v>
      </c>
      <c r="AJ9">
        <f t="shared" si="21"/>
        <v>131.34009138955952</v>
      </c>
      <c r="AK9">
        <f t="shared" si="22"/>
        <v>135.13350294646861</v>
      </c>
      <c r="AL9">
        <f t="shared" si="23"/>
        <v>138.9269145033777</v>
      </c>
      <c r="AM9">
        <f>'Cibles THREEME'!$BE14</f>
        <v>142.72032606028679</v>
      </c>
    </row>
    <row r="10" spans="1:39">
      <c r="A10" s="595"/>
      <c r="B10" s="591" t="s">
        <v>279</v>
      </c>
      <c r="C10">
        <f t="shared" si="24"/>
        <v>2306</v>
      </c>
      <c r="D10">
        <f>'Cibles THREEME'!AT15*11.64</f>
        <v>10.396335393297836</v>
      </c>
      <c r="E10">
        <f t="shared" si="0"/>
        <v>11.311298916822121</v>
      </c>
      <c r="F10">
        <f t="shared" si="1"/>
        <v>12.226262440346407</v>
      </c>
      <c r="G10">
        <f t="shared" si="2"/>
        <v>13.141225963870692</v>
      </c>
      <c r="H10">
        <f t="shared" si="3"/>
        <v>14.056189487394978</v>
      </c>
      <c r="I10">
        <f>'Cibles THREEME'!$AU15</f>
        <v>14.971153010919259</v>
      </c>
      <c r="J10">
        <f t="shared" si="4"/>
        <v>16.06200631409164</v>
      </c>
      <c r="K10">
        <f t="shared" si="5"/>
        <v>17.152859617264021</v>
      </c>
      <c r="L10">
        <f>'Cibles THREEME'!$AV15</f>
        <v>18.243712920436398</v>
      </c>
      <c r="M10">
        <f t="shared" si="6"/>
        <v>19.130711233322749</v>
      </c>
      <c r="N10">
        <f>'Cibles THREEME'!$AW15</f>
        <v>20.017709546209097</v>
      </c>
      <c r="O10">
        <f t="shared" si="7"/>
        <v>21.481231212563543</v>
      </c>
      <c r="P10">
        <f t="shared" si="8"/>
        <v>22.944752878917988</v>
      </c>
      <c r="Q10">
        <f>'Cibles THREEME'!$AX15</f>
        <v>24.408274545272437</v>
      </c>
      <c r="R10">
        <f t="shared" si="9"/>
        <v>25.919783642008266</v>
      </c>
      <c r="S10">
        <f>'Cibles THREEME'!$AY15</f>
        <v>27.431292738744094</v>
      </c>
      <c r="T10">
        <f t="shared" si="10"/>
        <v>31.009658584663956</v>
      </c>
      <c r="U10">
        <f t="shared" si="11"/>
        <v>34.588024430583822</v>
      </c>
      <c r="V10">
        <f>'Cibles THREEME'!$AZ15</f>
        <v>38.166390276503684</v>
      </c>
      <c r="W10">
        <f t="shared" si="12"/>
        <v>41.904229096723235</v>
      </c>
      <c r="X10">
        <f>'Cibles THREEME'!$BA15</f>
        <v>45.642067916942786</v>
      </c>
      <c r="Y10">
        <f t="shared" si="13"/>
        <v>49.48370491107908</v>
      </c>
      <c r="Z10">
        <f t="shared" si="14"/>
        <v>53.325341905215375</v>
      </c>
      <c r="AA10">
        <f>'Cibles THREEME'!$BB15</f>
        <v>57.166978899351662</v>
      </c>
      <c r="AB10">
        <f t="shared" si="15"/>
        <v>61.144377523531816</v>
      </c>
      <c r="AC10">
        <f>'Cibles THREEME'!$BC15</f>
        <v>65.121776147711969</v>
      </c>
      <c r="AD10">
        <f t="shared" si="16"/>
        <v>69.133607470764161</v>
      </c>
      <c r="AE10">
        <f t="shared" si="17"/>
        <v>73.145438793816353</v>
      </c>
      <c r="AF10">
        <f t="shared" si="18"/>
        <v>77.157270116868546</v>
      </c>
      <c r="AG10">
        <f t="shared" si="19"/>
        <v>81.169101439920738</v>
      </c>
      <c r="AH10">
        <f>'Cibles THREEME'!$BD15</f>
        <v>85.180932762972901</v>
      </c>
      <c r="AI10">
        <f t="shared" si="20"/>
        <v>87.280821133137394</v>
      </c>
      <c r="AJ10">
        <f t="shared" si="21"/>
        <v>89.380709503301887</v>
      </c>
      <c r="AK10">
        <f t="shared" si="22"/>
        <v>91.48059787346638</v>
      </c>
      <c r="AL10">
        <f t="shared" si="23"/>
        <v>93.580486243630872</v>
      </c>
      <c r="AM10">
        <f>'Cibles THREEME'!$BE15</f>
        <v>95.680374613795379</v>
      </c>
    </row>
    <row r="11" spans="1:39">
      <c r="A11" s="595"/>
      <c r="B11" s="591" t="s">
        <v>18</v>
      </c>
      <c r="C11">
        <f t="shared" si="24"/>
        <v>2307</v>
      </c>
      <c r="D11">
        <f>'Cibles THREEME'!AT16*11.64</f>
        <v>28.826202681416731</v>
      </c>
      <c r="E11">
        <f t="shared" si="0"/>
        <v>31.363146996643156</v>
      </c>
      <c r="F11">
        <f t="shared" si="1"/>
        <v>33.900091311869581</v>
      </c>
      <c r="G11">
        <f t="shared" si="2"/>
        <v>36.437035627096009</v>
      </c>
      <c r="H11">
        <f t="shared" si="3"/>
        <v>38.973979942322437</v>
      </c>
      <c r="I11">
        <f>'Cibles THREEME'!$AU16</f>
        <v>41.510924257548858</v>
      </c>
      <c r="J11">
        <f t="shared" si="4"/>
        <v>44.535562961799549</v>
      </c>
      <c r="K11">
        <f t="shared" si="5"/>
        <v>47.56020166605024</v>
      </c>
      <c r="L11">
        <f>'Cibles THREEME'!$AV16</f>
        <v>50.584840370300924</v>
      </c>
      <c r="M11">
        <f t="shared" si="6"/>
        <v>48.774733306664977</v>
      </c>
      <c r="N11">
        <f>'Cibles THREEME'!$AW16</f>
        <v>46.964626243029031</v>
      </c>
      <c r="O11">
        <f t="shared" si="7"/>
        <v>46.819175279327887</v>
      </c>
      <c r="P11">
        <f t="shared" si="8"/>
        <v>46.673724315626743</v>
      </c>
      <c r="Q11">
        <f>'Cibles THREEME'!$AX16</f>
        <v>46.528273351925591</v>
      </c>
      <c r="R11">
        <f t="shared" si="9"/>
        <v>46.504537468509881</v>
      </c>
      <c r="S11">
        <f>'Cibles THREEME'!$AY16</f>
        <v>46.48080158509417</v>
      </c>
      <c r="T11">
        <f t="shared" si="10"/>
        <v>46.955306727968988</v>
      </c>
      <c r="U11">
        <f t="shared" si="11"/>
        <v>47.429811870843807</v>
      </c>
      <c r="V11">
        <f>'Cibles THREEME'!$AZ16</f>
        <v>47.904317013718618</v>
      </c>
      <c r="W11">
        <f t="shared" si="12"/>
        <v>48.374668532591855</v>
      </c>
      <c r="X11">
        <f>'Cibles THREEME'!$BA16</f>
        <v>48.845020051465099</v>
      </c>
      <c r="Y11">
        <f t="shared" si="13"/>
        <v>49.264427701266257</v>
      </c>
      <c r="Z11">
        <f t="shared" si="14"/>
        <v>49.683835351067415</v>
      </c>
      <c r="AA11">
        <f>'Cibles THREEME'!$BB16</f>
        <v>50.103243000868567</v>
      </c>
      <c r="AB11">
        <f t="shared" si="15"/>
        <v>50.515905763321655</v>
      </c>
      <c r="AC11">
        <f>'Cibles THREEME'!$BC16</f>
        <v>50.928568525774743</v>
      </c>
      <c r="AD11">
        <f t="shared" si="16"/>
        <v>51.239899060097265</v>
      </c>
      <c r="AE11">
        <f t="shared" si="17"/>
        <v>51.551229594419787</v>
      </c>
      <c r="AF11">
        <f t="shared" si="18"/>
        <v>51.862560128742309</v>
      </c>
      <c r="AG11">
        <f t="shared" si="19"/>
        <v>52.173890663064832</v>
      </c>
      <c r="AH11">
        <f>'Cibles THREEME'!$BD16</f>
        <v>52.485221197387347</v>
      </c>
      <c r="AI11">
        <f t="shared" si="20"/>
        <v>52.600000324167183</v>
      </c>
      <c r="AJ11">
        <f t="shared" si="21"/>
        <v>52.71477945094702</v>
      </c>
      <c r="AK11">
        <f t="shared" si="22"/>
        <v>52.829558577726857</v>
      </c>
      <c r="AL11">
        <f t="shared" si="23"/>
        <v>52.944337704506694</v>
      </c>
      <c r="AM11">
        <f>'Cibles THREEME'!$BE16</f>
        <v>53.059116831286531</v>
      </c>
    </row>
    <row r="12" spans="1:39" ht="15" thickBot="1">
      <c r="A12" s="594"/>
      <c r="B12" s="592" t="s">
        <v>480</v>
      </c>
      <c r="C12">
        <f t="shared" si="24"/>
        <v>2308</v>
      </c>
      <c r="D12">
        <f>'Cibles THREEME'!AT17*11.64</f>
        <v>7.4342230277684358</v>
      </c>
      <c r="E12">
        <f t="shared" si="0"/>
        <v>6.9342376018133987</v>
      </c>
      <c r="F12">
        <f t="shared" si="1"/>
        <v>6.4342521758583615</v>
      </c>
      <c r="G12">
        <f t="shared" si="2"/>
        <v>5.9342667499033244</v>
      </c>
      <c r="H12">
        <f t="shared" si="3"/>
        <v>5.4342813239482872</v>
      </c>
      <c r="I12">
        <f>'Cibles THREEME'!$AU17</f>
        <v>4.9342958979932492</v>
      </c>
      <c r="J12">
        <f t="shared" si="4"/>
        <v>6.6115085194670238</v>
      </c>
      <c r="K12">
        <f t="shared" si="5"/>
        <v>8.2887211409407975</v>
      </c>
      <c r="L12">
        <f>'Cibles THREEME'!$AV17</f>
        <v>9.9659337624145721</v>
      </c>
      <c r="M12">
        <f t="shared" si="6"/>
        <v>9.9452149752233918</v>
      </c>
      <c r="N12">
        <f>'Cibles THREEME'!$AW17</f>
        <v>9.9244961880322116</v>
      </c>
      <c r="O12">
        <f t="shared" si="7"/>
        <v>10.316123993623863</v>
      </c>
      <c r="P12">
        <f t="shared" si="8"/>
        <v>10.707751799215515</v>
      </c>
      <c r="Q12">
        <f>'Cibles THREEME'!$AX17</f>
        <v>11.099379604807165</v>
      </c>
      <c r="R12">
        <f t="shared" si="9"/>
        <v>11.505588085338676</v>
      </c>
      <c r="S12">
        <f>'Cibles THREEME'!$AY17</f>
        <v>11.911796565870185</v>
      </c>
      <c r="T12">
        <f t="shared" si="10"/>
        <v>12.13381317835734</v>
      </c>
      <c r="U12">
        <f t="shared" si="11"/>
        <v>12.355829790844494</v>
      </c>
      <c r="V12">
        <f>'Cibles THREEME'!$AZ17</f>
        <v>12.577846403331648</v>
      </c>
      <c r="W12">
        <f t="shared" si="12"/>
        <v>12.804712105659393</v>
      </c>
      <c r="X12">
        <f>'Cibles THREEME'!$BA17</f>
        <v>13.031577807987137</v>
      </c>
      <c r="Y12">
        <f t="shared" si="13"/>
        <v>13.882229593615756</v>
      </c>
      <c r="Z12">
        <f t="shared" si="14"/>
        <v>14.732881379244375</v>
      </c>
      <c r="AA12">
        <f>'Cibles THREEME'!$BB17</f>
        <v>15.583533164872994</v>
      </c>
      <c r="AB12">
        <f t="shared" si="15"/>
        <v>16.465706735899889</v>
      </c>
      <c r="AC12">
        <f>'Cibles THREEME'!$BC17</f>
        <v>17.347880306926783</v>
      </c>
      <c r="AD12">
        <f t="shared" si="16"/>
        <v>17.596935855302011</v>
      </c>
      <c r="AE12">
        <f t="shared" si="17"/>
        <v>17.845991403677239</v>
      </c>
      <c r="AF12">
        <f t="shared" si="18"/>
        <v>18.095046952052467</v>
      </c>
      <c r="AG12">
        <f t="shared" si="19"/>
        <v>18.344102500427695</v>
      </c>
      <c r="AH12">
        <f>'Cibles THREEME'!$BD17</f>
        <v>18.593158048802927</v>
      </c>
      <c r="AI12">
        <f t="shared" si="20"/>
        <v>18.850834395855191</v>
      </c>
      <c r="AJ12">
        <f t="shared" si="21"/>
        <v>19.108510742907455</v>
      </c>
      <c r="AK12">
        <f t="shared" si="22"/>
        <v>19.36618708995972</v>
      </c>
      <c r="AL12">
        <f t="shared" si="23"/>
        <v>19.623863437011984</v>
      </c>
      <c r="AM12">
        <f>'Cibles THREEME'!$BE17</f>
        <v>19.881539784064241</v>
      </c>
    </row>
    <row r="13" spans="1:39">
      <c r="A13" s="593"/>
      <c r="B13" s="590" t="s">
        <v>287</v>
      </c>
      <c r="C13">
        <v>2401</v>
      </c>
      <c r="D13">
        <f>'Cibles THREEME'!AT19*11.64</f>
        <v>343.36402549516635</v>
      </c>
      <c r="E13">
        <f t="shared" ref="E13:E18" si="25">D13+(I13-D13)/5</f>
        <v>342.19946857858531</v>
      </c>
      <c r="F13">
        <f t="shared" ref="F13:F18" si="26">E13+(I13-D13)/5</f>
        <v>341.03491166200428</v>
      </c>
      <c r="G13">
        <f t="shared" ref="G13:G18" si="27">F13+(I13-D13)/5</f>
        <v>339.87035474542324</v>
      </c>
      <c r="H13">
        <f t="shared" ref="H13:H18" si="28">G13+(I13-D13)/5</f>
        <v>338.70579782884221</v>
      </c>
      <c r="I13">
        <f>'Cibles THREEME'!$AU19</f>
        <v>337.54124091226123</v>
      </c>
      <c r="J13">
        <f t="shared" ref="J13:J18" si="29">I13+(L13-I13)/3</f>
        <v>339.4648651665259</v>
      </c>
      <c r="K13">
        <f t="shared" ref="K13:K18" si="30">J13+(L13-I13)/3</f>
        <v>341.38848942079056</v>
      </c>
      <c r="L13">
        <f>'Cibles THREEME'!$AV19</f>
        <v>343.31211367505523</v>
      </c>
      <c r="M13">
        <f t="shared" ref="M13:M18" si="31">(L13+N13)/2</f>
        <v>337.50389303265422</v>
      </c>
      <c r="N13">
        <f>'Cibles THREEME'!$AW19</f>
        <v>331.69567239025315</v>
      </c>
      <c r="O13">
        <f t="shared" ref="O13:O18" si="32">N13+(Q13-N13)/3</f>
        <v>328.03237084461927</v>
      </c>
      <c r="P13">
        <f t="shared" ref="P13:P18" si="33">O13+(Q13-N13)/3</f>
        <v>324.36906929898538</v>
      </c>
      <c r="Q13">
        <f>'Cibles THREEME'!$AX19</f>
        <v>320.70576775335144</v>
      </c>
      <c r="R13">
        <f t="shared" ref="R13:R18" si="34">(Q13+S13)/2</f>
        <v>317.0247224678144</v>
      </c>
      <c r="S13">
        <f>'Cibles THREEME'!$AY19</f>
        <v>313.34367718227736</v>
      </c>
      <c r="T13">
        <f t="shared" ref="T13:T18" si="35">S13+(V13-S13)/3</f>
        <v>311.34276749058057</v>
      </c>
      <c r="U13">
        <f t="shared" ref="U13:U18" si="36">T13+(V13-S13)/3</f>
        <v>309.34185779888378</v>
      </c>
      <c r="V13">
        <f>'Cibles THREEME'!$AZ19</f>
        <v>307.34094810718705</v>
      </c>
      <c r="W13">
        <f t="shared" ref="W13:W18" si="37">(V13+X13)/2</f>
        <v>305.30323345715578</v>
      </c>
      <c r="X13">
        <f>'Cibles THREEME'!$BA19</f>
        <v>303.26551880712458</v>
      </c>
      <c r="Y13">
        <f t="shared" ref="Y13:Y18" si="38">X13+(AA13-X13)/3</f>
        <v>302.54834871104362</v>
      </c>
      <c r="Z13">
        <f t="shared" ref="Z13:Z18" si="39">Y13+(AA13-X13)/3</f>
        <v>301.83117861496265</v>
      </c>
      <c r="AA13">
        <f>'Cibles THREEME'!$BB19</f>
        <v>301.11400851888169</v>
      </c>
      <c r="AB13">
        <f t="shared" ref="AB13:AB18" si="40">(AA13+AC13)/2</f>
        <v>300.3472350653592</v>
      </c>
      <c r="AC13">
        <f>'Cibles THREEME'!$BC19</f>
        <v>299.58046161183665</v>
      </c>
      <c r="AD13">
        <f t="shared" ref="AD13:AD18" si="41">AC13+(AH13-AC13)/5</f>
        <v>297.94999110111667</v>
      </c>
      <c r="AE13">
        <f t="shared" ref="AE13:AE18" si="42">AD13+(AH13-AC13)/5</f>
        <v>296.31952059039668</v>
      </c>
      <c r="AF13">
        <f t="shared" ref="AF13:AF18" si="43">AE13+(AH13-AC13)/5</f>
        <v>294.68905007967669</v>
      </c>
      <c r="AG13">
        <f t="shared" ref="AG13:AG18" si="44">AF13+(AH13-AC13)/5</f>
        <v>293.0585795689567</v>
      </c>
      <c r="AH13">
        <f>'Cibles THREEME'!$BD19</f>
        <v>291.4281090582366</v>
      </c>
      <c r="AI13">
        <f t="shared" ref="AI13:AI18" si="45">AH13+(AM13-AH13)/5</f>
        <v>289.04741411842241</v>
      </c>
      <c r="AJ13">
        <f t="shared" ref="AJ13:AJ18" si="46">AI13+(AM13-AH13)/5</f>
        <v>286.66671917860822</v>
      </c>
      <c r="AK13">
        <f t="shared" ref="AK13:AK18" si="47">AJ13+(AM13-AH13)/5</f>
        <v>284.28602423879403</v>
      </c>
      <c r="AL13">
        <f t="shared" ref="AL13:AL18" si="48">AK13+(AM13-AH13)/5</f>
        <v>281.90532929897984</v>
      </c>
      <c r="AM13">
        <f>'Cibles THREEME'!$BE19</f>
        <v>279.52463435916559</v>
      </c>
    </row>
    <row r="14" spans="1:39">
      <c r="A14" s="595"/>
      <c r="B14" s="591" t="s">
        <v>289</v>
      </c>
      <c r="C14">
        <v>2402</v>
      </c>
      <c r="D14">
        <f>'Cibles THREEME'!AT20*11.64</f>
        <v>89.952579195593415</v>
      </c>
      <c r="E14">
        <f t="shared" si="25"/>
        <v>91.095503687887486</v>
      </c>
      <c r="F14">
        <f t="shared" si="26"/>
        <v>92.238428180181558</v>
      </c>
      <c r="G14">
        <f t="shared" si="27"/>
        <v>93.381352672475629</v>
      </c>
      <c r="H14">
        <f t="shared" si="28"/>
        <v>94.5242771647697</v>
      </c>
      <c r="I14">
        <f>'Cibles THREEME'!$AU20</f>
        <v>95.667201657063785</v>
      </c>
      <c r="J14">
        <f t="shared" si="29"/>
        <v>99.792399460732298</v>
      </c>
      <c r="K14">
        <f t="shared" si="30"/>
        <v>103.91759726440081</v>
      </c>
      <c r="L14">
        <f>'Cibles THREEME'!$AV20</f>
        <v>108.04279506806932</v>
      </c>
      <c r="M14">
        <f t="shared" si="31"/>
        <v>107.65290120279559</v>
      </c>
      <c r="N14">
        <f>'Cibles THREEME'!$AW20</f>
        <v>107.26300733752187</v>
      </c>
      <c r="O14">
        <f t="shared" si="32"/>
        <v>108.50192742308654</v>
      </c>
      <c r="P14">
        <f t="shared" si="33"/>
        <v>109.74084750865121</v>
      </c>
      <c r="Q14">
        <f>'Cibles THREEME'!$AX20</f>
        <v>110.97976759421589</v>
      </c>
      <c r="R14">
        <f t="shared" si="34"/>
        <v>112.25134218648452</v>
      </c>
      <c r="S14">
        <f>'Cibles THREEME'!$AY20</f>
        <v>113.52291677875316</v>
      </c>
      <c r="T14">
        <f t="shared" si="35"/>
        <v>115.33503318141101</v>
      </c>
      <c r="U14">
        <f t="shared" si="36"/>
        <v>117.14714958406886</v>
      </c>
      <c r="V14">
        <f>'Cibles THREEME'!$AZ20</f>
        <v>118.95926598672672</v>
      </c>
      <c r="W14">
        <f t="shared" si="37"/>
        <v>120.78678632909603</v>
      </c>
      <c r="X14">
        <f>'Cibles THREEME'!$BA20</f>
        <v>122.61430667146536</v>
      </c>
      <c r="Y14">
        <f t="shared" si="38"/>
        <v>123.15117177387738</v>
      </c>
      <c r="Z14">
        <f t="shared" si="39"/>
        <v>123.6880368762894</v>
      </c>
      <c r="AA14">
        <f>'Cibles THREEME'!$BB20</f>
        <v>124.22490197870144</v>
      </c>
      <c r="AB14">
        <f t="shared" si="40"/>
        <v>124.74605471518234</v>
      </c>
      <c r="AC14">
        <f>'Cibles THREEME'!$BC20</f>
        <v>125.26720745166325</v>
      </c>
      <c r="AD14">
        <f t="shared" si="41"/>
        <v>125.88459460594314</v>
      </c>
      <c r="AE14">
        <f t="shared" si="42"/>
        <v>126.50198176022302</v>
      </c>
      <c r="AF14">
        <f t="shared" si="43"/>
        <v>127.1193689145029</v>
      </c>
      <c r="AG14">
        <f t="shared" si="44"/>
        <v>127.73675606878278</v>
      </c>
      <c r="AH14">
        <f>'Cibles THREEME'!$BD20</f>
        <v>128.35414322306266</v>
      </c>
      <c r="AI14">
        <f t="shared" si="45"/>
        <v>128.13843889746164</v>
      </c>
      <c r="AJ14">
        <f t="shared" si="46"/>
        <v>127.92273457186063</v>
      </c>
      <c r="AK14">
        <f t="shared" si="47"/>
        <v>127.70703024625962</v>
      </c>
      <c r="AL14">
        <f t="shared" si="48"/>
        <v>127.49132592065861</v>
      </c>
      <c r="AM14">
        <f>'Cibles THREEME'!$BE20</f>
        <v>127.27562159505761</v>
      </c>
    </row>
    <row r="15" spans="1:39">
      <c r="A15" s="595" t="s">
        <v>478</v>
      </c>
      <c r="B15" s="591" t="s">
        <v>291</v>
      </c>
      <c r="C15">
        <v>2403</v>
      </c>
      <c r="D15">
        <f>'Cibles THREEME'!AT21*11.64</f>
        <v>1.3179624182656873</v>
      </c>
      <c r="E15">
        <f t="shared" si="25"/>
        <v>2.1244272381467697</v>
      </c>
      <c r="F15">
        <f t="shared" si="26"/>
        <v>2.9308920580278519</v>
      </c>
      <c r="G15">
        <f t="shared" si="27"/>
        <v>3.7373568779089341</v>
      </c>
      <c r="H15">
        <f t="shared" si="28"/>
        <v>4.5438216977900163</v>
      </c>
      <c r="I15">
        <f>'Cibles THREEME'!$AU21+'Cibles THREEME'!$AU22</f>
        <v>5.3502865176710985</v>
      </c>
      <c r="J15">
        <f t="shared" si="29"/>
        <v>5.0566584680361775</v>
      </c>
      <c r="K15">
        <f t="shared" si="30"/>
        <v>4.7630304184012564</v>
      </c>
      <c r="L15">
        <f>'Cibles THREEME'!$AV21+'Cibles THREEME'!$AV22</f>
        <v>4.4694023687663353</v>
      </c>
      <c r="M15">
        <f t="shared" si="31"/>
        <v>5.7040107025039362</v>
      </c>
      <c r="N15">
        <f>'Cibles THREEME'!$AW21+'Cibles THREEME'!$AW22</f>
        <v>6.9386190362415379</v>
      </c>
      <c r="O15">
        <f t="shared" si="32"/>
        <v>6.927979904246695</v>
      </c>
      <c r="P15">
        <f t="shared" si="33"/>
        <v>6.9173407722518521</v>
      </c>
      <c r="Q15">
        <f>'Cibles THREEME'!$AX21+'Cibles THREEME'!$AX22</f>
        <v>6.9067016402570083</v>
      </c>
      <c r="R15">
        <f t="shared" si="34"/>
        <v>6.8957922460105099</v>
      </c>
      <c r="S15">
        <f>'Cibles THREEME'!$AY21+'Cibles THREEME'!$AY22</f>
        <v>6.8848828517640115</v>
      </c>
      <c r="T15">
        <f t="shared" si="35"/>
        <v>7.1649396375833172</v>
      </c>
      <c r="U15">
        <f t="shared" si="36"/>
        <v>7.4449964234026229</v>
      </c>
      <c r="V15">
        <f>'Cibles THREEME'!$AZ21+'Cibles THREEME'!$AZ22</f>
        <v>7.7250532092219295</v>
      </c>
      <c r="W15">
        <f t="shared" si="37"/>
        <v>8.0078198338050317</v>
      </c>
      <c r="X15">
        <f>'Cibles THREEME'!$BA21+'Cibles THREEME'!$BA22</f>
        <v>8.2905864583881339</v>
      </c>
      <c r="Y15">
        <f t="shared" si="38"/>
        <v>8.6301451645655227</v>
      </c>
      <c r="Z15">
        <f t="shared" si="39"/>
        <v>8.9697038707429115</v>
      </c>
      <c r="AA15">
        <f>'Cibles THREEME'!$BB21+'Cibles THREEME'!$BB22</f>
        <v>9.3092625769202986</v>
      </c>
      <c r="AB15">
        <f t="shared" si="40"/>
        <v>9.6539545897491799</v>
      </c>
      <c r="AC15">
        <f>'Cibles THREEME'!$BC21+'Cibles THREEME'!$BC22</f>
        <v>9.9986466025780629</v>
      </c>
      <c r="AD15">
        <f t="shared" si="41"/>
        <v>10.297536012914671</v>
      </c>
      <c r="AE15">
        <f t="shared" si="42"/>
        <v>10.596425423251279</v>
      </c>
      <c r="AF15">
        <f t="shared" si="43"/>
        <v>10.895314833587888</v>
      </c>
      <c r="AG15">
        <f t="shared" si="44"/>
        <v>11.194204243924496</v>
      </c>
      <c r="AH15">
        <f>'Cibles THREEME'!$BD21+'Cibles THREEME'!$BD22</f>
        <v>11.493093654261106</v>
      </c>
      <c r="AI15">
        <f t="shared" si="45"/>
        <v>11.710259798302969</v>
      </c>
      <c r="AJ15">
        <f t="shared" si="46"/>
        <v>11.927425942344833</v>
      </c>
      <c r="AK15">
        <f t="shared" si="47"/>
        <v>12.144592086386696</v>
      </c>
      <c r="AL15">
        <f t="shared" si="48"/>
        <v>12.36175823042856</v>
      </c>
      <c r="AM15">
        <f>'Cibles THREEME'!$BE21+'Cibles THREEME'!$BE22</f>
        <v>12.57892437447042</v>
      </c>
    </row>
    <row r="16" spans="1:39">
      <c r="A16" s="595"/>
      <c r="B16" s="591" t="s">
        <v>293</v>
      </c>
      <c r="C16">
        <v>2404</v>
      </c>
      <c r="D16">
        <f>'Cibles THREEME'!AT23*11.64</f>
        <v>6.2153776217596084</v>
      </c>
      <c r="E16">
        <f t="shared" si="25"/>
        <v>8.5756154075042925</v>
      </c>
      <c r="F16">
        <f t="shared" si="26"/>
        <v>10.935853193248978</v>
      </c>
      <c r="G16">
        <f t="shared" si="27"/>
        <v>13.296090978993663</v>
      </c>
      <c r="H16">
        <f t="shared" si="28"/>
        <v>15.656328764738348</v>
      </c>
      <c r="I16">
        <f>'Cibles THREEME'!$AU23</f>
        <v>18.016566550483031</v>
      </c>
      <c r="J16">
        <f t="shared" si="29"/>
        <v>15.922837933761134</v>
      </c>
      <c r="K16">
        <f t="shared" si="30"/>
        <v>13.829109317039237</v>
      </c>
      <c r="L16">
        <f>'Cibles THREEME'!$AV23</f>
        <v>11.735380700317338</v>
      </c>
      <c r="M16">
        <f t="shared" si="31"/>
        <v>11.837482287076902</v>
      </c>
      <c r="N16">
        <f>'Cibles THREEME'!$AW23</f>
        <v>11.939583873836467</v>
      </c>
      <c r="O16">
        <f t="shared" si="32"/>
        <v>11.94023909340793</v>
      </c>
      <c r="P16">
        <f t="shared" si="33"/>
        <v>11.940894312979394</v>
      </c>
      <c r="Q16">
        <f>'Cibles THREEME'!$AX23</f>
        <v>11.941549532550855</v>
      </c>
      <c r="R16">
        <f t="shared" si="34"/>
        <v>11.937165600302954</v>
      </c>
      <c r="S16">
        <f>'Cibles THREEME'!$AY23</f>
        <v>11.932781668055053</v>
      </c>
      <c r="T16">
        <f t="shared" si="35"/>
        <v>11.893473440100173</v>
      </c>
      <c r="U16">
        <f t="shared" si="36"/>
        <v>11.854165212145293</v>
      </c>
      <c r="V16">
        <f>'Cibles THREEME'!$AZ23</f>
        <v>11.814856984190413</v>
      </c>
      <c r="W16">
        <f t="shared" si="37"/>
        <v>11.77499911690288</v>
      </c>
      <c r="X16">
        <f>'Cibles THREEME'!$BA23</f>
        <v>11.735141249615346</v>
      </c>
      <c r="Y16">
        <f t="shared" si="38"/>
        <v>11.719454882280651</v>
      </c>
      <c r="Z16">
        <f t="shared" si="39"/>
        <v>11.703768514945956</v>
      </c>
      <c r="AA16">
        <f>'Cibles THREEME'!$BB23</f>
        <v>11.688082147611262</v>
      </c>
      <c r="AB16">
        <f t="shared" si="40"/>
        <v>11.671171907332324</v>
      </c>
      <c r="AC16">
        <f>'Cibles THREEME'!$BC23</f>
        <v>11.654261667053387</v>
      </c>
      <c r="AD16">
        <f t="shared" si="41"/>
        <v>11.643565531510438</v>
      </c>
      <c r="AE16">
        <f t="shared" si="42"/>
        <v>11.632869395967489</v>
      </c>
      <c r="AF16">
        <f t="shared" si="43"/>
        <v>11.622173260424541</v>
      </c>
      <c r="AG16">
        <f t="shared" si="44"/>
        <v>11.611477124881592</v>
      </c>
      <c r="AH16">
        <f>'Cibles THREEME'!$BD23</f>
        <v>11.600780989338643</v>
      </c>
      <c r="AI16">
        <f t="shared" si="45"/>
        <v>11.596842877444752</v>
      </c>
      <c r="AJ16">
        <f t="shared" si="46"/>
        <v>11.592904765550861</v>
      </c>
      <c r="AK16">
        <f t="shared" si="47"/>
        <v>11.58896665365697</v>
      </c>
      <c r="AL16">
        <f t="shared" si="48"/>
        <v>11.585028541763078</v>
      </c>
      <c r="AM16">
        <f>'Cibles THREEME'!$BE23</f>
        <v>11.581090429869187</v>
      </c>
    </row>
    <row r="17" spans="1:39">
      <c r="A17" s="595"/>
      <c r="B17" s="591" t="s">
        <v>296</v>
      </c>
      <c r="C17">
        <v>2405</v>
      </c>
      <c r="D17">
        <f>'Cibles THREEME'!AT24*11.64</f>
        <v>1.7614423281243035</v>
      </c>
      <c r="E17">
        <f t="shared" si="25"/>
        <v>2.3449666406788721</v>
      </c>
      <c r="F17">
        <f t="shared" si="26"/>
        <v>2.9284909532334407</v>
      </c>
      <c r="G17">
        <f t="shared" si="27"/>
        <v>3.5120152657880093</v>
      </c>
      <c r="H17">
        <f t="shared" si="28"/>
        <v>4.0955395783425779</v>
      </c>
      <c r="I17">
        <f>'Cibles THREEME'!$AU24</f>
        <v>4.6790638908971465</v>
      </c>
      <c r="J17">
        <f t="shared" si="29"/>
        <v>4.5778192887769151</v>
      </c>
      <c r="K17">
        <f t="shared" si="30"/>
        <v>4.4765746866566838</v>
      </c>
      <c r="L17">
        <f>'Cibles THREEME'!$AV24</f>
        <v>4.3753300845364516</v>
      </c>
      <c r="M17">
        <f t="shared" si="31"/>
        <v>4.4207173482377495</v>
      </c>
      <c r="N17">
        <f>'Cibles THREEME'!$AW24</f>
        <v>4.4661046119390466</v>
      </c>
      <c r="O17">
        <f t="shared" si="32"/>
        <v>4.5130951820197618</v>
      </c>
      <c r="P17">
        <f t="shared" si="33"/>
        <v>4.560085752100477</v>
      </c>
      <c r="Q17">
        <f>'Cibles THREEME'!$AX24</f>
        <v>4.607076322181193</v>
      </c>
      <c r="R17">
        <f t="shared" si="34"/>
        <v>4.6536500546601509</v>
      </c>
      <c r="S17">
        <f>'Cibles THREEME'!$AY24</f>
        <v>4.7002237871391097</v>
      </c>
      <c r="T17">
        <f t="shared" si="35"/>
        <v>4.6885502369806442</v>
      </c>
      <c r="U17">
        <f t="shared" si="36"/>
        <v>4.6768766868221787</v>
      </c>
      <c r="V17">
        <f>'Cibles THREEME'!$AZ24</f>
        <v>4.6652031366637141</v>
      </c>
      <c r="W17">
        <f t="shared" si="37"/>
        <v>4.6535740702809107</v>
      </c>
      <c r="X17">
        <f>'Cibles THREEME'!$BA24</f>
        <v>4.6419450038981074</v>
      </c>
      <c r="Y17">
        <f t="shared" si="38"/>
        <v>4.6388722937356297</v>
      </c>
      <c r="Z17">
        <f t="shared" si="39"/>
        <v>4.635799583573152</v>
      </c>
      <c r="AA17">
        <f>'Cibles THREEME'!$BB24</f>
        <v>4.6327268734106735</v>
      </c>
      <c r="AB17">
        <f t="shared" si="40"/>
        <v>4.6295779644704869</v>
      </c>
      <c r="AC17">
        <f>'Cibles THREEME'!$BC24</f>
        <v>4.6264290555303003</v>
      </c>
      <c r="AD17">
        <f t="shared" si="41"/>
        <v>4.6270533880840663</v>
      </c>
      <c r="AE17">
        <f t="shared" si="42"/>
        <v>4.6276777206378323</v>
      </c>
      <c r="AF17">
        <f t="shared" si="43"/>
        <v>4.6283020531915984</v>
      </c>
      <c r="AG17">
        <f t="shared" si="44"/>
        <v>4.6289263857453644</v>
      </c>
      <c r="AH17">
        <f>'Cibles THREEME'!$BD24</f>
        <v>4.6295507182991287</v>
      </c>
      <c r="AI17">
        <f t="shared" si="45"/>
        <v>4.6300662784501521</v>
      </c>
      <c r="AJ17">
        <f t="shared" si="46"/>
        <v>4.6305818386011754</v>
      </c>
      <c r="AK17">
        <f t="shared" si="47"/>
        <v>4.6310973987521988</v>
      </c>
      <c r="AL17">
        <f t="shared" si="48"/>
        <v>4.6316129589032222</v>
      </c>
      <c r="AM17">
        <f>'Cibles THREEME'!$BE24</f>
        <v>4.6321285190542456</v>
      </c>
    </row>
    <row r="18" spans="1:39" ht="15" thickBot="1">
      <c r="A18" s="594"/>
      <c r="B18" s="592" t="s">
        <v>481</v>
      </c>
      <c r="C18">
        <v>2406</v>
      </c>
      <c r="D18">
        <f>('Cibles THREEME'!AT25+'Cibles THREEME'!AT26)*11.64</f>
        <v>48.313362606420135</v>
      </c>
      <c r="E18">
        <f t="shared" si="25"/>
        <v>45.035159085136108</v>
      </c>
      <c r="F18">
        <f t="shared" si="26"/>
        <v>41.756955563852081</v>
      </c>
      <c r="G18">
        <f t="shared" si="27"/>
        <v>38.478752042568054</v>
      </c>
      <c r="H18">
        <f t="shared" si="28"/>
        <v>35.200548521284027</v>
      </c>
      <c r="I18">
        <f>'Cibles THREEME'!$AU25+'Cibles THREEME'!$AU26</f>
        <v>31.922344999999989</v>
      </c>
      <c r="J18">
        <f t="shared" si="29"/>
        <v>33.456447226710367</v>
      </c>
      <c r="K18">
        <f t="shared" si="30"/>
        <v>34.990549453420741</v>
      </c>
      <c r="L18">
        <f>'Cibles THREEME'!$AV25+'Cibles THREEME'!$AV26</f>
        <v>36.524651680131122</v>
      </c>
      <c r="M18">
        <f t="shared" si="31"/>
        <v>37.926946765600377</v>
      </c>
      <c r="N18">
        <f>'Cibles THREEME'!$AW25+'Cibles THREEME'!$AW26</f>
        <v>39.329241851069632</v>
      </c>
      <c r="O18">
        <f t="shared" si="32"/>
        <v>41.328429323320975</v>
      </c>
      <c r="P18">
        <f t="shared" si="33"/>
        <v>43.327616795572318</v>
      </c>
      <c r="Q18">
        <f>'Cibles THREEME'!$AX25+'Cibles THREEME'!$AX26</f>
        <v>45.326804267823668</v>
      </c>
      <c r="R18">
        <f t="shared" si="34"/>
        <v>47.425577766772733</v>
      </c>
      <c r="S18">
        <f>'Cibles THREEME'!$AY25+'Cibles THREEME'!$AY26</f>
        <v>49.524351265721805</v>
      </c>
      <c r="T18">
        <f t="shared" si="35"/>
        <v>51.156139001406089</v>
      </c>
      <c r="U18">
        <f t="shared" si="36"/>
        <v>52.787926737090373</v>
      </c>
      <c r="V18">
        <f>'Cibles THREEME'!$AZ25+'Cibles THREEME'!$AZ26</f>
        <v>54.41971447277465</v>
      </c>
      <c r="W18">
        <f t="shared" si="37"/>
        <v>56.12805458746945</v>
      </c>
      <c r="X18">
        <f>'Cibles THREEME'!$BA25+'Cibles THREEME'!$BA26</f>
        <v>57.836394702164249</v>
      </c>
      <c r="Y18">
        <f t="shared" si="38"/>
        <v>58.838564853294073</v>
      </c>
      <c r="Z18">
        <f t="shared" si="39"/>
        <v>59.840735004423898</v>
      </c>
      <c r="AA18">
        <f>'Cibles THREEME'!$BB25+'Cibles THREEME'!$BB26</f>
        <v>60.842905155553723</v>
      </c>
      <c r="AB18">
        <f t="shared" si="40"/>
        <v>61.875368589791215</v>
      </c>
      <c r="AC18">
        <f>'Cibles THREEME'!$BC25+'Cibles THREEME'!$BC26</f>
        <v>62.907832024028707</v>
      </c>
      <c r="AD18">
        <f t="shared" si="41"/>
        <v>63.921147227006209</v>
      </c>
      <c r="AE18">
        <f t="shared" si="42"/>
        <v>64.934462429983711</v>
      </c>
      <c r="AF18">
        <f t="shared" si="43"/>
        <v>65.94777763296122</v>
      </c>
      <c r="AG18">
        <f t="shared" si="44"/>
        <v>66.961092835938729</v>
      </c>
      <c r="AH18">
        <f>'Cibles THREEME'!$BD25+'Cibles THREEME'!$BD26</f>
        <v>67.974408038916224</v>
      </c>
      <c r="AI18">
        <f t="shared" si="45"/>
        <v>69.39827901103088</v>
      </c>
      <c r="AJ18">
        <f t="shared" si="46"/>
        <v>70.822149983145536</v>
      </c>
      <c r="AK18">
        <f t="shared" si="47"/>
        <v>72.246020955260192</v>
      </c>
      <c r="AL18">
        <f t="shared" si="48"/>
        <v>73.669891927374849</v>
      </c>
      <c r="AM18">
        <f>'Cibles THREEME'!$BE25+'Cibles THREEME'!$BE26</f>
        <v>75.093762899489533</v>
      </c>
    </row>
    <row r="19" spans="1:39">
      <c r="D19" s="596">
        <f>SUM(D3:D18)-('Cibles THREEME'!$AT2-'Cibles THREEME'!$AT27)*11.64</f>
        <v>0</v>
      </c>
      <c r="E19" s="596"/>
      <c r="F19" s="596"/>
      <c r="G19" s="596"/>
      <c r="H19" s="596"/>
      <c r="I19" s="596">
        <f>SUM(I3:I18)-('Cibles THREEME'!$AU2-'Cibles THREEME'!$AU27)</f>
        <v>0</v>
      </c>
      <c r="S19" s="596">
        <f>SUM(S3:S18)-('Cibles THREEME'!$AY2-'Cibles THREEME'!$AY27)</f>
        <v>0</v>
      </c>
      <c r="AM19" s="596">
        <f>SUM(AM3:AM18)-('Cibles THREEME'!$BE2-'Cibles THREEME'!$BE27)</f>
        <v>0</v>
      </c>
    </row>
    <row r="20" spans="1:39" ht="15" thickBot="1">
      <c r="B20" s="725" t="s">
        <v>531</v>
      </c>
      <c r="C20" s="725"/>
      <c r="D20" s="726">
        <v>2015</v>
      </c>
      <c r="E20" s="726">
        <v>2016</v>
      </c>
      <c r="F20" s="726">
        <v>2017</v>
      </c>
      <c r="G20" s="726">
        <v>2018</v>
      </c>
      <c r="H20" s="726">
        <v>2019</v>
      </c>
      <c r="I20" s="726">
        <v>2020</v>
      </c>
      <c r="J20" s="726">
        <v>2021</v>
      </c>
      <c r="K20" s="559">
        <v>2022</v>
      </c>
      <c r="L20" s="559">
        <v>2023</v>
      </c>
      <c r="M20" s="559">
        <v>2024</v>
      </c>
      <c r="N20" s="559">
        <v>2025</v>
      </c>
      <c r="O20" s="559">
        <v>2026</v>
      </c>
      <c r="P20" s="559">
        <v>2027</v>
      </c>
      <c r="Q20" s="559">
        <v>2028</v>
      </c>
      <c r="R20" s="559">
        <v>2029</v>
      </c>
      <c r="S20" s="559">
        <v>2030</v>
      </c>
      <c r="T20" s="559">
        <v>2031</v>
      </c>
      <c r="U20" s="559">
        <v>2032</v>
      </c>
      <c r="V20" s="559">
        <v>2033</v>
      </c>
      <c r="W20" s="559">
        <v>2034</v>
      </c>
      <c r="X20" s="559">
        <v>2035</v>
      </c>
      <c r="Y20" s="559">
        <v>2036</v>
      </c>
      <c r="Z20" s="559">
        <v>2037</v>
      </c>
      <c r="AA20" s="559">
        <v>2038</v>
      </c>
      <c r="AB20" s="559">
        <v>2039</v>
      </c>
      <c r="AC20" s="559">
        <v>2040</v>
      </c>
      <c r="AD20" s="559">
        <v>2041</v>
      </c>
      <c r="AE20" s="559">
        <v>2042</v>
      </c>
      <c r="AF20" s="559">
        <v>2043</v>
      </c>
      <c r="AG20" s="559">
        <v>2044</v>
      </c>
      <c r="AH20" s="559">
        <v>2045</v>
      </c>
      <c r="AI20" s="559">
        <v>2046</v>
      </c>
      <c r="AJ20" s="559">
        <v>2047</v>
      </c>
      <c r="AK20" s="559">
        <v>2048</v>
      </c>
      <c r="AL20" s="559">
        <v>2049</v>
      </c>
      <c r="AM20" s="559">
        <v>2050</v>
      </c>
    </row>
    <row r="21" spans="1:39" ht="15" hidden="1" thickBot="1">
      <c r="B21" s="725" t="s">
        <v>485</v>
      </c>
      <c r="C21" s="725"/>
      <c r="D21" s="727"/>
      <c r="E21" s="727"/>
      <c r="F21" s="727"/>
      <c r="G21" s="727"/>
      <c r="H21" s="727"/>
      <c r="I21" s="727"/>
      <c r="J21" s="725"/>
      <c r="K21" s="725"/>
      <c r="L21" s="727"/>
      <c r="M21" s="725"/>
      <c r="N21" s="727"/>
      <c r="O21" s="725"/>
      <c r="P21" s="725"/>
      <c r="Q21" s="727"/>
      <c r="R21" s="725"/>
      <c r="S21" s="727"/>
      <c r="T21" s="725"/>
      <c r="U21" s="725"/>
      <c r="V21" s="727"/>
      <c r="W21" s="725"/>
      <c r="X21" s="727"/>
      <c r="Y21" s="725"/>
      <c r="Z21" s="725"/>
      <c r="AA21" s="727"/>
      <c r="AB21" s="725"/>
      <c r="AC21" s="727"/>
      <c r="AD21" s="725"/>
      <c r="AE21" s="725"/>
      <c r="AF21" s="725"/>
      <c r="AG21" s="725"/>
      <c r="AH21" s="727"/>
      <c r="AI21" s="725"/>
      <c r="AJ21" s="725"/>
      <c r="AK21" s="725"/>
      <c r="AL21" s="725"/>
      <c r="AM21" s="727"/>
    </row>
    <row r="22" spans="1:39">
      <c r="A22" s="721" t="s">
        <v>479</v>
      </c>
      <c r="B22" s="725" t="s">
        <v>266</v>
      </c>
      <c r="C22" s="725">
        <v>2201</v>
      </c>
      <c r="D22" s="725">
        <f t="shared" ref="D22" si="49">D3/(D$3+D$4)</f>
        <v>0.95588105807243118</v>
      </c>
      <c r="E22" s="725">
        <f t="shared" ref="E22:L22" si="50">E3/(E$3+E$4)</f>
        <v>0.95513295837549783</v>
      </c>
      <c r="F22" s="725">
        <f t="shared" si="50"/>
        <v>0.9543373734566053</v>
      </c>
      <c r="G22" s="725">
        <f t="shared" si="50"/>
        <v>0.95348963397583508</v>
      </c>
      <c r="H22" s="725">
        <f t="shared" si="50"/>
        <v>0.95258443764990164</v>
      </c>
      <c r="I22" s="725">
        <f t="shared" si="50"/>
        <v>0.95161573824348877</v>
      </c>
      <c r="J22" s="725">
        <f t="shared" si="50"/>
        <v>0.9486372110432596</v>
      </c>
      <c r="K22" s="725">
        <f t="shared" si="50"/>
        <v>0.94569023603977131</v>
      </c>
      <c r="L22" s="725">
        <f t="shared" si="50"/>
        <v>0.94277431451544924</v>
      </c>
      <c r="M22" s="725">
        <f t="shared" ref="M22:AM22" si="51">M3/(M$3+M$4)</f>
        <v>0.94096855937115331</v>
      </c>
      <c r="N22" s="725">
        <f t="shared" si="51"/>
        <v>0.93914802250664375</v>
      </c>
      <c r="O22" s="725">
        <f t="shared" si="51"/>
        <v>0.93915106669516979</v>
      </c>
      <c r="P22" s="725">
        <f t="shared" si="51"/>
        <v>0.9391542912326144</v>
      </c>
      <c r="Q22" s="725">
        <f t="shared" si="51"/>
        <v>0.93915771263501158</v>
      </c>
      <c r="R22" s="725">
        <f t="shared" si="51"/>
        <v>0.93914282401420512</v>
      </c>
      <c r="S22" s="725">
        <f t="shared" si="51"/>
        <v>0.93912696517708827</v>
      </c>
      <c r="T22" s="725">
        <f t="shared" si="51"/>
        <v>0.93917792327954197</v>
      </c>
      <c r="U22" s="725">
        <f t="shared" si="51"/>
        <v>0.9392316566597454</v>
      </c>
      <c r="V22" s="725">
        <f t="shared" si="51"/>
        <v>0.93928839838491351</v>
      </c>
      <c r="W22" s="725">
        <f t="shared" si="51"/>
        <v>0.9393399318602077</v>
      </c>
      <c r="X22" s="725">
        <f t="shared" si="51"/>
        <v>0.93939452653632793</v>
      </c>
      <c r="Y22" s="725">
        <f t="shared" si="51"/>
        <v>0.93936840194889804</v>
      </c>
      <c r="Z22" s="725">
        <f t="shared" si="51"/>
        <v>0.93934093090570592</v>
      </c>
      <c r="AA22" s="725">
        <f t="shared" si="51"/>
        <v>0.93931200655923031</v>
      </c>
      <c r="AB22" s="725">
        <f t="shared" si="51"/>
        <v>0.93929188557411569</v>
      </c>
      <c r="AC22" s="725">
        <f t="shared" si="51"/>
        <v>0.93927064109026814</v>
      </c>
      <c r="AD22" s="725">
        <f t="shared" si="51"/>
        <v>0.93905184691086574</v>
      </c>
      <c r="AE22" s="725">
        <f t="shared" si="51"/>
        <v>0.93882460949423319</v>
      </c>
      <c r="AF22" s="725">
        <f t="shared" si="51"/>
        <v>0.9385884304896871</v>
      </c>
      <c r="AG22" s="725">
        <f t="shared" si="51"/>
        <v>0.93834277154013335</v>
      </c>
      <c r="AH22" s="725">
        <f t="shared" si="51"/>
        <v>0.93808705018532368</v>
      </c>
      <c r="AI22" s="725">
        <f t="shared" si="51"/>
        <v>0.93778548304463638</v>
      </c>
      <c r="AJ22" s="725">
        <f t="shared" si="51"/>
        <v>0.93747725917210489</v>
      </c>
      <c r="AK22" s="725">
        <f t="shared" si="51"/>
        <v>0.93716215569892758</v>
      </c>
      <c r="AL22" s="725">
        <f t="shared" si="51"/>
        <v>0.93683993969509294</v>
      </c>
      <c r="AM22" s="725">
        <f t="shared" si="51"/>
        <v>0.93651036759514195</v>
      </c>
    </row>
    <row r="23" spans="1:39" ht="15" thickBot="1">
      <c r="A23" s="722"/>
      <c r="B23" s="725" t="s">
        <v>346</v>
      </c>
      <c r="C23" s="725">
        <v>2202</v>
      </c>
      <c r="D23" s="725">
        <f t="shared" ref="D23" si="52">D4/(D$3+D$4)</f>
        <v>4.4118941927568843E-2</v>
      </c>
      <c r="E23" s="725">
        <f t="shared" ref="E23:L23" si="53">E4/(E$3+E$4)</f>
        <v>4.4867041624502245E-2</v>
      </c>
      <c r="F23" s="725">
        <f t="shared" si="53"/>
        <v>4.5662626543394702E-2</v>
      </c>
      <c r="G23" s="725">
        <f t="shared" si="53"/>
        <v>4.65103660241648E-2</v>
      </c>
      <c r="H23" s="725">
        <f t="shared" si="53"/>
        <v>4.7415562350098299E-2</v>
      </c>
      <c r="I23" s="725">
        <f t="shared" si="53"/>
        <v>4.8384261756511185E-2</v>
      </c>
      <c r="J23" s="725">
        <f t="shared" si="53"/>
        <v>5.1362788956740381E-2</v>
      </c>
      <c r="K23" s="725">
        <f t="shared" si="53"/>
        <v>5.4309763960228713E-2</v>
      </c>
      <c r="L23" s="725">
        <f t="shared" si="53"/>
        <v>5.7225685484550787E-2</v>
      </c>
      <c r="M23" s="725">
        <f t="shared" ref="M23:AM23" si="54">M4/(M$3+M$4)</f>
        <v>5.9031440628846611E-2</v>
      </c>
      <c r="N23" s="725">
        <f t="shared" si="54"/>
        <v>6.0851977493356364E-2</v>
      </c>
      <c r="O23" s="725">
        <f t="shared" si="54"/>
        <v>6.0848933304830162E-2</v>
      </c>
      <c r="P23" s="725">
        <f t="shared" si="54"/>
        <v>6.0845708767385681E-2</v>
      </c>
      <c r="Q23" s="725">
        <f t="shared" si="54"/>
        <v>6.0842287364988298E-2</v>
      </c>
      <c r="R23" s="725">
        <f t="shared" si="54"/>
        <v>6.085717598579489E-2</v>
      </c>
      <c r="S23" s="725">
        <f t="shared" si="54"/>
        <v>6.087303482291171E-2</v>
      </c>
      <c r="T23" s="725">
        <f t="shared" si="54"/>
        <v>6.0822076720458029E-2</v>
      </c>
      <c r="U23" s="725">
        <f t="shared" si="54"/>
        <v>6.0768343340254577E-2</v>
      </c>
      <c r="V23" s="725">
        <f t="shared" si="54"/>
        <v>6.0711601615086562E-2</v>
      </c>
      <c r="W23" s="725">
        <f t="shared" si="54"/>
        <v>6.0660068139792273E-2</v>
      </c>
      <c r="X23" s="725">
        <f t="shared" si="54"/>
        <v>6.0605473463672017E-2</v>
      </c>
      <c r="Y23" s="725">
        <f t="shared" si="54"/>
        <v>6.0631598051101916E-2</v>
      </c>
      <c r="Z23" s="725">
        <f t="shared" si="54"/>
        <v>6.0659069094294082E-2</v>
      </c>
      <c r="AA23" s="725">
        <f t="shared" si="54"/>
        <v>6.0687993440769743E-2</v>
      </c>
      <c r="AB23" s="725">
        <f t="shared" si="54"/>
        <v>6.0708114425884314E-2</v>
      </c>
      <c r="AC23" s="725">
        <f t="shared" si="54"/>
        <v>6.0729358909731808E-2</v>
      </c>
      <c r="AD23" s="725">
        <f t="shared" si="54"/>
        <v>6.0948153089134302E-2</v>
      </c>
      <c r="AE23" s="725">
        <f t="shared" si="54"/>
        <v>6.1175390505766723E-2</v>
      </c>
      <c r="AF23" s="725">
        <f t="shared" si="54"/>
        <v>6.1411569510312847E-2</v>
      </c>
      <c r="AG23" s="725">
        <f t="shared" si="54"/>
        <v>6.1657228459866674E-2</v>
      </c>
      <c r="AH23" s="725">
        <f t="shared" si="54"/>
        <v>6.19129498146763E-2</v>
      </c>
      <c r="AI23" s="725">
        <f t="shared" si="54"/>
        <v>6.2214516955363633E-2</v>
      </c>
      <c r="AJ23" s="725">
        <f t="shared" si="54"/>
        <v>6.252274082789519E-2</v>
      </c>
      <c r="AK23" s="725">
        <f t="shared" si="54"/>
        <v>6.2837844301072379E-2</v>
      </c>
      <c r="AL23" s="725">
        <f t="shared" si="54"/>
        <v>6.3160060304907117E-2</v>
      </c>
      <c r="AM23" s="725">
        <f t="shared" si="54"/>
        <v>6.3489632404857929E-2</v>
      </c>
    </row>
    <row r="24" spans="1:39">
      <c r="A24" s="721"/>
      <c r="B24" s="725" t="s">
        <v>20</v>
      </c>
      <c r="C24" s="725">
        <v>2301</v>
      </c>
      <c r="D24" s="725">
        <f t="shared" ref="D24:D31" si="55">D5/SUM(D$5:D$12)</f>
        <v>0.77628428451802978</v>
      </c>
      <c r="E24" s="725">
        <f t="shared" ref="E24:L24" si="56">E5/SUM(E$5:E$12)</f>
        <v>0.76101029521953767</v>
      </c>
      <c r="F24" s="725">
        <f t="shared" si="56"/>
        <v>0.74518457111213465</v>
      </c>
      <c r="G24" s="725">
        <f t="shared" si="56"/>
        <v>0.72877666725396306</v>
      </c>
      <c r="H24" s="725">
        <f t="shared" si="56"/>
        <v>0.71175385677899405</v>
      </c>
      <c r="I24" s="725">
        <f t="shared" si="56"/>
        <v>0.69408091301954511</v>
      </c>
      <c r="J24" s="725">
        <f t="shared" si="56"/>
        <v>0.69306060076748899</v>
      </c>
      <c r="K24" s="725">
        <f t="shared" si="56"/>
        <v>0.69208266204783087</v>
      </c>
      <c r="L24" s="725">
        <f t="shared" si="56"/>
        <v>0.69114451090098294</v>
      </c>
      <c r="M24" s="725">
        <f t="shared" ref="M24:AM24" si="57">M5/SUM(M$5:M$12)</f>
        <v>0.68868891456445358</v>
      </c>
      <c r="N24" s="725">
        <f t="shared" si="57"/>
        <v>0.6862628028750255</v>
      </c>
      <c r="O24" s="725">
        <f t="shared" si="57"/>
        <v>0.67775046575748155</v>
      </c>
      <c r="P24" s="725">
        <f t="shared" si="57"/>
        <v>0.66938119965313514</v>
      </c>
      <c r="Q24" s="725">
        <f t="shared" si="57"/>
        <v>0.66115142762491219</v>
      </c>
      <c r="R24" s="725">
        <f t="shared" si="57"/>
        <v>0.65475837877240439</v>
      </c>
      <c r="S24" s="725">
        <f t="shared" si="57"/>
        <v>0.64846858622223447</v>
      </c>
      <c r="T24" s="725">
        <f t="shared" si="57"/>
        <v>0.63469239894305474</v>
      </c>
      <c r="U24" s="725">
        <f t="shared" si="57"/>
        <v>0.62123754335289449</v>
      </c>
      <c r="V24" s="725">
        <f t="shared" si="57"/>
        <v>0.60809290639199898</v>
      </c>
      <c r="W24" s="725">
        <f t="shared" si="57"/>
        <v>0.59456247487837299</v>
      </c>
      <c r="X24" s="725">
        <f t="shared" si="57"/>
        <v>0.58133482645904555</v>
      </c>
      <c r="Y24" s="725">
        <f t="shared" si="57"/>
        <v>0.56661157992938227</v>
      </c>
      <c r="Z24" s="725">
        <f t="shared" si="57"/>
        <v>0.55218208823383808</v>
      </c>
      <c r="AA24" s="725">
        <f t="shared" si="57"/>
        <v>0.53803764681458199</v>
      </c>
      <c r="AB24" s="725">
        <f t="shared" si="57"/>
        <v>0.5235517357681827</v>
      </c>
      <c r="AC24" s="725">
        <f t="shared" si="57"/>
        <v>0.50934324636234585</v>
      </c>
      <c r="AD24" s="725">
        <f t="shared" si="57"/>
        <v>0.49580558636642141</v>
      </c>
      <c r="AE24" s="725">
        <f t="shared" si="57"/>
        <v>0.48247065714615228</v>
      </c>
      <c r="AF24" s="725">
        <f t="shared" si="57"/>
        <v>0.46933393860942307</v>
      </c>
      <c r="AG24" s="725">
        <f t="shared" si="57"/>
        <v>0.45639104404631931</v>
      </c>
      <c r="AH24" s="725">
        <f t="shared" si="57"/>
        <v>0.44363771524523193</v>
      </c>
      <c r="AI24" s="725">
        <f t="shared" si="57"/>
        <v>0.42915867420520037</v>
      </c>
      <c r="AJ24" s="725">
        <f t="shared" si="57"/>
        <v>0.4148590451791212</v>
      </c>
      <c r="AK24" s="725">
        <f t="shared" si="57"/>
        <v>0.40073551401746821</v>
      </c>
      <c r="AL24" s="725">
        <f t="shared" si="57"/>
        <v>0.3867848476977257</v>
      </c>
      <c r="AM24" s="725">
        <f t="shared" si="57"/>
        <v>0.37300389185710525</v>
      </c>
    </row>
    <row r="25" spans="1:39">
      <c r="A25" s="723"/>
      <c r="B25" s="725" t="s">
        <v>224</v>
      </c>
      <c r="C25" s="725">
        <f>C24+1</f>
        <v>2302</v>
      </c>
      <c r="D25" s="725">
        <f t="shared" si="55"/>
        <v>6.1005744427253417E-3</v>
      </c>
      <c r="E25" s="725">
        <f t="shared" ref="E25:L25" si="58">E6/SUM(E$5:E$12)</f>
        <v>5.5074770682692334E-3</v>
      </c>
      <c r="F25" s="725">
        <f t="shared" si="58"/>
        <v>4.8929555288378815E-3</v>
      </c>
      <c r="G25" s="725">
        <f t="shared" si="58"/>
        <v>4.2558276306554083E-3</v>
      </c>
      <c r="H25" s="725">
        <f t="shared" si="58"/>
        <v>3.5948225715799371E-3</v>
      </c>
      <c r="I25" s="725">
        <f t="shared" si="58"/>
        <v>2.908572480801455E-3</v>
      </c>
      <c r="J25" s="725">
        <f t="shared" si="58"/>
        <v>4.7403159423064787E-3</v>
      </c>
      <c r="K25" s="725">
        <f t="shared" si="58"/>
        <v>6.4959871614620442E-3</v>
      </c>
      <c r="L25" s="725">
        <f t="shared" si="58"/>
        <v>8.1802286529070577E-3</v>
      </c>
      <c r="M25" s="725">
        <f t="shared" ref="M25:AM25" si="59">M6/SUM(M$5:M$12)</f>
        <v>7.0718760843987262E-3</v>
      </c>
      <c r="N25" s="725">
        <f t="shared" si="59"/>
        <v>5.9768316414400922E-3</v>
      </c>
      <c r="O25" s="725">
        <f t="shared" si="59"/>
        <v>5.866456982915819E-3</v>
      </c>
      <c r="P25" s="725">
        <f t="shared" si="59"/>
        <v>5.7579374452600366E-3</v>
      </c>
      <c r="Q25" s="725">
        <f t="shared" si="59"/>
        <v>5.6512266483537896E-3</v>
      </c>
      <c r="R25" s="725">
        <f t="shared" si="59"/>
        <v>5.5609613344161576E-3</v>
      </c>
      <c r="S25" s="725">
        <f t="shared" si="59"/>
        <v>5.4721539262073257E-3</v>
      </c>
      <c r="T25" s="725">
        <f t="shared" si="59"/>
        <v>5.5302444412116854E-3</v>
      </c>
      <c r="U25" s="725">
        <f t="shared" si="59"/>
        <v>5.5869799860110043E-3</v>
      </c>
      <c r="V25" s="725">
        <f t="shared" si="59"/>
        <v>5.6424074214203477E-3</v>
      </c>
      <c r="W25" s="725">
        <f t="shared" si="59"/>
        <v>5.6994452448865442E-3</v>
      </c>
      <c r="X25" s="725">
        <f t="shared" si="59"/>
        <v>5.7552066797420887E-3</v>
      </c>
      <c r="Y25" s="725">
        <f t="shared" si="59"/>
        <v>5.6820847878631849E-3</v>
      </c>
      <c r="Z25" s="725">
        <f t="shared" si="59"/>
        <v>5.6104218071813504E-3</v>
      </c>
      <c r="AA25" s="725">
        <f t="shared" si="59"/>
        <v>5.5401745071675529E-3</v>
      </c>
      <c r="AB25" s="725">
        <f t="shared" si="59"/>
        <v>5.4682570812915401E-3</v>
      </c>
      <c r="AC25" s="725">
        <f t="shared" si="59"/>
        <v>5.397716955759818E-3</v>
      </c>
      <c r="AD25" s="725">
        <f t="shared" si="59"/>
        <v>5.4498631813613358E-3</v>
      </c>
      <c r="AE25" s="725">
        <f t="shared" si="59"/>
        <v>5.5012285006048245E-3</v>
      </c>
      <c r="AF25" s="725">
        <f t="shared" si="59"/>
        <v>5.5518303246044056E-3</v>
      </c>
      <c r="AG25" s="725">
        <f t="shared" si="59"/>
        <v>5.601685550694251E-3</v>
      </c>
      <c r="AH25" s="725">
        <f t="shared" si="59"/>
        <v>5.6508105812410406E-3</v>
      </c>
      <c r="AI25" s="725">
        <f t="shared" si="59"/>
        <v>5.6479370459902945E-3</v>
      </c>
      <c r="AJ25" s="725">
        <f t="shared" si="59"/>
        <v>5.6450991171547145E-3</v>
      </c>
      <c r="AK25" s="725">
        <f t="shared" si="59"/>
        <v>5.6422961370025211E-3</v>
      </c>
      <c r="AL25" s="725">
        <f t="shared" si="59"/>
        <v>5.6395274639025302E-3</v>
      </c>
      <c r="AM25" s="725">
        <f t="shared" si="59"/>
        <v>5.6367924718345097E-3</v>
      </c>
    </row>
    <row r="26" spans="1:39">
      <c r="A26" s="723"/>
      <c r="B26" s="725" t="s">
        <v>32</v>
      </c>
      <c r="C26" s="725">
        <f t="shared" ref="C26:C31" si="60">C25+1</f>
        <v>2303</v>
      </c>
      <c r="D26" s="725">
        <f t="shared" si="55"/>
        <v>4.0336303576253403E-2</v>
      </c>
      <c r="E26" s="725">
        <f t="shared" ref="E26:L26" si="61">E7/SUM(E$5:E$12)</f>
        <v>4.4277401573738863E-2</v>
      </c>
      <c r="F26" s="725">
        <f t="shared" si="61"/>
        <v>4.8360861917304765E-2</v>
      </c>
      <c r="G26" s="725">
        <f t="shared" si="61"/>
        <v>5.2594540216710034E-2</v>
      </c>
      <c r="H26" s="725">
        <f t="shared" si="61"/>
        <v>5.6986880879217675E-2</v>
      </c>
      <c r="I26" s="725">
        <f t="shared" si="61"/>
        <v>6.1546973327816876E-2</v>
      </c>
      <c r="J26" s="725">
        <f t="shared" si="61"/>
        <v>4.6782661454933157E-2</v>
      </c>
      <c r="K26" s="725">
        <f t="shared" si="61"/>
        <v>3.2631510941443169E-2</v>
      </c>
      <c r="L26" s="725">
        <f t="shared" si="61"/>
        <v>1.9056101954579019E-2</v>
      </c>
      <c r="M26" s="725">
        <f t="shared" ref="M26:AM26" si="62">M7/SUM(M$5:M$12)</f>
        <v>1.8253908976792202E-2</v>
      </c>
      <c r="N26" s="725">
        <f t="shared" si="62"/>
        <v>1.7461348028710372E-2</v>
      </c>
      <c r="O26" s="725">
        <f t="shared" si="62"/>
        <v>1.7267603044393232E-2</v>
      </c>
      <c r="P26" s="725">
        <f t="shared" si="62"/>
        <v>1.7077114426785427E-2</v>
      </c>
      <c r="Q26" s="725">
        <f t="shared" si="62"/>
        <v>1.6889800763037845E-2</v>
      </c>
      <c r="R26" s="725">
        <f t="shared" si="62"/>
        <v>1.6748364594596776E-2</v>
      </c>
      <c r="S26" s="725">
        <f t="shared" si="62"/>
        <v>1.6609212809727148E-2</v>
      </c>
      <c r="T26" s="725">
        <f t="shared" si="62"/>
        <v>1.6592279047567219E-2</v>
      </c>
      <c r="U26" s="725">
        <f t="shared" si="62"/>
        <v>1.6575740268016489E-2</v>
      </c>
      <c r="V26" s="725">
        <f t="shared" si="62"/>
        <v>1.6559582810843212E-2</v>
      </c>
      <c r="W26" s="725">
        <f t="shared" si="62"/>
        <v>1.6543038601989989E-2</v>
      </c>
      <c r="X26" s="725">
        <f t="shared" si="62"/>
        <v>1.6526864618339427E-2</v>
      </c>
      <c r="Y26" s="725">
        <f t="shared" si="62"/>
        <v>1.6506447761414494E-2</v>
      </c>
      <c r="Z26" s="725">
        <f t="shared" si="62"/>
        <v>1.6486438256930958E-2</v>
      </c>
      <c r="AA26" s="725">
        <f t="shared" si="62"/>
        <v>1.6466824034201057E-2</v>
      </c>
      <c r="AB26" s="725">
        <f t="shared" si="62"/>
        <v>1.6446748311335226E-2</v>
      </c>
      <c r="AC26" s="725">
        <f t="shared" si="62"/>
        <v>1.6427057061351707E-2</v>
      </c>
      <c r="AD26" s="725">
        <f t="shared" si="62"/>
        <v>1.640693543097833E-2</v>
      </c>
      <c r="AE26" s="725">
        <f t="shared" si="62"/>
        <v>1.6387115128436668E-2</v>
      </c>
      <c r="AF26" s="725">
        <f t="shared" si="62"/>
        <v>1.6367589435311365E-2</v>
      </c>
      <c r="AG26" s="725">
        <f t="shared" si="62"/>
        <v>1.6348351831438998E-2</v>
      </c>
      <c r="AH26" s="725">
        <f t="shared" si="62"/>
        <v>1.6329395987648945E-2</v>
      </c>
      <c r="AI26" s="725">
        <f t="shared" si="62"/>
        <v>2.2288726356521384E-2</v>
      </c>
      <c r="AJ26" s="725">
        <f t="shared" si="62"/>
        <v>2.8174213750549609E-2</v>
      </c>
      <c r="AK26" s="725">
        <f t="shared" si="62"/>
        <v>3.3987222218075305E-2</v>
      </c>
      <c r="AL26" s="725">
        <f t="shared" si="62"/>
        <v>3.9729082416923502E-2</v>
      </c>
      <c r="AM26" s="725">
        <f t="shared" si="62"/>
        <v>4.5401092629895466E-2</v>
      </c>
    </row>
    <row r="27" spans="1:39">
      <c r="A27" s="723" t="s">
        <v>104</v>
      </c>
      <c r="B27" s="725" t="s">
        <v>42</v>
      </c>
      <c r="C27" s="725">
        <f t="shared" si="60"/>
        <v>2304</v>
      </c>
      <c r="D27" s="725">
        <f t="shared" si="55"/>
        <v>1.8808080016072995E-2</v>
      </c>
      <c r="E27" s="725">
        <f t="shared" ref="E27:L27" si="63">E8/SUM(E$5:E$12)</f>
        <v>1.6378597708284242E-2</v>
      </c>
      <c r="F27" s="725">
        <f t="shared" si="63"/>
        <v>1.3861356405078877E-2</v>
      </c>
      <c r="G27" s="725">
        <f t="shared" si="63"/>
        <v>1.1251513530875591E-2</v>
      </c>
      <c r="H27" s="725">
        <f t="shared" si="63"/>
        <v>8.5438635470000343E-3</v>
      </c>
      <c r="I27" s="725">
        <f t="shared" si="63"/>
        <v>5.7328032960696296E-3</v>
      </c>
      <c r="J27" s="725">
        <f t="shared" si="63"/>
        <v>4.6851091833343562E-3</v>
      </c>
      <c r="K27" s="725">
        <f t="shared" si="63"/>
        <v>3.6809257707200566E-3</v>
      </c>
      <c r="L27" s="725">
        <f t="shared" si="63"/>
        <v>2.7175976998986217E-3</v>
      </c>
      <c r="M27" s="725">
        <f t="shared" ref="M27:AM27" si="64">M8/SUM(M$5:M$12)</f>
        <v>2.1373302223003945E-3</v>
      </c>
      <c r="N27" s="725">
        <f t="shared" si="64"/>
        <v>1.5640300876431196E-3</v>
      </c>
      <c r="O27" s="725">
        <f t="shared" si="64"/>
        <v>1.5461284144760868E-3</v>
      </c>
      <c r="P27" s="725">
        <f t="shared" si="64"/>
        <v>1.5285276234854261E-3</v>
      </c>
      <c r="Q27" s="725">
        <f t="shared" si="64"/>
        <v>1.5112201922765757E-3</v>
      </c>
      <c r="R27" s="725">
        <f t="shared" si="64"/>
        <v>1.4980294552093163E-3</v>
      </c>
      <c r="S27" s="725">
        <f t="shared" si="64"/>
        <v>1.48505176621444E-3</v>
      </c>
      <c r="T27" s="725">
        <f t="shared" si="64"/>
        <v>1.4831638863724757E-3</v>
      </c>
      <c r="U27" s="725">
        <f t="shared" si="64"/>
        <v>1.4813200416184491E-3</v>
      </c>
      <c r="V27" s="725">
        <f t="shared" si="64"/>
        <v>1.4795187090258009E-3</v>
      </c>
      <c r="W27" s="725">
        <f t="shared" si="64"/>
        <v>1.4776650405371808E-3</v>
      </c>
      <c r="X27" s="725">
        <f t="shared" si="64"/>
        <v>1.4758528533184085E-3</v>
      </c>
      <c r="Y27" s="725">
        <f t="shared" si="64"/>
        <v>1.4739634761280485E-3</v>
      </c>
      <c r="Z27" s="725">
        <f t="shared" si="64"/>
        <v>1.4721117953575655E-3</v>
      </c>
      <c r="AA27" s="725">
        <f t="shared" si="64"/>
        <v>1.4702966939847747E-3</v>
      </c>
      <c r="AB27" s="725">
        <f t="shared" si="64"/>
        <v>1.4684384386723364E-3</v>
      </c>
      <c r="AC27" s="725">
        <f t="shared" si="64"/>
        <v>1.4666157710585739E-3</v>
      </c>
      <c r="AD27" s="725">
        <f t="shared" si="64"/>
        <v>1.464758977761427E-3</v>
      </c>
      <c r="AE27" s="725">
        <f t="shared" si="64"/>
        <v>1.4629299905360442E-3</v>
      </c>
      <c r="AF27" s="725">
        <f t="shared" si="64"/>
        <v>1.4611281894173246E-3</v>
      </c>
      <c r="AG27" s="725">
        <f t="shared" si="64"/>
        <v>1.4593529727345532E-3</v>
      </c>
      <c r="AH27" s="725">
        <f t="shared" si="64"/>
        <v>1.4576037564415381E-3</v>
      </c>
      <c r="AI27" s="725">
        <f t="shared" si="64"/>
        <v>1.4518025668411941E-3</v>
      </c>
      <c r="AJ27" s="725">
        <f t="shared" si="64"/>
        <v>1.4460732606692232E-3</v>
      </c>
      <c r="AK27" s="725">
        <f t="shared" si="64"/>
        <v>1.4404145100745819E-3</v>
      </c>
      <c r="AL27" s="725">
        <f t="shared" si="64"/>
        <v>1.4348250197106682E-3</v>
      </c>
      <c r="AM27" s="725">
        <f t="shared" si="64"/>
        <v>1.4293035257467814E-3</v>
      </c>
    </row>
    <row r="28" spans="1:39">
      <c r="A28" s="723"/>
      <c r="B28" s="725" t="s">
        <v>477</v>
      </c>
      <c r="C28" s="725">
        <f t="shared" si="60"/>
        <v>2305</v>
      </c>
      <c r="D28" s="725">
        <f t="shared" si="55"/>
        <v>5.3217391539930207E-2</v>
      </c>
      <c r="E28" s="725">
        <f t="shared" ref="E28:L28" si="65">E9/SUM(E$5:E$12)</f>
        <v>5.8928173540984057E-2</v>
      </c>
      <c r="F28" s="725">
        <f t="shared" si="65"/>
        <v>6.484524331365453E-2</v>
      </c>
      <c r="G28" s="725">
        <f t="shared" si="65"/>
        <v>7.0979983897603946E-2</v>
      </c>
      <c r="H28" s="725">
        <f t="shared" si="65"/>
        <v>7.734463151964982E-2</v>
      </c>
      <c r="I28" s="725">
        <f t="shared" si="65"/>
        <v>8.3952357055837243E-2</v>
      </c>
      <c r="J28" s="725">
        <f t="shared" si="65"/>
        <v>8.8159484406845068E-2</v>
      </c>
      <c r="K28" s="725">
        <f t="shared" si="65"/>
        <v>9.2191889905057015E-2</v>
      </c>
      <c r="L28" s="725">
        <f t="shared" si="65"/>
        <v>9.6060236424792181E-2</v>
      </c>
      <c r="M28" s="725">
        <f t="shared" ref="M28:AM28" si="66">M9/SUM(M$5:M$12)</f>
        <v>0.10428788322392117</v>
      </c>
      <c r="N28" s="725">
        <f t="shared" si="66"/>
        <v>0.11241673965643544</v>
      </c>
      <c r="O28" s="725">
        <f t="shared" si="66"/>
        <v>0.11885891713072698</v>
      </c>
      <c r="P28" s="725">
        <f t="shared" si="66"/>
        <v>0.12519281777743105</v>
      </c>
      <c r="Q28" s="725">
        <f t="shared" si="66"/>
        <v>0.1314211486396458</v>
      </c>
      <c r="R28" s="725">
        <f t="shared" si="66"/>
        <v>0.13535286775406133</v>
      </c>
      <c r="S28" s="725">
        <f t="shared" si="66"/>
        <v>0.13922108433831445</v>
      </c>
      <c r="T28" s="725">
        <f t="shared" si="66"/>
        <v>0.14589482248150754</v>
      </c>
      <c r="U28" s="725">
        <f t="shared" si="66"/>
        <v>0.15241289465514268</v>
      </c>
      <c r="V28" s="725">
        <f t="shared" si="66"/>
        <v>0.15878068447148266</v>
      </c>
      <c r="W28" s="725">
        <f t="shared" si="66"/>
        <v>0.16533276180449658</v>
      </c>
      <c r="X28" s="725">
        <f t="shared" si="66"/>
        <v>0.17173821718779819</v>
      </c>
      <c r="Y28" s="725">
        <f t="shared" si="66"/>
        <v>0.17830255078213281</v>
      </c>
      <c r="Z28" s="725">
        <f t="shared" si="66"/>
        <v>0.18473591429984582</v>
      </c>
      <c r="AA28" s="725">
        <f t="shared" si="66"/>
        <v>0.19104218865275124</v>
      </c>
      <c r="AB28" s="725">
        <f t="shared" si="66"/>
        <v>0.19749798788947562</v>
      </c>
      <c r="AC28" s="725">
        <f t="shared" si="66"/>
        <v>0.20383015124236387</v>
      </c>
      <c r="AD28" s="725">
        <f t="shared" si="66"/>
        <v>0.21036127956389208</v>
      </c>
      <c r="AE28" s="725">
        <f t="shared" si="66"/>
        <v>0.21679460215600138</v>
      </c>
      <c r="AF28" s="725">
        <f t="shared" si="66"/>
        <v>0.22313229969848711</v>
      </c>
      <c r="AG28" s="725">
        <f t="shared" si="66"/>
        <v>0.22937648852204218</v>
      </c>
      <c r="AH28" s="725">
        <f t="shared" si="66"/>
        <v>0.235529222964451</v>
      </c>
      <c r="AI28" s="725">
        <f t="shared" si="66"/>
        <v>0.24123555976105354</v>
      </c>
      <c r="AJ28" s="725">
        <f t="shared" si="66"/>
        <v>0.24687118846489362</v>
      </c>
      <c r="AK28" s="725">
        <f t="shared" si="66"/>
        <v>0.25243741521588353</v>
      </c>
      <c r="AL28" s="725">
        <f t="shared" si="66"/>
        <v>0.25793551418095811</v>
      </c>
      <c r="AM28" s="725">
        <f t="shared" si="66"/>
        <v>0.26336672852645704</v>
      </c>
    </row>
    <row r="29" spans="1:39">
      <c r="A29" s="723"/>
      <c r="B29" s="725" t="s">
        <v>279</v>
      </c>
      <c r="C29" s="725">
        <f t="shared" si="60"/>
        <v>2306</v>
      </c>
      <c r="D29" s="725">
        <f t="shared" si="55"/>
        <v>2.3453177361347447E-2</v>
      </c>
      <c r="E29" s="725">
        <f t="shared" ref="E29:L29" si="67">E10/SUM(E$5:E$12)</f>
        <v>2.5969948275273422E-2</v>
      </c>
      <c r="F29" s="725">
        <f t="shared" si="67"/>
        <v>2.8577631268036852E-2</v>
      </c>
      <c r="G29" s="725">
        <f t="shared" si="67"/>
        <v>3.1281242903591487E-2</v>
      </c>
      <c r="H29" s="725">
        <f t="shared" si="67"/>
        <v>3.4086175749845682E-2</v>
      </c>
      <c r="I29" s="725">
        <f t="shared" si="67"/>
        <v>3.6998234279415454E-2</v>
      </c>
      <c r="J29" s="725">
        <f t="shared" si="67"/>
        <v>3.8852336878016661E-2</v>
      </c>
      <c r="K29" s="725">
        <f t="shared" si="67"/>
        <v>4.0629438660081223E-2</v>
      </c>
      <c r="L29" s="725">
        <f t="shared" si="67"/>
        <v>4.2334238809002965E-2</v>
      </c>
      <c r="M29" s="725">
        <f t="shared" ref="M29:AM29" si="68">M10/SUM(M$5:M$12)</f>
        <v>4.4124381134899401E-2</v>
      </c>
      <c r="N29" s="725">
        <f t="shared" si="68"/>
        <v>4.5893029001810727E-2</v>
      </c>
      <c r="O29" s="725">
        <f t="shared" si="68"/>
        <v>4.883095215024847E-2</v>
      </c>
      <c r="P29" s="725">
        <f t="shared" si="68"/>
        <v>5.1719496187434134E-2</v>
      </c>
      <c r="Q29" s="725">
        <f t="shared" si="68"/>
        <v>5.4559895646972806E-2</v>
      </c>
      <c r="R29" s="725">
        <f t="shared" si="68"/>
        <v>5.7466874734989924E-2</v>
      </c>
      <c r="S29" s="725">
        <f t="shared" si="68"/>
        <v>6.0326902216891187E-2</v>
      </c>
      <c r="T29" s="725">
        <f t="shared" si="68"/>
        <v>6.7391713275937654E-2</v>
      </c>
      <c r="U29" s="725">
        <f t="shared" si="68"/>
        <v>7.429173652946143E-2</v>
      </c>
      <c r="V29" s="725">
        <f t="shared" si="68"/>
        <v>8.1032671062837958E-2</v>
      </c>
      <c r="W29" s="725">
        <f t="shared" si="68"/>
        <v>8.7961902763990574E-2</v>
      </c>
      <c r="X29" s="725">
        <f t="shared" si="68"/>
        <v>9.4736072580126757E-2</v>
      </c>
      <c r="Y29" s="725">
        <f t="shared" si="68"/>
        <v>0.10167494526152408</v>
      </c>
      <c r="Z29" s="725">
        <f t="shared" si="68"/>
        <v>0.10847537514843364</v>
      </c>
      <c r="AA29" s="725">
        <f t="shared" si="68"/>
        <v>0.1151414645846162</v>
      </c>
      <c r="AB29" s="725">
        <f t="shared" si="68"/>
        <v>0.12196178844568044</v>
      </c>
      <c r="AC29" s="725">
        <f t="shared" si="68"/>
        <v>0.12865149536255366</v>
      </c>
      <c r="AD29" s="725">
        <f t="shared" si="68"/>
        <v>0.1355467216108075</v>
      </c>
      <c r="AE29" s="725">
        <f t="shared" si="68"/>
        <v>0.14233868964707733</v>
      </c>
      <c r="AF29" s="725">
        <f t="shared" si="68"/>
        <v>0.14902970171989108</v>
      </c>
      <c r="AG29" s="725">
        <f t="shared" si="68"/>
        <v>0.15562199214133476</v>
      </c>
      <c r="AH29" s="725">
        <f t="shared" si="68"/>
        <v>0.16211772977459951</v>
      </c>
      <c r="AI29" s="725">
        <f t="shared" si="68"/>
        <v>0.16507868154688649</v>
      </c>
      <c r="AJ29" s="725">
        <f t="shared" si="68"/>
        <v>0.1680029437125059</v>
      </c>
      <c r="AK29" s="725">
        <f t="shared" si="68"/>
        <v>0.17089119401226172</v>
      </c>
      <c r="AL29" s="725">
        <f t="shared" si="68"/>
        <v>0.1737440935965518</v>
      </c>
      <c r="AM29" s="725">
        <f t="shared" si="68"/>
        <v>0.17656228752992606</v>
      </c>
    </row>
    <row r="30" spans="1:39">
      <c r="A30" s="723"/>
      <c r="B30" s="725" t="s">
        <v>18</v>
      </c>
      <c r="C30" s="725">
        <f t="shared" si="60"/>
        <v>2307</v>
      </c>
      <c r="D30" s="725">
        <f t="shared" si="55"/>
        <v>6.5029264501917927E-2</v>
      </c>
      <c r="E30" s="725">
        <f t="shared" ref="E30:L30" si="69">E11/SUM(E$5:E$12)</f>
        <v>7.2007583854167223E-2</v>
      </c>
      <c r="F30" s="725">
        <f t="shared" si="69"/>
        <v>7.9237977606829449E-2</v>
      </c>
      <c r="G30" s="725">
        <f t="shared" si="69"/>
        <v>8.6734355323594581E-2</v>
      </c>
      <c r="H30" s="725">
        <f t="shared" si="69"/>
        <v>9.4511669124572123E-2</v>
      </c>
      <c r="I30" s="725">
        <f t="shared" si="69"/>
        <v>0.10258601322928831</v>
      </c>
      <c r="J30" s="725">
        <f t="shared" si="69"/>
        <v>0.10772693407086438</v>
      </c>
      <c r="K30" s="725">
        <f t="shared" si="69"/>
        <v>0.11265435264840704</v>
      </c>
      <c r="L30" s="725">
        <f t="shared" si="69"/>
        <v>0.11738129851587187</v>
      </c>
      <c r="M30" s="725">
        <f t="shared" ref="M30:AM30" si="70">M11/SUM(M$5:M$12)</f>
        <v>0.11249738161473243</v>
      </c>
      <c r="N30" s="725">
        <f t="shared" si="70"/>
        <v>0.10767210650424823</v>
      </c>
      <c r="O30" s="725">
        <f t="shared" si="70"/>
        <v>0.10642895116932735</v>
      </c>
      <c r="P30" s="725">
        <f t="shared" si="70"/>
        <v>0.10520669015413009</v>
      </c>
      <c r="Q30" s="725">
        <f t="shared" si="70"/>
        <v>0.10400480107704194</v>
      </c>
      <c r="R30" s="725">
        <f t="shared" si="70"/>
        <v>0.10310542966802479</v>
      </c>
      <c r="S30" s="725">
        <f t="shared" si="70"/>
        <v>0.10222058431195453</v>
      </c>
      <c r="T30" s="725">
        <f t="shared" si="70"/>
        <v>0.10204557909450729</v>
      </c>
      <c r="U30" s="725">
        <f t="shared" si="70"/>
        <v>0.10187465590069764</v>
      </c>
      <c r="V30" s="725">
        <f t="shared" si="70"/>
        <v>0.10170767355623694</v>
      </c>
      <c r="W30" s="725">
        <f t="shared" si="70"/>
        <v>0.10154411574742118</v>
      </c>
      <c r="X30" s="725">
        <f t="shared" si="70"/>
        <v>0.1013842180243462</v>
      </c>
      <c r="Y30" s="725">
        <f t="shared" si="70"/>
        <v>0.10122439293637216</v>
      </c>
      <c r="Z30" s="725">
        <f t="shared" si="70"/>
        <v>0.10106775664185551</v>
      </c>
      <c r="AA30" s="725">
        <f t="shared" si="70"/>
        <v>0.10091421465031021</v>
      </c>
      <c r="AB30" s="725">
        <f t="shared" si="70"/>
        <v>0.10076168016392119</v>
      </c>
      <c r="AC30" s="725">
        <f t="shared" si="70"/>
        <v>0.10061206688609967</v>
      </c>
      <c r="AD30" s="725">
        <f t="shared" si="70"/>
        <v>0.10046344444273378</v>
      </c>
      <c r="AE30" s="725">
        <f t="shared" si="70"/>
        <v>0.10031704766785363</v>
      </c>
      <c r="AF30" s="725">
        <f t="shared" si="70"/>
        <v>0.10017282693788063</v>
      </c>
      <c r="AG30" s="725">
        <f t="shared" si="70"/>
        <v>0.10003073409356524</v>
      </c>
      <c r="AH30" s="725">
        <f t="shared" si="70"/>
        <v>9.9890722386369396E-2</v>
      </c>
      <c r="AI30" s="725">
        <f t="shared" si="70"/>
        <v>9.9485071177711965E-2</v>
      </c>
      <c r="AJ30" s="725">
        <f t="shared" si="70"/>
        <v>9.908444645527735E-2</v>
      </c>
      <c r="AK30" s="725">
        <f t="shared" si="70"/>
        <v>9.8688755368388725E-2</v>
      </c>
      <c r="AL30" s="725">
        <f t="shared" si="70"/>
        <v>9.8297907339259305E-2</v>
      </c>
      <c r="AM30" s="725">
        <f t="shared" si="70"/>
        <v>9.7911813993868099E-2</v>
      </c>
    </row>
    <row r="31" spans="1:39" ht="15" thickBot="1">
      <c r="A31" s="722"/>
      <c r="B31" s="725" t="s">
        <v>480</v>
      </c>
      <c r="C31" s="725">
        <f t="shared" si="60"/>
        <v>2308</v>
      </c>
      <c r="D31" s="725">
        <f t="shared" si="55"/>
        <v>1.6770924043722948E-2</v>
      </c>
      <c r="E31" s="725">
        <f t="shared" ref="E31:L31" si="71">E12/SUM(E$5:E$12)</f>
        <v>1.5920522759745395E-2</v>
      </c>
      <c r="F31" s="725">
        <f t="shared" si="71"/>
        <v>1.5039402848122923E-2</v>
      </c>
      <c r="G31" s="725">
        <f t="shared" si="71"/>
        <v>1.4125869243005955E-2</v>
      </c>
      <c r="H31" s="725">
        <f t="shared" si="71"/>
        <v>1.3178099829140439E-2</v>
      </c>
      <c r="I31" s="725">
        <f t="shared" si="71"/>
        <v>1.2194133311226062E-2</v>
      </c>
      <c r="J31" s="725">
        <f t="shared" si="71"/>
        <v>1.5992557296210786E-2</v>
      </c>
      <c r="K31" s="725">
        <f t="shared" si="71"/>
        <v>1.9633232864998445E-2</v>
      </c>
      <c r="L31" s="725">
        <f t="shared" si="71"/>
        <v>2.3125787041965353E-2</v>
      </c>
      <c r="M31" s="725">
        <f t="shared" ref="M31:AM31" si="72">M12/SUM(M$5:M$12)</f>
        <v>2.2938324178501949E-2</v>
      </c>
      <c r="N31" s="725">
        <f t="shared" si="72"/>
        <v>2.2753112204686631E-2</v>
      </c>
      <c r="O31" s="725">
        <f t="shared" si="72"/>
        <v>2.3450525350430348E-2</v>
      </c>
      <c r="P31" s="725">
        <f t="shared" si="72"/>
        <v>2.413621673233874E-2</v>
      </c>
      <c r="Q31" s="725">
        <f t="shared" si="72"/>
        <v>2.4810479407759298E-2</v>
      </c>
      <c r="R31" s="725">
        <f t="shared" si="72"/>
        <v>2.5509093686297498E-2</v>
      </c>
      <c r="S31" s="725">
        <f t="shared" si="72"/>
        <v>2.6196424408456483E-2</v>
      </c>
      <c r="T31" s="725">
        <f t="shared" si="72"/>
        <v>2.6369798829841359E-2</v>
      </c>
      <c r="U31" s="725">
        <f t="shared" si="72"/>
        <v>2.6539129266157844E-2</v>
      </c>
      <c r="V31" s="725">
        <f t="shared" si="72"/>
        <v>2.6704555576153911E-2</v>
      </c>
      <c r="W31" s="725">
        <f t="shared" si="72"/>
        <v>2.6878595918305041E-2</v>
      </c>
      <c r="X31" s="725">
        <f t="shared" si="72"/>
        <v>2.7048741597283269E-2</v>
      </c>
      <c r="Y31" s="725">
        <f t="shared" si="72"/>
        <v>2.8524035065183077E-2</v>
      </c>
      <c r="Z31" s="725">
        <f t="shared" si="72"/>
        <v>2.9969893816557073E-2</v>
      </c>
      <c r="AA31" s="725">
        <f t="shared" si="72"/>
        <v>3.1387190062386966E-2</v>
      </c>
      <c r="AB31" s="725">
        <f t="shared" si="72"/>
        <v>3.2843363901440874E-2</v>
      </c>
      <c r="AC31" s="725">
        <f t="shared" si="72"/>
        <v>3.4271650358466792E-2</v>
      </c>
      <c r="AD31" s="725">
        <f t="shared" si="72"/>
        <v>3.450141042604403E-2</v>
      </c>
      <c r="AE31" s="725">
        <f t="shared" si="72"/>
        <v>3.4727729763337864E-2</v>
      </c>
      <c r="AF31" s="725">
        <f t="shared" si="72"/>
        <v>3.4950685084985091E-2</v>
      </c>
      <c r="AG31" s="725">
        <f t="shared" si="72"/>
        <v>3.5170350841870618E-2</v>
      </c>
      <c r="AH31" s="725">
        <f t="shared" si="72"/>
        <v>3.5386799304016579E-2</v>
      </c>
      <c r="AI31" s="725">
        <f t="shared" si="72"/>
        <v>3.5653547339794762E-2</v>
      </c>
      <c r="AJ31" s="725">
        <f t="shared" si="72"/>
        <v>3.5916990059828312E-2</v>
      </c>
      <c r="AK31" s="725">
        <f t="shared" si="72"/>
        <v>3.6177188520845643E-2</v>
      </c>
      <c r="AL31" s="725">
        <f t="shared" si="72"/>
        <v>3.643420228496852E-2</v>
      </c>
      <c r="AM31" s="725">
        <f t="shared" si="72"/>
        <v>3.6688089465166961E-2</v>
      </c>
    </row>
    <row r="32" spans="1:39">
      <c r="A32" s="721"/>
      <c r="B32" s="725" t="s">
        <v>287</v>
      </c>
      <c r="C32" s="725">
        <v>2401</v>
      </c>
      <c r="D32" s="725">
        <f t="shared" ref="D32:D37" si="73">D13/SUM(D$13:D$18)</f>
        <v>0.69942292730045208</v>
      </c>
      <c r="E32" s="725">
        <f t="shared" ref="E32:L32" si="74">E13/SUM(E$13:E$18)</f>
        <v>0.69641184561009162</v>
      </c>
      <c r="F32" s="725">
        <f t="shared" si="74"/>
        <v>0.69340627873717753</v>
      </c>
      <c r="G32" s="725">
        <f t="shared" si="74"/>
        <v>0.69040621154493043</v>
      </c>
      <c r="H32" s="725">
        <f t="shared" si="74"/>
        <v>0.68741162895191599</v>
      </c>
      <c r="I32" s="725">
        <f t="shared" si="74"/>
        <v>0.68442251593179171</v>
      </c>
      <c r="J32" s="725">
        <f t="shared" si="74"/>
        <v>0.6812855783315227</v>
      </c>
      <c r="K32" s="725">
        <f t="shared" si="74"/>
        <v>0.67821213565953786</v>
      </c>
      <c r="L32" s="725">
        <f t="shared" si="74"/>
        <v>0.67520027942422189</v>
      </c>
      <c r="M32" s="725">
        <f t="shared" ref="M32:AM32" si="75">M13/SUM(M$13:M$18)</f>
        <v>0.66826373350372725</v>
      </c>
      <c r="N32" s="725">
        <f t="shared" si="75"/>
        <v>0.66123277801506664</v>
      </c>
      <c r="O32" s="725">
        <f t="shared" si="75"/>
        <v>0.65443644913126131</v>
      </c>
      <c r="P32" s="725">
        <f t="shared" si="75"/>
        <v>0.6476295852851871</v>
      </c>
      <c r="Q32" s="725">
        <f t="shared" si="75"/>
        <v>0.64081216196254009</v>
      </c>
      <c r="R32" s="725">
        <f t="shared" si="75"/>
        <v>0.63381081475564183</v>
      </c>
      <c r="S32" s="725">
        <f t="shared" si="75"/>
        <v>0.62680164094589375</v>
      </c>
      <c r="T32" s="725">
        <f t="shared" si="75"/>
        <v>0.6207229295131097</v>
      </c>
      <c r="U32" s="725">
        <f t="shared" si="75"/>
        <v>0.61468461139448416</v>
      </c>
      <c r="V32" s="725">
        <f t="shared" si="75"/>
        <v>0.6086862853001952</v>
      </c>
      <c r="W32" s="725">
        <f t="shared" si="75"/>
        <v>0.6025866800840991</v>
      </c>
      <c r="X32" s="725">
        <f t="shared" si="75"/>
        <v>0.59652857426613726</v>
      </c>
      <c r="Y32" s="725">
        <f t="shared" si="75"/>
        <v>0.59378327616392601</v>
      </c>
      <c r="Z32" s="725">
        <f t="shared" si="75"/>
        <v>0.59105026372660641</v>
      </c>
      <c r="AA32" s="725">
        <f t="shared" si="75"/>
        <v>0.58832945466771558</v>
      </c>
      <c r="AB32" s="725">
        <f t="shared" si="75"/>
        <v>0.58555966998095321</v>
      </c>
      <c r="AC32" s="725">
        <f t="shared" si="75"/>
        <v>0.58280186326849692</v>
      </c>
      <c r="AD32" s="725">
        <f t="shared" si="75"/>
        <v>0.5793042052489894</v>
      </c>
      <c r="AE32" s="725">
        <f t="shared" si="75"/>
        <v>0.57581047638114946</v>
      </c>
      <c r="AF32" s="725">
        <f t="shared" si="75"/>
        <v>0.57232067004787812</v>
      </c>
      <c r="AG32" s="725">
        <f t="shared" si="75"/>
        <v>0.56883477964692641</v>
      </c>
      <c r="AH32" s="725">
        <f t="shared" si="75"/>
        <v>0.56535279859085408</v>
      </c>
      <c r="AI32" s="725">
        <f t="shared" si="75"/>
        <v>0.56177929575948271</v>
      </c>
      <c r="AJ32" s="725">
        <f t="shared" si="75"/>
        <v>0.55819244997672735</v>
      </c>
      <c r="AK32" s="725">
        <f t="shared" si="75"/>
        <v>0.55459218637178487</v>
      </c>
      <c r="AL32" s="725">
        <f t="shared" si="75"/>
        <v>0.55097842951264331</v>
      </c>
      <c r="AM32" s="725">
        <f t="shared" si="75"/>
        <v>0.54735110340081261</v>
      </c>
    </row>
    <row r="33" spans="1:39">
      <c r="A33" s="723"/>
      <c r="B33" s="725" t="s">
        <v>289</v>
      </c>
      <c r="C33" s="725">
        <v>2402</v>
      </c>
      <c r="D33" s="725">
        <f t="shared" si="73"/>
        <v>0.18323089079724622</v>
      </c>
      <c r="E33" s="725">
        <f t="shared" ref="E33:L33" si="76">E14/SUM(E$13:E$18)</f>
        <v>0.18538891399679011</v>
      </c>
      <c r="F33" s="725">
        <f t="shared" si="76"/>
        <v>0.1875429847615567</v>
      </c>
      <c r="G33" s="725">
        <f t="shared" si="76"/>
        <v>0.1896931139399799</v>
      </c>
      <c r="H33" s="725">
        <f t="shared" si="76"/>
        <v>0.19183931234082838</v>
      </c>
      <c r="I33" s="725">
        <f t="shared" si="76"/>
        <v>0.1939815907333865</v>
      </c>
      <c r="J33" s="725">
        <f t="shared" si="76"/>
        <v>0.2002773469541361</v>
      </c>
      <c r="K33" s="725">
        <f t="shared" si="76"/>
        <v>0.20644567042337103</v>
      </c>
      <c r="L33" s="725">
        <f t="shared" si="76"/>
        <v>0.21249039143658646</v>
      </c>
      <c r="M33" s="725">
        <f t="shared" ref="M33:AM33" si="77">M14/SUM(M$13:M$18)</f>
        <v>0.21315466625840571</v>
      </c>
      <c r="N33" s="725">
        <f t="shared" si="77"/>
        <v>0.21382798216490753</v>
      </c>
      <c r="O33" s="725">
        <f t="shared" si="77"/>
        <v>0.21646527116769557</v>
      </c>
      <c r="P33" s="725">
        <f t="shared" si="77"/>
        <v>0.2191066482216375</v>
      </c>
      <c r="Q33" s="725">
        <f t="shared" si="77"/>
        <v>0.22175212283941387</v>
      </c>
      <c r="R33" s="725">
        <f t="shared" si="77"/>
        <v>0.22441819077959491</v>
      </c>
      <c r="S33" s="725">
        <f t="shared" si="77"/>
        <v>0.2270872390397517</v>
      </c>
      <c r="T33" s="725">
        <f t="shared" si="77"/>
        <v>0.22994303111288134</v>
      </c>
      <c r="U33" s="725">
        <f t="shared" si="77"/>
        <v>0.23277984631769646</v>
      </c>
      <c r="V33" s="725">
        <f t="shared" si="77"/>
        <v>0.23559787318104294</v>
      </c>
      <c r="W33" s="725">
        <f t="shared" si="77"/>
        <v>0.23840071311361175</v>
      </c>
      <c r="X33" s="725">
        <f t="shared" si="77"/>
        <v>0.24118448358739625</v>
      </c>
      <c r="Y33" s="725">
        <f t="shared" si="77"/>
        <v>0.24169725781302903</v>
      </c>
      <c r="Z33" s="725">
        <f t="shared" si="77"/>
        <v>0.24220773728885078</v>
      </c>
      <c r="AA33" s="725">
        <f t="shared" si="77"/>
        <v>0.24271593738455033</v>
      </c>
      <c r="AB33" s="725">
        <f t="shared" si="77"/>
        <v>0.24320602989587153</v>
      </c>
      <c r="AC33" s="725">
        <f t="shared" si="77"/>
        <v>0.24369400299497423</v>
      </c>
      <c r="AD33" s="725">
        <f t="shared" si="77"/>
        <v>0.24475743315776119</v>
      </c>
      <c r="AE33" s="725">
        <f t="shared" si="77"/>
        <v>0.24581966869878291</v>
      </c>
      <c r="AF33" s="725">
        <f t="shared" si="77"/>
        <v>0.24688071162990641</v>
      </c>
      <c r="AG33" s="725">
        <f t="shared" si="77"/>
        <v>0.24794056395848352</v>
      </c>
      <c r="AH33" s="725">
        <f t="shared" si="77"/>
        <v>0.24899922768736393</v>
      </c>
      <c r="AI33" s="725">
        <f t="shared" si="77"/>
        <v>0.24904399225672752</v>
      </c>
      <c r="AJ33" s="725">
        <f t="shared" si="77"/>
        <v>0.24908892397062721</v>
      </c>
      <c r="AK33" s="725">
        <f t="shared" si="77"/>
        <v>0.24913402376695473</v>
      </c>
      <c r="AL33" s="725">
        <f t="shared" si="77"/>
        <v>0.24917929259063226</v>
      </c>
      <c r="AM33" s="725">
        <f t="shared" si="77"/>
        <v>0.2492247313936779</v>
      </c>
    </row>
    <row r="34" spans="1:39">
      <c r="A34" s="723" t="s">
        <v>478</v>
      </c>
      <c r="B34" s="725" t="s">
        <v>291</v>
      </c>
      <c r="C34" s="725">
        <v>2403</v>
      </c>
      <c r="D34" s="725">
        <f t="shared" si="73"/>
        <v>2.6846526258131444E-3</v>
      </c>
      <c r="E34" s="725">
        <f t="shared" ref="E34:L34" si="78">E15/SUM(E$13:E$18)</f>
        <v>4.3234324703294597E-3</v>
      </c>
      <c r="F34" s="725">
        <f t="shared" si="78"/>
        <v>5.9592108779514879E-3</v>
      </c>
      <c r="G34" s="725">
        <f t="shared" si="78"/>
        <v>7.591996086864481E-3</v>
      </c>
      <c r="H34" s="725">
        <f t="shared" si="78"/>
        <v>9.2217963051322727E-3</v>
      </c>
      <c r="I34" s="725">
        <f t="shared" si="78"/>
        <v>1.084861971083481E-2</v>
      </c>
      <c r="J34" s="725">
        <f t="shared" si="78"/>
        <v>1.0148409577324139E-2</v>
      </c>
      <c r="K34" s="725">
        <f t="shared" si="78"/>
        <v>9.4623724360360061E-3</v>
      </c>
      <c r="L34" s="725">
        <f t="shared" si="78"/>
        <v>8.7900822838619681E-3</v>
      </c>
      <c r="M34" s="725">
        <f t="shared" ref="M34:AM34" si="79">M15/SUM(M$13:M$18)</f>
        <v>1.1294043021991751E-2</v>
      </c>
      <c r="N34" s="725">
        <f t="shared" si="79"/>
        <v>1.3832083813032695E-2</v>
      </c>
      <c r="O34" s="725">
        <f t="shared" si="79"/>
        <v>1.3821570586201532E-2</v>
      </c>
      <c r="P34" s="725">
        <f t="shared" si="79"/>
        <v>1.3811041062859431E-2</v>
      </c>
      <c r="Q34" s="725">
        <f t="shared" si="79"/>
        <v>1.3800495205085266E-2</v>
      </c>
      <c r="R34" s="725">
        <f t="shared" si="79"/>
        <v>1.3786393905835788E-2</v>
      </c>
      <c r="S34" s="725">
        <f t="shared" si="79"/>
        <v>1.3772276843153125E-2</v>
      </c>
      <c r="T34" s="725">
        <f t="shared" si="79"/>
        <v>1.4284713781764238E-2</v>
      </c>
      <c r="U34" s="725">
        <f t="shared" si="79"/>
        <v>1.4793745553593423E-2</v>
      </c>
      <c r="V34" s="725">
        <f t="shared" si="79"/>
        <v>1.5299405987476001E-2</v>
      </c>
      <c r="W34" s="725">
        <f t="shared" si="79"/>
        <v>1.5805288118710153E-2</v>
      </c>
      <c r="X34" s="725">
        <f t="shared" si="79"/>
        <v>1.6307728419984922E-2</v>
      </c>
      <c r="Y34" s="725">
        <f t="shared" si="79"/>
        <v>1.6937576725894483E-2</v>
      </c>
      <c r="Z34" s="725">
        <f t="shared" si="79"/>
        <v>1.7564606356042459E-2</v>
      </c>
      <c r="AA34" s="725">
        <f t="shared" si="79"/>
        <v>1.8188836189249085E-2</v>
      </c>
      <c r="AB34" s="725">
        <f t="shared" si="79"/>
        <v>1.8821436669308723E-2</v>
      </c>
      <c r="AC34" s="725">
        <f t="shared" si="79"/>
        <v>1.9451301459358868E-2</v>
      </c>
      <c r="AD34" s="725">
        <f t="shared" si="79"/>
        <v>2.0021500567724039E-2</v>
      </c>
      <c r="AE34" s="725">
        <f t="shared" si="79"/>
        <v>2.0591059133541891E-2</v>
      </c>
      <c r="AF34" s="725">
        <f t="shared" si="79"/>
        <v>2.1159978235552521E-2</v>
      </c>
      <c r="AG34" s="725">
        <f t="shared" si="79"/>
        <v>2.1728258950075099E-2</v>
      </c>
      <c r="AH34" s="725">
        <f t="shared" si="79"/>
        <v>2.2295902351014689E-2</v>
      </c>
      <c r="AI34" s="725">
        <f t="shared" si="79"/>
        <v>2.2759523805862474E-2</v>
      </c>
      <c r="AJ34" s="725">
        <f t="shared" si="79"/>
        <v>2.3224876357291004E-2</v>
      </c>
      <c r="AK34" s="725">
        <f t="shared" si="79"/>
        <v>2.3691969718937621E-2</v>
      </c>
      <c r="AL34" s="725">
        <f t="shared" si="79"/>
        <v>2.4160813677250224E-2</v>
      </c>
      <c r="AM34" s="725">
        <f t="shared" si="79"/>
        <v>2.4631418092170735E-2</v>
      </c>
    </row>
    <row r="35" spans="1:39">
      <c r="A35" s="723"/>
      <c r="B35" s="725" t="s">
        <v>293</v>
      </c>
      <c r="C35" s="725">
        <v>2404</v>
      </c>
      <c r="D35" s="725">
        <f t="shared" si="73"/>
        <v>1.2660550575208771E-2</v>
      </c>
      <c r="E35" s="725">
        <f t="shared" ref="E35:L35" si="80">E16/SUM(E$13:E$18)</f>
        <v>1.7452277696366175E-2</v>
      </c>
      <c r="F35" s="725">
        <f t="shared" si="80"/>
        <v>2.2235228735356764E-2</v>
      </c>
      <c r="G35" s="725">
        <f t="shared" si="80"/>
        <v>2.7009427780306735E-2</v>
      </c>
      <c r="H35" s="725">
        <f t="shared" si="80"/>
        <v>3.1774898831268446E-2</v>
      </c>
      <c r="I35" s="725">
        <f t="shared" si="80"/>
        <v>3.6531665800622573E-2</v>
      </c>
      <c r="J35" s="725">
        <f t="shared" si="80"/>
        <v>3.1956178572589623E-2</v>
      </c>
      <c r="K35" s="725">
        <f t="shared" si="80"/>
        <v>2.7473304035795672E-2</v>
      </c>
      <c r="L35" s="725">
        <f t="shared" si="80"/>
        <v>2.3080258494763445E-2</v>
      </c>
      <c r="M35" s="725">
        <f t="shared" ref="M35:AM35" si="81">M16/SUM(M$13:M$18)</f>
        <v>2.3438426257444345E-2</v>
      </c>
      <c r="N35" s="725">
        <f t="shared" si="81"/>
        <v>2.380146884748071E-2</v>
      </c>
      <c r="O35" s="725">
        <f t="shared" si="81"/>
        <v>2.3821209028695261E-2</v>
      </c>
      <c r="P35" s="725">
        <f t="shared" si="81"/>
        <v>2.3840979809085897E-2</v>
      </c>
      <c r="Q35" s="725">
        <f t="shared" si="81"/>
        <v>2.3860781259855298E-2</v>
      </c>
      <c r="R35" s="725">
        <f t="shared" si="81"/>
        <v>2.38653458825097E-2</v>
      </c>
      <c r="S35" s="725">
        <f t="shared" si="81"/>
        <v>2.3869915607823294E-2</v>
      </c>
      <c r="T35" s="725">
        <f t="shared" si="81"/>
        <v>2.3711974218410887E-2</v>
      </c>
      <c r="U35" s="725">
        <f t="shared" si="81"/>
        <v>2.3555082356720221E-2</v>
      </c>
      <c r="V35" s="725">
        <f t="shared" si="81"/>
        <v>2.3399229596154678E-2</v>
      </c>
      <c r="W35" s="725">
        <f t="shared" si="81"/>
        <v>2.3240689413934538E-2</v>
      </c>
      <c r="X35" s="725">
        <f t="shared" si="81"/>
        <v>2.3083227878923373E-2</v>
      </c>
      <c r="Y35" s="725">
        <f t="shared" si="81"/>
        <v>2.3000675245800514E-2</v>
      </c>
      <c r="Z35" s="725">
        <f t="shared" si="81"/>
        <v>2.2918492049419571E-2</v>
      </c>
      <c r="AA35" s="725">
        <f t="shared" si="81"/>
        <v>2.2836675815381072E-2</v>
      </c>
      <c r="AB35" s="725">
        <f t="shared" si="81"/>
        <v>2.2754221688977061E-2</v>
      </c>
      <c r="AC35" s="725">
        <f t="shared" si="81"/>
        <v>2.2672124136646203E-2</v>
      </c>
      <c r="AD35" s="725">
        <f t="shared" si="81"/>
        <v>2.2638585930371928E-2</v>
      </c>
      <c r="AE35" s="725">
        <f t="shared" si="81"/>
        <v>2.2605085399793327E-2</v>
      </c>
      <c r="AF35" s="725">
        <f t="shared" si="81"/>
        <v>2.2571622481460621E-2</v>
      </c>
      <c r="AG35" s="725">
        <f t="shared" si="81"/>
        <v>2.2538197112066418E-2</v>
      </c>
      <c r="AH35" s="725">
        <f t="shared" si="81"/>
        <v>2.2504809228445343E-2</v>
      </c>
      <c r="AI35" s="725">
        <f t="shared" si="81"/>
        <v>2.2539091880805245E-2</v>
      </c>
      <c r="AJ35" s="725">
        <f t="shared" si="81"/>
        <v>2.257350253971372E-2</v>
      </c>
      <c r="AK35" s="725">
        <f t="shared" si="81"/>
        <v>2.2608041923449115E-2</v>
      </c>
      <c r="AL35" s="725">
        <f t="shared" si="81"/>
        <v>2.2642710755673777E-2</v>
      </c>
      <c r="AM35" s="725">
        <f t="shared" si="81"/>
        <v>2.2677509765484601E-2</v>
      </c>
    </row>
    <row r="36" spans="1:39">
      <c r="A36" s="723"/>
      <c r="B36" s="725" t="s">
        <v>296</v>
      </c>
      <c r="C36" s="725">
        <v>2405</v>
      </c>
      <c r="D36" s="725">
        <f t="shared" si="73"/>
        <v>3.5880088126033663E-3</v>
      </c>
      <c r="E36" s="725">
        <f t="shared" ref="E36:L36" si="82">E17/SUM(E$13:E$18)</f>
        <v>4.7722533086115553E-3</v>
      </c>
      <c r="F36" s="725">
        <f t="shared" si="82"/>
        <v>5.9543288524361616E-3</v>
      </c>
      <c r="G36" s="725">
        <f t="shared" si="82"/>
        <v>7.1342413973024318E-3</v>
      </c>
      <c r="H36" s="725">
        <f t="shared" si="82"/>
        <v>8.3119968746687284E-3</v>
      </c>
      <c r="I36" s="725">
        <f t="shared" si="82"/>
        <v>9.4876011943259234E-3</v>
      </c>
      <c r="J36" s="725">
        <f t="shared" si="82"/>
        <v>9.1874081287370898E-3</v>
      </c>
      <c r="K36" s="725">
        <f t="shared" si="82"/>
        <v>8.8932912876703435E-3</v>
      </c>
      <c r="L36" s="725">
        <f t="shared" si="82"/>
        <v>8.6050680356953221E-3</v>
      </c>
      <c r="M36" s="725">
        <f t="shared" ref="M36:AM36" si="83">M17/SUM(M$13:M$18)</f>
        <v>8.7530992705089471E-3</v>
      </c>
      <c r="N36" s="725">
        <f t="shared" si="83"/>
        <v>8.9031452782533643E-3</v>
      </c>
      <c r="O36" s="725">
        <f t="shared" si="83"/>
        <v>9.0037881868415704E-3</v>
      </c>
      <c r="P36" s="725">
        <f t="shared" si="83"/>
        <v>9.1045871016005673E-3</v>
      </c>
      <c r="Q36" s="725">
        <f t="shared" si="83"/>
        <v>9.205542385548526E-3</v>
      </c>
      <c r="R36" s="725">
        <f t="shared" si="83"/>
        <v>9.3037972236731017E-3</v>
      </c>
      <c r="S36" s="725">
        <f t="shared" si="83"/>
        <v>9.4021618980296706E-3</v>
      </c>
      <c r="T36" s="725">
        <f t="shared" si="83"/>
        <v>9.3475453492140575E-3</v>
      </c>
      <c r="U36" s="725">
        <f t="shared" si="83"/>
        <v>9.2932917298513325E-3</v>
      </c>
      <c r="V36" s="725">
        <f t="shared" si="83"/>
        <v>9.239397434396902E-3</v>
      </c>
      <c r="W36" s="725">
        <f t="shared" si="83"/>
        <v>9.1849068147178414E-3</v>
      </c>
      <c r="X36" s="725">
        <f t="shared" si="83"/>
        <v>9.1307869285273454E-3</v>
      </c>
      <c r="Y36" s="725">
        <f t="shared" si="83"/>
        <v>9.1042796961722898E-3</v>
      </c>
      <c r="Z36" s="725">
        <f t="shared" si="83"/>
        <v>9.0778910880838157E-3</v>
      </c>
      <c r="AA36" s="725">
        <f t="shared" si="83"/>
        <v>9.0516203097447817E-3</v>
      </c>
      <c r="AB36" s="725">
        <f t="shared" si="83"/>
        <v>9.0258668252314964E-3</v>
      </c>
      <c r="AC36" s="725">
        <f t="shared" si="83"/>
        <v>9.0002247120378933E-3</v>
      </c>
      <c r="AD36" s="725">
        <f t="shared" si="83"/>
        <v>8.9963804856063902E-3</v>
      </c>
      <c r="AE36" s="725">
        <f t="shared" si="83"/>
        <v>8.992540577649883E-3</v>
      </c>
      <c r="AF36" s="725">
        <f t="shared" si="83"/>
        <v>8.9887049808956097E-3</v>
      </c>
      <c r="AG36" s="725">
        <f t="shared" si="83"/>
        <v>8.9848736880871298E-3</v>
      </c>
      <c r="AH36" s="725">
        <f t="shared" si="83"/>
        <v>8.9810466919842853E-3</v>
      </c>
      <c r="AI36" s="725">
        <f t="shared" si="83"/>
        <v>8.998784442201575E-3</v>
      </c>
      <c r="AJ36" s="725">
        <f t="shared" si="83"/>
        <v>9.0165884226556907E-3</v>
      </c>
      <c r="AK36" s="725">
        <f t="shared" si="83"/>
        <v>9.0344590049818724E-3</v>
      </c>
      <c r="AL36" s="725">
        <f t="shared" si="83"/>
        <v>9.0523965636010381E-3</v>
      </c>
      <c r="AM36" s="725">
        <f t="shared" si="83"/>
        <v>9.0704014757459171E-3</v>
      </c>
    </row>
    <row r="37" spans="1:39" ht="15" thickBot="1">
      <c r="A37" s="722"/>
      <c r="B37" s="725" t="s">
        <v>481</v>
      </c>
      <c r="C37" s="725">
        <v>2406</v>
      </c>
      <c r="D37" s="725">
        <f t="shared" si="73"/>
        <v>9.8412969888676538E-2</v>
      </c>
      <c r="E37" s="725">
        <f t="shared" ref="E37:L37" si="84">E18/SUM(E$13:E$18)</f>
        <v>9.1651276917811109E-2</v>
      </c>
      <c r="F37" s="725">
        <f t="shared" si="84"/>
        <v>8.49019680355214E-2</v>
      </c>
      <c r="G37" s="725">
        <f t="shared" si="84"/>
        <v>7.8165009250616035E-2</v>
      </c>
      <c r="H37" s="725">
        <f t="shared" si="84"/>
        <v>7.1440366696186239E-2</v>
      </c>
      <c r="I37" s="725">
        <f t="shared" si="84"/>
        <v>6.4728006629038257E-2</v>
      </c>
      <c r="J37" s="725">
        <f t="shared" si="84"/>
        <v>6.7145078435690383E-2</v>
      </c>
      <c r="K37" s="725">
        <f t="shared" si="84"/>
        <v>6.9513226157589175E-2</v>
      </c>
      <c r="L37" s="725">
        <f t="shared" si="84"/>
        <v>7.183392032487082E-2</v>
      </c>
      <c r="M37" s="725">
        <f t="shared" ref="M37:AM37" si="85">M18/SUM(M$13:M$18)</f>
        <v>7.5096031687921949E-2</v>
      </c>
      <c r="N37" s="725">
        <f t="shared" si="85"/>
        <v>7.840254188125903E-2</v>
      </c>
      <c r="O37" s="725">
        <f t="shared" si="85"/>
        <v>8.245171189930485E-2</v>
      </c>
      <c r="P37" s="725">
        <f t="shared" si="85"/>
        <v>8.6507158519629479E-2</v>
      </c>
      <c r="Q37" s="725">
        <f t="shared" si="85"/>
        <v>9.0568896347556993E-2</v>
      </c>
      <c r="R37" s="725">
        <f t="shared" si="85"/>
        <v>9.4815457452744778E-2</v>
      </c>
      <c r="S37" s="725">
        <f t="shared" si="85"/>
        <v>9.9066765665348486E-2</v>
      </c>
      <c r="T37" s="725">
        <f t="shared" si="85"/>
        <v>0.10198980602461985</v>
      </c>
      <c r="U37" s="725">
        <f t="shared" si="85"/>
        <v>0.10489342264765432</v>
      </c>
      <c r="V37" s="725">
        <f t="shared" si="85"/>
        <v>0.10777780850073414</v>
      </c>
      <c r="W37" s="725">
        <f t="shared" si="85"/>
        <v>0.11078172245492664</v>
      </c>
      <c r="X37" s="725">
        <f t="shared" si="85"/>
        <v>0.11376519891903082</v>
      </c>
      <c r="Y37" s="725">
        <f t="shared" si="85"/>
        <v>0.11547693435517765</v>
      </c>
      <c r="Z37" s="725">
        <f t="shared" si="85"/>
        <v>0.11718100949099688</v>
      </c>
      <c r="AA37" s="725">
        <f t="shared" si="85"/>
        <v>0.11887747563335918</v>
      </c>
      <c r="AB37" s="725">
        <f t="shared" si="85"/>
        <v>0.12063277493965784</v>
      </c>
      <c r="AC37" s="725">
        <f t="shared" si="85"/>
        <v>0.12238048342848597</v>
      </c>
      <c r="AD37" s="725">
        <f t="shared" si="85"/>
        <v>0.12428189460954708</v>
      </c>
      <c r="AE37" s="725">
        <f t="shared" si="85"/>
        <v>0.12618116980908253</v>
      </c>
      <c r="AF37" s="725">
        <f t="shared" si="85"/>
        <v>0.1280783126243068</v>
      </c>
      <c r="AG37" s="725">
        <f t="shared" si="85"/>
        <v>0.1299733266443614</v>
      </c>
      <c r="AH37" s="725">
        <f t="shared" si="85"/>
        <v>0.13186621545033769</v>
      </c>
      <c r="AI37" s="725">
        <f t="shared" si="85"/>
        <v>0.13487931185492039</v>
      </c>
      <c r="AJ37" s="725">
        <f t="shared" si="85"/>
        <v>0.13790365873298505</v>
      </c>
      <c r="AK37" s="725">
        <f t="shared" si="85"/>
        <v>0.14093931921389166</v>
      </c>
      <c r="AL37" s="725">
        <f t="shared" si="85"/>
        <v>0.1439863569001994</v>
      </c>
      <c r="AM37" s="725">
        <f t="shared" si="85"/>
        <v>0.14704483587210834</v>
      </c>
    </row>
    <row r="38" spans="1:39">
      <c r="D38" s="599">
        <f>SUM(D22:D37)-3</f>
        <v>0</v>
      </c>
      <c r="E38" s="599">
        <f t="shared" ref="E38:L38" si="86">SUM(E22:E37)-3</f>
        <v>0</v>
      </c>
      <c r="F38" s="599">
        <f t="shared" si="86"/>
        <v>0</v>
      </c>
      <c r="G38" s="599">
        <f t="shared" si="86"/>
        <v>0</v>
      </c>
      <c r="H38" s="599">
        <f t="shared" si="86"/>
        <v>0</v>
      </c>
      <c r="I38" s="599">
        <f t="shared" si="86"/>
        <v>0</v>
      </c>
      <c r="J38" s="599">
        <f t="shared" si="86"/>
        <v>0</v>
      </c>
      <c r="K38" s="599">
        <f t="shared" si="86"/>
        <v>0</v>
      </c>
      <c r="L38" s="599">
        <f t="shared" si="86"/>
        <v>0</v>
      </c>
      <c r="M38" s="599">
        <f t="shared" ref="M38" si="87">SUM(M22:M37)-3</f>
        <v>0</v>
      </c>
      <c r="N38" s="599">
        <f t="shared" ref="N38" si="88">SUM(N22:N37)-3</f>
        <v>0</v>
      </c>
      <c r="O38" s="599">
        <f t="shared" ref="O38" si="89">SUM(O22:O37)-3</f>
        <v>0</v>
      </c>
      <c r="P38" s="599">
        <f t="shared" ref="P38" si="90">SUM(P22:P37)-3</f>
        <v>0</v>
      </c>
      <c r="Q38" s="599">
        <f t="shared" ref="Q38" si="91">SUM(Q22:Q37)-3</f>
        <v>0</v>
      </c>
      <c r="R38" s="599">
        <f t="shared" ref="R38" si="92">SUM(R22:R37)-3</f>
        <v>0</v>
      </c>
      <c r="S38" s="599">
        <f t="shared" ref="S38" si="93">SUM(S22:S37)-3</f>
        <v>0</v>
      </c>
      <c r="T38" s="599">
        <f t="shared" ref="T38" si="94">SUM(T22:T37)-3</f>
        <v>0</v>
      </c>
      <c r="U38" s="599">
        <f t="shared" ref="U38" si="95">SUM(U22:U37)-3</f>
        <v>0</v>
      </c>
      <c r="V38" s="599">
        <f t="shared" ref="V38" si="96">SUM(V22:V37)-3</f>
        <v>0</v>
      </c>
      <c r="W38" s="599">
        <f t="shared" ref="W38" si="97">SUM(W22:W37)-3</f>
        <v>0</v>
      </c>
      <c r="X38" s="599">
        <f t="shared" ref="X38" si="98">SUM(X22:X37)-3</f>
        <v>0</v>
      </c>
      <c r="Y38" s="599">
        <f t="shared" ref="Y38" si="99">SUM(Y22:Y37)-3</f>
        <v>0</v>
      </c>
      <c r="Z38" s="599">
        <f t="shared" ref="Z38" si="100">SUM(Z22:Z37)-3</f>
        <v>0</v>
      </c>
      <c r="AA38" s="599">
        <f t="shared" ref="AA38" si="101">SUM(AA22:AA37)-3</f>
        <v>0</v>
      </c>
      <c r="AB38" s="599">
        <f t="shared" ref="AB38" si="102">SUM(AB22:AB37)-3</f>
        <v>0</v>
      </c>
      <c r="AC38" s="599">
        <f t="shared" ref="AC38" si="103">SUM(AC22:AC37)-3</f>
        <v>0</v>
      </c>
      <c r="AD38" s="599">
        <f t="shared" ref="AD38" si="104">SUM(AD22:AD37)-3</f>
        <v>0</v>
      </c>
      <c r="AE38" s="599">
        <f t="shared" ref="AE38" si="105">SUM(AE22:AE37)-3</f>
        <v>0</v>
      </c>
      <c r="AF38" s="599">
        <f t="shared" ref="AF38" si="106">SUM(AF22:AF37)-3</f>
        <v>0</v>
      </c>
      <c r="AG38" s="599">
        <f t="shared" ref="AG38" si="107">SUM(AG22:AG37)-3</f>
        <v>0</v>
      </c>
      <c r="AH38" s="599">
        <f t="shared" ref="AH38" si="108">SUM(AH22:AH37)-3</f>
        <v>0</v>
      </c>
      <c r="AI38" s="599">
        <f t="shared" ref="AI38" si="109">SUM(AI22:AI37)-3</f>
        <v>0</v>
      </c>
      <c r="AJ38" s="599">
        <f t="shared" ref="AJ38" si="110">SUM(AJ22:AJ37)-3</f>
        <v>0</v>
      </c>
      <c r="AK38" s="599">
        <f t="shared" ref="AK38" si="111">SUM(AK22:AK37)-3</f>
        <v>0</v>
      </c>
      <c r="AL38" s="599">
        <f t="shared" ref="AL38" si="112">SUM(AL22:AL37)-3</f>
        <v>0</v>
      </c>
      <c r="AM38" s="599">
        <f t="shared" ref="AM38" si="113">SUM(AM22:AM37)-3</f>
        <v>0</v>
      </c>
    </row>
    <row r="39" spans="1:39" ht="15" thickBot="1">
      <c r="B39" t="s">
        <v>449</v>
      </c>
    </row>
    <row r="40" spans="1:39">
      <c r="A40" s="593" t="s">
        <v>479</v>
      </c>
      <c r="B40" s="590" t="s">
        <v>266</v>
      </c>
      <c r="C40">
        <v>2201</v>
      </c>
      <c r="D40" s="404">
        <f>('Cibles THREEME'!$BV4+'Cibles THREEME'!$BV6)*11.64/D3</f>
        <v>3.3587454174701117E-2</v>
      </c>
      <c r="E40">
        <f>D40+($I40-$D40)/5</f>
        <v>3.1122638302030891E-2</v>
      </c>
      <c r="F40">
        <f t="shared" ref="F40:H40" si="114">E40+($I40-$D40)/5</f>
        <v>2.8657822429360665E-2</v>
      </c>
      <c r="G40">
        <f t="shared" si="114"/>
        <v>2.6193006556690438E-2</v>
      </c>
      <c r="H40">
        <f t="shared" si="114"/>
        <v>2.3728190684020212E-2</v>
      </c>
      <c r="I40" s="404">
        <f>('Cibles THREEME'!$BW4+'Cibles THREEME'!$BW6)/I3</f>
        <v>2.1263374811349989E-2</v>
      </c>
      <c r="J40">
        <f>I40+($L40-$I40)/3</f>
        <v>2.8627569616698535E-2</v>
      </c>
      <c r="K40">
        <f>J40+($L40-$I40)/3</f>
        <v>3.599176442204708E-2</v>
      </c>
      <c r="L40" s="404">
        <f>('Cibles THREEME'!$BX4+'Cibles THREEME'!$BX6)/L3</f>
        <v>4.3355959227395623E-2</v>
      </c>
      <c r="M40">
        <f>(L40+N40)/2</f>
        <v>4.5850311369889554E-2</v>
      </c>
      <c r="N40" s="404">
        <f>('Cibles THREEME'!$BY4+'Cibles THREEME'!$BY6)/N3</f>
        <v>4.8344663512383493E-2</v>
      </c>
      <c r="O40">
        <f>N40+($Q40-$N40)/3</f>
        <v>4.9451193555719773E-2</v>
      </c>
      <c r="P40">
        <f>O40+($Q40-$N40)/3</f>
        <v>5.0557723599056054E-2</v>
      </c>
      <c r="Q40" s="404">
        <f>('Cibles THREEME'!$BZ4+'Cibles THREEME'!$BZ6)/Q3</f>
        <v>5.1664253642392341E-2</v>
      </c>
      <c r="R40">
        <f>(Q40+S40)/2</f>
        <v>5.2955379815194992E-2</v>
      </c>
      <c r="S40" s="404">
        <f>('Cibles THREEME'!$CA4+'Cibles THREEME'!$CA6)/S3</f>
        <v>5.4246505987997636E-2</v>
      </c>
      <c r="T40">
        <f>S40+($V40-$S40)/2</f>
        <v>5.5880159734030037E-2</v>
      </c>
      <c r="U40">
        <f>T40+($V40-$S40)/2</f>
        <v>5.7513813480062438E-2</v>
      </c>
      <c r="V40" s="404">
        <f>('Cibles THREEME'!$CB4+'Cibles THREEME'!$CB6)/V3</f>
        <v>5.7513813480062438E-2</v>
      </c>
      <c r="W40">
        <f>V40+(X40-V40)/2</f>
        <v>5.8767271120508627E-2</v>
      </c>
      <c r="X40" s="404">
        <f>('Cibles THREEME'!$CC4+'Cibles THREEME'!$CC6)/X3</f>
        <v>6.0020728760954815E-2</v>
      </c>
      <c r="Y40">
        <f>X40+($AA40-$X40)/3</f>
        <v>6.1123086161304192E-2</v>
      </c>
      <c r="Z40">
        <f>Y40+($AA40-$X40)/3</f>
        <v>6.2225443561653569E-2</v>
      </c>
      <c r="AA40" s="404">
        <f>('Cibles THREEME'!$CD4+'Cibles THREEME'!$CD6)/AA3</f>
        <v>6.3327800962002953E-2</v>
      </c>
      <c r="AB40">
        <f>AA40+(AC40-AA40)/2</f>
        <v>6.4582889277443267E-2</v>
      </c>
      <c r="AC40" s="404">
        <f>('Cibles THREEME'!$CE4+'Cibles THREEME'!$CE6)/AC3</f>
        <v>6.5837977592883581E-2</v>
      </c>
      <c r="AD40">
        <f>AC40+($AH40-$AC40)/5</f>
        <v>6.663688481926601E-2</v>
      </c>
      <c r="AE40">
        <f t="shared" ref="AE40:AG40" si="115">AD40+($AH40-$AC40)/5</f>
        <v>6.7435792045648438E-2</v>
      </c>
      <c r="AF40">
        <f t="shared" si="115"/>
        <v>6.8234699272030866E-2</v>
      </c>
      <c r="AG40">
        <f t="shared" si="115"/>
        <v>6.9033606498413294E-2</v>
      </c>
      <c r="AH40" s="404">
        <f>('Cibles THREEME'!$CF4+'Cibles THREEME'!$CF6)/AH3</f>
        <v>6.9832513724795736E-2</v>
      </c>
      <c r="AI40">
        <f>AH40+($AM40-$AH40)/5</f>
        <v>7.0053281785874902E-2</v>
      </c>
      <c r="AJ40">
        <f t="shared" ref="AJ40:AL40" si="116">AI40+($AM40-$AH40)/5</f>
        <v>7.0274049846954068E-2</v>
      </c>
      <c r="AK40">
        <f t="shared" si="116"/>
        <v>7.0494817908033233E-2</v>
      </c>
      <c r="AL40">
        <f t="shared" si="116"/>
        <v>7.0715585969112399E-2</v>
      </c>
      <c r="AM40" s="404">
        <f>('Cibles THREEME'!$CG4+'Cibles THREEME'!$CG6)/AM3</f>
        <v>7.0936354030191565E-2</v>
      </c>
    </row>
    <row r="41" spans="1:39" ht="15" thickBot="1">
      <c r="A41" s="594"/>
      <c r="B41" s="592" t="s">
        <v>346</v>
      </c>
      <c r="C41">
        <v>2202</v>
      </c>
      <c r="D41" s="404">
        <f>('Cibles THREEME'!$BV5+'Cibles THREEME'!$BV7)*11.64/D4</f>
        <v>0</v>
      </c>
      <c r="E41">
        <f t="shared" ref="E41:H56" si="117">D41+($I41-$D41)/5</f>
        <v>0</v>
      </c>
      <c r="F41">
        <f t="shared" si="117"/>
        <v>0</v>
      </c>
      <c r="G41">
        <f t="shared" si="117"/>
        <v>0</v>
      </c>
      <c r="H41">
        <f t="shared" si="117"/>
        <v>0</v>
      </c>
      <c r="I41" s="404">
        <f>('Cibles THREEME'!$BW5+'Cibles THREEME'!$BW7)/I4</f>
        <v>0</v>
      </c>
      <c r="J41">
        <f t="shared" ref="J41:K56" si="118">I41+($L41-$I41)/3</f>
        <v>0</v>
      </c>
      <c r="K41">
        <f t="shared" si="118"/>
        <v>0</v>
      </c>
      <c r="L41" s="404">
        <f>('Cibles THREEME'!$BX5+'Cibles THREEME'!$BX7)/L4</f>
        <v>0</v>
      </c>
      <c r="M41">
        <f t="shared" ref="M41:M56" si="119">(L41+N41)/2</f>
        <v>0</v>
      </c>
      <c r="N41" s="404">
        <f>('Cibles THREEME'!$BY5+'Cibles THREEME'!$BY7)/N4</f>
        <v>0</v>
      </c>
      <c r="O41">
        <f t="shared" ref="O41:P56" si="120">N41+($Q41-$N41)/3</f>
        <v>0</v>
      </c>
      <c r="P41">
        <f t="shared" si="120"/>
        <v>0</v>
      </c>
      <c r="Q41" s="404">
        <f>('Cibles THREEME'!$BZ5+'Cibles THREEME'!$BZ7)/Q4</f>
        <v>0</v>
      </c>
      <c r="R41">
        <f t="shared" ref="R41:R56" si="121">(Q41+S41)/2</f>
        <v>0</v>
      </c>
      <c r="S41" s="404">
        <f>('Cibles THREEME'!$CA5+'Cibles THREEME'!$CA7)/S4</f>
        <v>0</v>
      </c>
      <c r="T41">
        <f t="shared" ref="T41:U56" si="122">S41+($V41-$S41)/2</f>
        <v>0</v>
      </c>
      <c r="U41">
        <f t="shared" si="122"/>
        <v>0</v>
      </c>
      <c r="V41" s="404">
        <f>('Cibles THREEME'!$CB5+'Cibles THREEME'!$CB7)/V4</f>
        <v>0</v>
      </c>
      <c r="W41">
        <f t="shared" ref="W41:W56" si="123">V41+(X41-V41)/2</f>
        <v>0</v>
      </c>
      <c r="X41" s="404">
        <f>('Cibles THREEME'!$CC5+'Cibles THREEME'!$CC7)/X4</f>
        <v>0</v>
      </c>
      <c r="Y41">
        <f t="shared" ref="Y41:Z56" si="124">X41+($AA41-$X41)/3</f>
        <v>0</v>
      </c>
      <c r="Z41">
        <f t="shared" si="124"/>
        <v>0</v>
      </c>
      <c r="AA41" s="404">
        <f>('Cibles THREEME'!$CD5+'Cibles THREEME'!$CD7)/AA4</f>
        <v>0</v>
      </c>
      <c r="AB41">
        <f t="shared" ref="AB41:AB56" si="125">AA41+(AC41-AA41)/2</f>
        <v>0</v>
      </c>
      <c r="AC41" s="404">
        <f>('Cibles THREEME'!$CE5+'Cibles THREEME'!$CE7)/AC4</f>
        <v>0</v>
      </c>
      <c r="AD41">
        <f t="shared" ref="AD41:AG56" si="126">AC41+($AH41-$AC41)/5</f>
        <v>0</v>
      </c>
      <c r="AE41">
        <f t="shared" si="126"/>
        <v>0</v>
      </c>
      <c r="AF41">
        <f t="shared" si="126"/>
        <v>0</v>
      </c>
      <c r="AG41">
        <f t="shared" si="126"/>
        <v>0</v>
      </c>
      <c r="AH41" s="404">
        <f>('Cibles THREEME'!$CF5+'Cibles THREEME'!$CF7)/AH4</f>
        <v>0</v>
      </c>
      <c r="AI41">
        <f t="shared" ref="AI41:AL56" si="127">AH41+($AM41-$AH41)/5</f>
        <v>0</v>
      </c>
      <c r="AJ41">
        <f t="shared" si="127"/>
        <v>0</v>
      </c>
      <c r="AK41">
        <f t="shared" si="127"/>
        <v>0</v>
      </c>
      <c r="AL41">
        <f t="shared" si="127"/>
        <v>0</v>
      </c>
      <c r="AM41" s="404">
        <f>('Cibles THREEME'!$CG5+'Cibles THREEME'!$CG7)/AM4</f>
        <v>0</v>
      </c>
    </row>
    <row r="42" spans="1:39">
      <c r="A42" s="593"/>
      <c r="B42" s="590" t="s">
        <v>20</v>
      </c>
      <c r="C42">
        <v>2301</v>
      </c>
      <c r="D42">
        <f>'Cibles THREEME'!$BV8*11.64/D5</f>
        <v>2.6021841240650576</v>
      </c>
      <c r="E42">
        <f t="shared" si="117"/>
        <v>2.603286575944062</v>
      </c>
      <c r="F42">
        <f t="shared" si="117"/>
        <v>2.6043890278230664</v>
      </c>
      <c r="G42">
        <f t="shared" si="117"/>
        <v>2.6054914797020707</v>
      </c>
      <c r="H42">
        <f t="shared" si="117"/>
        <v>2.6065939315810751</v>
      </c>
      <c r="I42">
        <f>'Cibles THREEME'!$BW8/I5</f>
        <v>2.6076963834600786</v>
      </c>
      <c r="J42">
        <f t="shared" si="118"/>
        <v>2.5873142955391337</v>
      </c>
      <c r="K42">
        <f t="shared" si="118"/>
        <v>2.5669322076181889</v>
      </c>
      <c r="L42">
        <f>'Cibles THREEME'!$BX8/L5</f>
        <v>2.546550119697244</v>
      </c>
      <c r="M42">
        <f t="shared" si="119"/>
        <v>2.6441305403118358</v>
      </c>
      <c r="N42">
        <f>'Cibles THREEME'!$BY8/N5</f>
        <v>2.7417109609264272</v>
      </c>
      <c r="O42">
        <f t="shared" si="120"/>
        <v>2.7533578669545142</v>
      </c>
      <c r="P42">
        <f t="shared" si="120"/>
        <v>2.7650047729826013</v>
      </c>
      <c r="Q42">
        <f>'Cibles THREEME'!$BZ8/Q5</f>
        <v>2.7766516790106883</v>
      </c>
      <c r="R42">
        <f t="shared" si="121"/>
        <v>2.7818074834395139</v>
      </c>
      <c r="S42">
        <f>'Cibles THREEME'!$CA8/S5</f>
        <v>2.7869632878683399</v>
      </c>
      <c r="T42">
        <f t="shared" si="122"/>
        <v>2.7426384503005692</v>
      </c>
      <c r="U42">
        <f t="shared" si="122"/>
        <v>2.6983136127327985</v>
      </c>
      <c r="V42">
        <f>'Cibles THREEME'!$CB8/V5</f>
        <v>2.6983136127327985</v>
      </c>
      <c r="W42">
        <f t="shared" si="123"/>
        <v>2.6707245476399804</v>
      </c>
      <c r="X42">
        <f>'Cibles THREEME'!$CC8/X5</f>
        <v>2.6431354825471627</v>
      </c>
      <c r="Y42">
        <f t="shared" si="124"/>
        <v>2.6274921686320662</v>
      </c>
      <c r="Z42">
        <f t="shared" si="124"/>
        <v>2.6118488547169698</v>
      </c>
      <c r="AA42">
        <f>'Cibles THREEME'!$CD8/AA5</f>
        <v>2.5962055408018738</v>
      </c>
      <c r="AB42">
        <f t="shared" si="125"/>
        <v>2.5828111371897062</v>
      </c>
      <c r="AC42">
        <f>'Cibles THREEME'!$CE8/AC5</f>
        <v>2.5694167335775391</v>
      </c>
      <c r="AD42">
        <f t="shared" si="126"/>
        <v>2.554806742686659</v>
      </c>
      <c r="AE42">
        <f t="shared" si="126"/>
        <v>2.5401967517957789</v>
      </c>
      <c r="AF42">
        <f t="shared" si="126"/>
        <v>2.5255867609048988</v>
      </c>
      <c r="AG42">
        <f t="shared" si="126"/>
        <v>2.5109767700140186</v>
      </c>
      <c r="AH42">
        <f>'Cibles THREEME'!$CF8/AH5</f>
        <v>2.4963667791231394</v>
      </c>
      <c r="AI42">
        <f t="shared" si="127"/>
        <v>2.4941366395601339</v>
      </c>
      <c r="AJ42">
        <f t="shared" si="127"/>
        <v>2.4919064999971283</v>
      </c>
      <c r="AK42">
        <f t="shared" si="127"/>
        <v>2.4896763604341228</v>
      </c>
      <c r="AL42">
        <f t="shared" si="127"/>
        <v>2.4874462208711172</v>
      </c>
      <c r="AM42">
        <f>'Cibles THREEME'!$CG8/AM5</f>
        <v>2.4852160813081112</v>
      </c>
    </row>
    <row r="43" spans="1:39">
      <c r="A43" s="595"/>
      <c r="B43" s="591" t="s">
        <v>224</v>
      </c>
      <c r="C43">
        <f>C42+1</f>
        <v>2302</v>
      </c>
      <c r="D43">
        <f>'Cibles THREEME'!$BV9*11.64/D6</f>
        <v>1.7651702297073344</v>
      </c>
      <c r="E43">
        <f t="shared" si="117"/>
        <v>1.753899369101094</v>
      </c>
      <c r="F43">
        <f t="shared" si="117"/>
        <v>1.7426285084948536</v>
      </c>
      <c r="G43">
        <f t="shared" si="117"/>
        <v>1.7313576478886132</v>
      </c>
      <c r="H43">
        <f t="shared" si="117"/>
        <v>1.7200867872823729</v>
      </c>
      <c r="I43">
        <f>'Cibles THREEME'!$BW9/I6</f>
        <v>1.7088159266761329</v>
      </c>
      <c r="J43">
        <f t="shared" si="118"/>
        <v>1.6853533155170672</v>
      </c>
      <c r="K43">
        <f t="shared" si="118"/>
        <v>1.6618907043580016</v>
      </c>
      <c r="L43">
        <f>'Cibles THREEME'!$BX9/L6</f>
        <v>1.6384280931989357</v>
      </c>
      <c r="M43">
        <f t="shared" si="119"/>
        <v>1.7008139215676557</v>
      </c>
      <c r="N43">
        <f>'Cibles THREEME'!$BY9/N6</f>
        <v>1.7631997499363754</v>
      </c>
      <c r="O43">
        <f t="shared" si="120"/>
        <v>1.7671109405619922</v>
      </c>
      <c r="P43">
        <f t="shared" si="120"/>
        <v>1.7710221311876091</v>
      </c>
      <c r="Q43">
        <f>'Cibles THREEME'!$BZ9/Q6</f>
        <v>1.7749333218132259</v>
      </c>
      <c r="R43">
        <f t="shared" si="121"/>
        <v>1.7748065245293088</v>
      </c>
      <c r="S43">
        <f>'Cibles THREEME'!$CA9/S6</f>
        <v>1.7746797272453914</v>
      </c>
      <c r="T43">
        <f t="shared" si="122"/>
        <v>1.7452851993991492</v>
      </c>
      <c r="U43">
        <f t="shared" si="122"/>
        <v>1.715890671552907</v>
      </c>
      <c r="V43">
        <f>'Cibles THREEME'!$CB9/V6</f>
        <v>1.7158906715529072</v>
      </c>
      <c r="W43">
        <f t="shared" si="123"/>
        <v>1.6975347150487234</v>
      </c>
      <c r="X43">
        <f>'Cibles THREEME'!$CC9/X6</f>
        <v>1.6791787585445395</v>
      </c>
      <c r="Y43">
        <f t="shared" si="124"/>
        <v>1.6634437830301896</v>
      </c>
      <c r="Z43">
        <f t="shared" si="124"/>
        <v>1.6477088075158397</v>
      </c>
      <c r="AA43">
        <f>'Cibles THREEME'!$CD9/AA6</f>
        <v>1.6319738320014898</v>
      </c>
      <c r="AB43">
        <f t="shared" si="125"/>
        <v>1.6171813219305957</v>
      </c>
      <c r="AC43">
        <f>'Cibles THREEME'!$CE9/AC6</f>
        <v>1.6023888118597016</v>
      </c>
      <c r="AD43">
        <f t="shared" si="126"/>
        <v>1.5914354702302731</v>
      </c>
      <c r="AE43">
        <f t="shared" si="126"/>
        <v>1.5804821286008446</v>
      </c>
      <c r="AF43">
        <f t="shared" si="126"/>
        <v>1.5695287869714161</v>
      </c>
      <c r="AG43">
        <f t="shared" si="126"/>
        <v>1.5585754453419876</v>
      </c>
      <c r="AH43">
        <f>'Cibles THREEME'!$CF9/AH6</f>
        <v>1.5476221037125595</v>
      </c>
      <c r="AI43">
        <f t="shared" si="127"/>
        <v>1.543264080997321</v>
      </c>
      <c r="AJ43">
        <f t="shared" si="127"/>
        <v>1.5389060582820826</v>
      </c>
      <c r="AK43">
        <f t="shared" si="127"/>
        <v>1.5345480355668442</v>
      </c>
      <c r="AL43">
        <f t="shared" si="127"/>
        <v>1.5301900128516057</v>
      </c>
      <c r="AM43">
        <f>'Cibles THREEME'!$CG9/AM6</f>
        <v>1.5258319901363677</v>
      </c>
    </row>
    <row r="44" spans="1:39">
      <c r="A44" s="595"/>
      <c r="B44" s="591" t="s">
        <v>32</v>
      </c>
      <c r="C44">
        <f t="shared" ref="C44:C49" si="128">C43+1</f>
        <v>2303</v>
      </c>
      <c r="D44">
        <f>('Cibles THREEME'!$BV10+'Cibles THREEME'!$BV12)*11.64/D7</f>
        <v>1.2711400563441757</v>
      </c>
      <c r="E44">
        <f t="shared" si="117"/>
        <v>1.263638126282536</v>
      </c>
      <c r="F44">
        <f t="shared" si="117"/>
        <v>1.2561361962208963</v>
      </c>
      <c r="G44">
        <f t="shared" si="117"/>
        <v>1.2486342661592567</v>
      </c>
      <c r="H44">
        <f t="shared" si="117"/>
        <v>1.241132336097617</v>
      </c>
      <c r="I44">
        <f>('Cibles THREEME'!$BW10+'Cibles THREEME'!$BW12)/I7</f>
        <v>1.2336304060359773</v>
      </c>
      <c r="J44">
        <f t="shared" si="118"/>
        <v>1.2168132945458037</v>
      </c>
      <c r="K44">
        <f t="shared" si="118"/>
        <v>1.1999961830556301</v>
      </c>
      <c r="L44">
        <f>('Cibles THREEME'!$BX10+'Cibles THREEME'!$BX12)/L7</f>
        <v>1.1831790715654564</v>
      </c>
      <c r="M44">
        <f t="shared" si="119"/>
        <v>1.2184725044057307</v>
      </c>
      <c r="N44">
        <f>('Cibles THREEME'!$BY10+'Cibles THREEME'!$BY12)/N7</f>
        <v>1.253765937246005</v>
      </c>
      <c r="O44">
        <f t="shared" si="120"/>
        <v>1.2377498477591893</v>
      </c>
      <c r="P44">
        <f t="shared" si="120"/>
        <v>1.2217337582723735</v>
      </c>
      <c r="Q44">
        <f>('Cibles THREEME'!$BZ10+'Cibles THREEME'!$BZ12)/Q7</f>
        <v>1.2057176687855575</v>
      </c>
      <c r="R44">
        <f t="shared" si="121"/>
        <v>1.1875451285040652</v>
      </c>
      <c r="S44">
        <f>('Cibles THREEME'!$CA10+'Cibles THREEME'!$CA12)/S7</f>
        <v>1.169372588222573</v>
      </c>
      <c r="T44">
        <f t="shared" si="122"/>
        <v>1.1335705991926321</v>
      </c>
      <c r="U44">
        <f t="shared" si="122"/>
        <v>1.0977686101626913</v>
      </c>
      <c r="V44">
        <f>('Cibles THREEME'!$CB10+'Cibles THREEME'!$CB12)/V7</f>
        <v>1.0977686101626911</v>
      </c>
      <c r="W44">
        <f t="shared" si="123"/>
        <v>1.0754961149223563</v>
      </c>
      <c r="X44">
        <f>('Cibles THREEME'!$CC10+'Cibles THREEME'!$CC12)/X7</f>
        <v>1.0532236196820217</v>
      </c>
      <c r="Y44">
        <f t="shared" si="124"/>
        <v>1.0333012581133358</v>
      </c>
      <c r="Z44">
        <f t="shared" si="124"/>
        <v>1.01337889654465</v>
      </c>
      <c r="AA44">
        <f>('Cibles THREEME'!$CD10+'Cibles THREEME'!$CD12)/AA7</f>
        <v>0.99345653497596398</v>
      </c>
      <c r="AB44">
        <f t="shared" si="125"/>
        <v>0.97475283454424733</v>
      </c>
      <c r="AC44">
        <f>('Cibles THREEME'!$CE10+'Cibles THREEME'!$CE12)/AC7</f>
        <v>0.95604913411253067</v>
      </c>
      <c r="AD44">
        <f t="shared" si="126"/>
        <v>0.94036970359640981</v>
      </c>
      <c r="AE44">
        <f t="shared" si="126"/>
        <v>0.92469027308028895</v>
      </c>
      <c r="AF44">
        <f t="shared" si="126"/>
        <v>0.90901084256416809</v>
      </c>
      <c r="AG44">
        <f t="shared" si="126"/>
        <v>0.89333141204804722</v>
      </c>
      <c r="AH44">
        <f>('Cibles THREEME'!$CF10+'Cibles THREEME'!$CF12)/AH7</f>
        <v>0.87765198153192625</v>
      </c>
      <c r="AI44">
        <f t="shared" si="127"/>
        <v>0.86656274722911919</v>
      </c>
      <c r="AJ44">
        <f t="shared" si="127"/>
        <v>0.85547351292631213</v>
      </c>
      <c r="AK44">
        <f t="shared" si="127"/>
        <v>0.84438427862350507</v>
      </c>
      <c r="AL44">
        <f t="shared" si="127"/>
        <v>0.83329504432069801</v>
      </c>
      <c r="AM44">
        <f>('Cibles THREEME'!$CG10+'Cibles THREEME'!$CG12)/AM7</f>
        <v>0.82220581001789095</v>
      </c>
    </row>
    <row r="45" spans="1:39">
      <c r="A45" s="595" t="s">
        <v>104</v>
      </c>
      <c r="B45" s="591" t="s">
        <v>42</v>
      </c>
      <c r="C45">
        <f t="shared" si="128"/>
        <v>2304</v>
      </c>
      <c r="D45">
        <f>'Cibles THREEME'!$BV11*11.64/D8</f>
        <v>2.9229155553465596</v>
      </c>
      <c r="E45">
        <f t="shared" si="117"/>
        <v>2.9028123157563281</v>
      </c>
      <c r="F45">
        <f t="shared" si="117"/>
        <v>2.8827090761660967</v>
      </c>
      <c r="G45">
        <f t="shared" si="117"/>
        <v>2.8626058365758653</v>
      </c>
      <c r="H45">
        <f t="shared" si="117"/>
        <v>2.8425025969856339</v>
      </c>
      <c r="I45">
        <f>'Cibles THREEME'!$BW11/I8</f>
        <v>2.8223993573954025</v>
      </c>
      <c r="J45">
        <f t="shared" si="118"/>
        <v>2.783363211272226</v>
      </c>
      <c r="K45">
        <f t="shared" si="118"/>
        <v>2.7443270651490494</v>
      </c>
      <c r="L45">
        <f>'Cibles THREEME'!$BX11/L8</f>
        <v>2.7052909190258734</v>
      </c>
      <c r="M45">
        <f t="shared" si="119"/>
        <v>2.8089747164130916</v>
      </c>
      <c r="N45">
        <f>'Cibles THREEME'!$BY11/N8</f>
        <v>2.9126585138003094</v>
      </c>
      <c r="O45">
        <f t="shared" si="120"/>
        <v>2.919718788856005</v>
      </c>
      <c r="P45">
        <f t="shared" si="120"/>
        <v>2.9267790639117006</v>
      </c>
      <c r="Q45">
        <f>'Cibles THREEME'!$BZ11/Q8</f>
        <v>2.9338393389673967</v>
      </c>
      <c r="R45">
        <f t="shared" si="121"/>
        <v>2.9340726998267095</v>
      </c>
      <c r="S45">
        <f>'Cibles THREEME'!$CA11/S8</f>
        <v>2.9343060606860223</v>
      </c>
      <c r="T45">
        <f t="shared" si="122"/>
        <v>2.8869524246813052</v>
      </c>
      <c r="U45">
        <f t="shared" si="122"/>
        <v>2.8395987886765885</v>
      </c>
      <c r="V45">
        <f>'Cibles THREEME'!$CB11/V8</f>
        <v>2.8395987886765885</v>
      </c>
      <c r="W45">
        <f t="shared" si="123"/>
        <v>2.8100340527469512</v>
      </c>
      <c r="X45">
        <f>'Cibles THREEME'!$CC11/X8</f>
        <v>2.7804693168173138</v>
      </c>
      <c r="Y45">
        <f t="shared" si="124"/>
        <v>2.7552026385536283</v>
      </c>
      <c r="Z45">
        <f t="shared" si="124"/>
        <v>2.7299359602899429</v>
      </c>
      <c r="AA45">
        <f>'Cibles THREEME'!$CD11/AA8</f>
        <v>2.704669282026257</v>
      </c>
      <c r="AB45">
        <f t="shared" si="125"/>
        <v>2.6809254536872169</v>
      </c>
      <c r="AC45">
        <f>'Cibles THREEME'!$CE11/AC8</f>
        <v>2.6571816253481764</v>
      </c>
      <c r="AD45">
        <f t="shared" si="126"/>
        <v>2.6397604157389303</v>
      </c>
      <c r="AE45">
        <f t="shared" si="126"/>
        <v>2.6223392061296842</v>
      </c>
      <c r="AF45">
        <f t="shared" si="126"/>
        <v>2.6049179965204381</v>
      </c>
      <c r="AG45">
        <f t="shared" si="126"/>
        <v>2.587496786911192</v>
      </c>
      <c r="AH45">
        <f>'Cibles THREEME'!$CF11/AH8</f>
        <v>2.5700755773019459</v>
      </c>
      <c r="AI45">
        <f t="shared" si="127"/>
        <v>2.5634242390408777</v>
      </c>
      <c r="AJ45">
        <f t="shared" si="127"/>
        <v>2.5567729007798095</v>
      </c>
      <c r="AK45">
        <f t="shared" si="127"/>
        <v>2.5501215625187412</v>
      </c>
      <c r="AL45">
        <f t="shared" si="127"/>
        <v>2.543470224257673</v>
      </c>
      <c r="AM45">
        <f>'Cibles THREEME'!$CG11/AM8</f>
        <v>2.5368188859966052</v>
      </c>
    </row>
    <row r="46" spans="1:39">
      <c r="A46" s="595"/>
      <c r="B46" s="591" t="s">
        <v>477</v>
      </c>
      <c r="C46">
        <f t="shared" si="128"/>
        <v>2305</v>
      </c>
      <c r="D46">
        <f>'Cibles THREEME'!$BV13*11.64/D9</f>
        <v>7.305944056952135E-2</v>
      </c>
      <c r="E46">
        <f t="shared" si="117"/>
        <v>7.4697605326275951E-2</v>
      </c>
      <c r="F46">
        <f t="shared" si="117"/>
        <v>7.6335770083030552E-2</v>
      </c>
      <c r="G46">
        <f t="shared" si="117"/>
        <v>7.7973934839785153E-2</v>
      </c>
      <c r="H46">
        <f t="shared" si="117"/>
        <v>7.9612099596539754E-2</v>
      </c>
      <c r="I46">
        <f>'Cibles THREEME'!$BW13/I9</f>
        <v>8.1250264353294369E-2</v>
      </c>
      <c r="J46">
        <f t="shared" si="118"/>
        <v>8.0549262292703691E-2</v>
      </c>
      <c r="K46">
        <f t="shared" si="118"/>
        <v>7.9848260232113014E-2</v>
      </c>
      <c r="L46">
        <f>'Cibles THREEME'!$BX13/L9</f>
        <v>7.9147258171522322E-2</v>
      </c>
      <c r="M46">
        <f t="shared" si="119"/>
        <v>8.1173750684494644E-2</v>
      </c>
      <c r="N46">
        <f>'Cibles THREEME'!$BY13/N9</f>
        <v>8.320024319746698E-2</v>
      </c>
      <c r="O46">
        <f t="shared" si="120"/>
        <v>8.2508867419197815E-2</v>
      </c>
      <c r="P46">
        <f t="shared" si="120"/>
        <v>8.181749164092865E-2</v>
      </c>
      <c r="Q46">
        <f>'Cibles THREEME'!$BZ13/Q9</f>
        <v>8.1126115862659484E-2</v>
      </c>
      <c r="R46">
        <f t="shared" si="121"/>
        <v>8.0472926922080912E-2</v>
      </c>
      <c r="S46">
        <f>'Cibles THREEME'!$CA13/S9</f>
        <v>7.9819737981502326E-2</v>
      </c>
      <c r="T46">
        <f t="shared" si="122"/>
        <v>7.6673470443692132E-2</v>
      </c>
      <c r="U46">
        <f t="shared" si="122"/>
        <v>7.3527202905881939E-2</v>
      </c>
      <c r="V46">
        <f>'Cibles THREEME'!$CB13/V9</f>
        <v>7.3527202905881953E-2</v>
      </c>
      <c r="W46">
        <f t="shared" si="123"/>
        <v>7.1553516473402717E-2</v>
      </c>
      <c r="X46">
        <f>'Cibles THREEME'!$CC13/X9</f>
        <v>6.9579830040923468E-2</v>
      </c>
      <c r="Y46">
        <f t="shared" si="124"/>
        <v>6.7775981436631036E-2</v>
      </c>
      <c r="Z46">
        <f t="shared" si="124"/>
        <v>6.5972132832338604E-2</v>
      </c>
      <c r="AA46">
        <f>'Cibles THREEME'!$CD13/AA9</f>
        <v>6.4168284228046185E-2</v>
      </c>
      <c r="AB46">
        <f t="shared" si="125"/>
        <v>6.2458636063914275E-2</v>
      </c>
      <c r="AC46">
        <f>'Cibles THREEME'!$CE13/AC9</f>
        <v>6.0748987899782357E-2</v>
      </c>
      <c r="AD46">
        <f t="shared" si="126"/>
        <v>5.9248804014977459E-2</v>
      </c>
      <c r="AE46">
        <f t="shared" si="126"/>
        <v>5.7748620130172561E-2</v>
      </c>
      <c r="AF46">
        <f t="shared" si="126"/>
        <v>5.6248436245367663E-2</v>
      </c>
      <c r="AG46">
        <f t="shared" si="126"/>
        <v>5.4748252360562764E-2</v>
      </c>
      <c r="AH46">
        <f>'Cibles THREEME'!$CF13/AH9</f>
        <v>5.3248068475757866E-2</v>
      </c>
      <c r="AI46">
        <f t="shared" si="127"/>
        <v>5.2241857158119694E-2</v>
      </c>
      <c r="AJ46">
        <f t="shared" si="127"/>
        <v>5.1235645840481521E-2</v>
      </c>
      <c r="AK46">
        <f t="shared" si="127"/>
        <v>5.0229434522843348E-2</v>
      </c>
      <c r="AL46">
        <f t="shared" si="127"/>
        <v>4.9223223205205176E-2</v>
      </c>
      <c r="AM46">
        <f>'Cibles THREEME'!$CG13/AM9</f>
        <v>4.8217011887567003E-2</v>
      </c>
    </row>
    <row r="47" spans="1:39">
      <c r="A47" s="595"/>
      <c r="B47" s="591" t="s">
        <v>279</v>
      </c>
      <c r="C47">
        <f t="shared" si="128"/>
        <v>2306</v>
      </c>
      <c r="D47">
        <f>'Cibles THREEME'!$BV14*11.64/D10</f>
        <v>7.3059440569521336E-2</v>
      </c>
      <c r="E47">
        <f t="shared" si="117"/>
        <v>7.4697605326275937E-2</v>
      </c>
      <c r="F47">
        <f t="shared" si="117"/>
        <v>7.6335770083030538E-2</v>
      </c>
      <c r="G47">
        <f t="shared" si="117"/>
        <v>7.7973934839785139E-2</v>
      </c>
      <c r="H47">
        <f t="shared" si="117"/>
        <v>7.961209959653974E-2</v>
      </c>
      <c r="I47">
        <f>'Cibles THREEME'!$BW14/I10</f>
        <v>8.1250264353294355E-2</v>
      </c>
      <c r="J47">
        <f t="shared" si="118"/>
        <v>8.0549262292703677E-2</v>
      </c>
      <c r="K47">
        <f t="shared" si="118"/>
        <v>7.9848260232113E-2</v>
      </c>
      <c r="L47">
        <f>'Cibles THREEME'!$BX14/L10</f>
        <v>7.9147258171522322E-2</v>
      </c>
      <c r="M47">
        <f t="shared" si="119"/>
        <v>8.1173750684494644E-2</v>
      </c>
      <c r="N47">
        <f>'Cibles THREEME'!$BY14/N10</f>
        <v>8.320024319746698E-2</v>
      </c>
      <c r="O47">
        <f t="shared" si="120"/>
        <v>8.2508867419197815E-2</v>
      </c>
      <c r="P47">
        <f t="shared" si="120"/>
        <v>8.181749164092865E-2</v>
      </c>
      <c r="Q47">
        <f>'Cibles THREEME'!$BZ14/Q10</f>
        <v>8.1126115862659498E-2</v>
      </c>
      <c r="R47">
        <f t="shared" si="121"/>
        <v>8.0472926922080926E-2</v>
      </c>
      <c r="S47">
        <f>'Cibles THREEME'!$CA14/S10</f>
        <v>7.9819737981502353E-2</v>
      </c>
      <c r="T47">
        <f t="shared" si="122"/>
        <v>7.667347044369216E-2</v>
      </c>
      <c r="U47">
        <f t="shared" si="122"/>
        <v>7.3527202905881966E-2</v>
      </c>
      <c r="V47">
        <f>'Cibles THREEME'!$CB14/V10</f>
        <v>7.3527202905881953E-2</v>
      </c>
      <c r="W47">
        <f t="shared" si="123"/>
        <v>7.1553516473402717E-2</v>
      </c>
      <c r="X47">
        <f>'Cibles THREEME'!$CC14/X10</f>
        <v>6.9579830040923468E-2</v>
      </c>
      <c r="Y47">
        <f t="shared" si="124"/>
        <v>6.777598143663105E-2</v>
      </c>
      <c r="Z47">
        <f t="shared" si="124"/>
        <v>6.5972132832338631E-2</v>
      </c>
      <c r="AA47">
        <f>'Cibles THREEME'!$CD14/AA10</f>
        <v>6.4168284228046199E-2</v>
      </c>
      <c r="AB47">
        <f t="shared" si="125"/>
        <v>6.2458636063914282E-2</v>
      </c>
      <c r="AC47">
        <f>'Cibles THREEME'!$CE14/AC10</f>
        <v>6.0748987899782364E-2</v>
      </c>
      <c r="AD47">
        <f t="shared" si="126"/>
        <v>5.9248804014977466E-2</v>
      </c>
      <c r="AE47">
        <f t="shared" si="126"/>
        <v>5.7748620130172568E-2</v>
      </c>
      <c r="AF47">
        <f t="shared" si="126"/>
        <v>5.624843624536767E-2</v>
      </c>
      <c r="AG47">
        <f t="shared" si="126"/>
        <v>5.4748252360562771E-2</v>
      </c>
      <c r="AH47">
        <f>'Cibles THREEME'!$CF14/AH10</f>
        <v>5.3248068475757866E-2</v>
      </c>
      <c r="AI47">
        <f t="shared" si="127"/>
        <v>5.2241857158119694E-2</v>
      </c>
      <c r="AJ47">
        <f t="shared" si="127"/>
        <v>5.1235645840481521E-2</v>
      </c>
      <c r="AK47">
        <f t="shared" si="127"/>
        <v>5.0229434522843348E-2</v>
      </c>
      <c r="AL47">
        <f t="shared" si="127"/>
        <v>4.9223223205205176E-2</v>
      </c>
      <c r="AM47">
        <f>'Cibles THREEME'!$CG14/AM10</f>
        <v>4.8217011887567003E-2</v>
      </c>
    </row>
    <row r="48" spans="1:39">
      <c r="A48" s="595"/>
      <c r="B48" s="591" t="s">
        <v>18</v>
      </c>
      <c r="C48">
        <f t="shared" si="128"/>
        <v>2307</v>
      </c>
      <c r="D48">
        <f>'Cibles THREEME'!$BV15*11.64/D11</f>
        <v>7.305944056952135E-2</v>
      </c>
      <c r="E48">
        <f t="shared" si="117"/>
        <v>7.4697605326275951E-2</v>
      </c>
      <c r="F48">
        <f t="shared" si="117"/>
        <v>7.6335770083030552E-2</v>
      </c>
      <c r="G48">
        <f t="shared" si="117"/>
        <v>7.7973934839785153E-2</v>
      </c>
      <c r="H48">
        <f t="shared" si="117"/>
        <v>7.9612099596539754E-2</v>
      </c>
      <c r="I48">
        <f>'Cibles THREEME'!$BW15/I11</f>
        <v>8.1250264353294341E-2</v>
      </c>
      <c r="J48">
        <f t="shared" si="118"/>
        <v>8.0549262292703663E-2</v>
      </c>
      <c r="K48">
        <f t="shared" si="118"/>
        <v>7.9848260232112986E-2</v>
      </c>
      <c r="L48">
        <f>'Cibles THREEME'!$BX15/L11</f>
        <v>7.9147258171522322E-2</v>
      </c>
      <c r="M48">
        <f t="shared" si="119"/>
        <v>8.1173750684494658E-2</v>
      </c>
      <c r="N48">
        <f>'Cibles THREEME'!$BY15/N11</f>
        <v>8.3200243197466994E-2</v>
      </c>
      <c r="O48">
        <f t="shared" si="120"/>
        <v>8.2508867419197829E-2</v>
      </c>
      <c r="P48">
        <f t="shared" si="120"/>
        <v>8.1817491640928663E-2</v>
      </c>
      <c r="Q48">
        <f>'Cibles THREEME'!$BZ15/Q11</f>
        <v>8.1126115862659484E-2</v>
      </c>
      <c r="R48">
        <f t="shared" si="121"/>
        <v>8.0472926922080912E-2</v>
      </c>
      <c r="S48">
        <f>'Cibles THREEME'!$CA15/S11</f>
        <v>7.9819737981502326E-2</v>
      </c>
      <c r="T48">
        <f t="shared" si="122"/>
        <v>7.6673470443692132E-2</v>
      </c>
      <c r="U48">
        <f t="shared" si="122"/>
        <v>7.3527202905881939E-2</v>
      </c>
      <c r="V48">
        <f>'Cibles THREEME'!$CB15/V11</f>
        <v>7.3527202905881939E-2</v>
      </c>
      <c r="W48">
        <f t="shared" si="123"/>
        <v>7.1553516473402703E-2</v>
      </c>
      <c r="X48">
        <f>'Cibles THREEME'!$CC15/X11</f>
        <v>6.9579830040923468E-2</v>
      </c>
      <c r="Y48">
        <f t="shared" si="124"/>
        <v>6.777598143663105E-2</v>
      </c>
      <c r="Z48">
        <f t="shared" si="124"/>
        <v>6.5972132832338631E-2</v>
      </c>
      <c r="AA48">
        <f>'Cibles THREEME'!$CD15/AA11</f>
        <v>6.4168284228046199E-2</v>
      </c>
      <c r="AB48">
        <f t="shared" si="125"/>
        <v>6.2458636063914275E-2</v>
      </c>
      <c r="AC48">
        <f>'Cibles THREEME'!$CE15/AC11</f>
        <v>6.074898789978235E-2</v>
      </c>
      <c r="AD48">
        <f t="shared" si="126"/>
        <v>5.9248804014977452E-2</v>
      </c>
      <c r="AE48">
        <f t="shared" si="126"/>
        <v>5.7748620130172554E-2</v>
      </c>
      <c r="AF48">
        <f t="shared" si="126"/>
        <v>5.6248436245367656E-2</v>
      </c>
      <c r="AG48">
        <f t="shared" si="126"/>
        <v>5.4748252360562757E-2</v>
      </c>
      <c r="AH48">
        <f>'Cibles THREEME'!$CF15/AH11</f>
        <v>5.3248068475757859E-2</v>
      </c>
      <c r="AI48">
        <f t="shared" si="127"/>
        <v>5.2241857158119687E-2</v>
      </c>
      <c r="AJ48">
        <f t="shared" si="127"/>
        <v>5.1235645840481514E-2</v>
      </c>
      <c r="AK48">
        <f t="shared" si="127"/>
        <v>5.0229434522843341E-2</v>
      </c>
      <c r="AL48">
        <f t="shared" si="127"/>
        <v>4.9223223205205169E-2</v>
      </c>
      <c r="AM48">
        <f>'Cibles THREEME'!$CG15/AM11</f>
        <v>4.821701188756701E-2</v>
      </c>
    </row>
    <row r="49" spans="1:39" ht="15" thickBot="1">
      <c r="A49" s="594"/>
      <c r="B49" s="592" t="s">
        <v>480</v>
      </c>
      <c r="C49">
        <f t="shared" si="128"/>
        <v>2308</v>
      </c>
      <c r="D49">
        <f>'Cibles THREEME'!$BV16*11.64/D12</f>
        <v>4.4252345044508425</v>
      </c>
      <c r="E49">
        <f t="shared" si="117"/>
        <v>4.3936701515920316</v>
      </c>
      <c r="F49">
        <f t="shared" si="117"/>
        <v>4.3621057987332206</v>
      </c>
      <c r="G49">
        <f t="shared" si="117"/>
        <v>4.3305414458744096</v>
      </c>
      <c r="H49">
        <f t="shared" si="117"/>
        <v>4.2989770930155986</v>
      </c>
      <c r="I49">
        <f>'Cibles THREEME'!$BW16/I12</f>
        <v>4.2674127401567858</v>
      </c>
      <c r="J49">
        <f t="shared" si="118"/>
        <v>4.0389691142568065</v>
      </c>
      <c r="K49">
        <f t="shared" si="118"/>
        <v>3.8105254883568271</v>
      </c>
      <c r="L49">
        <f>'Cibles THREEME'!$BX16/L12</f>
        <v>3.5820818624568482</v>
      </c>
      <c r="M49">
        <f t="shared" si="119"/>
        <v>3.5523071026482329</v>
      </c>
      <c r="N49">
        <f>'Cibles THREEME'!$BY16/N12</f>
        <v>3.522532342839618</v>
      </c>
      <c r="O49">
        <f t="shared" si="120"/>
        <v>3.3011549504638076</v>
      </c>
      <c r="P49">
        <f t="shared" si="120"/>
        <v>3.0797775580879971</v>
      </c>
      <c r="Q49">
        <f>'Cibles THREEME'!$BZ16/Q12</f>
        <v>2.8584001657121862</v>
      </c>
      <c r="R49">
        <f t="shared" si="121"/>
        <v>2.6801979841172932</v>
      </c>
      <c r="S49">
        <f>'Cibles THREEME'!$CA16/S12</f>
        <v>2.5019958025223996</v>
      </c>
      <c r="T49">
        <f t="shared" si="122"/>
        <v>2.3880228342089165</v>
      </c>
      <c r="U49">
        <f t="shared" si="122"/>
        <v>2.2740498658954333</v>
      </c>
      <c r="V49">
        <f>'Cibles THREEME'!$CB16/V12</f>
        <v>2.2740498658954333</v>
      </c>
      <c r="W49">
        <f t="shared" si="123"/>
        <v>2.2061269140751367</v>
      </c>
      <c r="X49">
        <f>'Cibles THREEME'!$CC16/X12</f>
        <v>2.1382039622548401</v>
      </c>
      <c r="Y49">
        <f t="shared" si="124"/>
        <v>2.0035687447205222</v>
      </c>
      <c r="Z49">
        <f t="shared" si="124"/>
        <v>1.8689335271862042</v>
      </c>
      <c r="AA49">
        <f>'Cibles THREEME'!$CD16/AA12</f>
        <v>1.734298309651886</v>
      </c>
      <c r="AB49">
        <f t="shared" si="125"/>
        <v>1.6311805022420218</v>
      </c>
      <c r="AC49">
        <f>'Cibles THREEME'!$CE16/AC12</f>
        <v>1.5280626948321578</v>
      </c>
      <c r="AD49">
        <f t="shared" si="126"/>
        <v>1.49242501732027</v>
      </c>
      <c r="AE49">
        <f t="shared" si="126"/>
        <v>1.4567873398083822</v>
      </c>
      <c r="AF49">
        <f t="shared" si="126"/>
        <v>1.4211496622964943</v>
      </c>
      <c r="AG49">
        <f t="shared" si="126"/>
        <v>1.3855119847846065</v>
      </c>
      <c r="AH49">
        <f>'Cibles THREEME'!$CF16/AH12</f>
        <v>1.3498743072727191</v>
      </c>
      <c r="AI49">
        <f t="shared" si="127"/>
        <v>1.3199098505220332</v>
      </c>
      <c r="AJ49">
        <f t="shared" si="127"/>
        <v>1.2899453937713474</v>
      </c>
      <c r="AK49">
        <f t="shared" si="127"/>
        <v>1.2599809370206616</v>
      </c>
      <c r="AL49">
        <f t="shared" si="127"/>
        <v>1.2300164802699758</v>
      </c>
      <c r="AM49">
        <f>'Cibles THREEME'!$CG16/AM12</f>
        <v>1.2000520235192904</v>
      </c>
    </row>
    <row r="50" spans="1:39">
      <c r="A50" s="593"/>
      <c r="B50" s="590" t="s">
        <v>287</v>
      </c>
      <c r="C50">
        <v>2401</v>
      </c>
      <c r="D50" s="404">
        <f>'Cibles THREEME'!$BV17*11.64/D13</f>
        <v>3.6774251198465099E-2</v>
      </c>
      <c r="E50">
        <f t="shared" si="117"/>
        <v>3.4283545130674616E-2</v>
      </c>
      <c r="F50">
        <f t="shared" si="117"/>
        <v>3.1792839062884132E-2</v>
      </c>
      <c r="G50">
        <f t="shared" si="117"/>
        <v>2.9302132995093648E-2</v>
      </c>
      <c r="H50">
        <f t="shared" si="117"/>
        <v>2.6811426927303164E-2</v>
      </c>
      <c r="I50" s="404">
        <f>'Cibles THREEME'!$BW17/I13</f>
        <v>2.4320720859512687E-2</v>
      </c>
      <c r="J50">
        <f t="shared" si="118"/>
        <v>2.3109283596388128E-2</v>
      </c>
      <c r="K50">
        <f t="shared" si="118"/>
        <v>2.1897846333263568E-2</v>
      </c>
      <c r="L50" s="404">
        <f>'Cibles THREEME'!$BX17/L13</f>
        <v>2.0686409070139009E-2</v>
      </c>
      <c r="M50">
        <f t="shared" si="119"/>
        <v>2.1627539241620058E-2</v>
      </c>
      <c r="N50" s="404">
        <f>'Cibles THREEME'!$BY17/N13</f>
        <v>2.2568669413101108E-2</v>
      </c>
      <c r="O50">
        <f t="shared" si="120"/>
        <v>2.2494368673844307E-2</v>
      </c>
      <c r="P50">
        <f t="shared" si="120"/>
        <v>2.2420067934587506E-2</v>
      </c>
      <c r="Q50" s="404">
        <f>'Cibles THREEME'!$BZ17/Q13</f>
        <v>2.2345767195330702E-2</v>
      </c>
      <c r="R50">
        <f t="shared" si="121"/>
        <v>2.2288093460377405E-2</v>
      </c>
      <c r="S50" s="404">
        <f>'Cibles THREEME'!$CA17/S13</f>
        <v>2.2230419725424104E-2</v>
      </c>
      <c r="T50">
        <f t="shared" si="122"/>
        <v>2.2160988907504689E-2</v>
      </c>
      <c r="U50">
        <f t="shared" si="122"/>
        <v>2.2091558089585274E-2</v>
      </c>
      <c r="V50" s="404">
        <f>'Cibles THREEME'!$CB17/V13</f>
        <v>2.2091558089585274E-2</v>
      </c>
      <c r="W50">
        <f t="shared" si="123"/>
        <v>2.2048429214642125E-2</v>
      </c>
      <c r="X50" s="404">
        <f>'Cibles THREEME'!$CC17/X13</f>
        <v>2.2005300339698979E-2</v>
      </c>
      <c r="Y50">
        <f t="shared" si="124"/>
        <v>2.187545310483691E-2</v>
      </c>
      <c r="Z50">
        <f t="shared" si="124"/>
        <v>2.174560586997484E-2</v>
      </c>
      <c r="AA50" s="404">
        <f>'Cibles THREEME'!$CD17/AA13</f>
        <v>2.1615758635112767E-2</v>
      </c>
      <c r="AB50">
        <f t="shared" si="125"/>
        <v>2.1489333549544243E-2</v>
      </c>
      <c r="AC50" s="404">
        <f>'Cibles THREEME'!$CE17/AC13</f>
        <v>2.1362908463975722E-2</v>
      </c>
      <c r="AD50">
        <f t="shared" si="126"/>
        <v>2.1300521065429154E-2</v>
      </c>
      <c r="AE50">
        <f t="shared" si="126"/>
        <v>2.1238133666882587E-2</v>
      </c>
      <c r="AF50">
        <f t="shared" si="126"/>
        <v>2.1175746268336019E-2</v>
      </c>
      <c r="AG50">
        <f t="shared" si="126"/>
        <v>2.1113358869789451E-2</v>
      </c>
      <c r="AH50" s="404">
        <f>'Cibles THREEME'!$CF17/AH13</f>
        <v>2.1050971471242876E-2</v>
      </c>
      <c r="AI50">
        <f t="shared" si="127"/>
        <v>2.1046933811025726E-2</v>
      </c>
      <c r="AJ50">
        <f t="shared" si="127"/>
        <v>2.1042896150808576E-2</v>
      </c>
      <c r="AK50">
        <f t="shared" si="127"/>
        <v>2.1038858490591426E-2</v>
      </c>
      <c r="AL50">
        <f t="shared" si="127"/>
        <v>2.1034820830374275E-2</v>
      </c>
      <c r="AM50" s="404">
        <f>'Cibles THREEME'!$CG17/AM13</f>
        <v>2.1030783170157122E-2</v>
      </c>
    </row>
    <row r="51" spans="1:39">
      <c r="A51" s="595"/>
      <c r="B51" s="591" t="s">
        <v>289</v>
      </c>
      <c r="C51">
        <v>2402</v>
      </c>
      <c r="D51" s="404">
        <f>'Cibles THREEME'!$BV18*11.64/D14</f>
        <v>1.0432584346731961E-2</v>
      </c>
      <c r="E51">
        <f t="shared" si="117"/>
        <v>1.0228883883801599E-2</v>
      </c>
      <c r="F51">
        <f t="shared" si="117"/>
        <v>1.0025183420871237E-2</v>
      </c>
      <c r="G51">
        <f t="shared" si="117"/>
        <v>9.8214829579408754E-3</v>
      </c>
      <c r="H51">
        <f t="shared" si="117"/>
        <v>9.6177824950105135E-3</v>
      </c>
      <c r="I51" s="404">
        <f>'Cibles THREEME'!$BW18/I14</f>
        <v>9.41408203208015E-3</v>
      </c>
      <c r="J51">
        <f t="shared" si="118"/>
        <v>1.1465969722492458E-2</v>
      </c>
      <c r="K51">
        <f t="shared" si="118"/>
        <v>1.3517857412904765E-2</v>
      </c>
      <c r="L51" s="404">
        <f>'Cibles THREEME'!$BX18/L14</f>
        <v>1.5569745103317073E-2</v>
      </c>
      <c r="M51">
        <f t="shared" si="119"/>
        <v>1.5146335198106865E-2</v>
      </c>
      <c r="N51" s="404">
        <f>'Cibles THREEME'!$BY18/N14</f>
        <v>1.4722925292896654E-2</v>
      </c>
      <c r="O51">
        <f t="shared" si="120"/>
        <v>1.4033763691044913E-2</v>
      </c>
      <c r="P51">
        <f t="shared" si="120"/>
        <v>1.3344602089193172E-2</v>
      </c>
      <c r="Q51" s="404">
        <f>'Cibles THREEME'!$BZ18/Q14</f>
        <v>1.265544048734143E-2</v>
      </c>
      <c r="R51">
        <f t="shared" si="121"/>
        <v>1.2049474907465383E-2</v>
      </c>
      <c r="S51" s="404">
        <f>'Cibles THREEME'!$CA18/S14</f>
        <v>1.1443509327589337E-2</v>
      </c>
      <c r="T51">
        <f t="shared" si="122"/>
        <v>1.0932727679406611E-2</v>
      </c>
      <c r="U51">
        <f t="shared" si="122"/>
        <v>1.0421946031223882E-2</v>
      </c>
      <c r="V51" s="404">
        <f>'Cibles THREEME'!$CB18/V14</f>
        <v>1.0421946031223882E-2</v>
      </c>
      <c r="W51">
        <f t="shared" si="123"/>
        <v>1.0111997789943171E-2</v>
      </c>
      <c r="X51" s="404">
        <f>'Cibles THREEME'!$CC18/X14</f>
        <v>9.8020495486624594E-3</v>
      </c>
      <c r="Y51">
        <f t="shared" si="124"/>
        <v>9.6308726129877651E-3</v>
      </c>
      <c r="Z51">
        <f t="shared" si="124"/>
        <v>9.4596956773130708E-3</v>
      </c>
      <c r="AA51" s="404">
        <f>'Cibles THREEME'!$CD18/AA14</f>
        <v>9.2885187416383783E-3</v>
      </c>
      <c r="AB51">
        <f t="shared" si="125"/>
        <v>9.1270503642748406E-3</v>
      </c>
      <c r="AC51" s="404">
        <f>'Cibles THREEME'!$CE18/AC14</f>
        <v>8.9655819869113029E-3</v>
      </c>
      <c r="AD51">
        <f t="shared" si="126"/>
        <v>8.8140836992225639E-3</v>
      </c>
      <c r="AE51">
        <f t="shared" si="126"/>
        <v>8.6625854115338248E-3</v>
      </c>
      <c r="AF51">
        <f t="shared" si="126"/>
        <v>8.5110871238450857E-3</v>
      </c>
      <c r="AG51">
        <f t="shared" si="126"/>
        <v>8.3595888361563467E-3</v>
      </c>
      <c r="AH51" s="404">
        <f>'Cibles THREEME'!$CF18/AH14</f>
        <v>8.2080905484676042E-3</v>
      </c>
      <c r="AI51">
        <f t="shared" si="127"/>
        <v>8.1273170138848015E-3</v>
      </c>
      <c r="AJ51">
        <f t="shared" si="127"/>
        <v>8.0465434793019989E-3</v>
      </c>
      <c r="AK51">
        <f t="shared" si="127"/>
        <v>7.9657699447191962E-3</v>
      </c>
      <c r="AL51">
        <f t="shared" si="127"/>
        <v>7.8849964101363936E-3</v>
      </c>
      <c r="AM51" s="404">
        <f>'Cibles THREEME'!$CG18/AM14</f>
        <v>7.8042228755535892E-3</v>
      </c>
    </row>
    <row r="52" spans="1:39">
      <c r="A52" s="595" t="s">
        <v>478</v>
      </c>
      <c r="B52" s="591" t="s">
        <v>291</v>
      </c>
      <c r="C52">
        <v>2403</v>
      </c>
      <c r="D52" s="404">
        <f>('Cibles THREEME'!$BV19+'Cibles THREEME'!$BV20)*11.64/D15</f>
        <v>0.57371428858213702</v>
      </c>
      <c r="E52">
        <f t="shared" si="117"/>
        <v>0.47232443869449431</v>
      </c>
      <c r="F52">
        <f t="shared" si="117"/>
        <v>0.3709345888068516</v>
      </c>
      <c r="G52">
        <f t="shared" si="117"/>
        <v>0.26954473891920888</v>
      </c>
      <c r="H52">
        <f t="shared" si="117"/>
        <v>0.16815488903156617</v>
      </c>
      <c r="I52" s="404">
        <f>('Cibles THREEME'!$BW19+'Cibles THREEME'!$BW20)/I15</f>
        <v>6.6765039143923496E-2</v>
      </c>
      <c r="J52">
        <f t="shared" si="118"/>
        <v>0.11116491583533281</v>
      </c>
      <c r="K52">
        <f t="shared" si="118"/>
        <v>0.1555647925267421</v>
      </c>
      <c r="L52" s="404">
        <f>('Cibles THREEME'!$BX19+'Cibles THREEME'!$BX20)/L15</f>
        <v>0.19996466921815143</v>
      </c>
      <c r="M52">
        <f t="shared" si="119"/>
        <v>0.19207376542407847</v>
      </c>
      <c r="N52" s="404">
        <f>('Cibles THREEME'!$BY19+'Cibles THREEME'!$BY20)/N15</f>
        <v>0.18418286163000552</v>
      </c>
      <c r="O52">
        <f t="shared" si="120"/>
        <v>0.18305512246987546</v>
      </c>
      <c r="P52">
        <f t="shared" si="120"/>
        <v>0.18192738330974539</v>
      </c>
      <c r="Q52" s="404">
        <f>('Cibles THREEME'!$BZ19+'Cibles THREEME'!$BZ20)/Q15</f>
        <v>0.1807996441496153</v>
      </c>
      <c r="R52">
        <f t="shared" si="121"/>
        <v>0.19692068680624408</v>
      </c>
      <c r="S52" s="404">
        <f>('Cibles THREEME'!$CA19+'Cibles THREEME'!$CA20)/S15</f>
        <v>0.21304172946287286</v>
      </c>
      <c r="T52">
        <f t="shared" si="122"/>
        <v>0.22002190789712023</v>
      </c>
      <c r="U52">
        <f t="shared" si="122"/>
        <v>0.22700208633136759</v>
      </c>
      <c r="V52" s="404">
        <f>('Cibles THREEME'!$CB19+'Cibles THREEME'!$CB20)/V15</f>
        <v>0.22700208633136759</v>
      </c>
      <c r="W52">
        <f t="shared" si="123"/>
        <v>0.23107221973683956</v>
      </c>
      <c r="X52" s="404">
        <f>('Cibles THREEME'!$CC19+'Cibles THREEME'!$CC20)/X15</f>
        <v>0.23514235314231155</v>
      </c>
      <c r="Y52">
        <f t="shared" si="124"/>
        <v>0.23889631910599707</v>
      </c>
      <c r="Z52">
        <f t="shared" si="124"/>
        <v>0.24265028506968259</v>
      </c>
      <c r="AA52" s="404">
        <f>('Cibles THREEME'!$CD19+'Cibles THREEME'!$CD20)/AA15</f>
        <v>0.24640425103336813</v>
      </c>
      <c r="AB52">
        <f t="shared" si="125"/>
        <v>0.2496137532180237</v>
      </c>
      <c r="AC52" s="404">
        <f>('Cibles THREEME'!$CE19+'Cibles THREEME'!$CE20)/AC15</f>
        <v>0.2528232554026793</v>
      </c>
      <c r="AD52">
        <f t="shared" si="126"/>
        <v>0.25520741485268661</v>
      </c>
      <c r="AE52">
        <f t="shared" si="126"/>
        <v>0.25759157430269392</v>
      </c>
      <c r="AF52">
        <f t="shared" si="126"/>
        <v>0.25997573375270122</v>
      </c>
      <c r="AG52">
        <f t="shared" si="126"/>
        <v>0.26235989320270853</v>
      </c>
      <c r="AH52" s="404">
        <f>('Cibles THREEME'!$CF19+'Cibles THREEME'!$CF20)/AH15</f>
        <v>0.26474405265271594</v>
      </c>
      <c r="AI52">
        <f t="shared" si="127"/>
        <v>0.26648486292466111</v>
      </c>
      <c r="AJ52">
        <f t="shared" si="127"/>
        <v>0.26822567319660628</v>
      </c>
      <c r="AK52">
        <f t="shared" si="127"/>
        <v>0.26996648346855145</v>
      </c>
      <c r="AL52">
        <f t="shared" si="127"/>
        <v>0.27170729374049662</v>
      </c>
      <c r="AM52" s="404">
        <f>('Cibles THREEME'!$CG19+'Cibles THREEME'!$CG20)/AM15</f>
        <v>0.27344810401244185</v>
      </c>
    </row>
    <row r="53" spans="1:39">
      <c r="A53" s="595"/>
      <c r="B53" s="591" t="s">
        <v>293</v>
      </c>
      <c r="C53">
        <v>2404</v>
      </c>
      <c r="D53">
        <f>'Cibles THREEME'!$BV21*11.64/D16</f>
        <v>0.40191367704565095</v>
      </c>
      <c r="E53">
        <f t="shared" si="117"/>
        <v>0.35066809358926115</v>
      </c>
      <c r="F53">
        <f t="shared" si="117"/>
        <v>0.29942251013287136</v>
      </c>
      <c r="G53">
        <f t="shared" si="117"/>
        <v>0.24817692667648156</v>
      </c>
      <c r="H53">
        <f t="shared" si="117"/>
        <v>0.19693134322009176</v>
      </c>
      <c r="I53">
        <f>'Cibles THREEME'!$BW21/I16</f>
        <v>0.14568575976370193</v>
      </c>
      <c r="J53">
        <f t="shared" si="118"/>
        <v>0.14354715291989276</v>
      </c>
      <c r="K53">
        <f t="shared" si="118"/>
        <v>0.14140854607608358</v>
      </c>
      <c r="L53">
        <f>'Cibles THREEME'!$BX21/L16</f>
        <v>0.1392699392322744</v>
      </c>
      <c r="M53">
        <f t="shared" si="119"/>
        <v>0.13561291479964607</v>
      </c>
      <c r="N53">
        <f>'Cibles THREEME'!$BY21/N16</f>
        <v>0.13195589036701774</v>
      </c>
      <c r="O53">
        <f t="shared" si="120"/>
        <v>0.12862325729532806</v>
      </c>
      <c r="P53">
        <f t="shared" si="120"/>
        <v>0.12529062422363837</v>
      </c>
      <c r="Q53">
        <f>'Cibles THREEME'!$BZ21/Q16</f>
        <v>0.12195799115194869</v>
      </c>
      <c r="R53">
        <f t="shared" si="121"/>
        <v>0.11885020580116348</v>
      </c>
      <c r="S53">
        <f>'Cibles THREEME'!$CA21/S16</f>
        <v>0.11574242045037827</v>
      </c>
      <c r="T53">
        <f t="shared" si="122"/>
        <v>0.11421183527116147</v>
      </c>
      <c r="U53">
        <f t="shared" si="122"/>
        <v>0.11268125009194466</v>
      </c>
      <c r="V53">
        <f>'Cibles THREEME'!$CB21/V16</f>
        <v>0.11268125009194464</v>
      </c>
      <c r="W53">
        <f t="shared" si="123"/>
        <v>0.11168573220327782</v>
      </c>
      <c r="X53">
        <f>'Cibles THREEME'!$CC21/X16</f>
        <v>0.110690214314611</v>
      </c>
      <c r="Y53">
        <f t="shared" si="124"/>
        <v>0.10967514096774839</v>
      </c>
      <c r="Z53">
        <f t="shared" si="124"/>
        <v>0.10866006762088577</v>
      </c>
      <c r="AA53">
        <f>'Cibles THREEME'!$CD21/AA16</f>
        <v>0.10764499427402316</v>
      </c>
      <c r="AB53">
        <f t="shared" si="125"/>
        <v>0.10665952777539074</v>
      </c>
      <c r="AC53">
        <f>'Cibles THREEME'!$CE21/AC16</f>
        <v>0.10567406127675832</v>
      </c>
      <c r="AD53">
        <f t="shared" si="126"/>
        <v>0.10471500939168815</v>
      </c>
      <c r="AE53">
        <f t="shared" si="126"/>
        <v>0.10375595750661798</v>
      </c>
      <c r="AF53">
        <f t="shared" si="126"/>
        <v>0.10279690562154781</v>
      </c>
      <c r="AG53">
        <f t="shared" si="126"/>
        <v>0.10183785373647763</v>
      </c>
      <c r="AH53">
        <f>'Cibles THREEME'!$CF21/AH16</f>
        <v>0.10087880185140743</v>
      </c>
      <c r="AI53">
        <f t="shared" si="127"/>
        <v>9.9963414631734207E-2</v>
      </c>
      <c r="AJ53">
        <f t="shared" si="127"/>
        <v>9.9048027412060979E-2</v>
      </c>
      <c r="AK53">
        <f t="shared" si="127"/>
        <v>9.8132640192387752E-2</v>
      </c>
      <c r="AL53">
        <f t="shared" si="127"/>
        <v>9.7217252972714524E-2</v>
      </c>
      <c r="AM53">
        <f>'Cibles THREEME'!$CG21/AM16</f>
        <v>9.6301865753041269E-2</v>
      </c>
    </row>
    <row r="54" spans="1:39">
      <c r="A54" s="595"/>
      <c r="B54" s="591" t="s">
        <v>296</v>
      </c>
      <c r="C54">
        <v>2405</v>
      </c>
      <c r="D54">
        <f>'Cibles THREEME'!$BV22*11.64/D17</f>
        <v>8.8310867949872807E-2</v>
      </c>
      <c r="E54">
        <f t="shared" si="117"/>
        <v>8.9156992125413725E-2</v>
      </c>
      <c r="F54">
        <f t="shared" si="117"/>
        <v>9.0003116300954644E-2</v>
      </c>
      <c r="G54">
        <f t="shared" si="117"/>
        <v>9.0849240476495563E-2</v>
      </c>
      <c r="H54">
        <f t="shared" si="117"/>
        <v>9.1695364652036482E-2</v>
      </c>
      <c r="I54">
        <f>'Cibles THREEME'!$BW22/I17</f>
        <v>9.2541488827577414E-2</v>
      </c>
      <c r="J54">
        <f t="shared" si="118"/>
        <v>8.2395980107382846E-2</v>
      </c>
      <c r="K54">
        <f t="shared" si="118"/>
        <v>7.2250471387188278E-2</v>
      </c>
      <c r="L54">
        <f>'Cibles THREEME'!$BX22/L17</f>
        <v>6.2104962666993696E-2</v>
      </c>
      <c r="M54">
        <f t="shared" si="119"/>
        <v>5.9597519415422351E-2</v>
      </c>
      <c r="N54">
        <f>'Cibles THREEME'!$BY22/N17</f>
        <v>5.7090076163850999E-2</v>
      </c>
      <c r="O54">
        <f t="shared" si="120"/>
        <v>5.4683855446147449E-2</v>
      </c>
      <c r="P54">
        <f t="shared" si="120"/>
        <v>5.2277634728443899E-2</v>
      </c>
      <c r="Q54">
        <f>'Cibles THREEME'!$BZ22/Q17</f>
        <v>4.9871414010740356E-2</v>
      </c>
      <c r="R54">
        <f t="shared" si="121"/>
        <v>4.7724865760054136E-2</v>
      </c>
      <c r="S54">
        <f>'Cibles THREEME'!$CA22/S17</f>
        <v>4.5578317509367909E-2</v>
      </c>
      <c r="T54">
        <f t="shared" si="122"/>
        <v>4.4826319235621685E-2</v>
      </c>
      <c r="U54">
        <f t="shared" si="122"/>
        <v>4.4074320961875461E-2</v>
      </c>
      <c r="V54">
        <f>'Cibles THREEME'!$CB22/V17</f>
        <v>4.4074320961875461E-2</v>
      </c>
      <c r="W54">
        <f t="shared" si="123"/>
        <v>4.3586597645882852E-2</v>
      </c>
      <c r="X54">
        <f>'Cibles THREEME'!$CC22/X17</f>
        <v>4.3098874329890235E-2</v>
      </c>
      <c r="Y54">
        <f t="shared" si="124"/>
        <v>4.263874419833636E-2</v>
      </c>
      <c r="Z54">
        <f t="shared" si="124"/>
        <v>4.2178614066782485E-2</v>
      </c>
      <c r="AA54">
        <f>'Cibles THREEME'!$CD22/AA17</f>
        <v>4.1718483935228617E-2</v>
      </c>
      <c r="AB54">
        <f t="shared" si="125"/>
        <v>4.1271572614032984E-2</v>
      </c>
      <c r="AC54">
        <f>'Cibles THREEME'!$CE22/AC17</f>
        <v>4.0824661292837343E-2</v>
      </c>
      <c r="AD54">
        <f t="shared" si="126"/>
        <v>4.0391519347284598E-2</v>
      </c>
      <c r="AE54">
        <f t="shared" si="126"/>
        <v>3.9958377401731852E-2</v>
      </c>
      <c r="AF54">
        <f t="shared" si="126"/>
        <v>3.9525235456179107E-2</v>
      </c>
      <c r="AG54">
        <f t="shared" si="126"/>
        <v>3.9092093510626362E-2</v>
      </c>
      <c r="AH54">
        <f>'Cibles THREEME'!$CF22/AH17</f>
        <v>3.8658951565073603E-2</v>
      </c>
      <c r="AI54">
        <f t="shared" si="127"/>
        <v>3.8285465412025023E-2</v>
      </c>
      <c r="AJ54">
        <f t="shared" si="127"/>
        <v>3.7911979258976443E-2</v>
      </c>
      <c r="AK54">
        <f t="shared" si="127"/>
        <v>3.7538493105927863E-2</v>
      </c>
      <c r="AL54">
        <f t="shared" si="127"/>
        <v>3.7165006952879283E-2</v>
      </c>
      <c r="AM54">
        <f>'Cibles THREEME'!$CG22/AM17</f>
        <v>3.6791520799830689E-2</v>
      </c>
    </row>
    <row r="55" spans="1:39" ht="15" thickBot="1">
      <c r="A55" s="594"/>
      <c r="B55" s="592" t="s">
        <v>481</v>
      </c>
      <c r="C55">
        <v>2406</v>
      </c>
      <c r="D55">
        <f>SUM('Cibles THREEME'!$BV23:$BV24)*11.64/D18</f>
        <v>0.12014247308368504</v>
      </c>
      <c r="E55">
        <f t="shared" si="117"/>
        <v>9.7724456087631056E-2</v>
      </c>
      <c r="F55">
        <f t="shared" si="117"/>
        <v>7.5306439091577054E-2</v>
      </c>
      <c r="G55">
        <f t="shared" si="117"/>
        <v>5.2888422095523059E-2</v>
      </c>
      <c r="H55">
        <f t="shared" si="117"/>
        <v>3.0470405099469064E-2</v>
      </c>
      <c r="I55">
        <f>SUM('Cibles THREEME'!$BW23:$BW24)/I18</f>
        <v>8.0523881034150566E-3</v>
      </c>
      <c r="J55">
        <f t="shared" si="118"/>
        <v>5.3682587356100372E-3</v>
      </c>
      <c r="K55">
        <f t="shared" si="118"/>
        <v>2.6841293678050182E-3</v>
      </c>
      <c r="L55">
        <f>SUM('Cibles THREEME'!$BX23:$BX24)/L18</f>
        <v>0</v>
      </c>
      <c r="M55">
        <f t="shared" si="119"/>
        <v>0</v>
      </c>
      <c r="N55">
        <f>SUM('Cibles THREEME'!$BY23:$BY24)/N18</f>
        <v>0</v>
      </c>
      <c r="O55">
        <f t="shared" si="120"/>
        <v>0</v>
      </c>
      <c r="P55">
        <f t="shared" si="120"/>
        <v>0</v>
      </c>
      <c r="Q55">
        <f>SUM('Cibles THREEME'!$BZ23:$BZ24)/Q18</f>
        <v>0</v>
      </c>
      <c r="R55">
        <f t="shared" si="121"/>
        <v>0</v>
      </c>
      <c r="S55">
        <f>SUM('Cibles THREEME'!$CA23:$CA24)/S18</f>
        <v>0</v>
      </c>
      <c r="T55">
        <f t="shared" si="122"/>
        <v>0</v>
      </c>
      <c r="U55">
        <f t="shared" si="122"/>
        <v>0</v>
      </c>
      <c r="V55">
        <f>SUM('Cibles THREEME'!$CB23:$CB24)/V18</f>
        <v>0</v>
      </c>
      <c r="W55">
        <f t="shared" si="123"/>
        <v>0</v>
      </c>
      <c r="X55">
        <f>SUM('Cibles THREEME'!$CC23:$CC24)/X18</f>
        <v>0</v>
      </c>
      <c r="Y55">
        <f t="shared" si="124"/>
        <v>0</v>
      </c>
      <c r="Z55">
        <f t="shared" si="124"/>
        <v>0</v>
      </c>
      <c r="AA55">
        <f>SUM('Cibles THREEME'!$CD23:$CD24)/AA18</f>
        <v>0</v>
      </c>
      <c r="AB55">
        <f t="shared" si="125"/>
        <v>0</v>
      </c>
      <c r="AC55">
        <f>SUM('Cibles THREEME'!$CE23:$CE24)/AC18</f>
        <v>0</v>
      </c>
      <c r="AD55">
        <f t="shared" si="126"/>
        <v>0</v>
      </c>
      <c r="AE55">
        <f t="shared" si="126"/>
        <v>0</v>
      </c>
      <c r="AF55">
        <f t="shared" si="126"/>
        <v>0</v>
      </c>
      <c r="AG55">
        <f t="shared" si="126"/>
        <v>0</v>
      </c>
      <c r="AH55">
        <f>SUM('Cibles THREEME'!$CF23:$CF24)/AH18</f>
        <v>0</v>
      </c>
      <c r="AI55">
        <f t="shared" si="127"/>
        <v>0</v>
      </c>
      <c r="AJ55">
        <f t="shared" si="127"/>
        <v>0</v>
      </c>
      <c r="AK55">
        <f t="shared" si="127"/>
        <v>0</v>
      </c>
      <c r="AL55">
        <f t="shared" si="127"/>
        <v>0</v>
      </c>
      <c r="AM55">
        <f>SUM('Cibles THREEME'!$CG23:$CG24)/AM18</f>
        <v>0</v>
      </c>
    </row>
    <row r="56" spans="1:39">
      <c r="B56" s="591" t="s">
        <v>484</v>
      </c>
      <c r="C56">
        <v>21</v>
      </c>
      <c r="D56">
        <f>'Cibles THREEME'!$BH25</f>
        <v>1.3634965953234096E-2</v>
      </c>
      <c r="E56">
        <f t="shared" si="117"/>
        <v>1.2068100819904138E-2</v>
      </c>
      <c r="F56">
        <f t="shared" si="117"/>
        <v>1.0501235686574179E-2</v>
      </c>
      <c r="G56">
        <f t="shared" si="117"/>
        <v>8.93437055324422E-3</v>
      </c>
      <c r="H56">
        <f t="shared" si="117"/>
        <v>7.3675054199142612E-3</v>
      </c>
      <c r="I56">
        <f>'Cibles THREEME'!$BI25</f>
        <v>5.8006402865843024E-3</v>
      </c>
      <c r="J56">
        <f t="shared" si="118"/>
        <v>4.596611647874645E-3</v>
      </c>
      <c r="K56">
        <f t="shared" si="118"/>
        <v>3.3925830091649871E-3</v>
      </c>
      <c r="L56">
        <f>'Cibles THREEME'!$BJ25</f>
        <v>2.1885543704553288E-3</v>
      </c>
      <c r="M56">
        <f t="shared" si="119"/>
        <v>1.2651739086847811E-3</v>
      </c>
      <c r="N56">
        <f>'Cibles THREEME'!$BK25</f>
        <v>3.4179344691423344E-4</v>
      </c>
      <c r="O56">
        <f t="shared" si="120"/>
        <v>2.647140857184937E-4</v>
      </c>
      <c r="P56">
        <f t="shared" si="120"/>
        <v>1.8763472452275394E-4</v>
      </c>
      <c r="Q56">
        <f>'Cibles THREEME'!$BL25</f>
        <v>1.1055536332701415E-4</v>
      </c>
      <c r="R56">
        <f t="shared" si="121"/>
        <v>5.5277681663507073E-5</v>
      </c>
      <c r="S56">
        <f>'Cibles THREEME'!$BM25</f>
        <v>0</v>
      </c>
      <c r="T56">
        <f t="shared" si="122"/>
        <v>0</v>
      </c>
      <c r="U56">
        <f t="shared" si="122"/>
        <v>0</v>
      </c>
      <c r="V56">
        <f>'Cibles THREEME'!$BN25</f>
        <v>0</v>
      </c>
      <c r="W56">
        <f t="shared" si="123"/>
        <v>0</v>
      </c>
      <c r="X56">
        <f>'Cibles THREEME'!$BO25</f>
        <v>0</v>
      </c>
      <c r="Y56">
        <f t="shared" si="124"/>
        <v>0</v>
      </c>
      <c r="Z56">
        <f t="shared" si="124"/>
        <v>0</v>
      </c>
      <c r="AA56">
        <f>'Cibles THREEME'!$BP25</f>
        <v>0</v>
      </c>
      <c r="AB56">
        <f t="shared" si="125"/>
        <v>0</v>
      </c>
      <c r="AC56">
        <f>'Cibles THREEME'!$BQ25</f>
        <v>0</v>
      </c>
      <c r="AD56">
        <f t="shared" si="126"/>
        <v>0</v>
      </c>
      <c r="AE56">
        <f t="shared" si="126"/>
        <v>0</v>
      </c>
      <c r="AF56">
        <f t="shared" si="126"/>
        <v>0</v>
      </c>
      <c r="AG56">
        <f t="shared" si="126"/>
        <v>0</v>
      </c>
      <c r="AH56">
        <f>'Cibles THREEME'!$BR25</f>
        <v>0</v>
      </c>
      <c r="AI56">
        <f t="shared" si="127"/>
        <v>0</v>
      </c>
      <c r="AJ56">
        <f t="shared" si="127"/>
        <v>0</v>
      </c>
      <c r="AK56">
        <f t="shared" si="127"/>
        <v>0</v>
      </c>
      <c r="AL56">
        <f t="shared" si="127"/>
        <v>0</v>
      </c>
      <c r="AM56">
        <f>'Cibles THREEME'!$BS25</f>
        <v>0</v>
      </c>
    </row>
    <row r="58" spans="1:39" ht="15" thickBot="1">
      <c r="B58" t="s">
        <v>483</v>
      </c>
    </row>
    <row r="59" spans="1:39">
      <c r="B59" s="590" t="s">
        <v>266</v>
      </c>
      <c r="C59">
        <v>2201</v>
      </c>
      <c r="D59" s="597">
        <f>('Cibles THREEME'!$DA4+'Cibles THREEME'!$DA6)*11.64/D3</f>
        <v>1.7032644553169709E-4</v>
      </c>
      <c r="E59">
        <f>D59+($I59-$D59)/5</f>
        <v>1.4069484048897214E-4</v>
      </c>
      <c r="F59">
        <f t="shared" ref="F59:H59" si="129">E59+($I59-$D59)/5</f>
        <v>1.1106323544624719E-4</v>
      </c>
      <c r="G59">
        <f t="shared" si="129"/>
        <v>8.1431630403522244E-5</v>
      </c>
      <c r="H59">
        <f t="shared" si="129"/>
        <v>5.1800025360797296E-5</v>
      </c>
      <c r="I59" s="404">
        <f>('Cibles THREEME'!$DB$4+'Cibles THREEME'!$DB$6)/I3</f>
        <v>2.2168420318072345E-5</v>
      </c>
      <c r="J59">
        <f>I59+($L59-$I59)/3</f>
        <v>1.798201886507642E-5</v>
      </c>
      <c r="K59">
        <f>J59+($L59-$I59)/3</f>
        <v>1.3795617412080496E-5</v>
      </c>
      <c r="L59" s="404">
        <f>('Cibles THREEME'!$DC$4+'Cibles THREEME'!$DC$6)/L3</f>
        <v>9.6092159590845714E-6</v>
      </c>
      <c r="M59">
        <f>(L59+N59)/2</f>
        <v>4.8046079795422857E-6</v>
      </c>
      <c r="N59" s="404">
        <f>('Cibles THREEME'!$DD$4+'Cibles THREEME'!$DD$6)/N3</f>
        <v>0</v>
      </c>
      <c r="O59">
        <f>N59+($Q59-$N59)/3</f>
        <v>0</v>
      </c>
      <c r="P59">
        <f>O59+($Q59-$N59)/3</f>
        <v>0</v>
      </c>
      <c r="Q59" s="404">
        <f>('Cibles THREEME'!$DE$4+'Cibles THREEME'!$DE$6)/Q3</f>
        <v>0</v>
      </c>
      <c r="R59">
        <f>(Q59+S59)/2</f>
        <v>0</v>
      </c>
      <c r="S59" s="404">
        <f>('Cibles THREEME'!$DF$4+'Cibles THREEME'!$DF$6)/S3</f>
        <v>0</v>
      </c>
      <c r="T59">
        <f>S59+($V59-$S59)/2</f>
        <v>0</v>
      </c>
      <c r="U59">
        <f>T59+($V59-$S59)/2</f>
        <v>0</v>
      </c>
      <c r="V59" s="404">
        <f>('Cibles THREEME'!$DG$4+'Cibles THREEME'!$DG$6)/V3</f>
        <v>0</v>
      </c>
      <c r="W59">
        <f>V59+(X59-V59)/2</f>
        <v>0</v>
      </c>
      <c r="X59" s="404">
        <f>('Cibles THREEME'!$DH$4+'Cibles THREEME'!$DH$6)/X3</f>
        <v>0</v>
      </c>
      <c r="Y59">
        <f>X59+($AA59-$X59)/3</f>
        <v>0</v>
      </c>
      <c r="Z59">
        <f>Y59+($AA59-$X59)/3</f>
        <v>0</v>
      </c>
      <c r="AA59" s="404">
        <f>('Cibles THREEME'!$DI$4+'Cibles THREEME'!$DI$6)/AA3</f>
        <v>0</v>
      </c>
      <c r="AB59">
        <f>AA59+(AC59-AA59)/2</f>
        <v>0</v>
      </c>
      <c r="AC59" s="404">
        <f>('Cibles THREEME'!$DJ$4+'Cibles THREEME'!$DJ$6)/AC3</f>
        <v>0</v>
      </c>
      <c r="AD59">
        <f>AC59+($AH59-$AC59)/5</f>
        <v>0</v>
      </c>
      <c r="AE59">
        <f t="shared" ref="AE59:AG59" si="130">AD59+($AH59-$AC59)/5</f>
        <v>0</v>
      </c>
      <c r="AF59">
        <f t="shared" si="130"/>
        <v>0</v>
      </c>
      <c r="AG59">
        <f t="shared" si="130"/>
        <v>0</v>
      </c>
      <c r="AH59" s="404">
        <f>('Cibles THREEME'!$DK$4+'Cibles THREEME'!$DK$6)/AH3</f>
        <v>0</v>
      </c>
      <c r="AI59">
        <f>AH59+($AM59-$AH59)/5</f>
        <v>0</v>
      </c>
      <c r="AJ59">
        <f t="shared" ref="AJ59:AL59" si="131">AI59+($AM59-$AH59)/5</f>
        <v>0</v>
      </c>
      <c r="AK59">
        <f t="shared" si="131"/>
        <v>0</v>
      </c>
      <c r="AL59">
        <f t="shared" si="131"/>
        <v>0</v>
      </c>
      <c r="AM59" s="404">
        <f>('Cibles THREEME'!$DL$4+'Cibles THREEME'!$DL$6)/AM3</f>
        <v>0</v>
      </c>
    </row>
    <row r="60" spans="1:39" ht="15" thickBot="1">
      <c r="B60" s="592" t="s">
        <v>346</v>
      </c>
      <c r="C60">
        <v>2202</v>
      </c>
      <c r="D60" s="597">
        <f>('Cibles THREEME'!$DA5+'Cibles THREEME'!$DA7)*11.64/D4</f>
        <v>0</v>
      </c>
      <c r="E60">
        <f t="shared" ref="E60:H75" si="132">D60+($I60-$D60)/5</f>
        <v>0</v>
      </c>
      <c r="F60">
        <f t="shared" si="132"/>
        <v>0</v>
      </c>
      <c r="G60">
        <f t="shared" si="132"/>
        <v>0</v>
      </c>
      <c r="H60">
        <f t="shared" si="132"/>
        <v>0</v>
      </c>
      <c r="I60">
        <f>('Cibles THREEME'!$DB$5+'Cibles THREEME'!$DB$7)/I4</f>
        <v>0</v>
      </c>
      <c r="J60">
        <f t="shared" ref="J60:K75" si="133">I60+($L60-$I60)/3</f>
        <v>0</v>
      </c>
      <c r="K60">
        <f t="shared" si="133"/>
        <v>0</v>
      </c>
      <c r="L60">
        <f>('Cibles THREEME'!$DC$5+'Cibles THREEME'!$DC$7)/L4</f>
        <v>0</v>
      </c>
      <c r="M60">
        <f t="shared" ref="M60:M75" si="134">(L60+N60)/2</f>
        <v>0</v>
      </c>
      <c r="N60">
        <f>('Cibles THREEME'!$DD$5+'Cibles THREEME'!$DD$7)/N4</f>
        <v>0</v>
      </c>
      <c r="O60">
        <f t="shared" ref="O60:P75" si="135">N60+($Q60-$N60)/3</f>
        <v>0</v>
      </c>
      <c r="P60">
        <f t="shared" si="135"/>
        <v>0</v>
      </c>
      <c r="Q60">
        <f>('Cibles THREEME'!$DE$5+'Cibles THREEME'!$DE$7)/Q4</f>
        <v>0</v>
      </c>
      <c r="R60">
        <f t="shared" ref="R60:R75" si="136">(Q60+S60)/2</f>
        <v>0</v>
      </c>
      <c r="S60">
        <f>('Cibles THREEME'!$DF$5+'Cibles THREEME'!$DF$7)/S4</f>
        <v>0</v>
      </c>
      <c r="T60">
        <f t="shared" ref="T60:U75" si="137">S60+($V60-$S60)/2</f>
        <v>0</v>
      </c>
      <c r="U60">
        <f t="shared" si="137"/>
        <v>0</v>
      </c>
      <c r="V60">
        <f>('Cibles THREEME'!$DG$5+'Cibles THREEME'!$DG$7)/V4</f>
        <v>0</v>
      </c>
      <c r="W60">
        <f t="shared" ref="W60:W75" si="138">V60+(X60-V60)/2</f>
        <v>0</v>
      </c>
      <c r="X60">
        <f>('Cibles THREEME'!$DH$5+'Cibles THREEME'!$DH$7)/X4</f>
        <v>0</v>
      </c>
      <c r="Y60">
        <f t="shared" ref="Y60:Z75" si="139">X60+($AA60-$X60)/3</f>
        <v>0</v>
      </c>
      <c r="Z60">
        <f t="shared" si="139"/>
        <v>0</v>
      </c>
      <c r="AA60">
        <f>('Cibles THREEME'!$DI$5+'Cibles THREEME'!$DI$7)/AA4</f>
        <v>0</v>
      </c>
      <c r="AB60">
        <f t="shared" ref="AB60:AB75" si="140">AA60+(AC60-AA60)/2</f>
        <v>0</v>
      </c>
      <c r="AC60">
        <f>('Cibles THREEME'!$DJ$5+'Cibles THREEME'!$DJ$7)/AC4</f>
        <v>0</v>
      </c>
      <c r="AD60">
        <f t="shared" ref="AD60:AG75" si="141">AC60+($AH60-$AC60)/5</f>
        <v>0</v>
      </c>
      <c r="AE60">
        <f t="shared" si="141"/>
        <v>0</v>
      </c>
      <c r="AF60">
        <f t="shared" si="141"/>
        <v>0</v>
      </c>
      <c r="AG60">
        <f t="shared" si="141"/>
        <v>0</v>
      </c>
      <c r="AH60">
        <f>('Cibles THREEME'!$DK$5+'Cibles THREEME'!$DK$7)/AH4</f>
        <v>0</v>
      </c>
      <c r="AI60">
        <f t="shared" ref="AI60:AL75" si="142">AH60+($AM60-$AH60)/5</f>
        <v>0</v>
      </c>
      <c r="AJ60">
        <f t="shared" si="142"/>
        <v>0</v>
      </c>
      <c r="AK60">
        <f t="shared" si="142"/>
        <v>0</v>
      </c>
      <c r="AL60">
        <f t="shared" si="142"/>
        <v>0</v>
      </c>
      <c r="AM60">
        <f>('Cibles THREEME'!$DL$5+'Cibles THREEME'!$DL$7)/AM4</f>
        <v>0</v>
      </c>
    </row>
    <row r="61" spans="1:39">
      <c r="B61" s="590" t="s">
        <v>20</v>
      </c>
      <c r="C61">
        <v>2301</v>
      </c>
      <c r="D61" s="597">
        <f>'Cibles THREEME'!$DA8*11.64/D5</f>
        <v>7.9921040170571458E-2</v>
      </c>
      <c r="E61">
        <f t="shared" si="132"/>
        <v>8.1345832152024927E-2</v>
      </c>
      <c r="F61">
        <f t="shared" si="132"/>
        <v>8.2770624133478396E-2</v>
      </c>
      <c r="G61">
        <f t="shared" si="132"/>
        <v>8.4195416114931865E-2</v>
      </c>
      <c r="H61">
        <f t="shared" si="132"/>
        <v>8.5620208096385333E-2</v>
      </c>
      <c r="I61">
        <f>'Cibles THREEME'!$DB$8/I5</f>
        <v>8.704500007783883E-2</v>
      </c>
      <c r="J61">
        <f t="shared" si="133"/>
        <v>8.7883163059547173E-2</v>
      </c>
      <c r="K61">
        <f t="shared" si="133"/>
        <v>8.8721326041255516E-2</v>
      </c>
      <c r="L61">
        <f>'Cibles THREEME'!$DC$8/L5</f>
        <v>8.9559489022963845E-2</v>
      </c>
      <c r="M61">
        <f t="shared" si="134"/>
        <v>8.9706775010211987E-2</v>
      </c>
      <c r="N61">
        <f>'Cibles THREEME'!$DD$8/N5</f>
        <v>8.9854060997460142E-2</v>
      </c>
      <c r="O61">
        <f t="shared" si="135"/>
        <v>8.9793129671786667E-2</v>
      </c>
      <c r="P61">
        <f t="shared" si="135"/>
        <v>8.9732198346113193E-2</v>
      </c>
      <c r="Q61">
        <f>'Cibles THREEME'!$DE$8/Q5</f>
        <v>8.9671267020439704E-2</v>
      </c>
      <c r="R61">
        <f t="shared" si="136"/>
        <v>8.9613910920128922E-2</v>
      </c>
      <c r="S61">
        <f>'Cibles THREEME'!$DF$8/S5</f>
        <v>8.955655481981814E-2</v>
      </c>
      <c r="T61">
        <f t="shared" si="137"/>
        <v>8.9299473092721793E-2</v>
      </c>
      <c r="U61">
        <f t="shared" si="137"/>
        <v>8.9042391365625445E-2</v>
      </c>
      <c r="V61">
        <f>'Cibles THREEME'!$DG$8/V5</f>
        <v>8.9042391365625459E-2</v>
      </c>
      <c r="W61">
        <f t="shared" si="138"/>
        <v>8.8881831650072574E-2</v>
      </c>
      <c r="X61">
        <f>'Cibles THREEME'!$DH$8/X5</f>
        <v>8.8721271934519702E-2</v>
      </c>
      <c r="Y61">
        <f t="shared" si="139"/>
        <v>8.8574851221499495E-2</v>
      </c>
      <c r="Z61">
        <f t="shared" si="139"/>
        <v>8.8428430508479289E-2</v>
      </c>
      <c r="AA61">
        <f>'Cibles THREEME'!$DI$8/AA5</f>
        <v>8.8282009795459068E-2</v>
      </c>
      <c r="AB61">
        <f t="shared" si="140"/>
        <v>8.8144001638643776E-2</v>
      </c>
      <c r="AC61">
        <f>'Cibles THREEME'!$DJ$8/AC5</f>
        <v>8.8005993481828471E-2</v>
      </c>
      <c r="AD61">
        <f t="shared" si="141"/>
        <v>8.7883555469836422E-2</v>
      </c>
      <c r="AE61">
        <f t="shared" si="141"/>
        <v>8.7761117457844373E-2</v>
      </c>
      <c r="AF61">
        <f t="shared" si="141"/>
        <v>8.7638679445852324E-2</v>
      </c>
      <c r="AG61">
        <f t="shared" si="141"/>
        <v>8.7516241433860276E-2</v>
      </c>
      <c r="AH61">
        <f>'Cibles THREEME'!$DK$8/AH5</f>
        <v>8.7393803421868227E-2</v>
      </c>
      <c r="AI61">
        <f t="shared" si="142"/>
        <v>8.7309807794689095E-2</v>
      </c>
      <c r="AJ61">
        <f t="shared" si="142"/>
        <v>8.7225812167509964E-2</v>
      </c>
      <c r="AK61">
        <f t="shared" si="142"/>
        <v>8.7141816540330833E-2</v>
      </c>
      <c r="AL61">
        <f t="shared" si="142"/>
        <v>8.7057820913151701E-2</v>
      </c>
      <c r="AM61">
        <f>'Cibles THREEME'!$DL$8/AM5</f>
        <v>8.697382528597257E-2</v>
      </c>
    </row>
    <row r="62" spans="1:39">
      <c r="B62" s="591" t="s">
        <v>224</v>
      </c>
      <c r="C62">
        <f>C61+1</f>
        <v>2302</v>
      </c>
      <c r="D62" s="597">
        <f>'Cibles THREEME'!$DA9*11.64/D6</f>
        <v>7.9921040170571458E-2</v>
      </c>
      <c r="E62">
        <f t="shared" si="132"/>
        <v>8.1345832152024941E-2</v>
      </c>
      <c r="F62">
        <f t="shared" si="132"/>
        <v>8.2770624133478424E-2</v>
      </c>
      <c r="G62">
        <f t="shared" si="132"/>
        <v>8.4195416114931906E-2</v>
      </c>
      <c r="H62">
        <f t="shared" si="132"/>
        <v>8.5620208096385389E-2</v>
      </c>
      <c r="I62">
        <f>'Cibles THREEME'!$DB$9/I6</f>
        <v>8.7045000077838844E-2</v>
      </c>
      <c r="J62">
        <f t="shared" si="133"/>
        <v>8.7883163059547173E-2</v>
      </c>
      <c r="K62">
        <f t="shared" si="133"/>
        <v>8.8721326041255502E-2</v>
      </c>
      <c r="L62">
        <f>'Cibles THREEME'!$DC$9/L6</f>
        <v>8.9559489022963831E-2</v>
      </c>
      <c r="M62">
        <f t="shared" si="134"/>
        <v>8.9706775010211987E-2</v>
      </c>
      <c r="N62">
        <f>'Cibles THREEME'!$DD$9/N6</f>
        <v>8.9854060997460142E-2</v>
      </c>
      <c r="O62">
        <f t="shared" si="135"/>
        <v>8.9793129671786667E-2</v>
      </c>
      <c r="P62">
        <f t="shared" si="135"/>
        <v>8.9732198346113193E-2</v>
      </c>
      <c r="Q62">
        <f>'Cibles THREEME'!$DE$9/Q6</f>
        <v>8.9671267020439718E-2</v>
      </c>
      <c r="R62">
        <f t="shared" si="136"/>
        <v>8.9613910920128936E-2</v>
      </c>
      <c r="S62">
        <f>'Cibles THREEME'!$DF$9/S6</f>
        <v>8.955655481981814E-2</v>
      </c>
      <c r="T62">
        <f t="shared" si="137"/>
        <v>8.9299473092721793E-2</v>
      </c>
      <c r="U62">
        <f t="shared" si="137"/>
        <v>8.9042391365625445E-2</v>
      </c>
      <c r="V62">
        <f>'Cibles THREEME'!$DG$9/V6</f>
        <v>8.9042391365625445E-2</v>
      </c>
      <c r="W62">
        <f t="shared" si="138"/>
        <v>8.8881831650072574E-2</v>
      </c>
      <c r="X62">
        <f>'Cibles THREEME'!$DH$9/X6</f>
        <v>8.8721271934519702E-2</v>
      </c>
      <c r="Y62">
        <f t="shared" si="139"/>
        <v>8.8574851221499495E-2</v>
      </c>
      <c r="Z62">
        <f t="shared" si="139"/>
        <v>8.8428430508479289E-2</v>
      </c>
      <c r="AA62">
        <f>'Cibles THREEME'!$DI$9/AA6</f>
        <v>8.8282009795459082E-2</v>
      </c>
      <c r="AB62">
        <f t="shared" si="140"/>
        <v>8.8144001638643776E-2</v>
      </c>
      <c r="AC62">
        <f>'Cibles THREEME'!$DJ$9/AC6</f>
        <v>8.8005993481828484E-2</v>
      </c>
      <c r="AD62">
        <f t="shared" si="141"/>
        <v>8.7883555469836436E-2</v>
      </c>
      <c r="AE62">
        <f t="shared" si="141"/>
        <v>8.7761117457844387E-2</v>
      </c>
      <c r="AF62">
        <f t="shared" si="141"/>
        <v>8.7638679445852338E-2</v>
      </c>
      <c r="AG62">
        <f t="shared" si="141"/>
        <v>8.751624143386029E-2</v>
      </c>
      <c r="AH62">
        <f>'Cibles THREEME'!$DK$9/AH6</f>
        <v>8.7393803421868213E-2</v>
      </c>
      <c r="AI62">
        <f t="shared" si="142"/>
        <v>8.7309807794689082E-2</v>
      </c>
      <c r="AJ62">
        <f t="shared" si="142"/>
        <v>8.722581216750995E-2</v>
      </c>
      <c r="AK62">
        <f t="shared" si="142"/>
        <v>8.7141816540330819E-2</v>
      </c>
      <c r="AL62">
        <f t="shared" si="142"/>
        <v>8.7057820913151687E-2</v>
      </c>
      <c r="AM62">
        <f>'Cibles THREEME'!$DL$9/AM6</f>
        <v>8.697382528597257E-2</v>
      </c>
    </row>
    <row r="63" spans="1:39">
      <c r="B63" s="591" t="s">
        <v>32</v>
      </c>
      <c r="C63">
        <f t="shared" ref="C63:C68" si="143">C62+1</f>
        <v>2303</v>
      </c>
      <c r="D63" s="597">
        <f>('Cibles THREEME'!$DA10+'Cibles THREEME'!$DA12)*11.64/D7</f>
        <v>7.9921040170571458E-2</v>
      </c>
      <c r="E63">
        <f t="shared" si="132"/>
        <v>8.1345832152024941E-2</v>
      </c>
      <c r="F63">
        <f t="shared" si="132"/>
        <v>8.2770624133478424E-2</v>
      </c>
      <c r="G63">
        <f t="shared" si="132"/>
        <v>8.4195416114931906E-2</v>
      </c>
      <c r="H63">
        <f t="shared" si="132"/>
        <v>8.5620208096385389E-2</v>
      </c>
      <c r="I63">
        <f>('Cibles THREEME'!$DB$10+'Cibles THREEME'!$DB$12)/I7</f>
        <v>8.7045000077838858E-2</v>
      </c>
      <c r="J63">
        <f t="shared" si="133"/>
        <v>8.7883163059547187E-2</v>
      </c>
      <c r="K63">
        <f t="shared" si="133"/>
        <v>8.8721326041255516E-2</v>
      </c>
      <c r="L63">
        <f>('Cibles THREEME'!$DC$10+'Cibles THREEME'!$DC$12)/L7</f>
        <v>8.9559489022963831E-2</v>
      </c>
      <c r="M63">
        <f t="shared" si="134"/>
        <v>8.9706775010211987E-2</v>
      </c>
      <c r="N63">
        <f>('Cibles THREEME'!$DD$10+'Cibles THREEME'!$DD$12)/N7</f>
        <v>8.9854060997460128E-2</v>
      </c>
      <c r="O63">
        <f t="shared" si="135"/>
        <v>8.9793129671786653E-2</v>
      </c>
      <c r="P63">
        <f t="shared" si="135"/>
        <v>8.9732198346113179E-2</v>
      </c>
      <c r="Q63">
        <f>('Cibles THREEME'!$DE$10+'Cibles THREEME'!$DE$12)/Q7</f>
        <v>8.9671267020439718E-2</v>
      </c>
      <c r="R63">
        <f t="shared" si="136"/>
        <v>8.9613910920128936E-2</v>
      </c>
      <c r="S63">
        <f>('Cibles THREEME'!$DF$10+'Cibles THREEME'!$DF$12)/S7</f>
        <v>8.955655481981814E-2</v>
      </c>
      <c r="T63">
        <f t="shared" si="137"/>
        <v>8.9299473092721793E-2</v>
      </c>
      <c r="U63">
        <f t="shared" si="137"/>
        <v>8.9042391365625445E-2</v>
      </c>
      <c r="V63">
        <f>('Cibles THREEME'!$DG$10+'Cibles THREEME'!$DG$12)/V7</f>
        <v>8.9042391365625459E-2</v>
      </c>
      <c r="W63">
        <f t="shared" si="138"/>
        <v>8.8881831650072574E-2</v>
      </c>
      <c r="X63">
        <f>('Cibles THREEME'!$DH$10+'Cibles THREEME'!$DH$12)/X7</f>
        <v>8.8721271934519702E-2</v>
      </c>
      <c r="Y63">
        <f t="shared" si="139"/>
        <v>8.8574851221499495E-2</v>
      </c>
      <c r="Z63">
        <f t="shared" si="139"/>
        <v>8.8428430508479289E-2</v>
      </c>
      <c r="AA63">
        <f>('Cibles THREEME'!$DI$10+'Cibles THREEME'!$DI$12)/AA7</f>
        <v>8.8282009795459068E-2</v>
      </c>
      <c r="AB63">
        <f t="shared" si="140"/>
        <v>8.8144001638643776E-2</v>
      </c>
      <c r="AC63">
        <f>('Cibles THREEME'!$DJ$10+'Cibles THREEME'!$DJ$12)/AC7</f>
        <v>8.8005993481828484E-2</v>
      </c>
      <c r="AD63">
        <f t="shared" si="141"/>
        <v>8.7883555469836436E-2</v>
      </c>
      <c r="AE63">
        <f t="shared" si="141"/>
        <v>8.7761117457844387E-2</v>
      </c>
      <c r="AF63">
        <f t="shared" si="141"/>
        <v>8.7638679445852338E-2</v>
      </c>
      <c r="AG63">
        <f t="shared" si="141"/>
        <v>8.751624143386029E-2</v>
      </c>
      <c r="AH63">
        <f>('Cibles THREEME'!$DK$10+'Cibles THREEME'!$DK$12)/AH7</f>
        <v>8.7393803421868213E-2</v>
      </c>
      <c r="AI63">
        <f t="shared" si="142"/>
        <v>8.7309807794689082E-2</v>
      </c>
      <c r="AJ63">
        <f t="shared" si="142"/>
        <v>8.722581216750995E-2</v>
      </c>
      <c r="AK63">
        <f t="shared" si="142"/>
        <v>8.7141816540330819E-2</v>
      </c>
      <c r="AL63">
        <f t="shared" si="142"/>
        <v>8.7057820913151687E-2</v>
      </c>
      <c r="AM63">
        <f>('Cibles THREEME'!$DL$10+'Cibles THREEME'!$DL$12)/AM7</f>
        <v>8.697382528597257E-2</v>
      </c>
    </row>
    <row r="64" spans="1:39">
      <c r="B64" s="591" t="s">
        <v>42</v>
      </c>
      <c r="C64">
        <f t="shared" si="143"/>
        <v>2304</v>
      </c>
      <c r="D64" s="597">
        <f>'Cibles THREEME'!$DA11*11.64/D8</f>
        <v>7.9921040170571445E-2</v>
      </c>
      <c r="E64">
        <f t="shared" si="132"/>
        <v>8.1345832152024927E-2</v>
      </c>
      <c r="F64">
        <f t="shared" si="132"/>
        <v>8.277062413347841E-2</v>
      </c>
      <c r="G64">
        <f t="shared" si="132"/>
        <v>8.4195416114931892E-2</v>
      </c>
      <c r="H64">
        <f t="shared" si="132"/>
        <v>8.5620208096385375E-2</v>
      </c>
      <c r="I64">
        <f>'Cibles THREEME'!$DB$11/I8</f>
        <v>8.7045000077838858E-2</v>
      </c>
      <c r="J64">
        <f t="shared" si="133"/>
        <v>8.7883163059547187E-2</v>
      </c>
      <c r="K64">
        <f t="shared" si="133"/>
        <v>8.8721326041255516E-2</v>
      </c>
      <c r="L64">
        <f>'Cibles THREEME'!$DC$11/L8</f>
        <v>8.9559489022963845E-2</v>
      </c>
      <c r="M64">
        <f t="shared" si="134"/>
        <v>8.9706775010211987E-2</v>
      </c>
      <c r="N64">
        <f>'Cibles THREEME'!$DD$11/N8</f>
        <v>8.9854060997460128E-2</v>
      </c>
      <c r="O64">
        <f t="shared" si="135"/>
        <v>8.9793129671786653E-2</v>
      </c>
      <c r="P64">
        <f t="shared" si="135"/>
        <v>8.9732198346113179E-2</v>
      </c>
      <c r="Q64">
        <f>'Cibles THREEME'!$DE$11/Q8</f>
        <v>8.9671267020439718E-2</v>
      </c>
      <c r="R64">
        <f t="shared" si="136"/>
        <v>8.9613910920128936E-2</v>
      </c>
      <c r="S64">
        <f>'Cibles THREEME'!$DF$11/S8</f>
        <v>8.955655481981814E-2</v>
      </c>
      <c r="T64">
        <f t="shared" si="137"/>
        <v>8.9299473092721793E-2</v>
      </c>
      <c r="U64">
        <f t="shared" si="137"/>
        <v>8.9042391365625445E-2</v>
      </c>
      <c r="V64">
        <f>'Cibles THREEME'!$DG$11/V8</f>
        <v>8.9042391365625431E-2</v>
      </c>
      <c r="W64">
        <f t="shared" si="138"/>
        <v>8.8881831650072574E-2</v>
      </c>
      <c r="X64">
        <f>'Cibles THREEME'!$DH$11/X8</f>
        <v>8.8721271934519702E-2</v>
      </c>
      <c r="Y64">
        <f t="shared" si="139"/>
        <v>8.8574851221499495E-2</v>
      </c>
      <c r="Z64">
        <f t="shared" si="139"/>
        <v>8.8428430508479289E-2</v>
      </c>
      <c r="AA64">
        <f>'Cibles THREEME'!$DI$11/AA8</f>
        <v>8.8282009795459082E-2</v>
      </c>
      <c r="AB64">
        <f t="shared" si="140"/>
        <v>8.8144001638643776E-2</v>
      </c>
      <c r="AC64">
        <f>'Cibles THREEME'!$DJ$11/AC8</f>
        <v>8.8005993481828484E-2</v>
      </c>
      <c r="AD64">
        <f t="shared" si="141"/>
        <v>8.7883555469836436E-2</v>
      </c>
      <c r="AE64">
        <f t="shared" si="141"/>
        <v>8.7761117457844387E-2</v>
      </c>
      <c r="AF64">
        <f t="shared" si="141"/>
        <v>8.7638679445852338E-2</v>
      </c>
      <c r="AG64">
        <f t="shared" si="141"/>
        <v>8.751624143386029E-2</v>
      </c>
      <c r="AH64">
        <f>'Cibles THREEME'!$DK$11/AH8</f>
        <v>8.7393803421868213E-2</v>
      </c>
      <c r="AI64">
        <f t="shared" si="142"/>
        <v>8.7309807794689082E-2</v>
      </c>
      <c r="AJ64">
        <f t="shared" si="142"/>
        <v>8.722581216750995E-2</v>
      </c>
      <c r="AK64">
        <f t="shared" si="142"/>
        <v>8.7141816540330819E-2</v>
      </c>
      <c r="AL64">
        <f t="shared" si="142"/>
        <v>8.7057820913151687E-2</v>
      </c>
      <c r="AM64">
        <f>'Cibles THREEME'!$DL$11/AM8</f>
        <v>8.697382528597257E-2</v>
      </c>
    </row>
    <row r="65" spans="2:39">
      <c r="B65" s="591" t="s">
        <v>477</v>
      </c>
      <c r="C65">
        <f t="shared" si="143"/>
        <v>2305</v>
      </c>
      <c r="D65" s="597">
        <f>'Cibles THREEME'!$DA13*11.64/D9</f>
        <v>7.9921040170571458E-2</v>
      </c>
      <c r="E65">
        <f t="shared" si="132"/>
        <v>8.1345832152024941E-2</v>
      </c>
      <c r="F65">
        <f t="shared" si="132"/>
        <v>8.2770624133478424E-2</v>
      </c>
      <c r="G65">
        <f t="shared" si="132"/>
        <v>8.4195416114931906E-2</v>
      </c>
      <c r="H65">
        <f t="shared" si="132"/>
        <v>8.5620208096385389E-2</v>
      </c>
      <c r="I65">
        <f>'Cibles THREEME'!$DB$13/I9</f>
        <v>8.7045000077838858E-2</v>
      </c>
      <c r="J65">
        <f t="shared" si="133"/>
        <v>8.7883163059547187E-2</v>
      </c>
      <c r="K65">
        <f t="shared" si="133"/>
        <v>8.8721326041255516E-2</v>
      </c>
      <c r="L65">
        <f>'Cibles THREEME'!$DC$13/L9</f>
        <v>8.9559489022963831E-2</v>
      </c>
      <c r="M65">
        <f t="shared" si="134"/>
        <v>8.9706775010211987E-2</v>
      </c>
      <c r="N65">
        <f>'Cibles THREEME'!$DD$13/N9</f>
        <v>8.9854060997460142E-2</v>
      </c>
      <c r="O65">
        <f t="shared" si="135"/>
        <v>8.9793129671786667E-2</v>
      </c>
      <c r="P65">
        <f t="shared" si="135"/>
        <v>8.9732198346113193E-2</v>
      </c>
      <c r="Q65">
        <f>'Cibles THREEME'!$DE$13/Q9</f>
        <v>8.9671267020439704E-2</v>
      </c>
      <c r="R65">
        <f t="shared" si="136"/>
        <v>8.9613910920128922E-2</v>
      </c>
      <c r="S65">
        <f>'Cibles THREEME'!$DF$13/S9</f>
        <v>8.955655481981814E-2</v>
      </c>
      <c r="T65">
        <f t="shared" si="137"/>
        <v>8.9299473092721793E-2</v>
      </c>
      <c r="U65">
        <f t="shared" si="137"/>
        <v>8.9042391365625445E-2</v>
      </c>
      <c r="V65">
        <f>'Cibles THREEME'!$DG$13/V9</f>
        <v>8.9042391365625459E-2</v>
      </c>
      <c r="W65">
        <f t="shared" si="138"/>
        <v>8.8881831650072574E-2</v>
      </c>
      <c r="X65">
        <f>'Cibles THREEME'!$DH$13/X9</f>
        <v>8.8721271934519688E-2</v>
      </c>
      <c r="Y65">
        <f t="shared" si="139"/>
        <v>8.8574851221499482E-2</v>
      </c>
      <c r="Z65">
        <f t="shared" si="139"/>
        <v>8.8428430508479275E-2</v>
      </c>
      <c r="AA65">
        <f>'Cibles THREEME'!$DI$13/AA9</f>
        <v>8.8282009795459082E-2</v>
      </c>
      <c r="AB65">
        <f t="shared" si="140"/>
        <v>8.8144001638643776E-2</v>
      </c>
      <c r="AC65">
        <f>'Cibles THREEME'!$DJ$13/AC9</f>
        <v>8.8005993481828471E-2</v>
      </c>
      <c r="AD65">
        <f t="shared" si="141"/>
        <v>8.7883555469836422E-2</v>
      </c>
      <c r="AE65">
        <f t="shared" si="141"/>
        <v>8.7761117457844373E-2</v>
      </c>
      <c r="AF65">
        <f t="shared" si="141"/>
        <v>8.7638679445852324E-2</v>
      </c>
      <c r="AG65">
        <f t="shared" si="141"/>
        <v>8.7516241433860276E-2</v>
      </c>
      <c r="AH65">
        <f>'Cibles THREEME'!$DK$13/AH9</f>
        <v>8.7393803421868227E-2</v>
      </c>
      <c r="AI65">
        <f t="shared" si="142"/>
        <v>8.7309807794689095E-2</v>
      </c>
      <c r="AJ65">
        <f t="shared" si="142"/>
        <v>8.7225812167509964E-2</v>
      </c>
      <c r="AK65">
        <f t="shared" si="142"/>
        <v>8.7141816540330833E-2</v>
      </c>
      <c r="AL65">
        <f t="shared" si="142"/>
        <v>8.7057820913151701E-2</v>
      </c>
      <c r="AM65">
        <f>'Cibles THREEME'!$DL$13/AM9</f>
        <v>8.697382528597257E-2</v>
      </c>
    </row>
    <row r="66" spans="2:39">
      <c r="B66" s="591" t="s">
        <v>279</v>
      </c>
      <c r="C66">
        <f t="shared" si="143"/>
        <v>2306</v>
      </c>
      <c r="D66" s="597">
        <f>'Cibles THREEME'!$DA14*11.64/D10</f>
        <v>7.9921040170571472E-2</v>
      </c>
      <c r="E66">
        <f t="shared" si="132"/>
        <v>8.1345832152024955E-2</v>
      </c>
      <c r="F66">
        <f t="shared" si="132"/>
        <v>8.2770624133478438E-2</v>
      </c>
      <c r="G66">
        <f t="shared" si="132"/>
        <v>8.419541611493192E-2</v>
      </c>
      <c r="H66">
        <f t="shared" si="132"/>
        <v>8.5620208096385403E-2</v>
      </c>
      <c r="I66">
        <f>'Cibles THREEME'!$DB$14/I10</f>
        <v>8.7045000077838858E-2</v>
      </c>
      <c r="J66">
        <f t="shared" si="133"/>
        <v>8.7883163059547173E-2</v>
      </c>
      <c r="K66">
        <f t="shared" si="133"/>
        <v>8.8721326041255488E-2</v>
      </c>
      <c r="L66">
        <f>'Cibles THREEME'!$DC$14/L10</f>
        <v>8.9559489022963817E-2</v>
      </c>
      <c r="M66">
        <f t="shared" si="134"/>
        <v>8.9706775010211987E-2</v>
      </c>
      <c r="N66">
        <f>'Cibles THREEME'!$DD$14/N10</f>
        <v>8.9854060997460142E-2</v>
      </c>
      <c r="O66">
        <f t="shared" si="135"/>
        <v>8.9793129671786667E-2</v>
      </c>
      <c r="P66">
        <f t="shared" si="135"/>
        <v>8.9732198346113193E-2</v>
      </c>
      <c r="Q66">
        <f>'Cibles THREEME'!$DE$14/Q10</f>
        <v>8.9671267020439704E-2</v>
      </c>
      <c r="R66">
        <f t="shared" si="136"/>
        <v>8.9613910920128936E-2</v>
      </c>
      <c r="S66">
        <f>'Cibles THREEME'!$DF$14/S10</f>
        <v>8.9556554819818154E-2</v>
      </c>
      <c r="T66">
        <f t="shared" si="137"/>
        <v>8.9299473092721807E-2</v>
      </c>
      <c r="U66">
        <f t="shared" si="137"/>
        <v>8.9042391365625459E-2</v>
      </c>
      <c r="V66">
        <f>'Cibles THREEME'!$DG$14/V10</f>
        <v>8.9042391365625459E-2</v>
      </c>
      <c r="W66">
        <f t="shared" si="138"/>
        <v>8.8881831650072574E-2</v>
      </c>
      <c r="X66">
        <f>'Cibles THREEME'!$DH$14/X10</f>
        <v>8.8721271934519688E-2</v>
      </c>
      <c r="Y66">
        <f t="shared" si="139"/>
        <v>8.8574851221499482E-2</v>
      </c>
      <c r="Z66">
        <f t="shared" si="139"/>
        <v>8.8428430508479275E-2</v>
      </c>
      <c r="AA66">
        <f>'Cibles THREEME'!$DI$14/AA10</f>
        <v>8.8282009795459082E-2</v>
      </c>
      <c r="AB66">
        <f t="shared" si="140"/>
        <v>8.8144001638643776E-2</v>
      </c>
      <c r="AC66">
        <f>'Cibles THREEME'!$DJ$14/AC10</f>
        <v>8.8005993481828471E-2</v>
      </c>
      <c r="AD66">
        <f t="shared" si="141"/>
        <v>8.7883555469836422E-2</v>
      </c>
      <c r="AE66">
        <f t="shared" si="141"/>
        <v>8.7761117457844373E-2</v>
      </c>
      <c r="AF66">
        <f t="shared" si="141"/>
        <v>8.7638679445852324E-2</v>
      </c>
      <c r="AG66">
        <f t="shared" si="141"/>
        <v>8.7516241433860276E-2</v>
      </c>
      <c r="AH66">
        <f>'Cibles THREEME'!$DK$14/AH10</f>
        <v>8.7393803421868227E-2</v>
      </c>
      <c r="AI66">
        <f t="shared" si="142"/>
        <v>8.7309807794689095E-2</v>
      </c>
      <c r="AJ66">
        <f t="shared" si="142"/>
        <v>8.7225812167509964E-2</v>
      </c>
      <c r="AK66">
        <f t="shared" si="142"/>
        <v>8.7141816540330833E-2</v>
      </c>
      <c r="AL66">
        <f t="shared" si="142"/>
        <v>8.7057820913151701E-2</v>
      </c>
      <c r="AM66">
        <f>'Cibles THREEME'!$DL$14/AM10</f>
        <v>8.6973825285972556E-2</v>
      </c>
    </row>
    <row r="67" spans="2:39">
      <c r="B67" s="591" t="s">
        <v>18</v>
      </c>
      <c r="C67">
        <f t="shared" si="143"/>
        <v>2307</v>
      </c>
      <c r="D67" s="597">
        <f>'Cibles THREEME'!$DA15*11.64/D11</f>
        <v>7.9921040170571458E-2</v>
      </c>
      <c r="E67">
        <f t="shared" si="132"/>
        <v>8.1345832152024941E-2</v>
      </c>
      <c r="F67">
        <f t="shared" si="132"/>
        <v>8.2770624133478424E-2</v>
      </c>
      <c r="G67">
        <f t="shared" si="132"/>
        <v>8.4195416114931906E-2</v>
      </c>
      <c r="H67">
        <f t="shared" si="132"/>
        <v>8.5620208096385389E-2</v>
      </c>
      <c r="I67">
        <f>'Cibles THREEME'!$DB$15/I11</f>
        <v>8.7045000077838844E-2</v>
      </c>
      <c r="J67">
        <f t="shared" si="133"/>
        <v>8.7883163059547173E-2</v>
      </c>
      <c r="K67">
        <f t="shared" si="133"/>
        <v>8.8721326041255502E-2</v>
      </c>
      <c r="L67">
        <f>'Cibles THREEME'!$DC$15/L11</f>
        <v>8.9559489022963831E-2</v>
      </c>
      <c r="M67">
        <f t="shared" si="134"/>
        <v>8.9706775010211987E-2</v>
      </c>
      <c r="N67">
        <f>'Cibles THREEME'!$DD$15/N11</f>
        <v>8.9854060997460142E-2</v>
      </c>
      <c r="O67">
        <f t="shared" si="135"/>
        <v>8.9793129671786667E-2</v>
      </c>
      <c r="P67">
        <f t="shared" si="135"/>
        <v>8.9732198346113193E-2</v>
      </c>
      <c r="Q67">
        <f>'Cibles THREEME'!$DE$15/Q11</f>
        <v>8.9671267020439704E-2</v>
      </c>
      <c r="R67">
        <f t="shared" si="136"/>
        <v>8.9613910920128922E-2</v>
      </c>
      <c r="S67">
        <f>'Cibles THREEME'!$DF$15/S11</f>
        <v>8.955655481981814E-2</v>
      </c>
      <c r="T67">
        <f t="shared" si="137"/>
        <v>8.9299473092721793E-2</v>
      </c>
      <c r="U67">
        <f t="shared" si="137"/>
        <v>8.9042391365625445E-2</v>
      </c>
      <c r="V67">
        <f>'Cibles THREEME'!$DG$15/V11</f>
        <v>8.9042391365625459E-2</v>
      </c>
      <c r="W67">
        <f t="shared" si="138"/>
        <v>8.8881831650072574E-2</v>
      </c>
      <c r="X67">
        <f>'Cibles THREEME'!$DH$15/X11</f>
        <v>8.8721271934519702E-2</v>
      </c>
      <c r="Y67">
        <f t="shared" si="139"/>
        <v>8.8574851221499495E-2</v>
      </c>
      <c r="Z67">
        <f t="shared" si="139"/>
        <v>8.8428430508479289E-2</v>
      </c>
      <c r="AA67">
        <f>'Cibles THREEME'!$DI$15/AA11</f>
        <v>8.8282009795459082E-2</v>
      </c>
      <c r="AB67">
        <f t="shared" si="140"/>
        <v>8.8144001638643776E-2</v>
      </c>
      <c r="AC67">
        <f>'Cibles THREEME'!$DJ$15/AC11</f>
        <v>8.8005993481828471E-2</v>
      </c>
      <c r="AD67">
        <f t="shared" si="141"/>
        <v>8.7883555469836422E-2</v>
      </c>
      <c r="AE67">
        <f t="shared" si="141"/>
        <v>8.7761117457844373E-2</v>
      </c>
      <c r="AF67">
        <f t="shared" si="141"/>
        <v>8.7638679445852324E-2</v>
      </c>
      <c r="AG67">
        <f t="shared" si="141"/>
        <v>8.7516241433860276E-2</v>
      </c>
      <c r="AH67">
        <f>'Cibles THREEME'!$DK$15/AH11</f>
        <v>8.7393803421868213E-2</v>
      </c>
      <c r="AI67">
        <f t="shared" si="142"/>
        <v>8.7309807794689082E-2</v>
      </c>
      <c r="AJ67">
        <f t="shared" si="142"/>
        <v>8.722581216750995E-2</v>
      </c>
      <c r="AK67">
        <f t="shared" si="142"/>
        <v>8.7141816540330819E-2</v>
      </c>
      <c r="AL67">
        <f t="shared" si="142"/>
        <v>8.7057820913151687E-2</v>
      </c>
      <c r="AM67">
        <f>'Cibles THREEME'!$DL$15/AM11</f>
        <v>8.697382528597257E-2</v>
      </c>
    </row>
    <row r="68" spans="2:39" ht="15" thickBot="1">
      <c r="B68" s="592" t="s">
        <v>480</v>
      </c>
      <c r="C68">
        <f t="shared" si="143"/>
        <v>2308</v>
      </c>
      <c r="D68" s="597">
        <f>'Cibles THREEME'!$DA16*11.64/D12</f>
        <v>7.9921040170571458E-2</v>
      </c>
      <c r="E68">
        <f t="shared" si="132"/>
        <v>8.1345832152024941E-2</v>
      </c>
      <c r="F68">
        <f t="shared" si="132"/>
        <v>8.2770624133478424E-2</v>
      </c>
      <c r="G68">
        <f t="shared" si="132"/>
        <v>8.4195416114931906E-2</v>
      </c>
      <c r="H68">
        <f t="shared" si="132"/>
        <v>8.5620208096385389E-2</v>
      </c>
      <c r="I68">
        <f>'Cibles THREEME'!$DB$16/I12</f>
        <v>8.7045000077838858E-2</v>
      </c>
      <c r="J68">
        <f t="shared" si="133"/>
        <v>8.7883163059547173E-2</v>
      </c>
      <c r="K68">
        <f t="shared" si="133"/>
        <v>8.8721326041255488E-2</v>
      </c>
      <c r="L68">
        <f>'Cibles THREEME'!$DC$16/L12</f>
        <v>8.9559489022963817E-2</v>
      </c>
      <c r="M68">
        <f t="shared" si="134"/>
        <v>8.9706775010211987E-2</v>
      </c>
      <c r="N68">
        <f>'Cibles THREEME'!$DD$16/N12</f>
        <v>8.9854060997460142E-2</v>
      </c>
      <c r="O68">
        <f t="shared" si="135"/>
        <v>8.9793129671786667E-2</v>
      </c>
      <c r="P68">
        <f t="shared" si="135"/>
        <v>8.9732198346113193E-2</v>
      </c>
      <c r="Q68">
        <f>'Cibles THREEME'!$DE$16/Q12</f>
        <v>8.9671267020439718E-2</v>
      </c>
      <c r="R68">
        <f t="shared" si="136"/>
        <v>8.9613910920128936E-2</v>
      </c>
      <c r="S68">
        <f>'Cibles THREEME'!$DF$16/S12</f>
        <v>8.9556554819818154E-2</v>
      </c>
      <c r="T68">
        <f t="shared" si="137"/>
        <v>8.9299473092721793E-2</v>
      </c>
      <c r="U68">
        <f t="shared" si="137"/>
        <v>8.9042391365625445E-2</v>
      </c>
      <c r="V68">
        <f>'Cibles THREEME'!$DG$16/V12</f>
        <v>8.9042391365625445E-2</v>
      </c>
      <c r="W68">
        <f t="shared" si="138"/>
        <v>8.8881831650072574E-2</v>
      </c>
      <c r="X68">
        <f>'Cibles THREEME'!$DH$16/X12</f>
        <v>8.8721271934519688E-2</v>
      </c>
      <c r="Y68">
        <f t="shared" si="139"/>
        <v>8.8574851221499482E-2</v>
      </c>
      <c r="Z68">
        <f t="shared" si="139"/>
        <v>8.8428430508479275E-2</v>
      </c>
      <c r="AA68">
        <f>'Cibles THREEME'!$DI$16/AA12</f>
        <v>8.8282009795459068E-2</v>
      </c>
      <c r="AB68">
        <f t="shared" si="140"/>
        <v>8.8144001638643776E-2</v>
      </c>
      <c r="AC68">
        <f>'Cibles THREEME'!$DJ$16/AC12</f>
        <v>8.8005993481828484E-2</v>
      </c>
      <c r="AD68">
        <f t="shared" si="141"/>
        <v>8.7883555469836436E-2</v>
      </c>
      <c r="AE68">
        <f t="shared" si="141"/>
        <v>8.7761117457844387E-2</v>
      </c>
      <c r="AF68">
        <f t="shared" si="141"/>
        <v>8.7638679445852338E-2</v>
      </c>
      <c r="AG68">
        <f t="shared" si="141"/>
        <v>8.751624143386029E-2</v>
      </c>
      <c r="AH68">
        <f>'Cibles THREEME'!$DK$16/AH12</f>
        <v>8.7393803421868241E-2</v>
      </c>
      <c r="AI68">
        <f t="shared" si="142"/>
        <v>8.7309807794689109E-2</v>
      </c>
      <c r="AJ68">
        <f t="shared" si="142"/>
        <v>8.7225812167509978E-2</v>
      </c>
      <c r="AK68">
        <f t="shared" si="142"/>
        <v>8.7141816540330846E-2</v>
      </c>
      <c r="AL68">
        <f t="shared" si="142"/>
        <v>8.7057820913151715E-2</v>
      </c>
      <c r="AM68">
        <f>'Cibles THREEME'!$DL$16/AM12</f>
        <v>8.697382528597257E-2</v>
      </c>
    </row>
    <row r="69" spans="2:39">
      <c r="B69" s="590" t="s">
        <v>287</v>
      </c>
      <c r="C69">
        <v>2401</v>
      </c>
      <c r="D69" s="597">
        <f>'Cibles THREEME'!$DA17*11.64/D13</f>
        <v>1.9293672465713421E-2</v>
      </c>
      <c r="E69">
        <f t="shared" si="132"/>
        <v>1.8593830056944496E-2</v>
      </c>
      <c r="F69">
        <f t="shared" si="132"/>
        <v>1.7893987648175572E-2</v>
      </c>
      <c r="G69">
        <f t="shared" si="132"/>
        <v>1.7194145239406648E-2</v>
      </c>
      <c r="H69">
        <f t="shared" si="132"/>
        <v>1.6494302830637724E-2</v>
      </c>
      <c r="I69" s="404">
        <f>'Cibles THREEME'!$DB$17/I13</f>
        <v>1.5794460421868807E-2</v>
      </c>
      <c r="J69">
        <f t="shared" si="133"/>
        <v>1.5806968437059331E-2</v>
      </c>
      <c r="K69">
        <f t="shared" si="133"/>
        <v>1.5819476452249855E-2</v>
      </c>
      <c r="L69" s="404">
        <f>'Cibles THREEME'!$DC$17/L13</f>
        <v>1.5831984467440382E-2</v>
      </c>
      <c r="M69">
        <f t="shared" si="134"/>
        <v>1.5865385138455815E-2</v>
      </c>
      <c r="N69" s="404">
        <f>'Cibles THREEME'!$DD$17/N13</f>
        <v>1.5898785809471249E-2</v>
      </c>
      <c r="O69">
        <f t="shared" si="135"/>
        <v>1.5892499727229815E-2</v>
      </c>
      <c r="P69">
        <f t="shared" si="135"/>
        <v>1.5886213644988382E-2</v>
      </c>
      <c r="Q69" s="404">
        <f>'Cibles THREEME'!$DE$17/Q13</f>
        <v>1.5879927562746945E-2</v>
      </c>
      <c r="R69">
        <f t="shared" si="136"/>
        <v>1.587494970012715E-2</v>
      </c>
      <c r="S69" s="404">
        <f>'Cibles THREEME'!$DF$17/S13</f>
        <v>1.5869971837507355E-2</v>
      </c>
      <c r="T69">
        <f t="shared" si="137"/>
        <v>1.5906041395952891E-2</v>
      </c>
      <c r="U69">
        <f t="shared" si="137"/>
        <v>1.5942110954398424E-2</v>
      </c>
      <c r="V69" s="404">
        <f>'Cibles THREEME'!$DG$17/V13</f>
        <v>1.5942110954398424E-2</v>
      </c>
      <c r="W69">
        <f t="shared" si="138"/>
        <v>1.5967812664160957E-2</v>
      </c>
      <c r="X69" s="404">
        <f>'Cibles THREEME'!$DH$17/X13</f>
        <v>1.599351437392349E-2</v>
      </c>
      <c r="Y69">
        <f t="shared" si="139"/>
        <v>1.6011134833304918E-2</v>
      </c>
      <c r="Z69">
        <f t="shared" si="139"/>
        <v>1.6028755292686346E-2</v>
      </c>
      <c r="AA69" s="404">
        <f>'Cibles THREEME'!$DI$17/AA13</f>
        <v>1.6046375752067778E-2</v>
      </c>
      <c r="AB69">
        <f t="shared" si="140"/>
        <v>1.6065279510862632E-2</v>
      </c>
      <c r="AC69" s="404">
        <f>'Cibles THREEME'!$DJ$17/AC13</f>
        <v>1.6084183269657486E-2</v>
      </c>
      <c r="AD69">
        <f t="shared" si="141"/>
        <v>1.6116965156348372E-2</v>
      </c>
      <c r="AE69">
        <f t="shared" si="141"/>
        <v>1.6149747043039259E-2</v>
      </c>
      <c r="AF69">
        <f t="shared" si="141"/>
        <v>1.6182528929730145E-2</v>
      </c>
      <c r="AG69">
        <f t="shared" si="141"/>
        <v>1.6215310816421032E-2</v>
      </c>
      <c r="AH69" s="404">
        <f>'Cibles THREEME'!$DK$17/AH13</f>
        <v>1.6248092703111922E-2</v>
      </c>
      <c r="AI69">
        <f t="shared" si="142"/>
        <v>1.6554312020500575E-2</v>
      </c>
      <c r="AJ69">
        <f t="shared" si="142"/>
        <v>1.6860531337889229E-2</v>
      </c>
      <c r="AK69">
        <f t="shared" si="142"/>
        <v>1.7166750655277882E-2</v>
      </c>
      <c r="AL69">
        <f t="shared" si="142"/>
        <v>1.7472969972666536E-2</v>
      </c>
      <c r="AM69" s="404">
        <f>'Cibles THREEME'!$DL$17/AM13</f>
        <v>1.7779189290055189E-2</v>
      </c>
    </row>
    <row r="70" spans="2:39">
      <c r="B70" s="591" t="s">
        <v>289</v>
      </c>
      <c r="C70">
        <v>2402</v>
      </c>
      <c r="D70" s="597">
        <f>'Cibles THREEME'!$DA18*11.64/D14</f>
        <v>7.8888386487377428E-3</v>
      </c>
      <c r="E70">
        <f t="shared" si="132"/>
        <v>7.5031313160442616E-3</v>
      </c>
      <c r="F70">
        <f t="shared" si="132"/>
        <v>7.1174239833507805E-3</v>
      </c>
      <c r="G70">
        <f t="shared" si="132"/>
        <v>6.7317166506572993E-3</v>
      </c>
      <c r="H70">
        <f t="shared" si="132"/>
        <v>6.3460093179638181E-3</v>
      </c>
      <c r="I70" s="404">
        <f>'Cibles THREEME'!$DB$18/I14</f>
        <v>5.9603019852703353E-3</v>
      </c>
      <c r="J70">
        <f t="shared" si="133"/>
        <v>6.975015040944119E-3</v>
      </c>
      <c r="K70">
        <f t="shared" si="133"/>
        <v>7.9897280966179027E-3</v>
      </c>
      <c r="L70" s="404">
        <f>'Cibles THREEME'!$DC$18/L14</f>
        <v>9.0044411522916864E-3</v>
      </c>
      <c r="M70">
        <f t="shared" si="134"/>
        <v>8.9898798817376925E-3</v>
      </c>
      <c r="N70" s="404">
        <f>'Cibles THREEME'!$DD$18/N14</f>
        <v>8.9753186111836986E-3</v>
      </c>
      <c r="O70">
        <f t="shared" si="135"/>
        <v>8.7603078944976428E-3</v>
      </c>
      <c r="P70">
        <f t="shared" si="135"/>
        <v>8.5452971778115869E-3</v>
      </c>
      <c r="Q70" s="404">
        <f>'Cibles THREEME'!$DE$18/Q14</f>
        <v>8.3302864611255328E-3</v>
      </c>
      <c r="R70">
        <f t="shared" si="136"/>
        <v>8.1281217901485233E-3</v>
      </c>
      <c r="S70" s="404">
        <f>'Cibles THREEME'!$DF$18/S14</f>
        <v>7.9259571191715138E-3</v>
      </c>
      <c r="T70">
        <f t="shared" si="137"/>
        <v>7.6679703418181793E-3</v>
      </c>
      <c r="U70">
        <f t="shared" si="137"/>
        <v>7.4099835644648449E-3</v>
      </c>
      <c r="V70" s="404">
        <f>'Cibles THREEME'!$DG$18/V14</f>
        <v>7.4099835644648457E-3</v>
      </c>
      <c r="W70">
        <f t="shared" si="138"/>
        <v>7.2510281697731153E-3</v>
      </c>
      <c r="X70" s="404">
        <f>'Cibles THREEME'!$DH$18/X14</f>
        <v>7.0920727750813841E-3</v>
      </c>
      <c r="Y70">
        <f t="shared" si="139"/>
        <v>7.0313212544181819E-3</v>
      </c>
      <c r="Z70">
        <f t="shared" si="139"/>
        <v>6.9705697337549798E-3</v>
      </c>
      <c r="AA70" s="404">
        <f>'Cibles THREEME'!$DI$18/AA14</f>
        <v>6.9098182130917776E-3</v>
      </c>
      <c r="AB70">
        <f t="shared" si="140"/>
        <v>6.8518184113088888E-3</v>
      </c>
      <c r="AC70" s="404">
        <f>'Cibles THREEME'!$DJ$18/AC14</f>
        <v>6.7938186095260001E-3</v>
      </c>
      <c r="AD70">
        <f t="shared" si="141"/>
        <v>6.738570970657296E-3</v>
      </c>
      <c r="AE70">
        <f t="shared" si="141"/>
        <v>6.683323331788592E-3</v>
      </c>
      <c r="AF70">
        <f t="shared" si="141"/>
        <v>6.6280756929198879E-3</v>
      </c>
      <c r="AG70">
        <f t="shared" si="141"/>
        <v>6.5728280540511838E-3</v>
      </c>
      <c r="AH70" s="404">
        <f>'Cibles THREEME'!$DK$18/AH14</f>
        <v>6.5175804151824815E-3</v>
      </c>
      <c r="AI70">
        <f t="shared" si="142"/>
        <v>6.5134493975183014E-3</v>
      </c>
      <c r="AJ70">
        <f t="shared" si="142"/>
        <v>6.5093183798541213E-3</v>
      </c>
      <c r="AK70">
        <f t="shared" si="142"/>
        <v>6.5051873621899412E-3</v>
      </c>
      <c r="AL70">
        <f t="shared" si="142"/>
        <v>6.5010563445257611E-3</v>
      </c>
      <c r="AM70" s="404">
        <f>'Cibles THREEME'!$DL$18/AM14</f>
        <v>6.4969253268615827E-3</v>
      </c>
    </row>
    <row r="71" spans="2:39">
      <c r="B71" s="591" t="s">
        <v>291</v>
      </c>
      <c r="C71">
        <v>2403</v>
      </c>
      <c r="D71" s="597">
        <f>('Cibles THREEME'!$DA19+'Cibles THREEME'!$DA20)*11.64/D15</f>
        <v>0.43382725724308224</v>
      </c>
      <c r="E71">
        <f t="shared" si="132"/>
        <v>0.36397008401002112</v>
      </c>
      <c r="F71">
        <f t="shared" si="132"/>
        <v>0.29411291077696</v>
      </c>
      <c r="G71">
        <f t="shared" si="132"/>
        <v>0.22425573754389888</v>
      </c>
      <c r="H71">
        <f t="shared" si="132"/>
        <v>0.15439856431083776</v>
      </c>
      <c r="I71" s="404">
        <f>('Cibles THREEME'!$DB$19+'Cibles THREEME'!$DB$19)/I15</f>
        <v>8.4541391077776584E-2</v>
      </c>
      <c r="J71">
        <f t="shared" si="133"/>
        <v>6.6660459870391445E-2</v>
      </c>
      <c r="K71">
        <f t="shared" si="133"/>
        <v>4.8779528663006305E-2</v>
      </c>
      <c r="L71" s="404">
        <f>('Cibles THREEME'!$DC$19+'Cibles THREEME'!$DC$19)/L15</f>
        <v>3.0898597455621159E-2</v>
      </c>
      <c r="M71">
        <f t="shared" si="134"/>
        <v>3.1079386939263879E-2</v>
      </c>
      <c r="N71" s="404">
        <f>('Cibles THREEME'!$DD$19+'Cibles THREEME'!$DD$19)/N15</f>
        <v>3.1260176422906599E-2</v>
      </c>
      <c r="O71">
        <f t="shared" si="135"/>
        <v>3.0955363310115849E-2</v>
      </c>
      <c r="P71">
        <f t="shared" si="135"/>
        <v>3.0650550197325099E-2</v>
      </c>
      <c r="Q71" s="404">
        <f>('Cibles THREEME'!$DE$19+'Cibles THREEME'!$DE$19)/Q15</f>
        <v>3.0345737084534349E-2</v>
      </c>
      <c r="R71">
        <f t="shared" si="136"/>
        <v>3.0041163119326836E-2</v>
      </c>
      <c r="S71" s="404">
        <f>('Cibles THREEME'!$DF$19+'Cibles THREEME'!$DF$19)/S15</f>
        <v>2.9736589154119322E-2</v>
      </c>
      <c r="T71">
        <f t="shared" si="137"/>
        <v>2.7930111558724338E-2</v>
      </c>
      <c r="U71">
        <f t="shared" si="137"/>
        <v>2.6123633963329354E-2</v>
      </c>
      <c r="V71" s="404">
        <f>('Cibles THREEME'!$DG$19+'Cibles THREEME'!$DG$19)/V15</f>
        <v>2.6123633963329354E-2</v>
      </c>
      <c r="W71">
        <f t="shared" si="138"/>
        <v>2.5113370227822167E-2</v>
      </c>
      <c r="X71" s="404">
        <f>('Cibles THREEME'!$DH$19+'Cibles THREEME'!$DH$19)/X15</f>
        <v>2.4103106492314983E-2</v>
      </c>
      <c r="Y71">
        <f t="shared" si="139"/>
        <v>2.3198985913205544E-2</v>
      </c>
      <c r="Z71">
        <f t="shared" si="139"/>
        <v>2.2294865334096105E-2</v>
      </c>
      <c r="AA71" s="404">
        <f>('Cibles THREEME'!$DI$19+'Cibles THREEME'!$DI$19)/AA15</f>
        <v>2.139074475498667E-2</v>
      </c>
      <c r="AB71">
        <f t="shared" si="140"/>
        <v>2.0628153756842141E-2</v>
      </c>
      <c r="AC71" s="404">
        <f>('Cibles THREEME'!$DJ$19+'Cibles THREEME'!$DJ$19)/AC15</f>
        <v>1.9865562758697615E-2</v>
      </c>
      <c r="AD71">
        <f t="shared" si="141"/>
        <v>1.9291317552841507E-2</v>
      </c>
      <c r="AE71">
        <f t="shared" si="141"/>
        <v>1.87170723469854E-2</v>
      </c>
      <c r="AF71">
        <f t="shared" si="141"/>
        <v>1.8142827141129293E-2</v>
      </c>
      <c r="AG71">
        <f t="shared" si="141"/>
        <v>1.7568581935273185E-2</v>
      </c>
      <c r="AH71" s="404">
        <f>('Cibles THREEME'!$DK$19+'Cibles THREEME'!$DK$19)/AH15</f>
        <v>1.6994336729417074E-2</v>
      </c>
      <c r="AI71">
        <f t="shared" si="142"/>
        <v>1.6854587477666137E-2</v>
      </c>
      <c r="AJ71">
        <f t="shared" si="142"/>
        <v>1.6714838225915199E-2</v>
      </c>
      <c r="AK71">
        <f t="shared" si="142"/>
        <v>1.6575088974164261E-2</v>
      </c>
      <c r="AL71">
        <f t="shared" si="142"/>
        <v>1.6435339722413324E-2</v>
      </c>
      <c r="AM71" s="404">
        <f>('Cibles THREEME'!$DL$19+'Cibles THREEME'!$DL$19)/AM15</f>
        <v>1.6295590470662379E-2</v>
      </c>
    </row>
    <row r="72" spans="2:39">
      <c r="B72" s="591" t="s">
        <v>293</v>
      </c>
      <c r="C72">
        <v>2404</v>
      </c>
      <c r="D72" s="597">
        <f>'Cibles THREEME'!$DA21*11.64/D16</f>
        <v>0.30391627266615295</v>
      </c>
      <c r="E72">
        <f t="shared" si="132"/>
        <v>0.26158051243318908</v>
      </c>
      <c r="F72">
        <f t="shared" si="132"/>
        <v>0.21924475220022521</v>
      </c>
      <c r="G72">
        <f t="shared" si="132"/>
        <v>0.17690899196726134</v>
      </c>
      <c r="H72">
        <f t="shared" si="132"/>
        <v>0.13457323173429747</v>
      </c>
      <c r="I72">
        <f>'Cibles THREEME'!$DB$21/I16</f>
        <v>9.2237471501333629E-2</v>
      </c>
      <c r="J72">
        <f t="shared" si="133"/>
        <v>8.833961389476315E-2</v>
      </c>
      <c r="K72">
        <f t="shared" si="133"/>
        <v>8.4441756288192671E-2</v>
      </c>
      <c r="L72">
        <f>'Cibles THREEME'!$DC$21/L16</f>
        <v>8.0543898681622206E-2</v>
      </c>
      <c r="M72">
        <f t="shared" si="134"/>
        <v>8.0493105636354478E-2</v>
      </c>
      <c r="N72">
        <f>'Cibles THREEME'!$DD$21/N16</f>
        <v>8.0442312591086751E-2</v>
      </c>
      <c r="O72">
        <f t="shared" si="135"/>
        <v>8.0387319190065337E-2</v>
      </c>
      <c r="P72">
        <f t="shared" si="135"/>
        <v>8.0332325789043924E-2</v>
      </c>
      <c r="Q72">
        <f>'Cibles THREEME'!$DE$21/Q16</f>
        <v>8.0277332388022524E-2</v>
      </c>
      <c r="R72">
        <f t="shared" si="136"/>
        <v>8.0221189618321226E-2</v>
      </c>
      <c r="S72">
        <f>'Cibles THREEME'!$DF$21/S16</f>
        <v>8.0165046848619928E-2</v>
      </c>
      <c r="T72">
        <f t="shared" si="137"/>
        <v>8.0140599368242388E-2</v>
      </c>
      <c r="U72">
        <f t="shared" si="137"/>
        <v>8.0116151887864834E-2</v>
      </c>
      <c r="V72">
        <f>'Cibles THREEME'!$DG$21/V16</f>
        <v>8.0116151887864834E-2</v>
      </c>
      <c r="W72">
        <f t="shared" si="138"/>
        <v>8.0101897978870865E-2</v>
      </c>
      <c r="X72">
        <f>'Cibles THREEME'!$DH$21/X16</f>
        <v>8.0087644069876895E-2</v>
      </c>
      <c r="Y72">
        <f t="shared" si="139"/>
        <v>8.0084477402999774E-2</v>
      </c>
      <c r="Z72">
        <f t="shared" si="139"/>
        <v>8.0081310736122652E-2</v>
      </c>
      <c r="AA72">
        <f>'Cibles THREEME'!$DI$21/AA16</f>
        <v>8.007814406924553E-2</v>
      </c>
      <c r="AB72">
        <f t="shared" si="140"/>
        <v>8.007720927403042E-2</v>
      </c>
      <c r="AC72">
        <f>'Cibles THREEME'!$DJ$21/AC16</f>
        <v>8.007627447881531E-2</v>
      </c>
      <c r="AD72">
        <f t="shared" si="141"/>
        <v>8.008144965436903E-2</v>
      </c>
      <c r="AE72">
        <f t="shared" si="141"/>
        <v>8.0086624829922751E-2</v>
      </c>
      <c r="AF72">
        <f t="shared" si="141"/>
        <v>8.0091800005476471E-2</v>
      </c>
      <c r="AG72">
        <f t="shared" si="141"/>
        <v>8.0096975181030192E-2</v>
      </c>
      <c r="AH72">
        <f>'Cibles THREEME'!$DK$21/AH16</f>
        <v>8.0102150356583926E-2</v>
      </c>
      <c r="AI72">
        <f t="shared" si="142"/>
        <v>8.0115758282691102E-2</v>
      </c>
      <c r="AJ72">
        <f t="shared" si="142"/>
        <v>8.0129366208798278E-2</v>
      </c>
      <c r="AK72">
        <f t="shared" si="142"/>
        <v>8.0142974134905454E-2</v>
      </c>
      <c r="AL72">
        <f t="shared" si="142"/>
        <v>8.015658206101263E-2</v>
      </c>
      <c r="AM72">
        <f>'Cibles THREEME'!$DL$21/AM16</f>
        <v>8.0170189987119819E-2</v>
      </c>
    </row>
    <row r="73" spans="2:39">
      <c r="B73" s="591" t="s">
        <v>296</v>
      </c>
      <c r="C73">
        <v>2405</v>
      </c>
      <c r="D73" s="597">
        <f>'Cibles THREEME'!$DA22*11.64/D17</f>
        <v>6.6778294335551255E-2</v>
      </c>
      <c r="E73">
        <f t="shared" si="132"/>
        <v>6.5140723704751088E-2</v>
      </c>
      <c r="F73">
        <f t="shared" si="132"/>
        <v>6.3503153073950921E-2</v>
      </c>
      <c r="G73">
        <f t="shared" si="132"/>
        <v>6.1865582443150748E-2</v>
      </c>
      <c r="H73">
        <f t="shared" si="132"/>
        <v>6.0228011812350574E-2</v>
      </c>
      <c r="I73">
        <f>'Cibles THREEME'!$DB$22/I17</f>
        <v>5.8590441181550393E-2</v>
      </c>
      <c r="J73">
        <f t="shared" si="133"/>
        <v>5.1032669131871697E-2</v>
      </c>
      <c r="K73">
        <f t="shared" si="133"/>
        <v>4.3474897082193001E-2</v>
      </c>
      <c r="L73">
        <f>'Cibles THREEME'!$DC$22/L17</f>
        <v>3.5917125032514312E-2</v>
      </c>
      <c r="M73">
        <f t="shared" si="134"/>
        <v>3.5360050770582685E-2</v>
      </c>
      <c r="N73">
        <f>'Cibles THREEME'!$DD$22/N17</f>
        <v>3.4802976508651058E-2</v>
      </c>
      <c r="O73">
        <f t="shared" si="135"/>
        <v>3.4144397218009784E-2</v>
      </c>
      <c r="P73">
        <f t="shared" si="135"/>
        <v>3.3485817927368509E-2</v>
      </c>
      <c r="Q73">
        <f>'Cibles THREEME'!$DE$22/Q17</f>
        <v>3.2827238636727228E-2</v>
      </c>
      <c r="R73">
        <f t="shared" si="136"/>
        <v>3.2197754228460058E-2</v>
      </c>
      <c r="S73">
        <f>'Cibles THREEME'!$DF$22/S17</f>
        <v>3.1568269820192889E-2</v>
      </c>
      <c r="T73">
        <f t="shared" si="137"/>
        <v>3.1452513587360287E-2</v>
      </c>
      <c r="U73">
        <f t="shared" si="137"/>
        <v>3.1336757354527685E-2</v>
      </c>
      <c r="V73">
        <f>'Cibles THREEME'!$DG$22/V17</f>
        <v>3.1336757354527685E-2</v>
      </c>
      <c r="W73">
        <f t="shared" si="138"/>
        <v>3.126003385887724E-2</v>
      </c>
      <c r="X73">
        <f>'Cibles THREEME'!$DH$22/X17</f>
        <v>3.1183310363226788E-2</v>
      </c>
      <c r="Y73">
        <f t="shared" si="139"/>
        <v>3.1133800401688488E-2</v>
      </c>
      <c r="Z73">
        <f t="shared" si="139"/>
        <v>3.1084290440150188E-2</v>
      </c>
      <c r="AA73">
        <f>'Cibles THREEME'!$DI$22/AA17</f>
        <v>3.1034780478611888E-2</v>
      </c>
      <c r="AB73">
        <f t="shared" si="140"/>
        <v>3.0985172700264997E-2</v>
      </c>
      <c r="AC73">
        <f>'Cibles THREEME'!$DJ$22/AC17</f>
        <v>3.093556492191811E-2</v>
      </c>
      <c r="AD73">
        <f t="shared" si="141"/>
        <v>3.0887829277592017E-2</v>
      </c>
      <c r="AE73">
        <f t="shared" si="141"/>
        <v>3.0840093633265925E-2</v>
      </c>
      <c r="AF73">
        <f t="shared" si="141"/>
        <v>3.0792357988939832E-2</v>
      </c>
      <c r="AG73">
        <f t="shared" si="141"/>
        <v>3.074462234461374E-2</v>
      </c>
      <c r="AH73">
        <f>'Cibles THREEME'!$DK$22/AH17</f>
        <v>3.0696886700287643E-2</v>
      </c>
      <c r="AI73">
        <f t="shared" si="142"/>
        <v>3.0683212511198085E-2</v>
      </c>
      <c r="AJ73">
        <f t="shared" si="142"/>
        <v>3.0669538322108527E-2</v>
      </c>
      <c r="AK73">
        <f t="shared" si="142"/>
        <v>3.0655864133018969E-2</v>
      </c>
      <c r="AL73">
        <f t="shared" si="142"/>
        <v>3.0642189943929411E-2</v>
      </c>
      <c r="AM73">
        <f>'Cibles THREEME'!$DL$22/AM17</f>
        <v>3.0628515754839856E-2</v>
      </c>
    </row>
    <row r="74" spans="2:39" ht="15" thickBot="1">
      <c r="B74" s="592" t="s">
        <v>481</v>
      </c>
      <c r="C74">
        <v>2406</v>
      </c>
      <c r="D74" s="597">
        <f>SUM('Cibles THREEME'!$DA23:$DA24)*11.64/D18</f>
        <v>9.0848494823279793E-2</v>
      </c>
      <c r="E74">
        <f t="shared" si="132"/>
        <v>7.2678795858623829E-2</v>
      </c>
      <c r="F74">
        <f t="shared" si="132"/>
        <v>5.4509096893967872E-2</v>
      </c>
      <c r="G74">
        <f t="shared" si="132"/>
        <v>3.6339397929311915E-2</v>
      </c>
      <c r="H74">
        <f t="shared" si="132"/>
        <v>1.8169698964655957E-2</v>
      </c>
      <c r="I74">
        <f>SUM('Cibles THREEME'!$DB$23:$DB$24)/I18</f>
        <v>0</v>
      </c>
      <c r="J74">
        <f t="shared" si="133"/>
        <v>0</v>
      </c>
      <c r="K74">
        <f t="shared" si="133"/>
        <v>0</v>
      </c>
      <c r="L74">
        <f>SUM('Cibles THREEME'!$DC$23:$DC$24)/L18</f>
        <v>0</v>
      </c>
      <c r="M74">
        <f t="shared" si="134"/>
        <v>0</v>
      </c>
      <c r="N74">
        <f>SUM('Cibles THREEME'!$DD$23:$DD$24)/N18</f>
        <v>0</v>
      </c>
      <c r="O74">
        <f t="shared" si="135"/>
        <v>0</v>
      </c>
      <c r="P74">
        <f t="shared" si="135"/>
        <v>0</v>
      </c>
      <c r="Q74">
        <f>SUM('Cibles THREEME'!$DE$23:$DE$24)/Q18</f>
        <v>0</v>
      </c>
      <c r="R74">
        <f t="shared" si="136"/>
        <v>0</v>
      </c>
      <c r="S74">
        <f>SUM('Cibles THREEME'!$DF$23:$DF$24)/S18</f>
        <v>0</v>
      </c>
      <c r="T74">
        <f t="shared" si="137"/>
        <v>0</v>
      </c>
      <c r="U74">
        <f t="shared" si="137"/>
        <v>0</v>
      </c>
      <c r="V74">
        <f>SUM('Cibles THREEME'!$DG$23:$DG$24)/V18</f>
        <v>0</v>
      </c>
      <c r="W74">
        <f t="shared" si="138"/>
        <v>0</v>
      </c>
      <c r="X74">
        <f>SUM('Cibles THREEME'!$DH$23:$DH$24)/X18</f>
        <v>0</v>
      </c>
      <c r="Y74">
        <f t="shared" si="139"/>
        <v>0</v>
      </c>
      <c r="Z74">
        <f t="shared" si="139"/>
        <v>0</v>
      </c>
      <c r="AA74">
        <f>SUM('Cibles THREEME'!$DI$23:$DI$24)/AA18</f>
        <v>0</v>
      </c>
      <c r="AB74">
        <f t="shared" si="140"/>
        <v>0</v>
      </c>
      <c r="AC74">
        <f>SUM('Cibles THREEME'!$DJ$23:$DJ$24)/AC18</f>
        <v>0</v>
      </c>
      <c r="AD74">
        <f t="shared" si="141"/>
        <v>0</v>
      </c>
      <c r="AE74">
        <f t="shared" si="141"/>
        <v>0</v>
      </c>
      <c r="AF74">
        <f t="shared" si="141"/>
        <v>0</v>
      </c>
      <c r="AG74">
        <f t="shared" si="141"/>
        <v>0</v>
      </c>
      <c r="AH74">
        <f>SUM('Cibles THREEME'!$DK$23:$DK$24)/AH18</f>
        <v>0</v>
      </c>
      <c r="AI74">
        <f t="shared" si="142"/>
        <v>0</v>
      </c>
      <c r="AJ74">
        <f t="shared" si="142"/>
        <v>0</v>
      </c>
      <c r="AK74">
        <f t="shared" si="142"/>
        <v>0</v>
      </c>
      <c r="AL74">
        <f t="shared" si="142"/>
        <v>0</v>
      </c>
      <c r="AM74">
        <f>SUM('Cibles THREEME'!$DL$23:$DL$24)/AM18</f>
        <v>0</v>
      </c>
    </row>
    <row r="75" spans="2:39">
      <c r="B75" s="591" t="s">
        <v>42</v>
      </c>
      <c r="C75">
        <v>21</v>
      </c>
      <c r="D75">
        <f>'Cibles THREEME'!$CK$25</f>
        <v>2.2738979594717724E-3</v>
      </c>
      <c r="E75">
        <f t="shared" si="132"/>
        <v>3.2372443313159645E-3</v>
      </c>
      <c r="F75">
        <f t="shared" si="132"/>
        <v>4.2005907031601565E-3</v>
      </c>
      <c r="G75">
        <f t="shared" si="132"/>
        <v>5.1639370750043486E-3</v>
      </c>
      <c r="H75">
        <f t="shared" si="132"/>
        <v>6.1272834468485407E-3</v>
      </c>
      <c r="I75">
        <f>'Cibles THREEME'!$CL$25</f>
        <v>7.0906298186927336E-3</v>
      </c>
      <c r="J75">
        <f t="shared" si="133"/>
        <v>5.7630826974065926E-3</v>
      </c>
      <c r="K75">
        <f t="shared" si="133"/>
        <v>4.4355355761204517E-3</v>
      </c>
      <c r="L75" s="598">
        <f>'Cibles THREEME'!$CM$25</f>
        <v>3.1079884548343116E-3</v>
      </c>
      <c r="M75">
        <f t="shared" si="134"/>
        <v>3.1372408369766502E-3</v>
      </c>
      <c r="N75">
        <f>'Cibles THREEME'!$CN$25</f>
        <v>3.1664932191189888E-3</v>
      </c>
      <c r="O75">
        <f t="shared" si="135"/>
        <v>3.1737524664087829E-3</v>
      </c>
      <c r="P75">
        <f t="shared" si="135"/>
        <v>3.1810117136985769E-3</v>
      </c>
      <c r="Q75">
        <f>'Cibles THREEME'!$CO$25</f>
        <v>3.1882709609883713E-3</v>
      </c>
      <c r="R75">
        <f t="shared" si="136"/>
        <v>3.194871768386196E-3</v>
      </c>
      <c r="S75">
        <f>'Cibles THREEME'!$CP$25</f>
        <v>3.2014725757840211E-3</v>
      </c>
      <c r="T75">
        <f t="shared" si="137"/>
        <v>3.1840464416594315E-3</v>
      </c>
      <c r="U75">
        <f t="shared" si="137"/>
        <v>3.166620307534842E-3</v>
      </c>
      <c r="V75">
        <f>'Cibles THREEME'!$CQ$25</f>
        <v>3.166620307534842E-3</v>
      </c>
      <c r="W75">
        <f t="shared" si="138"/>
        <v>3.1566764864197441E-3</v>
      </c>
      <c r="X75">
        <f>'Cibles THREEME'!$CR$25</f>
        <v>3.1467326653046462E-3</v>
      </c>
      <c r="Y75">
        <f t="shared" si="139"/>
        <v>3.1500776427807139E-3</v>
      </c>
      <c r="Z75">
        <f t="shared" si="139"/>
        <v>3.1534226202567816E-3</v>
      </c>
      <c r="AA75">
        <f>'Cibles THREEME'!$CS$25</f>
        <v>3.1567675977328498E-3</v>
      </c>
      <c r="AB75">
        <f t="shared" si="140"/>
        <v>3.1612027585558779E-3</v>
      </c>
      <c r="AC75">
        <f>'Cibles THREEME'!$CT$25</f>
        <v>3.1656379193789057E-3</v>
      </c>
      <c r="AD75">
        <f t="shared" si="141"/>
        <v>3.173842002467502E-3</v>
      </c>
      <c r="AE75">
        <f t="shared" si="141"/>
        <v>3.1820460855560982E-3</v>
      </c>
      <c r="AF75">
        <f t="shared" si="141"/>
        <v>3.1902501686446945E-3</v>
      </c>
      <c r="AG75">
        <f t="shared" si="141"/>
        <v>3.1984542517332908E-3</v>
      </c>
      <c r="AH75">
        <f>'Cibles THREEME'!$CU$25</f>
        <v>3.2066583348218862E-3</v>
      </c>
      <c r="AI75">
        <f t="shared" si="142"/>
        <v>3.221046746582322E-3</v>
      </c>
      <c r="AJ75">
        <f t="shared" si="142"/>
        <v>3.2354351583427578E-3</v>
      </c>
      <c r="AK75">
        <f t="shared" si="142"/>
        <v>3.2498235701031936E-3</v>
      </c>
      <c r="AL75">
        <f t="shared" si="142"/>
        <v>3.2642119818636294E-3</v>
      </c>
      <c r="AM75">
        <f>'Cibles THREEME'!$CV$25</f>
        <v>3.2786003936240661E-3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046C4-1B5E-45ED-98E9-F28A17F1AD84}">
  <dimension ref="A2:AM75"/>
  <sheetViews>
    <sheetView zoomScale="70" zoomScaleNormal="70" workbookViewId="0">
      <selection activeCell="K25" sqref="K25"/>
    </sheetView>
  </sheetViews>
  <sheetFormatPr baseColWidth="10" defaultRowHeight="14.5"/>
  <cols>
    <col min="1" max="1" width="21.1796875" customWidth="1"/>
    <col min="2" max="2" width="39" customWidth="1"/>
    <col min="3" max="3" width="6.7265625" hidden="1" customWidth="1"/>
    <col min="4" max="10" width="12.453125" hidden="1" customWidth="1"/>
    <col min="11" max="11" width="12.453125" customWidth="1"/>
    <col min="12" max="14" width="0" hidden="1" customWidth="1"/>
    <col min="15" max="16" width="12.453125" hidden="1" customWidth="1"/>
    <col min="17" max="18" width="0" hidden="1" customWidth="1"/>
    <col min="20" max="21" width="12.453125" hidden="1" customWidth="1"/>
    <col min="22" max="24" width="0" hidden="1" customWidth="1"/>
    <col min="25" max="26" width="12.453125" hidden="1" customWidth="1"/>
    <col min="27" max="28" width="0" hidden="1" customWidth="1"/>
    <col min="30" max="38" width="0" hidden="1" customWidth="1"/>
  </cols>
  <sheetData>
    <row r="2" spans="1:39" ht="15" thickBot="1">
      <c r="D2" s="559">
        <v>2015</v>
      </c>
      <c r="E2" s="559">
        <v>2016</v>
      </c>
      <c r="F2" s="559">
        <v>2017</v>
      </c>
      <c r="G2" s="559">
        <v>2018</v>
      </c>
      <c r="H2" s="559">
        <v>2019</v>
      </c>
      <c r="I2" s="559">
        <v>2020</v>
      </c>
      <c r="J2" s="559">
        <v>2021</v>
      </c>
      <c r="K2" s="559">
        <v>2022</v>
      </c>
      <c r="L2" s="559">
        <v>2023</v>
      </c>
      <c r="M2" s="559">
        <v>2024</v>
      </c>
      <c r="N2" s="559">
        <v>2025</v>
      </c>
      <c r="O2" s="559">
        <v>2026</v>
      </c>
      <c r="P2" s="559">
        <v>2027</v>
      </c>
      <c r="Q2" s="559">
        <v>2028</v>
      </c>
      <c r="R2" s="559">
        <v>2029</v>
      </c>
      <c r="S2" s="559">
        <v>2030</v>
      </c>
      <c r="T2" s="559">
        <v>2031</v>
      </c>
      <c r="U2" s="559">
        <v>2032</v>
      </c>
      <c r="V2" s="559">
        <v>2033</v>
      </c>
      <c r="W2" s="559">
        <v>2034</v>
      </c>
      <c r="X2" s="559">
        <v>2035</v>
      </c>
      <c r="Y2" s="559">
        <v>2036</v>
      </c>
      <c r="Z2" s="559">
        <v>2037</v>
      </c>
      <c r="AA2" s="559">
        <v>2038</v>
      </c>
      <c r="AB2" s="559">
        <v>2039</v>
      </c>
      <c r="AC2" s="559">
        <v>2040</v>
      </c>
      <c r="AD2" s="559">
        <v>2041</v>
      </c>
      <c r="AE2" s="559">
        <v>2042</v>
      </c>
      <c r="AF2" s="559">
        <v>2043</v>
      </c>
      <c r="AG2" s="559">
        <v>2044</v>
      </c>
      <c r="AH2" s="559">
        <v>2045</v>
      </c>
      <c r="AI2" s="559">
        <v>2046</v>
      </c>
      <c r="AJ2" s="559">
        <v>2047</v>
      </c>
      <c r="AK2" s="559">
        <v>2048</v>
      </c>
      <c r="AL2" s="559">
        <v>2049</v>
      </c>
      <c r="AM2" s="559">
        <v>2050</v>
      </c>
    </row>
    <row r="3" spans="1:39">
      <c r="A3" s="593" t="s">
        <v>479</v>
      </c>
      <c r="B3" s="590" t="s">
        <v>266</v>
      </c>
      <c r="C3">
        <v>2201</v>
      </c>
      <c r="D3">
        <f>('Cibles THREEME AMS'!AT4+'Cibles THREEME AMS'!AT6)*11.64</f>
        <v>783.275537936516</v>
      </c>
      <c r="E3">
        <f>D3+(I3-D3)/5</f>
        <v>759.30555578890096</v>
      </c>
      <c r="F3">
        <f>E3+(I3-D3)/5</f>
        <v>735.33557364128592</v>
      </c>
      <c r="G3">
        <f>F3+(I3-D3)/5</f>
        <v>711.36559149367088</v>
      </c>
      <c r="H3">
        <f>G3+(I3-D3)/5</f>
        <v>687.39560934605583</v>
      </c>
      <c r="I3">
        <f>'Cibles THREEME AMS'!$AU4+'Cibles THREEME AMS'!$AU6</f>
        <v>663.42562719844057</v>
      </c>
      <c r="J3">
        <f>I3+(L3-I3)/3</f>
        <v>646.46516772809832</v>
      </c>
      <c r="K3">
        <f>J3+(L3-I3)/3</f>
        <v>629.50470825775608</v>
      </c>
      <c r="L3">
        <f>'Cibles THREEME AMS'!$AV4+'Cibles THREEME AMS'!$AV6</f>
        <v>612.54424878741395</v>
      </c>
      <c r="M3">
        <f>(L3+N3)/2</f>
        <v>598.32316590197956</v>
      </c>
      <c r="N3">
        <f>'Cibles THREEME AMS'!$AW4+'Cibles THREEME AMS'!$AW6</f>
        <v>584.10208301654529</v>
      </c>
      <c r="O3">
        <f>N3+(Q3-N3)/3</f>
        <v>556.13621112434339</v>
      </c>
      <c r="P3">
        <f>O3+(Q3-N3)/3</f>
        <v>528.17033923214149</v>
      </c>
      <c r="Q3">
        <f>'Cibles THREEME AMS'!$AX4+'Cibles THREEME AMS'!$AX6</f>
        <v>500.20446733993947</v>
      </c>
      <c r="R3">
        <f>(Q3+S3)/2</f>
        <v>472.56727992494194</v>
      </c>
      <c r="S3">
        <f>'Cibles THREEME AMS'!$AY4+'Cibles THREEME AMS'!$AY6</f>
        <v>444.93009250994442</v>
      </c>
      <c r="T3">
        <f>S3+(V3-S3)/3</f>
        <v>415.35920761179608</v>
      </c>
      <c r="U3">
        <f>T3+(V3-S3)/3</f>
        <v>385.78832271364774</v>
      </c>
      <c r="V3">
        <f>'Cibles THREEME AMS'!$AZ4+'Cibles THREEME AMS'!$AZ6</f>
        <v>356.21743781549935</v>
      </c>
      <c r="W3">
        <f>(V3+X3)/2</f>
        <v>326.90728369932049</v>
      </c>
      <c r="X3">
        <f>'Cibles THREEME AMS'!$BA4+'Cibles THREEME AMS'!$BA6</f>
        <v>297.59712958314162</v>
      </c>
      <c r="Y3">
        <f>X3+(AA3-X3)/3</f>
        <v>266.57532417446225</v>
      </c>
      <c r="Z3">
        <f>Y3+(AA3-X3)/3</f>
        <v>235.55351876578288</v>
      </c>
      <c r="AA3">
        <f>'Cibles THREEME AMS'!$BB4+'Cibles THREEME AMS'!$BB6</f>
        <v>204.53171335710351</v>
      </c>
      <c r="AB3">
        <f>(AA3+AC3)/2</f>
        <v>174.10250133471578</v>
      </c>
      <c r="AC3">
        <f>'Cibles THREEME AMS'!$BC4+'Cibles THREEME AMS'!$BC6</f>
        <v>143.67328931232805</v>
      </c>
      <c r="AD3">
        <f>AC3+(AH3-AC3)/5</f>
        <v>127.06540174959966</v>
      </c>
      <c r="AE3">
        <f>AD3+(AH3-AC3)/5</f>
        <v>110.45751418687126</v>
      </c>
      <c r="AF3">
        <f>AE3+(AH3-AC3)/5</f>
        <v>93.849626624142871</v>
      </c>
      <c r="AG3">
        <f>AF3+(AH3-AC3)/5</f>
        <v>77.241739061414478</v>
      </c>
      <c r="AH3">
        <f>'Cibles THREEME AMS'!$BD4+'Cibles THREEME AMS'!$BD6</f>
        <v>60.633851498686099</v>
      </c>
      <c r="AI3">
        <f>AH3+(AM3-AH3)/5</f>
        <v>57.082535101120428</v>
      </c>
      <c r="AJ3">
        <f>AI3+(AM3-AH3)/5</f>
        <v>53.531218703554757</v>
      </c>
      <c r="AK3">
        <f>AJ3+(AM3-AH3)/5</f>
        <v>49.979902305989086</v>
      </c>
      <c r="AL3">
        <f>AK3+(AM3-AH3)/5</f>
        <v>46.428585908423415</v>
      </c>
      <c r="AM3">
        <f>'Cibles THREEME AMS'!$BE4+'Cibles THREEME AMS'!$BE6</f>
        <v>42.87726951085773</v>
      </c>
    </row>
    <row r="4" spans="1:39" ht="15" thickBot="1">
      <c r="A4" s="594"/>
      <c r="B4" s="592" t="s">
        <v>346</v>
      </c>
      <c r="C4">
        <v>2202</v>
      </c>
      <c r="D4">
        <f>('Cibles THREEME AMS'!AT5+'Cibles THREEME AMS'!AT7)*11.64</f>
        <v>36.152288697081644</v>
      </c>
      <c r="E4">
        <f t="shared" ref="E4:E12" si="0">D4+(I4-D4)/5</f>
        <v>35.668116861174347</v>
      </c>
      <c r="F4">
        <f t="shared" ref="F4:F12" si="1">E4+(I4-D4)/5</f>
        <v>35.18394502526705</v>
      </c>
      <c r="G4">
        <f t="shared" ref="G4:G12" si="2">F4+(I4-D4)/5</f>
        <v>34.699773189359753</v>
      </c>
      <c r="H4">
        <f t="shared" ref="H4:H12" si="3">G4+(I4-D4)/5</f>
        <v>34.215601353452456</v>
      </c>
      <c r="I4">
        <f>'Cibles THREEME AMS'!$AU5+'Cibles THREEME AMS'!$AU7</f>
        <v>33.731429517545166</v>
      </c>
      <c r="J4">
        <f t="shared" ref="J4:J12" si="4">I4+(L4-I4)/3</f>
        <v>37.837296677423389</v>
      </c>
      <c r="K4">
        <f t="shared" ref="K4:K12" si="5">J4+(L4-I4)/3</f>
        <v>41.943163837301611</v>
      </c>
      <c r="L4">
        <f>'Cibles THREEME AMS'!$AV5+'Cibles THREEME AMS'!$AV7</f>
        <v>46.049030997179841</v>
      </c>
      <c r="M4">
        <f t="shared" ref="M4:M12" si="6">(L4+N4)/2</f>
        <v>48.454699548360423</v>
      </c>
      <c r="N4">
        <f>'Cibles THREEME AMS'!$AW5+'Cibles THREEME AMS'!$AW7</f>
        <v>50.860368099541013</v>
      </c>
      <c r="O4">
        <f t="shared" ref="O4:O12" si="7">N4+(Q4-N4)/3</f>
        <v>51.941478333377837</v>
      </c>
      <c r="P4">
        <f t="shared" ref="P4:P12" si="8">O4+(Q4-N4)/3</f>
        <v>53.022588567214662</v>
      </c>
      <c r="Q4">
        <f>'Cibles THREEME AMS'!$AX5+'Cibles THREEME AMS'!$AX7</f>
        <v>54.103698801051493</v>
      </c>
      <c r="R4">
        <f t="shared" ref="R4:R12" si="9">(Q4+S4)/2</f>
        <v>55.011279050391778</v>
      </c>
      <c r="S4">
        <f>'Cibles THREEME AMS'!$AY5+'Cibles THREEME AMS'!$AY7</f>
        <v>55.918859299732063</v>
      </c>
      <c r="T4">
        <f t="shared" ref="T4:T12" si="10">S4+(V4-S4)/3</f>
        <v>60.579158378082504</v>
      </c>
      <c r="U4">
        <f t="shared" ref="U4:U12" si="11">T4+(V4-S4)/3</f>
        <v>65.239457456432945</v>
      </c>
      <c r="V4">
        <f>'Cibles THREEME AMS'!$AZ5+'Cibles THREEME AMS'!$AZ7</f>
        <v>69.899756534783393</v>
      </c>
      <c r="W4">
        <f t="shared" ref="W4:W12" si="12">(V4+X4)/2</f>
        <v>74.400080075846731</v>
      </c>
      <c r="X4">
        <f>'Cibles THREEME AMS'!$BA5+'Cibles THREEME AMS'!$BA7</f>
        <v>78.900403616910069</v>
      </c>
      <c r="Y4">
        <f t="shared" ref="Y4:Y12" si="13">X4+(AA4-X4)/3</f>
        <v>85.647855668361089</v>
      </c>
      <c r="Z4">
        <f t="shared" ref="Z4:Z12" si="14">Y4+(AA4-X4)/3</f>
        <v>92.395307719812109</v>
      </c>
      <c r="AA4">
        <f>'Cibles THREEME AMS'!$BB5+'Cibles THREEME AMS'!$BB7</f>
        <v>99.142759771263144</v>
      </c>
      <c r="AB4">
        <f t="shared" ref="AB4:AB12" si="15">(AA4+AC4)/2</f>
        <v>105.37226155423269</v>
      </c>
      <c r="AC4">
        <f>'Cibles THREEME AMS'!$BC5+'Cibles THREEME AMS'!$BC7</f>
        <v>111.60176333720223</v>
      </c>
      <c r="AD4">
        <f t="shared" ref="AD4:AD12" si="16">AC4+(AH4-AC4)/5</f>
        <v>109.64128329632813</v>
      </c>
      <c r="AE4">
        <f t="shared" ref="AE4:AE12" si="17">AD4+(AH4-AC4)/5</f>
        <v>107.68080325545402</v>
      </c>
      <c r="AF4">
        <f t="shared" ref="AF4:AF12" si="18">AE4+(AH4-AC4)/5</f>
        <v>105.72032321457992</v>
      </c>
      <c r="AG4">
        <f t="shared" ref="AG4:AG12" si="19">AF4+(AH4-AC4)/5</f>
        <v>103.75984317370582</v>
      </c>
      <c r="AH4">
        <f>'Cibles THREEME AMS'!$BD5+'Cibles THREEME AMS'!$BD7</f>
        <v>101.79936313283173</v>
      </c>
      <c r="AI4">
        <f t="shared" ref="AI4:AI12" si="20">AH4+(AM4-AH4)/5</f>
        <v>94.051860868558649</v>
      </c>
      <c r="AJ4">
        <f t="shared" ref="AJ4:AJ12" si="21">AI4+(AM4-AH4)/5</f>
        <v>86.304358604285568</v>
      </c>
      <c r="AK4">
        <f t="shared" ref="AK4:AK12" si="22">AJ4+(AM4-AH4)/5</f>
        <v>78.556856340012487</v>
      </c>
      <c r="AL4">
        <f t="shared" ref="AL4:AL12" si="23">AK4+(AM4-AH4)/5</f>
        <v>70.809354075739407</v>
      </c>
      <c r="AM4">
        <f>'Cibles THREEME AMS'!$BE5+'Cibles THREEME AMS'!$BE7</f>
        <v>63.061851811466354</v>
      </c>
    </row>
    <row r="5" spans="1:39">
      <c r="A5" s="593"/>
      <c r="B5" s="590" t="s">
        <v>20</v>
      </c>
      <c r="C5">
        <v>2301</v>
      </c>
      <c r="D5">
        <f>'Cibles THREEME AMS'!AT9*11.64</f>
        <v>344.11165950147438</v>
      </c>
      <c r="E5">
        <f t="shared" si="0"/>
        <v>331.46061119432898</v>
      </c>
      <c r="F5">
        <f t="shared" si="1"/>
        <v>318.80956288718357</v>
      </c>
      <c r="G5">
        <f t="shared" si="2"/>
        <v>306.15851458003817</v>
      </c>
      <c r="H5">
        <f t="shared" si="3"/>
        <v>293.50746627289277</v>
      </c>
      <c r="I5">
        <f>'Cibles THREEME AMS'!$AU9</f>
        <v>280.85641796574743</v>
      </c>
      <c r="J5">
        <f t="shared" si="4"/>
        <v>278.94879228244343</v>
      </c>
      <c r="K5">
        <f t="shared" si="5"/>
        <v>277.04116659913944</v>
      </c>
      <c r="L5">
        <f>'Cibles THREEME AMS'!$AV9</f>
        <v>275.13354091583551</v>
      </c>
      <c r="M5">
        <f t="shared" si="6"/>
        <v>274.43343968738941</v>
      </c>
      <c r="N5">
        <f>'Cibles THREEME AMS'!$AW9</f>
        <v>273.73333845894336</v>
      </c>
      <c r="O5">
        <f t="shared" si="7"/>
        <v>269.83636513667352</v>
      </c>
      <c r="P5">
        <f t="shared" si="8"/>
        <v>265.93939181440368</v>
      </c>
      <c r="Q5">
        <f>'Cibles THREEME AMS'!$AX9</f>
        <v>262.04241849213389</v>
      </c>
      <c r="R5">
        <f t="shared" si="9"/>
        <v>258.0968129252629</v>
      </c>
      <c r="S5">
        <f>'Cibles THREEME AMS'!$AY9</f>
        <v>254.1512073583919</v>
      </c>
      <c r="T5">
        <f t="shared" si="10"/>
        <v>250.34983957297919</v>
      </c>
      <c r="U5">
        <f t="shared" si="11"/>
        <v>246.54847178756648</v>
      </c>
      <c r="V5">
        <f>'Cibles THREEME AMS'!$AZ9</f>
        <v>242.7471040021538</v>
      </c>
      <c r="W5">
        <f t="shared" si="12"/>
        <v>239.11286609086318</v>
      </c>
      <c r="X5">
        <f>'Cibles THREEME AMS'!$BA9</f>
        <v>235.47862817957252</v>
      </c>
      <c r="Y5">
        <f t="shared" si="13"/>
        <v>231.78561583010435</v>
      </c>
      <c r="Z5">
        <f t="shared" si="14"/>
        <v>228.09260348063617</v>
      </c>
      <c r="AA5">
        <f>'Cibles THREEME AMS'!$BB9</f>
        <v>224.39959113116802</v>
      </c>
      <c r="AB5">
        <f t="shared" si="15"/>
        <v>220.98130635404132</v>
      </c>
      <c r="AC5">
        <f>'Cibles THREEME AMS'!$BC9</f>
        <v>217.56302157691462</v>
      </c>
      <c r="AD5">
        <f t="shared" si="16"/>
        <v>209.50940540719051</v>
      </c>
      <c r="AE5">
        <f t="shared" si="17"/>
        <v>201.4557892374664</v>
      </c>
      <c r="AF5">
        <f t="shared" si="18"/>
        <v>193.4021730677423</v>
      </c>
      <c r="AG5">
        <f t="shared" si="19"/>
        <v>185.34855689801819</v>
      </c>
      <c r="AH5">
        <f>'Cibles THREEME AMS'!$BD9</f>
        <v>177.29494072829408</v>
      </c>
      <c r="AI5">
        <f t="shared" si="20"/>
        <v>167.27515575907938</v>
      </c>
      <c r="AJ5">
        <f t="shared" si="21"/>
        <v>157.25537078986468</v>
      </c>
      <c r="AK5">
        <f t="shared" si="22"/>
        <v>147.23558582064999</v>
      </c>
      <c r="AL5">
        <f t="shared" si="23"/>
        <v>137.21580085143529</v>
      </c>
      <c r="AM5">
        <f>'Cibles THREEME AMS'!$BE9</f>
        <v>127.19601588222059</v>
      </c>
    </row>
    <row r="6" spans="1:39">
      <c r="A6" s="595"/>
      <c r="B6" s="591" t="s">
        <v>224</v>
      </c>
      <c r="C6">
        <f>C5+1</f>
        <v>2302</v>
      </c>
      <c r="D6">
        <f>'Cibles THREEME AMS'!AT10*11.64</f>
        <v>2.7042654827179389</v>
      </c>
      <c r="E6">
        <f t="shared" si="0"/>
        <v>2.3988002877945878</v>
      </c>
      <c r="F6">
        <f t="shared" si="1"/>
        <v>2.0933350928712366</v>
      </c>
      <c r="G6">
        <f t="shared" si="2"/>
        <v>1.7878698979478858</v>
      </c>
      <c r="H6">
        <f t="shared" si="3"/>
        <v>1.4824047030245349</v>
      </c>
      <c r="I6">
        <f>'Cibles THREEME AMS'!$AU10</f>
        <v>1.1769395081011844</v>
      </c>
      <c r="J6">
        <f t="shared" si="4"/>
        <v>1.8261200686240207</v>
      </c>
      <c r="K6">
        <f t="shared" si="5"/>
        <v>2.4753006291468571</v>
      </c>
      <c r="L6">
        <f>'Cibles THREEME AMS'!$AV10</f>
        <v>3.1244811896696931</v>
      </c>
      <c r="M6">
        <f t="shared" si="6"/>
        <v>2.4118570328301128</v>
      </c>
      <c r="N6">
        <f>'Cibles THREEME AMS'!$AW10</f>
        <v>1.6992328759905324</v>
      </c>
      <c r="O6">
        <f t="shared" si="7"/>
        <v>1.4098340162135263</v>
      </c>
      <c r="P6">
        <f t="shared" si="8"/>
        <v>1.1204351564365203</v>
      </c>
      <c r="Q6">
        <f>'Cibles THREEME AMS'!$AX10</f>
        <v>0.83103629665951395</v>
      </c>
      <c r="R6">
        <f t="shared" si="9"/>
        <v>0.54781108268844236</v>
      </c>
      <c r="S6">
        <f>'Cibles THREEME AMS'!$AY10</f>
        <v>0.26458586871737089</v>
      </c>
      <c r="T6">
        <f t="shared" si="10"/>
        <v>0.26381214472450792</v>
      </c>
      <c r="U6">
        <f t="shared" si="11"/>
        <v>0.26303842073164496</v>
      </c>
      <c r="V6">
        <f>'Cibles THREEME AMS'!$AZ10</f>
        <v>0.26226469673878205</v>
      </c>
      <c r="W6">
        <f t="shared" si="12"/>
        <v>0.26153116305824564</v>
      </c>
      <c r="X6">
        <f>'Cibles THREEME AMS'!$BA10</f>
        <v>0.26079762937770923</v>
      </c>
      <c r="Y6">
        <f t="shared" si="13"/>
        <v>0.21129425820059922</v>
      </c>
      <c r="Z6">
        <f t="shared" si="14"/>
        <v>0.1617908870234892</v>
      </c>
      <c r="AA6">
        <f>'Cibles THREEME AMS'!$BB10</f>
        <v>0.11228751584637919</v>
      </c>
      <c r="AB6">
        <f t="shared" si="15"/>
        <v>0.11616567317918251</v>
      </c>
      <c r="AC6">
        <f>'Cibles THREEME AMS'!$BC10</f>
        <v>0.12004383051198583</v>
      </c>
      <c r="AD6">
        <f t="shared" si="16"/>
        <v>0.11603506440958866</v>
      </c>
      <c r="AE6">
        <f t="shared" si="17"/>
        <v>0.11202629830719149</v>
      </c>
      <c r="AF6">
        <f t="shared" si="18"/>
        <v>0.10801753220479432</v>
      </c>
      <c r="AG6">
        <f t="shared" si="19"/>
        <v>0.10400876610239715</v>
      </c>
      <c r="AH6">
        <f>'Cibles THREEME AMS'!$BD10</f>
        <v>0.1</v>
      </c>
      <c r="AI6">
        <f t="shared" si="20"/>
        <v>0.1</v>
      </c>
      <c r="AJ6">
        <f t="shared" si="21"/>
        <v>0.1</v>
      </c>
      <c r="AK6">
        <f t="shared" si="22"/>
        <v>0.1</v>
      </c>
      <c r="AL6">
        <f t="shared" si="23"/>
        <v>0.1</v>
      </c>
      <c r="AM6">
        <f>'Cibles THREEME AMS'!$BE10</f>
        <v>0.1</v>
      </c>
    </row>
    <row r="7" spans="1:39">
      <c r="A7" s="595"/>
      <c r="B7" s="591" t="s">
        <v>32</v>
      </c>
      <c r="C7">
        <f t="shared" ref="C7:C12" si="24">C6+1</f>
        <v>2303</v>
      </c>
      <c r="D7">
        <f>('Cibles THREEME AMS'!AT11+'Cibles THREEME AMS'!AT13)*11.64</f>
        <v>17.880295451810653</v>
      </c>
      <c r="E7">
        <f t="shared" si="0"/>
        <v>19.285172197958776</v>
      </c>
      <c r="F7">
        <f t="shared" si="1"/>
        <v>20.690048944106898</v>
      </c>
      <c r="G7">
        <f t="shared" si="2"/>
        <v>22.094925690255021</v>
      </c>
      <c r="H7">
        <f t="shared" si="3"/>
        <v>23.499802436403144</v>
      </c>
      <c r="I7">
        <f>'Cibles THREEME AMS'!$AU11+'Cibles THREEME AMS'!$AU13</f>
        <v>24.904679182551273</v>
      </c>
      <c r="J7">
        <f t="shared" si="4"/>
        <v>23.884791660140678</v>
      </c>
      <c r="K7">
        <f t="shared" si="5"/>
        <v>22.864904137730083</v>
      </c>
      <c r="L7">
        <f>'Cibles THREEME AMS'!$AV11+'Cibles THREEME AMS'!$AV13</f>
        <v>21.845016615319491</v>
      </c>
      <c r="M7">
        <f t="shared" si="6"/>
        <v>19.736342192386644</v>
      </c>
      <c r="N7">
        <f>'Cibles THREEME AMS'!$AW11+'Cibles THREEME AMS'!$AW13</f>
        <v>17.627667769453801</v>
      </c>
      <c r="O7">
        <f t="shared" si="7"/>
        <v>17.55567565228591</v>
      </c>
      <c r="P7">
        <f t="shared" si="8"/>
        <v>17.483683535118018</v>
      </c>
      <c r="Q7">
        <f>'Cibles THREEME AMS'!$AX11+'Cibles THREEME AMS'!$AX13</f>
        <v>17.411691417950131</v>
      </c>
      <c r="R7">
        <f t="shared" si="9"/>
        <v>17.331536423393587</v>
      </c>
      <c r="S7">
        <f>'Cibles THREEME AMS'!$AY11+'Cibles THREEME AMS'!$AY13</f>
        <v>17.251381428837039</v>
      </c>
      <c r="T7">
        <f t="shared" si="10"/>
        <v>14.900671797919037</v>
      </c>
      <c r="U7">
        <f t="shared" si="11"/>
        <v>12.549962167001034</v>
      </c>
      <c r="V7">
        <f>'Cibles THREEME AMS'!$AZ11+'Cibles THREEME AMS'!$AZ13</f>
        <v>10.19925253608303</v>
      </c>
      <c r="W7">
        <f t="shared" si="12"/>
        <v>7.9505967162795184</v>
      </c>
      <c r="X7">
        <f>'Cibles THREEME AMS'!$BA11+'Cibles THREEME AMS'!$BA13</f>
        <v>5.7019408964760068</v>
      </c>
      <c r="Y7">
        <f t="shared" si="13"/>
        <v>5.3494118827290249</v>
      </c>
      <c r="Z7">
        <f t="shared" si="14"/>
        <v>4.996882868982043</v>
      </c>
      <c r="AA7">
        <f>'Cibles THREEME AMS'!$BB11+'Cibles THREEME AMS'!$BB13</f>
        <v>4.6443538552350612</v>
      </c>
      <c r="AB7">
        <f t="shared" si="15"/>
        <v>4.3219753558577754</v>
      </c>
      <c r="AC7">
        <f>'Cibles THREEME AMS'!$BC11+'Cibles THREEME AMS'!$BC13</f>
        <v>3.9995968564804905</v>
      </c>
      <c r="AD7">
        <f t="shared" si="16"/>
        <v>4.0989693002111132</v>
      </c>
      <c r="AE7">
        <f t="shared" si="17"/>
        <v>4.1983417439417359</v>
      </c>
      <c r="AF7">
        <f t="shared" si="18"/>
        <v>4.2977141876723586</v>
      </c>
      <c r="AG7">
        <f t="shared" si="19"/>
        <v>4.3970866314029813</v>
      </c>
      <c r="AH7">
        <f>'Cibles THREEME AMS'!$BD11+'Cibles THREEME AMS'!$BD13</f>
        <v>4.4964590751336031</v>
      </c>
      <c r="AI7">
        <f t="shared" si="20"/>
        <v>5.4168830785688922</v>
      </c>
      <c r="AJ7">
        <f t="shared" si="21"/>
        <v>6.3373070820041812</v>
      </c>
      <c r="AK7">
        <f t="shared" si="22"/>
        <v>7.2577310854394703</v>
      </c>
      <c r="AL7">
        <f t="shared" si="23"/>
        <v>8.1781550888747603</v>
      </c>
      <c r="AM7">
        <f>'Cibles THREEME AMS'!$BE11+'Cibles THREEME AMS'!$BE13</f>
        <v>9.0985790923100485</v>
      </c>
    </row>
    <row r="8" spans="1:39">
      <c r="A8" s="595" t="s">
        <v>104</v>
      </c>
      <c r="B8" s="591" t="s">
        <v>42</v>
      </c>
      <c r="C8">
        <f t="shared" si="24"/>
        <v>2304</v>
      </c>
      <c r="D8">
        <f>'Cibles THREEME AMS'!AT12*11.64</f>
        <v>8.3372544767999575</v>
      </c>
      <c r="E8">
        <f t="shared" si="0"/>
        <v>7.1337536968902686</v>
      </c>
      <c r="F8">
        <f t="shared" si="1"/>
        <v>5.9302529169805798</v>
      </c>
      <c r="G8">
        <f t="shared" si="2"/>
        <v>4.7267521370708909</v>
      </c>
      <c r="H8">
        <f t="shared" si="3"/>
        <v>3.5232513571612021</v>
      </c>
      <c r="I8">
        <f>'Cibles THREEME AMS'!$AU12</f>
        <v>2.3197505772515123</v>
      </c>
      <c r="J8">
        <f t="shared" si="4"/>
        <v>2.1239427701590241</v>
      </c>
      <c r="K8">
        <f t="shared" si="5"/>
        <v>1.9281349630665356</v>
      </c>
      <c r="L8">
        <f>'Cibles THREEME AMS'!$AV12</f>
        <v>1.7323271559740472</v>
      </c>
      <c r="M8">
        <f t="shared" si="6"/>
        <v>1.4987466066660593</v>
      </c>
      <c r="N8">
        <f>'Cibles THREEME AMS'!$AW12</f>
        <v>1.2651660573580714</v>
      </c>
      <c r="O8">
        <f t="shared" si="7"/>
        <v>1.0099023348631539</v>
      </c>
      <c r="P8">
        <f t="shared" si="8"/>
        <v>0.75463861236823648</v>
      </c>
      <c r="Q8">
        <f>'Cibles THREEME AMS'!$AX12</f>
        <v>0.49937488987331907</v>
      </c>
      <c r="R8">
        <f t="shared" si="9"/>
        <v>0.34968744493665954</v>
      </c>
      <c r="S8">
        <f>'Cibles THREEME AMS'!$AY12</f>
        <v>0.2</v>
      </c>
      <c r="T8">
        <f t="shared" si="10"/>
        <v>0.16666666666666669</v>
      </c>
      <c r="U8">
        <f t="shared" si="11"/>
        <v>0.13333333333333336</v>
      </c>
      <c r="V8">
        <f>'Cibles THREEME AMS'!$AZ12</f>
        <v>0.1</v>
      </c>
      <c r="W8">
        <f t="shared" si="12"/>
        <v>0.1</v>
      </c>
      <c r="X8">
        <f>'Cibles THREEME AMS'!$BA12</f>
        <v>0.1</v>
      </c>
      <c r="Y8">
        <f t="shared" si="13"/>
        <v>0.1</v>
      </c>
      <c r="Z8">
        <f t="shared" si="14"/>
        <v>0.1</v>
      </c>
      <c r="AA8">
        <f>'Cibles THREEME AMS'!$BB12</f>
        <v>0.1</v>
      </c>
      <c r="AB8">
        <f t="shared" si="15"/>
        <v>0.1</v>
      </c>
      <c r="AC8">
        <f>'Cibles THREEME AMS'!$BC12</f>
        <v>0.1</v>
      </c>
      <c r="AD8">
        <f t="shared" si="16"/>
        <v>0.1</v>
      </c>
      <c r="AE8">
        <f t="shared" si="17"/>
        <v>0.1</v>
      </c>
      <c r="AF8">
        <f t="shared" si="18"/>
        <v>0.1</v>
      </c>
      <c r="AG8">
        <f t="shared" si="19"/>
        <v>0.1</v>
      </c>
      <c r="AH8">
        <f>'Cibles THREEME AMS'!$BD12</f>
        <v>0.1</v>
      </c>
      <c r="AI8">
        <f t="shared" si="20"/>
        <v>0.1</v>
      </c>
      <c r="AJ8">
        <f t="shared" si="21"/>
        <v>0.1</v>
      </c>
      <c r="AK8">
        <f t="shared" si="22"/>
        <v>0.1</v>
      </c>
      <c r="AL8">
        <f t="shared" si="23"/>
        <v>0.1</v>
      </c>
      <c r="AM8">
        <f>'Cibles THREEME AMS'!$BE12</f>
        <v>0.1</v>
      </c>
    </row>
    <row r="9" spans="1:39">
      <c r="A9" s="595"/>
      <c r="B9" s="591" t="s">
        <v>477</v>
      </c>
      <c r="C9">
        <f t="shared" si="24"/>
        <v>2305</v>
      </c>
      <c r="D9">
        <f>'Cibles THREEME AMS'!AT14*11.64</f>
        <v>23.590230128792182</v>
      </c>
      <c r="E9">
        <f t="shared" si="0"/>
        <v>25.666365542170922</v>
      </c>
      <c r="F9">
        <f t="shared" si="1"/>
        <v>27.742500955549662</v>
      </c>
      <c r="G9">
        <f t="shared" si="2"/>
        <v>29.818636368928402</v>
      </c>
      <c r="H9">
        <f t="shared" si="3"/>
        <v>31.894771782307142</v>
      </c>
      <c r="I9">
        <f>'Cibles THREEME AMS'!$AU14</f>
        <v>33.970907195685882</v>
      </c>
      <c r="J9">
        <f t="shared" si="4"/>
        <v>36.728383987020358</v>
      </c>
      <c r="K9">
        <f t="shared" si="5"/>
        <v>39.485860778354834</v>
      </c>
      <c r="L9">
        <f>'Cibles THREEME AMS'!$AV14</f>
        <v>42.243337569689302</v>
      </c>
      <c r="M9">
        <f t="shared" si="6"/>
        <v>44.977214057897427</v>
      </c>
      <c r="N9">
        <f>'Cibles THREEME AMS'!$AW14</f>
        <v>47.711090546105559</v>
      </c>
      <c r="O9">
        <f t="shared" si="7"/>
        <v>50.327011146326967</v>
      </c>
      <c r="P9">
        <f t="shared" si="8"/>
        <v>52.942931746548375</v>
      </c>
      <c r="Q9">
        <f>'Cibles THREEME AMS'!$AX14</f>
        <v>55.558852346769783</v>
      </c>
      <c r="R9">
        <f t="shared" si="9"/>
        <v>58.068241978328381</v>
      </c>
      <c r="S9">
        <f>'Cibles THREEME AMS'!$AY14</f>
        <v>60.577631609886978</v>
      </c>
      <c r="T9">
        <f t="shared" si="10"/>
        <v>66.866329729550955</v>
      </c>
      <c r="U9">
        <f t="shared" si="11"/>
        <v>73.155027849214932</v>
      </c>
      <c r="V9">
        <f>'Cibles THREEME AMS'!$AZ14</f>
        <v>79.443725968878894</v>
      </c>
      <c r="W9">
        <f t="shared" si="12"/>
        <v>85.438550176264258</v>
      </c>
      <c r="X9">
        <f>'Cibles THREEME AMS'!$BA14</f>
        <v>91.433374383649621</v>
      </c>
      <c r="Y9">
        <f t="shared" si="13"/>
        <v>97.363051059672244</v>
      </c>
      <c r="Z9">
        <f t="shared" si="14"/>
        <v>103.29272773569487</v>
      </c>
      <c r="AA9">
        <f>'Cibles THREEME AMS'!$BB14</f>
        <v>109.22240441171748</v>
      </c>
      <c r="AB9">
        <f t="shared" si="15"/>
        <v>114.69923201008498</v>
      </c>
      <c r="AC9">
        <f>'Cibles THREEME AMS'!$BC14</f>
        <v>120.17605960845248</v>
      </c>
      <c r="AD9">
        <f t="shared" si="16"/>
        <v>126.93176883768848</v>
      </c>
      <c r="AE9">
        <f t="shared" si="17"/>
        <v>133.68747806692448</v>
      </c>
      <c r="AF9">
        <f t="shared" si="18"/>
        <v>140.44318729616049</v>
      </c>
      <c r="AG9">
        <f t="shared" si="19"/>
        <v>147.19889652539649</v>
      </c>
      <c r="AH9">
        <f>'Cibles THREEME AMS'!$BD14</f>
        <v>153.95460575463247</v>
      </c>
      <c r="AI9">
        <f t="shared" si="20"/>
        <v>159.83217635940497</v>
      </c>
      <c r="AJ9">
        <f t="shared" si="21"/>
        <v>165.70974696417747</v>
      </c>
      <c r="AK9">
        <f t="shared" si="22"/>
        <v>171.58731756894997</v>
      </c>
      <c r="AL9">
        <f t="shared" si="23"/>
        <v>177.46488817372247</v>
      </c>
      <c r="AM9">
        <f>'Cibles THREEME AMS'!$BE14</f>
        <v>183.34245877849503</v>
      </c>
    </row>
    <row r="10" spans="1:39">
      <c r="A10" s="595"/>
      <c r="B10" s="591" t="s">
        <v>279</v>
      </c>
      <c r="C10">
        <f t="shared" si="24"/>
        <v>2306</v>
      </c>
      <c r="D10">
        <f>'Cibles THREEME AMS'!AT15*11.64</f>
        <v>10.396335393297836</v>
      </c>
      <c r="E10">
        <f t="shared" si="0"/>
        <v>11.311298916822121</v>
      </c>
      <c r="F10">
        <f t="shared" si="1"/>
        <v>12.226262440346407</v>
      </c>
      <c r="G10">
        <f t="shared" si="2"/>
        <v>13.141225963870692</v>
      </c>
      <c r="H10">
        <f t="shared" si="3"/>
        <v>14.056189487394978</v>
      </c>
      <c r="I10">
        <f>'Cibles THREEME AMS'!$AU15</f>
        <v>14.971153010919259</v>
      </c>
      <c r="J10">
        <f t="shared" si="4"/>
        <v>15.951319925761213</v>
      </c>
      <c r="K10">
        <f t="shared" si="5"/>
        <v>16.931486840603167</v>
      </c>
      <c r="L10">
        <f>'Cibles THREEME AMS'!$AV15</f>
        <v>17.911653755445119</v>
      </c>
      <c r="M10">
        <f t="shared" si="6"/>
        <v>20.572052884257502</v>
      </c>
      <c r="N10">
        <f>'Cibles THREEME AMS'!$AW15</f>
        <v>23.232452013069889</v>
      </c>
      <c r="O10">
        <f t="shared" si="7"/>
        <v>27.062489218209187</v>
      </c>
      <c r="P10">
        <f t="shared" si="8"/>
        <v>30.892526423348485</v>
      </c>
      <c r="Q10">
        <f>'Cibles THREEME AMS'!$AX15</f>
        <v>34.722563628487784</v>
      </c>
      <c r="R10">
        <f t="shared" si="9"/>
        <v>38.312219370463382</v>
      </c>
      <c r="S10">
        <f>'Cibles THREEME AMS'!$AY15</f>
        <v>41.901875112438987</v>
      </c>
      <c r="T10">
        <f t="shared" si="10"/>
        <v>45.383292393293985</v>
      </c>
      <c r="U10">
        <f t="shared" si="11"/>
        <v>48.864709674148983</v>
      </c>
      <c r="V10">
        <f>'Cibles THREEME AMS'!$AZ15</f>
        <v>52.346126955003989</v>
      </c>
      <c r="W10">
        <f t="shared" si="12"/>
        <v>55.670162108319246</v>
      </c>
      <c r="X10">
        <f>'Cibles THREEME AMS'!$BA15</f>
        <v>58.994197261634504</v>
      </c>
      <c r="Y10">
        <f t="shared" si="13"/>
        <v>61.392639506717579</v>
      </c>
      <c r="Z10">
        <f t="shared" si="14"/>
        <v>63.791081751800654</v>
      </c>
      <c r="AA10">
        <f>'Cibles THREEME AMS'!$BB15</f>
        <v>66.189523996883722</v>
      </c>
      <c r="AB10">
        <f t="shared" si="15"/>
        <v>68.431048836525349</v>
      </c>
      <c r="AC10">
        <f>'Cibles THREEME AMS'!$BC15</f>
        <v>70.672573676166976</v>
      </c>
      <c r="AD10">
        <f t="shared" si="16"/>
        <v>73.726895165006539</v>
      </c>
      <c r="AE10">
        <f t="shared" si="17"/>
        <v>76.781216653846101</v>
      </c>
      <c r="AF10">
        <f t="shared" si="18"/>
        <v>79.835538142685664</v>
      </c>
      <c r="AG10">
        <f t="shared" si="19"/>
        <v>82.889859631525226</v>
      </c>
      <c r="AH10">
        <f>'Cibles THREEME AMS'!$BD15</f>
        <v>85.944181120364803</v>
      </c>
      <c r="AI10">
        <f t="shared" si="20"/>
        <v>87.823251098375749</v>
      </c>
      <c r="AJ10">
        <f t="shared" si="21"/>
        <v>89.702321076386696</v>
      </c>
      <c r="AK10">
        <f t="shared" si="22"/>
        <v>91.581391054397642</v>
      </c>
      <c r="AL10">
        <f t="shared" si="23"/>
        <v>93.460461032408588</v>
      </c>
      <c r="AM10">
        <f>'Cibles THREEME AMS'!$BE15</f>
        <v>95.339531010419549</v>
      </c>
    </row>
    <row r="11" spans="1:39">
      <c r="A11" s="595"/>
      <c r="B11" s="591" t="s">
        <v>18</v>
      </c>
      <c r="C11">
        <f t="shared" si="24"/>
        <v>2307</v>
      </c>
      <c r="D11">
        <f>'Cibles THREEME AMS'!AT16*11.64</f>
        <v>28.826202681416731</v>
      </c>
      <c r="E11">
        <f t="shared" si="0"/>
        <v>31.363146996643156</v>
      </c>
      <c r="F11">
        <f t="shared" si="1"/>
        <v>33.900091311869581</v>
      </c>
      <c r="G11">
        <f t="shared" si="2"/>
        <v>36.437035627096009</v>
      </c>
      <c r="H11">
        <f t="shared" si="3"/>
        <v>38.973979942322437</v>
      </c>
      <c r="I11">
        <f>'Cibles THREEME AMS'!$AU16</f>
        <v>41.510924257548858</v>
      </c>
      <c r="J11">
        <f t="shared" si="4"/>
        <v>44.657144543399646</v>
      </c>
      <c r="K11">
        <f t="shared" si="5"/>
        <v>47.803364829250434</v>
      </c>
      <c r="L11">
        <f>'Cibles THREEME AMS'!$AV16</f>
        <v>50.949585115101229</v>
      </c>
      <c r="M11">
        <f t="shared" si="6"/>
        <v>50.914673969391103</v>
      </c>
      <c r="N11">
        <f>'Cibles THREEME AMS'!$AW16</f>
        <v>50.879762823680977</v>
      </c>
      <c r="O11">
        <f t="shared" si="7"/>
        <v>50.312172885858729</v>
      </c>
      <c r="P11">
        <f t="shared" si="8"/>
        <v>49.744582948036481</v>
      </c>
      <c r="Q11">
        <f>'Cibles THREEME AMS'!$AX16</f>
        <v>49.176993010214233</v>
      </c>
      <c r="R11">
        <f t="shared" si="9"/>
        <v>48.743373391764351</v>
      </c>
      <c r="S11">
        <f>'Cibles THREEME AMS'!$AY16</f>
        <v>48.309753773314476</v>
      </c>
      <c r="T11">
        <f t="shared" si="10"/>
        <v>48.07376637814383</v>
      </c>
      <c r="U11">
        <f t="shared" si="11"/>
        <v>47.837778982973184</v>
      </c>
      <c r="V11">
        <f>'Cibles THREEME AMS'!$AZ16</f>
        <v>47.601791587802531</v>
      </c>
      <c r="W11">
        <f t="shared" si="12"/>
        <v>47.408913976591279</v>
      </c>
      <c r="X11">
        <f>'Cibles THREEME AMS'!$BA16</f>
        <v>47.216036365380035</v>
      </c>
      <c r="Y11">
        <f t="shared" si="13"/>
        <v>46.485807245767305</v>
      </c>
      <c r="Z11">
        <f t="shared" si="14"/>
        <v>45.755578126154575</v>
      </c>
      <c r="AA11">
        <f>'Cibles THREEME AMS'!$BB16</f>
        <v>45.025349006541852</v>
      </c>
      <c r="AB11">
        <f t="shared" si="15"/>
        <v>44.420628528421069</v>
      </c>
      <c r="AC11">
        <f>'Cibles THREEME AMS'!$BC16</f>
        <v>43.815908050300287</v>
      </c>
      <c r="AD11">
        <f t="shared" si="16"/>
        <v>43.88421627776075</v>
      </c>
      <c r="AE11">
        <f t="shared" si="17"/>
        <v>43.952524505221213</v>
      </c>
      <c r="AF11">
        <f t="shared" si="18"/>
        <v>44.020832732681676</v>
      </c>
      <c r="AG11">
        <f t="shared" si="19"/>
        <v>44.089140960142139</v>
      </c>
      <c r="AH11">
        <f>'Cibles THREEME AMS'!$BD16</f>
        <v>44.157449187602587</v>
      </c>
      <c r="AI11">
        <f t="shared" si="20"/>
        <v>43.768174201633521</v>
      </c>
      <c r="AJ11">
        <f t="shared" si="21"/>
        <v>43.378899215664454</v>
      </c>
      <c r="AK11">
        <f t="shared" si="22"/>
        <v>42.989624229695387</v>
      </c>
      <c r="AL11">
        <f t="shared" si="23"/>
        <v>42.60034924372632</v>
      </c>
      <c r="AM11">
        <f>'Cibles THREEME AMS'!$BE16</f>
        <v>42.211074257757268</v>
      </c>
    </row>
    <row r="12" spans="1:39" ht="15" thickBot="1">
      <c r="A12" s="594"/>
      <c r="B12" s="592" t="s">
        <v>480</v>
      </c>
      <c r="C12">
        <f t="shared" si="24"/>
        <v>2308</v>
      </c>
      <c r="D12">
        <f>'Cibles THREEME AMS'!AT17*11.64</f>
        <v>7.4342230277684358</v>
      </c>
      <c r="E12">
        <f t="shared" si="0"/>
        <v>6.9342376018133987</v>
      </c>
      <c r="F12">
        <f t="shared" si="1"/>
        <v>6.4342521758583615</v>
      </c>
      <c r="G12">
        <f t="shared" si="2"/>
        <v>5.9342667499033244</v>
      </c>
      <c r="H12">
        <f t="shared" si="3"/>
        <v>5.4342813239482872</v>
      </c>
      <c r="I12">
        <f>'Cibles THREEME AMS'!$AU17</f>
        <v>4.9342958979932492</v>
      </c>
      <c r="J12">
        <f t="shared" si="4"/>
        <v>6.8047482257138991</v>
      </c>
      <c r="K12">
        <f t="shared" si="5"/>
        <v>8.67520055343455</v>
      </c>
      <c r="L12">
        <f>'Cibles THREEME AMS'!$AV17</f>
        <v>10.545652881155199</v>
      </c>
      <c r="M12">
        <f t="shared" si="6"/>
        <v>10.816767710663321</v>
      </c>
      <c r="N12">
        <f>'Cibles THREEME AMS'!$AW17</f>
        <v>11.08788254017144</v>
      </c>
      <c r="O12">
        <f t="shared" si="7"/>
        <v>10.882493289021898</v>
      </c>
      <c r="P12">
        <f t="shared" si="8"/>
        <v>10.677104037872356</v>
      </c>
      <c r="Q12">
        <f>'Cibles THREEME AMS'!$AX17</f>
        <v>10.471714786722815</v>
      </c>
      <c r="R12">
        <f t="shared" si="9"/>
        <v>10.256540565722684</v>
      </c>
      <c r="S12">
        <f>'Cibles THREEME AMS'!$AY17</f>
        <v>10.041366344722553</v>
      </c>
      <c r="T12">
        <f t="shared" si="10"/>
        <v>10.475389707246716</v>
      </c>
      <c r="U12">
        <f t="shared" si="11"/>
        <v>10.90941306977088</v>
      </c>
      <c r="V12">
        <f>'Cibles THREEME AMS'!$AZ17</f>
        <v>11.343436432295041</v>
      </c>
      <c r="W12">
        <f t="shared" si="12"/>
        <v>11.762555153588149</v>
      </c>
      <c r="X12">
        <f>'Cibles THREEME AMS'!$BA17</f>
        <v>12.181673874881257</v>
      </c>
      <c r="Y12">
        <f t="shared" si="13"/>
        <v>12.442772120639125</v>
      </c>
      <c r="Z12">
        <f t="shared" si="14"/>
        <v>12.703870366396993</v>
      </c>
      <c r="AA12">
        <f>'Cibles THREEME AMS'!$BB17</f>
        <v>12.964968612154863</v>
      </c>
      <c r="AB12">
        <f t="shared" si="15"/>
        <v>13.213826484089992</v>
      </c>
      <c r="AC12">
        <f>'Cibles THREEME AMS'!$BC17</f>
        <v>13.462684356025122</v>
      </c>
      <c r="AD12">
        <f t="shared" si="16"/>
        <v>12.947572698297625</v>
      </c>
      <c r="AE12">
        <f t="shared" si="17"/>
        <v>12.432461040570129</v>
      </c>
      <c r="AF12">
        <f t="shared" si="18"/>
        <v>11.917349382842632</v>
      </c>
      <c r="AG12">
        <f t="shared" si="19"/>
        <v>11.402237725115135</v>
      </c>
      <c r="AH12">
        <f>'Cibles THREEME AMS'!$BD17</f>
        <v>10.887126067387641</v>
      </c>
      <c r="AI12">
        <f t="shared" si="20"/>
        <v>10.618799744200331</v>
      </c>
      <c r="AJ12">
        <f t="shared" si="21"/>
        <v>10.350473421013021</v>
      </c>
      <c r="AK12">
        <f t="shared" si="22"/>
        <v>10.082147097825711</v>
      </c>
      <c r="AL12">
        <f t="shared" si="23"/>
        <v>9.8138207746384012</v>
      </c>
      <c r="AM12">
        <f>'Cibles THREEME AMS'!$BE17</f>
        <v>9.5454944514510913</v>
      </c>
    </row>
    <row r="13" spans="1:39">
      <c r="A13" s="593"/>
      <c r="B13" s="590" t="s">
        <v>287</v>
      </c>
      <c r="C13">
        <v>2401</v>
      </c>
      <c r="D13">
        <f>'Cibles THREEME AMS'!AT19*11.64</f>
        <v>343.36402549516635</v>
      </c>
      <c r="E13">
        <f t="shared" ref="E13:E18" si="25">D13+(I13-D13)/5</f>
        <v>342.19946857858531</v>
      </c>
      <c r="F13">
        <f t="shared" ref="F13:F18" si="26">E13+(I13-D13)/5</f>
        <v>341.03491166200428</v>
      </c>
      <c r="G13">
        <f t="shared" ref="G13:G18" si="27">F13+(I13-D13)/5</f>
        <v>339.87035474542324</v>
      </c>
      <c r="H13">
        <f t="shared" ref="H13:H18" si="28">G13+(I13-D13)/5</f>
        <v>338.70579782884221</v>
      </c>
      <c r="I13">
        <f>'Cibles THREEME AMS'!$AU19</f>
        <v>337.54124091226123</v>
      </c>
      <c r="J13">
        <f t="shared" ref="J13:J18" si="29">I13+(L13-I13)/3</f>
        <v>329.6582993809551</v>
      </c>
      <c r="K13">
        <f t="shared" ref="K13:K18" si="30">J13+(L13-I13)/3</f>
        <v>321.77535784964897</v>
      </c>
      <c r="L13">
        <f>'Cibles THREEME AMS'!$AV19</f>
        <v>313.89241631834284</v>
      </c>
      <c r="M13">
        <f t="shared" ref="M13:M18" si="31">(L13+N13)/2</f>
        <v>299.3247544388156</v>
      </c>
      <c r="N13">
        <f>'Cibles THREEME AMS'!$AW19</f>
        <v>284.75709255928842</v>
      </c>
      <c r="O13">
        <f t="shared" ref="O13:O18" si="32">N13+(Q13-N13)/3</f>
        <v>266.86270293135453</v>
      </c>
      <c r="P13">
        <f t="shared" ref="P13:P18" si="33">O13+(Q13-N13)/3</f>
        <v>248.96831330342064</v>
      </c>
      <c r="Q13">
        <f>'Cibles THREEME AMS'!$AX19</f>
        <v>231.07392367548675</v>
      </c>
      <c r="R13">
        <f t="shared" ref="R13:R18" si="34">(Q13+S13)/2</f>
        <v>214.34882510251333</v>
      </c>
      <c r="S13">
        <f>'Cibles THREEME AMS'!$AY19</f>
        <v>197.62372652953994</v>
      </c>
      <c r="T13">
        <f t="shared" ref="T13:T18" si="35">S13+(V13-S13)/3</f>
        <v>184.55933445053748</v>
      </c>
      <c r="U13">
        <f t="shared" ref="U13:U18" si="36">T13+(V13-S13)/3</f>
        <v>171.49494237153502</v>
      </c>
      <c r="V13">
        <f>'Cibles THREEME AMS'!$AZ19</f>
        <v>158.43055029253259</v>
      </c>
      <c r="W13">
        <f t="shared" ref="W13:W18" si="37">(V13+X13)/2</f>
        <v>146.60985606753795</v>
      </c>
      <c r="X13">
        <f>'Cibles THREEME AMS'!$BA19</f>
        <v>134.78916184254331</v>
      </c>
      <c r="Y13">
        <f t="shared" ref="Y13:Y18" si="38">X13+(AA13-X13)/3</f>
        <v>124.08183253985607</v>
      </c>
      <c r="Z13">
        <f t="shared" ref="Z13:Z18" si="39">Y13+(AA13-X13)/3</f>
        <v>113.37450323716882</v>
      </c>
      <c r="AA13">
        <f>'Cibles THREEME AMS'!$BB19</f>
        <v>102.6671739344816</v>
      </c>
      <c r="AB13">
        <f t="shared" ref="AB13:AB18" si="40">(AA13+AC13)/2</f>
        <v>93.161835817800068</v>
      </c>
      <c r="AC13">
        <f>'Cibles THREEME AMS'!$BC19</f>
        <v>83.656497701118525</v>
      </c>
      <c r="AD13">
        <f t="shared" ref="AD13:AD18" si="41">AC13+(AH13-AC13)/5</f>
        <v>76.461946078160111</v>
      </c>
      <c r="AE13">
        <f t="shared" ref="AE13:AE18" si="42">AD13+(AH13-AC13)/5</f>
        <v>69.267394455201696</v>
      </c>
      <c r="AF13">
        <f t="shared" ref="AF13:AF18" si="43">AE13+(AH13-AC13)/5</f>
        <v>62.072842832243289</v>
      </c>
      <c r="AG13">
        <f t="shared" ref="AG13:AG18" si="44">AF13+(AH13-AC13)/5</f>
        <v>54.878291209284882</v>
      </c>
      <c r="AH13">
        <f>'Cibles THREEME AMS'!$BD19</f>
        <v>47.683739586326475</v>
      </c>
      <c r="AI13">
        <f t="shared" ref="AI13:AI18" si="45">AH13+(AM13-AH13)/5</f>
        <v>38.678693518562099</v>
      </c>
      <c r="AJ13">
        <f t="shared" ref="AJ13:AJ18" si="46">AI13+(AM13-AH13)/5</f>
        <v>29.673647450797723</v>
      </c>
      <c r="AK13">
        <f t="shared" ref="AK13:AK18" si="47">AJ13+(AM13-AH13)/5</f>
        <v>20.668601383033348</v>
      </c>
      <c r="AL13">
        <f t="shared" ref="AL13:AL18" si="48">AK13+(AM13-AH13)/5</f>
        <v>11.663555315268974</v>
      </c>
      <c r="AM13">
        <f>'Cibles THREEME AMS'!$BE19</f>
        <v>2.6585092475046008</v>
      </c>
    </row>
    <row r="14" spans="1:39">
      <c r="A14" s="595"/>
      <c r="B14" s="591" t="s">
        <v>289</v>
      </c>
      <c r="C14">
        <v>2402</v>
      </c>
      <c r="D14">
        <f>'Cibles THREEME AMS'!AT20*11.64</f>
        <v>89.952579195593415</v>
      </c>
      <c r="E14">
        <f t="shared" si="25"/>
        <v>91.095503687887486</v>
      </c>
      <c r="F14">
        <f t="shared" si="26"/>
        <v>92.238428180181558</v>
      </c>
      <c r="G14">
        <f t="shared" si="27"/>
        <v>93.381352672475629</v>
      </c>
      <c r="H14">
        <f t="shared" si="28"/>
        <v>94.5242771647697</v>
      </c>
      <c r="I14">
        <f>'Cibles THREEME AMS'!$AU20</f>
        <v>95.667201657063785</v>
      </c>
      <c r="J14">
        <f t="shared" si="29"/>
        <v>99.457585558982458</v>
      </c>
      <c r="K14">
        <f t="shared" si="30"/>
        <v>103.24796946090113</v>
      </c>
      <c r="L14">
        <f>'Cibles THREEME AMS'!$AV20</f>
        <v>107.03835336281981</v>
      </c>
      <c r="M14">
        <f t="shared" si="31"/>
        <v>104.36394643723767</v>
      </c>
      <c r="N14">
        <f>'Cibles THREEME AMS'!$AW20</f>
        <v>101.68953951165552</v>
      </c>
      <c r="O14">
        <f t="shared" si="32"/>
        <v>100.8719737307717</v>
      </c>
      <c r="P14">
        <f t="shared" si="33"/>
        <v>100.05440794988787</v>
      </c>
      <c r="Q14">
        <f>'Cibles THREEME AMS'!$AX20</f>
        <v>99.236842169004049</v>
      </c>
      <c r="R14">
        <f t="shared" si="34"/>
        <v>98.413625528737583</v>
      </c>
      <c r="S14">
        <f>'Cibles THREEME AMS'!$AY20</f>
        <v>97.590408888471103</v>
      </c>
      <c r="T14">
        <f t="shared" si="35"/>
        <v>96.681323013121485</v>
      </c>
      <c r="U14">
        <f t="shared" si="36"/>
        <v>95.772237137771867</v>
      </c>
      <c r="V14">
        <f>'Cibles THREEME AMS'!$AZ20</f>
        <v>94.863151262422235</v>
      </c>
      <c r="W14">
        <f t="shared" si="37"/>
        <v>93.925651942085182</v>
      </c>
      <c r="X14">
        <f>'Cibles THREEME AMS'!$BA20</f>
        <v>92.988152621748142</v>
      </c>
      <c r="Y14">
        <f t="shared" si="38"/>
        <v>92.165240051186103</v>
      </c>
      <c r="Z14">
        <f t="shared" si="39"/>
        <v>91.342327480624064</v>
      </c>
      <c r="AA14">
        <f>'Cibles THREEME AMS'!$BB20</f>
        <v>90.519414910062039</v>
      </c>
      <c r="AB14">
        <f t="shared" si="40"/>
        <v>89.657543510032284</v>
      </c>
      <c r="AC14">
        <f>'Cibles THREEME AMS'!$BC20</f>
        <v>88.795672110002528</v>
      </c>
      <c r="AD14">
        <f t="shared" si="41"/>
        <v>88.179496680664883</v>
      </c>
      <c r="AE14">
        <f t="shared" si="42"/>
        <v>87.563321251327238</v>
      </c>
      <c r="AF14">
        <f t="shared" si="43"/>
        <v>86.947145821989594</v>
      </c>
      <c r="AG14">
        <f t="shared" si="44"/>
        <v>86.330970392651949</v>
      </c>
      <c r="AH14">
        <f>'Cibles THREEME AMS'!$BD20</f>
        <v>85.71479496331429</v>
      </c>
      <c r="AI14">
        <f t="shared" si="45"/>
        <v>85.131172350608921</v>
      </c>
      <c r="AJ14">
        <f t="shared" si="46"/>
        <v>84.547549737903552</v>
      </c>
      <c r="AK14">
        <f t="shared" si="47"/>
        <v>83.963927125198182</v>
      </c>
      <c r="AL14">
        <f t="shared" si="48"/>
        <v>83.380304512492813</v>
      </c>
      <c r="AM14">
        <f>'Cibles THREEME AMS'!$BE20</f>
        <v>82.796681899787444</v>
      </c>
    </row>
    <row r="15" spans="1:39">
      <c r="A15" s="595" t="s">
        <v>478</v>
      </c>
      <c r="B15" s="591" t="s">
        <v>291</v>
      </c>
      <c r="C15">
        <v>2403</v>
      </c>
      <c r="D15">
        <f>'Cibles THREEME AMS'!AT21*11.64</f>
        <v>1.3179624182656873</v>
      </c>
      <c r="E15">
        <f t="shared" si="25"/>
        <v>2.1244272381467697</v>
      </c>
      <c r="F15">
        <f t="shared" si="26"/>
        <v>2.9308920580278519</v>
      </c>
      <c r="G15">
        <f t="shared" si="27"/>
        <v>3.7373568779089341</v>
      </c>
      <c r="H15">
        <f t="shared" si="28"/>
        <v>4.5438216977900163</v>
      </c>
      <c r="I15">
        <f>'Cibles THREEME AMS'!$AU21+'Cibles THREEME AMS'!$AU22</f>
        <v>5.3502865176710985</v>
      </c>
      <c r="J15">
        <f t="shared" si="29"/>
        <v>8.1962397419711142</v>
      </c>
      <c r="K15">
        <f t="shared" si="30"/>
        <v>11.042192966271131</v>
      </c>
      <c r="L15">
        <f>'Cibles THREEME AMS'!$AV21+'Cibles THREEME AMS'!$AV22</f>
        <v>13.888146190571145</v>
      </c>
      <c r="M15">
        <f t="shared" si="31"/>
        <v>17.896786419053321</v>
      </c>
      <c r="N15">
        <f>'Cibles THREEME AMS'!$AW21+'Cibles THREEME AMS'!$AW22</f>
        <v>21.905426647535492</v>
      </c>
      <c r="O15">
        <f t="shared" si="32"/>
        <v>26.054210711643893</v>
      </c>
      <c r="P15">
        <f t="shared" si="33"/>
        <v>30.202994775752295</v>
      </c>
      <c r="Q15">
        <f>'Cibles THREEME AMS'!$AX21+'Cibles THREEME AMS'!$AX22</f>
        <v>34.351778839860692</v>
      </c>
      <c r="R15">
        <f t="shared" si="34"/>
        <v>37.46044448370175</v>
      </c>
      <c r="S15">
        <f>'Cibles THREEME AMS'!$AY21+'Cibles THREEME AMS'!$AY22</f>
        <v>40.5691101275428</v>
      </c>
      <c r="T15">
        <f t="shared" si="35"/>
        <v>47.254587000099313</v>
      </c>
      <c r="U15">
        <f t="shared" si="36"/>
        <v>53.940063872655827</v>
      </c>
      <c r="V15">
        <f>'Cibles THREEME AMS'!$AZ21+'Cibles THREEME AMS'!$AZ22</f>
        <v>60.625540745212348</v>
      </c>
      <c r="W15">
        <f t="shared" si="37"/>
        <v>66.075860049706989</v>
      </c>
      <c r="X15">
        <f>'Cibles THREEME AMS'!$BA21+'Cibles THREEME AMS'!$BA22</f>
        <v>71.526179354201645</v>
      </c>
      <c r="Y15">
        <f t="shared" si="38"/>
        <v>77.594417444530251</v>
      </c>
      <c r="Z15">
        <f t="shared" si="39"/>
        <v>83.662655534858857</v>
      </c>
      <c r="AA15">
        <f>'Cibles THREEME AMS'!$BB21+'Cibles THREEME AMS'!$BB22</f>
        <v>89.730893625187463</v>
      </c>
      <c r="AB15">
        <f t="shared" si="40"/>
        <v>94.55147723980275</v>
      </c>
      <c r="AC15">
        <f>'Cibles THREEME AMS'!$BC21+'Cibles THREEME AMS'!$BC22</f>
        <v>99.372060854418024</v>
      </c>
      <c r="AD15">
        <f t="shared" si="41"/>
        <v>102.61757624602639</v>
      </c>
      <c r="AE15">
        <f t="shared" si="42"/>
        <v>105.86309163763475</v>
      </c>
      <c r="AF15">
        <f t="shared" si="43"/>
        <v>109.10860702924312</v>
      </c>
      <c r="AG15">
        <f t="shared" si="44"/>
        <v>112.35412242085148</v>
      </c>
      <c r="AH15">
        <f>'Cibles THREEME AMS'!$BD21+'Cibles THREEME AMS'!$BD22</f>
        <v>115.59963781245985</v>
      </c>
      <c r="AI15">
        <f t="shared" si="45"/>
        <v>120.72504999124108</v>
      </c>
      <c r="AJ15">
        <f t="shared" si="46"/>
        <v>125.85046217002231</v>
      </c>
      <c r="AK15">
        <f t="shared" si="47"/>
        <v>130.97587434880356</v>
      </c>
      <c r="AL15">
        <f t="shared" si="48"/>
        <v>136.10128652758479</v>
      </c>
      <c r="AM15">
        <f>'Cibles THREEME AMS'!$BE21+'Cibles THREEME AMS'!$BE22</f>
        <v>141.22669870636602</v>
      </c>
    </row>
    <row r="16" spans="1:39">
      <c r="A16" s="595"/>
      <c r="B16" s="591" t="s">
        <v>293</v>
      </c>
      <c r="C16">
        <v>2404</v>
      </c>
      <c r="D16">
        <f>'Cibles THREEME AMS'!AT23*11.64</f>
        <v>6.2153776217596084</v>
      </c>
      <c r="E16">
        <f t="shared" si="25"/>
        <v>8.5756154075042925</v>
      </c>
      <c r="F16">
        <f t="shared" si="26"/>
        <v>10.935853193248978</v>
      </c>
      <c r="G16">
        <f t="shared" si="27"/>
        <v>13.296090978993663</v>
      </c>
      <c r="H16">
        <f t="shared" si="28"/>
        <v>15.656328764738348</v>
      </c>
      <c r="I16">
        <f>'Cibles THREEME AMS'!$AU23</f>
        <v>18.016566550483031</v>
      </c>
      <c r="J16">
        <f t="shared" si="29"/>
        <v>16.762436839663856</v>
      </c>
      <c r="K16">
        <f t="shared" si="30"/>
        <v>15.508307128844681</v>
      </c>
      <c r="L16">
        <f>'Cibles THREEME AMS'!$AV23</f>
        <v>14.254177418025504</v>
      </c>
      <c r="M16">
        <f t="shared" si="31"/>
        <v>14.701901546930671</v>
      </c>
      <c r="N16">
        <f>'Cibles THREEME AMS'!$AW23</f>
        <v>15.149625675835836</v>
      </c>
      <c r="O16">
        <f t="shared" si="32"/>
        <v>15.2248866601951</v>
      </c>
      <c r="P16">
        <f t="shared" si="33"/>
        <v>15.300147644554364</v>
      </c>
      <c r="Q16">
        <f>'Cibles THREEME AMS'!$AX23</f>
        <v>15.375408628913627</v>
      </c>
      <c r="R16">
        <f t="shared" si="34"/>
        <v>15.374887264640467</v>
      </c>
      <c r="S16">
        <f>'Cibles THREEME AMS'!$AY23</f>
        <v>15.374365900367307</v>
      </c>
      <c r="T16">
        <f t="shared" si="35"/>
        <v>15.172086031203753</v>
      </c>
      <c r="U16">
        <f t="shared" si="36"/>
        <v>14.969806162040198</v>
      </c>
      <c r="V16">
        <f>'Cibles THREEME AMS'!$AZ23</f>
        <v>14.767526292876642</v>
      </c>
      <c r="W16">
        <f t="shared" si="37"/>
        <v>14.561336130939004</v>
      </c>
      <c r="X16">
        <f>'Cibles THREEME AMS'!$BA23</f>
        <v>14.355145969001368</v>
      </c>
      <c r="Y16">
        <f t="shared" si="38"/>
        <v>14.377267681917472</v>
      </c>
      <c r="Z16">
        <f t="shared" si="39"/>
        <v>14.399389394833575</v>
      </c>
      <c r="AA16">
        <f>'Cibles THREEME AMS'!$BB23</f>
        <v>14.421511107749676</v>
      </c>
      <c r="AB16">
        <f t="shared" si="40"/>
        <v>14.438694682603433</v>
      </c>
      <c r="AC16">
        <f>'Cibles THREEME AMS'!$BC23</f>
        <v>14.45587825745719</v>
      </c>
      <c r="AD16">
        <f t="shared" si="41"/>
        <v>14.481533245819072</v>
      </c>
      <c r="AE16">
        <f t="shared" si="42"/>
        <v>14.507188234180955</v>
      </c>
      <c r="AF16">
        <f t="shared" si="43"/>
        <v>14.532843222542837</v>
      </c>
      <c r="AG16">
        <f t="shared" si="44"/>
        <v>14.55849821090472</v>
      </c>
      <c r="AH16">
        <f>'Cibles THREEME AMS'!$BD23</f>
        <v>14.584153199266604</v>
      </c>
      <c r="AI16">
        <f t="shared" si="45"/>
        <v>14.573388952456998</v>
      </c>
      <c r="AJ16">
        <f t="shared" si="46"/>
        <v>14.562624705647393</v>
      </c>
      <c r="AK16">
        <f t="shared" si="47"/>
        <v>14.551860458837787</v>
      </c>
      <c r="AL16">
        <f t="shared" si="48"/>
        <v>14.541096212028181</v>
      </c>
      <c r="AM16">
        <f>'Cibles THREEME AMS'!$BE23</f>
        <v>14.530331965218576</v>
      </c>
    </row>
    <row r="17" spans="1:39">
      <c r="A17" s="595"/>
      <c r="B17" s="591" t="s">
        <v>296</v>
      </c>
      <c r="C17">
        <v>2405</v>
      </c>
      <c r="D17">
        <f>'Cibles THREEME AMS'!AT24*11.64</f>
        <v>1.7614423281243035</v>
      </c>
      <c r="E17">
        <f t="shared" si="25"/>
        <v>2.3449666406788721</v>
      </c>
      <c r="F17">
        <f t="shared" si="26"/>
        <v>2.9284909532334407</v>
      </c>
      <c r="G17">
        <f t="shared" si="27"/>
        <v>3.5120152657880093</v>
      </c>
      <c r="H17">
        <f t="shared" si="28"/>
        <v>4.0955395783425779</v>
      </c>
      <c r="I17">
        <f>'Cibles THREEME AMS'!$AU24</f>
        <v>4.6790638908971465</v>
      </c>
      <c r="J17">
        <f t="shared" si="29"/>
        <v>5.1155142854455198</v>
      </c>
      <c r="K17">
        <f t="shared" si="30"/>
        <v>5.5519646799938931</v>
      </c>
      <c r="L17">
        <f>'Cibles THREEME AMS'!$AV24</f>
        <v>5.9884150745422673</v>
      </c>
      <c r="M17">
        <f t="shared" si="31"/>
        <v>6.6878848258180357</v>
      </c>
      <c r="N17">
        <f>'Cibles THREEME AMS'!$AW24</f>
        <v>7.3873545770938041</v>
      </c>
      <c r="O17">
        <f t="shared" si="32"/>
        <v>7.8327259311903585</v>
      </c>
      <c r="P17">
        <f t="shared" si="33"/>
        <v>8.278097285286913</v>
      </c>
      <c r="Q17">
        <f>'Cibles THREEME AMS'!$AX24</f>
        <v>8.7234686393834675</v>
      </c>
      <c r="R17">
        <f t="shared" si="34"/>
        <v>9.1912945268052617</v>
      </c>
      <c r="S17">
        <f>'Cibles THREEME AMS'!$AY24</f>
        <v>9.6591204142270577</v>
      </c>
      <c r="T17">
        <f t="shared" si="35"/>
        <v>10.420211334906421</v>
      </c>
      <c r="U17">
        <f t="shared" si="36"/>
        <v>11.181302255585784</v>
      </c>
      <c r="V17">
        <f>'Cibles THREEME AMS'!$AZ24</f>
        <v>11.942393176265146</v>
      </c>
      <c r="W17">
        <f t="shared" si="37"/>
        <v>12.70634235731481</v>
      </c>
      <c r="X17">
        <f>'Cibles THREEME AMS'!$BA24</f>
        <v>13.470291538364474</v>
      </c>
      <c r="Y17">
        <f t="shared" si="38"/>
        <v>13.687441629457519</v>
      </c>
      <c r="Z17">
        <f t="shared" si="39"/>
        <v>13.904591720550563</v>
      </c>
      <c r="AA17">
        <f>'Cibles THREEME AMS'!$BB24</f>
        <v>14.121741811643609</v>
      </c>
      <c r="AB17">
        <f t="shared" si="40"/>
        <v>14.33634046345631</v>
      </c>
      <c r="AC17">
        <f>'Cibles THREEME AMS'!$BC24</f>
        <v>14.550939115269008</v>
      </c>
      <c r="AD17">
        <f t="shared" si="41"/>
        <v>14.756613334123136</v>
      </c>
      <c r="AE17">
        <f t="shared" si="42"/>
        <v>14.962287552977264</v>
      </c>
      <c r="AF17">
        <f t="shared" si="43"/>
        <v>15.167961771831392</v>
      </c>
      <c r="AG17">
        <f t="shared" si="44"/>
        <v>15.37363599068552</v>
      </c>
      <c r="AH17">
        <f>'Cibles THREEME AMS'!$BD24</f>
        <v>15.579310209539646</v>
      </c>
      <c r="AI17">
        <f t="shared" si="45"/>
        <v>15.724548532749646</v>
      </c>
      <c r="AJ17">
        <f t="shared" si="46"/>
        <v>15.869786855959646</v>
      </c>
      <c r="AK17">
        <f t="shared" si="47"/>
        <v>16.015025179169644</v>
      </c>
      <c r="AL17">
        <f t="shared" si="48"/>
        <v>16.160263502379642</v>
      </c>
      <c r="AM17">
        <f>'Cibles THREEME AMS'!$BE24</f>
        <v>16.305501825589644</v>
      </c>
    </row>
    <row r="18" spans="1:39" ht="15" thickBot="1">
      <c r="A18" s="594"/>
      <c r="B18" s="592" t="s">
        <v>481</v>
      </c>
      <c r="C18">
        <v>2406</v>
      </c>
      <c r="D18">
        <f>('Cibles THREEME AMS'!AT25+'Cibles THREEME AMS'!AT26)*11.64</f>
        <v>48.313362606420135</v>
      </c>
      <c r="E18">
        <f t="shared" si="25"/>
        <v>45.035159085136108</v>
      </c>
      <c r="F18">
        <f t="shared" si="26"/>
        <v>41.756955563852081</v>
      </c>
      <c r="G18">
        <f t="shared" si="27"/>
        <v>38.478752042568054</v>
      </c>
      <c r="H18">
        <f t="shared" si="28"/>
        <v>35.200548521284027</v>
      </c>
      <c r="I18">
        <f>'Cibles THREEME AMS'!$AU25+'Cibles THREEME AMS'!$AU26</f>
        <v>31.922344999999989</v>
      </c>
      <c r="J18">
        <f t="shared" si="29"/>
        <v>38.515422850165542</v>
      </c>
      <c r="K18">
        <f t="shared" si="30"/>
        <v>45.108500700331092</v>
      </c>
      <c r="L18">
        <f>'Cibles THREEME AMS'!$AV25+'Cibles THREEME AMS'!$AV26</f>
        <v>51.701578550496642</v>
      </c>
      <c r="M18">
        <f t="shared" si="31"/>
        <v>57.404459089240575</v>
      </c>
      <c r="N18">
        <f>'Cibles THREEME AMS'!$AW25+'Cibles THREEME AMS'!$AW26</f>
        <v>63.107339627984508</v>
      </c>
      <c r="O18">
        <f t="shared" si="32"/>
        <v>68.720902686853549</v>
      </c>
      <c r="P18">
        <f t="shared" si="33"/>
        <v>74.334465745722582</v>
      </c>
      <c r="Q18">
        <f>'Cibles THREEME AMS'!$AX25+'Cibles THREEME AMS'!$AX26</f>
        <v>79.948028804591615</v>
      </c>
      <c r="R18">
        <f t="shared" si="34"/>
        <v>85.769967975572115</v>
      </c>
      <c r="S18">
        <f>'Cibles THREEME AMS'!$AY25+'Cibles THREEME AMS'!$AY26</f>
        <v>91.591907146552629</v>
      </c>
      <c r="T18">
        <f t="shared" si="35"/>
        <v>96.196228239006899</v>
      </c>
      <c r="U18">
        <f t="shared" si="36"/>
        <v>100.80054933146117</v>
      </c>
      <c r="V18">
        <f>'Cibles THREEME AMS'!$AZ25+'Cibles THREEME AMS'!$AZ26</f>
        <v>105.40487042391544</v>
      </c>
      <c r="W18">
        <f t="shared" si="37"/>
        <v>110.10449916783148</v>
      </c>
      <c r="X18">
        <f>'Cibles THREEME AMS'!$BA25+'Cibles THREEME AMS'!$BA26</f>
        <v>114.80412791174753</v>
      </c>
      <c r="Y18">
        <f t="shared" si="38"/>
        <v>119.35269724552126</v>
      </c>
      <c r="Z18">
        <f t="shared" si="39"/>
        <v>123.90126657929498</v>
      </c>
      <c r="AA18">
        <f>'Cibles THREEME AMS'!$BB25+'Cibles THREEME AMS'!$BB26</f>
        <v>128.44983591306871</v>
      </c>
      <c r="AB18">
        <f t="shared" si="40"/>
        <v>133.04608119351724</v>
      </c>
      <c r="AC18">
        <f>'Cibles THREEME AMS'!$BC25+'Cibles THREEME AMS'!$BC26</f>
        <v>137.64232647396574</v>
      </c>
      <c r="AD18">
        <f t="shared" si="41"/>
        <v>141.27997679101171</v>
      </c>
      <c r="AE18">
        <f t="shared" si="42"/>
        <v>144.91762710805767</v>
      </c>
      <c r="AF18">
        <f t="shared" si="43"/>
        <v>148.55527742510364</v>
      </c>
      <c r="AG18">
        <f t="shared" si="44"/>
        <v>152.19292774214961</v>
      </c>
      <c r="AH18">
        <f>'Cibles THREEME AMS'!$BD25+'Cibles THREEME AMS'!$BD26</f>
        <v>155.8305780591956</v>
      </c>
      <c r="AI18">
        <f t="shared" si="45"/>
        <v>158.11404030254644</v>
      </c>
      <c r="AJ18">
        <f t="shared" si="46"/>
        <v>160.39750254589728</v>
      </c>
      <c r="AK18">
        <f t="shared" si="47"/>
        <v>162.68096478924812</v>
      </c>
      <c r="AL18">
        <f t="shared" si="48"/>
        <v>164.96442703259896</v>
      </c>
      <c r="AM18">
        <f>'Cibles THREEME AMS'!$BE25+'Cibles THREEME AMS'!$BE26</f>
        <v>167.24788927594986</v>
      </c>
    </row>
    <row r="19" spans="1:39">
      <c r="D19" s="596">
        <f>SUM(D3:D18)-('Cibles THREEME AMS'!$AT2-'Cibles THREEME AMS'!$AT27)*11.64</f>
        <v>0</v>
      </c>
      <c r="E19" s="596"/>
      <c r="F19" s="596"/>
      <c r="G19" s="596"/>
      <c r="H19" s="596"/>
      <c r="I19" s="596">
        <f>SUM(I3:I18)-('Cibles THREEME AMS'!$AU2-'Cibles THREEME AMS'!$AU27)</f>
        <v>0</v>
      </c>
      <c r="S19" s="596">
        <f>SUM(S3:S18)-('Cibles THREEME AMS'!$AY2-'Cibles THREEME AMS'!$AY27)</f>
        <v>0</v>
      </c>
      <c r="AM19" s="596">
        <f>SUM(AM3:AM18)-('Cibles THREEME AMS'!$BE2-'Cibles THREEME AMS'!$BE27)</f>
        <v>0</v>
      </c>
    </row>
    <row r="20" spans="1:39" ht="15" thickBot="1">
      <c r="B20" s="207" t="s">
        <v>531</v>
      </c>
      <c r="C20" s="207"/>
      <c r="D20" s="207"/>
      <c r="E20" s="207"/>
      <c r="F20" s="207"/>
      <c r="G20" s="207"/>
      <c r="H20" s="207"/>
      <c r="I20" s="207"/>
      <c r="J20" s="207"/>
      <c r="K20" s="559">
        <v>2022</v>
      </c>
      <c r="L20" s="559">
        <v>2023</v>
      </c>
      <c r="M20" s="559">
        <v>2024</v>
      </c>
      <c r="N20" s="559">
        <v>2025</v>
      </c>
      <c r="O20" s="559">
        <v>2026</v>
      </c>
      <c r="P20" s="559">
        <v>2027</v>
      </c>
      <c r="Q20" s="559">
        <v>2028</v>
      </c>
      <c r="R20" s="559">
        <v>2029</v>
      </c>
      <c r="S20" s="559">
        <v>2030</v>
      </c>
      <c r="T20" s="559">
        <v>2031</v>
      </c>
      <c r="U20" s="559">
        <v>2032</v>
      </c>
      <c r="V20" s="559">
        <v>2033</v>
      </c>
      <c r="W20" s="559">
        <v>2034</v>
      </c>
      <c r="X20" s="559">
        <v>2035</v>
      </c>
      <c r="Y20" s="559">
        <v>2036</v>
      </c>
      <c r="Z20" s="559">
        <v>2037</v>
      </c>
      <c r="AA20" s="559">
        <v>2038</v>
      </c>
      <c r="AB20" s="559">
        <v>2039</v>
      </c>
      <c r="AC20" s="559">
        <v>2040</v>
      </c>
      <c r="AD20" s="559">
        <v>2041</v>
      </c>
      <c r="AE20" s="559">
        <v>2042</v>
      </c>
      <c r="AF20" s="559">
        <v>2043</v>
      </c>
      <c r="AG20" s="559">
        <v>2044</v>
      </c>
      <c r="AH20" s="559">
        <v>2045</v>
      </c>
      <c r="AI20" s="559">
        <v>2046</v>
      </c>
      <c r="AJ20" s="559">
        <v>2047</v>
      </c>
      <c r="AK20" s="559">
        <v>2048</v>
      </c>
      <c r="AL20" s="559">
        <v>2049</v>
      </c>
      <c r="AM20" s="559">
        <v>2050</v>
      </c>
    </row>
    <row r="21" spans="1:39" ht="15" hidden="1" thickBot="1">
      <c r="B21" s="207" t="s">
        <v>485</v>
      </c>
      <c r="C21" s="207"/>
      <c r="D21" s="724"/>
      <c r="E21" s="724"/>
      <c r="F21" s="724"/>
      <c r="G21" s="724"/>
      <c r="H21" s="724"/>
      <c r="I21" s="724"/>
      <c r="J21" s="207"/>
      <c r="K21" s="207"/>
      <c r="L21" s="724"/>
      <c r="M21" s="207"/>
      <c r="N21" s="724"/>
      <c r="O21" s="207"/>
      <c r="P21" s="207"/>
      <c r="Q21" s="724"/>
      <c r="R21" s="207"/>
      <c r="S21" s="724"/>
      <c r="T21" s="207"/>
      <c r="U21" s="207"/>
      <c r="V21" s="724"/>
      <c r="W21" s="207"/>
      <c r="X21" s="724"/>
      <c r="Y21" s="207"/>
      <c r="Z21" s="207"/>
      <c r="AA21" s="724"/>
      <c r="AB21" s="207"/>
      <c r="AC21" s="724"/>
      <c r="AD21" s="207"/>
      <c r="AE21" s="207"/>
      <c r="AF21" s="207"/>
      <c r="AG21" s="207"/>
      <c r="AH21" s="724"/>
      <c r="AI21" s="207"/>
      <c r="AJ21" s="207"/>
      <c r="AK21" s="207"/>
      <c r="AL21" s="207"/>
      <c r="AM21" s="724"/>
    </row>
    <row r="22" spans="1:39">
      <c r="A22" s="721" t="s">
        <v>479</v>
      </c>
      <c r="B22" s="207" t="s">
        <v>266</v>
      </c>
      <c r="C22" s="207">
        <v>2201</v>
      </c>
      <c r="D22" s="207">
        <f t="shared" ref="D22:S23" si="49">D3/(D$3+D$4)</f>
        <v>0.95588105807243118</v>
      </c>
      <c r="E22" s="207">
        <f t="shared" si="49"/>
        <v>0.95513295837549783</v>
      </c>
      <c r="F22" s="207">
        <f t="shared" si="49"/>
        <v>0.9543373734566053</v>
      </c>
      <c r="G22" s="207">
        <f t="shared" si="49"/>
        <v>0.95348963397583508</v>
      </c>
      <c r="H22" s="207">
        <f t="shared" si="49"/>
        <v>0.95258443764990164</v>
      </c>
      <c r="I22" s="207">
        <f t="shared" si="49"/>
        <v>0.95161573824348877</v>
      </c>
      <c r="J22" s="207">
        <f t="shared" si="49"/>
        <v>0.94470676543552412</v>
      </c>
      <c r="K22" s="725">
        <f t="shared" si="49"/>
        <v>0.9375332537633484</v>
      </c>
      <c r="L22" s="725">
        <f t="shared" si="49"/>
        <v>0.93007971321504979</v>
      </c>
      <c r="M22" s="725">
        <f t="shared" si="49"/>
        <v>0.92508293474975023</v>
      </c>
      <c r="N22" s="725">
        <f t="shared" si="49"/>
        <v>0.91990019565701453</v>
      </c>
      <c r="O22" s="725">
        <f t="shared" si="49"/>
        <v>0.91458085170054693</v>
      </c>
      <c r="P22" s="725">
        <f t="shared" si="49"/>
        <v>0.90876938443146449</v>
      </c>
      <c r="Q22" s="725">
        <f t="shared" si="49"/>
        <v>0.90239418773547364</v>
      </c>
      <c r="R22" s="725">
        <f t="shared" si="49"/>
        <v>0.89572874387231538</v>
      </c>
      <c r="S22" s="725">
        <f t="shared" si="49"/>
        <v>0.88835184919987353</v>
      </c>
      <c r="T22" s="725">
        <f t="shared" ref="E22:AM23" si="50">T3/(T$3+T$4)</f>
        <v>0.87271637945790059</v>
      </c>
      <c r="U22" s="725">
        <f t="shared" si="50"/>
        <v>0.85535379343633466</v>
      </c>
      <c r="V22" s="725">
        <f t="shared" si="50"/>
        <v>0.83596119222233634</v>
      </c>
      <c r="W22" s="725">
        <f t="shared" si="50"/>
        <v>0.81460574414595233</v>
      </c>
      <c r="X22" s="725">
        <f t="shared" si="50"/>
        <v>0.79043580193927487</v>
      </c>
      <c r="Y22" s="725">
        <f t="shared" si="50"/>
        <v>0.75683640211703063</v>
      </c>
      <c r="Z22" s="725">
        <f t="shared" si="50"/>
        <v>0.71826303295562943</v>
      </c>
      <c r="AA22" s="725">
        <f t="shared" si="50"/>
        <v>0.67352290513613766</v>
      </c>
      <c r="AB22" s="725">
        <f t="shared" si="50"/>
        <v>0.62296323122348185</v>
      </c>
      <c r="AC22" s="725">
        <f t="shared" si="50"/>
        <v>0.56281758762215817</v>
      </c>
      <c r="AD22" s="725">
        <f t="shared" si="50"/>
        <v>0.53680529438763158</v>
      </c>
      <c r="AE22" s="725">
        <f t="shared" si="50"/>
        <v>0.50636456484118475</v>
      </c>
      <c r="AF22" s="725">
        <f t="shared" si="50"/>
        <v>0.4702593085781952</v>
      </c>
      <c r="AG22" s="725">
        <f t="shared" si="50"/>
        <v>0.42674620910814909</v>
      </c>
      <c r="AH22" s="725">
        <f t="shared" si="50"/>
        <v>0.37328480899817745</v>
      </c>
      <c r="AI22" s="725">
        <f t="shared" si="50"/>
        <v>0.37769387130493082</v>
      </c>
      <c r="AJ22" s="725">
        <f t="shared" si="50"/>
        <v>0.38281544463973377</v>
      </c>
      <c r="AK22" s="725">
        <f t="shared" si="50"/>
        <v>0.38883742543747291</v>
      </c>
      <c r="AL22" s="725">
        <f t="shared" si="50"/>
        <v>0.39602014428686871</v>
      </c>
      <c r="AM22" s="725">
        <f t="shared" si="50"/>
        <v>0.40473499284935444</v>
      </c>
    </row>
    <row r="23" spans="1:39" ht="15" thickBot="1">
      <c r="A23" s="722"/>
      <c r="B23" s="207" t="s">
        <v>346</v>
      </c>
      <c r="C23" s="207">
        <v>2202</v>
      </c>
      <c r="D23" s="207">
        <f t="shared" si="49"/>
        <v>4.4118941927568843E-2</v>
      </c>
      <c r="E23" s="207">
        <f t="shared" si="50"/>
        <v>4.4867041624502245E-2</v>
      </c>
      <c r="F23" s="207">
        <f t="shared" si="50"/>
        <v>4.5662626543394702E-2</v>
      </c>
      <c r="G23" s="207">
        <f t="shared" si="50"/>
        <v>4.65103660241648E-2</v>
      </c>
      <c r="H23" s="207">
        <f t="shared" si="50"/>
        <v>4.7415562350098299E-2</v>
      </c>
      <c r="I23" s="207">
        <f t="shared" si="50"/>
        <v>4.8384261756511185E-2</v>
      </c>
      <c r="J23" s="207">
        <f t="shared" si="50"/>
        <v>5.5293234564475838E-2</v>
      </c>
      <c r="K23" s="725">
        <f t="shared" si="50"/>
        <v>6.2466746236651507E-2</v>
      </c>
      <c r="L23" s="725">
        <f t="shared" si="50"/>
        <v>6.9920286784950353E-2</v>
      </c>
      <c r="M23" s="725">
        <f t="shared" si="50"/>
        <v>7.4917065250249826E-2</v>
      </c>
      <c r="N23" s="725">
        <f t="shared" si="50"/>
        <v>8.0099804342985512E-2</v>
      </c>
      <c r="O23" s="725">
        <f t="shared" si="50"/>
        <v>8.5419148299453032E-2</v>
      </c>
      <c r="P23" s="725">
        <f t="shared" si="50"/>
        <v>9.1230615568535484E-2</v>
      </c>
      <c r="Q23" s="725">
        <f t="shared" si="50"/>
        <v>9.7605812264526443E-2</v>
      </c>
      <c r="R23" s="725">
        <f t="shared" si="50"/>
        <v>0.10427125612768459</v>
      </c>
      <c r="S23" s="725">
        <f t="shared" si="50"/>
        <v>0.11164815080012652</v>
      </c>
      <c r="T23" s="725">
        <f t="shared" si="50"/>
        <v>0.12728362054209932</v>
      </c>
      <c r="U23" s="725">
        <f t="shared" si="50"/>
        <v>0.14464620656366536</v>
      </c>
      <c r="V23" s="725">
        <f t="shared" si="50"/>
        <v>0.16403880777766369</v>
      </c>
      <c r="W23" s="725">
        <f t="shared" si="50"/>
        <v>0.18539425585404765</v>
      </c>
      <c r="X23" s="725">
        <f t="shared" si="50"/>
        <v>0.20956419806072513</v>
      </c>
      <c r="Y23" s="725">
        <f t="shared" si="50"/>
        <v>0.24316359788296935</v>
      </c>
      <c r="Z23" s="725">
        <f t="shared" si="50"/>
        <v>0.28173696704437068</v>
      </c>
      <c r="AA23" s="725">
        <f t="shared" si="50"/>
        <v>0.32647709486386223</v>
      </c>
      <c r="AB23" s="725">
        <f t="shared" si="50"/>
        <v>0.37703676877651809</v>
      </c>
      <c r="AC23" s="725">
        <f t="shared" si="50"/>
        <v>0.43718241237784183</v>
      </c>
      <c r="AD23" s="725">
        <f t="shared" si="50"/>
        <v>0.46319470561236842</v>
      </c>
      <c r="AE23" s="725">
        <f t="shared" si="50"/>
        <v>0.49363543515881531</v>
      </c>
      <c r="AF23" s="725">
        <f t="shared" si="50"/>
        <v>0.52974069142180491</v>
      </c>
      <c r="AG23" s="725">
        <f t="shared" si="50"/>
        <v>0.57325379089185102</v>
      </c>
      <c r="AH23" s="725">
        <f t="shared" si="50"/>
        <v>0.62671519100182249</v>
      </c>
      <c r="AI23" s="725">
        <f t="shared" si="50"/>
        <v>0.62230612869506918</v>
      </c>
      <c r="AJ23" s="725">
        <f t="shared" si="50"/>
        <v>0.61718455536026628</v>
      </c>
      <c r="AK23" s="725">
        <f t="shared" si="50"/>
        <v>0.61116257456252709</v>
      </c>
      <c r="AL23" s="725">
        <f t="shared" si="50"/>
        <v>0.60397985571313129</v>
      </c>
      <c r="AM23" s="725">
        <f t="shared" si="50"/>
        <v>0.59526500715064556</v>
      </c>
    </row>
    <row r="24" spans="1:39">
      <c r="A24" s="721"/>
      <c r="B24" s="207" t="s">
        <v>20</v>
      </c>
      <c r="C24" s="207">
        <v>2301</v>
      </c>
      <c r="D24" s="207">
        <f t="shared" ref="D24:D31" si="51">D5/SUM(D$5:D$12)</f>
        <v>0.77628428451802978</v>
      </c>
      <c r="E24" s="207">
        <f t="shared" ref="E24:AM24" si="52">E5/SUM(E$5:E$12)</f>
        <v>0.76101029521953767</v>
      </c>
      <c r="F24" s="207">
        <f t="shared" si="52"/>
        <v>0.74518457111213465</v>
      </c>
      <c r="G24" s="207">
        <f t="shared" si="52"/>
        <v>0.72877666725396306</v>
      </c>
      <c r="H24" s="207">
        <f t="shared" si="52"/>
        <v>0.71175385677899405</v>
      </c>
      <c r="I24" s="207">
        <f t="shared" si="52"/>
        <v>0.69408091301954511</v>
      </c>
      <c r="J24" s="207">
        <f t="shared" si="52"/>
        <v>0.67883099595311713</v>
      </c>
      <c r="K24" s="725">
        <f t="shared" si="52"/>
        <v>0.66404019162446248</v>
      </c>
      <c r="L24" s="725">
        <f t="shared" si="52"/>
        <v>0.64968807448355859</v>
      </c>
      <c r="M24" s="725">
        <f t="shared" si="52"/>
        <v>0.64517757610457127</v>
      </c>
      <c r="N24" s="725">
        <f t="shared" si="52"/>
        <v>0.64070667842964546</v>
      </c>
      <c r="O24" s="725">
        <f t="shared" si="52"/>
        <v>0.62987609737635253</v>
      </c>
      <c r="P24" s="725">
        <f t="shared" si="52"/>
        <v>0.61910397883418322</v>
      </c>
      <c r="Q24" s="725">
        <f t="shared" si="52"/>
        <v>0.60838985071414897</v>
      </c>
      <c r="R24" s="725">
        <f t="shared" si="52"/>
        <v>0.59785288945468518</v>
      </c>
      <c r="S24" s="725">
        <f t="shared" si="52"/>
        <v>0.58736422158724488</v>
      </c>
      <c r="T24" s="725">
        <f t="shared" si="52"/>
        <v>0.57356573592429949</v>
      </c>
      <c r="U24" s="725">
        <f t="shared" si="52"/>
        <v>0.56000431567851472</v>
      </c>
      <c r="V24" s="725">
        <f t="shared" si="52"/>
        <v>0.54667390351664791</v>
      </c>
      <c r="W24" s="725">
        <f t="shared" si="52"/>
        <v>0.53408555280885361</v>
      </c>
      <c r="X24" s="725">
        <f t="shared" si="52"/>
        <v>0.52170143477517594</v>
      </c>
      <c r="Y24" s="725">
        <f t="shared" si="52"/>
        <v>0.50927276687892031</v>
      </c>
      <c r="Z24" s="725">
        <f t="shared" si="52"/>
        <v>0.49704798374408937</v>
      </c>
      <c r="AA24" s="725">
        <f t="shared" si="52"/>
        <v>0.48502210927673917</v>
      </c>
      <c r="AB24" s="725">
        <f t="shared" si="52"/>
        <v>0.47391979890353281</v>
      </c>
      <c r="AC24" s="725">
        <f t="shared" si="52"/>
        <v>0.46298881371446621</v>
      </c>
      <c r="AD24" s="725">
        <f t="shared" si="52"/>
        <v>0.44452110884962653</v>
      </c>
      <c r="AE24" s="725">
        <f t="shared" si="52"/>
        <v>0.42616318004159232</v>
      </c>
      <c r="AF24" s="725">
        <f t="shared" si="52"/>
        <v>0.40791405139168252</v>
      </c>
      <c r="AG24" s="725">
        <f t="shared" si="52"/>
        <v>0.38977275853456789</v>
      </c>
      <c r="AH24" s="725">
        <f t="shared" si="52"/>
        <v>0.37173834846839326</v>
      </c>
      <c r="AI24" s="725">
        <f t="shared" si="52"/>
        <v>0.35220683442983197</v>
      </c>
      <c r="AJ24" s="725">
        <f t="shared" si="52"/>
        <v>0.33251009944535215</v>
      </c>
      <c r="AK24" s="725">
        <f t="shared" si="52"/>
        <v>0.31264603815506464</v>
      </c>
      <c r="AL24" s="725">
        <f t="shared" si="52"/>
        <v>0.29261250927588617</v>
      </c>
      <c r="AM24" s="725">
        <f t="shared" si="52"/>
        <v>0.27240733483207241</v>
      </c>
    </row>
    <row r="25" spans="1:39">
      <c r="A25" s="723"/>
      <c r="B25" s="207" t="s">
        <v>224</v>
      </c>
      <c r="C25" s="207">
        <f>C24+1</f>
        <v>2302</v>
      </c>
      <c r="D25" s="207">
        <f t="shared" si="51"/>
        <v>6.1005744427253417E-3</v>
      </c>
      <c r="E25" s="207">
        <f t="shared" ref="E25:AM25" si="53">E6/SUM(E$5:E$12)</f>
        <v>5.5074770682692334E-3</v>
      </c>
      <c r="F25" s="207">
        <f t="shared" si="53"/>
        <v>4.8929555288378815E-3</v>
      </c>
      <c r="G25" s="207">
        <f t="shared" si="53"/>
        <v>4.2558276306554083E-3</v>
      </c>
      <c r="H25" s="207">
        <f t="shared" si="53"/>
        <v>3.5948225715799371E-3</v>
      </c>
      <c r="I25" s="207">
        <f t="shared" si="53"/>
        <v>2.908572480801455E-3</v>
      </c>
      <c r="J25" s="207">
        <f t="shared" si="53"/>
        <v>4.4439228245837384E-3</v>
      </c>
      <c r="K25" s="725">
        <f t="shared" si="53"/>
        <v>5.9330500383185198E-3</v>
      </c>
      <c r="L25" s="725">
        <f t="shared" si="53"/>
        <v>7.3780105512383457E-3</v>
      </c>
      <c r="M25" s="725">
        <f t="shared" si="53"/>
        <v>5.6701401845366999E-3</v>
      </c>
      <c r="N25" s="725">
        <f t="shared" si="53"/>
        <v>3.9772643624029769E-3</v>
      </c>
      <c r="O25" s="725">
        <f t="shared" si="53"/>
        <v>3.2909602367020402E-3</v>
      </c>
      <c r="P25" s="725">
        <f t="shared" si="53"/>
        <v>2.6083607194967657E-3</v>
      </c>
      <c r="Q25" s="725">
        <f t="shared" si="53"/>
        <v>1.929435895806686E-3</v>
      </c>
      <c r="R25" s="725">
        <f t="shared" si="53"/>
        <v>1.268944141342117E-3</v>
      </c>
      <c r="S25" s="725">
        <f t="shared" si="53"/>
        <v>6.1147957720702139E-4</v>
      </c>
      <c r="T25" s="725">
        <f t="shared" si="53"/>
        <v>6.0440864349174434E-4</v>
      </c>
      <c r="U25" s="725">
        <f t="shared" si="53"/>
        <v>5.974591922269241E-4</v>
      </c>
      <c r="V25" s="725">
        <f t="shared" si="53"/>
        <v>5.9062811937615441E-4</v>
      </c>
      <c r="W25" s="725">
        <f t="shared" si="53"/>
        <v>5.8415934735033025E-4</v>
      </c>
      <c r="X25" s="725">
        <f t="shared" si="53"/>
        <v>5.7779552430787585E-4</v>
      </c>
      <c r="Y25" s="725">
        <f t="shared" si="53"/>
        <v>4.6424973833718042E-4</v>
      </c>
      <c r="Z25" s="725">
        <f t="shared" si="53"/>
        <v>3.5256660214332686E-4</v>
      </c>
      <c r="AA25" s="725">
        <f t="shared" si="53"/>
        <v>2.427006551425557E-4</v>
      </c>
      <c r="AB25" s="725">
        <f t="shared" si="53"/>
        <v>2.4913063182081634E-4</v>
      </c>
      <c r="AC25" s="725">
        <f t="shared" si="53"/>
        <v>2.5546138438252956E-4</v>
      </c>
      <c r="AD25" s="725">
        <f t="shared" si="53"/>
        <v>2.4619436724828737E-4</v>
      </c>
      <c r="AE25" s="725">
        <f t="shared" si="53"/>
        <v>2.369824352806531E-4</v>
      </c>
      <c r="AF25" s="725">
        <f t="shared" si="53"/>
        <v>2.2782509877774637E-4</v>
      </c>
      <c r="AG25" s="725">
        <f t="shared" si="53"/>
        <v>2.1872187382507459E-4</v>
      </c>
      <c r="AH25" s="725">
        <f t="shared" si="53"/>
        <v>2.0967228221028896E-4</v>
      </c>
      <c r="AI25" s="725">
        <f t="shared" si="53"/>
        <v>2.105553767572653E-4</v>
      </c>
      <c r="AJ25" s="725">
        <f t="shared" si="53"/>
        <v>2.114459415759318E-4</v>
      </c>
      <c r="AK25" s="725">
        <f t="shared" si="53"/>
        <v>2.1234407185767153E-4</v>
      </c>
      <c r="AL25" s="725">
        <f t="shared" si="53"/>
        <v>2.1324986441809295E-4</v>
      </c>
      <c r="AM25" s="725">
        <f t="shared" si="53"/>
        <v>2.1416341773182018E-4</v>
      </c>
    </row>
    <row r="26" spans="1:39">
      <c r="A26" s="723"/>
      <c r="B26" s="207" t="s">
        <v>32</v>
      </c>
      <c r="C26" s="207">
        <f t="shared" ref="C26:C31" si="54">C25+1</f>
        <v>2303</v>
      </c>
      <c r="D26" s="207">
        <f t="shared" si="51"/>
        <v>4.0336303576253403E-2</v>
      </c>
      <c r="E26" s="207">
        <f t="shared" ref="E26:AM26" si="55">E7/SUM(E$5:E$12)</f>
        <v>4.4277401573738863E-2</v>
      </c>
      <c r="F26" s="207">
        <f t="shared" si="55"/>
        <v>4.8360861917304765E-2</v>
      </c>
      <c r="G26" s="207">
        <f t="shared" si="55"/>
        <v>5.2594540216710034E-2</v>
      </c>
      <c r="H26" s="207">
        <f t="shared" si="55"/>
        <v>5.6986880879217675E-2</v>
      </c>
      <c r="I26" s="207">
        <f t="shared" si="55"/>
        <v>6.1546973327816876E-2</v>
      </c>
      <c r="J26" s="207">
        <f t="shared" si="55"/>
        <v>5.8124420536544721E-2</v>
      </c>
      <c r="K26" s="725">
        <f t="shared" si="55"/>
        <v>5.4804906835605322E-2</v>
      </c>
      <c r="L26" s="725">
        <f t="shared" si="55"/>
        <v>5.1583848100184168E-2</v>
      </c>
      <c r="M26" s="725">
        <f t="shared" si="55"/>
        <v>4.6399030057558667E-2</v>
      </c>
      <c r="N26" s="725">
        <f t="shared" si="55"/>
        <v>4.1259733025621387E-2</v>
      </c>
      <c r="O26" s="725">
        <f t="shared" si="55"/>
        <v>4.0980023063481516E-2</v>
      </c>
      <c r="P26" s="725">
        <f t="shared" si="55"/>
        <v>4.0701822950784866E-2</v>
      </c>
      <c r="Q26" s="725">
        <f t="shared" si="55"/>
        <v>4.0425120495388406E-2</v>
      </c>
      <c r="R26" s="725">
        <f t="shared" si="55"/>
        <v>4.0146598526249203E-2</v>
      </c>
      <c r="S26" s="725">
        <f t="shared" si="55"/>
        <v>3.9869353089338921E-2</v>
      </c>
      <c r="T26" s="725">
        <f t="shared" si="55"/>
        <v>3.4138287446549377E-2</v>
      </c>
      <c r="U26" s="725">
        <f t="shared" si="55"/>
        <v>2.8505684598922301E-2</v>
      </c>
      <c r="V26" s="725">
        <f t="shared" si="55"/>
        <v>2.2969028692524013E-2</v>
      </c>
      <c r="W26" s="725">
        <f t="shared" si="55"/>
        <v>1.7758554409032946E-2</v>
      </c>
      <c r="X26" s="725">
        <f t="shared" si="55"/>
        <v>1.2632614559085655E-2</v>
      </c>
      <c r="Y26" s="725">
        <f t="shared" si="55"/>
        <v>1.1753575738234191E-2</v>
      </c>
      <c r="Z26" s="725">
        <f t="shared" si="55"/>
        <v>1.0888957016283771E-2</v>
      </c>
      <c r="AA26" s="725">
        <f t="shared" si="55"/>
        <v>1.003840645046874E-2</v>
      </c>
      <c r="AB26" s="725">
        <f t="shared" si="55"/>
        <v>9.2689726805784307E-3</v>
      </c>
      <c r="AC26" s="725">
        <f t="shared" si="55"/>
        <v>8.5114124197036775E-3</v>
      </c>
      <c r="AD26" s="725">
        <f t="shared" si="55"/>
        <v>8.6968810537604944E-3</v>
      </c>
      <c r="AE26" s="725">
        <f t="shared" si="55"/>
        <v>8.8812472218933198E-3</v>
      </c>
      <c r="AF26" s="725">
        <f t="shared" si="55"/>
        <v>9.0645207249191243E-3</v>
      </c>
      <c r="AG26" s="725">
        <f t="shared" si="55"/>
        <v>9.2467112478270171E-3</v>
      </c>
      <c r="AH26" s="725">
        <f t="shared" si="55"/>
        <v>9.4278283614842757E-3</v>
      </c>
      <c r="AI26" s="725">
        <f t="shared" si="55"/>
        <v>1.1405538574581282E-2</v>
      </c>
      <c r="AJ26" s="725">
        <f t="shared" si="55"/>
        <v>1.3399978630101948E-2</v>
      </c>
      <c r="AK26" s="725">
        <f t="shared" si="55"/>
        <v>1.5411361711302153E-2</v>
      </c>
      <c r="AL26" s="725">
        <f t="shared" si="55"/>
        <v>1.7439904638926796E-2</v>
      </c>
      <c r="AM26" s="725">
        <f t="shared" si="55"/>
        <v>1.948582794912402E-2</v>
      </c>
    </row>
    <row r="27" spans="1:39">
      <c r="A27" s="723" t="s">
        <v>104</v>
      </c>
      <c r="B27" s="207" t="s">
        <v>42</v>
      </c>
      <c r="C27" s="207">
        <f t="shared" si="54"/>
        <v>2304</v>
      </c>
      <c r="D27" s="207">
        <f t="shared" si="51"/>
        <v>1.8808080016072995E-2</v>
      </c>
      <c r="E27" s="207">
        <f t="shared" ref="E27:AM27" si="56">E8/SUM(E$5:E$12)</f>
        <v>1.6378597708284242E-2</v>
      </c>
      <c r="F27" s="207">
        <f t="shared" si="56"/>
        <v>1.3861356405078877E-2</v>
      </c>
      <c r="G27" s="207">
        <f t="shared" si="56"/>
        <v>1.1251513530875591E-2</v>
      </c>
      <c r="H27" s="207">
        <f t="shared" si="56"/>
        <v>8.5438635470000343E-3</v>
      </c>
      <c r="I27" s="207">
        <f t="shared" si="56"/>
        <v>5.7328032960696296E-3</v>
      </c>
      <c r="J27" s="207">
        <f t="shared" si="56"/>
        <v>5.1686840950887214E-3</v>
      </c>
      <c r="K27" s="725">
        <f t="shared" si="56"/>
        <v>4.6215482199622867E-3</v>
      </c>
      <c r="L27" s="725">
        <f t="shared" si="56"/>
        <v>4.0906400964201041E-3</v>
      </c>
      <c r="M27" s="725">
        <f t="shared" si="56"/>
        <v>3.5234689474622082E-3</v>
      </c>
      <c r="N27" s="725">
        <f t="shared" si="56"/>
        <v>2.9612773761329785E-3</v>
      </c>
      <c r="O27" s="725">
        <f t="shared" si="56"/>
        <v>2.3574040552046234E-3</v>
      </c>
      <c r="P27" s="725">
        <f t="shared" si="56"/>
        <v>1.7567903886353772E-3</v>
      </c>
      <c r="Q27" s="725">
        <f t="shared" si="56"/>
        <v>1.1594100544814777E-3</v>
      </c>
      <c r="R27" s="725">
        <f t="shared" si="56"/>
        <v>8.1001251813964093E-4</v>
      </c>
      <c r="S27" s="725">
        <f t="shared" si="56"/>
        <v>4.6221635355756695E-4</v>
      </c>
      <c r="T27" s="725">
        <f t="shared" si="56"/>
        <v>3.8184282236318354E-4</v>
      </c>
      <c r="U27" s="725">
        <f t="shared" si="56"/>
        <v>3.0285015173326307E-4</v>
      </c>
      <c r="V27" s="725">
        <f t="shared" si="56"/>
        <v>2.2520305886400917E-4</v>
      </c>
      <c r="W27" s="725">
        <f t="shared" si="56"/>
        <v>2.2336127768461463E-4</v>
      </c>
      <c r="X27" s="725">
        <f t="shared" si="56"/>
        <v>2.2154937745659623E-4</v>
      </c>
      <c r="Y27" s="725">
        <f t="shared" si="56"/>
        <v>2.1971715762215819E-4</v>
      </c>
      <c r="Z27" s="725">
        <f t="shared" si="56"/>
        <v>2.1791499424324211E-4</v>
      </c>
      <c r="AA27" s="725">
        <f t="shared" si="56"/>
        <v>2.1614215374983898E-4</v>
      </c>
      <c r="AB27" s="725">
        <f t="shared" si="56"/>
        <v>2.1446148849543433E-4</v>
      </c>
      <c r="AC27" s="725">
        <f t="shared" si="56"/>
        <v>2.1280675840898208E-4</v>
      </c>
      <c r="AD27" s="725">
        <f t="shared" si="56"/>
        <v>2.1217238814920061E-4</v>
      </c>
      <c r="AE27" s="725">
        <f t="shared" si="56"/>
        <v>2.1154178872430002E-4</v>
      </c>
      <c r="AF27" s="725">
        <f t="shared" si="56"/>
        <v>2.109149266119176E-4</v>
      </c>
      <c r="AG27" s="725">
        <f t="shared" si="56"/>
        <v>2.1029176868586427E-4</v>
      </c>
      <c r="AH27" s="725">
        <f t="shared" si="56"/>
        <v>2.0967228221028896E-4</v>
      </c>
      <c r="AI27" s="725">
        <f t="shared" si="56"/>
        <v>2.105553767572653E-4</v>
      </c>
      <c r="AJ27" s="725">
        <f t="shared" si="56"/>
        <v>2.114459415759318E-4</v>
      </c>
      <c r="AK27" s="725">
        <f t="shared" si="56"/>
        <v>2.1234407185767153E-4</v>
      </c>
      <c r="AL27" s="725">
        <f t="shared" si="56"/>
        <v>2.1324986441809295E-4</v>
      </c>
      <c r="AM27" s="725">
        <f t="shared" si="56"/>
        <v>2.1416341773182018E-4</v>
      </c>
    </row>
    <row r="28" spans="1:39">
      <c r="A28" s="723"/>
      <c r="B28" s="207" t="s">
        <v>477</v>
      </c>
      <c r="C28" s="207">
        <f t="shared" si="54"/>
        <v>2305</v>
      </c>
      <c r="D28" s="207">
        <f t="shared" si="51"/>
        <v>5.3217391539930207E-2</v>
      </c>
      <c r="E28" s="207">
        <f t="shared" ref="E28:AM28" si="57">E9/SUM(E$5:E$12)</f>
        <v>5.8928173540984057E-2</v>
      </c>
      <c r="F28" s="207">
        <f t="shared" si="57"/>
        <v>6.484524331365453E-2</v>
      </c>
      <c r="G28" s="207">
        <f t="shared" si="57"/>
        <v>7.0979983897603946E-2</v>
      </c>
      <c r="H28" s="207">
        <f t="shared" si="57"/>
        <v>7.734463151964982E-2</v>
      </c>
      <c r="I28" s="207">
        <f t="shared" si="57"/>
        <v>8.3952357055837243E-2</v>
      </c>
      <c r="J28" s="207">
        <f t="shared" si="57"/>
        <v>8.9379721911155771E-2</v>
      </c>
      <c r="K28" s="725">
        <f t="shared" si="57"/>
        <v>9.4643690970499392E-2</v>
      </c>
      <c r="L28" s="725">
        <f t="shared" si="57"/>
        <v>9.9751533579128221E-2</v>
      </c>
      <c r="M28" s="725">
        <f t="shared" si="57"/>
        <v>0.10573889967223313</v>
      </c>
      <c r="N28" s="725">
        <f t="shared" si="57"/>
        <v>0.11167369864462563</v>
      </c>
      <c r="O28" s="725">
        <f t="shared" si="57"/>
        <v>0.11747779569076436</v>
      </c>
      <c r="P28" s="725">
        <f t="shared" si="57"/>
        <v>0.123250562738406</v>
      </c>
      <c r="Q28" s="725">
        <f t="shared" si="57"/>
        <v>0.12899225277954524</v>
      </c>
      <c r="R28" s="725">
        <f t="shared" si="57"/>
        <v>0.13450869795261772</v>
      </c>
      <c r="S28" s="725">
        <f t="shared" si="57"/>
        <v>0.1399998599493778</v>
      </c>
      <c r="T28" s="725">
        <f t="shared" si="57"/>
        <v>0.15319456838999387</v>
      </c>
      <c r="U28" s="725">
        <f t="shared" si="57"/>
        <v>0.16616258463139366</v>
      </c>
      <c r="V28" s="725">
        <f t="shared" si="57"/>
        <v>0.17890970095745645</v>
      </c>
      <c r="W28" s="725">
        <f t="shared" si="57"/>
        <v>0.1908366373089144</v>
      </c>
      <c r="X28" s="725">
        <f t="shared" si="57"/>
        <v>0.20257007173453465</v>
      </c>
      <c r="Y28" s="725">
        <f t="shared" si="57"/>
        <v>0.2139233283625224</v>
      </c>
      <c r="Z28" s="725">
        <f t="shared" si="57"/>
        <v>0.22509034169892722</v>
      </c>
      <c r="AA28" s="725">
        <f t="shared" si="57"/>
        <v>0.2360756572728453</v>
      </c>
      <c r="AB28" s="725">
        <f t="shared" si="57"/>
        <v>0.24598568026165993</v>
      </c>
      <c r="AC28" s="725">
        <f t="shared" si="57"/>
        <v>0.25574277683639374</v>
      </c>
      <c r="AD28" s="725">
        <f t="shared" si="57"/>
        <v>0.26931416526294644</v>
      </c>
      <c r="AE28" s="725">
        <f t="shared" si="57"/>
        <v>0.2828048824031783</v>
      </c>
      <c r="AF28" s="725">
        <f t="shared" si="57"/>
        <v>0.29621564541713485</v>
      </c>
      <c r="AG28" s="725">
        <f t="shared" si="57"/>
        <v>0.30954716298933144</v>
      </c>
      <c r="AH28" s="725">
        <f t="shared" si="57"/>
        <v>0.32280013545359071</v>
      </c>
      <c r="AI28" s="725">
        <f t="shared" si="57"/>
        <v>0.33653524111288186</v>
      </c>
      <c r="AJ28" s="725">
        <f t="shared" si="57"/>
        <v>0.35038653475149906</v>
      </c>
      <c r="AK28" s="725">
        <f t="shared" si="57"/>
        <v>0.36435549691726216</v>
      </c>
      <c r="AL28" s="725">
        <f t="shared" si="57"/>
        <v>0.37844363342018345</v>
      </c>
      <c r="AM28" s="725">
        <f t="shared" si="57"/>
        <v>0.39265247587357849</v>
      </c>
    </row>
    <row r="29" spans="1:39">
      <c r="A29" s="723"/>
      <c r="B29" s="207" t="s">
        <v>279</v>
      </c>
      <c r="C29" s="207">
        <f t="shared" si="54"/>
        <v>2306</v>
      </c>
      <c r="D29" s="207">
        <f t="shared" si="51"/>
        <v>2.3453177361347447E-2</v>
      </c>
      <c r="E29" s="207">
        <f t="shared" ref="E29:AM29" si="58">E10/SUM(E$5:E$12)</f>
        <v>2.5969948275273422E-2</v>
      </c>
      <c r="F29" s="207">
        <f t="shared" si="58"/>
        <v>2.8577631268036852E-2</v>
      </c>
      <c r="G29" s="207">
        <f t="shared" si="58"/>
        <v>3.1281242903591487E-2</v>
      </c>
      <c r="H29" s="207">
        <f t="shared" si="58"/>
        <v>3.4086175749845682E-2</v>
      </c>
      <c r="I29" s="207">
        <f t="shared" si="58"/>
        <v>3.6998234279415454E-2</v>
      </c>
      <c r="J29" s="207">
        <f t="shared" si="58"/>
        <v>3.881805797892604E-2</v>
      </c>
      <c r="K29" s="725">
        <f t="shared" si="58"/>
        <v>4.0583094217146995E-2</v>
      </c>
      <c r="L29" s="725">
        <f t="shared" si="58"/>
        <v>4.2295780443399829E-2</v>
      </c>
      <c r="M29" s="725">
        <f t="shared" si="58"/>
        <v>4.8363738874093939E-2</v>
      </c>
      <c r="N29" s="725">
        <f t="shared" si="58"/>
        <v>5.4378422609647654E-2</v>
      </c>
      <c r="O29" s="725">
        <f t="shared" si="58"/>
        <v>6.3171674749699966E-2</v>
      </c>
      <c r="P29" s="725">
        <f t="shared" si="58"/>
        <v>7.1917461698501606E-2</v>
      </c>
      <c r="Q29" s="725">
        <f t="shared" si="58"/>
        <v>8.061616674089106E-2</v>
      </c>
      <c r="R29" s="725">
        <f t="shared" si="58"/>
        <v>8.8746043751752615E-2</v>
      </c>
      <c r="S29" s="725">
        <f t="shared" si="58"/>
        <v>9.6838659608480565E-2</v>
      </c>
      <c r="T29" s="725">
        <f t="shared" si="58"/>
        <v>0.10397570673353383</v>
      </c>
      <c r="U29" s="725">
        <f t="shared" si="58"/>
        <v>0.11099013554413398</v>
      </c>
      <c r="V29" s="725">
        <f t="shared" si="58"/>
        <v>0.1178850790995066</v>
      </c>
      <c r="W29" s="725">
        <f t="shared" si="58"/>
        <v>0.12434558537423805</v>
      </c>
      <c r="X29" s="725">
        <f t="shared" si="58"/>
        <v>0.13070127676866758</v>
      </c>
      <c r="Y29" s="725">
        <f t="shared" si="58"/>
        <v>0.13489016251337801</v>
      </c>
      <c r="Z29" s="725">
        <f t="shared" si="58"/>
        <v>0.13901033212713826</v>
      </c>
      <c r="AA29" s="725">
        <f t="shared" si="58"/>
        <v>0.14306346272363096</v>
      </c>
      <c r="AB29" s="725">
        <f t="shared" si="58"/>
        <v>0.14675824592784986</v>
      </c>
      <c r="AC29" s="725">
        <f t="shared" si="58"/>
        <v>0.1503960131244505</v>
      </c>
      <c r="AD29" s="725">
        <f t="shared" si="58"/>
        <v>0.15642811417985189</v>
      </c>
      <c r="AE29" s="725">
        <f t="shared" si="58"/>
        <v>0.16242435911382616</v>
      </c>
      <c r="AF29" s="725">
        <f t="shared" si="58"/>
        <v>0.16838506668387493</v>
      </c>
      <c r="AG29" s="725">
        <f t="shared" si="58"/>
        <v>0.17431055188036459</v>
      </c>
      <c r="AH29" s="725">
        <f t="shared" si="58"/>
        <v>0.18020112598201316</v>
      </c>
      <c r="AI29" s="725">
        <f t="shared" si="58"/>
        <v>0.18491657723066418</v>
      </c>
      <c r="AJ29" s="725">
        <f t="shared" si="58"/>
        <v>0.18967191741543135</v>
      </c>
      <c r="AK29" s="725">
        <f t="shared" si="58"/>
        <v>0.19446765482880529</v>
      </c>
      <c r="AL29" s="725">
        <f t="shared" si="58"/>
        <v>0.19930430643613592</v>
      </c>
      <c r="AM29" s="725">
        <f t="shared" si="58"/>
        <v>0.20418239806140306</v>
      </c>
    </row>
    <row r="30" spans="1:39">
      <c r="A30" s="723"/>
      <c r="B30" s="207" t="s">
        <v>18</v>
      </c>
      <c r="C30" s="207">
        <f t="shared" si="54"/>
        <v>2307</v>
      </c>
      <c r="D30" s="207">
        <f t="shared" si="51"/>
        <v>6.5029264501917927E-2</v>
      </c>
      <c r="E30" s="207">
        <f t="shared" ref="E30:AM30" si="59">E11/SUM(E$5:E$12)</f>
        <v>7.2007583854167223E-2</v>
      </c>
      <c r="F30" s="207">
        <f t="shared" si="59"/>
        <v>7.9237977606829449E-2</v>
      </c>
      <c r="G30" s="207">
        <f t="shared" si="59"/>
        <v>8.6734355323594581E-2</v>
      </c>
      <c r="H30" s="207">
        <f t="shared" si="59"/>
        <v>9.4511669124572123E-2</v>
      </c>
      <c r="I30" s="207">
        <f t="shared" si="59"/>
        <v>0.10258601322928831</v>
      </c>
      <c r="J30" s="207">
        <f t="shared" si="59"/>
        <v>0.10867461966325295</v>
      </c>
      <c r="K30" s="725">
        <f t="shared" si="59"/>
        <v>0.1145799230171454</v>
      </c>
      <c r="L30" s="725">
        <f t="shared" si="59"/>
        <v>0.1203100782950056</v>
      </c>
      <c r="M30" s="725">
        <f t="shared" si="59"/>
        <v>0.11969753386156212</v>
      </c>
      <c r="N30" s="725">
        <f t="shared" si="59"/>
        <v>0.11909036736838048</v>
      </c>
      <c r="O30" s="725">
        <f t="shared" si="59"/>
        <v>0.11744315890046052</v>
      </c>
      <c r="P30" s="725">
        <f t="shared" si="59"/>
        <v>0.11580484191702373</v>
      </c>
      <c r="Q30" s="725">
        <f t="shared" si="59"/>
        <v>0.11417534461869233</v>
      </c>
      <c r="R30" s="725">
        <f t="shared" si="59"/>
        <v>0.11290866513905154</v>
      </c>
      <c r="S30" s="725">
        <f t="shared" si="59"/>
        <v>0.11164779115182663</v>
      </c>
      <c r="T30" s="725">
        <f t="shared" si="59"/>
        <v>0.11013973581275255</v>
      </c>
      <c r="U30" s="725">
        <f t="shared" si="59"/>
        <v>0.10865758967681796</v>
      </c>
      <c r="V30" s="725">
        <f t="shared" si="59"/>
        <v>0.10720069072980189</v>
      </c>
      <c r="W30" s="725">
        <f t="shared" si="59"/>
        <v>0.10589315599451411</v>
      </c>
      <c r="X30" s="725">
        <f t="shared" si="59"/>
        <v>0.10460683462717955</v>
      </c>
      <c r="Y30" s="725">
        <f t="shared" si="59"/>
        <v>0.10213729437811517</v>
      </c>
      <c r="Z30" s="725">
        <f t="shared" si="59"/>
        <v>9.9708265439571883E-2</v>
      </c>
      <c r="AA30" s="725">
        <f t="shared" si="59"/>
        <v>9.7318759076121281E-2</v>
      </c>
      <c r="AB30" s="725">
        <f t="shared" si="59"/>
        <v>9.5265141141079368E-2</v>
      </c>
      <c r="AC30" s="725">
        <f t="shared" si="59"/>
        <v>9.324321358930425E-2</v>
      </c>
      <c r="AD30" s="725">
        <f t="shared" si="59"/>
        <v>9.3110189697085205E-2</v>
      </c>
      <c r="AE30" s="725">
        <f t="shared" si="59"/>
        <v>9.2977956527831251E-2</v>
      </c>
      <c r="AF30" s="725">
        <f t="shared" si="59"/>
        <v>9.2846507052090549E-2</v>
      </c>
      <c r="AG30" s="725">
        <f t="shared" si="59"/>
        <v>9.2715834323486734E-2</v>
      </c>
      <c r="AH30" s="725">
        <f t="shared" si="59"/>
        <v>9.258593147749504E-2</v>
      </c>
      <c r="AI30" s="725">
        <f t="shared" si="59"/>
        <v>9.2156244090025652E-2</v>
      </c>
      <c r="AJ30" s="725">
        <f t="shared" si="59"/>
        <v>9.1722921891836187E-2</v>
      </c>
      <c r="AK30" s="725">
        <f t="shared" si="59"/>
        <v>9.1285918565647342E-2</v>
      </c>
      <c r="AL30" s="725">
        <f t="shared" si="59"/>
        <v>9.0845187003880459E-2</v>
      </c>
      <c r="AM30" s="725">
        <f t="shared" si="59"/>
        <v>9.0400679291729513E-2</v>
      </c>
    </row>
    <row r="31" spans="1:39" ht="15" thickBot="1">
      <c r="A31" s="722"/>
      <c r="B31" s="207" t="s">
        <v>480</v>
      </c>
      <c r="C31" s="207">
        <f t="shared" si="54"/>
        <v>2308</v>
      </c>
      <c r="D31" s="207">
        <f t="shared" si="51"/>
        <v>1.6770924043722948E-2</v>
      </c>
      <c r="E31" s="207">
        <f t="shared" ref="E31:AM31" si="60">E12/SUM(E$5:E$12)</f>
        <v>1.5920522759745395E-2</v>
      </c>
      <c r="F31" s="207">
        <f t="shared" si="60"/>
        <v>1.5039402848122923E-2</v>
      </c>
      <c r="G31" s="207">
        <f t="shared" si="60"/>
        <v>1.4125869243005955E-2</v>
      </c>
      <c r="H31" s="207">
        <f t="shared" si="60"/>
        <v>1.3178099829140439E-2</v>
      </c>
      <c r="I31" s="207">
        <f t="shared" si="60"/>
        <v>1.2194133311226062E-2</v>
      </c>
      <c r="J31" s="207">
        <f t="shared" si="60"/>
        <v>1.6559577037331026E-2</v>
      </c>
      <c r="K31" s="725">
        <f t="shared" si="60"/>
        <v>2.0793595076859656E-2</v>
      </c>
      <c r="L31" s="725">
        <f t="shared" si="60"/>
        <v>2.4902034451065275E-2</v>
      </c>
      <c r="M31" s="725">
        <f t="shared" si="60"/>
        <v>2.5429612297982053E-2</v>
      </c>
      <c r="N31" s="725">
        <f t="shared" si="60"/>
        <v>2.5952558183543393E-2</v>
      </c>
      <c r="O31" s="725">
        <f t="shared" si="60"/>
        <v>2.5402885927334359E-2</v>
      </c>
      <c r="P31" s="725">
        <f t="shared" si="60"/>
        <v>2.4856180752968388E-2</v>
      </c>
      <c r="Q31" s="725">
        <f t="shared" si="60"/>
        <v>2.4312418701045852E-2</v>
      </c>
      <c r="R31" s="725">
        <f t="shared" si="60"/>
        <v>2.3758148516162085E-2</v>
      </c>
      <c r="S31" s="725">
        <f t="shared" si="60"/>
        <v>2.3206418682966662E-2</v>
      </c>
      <c r="T31" s="725">
        <f t="shared" si="60"/>
        <v>2.399971422701597E-2</v>
      </c>
      <c r="U31" s="725">
        <f t="shared" si="60"/>
        <v>2.4779380526257153E-2</v>
      </c>
      <c r="V31" s="725">
        <f t="shared" si="60"/>
        <v>2.5545765825822863E-2</v>
      </c>
      <c r="W31" s="725">
        <f t="shared" si="60"/>
        <v>2.6272993479411973E-2</v>
      </c>
      <c r="X31" s="725">
        <f t="shared" si="60"/>
        <v>2.6988422633592246E-2</v>
      </c>
      <c r="Y31" s="725">
        <f t="shared" si="60"/>
        <v>2.7338905232870619E-2</v>
      </c>
      <c r="Z31" s="725">
        <f t="shared" si="60"/>
        <v>2.7683638377602949E-2</v>
      </c>
      <c r="AA31" s="725">
        <f t="shared" si="60"/>
        <v>2.8022762391302126E-2</v>
      </c>
      <c r="AB31" s="725">
        <f t="shared" si="60"/>
        <v>2.8338568964983313E-2</v>
      </c>
      <c r="AC31" s="725">
        <f t="shared" si="60"/>
        <v>2.8649502172890202E-2</v>
      </c>
      <c r="AD31" s="725">
        <f t="shared" si="60"/>
        <v>2.7471174201331962E-2</v>
      </c>
      <c r="AE31" s="725">
        <f t="shared" si="60"/>
        <v>2.6299850467673771E-2</v>
      </c>
      <c r="AF31" s="725">
        <f t="shared" si="60"/>
        <v>2.5135468704908352E-2</v>
      </c>
      <c r="AG31" s="725">
        <f t="shared" si="60"/>
        <v>2.3977967381911471E-2</v>
      </c>
      <c r="AH31" s="725">
        <f t="shared" si="60"/>
        <v>2.2827285692602946E-2</v>
      </c>
      <c r="AI31" s="725">
        <f t="shared" si="60"/>
        <v>2.2358453808500531E-2</v>
      </c>
      <c r="AJ31" s="725">
        <f t="shared" si="60"/>
        <v>2.1885655982627539E-2</v>
      </c>
      <c r="AK31" s="725">
        <f t="shared" si="60"/>
        <v>2.1408841678203172E-2</v>
      </c>
      <c r="AL31" s="725">
        <f t="shared" si="60"/>
        <v>2.0927959496151029E-2</v>
      </c>
      <c r="AM31" s="725">
        <f t="shared" si="60"/>
        <v>2.0442957156628916E-2</v>
      </c>
    </row>
    <row r="32" spans="1:39">
      <c r="A32" s="721"/>
      <c r="B32" s="207" t="s">
        <v>287</v>
      </c>
      <c r="C32" s="207">
        <v>2401</v>
      </c>
      <c r="D32" s="207">
        <f t="shared" ref="D32:D37" si="61">D13/SUM(D$13:D$18)</f>
        <v>0.69942292730045208</v>
      </c>
      <c r="E32" s="207">
        <f t="shared" ref="E32:AM32" si="62">E13/SUM(E$13:E$18)</f>
        <v>0.69641184561009162</v>
      </c>
      <c r="F32" s="207">
        <f t="shared" si="62"/>
        <v>0.69340627873717753</v>
      </c>
      <c r="G32" s="207">
        <f t="shared" si="62"/>
        <v>0.69040621154493043</v>
      </c>
      <c r="H32" s="207">
        <f t="shared" si="62"/>
        <v>0.68741162895191599</v>
      </c>
      <c r="I32" s="207">
        <f t="shared" si="62"/>
        <v>0.68442251593179171</v>
      </c>
      <c r="J32" s="207">
        <f t="shared" si="62"/>
        <v>0.66235615292653549</v>
      </c>
      <c r="K32" s="725">
        <f t="shared" si="62"/>
        <v>0.64068774767389691</v>
      </c>
      <c r="L32" s="725">
        <f t="shared" si="62"/>
        <v>0.61940663087624881</v>
      </c>
      <c r="M32" s="725">
        <f t="shared" si="62"/>
        <v>0.59819520025228445</v>
      </c>
      <c r="N32" s="725">
        <f t="shared" si="62"/>
        <v>0.57643558717302301</v>
      </c>
      <c r="O32" s="725">
        <f t="shared" si="62"/>
        <v>0.54958941122043692</v>
      </c>
      <c r="P32" s="725">
        <f t="shared" si="62"/>
        <v>0.52179472322724052</v>
      </c>
      <c r="Q32" s="725">
        <f t="shared" si="62"/>
        <v>0.49300035086164162</v>
      </c>
      <c r="R32" s="725">
        <f t="shared" si="62"/>
        <v>0.46541008690307117</v>
      </c>
      <c r="S32" s="725">
        <f t="shared" si="62"/>
        <v>0.43682571350414212</v>
      </c>
      <c r="T32" s="725">
        <f t="shared" si="62"/>
        <v>0.4098733881132498</v>
      </c>
      <c r="U32" s="725">
        <f t="shared" si="62"/>
        <v>0.38266548302113668</v>
      </c>
      <c r="V32" s="725">
        <f t="shared" si="62"/>
        <v>0.35519834554664559</v>
      </c>
      <c r="W32" s="725">
        <f t="shared" si="62"/>
        <v>0.33021461601982866</v>
      </c>
      <c r="X32" s="725">
        <f t="shared" si="62"/>
        <v>0.30499904685807533</v>
      </c>
      <c r="Y32" s="725">
        <f t="shared" si="62"/>
        <v>0.28119961659255499</v>
      </c>
      <c r="Z32" s="725">
        <f t="shared" si="62"/>
        <v>0.25732735272376012</v>
      </c>
      <c r="AA32" s="725">
        <f t="shared" si="62"/>
        <v>0.23338192039935129</v>
      </c>
      <c r="AB32" s="725">
        <f t="shared" si="62"/>
        <v>0.21212098937309662</v>
      </c>
      <c r="AC32" s="725">
        <f t="shared" si="62"/>
        <v>0.19079037078176106</v>
      </c>
      <c r="AD32" s="725">
        <f t="shared" si="62"/>
        <v>0.17465952119656841</v>
      </c>
      <c r="AE32" s="725">
        <f t="shared" si="62"/>
        <v>0.1584772815112549</v>
      </c>
      <c r="AF32" s="725">
        <f t="shared" si="62"/>
        <v>0.14224340575403699</v>
      </c>
      <c r="AG32" s="725">
        <f t="shared" si="62"/>
        <v>0.12595764638087492</v>
      </c>
      <c r="AH32" s="725">
        <f t="shared" si="62"/>
        <v>0.10961975426289032</v>
      </c>
      <c r="AI32" s="725">
        <f t="shared" si="62"/>
        <v>8.9338193866322982E-2</v>
      </c>
      <c r="AJ32" s="725">
        <f t="shared" si="62"/>
        <v>6.8864096299530941E-2</v>
      </c>
      <c r="AK32" s="725">
        <f t="shared" si="62"/>
        <v>4.8194706792189505E-2</v>
      </c>
      <c r="AL32" s="725">
        <f t="shared" si="62"/>
        <v>2.7327217769447208E-2</v>
      </c>
      <c r="AM32" s="725">
        <f t="shared" si="62"/>
        <v>6.2587675806108564E-3</v>
      </c>
    </row>
    <row r="33" spans="1:39">
      <c r="A33" s="723"/>
      <c r="B33" s="207" t="s">
        <v>289</v>
      </c>
      <c r="C33" s="207">
        <v>2402</v>
      </c>
      <c r="D33" s="207">
        <f t="shared" si="61"/>
        <v>0.18323089079724622</v>
      </c>
      <c r="E33" s="207">
        <f t="shared" ref="E33:AM33" si="63">E14/SUM(E$13:E$18)</f>
        <v>0.18538891399679011</v>
      </c>
      <c r="F33" s="207">
        <f t="shared" si="63"/>
        <v>0.1875429847615567</v>
      </c>
      <c r="G33" s="207">
        <f t="shared" si="63"/>
        <v>0.1896931139399799</v>
      </c>
      <c r="H33" s="207">
        <f t="shared" si="63"/>
        <v>0.19183931234082838</v>
      </c>
      <c r="I33" s="207">
        <f t="shared" si="63"/>
        <v>0.1939815907333865</v>
      </c>
      <c r="J33" s="207">
        <f t="shared" si="63"/>
        <v>0.19983220162791132</v>
      </c>
      <c r="K33" s="725">
        <f t="shared" si="63"/>
        <v>0.20557729916880954</v>
      </c>
      <c r="L33" s="725">
        <f t="shared" si="63"/>
        <v>0.21121971218242283</v>
      </c>
      <c r="M33" s="725">
        <f t="shared" si="63"/>
        <v>0.20856949153833942</v>
      </c>
      <c r="N33" s="725">
        <f t="shared" si="63"/>
        <v>0.20585077931132098</v>
      </c>
      <c r="O33" s="725">
        <f t="shared" si="63"/>
        <v>0.20774041498634838</v>
      </c>
      <c r="P33" s="725">
        <f t="shared" si="63"/>
        <v>0.20969681406906918</v>
      </c>
      <c r="Q33" s="725">
        <f t="shared" si="63"/>
        <v>0.21172357845287407</v>
      </c>
      <c r="R33" s="725">
        <f t="shared" si="63"/>
        <v>0.21368297208006953</v>
      </c>
      <c r="S33" s="725">
        <f t="shared" si="63"/>
        <v>0.21571296494854433</v>
      </c>
      <c r="T33" s="725">
        <f t="shared" si="63"/>
        <v>0.21471198706169917</v>
      </c>
      <c r="U33" s="725">
        <f t="shared" si="63"/>
        <v>0.21370151724324743</v>
      </c>
      <c r="V33" s="725">
        <f t="shared" si="63"/>
        <v>0.21268141983687691</v>
      </c>
      <c r="W33" s="725">
        <f t="shared" si="63"/>
        <v>0.21155210108234429</v>
      </c>
      <c r="X33" s="725">
        <f t="shared" si="63"/>
        <v>0.21041230267354322</v>
      </c>
      <c r="Y33" s="725">
        <f t="shared" si="63"/>
        <v>0.20886885400592095</v>
      </c>
      <c r="Z33" s="725">
        <f t="shared" si="63"/>
        <v>0.20732068190892755</v>
      </c>
      <c r="AA33" s="725">
        <f t="shared" si="63"/>
        <v>0.20576776466660637</v>
      </c>
      <c r="AB33" s="725">
        <f t="shared" si="63"/>
        <v>0.20414203592235097</v>
      </c>
      <c r="AC33" s="725">
        <f t="shared" si="63"/>
        <v>0.20251097848023522</v>
      </c>
      <c r="AD33" s="725">
        <f t="shared" si="63"/>
        <v>0.20142553857909762</v>
      </c>
      <c r="AE33" s="725">
        <f t="shared" si="63"/>
        <v>0.20033664065394835</v>
      </c>
      <c r="AF33" s="725">
        <f t="shared" si="63"/>
        <v>0.19924426815342178</v>
      </c>
      <c r="AG33" s="725">
        <f t="shared" si="63"/>
        <v>0.19814840442035581</v>
      </c>
      <c r="AH33" s="725">
        <f t="shared" si="63"/>
        <v>0.19704903269094476</v>
      </c>
      <c r="AI33" s="725">
        <f t="shared" si="63"/>
        <v>0.1966319047430119</v>
      </c>
      <c r="AJ33" s="725">
        <f t="shared" si="63"/>
        <v>0.19621081691067441</v>
      </c>
      <c r="AK33" s="725">
        <f t="shared" si="63"/>
        <v>0.19578571253696544</v>
      </c>
      <c r="AL33" s="725">
        <f t="shared" si="63"/>
        <v>0.19535653387889529</v>
      </c>
      <c r="AM33" s="725">
        <f t="shared" si="63"/>
        <v>0.19492322208130389</v>
      </c>
    </row>
    <row r="34" spans="1:39">
      <c r="A34" s="723" t="s">
        <v>478</v>
      </c>
      <c r="B34" s="207" t="s">
        <v>291</v>
      </c>
      <c r="C34" s="207">
        <v>2403</v>
      </c>
      <c r="D34" s="207">
        <f t="shared" si="61"/>
        <v>2.6846526258131444E-3</v>
      </c>
      <c r="E34" s="207">
        <f t="shared" ref="E34:AM34" si="64">E15/SUM(E$13:E$18)</f>
        <v>4.3234324703294597E-3</v>
      </c>
      <c r="F34" s="207">
        <f t="shared" si="64"/>
        <v>5.9592108779514879E-3</v>
      </c>
      <c r="G34" s="207">
        <f t="shared" si="64"/>
        <v>7.591996086864481E-3</v>
      </c>
      <c r="H34" s="207">
        <f t="shared" si="64"/>
        <v>9.2217963051322727E-3</v>
      </c>
      <c r="I34" s="207">
        <f t="shared" si="64"/>
        <v>1.084861971083481E-2</v>
      </c>
      <c r="J34" s="207">
        <f t="shared" si="64"/>
        <v>1.6468051416117933E-2</v>
      </c>
      <c r="K34" s="725">
        <f t="shared" si="64"/>
        <v>2.1986138989072108E-2</v>
      </c>
      <c r="L34" s="725">
        <f t="shared" si="64"/>
        <v>2.740559947868924E-2</v>
      </c>
      <c r="M34" s="725">
        <f t="shared" si="64"/>
        <v>3.5766409483537431E-2</v>
      </c>
      <c r="N34" s="725">
        <f t="shared" si="64"/>
        <v>4.4343293992646256E-2</v>
      </c>
      <c r="O34" s="725">
        <f t="shared" si="64"/>
        <v>5.3657248343575742E-2</v>
      </c>
      <c r="P34" s="725">
        <f t="shared" si="64"/>
        <v>6.3300277414985132E-2</v>
      </c>
      <c r="Q34" s="725">
        <f t="shared" si="64"/>
        <v>7.3290134825236525E-2</v>
      </c>
      <c r="R34" s="725">
        <f t="shared" si="64"/>
        <v>8.1336898927480417E-2</v>
      </c>
      <c r="S34" s="725">
        <f t="shared" si="64"/>
        <v>8.9673597340261924E-2</v>
      </c>
      <c r="T34" s="725">
        <f t="shared" si="64"/>
        <v>0.10494401562124092</v>
      </c>
      <c r="U34" s="725">
        <f t="shared" si="64"/>
        <v>0.1203592380660599</v>
      </c>
      <c r="V34" s="725">
        <f t="shared" si="64"/>
        <v>0.13592133417960589</v>
      </c>
      <c r="W34" s="725">
        <f t="shared" si="64"/>
        <v>0.14882501995256442</v>
      </c>
      <c r="X34" s="725">
        <f t="shared" si="64"/>
        <v>0.1618484470874251</v>
      </c>
      <c r="Y34" s="725">
        <f t="shared" si="64"/>
        <v>0.17584782549142289</v>
      </c>
      <c r="Z34" s="725">
        <f t="shared" si="64"/>
        <v>0.18989004631481443</v>
      </c>
      <c r="AA34" s="725">
        <f t="shared" si="64"/>
        <v>0.20397530652553361</v>
      </c>
      <c r="AB34" s="725">
        <f t="shared" si="64"/>
        <v>0.21528507594053548</v>
      </c>
      <c r="AC34" s="725">
        <f t="shared" si="64"/>
        <v>0.22663191571201341</v>
      </c>
      <c r="AD34" s="725">
        <f t="shared" si="64"/>
        <v>0.23440597124172233</v>
      </c>
      <c r="AE34" s="725">
        <f t="shared" si="64"/>
        <v>0.24220479356935509</v>
      </c>
      <c r="AF34" s="725">
        <f t="shared" si="64"/>
        <v>0.25002850123784987</v>
      </c>
      <c r="AG34" s="725">
        <f t="shared" si="64"/>
        <v>0.25787721354787346</v>
      </c>
      <c r="AH34" s="725">
        <f t="shared" si="64"/>
        <v>0.26575105056388504</v>
      </c>
      <c r="AI34" s="725">
        <f t="shared" si="64"/>
        <v>0.27884493863431764</v>
      </c>
      <c r="AJ34" s="725">
        <f t="shared" si="64"/>
        <v>0.29206312977152749</v>
      </c>
      <c r="AK34" s="725">
        <f t="shared" si="64"/>
        <v>0.30540740247054082</v>
      </c>
      <c r="AL34" s="725">
        <f t="shared" si="64"/>
        <v>0.31887956931727984</v>
      </c>
      <c r="AM34" s="725">
        <f t="shared" si="64"/>
        <v>0.33248147780933052</v>
      </c>
    </row>
    <row r="35" spans="1:39">
      <c r="A35" s="723"/>
      <c r="B35" s="207" t="s">
        <v>293</v>
      </c>
      <c r="C35" s="207">
        <v>2404</v>
      </c>
      <c r="D35" s="207">
        <f t="shared" si="61"/>
        <v>1.2660550575208771E-2</v>
      </c>
      <c r="E35" s="207">
        <f t="shared" ref="E35:AM35" si="65">E16/SUM(E$13:E$18)</f>
        <v>1.7452277696366175E-2</v>
      </c>
      <c r="F35" s="207">
        <f t="shared" si="65"/>
        <v>2.2235228735356764E-2</v>
      </c>
      <c r="G35" s="207">
        <f t="shared" si="65"/>
        <v>2.7009427780306735E-2</v>
      </c>
      <c r="H35" s="207">
        <f t="shared" si="65"/>
        <v>3.1774898831268446E-2</v>
      </c>
      <c r="I35" s="207">
        <f t="shared" si="65"/>
        <v>3.6531665800622573E-2</v>
      </c>
      <c r="J35" s="207">
        <f t="shared" si="65"/>
        <v>3.3679428667935447E-2</v>
      </c>
      <c r="K35" s="725">
        <f t="shared" si="65"/>
        <v>3.0878630455154901E-2</v>
      </c>
      <c r="L35" s="725">
        <f t="shared" si="65"/>
        <v>2.8127892078339264E-2</v>
      </c>
      <c r="M35" s="725">
        <f t="shared" si="65"/>
        <v>2.9381488866311766E-2</v>
      </c>
      <c r="N35" s="725">
        <f t="shared" si="65"/>
        <v>3.0667483269389364E-2</v>
      </c>
      <c r="O35" s="725">
        <f t="shared" si="65"/>
        <v>3.1354836788964384E-2</v>
      </c>
      <c r="P35" s="725">
        <f t="shared" si="65"/>
        <v>3.206647544660244E-2</v>
      </c>
      <c r="Q35" s="725">
        <f t="shared" si="65"/>
        <v>3.280370942824673E-2</v>
      </c>
      <c r="R35" s="725">
        <f t="shared" si="65"/>
        <v>3.3383096989400479E-2</v>
      </c>
      <c r="S35" s="725">
        <f t="shared" si="65"/>
        <v>3.3983360561201818E-2</v>
      </c>
      <c r="T35" s="725">
        <f t="shared" si="65"/>
        <v>3.3694498979794527E-2</v>
      </c>
      <c r="U35" s="725">
        <f t="shared" si="65"/>
        <v>3.3402898222616703E-2</v>
      </c>
      <c r="V35" s="725">
        <f t="shared" si="65"/>
        <v>3.3108519142053421E-2</v>
      </c>
      <c r="W35" s="725">
        <f t="shared" si="65"/>
        <v>3.2797017527925527E-2</v>
      </c>
      <c r="X35" s="725">
        <f t="shared" si="65"/>
        <v>3.2482625295708618E-2</v>
      </c>
      <c r="Y35" s="725">
        <f t="shared" si="65"/>
        <v>3.2582385971009251E-2</v>
      </c>
      <c r="Z35" s="725">
        <f t="shared" si="65"/>
        <v>3.2682451944771491E-2</v>
      </c>
      <c r="AA35" s="725">
        <f t="shared" si="65"/>
        <v>3.2782824620604382E-2</v>
      </c>
      <c r="AB35" s="725">
        <f t="shared" si="65"/>
        <v>3.287558874773399E-2</v>
      </c>
      <c r="AC35" s="725">
        <f t="shared" si="65"/>
        <v>3.2968656930510959E-2</v>
      </c>
      <c r="AD35" s="725">
        <f t="shared" si="65"/>
        <v>3.3079692482865061E-2</v>
      </c>
      <c r="AE35" s="725">
        <f t="shared" si="65"/>
        <v>3.3191081775307205E-2</v>
      </c>
      <c r="AF35" s="725">
        <f t="shared" si="65"/>
        <v>3.3302826500966609E-2</v>
      </c>
      <c r="AG35" s="725">
        <f t="shared" si="65"/>
        <v>3.3414928363795032E-2</v>
      </c>
      <c r="AH35" s="725">
        <f t="shared" si="65"/>
        <v>3.3527389078653311E-2</v>
      </c>
      <c r="AI35" s="725">
        <f t="shared" si="65"/>
        <v>3.3660915845027589E-2</v>
      </c>
      <c r="AJ35" s="725">
        <f t="shared" si="65"/>
        <v>3.3795710209419197E-2</v>
      </c>
      <c r="AK35" s="725">
        <f t="shared" si="65"/>
        <v>3.3931790308281445E-2</v>
      </c>
      <c r="AL35" s="725">
        <f t="shared" si="65"/>
        <v>3.4069174625714391E-2</v>
      </c>
      <c r="AM35" s="725">
        <f t="shared" si="65"/>
        <v>3.4207882001834666E-2</v>
      </c>
    </row>
    <row r="36" spans="1:39">
      <c r="A36" s="723"/>
      <c r="B36" s="207" t="s">
        <v>296</v>
      </c>
      <c r="C36" s="207">
        <v>2405</v>
      </c>
      <c r="D36" s="207">
        <f t="shared" si="61"/>
        <v>3.5880088126033663E-3</v>
      </c>
      <c r="E36" s="207">
        <f t="shared" ref="E36:AM36" si="66">E17/SUM(E$13:E$18)</f>
        <v>4.7722533086115553E-3</v>
      </c>
      <c r="F36" s="207">
        <f t="shared" si="66"/>
        <v>5.9543288524361616E-3</v>
      </c>
      <c r="G36" s="207">
        <f t="shared" si="66"/>
        <v>7.1342413973024318E-3</v>
      </c>
      <c r="H36" s="207">
        <f t="shared" si="66"/>
        <v>8.3119968746687284E-3</v>
      </c>
      <c r="I36" s="207">
        <f t="shared" si="66"/>
        <v>9.4876011943259234E-3</v>
      </c>
      <c r="J36" s="207">
        <f t="shared" si="66"/>
        <v>1.0278195236434496E-2</v>
      </c>
      <c r="K36" s="725">
        <f t="shared" si="66"/>
        <v>1.1054531241178434E-2</v>
      </c>
      <c r="L36" s="725">
        <f t="shared" si="66"/>
        <v>1.1816991468340898E-2</v>
      </c>
      <c r="M36" s="725">
        <f t="shared" si="66"/>
        <v>1.3365618924986713E-2</v>
      </c>
      <c r="N36" s="725">
        <f t="shared" si="66"/>
        <v>1.4954268689254058E-2</v>
      </c>
      <c r="O36" s="725">
        <f t="shared" si="66"/>
        <v>1.6131078586434325E-2</v>
      </c>
      <c r="P36" s="725">
        <f t="shared" si="66"/>
        <v>1.7349466783591332E-2</v>
      </c>
      <c r="Q36" s="725">
        <f t="shared" si="66"/>
        <v>1.8611676434708024E-2</v>
      </c>
      <c r="R36" s="725">
        <f t="shared" si="66"/>
        <v>1.9956821234855471E-2</v>
      </c>
      <c r="S36" s="725">
        <f t="shared" si="66"/>
        <v>2.13504331735009E-2</v>
      </c>
      <c r="T36" s="725">
        <f t="shared" si="66"/>
        <v>2.3141432197994936E-2</v>
      </c>
      <c r="U36" s="725">
        <f t="shared" si="66"/>
        <v>2.4949414654861821E-2</v>
      </c>
      <c r="V36" s="725">
        <f t="shared" si="66"/>
        <v>2.6774623267068628E-2</v>
      </c>
      <c r="W36" s="725">
        <f t="shared" si="66"/>
        <v>2.8618948787483493E-2</v>
      </c>
      <c r="X36" s="725">
        <f t="shared" si="66"/>
        <v>3.0480388956649968E-2</v>
      </c>
      <c r="Y36" s="725">
        <f t="shared" si="66"/>
        <v>3.101907232954617E-2</v>
      </c>
      <c r="Z36" s="725">
        <f t="shared" si="66"/>
        <v>3.1559404239849966E-2</v>
      </c>
      <c r="AA36" s="725">
        <f t="shared" si="66"/>
        <v>3.2101392266708655E-2</v>
      </c>
      <c r="AB36" s="725">
        <f t="shared" si="66"/>
        <v>3.264253754128868E-2</v>
      </c>
      <c r="AC36" s="725">
        <f t="shared" si="66"/>
        <v>3.3185456543298318E-2</v>
      </c>
      <c r="AD36" s="725">
        <f t="shared" si="66"/>
        <v>3.3708048926536859E-2</v>
      </c>
      <c r="AE36" s="725">
        <f t="shared" si="66"/>
        <v>3.4232306198828832E-2</v>
      </c>
      <c r="AF36" s="725">
        <f t="shared" si="66"/>
        <v>3.4758236328941171E-2</v>
      </c>
      <c r="AG36" s="725">
        <f t="shared" si="66"/>
        <v>3.5285847336577303E-2</v>
      </c>
      <c r="AH36" s="725">
        <f t="shared" si="66"/>
        <v>3.5815147292784767E-2</v>
      </c>
      <c r="AI36" s="725">
        <f t="shared" si="66"/>
        <v>3.631980911157251E-2</v>
      </c>
      <c r="AJ36" s="725">
        <f t="shared" si="66"/>
        <v>3.6829261792434481E-2</v>
      </c>
      <c r="AK36" s="725">
        <f t="shared" si="66"/>
        <v>3.7343573881743572E-2</v>
      </c>
      <c r="AL36" s="725">
        <f t="shared" si="66"/>
        <v>3.7862815239796718E-2</v>
      </c>
      <c r="AM36" s="725">
        <f t="shared" si="66"/>
        <v>3.838705707244864E-2</v>
      </c>
    </row>
    <row r="37" spans="1:39" ht="15" thickBot="1">
      <c r="A37" s="722"/>
      <c r="B37" s="207" t="s">
        <v>481</v>
      </c>
      <c r="C37" s="207">
        <v>2406</v>
      </c>
      <c r="D37" s="207">
        <f t="shared" si="61"/>
        <v>9.8412969888676538E-2</v>
      </c>
      <c r="E37" s="207">
        <f t="shared" ref="E37:AM37" si="67">E18/SUM(E$13:E$18)</f>
        <v>9.1651276917811109E-2</v>
      </c>
      <c r="F37" s="207">
        <f t="shared" si="67"/>
        <v>8.49019680355214E-2</v>
      </c>
      <c r="G37" s="207">
        <f t="shared" si="67"/>
        <v>7.8165009250616035E-2</v>
      </c>
      <c r="H37" s="207">
        <f t="shared" si="67"/>
        <v>7.1440366696186239E-2</v>
      </c>
      <c r="I37" s="207">
        <f t="shared" si="67"/>
        <v>6.4728006629038257E-2</v>
      </c>
      <c r="J37" s="207">
        <f t="shared" si="67"/>
        <v>7.7385970125065318E-2</v>
      </c>
      <c r="K37" s="725">
        <f t="shared" si="67"/>
        <v>8.9815652471888177E-2</v>
      </c>
      <c r="L37" s="725">
        <f t="shared" si="67"/>
        <v>0.10202317391595887</v>
      </c>
      <c r="M37" s="725">
        <f t="shared" si="67"/>
        <v>0.11472179093454003</v>
      </c>
      <c r="N37" s="725">
        <f t="shared" si="67"/>
        <v>0.12774858756436638</v>
      </c>
      <c r="O37" s="725">
        <f t="shared" si="67"/>
        <v>0.14152701007424021</v>
      </c>
      <c r="P37" s="725">
        <f t="shared" si="67"/>
        <v>0.15579224305851133</v>
      </c>
      <c r="Q37" s="725">
        <f t="shared" si="67"/>
        <v>0.17057054999729307</v>
      </c>
      <c r="R37" s="725">
        <f t="shared" si="67"/>
        <v>0.18623012386512303</v>
      </c>
      <c r="S37" s="725">
        <f t="shared" si="67"/>
        <v>0.20245393047234897</v>
      </c>
      <c r="T37" s="725">
        <f t="shared" si="67"/>
        <v>0.21363467802602065</v>
      </c>
      <c r="U37" s="725">
        <f t="shared" si="67"/>
        <v>0.22492144879207754</v>
      </c>
      <c r="V37" s="725">
        <f t="shared" si="67"/>
        <v>0.23631575802774946</v>
      </c>
      <c r="W37" s="725">
        <f t="shared" si="67"/>
        <v>0.24799229662985364</v>
      </c>
      <c r="X37" s="725">
        <f t="shared" si="67"/>
        <v>0.25977718912859787</v>
      </c>
      <c r="Y37" s="725">
        <f t="shared" si="67"/>
        <v>0.27048224560954576</v>
      </c>
      <c r="Z37" s="725">
        <f t="shared" si="67"/>
        <v>0.28122006286787637</v>
      </c>
      <c r="AA37" s="725">
        <f t="shared" si="67"/>
        <v>0.29199079152119556</v>
      </c>
      <c r="AB37" s="725">
        <f t="shared" si="67"/>
        <v>0.30293377247499431</v>
      </c>
      <c r="AC37" s="725">
        <f t="shared" si="67"/>
        <v>0.31391262155218114</v>
      </c>
      <c r="AD37" s="725">
        <f t="shared" si="67"/>
        <v>0.32272122757320976</v>
      </c>
      <c r="AE37" s="725">
        <f t="shared" si="67"/>
        <v>0.33155789629130561</v>
      </c>
      <c r="AF37" s="725">
        <f t="shared" si="67"/>
        <v>0.34042276202478355</v>
      </c>
      <c r="AG37" s="725">
        <f t="shared" si="67"/>
        <v>0.34931595995052361</v>
      </c>
      <c r="AH37" s="725">
        <f t="shared" si="67"/>
        <v>0.35823762611084181</v>
      </c>
      <c r="AI37" s="725">
        <f t="shared" si="67"/>
        <v>0.36520423779974731</v>
      </c>
      <c r="AJ37" s="725">
        <f t="shared" si="67"/>
        <v>0.3722369850164135</v>
      </c>
      <c r="AK37" s="725">
        <f t="shared" si="67"/>
        <v>0.37933681401027908</v>
      </c>
      <c r="AL37" s="725">
        <f t="shared" si="67"/>
        <v>0.38650468916886649</v>
      </c>
      <c r="AM37" s="725">
        <f t="shared" si="67"/>
        <v>0.39374159345447135</v>
      </c>
    </row>
    <row r="38" spans="1:39">
      <c r="D38" s="599">
        <f>SUM(D22:D37)-3</f>
        <v>0</v>
      </c>
      <c r="E38" s="599">
        <f t="shared" ref="E38:AM38" si="68">SUM(E22:E37)-3</f>
        <v>0</v>
      </c>
      <c r="F38" s="599">
        <f t="shared" si="68"/>
        <v>0</v>
      </c>
      <c r="G38" s="599">
        <f t="shared" si="68"/>
        <v>0</v>
      </c>
      <c r="H38" s="599">
        <f t="shared" si="68"/>
        <v>0</v>
      </c>
      <c r="I38" s="599">
        <f t="shared" si="68"/>
        <v>0</v>
      </c>
      <c r="J38" s="599">
        <f t="shared" si="68"/>
        <v>0</v>
      </c>
      <c r="K38" s="599">
        <f t="shared" si="68"/>
        <v>0</v>
      </c>
      <c r="L38" s="599">
        <f t="shared" si="68"/>
        <v>0</v>
      </c>
      <c r="M38" s="599">
        <f t="shared" si="68"/>
        <v>0</v>
      </c>
      <c r="N38" s="599">
        <f t="shared" si="68"/>
        <v>0</v>
      </c>
      <c r="O38" s="599">
        <f t="shared" si="68"/>
        <v>0</v>
      </c>
      <c r="P38" s="599">
        <f t="shared" si="68"/>
        <v>0</v>
      </c>
      <c r="Q38" s="599">
        <f t="shared" si="68"/>
        <v>0</v>
      </c>
      <c r="R38" s="599">
        <f t="shared" si="68"/>
        <v>0</v>
      </c>
      <c r="S38" s="599">
        <f t="shared" si="68"/>
        <v>0</v>
      </c>
      <c r="T38" s="599">
        <f t="shared" si="68"/>
        <v>0</v>
      </c>
      <c r="U38" s="599">
        <f t="shared" si="68"/>
        <v>0</v>
      </c>
      <c r="V38" s="599">
        <f t="shared" si="68"/>
        <v>0</v>
      </c>
      <c r="W38" s="599">
        <f t="shared" si="68"/>
        <v>0</v>
      </c>
      <c r="X38" s="599">
        <f t="shared" si="68"/>
        <v>0</v>
      </c>
      <c r="Y38" s="599">
        <f t="shared" si="68"/>
        <v>0</v>
      </c>
      <c r="Z38" s="599">
        <f t="shared" si="68"/>
        <v>0</v>
      </c>
      <c r="AA38" s="599">
        <f t="shared" si="68"/>
        <v>0</v>
      </c>
      <c r="AB38" s="599">
        <f t="shared" si="68"/>
        <v>0</v>
      </c>
      <c r="AC38" s="599">
        <f t="shared" si="68"/>
        <v>0</v>
      </c>
      <c r="AD38" s="599">
        <f t="shared" si="68"/>
        <v>0</v>
      </c>
      <c r="AE38" s="599">
        <f t="shared" si="68"/>
        <v>0</v>
      </c>
      <c r="AF38" s="599">
        <f t="shared" si="68"/>
        <v>0</v>
      </c>
      <c r="AG38" s="599">
        <f t="shared" si="68"/>
        <v>0</v>
      </c>
      <c r="AH38" s="599">
        <f t="shared" si="68"/>
        <v>0</v>
      </c>
      <c r="AI38" s="599">
        <f t="shared" si="68"/>
        <v>0</v>
      </c>
      <c r="AJ38" s="599">
        <f t="shared" si="68"/>
        <v>0</v>
      </c>
      <c r="AK38" s="599">
        <f t="shared" si="68"/>
        <v>0</v>
      </c>
      <c r="AL38" s="599">
        <f t="shared" si="68"/>
        <v>0</v>
      </c>
      <c r="AM38" s="599">
        <f t="shared" si="68"/>
        <v>0</v>
      </c>
    </row>
    <row r="39" spans="1:39" ht="15" thickBot="1">
      <c r="B39" t="s">
        <v>449</v>
      </c>
    </row>
    <row r="40" spans="1:39">
      <c r="A40" s="593" t="s">
        <v>479</v>
      </c>
      <c r="B40" s="590" t="s">
        <v>266</v>
      </c>
      <c r="C40">
        <v>2201</v>
      </c>
      <c r="D40" s="404">
        <f>('Cibles THREEME AMS'!$BV4+'Cibles THREEME AMS'!$BV6)*11.64/D3</f>
        <v>3.3587454174701117E-2</v>
      </c>
      <c r="E40">
        <f>D40+($I40-$D40)/5</f>
        <v>3.1122638302030891E-2</v>
      </c>
      <c r="F40">
        <f t="shared" ref="F40:H40" si="69">E40+($I40-$D40)/5</f>
        <v>2.8657822429360665E-2</v>
      </c>
      <c r="G40">
        <f t="shared" si="69"/>
        <v>2.6193006556690438E-2</v>
      </c>
      <c r="H40">
        <f t="shared" si="69"/>
        <v>2.3728190684020212E-2</v>
      </c>
      <c r="I40" s="404">
        <f>('Cibles THREEME AMS'!$BW4+'Cibles THREEME AMS'!$BW6)/I3</f>
        <v>2.1263374811349989E-2</v>
      </c>
      <c r="J40">
        <f>I40+($L40-$I40)/3</f>
        <v>2.9603148794707101E-2</v>
      </c>
      <c r="K40">
        <f>J40+($L40-$I40)/3</f>
        <v>3.7942922778064214E-2</v>
      </c>
      <c r="L40" s="404">
        <f>('Cibles THREEME AMS'!$BX4+'Cibles THREEME AMS'!$BX6)/L3</f>
        <v>4.6282696761421334E-2</v>
      </c>
      <c r="M40">
        <f>(L40+N40)/2</f>
        <v>4.9552892674154282E-2</v>
      </c>
      <c r="N40" s="404">
        <f>('Cibles THREEME AMS'!$BY4+'Cibles THREEME AMS'!$BY6)/N3</f>
        <v>5.282308858688723E-2</v>
      </c>
      <c r="O40">
        <f>N40+($Q40-$N40)/3</f>
        <v>5.4807551325368693E-2</v>
      </c>
      <c r="P40">
        <f>O40+($Q40-$N40)/3</f>
        <v>5.6792014063850156E-2</v>
      </c>
      <c r="Q40" s="404">
        <f>('Cibles THREEME AMS'!$BZ4+'Cibles THREEME AMS'!$BZ6)/Q3</f>
        <v>5.8776476802331612E-2</v>
      </c>
      <c r="R40">
        <f>(Q40+S40)/2</f>
        <v>6.1338249815337177E-2</v>
      </c>
      <c r="S40" s="404">
        <f>('Cibles THREEME AMS'!$CA4+'Cibles THREEME AMS'!$CA6)/S3</f>
        <v>6.3900022828342742E-2</v>
      </c>
      <c r="T40">
        <f>S40+($V40-$S40)/2</f>
        <v>6.9810467207620686E-2</v>
      </c>
      <c r="U40">
        <f>T40+($V40-$S40)/2</f>
        <v>7.5720911586898629E-2</v>
      </c>
      <c r="V40" s="404">
        <f>('Cibles THREEME AMS'!$CB4+'Cibles THREEME AMS'!$CB6)/V3</f>
        <v>7.5720911586898629E-2</v>
      </c>
      <c r="W40">
        <f>V40+(X40-V40)/2</f>
        <v>8.1545610253302481E-2</v>
      </c>
      <c r="X40" s="404">
        <f>('Cibles THREEME AMS'!$CC4+'Cibles THREEME AMS'!$CC6)/X3</f>
        <v>8.7370308919706319E-2</v>
      </c>
      <c r="Y40">
        <f>X40+($AA40-$X40)/3</f>
        <v>9.8265136542653536E-2</v>
      </c>
      <c r="Z40">
        <f>Y40+($AA40-$X40)/3</f>
        <v>0.10915996416560075</v>
      </c>
      <c r="AA40" s="404">
        <f>('Cibles THREEME AMS'!$CD4+'Cibles THREEME AMS'!$CD6)/AA3</f>
        <v>0.12005479178854798</v>
      </c>
      <c r="AB40">
        <f>AA40+(AC40-AA40)/2</f>
        <v>0.14212657539887555</v>
      </c>
      <c r="AC40" s="404">
        <f>('Cibles THREEME AMS'!$CE4+'Cibles THREEME AMS'!$CE6)/AC3</f>
        <v>0.16419835900920313</v>
      </c>
      <c r="AD40">
        <f>AC40+($AH40-$AC40)/5</f>
        <v>0.20129506853788631</v>
      </c>
      <c r="AE40">
        <f t="shared" ref="AE40:AG40" si="70">AD40+($AH40-$AC40)/5</f>
        <v>0.23839177806656947</v>
      </c>
      <c r="AF40">
        <f t="shared" si="70"/>
        <v>0.27548848759525263</v>
      </c>
      <c r="AG40">
        <f t="shared" si="70"/>
        <v>0.31258519712393579</v>
      </c>
      <c r="AH40" s="404">
        <f>('Cibles THREEME AMS'!$CF4+'Cibles THREEME AMS'!$CF6)/AH3</f>
        <v>0.349681906652619</v>
      </c>
      <c r="AI40">
        <f>AH40+($AM40-$AH40)/5</f>
        <v>0.36761714344034069</v>
      </c>
      <c r="AJ40">
        <f t="shared" ref="AJ40:AL40" si="71">AI40+($AM40-$AH40)/5</f>
        <v>0.38555238022806237</v>
      </c>
      <c r="AK40">
        <f t="shared" si="71"/>
        <v>0.40348761701578406</v>
      </c>
      <c r="AL40">
        <f t="shared" si="71"/>
        <v>0.42142285380350575</v>
      </c>
      <c r="AM40" s="404">
        <f>('Cibles THREEME AMS'!$CG4+'Cibles THREEME AMS'!$CG6)/AM3</f>
        <v>0.43935809059122755</v>
      </c>
    </row>
    <row r="41" spans="1:39" ht="15" thickBot="1">
      <c r="A41" s="594"/>
      <c r="B41" s="592" t="s">
        <v>346</v>
      </c>
      <c r="C41">
        <v>2202</v>
      </c>
      <c r="D41" s="404">
        <f>('Cibles THREEME AMS'!$BV5+'Cibles THREEME AMS'!$BV7)*11.64/D4</f>
        <v>0</v>
      </c>
      <c r="E41">
        <f t="shared" ref="E41:H41" si="72">D41+($I41-$D41)/5</f>
        <v>0</v>
      </c>
      <c r="F41">
        <f t="shared" si="72"/>
        <v>0</v>
      </c>
      <c r="G41">
        <f t="shared" si="72"/>
        <v>0</v>
      </c>
      <c r="H41">
        <f t="shared" si="72"/>
        <v>0</v>
      </c>
      <c r="I41" s="404">
        <f>('Cibles THREEME AMS'!$BW5+'Cibles THREEME AMS'!$BW7)/I4</f>
        <v>0</v>
      </c>
      <c r="J41">
        <f t="shared" ref="J41:K41" si="73">I41+($L41-$I41)/3</f>
        <v>1.2185212524811655E-4</v>
      </c>
      <c r="K41">
        <f t="shared" si="73"/>
        <v>2.437042504962331E-4</v>
      </c>
      <c r="L41" s="404">
        <f>('Cibles THREEME AMS'!$BX5+'Cibles THREEME AMS'!$BX7)/L4</f>
        <v>3.6555637574434965E-4</v>
      </c>
      <c r="M41">
        <f t="shared" ref="M41:M56" si="74">(L41+N41)/2</f>
        <v>4.5859079512861929E-4</v>
      </c>
      <c r="N41" s="404">
        <f>('Cibles THREEME AMS'!$BY5+'Cibles THREEME AMS'!$BY7)/N4</f>
        <v>5.5162521451288893E-4</v>
      </c>
      <c r="O41">
        <f t="shared" ref="O41:P41" si="75">N41+($Q41-$N41)/3</f>
        <v>2.693332306024857E-3</v>
      </c>
      <c r="P41">
        <f t="shared" si="75"/>
        <v>4.8350393975368257E-3</v>
      </c>
      <c r="Q41" s="404">
        <f>('Cibles THREEME AMS'!$BZ5+'Cibles THREEME AMS'!$BZ7)/Q4</f>
        <v>6.9767464890487935E-3</v>
      </c>
      <c r="R41">
        <f t="shared" ref="R41:R56" si="76">(Q41+S41)/2</f>
        <v>8.9463625921852984E-3</v>
      </c>
      <c r="S41" s="404">
        <f>('Cibles THREEME AMS'!$CA5+'Cibles THREEME AMS'!$CA7)/S4</f>
        <v>1.0915978695321803E-2</v>
      </c>
      <c r="T41">
        <f t="shared" ref="T41:U41" si="77">S41+($V41-$S41)/2</f>
        <v>2.0538939464699556E-2</v>
      </c>
      <c r="U41">
        <f t="shared" si="77"/>
        <v>3.0161900234077305E-2</v>
      </c>
      <c r="V41" s="404">
        <f>('Cibles THREEME AMS'!$CB5+'Cibles THREEME AMS'!$CB7)/V4</f>
        <v>3.0161900234077305E-2</v>
      </c>
      <c r="W41">
        <f t="shared" ref="W41:W56" si="78">V41+(X41-V41)/2</f>
        <v>3.4769757850377406E-2</v>
      </c>
      <c r="X41" s="404">
        <f>('Cibles THREEME AMS'!$CC5+'Cibles THREEME AMS'!$CC7)/X4</f>
        <v>3.93776154666775E-2</v>
      </c>
      <c r="Y41">
        <f t="shared" ref="Y41:Z41" si="79">X41+($AA41-$X41)/3</f>
        <v>4.7790324132631672E-2</v>
      </c>
      <c r="Z41">
        <f t="shared" si="79"/>
        <v>5.6203032798585843E-2</v>
      </c>
      <c r="AA41" s="404">
        <f>('Cibles THREEME AMS'!$CD5+'Cibles THREEME AMS'!$CD7)/AA4</f>
        <v>6.4615741464540008E-2</v>
      </c>
      <c r="AB41">
        <f t="shared" ref="AB41:AB56" si="80">AA41+(AC41-AA41)/2</f>
        <v>7.0863257893006057E-2</v>
      </c>
      <c r="AC41" s="404">
        <f>('Cibles THREEME AMS'!$CE5+'Cibles THREEME AMS'!$CE7)/AC4</f>
        <v>7.7110774321472106E-2</v>
      </c>
      <c r="AD41">
        <f t="shared" ref="AD41:AG41" si="81">AC41+($AH41-$AC41)/5</f>
        <v>8.3646563311870342E-2</v>
      </c>
      <c r="AE41">
        <f t="shared" si="81"/>
        <v>9.0182352302268579E-2</v>
      </c>
      <c r="AF41">
        <f t="shared" si="81"/>
        <v>9.6718141292666815E-2</v>
      </c>
      <c r="AG41">
        <f t="shared" si="81"/>
        <v>0.10325393028306505</v>
      </c>
      <c r="AH41" s="404">
        <f>('Cibles THREEME AMS'!$CF5+'Cibles THREEME AMS'!$CF7)/AH4</f>
        <v>0.10978971927346326</v>
      </c>
      <c r="AI41">
        <f t="shared" ref="AI41:AL41" si="82">AH41+($AM41-$AH41)/5</f>
        <v>0.15849098788279326</v>
      </c>
      <c r="AJ41">
        <f t="shared" si="82"/>
        <v>0.20719225649212325</v>
      </c>
      <c r="AK41">
        <f t="shared" si="82"/>
        <v>0.25589352510145325</v>
      </c>
      <c r="AL41">
        <f t="shared" si="82"/>
        <v>0.30459479371078324</v>
      </c>
      <c r="AM41" s="404">
        <f>('Cibles THREEME AMS'!$CG5+'Cibles THREEME AMS'!$CG7)/AM4</f>
        <v>0.35329606232011318</v>
      </c>
    </row>
    <row r="42" spans="1:39">
      <c r="A42" s="593"/>
      <c r="B42" s="590" t="s">
        <v>20</v>
      </c>
      <c r="C42">
        <v>2301</v>
      </c>
      <c r="D42">
        <f>'Cibles THREEME AMS'!$BV8*11.64/D5</f>
        <v>2.6021841240650576</v>
      </c>
      <c r="E42">
        <f t="shared" ref="E42:H42" si="83">D42+($I42-$D42)/5</f>
        <v>2.603286575944062</v>
      </c>
      <c r="F42">
        <f t="shared" si="83"/>
        <v>2.6043890278230664</v>
      </c>
      <c r="G42">
        <f t="shared" si="83"/>
        <v>2.6054914797020707</v>
      </c>
      <c r="H42">
        <f t="shared" si="83"/>
        <v>2.6065939315810751</v>
      </c>
      <c r="I42">
        <f>'Cibles THREEME AMS'!$BW8/I5</f>
        <v>2.6076963834600786</v>
      </c>
      <c r="J42">
        <f t="shared" ref="J42:K42" si="84">I42+($L42-$I42)/3</f>
        <v>2.6052172597059866</v>
      </c>
      <c r="K42">
        <f t="shared" si="84"/>
        <v>2.6027381359518946</v>
      </c>
      <c r="L42">
        <f>'Cibles THREEME AMS'!$BX8/L5</f>
        <v>2.6002590121978026</v>
      </c>
      <c r="M42">
        <f t="shared" si="74"/>
        <v>2.6096425991513699</v>
      </c>
      <c r="N42">
        <f>'Cibles THREEME AMS'!$BY8/N5</f>
        <v>2.6190261861049371</v>
      </c>
      <c r="O42">
        <f t="shared" ref="O42:P42" si="85">N42+($Q42-$N42)/3</f>
        <v>2.6232753829092186</v>
      </c>
      <c r="P42">
        <f t="shared" si="85"/>
        <v>2.6275245797135001</v>
      </c>
      <c r="Q42">
        <f>'Cibles THREEME AMS'!$BZ8/Q5</f>
        <v>2.631773776517782</v>
      </c>
      <c r="R42">
        <f t="shared" si="76"/>
        <v>2.6369179732437482</v>
      </c>
      <c r="S42">
        <f>'Cibles THREEME AMS'!$CA8/S5</f>
        <v>2.642062169969714</v>
      </c>
      <c r="T42">
        <f t="shared" ref="T42:U42" si="86">S42+($V42-$S42)/2</f>
        <v>2.6852424892362192</v>
      </c>
      <c r="U42">
        <f t="shared" si="86"/>
        <v>2.7284228085027245</v>
      </c>
      <c r="V42">
        <f>'Cibles THREEME AMS'!$CB8/V5</f>
        <v>2.728422808502724</v>
      </c>
      <c r="W42">
        <f t="shared" si="78"/>
        <v>2.7577657324320337</v>
      </c>
      <c r="X42">
        <f>'Cibles THREEME AMS'!$CC8/X5</f>
        <v>2.7871086563613434</v>
      </c>
      <c r="Y42">
        <f t="shared" ref="Y42:Z42" si="87">X42+($AA42-$X42)/3</f>
        <v>2.8371221929585491</v>
      </c>
      <c r="Z42">
        <f t="shared" si="87"/>
        <v>2.8871357295557547</v>
      </c>
      <c r="AA42">
        <f>'Cibles THREEME AMS'!$CD8/AA5</f>
        <v>2.9371492661529599</v>
      </c>
      <c r="AB42">
        <f t="shared" si="80"/>
        <v>2.9877813616729361</v>
      </c>
      <c r="AC42">
        <f>'Cibles THREEME AMS'!$CE8/AC5</f>
        <v>3.0384134571929122</v>
      </c>
      <c r="AD42">
        <f t="shared" ref="AD42:AG42" si="88">AC42+($AH42-$AC42)/5</f>
        <v>3.0771972964914358</v>
      </c>
      <c r="AE42">
        <f t="shared" si="88"/>
        <v>3.1159811357899594</v>
      </c>
      <c r="AF42">
        <f t="shared" si="88"/>
        <v>3.154764975088483</v>
      </c>
      <c r="AG42">
        <f t="shared" si="88"/>
        <v>3.1935488143870066</v>
      </c>
      <c r="AH42">
        <f>'Cibles THREEME AMS'!$CF8/AH5</f>
        <v>3.2323326536855301</v>
      </c>
      <c r="AI42">
        <f t="shared" ref="AI42:AL42" si="89">AH42+($AM42-$AH42)/5</f>
        <v>3.3666308318400175</v>
      </c>
      <c r="AJ42">
        <f t="shared" si="89"/>
        <v>3.500929009994505</v>
      </c>
      <c r="AK42">
        <f t="shared" si="89"/>
        <v>3.6352271881489924</v>
      </c>
      <c r="AL42">
        <f t="shared" si="89"/>
        <v>3.7695253663034798</v>
      </c>
      <c r="AM42">
        <f>'Cibles THREEME AMS'!$CG8/AM5</f>
        <v>3.9038235444579668</v>
      </c>
    </row>
    <row r="43" spans="1:39">
      <c r="A43" s="595"/>
      <c r="B43" s="591" t="s">
        <v>224</v>
      </c>
      <c r="C43">
        <f>C42+1</f>
        <v>2302</v>
      </c>
      <c r="D43">
        <f>'Cibles THREEME AMS'!$BV9*11.64/D6</f>
        <v>1.7651702297073344</v>
      </c>
      <c r="E43">
        <f t="shared" ref="E43:H43" si="90">D43+($I43-$D43)/5</f>
        <v>1.753899369101094</v>
      </c>
      <c r="F43">
        <f t="shared" si="90"/>
        <v>1.7426285084948536</v>
      </c>
      <c r="G43">
        <f t="shared" si="90"/>
        <v>1.7313576478886132</v>
      </c>
      <c r="H43">
        <f t="shared" si="90"/>
        <v>1.7200867872823729</v>
      </c>
      <c r="I43">
        <f>'Cibles THREEME AMS'!$BW9/I6</f>
        <v>1.7088159266761329</v>
      </c>
      <c r="J43">
        <f t="shared" ref="J43:K43" si="91">I43+($L43-$I43)/3</f>
        <v>1.6931622699571645</v>
      </c>
      <c r="K43">
        <f t="shared" si="91"/>
        <v>1.677508613238196</v>
      </c>
      <c r="L43">
        <f>'Cibles THREEME AMS'!$BX9/L6</f>
        <v>1.6618549565192275</v>
      </c>
      <c r="M43">
        <f t="shared" si="74"/>
        <v>1.6675981545607916</v>
      </c>
      <c r="N43">
        <f>'Cibles THREEME AMS'!$BY9/N6</f>
        <v>1.6733413526023559</v>
      </c>
      <c r="O43">
        <f t="shared" ref="O43:P43" si="92">N43+($Q43-$N43)/3</f>
        <v>1.6796087422770551</v>
      </c>
      <c r="P43">
        <f t="shared" si="92"/>
        <v>1.6858761319517543</v>
      </c>
      <c r="Q43">
        <f>'Cibles THREEME AMS'!$BZ9/Q6</f>
        <v>1.6921435216264538</v>
      </c>
      <c r="R43">
        <f t="shared" si="76"/>
        <v>1.6993823268452757</v>
      </c>
      <c r="S43">
        <f>'Cibles THREEME AMS'!$CA9/S6</f>
        <v>1.7066211320640978</v>
      </c>
      <c r="T43">
        <f t="shared" ref="T43:U43" si="93">S43+($V43-$S43)/2</f>
        <v>1.7273950537044087</v>
      </c>
      <c r="U43">
        <f t="shared" si="93"/>
        <v>1.7481689753447196</v>
      </c>
      <c r="V43">
        <f>'Cibles THREEME AMS'!$CB9/V6</f>
        <v>1.7481689753447196</v>
      </c>
      <c r="W43">
        <f t="shared" si="78"/>
        <v>1.7620381572827841</v>
      </c>
      <c r="X43">
        <f>'Cibles THREEME AMS'!$CC9/X6</f>
        <v>1.7759073392208484</v>
      </c>
      <c r="Y43">
        <f t="shared" ref="Y43:Z43" si="94">X43+($AA43-$X43)/3</f>
        <v>1.8006334541367255</v>
      </c>
      <c r="Z43">
        <f t="shared" si="94"/>
        <v>1.8253595690526025</v>
      </c>
      <c r="AA43">
        <f>'Cibles THREEME AMS'!$CD9/AA6</f>
        <v>1.8500856839684798</v>
      </c>
      <c r="AB43">
        <f t="shared" si="80"/>
        <v>1.0835883414054788</v>
      </c>
      <c r="AC43">
        <f>'Cibles THREEME AMS'!$CE9/AC6</f>
        <v>0.31709099884247754</v>
      </c>
      <c r="AD43">
        <f t="shared" ref="AD43:AG43" si="95">AC43+($AH43-$AC43)/5</f>
        <v>0.25367279907398205</v>
      </c>
      <c r="AE43">
        <f t="shared" si="95"/>
        <v>0.19025459930548655</v>
      </c>
      <c r="AF43">
        <f t="shared" si="95"/>
        <v>0.12683639953699105</v>
      </c>
      <c r="AG43">
        <f t="shared" si="95"/>
        <v>6.341819976849554E-2</v>
      </c>
      <c r="AH43">
        <f>'Cibles THREEME AMS'!$CF9/AH6</f>
        <v>0</v>
      </c>
      <c r="AI43">
        <f t="shared" ref="AI43:AL43" si="96">AH43+($AM43-$AH43)/5</f>
        <v>0</v>
      </c>
      <c r="AJ43">
        <f t="shared" si="96"/>
        <v>0</v>
      </c>
      <c r="AK43">
        <f t="shared" si="96"/>
        <v>0</v>
      </c>
      <c r="AL43">
        <f t="shared" si="96"/>
        <v>0</v>
      </c>
      <c r="AM43">
        <f>'Cibles THREEME AMS'!$CG9/AM6</f>
        <v>0</v>
      </c>
    </row>
    <row r="44" spans="1:39">
      <c r="A44" s="595"/>
      <c r="B44" s="591" t="s">
        <v>32</v>
      </c>
      <c r="C44">
        <f t="shared" ref="C44:C49" si="97">C43+1</f>
        <v>2303</v>
      </c>
      <c r="D44">
        <f>('Cibles THREEME AMS'!$BV10+'Cibles THREEME AMS'!$BV12)*11.64/D7</f>
        <v>1.2711400563441757</v>
      </c>
      <c r="E44">
        <f t="shared" ref="E44:H44" si="98">D44+($I44-$D44)/5</f>
        <v>1.263638126282536</v>
      </c>
      <c r="F44">
        <f t="shared" si="98"/>
        <v>1.2561361962208963</v>
      </c>
      <c r="G44">
        <f t="shared" si="98"/>
        <v>1.2486342661592567</v>
      </c>
      <c r="H44">
        <f t="shared" si="98"/>
        <v>1.241132336097617</v>
      </c>
      <c r="I44">
        <f>('Cibles THREEME AMS'!$BW10+'Cibles THREEME AMS'!$BW12)/I7</f>
        <v>1.2336304060359773</v>
      </c>
      <c r="J44">
        <f t="shared" ref="J44:K44" si="99">I44+($L44-$I44)/3</f>
        <v>1.2208894396059131</v>
      </c>
      <c r="K44">
        <f t="shared" si="99"/>
        <v>1.2081484731758489</v>
      </c>
      <c r="L44">
        <f>('Cibles THREEME AMS'!$BX10+'Cibles THREEME AMS'!$BX12)/L7</f>
        <v>1.1954075067457848</v>
      </c>
      <c r="M44">
        <f t="shared" si="74"/>
        <v>1.1902413753510785</v>
      </c>
      <c r="N44">
        <f>('Cibles THREEME AMS'!$BY10+'Cibles THREEME AMS'!$BY12)/N7</f>
        <v>1.1850752439563723</v>
      </c>
      <c r="O44">
        <f t="shared" ref="O44:P44" si="100">N44+($Q44-$N44)/3</f>
        <v>1.171308861630026</v>
      </c>
      <c r="P44">
        <f t="shared" si="100"/>
        <v>1.1575424793036797</v>
      </c>
      <c r="Q44">
        <f>('Cibles THREEME AMS'!$BZ10+'Cibles THREEME AMS'!$BZ12)/Q7</f>
        <v>1.1437760969773334</v>
      </c>
      <c r="R44">
        <f t="shared" si="76"/>
        <v>1.130913044695796</v>
      </c>
      <c r="S44">
        <f>('Cibles THREEME AMS'!$CA10+'Cibles THREEME AMS'!$CA12)/S7</f>
        <v>1.1180499924142584</v>
      </c>
      <c r="T44">
        <f t="shared" ref="T44:U44" si="101">S44+($V44-$S44)/2</f>
        <v>1.1145585305936585</v>
      </c>
      <c r="U44">
        <f t="shared" si="101"/>
        <v>1.1110670687730586</v>
      </c>
      <c r="V44">
        <f>('Cibles THREEME AMS'!$CB10+'Cibles THREEME AMS'!$CB12)/V7</f>
        <v>1.1110670687730584</v>
      </c>
      <c r="W44">
        <f t="shared" si="78"/>
        <v>1.1085434045236346</v>
      </c>
      <c r="X44">
        <f>('Cibles THREEME AMS'!$CC10+'Cibles THREEME AMS'!$CC12)/X7</f>
        <v>1.1060197402742109</v>
      </c>
      <c r="Y44">
        <f t="shared" ref="Y44:Z44" si="102">X44+($AA44-$X44)/3</f>
        <v>1.1099151244744003</v>
      </c>
      <c r="Z44">
        <f t="shared" si="102"/>
        <v>1.1138105086745897</v>
      </c>
      <c r="AA44">
        <f>('Cibles THREEME AMS'!$CD10+'Cibles THREEME AMS'!$CD12)/AA7</f>
        <v>1.1177058928747792</v>
      </c>
      <c r="AB44">
        <f t="shared" si="80"/>
        <v>1.1209583264164062</v>
      </c>
      <c r="AC44">
        <f>('Cibles THREEME AMS'!$CE10+'Cibles THREEME AMS'!$CE12)/AC7</f>
        <v>1.1242107599580333</v>
      </c>
      <c r="AD44">
        <f t="shared" ref="AD44:AG44" si="103">AC44+($AH44-$AC44)/5</f>
        <v>1.1171604421288357</v>
      </c>
      <c r="AE44">
        <f t="shared" si="103"/>
        <v>1.1101101242996381</v>
      </c>
      <c r="AF44">
        <f t="shared" si="103"/>
        <v>1.1030598064704404</v>
      </c>
      <c r="AG44">
        <f t="shared" si="103"/>
        <v>1.0960094886412428</v>
      </c>
      <c r="AH44">
        <f>('Cibles THREEME AMS'!$CF10+'Cibles THREEME AMS'!$CF12)/AH7</f>
        <v>1.0889591708120454</v>
      </c>
      <c r="AI44">
        <f t="shared" ref="AI44:AL44" si="104">AH44+($AM44-$AH44)/5</f>
        <v>1.1073286250955352</v>
      </c>
      <c r="AJ44">
        <f t="shared" si="104"/>
        <v>1.125698079379025</v>
      </c>
      <c r="AK44">
        <f t="shared" si="104"/>
        <v>1.1440675336625148</v>
      </c>
      <c r="AL44">
        <f t="shared" si="104"/>
        <v>1.1624369879460046</v>
      </c>
      <c r="AM44">
        <f>('Cibles THREEME AMS'!$CG10+'Cibles THREEME AMS'!$CG12)/AM7</f>
        <v>1.1808064422294946</v>
      </c>
    </row>
    <row r="45" spans="1:39">
      <c r="A45" s="595" t="s">
        <v>104</v>
      </c>
      <c r="B45" s="591" t="s">
        <v>42</v>
      </c>
      <c r="C45">
        <f t="shared" si="97"/>
        <v>2304</v>
      </c>
      <c r="D45">
        <f>'Cibles THREEME AMS'!$BV11*11.64/D8</f>
        <v>2.9229155553465596</v>
      </c>
      <c r="E45">
        <f t="shared" ref="E45:H45" si="105">D45+($I45-$D45)/5</f>
        <v>2.9028123157563281</v>
      </c>
      <c r="F45">
        <f t="shared" si="105"/>
        <v>2.8827090761660967</v>
      </c>
      <c r="G45">
        <f t="shared" si="105"/>
        <v>2.8626058365758653</v>
      </c>
      <c r="H45">
        <f t="shared" si="105"/>
        <v>2.8425025969856339</v>
      </c>
      <c r="I45">
        <f>'Cibles THREEME AMS'!$BW11/I8</f>
        <v>2.8223993573954025</v>
      </c>
      <c r="J45">
        <f t="shared" ref="J45:K45" si="106">I45+($L45-$I45)/3</f>
        <v>2.7999198957988551</v>
      </c>
      <c r="K45">
        <f t="shared" si="106"/>
        <v>2.7774404342023078</v>
      </c>
      <c r="L45">
        <f>'Cibles THREEME AMS'!$BX11/L8</f>
        <v>2.75496097260576</v>
      </c>
      <c r="M45">
        <f t="shared" si="74"/>
        <v>2.7649997161353723</v>
      </c>
      <c r="N45">
        <f>'Cibles THREEME AMS'!$BY11/N8</f>
        <v>2.7750384596649846</v>
      </c>
      <c r="O45">
        <f t="shared" ref="O45:P45" si="107">N45+($Q45-$N45)/3</f>
        <v>2.7862266965658384</v>
      </c>
      <c r="P45">
        <f t="shared" si="107"/>
        <v>2.7974149334666922</v>
      </c>
      <c r="Q45">
        <f>'Cibles THREEME AMS'!$BZ11/Q8</f>
        <v>2.8086031703675465</v>
      </c>
      <c r="R45">
        <f t="shared" si="76"/>
        <v>1.4043015851837732</v>
      </c>
      <c r="S45">
        <f>'Cibles THREEME AMS'!$CA11/S8</f>
        <v>0</v>
      </c>
      <c r="T45">
        <f t="shared" ref="T45:U45" si="108">S45+($V45-$S45)/2</f>
        <v>0</v>
      </c>
      <c r="U45">
        <f t="shared" si="108"/>
        <v>0</v>
      </c>
      <c r="V45">
        <f>'Cibles THREEME AMS'!$CB11/V8</f>
        <v>0</v>
      </c>
      <c r="W45">
        <f t="shared" si="78"/>
        <v>0</v>
      </c>
      <c r="X45">
        <f>'Cibles THREEME AMS'!$CC11/X8</f>
        <v>0</v>
      </c>
      <c r="Y45">
        <f t="shared" ref="Y45:Z45" si="109">X45+($AA45-$X45)/3</f>
        <v>0</v>
      </c>
      <c r="Z45">
        <f t="shared" si="109"/>
        <v>0</v>
      </c>
      <c r="AA45">
        <f>'Cibles THREEME AMS'!$CD11/AA8</f>
        <v>0</v>
      </c>
      <c r="AB45">
        <f t="shared" si="80"/>
        <v>0</v>
      </c>
      <c r="AC45">
        <f>'Cibles THREEME AMS'!$CE11/AC8</f>
        <v>0</v>
      </c>
      <c r="AD45">
        <f t="shared" ref="AD45:AG45" si="110">AC45+($AH45-$AC45)/5</f>
        <v>0</v>
      </c>
      <c r="AE45">
        <f t="shared" si="110"/>
        <v>0</v>
      </c>
      <c r="AF45">
        <f t="shared" si="110"/>
        <v>0</v>
      </c>
      <c r="AG45">
        <f t="shared" si="110"/>
        <v>0</v>
      </c>
      <c r="AH45">
        <f>'Cibles THREEME AMS'!$CF11/AH8</f>
        <v>0</v>
      </c>
      <c r="AI45">
        <f t="shared" ref="AI45:AL45" si="111">AH45+($AM45-$AH45)/5</f>
        <v>0</v>
      </c>
      <c r="AJ45">
        <f t="shared" si="111"/>
        <v>0</v>
      </c>
      <c r="AK45">
        <f t="shared" si="111"/>
        <v>0</v>
      </c>
      <c r="AL45">
        <f t="shared" si="111"/>
        <v>0</v>
      </c>
      <c r="AM45">
        <f>'Cibles THREEME AMS'!$CG11/AM8</f>
        <v>0</v>
      </c>
    </row>
    <row r="46" spans="1:39">
      <c r="A46" s="595"/>
      <c r="B46" s="591" t="s">
        <v>477</v>
      </c>
      <c r="C46">
        <f t="shared" si="97"/>
        <v>2305</v>
      </c>
      <c r="D46">
        <f>'Cibles THREEME AMS'!$BV13*11.64/D9</f>
        <v>7.305944056952135E-2</v>
      </c>
      <c r="E46">
        <f t="shared" ref="E46:H46" si="112">D46+($I46-$D46)/5</f>
        <v>7.4697605326275951E-2</v>
      </c>
      <c r="F46">
        <f t="shared" si="112"/>
        <v>7.6335770083030552E-2</v>
      </c>
      <c r="G46">
        <f t="shared" si="112"/>
        <v>7.7973934839785153E-2</v>
      </c>
      <c r="H46">
        <f t="shared" si="112"/>
        <v>7.9612099596539754E-2</v>
      </c>
      <c r="I46">
        <f>'Cibles THREEME AMS'!$BW13/I9</f>
        <v>8.1250264353294369E-2</v>
      </c>
      <c r="J46">
        <f t="shared" ref="J46:K46" si="113">I46+($L46-$I46)/3</f>
        <v>7.5572910558740186E-2</v>
      </c>
      <c r="K46">
        <f t="shared" si="113"/>
        <v>6.9895556764186004E-2</v>
      </c>
      <c r="L46">
        <f>'Cibles THREEME AMS'!$BX13/L9</f>
        <v>6.4218202969631821E-2</v>
      </c>
      <c r="M46">
        <f t="shared" si="74"/>
        <v>6.368321641861642E-2</v>
      </c>
      <c r="N46">
        <f>'Cibles THREEME AMS'!$BY13/N9</f>
        <v>6.3148229867601019E-2</v>
      </c>
      <c r="O46">
        <f t="shared" ref="O46:P46" si="114">N46+($Q46-$N46)/3</f>
        <v>6.2223520814993626E-2</v>
      </c>
      <c r="P46">
        <f t="shared" si="114"/>
        <v>6.1298811762386232E-2</v>
      </c>
      <c r="Q46">
        <f>'Cibles THREEME AMS'!$BZ13/Q9</f>
        <v>6.0374102709778846E-2</v>
      </c>
      <c r="R46">
        <f t="shared" si="76"/>
        <v>5.9498021877164145E-2</v>
      </c>
      <c r="S46">
        <f>'Cibles THREEME AMS'!$CA13/S9</f>
        <v>5.8621941044549444E-2</v>
      </c>
      <c r="T46">
        <f t="shared" ref="T46:U46" si="115">S46+($V46-$S46)/2</f>
        <v>5.6998797634325707E-2</v>
      </c>
      <c r="U46">
        <f t="shared" si="115"/>
        <v>5.5375654224101969E-2</v>
      </c>
      <c r="V46">
        <f>'Cibles THREEME AMS'!$CB13/V9</f>
        <v>5.5375654224101976E-2</v>
      </c>
      <c r="W46">
        <f t="shared" si="78"/>
        <v>5.435744093394157E-2</v>
      </c>
      <c r="X46">
        <f>'Cibles THREEME AMS'!$CC13/X9</f>
        <v>5.333922764378117E-2</v>
      </c>
      <c r="Y46">
        <f t="shared" ref="Y46:Z46" si="116">X46+($AA46-$X46)/3</f>
        <v>5.2830022528657428E-2</v>
      </c>
      <c r="Z46">
        <f t="shared" si="116"/>
        <v>5.2320817413533685E-2</v>
      </c>
      <c r="AA46">
        <f>'Cibles THREEME AMS'!$CD13/AA9</f>
        <v>5.1811612298409943E-2</v>
      </c>
      <c r="AB46">
        <f t="shared" si="80"/>
        <v>5.1343164973760624E-2</v>
      </c>
      <c r="AC46">
        <f>'Cibles THREEME AMS'!$CE13/AC9</f>
        <v>5.0874717649111299E-2</v>
      </c>
      <c r="AD46">
        <f t="shared" ref="AD46:AG46" si="117">AC46+($AH46-$AC46)/5</f>
        <v>4.927635701308649E-2</v>
      </c>
      <c r="AE46">
        <f t="shared" si="117"/>
        <v>4.7677996377061681E-2</v>
      </c>
      <c r="AF46">
        <f t="shared" si="117"/>
        <v>4.6079635741036871E-2</v>
      </c>
      <c r="AG46">
        <f t="shared" si="117"/>
        <v>4.4481275105012062E-2</v>
      </c>
      <c r="AH46">
        <f>'Cibles THREEME AMS'!$CF13/AH9</f>
        <v>4.2882914468987267E-2</v>
      </c>
      <c r="AI46">
        <f t="shared" ref="AI46:AL46" si="118">AH46+($AM46-$AH46)/5</f>
        <v>4.1687296142586538E-2</v>
      </c>
      <c r="AJ46">
        <f t="shared" si="118"/>
        <v>4.049167781618581E-2</v>
      </c>
      <c r="AK46">
        <f t="shared" si="118"/>
        <v>3.9296059489785082E-2</v>
      </c>
      <c r="AL46">
        <f t="shared" si="118"/>
        <v>3.8100441163384353E-2</v>
      </c>
      <c r="AM46">
        <f>'Cibles THREEME AMS'!$CG13/AM9</f>
        <v>3.6904822836983639E-2</v>
      </c>
    </row>
    <row r="47" spans="1:39">
      <c r="A47" s="595"/>
      <c r="B47" s="591" t="s">
        <v>279</v>
      </c>
      <c r="C47">
        <f t="shared" si="97"/>
        <v>2306</v>
      </c>
      <c r="D47">
        <f>'Cibles THREEME AMS'!$BV14*11.64/D10</f>
        <v>7.3059440569521336E-2</v>
      </c>
      <c r="E47">
        <f t="shared" ref="E47:H47" si="119">D47+($I47-$D47)/5</f>
        <v>7.4697605326275937E-2</v>
      </c>
      <c r="F47">
        <f t="shared" si="119"/>
        <v>7.6335770083030538E-2</v>
      </c>
      <c r="G47">
        <f t="shared" si="119"/>
        <v>7.7973934839785139E-2</v>
      </c>
      <c r="H47">
        <f t="shared" si="119"/>
        <v>7.961209959653974E-2</v>
      </c>
      <c r="I47">
        <f>'Cibles THREEME AMS'!$BW14/I10</f>
        <v>8.1250264353294355E-2</v>
      </c>
      <c r="J47">
        <f t="shared" ref="J47:K47" si="120">I47+($L47-$I47)/3</f>
        <v>7.5572910558740186E-2</v>
      </c>
      <c r="K47">
        <f t="shared" si="120"/>
        <v>6.9895556764186018E-2</v>
      </c>
      <c r="L47">
        <f>'Cibles THREEME AMS'!$BX14/L10</f>
        <v>6.4218202969631835E-2</v>
      </c>
      <c r="M47">
        <f t="shared" si="74"/>
        <v>6.3683216418616434E-2</v>
      </c>
      <c r="N47">
        <f>'Cibles THREEME AMS'!$BY14/N10</f>
        <v>6.3148229867601019E-2</v>
      </c>
      <c r="O47">
        <f t="shared" ref="O47:P47" si="121">N47+($Q47-$N47)/3</f>
        <v>6.2223520814993626E-2</v>
      </c>
      <c r="P47">
        <f t="shared" si="121"/>
        <v>6.1298811762386232E-2</v>
      </c>
      <c r="Q47">
        <f>'Cibles THREEME AMS'!$BZ14/Q10</f>
        <v>6.0374102709778846E-2</v>
      </c>
      <c r="R47">
        <f t="shared" si="76"/>
        <v>5.9498021877164138E-2</v>
      </c>
      <c r="S47">
        <f>'Cibles THREEME AMS'!$CA14/S10</f>
        <v>5.862194104454943E-2</v>
      </c>
      <c r="T47">
        <f t="shared" ref="T47:U47" si="122">S47+($V47-$S47)/2</f>
        <v>5.6998797634325707E-2</v>
      </c>
      <c r="U47">
        <f t="shared" si="122"/>
        <v>5.5375654224101983E-2</v>
      </c>
      <c r="V47">
        <f>'Cibles THREEME AMS'!$CB14/V10</f>
        <v>5.5375654224101983E-2</v>
      </c>
      <c r="W47">
        <f t="shared" si="78"/>
        <v>5.4357440933941577E-2</v>
      </c>
      <c r="X47">
        <f>'Cibles THREEME AMS'!$CC14/X10</f>
        <v>5.333922764378117E-2</v>
      </c>
      <c r="Y47">
        <f t="shared" ref="Y47:Z47" si="123">X47+($AA47-$X47)/3</f>
        <v>5.2830022528657421E-2</v>
      </c>
      <c r="Z47">
        <f t="shared" si="123"/>
        <v>5.2320817413533671E-2</v>
      </c>
      <c r="AA47">
        <f>'Cibles THREEME AMS'!$CD14/AA10</f>
        <v>5.1811612298409929E-2</v>
      </c>
      <c r="AB47">
        <f t="shared" si="80"/>
        <v>5.1343164973760611E-2</v>
      </c>
      <c r="AC47">
        <f>'Cibles THREEME AMS'!$CE14/AC10</f>
        <v>5.0874717649111292E-2</v>
      </c>
      <c r="AD47">
        <f t="shared" ref="AD47:AG47" si="124">AC47+($AH47-$AC47)/5</f>
        <v>4.927635701308649E-2</v>
      </c>
      <c r="AE47">
        <f t="shared" si="124"/>
        <v>4.7677996377061688E-2</v>
      </c>
      <c r="AF47">
        <f t="shared" si="124"/>
        <v>4.6079635741036885E-2</v>
      </c>
      <c r="AG47">
        <f t="shared" si="124"/>
        <v>4.4481275105012083E-2</v>
      </c>
      <c r="AH47">
        <f>'Cibles THREEME AMS'!$CF14/AH10</f>
        <v>4.2882914468987267E-2</v>
      </c>
      <c r="AI47">
        <f t="shared" ref="AI47:AL47" si="125">AH47+($AM47-$AH47)/5</f>
        <v>4.1687296142586538E-2</v>
      </c>
      <c r="AJ47">
        <f t="shared" si="125"/>
        <v>4.049167781618581E-2</v>
      </c>
      <c r="AK47">
        <f t="shared" si="125"/>
        <v>3.9296059489785082E-2</v>
      </c>
      <c r="AL47">
        <f t="shared" si="125"/>
        <v>3.8100441163384353E-2</v>
      </c>
      <c r="AM47">
        <f>'Cibles THREEME AMS'!$CG14/AM10</f>
        <v>3.6904822836983639E-2</v>
      </c>
    </row>
    <row r="48" spans="1:39">
      <c r="A48" s="595"/>
      <c r="B48" s="591" t="s">
        <v>18</v>
      </c>
      <c r="C48">
        <f t="shared" si="97"/>
        <v>2307</v>
      </c>
      <c r="D48">
        <f>'Cibles THREEME AMS'!$BV15*11.64/D11</f>
        <v>7.305944056952135E-2</v>
      </c>
      <c r="E48">
        <f t="shared" ref="E48:H48" si="126">D48+($I48-$D48)/5</f>
        <v>7.4697605326275951E-2</v>
      </c>
      <c r="F48">
        <f t="shared" si="126"/>
        <v>7.6335770083030552E-2</v>
      </c>
      <c r="G48">
        <f t="shared" si="126"/>
        <v>7.7973934839785153E-2</v>
      </c>
      <c r="H48">
        <f t="shared" si="126"/>
        <v>7.9612099596539754E-2</v>
      </c>
      <c r="I48">
        <f>'Cibles THREEME AMS'!$BW15/I11</f>
        <v>8.1250264353294341E-2</v>
      </c>
      <c r="J48">
        <f t="shared" ref="J48:K48" si="127">I48+($L48-$I48)/3</f>
        <v>7.5572910558740172E-2</v>
      </c>
      <c r="K48">
        <f t="shared" si="127"/>
        <v>6.9895556764186004E-2</v>
      </c>
      <c r="L48">
        <f>'Cibles THREEME AMS'!$BX15/L11</f>
        <v>6.4218202969631821E-2</v>
      </c>
      <c r="M48">
        <f t="shared" si="74"/>
        <v>6.368321641861642E-2</v>
      </c>
      <c r="N48">
        <f>'Cibles THREEME AMS'!$BY15/N11</f>
        <v>6.3148229867601019E-2</v>
      </c>
      <c r="O48">
        <f t="shared" ref="O48:P48" si="128">N48+($Q48-$N48)/3</f>
        <v>6.2223520814993633E-2</v>
      </c>
      <c r="P48">
        <f t="shared" si="128"/>
        <v>6.1298811762386246E-2</v>
      </c>
      <c r="Q48">
        <f>'Cibles THREEME AMS'!$BZ15/Q11</f>
        <v>6.0374102709778853E-2</v>
      </c>
      <c r="R48">
        <f t="shared" si="76"/>
        <v>5.9498021877164145E-2</v>
      </c>
      <c r="S48">
        <f>'Cibles THREEME AMS'!$CA15/S11</f>
        <v>5.862194104454943E-2</v>
      </c>
      <c r="T48">
        <f t="shared" ref="T48:U48" si="129">S48+($V48-$S48)/2</f>
        <v>5.69987976343257E-2</v>
      </c>
      <c r="U48">
        <f t="shared" si="129"/>
        <v>5.5375654224101969E-2</v>
      </c>
      <c r="V48">
        <f>'Cibles THREEME AMS'!$CB15/V11</f>
        <v>5.5375654224101969E-2</v>
      </c>
      <c r="W48">
        <f t="shared" si="78"/>
        <v>5.435744093394157E-2</v>
      </c>
      <c r="X48">
        <f>'Cibles THREEME AMS'!$CC15/X11</f>
        <v>5.3339227643781177E-2</v>
      </c>
      <c r="Y48">
        <f t="shared" ref="Y48:Z48" si="130">X48+($AA48-$X48)/3</f>
        <v>5.2830022528657428E-2</v>
      </c>
      <c r="Z48">
        <f t="shared" si="130"/>
        <v>5.2320817413533678E-2</v>
      </c>
      <c r="AA48">
        <f>'Cibles THREEME AMS'!$CD15/AA11</f>
        <v>5.1811612298409936E-2</v>
      </c>
      <c r="AB48">
        <f t="shared" si="80"/>
        <v>5.1343164973760617E-2</v>
      </c>
      <c r="AC48">
        <f>'Cibles THREEME AMS'!$CE15/AC11</f>
        <v>5.0874717649111299E-2</v>
      </c>
      <c r="AD48">
        <f t="shared" ref="AD48:AG48" si="131">AC48+($AH48-$AC48)/5</f>
        <v>4.927635701308649E-2</v>
      </c>
      <c r="AE48">
        <f t="shared" si="131"/>
        <v>4.7677996377061681E-2</v>
      </c>
      <c r="AF48">
        <f t="shared" si="131"/>
        <v>4.6079635741036871E-2</v>
      </c>
      <c r="AG48">
        <f t="shared" si="131"/>
        <v>4.4481275105012062E-2</v>
      </c>
      <c r="AH48">
        <f>'Cibles THREEME AMS'!$CF15/AH11</f>
        <v>4.2882914468987267E-2</v>
      </c>
      <c r="AI48">
        <f t="shared" ref="AI48:AL48" si="132">AH48+($AM48-$AH48)/5</f>
        <v>4.1687296142586545E-2</v>
      </c>
      <c r="AJ48">
        <f t="shared" si="132"/>
        <v>4.0491677816185824E-2</v>
      </c>
      <c r="AK48">
        <f t="shared" si="132"/>
        <v>3.9296059489785103E-2</v>
      </c>
      <c r="AL48">
        <f t="shared" si="132"/>
        <v>3.8100441163384381E-2</v>
      </c>
      <c r="AM48">
        <f>'Cibles THREEME AMS'!$CG15/AM11</f>
        <v>3.6904822836983646E-2</v>
      </c>
    </row>
    <row r="49" spans="1:39" ht="15" thickBot="1">
      <c r="A49" s="594"/>
      <c r="B49" s="592" t="s">
        <v>480</v>
      </c>
      <c r="C49">
        <f t="shared" si="97"/>
        <v>2308</v>
      </c>
      <c r="D49">
        <f>'Cibles THREEME AMS'!$BV16*11.64/D12</f>
        <v>4.4252345044508425</v>
      </c>
      <c r="E49">
        <f t="shared" ref="E49:H49" si="133">D49+($I49-$D49)/5</f>
        <v>4.3936701515920316</v>
      </c>
      <c r="F49">
        <f t="shared" si="133"/>
        <v>4.3621057987332206</v>
      </c>
      <c r="G49">
        <f t="shared" si="133"/>
        <v>4.3305414458744096</v>
      </c>
      <c r="H49">
        <f t="shared" si="133"/>
        <v>4.2989770930155986</v>
      </c>
      <c r="I49">
        <f>'Cibles THREEME AMS'!$BW16/I12</f>
        <v>4.2674127401567858</v>
      </c>
      <c r="J49">
        <f t="shared" ref="J49:K49" si="134">I49+($L49-$I49)/3</f>
        <v>4.0727380224653142</v>
      </c>
      <c r="K49">
        <f t="shared" si="134"/>
        <v>3.8780633047738422</v>
      </c>
      <c r="L49">
        <f>'Cibles THREEME AMS'!$BX16/L12</f>
        <v>3.6833885870823697</v>
      </c>
      <c r="M49">
        <f t="shared" si="74"/>
        <v>3.5376430827858503</v>
      </c>
      <c r="N49">
        <f>'Cibles THREEME AMS'!$BY16/N12</f>
        <v>3.3918975784893304</v>
      </c>
      <c r="O49">
        <f t="shared" ref="O49:P49" si="135">N49+($Q49-$N49)/3</f>
        <v>3.2813714348138343</v>
      </c>
      <c r="P49">
        <f t="shared" si="135"/>
        <v>3.1708452911383382</v>
      </c>
      <c r="Q49">
        <f>'Cibles THREEME AMS'!$BZ16/Q12</f>
        <v>3.0603191474628417</v>
      </c>
      <c r="R49">
        <f t="shared" si="76"/>
        <v>2.9676311553828612</v>
      </c>
      <c r="S49">
        <f>'Cibles THREEME AMS'!$CA16/S12</f>
        <v>2.874943163302881</v>
      </c>
      <c r="T49">
        <f t="shared" ref="T49:U49" si="136">S49+($V49-$S49)/2</f>
        <v>2.6669725036262228</v>
      </c>
      <c r="U49">
        <f t="shared" si="136"/>
        <v>2.4590018439495651</v>
      </c>
      <c r="V49">
        <f>'Cibles THREEME AMS'!$CB16/V12</f>
        <v>2.4590018439495651</v>
      </c>
      <c r="W49">
        <f t="shared" si="78"/>
        <v>2.350414327642627</v>
      </c>
      <c r="X49">
        <f>'Cibles THREEME AMS'!$CC16/X12</f>
        <v>2.241826811335689</v>
      </c>
      <c r="Y49">
        <f t="shared" ref="Y49:Z49" si="137">X49+($AA49-$X49)/3</f>
        <v>2.1369144580073969</v>
      </c>
      <c r="Z49">
        <f t="shared" si="137"/>
        <v>2.0320021046791048</v>
      </c>
      <c r="AA49">
        <f>'Cibles THREEME AMS'!$CD16/AA12</f>
        <v>1.9270897513508123</v>
      </c>
      <c r="AB49">
        <f t="shared" si="80"/>
        <v>1.8399874203931978</v>
      </c>
      <c r="AC49">
        <f>'Cibles THREEME AMS'!$CE16/AC12</f>
        <v>1.7528850894355834</v>
      </c>
      <c r="AD49">
        <f t="shared" ref="AD49:AG49" si="138">AC49+($AH49-$AC49)/5</f>
        <v>1.7007644919242451</v>
      </c>
      <c r="AE49">
        <f t="shared" si="138"/>
        <v>1.6486438944129067</v>
      </c>
      <c r="AF49">
        <f t="shared" si="138"/>
        <v>1.5965232969015684</v>
      </c>
      <c r="AG49">
        <f t="shared" si="138"/>
        <v>1.54440269939023</v>
      </c>
      <c r="AH49">
        <f>'Cibles THREEME AMS'!$CF16/AH12</f>
        <v>1.4922821018788917</v>
      </c>
      <c r="AI49">
        <f t="shared" ref="AI49:AL49" si="139">AH49+($AM49-$AH49)/5</f>
        <v>1.4955745150912938</v>
      </c>
      <c r="AJ49">
        <f t="shared" si="139"/>
        <v>1.4988669283036959</v>
      </c>
      <c r="AK49">
        <f t="shared" si="139"/>
        <v>1.5021593415160981</v>
      </c>
      <c r="AL49">
        <f t="shared" si="139"/>
        <v>1.5054517547285002</v>
      </c>
      <c r="AM49">
        <f>'Cibles THREEME AMS'!$CG16/AM12</f>
        <v>1.5087441679409024</v>
      </c>
    </row>
    <row r="50" spans="1:39">
      <c r="A50" s="593"/>
      <c r="B50" s="590" t="s">
        <v>287</v>
      </c>
      <c r="C50">
        <v>2401</v>
      </c>
      <c r="D50" s="404">
        <f>'Cibles THREEME AMS'!$BV17*11.64/D13</f>
        <v>3.6774251198465099E-2</v>
      </c>
      <c r="E50">
        <f t="shared" ref="E50:H50" si="140">D50+($I50-$D50)/5</f>
        <v>3.4283545130674616E-2</v>
      </c>
      <c r="F50">
        <f t="shared" si="140"/>
        <v>3.1792839062884132E-2</v>
      </c>
      <c r="G50">
        <f t="shared" si="140"/>
        <v>2.9302132995093648E-2</v>
      </c>
      <c r="H50">
        <f t="shared" si="140"/>
        <v>2.6811426927303164E-2</v>
      </c>
      <c r="I50" s="404">
        <f>'Cibles THREEME AMS'!$BW17/I13</f>
        <v>2.4320720859512687E-2</v>
      </c>
      <c r="J50">
        <f t="shared" ref="J50:K50" si="141">I50+($L50-$I50)/3</f>
        <v>2.3564046885144383E-2</v>
      </c>
      <c r="K50">
        <f t="shared" si="141"/>
        <v>2.2807372910776079E-2</v>
      </c>
      <c r="L50" s="404">
        <f>'Cibles THREEME AMS'!$BX17/L13</f>
        <v>2.2050698936407771E-2</v>
      </c>
      <c r="M50">
        <f t="shared" si="74"/>
        <v>2.3821849763773439E-2</v>
      </c>
      <c r="N50" s="404">
        <f>'Cibles THREEME AMS'!$BY17/N13</f>
        <v>2.5593000591139108E-2</v>
      </c>
      <c r="O50">
        <f t="shared" ref="O50:P50" si="142">N50+($Q50-$N50)/3</f>
        <v>2.6803376685796482E-2</v>
      </c>
      <c r="P50">
        <f t="shared" si="142"/>
        <v>2.8013752780453857E-2</v>
      </c>
      <c r="Q50" s="404">
        <f>'Cibles THREEME AMS'!$BZ17/Q13</f>
        <v>2.9224128875111232E-2</v>
      </c>
      <c r="R50">
        <f t="shared" si="76"/>
        <v>3.0796579412247033E-2</v>
      </c>
      <c r="S50" s="404">
        <f>'Cibles THREEME AMS'!$CA17/S13</f>
        <v>3.236902994938283E-2</v>
      </c>
      <c r="T50">
        <f t="shared" ref="T50:U50" si="143">S50+($V50-$S50)/2</f>
        <v>3.3470756045693939E-2</v>
      </c>
      <c r="U50">
        <f t="shared" si="143"/>
        <v>3.4572482142005048E-2</v>
      </c>
      <c r="V50" s="404">
        <f>'Cibles THREEME AMS'!$CB17/V13</f>
        <v>3.4572482142005041E-2</v>
      </c>
      <c r="W50">
        <f t="shared" si="78"/>
        <v>3.5456516652594895E-2</v>
      </c>
      <c r="X50" s="404">
        <f>'Cibles THREEME AMS'!$CC17/X13</f>
        <v>3.6340551163184749E-2</v>
      </c>
      <c r="Y50">
        <f t="shared" ref="Y50:Z50" si="144">X50+($AA50-$X50)/3</f>
        <v>3.7014184180266377E-2</v>
      </c>
      <c r="Z50">
        <f t="shared" si="144"/>
        <v>3.7687817197348004E-2</v>
      </c>
      <c r="AA50" s="404">
        <f>'Cibles THREEME AMS'!$CD17/AA13</f>
        <v>3.8361450214429625E-2</v>
      </c>
      <c r="AB50">
        <f t="shared" si="80"/>
        <v>3.9212233999307192E-2</v>
      </c>
      <c r="AC50" s="404">
        <f>'Cibles THREEME AMS'!$CE17/AC13</f>
        <v>4.0063017784184751E-2</v>
      </c>
      <c r="AD50">
        <f t="shared" ref="AD50:AG50" si="145">AC50+($AH50-$AC50)/5</f>
        <v>4.0947116199322571E-2</v>
      </c>
      <c r="AE50">
        <f t="shared" si="145"/>
        <v>4.1831214614460391E-2</v>
      </c>
      <c r="AF50">
        <f t="shared" si="145"/>
        <v>4.2715313029598211E-2</v>
      </c>
      <c r="AG50">
        <f t="shared" si="145"/>
        <v>4.359941144473603E-2</v>
      </c>
      <c r="AH50" s="404">
        <f>'Cibles THREEME AMS'!$CF17/AH13</f>
        <v>4.4483509859873836E-2</v>
      </c>
      <c r="AI50">
        <f t="shared" ref="AI50:AL50" si="146">AH50+($AM50-$AH50)/5</f>
        <v>3.5586807887899072E-2</v>
      </c>
      <c r="AJ50">
        <f t="shared" si="146"/>
        <v>2.6690105915924304E-2</v>
      </c>
      <c r="AK50">
        <f t="shared" si="146"/>
        <v>1.7793403943949536E-2</v>
      </c>
      <c r="AL50">
        <f t="shared" si="146"/>
        <v>8.8967019719747679E-3</v>
      </c>
      <c r="AM50" s="404">
        <f>'Cibles THREEME AMS'!$CG17/AM13</f>
        <v>0</v>
      </c>
    </row>
    <row r="51" spans="1:39">
      <c r="A51" s="595"/>
      <c r="B51" s="591" t="s">
        <v>289</v>
      </c>
      <c r="C51">
        <v>2402</v>
      </c>
      <c r="D51" s="404">
        <f>'Cibles THREEME AMS'!$BV18*11.64/D14</f>
        <v>1.0432584346731961E-2</v>
      </c>
      <c r="E51">
        <f t="shared" ref="E51:H51" si="147">D51+($I51-$D51)/5</f>
        <v>1.0228883883801599E-2</v>
      </c>
      <c r="F51">
        <f t="shared" si="147"/>
        <v>1.0025183420871237E-2</v>
      </c>
      <c r="G51">
        <f t="shared" si="147"/>
        <v>9.8214829579408754E-3</v>
      </c>
      <c r="H51">
        <f t="shared" si="147"/>
        <v>9.6177824950105135E-3</v>
      </c>
      <c r="I51" s="404">
        <f>'Cibles THREEME AMS'!$BW18/I14</f>
        <v>9.41408203208015E-3</v>
      </c>
      <c r="J51">
        <f t="shared" ref="J51:K51" si="148">I51+($L51-$I51)/3</f>
        <v>1.3158457331836348E-2</v>
      </c>
      <c r="K51">
        <f t="shared" si="148"/>
        <v>1.6902832631592549E-2</v>
      </c>
      <c r="L51" s="404">
        <f>'Cibles THREEME AMS'!$BX18/L14</f>
        <v>2.0647207931348745E-2</v>
      </c>
      <c r="M51">
        <f t="shared" si="74"/>
        <v>2.2797037048026422E-2</v>
      </c>
      <c r="N51" s="404">
        <f>'Cibles THREEME AMS'!$BY18/N14</f>
        <v>2.4946866164704096E-2</v>
      </c>
      <c r="O51">
        <f t="shared" ref="O51:P51" si="149">N51+($Q51-$N51)/3</f>
        <v>2.5994371728727702E-2</v>
      </c>
      <c r="P51">
        <f t="shared" si="149"/>
        <v>2.7041877292751308E-2</v>
      </c>
      <c r="Q51" s="404">
        <f>'Cibles THREEME AMS'!$BZ18/Q14</f>
        <v>2.8089382856774911E-2</v>
      </c>
      <c r="R51">
        <f t="shared" si="76"/>
        <v>2.9171736971160399E-2</v>
      </c>
      <c r="S51" s="404">
        <f>'Cibles THREEME AMS'!$CA18/S14</f>
        <v>3.0254091085545887E-2</v>
      </c>
      <c r="T51">
        <f t="shared" ref="T51:U51" si="150">S51+($V51-$S51)/2</f>
        <v>3.0379823287667456E-2</v>
      </c>
      <c r="U51">
        <f t="shared" si="150"/>
        <v>3.0505555489789025E-2</v>
      </c>
      <c r="V51" s="404">
        <f>'Cibles THREEME AMS'!$CB18/V14</f>
        <v>3.0505555489789025E-2</v>
      </c>
      <c r="W51">
        <f t="shared" si="78"/>
        <v>3.0538257432114253E-2</v>
      </c>
      <c r="X51" s="404">
        <f>'Cibles THREEME AMS'!$CC18/X14</f>
        <v>3.0570959374439485E-2</v>
      </c>
      <c r="Y51">
        <f t="shared" ref="Y51:Z51" si="151">X51+($AA51-$X51)/3</f>
        <v>2.9921933347248221E-2</v>
      </c>
      <c r="Z51">
        <f t="shared" si="151"/>
        <v>2.9272907320056957E-2</v>
      </c>
      <c r="AA51" s="404">
        <f>'Cibles THREEME AMS'!$CD18/AA14</f>
        <v>2.8623881292865694E-2</v>
      </c>
      <c r="AB51">
        <f t="shared" si="80"/>
        <v>2.7936261319202196E-2</v>
      </c>
      <c r="AC51" s="404">
        <f>'Cibles THREEME AMS'!$CE18/AC14</f>
        <v>2.7248641345538702E-2</v>
      </c>
      <c r="AD51">
        <f t="shared" ref="AD51:AG51" si="152">AC51+($AH51-$AC51)/5</f>
        <v>2.637190044764276E-2</v>
      </c>
      <c r="AE51">
        <f t="shared" si="152"/>
        <v>2.5495159549746817E-2</v>
      </c>
      <c r="AF51">
        <f t="shared" si="152"/>
        <v>2.4618418651850875E-2</v>
      </c>
      <c r="AG51">
        <f t="shared" si="152"/>
        <v>2.3741677753954932E-2</v>
      </c>
      <c r="AH51" s="404">
        <f>'Cibles THREEME AMS'!$CF18/AH14</f>
        <v>2.286493685605899E-2</v>
      </c>
      <c r="AI51">
        <f t="shared" ref="AI51:AL51" si="153">AH51+($AM51-$AH51)/5</f>
        <v>2.1822151990646552E-2</v>
      </c>
      <c r="AJ51">
        <f t="shared" si="153"/>
        <v>2.0779367125234115E-2</v>
      </c>
      <c r="AK51">
        <f t="shared" si="153"/>
        <v>1.9736582259821677E-2</v>
      </c>
      <c r="AL51">
        <f t="shared" si="153"/>
        <v>1.8693797394409239E-2</v>
      </c>
      <c r="AM51" s="404">
        <f>'Cibles THREEME AMS'!$CG18/AM14</f>
        <v>1.7651012528996802E-2</v>
      </c>
    </row>
    <row r="52" spans="1:39">
      <c r="A52" s="595" t="s">
        <v>478</v>
      </c>
      <c r="B52" s="591" t="s">
        <v>291</v>
      </c>
      <c r="C52">
        <v>2403</v>
      </c>
      <c r="D52" s="404">
        <f>('Cibles THREEME AMS'!$BV19+'Cibles THREEME AMS'!$BV20)*11.64/D15</f>
        <v>0.57371428858213702</v>
      </c>
      <c r="E52">
        <f t="shared" ref="E52:H52" si="154">D52+($I52-$D52)/5</f>
        <v>0.47232443869449431</v>
      </c>
      <c r="F52">
        <f t="shared" si="154"/>
        <v>0.3709345888068516</v>
      </c>
      <c r="G52">
        <f t="shared" si="154"/>
        <v>0.26954473891920888</v>
      </c>
      <c r="H52">
        <f t="shared" si="154"/>
        <v>0.16815488903156617</v>
      </c>
      <c r="I52" s="404">
        <f>('Cibles THREEME AMS'!$BW19+'Cibles THREEME AMS'!$BW20)/I15</f>
        <v>6.6765039143923496E-2</v>
      </c>
      <c r="J52">
        <f t="shared" ref="J52:K52" si="155">I52+($L52-$I52)/3</f>
        <v>0.11627017168840106</v>
      </c>
      <c r="K52">
        <f t="shared" si="155"/>
        <v>0.16577530423287862</v>
      </c>
      <c r="L52" s="404">
        <f>('Cibles THREEME AMS'!$BX19+'Cibles THREEME AMS'!$BX20)/L15</f>
        <v>0.21528043677735617</v>
      </c>
      <c r="M52">
        <f t="shared" si="74"/>
        <v>0.22764314422342494</v>
      </c>
      <c r="N52" s="404">
        <f>('Cibles THREEME AMS'!$BY19+'Cibles THREEME AMS'!$BY20)/N15</f>
        <v>0.2400058516694937</v>
      </c>
      <c r="O52">
        <f t="shared" ref="O52:P52" si="156">N52+($Q52-$N52)/3</f>
        <v>0.25068929908241333</v>
      </c>
      <c r="P52">
        <f t="shared" si="156"/>
        <v>0.26137274649533293</v>
      </c>
      <c r="Q52" s="404">
        <f>('Cibles THREEME AMS'!$BZ19+'Cibles THREEME AMS'!$BZ20)/Q15</f>
        <v>0.27205619390825253</v>
      </c>
      <c r="R52">
        <f t="shared" si="76"/>
        <v>0.29083442529371811</v>
      </c>
      <c r="S52" s="404">
        <f>('Cibles THREEME AMS'!$CA19+'Cibles THREEME AMS'!$CA20)/S15</f>
        <v>0.3096126566791837</v>
      </c>
      <c r="T52">
        <f t="shared" ref="T52:U52" si="157">S52+($V52-$S52)/2</f>
        <v>0.32273442138176933</v>
      </c>
      <c r="U52">
        <f t="shared" si="157"/>
        <v>0.33585618608435497</v>
      </c>
      <c r="V52" s="404">
        <f>('Cibles THREEME AMS'!$CB19+'Cibles THREEME AMS'!$CB20)/V15</f>
        <v>0.33585618608435491</v>
      </c>
      <c r="W52">
        <f t="shared" si="78"/>
        <v>0.33947163191588403</v>
      </c>
      <c r="X52" s="404">
        <f>('Cibles THREEME AMS'!$CC19+'Cibles THREEME AMS'!$CC20)/X15</f>
        <v>0.34308707774741309</v>
      </c>
      <c r="Y52">
        <f t="shared" ref="Y52:Z52" si="158">X52+($AA52-$X52)/3</f>
        <v>0.35725109497013335</v>
      </c>
      <c r="Z52">
        <f t="shared" si="158"/>
        <v>0.37141511219285361</v>
      </c>
      <c r="AA52" s="404">
        <f>('Cibles THREEME AMS'!$CD19+'Cibles THREEME AMS'!$CD20)/AA15</f>
        <v>0.38557912941557382</v>
      </c>
      <c r="AB52">
        <f t="shared" si="80"/>
        <v>0.39434125096813344</v>
      </c>
      <c r="AC52" s="404">
        <f>('Cibles THREEME AMS'!$CE19+'Cibles THREEME AMS'!$CE20)/AC15</f>
        <v>0.403103372520693</v>
      </c>
      <c r="AD52">
        <f t="shared" ref="AD52:AG52" si="159">AC52+($AH52-$AC52)/5</f>
        <v>0.40836022991167359</v>
      </c>
      <c r="AE52">
        <f t="shared" si="159"/>
        <v>0.41361708730265417</v>
      </c>
      <c r="AF52">
        <f t="shared" si="159"/>
        <v>0.41887394469363476</v>
      </c>
      <c r="AG52">
        <f t="shared" si="159"/>
        <v>0.42413080208461534</v>
      </c>
      <c r="AH52" s="404">
        <f>('Cibles THREEME AMS'!$CF19+'Cibles THREEME AMS'!$CF20)/AH15</f>
        <v>0.42938765947559604</v>
      </c>
      <c r="AI52">
        <f t="shared" ref="AI52:AL52" si="160">AH52+($AM52-$AH52)/5</f>
        <v>0.44920843861295046</v>
      </c>
      <c r="AJ52">
        <f t="shared" si="160"/>
        <v>0.46902921775030487</v>
      </c>
      <c r="AK52">
        <f t="shared" si="160"/>
        <v>0.48884999688765929</v>
      </c>
      <c r="AL52">
        <f t="shared" si="160"/>
        <v>0.50867077602501376</v>
      </c>
      <c r="AM52" s="404">
        <f>('Cibles THREEME AMS'!$CG19+'Cibles THREEME AMS'!$CG20)/AM15</f>
        <v>0.52849155516236812</v>
      </c>
    </row>
    <row r="53" spans="1:39">
      <c r="A53" s="595"/>
      <c r="B53" s="591" t="s">
        <v>293</v>
      </c>
      <c r="C53">
        <v>2404</v>
      </c>
      <c r="D53">
        <f>'Cibles THREEME AMS'!$BV21*11.64/D16</f>
        <v>0.40191367704565095</v>
      </c>
      <c r="E53">
        <f t="shared" ref="E53:H53" si="161">D53+($I53-$D53)/5</f>
        <v>0.35066809358926115</v>
      </c>
      <c r="F53">
        <f t="shared" si="161"/>
        <v>0.29942251013287136</v>
      </c>
      <c r="G53">
        <f t="shared" si="161"/>
        <v>0.24817692667648156</v>
      </c>
      <c r="H53">
        <f t="shared" si="161"/>
        <v>0.19693134322009176</v>
      </c>
      <c r="I53">
        <f>'Cibles THREEME AMS'!$BW21/I16</f>
        <v>0.14568575976370193</v>
      </c>
      <c r="J53">
        <f t="shared" ref="J53:K53" si="162">I53+($L53-$I53)/3</f>
        <v>0.13776741103845153</v>
      </c>
      <c r="K53">
        <f t="shared" si="162"/>
        <v>0.12984906231320112</v>
      </c>
      <c r="L53">
        <f>'Cibles THREEME AMS'!$BX21/L16</f>
        <v>0.12193071358795073</v>
      </c>
      <c r="M53">
        <f t="shared" si="74"/>
        <v>0.1185292097254483</v>
      </c>
      <c r="N53">
        <f>'Cibles THREEME AMS'!$BY21/N16</f>
        <v>0.11512770586294586</v>
      </c>
      <c r="O53">
        <f t="shared" ref="O53:P53" si="163">N53+($Q53-$N53)/3</f>
        <v>0.11261007156103632</v>
      </c>
      <c r="P53">
        <f t="shared" si="163"/>
        <v>0.11009243725912678</v>
      </c>
      <c r="Q53">
        <f>'Cibles THREEME AMS'!$BZ21/Q16</f>
        <v>0.10757480295721725</v>
      </c>
      <c r="R53">
        <f t="shared" si="76"/>
        <v>0.10518879084789746</v>
      </c>
      <c r="S53">
        <f>'Cibles THREEME AMS'!$CA21/S16</f>
        <v>0.10280277873857768</v>
      </c>
      <c r="T53">
        <f t="shared" ref="T53:U53" si="164">S53+($V53-$S53)/2</f>
        <v>9.9759552291356079E-2</v>
      </c>
      <c r="U53">
        <f t="shared" si="164"/>
        <v>9.6716325844134476E-2</v>
      </c>
      <c r="V53">
        <f>'Cibles THREEME AMS'!$CB21/V16</f>
        <v>9.6716325844134476E-2</v>
      </c>
      <c r="W53">
        <f t="shared" si="78"/>
        <v>9.4635004531587741E-2</v>
      </c>
      <c r="X53">
        <f>'Cibles THREEME AMS'!$CC21/X16</f>
        <v>9.2553683219040991E-2</v>
      </c>
      <c r="Y53">
        <f t="shared" ref="Y53:Z53" si="165">X53+($AA53-$X53)/3</f>
        <v>8.9847265559504064E-2</v>
      </c>
      <c r="Z53">
        <f t="shared" si="165"/>
        <v>8.7140847899967136E-2</v>
      </c>
      <c r="AA53">
        <f>'Cibles THREEME AMS'!$CD21/AA16</f>
        <v>8.4434430240430208E-2</v>
      </c>
      <c r="AB53">
        <f t="shared" si="80"/>
        <v>8.1695520697101981E-2</v>
      </c>
      <c r="AC53">
        <f>'Cibles THREEME AMS'!$CE21/AC16</f>
        <v>7.8956611153773767E-2</v>
      </c>
      <c r="AD53">
        <f t="shared" ref="AD53:AG53" si="166">AC53+($AH53-$AC53)/5</f>
        <v>7.6005940824861173E-2</v>
      </c>
      <c r="AE53">
        <f t="shared" si="166"/>
        <v>7.3055270495948579E-2</v>
      </c>
      <c r="AF53">
        <f t="shared" si="166"/>
        <v>7.0104600167035985E-2</v>
      </c>
      <c r="AG53">
        <f t="shared" si="166"/>
        <v>6.7153929838123391E-2</v>
      </c>
      <c r="AH53">
        <f>'Cibles THREEME AMS'!$CF21/AH16</f>
        <v>6.4203259509210769E-2</v>
      </c>
      <c r="AI53">
        <f t="shared" ref="AI53:AL53" si="167">AH53+($AM53-$AH53)/5</f>
        <v>6.115947973975068E-2</v>
      </c>
      <c r="AJ53">
        <f t="shared" si="167"/>
        <v>5.8115699970290591E-2</v>
      </c>
      <c r="AK53">
        <f t="shared" si="167"/>
        <v>5.5071920200830501E-2</v>
      </c>
      <c r="AL53">
        <f t="shared" si="167"/>
        <v>5.2028140431370412E-2</v>
      </c>
      <c r="AM53">
        <f>'Cibles THREEME AMS'!$CG21/AM16</f>
        <v>4.8984360661910323E-2</v>
      </c>
    </row>
    <row r="54" spans="1:39">
      <c r="A54" s="595"/>
      <c r="B54" s="591" t="s">
        <v>296</v>
      </c>
      <c r="C54">
        <v>2405</v>
      </c>
      <c r="D54">
        <f>'Cibles THREEME AMS'!$BV22*11.64/D17</f>
        <v>8.8310867949872807E-2</v>
      </c>
      <c r="E54">
        <f t="shared" ref="E54:H54" si="168">D54+($I54-$D54)/5</f>
        <v>8.9156992125413725E-2</v>
      </c>
      <c r="F54">
        <f t="shared" si="168"/>
        <v>9.0003116300954644E-2</v>
      </c>
      <c r="G54">
        <f t="shared" si="168"/>
        <v>9.0849240476495563E-2</v>
      </c>
      <c r="H54">
        <f t="shared" si="168"/>
        <v>9.1695364652036482E-2</v>
      </c>
      <c r="I54">
        <f>'Cibles THREEME AMS'!$BW22/I17</f>
        <v>9.2541488827577414E-2</v>
      </c>
      <c r="J54">
        <f t="shared" ref="J54:K54" si="169">I54+($L54-$I54)/3</f>
        <v>8.597492230193729E-2</v>
      </c>
      <c r="K54">
        <f t="shared" si="169"/>
        <v>7.9408355776297165E-2</v>
      </c>
      <c r="L54">
        <f>'Cibles THREEME AMS'!$BX22/L17</f>
        <v>7.2841789250657041E-2</v>
      </c>
      <c r="M54">
        <f t="shared" si="74"/>
        <v>7.316995567845791E-2</v>
      </c>
      <c r="N54">
        <f>'Cibles THREEME AMS'!$BY22/N17</f>
        <v>7.3498122106258765E-2</v>
      </c>
      <c r="O54">
        <f t="shared" ref="O54:P54" si="170">N54+($Q54-$N54)/3</f>
        <v>7.2272630428290796E-2</v>
      </c>
      <c r="P54">
        <f t="shared" si="170"/>
        <v>7.1047138750322827E-2</v>
      </c>
      <c r="Q54">
        <f>'Cibles THREEME AMS'!$BZ22/Q17</f>
        <v>6.9821647072354845E-2</v>
      </c>
      <c r="R54">
        <f t="shared" si="76"/>
        <v>6.863590684270994E-2</v>
      </c>
      <c r="S54">
        <f>'Cibles THREEME AMS'!$CA22/S17</f>
        <v>6.7450166613065035E-2</v>
      </c>
      <c r="T54">
        <f t="shared" ref="T54:U54" si="171">S54+($V54-$S54)/2</f>
        <v>6.6388888559360273E-2</v>
      </c>
      <c r="U54">
        <f t="shared" si="171"/>
        <v>6.5327610505655512E-2</v>
      </c>
      <c r="V54">
        <f>'Cibles THREEME AMS'!$CB22/V17</f>
        <v>6.5327610505655512E-2</v>
      </c>
      <c r="W54">
        <f t="shared" si="78"/>
        <v>6.4356070809027277E-2</v>
      </c>
      <c r="X54">
        <f>'Cibles THREEME AMS'!$CC22/X17</f>
        <v>6.3384531112399056E-2</v>
      </c>
      <c r="Y54">
        <f t="shared" ref="Y54:Z54" si="172">X54+($AA54-$X54)/3</f>
        <v>6.0985965644235238E-2</v>
      </c>
      <c r="Z54">
        <f t="shared" si="172"/>
        <v>5.8587400176071419E-2</v>
      </c>
      <c r="AA54">
        <f>'Cibles THREEME AMS'!$CD22/AA17</f>
        <v>5.6188834707907601E-2</v>
      </c>
      <c r="AB54">
        <f t="shared" si="80"/>
        <v>5.3889653053556405E-2</v>
      </c>
      <c r="AC54">
        <f>'Cibles THREEME AMS'!$CE22/AC17</f>
        <v>5.1590471399205209E-2</v>
      </c>
      <c r="AD54">
        <f t="shared" ref="AD54:AG54" si="173">AC54+($AH54-$AC54)/5</f>
        <v>4.93865651148769E-2</v>
      </c>
      <c r="AE54">
        <f t="shared" si="173"/>
        <v>4.7182658830548591E-2</v>
      </c>
      <c r="AF54">
        <f t="shared" si="173"/>
        <v>4.4978752546220281E-2</v>
      </c>
      <c r="AG54">
        <f t="shared" si="173"/>
        <v>4.2774846261891972E-2</v>
      </c>
      <c r="AH54">
        <f>'Cibles THREEME AMS'!$CF22/AH17</f>
        <v>4.0570939977563662E-2</v>
      </c>
      <c r="AI54">
        <f t="shared" ref="AI54:AL54" si="174">AH54+($AM54-$AH54)/5</f>
        <v>3.847236067371642E-2</v>
      </c>
      <c r="AJ54">
        <f t="shared" si="174"/>
        <v>3.6373781369869178E-2</v>
      </c>
      <c r="AK54">
        <f t="shared" si="174"/>
        <v>3.4275202066021936E-2</v>
      </c>
      <c r="AL54">
        <f t="shared" si="174"/>
        <v>3.2176622762174693E-2</v>
      </c>
      <c r="AM54">
        <f>'Cibles THREEME AMS'!$CG22/AM17</f>
        <v>3.0078043458327444E-2</v>
      </c>
    </row>
    <row r="55" spans="1:39" ht="15" thickBot="1">
      <c r="A55" s="594"/>
      <c r="B55" s="592" t="s">
        <v>481</v>
      </c>
      <c r="C55">
        <v>2406</v>
      </c>
      <c r="D55">
        <f>SUM('Cibles THREEME AMS'!$BV23:$BV24)*11.64/D18</f>
        <v>0.12014247308368504</v>
      </c>
      <c r="E55">
        <f t="shared" ref="E55:H56" si="175">D55+($I55-$D55)/5</f>
        <v>9.7724456087631056E-2</v>
      </c>
      <c r="F55">
        <f t="shared" si="175"/>
        <v>7.5306439091577054E-2</v>
      </c>
      <c r="G55">
        <f t="shared" si="175"/>
        <v>5.2888422095523059E-2</v>
      </c>
      <c r="H55">
        <f t="shared" si="175"/>
        <v>3.0470405099469064E-2</v>
      </c>
      <c r="I55">
        <f>SUM('Cibles THREEME AMS'!$BW23:$BW24)/I18</f>
        <v>8.0523881034150566E-3</v>
      </c>
      <c r="J55">
        <f t="shared" ref="J55:K56" si="176">I55+($L55-$I55)/3</f>
        <v>5.3682587356100372E-3</v>
      </c>
      <c r="K55">
        <f t="shared" si="176"/>
        <v>2.6841293678050182E-3</v>
      </c>
      <c r="L55">
        <f>SUM('Cibles THREEME AMS'!$BX23:$BX24)/L18</f>
        <v>0</v>
      </c>
      <c r="M55">
        <f t="shared" si="74"/>
        <v>0</v>
      </c>
      <c r="N55">
        <f>SUM('Cibles THREEME AMS'!$BY23:$BY24)/N18</f>
        <v>0</v>
      </c>
      <c r="O55">
        <f t="shared" ref="O55:P56" si="177">N55+($Q55-$N55)/3</f>
        <v>0</v>
      </c>
      <c r="P55">
        <f t="shared" si="177"/>
        <v>0</v>
      </c>
      <c r="Q55">
        <f>SUM('Cibles THREEME AMS'!$BZ23:$BZ24)/Q18</f>
        <v>0</v>
      </c>
      <c r="R55">
        <f t="shared" si="76"/>
        <v>0</v>
      </c>
      <c r="S55">
        <f>SUM('Cibles THREEME AMS'!$CA23:$CA24)/S18</f>
        <v>0</v>
      </c>
      <c r="T55">
        <f t="shared" ref="T55:U56" si="178">S55+($V55-$S55)/2</f>
        <v>0</v>
      </c>
      <c r="U55">
        <f t="shared" si="178"/>
        <v>0</v>
      </c>
      <c r="V55">
        <f>SUM('Cibles THREEME AMS'!$CB23:$CB24)/V18</f>
        <v>0</v>
      </c>
      <c r="W55">
        <f t="shared" si="78"/>
        <v>0</v>
      </c>
      <c r="X55">
        <f>SUM('Cibles THREEME AMS'!$CC23:$CC24)/X18</f>
        <v>0</v>
      </c>
      <c r="Y55">
        <f t="shared" ref="Y55:Z56" si="179">X55+($AA55-$X55)/3</f>
        <v>0</v>
      </c>
      <c r="Z55">
        <f t="shared" si="179"/>
        <v>0</v>
      </c>
      <c r="AA55">
        <f>SUM('Cibles THREEME AMS'!$CD23:$CD24)/AA18</f>
        <v>0</v>
      </c>
      <c r="AB55">
        <f t="shared" si="80"/>
        <v>0</v>
      </c>
      <c r="AC55">
        <f>SUM('Cibles THREEME AMS'!$CE23:$CE24)/AC18</f>
        <v>0</v>
      </c>
      <c r="AD55">
        <f t="shared" ref="AD55:AG56" si="180">AC55+($AH55-$AC55)/5</f>
        <v>0</v>
      </c>
      <c r="AE55">
        <f t="shared" si="180"/>
        <v>0</v>
      </c>
      <c r="AF55">
        <f t="shared" si="180"/>
        <v>0</v>
      </c>
      <c r="AG55">
        <f t="shared" si="180"/>
        <v>0</v>
      </c>
      <c r="AH55">
        <f>SUM('Cibles THREEME AMS'!$CF23:$CF24)/AH18</f>
        <v>0</v>
      </c>
      <c r="AI55">
        <f t="shared" ref="AI55:AL56" si="181">AH55+($AM55-$AH55)/5</f>
        <v>0</v>
      </c>
      <c r="AJ55">
        <f t="shared" si="181"/>
        <v>0</v>
      </c>
      <c r="AK55">
        <f t="shared" si="181"/>
        <v>0</v>
      </c>
      <c r="AL55">
        <f t="shared" si="181"/>
        <v>0</v>
      </c>
      <c r="AM55">
        <f>SUM('Cibles THREEME AMS'!$CG23:$CG24)/AM18</f>
        <v>0</v>
      </c>
    </row>
    <row r="56" spans="1:39">
      <c r="B56" s="591" t="s">
        <v>484</v>
      </c>
      <c r="C56">
        <v>21</v>
      </c>
      <c r="D56">
        <f>'Cibles THREEME AMS'!$BH25</f>
        <v>1.3634965953234096E-2</v>
      </c>
      <c r="E56">
        <f t="shared" si="175"/>
        <v>1.2068100819904138E-2</v>
      </c>
      <c r="F56">
        <f t="shared" si="175"/>
        <v>1.0501235686574179E-2</v>
      </c>
      <c r="G56">
        <f t="shared" si="175"/>
        <v>8.93437055324422E-3</v>
      </c>
      <c r="H56">
        <f t="shared" si="175"/>
        <v>7.3675054199142612E-3</v>
      </c>
      <c r="I56">
        <f>'Cibles THREEME AMS'!$BI25</f>
        <v>5.8006402865843024E-3</v>
      </c>
      <c r="J56">
        <f t="shared" si="176"/>
        <v>4.2030587978066228E-3</v>
      </c>
      <c r="K56">
        <f t="shared" si="176"/>
        <v>2.6054773090289432E-3</v>
      </c>
      <c r="L56">
        <f>'Cibles THREEME AMS'!$BJ25</f>
        <v>1.0078958202512627E-3</v>
      </c>
      <c r="M56">
        <f t="shared" si="74"/>
        <v>6.5129873152908473E-4</v>
      </c>
      <c r="N56">
        <f>'Cibles THREEME AMS'!$BK25</f>
        <v>2.9470164280690668E-4</v>
      </c>
      <c r="O56">
        <f t="shared" si="177"/>
        <v>2.2563400466289708E-4</v>
      </c>
      <c r="P56">
        <f t="shared" si="177"/>
        <v>1.5656636651888747E-4</v>
      </c>
      <c r="Q56">
        <f>'Cibles THREEME AMS'!$BL25</f>
        <v>8.7498728374877849E-5</v>
      </c>
      <c r="R56">
        <f t="shared" si="76"/>
        <v>4.3749364187438925E-5</v>
      </c>
      <c r="S56">
        <f>'Cibles THREEME AMS'!$BM25</f>
        <v>0</v>
      </c>
      <c r="T56">
        <f t="shared" si="178"/>
        <v>0</v>
      </c>
      <c r="U56">
        <f t="shared" si="178"/>
        <v>0</v>
      </c>
      <c r="V56">
        <f>'Cibles THREEME AMS'!$BN25</f>
        <v>0</v>
      </c>
      <c r="W56">
        <f t="shared" si="78"/>
        <v>0</v>
      </c>
      <c r="X56">
        <f>'Cibles THREEME AMS'!$BO25</f>
        <v>0</v>
      </c>
      <c r="Y56">
        <f t="shared" si="179"/>
        <v>0</v>
      </c>
      <c r="Z56">
        <f t="shared" si="179"/>
        <v>0</v>
      </c>
      <c r="AA56">
        <f>'Cibles THREEME AMS'!$BP25</f>
        <v>0</v>
      </c>
      <c r="AB56">
        <f t="shared" si="80"/>
        <v>0</v>
      </c>
      <c r="AC56">
        <f>'Cibles THREEME AMS'!$BQ25</f>
        <v>0</v>
      </c>
      <c r="AD56">
        <f t="shared" si="180"/>
        <v>0</v>
      </c>
      <c r="AE56">
        <f t="shared" si="180"/>
        <v>0</v>
      </c>
      <c r="AF56">
        <f t="shared" si="180"/>
        <v>0</v>
      </c>
      <c r="AG56">
        <f t="shared" si="180"/>
        <v>0</v>
      </c>
      <c r="AH56">
        <f>'Cibles THREEME AMS'!$BR25</f>
        <v>0</v>
      </c>
      <c r="AI56">
        <f t="shared" si="181"/>
        <v>0</v>
      </c>
      <c r="AJ56">
        <f t="shared" si="181"/>
        <v>0</v>
      </c>
      <c r="AK56">
        <f t="shared" si="181"/>
        <v>0</v>
      </c>
      <c r="AL56">
        <f t="shared" si="181"/>
        <v>0</v>
      </c>
      <c r="AM56">
        <f>'Cibles THREEME AMS'!$BS25</f>
        <v>0</v>
      </c>
    </row>
    <row r="58" spans="1:39" ht="15" thickBot="1">
      <c r="B58" t="s">
        <v>483</v>
      </c>
    </row>
    <row r="59" spans="1:39">
      <c r="B59" s="590" t="s">
        <v>266</v>
      </c>
      <c r="C59">
        <v>2201</v>
      </c>
      <c r="D59" s="597">
        <f>('Cibles THREEME AMS'!$DA4+'Cibles THREEME AMS'!$DA6)*11.64/D3</f>
        <v>1.7032644553169709E-4</v>
      </c>
      <c r="E59">
        <f>D59+($I59-$D59)/5</f>
        <v>1.4069484048897214E-4</v>
      </c>
      <c r="F59">
        <f t="shared" ref="F59:H59" si="182">E59+($I59-$D59)/5</f>
        <v>1.1106323544624719E-4</v>
      </c>
      <c r="G59">
        <f t="shared" si="182"/>
        <v>8.1431630403522244E-5</v>
      </c>
      <c r="H59">
        <f t="shared" si="182"/>
        <v>5.1800025360797296E-5</v>
      </c>
      <c r="I59" s="404">
        <f>('Cibles THREEME AMS'!$DB$4+'Cibles THREEME AMS'!$DB$6)/I3</f>
        <v>2.2168420318072345E-5</v>
      </c>
      <c r="J59">
        <f>I59+($L59-$I59)/3</f>
        <v>1.7568741056842266E-5</v>
      </c>
      <c r="K59">
        <f>J59+($L59-$I59)/3</f>
        <v>1.2969061795612187E-5</v>
      </c>
      <c r="L59" s="404">
        <f>('Cibles THREEME AMS'!$DC$4+'Cibles THREEME AMS'!$DC$6)/L3</f>
        <v>8.3693825343821095E-6</v>
      </c>
      <c r="M59">
        <f>(L59+N59)/2</f>
        <v>4.1846912671910548E-6</v>
      </c>
      <c r="N59" s="404">
        <f>('Cibles THREEME AMS'!$DD$4+'Cibles THREEME AMS'!$DD$6)/N3</f>
        <v>0</v>
      </c>
      <c r="O59">
        <f>N59+($Q59-$N59)/3</f>
        <v>0</v>
      </c>
      <c r="P59">
        <f>O59+($Q59-$N59)/3</f>
        <v>0</v>
      </c>
      <c r="Q59" s="404">
        <f>('Cibles THREEME AMS'!$DE$4+'Cibles THREEME AMS'!$DE$6)/Q3</f>
        <v>0</v>
      </c>
      <c r="R59">
        <f>(Q59+S59)/2</f>
        <v>0</v>
      </c>
      <c r="S59" s="404">
        <f>('Cibles THREEME AMS'!$DF$4+'Cibles THREEME AMS'!$DF$6)/S3</f>
        <v>0</v>
      </c>
      <c r="T59">
        <f>S59+($V59-$S59)/2</f>
        <v>0</v>
      </c>
      <c r="U59">
        <f>T59+($V59-$S59)/2</f>
        <v>0</v>
      </c>
      <c r="V59" s="404">
        <f>('Cibles THREEME AMS'!$DG$4+'Cibles THREEME AMS'!$DG$6)/V3</f>
        <v>0</v>
      </c>
      <c r="W59">
        <f>V59+(X59-V59)/2</f>
        <v>0</v>
      </c>
      <c r="X59" s="404">
        <f>('Cibles THREEME AMS'!$DH$4+'Cibles THREEME AMS'!$DH$6)/X3</f>
        <v>0</v>
      </c>
      <c r="Y59">
        <f>X59+($AA59-$X59)/3</f>
        <v>0</v>
      </c>
      <c r="Z59">
        <f>Y59+($AA59-$X59)/3</f>
        <v>0</v>
      </c>
      <c r="AA59" s="404">
        <f>('Cibles THREEME AMS'!$DI$4+'Cibles THREEME AMS'!$DI$6)/AA3</f>
        <v>0</v>
      </c>
      <c r="AB59">
        <f>AA59+(AC59-AA59)/2</f>
        <v>0</v>
      </c>
      <c r="AC59" s="404">
        <f>('Cibles THREEME AMS'!$DJ$4+'Cibles THREEME AMS'!$DJ$6)/AC3</f>
        <v>0</v>
      </c>
      <c r="AD59">
        <f>AC59+($AH59-$AC59)/5</f>
        <v>0</v>
      </c>
      <c r="AE59">
        <f t="shared" ref="AE59:AG59" si="183">AD59+($AH59-$AC59)/5</f>
        <v>0</v>
      </c>
      <c r="AF59">
        <f t="shared" si="183"/>
        <v>0</v>
      </c>
      <c r="AG59">
        <f t="shared" si="183"/>
        <v>0</v>
      </c>
      <c r="AH59" s="404">
        <f>('Cibles THREEME AMS'!$DK$4+'Cibles THREEME AMS'!$DK$6)/AH3</f>
        <v>0</v>
      </c>
      <c r="AI59">
        <f>AH59+($AM59-$AH59)/5</f>
        <v>0</v>
      </c>
      <c r="AJ59">
        <f t="shared" ref="AJ59:AL59" si="184">AI59+($AM59-$AH59)/5</f>
        <v>0</v>
      </c>
      <c r="AK59">
        <f t="shared" si="184"/>
        <v>0</v>
      </c>
      <c r="AL59">
        <f t="shared" si="184"/>
        <v>0</v>
      </c>
      <c r="AM59" s="404">
        <f>('Cibles THREEME AMS'!$DL$4+'Cibles THREEME AMS'!$DL$6)/AM3</f>
        <v>0</v>
      </c>
    </row>
    <row r="60" spans="1:39" ht="15" thickBot="1">
      <c r="B60" s="592" t="s">
        <v>346</v>
      </c>
      <c r="C60">
        <v>2202</v>
      </c>
      <c r="D60" s="597">
        <f>('Cibles THREEME AMS'!$DA5+'Cibles THREEME AMS'!$DA7)*11.64/D4</f>
        <v>0</v>
      </c>
      <c r="E60">
        <f t="shared" ref="E60:H60" si="185">D60+($I60-$D60)/5</f>
        <v>0</v>
      </c>
      <c r="F60">
        <f t="shared" si="185"/>
        <v>0</v>
      </c>
      <c r="G60">
        <f t="shared" si="185"/>
        <v>0</v>
      </c>
      <c r="H60">
        <f t="shared" si="185"/>
        <v>0</v>
      </c>
      <c r="I60">
        <f>('Cibles THREEME AMS'!$DB$5+'Cibles THREEME AMS'!$DB$7)/I4</f>
        <v>0</v>
      </c>
      <c r="J60">
        <f t="shared" ref="J60:K60" si="186">I60+($L60-$I60)/3</f>
        <v>0</v>
      </c>
      <c r="K60">
        <f t="shared" si="186"/>
        <v>0</v>
      </c>
      <c r="L60">
        <f>('Cibles THREEME AMS'!$DC$5+'Cibles THREEME AMS'!$DC$7)/L4</f>
        <v>0</v>
      </c>
      <c r="M60">
        <f t="shared" ref="M60:M75" si="187">(L60+N60)/2</f>
        <v>0</v>
      </c>
      <c r="N60">
        <f>('Cibles THREEME AMS'!$DD$5+'Cibles THREEME AMS'!$DD$7)/N4</f>
        <v>0</v>
      </c>
      <c r="O60">
        <f t="shared" ref="O60:P60" si="188">N60+($Q60-$N60)/3</f>
        <v>0</v>
      </c>
      <c r="P60">
        <f t="shared" si="188"/>
        <v>0</v>
      </c>
      <c r="Q60">
        <f>('Cibles THREEME AMS'!$DE$5+'Cibles THREEME AMS'!$DE$7)/Q4</f>
        <v>0</v>
      </c>
      <c r="R60">
        <f t="shared" ref="R60:R75" si="189">(Q60+S60)/2</f>
        <v>0</v>
      </c>
      <c r="S60">
        <f>('Cibles THREEME AMS'!$DF$5+'Cibles THREEME AMS'!$DF$7)/S4</f>
        <v>0</v>
      </c>
      <c r="T60">
        <f t="shared" ref="T60:U60" si="190">S60+($V60-$S60)/2</f>
        <v>0</v>
      </c>
      <c r="U60">
        <f t="shared" si="190"/>
        <v>0</v>
      </c>
      <c r="V60">
        <f>('Cibles THREEME AMS'!$DG$5+'Cibles THREEME AMS'!$DG$7)/V4</f>
        <v>0</v>
      </c>
      <c r="W60">
        <f t="shared" ref="W60:W75" si="191">V60+(X60-V60)/2</f>
        <v>0</v>
      </c>
      <c r="X60">
        <f>('Cibles THREEME AMS'!$DH$5+'Cibles THREEME AMS'!$DH$7)/X4</f>
        <v>0</v>
      </c>
      <c r="Y60">
        <f t="shared" ref="Y60:Z60" si="192">X60+($AA60-$X60)/3</f>
        <v>0</v>
      </c>
      <c r="Z60">
        <f t="shared" si="192"/>
        <v>0</v>
      </c>
      <c r="AA60">
        <f>('Cibles THREEME AMS'!$DI$5+'Cibles THREEME AMS'!$DI$7)/AA4</f>
        <v>0</v>
      </c>
      <c r="AB60">
        <f t="shared" ref="AB60:AB75" si="193">AA60+(AC60-AA60)/2</f>
        <v>0</v>
      </c>
      <c r="AC60">
        <f>('Cibles THREEME AMS'!$DJ$5+'Cibles THREEME AMS'!$DJ$7)/AC4</f>
        <v>0</v>
      </c>
      <c r="AD60">
        <f t="shared" ref="AD60:AG60" si="194">AC60+($AH60-$AC60)/5</f>
        <v>0</v>
      </c>
      <c r="AE60">
        <f t="shared" si="194"/>
        <v>0</v>
      </c>
      <c r="AF60">
        <f t="shared" si="194"/>
        <v>0</v>
      </c>
      <c r="AG60">
        <f t="shared" si="194"/>
        <v>0</v>
      </c>
      <c r="AH60">
        <f>('Cibles THREEME AMS'!$DK$5+'Cibles THREEME AMS'!$DK$7)/AH4</f>
        <v>0</v>
      </c>
      <c r="AI60">
        <f t="shared" ref="AI60:AL60" si="195">AH60+($AM60-$AH60)/5</f>
        <v>0</v>
      </c>
      <c r="AJ60">
        <f t="shared" si="195"/>
        <v>0</v>
      </c>
      <c r="AK60">
        <f t="shared" si="195"/>
        <v>0</v>
      </c>
      <c r="AL60">
        <f t="shared" si="195"/>
        <v>0</v>
      </c>
      <c r="AM60">
        <f>('Cibles THREEME AMS'!$DL$5+'Cibles THREEME AMS'!$DL$7)/AM4</f>
        <v>0</v>
      </c>
    </row>
    <row r="61" spans="1:39">
      <c r="B61" s="590" t="s">
        <v>20</v>
      </c>
      <c r="C61">
        <v>2301</v>
      </c>
      <c r="D61" s="597">
        <f>'Cibles THREEME AMS'!$DA8*11.64/D5</f>
        <v>7.9921040170571458E-2</v>
      </c>
      <c r="E61">
        <f t="shared" ref="E61:H61" si="196">D61+($I61-$D61)/5</f>
        <v>8.1345832152024927E-2</v>
      </c>
      <c r="F61">
        <f t="shared" si="196"/>
        <v>8.2770624133478396E-2</v>
      </c>
      <c r="G61">
        <f t="shared" si="196"/>
        <v>8.4195416114931865E-2</v>
      </c>
      <c r="H61">
        <f t="shared" si="196"/>
        <v>8.5620208096385333E-2</v>
      </c>
      <c r="I61">
        <f>'Cibles THREEME AMS'!$DB$8/I5</f>
        <v>8.704500007783883E-2</v>
      </c>
      <c r="J61">
        <f t="shared" ref="J61:K61" si="197">I61+($L61-$I61)/3</f>
        <v>8.7682673204447059E-2</v>
      </c>
      <c r="K61">
        <f t="shared" si="197"/>
        <v>8.8320346331055288E-2</v>
      </c>
      <c r="L61">
        <f>'Cibles THREEME AMS'!$DC$8/L5</f>
        <v>8.8958019457663504E-2</v>
      </c>
      <c r="M61">
        <f t="shared" si="187"/>
        <v>8.93485355733179E-2</v>
      </c>
      <c r="N61">
        <f>'Cibles THREEME AMS'!$DD$8/N5</f>
        <v>8.9739051688972282E-2</v>
      </c>
      <c r="O61">
        <f t="shared" ref="O61:P61" si="198">N61+($Q61-$N61)/3</f>
        <v>9.0208074312993811E-2</v>
      </c>
      <c r="P61">
        <f t="shared" si="198"/>
        <v>9.0677096937015339E-2</v>
      </c>
      <c r="Q61">
        <f>'Cibles THREEME AMS'!$DE$8/Q5</f>
        <v>9.1146119561036854E-2</v>
      </c>
      <c r="R61">
        <f t="shared" si="189"/>
        <v>9.1611416093479864E-2</v>
      </c>
      <c r="S61">
        <f>'Cibles THREEME AMS'!$DF$8/S5</f>
        <v>9.207671262592286E-2</v>
      </c>
      <c r="T61">
        <f t="shared" ref="T61:U61" si="199">S61+($V61-$S61)/2</f>
        <v>9.3557281958287497E-2</v>
      </c>
      <c r="U61">
        <f t="shared" si="199"/>
        <v>9.5037851290652148E-2</v>
      </c>
      <c r="V61">
        <f>'Cibles THREEME AMS'!$DG$8/V5</f>
        <v>9.5037851290652148E-2</v>
      </c>
      <c r="W61">
        <f t="shared" si="191"/>
        <v>9.5935609696319854E-2</v>
      </c>
      <c r="X61">
        <f>'Cibles THREEME AMS'!$DH$8/X5</f>
        <v>9.683336810198756E-2</v>
      </c>
      <c r="Y61">
        <f t="shared" ref="Y61:Z61" si="200">X61+($AA61-$X61)/3</f>
        <v>9.8442147382649933E-2</v>
      </c>
      <c r="Z61">
        <f t="shared" si="200"/>
        <v>0.10005092666331231</v>
      </c>
      <c r="AA61">
        <f>'Cibles THREEME AMS'!$DI$8/AA5</f>
        <v>0.10165970594397469</v>
      </c>
      <c r="AB61">
        <f t="shared" si="193"/>
        <v>0.10314644942009576</v>
      </c>
      <c r="AC61">
        <f>'Cibles THREEME AMS'!$DJ$8/AC5</f>
        <v>0.10463319289621685</v>
      </c>
      <c r="AD61">
        <f t="shared" ref="AD61:AG61" si="201">AC61+($AH61-$AC61)/5</f>
        <v>0.10576288273755757</v>
      </c>
      <c r="AE61">
        <f t="shared" si="201"/>
        <v>0.1068925725788983</v>
      </c>
      <c r="AF61">
        <f t="shared" si="201"/>
        <v>0.10802226242023902</v>
      </c>
      <c r="AG61">
        <f t="shared" si="201"/>
        <v>0.10915195226157974</v>
      </c>
      <c r="AH61">
        <f>'Cibles THREEME AMS'!$DK$8/AH5</f>
        <v>0.11028164210292044</v>
      </c>
      <c r="AI61">
        <f t="shared" ref="AI61:AL61" si="202">AH61+($AM61-$AH61)/5</f>
        <v>0.11346894664268915</v>
      </c>
      <c r="AJ61">
        <f t="shared" si="202"/>
        <v>0.11665625118245787</v>
      </c>
      <c r="AK61">
        <f t="shared" si="202"/>
        <v>0.11984355572222659</v>
      </c>
      <c r="AL61">
        <f t="shared" si="202"/>
        <v>0.12303086026199531</v>
      </c>
      <c r="AM61">
        <f>'Cibles THREEME AMS'!$DL$8/AM5</f>
        <v>0.12621816480176404</v>
      </c>
    </row>
    <row r="62" spans="1:39">
      <c r="B62" s="591" t="s">
        <v>224</v>
      </c>
      <c r="C62">
        <f>C61+1</f>
        <v>2302</v>
      </c>
      <c r="D62" s="597">
        <f>'Cibles THREEME AMS'!$DA9*11.64/D6</f>
        <v>7.9921040170571458E-2</v>
      </c>
      <c r="E62">
        <f t="shared" ref="E62:H62" si="203">D62+($I62-$D62)/5</f>
        <v>8.1345832152024941E-2</v>
      </c>
      <c r="F62">
        <f t="shared" si="203"/>
        <v>8.2770624133478424E-2</v>
      </c>
      <c r="G62">
        <f t="shared" si="203"/>
        <v>8.4195416114931906E-2</v>
      </c>
      <c r="H62">
        <f t="shared" si="203"/>
        <v>8.5620208096385389E-2</v>
      </c>
      <c r="I62">
        <f>'Cibles THREEME AMS'!$DB$9/I6</f>
        <v>8.7045000077838844E-2</v>
      </c>
      <c r="J62">
        <f t="shared" ref="J62:K62" si="204">I62+($L62-$I62)/3</f>
        <v>8.7682673204447059E-2</v>
      </c>
      <c r="K62">
        <f t="shared" si="204"/>
        <v>8.8320346331055274E-2</v>
      </c>
      <c r="L62">
        <f>'Cibles THREEME AMS'!$DC$9/L6</f>
        <v>8.8958019457663476E-2</v>
      </c>
      <c r="M62">
        <f t="shared" si="187"/>
        <v>8.9348535573317872E-2</v>
      </c>
      <c r="N62">
        <f>'Cibles THREEME AMS'!$DD$9/N6</f>
        <v>8.9739051688972268E-2</v>
      </c>
      <c r="O62">
        <f t="shared" ref="O62:P62" si="205">N62+($Q62-$N62)/3</f>
        <v>9.0208074312993797E-2</v>
      </c>
      <c r="P62">
        <f t="shared" si="205"/>
        <v>9.0677096937015325E-2</v>
      </c>
      <c r="Q62">
        <f>'Cibles THREEME AMS'!$DE$9/Q6</f>
        <v>9.1146119561036867E-2</v>
      </c>
      <c r="R62">
        <f t="shared" si="189"/>
        <v>9.1611416093479864E-2</v>
      </c>
      <c r="S62">
        <f>'Cibles THREEME AMS'!$DF$9/S6</f>
        <v>9.2076712625922874E-2</v>
      </c>
      <c r="T62">
        <f t="shared" ref="T62:U62" si="206">S62+($V62-$S62)/2</f>
        <v>9.3557281958287497E-2</v>
      </c>
      <c r="U62">
        <f t="shared" si="206"/>
        <v>9.503785129065212E-2</v>
      </c>
      <c r="V62">
        <f>'Cibles THREEME AMS'!$DG$9/V6</f>
        <v>9.503785129065212E-2</v>
      </c>
      <c r="W62">
        <f t="shared" si="191"/>
        <v>9.593560969631984E-2</v>
      </c>
      <c r="X62">
        <f>'Cibles THREEME AMS'!$DH$9/X6</f>
        <v>9.683336810198756E-2</v>
      </c>
      <c r="Y62">
        <f t="shared" ref="Y62:Z62" si="207">X62+($AA62-$X62)/3</f>
        <v>9.8442147382649933E-2</v>
      </c>
      <c r="Z62">
        <f t="shared" si="207"/>
        <v>0.10005092666331231</v>
      </c>
      <c r="AA62">
        <f>'Cibles THREEME AMS'!$DI$9/AA6</f>
        <v>0.10165970594397468</v>
      </c>
      <c r="AB62">
        <f t="shared" si="193"/>
        <v>5.9565203949188489E-2</v>
      </c>
      <c r="AC62">
        <f>'Cibles THREEME AMS'!$DJ$9/AC6</f>
        <v>1.7470701954402302E-2</v>
      </c>
      <c r="AD62">
        <f t="shared" ref="AD62:AG62" si="208">AC62+($AH62-$AC62)/5</f>
        <v>1.3976561563521842E-2</v>
      </c>
      <c r="AE62">
        <f t="shared" si="208"/>
        <v>1.0482421172641383E-2</v>
      </c>
      <c r="AF62">
        <f t="shared" si="208"/>
        <v>6.988280781760922E-3</v>
      </c>
      <c r="AG62">
        <f t="shared" si="208"/>
        <v>3.4941403908804614E-3</v>
      </c>
      <c r="AH62">
        <f>'Cibles THREEME AMS'!$DK$9/AH6</f>
        <v>0</v>
      </c>
      <c r="AI62">
        <f t="shared" ref="AI62:AL62" si="209">AH62+($AM62-$AH62)/5</f>
        <v>0</v>
      </c>
      <c r="AJ62">
        <f t="shared" si="209"/>
        <v>0</v>
      </c>
      <c r="AK62">
        <f t="shared" si="209"/>
        <v>0</v>
      </c>
      <c r="AL62">
        <f t="shared" si="209"/>
        <v>0</v>
      </c>
      <c r="AM62">
        <f>'Cibles THREEME AMS'!$DL$9/AM6</f>
        <v>0</v>
      </c>
    </row>
    <row r="63" spans="1:39">
      <c r="B63" s="591" t="s">
        <v>32</v>
      </c>
      <c r="C63">
        <f t="shared" ref="C63:C68" si="210">C62+1</f>
        <v>2303</v>
      </c>
      <c r="D63" s="597">
        <f>('Cibles THREEME AMS'!$DA10+'Cibles THREEME AMS'!$DA12)*11.64/D7</f>
        <v>7.9921040170571458E-2</v>
      </c>
      <c r="E63">
        <f t="shared" ref="E63:H63" si="211">D63+($I63-$D63)/5</f>
        <v>8.1345832152024941E-2</v>
      </c>
      <c r="F63">
        <f t="shared" si="211"/>
        <v>8.2770624133478424E-2</v>
      </c>
      <c r="G63">
        <f t="shared" si="211"/>
        <v>8.4195416114931906E-2</v>
      </c>
      <c r="H63">
        <f t="shared" si="211"/>
        <v>8.5620208096385389E-2</v>
      </c>
      <c r="I63">
        <f>('Cibles THREEME AMS'!$DB$10+'Cibles THREEME AMS'!$DB$12)/I7</f>
        <v>8.7045000077838858E-2</v>
      </c>
      <c r="J63">
        <f t="shared" ref="J63:K63" si="212">I63+($L63-$I63)/3</f>
        <v>8.7682673204447073E-2</v>
      </c>
      <c r="K63">
        <f t="shared" si="212"/>
        <v>8.8320346331055288E-2</v>
      </c>
      <c r="L63">
        <f>('Cibles THREEME AMS'!$DC$10+'Cibles THREEME AMS'!$DC$12)/L7</f>
        <v>8.895801945766349E-2</v>
      </c>
      <c r="M63">
        <f t="shared" si="187"/>
        <v>8.93485355733179E-2</v>
      </c>
      <c r="N63">
        <f>('Cibles THREEME AMS'!$DD$10+'Cibles THREEME AMS'!$DD$12)/N7</f>
        <v>8.9739051688972296E-2</v>
      </c>
      <c r="O63">
        <f t="shared" ref="O63:P63" si="213">N63+($Q63-$N63)/3</f>
        <v>9.0208074312993811E-2</v>
      </c>
      <c r="P63">
        <f t="shared" si="213"/>
        <v>9.0677096937015325E-2</v>
      </c>
      <c r="Q63">
        <f>('Cibles THREEME AMS'!$DE$10+'Cibles THREEME AMS'!$DE$12)/Q7</f>
        <v>9.1146119561036854E-2</v>
      </c>
      <c r="R63">
        <f t="shared" si="189"/>
        <v>9.1611416093479864E-2</v>
      </c>
      <c r="S63">
        <f>('Cibles THREEME AMS'!$DF$10+'Cibles THREEME AMS'!$DF$12)/S7</f>
        <v>9.207671262592286E-2</v>
      </c>
      <c r="T63">
        <f t="shared" ref="T63:U63" si="214">S63+($V63-$S63)/2</f>
        <v>9.3557281958287497E-2</v>
      </c>
      <c r="U63">
        <f t="shared" si="214"/>
        <v>9.5037851290652148E-2</v>
      </c>
      <c r="V63">
        <f>('Cibles THREEME AMS'!$DG$10+'Cibles THREEME AMS'!$DG$12)/V7</f>
        <v>9.5037851290652148E-2</v>
      </c>
      <c r="W63">
        <f t="shared" si="191"/>
        <v>9.5935609696319868E-2</v>
      </c>
      <c r="X63">
        <f>('Cibles THREEME AMS'!$DH$10+'Cibles THREEME AMS'!$DH$12)/X7</f>
        <v>9.6833368101987588E-2</v>
      </c>
      <c r="Y63">
        <f t="shared" ref="Y63:Z63" si="215">X63+($AA63-$X63)/3</f>
        <v>9.8442147382649947E-2</v>
      </c>
      <c r="Z63">
        <f t="shared" si="215"/>
        <v>0.10005092666331231</v>
      </c>
      <c r="AA63">
        <f>('Cibles THREEME AMS'!$DI$10+'Cibles THREEME AMS'!$DI$12)/AA7</f>
        <v>0.10165970594397467</v>
      </c>
      <c r="AB63">
        <f t="shared" si="193"/>
        <v>0.10314644942009576</v>
      </c>
      <c r="AC63">
        <f>('Cibles THREEME AMS'!$DJ$10+'Cibles THREEME AMS'!$DJ$12)/AC7</f>
        <v>0.10463319289621685</v>
      </c>
      <c r="AD63">
        <f t="shared" ref="AD63:AG63" si="216">AC63+($AH63-$AC63)/5</f>
        <v>0.10527235612423731</v>
      </c>
      <c r="AE63">
        <f t="shared" si="216"/>
        <v>0.10591151935225777</v>
      </c>
      <c r="AF63">
        <f t="shared" si="216"/>
        <v>0.10655068258027824</v>
      </c>
      <c r="AG63">
        <f t="shared" si="216"/>
        <v>0.1071898458082987</v>
      </c>
      <c r="AH63">
        <f>('Cibles THREEME AMS'!$DK$10+'Cibles THREEME AMS'!$DK$12)/AH7</f>
        <v>0.10782900903631916</v>
      </c>
      <c r="AI63">
        <f t="shared" ref="AI63:AL63" si="217">AH63+($AM63-$AH63)/5</f>
        <v>0.11122939430797717</v>
      </c>
      <c r="AJ63">
        <f t="shared" si="217"/>
        <v>0.11462977957963517</v>
      </c>
      <c r="AK63">
        <f t="shared" si="217"/>
        <v>0.11803016485129318</v>
      </c>
      <c r="AL63">
        <f t="shared" si="217"/>
        <v>0.12143055012295119</v>
      </c>
      <c r="AM63">
        <f>('Cibles THREEME AMS'!$DL$10+'Cibles THREEME AMS'!$DL$12)/AM7</f>
        <v>0.1248309353946092</v>
      </c>
    </row>
    <row r="64" spans="1:39">
      <c r="B64" s="591" t="s">
        <v>42</v>
      </c>
      <c r="C64">
        <f t="shared" si="210"/>
        <v>2304</v>
      </c>
      <c r="D64" s="597">
        <f>'Cibles THREEME AMS'!$DA11*11.64/D8</f>
        <v>7.9921040170571445E-2</v>
      </c>
      <c r="E64">
        <f t="shared" ref="E64:H64" si="218">D64+($I64-$D64)/5</f>
        <v>8.1345832152024927E-2</v>
      </c>
      <c r="F64">
        <f t="shared" si="218"/>
        <v>8.277062413347841E-2</v>
      </c>
      <c r="G64">
        <f t="shared" si="218"/>
        <v>8.4195416114931892E-2</v>
      </c>
      <c r="H64">
        <f t="shared" si="218"/>
        <v>8.5620208096385375E-2</v>
      </c>
      <c r="I64">
        <f>'Cibles THREEME AMS'!$DB$11/I8</f>
        <v>8.7045000077838858E-2</v>
      </c>
      <c r="J64">
        <f t="shared" ref="J64:K64" si="219">I64+($L64-$I64)/3</f>
        <v>8.7682673204447073E-2</v>
      </c>
      <c r="K64">
        <f t="shared" si="219"/>
        <v>8.8320346331055288E-2</v>
      </c>
      <c r="L64">
        <f>'Cibles THREEME AMS'!$DC$11/L8</f>
        <v>8.895801945766349E-2</v>
      </c>
      <c r="M64">
        <f t="shared" si="187"/>
        <v>8.9348535573317872E-2</v>
      </c>
      <c r="N64">
        <f>'Cibles THREEME AMS'!$DD$11/N8</f>
        <v>8.9739051688972268E-2</v>
      </c>
      <c r="O64">
        <f t="shared" ref="O64:P64" si="220">N64+($Q64-$N64)/3</f>
        <v>9.0208074312993797E-2</v>
      </c>
      <c r="P64">
        <f t="shared" si="220"/>
        <v>9.0677096937015325E-2</v>
      </c>
      <c r="Q64">
        <f>'Cibles THREEME AMS'!$DE$11/Q8</f>
        <v>9.1146119561036867E-2</v>
      </c>
      <c r="R64">
        <f t="shared" si="189"/>
        <v>4.5573059780518434E-2</v>
      </c>
      <c r="S64">
        <f>'Cibles THREEME AMS'!$DF$11/S8</f>
        <v>0</v>
      </c>
      <c r="T64">
        <f t="shared" ref="T64:U64" si="221">S64+($V64-$S64)/2</f>
        <v>0</v>
      </c>
      <c r="U64">
        <f t="shared" si="221"/>
        <v>0</v>
      </c>
      <c r="V64">
        <f>'Cibles THREEME AMS'!$DG$11/V8</f>
        <v>0</v>
      </c>
      <c r="W64">
        <f t="shared" si="191"/>
        <v>0</v>
      </c>
      <c r="X64">
        <f>'Cibles THREEME AMS'!$DH$11/X8</f>
        <v>0</v>
      </c>
      <c r="Y64">
        <f t="shared" ref="Y64:Z64" si="222">X64+($AA64-$X64)/3</f>
        <v>0</v>
      </c>
      <c r="Z64">
        <f t="shared" si="222"/>
        <v>0</v>
      </c>
      <c r="AA64">
        <f>'Cibles THREEME AMS'!$DI$11/AA8</f>
        <v>0</v>
      </c>
      <c r="AB64">
        <f t="shared" si="193"/>
        <v>0</v>
      </c>
      <c r="AC64">
        <f>'Cibles THREEME AMS'!$DJ$11/AC8</f>
        <v>0</v>
      </c>
      <c r="AD64">
        <f t="shared" ref="AD64:AG64" si="223">AC64+($AH64-$AC64)/5</f>
        <v>0</v>
      </c>
      <c r="AE64">
        <f t="shared" si="223"/>
        <v>0</v>
      </c>
      <c r="AF64">
        <f t="shared" si="223"/>
        <v>0</v>
      </c>
      <c r="AG64">
        <f t="shared" si="223"/>
        <v>0</v>
      </c>
      <c r="AH64">
        <f>'Cibles THREEME AMS'!$DK$11/AH8</f>
        <v>0</v>
      </c>
      <c r="AI64">
        <f t="shared" ref="AI64:AL64" si="224">AH64+($AM64-$AH64)/5</f>
        <v>0</v>
      </c>
      <c r="AJ64">
        <f t="shared" si="224"/>
        <v>0</v>
      </c>
      <c r="AK64">
        <f t="shared" si="224"/>
        <v>0</v>
      </c>
      <c r="AL64">
        <f t="shared" si="224"/>
        <v>0</v>
      </c>
      <c r="AM64">
        <f>'Cibles THREEME AMS'!$DL$11/AM8</f>
        <v>0</v>
      </c>
    </row>
    <row r="65" spans="2:39">
      <c r="B65" s="591" t="s">
        <v>477</v>
      </c>
      <c r="C65">
        <f t="shared" si="210"/>
        <v>2305</v>
      </c>
      <c r="D65" s="597">
        <f>'Cibles THREEME AMS'!$DA13*11.64/D9</f>
        <v>7.9921040170571458E-2</v>
      </c>
      <c r="E65">
        <f t="shared" ref="E65:H65" si="225">D65+($I65-$D65)/5</f>
        <v>8.1345832152024941E-2</v>
      </c>
      <c r="F65">
        <f t="shared" si="225"/>
        <v>8.2770624133478424E-2</v>
      </c>
      <c r="G65">
        <f t="shared" si="225"/>
        <v>8.4195416114931906E-2</v>
      </c>
      <c r="H65">
        <f t="shared" si="225"/>
        <v>8.5620208096385389E-2</v>
      </c>
      <c r="I65">
        <f>'Cibles THREEME AMS'!$DB$13/I9</f>
        <v>8.7045000077838858E-2</v>
      </c>
      <c r="J65">
        <f t="shared" ref="J65:K65" si="226">I65+($L65-$I65)/3</f>
        <v>8.7682673204447073E-2</v>
      </c>
      <c r="K65">
        <f t="shared" si="226"/>
        <v>8.8320346331055288E-2</v>
      </c>
      <c r="L65">
        <f>'Cibles THREEME AMS'!$DC$13/L9</f>
        <v>8.895801945766349E-2</v>
      </c>
      <c r="M65">
        <f t="shared" si="187"/>
        <v>8.9348535573317886E-2</v>
      </c>
      <c r="N65">
        <f>'Cibles THREEME AMS'!$DD$13/N9</f>
        <v>8.9739051688972282E-2</v>
      </c>
      <c r="O65">
        <f t="shared" ref="O65:P65" si="227">N65+($Q65-$N65)/3</f>
        <v>9.0208074312993811E-2</v>
      </c>
      <c r="P65">
        <f t="shared" si="227"/>
        <v>9.0677096937015339E-2</v>
      </c>
      <c r="Q65">
        <f>'Cibles THREEME AMS'!$DE$13/Q9</f>
        <v>9.1146119561036854E-2</v>
      </c>
      <c r="R65">
        <f t="shared" si="189"/>
        <v>9.1611416093479864E-2</v>
      </c>
      <c r="S65">
        <f>'Cibles THREEME AMS'!$DF$13/S9</f>
        <v>9.207671262592286E-2</v>
      </c>
      <c r="T65">
        <f t="shared" ref="T65:U65" si="228">S65+($V65-$S65)/2</f>
        <v>9.3557281958287497E-2</v>
      </c>
      <c r="U65">
        <f t="shared" si="228"/>
        <v>9.503785129065212E-2</v>
      </c>
      <c r="V65">
        <f>'Cibles THREEME AMS'!$DG$13/V9</f>
        <v>9.503785129065212E-2</v>
      </c>
      <c r="W65">
        <f t="shared" si="191"/>
        <v>9.593560969631984E-2</v>
      </c>
      <c r="X65">
        <f>'Cibles THREEME AMS'!$DH$13/X9</f>
        <v>9.6833368101987574E-2</v>
      </c>
      <c r="Y65">
        <f t="shared" ref="Y65:Z65" si="229">X65+($AA65-$X65)/3</f>
        <v>9.8442147382649947E-2</v>
      </c>
      <c r="Z65">
        <f t="shared" si="229"/>
        <v>0.10005092666331232</v>
      </c>
      <c r="AA65">
        <f>'Cibles THREEME AMS'!$DI$13/AA9</f>
        <v>0.10165970594397471</v>
      </c>
      <c r="AB65">
        <f t="shared" si="193"/>
        <v>0.10314644942009578</v>
      </c>
      <c r="AC65">
        <f>'Cibles THREEME AMS'!$DJ$13/AC9</f>
        <v>0.10463319289621685</v>
      </c>
      <c r="AD65">
        <f t="shared" ref="AD65:AG65" si="230">AC65+($AH65-$AC65)/5</f>
        <v>0.10576288273755757</v>
      </c>
      <c r="AE65">
        <f t="shared" si="230"/>
        <v>0.1068925725788983</v>
      </c>
      <c r="AF65">
        <f t="shared" si="230"/>
        <v>0.10802226242023902</v>
      </c>
      <c r="AG65">
        <f t="shared" si="230"/>
        <v>0.10915195226157974</v>
      </c>
      <c r="AH65">
        <f>'Cibles THREEME AMS'!$DK$13/AH9</f>
        <v>0.11028164210292044</v>
      </c>
      <c r="AI65">
        <f t="shared" ref="AI65:AL65" si="231">AH65+($AM65-$AH65)/5</f>
        <v>0.11346894664268915</v>
      </c>
      <c r="AJ65">
        <f t="shared" si="231"/>
        <v>0.11665625118245787</v>
      </c>
      <c r="AK65">
        <f t="shared" si="231"/>
        <v>0.11984355572222659</v>
      </c>
      <c r="AL65">
        <f t="shared" si="231"/>
        <v>0.12303086026199531</v>
      </c>
      <c r="AM65">
        <f>'Cibles THREEME AMS'!$DL$13/AM9</f>
        <v>0.12621816480176404</v>
      </c>
    </row>
    <row r="66" spans="2:39">
      <c r="B66" s="591" t="s">
        <v>279</v>
      </c>
      <c r="C66">
        <f t="shared" si="210"/>
        <v>2306</v>
      </c>
      <c r="D66" s="597">
        <f>'Cibles THREEME AMS'!$DA14*11.64/D10</f>
        <v>7.9921040170571472E-2</v>
      </c>
      <c r="E66">
        <f t="shared" ref="E66:H66" si="232">D66+($I66-$D66)/5</f>
        <v>8.1345832152024955E-2</v>
      </c>
      <c r="F66">
        <f t="shared" si="232"/>
        <v>8.2770624133478438E-2</v>
      </c>
      <c r="G66">
        <f t="shared" si="232"/>
        <v>8.419541611493192E-2</v>
      </c>
      <c r="H66">
        <f t="shared" si="232"/>
        <v>8.5620208096385403E-2</v>
      </c>
      <c r="I66">
        <f>'Cibles THREEME AMS'!$DB$14/I10</f>
        <v>8.7045000077838858E-2</v>
      </c>
      <c r="J66">
        <f t="shared" ref="J66:K66" si="233">I66+($L66-$I66)/3</f>
        <v>8.7682673204447073E-2</v>
      </c>
      <c r="K66">
        <f t="shared" si="233"/>
        <v>8.8320346331055288E-2</v>
      </c>
      <c r="L66">
        <f>'Cibles THREEME AMS'!$DC$14/L10</f>
        <v>8.8958019457663504E-2</v>
      </c>
      <c r="M66">
        <f t="shared" si="187"/>
        <v>8.93485355733179E-2</v>
      </c>
      <c r="N66">
        <f>'Cibles THREEME AMS'!$DD$14/N10</f>
        <v>8.9739051688972282E-2</v>
      </c>
      <c r="O66">
        <f t="shared" ref="O66:P66" si="234">N66+($Q66-$N66)/3</f>
        <v>9.0208074312993811E-2</v>
      </c>
      <c r="P66">
        <f t="shared" si="234"/>
        <v>9.0677096937015339E-2</v>
      </c>
      <c r="Q66">
        <f>'Cibles THREEME AMS'!$DE$14/Q10</f>
        <v>9.1146119561036867E-2</v>
      </c>
      <c r="R66">
        <f t="shared" si="189"/>
        <v>9.1611416093479864E-2</v>
      </c>
      <c r="S66">
        <f>'Cibles THREEME AMS'!$DF$14/S10</f>
        <v>9.2076712625922846E-2</v>
      </c>
      <c r="T66">
        <f t="shared" ref="T66:U66" si="235">S66+($V66-$S66)/2</f>
        <v>9.3557281958287497E-2</v>
      </c>
      <c r="U66">
        <f t="shared" si="235"/>
        <v>9.5037851290652148E-2</v>
      </c>
      <c r="V66">
        <f>'Cibles THREEME AMS'!$DG$14/V10</f>
        <v>9.5037851290652134E-2</v>
      </c>
      <c r="W66">
        <f t="shared" si="191"/>
        <v>9.593560969631984E-2</v>
      </c>
      <c r="X66">
        <f>'Cibles THREEME AMS'!$DH$14/X10</f>
        <v>9.6833368101987546E-2</v>
      </c>
      <c r="Y66">
        <f t="shared" ref="Y66:Z66" si="236">X66+($AA66-$X66)/3</f>
        <v>9.8442147382649919E-2</v>
      </c>
      <c r="Z66">
        <f t="shared" si="236"/>
        <v>0.10005092666331229</v>
      </c>
      <c r="AA66">
        <f>'Cibles THREEME AMS'!$DI$14/AA10</f>
        <v>0.10165970594397467</v>
      </c>
      <c r="AB66">
        <f t="shared" si="193"/>
        <v>0.10314644942009575</v>
      </c>
      <c r="AC66">
        <f>'Cibles THREEME AMS'!$DJ$14/AC10</f>
        <v>0.10463319289621684</v>
      </c>
      <c r="AD66">
        <f t="shared" ref="AD66:AG66" si="237">AC66+($AH66-$AC66)/5</f>
        <v>0.10576288273755756</v>
      </c>
      <c r="AE66">
        <f t="shared" si="237"/>
        <v>0.10689257257889828</v>
      </c>
      <c r="AF66">
        <f t="shared" si="237"/>
        <v>0.108022262420239</v>
      </c>
      <c r="AG66">
        <f t="shared" si="237"/>
        <v>0.10915195226157973</v>
      </c>
      <c r="AH66">
        <f>'Cibles THREEME AMS'!$DK$14/AH10</f>
        <v>0.11028164210292045</v>
      </c>
      <c r="AI66">
        <f t="shared" ref="AI66:AL66" si="238">AH66+($AM66-$AH66)/5</f>
        <v>0.11346894664268917</v>
      </c>
      <c r="AJ66">
        <f t="shared" si="238"/>
        <v>0.11665625118245788</v>
      </c>
      <c r="AK66">
        <f t="shared" si="238"/>
        <v>0.1198435557222266</v>
      </c>
      <c r="AL66">
        <f t="shared" si="238"/>
        <v>0.12303086026199532</v>
      </c>
      <c r="AM66">
        <f>'Cibles THREEME AMS'!$DL$14/AM10</f>
        <v>0.12621816480176401</v>
      </c>
    </row>
    <row r="67" spans="2:39">
      <c r="B67" s="591" t="s">
        <v>18</v>
      </c>
      <c r="C67">
        <f t="shared" si="210"/>
        <v>2307</v>
      </c>
      <c r="D67" s="597">
        <f>'Cibles THREEME AMS'!$DA15*11.64/D11</f>
        <v>7.9921040170571458E-2</v>
      </c>
      <c r="E67">
        <f t="shared" ref="E67:H67" si="239">D67+($I67-$D67)/5</f>
        <v>8.1345832152024941E-2</v>
      </c>
      <c r="F67">
        <f t="shared" si="239"/>
        <v>8.2770624133478424E-2</v>
      </c>
      <c r="G67">
        <f t="shared" si="239"/>
        <v>8.4195416114931906E-2</v>
      </c>
      <c r="H67">
        <f t="shared" si="239"/>
        <v>8.5620208096385389E-2</v>
      </c>
      <c r="I67">
        <f>'Cibles THREEME AMS'!$DB$15/I11</f>
        <v>8.7045000077838844E-2</v>
      </c>
      <c r="J67">
        <f t="shared" ref="J67:K67" si="240">I67+($L67-$I67)/3</f>
        <v>8.7682673204447059E-2</v>
      </c>
      <c r="K67">
        <f t="shared" si="240"/>
        <v>8.8320346331055274E-2</v>
      </c>
      <c r="L67">
        <f>'Cibles THREEME AMS'!$DC$15/L11</f>
        <v>8.8958019457663476E-2</v>
      </c>
      <c r="M67">
        <f t="shared" si="187"/>
        <v>8.9348535573317872E-2</v>
      </c>
      <c r="N67">
        <f>'Cibles THREEME AMS'!$DD$15/N11</f>
        <v>8.9739051688972282E-2</v>
      </c>
      <c r="O67">
        <f t="shared" ref="O67:P67" si="241">N67+($Q67-$N67)/3</f>
        <v>9.0208074312993811E-2</v>
      </c>
      <c r="P67">
        <f t="shared" si="241"/>
        <v>9.0677096937015339E-2</v>
      </c>
      <c r="Q67">
        <f>'Cibles THREEME AMS'!$DE$15/Q11</f>
        <v>9.1146119561036854E-2</v>
      </c>
      <c r="R67">
        <f t="shared" si="189"/>
        <v>9.1611416093479864E-2</v>
      </c>
      <c r="S67">
        <f>'Cibles THREEME AMS'!$DF$15/S11</f>
        <v>9.207671262592286E-2</v>
      </c>
      <c r="T67">
        <f t="shared" ref="T67:U67" si="242">S67+($V67-$S67)/2</f>
        <v>9.3557281958287497E-2</v>
      </c>
      <c r="U67">
        <f t="shared" si="242"/>
        <v>9.5037851290652134E-2</v>
      </c>
      <c r="V67">
        <f>'Cibles THREEME AMS'!$DG$15/V11</f>
        <v>9.5037851290652134E-2</v>
      </c>
      <c r="W67">
        <f t="shared" si="191"/>
        <v>9.5935609696319854E-2</v>
      </c>
      <c r="X67">
        <f>'Cibles THREEME AMS'!$DH$15/X11</f>
        <v>9.6833368101987574E-2</v>
      </c>
      <c r="Y67">
        <f t="shared" ref="Y67:Z67" si="243">X67+($AA67-$X67)/3</f>
        <v>9.8442147382649947E-2</v>
      </c>
      <c r="Z67">
        <f t="shared" si="243"/>
        <v>0.10005092666331232</v>
      </c>
      <c r="AA67">
        <f>'Cibles THREEME AMS'!$DI$15/AA11</f>
        <v>0.10165970594397469</v>
      </c>
      <c r="AB67">
        <f t="shared" si="193"/>
        <v>0.10314644942009576</v>
      </c>
      <c r="AC67">
        <f>'Cibles THREEME AMS'!$DJ$15/AC11</f>
        <v>0.10463319289621684</v>
      </c>
      <c r="AD67">
        <f t="shared" ref="AD67:AG67" si="244">AC67+($AH67-$AC67)/5</f>
        <v>0.10576288273755756</v>
      </c>
      <c r="AE67">
        <f t="shared" si="244"/>
        <v>0.10689257257889828</v>
      </c>
      <c r="AF67">
        <f t="shared" si="244"/>
        <v>0.108022262420239</v>
      </c>
      <c r="AG67">
        <f t="shared" si="244"/>
        <v>0.10915195226157973</v>
      </c>
      <c r="AH67">
        <f>'Cibles THREEME AMS'!$DK$15/AH11</f>
        <v>0.11028164210292046</v>
      </c>
      <c r="AI67">
        <f t="shared" ref="AI67:AL67" si="245">AH67+($AM67-$AH67)/5</f>
        <v>0.11346894664268918</v>
      </c>
      <c r="AJ67">
        <f t="shared" si="245"/>
        <v>0.1166562511824579</v>
      </c>
      <c r="AK67">
        <f t="shared" si="245"/>
        <v>0.11984355572222662</v>
      </c>
      <c r="AL67">
        <f t="shared" si="245"/>
        <v>0.12303086026199533</v>
      </c>
      <c r="AM67">
        <f>'Cibles THREEME AMS'!$DL$15/AM11</f>
        <v>0.12621816480176404</v>
      </c>
    </row>
    <row r="68" spans="2:39" ht="15" thickBot="1">
      <c r="B68" s="592" t="s">
        <v>480</v>
      </c>
      <c r="C68">
        <f t="shared" si="210"/>
        <v>2308</v>
      </c>
      <c r="D68" s="597">
        <f>'Cibles THREEME AMS'!$DA16*11.64/D12</f>
        <v>7.9921040170571458E-2</v>
      </c>
      <c r="E68">
        <f t="shared" ref="E68:H68" si="246">D68+($I68-$D68)/5</f>
        <v>8.1345832152024941E-2</v>
      </c>
      <c r="F68">
        <f t="shared" si="246"/>
        <v>8.2770624133478424E-2</v>
      </c>
      <c r="G68">
        <f t="shared" si="246"/>
        <v>8.4195416114931906E-2</v>
      </c>
      <c r="H68">
        <f t="shared" si="246"/>
        <v>8.5620208096385389E-2</v>
      </c>
      <c r="I68">
        <f>'Cibles THREEME AMS'!$DB$16/I12</f>
        <v>8.7045000077838858E-2</v>
      </c>
      <c r="J68">
        <f t="shared" ref="J68:K68" si="247">I68+($L68-$I68)/3</f>
        <v>8.7682673204447073E-2</v>
      </c>
      <c r="K68">
        <f t="shared" si="247"/>
        <v>8.8320346331055288E-2</v>
      </c>
      <c r="L68">
        <f>'Cibles THREEME AMS'!$DC$16/L12</f>
        <v>8.895801945766349E-2</v>
      </c>
      <c r="M68">
        <f t="shared" si="187"/>
        <v>8.93485355733179E-2</v>
      </c>
      <c r="N68">
        <f>'Cibles THREEME AMS'!$DD$16/N12</f>
        <v>8.9739051688972296E-2</v>
      </c>
      <c r="O68">
        <f t="shared" ref="O68:P68" si="248">N68+($Q68-$N68)/3</f>
        <v>9.0208074312993825E-2</v>
      </c>
      <c r="P68">
        <f t="shared" si="248"/>
        <v>9.0677096937015353E-2</v>
      </c>
      <c r="Q68">
        <f>'Cibles THREEME AMS'!$DE$16/Q12</f>
        <v>9.1146119561036867E-2</v>
      </c>
      <c r="R68">
        <f t="shared" si="189"/>
        <v>9.1611416093479864E-2</v>
      </c>
      <c r="S68">
        <f>'Cibles THREEME AMS'!$DF$16/S12</f>
        <v>9.207671262592286E-2</v>
      </c>
      <c r="T68">
        <f t="shared" ref="T68:U68" si="249">S68+($V68-$S68)/2</f>
        <v>9.3557281958287497E-2</v>
      </c>
      <c r="U68">
        <f t="shared" si="249"/>
        <v>9.5037851290652134E-2</v>
      </c>
      <c r="V68">
        <f>'Cibles THREEME AMS'!$DG$16/V12</f>
        <v>9.5037851290652134E-2</v>
      </c>
      <c r="W68">
        <f t="shared" si="191"/>
        <v>9.593560969631984E-2</v>
      </c>
      <c r="X68">
        <f>'Cibles THREEME AMS'!$DH$16/X12</f>
        <v>9.683336810198756E-2</v>
      </c>
      <c r="Y68">
        <f t="shared" ref="Y68:Z68" si="250">X68+($AA68-$X68)/3</f>
        <v>9.8442147382649933E-2</v>
      </c>
      <c r="Z68">
        <f t="shared" si="250"/>
        <v>0.10005092666331231</v>
      </c>
      <c r="AA68">
        <f>'Cibles THREEME AMS'!$DI$16/AA12</f>
        <v>0.10165970594397468</v>
      </c>
      <c r="AB68">
        <f t="shared" si="193"/>
        <v>0.10314644942009576</v>
      </c>
      <c r="AC68">
        <f>'Cibles THREEME AMS'!$DJ$16/AC12</f>
        <v>0.10463319289621684</v>
      </c>
      <c r="AD68">
        <f t="shared" ref="AD68:AG68" si="251">AC68+($AH68-$AC68)/5</f>
        <v>0.10576288273755756</v>
      </c>
      <c r="AE68">
        <f t="shared" si="251"/>
        <v>0.10689257257889828</v>
      </c>
      <c r="AF68">
        <f t="shared" si="251"/>
        <v>0.108022262420239</v>
      </c>
      <c r="AG68">
        <f t="shared" si="251"/>
        <v>0.10915195226157973</v>
      </c>
      <c r="AH68">
        <f>'Cibles THREEME AMS'!$DK$16/AH12</f>
        <v>0.11028164210292046</v>
      </c>
      <c r="AI68">
        <f t="shared" ref="AI68:AL68" si="252">AH68+($AM68-$AH68)/5</f>
        <v>0.11346894664268918</v>
      </c>
      <c r="AJ68">
        <f t="shared" si="252"/>
        <v>0.1166562511824579</v>
      </c>
      <c r="AK68">
        <f t="shared" si="252"/>
        <v>0.11984355572222662</v>
      </c>
      <c r="AL68">
        <f t="shared" si="252"/>
        <v>0.12303086026199533</v>
      </c>
      <c r="AM68">
        <f>'Cibles THREEME AMS'!$DL$16/AM12</f>
        <v>0.12621816480176404</v>
      </c>
    </row>
    <row r="69" spans="2:39">
      <c r="B69" s="590" t="s">
        <v>287</v>
      </c>
      <c r="C69">
        <v>2401</v>
      </c>
      <c r="D69" s="597">
        <f>'Cibles THREEME AMS'!$DA17*11.64/D13</f>
        <v>1.9293672465713421E-2</v>
      </c>
      <c r="E69">
        <f t="shared" ref="E69:H69" si="253">D69+($I69-$D69)/5</f>
        <v>1.8593830056944496E-2</v>
      </c>
      <c r="F69">
        <f t="shared" si="253"/>
        <v>1.7893987648175572E-2</v>
      </c>
      <c r="G69">
        <f t="shared" si="253"/>
        <v>1.7194145239406648E-2</v>
      </c>
      <c r="H69">
        <f t="shared" si="253"/>
        <v>1.6494302830637724E-2</v>
      </c>
      <c r="I69" s="404">
        <f>'Cibles THREEME AMS'!$DB$17/I13</f>
        <v>1.5794460421868807E-2</v>
      </c>
      <c r="J69">
        <f t="shared" ref="J69:K69" si="254">I69+($L69-$I69)/3</f>
        <v>1.6477299074270032E-2</v>
      </c>
      <c r="K69">
        <f t="shared" si="254"/>
        <v>1.7160137726671257E-2</v>
      </c>
      <c r="L69" s="404">
        <f>'Cibles THREEME AMS'!$DC$17/L13</f>
        <v>1.7842976379072482E-2</v>
      </c>
      <c r="M69">
        <f t="shared" si="187"/>
        <v>1.7955685772039424E-2</v>
      </c>
      <c r="N69" s="404">
        <f>'Cibles THREEME AMS'!$DD$17/N13</f>
        <v>1.8068395165006364E-2</v>
      </c>
      <c r="O69">
        <f t="shared" ref="O69:P69" si="255">N69+($Q69-$N69)/3</f>
        <v>1.8449256291935015E-2</v>
      </c>
      <c r="P69">
        <f t="shared" si="255"/>
        <v>1.8830117418863666E-2</v>
      </c>
      <c r="Q69" s="404">
        <f>'Cibles THREEME AMS'!$DE$17/Q13</f>
        <v>1.9210978545792314E-2</v>
      </c>
      <c r="R69">
        <f t="shared" si="189"/>
        <v>1.9651950775102005E-2</v>
      </c>
      <c r="S69" s="404">
        <f>'Cibles THREEME AMS'!$DF$17/S13</f>
        <v>2.0092923004411692E-2</v>
      </c>
      <c r="T69">
        <f t="shared" ref="T69:U69" si="256">S69+($V69-$S69)/2</f>
        <v>1.9884905386512431E-2</v>
      </c>
      <c r="U69">
        <f t="shared" si="256"/>
        <v>1.967688776861317E-2</v>
      </c>
      <c r="V69" s="404">
        <f>'Cibles THREEME AMS'!$DG$17/V13</f>
        <v>1.967688776861317E-2</v>
      </c>
      <c r="W69">
        <f t="shared" si="191"/>
        <v>1.9395467372772021E-2</v>
      </c>
      <c r="X69" s="404">
        <f>'Cibles THREEME AMS'!$DH$17/X13</f>
        <v>1.9114046976930876E-2</v>
      </c>
      <c r="Y69">
        <f t="shared" ref="Y69:Z69" si="257">X69+($AA69-$X69)/3</f>
        <v>1.9124984000004917E-2</v>
      </c>
      <c r="Z69">
        <f t="shared" si="257"/>
        <v>1.9135921023078959E-2</v>
      </c>
      <c r="AA69" s="404">
        <f>'Cibles THREEME AMS'!$DI$17/AA13</f>
        <v>1.9146858046153001E-2</v>
      </c>
      <c r="AB69">
        <f t="shared" si="193"/>
        <v>1.8921353506878014E-2</v>
      </c>
      <c r="AC69" s="404">
        <f>'Cibles THREEME AMS'!$DJ$17/AC13</f>
        <v>1.8695848967603023E-2</v>
      </c>
      <c r="AD69">
        <f t="shared" ref="AD69:AG69" si="258">AC69+($AH69-$AC69)/5</f>
        <v>1.8364776249681303E-2</v>
      </c>
      <c r="AE69">
        <f t="shared" si="258"/>
        <v>1.8033703531759582E-2</v>
      </c>
      <c r="AF69">
        <f t="shared" si="258"/>
        <v>1.7702630813837862E-2</v>
      </c>
      <c r="AG69">
        <f t="shared" si="258"/>
        <v>1.7371558095916142E-2</v>
      </c>
      <c r="AH69" s="404">
        <f>'Cibles THREEME AMS'!$DK$17/AH13</f>
        <v>1.7040485377994422E-2</v>
      </c>
      <c r="AI69">
        <f t="shared" ref="AI69:AL69" si="259">AH69+($AM69-$AH69)/5</f>
        <v>1.3632388302395538E-2</v>
      </c>
      <c r="AJ69">
        <f t="shared" si="259"/>
        <v>1.0224291226796654E-2</v>
      </c>
      <c r="AK69">
        <f t="shared" si="259"/>
        <v>6.8161941511977698E-3</v>
      </c>
      <c r="AL69">
        <f t="shared" si="259"/>
        <v>3.4080970755988853E-3</v>
      </c>
      <c r="AM69" s="404">
        <f>'Cibles THREEME AMS'!$DL$17/AM13</f>
        <v>0</v>
      </c>
    </row>
    <row r="70" spans="2:39">
      <c r="B70" s="591" t="s">
        <v>289</v>
      </c>
      <c r="C70">
        <v>2402</v>
      </c>
      <c r="D70" s="597">
        <f>'Cibles THREEME AMS'!$DA18*11.64/D14</f>
        <v>7.8888386487377428E-3</v>
      </c>
      <c r="E70">
        <f t="shared" ref="E70:H70" si="260">D70+($I70-$D70)/5</f>
        <v>7.5031313160442616E-3</v>
      </c>
      <c r="F70">
        <f t="shared" si="260"/>
        <v>7.1174239833507805E-3</v>
      </c>
      <c r="G70">
        <f t="shared" si="260"/>
        <v>6.7317166506572993E-3</v>
      </c>
      <c r="H70">
        <f t="shared" si="260"/>
        <v>6.3460093179638181E-3</v>
      </c>
      <c r="I70" s="404">
        <f>'Cibles THREEME AMS'!$DB$18/I14</f>
        <v>5.9603019852703353E-3</v>
      </c>
      <c r="J70">
        <f t="shared" ref="J70:K70" si="261">I70+($L70-$I70)/3</f>
        <v>8.5283327080181801E-3</v>
      </c>
      <c r="K70">
        <f t="shared" si="261"/>
        <v>1.1096363430766025E-2</v>
      </c>
      <c r="L70" s="404">
        <f>'Cibles THREEME AMS'!$DC$18/L14</f>
        <v>1.3664394153513868E-2</v>
      </c>
      <c r="M70">
        <f t="shared" si="187"/>
        <v>1.56006106936301E-2</v>
      </c>
      <c r="N70" s="404">
        <f>'Cibles THREEME AMS'!$DD$18/N14</f>
        <v>1.7536827233746333E-2</v>
      </c>
      <c r="O70">
        <f t="shared" ref="O70:P70" si="262">N70+($Q70-$N70)/3</f>
        <v>1.8730626336361994E-2</v>
      </c>
      <c r="P70">
        <f t="shared" si="262"/>
        <v>1.9924425438977655E-2</v>
      </c>
      <c r="Q70" s="404">
        <f>'Cibles THREEME AMS'!$DE$18/Q14</f>
        <v>2.111822454159332E-2</v>
      </c>
      <c r="R70">
        <f t="shared" si="189"/>
        <v>2.2460183670952996E-2</v>
      </c>
      <c r="S70" s="404">
        <f>'Cibles THREEME AMS'!$DF$18/S14</f>
        <v>2.3802142800312676E-2</v>
      </c>
      <c r="T70">
        <f t="shared" ref="T70:U70" si="263">S70+($V70-$S70)/2</f>
        <v>2.4666215354579E-2</v>
      </c>
      <c r="U70">
        <f t="shared" si="263"/>
        <v>2.5530287908845324E-2</v>
      </c>
      <c r="V70" s="404">
        <f>'Cibles THREEME AMS'!$DG$18/V14</f>
        <v>2.5530287908845324E-2</v>
      </c>
      <c r="W70">
        <f t="shared" si="191"/>
        <v>2.6140993367173234E-2</v>
      </c>
      <c r="X70" s="404">
        <f>'Cibles THREEME AMS'!$DH$18/X14</f>
        <v>2.6751698825501144E-2</v>
      </c>
      <c r="Y70">
        <f t="shared" ref="Y70:Z70" si="264">X70+($AA70-$X70)/3</f>
        <v>2.6990780457813324E-2</v>
      </c>
      <c r="Z70">
        <f t="shared" si="264"/>
        <v>2.7229862090125505E-2</v>
      </c>
      <c r="AA70" s="404">
        <f>'Cibles THREEME AMS'!$DI$18/AA14</f>
        <v>2.7468943722437685E-2</v>
      </c>
      <c r="AB70">
        <f t="shared" si="193"/>
        <v>2.7721519171329582E-2</v>
      </c>
      <c r="AC70" s="404">
        <f>'Cibles THREEME AMS'!$DJ$18/AC14</f>
        <v>2.7974094620221483E-2</v>
      </c>
      <c r="AD70">
        <f t="shared" ref="AD70:AG70" si="265">AC70+($AH70-$AC70)/5</f>
        <v>2.8161336355745137E-2</v>
      </c>
      <c r="AE70">
        <f t="shared" si="265"/>
        <v>2.834857809126879E-2</v>
      </c>
      <c r="AF70">
        <f t="shared" si="265"/>
        <v>2.8535819826792444E-2</v>
      </c>
      <c r="AG70">
        <f t="shared" si="265"/>
        <v>2.8723061562316098E-2</v>
      </c>
      <c r="AH70" s="404">
        <f>'Cibles THREEME AMS'!$DK$18/AH14</f>
        <v>2.8910303297839758E-2</v>
      </c>
      <c r="AI70">
        <f t="shared" ref="AI70:AL70" si="266">AH70+($AM70-$AH70)/5</f>
        <v>2.8987126460190721E-2</v>
      </c>
      <c r="AJ70">
        <f t="shared" si="266"/>
        <v>2.9063949622541684E-2</v>
      </c>
      <c r="AK70">
        <f t="shared" si="266"/>
        <v>2.9140772784892646E-2</v>
      </c>
      <c r="AL70">
        <f t="shared" si="266"/>
        <v>2.9217595947243609E-2</v>
      </c>
      <c r="AM70" s="404">
        <f>'Cibles THREEME AMS'!$DL$18/AM14</f>
        <v>2.9294419109594568E-2</v>
      </c>
    </row>
    <row r="71" spans="2:39">
      <c r="B71" s="591" t="s">
        <v>291</v>
      </c>
      <c r="C71">
        <v>2403</v>
      </c>
      <c r="D71" s="597">
        <f>('Cibles THREEME AMS'!$DA19+'Cibles THREEME AMS'!$DA20)*11.64/D15</f>
        <v>0.43382725724308224</v>
      </c>
      <c r="E71">
        <f t="shared" ref="E71:H71" si="267">D71+($I71-$D71)/5</f>
        <v>0.36397008401002112</v>
      </c>
      <c r="F71">
        <f t="shared" si="267"/>
        <v>0.29411291077696</v>
      </c>
      <c r="G71">
        <f t="shared" si="267"/>
        <v>0.22425573754389888</v>
      </c>
      <c r="H71">
        <f t="shared" si="267"/>
        <v>0.15439856431083776</v>
      </c>
      <c r="I71" s="404">
        <f>('Cibles THREEME AMS'!$DB$19+'Cibles THREEME AMS'!$DB$19)/I15</f>
        <v>8.4541391077776584E-2</v>
      </c>
      <c r="J71">
        <f t="shared" ref="J71:K71" si="268">I71+($L71-$I71)/3</f>
        <v>7.2660880207038689E-2</v>
      </c>
      <c r="K71">
        <f t="shared" si="268"/>
        <v>6.0780369336300794E-2</v>
      </c>
      <c r="L71" s="404">
        <f>('Cibles THREEME AMS'!$DC$19+'Cibles THREEME AMS'!$DC$19)/L15</f>
        <v>4.8899858465562898E-2</v>
      </c>
      <c r="M71">
        <f t="shared" si="187"/>
        <v>4.400372235955452E-2</v>
      </c>
      <c r="N71" s="404">
        <f>('Cibles THREEME AMS'!$DD$19+'Cibles THREEME AMS'!$DD$19)/N15</f>
        <v>3.9107586253546135E-2</v>
      </c>
      <c r="O71">
        <f t="shared" ref="O71:P71" si="269">N71+($Q71-$N71)/3</f>
        <v>3.7607504404708315E-2</v>
      </c>
      <c r="P71">
        <f t="shared" si="269"/>
        <v>3.6107422555870496E-2</v>
      </c>
      <c r="Q71" s="404">
        <f>('Cibles THREEME AMS'!$DE$19+'Cibles THREEME AMS'!$DE$19)/Q15</f>
        <v>3.4607340707032676E-2</v>
      </c>
      <c r="R71">
        <f t="shared" si="189"/>
        <v>3.3959012699524324E-2</v>
      </c>
      <c r="S71" s="404">
        <f>('Cibles THREEME AMS'!$DF$19+'Cibles THREEME AMS'!$DF$19)/S15</f>
        <v>3.3310684692015965E-2</v>
      </c>
      <c r="T71">
        <f t="shared" ref="T71:U71" si="270">S71+($V71-$S71)/2</f>
        <v>3.0870182218451482E-2</v>
      </c>
      <c r="U71">
        <f t="shared" si="270"/>
        <v>2.8429679744886999E-2</v>
      </c>
      <c r="V71" s="404">
        <f>('Cibles THREEME AMS'!$DG$19+'Cibles THREEME AMS'!$DG$19)/V15</f>
        <v>2.8429679744887002E-2</v>
      </c>
      <c r="W71">
        <f t="shared" si="191"/>
        <v>2.7114303963477013E-2</v>
      </c>
      <c r="X71" s="404">
        <f>('Cibles THREEME AMS'!$DH$19+'Cibles THREEME AMS'!$DH$19)/X15</f>
        <v>2.5798928182067027E-2</v>
      </c>
      <c r="Y71">
        <f t="shared" ref="Y71:Z71" si="271">X71+($AA71-$X71)/3</f>
        <v>2.598440202277039E-2</v>
      </c>
      <c r="Z71">
        <f t="shared" si="271"/>
        <v>2.6169875863473753E-2</v>
      </c>
      <c r="AA71" s="404">
        <f>('Cibles THREEME AMS'!$DI$19+'Cibles THREEME AMS'!$DI$19)/AA15</f>
        <v>2.635534970417712E-2</v>
      </c>
      <c r="AB71">
        <f t="shared" si="193"/>
        <v>2.6065332289536024E-2</v>
      </c>
      <c r="AC71" s="404">
        <f>('Cibles THREEME AMS'!$DJ$19+'Cibles THREEME AMS'!$DJ$19)/AC15</f>
        <v>2.5775314874894931E-2</v>
      </c>
      <c r="AD71">
        <f t="shared" ref="AD71:AG71" si="272">AC71+($AH71-$AC71)/5</f>
        <v>2.5638696431601979E-2</v>
      </c>
      <c r="AE71">
        <f t="shared" si="272"/>
        <v>2.5502077988309026E-2</v>
      </c>
      <c r="AF71">
        <f t="shared" si="272"/>
        <v>2.5365459545016074E-2</v>
      </c>
      <c r="AG71">
        <f t="shared" si="272"/>
        <v>2.5228841101723121E-2</v>
      </c>
      <c r="AH71" s="404">
        <f>('Cibles THREEME AMS'!$DK$19+'Cibles THREEME AMS'!$DK$19)/AH15</f>
        <v>2.5092222658430169E-2</v>
      </c>
      <c r="AI71">
        <f t="shared" ref="AI71:AL71" si="273">AH71+($AM71-$AH71)/5</f>
        <v>2.5101322972742694E-2</v>
      </c>
      <c r="AJ71">
        <f t="shared" si="273"/>
        <v>2.511042328705522E-2</v>
      </c>
      <c r="AK71">
        <f t="shared" si="273"/>
        <v>2.5119523601367745E-2</v>
      </c>
      <c r="AL71">
        <f t="shared" si="273"/>
        <v>2.512862391568027E-2</v>
      </c>
      <c r="AM71" s="404">
        <f>('Cibles THREEME AMS'!$DL$19+'Cibles THREEME AMS'!$DL$19)/AM15</f>
        <v>2.5137724229992792E-2</v>
      </c>
    </row>
    <row r="72" spans="2:39">
      <c r="B72" s="591" t="s">
        <v>293</v>
      </c>
      <c r="C72">
        <v>2404</v>
      </c>
      <c r="D72" s="597">
        <f>'Cibles THREEME AMS'!$DA21*11.64/D16</f>
        <v>0.30391627266615295</v>
      </c>
      <c r="E72">
        <f t="shared" ref="E72:H72" si="274">D72+($I72-$D72)/5</f>
        <v>0.26158051243318908</v>
      </c>
      <c r="F72">
        <f t="shared" si="274"/>
        <v>0.21924475220022521</v>
      </c>
      <c r="G72">
        <f t="shared" si="274"/>
        <v>0.17690899196726134</v>
      </c>
      <c r="H72">
        <f t="shared" si="274"/>
        <v>0.13457323173429747</v>
      </c>
      <c r="I72">
        <f>'Cibles THREEME AMS'!$DB$21/I16</f>
        <v>9.2237471501333629E-2</v>
      </c>
      <c r="J72">
        <f t="shared" ref="J72:K72" si="275">I72+($L72-$I72)/3</f>
        <v>8.8389704706304417E-2</v>
      </c>
      <c r="K72">
        <f t="shared" si="275"/>
        <v>8.4541937911275206E-2</v>
      </c>
      <c r="L72">
        <f>'Cibles THREEME AMS'!$DC$21/L16</f>
        <v>8.0694171116246008E-2</v>
      </c>
      <c r="M72">
        <f t="shared" si="187"/>
        <v>8.0812582791450427E-2</v>
      </c>
      <c r="N72">
        <f>'Cibles THREEME AMS'!$DD$21/N16</f>
        <v>8.093099446665486E-2</v>
      </c>
      <c r="O72">
        <f t="shared" ref="O72:P72" si="276">N72+($Q72-$N72)/3</f>
        <v>8.0913041720440587E-2</v>
      </c>
      <c r="P72">
        <f t="shared" si="276"/>
        <v>8.0895088974226315E-2</v>
      </c>
      <c r="Q72">
        <f>'Cibles THREEME AMS'!$DE$21/Q16</f>
        <v>8.0877136228012042E-2</v>
      </c>
      <c r="R72">
        <f t="shared" si="189"/>
        <v>8.0878163752256926E-2</v>
      </c>
      <c r="S72">
        <f>'Cibles THREEME AMS'!$DF$21/S16</f>
        <v>8.0879191276501824E-2</v>
      </c>
      <c r="T72">
        <f t="shared" ref="T72:U72" si="277">S72+($V72-$S72)/2</f>
        <v>8.0910841033420861E-2</v>
      </c>
      <c r="U72">
        <f t="shared" si="277"/>
        <v>8.094249079033991E-2</v>
      </c>
      <c r="V72">
        <f>'Cibles THREEME AMS'!$DG$21/V16</f>
        <v>8.094249079033991E-2</v>
      </c>
      <c r="W72">
        <f t="shared" si="191"/>
        <v>8.0966674870255245E-2</v>
      </c>
      <c r="X72">
        <f>'Cibles THREEME AMS'!$DH$21/X16</f>
        <v>8.0990858950170594E-2</v>
      </c>
      <c r="Y72">
        <f t="shared" ref="Y72:Z72" si="278">X72+($AA72-$X72)/3</f>
        <v>8.100310839674045E-2</v>
      </c>
      <c r="Z72">
        <f t="shared" si="278"/>
        <v>8.1015357843310307E-2</v>
      </c>
      <c r="AA72">
        <f>'Cibles THREEME AMS'!$DI$21/AA16</f>
        <v>8.1027607289880149E-2</v>
      </c>
      <c r="AB72">
        <f t="shared" si="193"/>
        <v>8.1043158545589633E-2</v>
      </c>
      <c r="AC72">
        <f>'Cibles THREEME AMS'!$DJ$21/AC16</f>
        <v>8.1058709801299117E-2</v>
      </c>
      <c r="AD72">
        <f t="shared" ref="AD72:AG72" si="279">AC72+($AH72-$AC72)/5</f>
        <v>8.1082619107483433E-2</v>
      </c>
      <c r="AE72">
        <f t="shared" si="279"/>
        <v>8.110652841366775E-2</v>
      </c>
      <c r="AF72">
        <f t="shared" si="279"/>
        <v>8.1130437719852067E-2</v>
      </c>
      <c r="AG72">
        <f t="shared" si="279"/>
        <v>8.1154347026036383E-2</v>
      </c>
      <c r="AH72">
        <f>'Cibles THREEME AMS'!$DK$21/AH16</f>
        <v>8.1178256332220727E-2</v>
      </c>
      <c r="AI72">
        <f t="shared" ref="AI72:AL72" si="280">AH72+($AM72-$AH72)/5</f>
        <v>8.1201937369667868E-2</v>
      </c>
      <c r="AJ72">
        <f t="shared" si="280"/>
        <v>8.1225618407115008E-2</v>
      </c>
      <c r="AK72">
        <f t="shared" si="280"/>
        <v>8.1249299444562148E-2</v>
      </c>
      <c r="AL72">
        <f t="shared" si="280"/>
        <v>8.1272980482009288E-2</v>
      </c>
      <c r="AM72">
        <f>'Cibles THREEME AMS'!$DL$21/AM16</f>
        <v>8.1296661519456442E-2</v>
      </c>
    </row>
    <row r="73" spans="2:39">
      <c r="B73" s="591" t="s">
        <v>296</v>
      </c>
      <c r="C73">
        <v>2405</v>
      </c>
      <c r="D73" s="597">
        <f>'Cibles THREEME AMS'!$DA22*11.64/D17</f>
        <v>6.6778294335551255E-2</v>
      </c>
      <c r="E73">
        <f t="shared" ref="E73:H73" si="281">D73+($I73-$D73)/5</f>
        <v>6.5140723704751088E-2</v>
      </c>
      <c r="F73">
        <f t="shared" si="281"/>
        <v>6.3503153073950921E-2</v>
      </c>
      <c r="G73">
        <f t="shared" si="281"/>
        <v>6.1865582443150748E-2</v>
      </c>
      <c r="H73">
        <f t="shared" si="281"/>
        <v>6.0228011812350574E-2</v>
      </c>
      <c r="I73">
        <f>'Cibles THREEME AMS'!$DB$22/I17</f>
        <v>5.8590441181550393E-2</v>
      </c>
      <c r="J73">
        <f t="shared" ref="J73:K73" si="282">I73+($L73-$I73)/3</f>
        <v>5.5129277434703819E-2</v>
      </c>
      <c r="K73">
        <f t="shared" si="282"/>
        <v>5.1668113687857245E-2</v>
      </c>
      <c r="L73">
        <f>'Cibles THREEME AMS'!$DC$22/L17</f>
        <v>4.8206949941010678E-2</v>
      </c>
      <c r="M73">
        <f t="shared" si="187"/>
        <v>4.9936857425690775E-2</v>
      </c>
      <c r="N73">
        <f>'Cibles THREEME AMS'!$DD$22/N17</f>
        <v>5.166676491037088E-2</v>
      </c>
      <c r="O73">
        <f t="shared" ref="O73:P73" si="283">N73+($Q73-$N73)/3</f>
        <v>5.1942333800793342E-2</v>
      </c>
      <c r="P73">
        <f t="shared" si="283"/>
        <v>5.2217902691215803E-2</v>
      </c>
      <c r="Q73">
        <f>'Cibles THREEME AMS'!$DE$22/Q17</f>
        <v>5.2493471581638272E-2</v>
      </c>
      <c r="R73">
        <f t="shared" si="189"/>
        <v>5.2779651506077163E-2</v>
      </c>
      <c r="S73">
        <f>'Cibles THREEME AMS'!$DF$22/S17</f>
        <v>5.3065831430516047E-2</v>
      </c>
      <c r="T73">
        <f t="shared" ref="T73:U73" si="284">S73+($V73-$S73)/2</f>
        <v>5.3869456188427887E-2</v>
      </c>
      <c r="U73">
        <f t="shared" si="284"/>
        <v>5.4673080946339728E-2</v>
      </c>
      <c r="V73">
        <f>'Cibles THREEME AMS'!$DG$22/V17</f>
        <v>5.4673080946339728E-2</v>
      </c>
      <c r="W73">
        <f t="shared" si="191"/>
        <v>5.5069459576981859E-2</v>
      </c>
      <c r="X73">
        <f>'Cibles THREEME AMS'!$DH$22/X17</f>
        <v>5.5465838207623991E-2</v>
      </c>
      <c r="Y73">
        <f t="shared" ref="Y73:Z73" si="285">X73+($AA73-$X73)/3</f>
        <v>5.4951120796298492E-2</v>
      </c>
      <c r="Z73">
        <f t="shared" si="285"/>
        <v>5.4436403384972992E-2</v>
      </c>
      <c r="AA73">
        <f>'Cibles THREEME AMS'!$DI$22/AA17</f>
        <v>5.39216859736475E-2</v>
      </c>
      <c r="AB73">
        <f t="shared" si="193"/>
        <v>5.3442837265402429E-2</v>
      </c>
      <c r="AC73">
        <f>'Cibles THREEME AMS'!$DJ$22/AC17</f>
        <v>5.2963988557157358E-2</v>
      </c>
      <c r="AD73">
        <f t="shared" ref="AD73:AG73" si="286">AC73+($AH73-$AC73)/5</f>
        <v>5.2630726546293596E-2</v>
      </c>
      <c r="AE73">
        <f t="shared" si="286"/>
        <v>5.2297464535429834E-2</v>
      </c>
      <c r="AF73">
        <f t="shared" si="286"/>
        <v>5.1964202524566072E-2</v>
      </c>
      <c r="AG73">
        <f t="shared" si="286"/>
        <v>5.163094051370231E-2</v>
      </c>
      <c r="AH73">
        <f>'Cibles THREEME AMS'!$DK$22/AH17</f>
        <v>5.1297678502838534E-2</v>
      </c>
      <c r="AI73">
        <f t="shared" ref="AI73:AL73" si="287">AH73+($AM73-$AH73)/5</f>
        <v>5.1021919196031301E-2</v>
      </c>
      <c r="AJ73">
        <f t="shared" si="287"/>
        <v>5.0746159889224068E-2</v>
      </c>
      <c r="AK73">
        <f t="shared" si="287"/>
        <v>5.0470400582416836E-2</v>
      </c>
      <c r="AL73">
        <f t="shared" si="287"/>
        <v>5.0194641275609603E-2</v>
      </c>
      <c r="AM73">
        <f>'Cibles THREEME AMS'!$DL$22/AM17</f>
        <v>4.9918881968802377E-2</v>
      </c>
    </row>
    <row r="74" spans="2:39" ht="15" thickBot="1">
      <c r="B74" s="592" t="s">
        <v>481</v>
      </c>
      <c r="C74">
        <v>2406</v>
      </c>
      <c r="D74" s="597">
        <f>SUM('Cibles THREEME AMS'!$DA23:$DA24)*11.64/D18</f>
        <v>9.0848494823279793E-2</v>
      </c>
      <c r="E74">
        <f t="shared" ref="E74:H75" si="288">D74+($I74-$D74)/5</f>
        <v>7.2678795858623829E-2</v>
      </c>
      <c r="F74">
        <f t="shared" si="288"/>
        <v>5.4509096893967872E-2</v>
      </c>
      <c r="G74">
        <f t="shared" si="288"/>
        <v>3.6339397929311915E-2</v>
      </c>
      <c r="H74">
        <f t="shared" si="288"/>
        <v>1.8169698964655957E-2</v>
      </c>
      <c r="I74">
        <f>SUM('Cibles THREEME AMS'!$DB$23:$DB$24)/I18</f>
        <v>0</v>
      </c>
      <c r="J74">
        <f t="shared" ref="J74:K75" si="289">I74+($L74-$I74)/3</f>
        <v>0</v>
      </c>
      <c r="K74">
        <f t="shared" si="289"/>
        <v>0</v>
      </c>
      <c r="L74">
        <f>SUM('Cibles THREEME AMS'!$DC$23:$DC$24)/L18</f>
        <v>0</v>
      </c>
      <c r="M74">
        <f t="shared" si="187"/>
        <v>0</v>
      </c>
      <c r="N74">
        <f>SUM('Cibles THREEME AMS'!$DD$23:$DD$24)/N18</f>
        <v>0</v>
      </c>
      <c r="O74">
        <f t="shared" ref="O74:P75" si="290">N74+($Q74-$N74)/3</f>
        <v>0</v>
      </c>
      <c r="P74">
        <f t="shared" si="290"/>
        <v>0</v>
      </c>
      <c r="Q74">
        <f>SUM('Cibles THREEME AMS'!$DE$23:$DE$24)/Q18</f>
        <v>0</v>
      </c>
      <c r="R74">
        <f t="shared" si="189"/>
        <v>0</v>
      </c>
      <c r="S74">
        <f>SUM('Cibles THREEME AMS'!$DF$23:$DF$24)/S18</f>
        <v>0</v>
      </c>
      <c r="T74">
        <f t="shared" ref="T74:U75" si="291">S74+($V74-$S74)/2</f>
        <v>0</v>
      </c>
      <c r="U74">
        <f t="shared" si="291"/>
        <v>0</v>
      </c>
      <c r="V74">
        <f>SUM('Cibles THREEME AMS'!$DG$23:$DG$24)/V18</f>
        <v>0</v>
      </c>
      <c r="W74">
        <f t="shared" si="191"/>
        <v>0</v>
      </c>
      <c r="X74">
        <f>SUM('Cibles THREEME AMS'!$DH$23:$DH$24)/X18</f>
        <v>0</v>
      </c>
      <c r="Y74">
        <f t="shared" ref="Y74:Z75" si="292">X74+($AA74-$X74)/3</f>
        <v>0</v>
      </c>
      <c r="Z74">
        <f t="shared" si="292"/>
        <v>0</v>
      </c>
      <c r="AA74">
        <f>SUM('Cibles THREEME AMS'!$DI$23:$DI$24)/AA18</f>
        <v>0</v>
      </c>
      <c r="AB74">
        <f t="shared" si="193"/>
        <v>0</v>
      </c>
      <c r="AC74">
        <f>SUM('Cibles THREEME AMS'!$DJ$23:$DJ$24)/AC18</f>
        <v>0</v>
      </c>
      <c r="AD74">
        <f t="shared" ref="AD74:AG75" si="293">AC74+($AH74-$AC74)/5</f>
        <v>0</v>
      </c>
      <c r="AE74">
        <f t="shared" si="293"/>
        <v>0</v>
      </c>
      <c r="AF74">
        <f t="shared" si="293"/>
        <v>0</v>
      </c>
      <c r="AG74">
        <f t="shared" si="293"/>
        <v>0</v>
      </c>
      <c r="AH74">
        <f>SUM('Cibles THREEME AMS'!$DK$23:$DK$24)/AH18</f>
        <v>0</v>
      </c>
      <c r="AI74">
        <f t="shared" ref="AI74:AL75" si="294">AH74+($AM74-$AH74)/5</f>
        <v>0</v>
      </c>
      <c r="AJ74">
        <f t="shared" si="294"/>
        <v>0</v>
      </c>
      <c r="AK74">
        <f t="shared" si="294"/>
        <v>0</v>
      </c>
      <c r="AL74">
        <f t="shared" si="294"/>
        <v>0</v>
      </c>
      <c r="AM74">
        <f>SUM('Cibles THREEME AMS'!$DL$23:$DL$24)/AM18</f>
        <v>0</v>
      </c>
    </row>
    <row r="75" spans="2:39">
      <c r="B75" s="591" t="s">
        <v>42</v>
      </c>
      <c r="C75">
        <v>21</v>
      </c>
      <c r="D75">
        <f>'Cibles THREEME AMS'!$CK$25</f>
        <v>2.2738979594717724E-3</v>
      </c>
      <c r="E75">
        <f t="shared" si="288"/>
        <v>3.2372443313159645E-3</v>
      </c>
      <c r="F75">
        <f t="shared" si="288"/>
        <v>4.2005907031601565E-3</v>
      </c>
      <c r="G75">
        <f t="shared" si="288"/>
        <v>5.1639370750043486E-3</v>
      </c>
      <c r="H75">
        <f t="shared" si="288"/>
        <v>6.1272834468485407E-3</v>
      </c>
      <c r="I75">
        <f>'Cibles THREEME AMS'!$CL$25</f>
        <v>7.0906298186927336E-3</v>
      </c>
      <c r="J75">
        <f t="shared" si="289"/>
        <v>6.7108144446564166E-3</v>
      </c>
      <c r="K75">
        <f t="shared" si="289"/>
        <v>6.3309990706200995E-3</v>
      </c>
      <c r="L75" s="598">
        <f>'Cibles THREEME AMS'!$CM$25</f>
        <v>5.9511836965837816E-3</v>
      </c>
      <c r="M75">
        <f t="shared" si="187"/>
        <v>8.1711369586702099E-3</v>
      </c>
      <c r="N75">
        <f>'Cibles THREEME AMS'!$CN$25</f>
        <v>1.0391090220756637E-2</v>
      </c>
      <c r="O75">
        <f t="shared" si="290"/>
        <v>1.2828981381389609E-2</v>
      </c>
      <c r="P75">
        <f t="shared" si="290"/>
        <v>1.526687254202258E-2</v>
      </c>
      <c r="Q75">
        <f>'Cibles THREEME AMS'!$CO$25</f>
        <v>1.770476370265555E-2</v>
      </c>
      <c r="R75">
        <f t="shared" si="189"/>
        <v>2.1994580100109212E-2</v>
      </c>
      <c r="S75">
        <f>'Cibles THREEME AMS'!$CP$25</f>
        <v>2.6284396497562871E-2</v>
      </c>
      <c r="T75">
        <f t="shared" si="291"/>
        <v>3.1816763018178026E-2</v>
      </c>
      <c r="U75">
        <f t="shared" si="291"/>
        <v>3.7349129538793185E-2</v>
      </c>
      <c r="V75">
        <f>'Cibles THREEME AMS'!$CQ$25</f>
        <v>3.7349129538793185E-2</v>
      </c>
      <c r="W75">
        <f t="shared" si="191"/>
        <v>4.1764571814832556E-2</v>
      </c>
      <c r="X75">
        <f>'Cibles THREEME AMS'!$CR$25</f>
        <v>4.6180014090871926E-2</v>
      </c>
      <c r="Y75">
        <f t="shared" si="292"/>
        <v>4.910109031236877E-2</v>
      </c>
      <c r="Z75">
        <f t="shared" si="292"/>
        <v>5.2022166533865613E-2</v>
      </c>
      <c r="AA75">
        <f>'Cibles THREEME AMS'!$CS$25</f>
        <v>5.4943242755362463E-2</v>
      </c>
      <c r="AB75">
        <f t="shared" si="193"/>
        <v>5.8541987205290177E-2</v>
      </c>
      <c r="AC75">
        <f>'Cibles THREEME AMS'!$CT$25</f>
        <v>6.2140731655217898E-2</v>
      </c>
      <c r="AD75">
        <f t="shared" si="293"/>
        <v>6.7259880689869544E-2</v>
      </c>
      <c r="AE75">
        <f t="shared" si="293"/>
        <v>7.2379029724521191E-2</v>
      </c>
      <c r="AF75">
        <f t="shared" si="293"/>
        <v>7.7498178759172837E-2</v>
      </c>
      <c r="AG75">
        <f t="shared" si="293"/>
        <v>8.2617327793824483E-2</v>
      </c>
      <c r="AH75">
        <f>'Cibles THREEME AMS'!$CU$25</f>
        <v>8.7736476828476143E-2</v>
      </c>
      <c r="AI75">
        <f t="shared" si="294"/>
        <v>9.7635700134724113E-2</v>
      </c>
      <c r="AJ75">
        <f t="shared" si="294"/>
        <v>0.10753492344097208</v>
      </c>
      <c r="AK75">
        <f t="shared" si="294"/>
        <v>0.11743414674722005</v>
      </c>
      <c r="AL75">
        <f t="shared" si="294"/>
        <v>0.12733337005346801</v>
      </c>
      <c r="AM75">
        <f>'Cibles THREEME AMS'!$CV$25</f>
        <v>0.13723259335971597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F930-2890-4D8E-A330-E2FCB50C5239}">
  <dimension ref="B1:AM37"/>
  <sheetViews>
    <sheetView workbookViewId="0"/>
  </sheetViews>
  <sheetFormatPr baseColWidth="10" defaultRowHeight="14.5"/>
  <cols>
    <col min="2" max="2" width="39" customWidth="1"/>
    <col min="3" max="3" width="24.6328125" customWidth="1"/>
    <col min="4" max="8" width="12.453125" customWidth="1"/>
    <col min="9" max="9" width="12.453125" bestFit="1" customWidth="1"/>
    <col min="10" max="11" width="12.453125" customWidth="1"/>
    <col min="15" max="16" width="12.453125" customWidth="1"/>
    <col min="20" max="21" width="12.453125" customWidth="1"/>
    <col min="25" max="26" width="12.453125" customWidth="1"/>
  </cols>
  <sheetData>
    <row r="1" spans="2:39">
      <c r="D1" t="s">
        <v>473</v>
      </c>
    </row>
    <row r="2" spans="2:39">
      <c r="D2" s="559">
        <v>2015</v>
      </c>
      <c r="E2" s="559">
        <v>2016</v>
      </c>
      <c r="F2" s="559">
        <v>2017</v>
      </c>
      <c r="G2" s="559">
        <v>2018</v>
      </c>
      <c r="H2" s="559">
        <v>2019</v>
      </c>
      <c r="I2" s="559">
        <v>2020</v>
      </c>
      <c r="J2" s="559">
        <v>2021</v>
      </c>
      <c r="K2" s="559">
        <v>2022</v>
      </c>
      <c r="L2" s="559">
        <v>2023</v>
      </c>
      <c r="M2" s="559">
        <v>2024</v>
      </c>
      <c r="N2" s="559">
        <v>2025</v>
      </c>
      <c r="O2" s="559">
        <v>2026</v>
      </c>
      <c r="P2" s="559">
        <v>2027</v>
      </c>
      <c r="Q2" s="559">
        <v>2028</v>
      </c>
      <c r="R2" s="559">
        <v>2029</v>
      </c>
      <c r="S2" s="559">
        <v>2030</v>
      </c>
      <c r="T2" s="559">
        <v>2031</v>
      </c>
      <c r="U2" s="559">
        <v>2032</v>
      </c>
      <c r="V2" s="559">
        <v>2033</v>
      </c>
      <c r="W2" s="559">
        <v>2034</v>
      </c>
      <c r="X2" s="559">
        <v>2035</v>
      </c>
      <c r="Y2" s="559">
        <v>2036</v>
      </c>
      <c r="Z2" s="559">
        <v>2037</v>
      </c>
      <c r="AA2" s="559">
        <v>2038</v>
      </c>
      <c r="AB2" s="559">
        <v>2039</v>
      </c>
      <c r="AC2" s="559">
        <v>2040</v>
      </c>
      <c r="AD2" s="559">
        <v>2041</v>
      </c>
      <c r="AE2" s="559">
        <v>2042</v>
      </c>
      <c r="AF2" s="559">
        <v>2043</v>
      </c>
      <c r="AG2" s="559">
        <v>2044</v>
      </c>
      <c r="AH2" s="559">
        <v>2045</v>
      </c>
      <c r="AI2" s="559">
        <v>2046</v>
      </c>
      <c r="AJ2" s="559">
        <v>2047</v>
      </c>
      <c r="AK2" s="559">
        <v>2048</v>
      </c>
      <c r="AL2" s="559">
        <v>2049</v>
      </c>
      <c r="AM2" s="559">
        <v>2050</v>
      </c>
    </row>
    <row r="3" spans="2:39">
      <c r="B3" t="s">
        <v>448</v>
      </c>
      <c r="C3" t="s">
        <v>430</v>
      </c>
      <c r="D3">
        <f>'Cibles THREEME'!AT4*11.63</f>
        <v>603.28697170461714</v>
      </c>
      <c r="E3">
        <f>D3+(I3-D3)/5</f>
        <v>585.57187329008411</v>
      </c>
      <c r="F3">
        <f>E3+(I3-D3)/5</f>
        <v>567.85677487555108</v>
      </c>
      <c r="G3">
        <f>F3+(I3-D3)/5</f>
        <v>550.14167646101805</v>
      </c>
      <c r="H3">
        <f>G3+(I3-D3)/5</f>
        <v>532.42657804648502</v>
      </c>
      <c r="I3">
        <f>'Cibles THREEME'!AU4</f>
        <v>514.7114796319521</v>
      </c>
      <c r="J3">
        <f>I3+(L3-I3)/3</f>
        <v>521.42440123239999</v>
      </c>
      <c r="K3">
        <f>J3+(L3-I3)/3</f>
        <v>528.13732283284787</v>
      </c>
      <c r="L3">
        <f>'Cibles THREEME'!AV4</f>
        <v>534.85024443329587</v>
      </c>
      <c r="M3">
        <f>(L3+N3)/2</f>
        <v>535.36724512925025</v>
      </c>
      <c r="N3">
        <f>'Cibles THREEME'!AW4</f>
        <v>535.88424582520452</v>
      </c>
      <c r="O3">
        <f>N3+(Q3-N3)/3</f>
        <v>521.64347415217833</v>
      </c>
      <c r="P3">
        <f>O3+(Q3-N3)/3</f>
        <v>507.40270247915214</v>
      </c>
      <c r="Q3">
        <f>'Cibles THREEME'!AX4</f>
        <v>493.16193080612595</v>
      </c>
      <c r="R3">
        <f>(Q3+S3)/2</f>
        <v>478.91891655568253</v>
      </c>
      <c r="S3">
        <f>'Cibles THREEME'!AY4</f>
        <v>464.67590230523911</v>
      </c>
      <c r="T3">
        <f>S3+(V3-S3)/3</f>
        <v>452.97654518442272</v>
      </c>
      <c r="U3">
        <f>T3+(V3-S3)/3</f>
        <v>441.27718806360633</v>
      </c>
      <c r="V3">
        <f>'Cibles THREEME'!AZ4</f>
        <v>429.57783094278994</v>
      </c>
      <c r="W3">
        <f>(V3+X3)/2</f>
        <v>417.87477386971705</v>
      </c>
      <c r="X3">
        <f>'Cibles THREEME'!BA4</f>
        <v>406.17171679664409</v>
      </c>
      <c r="Y3">
        <f>X3+(AA3-X3)/3</f>
        <v>396.72530685105801</v>
      </c>
      <c r="Z3">
        <f>Y3+(AA3-X3)/3</f>
        <v>387.27889690547192</v>
      </c>
      <c r="AA3">
        <f>'Cibles THREEME'!BB4</f>
        <v>377.83248695988584</v>
      </c>
      <c r="AB3">
        <f>(AA3+AC3)/2</f>
        <v>368.37971030911478</v>
      </c>
      <c r="AC3">
        <f>'Cibles THREEME'!BC4</f>
        <v>358.92693365834373</v>
      </c>
      <c r="AD3">
        <f>AC3+(AH3-AC3)/5</f>
        <v>353.26820311630064</v>
      </c>
      <c r="AE3">
        <f>AD3+(AH3-AC3)/5</f>
        <v>347.60947257425755</v>
      </c>
      <c r="AF3">
        <f>AE3+(AH3-AC3)/5</f>
        <v>341.95074203221446</v>
      </c>
      <c r="AG3">
        <f>AF3+(AH3-AC3)/5</f>
        <v>336.29201149017138</v>
      </c>
      <c r="AH3">
        <f>'Cibles THREEME'!BD4</f>
        <v>330.63328094812829</v>
      </c>
      <c r="AI3">
        <f>AH3+(AM3-AH3)/5</f>
        <v>327.89268593204145</v>
      </c>
      <c r="AJ3">
        <f>AI3+(AM3-AH3)/5</f>
        <v>325.1520909159546</v>
      </c>
      <c r="AK3">
        <f>AJ3+(AM3-AH3)/5</f>
        <v>322.41149589986776</v>
      </c>
      <c r="AL3">
        <f>AK3+(AM3-AH3)/5</f>
        <v>319.67090088378092</v>
      </c>
      <c r="AM3">
        <f>'Cibles THREEME'!BE4</f>
        <v>316.93030586769407</v>
      </c>
    </row>
    <row r="4" spans="2:39">
      <c r="B4" t="s">
        <v>447</v>
      </c>
      <c r="C4" t="s">
        <v>431</v>
      </c>
      <c r="D4">
        <f>'Cibles THREEME'!AT5*11.63</f>
        <v>34.211294006974519</v>
      </c>
      <c r="E4">
        <f t="shared" ref="E4:E18" si="0">D4+(I4-D4)/5</f>
        <v>33.519305611850157</v>
      </c>
      <c r="F4">
        <f t="shared" ref="F4:F18" si="1">E4+(I4-D4)/5</f>
        <v>32.827317216725795</v>
      </c>
      <c r="G4">
        <f t="shared" ref="G4:G18" si="2">F4+(I4-D4)/5</f>
        <v>32.135328821601433</v>
      </c>
      <c r="H4">
        <f t="shared" ref="H4:H18" si="3">G4+(I4-D4)/5</f>
        <v>31.443340426477068</v>
      </c>
      <c r="I4">
        <f>'Cibles THREEME'!AU5</f>
        <v>30.751352031352695</v>
      </c>
      <c r="J4">
        <f t="shared" ref="J4:J35" si="4">I4+(L4-I4)/3</f>
        <v>32.988819201899766</v>
      </c>
      <c r="K4">
        <f t="shared" ref="K4:K35" si="5">J4+(L4-I4)/3</f>
        <v>35.226286372446836</v>
      </c>
      <c r="L4">
        <f>'Cibles THREEME'!AV5</f>
        <v>37.463753542993906</v>
      </c>
      <c r="M4">
        <f t="shared" ref="M4:M35" si="6">(L4+N4)/2</f>
        <v>38.562394788695357</v>
      </c>
      <c r="N4">
        <f>'Cibles THREEME'!AW5</f>
        <v>39.661036034396801</v>
      </c>
      <c r="O4">
        <f t="shared" ref="O4:O35" si="7">N4+(Q4-N4)/3</f>
        <v>38.422348031360912</v>
      </c>
      <c r="P4">
        <f t="shared" ref="P4:P35" si="8">O4+(Q4-N4)/3</f>
        <v>37.183660028325022</v>
      </c>
      <c r="Q4">
        <f>'Cibles THREEME'!AX5</f>
        <v>35.944972025289132</v>
      </c>
      <c r="R4">
        <f t="shared" ref="R4:R35" si="9">(Q4+S4)/2</f>
        <v>34.706284022253236</v>
      </c>
      <c r="S4">
        <f>'Cibles THREEME'!AY5</f>
        <v>33.467596019217339</v>
      </c>
      <c r="T4">
        <f t="shared" ref="T4:T35" si="10">S4+(V4-S4)/3</f>
        <v>32.429894320187373</v>
      </c>
      <c r="U4">
        <f t="shared" ref="U4:U35" si="11">T4+(V4-S4)/3</f>
        <v>31.392192621157402</v>
      </c>
      <c r="V4">
        <f>'Cibles THREEME'!AZ5</f>
        <v>30.354490922127429</v>
      </c>
      <c r="W4">
        <f t="shared" ref="W4:W35" si="12">(V4+X4)/2</f>
        <v>29.316789223097452</v>
      </c>
      <c r="X4">
        <f>'Cibles THREEME'!BA5</f>
        <v>28.279087524067478</v>
      </c>
      <c r="Y4">
        <f t="shared" ref="Y4:Y35" si="13">X4+(AA4-X4)/3</f>
        <v>27.448152407896398</v>
      </c>
      <c r="Z4">
        <f t="shared" ref="Z4:Z35" si="14">Y4+(AA4-X4)/3</f>
        <v>26.617217291725318</v>
      </c>
      <c r="AA4">
        <f>'Cibles THREEME'!BB5</f>
        <v>25.786282175554238</v>
      </c>
      <c r="AB4">
        <f t="shared" ref="AB4:AB35" si="15">(AA4+AC4)/2</f>
        <v>24.955347059383158</v>
      </c>
      <c r="AC4">
        <f>'Cibles THREEME'!BC5</f>
        <v>24.124411943212081</v>
      </c>
      <c r="AD4">
        <f t="shared" ref="AD4:AD35" si="16">AC4+(AH4-AC4)/5</f>
        <v>23.655036948197075</v>
      </c>
      <c r="AE4">
        <f t="shared" ref="AE4:AE35" si="17">AD4+(AH4-AC4)/5</f>
        <v>23.18566195318207</v>
      </c>
      <c r="AF4">
        <f t="shared" ref="AF4:AF35" si="18">AE4+(AH4-AC4)/5</f>
        <v>22.716286958167064</v>
      </c>
      <c r="AG4">
        <f t="shared" ref="AG4:AG35" si="19">AF4+(AH4-AC4)/5</f>
        <v>22.246911963152058</v>
      </c>
      <c r="AH4">
        <f>'Cibles THREEME'!BD5</f>
        <v>21.777536968137049</v>
      </c>
      <c r="AI4">
        <f t="shared" ref="AI4:AI35" si="20">AH4+(AM4-AH4)/5</f>
        <v>21.599353541182538</v>
      </c>
      <c r="AJ4">
        <f t="shared" ref="AJ4:AJ35" si="21">AI4+(AM4-AH4)/5</f>
        <v>21.421170114228026</v>
      </c>
      <c r="AK4">
        <f t="shared" ref="AK4:AK35" si="22">AJ4+(AM4-AH4)/5</f>
        <v>21.242986687273515</v>
      </c>
      <c r="AL4">
        <f t="shared" ref="AL4:AL35" si="23">AK4+(AM4-AH4)/5</f>
        <v>21.064803260319003</v>
      </c>
      <c r="AM4">
        <f>'Cibles THREEME'!BE5</f>
        <v>20.886619833364488</v>
      </c>
    </row>
    <row r="5" spans="2:39">
      <c r="B5" t="s">
        <v>446</v>
      </c>
      <c r="C5" t="s">
        <v>430</v>
      </c>
      <c r="D5">
        <f>'Cibles THREEME'!AT6*11.63</f>
        <v>179.31564910308737</v>
      </c>
      <c r="E5">
        <f t="shared" si="0"/>
        <v>173.19534879576759</v>
      </c>
      <c r="F5">
        <f t="shared" si="1"/>
        <v>167.07504848844781</v>
      </c>
      <c r="G5">
        <f t="shared" si="2"/>
        <v>160.95474818112802</v>
      </c>
      <c r="H5">
        <f t="shared" si="3"/>
        <v>154.83444787380824</v>
      </c>
      <c r="I5">
        <f>'Cibles THREEME'!AU6</f>
        <v>148.71414756648849</v>
      </c>
      <c r="J5">
        <f t="shared" si="4"/>
        <v>143.46513779632224</v>
      </c>
      <c r="K5">
        <f t="shared" si="5"/>
        <v>138.21612802615599</v>
      </c>
      <c r="L5">
        <f>'Cibles THREEME'!AV6</f>
        <v>132.9671182559897</v>
      </c>
      <c r="M5">
        <f t="shared" si="6"/>
        <v>128.46504974700301</v>
      </c>
      <c r="N5">
        <f>'Cibles THREEME'!AW6</f>
        <v>123.96298123801631</v>
      </c>
      <c r="O5">
        <f t="shared" si="7"/>
        <v>119.75314909434951</v>
      </c>
      <c r="P5">
        <f t="shared" si="8"/>
        <v>115.54331695068271</v>
      </c>
      <c r="Q5">
        <f>'Cibles THREEME'!AX6</f>
        <v>111.33348480701592</v>
      </c>
      <c r="R5">
        <f t="shared" si="9"/>
        <v>107.0762154199702</v>
      </c>
      <c r="S5">
        <f>'Cibles THREEME'!AY6</f>
        <v>102.81894603292447</v>
      </c>
      <c r="T5">
        <f t="shared" si="10"/>
        <v>99.893017498911576</v>
      </c>
      <c r="U5">
        <f t="shared" si="11"/>
        <v>96.967088964898679</v>
      </c>
      <c r="V5">
        <f>'Cibles THREEME'!AZ6</f>
        <v>94.041160430885782</v>
      </c>
      <c r="W5">
        <f t="shared" si="12"/>
        <v>91.092110835845119</v>
      </c>
      <c r="X5">
        <f>'Cibles THREEME'!BA6</f>
        <v>88.143061240804457</v>
      </c>
      <c r="Y5">
        <f t="shared" si="13"/>
        <v>85.461978415628167</v>
      </c>
      <c r="Z5">
        <f t="shared" si="14"/>
        <v>82.780895590451877</v>
      </c>
      <c r="AA5">
        <f>'Cibles THREEME'!BB6</f>
        <v>80.099812765275587</v>
      </c>
      <c r="AB5">
        <f t="shared" si="15"/>
        <v>77.434334838655531</v>
      </c>
      <c r="AC5">
        <f>'Cibles THREEME'!BC6</f>
        <v>74.768856912035488</v>
      </c>
      <c r="AD5">
        <f t="shared" si="16"/>
        <v>72.271234983848018</v>
      </c>
      <c r="AE5">
        <f t="shared" si="17"/>
        <v>69.773613055660547</v>
      </c>
      <c r="AF5">
        <f t="shared" si="18"/>
        <v>67.275991127473077</v>
      </c>
      <c r="AG5">
        <f t="shared" si="19"/>
        <v>64.778369199285606</v>
      </c>
      <c r="AH5">
        <f>'Cibles THREEME'!BD6</f>
        <v>62.280747271098143</v>
      </c>
      <c r="AI5">
        <f t="shared" si="20"/>
        <v>60.653500619818857</v>
      </c>
      <c r="AJ5">
        <f t="shared" si="21"/>
        <v>59.026253968539571</v>
      </c>
      <c r="AK5">
        <f t="shared" si="22"/>
        <v>57.399007317260285</v>
      </c>
      <c r="AL5">
        <f t="shared" si="23"/>
        <v>55.771760665980999</v>
      </c>
      <c r="AM5">
        <f>'Cibles THREEME'!BE6</f>
        <v>54.144514014701699</v>
      </c>
    </row>
    <row r="6" spans="2:39">
      <c r="B6" t="s">
        <v>445</v>
      </c>
      <c r="C6" t="s">
        <v>431</v>
      </c>
      <c r="D6">
        <f>'Cibles THREEME'!AT7*11.63</f>
        <v>1.9099360228415925</v>
      </c>
      <c r="E6">
        <f t="shared" si="0"/>
        <v>2.1239643155117678</v>
      </c>
      <c r="F6">
        <f t="shared" si="1"/>
        <v>2.3379926081819433</v>
      </c>
      <c r="G6">
        <f t="shared" si="2"/>
        <v>2.5520209008521189</v>
      </c>
      <c r="H6">
        <f t="shared" si="3"/>
        <v>2.7660491935222944</v>
      </c>
      <c r="I6">
        <f>'Cibles THREEME'!AU7</f>
        <v>2.9800774861924699</v>
      </c>
      <c r="J6">
        <f t="shared" si="4"/>
        <v>3.0108028613331292</v>
      </c>
      <c r="K6">
        <f t="shared" si="5"/>
        <v>3.0415282364737886</v>
      </c>
      <c r="L6">
        <f>'Cibles THREEME'!AV7</f>
        <v>3.0722536116144479</v>
      </c>
      <c r="M6">
        <f t="shared" si="6"/>
        <v>3.0829676543251523</v>
      </c>
      <c r="N6">
        <f>'Cibles THREEME'!AW7</f>
        <v>3.0936816970358563</v>
      </c>
      <c r="O6">
        <f t="shared" si="7"/>
        <v>3.1346514055987651</v>
      </c>
      <c r="P6">
        <f t="shared" si="8"/>
        <v>3.1756211141616739</v>
      </c>
      <c r="Q6">
        <f>'Cibles THREEME'!AX7</f>
        <v>3.2165908227245823</v>
      </c>
      <c r="R6">
        <f t="shared" si="9"/>
        <v>3.2666504043020881</v>
      </c>
      <c r="S6">
        <f>'Cibles THREEME'!AY7</f>
        <v>3.3167099858795943</v>
      </c>
      <c r="T6">
        <f t="shared" si="10"/>
        <v>3.3744768478548881</v>
      </c>
      <c r="U6">
        <f t="shared" si="11"/>
        <v>3.4322437098301819</v>
      </c>
      <c r="V6">
        <f>'Cibles THREEME'!AZ7</f>
        <v>3.4900105718054752</v>
      </c>
      <c r="W6">
        <f t="shared" si="12"/>
        <v>3.550935079856862</v>
      </c>
      <c r="X6">
        <f>'Cibles THREEME'!BA7</f>
        <v>3.6118595879082487</v>
      </c>
      <c r="Y6">
        <f t="shared" si="13"/>
        <v>3.6746590524279528</v>
      </c>
      <c r="Z6">
        <f t="shared" si="14"/>
        <v>3.7374585169476569</v>
      </c>
      <c r="AA6">
        <f>'Cibles THREEME'!BB7</f>
        <v>3.8002579814673605</v>
      </c>
      <c r="AB6">
        <f t="shared" si="15"/>
        <v>3.8584119873638105</v>
      </c>
      <c r="AC6">
        <f>'Cibles THREEME'!BC7</f>
        <v>3.916565993260261</v>
      </c>
      <c r="AD6">
        <f t="shared" si="16"/>
        <v>3.9641439352774741</v>
      </c>
      <c r="AE6">
        <f t="shared" si="17"/>
        <v>4.0117218772946872</v>
      </c>
      <c r="AF6">
        <f t="shared" si="18"/>
        <v>4.0592998193119003</v>
      </c>
      <c r="AG6">
        <f t="shared" si="19"/>
        <v>4.1068777613291134</v>
      </c>
      <c r="AH6">
        <f>'Cibles THREEME'!BD7</f>
        <v>4.1544557033463274</v>
      </c>
      <c r="AI6">
        <f t="shared" si="20"/>
        <v>4.1775578615097659</v>
      </c>
      <c r="AJ6">
        <f t="shared" si="21"/>
        <v>4.2006600196732045</v>
      </c>
      <c r="AK6">
        <f t="shared" si="22"/>
        <v>4.223762177836643</v>
      </c>
      <c r="AL6">
        <f t="shared" si="23"/>
        <v>4.2468643360000815</v>
      </c>
      <c r="AM6">
        <f>'Cibles THREEME'!BE7</f>
        <v>4.2699664941635191</v>
      </c>
    </row>
    <row r="7" spans="2:39">
      <c r="B7" t="s">
        <v>419</v>
      </c>
      <c r="C7" t="s">
        <v>432</v>
      </c>
      <c r="D7">
        <f>('Cibles THREEME'!AT19*([6]SUT!$Z$29+[6]SUT!$AA$29)/SUM([6]SUT!$W$29:$AA$29))*11.63</f>
        <v>339.0001105933884</v>
      </c>
      <c r="E7">
        <f t="shared" si="0"/>
        <v>337.90766328798441</v>
      </c>
      <c r="F7">
        <f t="shared" si="1"/>
        <v>336.81521598258041</v>
      </c>
      <c r="G7">
        <f t="shared" si="2"/>
        <v>335.72276867717642</v>
      </c>
      <c r="H7">
        <f t="shared" si="3"/>
        <v>334.63032137177242</v>
      </c>
      <c r="I7">
        <f>'Cibles THREEME'!AU19*([6]SUT!$Z$29+[6]SUT!$AA$29)/SUM([6]SUT!$W$29:$AA$29)</f>
        <v>333.53787406636854</v>
      </c>
      <c r="J7">
        <f t="shared" si="4"/>
        <v>335.43868340906073</v>
      </c>
      <c r="K7">
        <f t="shared" si="5"/>
        <v>337.33949275175291</v>
      </c>
      <c r="L7">
        <f>'Cibles THREEME'!AV19*([6]SUT!$Z$29+[6]SUT!$AA$29)/SUM([6]SUT!$W$29:$AA$29)</f>
        <v>339.2403020944451</v>
      </c>
      <c r="M7">
        <f t="shared" si="6"/>
        <v>333.5009691467464</v>
      </c>
      <c r="N7">
        <f>'Cibles THREEME'!AW19*([6]SUT!$Z$29+[6]SUT!$AA$29)/SUM([6]SUT!$W$29:$AA$29)</f>
        <v>327.7616361990477</v>
      </c>
      <c r="O7">
        <f t="shared" si="7"/>
        <v>324.14178279597161</v>
      </c>
      <c r="P7">
        <f t="shared" si="8"/>
        <v>320.52192939289552</v>
      </c>
      <c r="Q7">
        <f>'Cibles THREEME'!AX19*([6]SUT!$Z$29+[6]SUT!$AA$29)/SUM([6]SUT!$W$29:$AA$29)</f>
        <v>316.90207598981948</v>
      </c>
      <c r="R7">
        <f t="shared" si="9"/>
        <v>313.2646892943099</v>
      </c>
      <c r="S7">
        <f>'Cibles THREEME'!AY19*([6]SUT!$Z$29+[6]SUT!$AA$29)/SUM([6]SUT!$W$29:$AA$29)</f>
        <v>309.62730259880033</v>
      </c>
      <c r="T7">
        <f t="shared" si="10"/>
        <v>307.65012445320946</v>
      </c>
      <c r="U7">
        <f t="shared" si="11"/>
        <v>305.67294630761859</v>
      </c>
      <c r="V7">
        <f>'Cibles THREEME'!AZ19*([6]SUT!$Z$29+[6]SUT!$AA$29)/SUM([6]SUT!$W$29:$AA$29)</f>
        <v>303.69576816202778</v>
      </c>
      <c r="W7">
        <f t="shared" si="12"/>
        <v>301.68222157883565</v>
      </c>
      <c r="X7">
        <f>'Cibles THREEME'!BA19*([6]SUT!$Z$29+[6]SUT!$AA$29)/SUM([6]SUT!$W$29:$AA$29)</f>
        <v>299.66867499564358</v>
      </c>
      <c r="Y7">
        <f t="shared" si="13"/>
        <v>298.9600108082858</v>
      </c>
      <c r="Z7">
        <f t="shared" si="14"/>
        <v>298.25134662092802</v>
      </c>
      <c r="AA7">
        <f>'Cibles THREEME'!BB19*([6]SUT!$Z$29+[6]SUT!$AA$29)/SUM([6]SUT!$W$29:$AA$29)</f>
        <v>297.54268243357029</v>
      </c>
      <c r="AB7">
        <f t="shared" si="15"/>
        <v>296.78500320336059</v>
      </c>
      <c r="AC7">
        <f>'Cibles THREEME'!BC19*([6]SUT!$Z$29+[6]SUT!$AA$29)/SUM([6]SUT!$W$29:$AA$29)</f>
        <v>296.02732397315094</v>
      </c>
      <c r="AD7">
        <f t="shared" si="16"/>
        <v>294.41619145967292</v>
      </c>
      <c r="AE7">
        <f t="shared" si="17"/>
        <v>292.80505894619489</v>
      </c>
      <c r="AF7">
        <f t="shared" si="18"/>
        <v>291.19392643271686</v>
      </c>
      <c r="AG7">
        <f t="shared" si="19"/>
        <v>289.58279391923884</v>
      </c>
      <c r="AH7">
        <f>'Cibles THREEME'!BD19*([6]SUT!$Z$29+[6]SUT!$AA$29)/SUM([6]SUT!$W$29:$AA$29)</f>
        <v>287.97166140576081</v>
      </c>
      <c r="AI7">
        <f t="shared" si="20"/>
        <v>285.61920240880943</v>
      </c>
      <c r="AJ7">
        <f t="shared" si="21"/>
        <v>283.26674341185804</v>
      </c>
      <c r="AK7">
        <f t="shared" si="22"/>
        <v>280.91428441490666</v>
      </c>
      <c r="AL7">
        <f t="shared" si="23"/>
        <v>278.56182541795528</v>
      </c>
      <c r="AM7">
        <f>'Cibles THREEME'!BE19*([6]SUT!$Z$29+[6]SUT!$AA$29)/SUM([6]SUT!$W$29:$AA$29)</f>
        <v>276.20936642100384</v>
      </c>
    </row>
    <row r="8" spans="2:39">
      <c r="B8" t="s">
        <v>420</v>
      </c>
      <c r="C8" t="s">
        <v>433</v>
      </c>
      <c r="D8">
        <f>('Cibles THREEME'!AT21+'Cibles THREEME'!AT22+'Cibles THREEME'!AT23+'Cibles THREEME'!AT24+'Cibles THREEME'!AT25+'Cibles THREEME'!AT26)*11.63</f>
        <v>57.55865344108642</v>
      </c>
      <c r="E8">
        <f t="shared" si="0"/>
        <v>58.040575144679387</v>
      </c>
      <c r="F8">
        <f t="shared" si="1"/>
        <v>58.522496848272354</v>
      </c>
      <c r="G8">
        <f t="shared" si="2"/>
        <v>59.004418551865321</v>
      </c>
      <c r="H8">
        <f t="shared" si="3"/>
        <v>59.486340255458288</v>
      </c>
      <c r="I8">
        <f>'Cibles THREEME'!AU21+'Cibles THREEME'!AU22+'Cibles THREEME'!AU23+'Cibles THREEME'!AU24+'Cibles THREEME'!AU25+'Cibles THREEME'!AU26</f>
        <v>59.968261959051262</v>
      </c>
      <c r="J8">
        <f t="shared" si="4"/>
        <v>59.013762917284588</v>
      </c>
      <c r="K8">
        <f t="shared" si="5"/>
        <v>58.059263875517914</v>
      </c>
      <c r="L8">
        <f>'Cibles THREEME'!AV21+'Cibles THREEME'!AV22+'Cibles THREEME'!AV23+'Cibles THREEME'!AV24+'Cibles THREEME'!AV25+'Cibles THREEME'!AV26</f>
        <v>57.104764833751247</v>
      </c>
      <c r="M8">
        <f t="shared" si="6"/>
        <v>59.889157103418967</v>
      </c>
      <c r="N8">
        <f>'Cibles THREEME'!AW21+'Cibles THREEME'!AW22+'Cibles THREEME'!AW23+'Cibles THREEME'!AW24+'Cibles THREEME'!AW25+'Cibles THREEME'!AW26</f>
        <v>62.673549373086686</v>
      </c>
      <c r="O8">
        <f t="shared" si="7"/>
        <v>64.709743502995366</v>
      </c>
      <c r="P8">
        <f t="shared" si="8"/>
        <v>66.745937632904045</v>
      </c>
      <c r="Q8">
        <f>'Cibles THREEME'!AX21+'Cibles THREEME'!AX22+'Cibles THREEME'!AX23+'Cibles THREEME'!AX24+'Cibles THREEME'!AX25+'Cibles THREEME'!AX26</f>
        <v>68.782131762812725</v>
      </c>
      <c r="R8">
        <f t="shared" si="9"/>
        <v>70.912185667746357</v>
      </c>
      <c r="S8">
        <f>'Cibles THREEME'!AY21+'Cibles THREEME'!AY22+'Cibles THREEME'!AY23+'Cibles THREEME'!AY24+'Cibles THREEME'!AY25+'Cibles THREEME'!AY26</f>
        <v>73.042239572679989</v>
      </c>
      <c r="T8">
        <f t="shared" si="10"/>
        <v>74.903102316070232</v>
      </c>
      <c r="U8">
        <f t="shared" si="11"/>
        <v>76.763965059460475</v>
      </c>
      <c r="V8">
        <f>'Cibles THREEME'!AZ21+'Cibles THREEME'!AZ22+'Cibles THREEME'!AZ23+'Cibles THREEME'!AZ24+'Cibles THREEME'!AZ25+'Cibles THREEME'!AZ26</f>
        <v>78.624827802850717</v>
      </c>
      <c r="W8">
        <f t="shared" si="12"/>
        <v>80.564447608458281</v>
      </c>
      <c r="X8">
        <f>'Cibles THREEME'!BA21+'Cibles THREEME'!BA22+'Cibles THREEME'!BA23+'Cibles THREEME'!BA24+'Cibles THREEME'!BA25+'Cibles THREEME'!BA26</f>
        <v>82.504067414065844</v>
      </c>
      <c r="Y8">
        <f t="shared" si="13"/>
        <v>83.827037193875881</v>
      </c>
      <c r="Z8">
        <f t="shared" si="14"/>
        <v>85.150006973685919</v>
      </c>
      <c r="AA8">
        <f>'Cibles THREEME'!BB21+'Cibles THREEME'!BB22+'Cibles THREEME'!BB23+'Cibles THREEME'!BB24+'Cibles THREEME'!BB25+'Cibles THREEME'!BB26</f>
        <v>86.472976753495956</v>
      </c>
      <c r="AB8">
        <f t="shared" si="15"/>
        <v>87.830073051343206</v>
      </c>
      <c r="AC8">
        <f>'Cibles THREEME'!BC21+'Cibles THREEME'!BC22+'Cibles THREEME'!BC23+'Cibles THREEME'!BC24+'Cibles THREEME'!BC25+'Cibles THREEME'!BC26</f>
        <v>89.187169349190455</v>
      </c>
      <c r="AD8">
        <f t="shared" si="16"/>
        <v>90.48930215951539</v>
      </c>
      <c r="AE8">
        <f t="shared" si="17"/>
        <v>91.791434969840324</v>
      </c>
      <c r="AF8">
        <f t="shared" si="18"/>
        <v>93.093567780165259</v>
      </c>
      <c r="AG8">
        <f t="shared" si="19"/>
        <v>94.395700590490193</v>
      </c>
      <c r="AH8">
        <f>'Cibles THREEME'!BD21+'Cibles THREEME'!BD22+'Cibles THREEME'!BD23+'Cibles THREEME'!BD24+'Cibles THREEME'!BD25+'Cibles THREEME'!BD26</f>
        <v>95.697833400815099</v>
      </c>
      <c r="AI8">
        <f t="shared" si="20"/>
        <v>97.335447965228752</v>
      </c>
      <c r="AJ8">
        <f t="shared" si="21"/>
        <v>98.973062529642405</v>
      </c>
      <c r="AK8">
        <f t="shared" si="22"/>
        <v>100.61067709405606</v>
      </c>
      <c r="AL8">
        <f t="shared" si="23"/>
        <v>102.24829165846971</v>
      </c>
      <c r="AM8">
        <f>'Cibles THREEME'!BE21+'Cibles THREEME'!BE22+'Cibles THREEME'!BE23+'Cibles THREEME'!BE24+'Cibles THREEME'!BE25+'Cibles THREEME'!BE26</f>
        <v>103.88590622288338</v>
      </c>
    </row>
    <row r="9" spans="2:39">
      <c r="B9" t="s">
        <v>444</v>
      </c>
      <c r="C9" t="s">
        <v>443</v>
      </c>
      <c r="D9">
        <f>('Cibles THREEME'!AT19*([6]SUT!$W$29)/SUM([6]SUT!$W$29:$AA$29))*11.63</f>
        <v>4.0689286255793249</v>
      </c>
      <c r="E9">
        <f t="shared" si="0"/>
        <v>4.0558162696419933</v>
      </c>
      <c r="F9">
        <f t="shared" si="1"/>
        <v>4.0427039137046616</v>
      </c>
      <c r="G9">
        <f t="shared" si="2"/>
        <v>4.02959155776733</v>
      </c>
      <c r="H9">
        <f t="shared" si="3"/>
        <v>4.0164792018299984</v>
      </c>
      <c r="I9">
        <f>'Cibles THREEME'!AU19*([6]SUT!$W$29)/SUM([6]SUT!$W$29:$AA$29)</f>
        <v>4.0033668458926686</v>
      </c>
      <c r="J9">
        <f t="shared" si="4"/>
        <v>4.0261817574651477</v>
      </c>
      <c r="K9">
        <f t="shared" si="5"/>
        <v>4.0489966690376269</v>
      </c>
      <c r="L9">
        <f>'Cibles THREEME'!AV19*([6]SUT!$W$29)/SUM([6]SUT!$W$29:$AA$29)</f>
        <v>4.0718115806101061</v>
      </c>
      <c r="M9">
        <f t="shared" si="6"/>
        <v>4.0029238859077516</v>
      </c>
      <c r="N9">
        <f>'Cibles THREEME'!AW19*([6]SUT!$W$29)/SUM([6]SUT!$W$29:$AA$29)</f>
        <v>3.9340361912053967</v>
      </c>
      <c r="O9">
        <f t="shared" si="7"/>
        <v>3.8905880486475808</v>
      </c>
      <c r="P9">
        <f t="shared" si="8"/>
        <v>3.8471399060897649</v>
      </c>
      <c r="Q9">
        <f>'Cibles THREEME'!AX19*([6]SUT!$W$29)/SUM([6]SUT!$W$29:$AA$29)</f>
        <v>3.8036917635319485</v>
      </c>
      <c r="R9">
        <f t="shared" si="9"/>
        <v>3.7600331735044885</v>
      </c>
      <c r="S9">
        <f>'Cibles THREEME'!AY19*([6]SUT!$W$29)/SUM([6]SUT!$W$29:$AA$29)</f>
        <v>3.7163745834770285</v>
      </c>
      <c r="T9">
        <f t="shared" si="10"/>
        <v>3.6926430373710923</v>
      </c>
      <c r="U9">
        <f t="shared" si="11"/>
        <v>3.6689114912651561</v>
      </c>
      <c r="V9">
        <f>'Cibles THREEME'!AZ19*([6]SUT!$W$29)/SUM([6]SUT!$W$29:$AA$29)</f>
        <v>3.6451799451592204</v>
      </c>
      <c r="W9">
        <f t="shared" si="12"/>
        <v>3.6210118783201066</v>
      </c>
      <c r="X9">
        <f>'Cibles THREEME'!BA19*([6]SUT!$W$29)/SUM([6]SUT!$W$29:$AA$29)</f>
        <v>3.5968438114809933</v>
      </c>
      <c r="Y9">
        <f t="shared" si="13"/>
        <v>3.5883379027577909</v>
      </c>
      <c r="Z9">
        <f t="shared" si="14"/>
        <v>3.5798319940345884</v>
      </c>
      <c r="AA9">
        <f>'Cibles THREEME'!BB19*([6]SUT!$W$29)/SUM([6]SUT!$W$29:$AA$29)</f>
        <v>3.571326085311386</v>
      </c>
      <c r="AB9">
        <f t="shared" si="15"/>
        <v>3.5622318619985656</v>
      </c>
      <c r="AC9">
        <f>'Cibles THREEME'!BC19*([6]SUT!$W$29)/SUM([6]SUT!$W$29:$AA$29)</f>
        <v>3.5531376386857447</v>
      </c>
      <c r="AD9">
        <f t="shared" si="16"/>
        <v>3.5337996414437458</v>
      </c>
      <c r="AE9">
        <f t="shared" si="17"/>
        <v>3.5144616442017469</v>
      </c>
      <c r="AF9">
        <f t="shared" si="18"/>
        <v>3.495123646959748</v>
      </c>
      <c r="AG9">
        <f t="shared" si="19"/>
        <v>3.4757856497177491</v>
      </c>
      <c r="AH9">
        <f>'Cibles THREEME'!BD19*([6]SUT!$W$29)/SUM([6]SUT!$W$29:$AA$29)</f>
        <v>3.456447652475751</v>
      </c>
      <c r="AI9">
        <f t="shared" si="20"/>
        <v>3.428211709612953</v>
      </c>
      <c r="AJ9">
        <f t="shared" si="21"/>
        <v>3.3999757667501549</v>
      </c>
      <c r="AK9">
        <f t="shared" si="22"/>
        <v>3.3717398238873568</v>
      </c>
      <c r="AL9">
        <f t="shared" si="23"/>
        <v>3.3435038810245588</v>
      </c>
      <c r="AM9">
        <f>'Cibles THREEME'!BE19*([6]SUT!$W$29)/SUM([6]SUT!$W$29:$AA$29)</f>
        <v>3.3152679381617598</v>
      </c>
    </row>
    <row r="10" spans="2:39">
      <c r="B10" t="s">
        <v>421</v>
      </c>
      <c r="C10" t="s">
        <v>434</v>
      </c>
      <c r="D10">
        <f>'Cibles THREEME'!AT9*11.63</f>
        <v>343.81603092801953</v>
      </c>
      <c r="E10">
        <f t="shared" si="0"/>
        <v>331.22410833556512</v>
      </c>
      <c r="F10">
        <f t="shared" si="1"/>
        <v>318.63218574311071</v>
      </c>
      <c r="G10">
        <f t="shared" si="2"/>
        <v>306.0402631506563</v>
      </c>
      <c r="H10">
        <f t="shared" si="3"/>
        <v>293.44834055820189</v>
      </c>
      <c r="I10">
        <f>'Cibles THREEME'!AU9</f>
        <v>280.85641796574743</v>
      </c>
      <c r="J10">
        <f t="shared" si="4"/>
        <v>286.51928404013722</v>
      </c>
      <c r="K10">
        <f t="shared" si="5"/>
        <v>292.18215011452702</v>
      </c>
      <c r="L10">
        <f>'Cibles THREEME'!AV9</f>
        <v>297.84501618891676</v>
      </c>
      <c r="M10">
        <f t="shared" si="6"/>
        <v>298.59022189667434</v>
      </c>
      <c r="N10">
        <f>'Cibles THREEME'!AW9</f>
        <v>299.33542760443191</v>
      </c>
      <c r="O10">
        <f t="shared" si="7"/>
        <v>298.149305271841</v>
      </c>
      <c r="P10">
        <f t="shared" si="8"/>
        <v>296.96318293925009</v>
      </c>
      <c r="Q10">
        <f>'Cibles THREEME'!AX9</f>
        <v>295.77706060665918</v>
      </c>
      <c r="R10">
        <f t="shared" si="9"/>
        <v>295.32135850150115</v>
      </c>
      <c r="S10">
        <f>'Cibles THREEME'!AY9</f>
        <v>294.86565639634313</v>
      </c>
      <c r="T10">
        <f t="shared" si="10"/>
        <v>292.04769608569677</v>
      </c>
      <c r="U10">
        <f t="shared" si="11"/>
        <v>289.22973577505041</v>
      </c>
      <c r="V10">
        <f>'Cibles THREEME'!AZ9</f>
        <v>286.41177546440406</v>
      </c>
      <c r="W10">
        <f t="shared" si="12"/>
        <v>283.24401106313439</v>
      </c>
      <c r="X10">
        <f>'Cibles THREEME'!BA9</f>
        <v>280.07624666186479</v>
      </c>
      <c r="Y10">
        <f t="shared" si="13"/>
        <v>275.76154723572819</v>
      </c>
      <c r="Z10">
        <f t="shared" si="14"/>
        <v>271.44684780959159</v>
      </c>
      <c r="AA10">
        <f>'Cibles THREEME'!BB9</f>
        <v>267.13214838345505</v>
      </c>
      <c r="AB10">
        <f t="shared" si="15"/>
        <v>262.47766118293526</v>
      </c>
      <c r="AC10">
        <f>'Cibles THREEME'!BC9</f>
        <v>257.82317398241548</v>
      </c>
      <c r="AD10">
        <f t="shared" si="16"/>
        <v>252.87833141465856</v>
      </c>
      <c r="AE10">
        <f t="shared" si="17"/>
        <v>247.93348884690164</v>
      </c>
      <c r="AF10">
        <f t="shared" si="18"/>
        <v>242.98864627914472</v>
      </c>
      <c r="AG10">
        <f t="shared" si="19"/>
        <v>238.0438037113878</v>
      </c>
      <c r="AH10">
        <f>'Cibles THREEME'!BD9</f>
        <v>233.09896114363087</v>
      </c>
      <c r="AI10">
        <f t="shared" si="20"/>
        <v>226.90586773556015</v>
      </c>
      <c r="AJ10">
        <f t="shared" si="21"/>
        <v>220.71277432748943</v>
      </c>
      <c r="AK10">
        <f t="shared" si="22"/>
        <v>214.5196809194187</v>
      </c>
      <c r="AL10">
        <f t="shared" si="23"/>
        <v>208.32658751134798</v>
      </c>
      <c r="AM10">
        <f>'Cibles THREEME'!BE9</f>
        <v>202.13349410327723</v>
      </c>
    </row>
    <row r="11" spans="2:39">
      <c r="B11" t="s">
        <v>422</v>
      </c>
      <c r="C11" t="s">
        <v>435</v>
      </c>
      <c r="D11">
        <f>'Cibles THREEME'!AT10*11.63</f>
        <v>2.7019422305850198</v>
      </c>
      <c r="E11">
        <f t="shared" si="0"/>
        <v>2.3969416860882529</v>
      </c>
      <c r="F11">
        <f t="shared" si="1"/>
        <v>2.0919411415914859</v>
      </c>
      <c r="G11">
        <f t="shared" si="2"/>
        <v>1.786940597094719</v>
      </c>
      <c r="H11">
        <f t="shared" si="3"/>
        <v>1.481940052597952</v>
      </c>
      <c r="I11">
        <f>'Cibles THREEME'!AU10</f>
        <v>1.1769395081011844</v>
      </c>
      <c r="J11">
        <f t="shared" si="4"/>
        <v>1.9597015447273316</v>
      </c>
      <c r="K11">
        <f t="shared" si="5"/>
        <v>2.7424635813534786</v>
      </c>
      <c r="L11">
        <f>'Cibles THREEME'!AV10</f>
        <v>3.5252256179796255</v>
      </c>
      <c r="M11">
        <f t="shared" si="6"/>
        <v>3.0661057621376577</v>
      </c>
      <c r="N11">
        <f>'Cibles THREEME'!AW10</f>
        <v>2.6069859062956899</v>
      </c>
      <c r="O11">
        <f t="shared" si="7"/>
        <v>2.5807139385860083</v>
      </c>
      <c r="P11">
        <f t="shared" si="8"/>
        <v>2.5544419708763266</v>
      </c>
      <c r="Q11">
        <f>'Cibles THREEME'!AX10</f>
        <v>2.528170003166645</v>
      </c>
      <c r="R11">
        <f t="shared" si="9"/>
        <v>2.5082086905602741</v>
      </c>
      <c r="S11">
        <f>'Cibles THREEME'!AY10</f>
        <v>2.4882473779539032</v>
      </c>
      <c r="T11">
        <f t="shared" si="10"/>
        <v>2.5446896016656289</v>
      </c>
      <c r="U11">
        <f t="shared" si="11"/>
        <v>2.6011318253773545</v>
      </c>
      <c r="V11">
        <f>'Cibles THREEME'!AZ10</f>
        <v>2.6575740490890798</v>
      </c>
      <c r="W11">
        <f t="shared" si="12"/>
        <v>2.7151624937759653</v>
      </c>
      <c r="X11">
        <f>'Cibles THREEME'!BA10</f>
        <v>2.7727509384628508</v>
      </c>
      <c r="Y11">
        <f t="shared" si="13"/>
        <v>2.7653873449268924</v>
      </c>
      <c r="Z11">
        <f t="shared" si="14"/>
        <v>2.758023751390934</v>
      </c>
      <c r="AA11">
        <f>'Cibles THREEME'!BB10</f>
        <v>2.7506601578549756</v>
      </c>
      <c r="AB11">
        <f t="shared" si="15"/>
        <v>2.7414584488741816</v>
      </c>
      <c r="AC11">
        <f>'Cibles THREEME'!BC10</f>
        <v>2.7322567398933875</v>
      </c>
      <c r="AD11">
        <f t="shared" si="16"/>
        <v>2.7796223875588288</v>
      </c>
      <c r="AE11">
        <f t="shared" si="17"/>
        <v>2.8269880352242702</v>
      </c>
      <c r="AF11">
        <f t="shared" si="18"/>
        <v>2.8743536828897116</v>
      </c>
      <c r="AG11">
        <f t="shared" si="19"/>
        <v>2.921719330555153</v>
      </c>
      <c r="AH11">
        <f>'Cibles THREEME'!BD10</f>
        <v>2.9690849782205939</v>
      </c>
      <c r="AI11">
        <f t="shared" si="20"/>
        <v>2.9861916660770471</v>
      </c>
      <c r="AJ11">
        <f t="shared" si="21"/>
        <v>3.0032983539335003</v>
      </c>
      <c r="AK11">
        <f t="shared" si="22"/>
        <v>3.0204050417899535</v>
      </c>
      <c r="AL11">
        <f t="shared" si="23"/>
        <v>3.0375117296464067</v>
      </c>
      <c r="AM11">
        <f>'Cibles THREEME'!BE10</f>
        <v>3.054618417502859</v>
      </c>
    </row>
    <row r="12" spans="2:39">
      <c r="B12" t="s">
        <v>423</v>
      </c>
      <c r="C12" t="s">
        <v>436</v>
      </c>
      <c r="D12">
        <f>('Cibles THREEME'!AT11+'Cibles THREEME'!AT13)*11.63</f>
        <v>17.864934373243806</v>
      </c>
      <c r="E12">
        <f t="shared" si="0"/>
        <v>19.272883335105298</v>
      </c>
      <c r="F12">
        <f t="shared" si="1"/>
        <v>20.680832296966791</v>
      </c>
      <c r="G12">
        <f t="shared" si="2"/>
        <v>22.088781258828284</v>
      </c>
      <c r="H12">
        <f t="shared" si="3"/>
        <v>23.496730220689777</v>
      </c>
      <c r="I12">
        <f>'Cibles THREEME'!AU11+'Cibles THREEME'!AU13</f>
        <v>24.904679182551273</v>
      </c>
      <c r="J12">
        <f t="shared" si="4"/>
        <v>19.340494396472625</v>
      </c>
      <c r="K12">
        <f t="shared" si="5"/>
        <v>13.776309610393977</v>
      </c>
      <c r="L12">
        <f>'Cibles THREEME'!AV11+'Cibles THREEME'!AV13</f>
        <v>8.2121248243153264</v>
      </c>
      <c r="M12">
        <f t="shared" si="6"/>
        <v>7.9142245745440682</v>
      </c>
      <c r="N12">
        <f>'Cibles THREEME'!AW11+'Cibles THREEME'!AW13</f>
        <v>7.6163243247728092</v>
      </c>
      <c r="O12">
        <f t="shared" si="7"/>
        <v>7.5961937490397622</v>
      </c>
      <c r="P12">
        <f t="shared" si="8"/>
        <v>7.5760631733067152</v>
      </c>
      <c r="Q12">
        <f>'Cibles THREEME'!AX11+'Cibles THREEME'!AX13</f>
        <v>7.5559325975736691</v>
      </c>
      <c r="R12">
        <f t="shared" si="9"/>
        <v>7.554160351530312</v>
      </c>
      <c r="S12">
        <f>'Cibles THREEME'!AY11+'Cibles THREEME'!AY13</f>
        <v>7.5523881054869557</v>
      </c>
      <c r="T12">
        <f t="shared" si="10"/>
        <v>7.6347800552244367</v>
      </c>
      <c r="U12">
        <f t="shared" si="11"/>
        <v>7.7171720049619177</v>
      </c>
      <c r="V12">
        <f>'Cibles THREEME'!AZ11+'Cibles THREEME'!AZ13</f>
        <v>7.7995639546993987</v>
      </c>
      <c r="W12">
        <f t="shared" si="12"/>
        <v>7.8809491126368982</v>
      </c>
      <c r="X12">
        <f>'Cibles THREEME'!BA11+'Cibles THREEME'!BA13</f>
        <v>7.9623342705743987</v>
      </c>
      <c r="Y12">
        <f t="shared" si="13"/>
        <v>8.0334460771533944</v>
      </c>
      <c r="Z12">
        <f t="shared" si="14"/>
        <v>8.1045578837323902</v>
      </c>
      <c r="AA12">
        <f>'Cibles THREEME'!BB11+'Cibles THREEME'!BB13</f>
        <v>8.1756696903113859</v>
      </c>
      <c r="AB12">
        <f t="shared" si="15"/>
        <v>8.2454201483826068</v>
      </c>
      <c r="AC12">
        <f>'Cibles THREEME'!BC11+'Cibles THREEME'!BC13</f>
        <v>8.315170606453826</v>
      </c>
      <c r="AD12">
        <f t="shared" si="16"/>
        <v>8.3681155870389592</v>
      </c>
      <c r="AE12">
        <f t="shared" si="17"/>
        <v>8.4210605676240924</v>
      </c>
      <c r="AF12">
        <f t="shared" si="18"/>
        <v>8.4740055482092256</v>
      </c>
      <c r="AG12">
        <f t="shared" si="19"/>
        <v>8.5269505287943588</v>
      </c>
      <c r="AH12">
        <f>'Cibles THREEME'!BD11+'Cibles THREEME'!BD13</f>
        <v>8.579895509379492</v>
      </c>
      <c r="AI12">
        <f t="shared" si="20"/>
        <v>11.784552191595083</v>
      </c>
      <c r="AJ12">
        <f t="shared" si="21"/>
        <v>14.989208873810671</v>
      </c>
      <c r="AK12">
        <f t="shared" si="22"/>
        <v>18.19386555602626</v>
      </c>
      <c r="AL12">
        <f t="shared" si="23"/>
        <v>21.398522238241849</v>
      </c>
      <c r="AM12">
        <f>'Cibles THREEME'!BE11+'Cibles THREEME'!BE13</f>
        <v>24.603178920457438</v>
      </c>
    </row>
    <row r="13" spans="2:39">
      <c r="B13" t="s">
        <v>424</v>
      </c>
      <c r="C13" t="s">
        <v>437</v>
      </c>
      <c r="D13">
        <f>'Cibles THREEME'!AT12*11.63</f>
        <v>8.3300918870432561</v>
      </c>
      <c r="E13">
        <f t="shared" si="0"/>
        <v>7.1280236250849072</v>
      </c>
      <c r="F13">
        <f t="shared" si="1"/>
        <v>5.9259553631265582</v>
      </c>
      <c r="G13">
        <f t="shared" si="2"/>
        <v>4.7238871011682093</v>
      </c>
      <c r="H13">
        <f t="shared" si="3"/>
        <v>3.5218188392098604</v>
      </c>
      <c r="I13">
        <f>'Cibles THREEME'!AU12</f>
        <v>2.3197505772515123</v>
      </c>
      <c r="J13">
        <f t="shared" si="4"/>
        <v>1.9368784307927747</v>
      </c>
      <c r="K13">
        <f t="shared" si="5"/>
        <v>1.554006284334037</v>
      </c>
      <c r="L13">
        <f>'Cibles THREEME'!AV12</f>
        <v>1.1711341378752991</v>
      </c>
      <c r="M13">
        <f t="shared" si="6"/>
        <v>0.92666789292920448</v>
      </c>
      <c r="N13">
        <f>'Cibles THREEME'!AW12</f>
        <v>0.68220164798310978</v>
      </c>
      <c r="O13">
        <f t="shared" si="7"/>
        <v>0.68015757410345934</v>
      </c>
      <c r="P13">
        <f t="shared" si="8"/>
        <v>0.6781135002238089</v>
      </c>
      <c r="Q13">
        <f>'Cibles THREEME'!AX12</f>
        <v>0.67606942634415856</v>
      </c>
      <c r="R13">
        <f t="shared" si="9"/>
        <v>0.67566923636338583</v>
      </c>
      <c r="S13">
        <f>'Cibles THREEME'!AY12</f>
        <v>0.67526904638261309</v>
      </c>
      <c r="T13">
        <f t="shared" si="10"/>
        <v>0.68246381499749575</v>
      </c>
      <c r="U13">
        <f t="shared" si="11"/>
        <v>0.68965858361237842</v>
      </c>
      <c r="V13">
        <f>'Cibles THREEME'!AZ12</f>
        <v>0.69685335222726119</v>
      </c>
      <c r="W13">
        <f t="shared" si="12"/>
        <v>0.70394582701361863</v>
      </c>
      <c r="X13">
        <f>'Cibles THREEME'!BA12</f>
        <v>0.71103830179997607</v>
      </c>
      <c r="Y13">
        <f t="shared" si="13"/>
        <v>0.7173564098296068</v>
      </c>
      <c r="Z13">
        <f t="shared" si="14"/>
        <v>0.72367451785923753</v>
      </c>
      <c r="AA13">
        <f>'Cibles THREEME'!BB12</f>
        <v>0.72999262588886837</v>
      </c>
      <c r="AB13">
        <f t="shared" si="15"/>
        <v>0.73618758308251886</v>
      </c>
      <c r="AC13">
        <f>'Cibles THREEME'!BC12</f>
        <v>0.74238254027616946</v>
      </c>
      <c r="AD13">
        <f t="shared" si="16"/>
        <v>0.74707872683629861</v>
      </c>
      <c r="AE13">
        <f t="shared" si="17"/>
        <v>0.75177491339642777</v>
      </c>
      <c r="AF13">
        <f t="shared" si="18"/>
        <v>0.75647109995655692</v>
      </c>
      <c r="AG13">
        <f t="shared" si="19"/>
        <v>0.76116728651668608</v>
      </c>
      <c r="AH13">
        <f>'Cibles THREEME'!BD12</f>
        <v>0.76586347307681524</v>
      </c>
      <c r="AI13">
        <f t="shared" si="20"/>
        <v>0.76760075237883396</v>
      </c>
      <c r="AJ13">
        <f t="shared" si="21"/>
        <v>0.76933803168085269</v>
      </c>
      <c r="AK13">
        <f t="shared" si="22"/>
        <v>0.77107531098287141</v>
      </c>
      <c r="AL13">
        <f t="shared" si="23"/>
        <v>0.77281259028489013</v>
      </c>
      <c r="AM13">
        <f>'Cibles THREEME'!BE12</f>
        <v>0.77454986958690908</v>
      </c>
    </row>
    <row r="14" spans="2:39">
      <c r="B14" t="s">
        <v>425</v>
      </c>
      <c r="C14" t="s">
        <v>438</v>
      </c>
      <c r="D14">
        <f>'Cibles THREEME'!AT14*11.63</f>
        <v>23.569963608062981</v>
      </c>
      <c r="E14">
        <f t="shared" si="0"/>
        <v>25.650152325587563</v>
      </c>
      <c r="F14">
        <f t="shared" si="1"/>
        <v>27.730341043112144</v>
      </c>
      <c r="G14">
        <f t="shared" si="2"/>
        <v>29.810529760636726</v>
      </c>
      <c r="H14">
        <f t="shared" si="3"/>
        <v>31.890718478161308</v>
      </c>
      <c r="I14">
        <f>'Cibles THREEME'!AU14</f>
        <v>33.970907195685882</v>
      </c>
      <c r="J14">
        <f t="shared" si="4"/>
        <v>36.446152509066117</v>
      </c>
      <c r="K14">
        <f t="shared" si="5"/>
        <v>38.921397822446352</v>
      </c>
      <c r="L14">
        <f>'Cibles THREEME'!AV14</f>
        <v>41.396643135826587</v>
      </c>
      <c r="M14">
        <f t="shared" si="6"/>
        <v>45.215396290585694</v>
      </c>
      <c r="N14">
        <f>'Cibles THREEME'!AW14</f>
        <v>49.034149445344802</v>
      </c>
      <c r="O14">
        <f t="shared" si="7"/>
        <v>52.287243400538202</v>
      </c>
      <c r="P14">
        <f t="shared" si="8"/>
        <v>55.540337355731602</v>
      </c>
      <c r="Q14">
        <f>'Cibles THREEME'!AX14</f>
        <v>58.793431310925001</v>
      </c>
      <c r="R14">
        <f t="shared" si="9"/>
        <v>61.049379554557774</v>
      </c>
      <c r="S14">
        <f>'Cibles THREEME'!AY14</f>
        <v>63.305327798190547</v>
      </c>
      <c r="T14">
        <f t="shared" si="10"/>
        <v>67.132120768282348</v>
      </c>
      <c r="U14">
        <f t="shared" si="11"/>
        <v>70.95891373837415</v>
      </c>
      <c r="V14">
        <f>'Cibles THREEME'!AZ14</f>
        <v>74.785706708465952</v>
      </c>
      <c r="W14">
        <f t="shared" si="12"/>
        <v>78.762983861756652</v>
      </c>
      <c r="X14">
        <f>'Cibles THREEME'!BA14</f>
        <v>82.740261015047338</v>
      </c>
      <c r="Y14">
        <f t="shared" si="13"/>
        <v>86.777236861071472</v>
      </c>
      <c r="Z14">
        <f t="shared" si="14"/>
        <v>90.814212707095606</v>
      </c>
      <c r="AA14">
        <f>'Cibles THREEME'!BB14</f>
        <v>94.851188553119727</v>
      </c>
      <c r="AB14">
        <f t="shared" si="15"/>
        <v>99.013729509471688</v>
      </c>
      <c r="AC14">
        <f>'Cibles THREEME'!BC14</f>
        <v>103.17627046582365</v>
      </c>
      <c r="AD14">
        <f t="shared" si="16"/>
        <v>107.29167002780719</v>
      </c>
      <c r="AE14">
        <f t="shared" si="17"/>
        <v>111.40706958979072</v>
      </c>
      <c r="AF14">
        <f t="shared" si="18"/>
        <v>115.52246915177426</v>
      </c>
      <c r="AG14">
        <f t="shared" si="19"/>
        <v>119.6378687137578</v>
      </c>
      <c r="AH14">
        <f>'Cibles THREEME'!BD14</f>
        <v>123.75326827574135</v>
      </c>
      <c r="AI14">
        <f t="shared" si="20"/>
        <v>127.54667983265044</v>
      </c>
      <c r="AJ14">
        <f t="shared" si="21"/>
        <v>131.34009138955952</v>
      </c>
      <c r="AK14">
        <f t="shared" si="22"/>
        <v>135.13350294646861</v>
      </c>
      <c r="AL14">
        <f t="shared" si="23"/>
        <v>138.9269145033777</v>
      </c>
      <c r="AM14">
        <f>'Cibles THREEME'!BE14</f>
        <v>142.72032606028679</v>
      </c>
    </row>
    <row r="15" spans="2:39">
      <c r="B15" t="s">
        <v>426</v>
      </c>
      <c r="C15" t="s">
        <v>439</v>
      </c>
      <c r="D15">
        <f>'Cibles THREEME'!AT15*11.63</f>
        <v>10.387403833681601</v>
      </c>
      <c r="E15">
        <f t="shared" si="0"/>
        <v>11.304153669129132</v>
      </c>
      <c r="F15">
        <f t="shared" si="1"/>
        <v>12.220903504576663</v>
      </c>
      <c r="G15">
        <f t="shared" si="2"/>
        <v>13.137653340024194</v>
      </c>
      <c r="H15">
        <f t="shared" si="3"/>
        <v>14.054403175471725</v>
      </c>
      <c r="I15">
        <f>'Cibles THREEME'!AU15</f>
        <v>14.971153010919259</v>
      </c>
      <c r="J15">
        <f t="shared" si="4"/>
        <v>16.06200631409164</v>
      </c>
      <c r="K15">
        <f t="shared" si="5"/>
        <v>17.152859617264021</v>
      </c>
      <c r="L15">
        <f>'Cibles THREEME'!AV15</f>
        <v>18.243712920436398</v>
      </c>
      <c r="M15">
        <f t="shared" si="6"/>
        <v>19.130711233322749</v>
      </c>
      <c r="N15">
        <f>'Cibles THREEME'!AW15</f>
        <v>20.017709546209097</v>
      </c>
      <c r="O15">
        <f t="shared" si="7"/>
        <v>21.481231212563543</v>
      </c>
      <c r="P15">
        <f t="shared" si="8"/>
        <v>22.944752878917988</v>
      </c>
      <c r="Q15">
        <f>'Cibles THREEME'!AX15</f>
        <v>24.408274545272437</v>
      </c>
      <c r="R15">
        <f t="shared" si="9"/>
        <v>25.919783642008266</v>
      </c>
      <c r="S15">
        <f>'Cibles THREEME'!AY15</f>
        <v>27.431292738744094</v>
      </c>
      <c r="T15">
        <f t="shared" si="10"/>
        <v>31.009658584663956</v>
      </c>
      <c r="U15">
        <f t="shared" si="11"/>
        <v>34.588024430583822</v>
      </c>
      <c r="V15">
        <f>'Cibles THREEME'!AZ15</f>
        <v>38.166390276503684</v>
      </c>
      <c r="W15">
        <f t="shared" si="12"/>
        <v>41.904229096723235</v>
      </c>
      <c r="X15">
        <f>'Cibles THREEME'!BA15</f>
        <v>45.642067916942786</v>
      </c>
      <c r="Y15">
        <f t="shared" si="13"/>
        <v>49.48370491107908</v>
      </c>
      <c r="Z15">
        <f t="shared" si="14"/>
        <v>53.325341905215375</v>
      </c>
      <c r="AA15">
        <f>'Cibles THREEME'!BB15</f>
        <v>57.166978899351662</v>
      </c>
      <c r="AB15">
        <f t="shared" si="15"/>
        <v>61.144377523531816</v>
      </c>
      <c r="AC15">
        <f>'Cibles THREEME'!BC15</f>
        <v>65.121776147711969</v>
      </c>
      <c r="AD15">
        <f t="shared" si="16"/>
        <v>69.133607470764161</v>
      </c>
      <c r="AE15">
        <f t="shared" si="17"/>
        <v>73.145438793816353</v>
      </c>
      <c r="AF15">
        <f t="shared" si="18"/>
        <v>77.157270116868546</v>
      </c>
      <c r="AG15">
        <f t="shared" si="19"/>
        <v>81.169101439920738</v>
      </c>
      <c r="AH15">
        <f>'Cibles THREEME'!BD15</f>
        <v>85.180932762972901</v>
      </c>
      <c r="AI15">
        <f t="shared" si="20"/>
        <v>87.280821133137394</v>
      </c>
      <c r="AJ15">
        <f t="shared" si="21"/>
        <v>89.380709503301887</v>
      </c>
      <c r="AK15">
        <f t="shared" si="22"/>
        <v>91.48059787346638</v>
      </c>
      <c r="AL15">
        <f t="shared" si="23"/>
        <v>93.580486243630872</v>
      </c>
      <c r="AM15">
        <f>'Cibles THREEME'!BE15</f>
        <v>95.680374613795379</v>
      </c>
    </row>
    <row r="16" spans="2:39">
      <c r="B16" t="s">
        <v>427</v>
      </c>
      <c r="C16" t="s">
        <v>440</v>
      </c>
      <c r="D16">
        <f>'Cibles THREEME'!AT16*11.63</f>
        <v>28.80143790248081</v>
      </c>
      <c r="E16">
        <f t="shared" si="0"/>
        <v>31.34333517349442</v>
      </c>
      <c r="F16">
        <f t="shared" si="1"/>
        <v>33.885232444508027</v>
      </c>
      <c r="G16">
        <f t="shared" si="2"/>
        <v>36.427129715521637</v>
      </c>
      <c r="H16">
        <f t="shared" si="3"/>
        <v>38.969026986535248</v>
      </c>
      <c r="I16">
        <f>'Cibles THREEME'!AU16</f>
        <v>41.510924257548858</v>
      </c>
      <c r="J16">
        <f t="shared" si="4"/>
        <v>44.535562961799549</v>
      </c>
      <c r="K16">
        <f t="shared" si="5"/>
        <v>47.56020166605024</v>
      </c>
      <c r="L16">
        <f>'Cibles THREEME'!AV16</f>
        <v>50.584840370300924</v>
      </c>
      <c r="M16">
        <f t="shared" si="6"/>
        <v>48.774733306664977</v>
      </c>
      <c r="N16">
        <f>'Cibles THREEME'!AW16</f>
        <v>46.964626243029031</v>
      </c>
      <c r="O16">
        <f t="shared" si="7"/>
        <v>46.819175279327887</v>
      </c>
      <c r="P16">
        <f t="shared" si="8"/>
        <v>46.673724315626743</v>
      </c>
      <c r="Q16">
        <f>'Cibles THREEME'!AX16</f>
        <v>46.528273351925591</v>
      </c>
      <c r="R16">
        <f t="shared" si="9"/>
        <v>46.504537468509881</v>
      </c>
      <c r="S16">
        <f>'Cibles THREEME'!AY16</f>
        <v>46.48080158509417</v>
      </c>
      <c r="T16">
        <f t="shared" si="10"/>
        <v>46.955306727968988</v>
      </c>
      <c r="U16">
        <f t="shared" si="11"/>
        <v>47.429811870843807</v>
      </c>
      <c r="V16">
        <f>'Cibles THREEME'!AZ16</f>
        <v>47.904317013718618</v>
      </c>
      <c r="W16">
        <f t="shared" si="12"/>
        <v>48.374668532591855</v>
      </c>
      <c r="X16">
        <f>'Cibles THREEME'!BA16</f>
        <v>48.845020051465099</v>
      </c>
      <c r="Y16">
        <f t="shared" si="13"/>
        <v>49.264427701266257</v>
      </c>
      <c r="Z16">
        <f t="shared" si="14"/>
        <v>49.683835351067415</v>
      </c>
      <c r="AA16">
        <f>'Cibles THREEME'!BB16</f>
        <v>50.103243000868567</v>
      </c>
      <c r="AB16">
        <f t="shared" si="15"/>
        <v>50.515905763321655</v>
      </c>
      <c r="AC16">
        <f>'Cibles THREEME'!BC16</f>
        <v>50.928568525774743</v>
      </c>
      <c r="AD16">
        <f t="shared" si="16"/>
        <v>51.239899060097265</v>
      </c>
      <c r="AE16">
        <f t="shared" si="17"/>
        <v>51.551229594419787</v>
      </c>
      <c r="AF16">
        <f t="shared" si="18"/>
        <v>51.862560128742309</v>
      </c>
      <c r="AG16">
        <f t="shared" si="19"/>
        <v>52.173890663064832</v>
      </c>
      <c r="AH16">
        <f>'Cibles THREEME'!BD16</f>
        <v>52.485221197387347</v>
      </c>
      <c r="AI16">
        <f t="shared" si="20"/>
        <v>52.600000324167183</v>
      </c>
      <c r="AJ16">
        <f t="shared" si="21"/>
        <v>52.71477945094702</v>
      </c>
      <c r="AK16">
        <f t="shared" si="22"/>
        <v>52.829558577726857</v>
      </c>
      <c r="AL16">
        <f t="shared" si="23"/>
        <v>52.944337704506694</v>
      </c>
      <c r="AM16">
        <f>'Cibles THREEME'!BE16</f>
        <v>53.059116831286531</v>
      </c>
    </row>
    <row r="17" spans="2:39">
      <c r="B17" t="s">
        <v>428</v>
      </c>
      <c r="C17" t="s">
        <v>441</v>
      </c>
      <c r="D17">
        <f>'Cibles THREEME'!AT25*11.63</f>
        <v>14.546015944450611</v>
      </c>
      <c r="E17">
        <f t="shared" si="0"/>
        <v>11.638812755560489</v>
      </c>
      <c r="F17">
        <f t="shared" si="1"/>
        <v>8.7316095666703664</v>
      </c>
      <c r="G17">
        <f t="shared" si="2"/>
        <v>5.8244063777802442</v>
      </c>
      <c r="H17">
        <f t="shared" si="3"/>
        <v>2.917203188890122</v>
      </c>
      <c r="I17">
        <f>'Cibles THREEME'!AU25</f>
        <v>0.01</v>
      </c>
      <c r="J17">
        <f t="shared" si="4"/>
        <v>0.01</v>
      </c>
      <c r="K17">
        <f t="shared" si="5"/>
        <v>0.01</v>
      </c>
      <c r="L17">
        <f>'Cibles THREEME'!AV25</f>
        <v>0.01</v>
      </c>
      <c r="M17">
        <f t="shared" si="6"/>
        <v>0.01</v>
      </c>
      <c r="N17">
        <f>'Cibles THREEME'!AW25</f>
        <v>0.01</v>
      </c>
      <c r="O17">
        <f t="shared" si="7"/>
        <v>0.01</v>
      </c>
      <c r="P17">
        <f t="shared" si="8"/>
        <v>0.01</v>
      </c>
      <c r="Q17">
        <f>'Cibles THREEME'!AX25</f>
        <v>0.01</v>
      </c>
      <c r="R17">
        <f t="shared" si="9"/>
        <v>0.01</v>
      </c>
      <c r="S17">
        <f>'Cibles THREEME'!AY25</f>
        <v>0.01</v>
      </c>
      <c r="T17">
        <f t="shared" si="10"/>
        <v>0.01</v>
      </c>
      <c r="U17">
        <f t="shared" si="11"/>
        <v>0.01</v>
      </c>
      <c r="V17">
        <f>'Cibles THREEME'!AZ25</f>
        <v>0.01</v>
      </c>
      <c r="W17">
        <f t="shared" si="12"/>
        <v>0.01</v>
      </c>
      <c r="X17">
        <f>'Cibles THREEME'!BA25</f>
        <v>0.01</v>
      </c>
      <c r="Y17">
        <f t="shared" si="13"/>
        <v>0.01</v>
      </c>
      <c r="Z17">
        <f t="shared" si="14"/>
        <v>0.01</v>
      </c>
      <c r="AA17">
        <f>'Cibles THREEME'!BB25</f>
        <v>0.01</v>
      </c>
      <c r="AB17">
        <f t="shared" si="15"/>
        <v>0.01</v>
      </c>
      <c r="AC17">
        <f>'Cibles THREEME'!BC25</f>
        <v>0.01</v>
      </c>
      <c r="AD17">
        <f t="shared" si="16"/>
        <v>0.01</v>
      </c>
      <c r="AE17">
        <f t="shared" si="17"/>
        <v>0.01</v>
      </c>
      <c r="AF17">
        <f t="shared" si="18"/>
        <v>0.01</v>
      </c>
      <c r="AG17">
        <f t="shared" si="19"/>
        <v>0.01</v>
      </c>
      <c r="AH17">
        <f>'Cibles THREEME'!BD25</f>
        <v>0.01</v>
      </c>
      <c r="AI17">
        <f t="shared" si="20"/>
        <v>0.01</v>
      </c>
      <c r="AJ17">
        <f t="shared" si="21"/>
        <v>0.01</v>
      </c>
      <c r="AK17">
        <f t="shared" si="22"/>
        <v>0.01</v>
      </c>
      <c r="AL17">
        <f t="shared" si="23"/>
        <v>0.01</v>
      </c>
      <c r="AM17">
        <f>'Cibles THREEME'!BE25</f>
        <v>0.01</v>
      </c>
    </row>
    <row r="18" spans="2:39">
      <c r="B18" t="s">
        <v>429</v>
      </c>
      <c r="C18" t="s">
        <v>442</v>
      </c>
      <c r="D18">
        <f>+'Cibles THREEME'!AT17*11.63</f>
        <v>7.4278362382256802</v>
      </c>
      <c r="E18">
        <f t="shared" si="0"/>
        <v>6.9291281701791938</v>
      </c>
      <c r="F18">
        <f t="shared" si="1"/>
        <v>6.4304201021327074</v>
      </c>
      <c r="G18">
        <f t="shared" si="2"/>
        <v>5.9317120340862211</v>
      </c>
      <c r="H18">
        <f t="shared" si="3"/>
        <v>5.4330039660397347</v>
      </c>
      <c r="I18">
        <f>+'Cibles THREEME'!AU17</f>
        <v>4.9342958979932492</v>
      </c>
      <c r="J18">
        <f t="shared" si="4"/>
        <v>6.6115085194670238</v>
      </c>
      <c r="K18">
        <f t="shared" si="5"/>
        <v>8.2887211409407975</v>
      </c>
      <c r="L18">
        <f>+'Cibles THREEME'!AV17</f>
        <v>9.9659337624145721</v>
      </c>
      <c r="M18">
        <f t="shared" si="6"/>
        <v>9.9452149752233918</v>
      </c>
      <c r="N18">
        <f>+'Cibles THREEME'!AW17</f>
        <v>9.9244961880322116</v>
      </c>
      <c r="O18">
        <f t="shared" si="7"/>
        <v>10.316123993623863</v>
      </c>
      <c r="P18">
        <f t="shared" si="8"/>
        <v>10.707751799215515</v>
      </c>
      <c r="Q18">
        <f>+'Cibles THREEME'!AX17</f>
        <v>11.099379604807165</v>
      </c>
      <c r="R18">
        <f t="shared" si="9"/>
        <v>11.505588085338676</v>
      </c>
      <c r="S18">
        <f>+'Cibles THREEME'!AY17</f>
        <v>11.911796565870185</v>
      </c>
      <c r="T18">
        <f t="shared" si="10"/>
        <v>12.13381317835734</v>
      </c>
      <c r="U18">
        <f t="shared" si="11"/>
        <v>12.355829790844494</v>
      </c>
      <c r="V18">
        <f>+'Cibles THREEME'!AZ17</f>
        <v>12.577846403331648</v>
      </c>
      <c r="W18">
        <f t="shared" si="12"/>
        <v>12.804712105659393</v>
      </c>
      <c r="X18">
        <f>+'Cibles THREEME'!BA17</f>
        <v>13.031577807987137</v>
      </c>
      <c r="Y18">
        <f t="shared" si="13"/>
        <v>13.882229593615756</v>
      </c>
      <c r="Z18">
        <f t="shared" si="14"/>
        <v>14.732881379244375</v>
      </c>
      <c r="AA18">
        <f>+'Cibles THREEME'!BB17</f>
        <v>15.583533164872994</v>
      </c>
      <c r="AB18">
        <f t="shared" si="15"/>
        <v>16.465706735899889</v>
      </c>
      <c r="AC18">
        <f>+'Cibles THREEME'!BC17</f>
        <v>17.347880306926783</v>
      </c>
      <c r="AD18">
        <f t="shared" si="16"/>
        <v>17.596935855302011</v>
      </c>
      <c r="AE18">
        <f t="shared" si="17"/>
        <v>17.845991403677239</v>
      </c>
      <c r="AF18">
        <f t="shared" si="18"/>
        <v>18.095046952052467</v>
      </c>
      <c r="AG18">
        <f t="shared" si="19"/>
        <v>18.344102500427695</v>
      </c>
      <c r="AH18">
        <f>+'Cibles THREEME'!BD17</f>
        <v>18.593158048802927</v>
      </c>
      <c r="AI18">
        <f t="shared" si="20"/>
        <v>18.850834395855191</v>
      </c>
      <c r="AJ18">
        <f t="shared" si="21"/>
        <v>19.108510742907455</v>
      </c>
      <c r="AK18">
        <f t="shared" si="22"/>
        <v>19.36618708995972</v>
      </c>
      <c r="AL18">
        <f t="shared" si="23"/>
        <v>19.623863437011984</v>
      </c>
      <c r="AM18">
        <f>+'Cibles THREEME'!BE17</f>
        <v>19.881539784064241</v>
      </c>
    </row>
    <row r="19" spans="2:39">
      <c r="D19" s="580">
        <f>SUM(D3:D18)-('Cibles THREEME'!AT2-'Cibles THREEME'!AT27-'Cibles THREEME'!AT20)*11.63</f>
        <v>14.546015944450119</v>
      </c>
      <c r="E19" s="580"/>
      <c r="F19" s="580"/>
      <c r="G19" s="580"/>
      <c r="H19" s="580"/>
      <c r="I19" s="580">
        <f>SUM(I3:I18)-'Cibles THREEME'!AU2+'Cibles THREEME'!AU27+'Cibles THREEME'!AU20</f>
        <v>9.9999999999198508E-3</v>
      </c>
      <c r="L19" s="580">
        <f>SUM(L3:L18)-'Cibles THREEME'!AV2+'Cibles THREEME'!AV27+'Cibles THREEME'!AV20</f>
        <v>9.9999999996498445E-3</v>
      </c>
      <c r="N19" s="580">
        <f>SUM(N3:N18)-'Cibles THREEME'!AW2+'Cibles THREEME'!AW27+'Cibles THREEME'!AW20</f>
        <v>1.0000000000133014E-2</v>
      </c>
      <c r="Q19" s="580">
        <f>SUM(Q3:Q18)-'Cibles THREEME'!AX2+'Cibles THREEME'!AX27+'Cibles THREEME'!AX20</f>
        <v>1.0000000000147224E-2</v>
      </c>
      <c r="S19" s="580">
        <f>SUM(S3:S18)-'Cibles THREEME'!AY2+'Cibles THREEME'!AY27+'Cibles THREEME'!AY20</f>
        <v>1.0000000000061959E-2</v>
      </c>
      <c r="V19" s="580">
        <f>SUM(V3:V18)-'Cibles THREEME'!AZ2+'Cibles THREEME'!AZ27+'Cibles THREEME'!AZ20</f>
        <v>1.000000000007617E-2</v>
      </c>
      <c r="X19" s="580">
        <f>SUM(X3:X18)-'Cibles THREEME'!BA2+'Cibles THREEME'!BA27+'Cibles THREEME'!BA20</f>
        <v>9.9999999997777422E-3</v>
      </c>
      <c r="AA19" s="580">
        <f>SUM(AA3:AA18)-'Cibles THREEME'!BB2+'Cibles THREEME'!BB27+'Cibles THREEME'!BB20</f>
        <v>9.9999999999340616E-3</v>
      </c>
      <c r="AC19" s="580">
        <f>SUM(AC3:AC18)-'Cibles THREEME'!BC2+'Cibles THREEME'!BC27+'Cibles THREEME'!BC20</f>
        <v>9.9999999999056399E-3</v>
      </c>
      <c r="AH19" s="580">
        <f>SUM(AH3:AH18)-'Cibles THREEME'!BD2+'Cibles THREEME'!BD27+'Cibles THREEME'!BD20</f>
        <v>9.9999999994224709E-3</v>
      </c>
      <c r="AM19" s="580">
        <f>SUM(AM3:AM18)-'Cibles THREEME'!BE2+'Cibles THREEME'!BE27+'Cibles THREEME'!BE20</f>
        <v>1.0000000000061959E-2</v>
      </c>
    </row>
    <row r="20" spans="2:39">
      <c r="B20" t="s">
        <v>448</v>
      </c>
      <c r="C20" t="s">
        <v>470</v>
      </c>
      <c r="D20">
        <f>D3/SUM(D$3:D$4)</f>
        <v>0.94633507909423564</v>
      </c>
      <c r="E20">
        <f t="shared" ref="E20:H20" si="24">E3/SUM(E$3:E$4)</f>
        <v>0.94585723920133624</v>
      </c>
      <c r="F20">
        <f t="shared" si="24"/>
        <v>0.94535011389700185</v>
      </c>
      <c r="G20">
        <f t="shared" si="24"/>
        <v>0.94481092584790649</v>
      </c>
      <c r="H20">
        <f t="shared" si="24"/>
        <v>0.94423653506533911</v>
      </c>
      <c r="I20">
        <f>I3/SUM(I$3:I$4)</f>
        <v>0.9436233777146994</v>
      </c>
      <c r="J20">
        <f t="shared" si="4"/>
        <v>0.94059553899395243</v>
      </c>
      <c r="K20">
        <f t="shared" si="5"/>
        <v>0.93756770027320546</v>
      </c>
      <c r="L20">
        <f t="shared" ref="L20:AM20" si="25">L3/SUM(L$3:L$4)</f>
        <v>0.9345398615524585</v>
      </c>
      <c r="M20">
        <f t="shared" si="6"/>
        <v>0.93281474776590989</v>
      </c>
      <c r="N20">
        <f t="shared" si="25"/>
        <v>0.93108963397936129</v>
      </c>
      <c r="O20">
        <f t="shared" si="7"/>
        <v>0.93141469640065344</v>
      </c>
      <c r="P20">
        <f t="shared" si="8"/>
        <v>0.9317397588219456</v>
      </c>
      <c r="Q20">
        <f t="shared" si="25"/>
        <v>0.93206482124323764</v>
      </c>
      <c r="R20">
        <f t="shared" si="9"/>
        <v>0.93244008618921315</v>
      </c>
      <c r="S20">
        <f t="shared" si="25"/>
        <v>0.93281535113518865</v>
      </c>
      <c r="T20">
        <f t="shared" si="10"/>
        <v>0.93321098950630887</v>
      </c>
      <c r="U20">
        <f t="shared" si="11"/>
        <v>0.9336066278774291</v>
      </c>
      <c r="V20">
        <f t="shared" si="25"/>
        <v>0.93400226624854921</v>
      </c>
      <c r="W20">
        <f t="shared" si="12"/>
        <v>0.93445534515147588</v>
      </c>
      <c r="X20">
        <f t="shared" si="25"/>
        <v>0.93490842405440266</v>
      </c>
      <c r="Y20">
        <f t="shared" si="13"/>
        <v>0.9353097099755493</v>
      </c>
      <c r="Z20">
        <f t="shared" si="14"/>
        <v>0.93571099589669593</v>
      </c>
      <c r="AA20">
        <f t="shared" si="25"/>
        <v>0.93611228181784267</v>
      </c>
      <c r="AB20">
        <f t="shared" si="15"/>
        <v>0.93656635211138251</v>
      </c>
      <c r="AC20">
        <f t="shared" si="25"/>
        <v>0.93702042240492245</v>
      </c>
      <c r="AD20">
        <f t="shared" si="16"/>
        <v>0.93725716172333029</v>
      </c>
      <c r="AE20">
        <f t="shared" si="17"/>
        <v>0.93749390104173813</v>
      </c>
      <c r="AF20">
        <f t="shared" si="18"/>
        <v>0.93773064036014597</v>
      </c>
      <c r="AG20">
        <f t="shared" si="19"/>
        <v>0.93796737967855381</v>
      </c>
      <c r="AH20">
        <f t="shared" si="25"/>
        <v>0.93820411899696143</v>
      </c>
      <c r="AI20">
        <f t="shared" si="20"/>
        <v>0.93819765082375972</v>
      </c>
      <c r="AJ20">
        <f t="shared" si="21"/>
        <v>0.93819118265055801</v>
      </c>
      <c r="AK20">
        <f t="shared" si="22"/>
        <v>0.9381847144773563</v>
      </c>
      <c r="AL20">
        <f t="shared" si="23"/>
        <v>0.93817824630415458</v>
      </c>
      <c r="AM20">
        <f t="shared" si="25"/>
        <v>0.93817177813095276</v>
      </c>
    </row>
    <row r="21" spans="2:39">
      <c r="B21" t="s">
        <v>447</v>
      </c>
      <c r="C21" t="s">
        <v>469</v>
      </c>
      <c r="D21">
        <f>D4/SUM(D$3:D$4)</f>
        <v>5.3664920905764364E-2</v>
      </c>
      <c r="E21">
        <f t="shared" ref="E21:H21" si="26">E4/SUM(E$3:E$4)</f>
        <v>5.4142760798663724E-2</v>
      </c>
      <c r="F21">
        <f t="shared" si="26"/>
        <v>5.4649886102998174E-2</v>
      </c>
      <c r="G21">
        <f t="shared" si="26"/>
        <v>5.5189074152093516E-2</v>
      </c>
      <c r="H21">
        <f t="shared" si="26"/>
        <v>5.5763464934660799E-2</v>
      </c>
      <c r="I21">
        <f>I4/SUM(I$3:I$4)</f>
        <v>5.6376622285300708E-2</v>
      </c>
      <c r="J21">
        <f t="shared" si="4"/>
        <v>5.9404461006047633E-2</v>
      </c>
      <c r="K21">
        <f t="shared" si="5"/>
        <v>6.2432299726794559E-2</v>
      </c>
      <c r="L21">
        <f t="shared" ref="L21:AM21" si="27">L4/SUM(L$3:L$4)</f>
        <v>6.5460138447541491E-2</v>
      </c>
      <c r="M21">
        <f t="shared" si="6"/>
        <v>6.7185252234090109E-2</v>
      </c>
      <c r="N21">
        <f t="shared" si="27"/>
        <v>6.8910366020638714E-2</v>
      </c>
      <c r="O21">
        <f t="shared" si="7"/>
        <v>6.8585303599346628E-2</v>
      </c>
      <c r="P21">
        <f t="shared" si="8"/>
        <v>6.8260241178054543E-2</v>
      </c>
      <c r="Q21">
        <f t="shared" si="27"/>
        <v>6.7935178756762471E-2</v>
      </c>
      <c r="R21">
        <f t="shared" si="9"/>
        <v>6.7559913810786909E-2</v>
      </c>
      <c r="S21">
        <f t="shared" si="27"/>
        <v>6.7184648864811333E-2</v>
      </c>
      <c r="T21">
        <f t="shared" si="10"/>
        <v>6.6789010493691181E-2</v>
      </c>
      <c r="U21">
        <f t="shared" si="11"/>
        <v>6.6393372122571029E-2</v>
      </c>
      <c r="V21">
        <f t="shared" si="27"/>
        <v>6.599773375145089E-2</v>
      </c>
      <c r="W21">
        <f t="shared" si="12"/>
        <v>6.5544654848524148E-2</v>
      </c>
      <c r="X21">
        <f t="shared" si="27"/>
        <v>6.5091575945597419E-2</v>
      </c>
      <c r="Y21">
        <f t="shared" si="13"/>
        <v>6.4690290024450744E-2</v>
      </c>
      <c r="Z21">
        <f t="shared" si="14"/>
        <v>6.428900410330407E-2</v>
      </c>
      <c r="AA21">
        <f t="shared" si="27"/>
        <v>6.3887718182157383E-2</v>
      </c>
      <c r="AB21">
        <f t="shared" si="15"/>
        <v>6.3433647888617509E-2</v>
      </c>
      <c r="AC21">
        <f t="shared" si="27"/>
        <v>6.2979577595077635E-2</v>
      </c>
      <c r="AD21">
        <f t="shared" si="16"/>
        <v>6.2742838276669835E-2</v>
      </c>
      <c r="AE21">
        <f t="shared" si="17"/>
        <v>6.2506098958262035E-2</v>
      </c>
      <c r="AF21">
        <f t="shared" si="18"/>
        <v>6.2269359639854235E-2</v>
      </c>
      <c r="AG21">
        <f t="shared" si="19"/>
        <v>6.2032620321446436E-2</v>
      </c>
      <c r="AH21">
        <f t="shared" si="27"/>
        <v>6.1795881003038636E-2</v>
      </c>
      <c r="AI21">
        <f t="shared" si="20"/>
        <v>6.1802349176240355E-2</v>
      </c>
      <c r="AJ21">
        <f t="shared" si="21"/>
        <v>6.1808817349442075E-2</v>
      </c>
      <c r="AK21">
        <f t="shared" si="22"/>
        <v>6.1815285522643794E-2</v>
      </c>
      <c r="AL21">
        <f t="shared" si="23"/>
        <v>6.1821753695845513E-2</v>
      </c>
      <c r="AM21">
        <f t="shared" si="27"/>
        <v>6.1828221869047219E-2</v>
      </c>
    </row>
    <row r="22" spans="2:39">
      <c r="B22" t="s">
        <v>446</v>
      </c>
      <c r="C22" t="s">
        <v>472</v>
      </c>
      <c r="D22">
        <f>D5/SUM(D$5:D$6)</f>
        <v>0.98946100231093503</v>
      </c>
      <c r="E22">
        <f t="shared" ref="E22:H22" si="28">E5/SUM(E$5:E$6)</f>
        <v>0.98788516634123691</v>
      </c>
      <c r="F22">
        <f t="shared" si="28"/>
        <v>0.98619945316459789</v>
      </c>
      <c r="G22">
        <f t="shared" si="28"/>
        <v>0.98439195566531823</v>
      </c>
      <c r="H22">
        <f t="shared" si="28"/>
        <v>0.98244898179261086</v>
      </c>
      <c r="I22">
        <f>I5/SUM(I$5:I$6)</f>
        <v>0.98035470707498895</v>
      </c>
      <c r="J22">
        <f t="shared" si="4"/>
        <v>0.97937528399461315</v>
      </c>
      <c r="K22">
        <f t="shared" si="5"/>
        <v>0.97839586091423736</v>
      </c>
      <c r="L22">
        <f t="shared" ref="L22:AM22" si="29">L5/SUM(L$5:L$6)</f>
        <v>0.97741643783386156</v>
      </c>
      <c r="M22">
        <f t="shared" si="6"/>
        <v>0.97653380151303093</v>
      </c>
      <c r="N22">
        <f t="shared" si="29"/>
        <v>0.97565116519220041</v>
      </c>
      <c r="O22">
        <f t="shared" si="7"/>
        <v>0.97440737158884894</v>
      </c>
      <c r="P22">
        <f t="shared" si="8"/>
        <v>0.97316357798549746</v>
      </c>
      <c r="Q22">
        <f t="shared" si="29"/>
        <v>0.9719197843821461</v>
      </c>
      <c r="R22">
        <f t="shared" si="9"/>
        <v>0.97033503005571309</v>
      </c>
      <c r="S22">
        <f t="shared" si="29"/>
        <v>0.96875027572928007</v>
      </c>
      <c r="T22">
        <f t="shared" si="10"/>
        <v>0.96723900377514505</v>
      </c>
      <c r="U22">
        <f t="shared" si="11"/>
        <v>0.96572773182101002</v>
      </c>
      <c r="V22">
        <f t="shared" si="29"/>
        <v>0.9642164598668751</v>
      </c>
      <c r="W22">
        <f t="shared" si="12"/>
        <v>0.96242612702665808</v>
      </c>
      <c r="X22">
        <f t="shared" si="29"/>
        <v>0.96063579418644118</v>
      </c>
      <c r="Y22">
        <f t="shared" si="13"/>
        <v>0.9586588457985491</v>
      </c>
      <c r="Z22">
        <f t="shared" si="14"/>
        <v>0.95668189741065701</v>
      </c>
      <c r="AA22">
        <f t="shared" si="29"/>
        <v>0.95470494902276493</v>
      </c>
      <c r="AB22">
        <f t="shared" si="15"/>
        <v>0.95246498043275141</v>
      </c>
      <c r="AC22">
        <f t="shared" si="29"/>
        <v>0.95022501184273778</v>
      </c>
      <c r="AD22">
        <f t="shared" si="16"/>
        <v>0.94767321934684035</v>
      </c>
      <c r="AE22">
        <f t="shared" si="17"/>
        <v>0.94512142685094291</v>
      </c>
      <c r="AF22">
        <f t="shared" si="18"/>
        <v>0.94256963435504548</v>
      </c>
      <c r="AG22">
        <f t="shared" si="19"/>
        <v>0.94001784185914805</v>
      </c>
      <c r="AH22">
        <f t="shared" si="29"/>
        <v>0.93746604936325084</v>
      </c>
      <c r="AI22">
        <f t="shared" si="20"/>
        <v>0.93535329153959046</v>
      </c>
      <c r="AJ22">
        <f t="shared" si="21"/>
        <v>0.93324053371593008</v>
      </c>
      <c r="AK22">
        <f t="shared" si="22"/>
        <v>0.93112777589226969</v>
      </c>
      <c r="AL22">
        <f t="shared" si="23"/>
        <v>0.92901501806860931</v>
      </c>
      <c r="AM22">
        <f t="shared" si="29"/>
        <v>0.92690226024494915</v>
      </c>
    </row>
    <row r="23" spans="2:39">
      <c r="B23" t="s">
        <v>445</v>
      </c>
      <c r="C23" t="s">
        <v>471</v>
      </c>
      <c r="D23">
        <f>D6/SUM(D$5:D$6)</f>
        <v>1.053899768906486E-2</v>
      </c>
      <c r="E23">
        <f t="shared" ref="E23:H23" si="30">E6/SUM(E$5:E$6)</f>
        <v>1.211483365876318E-2</v>
      </c>
      <c r="F23">
        <f t="shared" si="30"/>
        <v>1.3800546835402123E-2</v>
      </c>
      <c r="G23">
        <f t="shared" si="30"/>
        <v>1.5608044334681759E-2</v>
      </c>
      <c r="H23">
        <f t="shared" si="30"/>
        <v>1.7551018207389125E-2</v>
      </c>
      <c r="I23">
        <f>I6/SUM(I$5:I$6)</f>
        <v>1.9645292925011066E-2</v>
      </c>
      <c r="J23">
        <f t="shared" si="4"/>
        <v>2.0624716005386821E-2</v>
      </c>
      <c r="K23">
        <f t="shared" si="5"/>
        <v>2.1604139085762575E-2</v>
      </c>
      <c r="L23">
        <f t="shared" ref="L23:AM23" si="31">L6/SUM(L$5:L$6)</f>
        <v>2.2583562166138327E-2</v>
      </c>
      <c r="M23">
        <f t="shared" si="6"/>
        <v>2.3466198486968952E-2</v>
      </c>
      <c r="N23">
        <f t="shared" si="31"/>
        <v>2.4348834807799574E-2</v>
      </c>
      <c r="O23">
        <f t="shared" si="7"/>
        <v>2.5592628411151008E-2</v>
      </c>
      <c r="P23">
        <f t="shared" si="8"/>
        <v>2.6836422014502443E-2</v>
      </c>
      <c r="Q23">
        <f t="shared" si="31"/>
        <v>2.8080215617853878E-2</v>
      </c>
      <c r="R23">
        <f t="shared" si="9"/>
        <v>2.9664969944286863E-2</v>
      </c>
      <c r="S23">
        <f t="shared" si="31"/>
        <v>3.1249724270719845E-2</v>
      </c>
      <c r="T23">
        <f t="shared" si="10"/>
        <v>3.2760996224854885E-2</v>
      </c>
      <c r="U23">
        <f t="shared" si="11"/>
        <v>3.4272268178989922E-2</v>
      </c>
      <c r="V23">
        <f t="shared" si="31"/>
        <v>3.5783540133124958E-2</v>
      </c>
      <c r="W23">
        <f t="shared" si="12"/>
        <v>3.7573872973341929E-2</v>
      </c>
      <c r="X23">
        <f t="shared" si="31"/>
        <v>3.9364205813558893E-2</v>
      </c>
      <c r="Y23">
        <f t="shared" si="13"/>
        <v>4.1341154201450993E-2</v>
      </c>
      <c r="Z23">
        <f t="shared" si="14"/>
        <v>4.3318102589343092E-2</v>
      </c>
      <c r="AA23">
        <f t="shared" si="31"/>
        <v>4.5295050977235192E-2</v>
      </c>
      <c r="AB23">
        <f t="shared" si="15"/>
        <v>4.7535019567248676E-2</v>
      </c>
      <c r="AC23">
        <f t="shared" si="31"/>
        <v>4.9774988157262161E-2</v>
      </c>
      <c r="AD23">
        <f t="shared" si="16"/>
        <v>5.2326780653159578E-2</v>
      </c>
      <c r="AE23">
        <f t="shared" si="17"/>
        <v>5.4878573149056996E-2</v>
      </c>
      <c r="AF23">
        <f t="shared" si="18"/>
        <v>5.7430365644954413E-2</v>
      </c>
      <c r="AG23">
        <f t="shared" si="19"/>
        <v>5.9982158140851831E-2</v>
      </c>
      <c r="AH23">
        <f t="shared" si="31"/>
        <v>6.2533950636749255E-2</v>
      </c>
      <c r="AI23">
        <f t="shared" si="20"/>
        <v>6.4646708460409569E-2</v>
      </c>
      <c r="AJ23">
        <f t="shared" si="21"/>
        <v>6.6759466284069882E-2</v>
      </c>
      <c r="AK23">
        <f t="shared" si="22"/>
        <v>6.8872224107730196E-2</v>
      </c>
      <c r="AL23">
        <f t="shared" si="23"/>
        <v>7.0984981931390509E-2</v>
      </c>
      <c r="AM23">
        <f t="shared" si="31"/>
        <v>7.3097739755050836E-2</v>
      </c>
    </row>
    <row r="24" spans="2:39">
      <c r="B24" t="s">
        <v>419</v>
      </c>
      <c r="C24" t="s">
        <v>467</v>
      </c>
      <c r="D24">
        <f>D7/SUM(D$7:D$9)</f>
        <v>0.84617243591556013</v>
      </c>
      <c r="E24">
        <f t="shared" ref="E24:H24" si="32">E7/SUM(E$7:E$9)</f>
        <v>0.84476059508812917</v>
      </c>
      <c r="F24">
        <f t="shared" si="32"/>
        <v>0.84334434504335365</v>
      </c>
      <c r="G24">
        <f t="shared" si="32"/>
        <v>0.84192366509377103</v>
      </c>
      <c r="H24">
        <f t="shared" si="32"/>
        <v>0.84049853442229927</v>
      </c>
      <c r="I24">
        <f>I7/SUM(I$7:I$9)</f>
        <v>0.83906893208121935</v>
      </c>
      <c r="J24">
        <f t="shared" si="4"/>
        <v>0.84178521739276524</v>
      </c>
      <c r="K24">
        <f t="shared" si="5"/>
        <v>0.84450150270431112</v>
      </c>
      <c r="L24">
        <f t="shared" ref="L24:AM24" si="33">L7/SUM(L$7:L$9)</f>
        <v>0.8472177880158569</v>
      </c>
      <c r="M24">
        <f t="shared" si="6"/>
        <v>0.83916063855524614</v>
      </c>
      <c r="N24">
        <f t="shared" si="33"/>
        <v>0.83110348909463538</v>
      </c>
      <c r="O24">
        <f t="shared" si="7"/>
        <v>0.82528159127559675</v>
      </c>
      <c r="P24">
        <f t="shared" si="8"/>
        <v>0.81945969345655811</v>
      </c>
      <c r="Q24">
        <f t="shared" si="33"/>
        <v>0.81363779563751937</v>
      </c>
      <c r="R24">
        <f t="shared" si="9"/>
        <v>0.80748994866759705</v>
      </c>
      <c r="S24">
        <f t="shared" si="33"/>
        <v>0.80134210169767472</v>
      </c>
      <c r="T24">
        <f t="shared" si="10"/>
        <v>0.7965101897870881</v>
      </c>
      <c r="U24">
        <f t="shared" si="11"/>
        <v>0.79167827787650147</v>
      </c>
      <c r="V24">
        <f t="shared" si="33"/>
        <v>0.78684636596591473</v>
      </c>
      <c r="W24">
        <f t="shared" si="12"/>
        <v>0.78182689040200359</v>
      </c>
      <c r="X24">
        <f t="shared" si="33"/>
        <v>0.77680741483809257</v>
      </c>
      <c r="Y24">
        <f t="shared" si="13"/>
        <v>0.77376486202183548</v>
      </c>
      <c r="Z24">
        <f t="shared" si="14"/>
        <v>0.77072230920557838</v>
      </c>
      <c r="AA24">
        <f t="shared" si="33"/>
        <v>0.76767975638932118</v>
      </c>
      <c r="AB24">
        <f t="shared" si="15"/>
        <v>0.76456515005098291</v>
      </c>
      <c r="AC24">
        <f t="shared" si="33"/>
        <v>0.76145054371264465</v>
      </c>
      <c r="AD24">
        <f t="shared" si="16"/>
        <v>0.75793458302981132</v>
      </c>
      <c r="AE24">
        <f t="shared" si="17"/>
        <v>0.75441862234697799</v>
      </c>
      <c r="AF24">
        <f t="shared" si="18"/>
        <v>0.75090266166414465</v>
      </c>
      <c r="AG24">
        <f t="shared" si="19"/>
        <v>0.74738670098131132</v>
      </c>
      <c r="AH24">
        <f t="shared" si="33"/>
        <v>0.74387074029847811</v>
      </c>
      <c r="AI24">
        <f t="shared" si="20"/>
        <v>0.73917680766619098</v>
      </c>
      <c r="AJ24">
        <f t="shared" si="21"/>
        <v>0.73448287503390386</v>
      </c>
      <c r="AK24">
        <f t="shared" si="22"/>
        <v>0.72978894240161674</v>
      </c>
      <c r="AL24">
        <f t="shared" si="23"/>
        <v>0.72509500976932961</v>
      </c>
      <c r="AM24">
        <f t="shared" si="33"/>
        <v>0.7204010771370426</v>
      </c>
    </row>
    <row r="25" spans="2:39">
      <c r="B25" t="s">
        <v>420</v>
      </c>
      <c r="C25" t="s">
        <v>466</v>
      </c>
      <c r="D25">
        <f t="shared" ref="D25:H25" si="34">D8/SUM(D$7:D$9)</f>
        <v>0.14367118023947198</v>
      </c>
      <c r="E25">
        <f t="shared" si="34"/>
        <v>0.14509996701877137</v>
      </c>
      <c r="F25">
        <f t="shared" si="34"/>
        <v>0.14653321593808435</v>
      </c>
      <c r="G25">
        <f t="shared" si="34"/>
        <v>0.14797094793317955</v>
      </c>
      <c r="H25">
        <f t="shared" si="34"/>
        <v>0.14941318407100118</v>
      </c>
      <c r="I25">
        <f t="shared" ref="I25:AM26" si="35">I8/SUM(I$7:I$9)</f>
        <v>0.15085994555069809</v>
      </c>
      <c r="J25">
        <f t="shared" si="4"/>
        <v>0.14811105738530642</v>
      </c>
      <c r="K25">
        <f t="shared" si="5"/>
        <v>0.14536216921991474</v>
      </c>
      <c r="L25">
        <f t="shared" si="35"/>
        <v>0.14261328105452309</v>
      </c>
      <c r="M25">
        <f t="shared" si="6"/>
        <v>0.15076713834812971</v>
      </c>
      <c r="N25">
        <f t="shared" si="35"/>
        <v>0.15892099564173637</v>
      </c>
      <c r="O25">
        <f t="shared" si="7"/>
        <v>0.1648127721597808</v>
      </c>
      <c r="P25">
        <f t="shared" si="8"/>
        <v>0.17070454867782522</v>
      </c>
      <c r="Q25">
        <f t="shared" si="35"/>
        <v>0.17659632519586962</v>
      </c>
      <c r="R25">
        <f t="shared" si="9"/>
        <v>0.18281796314620732</v>
      </c>
      <c r="S25">
        <f t="shared" si="35"/>
        <v>0.18903960109654502</v>
      </c>
      <c r="T25">
        <f t="shared" si="10"/>
        <v>0.19392950916723575</v>
      </c>
      <c r="U25">
        <f t="shared" si="11"/>
        <v>0.19881941723792648</v>
      </c>
      <c r="V25">
        <f t="shared" si="35"/>
        <v>0.20370932530861718</v>
      </c>
      <c r="W25">
        <f t="shared" si="12"/>
        <v>0.20878904830953249</v>
      </c>
      <c r="X25">
        <f t="shared" si="35"/>
        <v>0.21386877131044779</v>
      </c>
      <c r="Y25">
        <f t="shared" si="13"/>
        <v>0.21694784308307702</v>
      </c>
      <c r="Z25">
        <f t="shared" si="14"/>
        <v>0.22002691485570625</v>
      </c>
      <c r="AA25">
        <f t="shared" si="35"/>
        <v>0.2231059866283355</v>
      </c>
      <c r="AB25">
        <f t="shared" si="15"/>
        <v>0.2262579767624055</v>
      </c>
      <c r="AC25">
        <f t="shared" si="35"/>
        <v>0.22940996689647553</v>
      </c>
      <c r="AD25">
        <f t="shared" si="16"/>
        <v>0.23296812872503636</v>
      </c>
      <c r="AE25">
        <f t="shared" si="17"/>
        <v>0.2365262905535972</v>
      </c>
      <c r="AF25">
        <f t="shared" si="18"/>
        <v>0.24008445238215803</v>
      </c>
      <c r="AG25">
        <f t="shared" si="19"/>
        <v>0.24364261421071887</v>
      </c>
      <c r="AH25">
        <f t="shared" si="35"/>
        <v>0.24720077603927967</v>
      </c>
      <c r="AI25">
        <f t="shared" si="20"/>
        <v>0.25195104870290375</v>
      </c>
      <c r="AJ25">
        <f t="shared" si="21"/>
        <v>0.25670132136652779</v>
      </c>
      <c r="AK25">
        <f t="shared" si="22"/>
        <v>0.26145159403015183</v>
      </c>
      <c r="AL25">
        <f t="shared" si="23"/>
        <v>0.26620186669377588</v>
      </c>
      <c r="AM25">
        <f t="shared" si="35"/>
        <v>0.27095213935739998</v>
      </c>
    </row>
    <row r="26" spans="2:39">
      <c r="B26" t="s">
        <v>444</v>
      </c>
      <c r="C26" t="s">
        <v>468</v>
      </c>
      <c r="D26">
        <f t="shared" ref="D26:H26" si="36">D9/SUM(D$7:D$9)</f>
        <v>1.0156383844967865E-2</v>
      </c>
      <c r="E26">
        <f t="shared" si="36"/>
        <v>1.0139437893099472E-2</v>
      </c>
      <c r="F26">
        <f t="shared" si="36"/>
        <v>1.0122439018562003E-2</v>
      </c>
      <c r="G26">
        <f t="shared" si="36"/>
        <v>1.0105386973049319E-2</v>
      </c>
      <c r="H26">
        <f t="shared" si="36"/>
        <v>1.0088281506699494E-2</v>
      </c>
      <c r="I26">
        <f t="shared" si="35"/>
        <v>1.0071122368082597E-2</v>
      </c>
      <c r="J26">
        <f t="shared" si="4"/>
        <v>1.0103725221928407E-2</v>
      </c>
      <c r="K26">
        <f t="shared" si="5"/>
        <v>1.0136328075774217E-2</v>
      </c>
      <c r="L26">
        <f t="shared" si="35"/>
        <v>1.0168930929620025E-2</v>
      </c>
      <c r="M26">
        <f t="shared" si="6"/>
        <v>1.0072223096624144E-2</v>
      </c>
      <c r="N26">
        <f t="shared" si="35"/>
        <v>9.9755152636282658E-3</v>
      </c>
      <c r="O26">
        <f t="shared" si="7"/>
        <v>9.9056365646224779E-3</v>
      </c>
      <c r="P26">
        <f t="shared" si="8"/>
        <v>9.83575786561669E-3</v>
      </c>
      <c r="Q26">
        <f t="shared" si="35"/>
        <v>9.765879166610902E-3</v>
      </c>
      <c r="R26">
        <f t="shared" si="9"/>
        <v>9.6920881861955535E-3</v>
      </c>
      <c r="S26">
        <f t="shared" si="35"/>
        <v>9.6182972057802033E-3</v>
      </c>
      <c r="T26">
        <f t="shared" si="10"/>
        <v>9.5603010456761558E-3</v>
      </c>
      <c r="U26">
        <f t="shared" si="11"/>
        <v>9.5023048855721083E-3</v>
      </c>
      <c r="V26">
        <f t="shared" si="35"/>
        <v>9.4443087254680626E-3</v>
      </c>
      <c r="W26">
        <f t="shared" si="12"/>
        <v>9.3840612884638561E-3</v>
      </c>
      <c r="X26">
        <f t="shared" si="35"/>
        <v>9.3238138514596513E-3</v>
      </c>
      <c r="Y26">
        <f t="shared" si="13"/>
        <v>9.2872948950875264E-3</v>
      </c>
      <c r="Z26">
        <f t="shared" si="14"/>
        <v>9.2507759387154016E-3</v>
      </c>
      <c r="AA26">
        <f t="shared" si="35"/>
        <v>9.214256982343275E-3</v>
      </c>
      <c r="AB26">
        <f t="shared" si="15"/>
        <v>9.1768731866114905E-3</v>
      </c>
      <c r="AC26">
        <f t="shared" si="35"/>
        <v>9.139489390879706E-3</v>
      </c>
      <c r="AD26">
        <f t="shared" si="16"/>
        <v>9.0972882451522026E-3</v>
      </c>
      <c r="AE26">
        <f t="shared" si="17"/>
        <v>9.0550870994246992E-3</v>
      </c>
      <c r="AF26">
        <f t="shared" si="18"/>
        <v>9.0128859536971959E-3</v>
      </c>
      <c r="AG26">
        <f t="shared" si="19"/>
        <v>8.9706848079696925E-3</v>
      </c>
      <c r="AH26">
        <f t="shared" si="35"/>
        <v>8.9284836622421856E-3</v>
      </c>
      <c r="AI26">
        <f t="shared" si="20"/>
        <v>8.8721436309052559E-3</v>
      </c>
      <c r="AJ26">
        <f t="shared" si="21"/>
        <v>8.8158035995683261E-3</v>
      </c>
      <c r="AK26">
        <f t="shared" si="22"/>
        <v>8.7594635682313963E-3</v>
      </c>
      <c r="AL26">
        <f t="shared" si="23"/>
        <v>8.7031235368944665E-3</v>
      </c>
      <c r="AM26">
        <f t="shared" si="35"/>
        <v>8.6467835055575384E-3</v>
      </c>
    </row>
    <row r="27" spans="2:39">
      <c r="B27" t="s">
        <v>421</v>
      </c>
      <c r="C27" t="s">
        <v>462</v>
      </c>
      <c r="D27">
        <f>D10/SUM(D$10:D$18)</f>
        <v>0.75159972710979583</v>
      </c>
      <c r="E27">
        <f t="shared" ref="E27:H27" si="37">E10/SUM(E$10:E$18)</f>
        <v>0.74118000475145918</v>
      </c>
      <c r="F27">
        <f t="shared" si="37"/>
        <v>0.73025601817675123</v>
      </c>
      <c r="G27">
        <f t="shared" si="37"/>
        <v>0.71879025371817751</v>
      </c>
      <c r="H27">
        <f t="shared" si="37"/>
        <v>0.70674138209027104</v>
      </c>
      <c r="I27">
        <f>I10/SUM(I$10:I$18)</f>
        <v>0.69406376061077524</v>
      </c>
      <c r="J27">
        <f t="shared" si="4"/>
        <v>0.69308533153294338</v>
      </c>
      <c r="K27">
        <f t="shared" si="5"/>
        <v>0.69210690245511153</v>
      </c>
      <c r="L27">
        <f t="shared" ref="L27:AM27" si="38">L10/SUM(L$10:L$18)</f>
        <v>0.69112847337727967</v>
      </c>
      <c r="M27">
        <f t="shared" si="6"/>
        <v>0.68868777160261119</v>
      </c>
      <c r="N27">
        <f t="shared" si="38"/>
        <v>0.6862470698279427</v>
      </c>
      <c r="O27">
        <f t="shared" si="7"/>
        <v>0.67787692962390955</v>
      </c>
      <c r="P27">
        <f t="shared" si="8"/>
        <v>0.6695067894198764</v>
      </c>
      <c r="Q27">
        <f t="shared" si="38"/>
        <v>0.66113664921584336</v>
      </c>
      <c r="R27">
        <f t="shared" si="9"/>
        <v>0.65479548731489534</v>
      </c>
      <c r="S27">
        <f t="shared" si="38"/>
        <v>0.64845432541394732</v>
      </c>
      <c r="T27">
        <f t="shared" si="10"/>
        <v>0.63499621560577602</v>
      </c>
      <c r="U27">
        <f t="shared" si="11"/>
        <v>0.62153810579760471</v>
      </c>
      <c r="V27">
        <f t="shared" si="38"/>
        <v>0.6080799959894333</v>
      </c>
      <c r="W27">
        <f t="shared" si="12"/>
        <v>0.59470137816770519</v>
      </c>
      <c r="X27">
        <f t="shared" si="38"/>
        <v>0.58132276034597707</v>
      </c>
      <c r="Y27">
        <f t="shared" si="13"/>
        <v>0.56689077699061974</v>
      </c>
      <c r="Z27">
        <f t="shared" si="14"/>
        <v>0.5524587936352624</v>
      </c>
      <c r="AA27">
        <f t="shared" si="38"/>
        <v>0.53802681027990518</v>
      </c>
      <c r="AB27">
        <f t="shared" si="15"/>
        <v>0.52367999724859771</v>
      </c>
      <c r="AC27">
        <f t="shared" si="38"/>
        <v>0.50933318421729024</v>
      </c>
      <c r="AD27">
        <f t="shared" si="16"/>
        <v>0.49619240177805846</v>
      </c>
      <c r="AE27">
        <f t="shared" si="17"/>
        <v>0.48305161933882668</v>
      </c>
      <c r="AF27">
        <f t="shared" si="18"/>
        <v>0.4699108368995949</v>
      </c>
      <c r="AG27">
        <f t="shared" si="19"/>
        <v>0.45677005446036312</v>
      </c>
      <c r="AH27">
        <f t="shared" si="38"/>
        <v>0.44362927202113134</v>
      </c>
      <c r="AI27">
        <f t="shared" si="20"/>
        <v>0.42950281937989659</v>
      </c>
      <c r="AJ27">
        <f t="shared" si="21"/>
        <v>0.41537636673866185</v>
      </c>
      <c r="AK27">
        <f t="shared" si="22"/>
        <v>0.40124991409742711</v>
      </c>
      <c r="AL27">
        <f t="shared" si="23"/>
        <v>0.38712346145619236</v>
      </c>
      <c r="AM27">
        <f t="shared" si="38"/>
        <v>0.37299700881495751</v>
      </c>
    </row>
    <row r="28" spans="2:39">
      <c r="B28" t="s">
        <v>422</v>
      </c>
      <c r="C28" t="s">
        <v>463</v>
      </c>
      <c r="D28">
        <f t="shared" ref="D28:H28" si="39">D11/SUM(D$10:D$18)</f>
        <v>5.9065862568790251E-3</v>
      </c>
      <c r="E28">
        <f t="shared" si="39"/>
        <v>5.36363509048687E-3</v>
      </c>
      <c r="F28">
        <f t="shared" si="39"/>
        <v>4.7944077110601687E-3</v>
      </c>
      <c r="G28">
        <f t="shared" si="39"/>
        <v>4.1969493554275495E-3</v>
      </c>
      <c r="H28">
        <f t="shared" si="39"/>
        <v>3.5691064360961239E-3</v>
      </c>
      <c r="I28">
        <f t="shared" ref="I28:AM35" si="40">I11/SUM(I$10:I$18)</f>
        <v>2.9085006029797322E-3</v>
      </c>
      <c r="J28">
        <f t="shared" si="4"/>
        <v>4.6656800141323673E-3</v>
      </c>
      <c r="K28">
        <f t="shared" si="5"/>
        <v>6.4228594252850029E-3</v>
      </c>
      <c r="L28">
        <f t="shared" si="40"/>
        <v>8.1800388364376385E-3</v>
      </c>
      <c r="M28">
        <f t="shared" si="6"/>
        <v>7.0783667274493698E-3</v>
      </c>
      <c r="N28">
        <f t="shared" si="40"/>
        <v>5.9766946184611012E-3</v>
      </c>
      <c r="O28">
        <f t="shared" si="7"/>
        <v>5.8681631886820483E-3</v>
      </c>
      <c r="P28">
        <f t="shared" si="8"/>
        <v>5.7596317589029954E-3</v>
      </c>
      <c r="Q28">
        <f t="shared" si="40"/>
        <v>5.6511003291239417E-3</v>
      </c>
      <c r="R28">
        <f t="shared" si="9"/>
        <v>5.5615669571811126E-3</v>
      </c>
      <c r="S28">
        <f t="shared" si="40"/>
        <v>5.4720335852382843E-3</v>
      </c>
      <c r="T28">
        <f t="shared" si="10"/>
        <v>5.5287849327037737E-3</v>
      </c>
      <c r="U28">
        <f t="shared" si="11"/>
        <v>5.5855362801692631E-3</v>
      </c>
      <c r="V28">
        <f t="shared" si="40"/>
        <v>5.6422876276347525E-3</v>
      </c>
      <c r="W28">
        <f t="shared" si="12"/>
        <v>5.6986874265128155E-3</v>
      </c>
      <c r="X28">
        <f t="shared" si="40"/>
        <v>5.7550872253908786E-3</v>
      </c>
      <c r="Y28">
        <f t="shared" si="13"/>
        <v>5.6834124580448214E-3</v>
      </c>
      <c r="Z28">
        <f t="shared" si="14"/>
        <v>5.6117376906987641E-3</v>
      </c>
      <c r="AA28">
        <f t="shared" si="40"/>
        <v>5.540062923352706E-3</v>
      </c>
      <c r="AB28">
        <f t="shared" si="15"/>
        <v>5.4688366232402358E-3</v>
      </c>
      <c r="AC28">
        <f t="shared" si="40"/>
        <v>5.3976103231277656E-3</v>
      </c>
      <c r="AD28">
        <f t="shared" si="16"/>
        <v>5.4482288657314859E-3</v>
      </c>
      <c r="AE28">
        <f t="shared" si="17"/>
        <v>5.4988474083352062E-3</v>
      </c>
      <c r="AF28">
        <f t="shared" si="18"/>
        <v>5.5494659509389265E-3</v>
      </c>
      <c r="AG28">
        <f t="shared" si="19"/>
        <v>5.6000844935426468E-3</v>
      </c>
      <c r="AH28">
        <f t="shared" si="40"/>
        <v>5.6507030361463654E-3</v>
      </c>
      <c r="AI28">
        <f t="shared" si="20"/>
        <v>5.6479001201336738E-3</v>
      </c>
      <c r="AJ28">
        <f t="shared" si="21"/>
        <v>5.6450972041209822E-3</v>
      </c>
      <c r="AK28">
        <f t="shared" si="22"/>
        <v>5.6422942881082907E-3</v>
      </c>
      <c r="AL28">
        <f t="shared" si="23"/>
        <v>5.6394913720955991E-3</v>
      </c>
      <c r="AM28">
        <f t="shared" si="40"/>
        <v>5.6366884560829084E-3</v>
      </c>
    </row>
    <row r="29" spans="2:39">
      <c r="B29" t="s">
        <v>423</v>
      </c>
      <c r="C29" t="s">
        <v>460</v>
      </c>
      <c r="D29">
        <f t="shared" ref="D29:H29" si="41">D12/SUM(D$10:D$18)</f>
        <v>3.9053675779811323E-2</v>
      </c>
      <c r="E29">
        <f t="shared" si="41"/>
        <v>4.3126920421552688E-2</v>
      </c>
      <c r="F29">
        <f t="shared" si="41"/>
        <v>4.7397290422945479E-2</v>
      </c>
      <c r="G29">
        <f t="shared" si="41"/>
        <v>5.1879450507277013E-2</v>
      </c>
      <c r="H29">
        <f t="shared" si="41"/>
        <v>5.6589556987046291E-2</v>
      </c>
      <c r="I29">
        <f t="shared" si="40"/>
        <v>6.1545452354072661E-2</v>
      </c>
      <c r="J29">
        <f t="shared" si="4"/>
        <v>4.7382188159747256E-2</v>
      </c>
      <c r="K29">
        <f t="shared" si="5"/>
        <v>3.3218923965421851E-2</v>
      </c>
      <c r="L29">
        <f t="shared" si="40"/>
        <v>1.9055659771096453E-2</v>
      </c>
      <c r="M29">
        <f t="shared" si="6"/>
        <v>1.8258303743192664E-2</v>
      </c>
      <c r="N29">
        <f t="shared" si="40"/>
        <v>1.7460947715288878E-2</v>
      </c>
      <c r="O29">
        <f t="shared" si="7"/>
        <v>1.7270439554595857E-2</v>
      </c>
      <c r="P29">
        <f t="shared" si="8"/>
        <v>1.7079931393902837E-2</v>
      </c>
      <c r="Q29">
        <f t="shared" si="40"/>
        <v>1.688942323320982E-2</v>
      </c>
      <c r="R29">
        <f t="shared" si="9"/>
        <v>1.6749135390571081E-2</v>
      </c>
      <c r="S29">
        <f t="shared" si="40"/>
        <v>1.6608847547932341E-2</v>
      </c>
      <c r="T29">
        <f t="shared" si="10"/>
        <v>1.6592308776897834E-2</v>
      </c>
      <c r="U29">
        <f t="shared" si="11"/>
        <v>1.6575770005863327E-2</v>
      </c>
      <c r="V29">
        <f t="shared" si="40"/>
        <v>1.6559231234828824E-2</v>
      </c>
      <c r="W29">
        <f t="shared" si="12"/>
        <v>1.6542876411814945E-2</v>
      </c>
      <c r="X29">
        <f t="shared" si="40"/>
        <v>1.6526521588801066E-2</v>
      </c>
      <c r="Y29">
        <f t="shared" si="13"/>
        <v>1.6506511851998907E-2</v>
      </c>
      <c r="Z29">
        <f t="shared" si="14"/>
        <v>1.6486502115196748E-2</v>
      </c>
      <c r="AA29">
        <f t="shared" si="40"/>
        <v>1.6466492378394589E-2</v>
      </c>
      <c r="AB29">
        <f t="shared" si="15"/>
        <v>1.6446612460500741E-2</v>
      </c>
      <c r="AC29">
        <f t="shared" si="40"/>
        <v>1.6426732542606896E-2</v>
      </c>
      <c r="AD29">
        <f t="shared" si="16"/>
        <v>1.6407203076056833E-2</v>
      </c>
      <c r="AE29">
        <f t="shared" si="17"/>
        <v>1.638767360950677E-2</v>
      </c>
      <c r="AF29">
        <f t="shared" si="18"/>
        <v>1.6368144142956707E-2</v>
      </c>
      <c r="AG29">
        <f t="shared" si="19"/>
        <v>1.6348614676406643E-2</v>
      </c>
      <c r="AH29">
        <f t="shared" si="40"/>
        <v>1.6329085209856587E-2</v>
      </c>
      <c r="AI29">
        <f t="shared" si="20"/>
        <v>2.2143319136559494E-2</v>
      </c>
      <c r="AJ29">
        <f t="shared" si="21"/>
        <v>2.7957553063262398E-2</v>
      </c>
      <c r="AK29">
        <f t="shared" si="22"/>
        <v>3.3771786989965302E-2</v>
      </c>
      <c r="AL29">
        <f t="shared" si="23"/>
        <v>3.9586020916668206E-2</v>
      </c>
      <c r="AM29">
        <f t="shared" si="40"/>
        <v>4.5400254843371117E-2</v>
      </c>
    </row>
    <row r="30" spans="2:39">
      <c r="B30" t="s">
        <v>424</v>
      </c>
      <c r="C30" t="s">
        <v>459</v>
      </c>
      <c r="D30">
        <f t="shared" ref="D30:H30" si="42">D13/SUM(D$10:D$18)</f>
        <v>1.8210014152632695E-2</v>
      </c>
      <c r="E30">
        <f t="shared" si="42"/>
        <v>1.5950374539031306E-2</v>
      </c>
      <c r="F30">
        <f t="shared" si="42"/>
        <v>1.3581379286205805E-2</v>
      </c>
      <c r="G30">
        <f t="shared" si="42"/>
        <v>1.1094893113175791E-2</v>
      </c>
      <c r="H30">
        <f t="shared" si="42"/>
        <v>8.4819532772279042E-3</v>
      </c>
      <c r="I30">
        <f t="shared" si="40"/>
        <v>5.7326616247115984E-3</v>
      </c>
      <c r="J30">
        <f t="shared" si="4"/>
        <v>4.7276192964576455E-3</v>
      </c>
      <c r="K30">
        <f t="shared" si="5"/>
        <v>3.7225769682036926E-3</v>
      </c>
      <c r="L30">
        <f t="shared" si="40"/>
        <v>2.7175346399497388E-3</v>
      </c>
      <c r="M30">
        <f t="shared" si="6"/>
        <v>2.1407644355633205E-3</v>
      </c>
      <c r="N30">
        <f t="shared" si="40"/>
        <v>1.563994231176902E-3</v>
      </c>
      <c r="O30">
        <f t="shared" si="7"/>
        <v>1.5463916250104139E-3</v>
      </c>
      <c r="P30">
        <f t="shared" si="8"/>
        <v>1.5287890188439258E-3</v>
      </c>
      <c r="Q30">
        <f t="shared" si="40"/>
        <v>1.5111864126774379E-3</v>
      </c>
      <c r="R30">
        <f t="shared" si="9"/>
        <v>1.498102760174958E-3</v>
      </c>
      <c r="S30">
        <f t="shared" si="40"/>
        <v>1.4850191076724779E-3</v>
      </c>
      <c r="T30">
        <f t="shared" si="10"/>
        <v>1.4831751709175566E-3</v>
      </c>
      <c r="U30">
        <f t="shared" si="11"/>
        <v>1.4813312341626353E-3</v>
      </c>
      <c r="V30">
        <f t="shared" si="40"/>
        <v>1.4794872974077139E-3</v>
      </c>
      <c r="W30">
        <f t="shared" si="12"/>
        <v>1.4776547590542922E-3</v>
      </c>
      <c r="X30">
        <f t="shared" si="40"/>
        <v>1.4758222207008702E-3</v>
      </c>
      <c r="Y30">
        <f t="shared" si="13"/>
        <v>1.4739705074545673E-3</v>
      </c>
      <c r="Z30">
        <f t="shared" si="14"/>
        <v>1.4721187942082644E-3</v>
      </c>
      <c r="AA30">
        <f t="shared" si="40"/>
        <v>1.4702670809619612E-3</v>
      </c>
      <c r="AB30">
        <f t="shared" si="15"/>
        <v>1.4684269394133267E-3</v>
      </c>
      <c r="AC30">
        <f t="shared" si="40"/>
        <v>1.4665867978646923E-3</v>
      </c>
      <c r="AD30">
        <f t="shared" si="16"/>
        <v>1.4647846414155377E-3</v>
      </c>
      <c r="AE30">
        <f t="shared" si="17"/>
        <v>1.4629824849663831E-3</v>
      </c>
      <c r="AF30">
        <f t="shared" si="18"/>
        <v>1.4611803285172285E-3</v>
      </c>
      <c r="AG30">
        <f t="shared" si="19"/>
        <v>1.4593781720680739E-3</v>
      </c>
      <c r="AH30">
        <f t="shared" si="40"/>
        <v>1.4575760156189197E-3</v>
      </c>
      <c r="AI30">
        <f t="shared" si="20"/>
        <v>1.4519162426558797E-3</v>
      </c>
      <c r="AJ30">
        <f t="shared" si="21"/>
        <v>1.4462564696928397E-3</v>
      </c>
      <c r="AK30">
        <f t="shared" si="22"/>
        <v>1.4405966967297997E-3</v>
      </c>
      <c r="AL30">
        <f t="shared" si="23"/>
        <v>1.4349369237667596E-3</v>
      </c>
      <c r="AM30">
        <f t="shared" si="40"/>
        <v>1.4292771508037194E-3</v>
      </c>
    </row>
    <row r="31" spans="2:39">
      <c r="B31" t="s">
        <v>425</v>
      </c>
      <c r="C31" t="s">
        <v>474</v>
      </c>
      <c r="D31">
        <f t="shared" ref="D31:H31" si="43">D14/SUM(D$10:D$18)</f>
        <v>5.1525166432733208E-2</v>
      </c>
      <c r="E31">
        <f t="shared" si="43"/>
        <v>5.7397331728323647E-2</v>
      </c>
      <c r="F31">
        <f t="shared" si="43"/>
        <v>6.3553681451228763E-2</v>
      </c>
      <c r="G31">
        <f t="shared" si="43"/>
        <v>7.0015356899536779E-2</v>
      </c>
      <c r="H31">
        <f t="shared" si="43"/>
        <v>7.6805649710727314E-2</v>
      </c>
      <c r="I31">
        <f t="shared" si="40"/>
        <v>8.3950282391171499E-2</v>
      </c>
      <c r="J31">
        <f t="shared" si="4"/>
        <v>8.7986190732237388E-2</v>
      </c>
      <c r="K31">
        <f t="shared" si="5"/>
        <v>9.2022099073303276E-2</v>
      </c>
      <c r="L31">
        <f t="shared" si="40"/>
        <v>9.6058007414369179E-2</v>
      </c>
      <c r="M31">
        <f t="shared" si="6"/>
        <v>0.10423608491983805</v>
      </c>
      <c r="N31">
        <f t="shared" si="40"/>
        <v>0.11241416242530693</v>
      </c>
      <c r="O31">
        <f t="shared" si="7"/>
        <v>0.11874884529823491</v>
      </c>
      <c r="P31">
        <f t="shared" si="8"/>
        <v>0.12508352817116292</v>
      </c>
      <c r="Q31">
        <f t="shared" si="40"/>
        <v>0.1314182110440909</v>
      </c>
      <c r="R31">
        <f t="shared" si="9"/>
        <v>0.13531811684974371</v>
      </c>
      <c r="S31">
        <f t="shared" si="40"/>
        <v>0.13921802265539651</v>
      </c>
      <c r="T31">
        <f t="shared" si="10"/>
        <v>0.14573778623808181</v>
      </c>
      <c r="U31">
        <f t="shared" si="11"/>
        <v>0.15225754982076711</v>
      </c>
      <c r="V31">
        <f t="shared" si="40"/>
        <v>0.15877731340345239</v>
      </c>
      <c r="W31">
        <f t="shared" si="12"/>
        <v>0.16525598300712951</v>
      </c>
      <c r="X31">
        <f t="shared" si="40"/>
        <v>0.17173465261080667</v>
      </c>
      <c r="Y31">
        <f t="shared" si="13"/>
        <v>0.17816921537420177</v>
      </c>
      <c r="Z31">
        <f t="shared" si="14"/>
        <v>0.18460377813759687</v>
      </c>
      <c r="AA31">
        <f t="shared" si="40"/>
        <v>0.19103834090099198</v>
      </c>
      <c r="AB31">
        <f t="shared" si="15"/>
        <v>0.19743223272550797</v>
      </c>
      <c r="AC31">
        <f t="shared" si="40"/>
        <v>0.203826124550024</v>
      </c>
      <c r="AD31">
        <f t="shared" si="16"/>
        <v>0.21016584772391417</v>
      </c>
      <c r="AE31">
        <f t="shared" si="17"/>
        <v>0.21650557089780434</v>
      </c>
      <c r="AF31">
        <f t="shared" si="18"/>
        <v>0.22284529407169451</v>
      </c>
      <c r="AG31">
        <f t="shared" si="19"/>
        <v>0.22918501724558468</v>
      </c>
      <c r="AH31">
        <f t="shared" si="40"/>
        <v>0.2355247404194748</v>
      </c>
      <c r="AI31">
        <f t="shared" si="20"/>
        <v>0.24109216605943495</v>
      </c>
      <c r="AJ31">
        <f t="shared" si="21"/>
        <v>0.24665959169939511</v>
      </c>
      <c r="AK31">
        <f t="shared" si="22"/>
        <v>0.25222701733935526</v>
      </c>
      <c r="AL31">
        <f t="shared" si="23"/>
        <v>0.25779444297931542</v>
      </c>
      <c r="AM31">
        <f t="shared" si="40"/>
        <v>0.26336186861927552</v>
      </c>
    </row>
    <row r="32" spans="2:39">
      <c r="B32" t="s">
        <v>426</v>
      </c>
      <c r="C32" t="s">
        <v>465</v>
      </c>
      <c r="D32">
        <f t="shared" ref="D32:H32" si="44">D15/SUM(D$10:D$18)</f>
        <v>2.2707405078528257E-2</v>
      </c>
      <c r="E32">
        <f t="shared" si="44"/>
        <v>2.5295298437963139E-2</v>
      </c>
      <c r="F32">
        <f t="shared" si="44"/>
        <v>2.8008433331871644E-2</v>
      </c>
      <c r="G32">
        <f t="shared" si="44"/>
        <v>3.0856126838738153E-2</v>
      </c>
      <c r="H32">
        <f t="shared" si="44"/>
        <v>3.3848643702644232E-2</v>
      </c>
      <c r="I32">
        <f t="shared" si="40"/>
        <v>3.6997319964057952E-2</v>
      </c>
      <c r="J32">
        <f t="shared" si="4"/>
        <v>3.8775965466931545E-2</v>
      </c>
      <c r="K32">
        <f t="shared" si="5"/>
        <v>4.0554610969805137E-2</v>
      </c>
      <c r="L32">
        <f t="shared" si="40"/>
        <v>4.2333256472678729E-2</v>
      </c>
      <c r="M32">
        <f t="shared" si="6"/>
        <v>4.4112616672606637E-2</v>
      </c>
      <c r="N32">
        <f t="shared" si="40"/>
        <v>4.5891976872534546E-2</v>
      </c>
      <c r="O32">
        <f t="shared" si="7"/>
        <v>4.8780876613392289E-2</v>
      </c>
      <c r="P32">
        <f t="shared" si="8"/>
        <v>5.1669776354250033E-2</v>
      </c>
      <c r="Q32">
        <f t="shared" si="40"/>
        <v>5.4558676095107776E-2</v>
      </c>
      <c r="R32">
        <f t="shared" si="9"/>
        <v>5.7442125815935413E-2</v>
      </c>
      <c r="S32">
        <f t="shared" si="40"/>
        <v>6.0325575536763043E-2</v>
      </c>
      <c r="T32">
        <f t="shared" si="10"/>
        <v>6.7227367244704669E-2</v>
      </c>
      <c r="U32">
        <f t="shared" si="11"/>
        <v>7.4129158952646296E-2</v>
      </c>
      <c r="V32">
        <f t="shared" si="40"/>
        <v>8.1030950660587908E-2</v>
      </c>
      <c r="W32">
        <f t="shared" si="12"/>
        <v>8.7882528455310804E-2</v>
      </c>
      <c r="X32">
        <f t="shared" si="40"/>
        <v>9.4734106250033687E-2</v>
      </c>
      <c r="Y32">
        <f t="shared" si="13"/>
        <v>0.10153578601263369</v>
      </c>
      <c r="Z32">
        <f t="shared" si="14"/>
        <v>0.10833746577523369</v>
      </c>
      <c r="AA32">
        <f t="shared" si="40"/>
        <v>0.11513914553783369</v>
      </c>
      <c r="AB32">
        <f t="shared" si="15"/>
        <v>0.12189404968630588</v>
      </c>
      <c r="AC32">
        <f t="shared" si="40"/>
        <v>0.12864895383477806</v>
      </c>
      <c r="AD32">
        <f t="shared" si="16"/>
        <v>0.13534209194431276</v>
      </c>
      <c r="AE32">
        <f t="shared" si="17"/>
        <v>0.14203523005384747</v>
      </c>
      <c r="AF32">
        <f t="shared" si="18"/>
        <v>0.14872836816338217</v>
      </c>
      <c r="AG32">
        <f t="shared" si="19"/>
        <v>0.15542150627291687</v>
      </c>
      <c r="AH32">
        <f t="shared" si="40"/>
        <v>0.16211464438245152</v>
      </c>
      <c r="AI32">
        <f t="shared" si="20"/>
        <v>0.16500352139104205</v>
      </c>
      <c r="AJ32">
        <f t="shared" si="21"/>
        <v>0.16789239839963258</v>
      </c>
      <c r="AK32">
        <f t="shared" si="22"/>
        <v>0.1707812754082231</v>
      </c>
      <c r="AL32">
        <f t="shared" si="23"/>
        <v>0.17367015241681363</v>
      </c>
      <c r="AM32">
        <f t="shared" si="40"/>
        <v>0.17655902942540411</v>
      </c>
    </row>
    <row r="33" spans="2:39">
      <c r="B33" t="s">
        <v>427</v>
      </c>
      <c r="C33" t="s">
        <v>461</v>
      </c>
      <c r="D33">
        <f t="shared" ref="D33:H33" si="45">D16/SUM(D$10:D$18)</f>
        <v>6.2961441354101089E-2</v>
      </c>
      <c r="E33">
        <f t="shared" si="45"/>
        <v>7.0136963850715994E-2</v>
      </c>
      <c r="F33">
        <f t="shared" si="45"/>
        <v>7.7659746965644122E-2</v>
      </c>
      <c r="G33">
        <f t="shared" si="45"/>
        <v>8.5555624416501261E-2</v>
      </c>
      <c r="H33">
        <f t="shared" si="45"/>
        <v>9.3853057539149951E-2</v>
      </c>
      <c r="I33">
        <f t="shared" si="40"/>
        <v>0.10258347808216069</v>
      </c>
      <c r="J33">
        <f t="shared" si="4"/>
        <v>0.10751517697649202</v>
      </c>
      <c r="K33">
        <f t="shared" si="5"/>
        <v>0.11244687587082335</v>
      </c>
      <c r="L33">
        <f t="shared" si="40"/>
        <v>0.11737857476515466</v>
      </c>
      <c r="M33">
        <f t="shared" si="6"/>
        <v>0.11252410640612748</v>
      </c>
      <c r="N33">
        <f t="shared" si="40"/>
        <v>0.10766963804710028</v>
      </c>
      <c r="O33">
        <f t="shared" si="7"/>
        <v>0.10644725080016659</v>
      </c>
      <c r="P33">
        <f t="shared" si="8"/>
        <v>0.10522486355323291</v>
      </c>
      <c r="Q33">
        <f t="shared" si="40"/>
        <v>0.10400247630629922</v>
      </c>
      <c r="R33">
        <f t="shared" si="9"/>
        <v>0.10311040631624054</v>
      </c>
      <c r="S33">
        <f t="shared" si="40"/>
        <v>0.10221833632618185</v>
      </c>
      <c r="T33">
        <f t="shared" si="10"/>
        <v>0.10204739561866076</v>
      </c>
      <c r="U33">
        <f t="shared" si="11"/>
        <v>0.10187645491113967</v>
      </c>
      <c r="V33">
        <f t="shared" si="40"/>
        <v>0.10170551420361858</v>
      </c>
      <c r="W33">
        <f t="shared" si="12"/>
        <v>0.1015438139548975</v>
      </c>
      <c r="X33">
        <f t="shared" si="40"/>
        <v>0.10138211370617642</v>
      </c>
      <c r="Y33">
        <f t="shared" si="13"/>
        <v>0.10122546985492152</v>
      </c>
      <c r="Z33">
        <f t="shared" si="14"/>
        <v>0.10106882600366662</v>
      </c>
      <c r="AA33">
        <f t="shared" si="40"/>
        <v>0.10091218215241174</v>
      </c>
      <c r="AB33">
        <f t="shared" si="15"/>
        <v>0.10076113071672806</v>
      </c>
      <c r="AC33">
        <f t="shared" si="40"/>
        <v>0.10061007928104437</v>
      </c>
      <c r="AD33">
        <f t="shared" si="16"/>
        <v>0.1004658276820669</v>
      </c>
      <c r="AE33">
        <f t="shared" si="17"/>
        <v>0.10032157608308942</v>
      </c>
      <c r="AF33">
        <f t="shared" si="18"/>
        <v>0.10017732448411194</v>
      </c>
      <c r="AG33">
        <f t="shared" si="19"/>
        <v>0.10003307288513447</v>
      </c>
      <c r="AH33">
        <f t="shared" si="40"/>
        <v>9.9888821286157004E-2</v>
      </c>
      <c r="AI33">
        <f t="shared" si="20"/>
        <v>9.9493058474288604E-2</v>
      </c>
      <c r="AJ33">
        <f t="shared" si="21"/>
        <v>9.9097295662420204E-2</v>
      </c>
      <c r="AK33">
        <f t="shared" si="22"/>
        <v>9.8701532850551804E-2</v>
      </c>
      <c r="AL33">
        <f t="shared" si="23"/>
        <v>9.8305770038683404E-2</v>
      </c>
      <c r="AM33">
        <f t="shared" si="40"/>
        <v>9.7910007226815005E-2</v>
      </c>
    </row>
    <row r="34" spans="2:39">
      <c r="B34" t="s">
        <v>428</v>
      </c>
      <c r="C34" t="s">
        <v>458</v>
      </c>
      <c r="D34">
        <f t="shared" ref="D34:H34" si="46">D17/SUM(D$10:D$18)</f>
        <v>3.1798347461793247E-2</v>
      </c>
      <c r="E34">
        <f t="shared" si="46"/>
        <v>2.6044164891307224E-2</v>
      </c>
      <c r="F34">
        <f t="shared" si="46"/>
        <v>2.0011507687335367E-2</v>
      </c>
      <c r="G34">
        <f t="shared" si="46"/>
        <v>1.3679659319798409E-2</v>
      </c>
      <c r="H34">
        <f t="shared" si="46"/>
        <v>7.0257961235443969E-3</v>
      </c>
      <c r="I34">
        <f t="shared" si="40"/>
        <v>2.4712405208252053E-5</v>
      </c>
      <c r="J34">
        <f t="shared" si="4"/>
        <v>2.4209703052061756E-5</v>
      </c>
      <c r="K34">
        <f t="shared" si="5"/>
        <v>2.3707000895871459E-5</v>
      </c>
      <c r="L34">
        <f t="shared" si="40"/>
        <v>2.3204298739681166E-5</v>
      </c>
      <c r="M34">
        <f t="shared" si="6"/>
        <v>2.3064993499584052E-5</v>
      </c>
      <c r="N34">
        <f t="shared" si="40"/>
        <v>2.2925688259486938E-5</v>
      </c>
      <c r="O34">
        <f t="shared" si="7"/>
        <v>2.2734636488636847E-5</v>
      </c>
      <c r="P34">
        <f t="shared" si="8"/>
        <v>2.2543584717786756E-5</v>
      </c>
      <c r="Q34">
        <f t="shared" si="40"/>
        <v>2.2352532946936669E-5</v>
      </c>
      <c r="R34">
        <f t="shared" si="9"/>
        <v>2.2172025242714908E-5</v>
      </c>
      <c r="S34">
        <f t="shared" si="40"/>
        <v>2.1991517538493147E-5</v>
      </c>
      <c r="T34">
        <f t="shared" si="10"/>
        <v>2.1738001863833392E-5</v>
      </c>
      <c r="U34">
        <f t="shared" si="11"/>
        <v>2.1484486189173637E-5</v>
      </c>
      <c r="V34">
        <f t="shared" si="40"/>
        <v>2.1230970514513882E-5</v>
      </c>
      <c r="W34">
        <f t="shared" si="12"/>
        <v>2.0993422823804778E-5</v>
      </c>
      <c r="X34">
        <f t="shared" si="40"/>
        <v>2.0755875133095677E-5</v>
      </c>
      <c r="Y34">
        <f t="shared" si="13"/>
        <v>2.0550866221366972E-5</v>
      </c>
      <c r="Z34">
        <f t="shared" si="14"/>
        <v>2.0345857309638268E-5</v>
      </c>
      <c r="AA34">
        <f t="shared" si="40"/>
        <v>2.0140848397909566E-5</v>
      </c>
      <c r="AB34">
        <f t="shared" si="15"/>
        <v>1.9947992152796447E-5</v>
      </c>
      <c r="AC34">
        <f t="shared" si="40"/>
        <v>1.9755135907683331E-5</v>
      </c>
      <c r="AD34">
        <f t="shared" si="16"/>
        <v>1.9610468650228661E-5</v>
      </c>
      <c r="AE34">
        <f t="shared" si="17"/>
        <v>1.9465801392773991E-5</v>
      </c>
      <c r="AF34">
        <f t="shared" si="18"/>
        <v>1.9321134135319321E-5</v>
      </c>
      <c r="AG34">
        <f t="shared" si="19"/>
        <v>1.9176466877864651E-5</v>
      </c>
      <c r="AH34">
        <f t="shared" si="40"/>
        <v>1.9031799620409974E-5</v>
      </c>
      <c r="AI34">
        <f t="shared" si="20"/>
        <v>1.891604041017484E-5</v>
      </c>
      <c r="AJ34">
        <f t="shared" si="21"/>
        <v>1.8800281199939706E-5</v>
      </c>
      <c r="AK34">
        <f t="shared" si="22"/>
        <v>1.8684521989704573E-5</v>
      </c>
      <c r="AL34">
        <f t="shared" si="23"/>
        <v>1.8568762779469439E-5</v>
      </c>
      <c r="AM34">
        <f t="shared" si="40"/>
        <v>1.8453003569234299E-5</v>
      </c>
    </row>
    <row r="35" spans="2:39">
      <c r="B35" t="s">
        <v>429</v>
      </c>
      <c r="C35" t="s">
        <v>464</v>
      </c>
      <c r="D35">
        <f t="shared" ref="D35:H35" si="47">D18/SUM(D$10:D$18)</f>
        <v>1.6237636373725304E-2</v>
      </c>
      <c r="E35">
        <f t="shared" si="47"/>
        <v>1.55053062891601E-2</v>
      </c>
      <c r="F35">
        <f t="shared" si="47"/>
        <v>1.4737534966957431E-2</v>
      </c>
      <c r="G35">
        <f t="shared" si="47"/>
        <v>1.3931685831367573E-2</v>
      </c>
      <c r="H35">
        <f t="shared" si="47"/>
        <v>1.3084854133292613E-2</v>
      </c>
      <c r="I35">
        <f t="shared" si="40"/>
        <v>1.2193831964862512E-2</v>
      </c>
      <c r="J35">
        <f t="shared" si="4"/>
        <v>1.5837638118006422E-2</v>
      </c>
      <c r="K35">
        <f t="shared" si="5"/>
        <v>1.9481444271150332E-2</v>
      </c>
      <c r="L35">
        <f t="shared" si="40"/>
        <v>2.3125250424294242E-2</v>
      </c>
      <c r="M35">
        <f t="shared" si="6"/>
        <v>2.2938920499111767E-2</v>
      </c>
      <c r="N35">
        <f t="shared" si="40"/>
        <v>2.2752590573929293E-2</v>
      </c>
      <c r="O35">
        <f t="shared" si="7"/>
        <v>2.3438368659519829E-2</v>
      </c>
      <c r="P35">
        <f t="shared" si="8"/>
        <v>2.4124146745110365E-2</v>
      </c>
      <c r="Q35">
        <f t="shared" si="40"/>
        <v>2.4809924830700904E-2</v>
      </c>
      <c r="R35">
        <f t="shared" si="9"/>
        <v>2.550288657001528E-2</v>
      </c>
      <c r="S35">
        <f t="shared" si="40"/>
        <v>2.619584830932966E-2</v>
      </c>
      <c r="T35">
        <f t="shared" si="10"/>
        <v>2.636522841039373E-2</v>
      </c>
      <c r="U35">
        <f t="shared" si="11"/>
        <v>2.6534608511457801E-2</v>
      </c>
      <c r="V35">
        <f t="shared" si="40"/>
        <v>2.6703988612521871E-2</v>
      </c>
      <c r="W35">
        <f t="shared" si="12"/>
        <v>2.6876084394751022E-2</v>
      </c>
      <c r="X35">
        <f t="shared" si="40"/>
        <v>2.7048180176980172E-2</v>
      </c>
      <c r="Y35">
        <f t="shared" si="13"/>
        <v>2.8494306083903544E-2</v>
      </c>
      <c r="Z35">
        <f t="shared" si="14"/>
        <v>2.9940431990826917E-2</v>
      </c>
      <c r="AA35">
        <f t="shared" si="40"/>
        <v>3.1386557897750286E-2</v>
      </c>
      <c r="AB35">
        <f t="shared" si="15"/>
        <v>3.2828765607553233E-2</v>
      </c>
      <c r="AC35">
        <f t="shared" si="40"/>
        <v>3.4270973317356179E-2</v>
      </c>
      <c r="AD35">
        <f t="shared" si="16"/>
        <v>3.4494003819793548E-2</v>
      </c>
      <c r="AE35">
        <f t="shared" si="17"/>
        <v>3.4717034322230916E-2</v>
      </c>
      <c r="AF35">
        <f t="shared" si="18"/>
        <v>3.4940064824668285E-2</v>
      </c>
      <c r="AG35">
        <f t="shared" si="19"/>
        <v>3.5163095327105653E-2</v>
      </c>
      <c r="AH35">
        <f t="shared" si="40"/>
        <v>3.5386125829543022E-2</v>
      </c>
      <c r="AI35">
        <f t="shared" si="20"/>
        <v>3.5646383155578644E-2</v>
      </c>
      <c r="AJ35">
        <f t="shared" si="21"/>
        <v>3.5906640481614266E-2</v>
      </c>
      <c r="AK35">
        <f t="shared" si="22"/>
        <v>3.6166897807649888E-2</v>
      </c>
      <c r="AL35">
        <f t="shared" si="23"/>
        <v>3.642715513368551E-2</v>
      </c>
      <c r="AM35">
        <f t="shared" si="40"/>
        <v>3.6687412459721118E-2</v>
      </c>
    </row>
    <row r="37" spans="2:39">
      <c r="D37" s="58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D4CFC-C667-4893-8FC8-17D9E5EC6012}">
  <dimension ref="B1:AM35"/>
  <sheetViews>
    <sheetView workbookViewId="0">
      <selection activeCell="I3" sqref="I3"/>
    </sheetView>
  </sheetViews>
  <sheetFormatPr baseColWidth="10" defaultRowHeight="14.5"/>
  <cols>
    <col min="2" max="2" width="39" customWidth="1"/>
    <col min="3" max="3" width="24.6328125" customWidth="1"/>
    <col min="4" max="8" width="12.453125" customWidth="1"/>
    <col min="9" max="9" width="12.453125" bestFit="1" customWidth="1"/>
    <col min="10" max="11" width="12.453125" customWidth="1"/>
    <col min="15" max="16" width="12.453125" customWidth="1"/>
    <col min="20" max="21" width="12.453125" customWidth="1"/>
    <col min="25" max="26" width="12.453125" customWidth="1"/>
  </cols>
  <sheetData>
    <row r="1" spans="2:39">
      <c r="D1" t="s">
        <v>473</v>
      </c>
    </row>
    <row r="2" spans="2:39">
      <c r="D2" s="559">
        <v>2015</v>
      </c>
      <c r="E2" s="559">
        <v>2016</v>
      </c>
      <c r="F2" s="559">
        <v>2017</v>
      </c>
      <c r="G2" s="559">
        <v>2018</v>
      </c>
      <c r="H2" s="559">
        <v>2019</v>
      </c>
      <c r="I2" s="559">
        <v>2020</v>
      </c>
      <c r="J2" s="559">
        <v>2021</v>
      </c>
      <c r="K2" s="559">
        <v>2022</v>
      </c>
      <c r="L2" s="559">
        <v>2023</v>
      </c>
      <c r="M2" s="559">
        <v>2024</v>
      </c>
      <c r="N2" s="559">
        <v>2025</v>
      </c>
      <c r="O2" s="559">
        <v>2026</v>
      </c>
      <c r="P2" s="559">
        <v>2027</v>
      </c>
      <c r="Q2" s="559">
        <v>2028</v>
      </c>
      <c r="R2" s="559">
        <v>2029</v>
      </c>
      <c r="S2" s="559">
        <v>2030</v>
      </c>
      <c r="T2" s="559">
        <v>2031</v>
      </c>
      <c r="U2" s="559">
        <v>2032</v>
      </c>
      <c r="V2" s="559">
        <v>2033</v>
      </c>
      <c r="W2" s="559">
        <v>2034</v>
      </c>
      <c r="X2" s="559">
        <v>2035</v>
      </c>
      <c r="Y2" s="559">
        <v>2036</v>
      </c>
      <c r="Z2" s="559">
        <v>2037</v>
      </c>
      <c r="AA2" s="559">
        <v>2038</v>
      </c>
      <c r="AB2" s="559">
        <v>2039</v>
      </c>
      <c r="AC2" s="559">
        <v>2040</v>
      </c>
      <c r="AD2" s="559">
        <v>2041</v>
      </c>
      <c r="AE2" s="559">
        <v>2042</v>
      </c>
      <c r="AF2" s="559">
        <v>2043</v>
      </c>
      <c r="AG2" s="559">
        <v>2044</v>
      </c>
      <c r="AH2" s="559">
        <v>2045</v>
      </c>
      <c r="AI2" s="559">
        <v>2046</v>
      </c>
      <c r="AJ2" s="559">
        <v>2047</v>
      </c>
      <c r="AK2" s="559">
        <v>2048</v>
      </c>
      <c r="AL2" s="559">
        <v>2049</v>
      </c>
      <c r="AM2" s="559">
        <v>2050</v>
      </c>
    </row>
    <row r="3" spans="2:39">
      <c r="B3" t="s">
        <v>448</v>
      </c>
      <c r="C3" t="s">
        <v>430</v>
      </c>
      <c r="D3">
        <f>'Cibles THREEME AMS'!AT4*11.63</f>
        <v>603.28697170461714</v>
      </c>
      <c r="E3">
        <f>D3+(I3-D3)/5</f>
        <v>585.57187329008411</v>
      </c>
      <c r="F3">
        <f>E3+(I3-D3)/5</f>
        <v>567.85677487555108</v>
      </c>
      <c r="G3">
        <f>F3+(I3-D3)/5</f>
        <v>550.14167646101805</v>
      </c>
      <c r="H3">
        <f>G3+(I3-D3)/5</f>
        <v>532.42657804648502</v>
      </c>
      <c r="I3">
        <f>'Cibles THREEME AMS'!AU4</f>
        <v>514.7114796319521</v>
      </c>
      <c r="J3">
        <f>I3+(L3-I3)/3</f>
        <v>515.28396079766219</v>
      </c>
      <c r="K3">
        <f>J3+(L3-I3)/3</f>
        <v>515.85644196337228</v>
      </c>
      <c r="L3">
        <f>'Cibles THREEME AMS'!AV4</f>
        <v>516.42892312908248</v>
      </c>
      <c r="M3">
        <f>(L3+N3)/2</f>
        <v>509.98842072311652</v>
      </c>
      <c r="N3">
        <f>'Cibles THREEME AMS'!AW4</f>
        <v>503.54791831715056</v>
      </c>
      <c r="O3">
        <f>N3+(Q3-N3)/3</f>
        <v>481.7679767874186</v>
      </c>
      <c r="P3">
        <f>O3+(Q3-N3)/3</f>
        <v>459.98803525768665</v>
      </c>
      <c r="Q3">
        <f>'Cibles THREEME AMS'!AX4</f>
        <v>438.20809372795469</v>
      </c>
      <c r="R3">
        <f>(Q3+S3)/2</f>
        <v>416.60667121552297</v>
      </c>
      <c r="S3">
        <f>'Cibles THREEME AMS'!AY4</f>
        <v>395.0052487030913</v>
      </c>
      <c r="T3">
        <f>S3+(V3-S3)/3</f>
        <v>368.32526319012038</v>
      </c>
      <c r="U3">
        <f>T3+(V3-S3)/3</f>
        <v>341.64527767714947</v>
      </c>
      <c r="V3">
        <f>'Cibles THREEME AMS'!AZ4</f>
        <v>314.96529216417855</v>
      </c>
      <c r="W3">
        <f>(V3+X3)/2</f>
        <v>288.46454052946035</v>
      </c>
      <c r="X3">
        <f>'Cibles THREEME AMS'!BA4</f>
        <v>261.96378889474215</v>
      </c>
      <c r="Y3">
        <f>X3+(AA3-X3)/3</f>
        <v>234.6699133844044</v>
      </c>
      <c r="Z3">
        <f>Y3+(AA3-X3)/3</f>
        <v>207.37603787406664</v>
      </c>
      <c r="AA3">
        <f>'Cibles THREEME AMS'!BB4</f>
        <v>180.08216236372891</v>
      </c>
      <c r="AB3">
        <f>(AA3+AC3)/2</f>
        <v>152.97850077069393</v>
      </c>
      <c r="AC3">
        <f>'Cibles THREEME AMS'!BC4</f>
        <v>125.87483917765897</v>
      </c>
      <c r="AD3">
        <f>AC3+(AH3-AC3)/5</f>
        <v>111.86760062446126</v>
      </c>
      <c r="AE3">
        <f>AD3+(AH3-AC3)/5</f>
        <v>97.860362071263552</v>
      </c>
      <c r="AF3">
        <f>AE3+(AH3-AC3)/5</f>
        <v>83.853123518065843</v>
      </c>
      <c r="AG3">
        <f>AF3+(AH3-AC3)/5</f>
        <v>69.845884964868134</v>
      </c>
      <c r="AH3">
        <f>'Cibles THREEME AMS'!BD4</f>
        <v>55.83864641167046</v>
      </c>
      <c r="AI3">
        <f>AH3+(AM3-AH3)/5</f>
        <v>53.047229620007649</v>
      </c>
      <c r="AJ3">
        <f>AI3+(AM3-AH3)/5</f>
        <v>50.255812828344837</v>
      </c>
      <c r="AK3">
        <f>AJ3+(AM3-AH3)/5</f>
        <v>47.464396036682025</v>
      </c>
      <c r="AL3">
        <f>AK3+(AM3-AH3)/5</f>
        <v>44.672979245019214</v>
      </c>
      <c r="AM3">
        <f>'Cibles THREEME AMS'!BE4</f>
        <v>41.881562453356402</v>
      </c>
    </row>
    <row r="4" spans="2:39">
      <c r="B4" t="s">
        <v>447</v>
      </c>
      <c r="C4" t="s">
        <v>431</v>
      </c>
      <c r="D4">
        <f>'Cibles THREEME AMS'!AT5*11.63</f>
        <v>34.211294006974519</v>
      </c>
      <c r="E4">
        <f t="shared" ref="E4:E18" si="0">D4+(I4-D4)/5</f>
        <v>33.519305611850157</v>
      </c>
      <c r="F4">
        <f t="shared" ref="F4:F18" si="1">E4+(I4-D4)/5</f>
        <v>32.827317216725795</v>
      </c>
      <c r="G4">
        <f t="shared" ref="G4:G18" si="2">F4+(I4-D4)/5</f>
        <v>32.135328821601433</v>
      </c>
      <c r="H4">
        <f t="shared" ref="H4:H18" si="3">G4+(I4-D4)/5</f>
        <v>31.443340426477068</v>
      </c>
      <c r="I4">
        <f>'Cibles THREEME AMS'!AU5</f>
        <v>30.751352031352695</v>
      </c>
      <c r="J4">
        <f t="shared" ref="J4:J35" si="4">I4+(L4-I4)/3</f>
        <v>34.76798113215839</v>
      </c>
      <c r="K4">
        <f t="shared" ref="K4:K35" si="5">J4+(L4-I4)/3</f>
        <v>38.784610232964084</v>
      </c>
      <c r="L4">
        <f>'Cibles THREEME AMS'!AV5</f>
        <v>42.801239333769779</v>
      </c>
      <c r="M4">
        <f t="shared" ref="M4:M35" si="6">(L4+N4)/2</f>
        <v>45.011212565415256</v>
      </c>
      <c r="N4">
        <f>'Cibles THREEME AMS'!AW5</f>
        <v>47.221185797060734</v>
      </c>
      <c r="O4">
        <f t="shared" ref="O4:O35" si="7">N4+(Q4-N4)/3</f>
        <v>47.879682235626987</v>
      </c>
      <c r="P4">
        <f t="shared" ref="P4:P35" si="8">O4+(Q4-N4)/3</f>
        <v>48.53817867419324</v>
      </c>
      <c r="Q4">
        <f>'Cibles THREEME AMS'!AX5</f>
        <v>49.196675112759493</v>
      </c>
      <c r="R4">
        <f t="shared" ref="R4:R35" si="9">(Q4+S4)/2</f>
        <v>49.722950284628155</v>
      </c>
      <c r="S4">
        <f>'Cibles THREEME AMS'!AY5</f>
        <v>50.249225456496816</v>
      </c>
      <c r="T4">
        <f t="shared" ref="T4:T35" si="10">S4+(V4-S4)/3</f>
        <v>54.125158805766397</v>
      </c>
      <c r="U4">
        <f t="shared" ref="U4:U35" si="11">T4+(V4-S4)/3</f>
        <v>58.001092155035977</v>
      </c>
      <c r="V4">
        <f>'Cibles THREEME AMS'!AZ5</f>
        <v>61.87702550430555</v>
      </c>
      <c r="W4">
        <f t="shared" ref="W4:W35" si="12">(V4+X4)/2</f>
        <v>65.665235141377423</v>
      </c>
      <c r="X4">
        <f>'Cibles THREEME AMS'!BA5</f>
        <v>69.45344477844931</v>
      </c>
      <c r="Y4">
        <f t="shared" ref="Y4:Y35" si="13">X4+(AA4-X4)/3</f>
        <v>74.312588296496713</v>
      </c>
      <c r="Z4">
        <f t="shared" ref="Z4:Z35" si="14">Y4+(AA4-X4)/3</f>
        <v>79.171731814544117</v>
      </c>
      <c r="AA4">
        <f>'Cibles THREEME AMS'!BB5</f>
        <v>84.030875332591535</v>
      </c>
      <c r="AB4">
        <f t="shared" ref="AB4:AB35" si="15">(AA4+AC4)/2</f>
        <v>88.800985226499151</v>
      </c>
      <c r="AC4">
        <f>'Cibles THREEME AMS'!BC5</f>
        <v>93.571095120406767</v>
      </c>
      <c r="AD4">
        <f t="shared" ref="AD4:AD35" si="16">AC4+(AH4-AC4)/5</f>
        <v>90.783470202877737</v>
      </c>
      <c r="AE4">
        <f t="shared" ref="AE4:AE35" si="17">AD4+(AH4-AC4)/5</f>
        <v>87.995845285348707</v>
      </c>
      <c r="AF4">
        <f t="shared" ref="AF4:AF35" si="18">AE4+(AH4-AC4)/5</f>
        <v>85.208220367819678</v>
      </c>
      <c r="AG4">
        <f t="shared" ref="AG4:AG35" si="19">AF4+(AH4-AC4)/5</f>
        <v>82.420595450290648</v>
      </c>
      <c r="AH4">
        <f>'Cibles THREEME AMS'!BD5</f>
        <v>79.632970532761604</v>
      </c>
      <c r="AI4">
        <f t="shared" ref="AI4:AI35" si="20">AH4+(AM4-AH4)/5</f>
        <v>72.611998103070064</v>
      </c>
      <c r="AJ4">
        <f t="shared" ref="AJ4:AJ35" si="21">AI4+(AM4-AH4)/5</f>
        <v>65.591025673378525</v>
      </c>
      <c r="AK4">
        <f t="shared" ref="AK4:AK35" si="22">AJ4+(AM4-AH4)/5</f>
        <v>58.570053243686985</v>
      </c>
      <c r="AL4">
        <f t="shared" ref="AL4:AL35" si="23">AK4+(AM4-AH4)/5</f>
        <v>51.549080813995445</v>
      </c>
      <c r="AM4">
        <f>'Cibles THREEME AMS'!BE5</f>
        <v>44.528108384303906</v>
      </c>
    </row>
    <row r="5" spans="2:39">
      <c r="B5" t="s">
        <v>446</v>
      </c>
      <c r="C5" t="s">
        <v>430</v>
      </c>
      <c r="D5">
        <f>'Cibles THREEME AMS'!AT6*11.63</f>
        <v>179.31564910308737</v>
      </c>
      <c r="E5">
        <f t="shared" si="0"/>
        <v>173.19534879576759</v>
      </c>
      <c r="F5">
        <f t="shared" si="1"/>
        <v>167.07504848844781</v>
      </c>
      <c r="G5">
        <f t="shared" si="2"/>
        <v>160.95474818112802</v>
      </c>
      <c r="H5">
        <f t="shared" si="3"/>
        <v>154.83444787380824</v>
      </c>
      <c r="I5">
        <f>'Cibles THREEME AMS'!AU6</f>
        <v>148.71414756648849</v>
      </c>
      <c r="J5">
        <f t="shared" si="4"/>
        <v>131.18120693043613</v>
      </c>
      <c r="K5">
        <f t="shared" si="5"/>
        <v>113.64826629438379</v>
      </c>
      <c r="L5">
        <f>'Cibles THREEME AMS'!AV6</f>
        <v>96.115325658331443</v>
      </c>
      <c r="M5">
        <f t="shared" si="6"/>
        <v>88.334745178863102</v>
      </c>
      <c r="N5">
        <f>'Cibles THREEME AMS'!AW6</f>
        <v>80.554164699394761</v>
      </c>
      <c r="O5">
        <f t="shared" si="7"/>
        <v>74.368234336924772</v>
      </c>
      <c r="P5">
        <f t="shared" si="8"/>
        <v>68.182303974454783</v>
      </c>
      <c r="Q5">
        <f>'Cibles THREEME AMS'!AX6</f>
        <v>61.996373611984801</v>
      </c>
      <c r="R5">
        <f t="shared" si="9"/>
        <v>55.960608709418949</v>
      </c>
      <c r="S5">
        <f>'Cibles THREEME AMS'!AY6</f>
        <v>49.924843806853097</v>
      </c>
      <c r="T5">
        <f t="shared" si="10"/>
        <v>47.03394442167567</v>
      </c>
      <c r="U5">
        <f t="shared" si="11"/>
        <v>44.143045036498243</v>
      </c>
      <c r="V5">
        <f>'Cibles THREEME AMS'!AZ6</f>
        <v>41.252145651320816</v>
      </c>
      <c r="W5">
        <f t="shared" si="12"/>
        <v>38.44274316986013</v>
      </c>
      <c r="X5">
        <f>'Cibles THREEME AMS'!BA6</f>
        <v>35.633340688399443</v>
      </c>
      <c r="Y5">
        <f t="shared" si="13"/>
        <v>31.905410790057832</v>
      </c>
      <c r="Z5">
        <f t="shared" si="14"/>
        <v>28.177480891716222</v>
      </c>
      <c r="AA5">
        <f>'Cibles THREEME AMS'!BB6</f>
        <v>24.449550993374615</v>
      </c>
      <c r="AB5">
        <f t="shared" si="15"/>
        <v>21.124000564021848</v>
      </c>
      <c r="AC5">
        <f>'Cibles THREEME AMS'!BC6</f>
        <v>17.798450134669078</v>
      </c>
      <c r="AD5">
        <f t="shared" si="16"/>
        <v>15.19780112513839</v>
      </c>
      <c r="AE5">
        <f t="shared" si="17"/>
        <v>12.597152115607702</v>
      </c>
      <c r="AF5">
        <f t="shared" si="18"/>
        <v>9.9965031060770144</v>
      </c>
      <c r="AG5">
        <f t="shared" si="19"/>
        <v>7.3958540965463264</v>
      </c>
      <c r="AH5">
        <f>'Cibles THREEME AMS'!BD6</f>
        <v>4.7952050870156402</v>
      </c>
      <c r="AI5">
        <f t="shared" si="20"/>
        <v>4.0353054811127773</v>
      </c>
      <c r="AJ5">
        <f t="shared" si="21"/>
        <v>3.2754058752099149</v>
      </c>
      <c r="AK5">
        <f t="shared" si="22"/>
        <v>2.5155062693070525</v>
      </c>
      <c r="AL5">
        <f t="shared" si="23"/>
        <v>1.75560666340419</v>
      </c>
      <c r="AM5">
        <f>'Cibles THREEME AMS'!BE6</f>
        <v>0.9957070575013276</v>
      </c>
    </row>
    <row r="6" spans="2:39">
      <c r="B6" t="s">
        <v>445</v>
      </c>
      <c r="C6" t="s">
        <v>431</v>
      </c>
      <c r="D6">
        <f>'Cibles THREEME AMS'!AT7*11.63</f>
        <v>1.9099360228415925</v>
      </c>
      <c r="E6">
        <f t="shared" si="0"/>
        <v>2.1239643155117678</v>
      </c>
      <c r="F6">
        <f t="shared" si="1"/>
        <v>2.3379926081819433</v>
      </c>
      <c r="G6">
        <f t="shared" si="2"/>
        <v>2.5520209008521189</v>
      </c>
      <c r="H6">
        <f t="shared" si="3"/>
        <v>2.7660491935222944</v>
      </c>
      <c r="I6">
        <f>'Cibles THREEME AMS'!AU7</f>
        <v>2.9800774861924699</v>
      </c>
      <c r="J6">
        <f t="shared" si="4"/>
        <v>3.0693155452650016</v>
      </c>
      <c r="K6">
        <f t="shared" si="5"/>
        <v>3.1585536043375333</v>
      </c>
      <c r="L6">
        <f>'Cibles THREEME AMS'!AV7</f>
        <v>3.2477916634100645</v>
      </c>
      <c r="M6">
        <f t="shared" si="6"/>
        <v>3.4434869829451733</v>
      </c>
      <c r="N6">
        <f>'Cibles THREEME AMS'!AW7</f>
        <v>3.6391823024802821</v>
      </c>
      <c r="O6">
        <f t="shared" si="7"/>
        <v>4.0617960977508538</v>
      </c>
      <c r="P6">
        <f t="shared" si="8"/>
        <v>4.4844098930214251</v>
      </c>
      <c r="Q6">
        <f>'Cibles THREEME AMS'!AX7</f>
        <v>4.9070236882919964</v>
      </c>
      <c r="R6">
        <f t="shared" si="9"/>
        <v>5.2883287657636231</v>
      </c>
      <c r="S6">
        <f>'Cibles THREEME AMS'!AY7</f>
        <v>5.6696338432352489</v>
      </c>
      <c r="T6">
        <f t="shared" si="10"/>
        <v>6.4539995723161132</v>
      </c>
      <c r="U6">
        <f t="shared" si="11"/>
        <v>7.2383653013969775</v>
      </c>
      <c r="V6">
        <f>'Cibles THREEME AMS'!AZ7</f>
        <v>8.0227310304778428</v>
      </c>
      <c r="W6">
        <f t="shared" si="12"/>
        <v>8.7348449344693009</v>
      </c>
      <c r="X6">
        <f>'Cibles THREEME AMS'!BA7</f>
        <v>9.4469588384607608</v>
      </c>
      <c r="Y6">
        <f t="shared" si="13"/>
        <v>11.335267371864377</v>
      </c>
      <c r="Z6">
        <f t="shared" si="14"/>
        <v>13.223575905267994</v>
      </c>
      <c r="AA6">
        <f>'Cibles THREEME AMS'!BB7</f>
        <v>15.111884438671611</v>
      </c>
      <c r="AB6">
        <f t="shared" si="15"/>
        <v>16.571276327733536</v>
      </c>
      <c r="AC6">
        <f>'Cibles THREEME AMS'!BC7</f>
        <v>18.030668216795462</v>
      </c>
      <c r="AD6">
        <f t="shared" si="16"/>
        <v>18.857813093450396</v>
      </c>
      <c r="AE6">
        <f t="shared" si="17"/>
        <v>19.68495797010533</v>
      </c>
      <c r="AF6">
        <f t="shared" si="18"/>
        <v>20.512102846760264</v>
      </c>
      <c r="AG6">
        <f t="shared" si="19"/>
        <v>21.339247723415198</v>
      </c>
      <c r="AH6">
        <f>'Cibles THREEME AMS'!BD7</f>
        <v>22.166392600070129</v>
      </c>
      <c r="AI6">
        <f t="shared" si="20"/>
        <v>21.439862765488595</v>
      </c>
      <c r="AJ6">
        <f t="shared" si="21"/>
        <v>20.713332930907061</v>
      </c>
      <c r="AK6">
        <f t="shared" si="22"/>
        <v>19.986803096325527</v>
      </c>
      <c r="AL6">
        <f t="shared" si="23"/>
        <v>19.260273261743993</v>
      </c>
      <c r="AM6">
        <f>'Cibles THREEME AMS'!BE7</f>
        <v>18.533743427162452</v>
      </c>
    </row>
    <row r="7" spans="2:39">
      <c r="B7" t="s">
        <v>419</v>
      </c>
      <c r="C7" t="s">
        <v>432</v>
      </c>
      <c r="D7">
        <f>('Cibles THREEME AMS'!AT19*([6]SUT!$Z$29+[6]SUT!$AA$29)/SUM([6]SUT!$W$29:$AA$29))*11.63</f>
        <v>339.0001105933884</v>
      </c>
      <c r="E7">
        <f t="shared" si="0"/>
        <v>337.90766328798441</v>
      </c>
      <c r="F7">
        <f t="shared" si="1"/>
        <v>336.81521598258041</v>
      </c>
      <c r="G7">
        <f t="shared" si="2"/>
        <v>335.72276867717642</v>
      </c>
      <c r="H7">
        <f t="shared" si="3"/>
        <v>334.63032137177242</v>
      </c>
      <c r="I7">
        <f>'Cibles THREEME AMS'!AU19*([6]SUT!$Z$29+[6]SUT!$AA$29)/SUM([6]SUT!$W$29:$AA$29)</f>
        <v>333.53787406636854</v>
      </c>
      <c r="J7">
        <f t="shared" si="4"/>
        <v>325.74842720460043</v>
      </c>
      <c r="K7">
        <f t="shared" si="5"/>
        <v>317.95898034283232</v>
      </c>
      <c r="L7">
        <f>'Cibles THREEME AMS'!AV19*([6]SUT!$Z$29+[6]SUT!$AA$29)/SUM([6]SUT!$W$29:$AA$29)</f>
        <v>310.16953348106421</v>
      </c>
      <c r="M7">
        <f t="shared" si="6"/>
        <v>295.77464958396382</v>
      </c>
      <c r="N7">
        <f>'Cibles THREEME AMS'!AW19*([6]SUT!$Z$29+[6]SUT!$AA$29)/SUM([6]SUT!$W$29:$AA$29)</f>
        <v>281.37976568686344</v>
      </c>
      <c r="O7">
        <f t="shared" si="7"/>
        <v>263.69761029131649</v>
      </c>
      <c r="P7">
        <f t="shared" si="8"/>
        <v>246.01545489576958</v>
      </c>
      <c r="Q7">
        <f>'Cibles THREEME AMS'!AX19*([6]SUT!$Z$29+[6]SUT!$AA$29)/SUM([6]SUT!$W$29:$AA$29)</f>
        <v>228.33329950022267</v>
      </c>
      <c r="R7">
        <f t="shared" si="9"/>
        <v>211.80656692525403</v>
      </c>
      <c r="S7">
        <f>'Cibles THREEME AMS'!AY19*([6]SUT!$Z$29+[6]SUT!$AA$29)/SUM([6]SUT!$W$29:$AA$29)</f>
        <v>195.2798343502854</v>
      </c>
      <c r="T7">
        <f t="shared" si="10"/>
        <v>182.37039090502461</v>
      </c>
      <c r="U7">
        <f t="shared" si="11"/>
        <v>169.46094745976382</v>
      </c>
      <c r="V7">
        <f>'Cibles THREEME AMS'!AZ19*([6]SUT!$Z$29+[6]SUT!$AA$29)/SUM([6]SUT!$W$29:$AA$29)</f>
        <v>156.55150401450305</v>
      </c>
      <c r="W7">
        <f t="shared" si="12"/>
        <v>144.87100769607497</v>
      </c>
      <c r="X7">
        <f>'Cibles THREEME AMS'!BA19*([6]SUT!$Z$29+[6]SUT!$AA$29)/SUM([6]SUT!$W$29:$AA$29)</f>
        <v>133.19051137764689</v>
      </c>
      <c r="Y7">
        <f t="shared" si="13"/>
        <v>122.61017505224024</v>
      </c>
      <c r="Z7">
        <f t="shared" si="14"/>
        <v>112.02983872683359</v>
      </c>
      <c r="AA7">
        <f>'Cibles THREEME AMS'!BB19*([6]SUT!$Z$29+[6]SUT!$AA$29)/SUM([6]SUT!$W$29:$AA$29)</f>
        <v>101.44950240142695</v>
      </c>
      <c r="AB7">
        <f t="shared" si="15"/>
        <v>92.056901191715582</v>
      </c>
      <c r="AC7">
        <f>'Cibles THREEME AMS'!BC19*([6]SUT!$Z$29+[6]SUT!$AA$29)/SUM([6]SUT!$W$29:$AA$29)</f>
        <v>82.664299982004223</v>
      </c>
      <c r="AD7">
        <f t="shared" si="16"/>
        <v>75.555078463777818</v>
      </c>
      <c r="AE7">
        <f t="shared" si="17"/>
        <v>68.445856945551412</v>
      </c>
      <c r="AF7">
        <f t="shared" si="18"/>
        <v>61.336635427325014</v>
      </c>
      <c r="AG7">
        <f t="shared" si="19"/>
        <v>54.227413909098615</v>
      </c>
      <c r="AH7">
        <f>'Cibles THREEME AMS'!BD19*([6]SUT!$Z$29+[6]SUT!$AA$29)/SUM([6]SUT!$W$29:$AA$29)</f>
        <v>47.118192390872217</v>
      </c>
      <c r="AI7">
        <f t="shared" si="20"/>
        <v>38.219949577062799</v>
      </c>
      <c r="AJ7">
        <f t="shared" si="21"/>
        <v>29.321706763253381</v>
      </c>
      <c r="AK7">
        <f t="shared" si="22"/>
        <v>20.423463949443963</v>
      </c>
      <c r="AL7">
        <f t="shared" si="23"/>
        <v>11.525221135634547</v>
      </c>
      <c r="AM7">
        <f>'Cibles THREEME AMS'!BE19*([6]SUT!$Z$29+[6]SUT!$AA$29)/SUM([6]SUT!$W$29:$AA$29)</f>
        <v>2.6269783218251357</v>
      </c>
    </row>
    <row r="8" spans="2:39">
      <c r="B8" t="s">
        <v>420</v>
      </c>
      <c r="C8" t="s">
        <v>433</v>
      </c>
      <c r="D8">
        <f>('Cibles THREEME AMS'!AT21+'Cibles THREEME AMS'!AT22+'Cibles THREEME AMS'!AT23+'Cibles THREEME AMS'!AT24+'Cibles THREEME AMS'!AT25+'Cibles THREEME AMS'!AT26)*11.63</f>
        <v>57.55865344108642</v>
      </c>
      <c r="E8">
        <f t="shared" si="0"/>
        <v>58.040575144679387</v>
      </c>
      <c r="F8">
        <f t="shared" si="1"/>
        <v>58.522496848272354</v>
      </c>
      <c r="G8">
        <f t="shared" si="2"/>
        <v>59.004418551865321</v>
      </c>
      <c r="H8">
        <f t="shared" si="3"/>
        <v>59.486340255458288</v>
      </c>
      <c r="I8">
        <f>'Cibles THREEME AMS'!AU21+'Cibles THREEME AMS'!AU22+'Cibles THREEME AMS'!AU23+'Cibles THREEME AMS'!AU24+'Cibles THREEME AMS'!AU25+'Cibles THREEME AMS'!AU26</f>
        <v>59.968261959051262</v>
      </c>
      <c r="J8">
        <f t="shared" si="4"/>
        <v>68.589613717246024</v>
      </c>
      <c r="K8">
        <f t="shared" si="5"/>
        <v>77.210965475440787</v>
      </c>
      <c r="L8">
        <f>'Cibles THREEME AMS'!AV21+'Cibles THREEME AMS'!AV22+'Cibles THREEME AMS'!AV23+'Cibles THREEME AMS'!AV24+'Cibles THREEME AMS'!AV25+'Cibles THREEME AMS'!AV26</f>
        <v>85.832317233635564</v>
      </c>
      <c r="M8">
        <f t="shared" si="6"/>
        <v>96.691031881042605</v>
      </c>
      <c r="N8">
        <f>'Cibles THREEME AMS'!AW21+'Cibles THREEME AMS'!AW22+'Cibles THREEME AMS'!AW23+'Cibles THREEME AMS'!AW24+'Cibles THREEME AMS'!AW25+'Cibles THREEME AMS'!AW26</f>
        <v>107.54974652844965</v>
      </c>
      <c r="O8">
        <f t="shared" si="7"/>
        <v>117.83272598988289</v>
      </c>
      <c r="P8">
        <f t="shared" si="8"/>
        <v>128.11570545131613</v>
      </c>
      <c r="Q8">
        <f>'Cibles THREEME AMS'!AX21+'Cibles THREEME AMS'!AX22+'Cibles THREEME AMS'!AX23+'Cibles THREEME AMS'!AX24+'Cibles THREEME AMS'!AX25+'Cibles THREEME AMS'!AX26</f>
        <v>138.39868491274939</v>
      </c>
      <c r="R8">
        <f t="shared" si="9"/>
        <v>147.79659425071958</v>
      </c>
      <c r="S8">
        <f>'Cibles THREEME AMS'!AY21+'Cibles THREEME AMS'!AY22+'Cibles THREEME AMS'!AY23+'Cibles THREEME AMS'!AY24+'Cibles THREEME AMS'!AY25+'Cibles THREEME AMS'!AY26</f>
        <v>157.1945035886898</v>
      </c>
      <c r="T8">
        <f t="shared" si="10"/>
        <v>169.04311260521638</v>
      </c>
      <c r="U8">
        <f t="shared" si="11"/>
        <v>180.89172162174296</v>
      </c>
      <c r="V8">
        <f>'Cibles THREEME AMS'!AZ21+'Cibles THREEME AMS'!AZ22+'Cibles THREEME AMS'!AZ23+'Cibles THREEME AMS'!AZ24+'Cibles THREEME AMS'!AZ25+'Cibles THREEME AMS'!AZ26</f>
        <v>192.74033063826957</v>
      </c>
      <c r="W8">
        <f t="shared" si="12"/>
        <v>203.44803770579227</v>
      </c>
      <c r="X8">
        <f>'Cibles THREEME AMS'!BA21+'Cibles THREEME AMS'!BA22+'Cibles THREEME AMS'!BA23+'Cibles THREEME AMS'!BA24+'Cibles THREEME AMS'!BA25+'Cibles THREEME AMS'!BA26</f>
        <v>214.15574477331501</v>
      </c>
      <c r="Y8">
        <f t="shared" si="13"/>
        <v>225.0118240014265</v>
      </c>
      <c r="Z8">
        <f t="shared" si="14"/>
        <v>235.867903229538</v>
      </c>
      <c r="AA8">
        <f>'Cibles THREEME AMS'!BB21+'Cibles THREEME AMS'!BB22+'Cibles THREEME AMS'!BB23+'Cibles THREEME AMS'!BB24+'Cibles THREEME AMS'!BB25+'Cibles THREEME AMS'!BB26</f>
        <v>246.72398245764947</v>
      </c>
      <c r="AB8">
        <f t="shared" si="15"/>
        <v>256.37259357937967</v>
      </c>
      <c r="AC8">
        <f>'Cibles THREEME AMS'!BC21+'Cibles THREEME AMS'!BC22+'Cibles THREEME AMS'!BC23+'Cibles THREEME AMS'!BC24+'Cibles THREEME AMS'!BC25+'Cibles THREEME AMS'!BC26</f>
        <v>266.02120470110992</v>
      </c>
      <c r="AD8">
        <f t="shared" si="16"/>
        <v>273.13569961698028</v>
      </c>
      <c r="AE8">
        <f t="shared" si="17"/>
        <v>280.25019453285063</v>
      </c>
      <c r="AF8">
        <f t="shared" si="18"/>
        <v>287.36468944872098</v>
      </c>
      <c r="AG8">
        <f t="shared" si="19"/>
        <v>294.47918436459133</v>
      </c>
      <c r="AH8">
        <f>'Cibles THREEME AMS'!BD21+'Cibles THREEME AMS'!BD22+'Cibles THREEME AMS'!BD23+'Cibles THREEME AMS'!BD24+'Cibles THREEME AMS'!BD25+'Cibles THREEME AMS'!BD26</f>
        <v>301.59367928046169</v>
      </c>
      <c r="AI8">
        <f t="shared" si="20"/>
        <v>309.13702777899414</v>
      </c>
      <c r="AJ8">
        <f t="shared" si="21"/>
        <v>316.68037627752659</v>
      </c>
      <c r="AK8">
        <f t="shared" si="22"/>
        <v>324.22372477605904</v>
      </c>
      <c r="AL8">
        <f t="shared" si="23"/>
        <v>331.7670732745915</v>
      </c>
      <c r="AM8">
        <f>'Cibles THREEME AMS'!BE21+'Cibles THREEME AMS'!BE22+'Cibles THREEME AMS'!BE23+'Cibles THREEME AMS'!BE24+'Cibles THREEME AMS'!BE25+'Cibles THREEME AMS'!BE26</f>
        <v>339.31042177312406</v>
      </c>
    </row>
    <row r="9" spans="2:39">
      <c r="B9" t="s">
        <v>444</v>
      </c>
      <c r="C9" t="s">
        <v>443</v>
      </c>
      <c r="D9">
        <f>('Cibles THREEME AMS'!AT19*([6]SUT!$W$29)/SUM([6]SUT!$W$29:$AA$29))*11.63</f>
        <v>4.0689286255793249</v>
      </c>
      <c r="E9">
        <f t="shared" si="0"/>
        <v>4.0558162696419933</v>
      </c>
      <c r="F9">
        <f t="shared" si="1"/>
        <v>4.0427039137046616</v>
      </c>
      <c r="G9">
        <f t="shared" si="2"/>
        <v>4.02959155776733</v>
      </c>
      <c r="H9">
        <f t="shared" si="3"/>
        <v>4.0164792018299984</v>
      </c>
      <c r="I9">
        <f>'Cibles THREEME AMS'!AU19*([6]SUT!$W$29)/SUM([6]SUT!$W$29:$AA$29)</f>
        <v>4.0033668458926686</v>
      </c>
      <c r="J9">
        <f t="shared" si="4"/>
        <v>3.9098721763546593</v>
      </c>
      <c r="K9">
        <f t="shared" si="5"/>
        <v>3.8163775068166501</v>
      </c>
      <c r="L9">
        <f>'Cibles THREEME AMS'!AV19*([6]SUT!$W$29)/SUM([6]SUT!$W$29:$AA$29)</f>
        <v>3.7228828372786409</v>
      </c>
      <c r="M9">
        <f t="shared" si="6"/>
        <v>3.5501048548517975</v>
      </c>
      <c r="N9">
        <f>'Cibles THREEME AMS'!AW19*([6]SUT!$W$29)/SUM([6]SUT!$W$29:$AA$29)</f>
        <v>3.3773268724249537</v>
      </c>
      <c r="O9">
        <f t="shared" si="7"/>
        <v>3.1650926400379924</v>
      </c>
      <c r="P9">
        <f t="shared" si="8"/>
        <v>2.9528584076510311</v>
      </c>
      <c r="Q9">
        <f>'Cibles THREEME AMS'!AX19*([6]SUT!$W$29)/SUM([6]SUT!$W$29:$AA$29)</f>
        <v>2.7406241752640694</v>
      </c>
      <c r="R9">
        <f t="shared" si="9"/>
        <v>2.5422581772593018</v>
      </c>
      <c r="S9">
        <f>'Cibles THREEME AMS'!AY19*([6]SUT!$W$29)/SUM([6]SUT!$W$29:$AA$29)</f>
        <v>2.3438921792545337</v>
      </c>
      <c r="T9">
        <f t="shared" si="10"/>
        <v>2.1889435455128683</v>
      </c>
      <c r="U9">
        <f t="shared" si="11"/>
        <v>2.0339949117712028</v>
      </c>
      <c r="V9">
        <f>'Cibles THREEME AMS'!AZ19*([6]SUT!$W$29)/SUM([6]SUT!$W$29:$AA$29)</f>
        <v>1.8790462780295374</v>
      </c>
      <c r="W9">
        <f t="shared" si="12"/>
        <v>1.7388483714629759</v>
      </c>
      <c r="X9">
        <f>'Cibles THREEME AMS'!BA19*([6]SUT!$W$29)/SUM([6]SUT!$W$29:$AA$29)</f>
        <v>1.5986504648964144</v>
      </c>
      <c r="Y9">
        <f t="shared" si="13"/>
        <v>1.4716574876158237</v>
      </c>
      <c r="Z9">
        <f t="shared" si="14"/>
        <v>1.344664510335233</v>
      </c>
      <c r="AA9">
        <f>'Cibles THREEME AMS'!BB19*([6]SUT!$W$29)/SUM([6]SUT!$W$29:$AA$29)</f>
        <v>1.2176715330546424</v>
      </c>
      <c r="AB9">
        <f t="shared" si="15"/>
        <v>1.1049346260844684</v>
      </c>
      <c r="AC9">
        <f>'Cibles THREEME AMS'!BC19*([6]SUT!$W$29)/SUM([6]SUT!$W$29:$AA$29)</f>
        <v>0.99219771911429422</v>
      </c>
      <c r="AD9">
        <f t="shared" si="16"/>
        <v>0.9068676143822868</v>
      </c>
      <c r="AE9">
        <f t="shared" si="17"/>
        <v>0.82153750965027939</v>
      </c>
      <c r="AF9">
        <f t="shared" si="18"/>
        <v>0.73620740491827197</v>
      </c>
      <c r="AG9">
        <f t="shared" si="19"/>
        <v>0.65087730018626455</v>
      </c>
      <c r="AH9">
        <f>'Cibles THREEME AMS'!BD19*([6]SUT!$W$29)/SUM([6]SUT!$W$29:$AA$29)</f>
        <v>0.56554719545425736</v>
      </c>
      <c r="AI9">
        <f t="shared" si="20"/>
        <v>0.45874394149929892</v>
      </c>
      <c r="AJ9">
        <f t="shared" si="21"/>
        <v>0.35194068754434049</v>
      </c>
      <c r="AK9">
        <f t="shared" si="22"/>
        <v>0.24513743358938206</v>
      </c>
      <c r="AL9">
        <f t="shared" si="23"/>
        <v>0.13833417963442363</v>
      </c>
      <c r="AM9">
        <f>'Cibles THREEME AMS'!BE19*([6]SUT!$W$29)/SUM([6]SUT!$W$29:$AA$29)</f>
        <v>3.1530925679465249E-2</v>
      </c>
    </row>
    <row r="10" spans="2:39">
      <c r="B10" t="s">
        <v>421</v>
      </c>
      <c r="C10" t="s">
        <v>434</v>
      </c>
      <c r="D10">
        <f>'Cibles THREEME AMS'!AT9*11.63</f>
        <v>343.81603092801953</v>
      </c>
      <c r="E10">
        <f t="shared" si="0"/>
        <v>331.22410833556512</v>
      </c>
      <c r="F10">
        <f t="shared" si="1"/>
        <v>318.63218574311071</v>
      </c>
      <c r="G10">
        <f t="shared" si="2"/>
        <v>306.0402631506563</v>
      </c>
      <c r="H10">
        <f t="shared" si="3"/>
        <v>293.44834055820189</v>
      </c>
      <c r="I10">
        <f>'Cibles THREEME AMS'!AU9</f>
        <v>280.85641796574743</v>
      </c>
      <c r="J10">
        <f t="shared" si="4"/>
        <v>278.94879228244343</v>
      </c>
      <c r="K10">
        <f t="shared" si="5"/>
        <v>277.04116659913944</v>
      </c>
      <c r="L10">
        <f>'Cibles THREEME AMS'!AV9</f>
        <v>275.13354091583551</v>
      </c>
      <c r="M10">
        <f t="shared" si="6"/>
        <v>274.43343968738941</v>
      </c>
      <c r="N10">
        <f>'Cibles THREEME AMS'!AW9</f>
        <v>273.73333845894336</v>
      </c>
      <c r="O10">
        <f t="shared" si="7"/>
        <v>269.83636513667352</v>
      </c>
      <c r="P10">
        <f t="shared" si="8"/>
        <v>265.93939181440368</v>
      </c>
      <c r="Q10">
        <f>'Cibles THREEME AMS'!AX9</f>
        <v>262.04241849213389</v>
      </c>
      <c r="R10">
        <f t="shared" si="9"/>
        <v>258.0968129252629</v>
      </c>
      <c r="S10">
        <f>'Cibles THREEME AMS'!AY9</f>
        <v>254.1512073583919</v>
      </c>
      <c r="T10">
        <f t="shared" si="10"/>
        <v>250.34983957297919</v>
      </c>
      <c r="U10">
        <f t="shared" si="11"/>
        <v>246.54847178756648</v>
      </c>
      <c r="V10">
        <f>'Cibles THREEME AMS'!AZ9</f>
        <v>242.7471040021538</v>
      </c>
      <c r="W10">
        <f t="shared" si="12"/>
        <v>239.11286609086318</v>
      </c>
      <c r="X10">
        <f>'Cibles THREEME AMS'!BA9</f>
        <v>235.47862817957252</v>
      </c>
      <c r="Y10">
        <f t="shared" si="13"/>
        <v>231.78561583010435</v>
      </c>
      <c r="Z10">
        <f t="shared" si="14"/>
        <v>228.09260348063617</v>
      </c>
      <c r="AA10">
        <f>'Cibles THREEME AMS'!BB9</f>
        <v>224.39959113116802</v>
      </c>
      <c r="AB10">
        <f t="shared" si="15"/>
        <v>220.98130635404132</v>
      </c>
      <c r="AC10">
        <f>'Cibles THREEME AMS'!BC9</f>
        <v>217.56302157691462</v>
      </c>
      <c r="AD10">
        <f t="shared" si="16"/>
        <v>209.50940540719051</v>
      </c>
      <c r="AE10">
        <f t="shared" si="17"/>
        <v>201.4557892374664</v>
      </c>
      <c r="AF10">
        <f t="shared" si="18"/>
        <v>193.4021730677423</v>
      </c>
      <c r="AG10">
        <f t="shared" si="19"/>
        <v>185.34855689801819</v>
      </c>
      <c r="AH10">
        <f>'Cibles THREEME AMS'!BD9</f>
        <v>177.29494072829408</v>
      </c>
      <c r="AI10">
        <f t="shared" si="20"/>
        <v>167.27515575907938</v>
      </c>
      <c r="AJ10">
        <f t="shared" si="21"/>
        <v>157.25537078986468</v>
      </c>
      <c r="AK10">
        <f t="shared" si="22"/>
        <v>147.23558582064999</v>
      </c>
      <c r="AL10">
        <f t="shared" si="23"/>
        <v>137.21580085143529</v>
      </c>
      <c r="AM10">
        <f>'Cibles THREEME AMS'!BE9</f>
        <v>127.19601588222059</v>
      </c>
    </row>
    <row r="11" spans="2:39">
      <c r="B11" t="s">
        <v>422</v>
      </c>
      <c r="C11" t="s">
        <v>435</v>
      </c>
      <c r="D11">
        <f>'Cibles THREEME AMS'!AT10*11.63</f>
        <v>2.7019422305850198</v>
      </c>
      <c r="E11">
        <f t="shared" si="0"/>
        <v>2.3969416860882529</v>
      </c>
      <c r="F11">
        <f t="shared" si="1"/>
        <v>2.0919411415914859</v>
      </c>
      <c r="G11">
        <f t="shared" si="2"/>
        <v>1.786940597094719</v>
      </c>
      <c r="H11">
        <f t="shared" si="3"/>
        <v>1.481940052597952</v>
      </c>
      <c r="I11">
        <f>'Cibles THREEME AMS'!AU10</f>
        <v>1.1769395081011844</v>
      </c>
      <c r="J11">
        <f t="shared" si="4"/>
        <v>1.8261200686240207</v>
      </c>
      <c r="K11">
        <f t="shared" si="5"/>
        <v>2.4753006291468571</v>
      </c>
      <c r="L11">
        <f>'Cibles THREEME AMS'!AV10</f>
        <v>3.1244811896696931</v>
      </c>
      <c r="M11">
        <f t="shared" si="6"/>
        <v>2.4118570328301128</v>
      </c>
      <c r="N11">
        <f>'Cibles THREEME AMS'!AW10</f>
        <v>1.6992328759905324</v>
      </c>
      <c r="O11">
        <f t="shared" si="7"/>
        <v>1.4098340162135263</v>
      </c>
      <c r="P11">
        <f t="shared" si="8"/>
        <v>1.1204351564365203</v>
      </c>
      <c r="Q11">
        <f>'Cibles THREEME AMS'!AX10</f>
        <v>0.83103629665951395</v>
      </c>
      <c r="R11">
        <f t="shared" si="9"/>
        <v>0.54781108268844236</v>
      </c>
      <c r="S11">
        <f>'Cibles THREEME AMS'!AY10</f>
        <v>0.26458586871737089</v>
      </c>
      <c r="T11">
        <f t="shared" si="10"/>
        <v>0.26381214472450792</v>
      </c>
      <c r="U11">
        <f t="shared" si="11"/>
        <v>0.26303842073164496</v>
      </c>
      <c r="V11">
        <f>'Cibles THREEME AMS'!AZ10</f>
        <v>0.26226469673878205</v>
      </c>
      <c r="W11">
        <f t="shared" si="12"/>
        <v>0.26153116305824564</v>
      </c>
      <c r="X11">
        <f>'Cibles THREEME AMS'!BA10</f>
        <v>0.26079762937770923</v>
      </c>
      <c r="Y11">
        <f t="shared" si="13"/>
        <v>0.21129425820059922</v>
      </c>
      <c r="Z11">
        <f t="shared" si="14"/>
        <v>0.1617908870234892</v>
      </c>
      <c r="AA11">
        <f>'Cibles THREEME AMS'!BB10</f>
        <v>0.11228751584637919</v>
      </c>
      <c r="AB11">
        <f t="shared" si="15"/>
        <v>0.11616567317918251</v>
      </c>
      <c r="AC11">
        <f>'Cibles THREEME AMS'!BC10</f>
        <v>0.12004383051198583</v>
      </c>
      <c r="AD11">
        <f t="shared" si="16"/>
        <v>0.11603506440958866</v>
      </c>
      <c r="AE11">
        <f t="shared" si="17"/>
        <v>0.11202629830719149</v>
      </c>
      <c r="AF11">
        <f t="shared" si="18"/>
        <v>0.10801753220479432</v>
      </c>
      <c r="AG11">
        <f t="shared" si="19"/>
        <v>0.10400876610239715</v>
      </c>
      <c r="AH11">
        <f>'Cibles THREEME AMS'!BD10</f>
        <v>0.1</v>
      </c>
      <c r="AI11">
        <f t="shared" si="20"/>
        <v>0.1</v>
      </c>
      <c r="AJ11">
        <f t="shared" si="21"/>
        <v>0.1</v>
      </c>
      <c r="AK11">
        <f t="shared" si="22"/>
        <v>0.1</v>
      </c>
      <c r="AL11">
        <f t="shared" si="23"/>
        <v>0.1</v>
      </c>
      <c r="AM11">
        <f>'Cibles THREEME AMS'!BE10</f>
        <v>0.1</v>
      </c>
    </row>
    <row r="12" spans="2:39">
      <c r="B12" t="s">
        <v>423</v>
      </c>
      <c r="C12" t="s">
        <v>436</v>
      </c>
      <c r="D12">
        <f>('Cibles THREEME AMS'!AT11+'Cibles THREEME AMS'!AT13)*11.63</f>
        <v>17.864934373243806</v>
      </c>
      <c r="E12">
        <f t="shared" si="0"/>
        <v>19.272883335105298</v>
      </c>
      <c r="F12">
        <f t="shared" si="1"/>
        <v>20.680832296966791</v>
      </c>
      <c r="G12">
        <f t="shared" si="2"/>
        <v>22.088781258828284</v>
      </c>
      <c r="H12">
        <f t="shared" si="3"/>
        <v>23.496730220689777</v>
      </c>
      <c r="I12">
        <f>'Cibles THREEME AMS'!AU11+'Cibles THREEME AMS'!AU13</f>
        <v>24.904679182551273</v>
      </c>
      <c r="J12">
        <f t="shared" si="4"/>
        <v>23.884791660140678</v>
      </c>
      <c r="K12">
        <f t="shared" si="5"/>
        <v>22.864904137730083</v>
      </c>
      <c r="L12">
        <f>'Cibles THREEME AMS'!AV11+'Cibles THREEME AMS'!AV13</f>
        <v>21.845016615319491</v>
      </c>
      <c r="M12">
        <f t="shared" si="6"/>
        <v>19.736342192386644</v>
      </c>
      <c r="N12">
        <f>'Cibles THREEME AMS'!AW11+'Cibles THREEME AMS'!AW13</f>
        <v>17.627667769453801</v>
      </c>
      <c r="O12">
        <f t="shared" si="7"/>
        <v>17.55567565228591</v>
      </c>
      <c r="P12">
        <f t="shared" si="8"/>
        <v>17.483683535118018</v>
      </c>
      <c r="Q12">
        <f>'Cibles THREEME AMS'!AX11+'Cibles THREEME AMS'!AX13</f>
        <v>17.411691417950131</v>
      </c>
      <c r="R12">
        <f t="shared" si="9"/>
        <v>17.331536423393587</v>
      </c>
      <c r="S12">
        <f>'Cibles THREEME AMS'!AY11+'Cibles THREEME AMS'!AY13</f>
        <v>17.251381428837039</v>
      </c>
      <c r="T12">
        <f t="shared" si="10"/>
        <v>14.900671797919037</v>
      </c>
      <c r="U12">
        <f t="shared" si="11"/>
        <v>12.549962167001034</v>
      </c>
      <c r="V12">
        <f>'Cibles THREEME AMS'!AZ11+'Cibles THREEME AMS'!AZ13</f>
        <v>10.19925253608303</v>
      </c>
      <c r="W12">
        <f t="shared" si="12"/>
        <v>7.9505967162795184</v>
      </c>
      <c r="X12">
        <f>'Cibles THREEME AMS'!BA11+'Cibles THREEME AMS'!BA13</f>
        <v>5.7019408964760068</v>
      </c>
      <c r="Y12">
        <f t="shared" si="13"/>
        <v>5.3494118827290249</v>
      </c>
      <c r="Z12">
        <f t="shared" si="14"/>
        <v>4.996882868982043</v>
      </c>
      <c r="AA12">
        <f>'Cibles THREEME AMS'!BB11+'Cibles THREEME AMS'!BB13</f>
        <v>4.6443538552350612</v>
      </c>
      <c r="AB12">
        <f t="shared" si="15"/>
        <v>4.3219753558577754</v>
      </c>
      <c r="AC12">
        <f>'Cibles THREEME AMS'!BC11+'Cibles THREEME AMS'!BC13</f>
        <v>3.9995968564804905</v>
      </c>
      <c r="AD12">
        <f t="shared" si="16"/>
        <v>4.0989693002111132</v>
      </c>
      <c r="AE12">
        <f t="shared" si="17"/>
        <v>4.1983417439417359</v>
      </c>
      <c r="AF12">
        <f t="shared" si="18"/>
        <v>4.2977141876723586</v>
      </c>
      <c r="AG12">
        <f t="shared" si="19"/>
        <v>4.3970866314029813</v>
      </c>
      <c r="AH12">
        <f>'Cibles THREEME AMS'!BD11+'Cibles THREEME AMS'!BD13</f>
        <v>4.4964590751336031</v>
      </c>
      <c r="AI12">
        <f t="shared" si="20"/>
        <v>5.4168830785688922</v>
      </c>
      <c r="AJ12">
        <f t="shared" si="21"/>
        <v>6.3373070820041812</v>
      </c>
      <c r="AK12">
        <f t="shared" si="22"/>
        <v>7.2577310854394703</v>
      </c>
      <c r="AL12">
        <f t="shared" si="23"/>
        <v>8.1781550888747603</v>
      </c>
      <c r="AM12">
        <f>'Cibles THREEME AMS'!BE11+'Cibles THREEME AMS'!BE13</f>
        <v>9.0985790923100485</v>
      </c>
    </row>
    <row r="13" spans="2:39">
      <c r="B13" t="s">
        <v>424</v>
      </c>
      <c r="C13" t="s">
        <v>437</v>
      </c>
      <c r="D13">
        <f>'Cibles THREEME AMS'!AT12*11.63</f>
        <v>8.3300918870432561</v>
      </c>
      <c r="E13">
        <f t="shared" si="0"/>
        <v>7.1280236250849072</v>
      </c>
      <c r="F13">
        <f t="shared" si="1"/>
        <v>5.9259553631265582</v>
      </c>
      <c r="G13">
        <f t="shared" si="2"/>
        <v>4.7238871011682093</v>
      </c>
      <c r="H13">
        <f t="shared" si="3"/>
        <v>3.5218188392098604</v>
      </c>
      <c r="I13">
        <f>'Cibles THREEME AMS'!AU12</f>
        <v>2.3197505772515123</v>
      </c>
      <c r="J13">
        <f t="shared" si="4"/>
        <v>2.1239427701590241</v>
      </c>
      <c r="K13">
        <f t="shared" si="5"/>
        <v>1.9281349630665356</v>
      </c>
      <c r="L13">
        <f>'Cibles THREEME AMS'!AV12</f>
        <v>1.7323271559740472</v>
      </c>
      <c r="M13">
        <f t="shared" si="6"/>
        <v>1.4987466066660593</v>
      </c>
      <c r="N13">
        <f>'Cibles THREEME AMS'!AW12</f>
        <v>1.2651660573580714</v>
      </c>
      <c r="O13">
        <f t="shared" si="7"/>
        <v>1.0099023348631539</v>
      </c>
      <c r="P13">
        <f t="shared" si="8"/>
        <v>0.75463861236823648</v>
      </c>
      <c r="Q13">
        <f>'Cibles THREEME AMS'!AX12</f>
        <v>0.49937488987331907</v>
      </c>
      <c r="R13">
        <f t="shared" si="9"/>
        <v>0.34968744493665954</v>
      </c>
      <c r="S13">
        <f>'Cibles THREEME AMS'!AY12</f>
        <v>0.2</v>
      </c>
      <c r="T13">
        <f t="shared" si="10"/>
        <v>0.16666666666666669</v>
      </c>
      <c r="U13">
        <f t="shared" si="11"/>
        <v>0.13333333333333336</v>
      </c>
      <c r="V13">
        <f>'Cibles THREEME AMS'!AZ12</f>
        <v>0.1</v>
      </c>
      <c r="W13">
        <f t="shared" si="12"/>
        <v>0.1</v>
      </c>
      <c r="X13">
        <f>'Cibles THREEME AMS'!BA12</f>
        <v>0.1</v>
      </c>
      <c r="Y13">
        <f t="shared" si="13"/>
        <v>0.1</v>
      </c>
      <c r="Z13">
        <f t="shared" si="14"/>
        <v>0.1</v>
      </c>
      <c r="AA13">
        <f>'Cibles THREEME AMS'!BB12</f>
        <v>0.1</v>
      </c>
      <c r="AB13">
        <f t="shared" si="15"/>
        <v>0.1</v>
      </c>
      <c r="AC13">
        <f>'Cibles THREEME AMS'!BC12</f>
        <v>0.1</v>
      </c>
      <c r="AD13">
        <f t="shared" si="16"/>
        <v>0.1</v>
      </c>
      <c r="AE13">
        <f t="shared" si="17"/>
        <v>0.1</v>
      </c>
      <c r="AF13">
        <f t="shared" si="18"/>
        <v>0.1</v>
      </c>
      <c r="AG13">
        <f t="shared" si="19"/>
        <v>0.1</v>
      </c>
      <c r="AH13">
        <f>'Cibles THREEME AMS'!BD12</f>
        <v>0.1</v>
      </c>
      <c r="AI13">
        <f t="shared" si="20"/>
        <v>0.1</v>
      </c>
      <c r="AJ13">
        <f t="shared" si="21"/>
        <v>0.1</v>
      </c>
      <c r="AK13">
        <f t="shared" si="22"/>
        <v>0.1</v>
      </c>
      <c r="AL13">
        <f t="shared" si="23"/>
        <v>0.1</v>
      </c>
      <c r="AM13">
        <f>'Cibles THREEME AMS'!BE12</f>
        <v>0.1</v>
      </c>
    </row>
    <row r="14" spans="2:39">
      <c r="B14" t="s">
        <v>425</v>
      </c>
      <c r="C14" t="s">
        <v>438</v>
      </c>
      <c r="D14">
        <f>'Cibles THREEME AMS'!AT14*11.63</f>
        <v>23.569963608062981</v>
      </c>
      <c r="E14">
        <f t="shared" si="0"/>
        <v>25.650152325587563</v>
      </c>
      <c r="F14">
        <f t="shared" si="1"/>
        <v>27.730341043112144</v>
      </c>
      <c r="G14">
        <f t="shared" si="2"/>
        <v>29.810529760636726</v>
      </c>
      <c r="H14">
        <f t="shared" si="3"/>
        <v>31.890718478161308</v>
      </c>
      <c r="I14">
        <f>'Cibles THREEME AMS'!AU14</f>
        <v>33.970907195685882</v>
      </c>
      <c r="J14">
        <f t="shared" si="4"/>
        <v>36.728383987020358</v>
      </c>
      <c r="K14">
        <f t="shared" si="5"/>
        <v>39.485860778354834</v>
      </c>
      <c r="L14">
        <f>'Cibles THREEME AMS'!AV14</f>
        <v>42.243337569689302</v>
      </c>
      <c r="M14">
        <f t="shared" si="6"/>
        <v>44.977214057897427</v>
      </c>
      <c r="N14">
        <f>'Cibles THREEME AMS'!AW14</f>
        <v>47.711090546105559</v>
      </c>
      <c r="O14">
        <f t="shared" si="7"/>
        <v>50.327011146326967</v>
      </c>
      <c r="P14">
        <f t="shared" si="8"/>
        <v>52.942931746548375</v>
      </c>
      <c r="Q14">
        <f>'Cibles THREEME AMS'!AX14</f>
        <v>55.558852346769783</v>
      </c>
      <c r="R14">
        <f t="shared" si="9"/>
        <v>58.068241978328381</v>
      </c>
      <c r="S14">
        <f>'Cibles THREEME AMS'!AY14</f>
        <v>60.577631609886978</v>
      </c>
      <c r="T14">
        <f t="shared" si="10"/>
        <v>66.866329729550955</v>
      </c>
      <c r="U14">
        <f t="shared" si="11"/>
        <v>73.155027849214932</v>
      </c>
      <c r="V14">
        <f>'Cibles THREEME AMS'!AZ14</f>
        <v>79.443725968878894</v>
      </c>
      <c r="W14">
        <f t="shared" si="12"/>
        <v>85.438550176264258</v>
      </c>
      <c r="X14">
        <f>'Cibles THREEME AMS'!BA14</f>
        <v>91.433374383649621</v>
      </c>
      <c r="Y14">
        <f t="shared" si="13"/>
        <v>97.363051059672244</v>
      </c>
      <c r="Z14">
        <f t="shared" si="14"/>
        <v>103.29272773569487</v>
      </c>
      <c r="AA14">
        <f>'Cibles THREEME AMS'!BB14</f>
        <v>109.22240441171748</v>
      </c>
      <c r="AB14">
        <f t="shared" si="15"/>
        <v>114.69923201008498</v>
      </c>
      <c r="AC14">
        <f>'Cibles THREEME AMS'!BC14</f>
        <v>120.17605960845248</v>
      </c>
      <c r="AD14">
        <f t="shared" si="16"/>
        <v>126.93176883768848</v>
      </c>
      <c r="AE14">
        <f t="shared" si="17"/>
        <v>133.68747806692448</v>
      </c>
      <c r="AF14">
        <f t="shared" si="18"/>
        <v>140.44318729616049</v>
      </c>
      <c r="AG14">
        <f t="shared" si="19"/>
        <v>147.19889652539649</v>
      </c>
      <c r="AH14">
        <f>'Cibles THREEME AMS'!BD14</f>
        <v>153.95460575463247</v>
      </c>
      <c r="AI14">
        <f t="shared" si="20"/>
        <v>159.83217635940497</v>
      </c>
      <c r="AJ14">
        <f t="shared" si="21"/>
        <v>165.70974696417747</v>
      </c>
      <c r="AK14">
        <f t="shared" si="22"/>
        <v>171.58731756894997</v>
      </c>
      <c r="AL14">
        <f t="shared" si="23"/>
        <v>177.46488817372247</v>
      </c>
      <c r="AM14">
        <f>'Cibles THREEME AMS'!BE14</f>
        <v>183.34245877849503</v>
      </c>
    </row>
    <row r="15" spans="2:39">
      <c r="B15" t="s">
        <v>426</v>
      </c>
      <c r="C15" t="s">
        <v>439</v>
      </c>
      <c r="D15">
        <f>'Cibles THREEME AMS'!AT15*11.63</f>
        <v>10.387403833681601</v>
      </c>
      <c r="E15">
        <f t="shared" si="0"/>
        <v>11.304153669129132</v>
      </c>
      <c r="F15">
        <f t="shared" si="1"/>
        <v>12.220903504576663</v>
      </c>
      <c r="G15">
        <f t="shared" si="2"/>
        <v>13.137653340024194</v>
      </c>
      <c r="H15">
        <f t="shared" si="3"/>
        <v>14.054403175471725</v>
      </c>
      <c r="I15">
        <f>'Cibles THREEME AMS'!AU15</f>
        <v>14.971153010919259</v>
      </c>
      <c r="J15">
        <f t="shared" si="4"/>
        <v>15.951319925761213</v>
      </c>
      <c r="K15">
        <f t="shared" si="5"/>
        <v>16.931486840603167</v>
      </c>
      <c r="L15">
        <f>'Cibles THREEME AMS'!AV15</f>
        <v>17.911653755445119</v>
      </c>
      <c r="M15">
        <f t="shared" si="6"/>
        <v>20.572052884257502</v>
      </c>
      <c r="N15">
        <f>'Cibles THREEME AMS'!AW15</f>
        <v>23.232452013069889</v>
      </c>
      <c r="O15">
        <f t="shared" si="7"/>
        <v>27.062489218209187</v>
      </c>
      <c r="P15">
        <f t="shared" si="8"/>
        <v>30.892526423348485</v>
      </c>
      <c r="Q15">
        <f>'Cibles THREEME AMS'!AX15</f>
        <v>34.722563628487784</v>
      </c>
      <c r="R15">
        <f t="shared" si="9"/>
        <v>38.312219370463382</v>
      </c>
      <c r="S15">
        <f>'Cibles THREEME AMS'!AY15</f>
        <v>41.901875112438987</v>
      </c>
      <c r="T15">
        <f t="shared" si="10"/>
        <v>45.383292393293985</v>
      </c>
      <c r="U15">
        <f t="shared" si="11"/>
        <v>48.864709674148983</v>
      </c>
      <c r="V15">
        <f>'Cibles THREEME AMS'!AZ15</f>
        <v>52.346126955003989</v>
      </c>
      <c r="W15">
        <f t="shared" si="12"/>
        <v>55.670162108319246</v>
      </c>
      <c r="X15">
        <f>'Cibles THREEME AMS'!BA15</f>
        <v>58.994197261634504</v>
      </c>
      <c r="Y15">
        <f t="shared" si="13"/>
        <v>61.392639506717579</v>
      </c>
      <c r="Z15">
        <f t="shared" si="14"/>
        <v>63.791081751800654</v>
      </c>
      <c r="AA15">
        <f>'Cibles THREEME AMS'!BB15</f>
        <v>66.189523996883722</v>
      </c>
      <c r="AB15">
        <f t="shared" si="15"/>
        <v>68.431048836525349</v>
      </c>
      <c r="AC15">
        <f>'Cibles THREEME AMS'!BC15</f>
        <v>70.672573676166976</v>
      </c>
      <c r="AD15">
        <f t="shared" si="16"/>
        <v>73.726895165006539</v>
      </c>
      <c r="AE15">
        <f t="shared" si="17"/>
        <v>76.781216653846101</v>
      </c>
      <c r="AF15">
        <f t="shared" si="18"/>
        <v>79.835538142685664</v>
      </c>
      <c r="AG15">
        <f t="shared" si="19"/>
        <v>82.889859631525226</v>
      </c>
      <c r="AH15">
        <f>'Cibles THREEME AMS'!BD15</f>
        <v>85.944181120364803</v>
      </c>
      <c r="AI15">
        <f t="shared" si="20"/>
        <v>87.823251098375749</v>
      </c>
      <c r="AJ15">
        <f t="shared" si="21"/>
        <v>89.702321076386696</v>
      </c>
      <c r="AK15">
        <f t="shared" si="22"/>
        <v>91.581391054397642</v>
      </c>
      <c r="AL15">
        <f t="shared" si="23"/>
        <v>93.460461032408588</v>
      </c>
      <c r="AM15">
        <f>'Cibles THREEME AMS'!BE15</f>
        <v>95.339531010419549</v>
      </c>
    </row>
    <row r="16" spans="2:39">
      <c r="B16" t="s">
        <v>427</v>
      </c>
      <c r="C16" t="s">
        <v>440</v>
      </c>
      <c r="D16">
        <f>'Cibles THREEME AMS'!AT16*11.63</f>
        <v>28.80143790248081</v>
      </c>
      <c r="E16">
        <f t="shared" si="0"/>
        <v>31.34333517349442</v>
      </c>
      <c r="F16">
        <f t="shared" si="1"/>
        <v>33.885232444508027</v>
      </c>
      <c r="G16">
        <f t="shared" si="2"/>
        <v>36.427129715521637</v>
      </c>
      <c r="H16">
        <f t="shared" si="3"/>
        <v>38.969026986535248</v>
      </c>
      <c r="I16">
        <f>'Cibles THREEME AMS'!AU16</f>
        <v>41.510924257548858</v>
      </c>
      <c r="J16">
        <f t="shared" si="4"/>
        <v>44.657144543399646</v>
      </c>
      <c r="K16">
        <f t="shared" si="5"/>
        <v>47.803364829250434</v>
      </c>
      <c r="L16">
        <f>'Cibles THREEME AMS'!AV16</f>
        <v>50.949585115101229</v>
      </c>
      <c r="M16">
        <f t="shared" si="6"/>
        <v>50.914673969391103</v>
      </c>
      <c r="N16">
        <f>'Cibles THREEME AMS'!AW16</f>
        <v>50.879762823680977</v>
      </c>
      <c r="O16">
        <f t="shared" si="7"/>
        <v>50.312172885858729</v>
      </c>
      <c r="P16">
        <f t="shared" si="8"/>
        <v>49.744582948036481</v>
      </c>
      <c r="Q16">
        <f>'Cibles THREEME AMS'!AX16</f>
        <v>49.176993010214233</v>
      </c>
      <c r="R16">
        <f t="shared" si="9"/>
        <v>48.743373391764351</v>
      </c>
      <c r="S16">
        <f>'Cibles THREEME AMS'!AY16</f>
        <v>48.309753773314476</v>
      </c>
      <c r="T16">
        <f t="shared" si="10"/>
        <v>48.07376637814383</v>
      </c>
      <c r="U16">
        <f t="shared" si="11"/>
        <v>47.837778982973184</v>
      </c>
      <c r="V16">
        <f>'Cibles THREEME AMS'!AZ16</f>
        <v>47.601791587802531</v>
      </c>
      <c r="W16">
        <f t="shared" si="12"/>
        <v>47.408913976591279</v>
      </c>
      <c r="X16">
        <f>'Cibles THREEME AMS'!BA16</f>
        <v>47.216036365380035</v>
      </c>
      <c r="Y16">
        <f t="shared" si="13"/>
        <v>46.485807245767305</v>
      </c>
      <c r="Z16">
        <f t="shared" si="14"/>
        <v>45.755578126154575</v>
      </c>
      <c r="AA16">
        <f>'Cibles THREEME AMS'!BB16</f>
        <v>45.025349006541852</v>
      </c>
      <c r="AB16">
        <f t="shared" si="15"/>
        <v>44.420628528421069</v>
      </c>
      <c r="AC16">
        <f>'Cibles THREEME AMS'!BC16</f>
        <v>43.815908050300287</v>
      </c>
      <c r="AD16">
        <f t="shared" si="16"/>
        <v>43.88421627776075</v>
      </c>
      <c r="AE16">
        <f t="shared" si="17"/>
        <v>43.952524505221213</v>
      </c>
      <c r="AF16">
        <f t="shared" si="18"/>
        <v>44.020832732681676</v>
      </c>
      <c r="AG16">
        <f t="shared" si="19"/>
        <v>44.089140960142139</v>
      </c>
      <c r="AH16">
        <f>'Cibles THREEME AMS'!BD16</f>
        <v>44.157449187602587</v>
      </c>
      <c r="AI16">
        <f t="shared" si="20"/>
        <v>43.768174201633521</v>
      </c>
      <c r="AJ16">
        <f t="shared" si="21"/>
        <v>43.378899215664454</v>
      </c>
      <c r="AK16">
        <f t="shared" si="22"/>
        <v>42.989624229695387</v>
      </c>
      <c r="AL16">
        <f t="shared" si="23"/>
        <v>42.60034924372632</v>
      </c>
      <c r="AM16">
        <f>'Cibles THREEME AMS'!BE16</f>
        <v>42.211074257757268</v>
      </c>
    </row>
    <row r="17" spans="2:39">
      <c r="B17" t="s">
        <v>428</v>
      </c>
      <c r="C17" t="s">
        <v>441</v>
      </c>
      <c r="D17">
        <f>'Cibles THREEME AMS'!AT25*11.63</f>
        <v>14.546015944450611</v>
      </c>
      <c r="E17">
        <f t="shared" si="0"/>
        <v>11.638812755560489</v>
      </c>
      <c r="F17">
        <f t="shared" si="1"/>
        <v>8.7316095666703664</v>
      </c>
      <c r="G17">
        <f t="shared" si="2"/>
        <v>5.8244063777802442</v>
      </c>
      <c r="H17">
        <f t="shared" si="3"/>
        <v>2.917203188890122</v>
      </c>
      <c r="I17">
        <f>'Cibles THREEME AMS'!AU25</f>
        <v>0.01</v>
      </c>
      <c r="J17">
        <f t="shared" si="4"/>
        <v>0.01</v>
      </c>
      <c r="K17">
        <f t="shared" si="5"/>
        <v>0.01</v>
      </c>
      <c r="L17">
        <f>'Cibles THREEME AMS'!AV25</f>
        <v>0.01</v>
      </c>
      <c r="M17">
        <f t="shared" si="6"/>
        <v>0.01</v>
      </c>
      <c r="N17">
        <f>'Cibles THREEME AMS'!AW25</f>
        <v>0.01</v>
      </c>
      <c r="O17">
        <f t="shared" si="7"/>
        <v>0.01</v>
      </c>
      <c r="P17">
        <f t="shared" si="8"/>
        <v>0.01</v>
      </c>
      <c r="Q17">
        <f>'Cibles THREEME AMS'!AX25</f>
        <v>0.01</v>
      </c>
      <c r="R17">
        <f t="shared" si="9"/>
        <v>0.01</v>
      </c>
      <c r="S17">
        <f>'Cibles THREEME AMS'!AY25</f>
        <v>0.01</v>
      </c>
      <c r="T17">
        <f t="shared" si="10"/>
        <v>0.01</v>
      </c>
      <c r="U17">
        <f t="shared" si="11"/>
        <v>0.01</v>
      </c>
      <c r="V17">
        <f>'Cibles THREEME AMS'!AZ25</f>
        <v>0.01</v>
      </c>
      <c r="W17">
        <f t="shared" si="12"/>
        <v>0.01</v>
      </c>
      <c r="X17">
        <f>'Cibles THREEME AMS'!BA25</f>
        <v>0.01</v>
      </c>
      <c r="Y17">
        <f t="shared" si="13"/>
        <v>0.01</v>
      </c>
      <c r="Z17">
        <f t="shared" si="14"/>
        <v>0.01</v>
      </c>
      <c r="AA17">
        <f>'Cibles THREEME AMS'!BB25</f>
        <v>0.01</v>
      </c>
      <c r="AB17">
        <f t="shared" si="15"/>
        <v>0.01</v>
      </c>
      <c r="AC17">
        <f>'Cibles THREEME AMS'!BC25</f>
        <v>0.01</v>
      </c>
      <c r="AD17">
        <f t="shared" si="16"/>
        <v>0.01</v>
      </c>
      <c r="AE17">
        <f t="shared" si="17"/>
        <v>0.01</v>
      </c>
      <c r="AF17">
        <f t="shared" si="18"/>
        <v>0.01</v>
      </c>
      <c r="AG17">
        <f t="shared" si="19"/>
        <v>0.01</v>
      </c>
      <c r="AH17">
        <f>'Cibles THREEME AMS'!BD25</f>
        <v>0.01</v>
      </c>
      <c r="AI17">
        <f t="shared" si="20"/>
        <v>0.01</v>
      </c>
      <c r="AJ17">
        <f t="shared" si="21"/>
        <v>0.01</v>
      </c>
      <c r="AK17">
        <f t="shared" si="22"/>
        <v>0.01</v>
      </c>
      <c r="AL17">
        <f t="shared" si="23"/>
        <v>0.01</v>
      </c>
      <c r="AM17">
        <f>'Cibles THREEME AMS'!BE25</f>
        <v>0.01</v>
      </c>
    </row>
    <row r="18" spans="2:39">
      <c r="B18" t="s">
        <v>429</v>
      </c>
      <c r="C18" t="s">
        <v>442</v>
      </c>
      <c r="D18">
        <f>+'Cibles THREEME AMS'!AT17*11.63</f>
        <v>7.4278362382256802</v>
      </c>
      <c r="E18">
        <f t="shared" si="0"/>
        <v>6.9291281701791938</v>
      </c>
      <c r="F18">
        <f t="shared" si="1"/>
        <v>6.4304201021327074</v>
      </c>
      <c r="G18">
        <f t="shared" si="2"/>
        <v>5.9317120340862211</v>
      </c>
      <c r="H18">
        <f t="shared" si="3"/>
        <v>5.4330039660397347</v>
      </c>
      <c r="I18">
        <f>+'Cibles THREEME AMS'!AU17</f>
        <v>4.9342958979932492</v>
      </c>
      <c r="J18">
        <f t="shared" si="4"/>
        <v>6.8047482257138991</v>
      </c>
      <c r="K18">
        <f t="shared" si="5"/>
        <v>8.67520055343455</v>
      </c>
      <c r="L18">
        <f>+'Cibles THREEME AMS'!AV17</f>
        <v>10.545652881155199</v>
      </c>
      <c r="M18">
        <f t="shared" si="6"/>
        <v>10.816767710663321</v>
      </c>
      <c r="N18">
        <f>+'Cibles THREEME AMS'!AW17</f>
        <v>11.08788254017144</v>
      </c>
      <c r="O18">
        <f t="shared" si="7"/>
        <v>10.882493289021898</v>
      </c>
      <c r="P18">
        <f t="shared" si="8"/>
        <v>10.677104037872356</v>
      </c>
      <c r="Q18">
        <f>+'Cibles THREEME AMS'!AX17</f>
        <v>10.471714786722815</v>
      </c>
      <c r="R18">
        <f t="shared" si="9"/>
        <v>10.256540565722684</v>
      </c>
      <c r="S18">
        <f>+'Cibles THREEME AMS'!AY17</f>
        <v>10.041366344722553</v>
      </c>
      <c r="T18">
        <f t="shared" si="10"/>
        <v>10.475389707246716</v>
      </c>
      <c r="U18">
        <f t="shared" si="11"/>
        <v>10.90941306977088</v>
      </c>
      <c r="V18">
        <f>+'Cibles THREEME AMS'!AZ17</f>
        <v>11.343436432295041</v>
      </c>
      <c r="W18">
        <f t="shared" si="12"/>
        <v>11.762555153588149</v>
      </c>
      <c r="X18">
        <f>+'Cibles THREEME AMS'!BA17</f>
        <v>12.181673874881257</v>
      </c>
      <c r="Y18">
        <f t="shared" si="13"/>
        <v>12.442772120639125</v>
      </c>
      <c r="Z18">
        <f t="shared" si="14"/>
        <v>12.703870366396993</v>
      </c>
      <c r="AA18">
        <f>+'Cibles THREEME AMS'!BB17</f>
        <v>12.964968612154863</v>
      </c>
      <c r="AB18">
        <f t="shared" si="15"/>
        <v>13.213826484089992</v>
      </c>
      <c r="AC18">
        <f>+'Cibles THREEME AMS'!BC17</f>
        <v>13.462684356025122</v>
      </c>
      <c r="AD18">
        <f t="shared" si="16"/>
        <v>12.947572698297625</v>
      </c>
      <c r="AE18">
        <f t="shared" si="17"/>
        <v>12.432461040570129</v>
      </c>
      <c r="AF18">
        <f t="shared" si="18"/>
        <v>11.917349382842632</v>
      </c>
      <c r="AG18">
        <f t="shared" si="19"/>
        <v>11.402237725115135</v>
      </c>
      <c r="AH18">
        <f>+'Cibles THREEME AMS'!BD17</f>
        <v>10.887126067387641</v>
      </c>
      <c r="AI18">
        <f t="shared" si="20"/>
        <v>10.618799744200331</v>
      </c>
      <c r="AJ18">
        <f t="shared" si="21"/>
        <v>10.350473421013021</v>
      </c>
      <c r="AK18">
        <f t="shared" si="22"/>
        <v>10.082147097825711</v>
      </c>
      <c r="AL18">
        <f t="shared" si="23"/>
        <v>9.8138207746384012</v>
      </c>
      <c r="AM18">
        <f>+'Cibles THREEME AMS'!BE17</f>
        <v>9.5454944514510913</v>
      </c>
    </row>
    <row r="19" spans="2:39">
      <c r="D19" s="580">
        <f>SUM(D3:D18)-('Cibles THREEME AMS'!AT2-'Cibles THREEME AMS'!AT27-'Cibles THREEME AMS'!AT20)*11.63</f>
        <v>14.546015944450119</v>
      </c>
      <c r="E19" s="580"/>
      <c r="F19" s="580"/>
      <c r="G19" s="580"/>
      <c r="H19" s="580"/>
      <c r="I19" s="580">
        <f>SUM(I3:I18)-'Cibles THREEME AMS'!AU2+'Cibles THREEME AMS'!AU27+'Cibles THREEME AMS'!AU20</f>
        <v>9.9999999999198508E-3</v>
      </c>
      <c r="L19" s="580">
        <f>SUM(L3:L18)-'Cibles THREEME AMS'!AV2+'Cibles THREEME AMS'!AV27+'Cibles THREEME AMS'!AV20</f>
        <v>9.9999999999909051E-3</v>
      </c>
      <c r="N19" s="580">
        <f>SUM(N3:N18)-'Cibles THREEME AMS'!AW2+'Cibles THREEME AMS'!AW27+'Cibles THREEME AMS'!AW20</f>
        <v>9.9999999997493205E-3</v>
      </c>
      <c r="Q19" s="580">
        <f>SUM(Q3:Q18)-'Cibles THREEME AMS'!AX2+'Cibles THREEME AMS'!AX27+'Cibles THREEME AMS'!AX20</f>
        <v>9.9999999994366817E-3</v>
      </c>
      <c r="S19" s="580">
        <f>SUM(S3:S18)-'Cibles THREEME AMS'!AY2+'Cibles THREEME AMS'!AY27+'Cibles THREEME AMS'!AY20</f>
        <v>1.0000000000474074E-2</v>
      </c>
      <c r="V19" s="580">
        <f>SUM(V3:V18)-'Cibles THREEME AMS'!AZ2+'Cibles THREEME AMS'!AZ27+'Cibles THREEME AMS'!AZ20</f>
        <v>9.9999999999056399E-3</v>
      </c>
      <c r="X19" s="580">
        <f>SUM(X3:X18)-'Cibles THREEME AMS'!BA2+'Cibles THREEME AMS'!BA27+'Cibles THREEME AMS'!BA20</f>
        <v>1.0000000000061959E-2</v>
      </c>
      <c r="AA19" s="580">
        <f>SUM(AA3:AA18)-'Cibles THREEME AMS'!BB2+'Cibles THREEME AMS'!BB27+'Cibles THREEME AMS'!BB20</f>
        <v>9.9999999999766942E-3</v>
      </c>
      <c r="AC19" s="580">
        <f>SUM(AC3:AC18)-'Cibles THREEME AMS'!BC2+'Cibles THREEME AMS'!BC27+'Cibles THREEME AMS'!BC20</f>
        <v>9.9999999998914291E-3</v>
      </c>
      <c r="AH19" s="580">
        <f>SUM(AH3:AH18)-'Cibles THREEME AMS'!BD2+'Cibles THREEME AMS'!BD27+'Cibles THREEME AMS'!BD20</f>
        <v>9.9999999998914291E-3</v>
      </c>
      <c r="AM19" s="580">
        <f>SUM(AM3:AM18)-'Cibles THREEME AMS'!BE2+'Cibles THREEME AMS'!BE27+'Cibles THREEME AMS'!BE20</f>
        <v>9.9999999999198508E-3</v>
      </c>
    </row>
    <row r="20" spans="2:39">
      <c r="B20" t="s">
        <v>448</v>
      </c>
      <c r="C20" t="s">
        <v>470</v>
      </c>
      <c r="D20">
        <f>D3/SUM(D$3:D$4)</f>
        <v>0.94633507909423564</v>
      </c>
      <c r="E20">
        <f t="shared" ref="E20:H20" si="24">E3/SUM(E$3:E$4)</f>
        <v>0.94585723920133624</v>
      </c>
      <c r="F20">
        <f t="shared" si="24"/>
        <v>0.94535011389700185</v>
      </c>
      <c r="G20">
        <f t="shared" si="24"/>
        <v>0.94481092584790649</v>
      </c>
      <c r="H20">
        <f t="shared" si="24"/>
        <v>0.94423653506533911</v>
      </c>
      <c r="I20">
        <f>I3/SUM(I$3:I$4)</f>
        <v>0.9436233777146994</v>
      </c>
      <c r="J20">
        <f t="shared" si="4"/>
        <v>0.93690358536992513</v>
      </c>
      <c r="K20">
        <f t="shared" si="5"/>
        <v>0.93018379302515086</v>
      </c>
      <c r="L20">
        <f t="shared" ref="L20:AM20" si="25">L3/SUM(L$3:L$4)</f>
        <v>0.92346400068037648</v>
      </c>
      <c r="M20">
        <f t="shared" si="6"/>
        <v>0.91886359555466068</v>
      </c>
      <c r="N20">
        <f t="shared" si="25"/>
        <v>0.91426319042894499</v>
      </c>
      <c r="O20">
        <f t="shared" si="7"/>
        <v>0.90919680226026456</v>
      </c>
      <c r="P20">
        <f t="shared" si="8"/>
        <v>0.90413041409158412</v>
      </c>
      <c r="Q20">
        <f t="shared" si="25"/>
        <v>0.89906402592290369</v>
      </c>
      <c r="R20">
        <f t="shared" si="9"/>
        <v>0.89310447727936637</v>
      </c>
      <c r="S20">
        <f t="shared" si="25"/>
        <v>0.88714492863582894</v>
      </c>
      <c r="T20">
        <f t="shared" si="10"/>
        <v>0.87003037970857677</v>
      </c>
      <c r="U20">
        <f t="shared" si="11"/>
        <v>0.8529158307813246</v>
      </c>
      <c r="V20">
        <f t="shared" si="25"/>
        <v>0.83580128185407232</v>
      </c>
      <c r="W20">
        <f t="shared" si="12"/>
        <v>0.81311815268905741</v>
      </c>
      <c r="X20">
        <f t="shared" si="25"/>
        <v>0.79043502352404249</v>
      </c>
      <c r="Y20">
        <f t="shared" si="13"/>
        <v>0.75423583516269732</v>
      </c>
      <c r="Z20">
        <f t="shared" si="14"/>
        <v>0.71803664680135215</v>
      </c>
      <c r="AA20">
        <f t="shared" si="25"/>
        <v>0.68183745844000698</v>
      </c>
      <c r="AB20">
        <f t="shared" si="15"/>
        <v>0.62772021310324466</v>
      </c>
      <c r="AC20">
        <f t="shared" si="25"/>
        <v>0.57360296776648223</v>
      </c>
      <c r="AD20">
        <f t="shared" si="16"/>
        <v>0.54131830827983896</v>
      </c>
      <c r="AE20">
        <f t="shared" si="17"/>
        <v>0.50903364879319568</v>
      </c>
      <c r="AF20">
        <f t="shared" si="18"/>
        <v>0.47674898930655235</v>
      </c>
      <c r="AG20">
        <f t="shared" si="19"/>
        <v>0.44446432981990902</v>
      </c>
      <c r="AH20">
        <f t="shared" si="25"/>
        <v>0.41217967033326569</v>
      </c>
      <c r="AI20">
        <f t="shared" si="20"/>
        <v>0.42668094722310418</v>
      </c>
      <c r="AJ20">
        <f t="shared" si="21"/>
        <v>0.44118222411294267</v>
      </c>
      <c r="AK20">
        <f t="shared" si="22"/>
        <v>0.45568350100278115</v>
      </c>
      <c r="AL20">
        <f t="shared" si="23"/>
        <v>0.47018477789261964</v>
      </c>
      <c r="AM20">
        <f t="shared" si="25"/>
        <v>0.48468605478245813</v>
      </c>
    </row>
    <row r="21" spans="2:39">
      <c r="B21" t="s">
        <v>447</v>
      </c>
      <c r="C21" t="s">
        <v>469</v>
      </c>
      <c r="D21">
        <f>D4/SUM(D$3:D$4)</f>
        <v>5.3664920905764364E-2</v>
      </c>
      <c r="E21">
        <f t="shared" ref="E21:H21" si="26">E4/SUM(E$3:E$4)</f>
        <v>5.4142760798663724E-2</v>
      </c>
      <c r="F21">
        <f t="shared" si="26"/>
        <v>5.4649886102998174E-2</v>
      </c>
      <c r="G21">
        <f t="shared" si="26"/>
        <v>5.5189074152093516E-2</v>
      </c>
      <c r="H21">
        <f t="shared" si="26"/>
        <v>5.5763464934660799E-2</v>
      </c>
      <c r="I21">
        <f>I4/SUM(I$3:I$4)</f>
        <v>5.6376622285300708E-2</v>
      </c>
      <c r="J21">
        <f t="shared" si="4"/>
        <v>6.3096414630074954E-2</v>
      </c>
      <c r="K21">
        <f t="shared" si="5"/>
        <v>6.9816206974849207E-2</v>
      </c>
      <c r="L21">
        <f t="shared" ref="L21:AM21" si="27">L4/SUM(L$3:L$4)</f>
        <v>7.653599931962346E-2</v>
      </c>
      <c r="M21">
        <f t="shared" si="6"/>
        <v>8.1136404445339261E-2</v>
      </c>
      <c r="N21">
        <f t="shared" si="27"/>
        <v>8.5736809571055075E-2</v>
      </c>
      <c r="O21">
        <f t="shared" si="7"/>
        <v>9.0803197739735525E-2</v>
      </c>
      <c r="P21">
        <f t="shared" si="8"/>
        <v>9.5869585908415975E-2</v>
      </c>
      <c r="Q21">
        <f t="shared" si="27"/>
        <v>0.10093597407709641</v>
      </c>
      <c r="R21">
        <f t="shared" si="9"/>
        <v>0.10689552272063378</v>
      </c>
      <c r="S21">
        <f t="shared" si="27"/>
        <v>0.11285507136417115</v>
      </c>
      <c r="T21">
        <f t="shared" si="10"/>
        <v>0.12996962029142331</v>
      </c>
      <c r="U21">
        <f t="shared" si="11"/>
        <v>0.14708416921867548</v>
      </c>
      <c r="V21">
        <f t="shared" si="27"/>
        <v>0.16419871814592765</v>
      </c>
      <c r="W21">
        <f t="shared" si="12"/>
        <v>0.18688184731094262</v>
      </c>
      <c r="X21">
        <f t="shared" si="27"/>
        <v>0.20956497647595759</v>
      </c>
      <c r="Y21">
        <f t="shared" si="13"/>
        <v>0.24576416483730271</v>
      </c>
      <c r="Z21">
        <f t="shared" si="14"/>
        <v>0.28196335319864779</v>
      </c>
      <c r="AA21">
        <f t="shared" si="27"/>
        <v>0.31816254155999291</v>
      </c>
      <c r="AB21">
        <f t="shared" si="15"/>
        <v>0.37227978689675534</v>
      </c>
      <c r="AC21">
        <f t="shared" si="27"/>
        <v>0.42639703223351783</v>
      </c>
      <c r="AD21">
        <f t="shared" si="16"/>
        <v>0.4586816917201611</v>
      </c>
      <c r="AE21">
        <f t="shared" si="17"/>
        <v>0.49096635120680437</v>
      </c>
      <c r="AF21">
        <f t="shared" si="18"/>
        <v>0.5232510106934477</v>
      </c>
      <c r="AG21">
        <f t="shared" si="19"/>
        <v>0.55553567018009098</v>
      </c>
      <c r="AH21">
        <f t="shared" si="27"/>
        <v>0.58782032966673425</v>
      </c>
      <c r="AI21">
        <f t="shared" si="20"/>
        <v>0.57331905277689577</v>
      </c>
      <c r="AJ21">
        <f t="shared" si="21"/>
        <v>0.55881777588705728</v>
      </c>
      <c r="AK21">
        <f t="shared" si="22"/>
        <v>0.54431649899721879</v>
      </c>
      <c r="AL21">
        <f t="shared" si="23"/>
        <v>0.5298152221073803</v>
      </c>
      <c r="AM21">
        <f t="shared" si="27"/>
        <v>0.51531394521754181</v>
      </c>
    </row>
    <row r="22" spans="2:39">
      <c r="B22" t="s">
        <v>446</v>
      </c>
      <c r="C22" t="s">
        <v>472</v>
      </c>
      <c r="D22">
        <f>D5/SUM(D$5:D$6)</f>
        <v>0.98946100231093503</v>
      </c>
      <c r="E22">
        <f t="shared" ref="E22:H23" si="28">E5/SUM(E$5:E$6)</f>
        <v>0.98788516634123691</v>
      </c>
      <c r="F22">
        <f t="shared" si="28"/>
        <v>0.98619945316459789</v>
      </c>
      <c r="G22">
        <f t="shared" si="28"/>
        <v>0.98439195566531823</v>
      </c>
      <c r="H22">
        <f t="shared" si="28"/>
        <v>0.98244898179261086</v>
      </c>
      <c r="I22">
        <f>I5/SUM(I$5:I$6)</f>
        <v>0.98035470707498895</v>
      </c>
      <c r="J22">
        <f t="shared" si="4"/>
        <v>0.97600777515964365</v>
      </c>
      <c r="K22">
        <f t="shared" si="5"/>
        <v>0.97166084324429836</v>
      </c>
      <c r="L22">
        <f t="shared" ref="L22:AM23" si="29">L5/SUM(L$5:L$6)</f>
        <v>0.96731391132895317</v>
      </c>
      <c r="M22">
        <f t="shared" si="6"/>
        <v>0.96204490179043811</v>
      </c>
      <c r="N22">
        <f t="shared" si="29"/>
        <v>0.95677589225192305</v>
      </c>
      <c r="O22">
        <f t="shared" si="7"/>
        <v>0.94673562466218297</v>
      </c>
      <c r="P22">
        <f t="shared" si="8"/>
        <v>0.93669535707244289</v>
      </c>
      <c r="Q22">
        <f t="shared" si="29"/>
        <v>0.9266550894827027</v>
      </c>
      <c r="R22">
        <f t="shared" si="9"/>
        <v>0.91233656431592203</v>
      </c>
      <c r="S22">
        <f t="shared" si="29"/>
        <v>0.89801803914914136</v>
      </c>
      <c r="T22">
        <f t="shared" si="10"/>
        <v>0.87774007542372412</v>
      </c>
      <c r="U22">
        <f t="shared" si="11"/>
        <v>0.85746211169830688</v>
      </c>
      <c r="V22">
        <f t="shared" si="29"/>
        <v>0.83718414797288965</v>
      </c>
      <c r="W22">
        <f t="shared" si="12"/>
        <v>0.81381283629713019</v>
      </c>
      <c r="X22">
        <f t="shared" si="29"/>
        <v>0.79044152462137085</v>
      </c>
      <c r="Y22">
        <f t="shared" si="13"/>
        <v>0.73296593615796291</v>
      </c>
      <c r="Z22">
        <f t="shared" si="14"/>
        <v>0.67549034769455496</v>
      </c>
      <c r="AA22">
        <f t="shared" si="29"/>
        <v>0.61801475923114702</v>
      </c>
      <c r="AB22">
        <f t="shared" si="15"/>
        <v>0.55738706286755546</v>
      </c>
      <c r="AC22">
        <f t="shared" si="29"/>
        <v>0.49675936650396402</v>
      </c>
      <c r="AD22">
        <f t="shared" si="16"/>
        <v>0.4329781232724158</v>
      </c>
      <c r="AE22">
        <f t="shared" si="17"/>
        <v>0.36919688004086759</v>
      </c>
      <c r="AF22">
        <f t="shared" si="18"/>
        <v>0.30541563680931938</v>
      </c>
      <c r="AG22">
        <f t="shared" si="19"/>
        <v>0.24163439357777114</v>
      </c>
      <c r="AH22">
        <f t="shared" si="29"/>
        <v>0.17785315034622287</v>
      </c>
      <c r="AI22">
        <f t="shared" si="20"/>
        <v>0.15247950004641159</v>
      </c>
      <c r="AJ22">
        <f t="shared" si="21"/>
        <v>0.1271058497466003</v>
      </c>
      <c r="AK22">
        <f t="shared" si="22"/>
        <v>0.101732199446789</v>
      </c>
      <c r="AL22">
        <f t="shared" si="23"/>
        <v>7.6358549146977706E-2</v>
      </c>
      <c r="AM22">
        <f t="shared" si="29"/>
        <v>5.09848988471664E-2</v>
      </c>
    </row>
    <row r="23" spans="2:39">
      <c r="B23" t="s">
        <v>445</v>
      </c>
      <c r="C23" t="s">
        <v>471</v>
      </c>
      <c r="D23">
        <f>D6/SUM(D$5:D$6)</f>
        <v>1.053899768906486E-2</v>
      </c>
      <c r="E23">
        <f t="shared" si="28"/>
        <v>1.211483365876318E-2</v>
      </c>
      <c r="F23">
        <f t="shared" si="28"/>
        <v>1.3800546835402123E-2</v>
      </c>
      <c r="G23">
        <f t="shared" si="28"/>
        <v>1.5608044334681759E-2</v>
      </c>
      <c r="H23">
        <f t="shared" si="28"/>
        <v>1.7551018207389125E-2</v>
      </c>
      <c r="I23">
        <f>I6/SUM(I$5:I$6)</f>
        <v>1.9645292925011066E-2</v>
      </c>
      <c r="J23">
        <f t="shared" si="4"/>
        <v>2.3992224840356294E-2</v>
      </c>
      <c r="K23">
        <f t="shared" si="5"/>
        <v>2.8339156755701523E-2</v>
      </c>
      <c r="L23">
        <f t="shared" si="29"/>
        <v>3.2686088671046755E-2</v>
      </c>
      <c r="M23">
        <f t="shared" si="6"/>
        <v>3.7955098209561874E-2</v>
      </c>
      <c r="N23">
        <f t="shared" si="29"/>
        <v>4.3224107748076994E-2</v>
      </c>
      <c r="O23">
        <f t="shared" si="7"/>
        <v>5.3264375337817124E-2</v>
      </c>
      <c r="P23">
        <f t="shared" si="8"/>
        <v>6.3304642927557248E-2</v>
      </c>
      <c r="Q23">
        <f t="shared" si="29"/>
        <v>7.3344910517297385E-2</v>
      </c>
      <c r="R23">
        <f t="shared" si="9"/>
        <v>8.7663435684078056E-2</v>
      </c>
      <c r="S23">
        <f t="shared" si="29"/>
        <v>0.10198196085085871</v>
      </c>
      <c r="T23">
        <f t="shared" si="10"/>
        <v>0.12225992457627594</v>
      </c>
      <c r="U23">
        <f t="shared" si="11"/>
        <v>0.14253788830169317</v>
      </c>
      <c r="V23">
        <f t="shared" si="29"/>
        <v>0.16281585202711038</v>
      </c>
      <c r="W23">
        <f t="shared" si="12"/>
        <v>0.18618716370286975</v>
      </c>
      <c r="X23">
        <f t="shared" si="29"/>
        <v>0.20955847537862915</v>
      </c>
      <c r="Y23">
        <f t="shared" si="13"/>
        <v>0.26703406384203709</v>
      </c>
      <c r="Z23">
        <f t="shared" si="14"/>
        <v>0.32450965230544504</v>
      </c>
      <c r="AA23">
        <f t="shared" si="29"/>
        <v>0.38198524076885304</v>
      </c>
      <c r="AB23">
        <f t="shared" si="15"/>
        <v>0.44261293713244443</v>
      </c>
      <c r="AC23">
        <f t="shared" si="29"/>
        <v>0.50324063349603587</v>
      </c>
      <c r="AD23">
        <f t="shared" si="16"/>
        <v>0.56702187672758408</v>
      </c>
      <c r="AE23">
        <f t="shared" si="17"/>
        <v>0.6308031199591323</v>
      </c>
      <c r="AF23">
        <f t="shared" si="18"/>
        <v>0.69458436319068051</v>
      </c>
      <c r="AG23">
        <f t="shared" si="19"/>
        <v>0.75836560642222872</v>
      </c>
      <c r="AH23">
        <f t="shared" si="29"/>
        <v>0.82214684965377705</v>
      </c>
      <c r="AI23">
        <f t="shared" si="20"/>
        <v>0.84752049995358836</v>
      </c>
      <c r="AJ23">
        <f t="shared" si="21"/>
        <v>0.87289415025339967</v>
      </c>
      <c r="AK23">
        <f t="shared" si="22"/>
        <v>0.89826780055321098</v>
      </c>
      <c r="AL23">
        <f t="shared" si="23"/>
        <v>0.92364145085302229</v>
      </c>
      <c r="AM23">
        <f t="shared" si="29"/>
        <v>0.94901510115283361</v>
      </c>
    </row>
    <row r="24" spans="2:39">
      <c r="B24" t="s">
        <v>419</v>
      </c>
      <c r="C24" t="s">
        <v>467</v>
      </c>
      <c r="D24">
        <f>D7/SUM(D$7:D$9)</f>
        <v>0.84617243591556013</v>
      </c>
      <c r="E24">
        <f t="shared" ref="E24:H24" si="30">E7/SUM(E$7:E$9)</f>
        <v>0.84476059508812917</v>
      </c>
      <c r="F24">
        <f t="shared" si="30"/>
        <v>0.84334434504335365</v>
      </c>
      <c r="G24">
        <f t="shared" si="30"/>
        <v>0.84192366509377103</v>
      </c>
      <c r="H24">
        <f t="shared" si="30"/>
        <v>0.84049853442229927</v>
      </c>
      <c r="I24">
        <f>I7/SUM(I$7:I$9)</f>
        <v>0.83906893208121935</v>
      </c>
      <c r="J24">
        <f t="shared" si="4"/>
        <v>0.81803189524950182</v>
      </c>
      <c r="K24">
        <f t="shared" si="5"/>
        <v>0.79699485841778428</v>
      </c>
      <c r="L24">
        <f t="shared" ref="L24:AM24" si="31">L7/SUM(L$7:L$9)</f>
        <v>0.77595782158606685</v>
      </c>
      <c r="M24">
        <f t="shared" si="6"/>
        <v>0.74660096074400806</v>
      </c>
      <c r="N24">
        <f t="shared" si="31"/>
        <v>0.71724409990194915</v>
      </c>
      <c r="O24">
        <f t="shared" si="7"/>
        <v>0.68416203623180405</v>
      </c>
      <c r="P24">
        <f t="shared" si="8"/>
        <v>0.65107997256165895</v>
      </c>
      <c r="Q24">
        <f t="shared" si="31"/>
        <v>0.61799790889151374</v>
      </c>
      <c r="R24">
        <f t="shared" si="9"/>
        <v>0.58418187597323279</v>
      </c>
      <c r="S24">
        <f t="shared" si="31"/>
        <v>0.55036584305495184</v>
      </c>
      <c r="T24">
        <f t="shared" si="10"/>
        <v>0.51551011144455883</v>
      </c>
      <c r="U24">
        <f t="shared" si="11"/>
        <v>0.48065437983416576</v>
      </c>
      <c r="V24">
        <f t="shared" si="31"/>
        <v>0.44579864822377269</v>
      </c>
      <c r="W24">
        <f t="shared" si="12"/>
        <v>0.41374680297231259</v>
      </c>
      <c r="X24">
        <f t="shared" si="31"/>
        <v>0.38169495772085255</v>
      </c>
      <c r="Y24">
        <f t="shared" si="13"/>
        <v>0.35125024489027329</v>
      </c>
      <c r="Z24">
        <f t="shared" si="14"/>
        <v>0.32080553205969403</v>
      </c>
      <c r="AA24">
        <f t="shared" si="31"/>
        <v>0.29036081922911477</v>
      </c>
      <c r="AB24">
        <f t="shared" si="15"/>
        <v>0.26338111188140778</v>
      </c>
      <c r="AC24">
        <f t="shared" si="31"/>
        <v>0.23640140453370076</v>
      </c>
      <c r="AD24">
        <f t="shared" si="16"/>
        <v>0.21610150646633491</v>
      </c>
      <c r="AE24">
        <f t="shared" si="17"/>
        <v>0.19580160839896907</v>
      </c>
      <c r="AF24">
        <f t="shared" si="18"/>
        <v>0.17550171033160322</v>
      </c>
      <c r="AG24">
        <f t="shared" si="19"/>
        <v>0.15520181226423738</v>
      </c>
      <c r="AH24">
        <f t="shared" si="31"/>
        <v>0.13490191419687156</v>
      </c>
      <c r="AI24">
        <f t="shared" si="20"/>
        <v>0.10945791556291892</v>
      </c>
      <c r="AJ24">
        <f t="shared" si="21"/>
        <v>8.4013916928966287E-2</v>
      </c>
      <c r="AK24">
        <f t="shared" si="22"/>
        <v>5.8569918295013644E-2</v>
      </c>
      <c r="AL24">
        <f t="shared" si="23"/>
        <v>3.3125919661061001E-2</v>
      </c>
      <c r="AM24">
        <f t="shared" si="31"/>
        <v>7.6819210271083594E-3</v>
      </c>
    </row>
    <row r="25" spans="2:39">
      <c r="B25" t="s">
        <v>420</v>
      </c>
      <c r="C25" t="s">
        <v>466</v>
      </c>
      <c r="D25">
        <f t="shared" ref="D25:AM26" si="32">D8/SUM(D$7:D$9)</f>
        <v>0.14367118023947198</v>
      </c>
      <c r="E25">
        <f t="shared" si="32"/>
        <v>0.14509996701877137</v>
      </c>
      <c r="F25">
        <f t="shared" si="32"/>
        <v>0.14653321593808435</v>
      </c>
      <c r="G25">
        <f t="shared" si="32"/>
        <v>0.14797094793317955</v>
      </c>
      <c r="H25">
        <f t="shared" si="32"/>
        <v>0.14941318407100118</v>
      </c>
      <c r="I25">
        <f t="shared" si="32"/>
        <v>0.15085994555069809</v>
      </c>
      <c r="J25">
        <f t="shared" si="4"/>
        <v>0.17214948436895505</v>
      </c>
      <c r="K25">
        <f t="shared" si="5"/>
        <v>0.19343902318721201</v>
      </c>
      <c r="L25">
        <f t="shared" si="32"/>
        <v>0.21472856200546897</v>
      </c>
      <c r="M25">
        <f t="shared" si="6"/>
        <v>0.24443778548017814</v>
      </c>
      <c r="N25">
        <f t="shared" si="32"/>
        <v>0.27414700895488731</v>
      </c>
      <c r="O25">
        <f t="shared" si="7"/>
        <v>0.3076261478815126</v>
      </c>
      <c r="P25">
        <f t="shared" si="8"/>
        <v>0.3411052868081379</v>
      </c>
      <c r="Q25">
        <f t="shared" si="32"/>
        <v>0.37458442573476325</v>
      </c>
      <c r="R25">
        <f t="shared" si="9"/>
        <v>0.40880634354819628</v>
      </c>
      <c r="S25">
        <f t="shared" si="32"/>
        <v>0.44302826136162932</v>
      </c>
      <c r="T25">
        <f t="shared" si="10"/>
        <v>0.47830235709546398</v>
      </c>
      <c r="U25">
        <f t="shared" si="11"/>
        <v>0.51357645282929865</v>
      </c>
      <c r="V25">
        <f t="shared" si="32"/>
        <v>0.54885054856313331</v>
      </c>
      <c r="W25">
        <f t="shared" si="12"/>
        <v>0.58128710363199732</v>
      </c>
      <c r="X25">
        <f t="shared" si="32"/>
        <v>0.61372365870086143</v>
      </c>
      <c r="Y25">
        <f t="shared" si="13"/>
        <v>0.64453379136365563</v>
      </c>
      <c r="Z25">
        <f t="shared" si="14"/>
        <v>0.67534392402644983</v>
      </c>
      <c r="AA25">
        <f t="shared" si="32"/>
        <v>0.70615405668924403</v>
      </c>
      <c r="AB25">
        <f t="shared" si="15"/>
        <v>0.73345759432522062</v>
      </c>
      <c r="AC25">
        <f t="shared" si="32"/>
        <v>0.76076113196119721</v>
      </c>
      <c r="AD25">
        <f t="shared" si="16"/>
        <v>0.78130468433356626</v>
      </c>
      <c r="AE25">
        <f t="shared" si="17"/>
        <v>0.8018482367059353</v>
      </c>
      <c r="AF25">
        <f t="shared" si="18"/>
        <v>0.82239178907830435</v>
      </c>
      <c r="AG25">
        <f t="shared" si="19"/>
        <v>0.84293534145067339</v>
      </c>
      <c r="AH25">
        <f t="shared" si="32"/>
        <v>0.86347889382304244</v>
      </c>
      <c r="AI25">
        <f t="shared" si="20"/>
        <v>0.88922829003993287</v>
      </c>
      <c r="AJ25">
        <f t="shared" si="21"/>
        <v>0.9149776862568233</v>
      </c>
      <c r="AK25">
        <f t="shared" si="22"/>
        <v>0.94072708247371373</v>
      </c>
      <c r="AL25">
        <f t="shared" si="23"/>
        <v>0.96647647869060416</v>
      </c>
      <c r="AM25">
        <f t="shared" si="32"/>
        <v>0.99222587490749481</v>
      </c>
    </row>
    <row r="26" spans="2:39">
      <c r="B26" t="s">
        <v>444</v>
      </c>
      <c r="C26" t="s">
        <v>468</v>
      </c>
      <c r="D26">
        <f t="shared" si="32"/>
        <v>1.0156383844967865E-2</v>
      </c>
      <c r="E26">
        <f t="shared" si="32"/>
        <v>1.0139437893099472E-2</v>
      </c>
      <c r="F26">
        <f t="shared" si="32"/>
        <v>1.0122439018562003E-2</v>
      </c>
      <c r="G26">
        <f t="shared" si="32"/>
        <v>1.0105386973049319E-2</v>
      </c>
      <c r="H26">
        <f t="shared" si="32"/>
        <v>1.0088281506699494E-2</v>
      </c>
      <c r="I26">
        <f t="shared" si="32"/>
        <v>1.0071122368082597E-2</v>
      </c>
      <c r="J26">
        <f t="shared" si="4"/>
        <v>9.8186203815430941E-3</v>
      </c>
      <c r="K26">
        <f t="shared" si="5"/>
        <v>9.5661183950035908E-3</v>
      </c>
      <c r="L26">
        <f t="shared" si="32"/>
        <v>9.3136164084640857E-3</v>
      </c>
      <c r="M26">
        <f t="shared" si="6"/>
        <v>8.9612537758138669E-3</v>
      </c>
      <c r="N26">
        <f t="shared" si="32"/>
        <v>8.6088911431636463E-3</v>
      </c>
      <c r="O26">
        <f t="shared" si="7"/>
        <v>8.2118158866834306E-3</v>
      </c>
      <c r="P26">
        <f t="shared" si="8"/>
        <v>7.8147406302032148E-3</v>
      </c>
      <c r="Q26">
        <f t="shared" si="32"/>
        <v>7.4176653737229974E-3</v>
      </c>
      <c r="R26">
        <f t="shared" si="9"/>
        <v>7.0117804785709619E-3</v>
      </c>
      <c r="S26">
        <f t="shared" si="32"/>
        <v>6.6058955834189265E-3</v>
      </c>
      <c r="T26">
        <f t="shared" si="10"/>
        <v>6.1875314599772373E-3</v>
      </c>
      <c r="U26">
        <f t="shared" si="11"/>
        <v>5.7691673365355481E-3</v>
      </c>
      <c r="V26">
        <f t="shared" si="32"/>
        <v>5.3508032130938589E-3</v>
      </c>
      <c r="W26">
        <f t="shared" si="12"/>
        <v>4.9660933956898997E-3</v>
      </c>
      <c r="X26">
        <f t="shared" si="32"/>
        <v>4.5813835782859405E-3</v>
      </c>
      <c r="Y26">
        <f t="shared" si="13"/>
        <v>4.2159637460709885E-3</v>
      </c>
      <c r="Z26">
        <f t="shared" si="14"/>
        <v>3.8505439138560365E-3</v>
      </c>
      <c r="AA26">
        <f t="shared" si="32"/>
        <v>3.4851240816410841E-3</v>
      </c>
      <c r="AB26">
        <f t="shared" si="15"/>
        <v>3.1612937933716183E-3</v>
      </c>
      <c r="AC26">
        <f t="shared" si="32"/>
        <v>2.8374635051021521E-3</v>
      </c>
      <c r="AD26">
        <f t="shared" si="16"/>
        <v>2.5938092000989304E-3</v>
      </c>
      <c r="AE26">
        <f t="shared" si="17"/>
        <v>2.3501548950957086E-3</v>
      </c>
      <c r="AF26">
        <f t="shared" si="18"/>
        <v>2.1065005900924869E-3</v>
      </c>
      <c r="AG26">
        <f t="shared" si="19"/>
        <v>1.8628462850892654E-3</v>
      </c>
      <c r="AH26">
        <f t="shared" si="32"/>
        <v>1.6191919800860443E-3</v>
      </c>
      <c r="AI26">
        <f t="shared" si="20"/>
        <v>1.3137943971481751E-3</v>
      </c>
      <c r="AJ26">
        <f t="shared" si="21"/>
        <v>1.0083968142103059E-3</v>
      </c>
      <c r="AK26">
        <f t="shared" si="22"/>
        <v>7.029992312724368E-4</v>
      </c>
      <c r="AL26">
        <f t="shared" si="23"/>
        <v>3.976016483345677E-4</v>
      </c>
      <c r="AM26">
        <f t="shared" si="32"/>
        <v>9.2204065396698853E-5</v>
      </c>
    </row>
    <row r="27" spans="2:39">
      <c r="B27" t="s">
        <v>421</v>
      </c>
      <c r="C27" t="s">
        <v>462</v>
      </c>
      <c r="D27">
        <f>D10/SUM(D$10:D$18)</f>
        <v>0.75159972710979583</v>
      </c>
      <c r="E27">
        <f t="shared" ref="E27:H27" si="33">E10/SUM(E$10:E$18)</f>
        <v>0.74118000475145918</v>
      </c>
      <c r="F27">
        <f t="shared" si="33"/>
        <v>0.73025601817675123</v>
      </c>
      <c r="G27">
        <f t="shared" si="33"/>
        <v>0.71879025371817751</v>
      </c>
      <c r="H27">
        <f t="shared" si="33"/>
        <v>0.70674138209027104</v>
      </c>
      <c r="I27">
        <f>I10/SUM(I$10:I$18)</f>
        <v>0.69406376061077524</v>
      </c>
      <c r="J27">
        <f t="shared" si="4"/>
        <v>0.67926675154096372</v>
      </c>
      <c r="K27">
        <f t="shared" si="5"/>
        <v>0.6644697424711522</v>
      </c>
      <c r="L27">
        <f t="shared" ref="L27:AM27" si="34">L10/SUM(L$10:L$18)</f>
        <v>0.6496727334013408</v>
      </c>
      <c r="M27">
        <f t="shared" si="6"/>
        <v>0.64518220782552826</v>
      </c>
      <c r="N27">
        <f t="shared" si="34"/>
        <v>0.64069168224971573</v>
      </c>
      <c r="O27">
        <f t="shared" si="7"/>
        <v>0.62991969680526716</v>
      </c>
      <c r="P27">
        <f t="shared" si="8"/>
        <v>0.61914771136081859</v>
      </c>
      <c r="Q27">
        <f t="shared" si="34"/>
        <v>0.60837572591637012</v>
      </c>
      <c r="R27">
        <f t="shared" si="9"/>
        <v>0.59786318667494465</v>
      </c>
      <c r="S27">
        <f t="shared" si="34"/>
        <v>0.58735064743351906</v>
      </c>
      <c r="T27">
        <f t="shared" si="10"/>
        <v>0.57378762913246861</v>
      </c>
      <c r="U27">
        <f t="shared" si="11"/>
        <v>0.56022461083141817</v>
      </c>
      <c r="V27">
        <f t="shared" si="34"/>
        <v>0.54666159253036783</v>
      </c>
      <c r="W27">
        <f t="shared" si="12"/>
        <v>0.53417573464940071</v>
      </c>
      <c r="X27">
        <f t="shared" si="34"/>
        <v>0.52168987676843359</v>
      </c>
      <c r="Y27">
        <f t="shared" si="13"/>
        <v>0.50946379322261992</v>
      </c>
      <c r="Z27">
        <f t="shared" si="14"/>
        <v>0.49723770967680625</v>
      </c>
      <c r="AA27">
        <f t="shared" si="34"/>
        <v>0.48501162613099263</v>
      </c>
      <c r="AB27">
        <f t="shared" si="15"/>
        <v>0.4739952936701321</v>
      </c>
      <c r="AC27">
        <f t="shared" si="34"/>
        <v>0.46297896120927157</v>
      </c>
      <c r="AD27">
        <f t="shared" si="16"/>
        <v>0.44472927982922211</v>
      </c>
      <c r="AE27">
        <f t="shared" si="17"/>
        <v>0.42647959844917266</v>
      </c>
      <c r="AF27">
        <f t="shared" si="18"/>
        <v>0.4082299170691232</v>
      </c>
      <c r="AG27">
        <f t="shared" si="19"/>
        <v>0.38998023568907375</v>
      </c>
      <c r="AH27">
        <f t="shared" si="34"/>
        <v>0.37173055430902435</v>
      </c>
      <c r="AI27">
        <f t="shared" si="20"/>
        <v>0.35186474364490505</v>
      </c>
      <c r="AJ27">
        <f t="shared" si="21"/>
        <v>0.33199893298078575</v>
      </c>
      <c r="AK27">
        <f t="shared" si="22"/>
        <v>0.31213312231666646</v>
      </c>
      <c r="AL27">
        <f t="shared" si="23"/>
        <v>0.29226731165254716</v>
      </c>
      <c r="AM27">
        <f t="shared" si="34"/>
        <v>0.27240150098842775</v>
      </c>
    </row>
    <row r="28" spans="2:39">
      <c r="B28" t="s">
        <v>422</v>
      </c>
      <c r="C28" t="s">
        <v>463</v>
      </c>
      <c r="D28">
        <f t="shared" ref="D28:AM35" si="35">D11/SUM(D$10:D$18)</f>
        <v>5.9065862568790251E-3</v>
      </c>
      <c r="E28">
        <f t="shared" si="35"/>
        <v>5.36363509048687E-3</v>
      </c>
      <c r="F28">
        <f t="shared" si="35"/>
        <v>4.7944077110601687E-3</v>
      </c>
      <c r="G28">
        <f t="shared" si="35"/>
        <v>4.1969493554275495E-3</v>
      </c>
      <c r="H28">
        <f t="shared" si="35"/>
        <v>3.5691064360961239E-3</v>
      </c>
      <c r="I28">
        <f t="shared" si="35"/>
        <v>2.9085006029797322E-3</v>
      </c>
      <c r="J28">
        <f t="shared" si="4"/>
        <v>4.3982791800868705E-3</v>
      </c>
      <c r="K28">
        <f t="shared" si="5"/>
        <v>5.8880577571940084E-3</v>
      </c>
      <c r="L28">
        <f t="shared" si="35"/>
        <v>7.3778363343011471E-3</v>
      </c>
      <c r="M28">
        <f t="shared" si="6"/>
        <v>5.6775038030498085E-3</v>
      </c>
      <c r="N28">
        <f t="shared" si="35"/>
        <v>3.9771712717984698E-3</v>
      </c>
      <c r="O28">
        <f t="shared" si="7"/>
        <v>3.2945778814303483E-3</v>
      </c>
      <c r="P28">
        <f t="shared" si="8"/>
        <v>2.6119844910622268E-3</v>
      </c>
      <c r="Q28">
        <f t="shared" si="35"/>
        <v>1.9293911006941057E-3</v>
      </c>
      <c r="R28">
        <f t="shared" si="9"/>
        <v>1.2704282732173473E-3</v>
      </c>
      <c r="S28">
        <f t="shared" si="35"/>
        <v>6.1146544574058859E-4</v>
      </c>
      <c r="T28">
        <f t="shared" si="10"/>
        <v>6.0451523667698565E-4</v>
      </c>
      <c r="U28">
        <f t="shared" si="11"/>
        <v>5.9756502761338271E-4</v>
      </c>
      <c r="V28">
        <f t="shared" si="35"/>
        <v>5.9061481854977965E-4</v>
      </c>
      <c r="W28">
        <f t="shared" si="12"/>
        <v>5.8419877105869212E-4</v>
      </c>
      <c r="X28">
        <f t="shared" si="35"/>
        <v>5.777827235676047E-4</v>
      </c>
      <c r="Y28">
        <f t="shared" si="13"/>
        <v>4.6608695220230474E-4</v>
      </c>
      <c r="Z28">
        <f t="shared" si="14"/>
        <v>3.5439118083700478E-4</v>
      </c>
      <c r="AA28">
        <f t="shared" si="35"/>
        <v>2.4269540947170488E-4</v>
      </c>
      <c r="AB28">
        <f t="shared" si="15"/>
        <v>2.4907567878950558E-4</v>
      </c>
      <c r="AC28">
        <f t="shared" si="35"/>
        <v>2.5545594810730629E-4</v>
      </c>
      <c r="AD28">
        <f t="shared" si="16"/>
        <v>2.4629833569701933E-4</v>
      </c>
      <c r="AE28">
        <f t="shared" si="17"/>
        <v>2.3714072328673234E-4</v>
      </c>
      <c r="AF28">
        <f t="shared" si="18"/>
        <v>2.2798311087644536E-4</v>
      </c>
      <c r="AG28">
        <f t="shared" si="19"/>
        <v>2.1882549846615837E-4</v>
      </c>
      <c r="AH28">
        <f t="shared" si="35"/>
        <v>2.0966788605587141E-4</v>
      </c>
      <c r="AI28">
        <f t="shared" si="20"/>
        <v>2.1056607509131647E-4</v>
      </c>
      <c r="AJ28">
        <f t="shared" si="21"/>
        <v>2.1146426412676153E-4</v>
      </c>
      <c r="AK28">
        <f t="shared" si="22"/>
        <v>2.1236245316220658E-4</v>
      </c>
      <c r="AL28">
        <f t="shared" si="23"/>
        <v>2.1326064219765164E-4</v>
      </c>
      <c r="AM28">
        <f t="shared" si="35"/>
        <v>2.1415883123309675E-4</v>
      </c>
    </row>
    <row r="29" spans="2:39">
      <c r="B29" t="s">
        <v>423</v>
      </c>
      <c r="C29" t="s">
        <v>460</v>
      </c>
      <c r="D29">
        <f t="shared" si="35"/>
        <v>3.9053675779811323E-2</v>
      </c>
      <c r="E29">
        <f t="shared" si="35"/>
        <v>4.3126920421552688E-2</v>
      </c>
      <c r="F29">
        <f t="shared" si="35"/>
        <v>4.7397290422945479E-2</v>
      </c>
      <c r="G29">
        <f t="shared" si="35"/>
        <v>5.1879450507277013E-2</v>
      </c>
      <c r="H29">
        <f t="shared" si="35"/>
        <v>5.6589556987046291E-2</v>
      </c>
      <c r="I29">
        <f t="shared" si="35"/>
        <v>6.1545452354072661E-2</v>
      </c>
      <c r="J29">
        <f t="shared" si="4"/>
        <v>5.8224511586368571E-2</v>
      </c>
      <c r="K29">
        <f t="shared" si="5"/>
        <v>5.4903570818664482E-2</v>
      </c>
      <c r="L29">
        <f t="shared" si="35"/>
        <v>5.15826300509604E-2</v>
      </c>
      <c r="M29">
        <f t="shared" si="6"/>
        <v>4.6420698682093871E-2</v>
      </c>
      <c r="N29">
        <f t="shared" si="35"/>
        <v>4.1258767313227342E-2</v>
      </c>
      <c r="O29">
        <f t="shared" si="7"/>
        <v>4.0980572194801487E-2</v>
      </c>
      <c r="P29">
        <f t="shared" si="8"/>
        <v>4.0702377076375633E-2</v>
      </c>
      <c r="Q29">
        <f t="shared" si="35"/>
        <v>4.0424181957949772E-2</v>
      </c>
      <c r="R29">
        <f t="shared" si="9"/>
        <v>4.0146306827616315E-2</v>
      </c>
      <c r="S29">
        <f t="shared" si="35"/>
        <v>3.9868431697282866E-2</v>
      </c>
      <c r="T29">
        <f t="shared" si="10"/>
        <v>3.4235124943062162E-2</v>
      </c>
      <c r="U29">
        <f t="shared" si="11"/>
        <v>2.8601818188841457E-2</v>
      </c>
      <c r="V29">
        <f t="shared" si="35"/>
        <v>2.296851143462075E-2</v>
      </c>
      <c r="W29">
        <f t="shared" si="12"/>
        <v>1.7800423062558877E-2</v>
      </c>
      <c r="X29">
        <f t="shared" si="35"/>
        <v>1.2632334690497005E-2</v>
      </c>
      <c r="Y29">
        <f t="shared" si="13"/>
        <v>1.1767619621291097E-2</v>
      </c>
      <c r="Z29">
        <f t="shared" si="14"/>
        <v>1.0902904552085188E-2</v>
      </c>
      <c r="AA29">
        <f t="shared" si="35"/>
        <v>1.0038189482879281E-2</v>
      </c>
      <c r="AB29">
        <f t="shared" si="15"/>
        <v>9.2747103889143818E-3</v>
      </c>
      <c r="AC29">
        <f t="shared" si="35"/>
        <v>8.5112312949494843E-3</v>
      </c>
      <c r="AD29">
        <f t="shared" si="16"/>
        <v>8.6945111739995893E-3</v>
      </c>
      <c r="AE29">
        <f t="shared" si="17"/>
        <v>8.8777910530496943E-3</v>
      </c>
      <c r="AF29">
        <f t="shared" si="18"/>
        <v>9.0610709320997993E-3</v>
      </c>
      <c r="AG29">
        <f t="shared" si="19"/>
        <v>9.2443508111499043E-3</v>
      </c>
      <c r="AH29">
        <f t="shared" si="35"/>
        <v>9.4276306902000111E-3</v>
      </c>
      <c r="AI29">
        <f t="shared" si="20"/>
        <v>1.1439186680742029E-2</v>
      </c>
      <c r="AJ29">
        <f t="shared" si="21"/>
        <v>1.3450742671284047E-2</v>
      </c>
      <c r="AK29">
        <f t="shared" si="22"/>
        <v>1.5462298661826065E-2</v>
      </c>
      <c r="AL29">
        <f t="shared" si="23"/>
        <v>1.7473854652368084E-2</v>
      </c>
      <c r="AM29">
        <f t="shared" si="35"/>
        <v>1.9485410642910102E-2</v>
      </c>
    </row>
    <row r="30" spans="2:39">
      <c r="B30" t="s">
        <v>424</v>
      </c>
      <c r="C30" t="s">
        <v>459</v>
      </c>
      <c r="D30">
        <f t="shared" si="35"/>
        <v>1.8210014152632695E-2</v>
      </c>
      <c r="E30">
        <f t="shared" si="35"/>
        <v>1.5950374539031306E-2</v>
      </c>
      <c r="F30">
        <f t="shared" si="35"/>
        <v>1.3581379286205805E-2</v>
      </c>
      <c r="G30">
        <f t="shared" si="35"/>
        <v>1.1094893113175791E-2</v>
      </c>
      <c r="H30">
        <f t="shared" si="35"/>
        <v>8.4819532772279042E-3</v>
      </c>
      <c r="I30">
        <f t="shared" si="35"/>
        <v>5.7326616247115984E-3</v>
      </c>
      <c r="J30">
        <f t="shared" si="4"/>
        <v>5.1852889178576967E-3</v>
      </c>
      <c r="K30">
        <f t="shared" si="5"/>
        <v>4.6379162110037949E-3</v>
      </c>
      <c r="L30">
        <f t="shared" si="35"/>
        <v>4.090543504149894E-3</v>
      </c>
      <c r="M30">
        <f t="shared" si="6"/>
        <v>3.5258757847758454E-3</v>
      </c>
      <c r="N30">
        <f t="shared" si="35"/>
        <v>2.9612080654017972E-3</v>
      </c>
      <c r="O30">
        <f t="shared" si="7"/>
        <v>2.3605997558742496E-3</v>
      </c>
      <c r="P30">
        <f t="shared" si="8"/>
        <v>1.759991446346702E-3</v>
      </c>
      <c r="Q30">
        <f t="shared" si="35"/>
        <v>1.1593831368191547E-3</v>
      </c>
      <c r="R30">
        <f t="shared" si="9"/>
        <v>8.1079440421285773E-4</v>
      </c>
      <c r="S30">
        <f t="shared" si="35"/>
        <v>4.6220567160656077E-4</v>
      </c>
      <c r="T30">
        <f t="shared" si="10"/>
        <v>3.832031101831903E-4</v>
      </c>
      <c r="U30">
        <f t="shared" si="11"/>
        <v>3.0420054875981983E-4</v>
      </c>
      <c r="V30">
        <f t="shared" si="35"/>
        <v>2.2519798733644937E-4</v>
      </c>
      <c r="W30">
        <f t="shared" si="12"/>
        <v>2.233712282445618E-4</v>
      </c>
      <c r="X30">
        <f t="shared" si="35"/>
        <v>2.2154446915267426E-4</v>
      </c>
      <c r="Y30">
        <f t="shared" si="13"/>
        <v>2.1974214013769955E-4</v>
      </c>
      <c r="Z30">
        <f t="shared" si="14"/>
        <v>2.1793981112272484E-4</v>
      </c>
      <c r="AA30">
        <f t="shared" si="35"/>
        <v>2.1613748210775011E-4</v>
      </c>
      <c r="AB30">
        <f t="shared" si="15"/>
        <v>2.1446985597073045E-4</v>
      </c>
      <c r="AC30">
        <f t="shared" si="35"/>
        <v>2.1280222983371077E-4</v>
      </c>
      <c r="AD30">
        <f t="shared" si="16"/>
        <v>2.1217536107814288E-4</v>
      </c>
      <c r="AE30">
        <f t="shared" si="17"/>
        <v>2.11548492322575E-4</v>
      </c>
      <c r="AF30">
        <f t="shared" si="18"/>
        <v>2.1092162356700712E-4</v>
      </c>
      <c r="AG30">
        <f t="shared" si="19"/>
        <v>2.1029475481143924E-4</v>
      </c>
      <c r="AH30">
        <f t="shared" si="35"/>
        <v>2.0966788605587141E-4</v>
      </c>
      <c r="AI30">
        <f t="shared" si="20"/>
        <v>2.1056607509131647E-4</v>
      </c>
      <c r="AJ30">
        <f t="shared" si="21"/>
        <v>2.1146426412676153E-4</v>
      </c>
      <c r="AK30">
        <f t="shared" si="22"/>
        <v>2.1236245316220658E-4</v>
      </c>
      <c r="AL30">
        <f t="shared" si="23"/>
        <v>2.1326064219765164E-4</v>
      </c>
      <c r="AM30">
        <f t="shared" si="35"/>
        <v>2.1415883123309675E-4</v>
      </c>
    </row>
    <row r="31" spans="2:39">
      <c r="B31" t="s">
        <v>425</v>
      </c>
      <c r="C31" t="s">
        <v>474</v>
      </c>
      <c r="D31">
        <f t="shared" si="35"/>
        <v>5.1525166432733208E-2</v>
      </c>
      <c r="E31">
        <f t="shared" si="35"/>
        <v>5.7397331728323647E-2</v>
      </c>
      <c r="F31">
        <f t="shared" si="35"/>
        <v>6.3553681451228763E-2</v>
      </c>
      <c r="G31">
        <f t="shared" si="35"/>
        <v>7.0015356899536779E-2</v>
      </c>
      <c r="H31">
        <f t="shared" si="35"/>
        <v>7.6805649710727314E-2</v>
      </c>
      <c r="I31">
        <f t="shared" si="35"/>
        <v>8.3950282391171499E-2</v>
      </c>
      <c r="J31">
        <f t="shared" si="4"/>
        <v>8.9216580976286541E-2</v>
      </c>
      <c r="K31">
        <f t="shared" si="5"/>
        <v>9.4482879561401584E-2</v>
      </c>
      <c r="L31">
        <f t="shared" si="35"/>
        <v>9.974917814651664E-2</v>
      </c>
      <c r="M31">
        <f t="shared" si="6"/>
        <v>0.1057101314957567</v>
      </c>
      <c r="N31">
        <f t="shared" si="35"/>
        <v>0.11167108484499676</v>
      </c>
      <c r="O31">
        <f t="shared" si="7"/>
        <v>0.11744380923218661</v>
      </c>
      <c r="P31">
        <f t="shared" si="8"/>
        <v>0.12321653361937647</v>
      </c>
      <c r="Q31">
        <f t="shared" si="35"/>
        <v>0.12898925800656633</v>
      </c>
      <c r="R31">
        <f t="shared" si="9"/>
        <v>0.13449294125973976</v>
      </c>
      <c r="S31">
        <f t="shared" si="35"/>
        <v>0.13999662451291317</v>
      </c>
      <c r="T31">
        <f t="shared" si="10"/>
        <v>0.15296630699094191</v>
      </c>
      <c r="U31">
        <f t="shared" si="11"/>
        <v>0.16593598946897065</v>
      </c>
      <c r="V31">
        <f t="shared" si="35"/>
        <v>0.17890567194699941</v>
      </c>
      <c r="W31">
        <f t="shared" si="12"/>
        <v>0.19073562792681659</v>
      </c>
      <c r="X31">
        <f t="shared" si="35"/>
        <v>0.20256558390663379</v>
      </c>
      <c r="Y31">
        <f t="shared" si="13"/>
        <v>0.21373390753543262</v>
      </c>
      <c r="Z31">
        <f t="shared" si="14"/>
        <v>0.22490223116423144</v>
      </c>
      <c r="AA31">
        <f t="shared" si="35"/>
        <v>0.2360705547930303</v>
      </c>
      <c r="AB31">
        <f t="shared" si="15"/>
        <v>0.24590394468305329</v>
      </c>
      <c r="AC31">
        <f t="shared" si="35"/>
        <v>0.25573733457307629</v>
      </c>
      <c r="AD31">
        <f t="shared" si="16"/>
        <v>0.26914854113273878</v>
      </c>
      <c r="AE31">
        <f t="shared" si="17"/>
        <v>0.28255974769240128</v>
      </c>
      <c r="AF31">
        <f t="shared" si="18"/>
        <v>0.29597095425206377</v>
      </c>
      <c r="AG31">
        <f t="shared" si="19"/>
        <v>0.30938216081172626</v>
      </c>
      <c r="AH31">
        <f t="shared" si="35"/>
        <v>0.32279336737138881</v>
      </c>
      <c r="AI31">
        <f t="shared" si="20"/>
        <v>0.33676350727192045</v>
      </c>
      <c r="AJ31">
        <f t="shared" si="21"/>
        <v>0.35073364717245209</v>
      </c>
      <c r="AK31">
        <f t="shared" si="22"/>
        <v>0.36470378707298373</v>
      </c>
      <c r="AL31">
        <f t="shared" si="23"/>
        <v>0.37867392697351537</v>
      </c>
      <c r="AM31">
        <f t="shared" si="35"/>
        <v>0.39264406687404713</v>
      </c>
    </row>
    <row r="32" spans="2:39">
      <c r="B32" t="s">
        <v>426</v>
      </c>
      <c r="C32" t="s">
        <v>465</v>
      </c>
      <c r="D32">
        <f t="shared" si="35"/>
        <v>2.2707405078528257E-2</v>
      </c>
      <c r="E32">
        <f t="shared" si="35"/>
        <v>2.5295298437963139E-2</v>
      </c>
      <c r="F32">
        <f t="shared" si="35"/>
        <v>2.8008433331871644E-2</v>
      </c>
      <c r="G32">
        <f t="shared" si="35"/>
        <v>3.0856126838738153E-2</v>
      </c>
      <c r="H32">
        <f t="shared" si="35"/>
        <v>3.3848643702644232E-2</v>
      </c>
      <c r="I32">
        <f t="shared" si="35"/>
        <v>3.6997319964057952E-2</v>
      </c>
      <c r="J32">
        <f t="shared" si="4"/>
        <v>3.8763140547133625E-2</v>
      </c>
      <c r="K32">
        <f t="shared" si="5"/>
        <v>4.0528961130209297E-2</v>
      </c>
      <c r="L32">
        <f t="shared" si="35"/>
        <v>4.2294781713284969E-2</v>
      </c>
      <c r="M32">
        <f t="shared" si="6"/>
        <v>4.833596577929862E-2</v>
      </c>
      <c r="N32">
        <f t="shared" si="35"/>
        <v>5.4377149845312264E-2</v>
      </c>
      <c r="O32">
        <f t="shared" si="7"/>
        <v>6.3122864930355765E-2</v>
      </c>
      <c r="P32">
        <f t="shared" si="8"/>
        <v>7.1868580015399267E-2</v>
      </c>
      <c r="Q32">
        <f t="shared" si="35"/>
        <v>8.0614295100442782E-2</v>
      </c>
      <c r="R32">
        <f t="shared" si="9"/>
        <v>8.8725358370019131E-2</v>
      </c>
      <c r="S32">
        <f t="shared" si="35"/>
        <v>9.6836421639595466E-2</v>
      </c>
      <c r="T32">
        <f t="shared" si="10"/>
        <v>0.10385175587681417</v>
      </c>
      <c r="U32">
        <f t="shared" si="11"/>
        <v>0.11086709011403287</v>
      </c>
      <c r="V32">
        <f t="shared" si="35"/>
        <v>0.11788242435125158</v>
      </c>
      <c r="W32">
        <f t="shared" si="12"/>
        <v>0.12429040275271061</v>
      </c>
      <c r="X32">
        <f t="shared" si="35"/>
        <v>0.13069838115416965</v>
      </c>
      <c r="Y32">
        <f t="shared" si="13"/>
        <v>0.13481904429810293</v>
      </c>
      <c r="Z32">
        <f t="shared" si="14"/>
        <v>0.13893970744203621</v>
      </c>
      <c r="AA32">
        <f t="shared" si="35"/>
        <v>0.14306037058596952</v>
      </c>
      <c r="AB32">
        <f t="shared" si="15"/>
        <v>0.14672659162486246</v>
      </c>
      <c r="AC32">
        <f t="shared" si="35"/>
        <v>0.15039281266375543</v>
      </c>
      <c r="AD32">
        <f t="shared" si="16"/>
        <v>0.15635371967962397</v>
      </c>
      <c r="AE32">
        <f t="shared" si="17"/>
        <v>0.16231462669549251</v>
      </c>
      <c r="AF32">
        <f t="shared" si="18"/>
        <v>0.16827553371136106</v>
      </c>
      <c r="AG32">
        <f t="shared" si="19"/>
        <v>0.1742364407272296</v>
      </c>
      <c r="AH32">
        <f t="shared" si="35"/>
        <v>0.1801973477430982</v>
      </c>
      <c r="AI32">
        <f t="shared" si="20"/>
        <v>0.18499348325748463</v>
      </c>
      <c r="AJ32">
        <f t="shared" si="21"/>
        <v>0.18978961877187106</v>
      </c>
      <c r="AK32">
        <f t="shared" si="22"/>
        <v>0.19458575428625749</v>
      </c>
      <c r="AL32">
        <f t="shared" si="23"/>
        <v>0.19938188980064392</v>
      </c>
      <c r="AM32">
        <f t="shared" si="35"/>
        <v>0.20417802531503035</v>
      </c>
    </row>
    <row r="33" spans="2:39">
      <c r="B33" t="s">
        <v>427</v>
      </c>
      <c r="C33" t="s">
        <v>461</v>
      </c>
      <c r="D33">
        <f t="shared" si="35"/>
        <v>6.2961441354101089E-2</v>
      </c>
      <c r="E33">
        <f t="shared" si="35"/>
        <v>7.0136963850715994E-2</v>
      </c>
      <c r="F33">
        <f t="shared" si="35"/>
        <v>7.7659746965644122E-2</v>
      </c>
      <c r="G33">
        <f t="shared" si="35"/>
        <v>8.5555624416501261E-2</v>
      </c>
      <c r="H33">
        <f t="shared" si="35"/>
        <v>9.3853057539149951E-2</v>
      </c>
      <c r="I33">
        <f t="shared" si="35"/>
        <v>0.10258347808216069</v>
      </c>
      <c r="J33">
        <f t="shared" si="4"/>
        <v>0.10849139785929045</v>
      </c>
      <c r="K33">
        <f t="shared" si="5"/>
        <v>0.11439931763642021</v>
      </c>
      <c r="L33">
        <f t="shared" si="35"/>
        <v>0.12030723741354996</v>
      </c>
      <c r="M33">
        <f t="shared" si="6"/>
        <v>0.11969740869503767</v>
      </c>
      <c r="N33">
        <f t="shared" si="35"/>
        <v>0.11908757997652539</v>
      </c>
      <c r="O33">
        <f t="shared" si="7"/>
        <v>0.11744928459943621</v>
      </c>
      <c r="P33">
        <f t="shared" si="8"/>
        <v>0.11581098922234703</v>
      </c>
      <c r="Q33">
        <f t="shared" si="35"/>
        <v>0.11417269384525787</v>
      </c>
      <c r="R33">
        <f t="shared" si="9"/>
        <v>0.11290895239248494</v>
      </c>
      <c r="S33">
        <f t="shared" si="35"/>
        <v>0.111645210939712</v>
      </c>
      <c r="T33">
        <f t="shared" si="10"/>
        <v>0.11016289949041551</v>
      </c>
      <c r="U33">
        <f t="shared" si="11"/>
        <v>0.10868058804111902</v>
      </c>
      <c r="V33">
        <f t="shared" si="35"/>
        <v>0.10719827659182254</v>
      </c>
      <c r="W33">
        <f t="shared" si="12"/>
        <v>0.10590139685621869</v>
      </c>
      <c r="X33">
        <f t="shared" si="35"/>
        <v>0.10460451712061483</v>
      </c>
      <c r="Y33">
        <f t="shared" si="13"/>
        <v>0.10217522996473204</v>
      </c>
      <c r="Z33">
        <f t="shared" si="14"/>
        <v>9.9745942808849242E-2</v>
      </c>
      <c r="AA33">
        <f t="shared" si="35"/>
        <v>9.7316655652966433E-2</v>
      </c>
      <c r="AB33">
        <f t="shared" si="15"/>
        <v>9.5278942502946912E-2</v>
      </c>
      <c r="AC33">
        <f t="shared" si="35"/>
        <v>9.3241229352927391E-2</v>
      </c>
      <c r="AD33">
        <f t="shared" si="16"/>
        <v>9.3109781531910296E-2</v>
      </c>
      <c r="AE33">
        <f t="shared" si="17"/>
        <v>9.2978333710893202E-2</v>
      </c>
      <c r="AF33">
        <f t="shared" si="18"/>
        <v>9.2846885889876107E-2</v>
      </c>
      <c r="AG33">
        <f t="shared" si="19"/>
        <v>9.2715438068859013E-2</v>
      </c>
      <c r="AH33">
        <f t="shared" si="35"/>
        <v>9.2583990247841905E-2</v>
      </c>
      <c r="AI33">
        <f t="shared" si="20"/>
        <v>9.214694085454303E-2</v>
      </c>
      <c r="AJ33">
        <f t="shared" si="21"/>
        <v>9.1709891461244156E-2</v>
      </c>
      <c r="AK33">
        <f t="shared" si="22"/>
        <v>9.1272842067945281E-2</v>
      </c>
      <c r="AL33">
        <f t="shared" si="23"/>
        <v>9.0835792674646407E-2</v>
      </c>
      <c r="AM33">
        <f t="shared" si="35"/>
        <v>9.0398743281347532E-2</v>
      </c>
    </row>
    <row r="34" spans="2:39">
      <c r="B34" t="s">
        <v>428</v>
      </c>
      <c r="C34" t="s">
        <v>458</v>
      </c>
      <c r="D34">
        <f t="shared" si="35"/>
        <v>3.1798347461793247E-2</v>
      </c>
      <c r="E34">
        <f t="shared" si="35"/>
        <v>2.6044164891307224E-2</v>
      </c>
      <c r="F34">
        <f t="shared" si="35"/>
        <v>2.0011507687335367E-2</v>
      </c>
      <c r="G34">
        <f t="shared" si="35"/>
        <v>1.3679659319798409E-2</v>
      </c>
      <c r="H34">
        <f t="shared" si="35"/>
        <v>7.0257961235443969E-3</v>
      </c>
      <c r="I34">
        <f t="shared" si="35"/>
        <v>2.4712405208252053E-5</v>
      </c>
      <c r="J34">
        <f t="shared" si="4"/>
        <v>2.4345935633183118E-5</v>
      </c>
      <c r="K34">
        <f t="shared" si="5"/>
        <v>2.3979466058114182E-5</v>
      </c>
      <c r="L34">
        <f t="shared" si="35"/>
        <v>2.3612996483045243E-5</v>
      </c>
      <c r="M34">
        <f t="shared" si="6"/>
        <v>2.3509341706930683E-5</v>
      </c>
      <c r="N34">
        <f t="shared" si="35"/>
        <v>2.3405686930816124E-5</v>
      </c>
      <c r="O34">
        <f t="shared" si="7"/>
        <v>2.3342687524152536E-5</v>
      </c>
      <c r="P34">
        <f t="shared" si="8"/>
        <v>2.3279688117488949E-5</v>
      </c>
      <c r="Q34">
        <f t="shared" si="35"/>
        <v>2.3216688710825365E-5</v>
      </c>
      <c r="R34">
        <f t="shared" si="9"/>
        <v>2.3163486145576701E-5</v>
      </c>
      <c r="S34">
        <f t="shared" si="35"/>
        <v>2.3110283580328037E-5</v>
      </c>
      <c r="T34">
        <f t="shared" si="10"/>
        <v>2.2913455298100337E-5</v>
      </c>
      <c r="U34">
        <f t="shared" si="11"/>
        <v>2.2716627015872638E-5</v>
      </c>
      <c r="V34">
        <f t="shared" si="35"/>
        <v>2.2519798733644935E-5</v>
      </c>
      <c r="W34">
        <f t="shared" si="12"/>
        <v>2.2337122824456179E-5</v>
      </c>
      <c r="X34">
        <f t="shared" si="35"/>
        <v>2.2154446915267426E-5</v>
      </c>
      <c r="Y34">
        <f t="shared" si="13"/>
        <v>2.1974214013769952E-5</v>
      </c>
      <c r="Z34">
        <f t="shared" si="14"/>
        <v>2.1793981112272479E-5</v>
      </c>
      <c r="AA34">
        <f t="shared" si="35"/>
        <v>2.1613748210775008E-5</v>
      </c>
      <c r="AB34">
        <f t="shared" si="15"/>
        <v>2.1446985597073042E-5</v>
      </c>
      <c r="AC34">
        <f t="shared" si="35"/>
        <v>2.1280222983371076E-5</v>
      </c>
      <c r="AD34">
        <f t="shared" si="16"/>
        <v>2.1217536107814287E-5</v>
      </c>
      <c r="AE34">
        <f t="shared" si="17"/>
        <v>2.1154849232257498E-5</v>
      </c>
      <c r="AF34">
        <f t="shared" si="18"/>
        <v>2.1092162356700709E-5</v>
      </c>
      <c r="AG34">
        <f t="shared" si="19"/>
        <v>2.1029475481143921E-5</v>
      </c>
      <c r="AH34">
        <f t="shared" si="35"/>
        <v>2.0966788605587138E-5</v>
      </c>
      <c r="AI34">
        <f t="shared" si="20"/>
        <v>2.1056607509131647E-5</v>
      </c>
      <c r="AJ34">
        <f t="shared" si="21"/>
        <v>2.1146426412676155E-5</v>
      </c>
      <c r="AK34">
        <f t="shared" si="22"/>
        <v>2.1236245316220664E-5</v>
      </c>
      <c r="AL34">
        <f t="shared" si="23"/>
        <v>2.1326064219765172E-5</v>
      </c>
      <c r="AM34">
        <f t="shared" si="35"/>
        <v>2.1415883123309674E-5</v>
      </c>
    </row>
    <row r="35" spans="2:39">
      <c r="B35" t="s">
        <v>429</v>
      </c>
      <c r="C35" t="s">
        <v>464</v>
      </c>
      <c r="D35">
        <f t="shared" si="35"/>
        <v>1.6237636373725304E-2</v>
      </c>
      <c r="E35">
        <f t="shared" si="35"/>
        <v>1.55053062891601E-2</v>
      </c>
      <c r="F35">
        <f t="shared" si="35"/>
        <v>1.4737534966957431E-2</v>
      </c>
      <c r="G35">
        <f t="shared" si="35"/>
        <v>1.3931685831367573E-2</v>
      </c>
      <c r="H35">
        <f t="shared" si="35"/>
        <v>1.3084854133292613E-2</v>
      </c>
      <c r="I35">
        <f t="shared" si="35"/>
        <v>1.2193831964862512E-2</v>
      </c>
      <c r="J35">
        <f t="shared" si="4"/>
        <v>1.6429703456379462E-2</v>
      </c>
      <c r="K35">
        <f t="shared" si="5"/>
        <v>2.0665574947896413E-2</v>
      </c>
      <c r="L35">
        <f t="shared" si="35"/>
        <v>2.4901446439413364E-2</v>
      </c>
      <c r="M35">
        <f t="shared" si="6"/>
        <v>2.5426698592752428E-2</v>
      </c>
      <c r="N35">
        <f t="shared" si="35"/>
        <v>2.5951950746091496E-2</v>
      </c>
      <c r="O35">
        <f t="shared" si="7"/>
        <v>2.5405251913124018E-2</v>
      </c>
      <c r="P35">
        <f t="shared" si="8"/>
        <v>2.485855308015654E-2</v>
      </c>
      <c r="Q35">
        <f t="shared" si="35"/>
        <v>2.4311854247189062E-2</v>
      </c>
      <c r="R35">
        <f t="shared" si="9"/>
        <v>2.3758868311619538E-2</v>
      </c>
      <c r="S35">
        <f t="shared" si="35"/>
        <v>2.3205882376050018E-2</v>
      </c>
      <c r="T35">
        <f t="shared" si="10"/>
        <v>2.3985651764139335E-2</v>
      </c>
      <c r="U35">
        <f t="shared" si="11"/>
        <v>2.4765421152228653E-2</v>
      </c>
      <c r="V35">
        <f t="shared" si="35"/>
        <v>2.5545190540317966E-2</v>
      </c>
      <c r="W35">
        <f t="shared" si="12"/>
        <v>2.6266507630166826E-2</v>
      </c>
      <c r="X35">
        <f t="shared" si="35"/>
        <v>2.6987824720015686E-2</v>
      </c>
      <c r="Y35">
        <f t="shared" si="13"/>
        <v>2.7332602051467668E-2</v>
      </c>
      <c r="Z35">
        <f t="shared" si="14"/>
        <v>2.7677379382919649E-2</v>
      </c>
      <c r="AA35">
        <f t="shared" si="35"/>
        <v>2.8022156714371631E-2</v>
      </c>
      <c r="AB35">
        <f t="shared" si="15"/>
        <v>2.8335524609733619E-2</v>
      </c>
      <c r="AC35">
        <f t="shared" si="35"/>
        <v>2.8648892505095603E-2</v>
      </c>
      <c r="AD35">
        <f t="shared" si="16"/>
        <v>2.7484475419622359E-2</v>
      </c>
      <c r="AE35">
        <f t="shared" si="17"/>
        <v>2.6320058334149115E-2</v>
      </c>
      <c r="AF35">
        <f t="shared" si="18"/>
        <v>2.5155641248675871E-2</v>
      </c>
      <c r="AG35">
        <f t="shared" si="19"/>
        <v>2.3991224163202627E-2</v>
      </c>
      <c r="AH35">
        <f t="shared" si="35"/>
        <v>2.282680707772939E-2</v>
      </c>
      <c r="AI35">
        <f t="shared" si="20"/>
        <v>2.2349949532713062E-2</v>
      </c>
      <c r="AJ35">
        <f t="shared" si="21"/>
        <v>2.1873091987696734E-2</v>
      </c>
      <c r="AK35">
        <f t="shared" si="22"/>
        <v>2.1396234442680406E-2</v>
      </c>
      <c r="AL35">
        <f t="shared" si="23"/>
        <v>2.0919376897664078E-2</v>
      </c>
      <c r="AM35">
        <f t="shared" si="35"/>
        <v>2.0442519352647757E-2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519BF-38F8-4EAC-A483-E6740895A9DB}">
  <dimension ref="A1:Z57"/>
  <sheetViews>
    <sheetView workbookViewId="0"/>
  </sheetViews>
  <sheetFormatPr baseColWidth="10" defaultColWidth="11.453125" defaultRowHeight="14.5"/>
  <cols>
    <col min="2" max="2" width="25.81640625" customWidth="1"/>
    <col min="5" max="5" width="11.5429687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2627.5659800355147</v>
      </c>
      <c r="D5" s="18"/>
      <c r="E5" s="20"/>
      <c r="F5" s="494"/>
      <c r="G5" s="21"/>
      <c r="H5" s="493"/>
      <c r="I5" s="21"/>
      <c r="J5" s="22"/>
      <c r="K5" s="23"/>
      <c r="L5" s="14"/>
      <c r="M5" s="14"/>
      <c r="N5" s="15"/>
      <c r="O5" s="16"/>
      <c r="P5" s="16"/>
      <c r="Q5" s="24">
        <f>Q13+Q22+Q30+Q42+Q46+Q38+Q43</f>
        <v>812.81208104164671</v>
      </c>
      <c r="R5" s="487"/>
      <c r="S5" s="79">
        <f>SUM(S13,S22,S27:S32,S41)</f>
        <v>1407.7514226504654</v>
      </c>
      <c r="T5" s="79">
        <f>SUM(T8:T46)</f>
        <v>44.347344784232895</v>
      </c>
      <c r="U5" s="79">
        <f>SUM(U8:U46)</f>
        <v>281.16102851900666</v>
      </c>
      <c r="V5" s="79">
        <f>SUM(V8:V46)</f>
        <v>460.36246320977921</v>
      </c>
      <c r="W5" s="173">
        <f>SUM(W8:W46)</f>
        <v>223.49260157846027</v>
      </c>
      <c r="X5" s="79">
        <f>SUM(X8:X46)</f>
        <v>398.38798455898666</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'P1_G4-G5'!O10/100*Bilan_E_AME_Met_2030!I$21</f>
        <v>58.314821236468042</v>
      </c>
      <c r="D7" s="518"/>
      <c r="E7" s="28">
        <v>0</v>
      </c>
      <c r="F7" s="518"/>
      <c r="G7" s="17"/>
      <c r="H7" s="518"/>
      <c r="I7" s="21"/>
      <c r="J7" s="518"/>
      <c r="K7" s="525"/>
      <c r="L7" s="525"/>
      <c r="M7" s="525"/>
      <c r="N7" s="525"/>
      <c r="O7" s="525"/>
      <c r="P7" s="513"/>
      <c r="Q7" s="528"/>
      <c r="R7" s="498"/>
      <c r="S7" s="528"/>
      <c r="T7" s="525"/>
      <c r="U7" s="525"/>
      <c r="V7" s="525"/>
      <c r="W7" s="525"/>
      <c r="X7" s="525"/>
    </row>
    <row r="8" spans="1:24">
      <c r="A8" s="695"/>
      <c r="B8" s="1" t="s">
        <v>18</v>
      </c>
      <c r="C8" s="486">
        <f>('P1_G4-G5'!O9+SUM('P1_G4-G5'!O12:O14))/100*Bilan_E_AME_Met_2030!I$21</f>
        <v>101.43653321037384</v>
      </c>
      <c r="D8" s="81"/>
      <c r="E8" s="28">
        <v>0</v>
      </c>
      <c r="F8" s="81"/>
      <c r="G8" s="17"/>
      <c r="H8" s="81"/>
      <c r="I8" s="21"/>
      <c r="J8" s="81"/>
      <c r="K8" s="526"/>
      <c r="L8" s="526"/>
      <c r="M8" s="526"/>
      <c r="N8" s="526"/>
      <c r="O8" s="526"/>
      <c r="P8" s="29"/>
      <c r="Q8" s="529"/>
      <c r="R8" s="498"/>
      <c r="S8" s="529"/>
      <c r="T8" s="526"/>
      <c r="U8" s="526"/>
      <c r="V8" s="526"/>
      <c r="W8" s="526"/>
      <c r="X8" s="526"/>
    </row>
    <row r="9" spans="1:24">
      <c r="A9" s="695"/>
      <c r="B9" s="1" t="s">
        <v>19</v>
      </c>
      <c r="C9" s="486">
        <f>'P1_G4-G5'!O11/100*Bilan_E_AME_Met_2030!I$21</f>
        <v>19.454161755328698</v>
      </c>
      <c r="D9" s="81"/>
      <c r="E9" s="28">
        <v>0</v>
      </c>
      <c r="F9" s="81"/>
      <c r="G9" s="17"/>
      <c r="H9" s="81"/>
      <c r="I9" s="21"/>
      <c r="J9" s="81"/>
      <c r="K9" s="526"/>
      <c r="L9" s="526"/>
      <c r="M9" s="526"/>
      <c r="N9" s="526"/>
      <c r="O9" s="526"/>
      <c r="P9" s="29"/>
      <c r="Q9" s="529"/>
      <c r="R9" s="498"/>
      <c r="S9" s="529"/>
      <c r="T9" s="526"/>
      <c r="U9" s="526"/>
      <c r="V9" s="526"/>
      <c r="W9" s="526"/>
      <c r="X9" s="526"/>
    </row>
    <row r="10" spans="1:24">
      <c r="A10" s="695"/>
      <c r="B10" s="1" t="s">
        <v>20</v>
      </c>
      <c r="C10" s="17">
        <f>Bilan_E_AME_Met_2030!H21-(Bilan_E_AME_Met_2030!P20+Bilan_E_AME_Met_2030!P19)</f>
        <v>1190.9090909090901</v>
      </c>
      <c r="D10" s="81"/>
      <c r="E10" s="28">
        <f>F13-SUM(E11:E19)</f>
        <v>793.77191239226636</v>
      </c>
      <c r="F10" s="81"/>
      <c r="G10" s="17"/>
      <c r="H10" s="81"/>
      <c r="I10" s="21"/>
      <c r="J10" s="81"/>
      <c r="K10" s="526"/>
      <c r="L10" s="526"/>
      <c r="M10" s="526"/>
      <c r="N10" s="526"/>
      <c r="O10" s="526"/>
      <c r="P10" s="29"/>
      <c r="Q10" s="529"/>
      <c r="R10" s="498"/>
      <c r="S10" s="529"/>
      <c r="T10" s="526"/>
      <c r="U10" s="526"/>
      <c r="V10" s="526"/>
      <c r="W10" s="526"/>
      <c r="X10" s="526"/>
    </row>
    <row r="11" spans="1:24">
      <c r="A11" s="695"/>
      <c r="B11" s="1" t="s">
        <v>21</v>
      </c>
      <c r="C11" s="17">
        <f>Bilan_E_AME_Met_2030!M21</f>
        <v>0.42974000815722502</v>
      </c>
      <c r="D11" s="81"/>
      <c r="E11" s="28">
        <f>C11*(1-0.47)</f>
        <v>0.22776220432332928</v>
      </c>
      <c r="F11" s="81"/>
      <c r="G11" s="17"/>
      <c r="H11" s="81"/>
      <c r="I11" s="21"/>
      <c r="J11" s="81"/>
      <c r="K11" s="526"/>
      <c r="L11" s="526"/>
      <c r="M11" s="526"/>
      <c r="N11" s="526"/>
      <c r="O11" s="526"/>
      <c r="P11" s="29"/>
      <c r="Q11" s="529"/>
      <c r="R11" s="498"/>
      <c r="S11" s="529"/>
      <c r="T11" s="526"/>
      <c r="U11" s="526"/>
      <c r="V11" s="526"/>
      <c r="W11" s="526"/>
      <c r="X11" s="526"/>
    </row>
    <row r="12" spans="1:24">
      <c r="A12" s="695"/>
      <c r="B12" s="1" t="s">
        <v>22</v>
      </c>
      <c r="C12" s="17">
        <f>Bilan_E_AME_Met_2030!K21</f>
        <v>7.2535340783692002</v>
      </c>
      <c r="D12" s="81"/>
      <c r="E12" s="28">
        <f>C12*(1-0.23)</f>
        <v>5.5852212403442847</v>
      </c>
      <c r="F12" s="81"/>
      <c r="G12" s="17">
        <f t="shared" ref="G12:G15" si="0">C12-E12</f>
        <v>1.6683128380249155</v>
      </c>
      <c r="H12" s="81"/>
      <c r="I12" s="21"/>
      <c r="J12" s="81"/>
      <c r="K12" s="526"/>
      <c r="L12" s="526"/>
      <c r="M12" s="526"/>
      <c r="N12" s="526"/>
      <c r="O12" s="526"/>
      <c r="P12" s="29"/>
      <c r="Q12" s="529"/>
      <c r="R12" s="498"/>
      <c r="S12" s="529"/>
      <c r="T12" s="526"/>
      <c r="U12" s="526"/>
      <c r="V12" s="526"/>
      <c r="W12" s="526"/>
      <c r="X12" s="526"/>
    </row>
    <row r="13" spans="1:24">
      <c r="A13" s="695"/>
      <c r="B13" s="1" t="s">
        <v>23</v>
      </c>
      <c r="C13" s="17">
        <f>Bilan_E_AME_Met_2030!J21</f>
        <v>26.7962649198797</v>
      </c>
      <c r="D13" s="81">
        <f>SUM(C7:C19)</f>
        <v>1432.5897839506101</v>
      </c>
      <c r="E13" s="28">
        <f>C13*(1-0.23)</f>
        <v>20.633123988307371</v>
      </c>
      <c r="F13" s="81">
        <f>Bilan_E_AME_Met_2030!S21</f>
        <v>835.29214719007996</v>
      </c>
      <c r="G13" s="17"/>
      <c r="H13" s="81">
        <f>SUM(G7:G19)</f>
        <v>2.3585086155040633</v>
      </c>
      <c r="I13" s="33">
        <f>Bilan_E_AME_Met_2030!P30</f>
        <v>36.292710693034401</v>
      </c>
      <c r="J13" s="81">
        <f>H13-I13</f>
        <v>-33.934202077530337</v>
      </c>
      <c r="K13" s="29">
        <f>Bilan_E_AME_Met_2030!P31</f>
        <v>39.776211851873803</v>
      </c>
      <c r="L13" s="29">
        <f>-(Bilan_E_AME_Met_2030!P14+Bilan_E_AME_Met_2030!P13)</f>
        <v>78.290170277584906</v>
      </c>
      <c r="M13" s="29">
        <f>Bilan_E_AME_Met_2030!P28</f>
        <v>0.104398431534641</v>
      </c>
      <c r="N13" s="29"/>
      <c r="O13" s="29"/>
      <c r="P13" s="29"/>
      <c r="Q13" s="81">
        <f>J13-K13-L13-M13-N13-O13-P13</f>
        <v>-152.10498263852369</v>
      </c>
      <c r="R13" s="508">
        <f>Q13-S13</f>
        <v>-594.93934160881872</v>
      </c>
      <c r="S13" s="81">
        <f>SUM(T8:X19)</f>
        <v>442.83435897029506</v>
      </c>
      <c r="T13" s="29">
        <f>Bilan_E_AME_Met_2030!P38</f>
        <v>8.1808463616144707</v>
      </c>
      <c r="U13" s="29">
        <f>Bilan_E_AME_Met_2030!P34+Bilan_E_AME_Met_2030!P39</f>
        <v>104.034829447817</v>
      </c>
      <c r="V13" s="29">
        <f>Bilan_E_AME_Met_2030!P36</f>
        <v>172.02951616182</v>
      </c>
      <c r="W13" s="29">
        <f>Bilan_E_AME_Met_2030!P37</f>
        <v>129.63895161426501</v>
      </c>
      <c r="X13" s="29">
        <f>Bilan_E_AME_Met_2030!P35</f>
        <v>28.950215384778598</v>
      </c>
    </row>
    <row r="14" spans="1:24">
      <c r="A14" s="695"/>
      <c r="B14" s="1" t="s">
        <v>24</v>
      </c>
      <c r="C14" s="486">
        <f>'P1_G4-G5'!O16/100*Bilan_E_AME_Met_2030!I$21</f>
        <v>0.18407455655712296</v>
      </c>
      <c r="D14" s="81"/>
      <c r="E14" s="28">
        <v>0</v>
      </c>
      <c r="F14" s="81"/>
      <c r="G14" s="17"/>
      <c r="H14" s="81"/>
      <c r="I14" s="21"/>
      <c r="J14" s="81"/>
      <c r="K14" s="526"/>
      <c r="L14" s="526"/>
      <c r="M14" s="526"/>
      <c r="N14" s="526"/>
      <c r="O14" s="526"/>
      <c r="P14" s="29"/>
      <c r="Q14" s="529"/>
      <c r="R14" s="498"/>
      <c r="S14" s="529"/>
      <c r="T14" s="526"/>
      <c r="U14" s="526"/>
      <c r="V14" s="526"/>
      <c r="W14" s="526"/>
      <c r="X14" s="526"/>
    </row>
    <row r="15" spans="1:24">
      <c r="A15" s="695"/>
      <c r="B15" s="1" t="s">
        <v>25</v>
      </c>
      <c r="C15" s="486">
        <f>'P1_G4-G5'!O15/100*Bilan_E_AME_Met_2030!I$21</f>
        <v>0.69019577747914795</v>
      </c>
      <c r="D15" s="81"/>
      <c r="E15" s="28">
        <v>0</v>
      </c>
      <c r="F15" s="81"/>
      <c r="G15" s="17">
        <f t="shared" si="0"/>
        <v>0.69019577747914795</v>
      </c>
      <c r="H15" s="81"/>
      <c r="I15" s="21"/>
      <c r="J15" s="81"/>
      <c r="K15" s="526"/>
      <c r="L15" s="526"/>
      <c r="M15" s="526"/>
      <c r="N15" s="526"/>
      <c r="O15" s="526"/>
      <c r="P15" s="29"/>
      <c r="Q15" s="529"/>
      <c r="R15" s="498"/>
      <c r="S15" s="529"/>
      <c r="T15" s="526"/>
      <c r="U15" s="526"/>
      <c r="V15" s="526"/>
      <c r="W15" s="526"/>
      <c r="X15" s="526"/>
    </row>
    <row r="16" spans="1:24">
      <c r="A16" s="695"/>
      <c r="B16" s="1" t="s">
        <v>26</v>
      </c>
      <c r="C16" s="17"/>
      <c r="D16" s="81"/>
      <c r="E16" s="28"/>
      <c r="F16" s="81"/>
      <c r="G16" s="17"/>
      <c r="H16" s="81"/>
      <c r="I16" s="21"/>
      <c r="J16" s="81"/>
      <c r="K16" s="526"/>
      <c r="L16" s="526"/>
      <c r="M16" s="526"/>
      <c r="N16" s="526"/>
      <c r="O16" s="526"/>
      <c r="P16" s="29"/>
      <c r="Q16" s="529"/>
      <c r="R16" s="498"/>
      <c r="S16" s="529"/>
      <c r="T16" s="526"/>
      <c r="U16" s="526"/>
      <c r="V16" s="526"/>
      <c r="W16" s="526"/>
      <c r="X16" s="526"/>
    </row>
    <row r="17" spans="1:24">
      <c r="A17" s="695"/>
      <c r="B17" s="1" t="s">
        <v>27</v>
      </c>
      <c r="C17" s="17">
        <f>Bilan_E_AME_Met_2030!F21</f>
        <v>3.8636363636363602</v>
      </c>
      <c r="D17" s="81"/>
      <c r="E17" s="28">
        <f>C17*(1-0.38)</f>
        <v>2.3954545454545433</v>
      </c>
      <c r="F17" s="81"/>
      <c r="G17" s="17"/>
      <c r="H17" s="81"/>
      <c r="I17" s="21"/>
      <c r="J17" s="81"/>
      <c r="K17" s="526"/>
      <c r="L17" s="526"/>
      <c r="M17" s="526"/>
      <c r="N17" s="526"/>
      <c r="O17" s="526"/>
      <c r="P17" s="29"/>
      <c r="Q17" s="529"/>
      <c r="R17" s="498"/>
      <c r="S17" s="529"/>
      <c r="T17" s="526"/>
      <c r="U17" s="526"/>
      <c r="V17" s="526"/>
      <c r="W17" s="526"/>
      <c r="X17" s="526"/>
    </row>
    <row r="18" spans="1:24">
      <c r="A18" s="695"/>
      <c r="B18" s="1" t="s">
        <v>28</v>
      </c>
      <c r="C18" s="17">
        <f>Bilan_E_AME_Met_2030!D21</f>
        <v>2.2004707355665598</v>
      </c>
      <c r="D18" s="81"/>
      <c r="E18" s="28">
        <f>C18*(1-0.31)</f>
        <v>1.5183248075409261</v>
      </c>
      <c r="F18" s="81"/>
      <c r="G18" s="17"/>
      <c r="H18" s="81"/>
      <c r="I18" s="21"/>
      <c r="J18" s="81"/>
      <c r="K18" s="526"/>
      <c r="L18" s="526"/>
      <c r="M18" s="526"/>
      <c r="N18" s="526"/>
      <c r="O18" s="526"/>
      <c r="P18" s="29"/>
      <c r="Q18" s="529"/>
      <c r="R18" s="498"/>
      <c r="S18" s="529"/>
      <c r="T18" s="526"/>
      <c r="U18" s="526"/>
      <c r="V18" s="526"/>
      <c r="W18" s="526"/>
      <c r="X18" s="526"/>
    </row>
    <row r="19" spans="1:24">
      <c r="A19" s="695"/>
      <c r="B19" s="1" t="s">
        <v>260</v>
      </c>
      <c r="C19" s="17">
        <f>Bilan_E_AME_Met_2030!G21+Bilan_E_AME_Met_2030!R21</f>
        <v>21.057260399703999</v>
      </c>
      <c r="D19" s="82"/>
      <c r="E19" s="28">
        <f>C19*(1-0.47)</f>
        <v>11.160348011843119</v>
      </c>
      <c r="F19" s="82"/>
      <c r="G19" s="17"/>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499"/>
      <c r="H20" s="499"/>
      <c r="I20" s="17"/>
      <c r="J20" s="1"/>
      <c r="K20" s="17"/>
      <c r="L20" s="1"/>
      <c r="M20" s="1"/>
      <c r="N20" s="1"/>
      <c r="O20" s="1"/>
      <c r="P20" s="1"/>
      <c r="Q20" s="499"/>
      <c r="R20" s="498"/>
      <c r="S20" s="408"/>
      <c r="T20" s="495"/>
      <c r="U20" s="408"/>
      <c r="V20" s="495"/>
      <c r="W20" s="408"/>
      <c r="X20" s="495"/>
    </row>
    <row r="21" spans="1:24">
      <c r="A21" s="696" t="s">
        <v>13</v>
      </c>
      <c r="B21" s="1" t="s">
        <v>21</v>
      </c>
      <c r="C21" s="17">
        <f>Bilan_E_AME_Met_2030!J23</f>
        <v>8.3993143440742202</v>
      </c>
      <c r="D21" s="531"/>
      <c r="E21" s="33">
        <f>Bilan_E_AME_Met_2030!S23+Bilan_E_AME_Met_2030!M30</f>
        <v>1.203404118987927</v>
      </c>
      <c r="F21" s="531"/>
      <c r="G21" s="17">
        <f t="shared" ref="G21:G45" si="1">C21-E21</f>
        <v>7.1959102250862932</v>
      </c>
      <c r="H21" s="531"/>
      <c r="I21" s="17"/>
      <c r="J21" s="531"/>
      <c r="K21" s="547">
        <f>Bilan_E_AME_Met_2030!M31</f>
        <v>8.6649053114757804E-2</v>
      </c>
      <c r="L21" s="547">
        <f>-(Bilan_E_AME_Met_2030!M13+Bilan_E_AME_Met_2030!M14+Bilan_E_AME_Met_2030!M15+Bilan_E_AME_Met_2030!M16)</f>
        <v>0</v>
      </c>
      <c r="M21" s="547">
        <f>Bilan_E_AME_Met_2030!M28</f>
        <v>2.2054168661692901E-2</v>
      </c>
      <c r="N21" s="547">
        <f>Bilan_E_AME_Met_2030!M22</f>
        <v>0.35242858476283501</v>
      </c>
      <c r="O21" s="547">
        <f>Bilan_E_AME_Met_2030!M21</f>
        <v>0.42974000815722502</v>
      </c>
      <c r="P21" s="531"/>
      <c r="Q21" s="531"/>
      <c r="R21" s="498"/>
      <c r="S21" s="531"/>
      <c r="T21" s="531"/>
      <c r="U21" s="531"/>
      <c r="V21" s="531"/>
      <c r="W21" s="531"/>
      <c r="X21" s="531"/>
    </row>
    <row r="22" spans="1:24">
      <c r="A22" s="696"/>
      <c r="B22" s="1" t="s">
        <v>30</v>
      </c>
      <c r="C22" s="17"/>
      <c r="D22" s="85">
        <f>SUM(C21:C24)</f>
        <v>367.68130937166609</v>
      </c>
      <c r="E22" s="497"/>
      <c r="F22" s="85">
        <f>SUM(E21:E24)</f>
        <v>7.1128199949093425</v>
      </c>
      <c r="G22" s="17">
        <f t="shared" si="1"/>
        <v>0</v>
      </c>
      <c r="H22" s="85">
        <f>SUM(G21:G24)</f>
        <v>360.56848937675676</v>
      </c>
      <c r="I22" s="408"/>
      <c r="J22" s="85">
        <f>H22-I22</f>
        <v>360.56848937675676</v>
      </c>
      <c r="K22" s="32"/>
      <c r="L22" s="32"/>
      <c r="M22" s="32"/>
      <c r="N22" s="32"/>
      <c r="O22" s="32"/>
      <c r="P22" s="32"/>
      <c r="Q22" s="85">
        <f>J22-SUM(K21:P24)</f>
        <v>315.84929399645233</v>
      </c>
      <c r="R22" s="508">
        <f>Q22-S22</f>
        <v>0</v>
      </c>
      <c r="S22" s="85">
        <f>SUM(T22:X24)</f>
        <v>315.84929399645233</v>
      </c>
      <c r="T22" s="32">
        <f>Bilan_E_AME_Met_2030!G38+Bilan_E_AME_Met_2030!R38+Bilan_E_AME_Met_2030!M$38</f>
        <v>3.6232762626765611</v>
      </c>
      <c r="U22" s="32">
        <f>Bilan_E_AME_Met_2030!G34+Bilan_E_AME_Met_2030!R34+Bilan_E_AME_Met_2030!M$34</f>
        <v>105.64116816616115</v>
      </c>
      <c r="V22" s="32">
        <f>Bilan_E_AME_Met_2030!G36+Bilan_E_AME_Met_2030!R36+Bilan_E_AME_Met_2030!M$36</f>
        <v>126.05496797559388</v>
      </c>
      <c r="W22" s="32">
        <f>Bilan_E_AME_Met_2030!G37+Bilan_E_AME_Met_2030!K37+Bilan_E_AME_Met_2030!R37+Bilan_E_AME_Met_2030!M$37</f>
        <v>65.22141537305653</v>
      </c>
      <c r="X22" s="32">
        <f>Bilan_E_AME_Met_2030!G35+Bilan_E_AME_Met_2030!R35+Bilan_E_AME_Met_2030!M$35</f>
        <v>15.30846621896424</v>
      </c>
    </row>
    <row r="23" spans="1:24">
      <c r="A23" s="696"/>
      <c r="B23" s="1" t="s">
        <v>31</v>
      </c>
      <c r="C23" s="17">
        <f>SUM(Bilan_E_AME_Met_2030!D28:Q28)-C47</f>
        <v>1.2192245397081258</v>
      </c>
      <c r="D23" s="532"/>
      <c r="E23" s="33">
        <f>Bilan_E_AME_Met_2030!S28+Bilan_E_AME_Met_2030!S27</f>
        <v>0.44624641726585479</v>
      </c>
      <c r="F23" s="534"/>
      <c r="G23" s="17">
        <f t="shared" si="1"/>
        <v>0.77297812244227104</v>
      </c>
      <c r="H23" s="534"/>
      <c r="I23" s="17"/>
      <c r="J23" s="534"/>
      <c r="K23" s="536">
        <f>Bilan_E_AME_Met_2030!R31</f>
        <v>0</v>
      </c>
      <c r="L23" s="536">
        <f>-(Bilan_E_AME_Met_2030!R13+Bilan_E_AME_Met_2030!R14+Bilan_E_AME_Met_2030!R15+Bilan_E_AME_Met_2030!R16)</f>
        <v>0</v>
      </c>
      <c r="M23" s="536"/>
      <c r="N23" s="536">
        <f>Bilan_E_AME_Met_2030!R22</f>
        <v>0</v>
      </c>
      <c r="O23" s="536">
        <f>Bilan_E_AME_Met_2030!R21</f>
        <v>0</v>
      </c>
      <c r="P23" s="536">
        <f>-Bilan_E_AME_Met_2030!L27</f>
        <v>0.17560464547893101</v>
      </c>
      <c r="Q23" s="534"/>
      <c r="S23" s="534"/>
      <c r="T23" s="538"/>
      <c r="U23" s="538"/>
      <c r="V23" s="538"/>
      <c r="W23" s="538"/>
      <c r="X23" s="538"/>
    </row>
    <row r="24" spans="1:24">
      <c r="A24" s="696"/>
      <c r="B24" s="1" t="s">
        <v>32</v>
      </c>
      <c r="C24" s="17">
        <f>Bilan_E_AME_Met_2030!G18-C45-(Bilan_E_AME_Met_2030!G20+Bilan_E_AME_Met_2030!G19)</f>
        <v>358.06277048788377</v>
      </c>
      <c r="D24" s="533"/>
      <c r="E24" s="33">
        <f>Bilan_E_AME_Met_2030!G30</f>
        <v>5.4631694586555604</v>
      </c>
      <c r="F24" s="535"/>
      <c r="G24" s="17">
        <f t="shared" si="1"/>
        <v>352.59960102922821</v>
      </c>
      <c r="H24" s="535"/>
      <c r="I24" s="34"/>
      <c r="J24" s="535"/>
      <c r="K24" s="537">
        <f>Bilan_E_AME_Met_2030!G31</f>
        <v>4.2458036026231296</v>
      </c>
      <c r="L24" s="537"/>
      <c r="M24" s="537">
        <f>Bilan_E_AME_Met_2030!G28</f>
        <v>1.08065426442295</v>
      </c>
      <c r="N24" s="537">
        <f>Bilan_E_AME_Met_2030!G22</f>
        <v>17.2690006533789</v>
      </c>
      <c r="O24" s="537">
        <f>Bilan_E_AME_Met_2030!G21</f>
        <v>21.057260399703999</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Bilan_E_AME_Met_2030!M22</f>
        <v>0.35242858476283501</v>
      </c>
      <c r="D26" s="512"/>
      <c r="E26" s="190">
        <f>C26*F$35</f>
        <v>3.1781005100031019E-2</v>
      </c>
      <c r="F26" s="512"/>
      <c r="G26" s="33">
        <f t="shared" ref="G26:G31" si="2">C26-E26</f>
        <v>0.32064757966280399</v>
      </c>
      <c r="H26" s="512"/>
      <c r="I26" s="1"/>
      <c r="J26" s="512"/>
      <c r="K26" s="512"/>
      <c r="L26" s="512"/>
      <c r="M26" s="512"/>
      <c r="N26" s="512"/>
      <c r="O26" s="512"/>
      <c r="P26" s="512"/>
      <c r="Q26" s="512"/>
      <c r="R26" s="498"/>
      <c r="S26" s="512"/>
      <c r="T26" s="512"/>
      <c r="U26" s="512"/>
      <c r="V26" s="512"/>
      <c r="W26" s="512"/>
      <c r="X26" s="512"/>
    </row>
    <row r="27" spans="1:24">
      <c r="A27" s="697"/>
      <c r="B27" s="1" t="s">
        <v>22</v>
      </c>
      <c r="C27" s="17">
        <f>Bilan_E_AME_Met_2030!K18-Bilan_E_AME_Met_2030!K21-(Bilan_E_AME_Met_2030!Q20+Bilan_E_AME_Met_2030!Q19+Bilan_E_AME_Met_2030!K20+Bilan_E_AME_Met_2030!K19)</f>
        <v>17.0827701769391</v>
      </c>
      <c r="D27" s="87"/>
      <c r="E27" s="190">
        <f t="shared" ref="E27:E34" si="3">C27*F$35</f>
        <v>1.5404755164264166</v>
      </c>
      <c r="F27" s="87"/>
      <c r="G27" s="33">
        <f t="shared" si="2"/>
        <v>15.542294660512683</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Bilan_E_AME_Met_2030!J22</f>
        <v>13.0699665611328</v>
      </c>
      <c r="D29" s="87"/>
      <c r="E29" s="190">
        <f t="shared" si="3"/>
        <v>1.1786123257173422</v>
      </c>
      <c r="F29" s="87"/>
      <c r="G29" s="33">
        <f t="shared" si="2"/>
        <v>11.891354235415458</v>
      </c>
      <c r="H29" s="87"/>
      <c r="I29" s="1"/>
      <c r="J29" s="87"/>
      <c r="K29" s="87"/>
      <c r="L29" s="87"/>
      <c r="M29" s="87"/>
      <c r="N29" s="87"/>
      <c r="O29" s="87"/>
      <c r="P29" s="87"/>
      <c r="Q29" s="87"/>
      <c r="R29" s="498"/>
      <c r="S29" s="87"/>
      <c r="T29" s="87"/>
      <c r="U29" s="87"/>
      <c r="V29" s="87"/>
      <c r="W29" s="87"/>
      <c r="X29" s="87"/>
    </row>
    <row r="30" spans="1:24">
      <c r="A30" s="697"/>
      <c r="B30" s="1" t="s">
        <v>24</v>
      </c>
      <c r="C30" s="17">
        <f>Bilan_E_AME_Met_2030!O22</f>
        <v>2.2569028606256798</v>
      </c>
      <c r="D30" s="86">
        <f>SUM(C26:C34)</f>
        <v>50.03106883683931</v>
      </c>
      <c r="E30" s="190">
        <f t="shared" si="3"/>
        <v>0.2035210661816419</v>
      </c>
      <c r="F30" s="86">
        <f>Bilan_E_AME_Met_2030!S22</f>
        <v>4.5116591633269501</v>
      </c>
      <c r="G30" s="33">
        <f t="shared" si="2"/>
        <v>2.053381794444038</v>
      </c>
      <c r="H30" s="86">
        <f>SUM(G26:G34)</f>
        <v>45.519409673512364</v>
      </c>
      <c r="I30" s="1"/>
      <c r="J30" s="86">
        <f>H30</f>
        <v>45.519409673512364</v>
      </c>
      <c r="K30" s="87">
        <f>Bilan_E_AME_Met_2030!Q31</f>
        <v>3.1941188921809198</v>
      </c>
      <c r="L30" s="87"/>
      <c r="M30" s="87">
        <f>Bilan_E_AME_Met_2030!K28</f>
        <v>1.2117675088842201E-2</v>
      </c>
      <c r="N30" s="87"/>
      <c r="O30" s="87"/>
      <c r="P30" s="87"/>
      <c r="Q30" s="86">
        <f>J30-K30-L30-M30-N30-O30-P30</f>
        <v>42.313173106242601</v>
      </c>
      <c r="R30" s="508">
        <f>Q30-S30</f>
        <v>0</v>
      </c>
      <c r="S30" s="86">
        <f>SUM(T27:X34)</f>
        <v>42.313173106242608</v>
      </c>
      <c r="T30" s="87">
        <f>Bilan_E_AME_Met_2030!Q$38</f>
        <v>0</v>
      </c>
      <c r="U30" s="87">
        <f>Bilan_E_AME_Met_2030!Q$34+Bilan_E_AME_Met_2030!K34</f>
        <v>22.03101738420693</v>
      </c>
      <c r="V30" s="87">
        <f>Bilan_E_AME_Met_2030!Q$36</f>
        <v>15.8854874881395</v>
      </c>
      <c r="W30" s="87">
        <f>Bilan_E_AME_Met_2030!Q$37</f>
        <v>4.3966682338961798</v>
      </c>
      <c r="X30" s="87">
        <f>Bilan_E_AME_Met_2030!Q$35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Bilan_E_AME_Met_2030!G22</f>
        <v>17.2690006533789</v>
      </c>
      <c r="D32" s="86"/>
      <c r="E32" s="190">
        <f t="shared" si="3"/>
        <v>1.5572692499015186</v>
      </c>
      <c r="F32" s="86"/>
      <c r="G32" s="33">
        <f>C32-E32</f>
        <v>15.711731403477382</v>
      </c>
      <c r="H32" s="86"/>
      <c r="I32" s="1"/>
      <c r="J32" s="519"/>
      <c r="K32" s="87"/>
      <c r="L32" s="87"/>
      <c r="M32" s="87"/>
      <c r="N32" s="87"/>
      <c r="O32" s="87"/>
      <c r="P32" s="87"/>
      <c r="Q32" s="519"/>
      <c r="R32" s="498"/>
      <c r="S32" s="521"/>
      <c r="T32" s="523"/>
      <c r="U32" s="523"/>
      <c r="V32" s="523"/>
      <c r="W32" s="523"/>
      <c r="X32" s="523"/>
    </row>
    <row r="33" spans="1:26">
      <c r="A33" s="186"/>
      <c r="B33" s="1" t="s">
        <v>27</v>
      </c>
      <c r="C33" s="33">
        <f>Bilan_E_AME_Met_2030!F22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Bilan_E_AME_Met_2030!D22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9.0177149283784355E-2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94.965725483249543</v>
      </c>
      <c r="D37" s="541"/>
      <c r="E37" s="504"/>
      <c r="F37" s="541"/>
      <c r="G37" s="17">
        <f t="shared" ref="G37:G42" si="5">C37-E37</f>
        <v>94.965725483249543</v>
      </c>
      <c r="H37" s="541"/>
      <c r="I37" s="498"/>
      <c r="J37" s="37"/>
      <c r="K37" s="35"/>
      <c r="L37" s="35"/>
      <c r="M37" s="505"/>
      <c r="N37" s="35"/>
      <c r="P37" s="35"/>
      <c r="Q37" s="543"/>
      <c r="R37" s="498"/>
      <c r="S37" s="541"/>
      <c r="T37" s="506">
        <f>Bilan_E_AME_Met_2030!J38</f>
        <v>0.72327594399272899</v>
      </c>
      <c r="U37" s="93">
        <f>Bilan_E_AME_Met_2030!J34</f>
        <v>17.262400786113901</v>
      </c>
      <c r="V37" s="506">
        <f>Bilan_E_AME_Met_2030!J36</f>
        <v>73.364360274729606</v>
      </c>
      <c r="W37" s="507">
        <f>Bilan_E_AME_Met_2030!J37</f>
        <v>3.6156884784133001</v>
      </c>
      <c r="X37" s="506">
        <f>Bilan_E_AME_Met_2030!J35</f>
        <v>0</v>
      </c>
      <c r="Y37" s="489">
        <f t="shared" ref="Y37:Y47" si="6">SUM(T37:X37)</f>
        <v>94.965725483249543</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183.06764717179541</v>
      </c>
      <c r="R38" s="498"/>
      <c r="S38" s="541"/>
      <c r="T38" s="84">
        <v>0</v>
      </c>
      <c r="U38" s="83">
        <v>0</v>
      </c>
      <c r="V38" s="84">
        <v>0</v>
      </c>
      <c r="W38" s="91">
        <v>0</v>
      </c>
      <c r="X38" s="91">
        <v>0</v>
      </c>
      <c r="Y38" s="489">
        <f t="shared" si="6"/>
        <v>0</v>
      </c>
      <c r="Z38" s="489">
        <f t="shared" si="7"/>
        <v>0</v>
      </c>
    </row>
    <row r="39" spans="1:26">
      <c r="A39" s="679"/>
      <c r="B39" s="1" t="s">
        <v>35</v>
      </c>
      <c r="C39" s="33">
        <f>SUM(T39:X39)</f>
        <v>1.8862439783197085</v>
      </c>
      <c r="D39" s="541"/>
      <c r="E39" s="35"/>
      <c r="F39" s="541"/>
      <c r="G39" s="17">
        <f t="shared" si="5"/>
        <v>1.8862439783197085</v>
      </c>
      <c r="H39" s="541"/>
      <c r="I39" s="35"/>
      <c r="J39" s="37"/>
      <c r="K39" s="35"/>
      <c r="L39" s="35"/>
      <c r="M39" s="37"/>
      <c r="N39" s="35"/>
      <c r="O39" s="35"/>
      <c r="P39" s="35"/>
      <c r="Q39" s="543"/>
      <c r="R39" s="498"/>
      <c r="S39" s="541"/>
      <c r="T39" s="84">
        <f>Bilan_E_AME_Met_2030!O38</f>
        <v>8.4265288301735505E-2</v>
      </c>
      <c r="U39" s="83">
        <f>Bilan_E_AME_Met_2030!O34</f>
        <v>0</v>
      </c>
      <c r="V39" s="84">
        <f>Bilan_E_AME_Met_2030!O36</f>
        <v>0.96354458163837398</v>
      </c>
      <c r="W39" s="91">
        <f>Bilan_E_AME_Met_2030!O37</f>
        <v>0.83843410837959897</v>
      </c>
      <c r="X39" s="91">
        <f>Bilan_E_AME_Met_2030!O35</f>
        <v>0</v>
      </c>
      <c r="Y39" s="489">
        <f t="shared" si="6"/>
        <v>1.8862439783197085</v>
      </c>
      <c r="Z39" s="489">
        <f t="shared" si="7"/>
        <v>0</v>
      </c>
    </row>
    <row r="40" spans="1:26">
      <c r="A40" s="679"/>
      <c r="B40" s="1" t="s">
        <v>36</v>
      </c>
      <c r="C40" s="33">
        <f>Bilan_E_AME_Met_2030!N12</f>
        <v>47.404940243004702</v>
      </c>
      <c r="D40" s="541"/>
      <c r="E40" s="35"/>
      <c r="F40" s="541"/>
      <c r="G40" s="17">
        <f t="shared" si="5"/>
        <v>47.404940243004702</v>
      </c>
      <c r="H40" s="541"/>
      <c r="I40" s="35"/>
      <c r="J40" s="37"/>
      <c r="K40" s="35"/>
      <c r="L40" s="35"/>
      <c r="M40" s="37"/>
      <c r="N40" s="35"/>
      <c r="O40" s="35"/>
      <c r="P40" s="35"/>
      <c r="Q40" s="543"/>
      <c r="R40" s="498"/>
      <c r="S40" s="541"/>
      <c r="T40" s="83">
        <f>Bilan_E_AME_Met_2030!N$38</f>
        <v>0</v>
      </c>
      <c r="U40" s="83">
        <f>Bilan_E_AME_Met_2030!N$34</f>
        <v>0</v>
      </c>
      <c r="V40" s="83">
        <f>Bilan_E_AME_Met_2030!N$36</f>
        <v>40.465242847391998</v>
      </c>
      <c r="W40" s="83">
        <f>Bilan_E_AME_Met_2030!N$37</f>
        <v>6.9396973956126802</v>
      </c>
      <c r="X40" s="84">
        <f>Bilan_E_AME_Met_2030!N$35</f>
        <v>0</v>
      </c>
      <c r="Y40" s="489">
        <f t="shared" si="6"/>
        <v>47.404940243004681</v>
      </c>
      <c r="Z40" s="489">
        <f t="shared" si="7"/>
        <v>0</v>
      </c>
    </row>
    <row r="41" spans="1:26">
      <c r="A41" s="679"/>
      <c r="B41" s="1" t="s">
        <v>37</v>
      </c>
      <c r="C41" s="33">
        <f>-Bilan_E_AME_Met_2030!L26-Bilan_E_AME_Met_2030!L27</f>
        <v>39.643425012233735</v>
      </c>
      <c r="D41" s="191">
        <f>SUM(C36:C47)</f>
        <v>817.76707670758981</v>
      </c>
      <c r="E41" s="38"/>
      <c r="F41" s="191">
        <f>SUM(E36:E47)</f>
        <v>30.78461268853399</v>
      </c>
      <c r="G41" s="17">
        <f t="shared" si="5"/>
        <v>39.643425012233735</v>
      </c>
      <c r="H41" s="191">
        <f>SUM(G36:G47)</f>
        <v>786.9824640190559</v>
      </c>
      <c r="I41" s="35"/>
      <c r="J41" s="37"/>
      <c r="K41" s="35"/>
      <c r="L41" s="37">
        <f>-(Bilan_E_AME_Met_2030!L15+Bilan_E_AME_Met_2030!L16)</f>
        <v>0.83268754501228504</v>
      </c>
      <c r="M41" s="35"/>
      <c r="N41" s="35"/>
      <c r="O41" s="35"/>
      <c r="P41" s="35"/>
      <c r="Q41" s="543"/>
      <c r="R41" s="508">
        <f>SUM(Q36:Q47)-S41</f>
        <v>0</v>
      </c>
      <c r="S41" s="191">
        <f>SUM(T36:X46)</f>
        <v>606.75459657747558</v>
      </c>
      <c r="T41" s="83">
        <f>Bilan_E_AME_Met_2030!L$38</f>
        <v>5.3620752079163996</v>
      </c>
      <c r="U41" s="83">
        <f>Bilan_E_AME_Met_2030!L$34</f>
        <v>0.86540506640625003</v>
      </c>
      <c r="V41" s="83">
        <f>Bilan_E_AME_Met_2030!L$36</f>
        <v>0</v>
      </c>
      <c r="W41" s="83">
        <f>Bilan_E_AME_Met_2030!L$37</f>
        <v>0</v>
      </c>
      <c r="X41" s="84">
        <f>Bilan_E_AME_Met_2030!L$35</f>
        <v>32.583257192898799</v>
      </c>
      <c r="Y41" s="489">
        <f t="shared" si="6"/>
        <v>38.81073746722145</v>
      </c>
      <c r="Z41" s="489">
        <f>G41-Y41-L41</f>
        <v>-8.8817841970012523E-16</v>
      </c>
    </row>
    <row r="42" spans="1:26">
      <c r="A42" s="679"/>
      <c r="B42" s="1" t="s">
        <v>38</v>
      </c>
      <c r="C42" s="33">
        <f>Bilan_E_AME_Met_2030!E18+Bilan_E_AME_Met_2030!F18-Bilan_E_AME_Met_2030!F21-Bilan_E_AME_Met_2030!F22-E54-SUM(T43:X43)-(Bilan_E_AME_Met_2030!E20+Bilan_E_AME_Met_2030!F20+Bilan_E_AME_Met_2030!E19+Bilan_E_AME_Met_2030!F19)</f>
        <v>352.33065845087884</v>
      </c>
      <c r="D42" s="541"/>
      <c r="E42" s="17">
        <f>Bilan_E_AME_Met_2030!F30+Bilan_E_AME_Met_2030!S25+Bilan_E_AME_Met_2030!F29+Bilan_E_AME_Met_2030!E29</f>
        <v>30.78461268853399</v>
      </c>
      <c r="F42" s="541"/>
      <c r="G42" s="17">
        <f t="shared" si="5"/>
        <v>321.54604576234487</v>
      </c>
      <c r="H42" s="541"/>
      <c r="I42" s="498"/>
      <c r="J42" s="37"/>
      <c r="K42" s="35"/>
      <c r="L42" s="35"/>
      <c r="M42" s="35"/>
      <c r="N42" s="35"/>
      <c r="O42" s="35"/>
      <c r="P42" s="35"/>
      <c r="Q42" s="36">
        <f>G42</f>
        <v>321.54604576234487</v>
      </c>
      <c r="R42" s="498"/>
      <c r="S42" s="541"/>
      <c r="T42" s="83">
        <v>0</v>
      </c>
      <c r="U42" s="83">
        <v>0</v>
      </c>
      <c r="V42" s="83">
        <v>0</v>
      </c>
      <c r="W42" s="83">
        <v>0</v>
      </c>
      <c r="X42" s="84">
        <f>Bilan_E_AME_Met_2030!F35</f>
        <v>321.54604576234499</v>
      </c>
      <c r="Y42" s="489">
        <f t="shared" si="6"/>
        <v>321.54604576234499</v>
      </c>
      <c r="Z42" s="489">
        <f>Q42-SUM(T42:X42)</f>
        <v>0</v>
      </c>
    </row>
    <row r="43" spans="1:26">
      <c r="A43" s="679"/>
      <c r="B43" s="1" t="s">
        <v>39</v>
      </c>
      <c r="C43" s="33">
        <f>Bilan_E_AME_Met_2030!F41+SUM(T43:X43)</f>
        <v>233.7703198301493</v>
      </c>
      <c r="D43" s="541"/>
      <c r="E43" s="38"/>
      <c r="F43" s="541"/>
      <c r="G43" s="17">
        <f>C43-E43</f>
        <v>233.7703198301493</v>
      </c>
      <c r="H43" s="541"/>
      <c r="I43" s="35"/>
      <c r="J43" s="37"/>
      <c r="K43" s="35"/>
      <c r="L43" s="35"/>
      <c r="M43" s="35"/>
      <c r="N43" s="35"/>
      <c r="O43" s="35"/>
      <c r="P43" s="35"/>
      <c r="Q43" s="36">
        <f>G43-Bilan_E_AME_Met_2030!F41</f>
        <v>95.677292247291291</v>
      </c>
      <c r="R43" s="498"/>
      <c r="S43" s="541"/>
      <c r="T43" s="83">
        <f>Bilan_E_AME_Met_2030!F38</f>
        <v>26.373605719731</v>
      </c>
      <c r="U43" s="83">
        <f>Bilan_E_AME_Met_2030!F34</f>
        <v>24.862596272257498</v>
      </c>
      <c r="V43" s="83">
        <f>Bilan_E_AME_Met_2030!F36</f>
        <v>31.599343880465799</v>
      </c>
      <c r="W43" s="83">
        <f>Bilan_E_AME_Met_2030!F37</f>
        <v>12.841746374836999</v>
      </c>
      <c r="X43" s="84">
        <v>0</v>
      </c>
      <c r="Y43" s="489">
        <f t="shared" si="6"/>
        <v>95.677292247291291</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G44-Bilan_E_AME_Met_2030!K41</f>
        <v>0</v>
      </c>
      <c r="R44" s="498"/>
      <c r="S44" s="541"/>
      <c r="T44" s="83">
        <f>Bilan_E_AME_Met_2030!K$38</f>
        <v>0</v>
      </c>
      <c r="U44" s="83">
        <v>0</v>
      </c>
      <c r="V44" s="83">
        <f>Bilan_E_AME_Met_2030!K$36</f>
        <v>0</v>
      </c>
      <c r="W44" s="83">
        <v>0</v>
      </c>
      <c r="X44" s="84">
        <f>Bilan_E_AME_Met_2030!K$35</f>
        <v>0</v>
      </c>
      <c r="Y44" s="489">
        <f t="shared" si="6"/>
        <v>0</v>
      </c>
      <c r="Z44" s="489">
        <f t="shared" si="7"/>
        <v>0</v>
      </c>
    </row>
    <row r="45" spans="1:26">
      <c r="A45" s="679"/>
      <c r="B45" s="1" t="s">
        <v>41</v>
      </c>
      <c r="C45" s="33">
        <f>E53</f>
        <v>12.626811737538199</v>
      </c>
      <c r="D45" s="541"/>
      <c r="E45" s="38"/>
      <c r="F45" s="541"/>
      <c r="G45" s="17">
        <f t="shared" si="1"/>
        <v>12.626811737538199</v>
      </c>
      <c r="H45" s="541"/>
      <c r="I45" s="35"/>
      <c r="J45" s="37"/>
      <c r="K45" s="35"/>
      <c r="L45" s="35"/>
      <c r="M45" s="35"/>
      <c r="N45" s="35"/>
      <c r="O45" s="35"/>
      <c r="P45" s="35"/>
      <c r="Q45" s="36">
        <f>G45-Bilan_E_AME_Met_2030!G41</f>
        <v>0</v>
      </c>
      <c r="R45" s="498"/>
      <c r="S45" s="541"/>
      <c r="T45" s="84">
        <v>0</v>
      </c>
      <c r="U45" s="83">
        <v>0</v>
      </c>
      <c r="V45" s="84">
        <v>0</v>
      </c>
      <c r="W45" s="92">
        <v>0</v>
      </c>
      <c r="X45" s="84">
        <v>0</v>
      </c>
      <c r="Y45" s="489">
        <f t="shared" si="6"/>
        <v>0</v>
      </c>
      <c r="Z45" s="489">
        <f>Q45-Y45</f>
        <v>0</v>
      </c>
    </row>
    <row r="46" spans="1:26">
      <c r="A46" s="679"/>
      <c r="B46" s="1" t="s">
        <v>42</v>
      </c>
      <c r="C46" s="33">
        <f>Bilan_E_AME_Met_2030!D18-C18-C34</f>
        <v>35.138951972215736</v>
      </c>
      <c r="D46" s="541"/>
      <c r="E46" s="511"/>
      <c r="F46" s="541"/>
      <c r="G46" s="17">
        <f>C46-E46</f>
        <v>35.138951972215736</v>
      </c>
      <c r="H46" s="541"/>
      <c r="I46" s="38"/>
      <c r="J46" s="37"/>
      <c r="K46" s="35"/>
      <c r="L46" s="35"/>
      <c r="M46" s="35"/>
      <c r="N46" s="35"/>
      <c r="O46" s="35"/>
      <c r="P46" s="35"/>
      <c r="Q46" s="36">
        <f>G46-(Bilan_E_AME_Met_2030!D41+Bilan_E_AME_Met_2030!D29+Bilan_E_AME_Met_2030!D30)</f>
        <v>6.4636113960438379</v>
      </c>
      <c r="R46" s="498"/>
      <c r="S46" s="541"/>
      <c r="T46" s="506">
        <f>Bilan_E_AME_Met_2030!D38</f>
        <v>0</v>
      </c>
      <c r="U46" s="93">
        <f>Bilan_E_AME_Met_2030!D34</f>
        <v>6.4636113960439099</v>
      </c>
      <c r="V46" s="506">
        <f>Bilan_E_AME_Met_2030!D36</f>
        <v>0</v>
      </c>
      <c r="W46" s="507">
        <f>Bilan_E_AME_Met_2030!D37</f>
        <v>0</v>
      </c>
      <c r="X46" s="506">
        <f>Bilan_E_AME_Met_2030!D35</f>
        <v>0</v>
      </c>
      <c r="Y46" s="489">
        <f t="shared" si="6"/>
        <v>6.4636113960439099</v>
      </c>
      <c r="Z46" s="489">
        <f>Q46-Y46</f>
        <v>-7.1942451995710144E-14</v>
      </c>
    </row>
    <row r="47" spans="1:26">
      <c r="A47" s="90"/>
      <c r="B47" s="1" t="s">
        <v>31</v>
      </c>
      <c r="C47" s="33">
        <f>E57</f>
        <v>0</v>
      </c>
      <c r="D47" s="192"/>
      <c r="E47" s="511"/>
      <c r="F47" s="192"/>
      <c r="G47" s="17">
        <f>C47-E47</f>
        <v>0</v>
      </c>
      <c r="H47" s="192"/>
      <c r="I47" s="38"/>
      <c r="J47" s="37"/>
      <c r="K47" s="35"/>
      <c r="L47" s="35"/>
      <c r="M47" s="35"/>
      <c r="N47" s="35"/>
      <c r="O47" s="35"/>
      <c r="P47" s="35"/>
      <c r="Q47" s="544">
        <f>G47-Bilan_E_AME_Met_2030!R41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C5-L13-SUM(L21:L24)-L30-L41-Bilan_E_AME_Met_2030!S18</f>
        <v>-2.1346379253373016E-4</v>
      </c>
      <c r="D49" s="1"/>
      <c r="E49" s="34">
        <f>SUM(E7:E47)+I13-Bilan_E_AME_Met_2030!S32+K13+SUM(K21:K24)+K30+Bilan_E_AME_Met_2030!D29+Bilan_E_AME_Met_2030!D30</f>
        <v>-2.007283228522283E-13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502.41937680726886</v>
      </c>
    </row>
    <row r="52" spans="1:19">
      <c r="A52" s="21"/>
      <c r="B52" s="1" t="s">
        <v>44</v>
      </c>
      <c r="C52" s="44"/>
      <c r="D52" s="1"/>
      <c r="E52" s="39">
        <f>Bilan_E_AME_Met_2030!D41+Bilan_E_AME_Met_2030!D29+Bilan_E_AME_Met_2030!D30</f>
        <v>28.675340576171898</v>
      </c>
      <c r="F52" s="187"/>
      <c r="G52" s="1"/>
      <c r="H52" s="1"/>
      <c r="I52" s="30"/>
      <c r="J52" s="17"/>
      <c r="K52" s="17"/>
      <c r="L52" s="21"/>
      <c r="M52" s="1"/>
      <c r="N52" s="17"/>
      <c r="O52" s="17"/>
      <c r="P52" s="17"/>
      <c r="Q52" s="1"/>
      <c r="S52" s="33"/>
    </row>
    <row r="53" spans="1:19">
      <c r="A53" s="21"/>
      <c r="B53" s="1" t="s">
        <v>41</v>
      </c>
      <c r="C53" s="45"/>
      <c r="D53" s="17"/>
      <c r="E53" s="433">
        <f>Bilan_E_AME_Met_2030!G41+Bilan_E_AME_Met_2030!G29</f>
        <v>12.626811737538199</v>
      </c>
      <c r="F53" s="187"/>
      <c r="G53" s="1"/>
      <c r="H53" s="1"/>
      <c r="I53" s="30"/>
      <c r="J53" s="17"/>
      <c r="K53" s="17"/>
      <c r="L53" s="21"/>
      <c r="M53" s="1"/>
      <c r="N53" s="17"/>
      <c r="O53" s="17"/>
      <c r="P53" s="17"/>
      <c r="Q53" s="1"/>
    </row>
    <row r="54" spans="1:19">
      <c r="A54" s="21"/>
      <c r="B54" s="1" t="s">
        <v>39</v>
      </c>
      <c r="C54" s="45"/>
      <c r="D54" s="17"/>
      <c r="E54" s="435">
        <f>Bilan_E_AME_Met_2030!F41</f>
        <v>138.09302758285801</v>
      </c>
      <c r="F54" s="187"/>
      <c r="G54" s="1"/>
      <c r="H54" s="1"/>
      <c r="I54" s="30"/>
      <c r="J54" s="17"/>
      <c r="K54" s="17"/>
      <c r="L54" s="21"/>
      <c r="M54" s="21"/>
      <c r="N54" s="17"/>
      <c r="O54" s="17"/>
      <c r="P54" s="17"/>
      <c r="Q54" s="1"/>
    </row>
    <row r="55" spans="1:19">
      <c r="B55" s="1" t="s">
        <v>21</v>
      </c>
      <c r="E55" s="434">
        <f>Bilan_E_AME_Met_2030!M41+Bilan_E_AME_Met_2030!M29</f>
        <v>0</v>
      </c>
    </row>
    <row r="56" spans="1:19">
      <c r="B56" s="1" t="s">
        <v>37</v>
      </c>
      <c r="E56" s="515">
        <f>Bilan_E_AME_Met_2030!L41+Bilan_E_AME_Met_2030!L29</f>
        <v>0</v>
      </c>
    </row>
    <row r="57" spans="1:19">
      <c r="B57" s="1" t="s">
        <v>31</v>
      </c>
      <c r="E57" s="515">
        <f>Bilan_E_AME_Met_2030!R41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852EC-8D51-4215-A551-6D1E05166B12}">
  <dimension ref="A1:CG220"/>
  <sheetViews>
    <sheetView topLeftCell="A7" zoomScale="66" zoomScaleNormal="66" workbookViewId="0">
      <selection activeCell="I21" sqref="I21"/>
    </sheetView>
  </sheetViews>
  <sheetFormatPr baseColWidth="10" defaultColWidth="11.453125" defaultRowHeight="14.5"/>
  <cols>
    <col min="3" max="3" width="52.1796875" style="51" customWidth="1"/>
    <col min="4" max="19" width="15.81640625" style="51" customWidth="1"/>
    <col min="20" max="22" width="11.453125" style="51"/>
    <col min="23" max="23" width="52.1796875" style="51" customWidth="1"/>
    <col min="24" max="33" width="15.7265625" style="51" customWidth="1"/>
    <col min="34" max="85" width="11.453125" style="51"/>
  </cols>
  <sheetData>
    <row r="1" spans="1:22" ht="28.5">
      <c r="C1" s="46" t="s">
        <v>45</v>
      </c>
      <c r="D1" s="47"/>
      <c r="E1" s="47"/>
      <c r="F1" s="47"/>
      <c r="G1" s="48" t="s">
        <v>46</v>
      </c>
      <c r="H1" s="49" t="s">
        <v>47</v>
      </c>
      <c r="I1" s="49"/>
      <c r="J1" s="49"/>
      <c r="K1" s="49"/>
      <c r="L1" s="49"/>
      <c r="M1" s="49"/>
      <c r="N1" s="49"/>
      <c r="O1" s="48" t="s">
        <v>48</v>
      </c>
      <c r="P1" s="49">
        <v>4</v>
      </c>
      <c r="Q1" s="48" t="s">
        <v>49</v>
      </c>
      <c r="R1" s="48"/>
      <c r="S1" s="50">
        <v>43278</v>
      </c>
    </row>
    <row r="5" spans="1:22" ht="21">
      <c r="C5" s="52" t="s">
        <v>50</v>
      </c>
      <c r="D5" s="52"/>
      <c r="E5" s="52"/>
      <c r="F5" s="52"/>
      <c r="G5" s="52"/>
      <c r="H5" s="52"/>
      <c r="I5" s="52"/>
      <c r="J5" s="52"/>
      <c r="K5" s="52"/>
      <c r="L5" s="52"/>
      <c r="M5" s="52"/>
      <c r="N5" s="52"/>
      <c r="O5" s="52"/>
      <c r="P5" s="52"/>
      <c r="Q5" s="52"/>
      <c r="R5" s="52"/>
      <c r="S5" s="52"/>
    </row>
    <row r="7" spans="1:22" ht="15.5">
      <c r="C7" s="581">
        <v>2015</v>
      </c>
      <c r="D7" s="53"/>
      <c r="E7" s="53"/>
      <c r="F7" s="53"/>
      <c r="G7" s="53"/>
      <c r="H7" s="53"/>
      <c r="I7" s="54"/>
      <c r="J7" s="54"/>
      <c r="K7" s="54"/>
      <c r="L7" s="54"/>
      <c r="M7" s="54"/>
      <c r="N7" s="54"/>
      <c r="O7" s="53"/>
      <c r="P7" s="53"/>
      <c r="Q7" s="53"/>
      <c r="R7" s="53"/>
      <c r="S7" s="53"/>
    </row>
    <row r="9" spans="1:22">
      <c r="V9" s="55"/>
    </row>
    <row r="10" spans="1:22" ht="43.5">
      <c r="C10" s="56" t="s">
        <v>51</v>
      </c>
      <c r="D10" s="174" t="s">
        <v>42</v>
      </c>
      <c r="E10" s="174" t="s">
        <v>52</v>
      </c>
      <c r="F10" s="174" t="s">
        <v>53</v>
      </c>
      <c r="G10" s="174" t="s">
        <v>54</v>
      </c>
      <c r="H10" s="174" t="s">
        <v>20</v>
      </c>
      <c r="I10" s="174" t="s">
        <v>55</v>
      </c>
      <c r="J10" s="418" t="s">
        <v>338</v>
      </c>
      <c r="K10" s="418" t="s">
        <v>40</v>
      </c>
      <c r="L10" s="418" t="s">
        <v>346</v>
      </c>
      <c r="M10" s="418" t="s">
        <v>347</v>
      </c>
      <c r="N10" s="419" t="s">
        <v>348</v>
      </c>
      <c r="O10" s="418" t="s">
        <v>349</v>
      </c>
      <c r="P10" s="174" t="s">
        <v>57</v>
      </c>
      <c r="Q10" s="174" t="s">
        <v>58</v>
      </c>
      <c r="R10" s="174" t="s">
        <v>31</v>
      </c>
      <c r="S10" s="174" t="s">
        <v>10</v>
      </c>
      <c r="U10" s="174" t="s">
        <v>476</v>
      </c>
    </row>
    <row r="11" spans="1:22" ht="15.5">
      <c r="C11" s="57"/>
      <c r="D11" s="582"/>
      <c r="E11" s="582"/>
      <c r="F11" s="582"/>
      <c r="G11" s="582"/>
      <c r="H11" s="582"/>
      <c r="I11" s="582"/>
      <c r="J11" s="582"/>
      <c r="K11" s="582"/>
      <c r="L11" s="582"/>
      <c r="M11" s="582"/>
      <c r="N11" s="582"/>
      <c r="O11" s="582"/>
      <c r="P11" s="582"/>
      <c r="Q11" s="582"/>
      <c r="R11" s="582"/>
      <c r="S11" s="582"/>
      <c r="U11" s="582"/>
    </row>
    <row r="12" spans="1:22">
      <c r="C12" s="175" t="s">
        <v>59</v>
      </c>
      <c r="D12" s="58">
        <v>0</v>
      </c>
      <c r="E12" s="58">
        <v>0.99</v>
      </c>
      <c r="F12" s="58">
        <v>0</v>
      </c>
      <c r="G12" s="58">
        <v>1.9114359415305201E-2</v>
      </c>
      <c r="H12" s="58">
        <v>113.97587222178799</v>
      </c>
      <c r="I12" s="58">
        <v>7.1744464316423002</v>
      </c>
      <c r="J12" s="58">
        <f>$U$12*Bilan_E_AME_Met_2023!J12/SUM(Bilan_E_AME_Met_2023!$J$12:$O$12)</f>
        <v>13.0310240238876</v>
      </c>
      <c r="K12" s="58">
        <f>$U$12*Bilan_E_AME_Met_2023!K12/SUM(Bilan_E_AME_Met_2023!$J$12:$O$12)</f>
        <v>1.8241446177872591</v>
      </c>
      <c r="L12" s="58">
        <f>$U$12*Bilan_E_AME_Met_2023!L12/SUM(Bilan_E_AME_Met_2023!$J$12:$O$12)</f>
        <v>0</v>
      </c>
      <c r="M12" s="58">
        <f>$U$12*Bilan_E_AME_Met_2023!M12/SUM(Bilan_E_AME_Met_2023!$J$12:$O$12)</f>
        <v>0</v>
      </c>
      <c r="N12" s="58">
        <f>$U$12*Bilan_E_AME_Met_2023!N12/SUM(Bilan_E_AME_Met_2023!$J$12:$O$12)</f>
        <v>2.4999002869050964</v>
      </c>
      <c r="O12" s="58">
        <f>$U$12*Bilan_E_AME_Met_2023!O12/SUM(Bilan_E_AME_Met_2023!$J$12:$O$12)</f>
        <v>0.26799476331104727</v>
      </c>
      <c r="P12" s="58">
        <v>0</v>
      </c>
      <c r="Q12" s="58">
        <v>0</v>
      </c>
      <c r="R12" s="58"/>
      <c r="S12" s="58">
        <f>SUM(D12:R12)</f>
        <v>139.78249670473659</v>
      </c>
      <c r="U12" s="58">
        <v>17.623063691891002</v>
      </c>
    </row>
    <row r="13" spans="1:22">
      <c r="C13" s="175" t="s">
        <v>60</v>
      </c>
      <c r="D13" s="58">
        <v>8.8097723628054307</v>
      </c>
      <c r="E13" s="58">
        <v>58.756</v>
      </c>
      <c r="F13" s="58">
        <v>41.304000000000002</v>
      </c>
      <c r="G13" s="58">
        <v>39.381556147893399</v>
      </c>
      <c r="H13" s="58">
        <v>0</v>
      </c>
      <c r="I13" s="58">
        <v>0</v>
      </c>
      <c r="J13" s="58">
        <v>0</v>
      </c>
      <c r="K13" s="58">
        <v>0</v>
      </c>
      <c r="L13" s="58">
        <v>0.8</v>
      </c>
      <c r="M13" s="58">
        <v>0</v>
      </c>
      <c r="N13" s="58">
        <v>0</v>
      </c>
      <c r="O13" s="58">
        <v>0</v>
      </c>
      <c r="P13" s="58">
        <v>0.85649183147033503</v>
      </c>
      <c r="Q13" s="58">
        <v>0</v>
      </c>
      <c r="R13" s="58"/>
      <c r="S13" s="58">
        <f t="shared" ref="S13:S17" si="0">SUM(D13:R13)</f>
        <v>149.90782034216917</v>
      </c>
      <c r="U13" s="58">
        <v>0.607627199770708</v>
      </c>
    </row>
    <row r="14" spans="1:22">
      <c r="C14" s="175" t="s">
        <v>61</v>
      </c>
      <c r="D14" s="58">
        <v>-0.129456001503714</v>
      </c>
      <c r="E14" s="58">
        <v>-9.7000000000000003E-2</v>
      </c>
      <c r="F14" s="58">
        <v>-21.164999999999999</v>
      </c>
      <c r="G14" s="58">
        <v>-4.8649527085124697</v>
      </c>
      <c r="H14" s="58">
        <v>0</v>
      </c>
      <c r="I14" s="58">
        <v>0</v>
      </c>
      <c r="J14" s="58">
        <v>0</v>
      </c>
      <c r="K14" s="58">
        <v>0</v>
      </c>
      <c r="L14" s="58">
        <v>0</v>
      </c>
      <c r="M14" s="58">
        <v>0</v>
      </c>
      <c r="N14" s="58">
        <v>0</v>
      </c>
      <c r="O14" s="58">
        <v>0</v>
      </c>
      <c r="P14" s="58">
        <v>-6.3649183147033499</v>
      </c>
      <c r="Q14" s="58">
        <v>0</v>
      </c>
      <c r="R14" s="58"/>
      <c r="S14" s="58">
        <f t="shared" si="0"/>
        <v>-32.621327024719534</v>
      </c>
      <c r="U14" s="58">
        <v>-0.178425728479985</v>
      </c>
    </row>
    <row r="15" spans="1:22">
      <c r="C15" s="175" t="s">
        <v>62</v>
      </c>
      <c r="D15" s="58">
        <v>0</v>
      </c>
      <c r="E15" s="58">
        <v>0</v>
      </c>
      <c r="F15" s="58">
        <v>-1.6180000000000001</v>
      </c>
      <c r="G15" s="58">
        <v>0</v>
      </c>
      <c r="H15" s="58">
        <v>0</v>
      </c>
      <c r="I15" s="58">
        <v>0</v>
      </c>
      <c r="J15" s="58">
        <v>0</v>
      </c>
      <c r="K15" s="58">
        <v>0</v>
      </c>
      <c r="L15" s="58">
        <v>0</v>
      </c>
      <c r="M15" s="58">
        <v>0</v>
      </c>
      <c r="N15" s="58">
        <v>0</v>
      </c>
      <c r="O15" s="58">
        <v>0</v>
      </c>
      <c r="P15" s="58">
        <v>0</v>
      </c>
      <c r="Q15" s="58">
        <v>0</v>
      </c>
      <c r="R15" s="58"/>
      <c r="S15" s="58">
        <f t="shared" si="0"/>
        <v>-1.6180000000000001</v>
      </c>
      <c r="U15" s="58">
        <v>0</v>
      </c>
    </row>
    <row r="16" spans="1:22">
      <c r="C16" s="175" t="s">
        <v>63</v>
      </c>
      <c r="D16" s="58">
        <v>0</v>
      </c>
      <c r="E16" s="58">
        <v>0</v>
      </c>
      <c r="F16" s="58">
        <v>-5.9379999999999997</v>
      </c>
      <c r="G16" s="58">
        <v>0</v>
      </c>
      <c r="H16" s="58">
        <v>0</v>
      </c>
      <c r="I16" s="58">
        <v>0</v>
      </c>
      <c r="J16" s="58">
        <f>$U$16*Bilan_E_AME_Met_2023!J16/SUM(Bilan_E_AME_Met_2023!$J$16:$O$16)</f>
        <v>0</v>
      </c>
      <c r="K16" s="58">
        <f>$U$16*Bilan_E_AME_Met_2023!K16/SUM(Bilan_E_AME_Met_2023!$J$16:$O$16)</f>
        <v>0</v>
      </c>
      <c r="L16" s="58">
        <f>$U$16*Bilan_E_AME_Met_2023!L16/SUM(Bilan_E_AME_Met_2023!$J$16:$O$16)</f>
        <v>0</v>
      </c>
      <c r="M16" s="58">
        <f>$U$16*Bilan_E_AME_Met_2023!M16/SUM(Bilan_E_AME_Met_2023!$J$16:$O$16)</f>
        <v>0</v>
      </c>
      <c r="N16" s="58">
        <f>$U$16*Bilan_E_AME_Met_2023!N16/SUM(Bilan_E_AME_Met_2023!$J$16:$O$16)</f>
        <v>0</v>
      </c>
      <c r="O16" s="58">
        <f>$U$16*Bilan_E_AME_Met_2023!O16/SUM(Bilan_E_AME_Met_2023!$J$16:$O$16)</f>
        <v>0</v>
      </c>
      <c r="P16" s="58">
        <v>0</v>
      </c>
      <c r="Q16" s="58">
        <v>0</v>
      </c>
      <c r="R16" s="58"/>
      <c r="S16" s="58">
        <f t="shared" si="0"/>
        <v>-5.9379999999999997</v>
      </c>
      <c r="U16" s="58">
        <v>0</v>
      </c>
    </row>
    <row r="17" spans="3:21">
      <c r="C17" s="175" t="s">
        <v>64</v>
      </c>
      <c r="D17" s="58">
        <v>0.114672336797846</v>
      </c>
      <c r="E17" s="58">
        <v>0.107</v>
      </c>
      <c r="F17" s="58">
        <v>-6.5000000000000002E-2</v>
      </c>
      <c r="G17" s="58">
        <v>0.50447579385934005</v>
      </c>
      <c r="H17" s="58">
        <v>0</v>
      </c>
      <c r="I17" s="58">
        <v>0</v>
      </c>
      <c r="J17" s="58">
        <v>0</v>
      </c>
      <c r="K17" s="58">
        <f>J17</f>
        <v>0</v>
      </c>
      <c r="L17" s="58">
        <f t="shared" ref="L17:R17" si="1">K17</f>
        <v>0</v>
      </c>
      <c r="M17" s="58">
        <f t="shared" si="1"/>
        <v>0</v>
      </c>
      <c r="N17" s="58">
        <f t="shared" si="1"/>
        <v>0</v>
      </c>
      <c r="O17" s="58">
        <f t="shared" si="1"/>
        <v>0</v>
      </c>
      <c r="P17" s="58">
        <f t="shared" si="1"/>
        <v>0</v>
      </c>
      <c r="Q17" s="58">
        <f t="shared" si="1"/>
        <v>0</v>
      </c>
      <c r="R17" s="58">
        <f t="shared" si="1"/>
        <v>0</v>
      </c>
      <c r="S17" s="58">
        <f t="shared" si="0"/>
        <v>0.66114813065718603</v>
      </c>
      <c r="U17" s="58">
        <v>0</v>
      </c>
    </row>
    <row r="18" spans="3:21" ht="15.5">
      <c r="C18" s="176" t="s">
        <v>65</v>
      </c>
      <c r="D18" s="583">
        <f>SUM(D12:D17)</f>
        <v>8.7949886980995622</v>
      </c>
      <c r="E18" s="583">
        <f t="shared" ref="E18:O18" si="2">SUM(E12:E17)</f>
        <v>59.756</v>
      </c>
      <c r="F18" s="583">
        <f t="shared" si="2"/>
        <v>12.518000000000006</v>
      </c>
      <c r="G18" s="583">
        <f t="shared" si="2"/>
        <v>35.040193592655577</v>
      </c>
      <c r="H18" s="583">
        <f t="shared" si="2"/>
        <v>113.97587222178799</v>
      </c>
      <c r="I18" s="583">
        <f t="shared" si="2"/>
        <v>7.1744464316423002</v>
      </c>
      <c r="J18" s="583">
        <f t="shared" si="2"/>
        <v>13.0310240238876</v>
      </c>
      <c r="K18" s="583">
        <f t="shared" si="2"/>
        <v>1.8241446177872591</v>
      </c>
      <c r="L18" s="583">
        <f t="shared" si="2"/>
        <v>0.8</v>
      </c>
      <c r="M18" s="583">
        <f t="shared" si="2"/>
        <v>0</v>
      </c>
      <c r="N18" s="583">
        <f t="shared" si="2"/>
        <v>2.4999002869050964</v>
      </c>
      <c r="O18" s="583">
        <f t="shared" si="2"/>
        <v>0.26799476331104727</v>
      </c>
      <c r="P18" s="583">
        <v>-5.5084264832330199</v>
      </c>
      <c r="Q18" s="583">
        <v>0</v>
      </c>
      <c r="R18" s="584"/>
      <c r="S18" s="584">
        <f>SUM(S12:S17)</f>
        <v>250.1741381528434</v>
      </c>
      <c r="U18" s="584">
        <v>18.052265163181701</v>
      </c>
    </row>
    <row r="19" spans="3:21">
      <c r="C19" s="426"/>
      <c r="D19" s="585"/>
      <c r="E19" s="585"/>
      <c r="F19" s="585"/>
      <c r="G19" s="585"/>
      <c r="H19" s="585"/>
      <c r="I19" s="585"/>
      <c r="J19" s="585"/>
      <c r="K19" s="585"/>
      <c r="L19" s="585"/>
      <c r="M19" s="585"/>
      <c r="N19" s="585"/>
      <c r="O19" s="585"/>
      <c r="P19" s="585"/>
      <c r="Q19" s="585"/>
      <c r="R19" s="585"/>
      <c r="S19" s="585"/>
      <c r="U19" s="585"/>
    </row>
    <row r="20" spans="3:21" s="51" customFormat="1">
      <c r="C20" s="428" t="s">
        <v>67</v>
      </c>
      <c r="D20" s="58">
        <v>0.25449943513061202</v>
      </c>
      <c r="E20" s="58">
        <v>9.6000000000003596E-2</v>
      </c>
      <c r="F20" s="58">
        <v>1.90700000000001</v>
      </c>
      <c r="G20" s="58">
        <v>9.2719287991815895E-6</v>
      </c>
      <c r="H20" s="58">
        <v>0</v>
      </c>
      <c r="I20" s="58">
        <v>0</v>
      </c>
      <c r="J20" s="58"/>
      <c r="K20" s="58"/>
      <c r="L20" s="58"/>
      <c r="M20" s="58"/>
      <c r="N20" s="58"/>
      <c r="O20" s="58"/>
      <c r="P20" s="58">
        <v>-9.6560619088564101E-2</v>
      </c>
      <c r="Q20" s="58">
        <v>0</v>
      </c>
      <c r="R20" s="58"/>
      <c r="S20" s="58">
        <f>SUM(D20:R20)</f>
        <v>2.1609480879708607</v>
      </c>
      <c r="U20" s="58">
        <v>2.3884589662749601E-5</v>
      </c>
    </row>
    <row r="21" spans="3:21" s="51" customFormat="1">
      <c r="C21" s="428" t="s">
        <v>350</v>
      </c>
      <c r="D21" s="58">
        <v>2.993512517722364</v>
      </c>
      <c r="E21" s="58">
        <v>0</v>
      </c>
      <c r="F21" s="58">
        <v>0.70199999999999996</v>
      </c>
      <c r="G21" s="58">
        <v>3.8342608147611204</v>
      </c>
      <c r="H21" s="58">
        <v>113.97587222178799</v>
      </c>
      <c r="I21" s="58">
        <v>7.1744464316423002</v>
      </c>
      <c r="J21" s="58">
        <f>$U$21*Bilan_E_AME_Met_2023!J21/(SUM(Bilan_E_AME_Met_2023!$J$21:$M$21))</f>
        <v>2.7957439494994754</v>
      </c>
      <c r="K21" s="58">
        <f>$U$21*Bilan_E_AME_Met_2023!K21/(SUM(Bilan_E_AME_Met_2023!$J$21:$M$21))</f>
        <v>0.83303231502302322</v>
      </c>
      <c r="L21" s="58">
        <f>$U$21*Bilan_E_AME_Met_2023!L21/(SUM(Bilan_E_AME_Met_2023!$J$21:$M$21))</f>
        <v>0</v>
      </c>
      <c r="M21" s="58">
        <f>$U$21*Bilan_E_AME_Met_2023!M21/(SUM(Bilan_E_AME_Met_2023!$J$21:$M$21))</f>
        <v>4.8399621595771158E-2</v>
      </c>
      <c r="N21" s="58">
        <f>$U$21*Bilan_E_AME_Met_2023!N21/(SUM(Bilan_E_AME_Met_2023!$J$21:$M$21))</f>
        <v>0</v>
      </c>
      <c r="O21" s="58">
        <f>$U$21*Bilan_E_AME_Met_2023!O21/(SUM(Bilan_E_AME_Met_2023!$J$21:$M$21))</f>
        <v>0</v>
      </c>
      <c r="P21" s="58">
        <v>-48.612725709372263</v>
      </c>
      <c r="Q21" s="58">
        <v>-1.9220112484952701</v>
      </c>
      <c r="R21" s="58">
        <v>0</v>
      </c>
      <c r="S21" s="58">
        <f t="shared" ref="S21:S31" si="3">SUM(D21:R21)</f>
        <v>81.822530914164503</v>
      </c>
      <c r="U21" s="58">
        <v>3.67717588611827</v>
      </c>
    </row>
    <row r="22" spans="3:21" s="51" customFormat="1">
      <c r="C22" s="428" t="s">
        <v>351</v>
      </c>
      <c r="D22" s="58">
        <v>0.18260499999999999</v>
      </c>
      <c r="E22" s="58">
        <v>0</v>
      </c>
      <c r="F22" s="58">
        <v>7.0000000000000007E-2</v>
      </c>
      <c r="G22" s="58">
        <v>0.65908241891659503</v>
      </c>
      <c r="H22" s="58">
        <v>0</v>
      </c>
      <c r="I22" s="58">
        <v>0</v>
      </c>
      <c r="J22" s="58">
        <f>$U$22*Bilan_E_AME_Met_2023!J22/SUM(Bilan_E_AME_Met_2023!$J$22:$O$22)</f>
        <v>0.37233004846401435</v>
      </c>
      <c r="K22" s="58">
        <f>$U$22*Bilan_E_AME_Met_2023!K22/SUM(Bilan_E_AME_Met_2023!$J$22:$O$22)+0.3</f>
        <v>0.63558499198544371</v>
      </c>
      <c r="L22" s="58">
        <f>$U$22*Bilan_E_AME_Met_2023!L22/SUM(Bilan_E_AME_Met_2023!$J$22:$O$22)</f>
        <v>0</v>
      </c>
      <c r="M22" s="58">
        <v>-0.3</v>
      </c>
      <c r="N22" s="58">
        <v>-0.4</v>
      </c>
      <c r="O22" s="58">
        <f>$U$22*Bilan_E_AME_Met_2023!O22/SUM(Bilan_E_AME_Met_2023!$J$22:$O$22)</f>
        <v>6.1717047775784024E-2</v>
      </c>
      <c r="P22" s="58">
        <v>0</v>
      </c>
      <c r="Q22" s="58">
        <v>-1.90296</v>
      </c>
      <c r="R22" s="58"/>
      <c r="S22" s="58">
        <f t="shared" si="3"/>
        <v>-0.62164049285816314</v>
      </c>
      <c r="U22" s="58">
        <v>0.77558039552880498</v>
      </c>
    </row>
    <row r="23" spans="3:21" s="51" customFormat="1">
      <c r="C23" s="428" t="s">
        <v>352</v>
      </c>
      <c r="D23" s="58">
        <v>0</v>
      </c>
      <c r="E23" s="58">
        <v>0</v>
      </c>
      <c r="F23" s="58">
        <v>0</v>
      </c>
      <c r="G23" s="58">
        <v>-6.3456577815993098E-3</v>
      </c>
      <c r="H23" s="58">
        <v>0</v>
      </c>
      <c r="I23" s="58">
        <v>0</v>
      </c>
      <c r="J23" s="58"/>
      <c r="K23" s="58"/>
      <c r="L23" s="58"/>
      <c r="M23" s="58"/>
      <c r="N23" s="58"/>
      <c r="O23" s="58"/>
      <c r="P23" s="58">
        <v>0</v>
      </c>
      <c r="Q23" s="58">
        <v>0</v>
      </c>
      <c r="R23" s="58"/>
      <c r="S23" s="58">
        <f t="shared" si="3"/>
        <v>-6.3456577815993098E-3</v>
      </c>
      <c r="U23" s="58">
        <v>6.3533008502913903E-3</v>
      </c>
    </row>
    <row r="24" spans="3:21" s="51" customFormat="1">
      <c r="C24" s="428" t="s">
        <v>353</v>
      </c>
      <c r="D24" s="58">
        <v>0</v>
      </c>
      <c r="E24" s="58"/>
      <c r="F24" s="58"/>
      <c r="G24" s="58"/>
      <c r="H24" s="58"/>
      <c r="I24" s="58"/>
      <c r="J24" s="58"/>
      <c r="K24" s="58"/>
      <c r="L24" s="58"/>
      <c r="M24" s="58"/>
      <c r="N24" s="58"/>
      <c r="O24" s="58"/>
      <c r="P24" s="58"/>
      <c r="Q24" s="58"/>
      <c r="R24" s="58"/>
      <c r="S24" s="58">
        <f t="shared" si="3"/>
        <v>0</v>
      </c>
      <c r="U24" s="58"/>
    </row>
    <row r="25" spans="3:21" s="51" customFormat="1">
      <c r="C25" s="428" t="s">
        <v>72</v>
      </c>
      <c r="D25" s="58">
        <v>0</v>
      </c>
      <c r="E25" s="58">
        <v>61.207000000000001</v>
      </c>
      <c r="F25" s="58">
        <v>-60.67</v>
      </c>
      <c r="G25" s="58">
        <v>0</v>
      </c>
      <c r="H25" s="58">
        <v>0</v>
      </c>
      <c r="I25" s="58">
        <v>0</v>
      </c>
      <c r="J25" s="58"/>
      <c r="K25" s="58"/>
      <c r="L25" s="58"/>
      <c r="M25" s="58"/>
      <c r="N25" s="58"/>
      <c r="O25" s="58"/>
      <c r="P25" s="58">
        <v>0</v>
      </c>
      <c r="Q25" s="58">
        <v>0</v>
      </c>
      <c r="R25" s="58"/>
      <c r="S25" s="58">
        <f t="shared" si="3"/>
        <v>0.53699999999999903</v>
      </c>
      <c r="U25" s="58">
        <v>0</v>
      </c>
    </row>
    <row r="26" spans="3:21" s="51" customFormat="1">
      <c r="C26" s="428" t="s">
        <v>354</v>
      </c>
      <c r="D26" s="58">
        <v>0</v>
      </c>
      <c r="E26" s="58"/>
      <c r="F26" s="58"/>
      <c r="G26" s="58"/>
      <c r="H26" s="58"/>
      <c r="I26" s="58"/>
      <c r="J26" s="58">
        <f>-L26</f>
        <v>2.3058667265534059</v>
      </c>
      <c r="K26" s="58"/>
      <c r="L26" s="58">
        <f>-SUM(L34:L39)+L13</f>
        <v>-2.3058667265534059</v>
      </c>
      <c r="M26" s="58"/>
      <c r="N26" s="58"/>
      <c r="O26" s="58"/>
      <c r="P26" s="58"/>
      <c r="Q26" s="58"/>
      <c r="R26" s="58"/>
      <c r="S26" s="58">
        <f t="shared" si="3"/>
        <v>0</v>
      </c>
      <c r="U26" s="58"/>
    </row>
    <row r="27" spans="3:21" s="51" customFormat="1">
      <c r="C27" s="428" t="s">
        <v>355</v>
      </c>
      <c r="D27" s="58">
        <v>0</v>
      </c>
      <c r="E27" s="58"/>
      <c r="F27" s="58"/>
      <c r="G27" s="58"/>
      <c r="H27" s="58"/>
      <c r="I27" s="58"/>
      <c r="J27" s="58"/>
      <c r="K27" s="58"/>
      <c r="L27" s="58"/>
      <c r="M27" s="58"/>
      <c r="N27" s="58"/>
      <c r="O27" s="58"/>
      <c r="P27" s="58"/>
      <c r="Q27" s="58"/>
      <c r="R27" s="58"/>
      <c r="S27" s="58">
        <f t="shared" si="3"/>
        <v>0</v>
      </c>
      <c r="U27" s="58"/>
    </row>
    <row r="28" spans="3:21" s="51" customFormat="1">
      <c r="C28" s="428" t="s">
        <v>73</v>
      </c>
      <c r="D28" s="58">
        <v>0</v>
      </c>
      <c r="E28" s="58"/>
      <c r="F28" s="58"/>
      <c r="G28" s="58"/>
      <c r="H28" s="58"/>
      <c r="I28" s="58"/>
      <c r="J28" s="58"/>
      <c r="K28" s="58"/>
      <c r="L28" s="58"/>
      <c r="M28" s="58"/>
      <c r="N28" s="58"/>
      <c r="O28" s="586"/>
      <c r="P28" s="58"/>
      <c r="Q28" s="58"/>
      <c r="R28" s="58"/>
      <c r="S28" s="58">
        <f t="shared" si="3"/>
        <v>0</v>
      </c>
      <c r="U28" s="58"/>
    </row>
    <row r="29" spans="3:21">
      <c r="C29" s="428" t="s">
        <v>356</v>
      </c>
      <c r="D29" s="588">
        <v>2.9093146706792798</v>
      </c>
      <c r="E29" s="588">
        <v>-1.5469999999999999</v>
      </c>
      <c r="F29" s="588">
        <v>1.458</v>
      </c>
      <c r="G29" s="588">
        <v>0</v>
      </c>
      <c r="H29" s="588">
        <v>0</v>
      </c>
      <c r="I29" s="588">
        <v>0</v>
      </c>
      <c r="J29" s="588">
        <v>0</v>
      </c>
      <c r="K29" s="588">
        <v>0</v>
      </c>
      <c r="L29" s="588">
        <v>0</v>
      </c>
      <c r="M29" s="588">
        <v>0</v>
      </c>
      <c r="N29" s="588">
        <v>0</v>
      </c>
      <c r="O29" s="588"/>
      <c r="P29" s="588">
        <v>0</v>
      </c>
      <c r="Q29" s="588">
        <v>0</v>
      </c>
      <c r="R29" s="588">
        <v>0</v>
      </c>
      <c r="S29" s="58">
        <f t="shared" si="3"/>
        <v>2.8203146706792799</v>
      </c>
      <c r="U29" s="588">
        <v>0</v>
      </c>
    </row>
    <row r="30" spans="3:21" s="51" customFormat="1">
      <c r="C30" s="428" t="s">
        <v>75</v>
      </c>
      <c r="D30" s="58">
        <v>1.0374988057705199</v>
      </c>
      <c r="E30" s="58">
        <v>0</v>
      </c>
      <c r="F30" s="58">
        <v>1.7969999999999999</v>
      </c>
      <c r="G30" s="58">
        <v>1.2420767288043999</v>
      </c>
      <c r="H30" s="58">
        <v>0</v>
      </c>
      <c r="I30" s="58">
        <v>0</v>
      </c>
      <c r="J30" s="58">
        <f>U30</f>
        <v>5.1017483519633103E-2</v>
      </c>
      <c r="K30" s="58"/>
      <c r="L30" s="58"/>
      <c r="M30" s="58"/>
      <c r="N30" s="58"/>
      <c r="O30" s="58"/>
      <c r="P30" s="58">
        <v>2.7822871883060998</v>
      </c>
      <c r="Q30" s="58">
        <v>5.6328571847727903E-2</v>
      </c>
      <c r="R30" s="58"/>
      <c r="S30" s="58">
        <f t="shared" si="3"/>
        <v>6.9662087782483804</v>
      </c>
      <c r="U30" s="58">
        <v>5.1017483519633103E-2</v>
      </c>
    </row>
    <row r="31" spans="3:21" s="51" customFormat="1">
      <c r="C31" s="428" t="s">
        <v>76</v>
      </c>
      <c r="D31" s="58">
        <v>0</v>
      </c>
      <c r="E31" s="58">
        <v>0</v>
      </c>
      <c r="F31" s="58">
        <v>0</v>
      </c>
      <c r="G31" s="58">
        <v>0.46122098022356001</v>
      </c>
      <c r="H31" s="58">
        <v>0</v>
      </c>
      <c r="I31" s="58">
        <v>0</v>
      </c>
      <c r="J31" s="58"/>
      <c r="K31" s="58"/>
      <c r="L31" s="58"/>
      <c r="M31" s="58"/>
      <c r="N31" s="58"/>
      <c r="O31" s="58"/>
      <c r="P31" s="58">
        <v>3.04359415305245</v>
      </c>
      <c r="Q31" s="58">
        <v>0.80882690971625104</v>
      </c>
      <c r="R31" s="58"/>
      <c r="S31" s="58">
        <f t="shared" si="3"/>
        <v>4.3136420429922611</v>
      </c>
      <c r="U31" s="58">
        <v>0</v>
      </c>
    </row>
    <row r="32" spans="3:21" s="51" customFormat="1" ht="15.5">
      <c r="C32" s="176" t="s">
        <v>77</v>
      </c>
      <c r="D32" s="584">
        <f>SUM(D20:D31)</f>
        <v>7.3774304293027759</v>
      </c>
      <c r="E32" s="584">
        <f t="shared" ref="E32:R32" si="4">SUM(E20:E31)</f>
        <v>59.756000000000007</v>
      </c>
      <c r="F32" s="584">
        <f t="shared" si="4"/>
        <v>-54.735999999999997</v>
      </c>
      <c r="G32" s="584">
        <f t="shared" si="4"/>
        <v>6.1903045568528752</v>
      </c>
      <c r="H32" s="584">
        <f t="shared" si="4"/>
        <v>113.97587222178799</v>
      </c>
      <c r="I32" s="584">
        <f t="shared" si="4"/>
        <v>7.1744464316423002</v>
      </c>
      <c r="J32" s="584">
        <f t="shared" si="4"/>
        <v>5.5249582080365283</v>
      </c>
      <c r="K32" s="584">
        <f t="shared" si="4"/>
        <v>1.4686173070084669</v>
      </c>
      <c r="L32" s="584">
        <f t="shared" si="4"/>
        <v>-2.3058667265534059</v>
      </c>
      <c r="M32" s="584">
        <f t="shared" si="4"/>
        <v>-0.25160037840422883</v>
      </c>
      <c r="N32" s="584">
        <f t="shared" si="4"/>
        <v>-0.4</v>
      </c>
      <c r="O32" s="584">
        <f t="shared" si="4"/>
        <v>6.1717047775784024E-2</v>
      </c>
      <c r="P32" s="584">
        <f t="shared" si="4"/>
        <v>-42.883404987102274</v>
      </c>
      <c r="Q32" s="584">
        <f t="shared" si="4"/>
        <v>-2.9598157669312912</v>
      </c>
      <c r="R32" s="584">
        <f t="shared" si="4"/>
        <v>0</v>
      </c>
      <c r="S32" s="584">
        <f>SUM(S20:S31)</f>
        <v>97.992658343415528</v>
      </c>
      <c r="U32" s="584">
        <v>4.5101509506066702</v>
      </c>
    </row>
    <row r="33" spans="3:21" s="51" customFormat="1" ht="15.5">
      <c r="C33" s="57"/>
      <c r="D33" s="585">
        <f t="shared" ref="D33:E33" si="5">D18-D32-D42</f>
        <v>-1.8806439235875327E-2</v>
      </c>
      <c r="E33" s="585">
        <f t="shared" si="5"/>
        <v>-7.1054273576010019E-15</v>
      </c>
      <c r="F33" s="585">
        <f>F18-F32-F42</f>
        <v>-0.42437051617260124</v>
      </c>
      <c r="G33" s="585">
        <f t="shared" ref="G33:S33" si="6">G18-G32-G42</f>
        <v>-1.6434573995402637</v>
      </c>
      <c r="H33" s="585">
        <f t="shared" si="6"/>
        <v>0</v>
      </c>
      <c r="I33" s="585">
        <f t="shared" si="6"/>
        <v>0</v>
      </c>
      <c r="J33" s="585">
        <f t="shared" si="6"/>
        <v>-2.1224153851755467E-2</v>
      </c>
      <c r="K33" s="585">
        <f t="shared" si="6"/>
        <v>0.12132172490565879</v>
      </c>
      <c r="L33" s="585">
        <f t="shared" si="6"/>
        <v>0</v>
      </c>
      <c r="M33" s="585">
        <f t="shared" si="6"/>
        <v>-4.591874620849079E-2</v>
      </c>
      <c r="N33" s="585">
        <f t="shared" si="6"/>
        <v>-2.5386724455568555E-2</v>
      </c>
      <c r="O33" s="585">
        <f t="shared" si="6"/>
        <v>8.8201450576719437E-2</v>
      </c>
      <c r="P33" s="585">
        <f t="shared" si="6"/>
        <v>-0.70746299815124303</v>
      </c>
      <c r="Q33" s="585">
        <f t="shared" si="6"/>
        <v>-0.11077046581449856</v>
      </c>
      <c r="R33" s="585">
        <f t="shared" si="6"/>
        <v>0</v>
      </c>
      <c r="S33" s="585">
        <f t="shared" si="6"/>
        <v>-2.7879470394736927</v>
      </c>
      <c r="U33" s="585"/>
    </row>
    <row r="34" spans="3:21" s="51" customFormat="1" ht="15.5">
      <c r="C34" s="178" t="s">
        <v>78</v>
      </c>
      <c r="D34" s="58">
        <v>1.0493092649428299</v>
      </c>
      <c r="E34" s="58">
        <v>0</v>
      </c>
      <c r="F34" s="58">
        <v>2.3566094604778201</v>
      </c>
      <c r="G34" s="58">
        <v>10.2038364932448</v>
      </c>
      <c r="H34" s="58">
        <v>0</v>
      </c>
      <c r="I34" s="58">
        <v>0</v>
      </c>
      <c r="J34" s="58">
        <f>$U$34*Bilan_E_AME_Met_2023!J34/SUM(Bilan_E_AME_Met_2023!$J$34:$O$34)</f>
        <v>0.99652219098612382</v>
      </c>
      <c r="K34" s="58">
        <f>$U$34*Bilan_E_AME_Met_2023!K34/SUM(Bilan_E_AME_Met_2023!$J$34:$O$34)</f>
        <v>0.23420558587313339</v>
      </c>
      <c r="L34" s="58">
        <f>$U$34*Bilan_E_AME_Met_2023!L34/SUM(Bilan_E_AME_Met_2023!$J$34:$O$34)</f>
        <v>5.2409905400054732E-2</v>
      </c>
      <c r="M34" s="58">
        <f>$U$34*Bilan_E_AME_Met_2023!M34/SUM(Bilan_E_AME_Met_2023!$J$34:$O$34)</f>
        <v>8.2415962529068104E-2</v>
      </c>
      <c r="N34" s="58">
        <f>$U$34*Bilan_E_AME_Met_2023!N34/SUM(Bilan_E_AME_Met_2023!$J$34:$O$34)</f>
        <v>0</v>
      </c>
      <c r="O34" s="58">
        <f>$U$34*Bilan_E_AME_Met_2023!O34/SUM(Bilan_E_AME_Met_2023!$J$34:$O$34)</f>
        <v>0</v>
      </c>
      <c r="P34" s="58">
        <v>10.069552160228</v>
      </c>
      <c r="Q34" s="58">
        <v>1.1415347236508699</v>
      </c>
      <c r="R34" s="58"/>
      <c r="S34" s="58">
        <f>SUM(D34:R34)</f>
        <v>26.1863957473327</v>
      </c>
      <c r="U34" s="58">
        <v>1.36555364478838</v>
      </c>
    </row>
    <row r="35" spans="3:21" s="51" customFormat="1" ht="15.5">
      <c r="C35" s="178" t="s">
        <v>79</v>
      </c>
      <c r="D35" s="58">
        <v>0</v>
      </c>
      <c r="E35" s="58">
        <v>0</v>
      </c>
      <c r="F35" s="58">
        <v>39.807000000000002</v>
      </c>
      <c r="G35" s="58">
        <v>6.6215426095074303E-2</v>
      </c>
      <c r="H35" s="58">
        <v>0</v>
      </c>
      <c r="I35" s="58">
        <v>0</v>
      </c>
      <c r="J35" s="58">
        <f>$U$35*Bilan_E_AME_Met_2023!J35/SUM(Bilan_E_AME_Met_2023!$J$35:$O$35)</f>
        <v>0</v>
      </c>
      <c r="K35" s="58">
        <f>$U$35*Bilan_E_AME_Met_2023!K35/SUM(Bilan_E_AME_Met_2023!$J$35:$O$35)</f>
        <v>0</v>
      </c>
      <c r="L35" s="58">
        <f>$U$35*Bilan_E_AME_Met_2023!L35/SUM(Bilan_E_AME_Met_2023!$J$35:$O$35)</f>
        <v>2.9416417890777748</v>
      </c>
      <c r="M35" s="58">
        <f>$U$35*Bilan_E_AME_Met_2023!M35/SUM(Bilan_E_AME_Met_2023!$J$35:$O$35)</f>
        <v>6.5136327240754828E-3</v>
      </c>
      <c r="N35" s="58">
        <f>$U$35*Bilan_E_AME_Met_2023!N35/SUM(Bilan_E_AME_Met_2023!$J$35:$O$35)</f>
        <v>0</v>
      </c>
      <c r="O35" s="58">
        <f>$U$35*Bilan_E_AME_Met_2023!O35/SUM(Bilan_E_AME_Met_2023!$J$35:$O$35)</f>
        <v>0</v>
      </c>
      <c r="P35" s="58">
        <v>0.94471195184866696</v>
      </c>
      <c r="Q35" s="58">
        <v>0</v>
      </c>
      <c r="R35" s="58"/>
      <c r="S35" s="58">
        <f t="shared" ref="S35:S39" si="7">SUM(D35:R35)</f>
        <v>43.766082799745597</v>
      </c>
      <c r="U35" s="58">
        <v>2.9481554218018502</v>
      </c>
    </row>
    <row r="36" spans="3:21" s="51" customFormat="1">
      <c r="C36" s="175" t="s">
        <v>80</v>
      </c>
      <c r="D36" s="58">
        <v>3.6764196608413298E-2</v>
      </c>
      <c r="E36" s="58">
        <v>0</v>
      </c>
      <c r="F36" s="58">
        <v>6.6752954110546101</v>
      </c>
      <c r="G36" s="58">
        <v>11.7825435723501</v>
      </c>
      <c r="H36" s="58">
        <v>0</v>
      </c>
      <c r="I36" s="58">
        <v>0</v>
      </c>
      <c r="J36" s="58">
        <f>$U$36*Bilan_E_AME_Met_2023!J36/SUM(Bilan_E_AME_Met_2023!$J$36:$O$36)</f>
        <v>6.1682880084838283</v>
      </c>
      <c r="K36" s="58">
        <f>$U$36*Bilan_E_AME_Met_2023!K36/SUM(Bilan_E_AME_Met_2023!$J$36:$O$36)</f>
        <v>0</v>
      </c>
      <c r="L36" s="58">
        <f>$U$36*Bilan_E_AME_Met_2023!L36/SUM(Bilan_E_AME_Met_2023!$J$36:$O$36)</f>
        <v>0</v>
      </c>
      <c r="M36" s="58">
        <f>$U$36*Bilan_E_AME_Met_2023!M36/SUM(Bilan_E_AME_Met_2023!$J$36:$O$36)</f>
        <v>0.13641935508624767</v>
      </c>
      <c r="N36" s="58">
        <f>$U$36*Bilan_E_AME_Met_2023!N36/SUM(Bilan_E_AME_Met_2023!$J$36:$O$36)</f>
        <v>2.5020548325390175</v>
      </c>
      <c r="O36" s="58">
        <f>$U$36*Bilan_E_AME_Met_2023!O36/SUM(Bilan_E_AME_Met_2023!$J$36:$O$36)</f>
        <v>3.1713574862667765E-2</v>
      </c>
      <c r="P36" s="58">
        <v>13.6203670581426</v>
      </c>
      <c r="Q36" s="58">
        <v>1.21184436300186</v>
      </c>
      <c r="R36" s="58"/>
      <c r="S36" s="58">
        <f t="shared" si="7"/>
        <v>42.165290372129341</v>
      </c>
      <c r="U36" s="58">
        <v>8.8384757709717601</v>
      </c>
    </row>
    <row r="37" spans="3:21" s="51" customFormat="1">
      <c r="C37" s="175" t="s">
        <v>81</v>
      </c>
      <c r="D37" s="58">
        <v>4.3073392295861899E-2</v>
      </c>
      <c r="E37" s="58">
        <v>0</v>
      </c>
      <c r="F37" s="58">
        <v>3.01546564464017</v>
      </c>
      <c r="G37" s="58">
        <v>7.13877632922933</v>
      </c>
      <c r="H37" s="58">
        <v>0</v>
      </c>
      <c r="I37" s="58">
        <v>0</v>
      </c>
      <c r="J37" s="58">
        <f>$U$37*Bilan_E_AME_Met_2023!J37/SUM(Bilan_E_AME_Met_2023!$J$37:$O$37)</f>
        <v>0.32710227495852834</v>
      </c>
      <c r="K37" s="58">
        <f>$U$37*Bilan_E_AME_Met_2023!K37/SUM(Bilan_E_AME_Met_2023!$J$37:$O$37)</f>
        <v>0</v>
      </c>
      <c r="L37" s="58">
        <f>$U$37*Bilan_E_AME_Met_2023!L37/SUM(Bilan_E_AME_Met_2023!$J$37:$O$37)</f>
        <v>0</v>
      </c>
      <c r="M37" s="58">
        <f>$U$37*Bilan_E_AME_Met_2023!M37/SUM(Bilan_E_AME_Met_2023!$J$37:$O$37)</f>
        <v>6.8824976717893796E-2</v>
      </c>
      <c r="N37" s="58">
        <f>$U$37*Bilan_E_AME_Met_2023!N37/SUM(Bilan_E_AME_Met_2023!$J$37:$O$37)</f>
        <v>0.42323217882164721</v>
      </c>
      <c r="O37" s="58">
        <f>$U$37*Bilan_E_AME_Met_2023!O37/SUM(Bilan_E_AME_Met_2023!$J$37:$O$37)</f>
        <v>7.7423009823055625E-2</v>
      </c>
      <c r="P37" s="58">
        <v>12.701365476499801</v>
      </c>
      <c r="Q37" s="58">
        <v>0.710753475039681</v>
      </c>
      <c r="R37" s="58"/>
      <c r="S37" s="58">
        <f t="shared" si="7"/>
        <v>24.506016758025972</v>
      </c>
      <c r="U37" s="58">
        <v>0.896582440321125</v>
      </c>
    </row>
    <row r="38" spans="3:21" s="51" customFormat="1">
      <c r="C38" s="175" t="s">
        <v>82</v>
      </c>
      <c r="D38" s="58">
        <v>2.2137192704974398E-3</v>
      </c>
      <c r="E38" s="58">
        <v>0</v>
      </c>
      <c r="F38" s="58">
        <v>3.371</v>
      </c>
      <c r="G38" s="58">
        <v>0.20038837309893301</v>
      </c>
      <c r="H38" s="58">
        <v>0</v>
      </c>
      <c r="I38" s="58">
        <v>0</v>
      </c>
      <c r="J38" s="58">
        <f>$U$38*Bilan_E_AME_Met_2023!J38/SUM(Bilan_E_AME_Met_2023!$J$38:$O$38)</f>
        <v>3.5377495274347415E-2</v>
      </c>
      <c r="K38" s="58">
        <f>$U$38*Bilan_E_AME_Met_2023!K38/SUM(Bilan_E_AME_Met_2023!$J$38:$O$38)</f>
        <v>0</v>
      </c>
      <c r="L38" s="58">
        <f>$U$38*Bilan_E_AME_Met_2023!L38/SUM(Bilan_E_AME_Met_2023!$J$38:$O$38)</f>
        <v>0.11181503207557658</v>
      </c>
      <c r="M38" s="58">
        <f>$U$38*Bilan_E_AME_Met_2023!M38/SUM(Bilan_E_AME_Met_2023!$J$38:$O$38)</f>
        <v>3.3451975554345567E-3</v>
      </c>
      <c r="N38" s="58">
        <f>$U$38*Bilan_E_AME_Met_2023!N38/SUM(Bilan_E_AME_Met_2023!$J$38:$O$38)</f>
        <v>0</v>
      </c>
      <c r="O38" s="58">
        <f>$U$38*Bilan_E_AME_Met_2023!O38/SUM(Bilan_E_AME_Met_2023!$J$38:$O$38)</f>
        <v>8.9396802728204314E-3</v>
      </c>
      <c r="P38" s="58">
        <v>0.74651762682717104</v>
      </c>
      <c r="Q38" s="58">
        <v>6.4536710533781398E-3</v>
      </c>
      <c r="R38" s="58"/>
      <c r="S38" s="58">
        <f t="shared" si="7"/>
        <v>4.4860507954281585</v>
      </c>
      <c r="U38" s="58">
        <v>0.15947740517817899</v>
      </c>
    </row>
    <row r="39" spans="3:21" s="51" customFormat="1">
      <c r="C39" s="428" t="s">
        <v>357</v>
      </c>
      <c r="D39" s="58">
        <v>0</v>
      </c>
      <c r="E39" s="58">
        <v>0</v>
      </c>
      <c r="F39" s="58">
        <v>0</v>
      </c>
      <c r="G39" s="58">
        <v>0</v>
      </c>
      <c r="H39" s="58">
        <v>0</v>
      </c>
      <c r="I39" s="58">
        <v>0</v>
      </c>
      <c r="J39" s="58">
        <v>0</v>
      </c>
      <c r="K39" s="58">
        <f>J39</f>
        <v>0</v>
      </c>
      <c r="L39" s="58">
        <f t="shared" ref="L39:R39" si="8">K39</f>
        <v>0</v>
      </c>
      <c r="M39" s="58">
        <f t="shared" si="8"/>
        <v>0</v>
      </c>
      <c r="N39" s="58">
        <f t="shared" si="8"/>
        <v>0</v>
      </c>
      <c r="O39" s="58">
        <f t="shared" si="8"/>
        <v>0</v>
      </c>
      <c r="P39" s="58">
        <f t="shared" si="8"/>
        <v>0</v>
      </c>
      <c r="Q39" s="58">
        <f t="shared" si="8"/>
        <v>0</v>
      </c>
      <c r="R39" s="58">
        <f t="shared" si="8"/>
        <v>0</v>
      </c>
      <c r="S39" s="58">
        <f t="shared" si="7"/>
        <v>0</v>
      </c>
      <c r="U39" s="58">
        <v>0</v>
      </c>
    </row>
    <row r="40" spans="3:21" s="51" customFormat="1" ht="15.5">
      <c r="C40" s="176" t="s">
        <v>83</v>
      </c>
      <c r="D40" s="584">
        <f>SUM(D34:D39)</f>
        <v>1.1313605731176026</v>
      </c>
      <c r="E40" s="584">
        <f t="shared" ref="E40:R40" si="9">SUM(E34:E39)</f>
        <v>0</v>
      </c>
      <c r="F40" s="584">
        <f t="shared" si="9"/>
        <v>55.22537051617261</v>
      </c>
      <c r="G40" s="584">
        <f t="shared" si="9"/>
        <v>29.391760194018236</v>
      </c>
      <c r="H40" s="584">
        <f t="shared" si="9"/>
        <v>0</v>
      </c>
      <c r="I40" s="584">
        <f t="shared" si="9"/>
        <v>0</v>
      </c>
      <c r="J40" s="584">
        <f>SUM(J34:J39)</f>
        <v>7.527289969702827</v>
      </c>
      <c r="K40" s="584">
        <f t="shared" si="9"/>
        <v>0.23420558587313339</v>
      </c>
      <c r="L40" s="584">
        <f t="shared" si="9"/>
        <v>3.1058667265534061</v>
      </c>
      <c r="M40" s="584">
        <f t="shared" si="9"/>
        <v>0.29751912461271962</v>
      </c>
      <c r="N40" s="584">
        <f t="shared" si="9"/>
        <v>2.9252870113606648</v>
      </c>
      <c r="O40" s="584">
        <f t="shared" si="9"/>
        <v>0.11807626495854381</v>
      </c>
      <c r="P40" s="584">
        <f t="shared" si="9"/>
        <v>38.082514273546238</v>
      </c>
      <c r="Q40" s="584">
        <f t="shared" si="9"/>
        <v>3.0705862327457889</v>
      </c>
      <c r="R40" s="584">
        <f t="shared" si="9"/>
        <v>0</v>
      </c>
      <c r="S40" s="584">
        <f>SUM(S34:S39)</f>
        <v>141.10983647266175</v>
      </c>
      <c r="U40" s="584">
        <v>14.208244683061301</v>
      </c>
    </row>
    <row r="41" spans="3:21" s="51" customFormat="1">
      <c r="C41" s="175" t="s">
        <v>84</v>
      </c>
      <c r="D41" s="587">
        <v>0.30500413491505901</v>
      </c>
      <c r="E41" s="587">
        <v>0</v>
      </c>
      <c r="F41" s="587">
        <v>12.452999999999999</v>
      </c>
      <c r="G41" s="587">
        <v>1.1015862413247299</v>
      </c>
      <c r="H41" s="587">
        <v>0</v>
      </c>
      <c r="I41" s="587">
        <v>0</v>
      </c>
      <c r="J41" s="587">
        <f>I41</f>
        <v>0</v>
      </c>
      <c r="K41" s="587">
        <f t="shared" ref="K41:R41" si="10">J41</f>
        <v>0</v>
      </c>
      <c r="L41" s="587">
        <f t="shared" si="10"/>
        <v>0</v>
      </c>
      <c r="M41" s="587">
        <f t="shared" si="10"/>
        <v>0</v>
      </c>
      <c r="N41" s="587">
        <f t="shared" si="10"/>
        <v>0</v>
      </c>
      <c r="O41" s="587">
        <f t="shared" si="10"/>
        <v>0</v>
      </c>
      <c r="P41" s="587">
        <f t="shared" si="10"/>
        <v>0</v>
      </c>
      <c r="Q41" s="587">
        <f t="shared" si="10"/>
        <v>0</v>
      </c>
      <c r="R41" s="587">
        <f t="shared" si="10"/>
        <v>0</v>
      </c>
      <c r="S41" s="587">
        <v>13.859590376239799</v>
      </c>
      <c r="U41" s="587">
        <v>0</v>
      </c>
    </row>
    <row r="42" spans="3:21" s="51" customFormat="1" ht="15.5">
      <c r="C42" s="176" t="s">
        <v>85</v>
      </c>
      <c r="D42" s="584">
        <f>SUM(D40:D41)</f>
        <v>1.4363647080326616</v>
      </c>
      <c r="E42" s="584">
        <f t="shared" ref="E42:O42" si="11">SUM(E40:E41)</f>
        <v>0</v>
      </c>
      <c r="F42" s="584">
        <f t="shared" si="11"/>
        <v>67.678370516172606</v>
      </c>
      <c r="G42" s="584">
        <f t="shared" si="11"/>
        <v>30.493346435342964</v>
      </c>
      <c r="H42" s="584">
        <f t="shared" si="11"/>
        <v>0</v>
      </c>
      <c r="I42" s="584">
        <f t="shared" si="11"/>
        <v>0</v>
      </c>
      <c r="J42" s="584">
        <f t="shared" si="11"/>
        <v>7.527289969702827</v>
      </c>
      <c r="K42" s="584">
        <f t="shared" si="11"/>
        <v>0.23420558587313339</v>
      </c>
      <c r="L42" s="584">
        <f t="shared" si="11"/>
        <v>3.1058667265534061</v>
      </c>
      <c r="M42" s="584">
        <f t="shared" si="11"/>
        <v>0.29751912461271962</v>
      </c>
      <c r="N42" s="584">
        <f t="shared" si="11"/>
        <v>2.9252870113606648</v>
      </c>
      <c r="O42" s="584">
        <f t="shared" si="11"/>
        <v>0.11807626495854381</v>
      </c>
      <c r="P42" s="584">
        <v>38.082441502020501</v>
      </c>
      <c r="Q42" s="584">
        <v>3.0705862327457898</v>
      </c>
      <c r="R42" s="584"/>
      <c r="S42" s="584">
        <f>S40+S41</f>
        <v>154.96942684890155</v>
      </c>
      <c r="U42" s="584">
        <v>14.208244683061301</v>
      </c>
    </row>
    <row r="45" spans="3:21" s="51" customFormat="1">
      <c r="C45" s="175" t="s">
        <v>66</v>
      </c>
      <c r="D45" s="58">
        <v>0</v>
      </c>
      <c r="E45" s="58">
        <v>-0.32500000000000001</v>
      </c>
      <c r="F45" s="58">
        <v>0.25</v>
      </c>
      <c r="G45" s="58">
        <v>0</v>
      </c>
      <c r="H45" s="58">
        <v>0</v>
      </c>
      <c r="I45" s="58">
        <v>0</v>
      </c>
      <c r="J45" s="58"/>
      <c r="K45" s="58"/>
      <c r="L45" s="58"/>
      <c r="M45" s="58"/>
      <c r="N45" s="58"/>
      <c r="O45" s="58"/>
      <c r="P45" s="58">
        <v>0</v>
      </c>
      <c r="Q45" s="58">
        <v>0</v>
      </c>
      <c r="R45" s="58"/>
      <c r="S45" s="58">
        <v>-7.5000000000000011E-2</v>
      </c>
      <c r="U45" s="58">
        <v>0</v>
      </c>
    </row>
    <row r="46" spans="3:21" s="51" customFormat="1">
      <c r="C46" s="175" t="s">
        <v>475</v>
      </c>
      <c r="D46" s="58">
        <v>2.9093146706792798</v>
      </c>
      <c r="E46" s="58">
        <v>-1.222</v>
      </c>
      <c r="F46" s="58">
        <v>1.208</v>
      </c>
      <c r="G46" s="58">
        <v>0</v>
      </c>
      <c r="H46" s="58">
        <v>0</v>
      </c>
      <c r="I46" s="58">
        <v>0</v>
      </c>
      <c r="J46" s="58"/>
      <c r="K46" s="58"/>
      <c r="L46" s="58"/>
      <c r="M46" s="58"/>
      <c r="N46" s="58"/>
      <c r="O46" s="58"/>
      <c r="P46" s="58">
        <v>0</v>
      </c>
      <c r="Q46" s="58">
        <v>0</v>
      </c>
      <c r="R46" s="58"/>
      <c r="S46" s="58">
        <v>2.8953146706792801</v>
      </c>
      <c r="U46" s="58">
        <v>0</v>
      </c>
    </row>
    <row r="47" spans="3:21" s="51" customFormat="1">
      <c r="C47" s="175" t="s">
        <v>69</v>
      </c>
      <c r="D47" s="58">
        <v>0.17574077042132399</v>
      </c>
      <c r="E47" s="58">
        <v>0</v>
      </c>
      <c r="F47" s="58">
        <v>0.24</v>
      </c>
      <c r="G47" s="58">
        <v>2.0854259827438901</v>
      </c>
      <c r="H47" s="58">
        <v>0</v>
      </c>
      <c r="I47" s="58">
        <v>0</v>
      </c>
      <c r="J47" s="58"/>
      <c r="K47" s="58"/>
      <c r="L47" s="58"/>
      <c r="M47" s="58"/>
      <c r="N47" s="58"/>
      <c r="O47" s="58"/>
      <c r="P47" s="58">
        <v>-1.4459157351676699</v>
      </c>
      <c r="Q47" s="58">
        <v>-1.9220112484952701</v>
      </c>
      <c r="R47" s="58"/>
      <c r="S47" s="58">
        <v>1.502280564381415</v>
      </c>
      <c r="U47" s="58">
        <v>2.3690407948791399</v>
      </c>
    </row>
    <row r="48" spans="3:21" s="51" customFormat="1">
      <c r="C48" s="175" t="s">
        <v>68</v>
      </c>
      <c r="D48" s="58">
        <v>2.8177717473010402</v>
      </c>
      <c r="E48" s="58">
        <v>0</v>
      </c>
      <c r="F48" s="58">
        <v>0.46200000000000002</v>
      </c>
      <c r="G48" s="58">
        <v>1.74883483201723</v>
      </c>
      <c r="H48" s="58">
        <v>113.97587222178799</v>
      </c>
      <c r="I48" s="58">
        <v>7.1744464316423002</v>
      </c>
      <c r="J48" s="58"/>
      <c r="K48" s="58"/>
      <c r="L48" s="58"/>
      <c r="M48" s="58"/>
      <c r="N48" s="58"/>
      <c r="O48" s="58"/>
      <c r="P48" s="58">
        <v>-47.166809974204597</v>
      </c>
      <c r="Q48" s="58">
        <v>0</v>
      </c>
      <c r="R48" s="58"/>
      <c r="S48" s="58">
        <v>80.320250349783009</v>
      </c>
      <c r="U48" s="58">
        <v>1.3081350912391301</v>
      </c>
    </row>
    <row r="55" spans="3:21" s="51" customFormat="1" ht="15.5">
      <c r="C55" s="59" t="s">
        <v>86</v>
      </c>
      <c r="D55" s="53"/>
      <c r="E55" s="53"/>
      <c r="F55" s="53"/>
      <c r="G55" s="53"/>
      <c r="H55" s="53"/>
      <c r="I55" s="54"/>
      <c r="J55" s="54"/>
      <c r="K55" s="54"/>
      <c r="L55" s="54"/>
      <c r="M55" s="54"/>
      <c r="N55" s="54"/>
      <c r="O55" s="53"/>
      <c r="P55" s="53"/>
      <c r="Q55" s="53"/>
      <c r="R55" s="53"/>
      <c r="S55" s="53"/>
    </row>
    <row r="58" spans="3:21" s="51" customFormat="1" ht="29">
      <c r="C58" s="56" t="s">
        <v>51</v>
      </c>
      <c r="D58" s="174" t="s">
        <v>42</v>
      </c>
      <c r="E58" s="174" t="s">
        <v>52</v>
      </c>
      <c r="F58" s="174" t="s">
        <v>53</v>
      </c>
      <c r="G58" s="174" t="s">
        <v>54</v>
      </c>
      <c r="H58" s="174" t="s">
        <v>20</v>
      </c>
      <c r="I58" s="174" t="s">
        <v>55</v>
      </c>
      <c r="J58" s="174"/>
      <c r="K58" s="174"/>
      <c r="L58" s="174"/>
      <c r="M58" s="174"/>
      <c r="N58" s="174"/>
      <c r="O58" s="174" t="s">
        <v>56</v>
      </c>
      <c r="P58" s="174" t="s">
        <v>57</v>
      </c>
      <c r="Q58" s="174" t="s">
        <v>58</v>
      </c>
      <c r="R58" s="174" t="s">
        <v>31</v>
      </c>
      <c r="S58" s="174" t="s">
        <v>10</v>
      </c>
    </row>
    <row r="59" spans="3:21" s="51" customFormat="1" ht="15.5">
      <c r="C59" s="60"/>
      <c r="D59" s="61"/>
      <c r="E59" s="61"/>
      <c r="F59" s="61"/>
      <c r="G59" s="61"/>
      <c r="H59" s="61"/>
      <c r="I59" s="61"/>
      <c r="J59" s="61"/>
      <c r="K59" s="61"/>
      <c r="L59" s="61"/>
      <c r="M59" s="61"/>
      <c r="N59" s="61"/>
      <c r="O59" s="61"/>
      <c r="P59" s="61"/>
      <c r="Q59" s="61"/>
      <c r="R59" s="61"/>
      <c r="S59" s="61"/>
    </row>
    <row r="60" spans="3:21" s="51" customFormat="1">
      <c r="C60" s="175" t="s">
        <v>59</v>
      </c>
      <c r="D60" s="62">
        <v>0</v>
      </c>
      <c r="E60" s="62">
        <v>0.8</v>
      </c>
      <c r="F60" s="62">
        <v>0</v>
      </c>
      <c r="G60" s="62">
        <v>0.03</v>
      </c>
      <c r="H60" s="63">
        <v>109.38183514566988</v>
      </c>
      <c r="I60" s="63">
        <v>10.318142734307823</v>
      </c>
      <c r="J60" s="63"/>
      <c r="K60" s="63"/>
      <c r="L60" s="63"/>
      <c r="M60" s="63"/>
      <c r="N60" s="63"/>
      <c r="O60" s="62">
        <v>19.853132642623823</v>
      </c>
      <c r="P60" s="63"/>
      <c r="Q60" s="63"/>
      <c r="R60" s="63"/>
      <c r="S60" s="63">
        <v>140.38311052260153</v>
      </c>
    </row>
    <row r="61" spans="3:21" s="51" customFormat="1">
      <c r="C61" s="175" t="s">
        <v>60</v>
      </c>
      <c r="D61" s="62">
        <v>6.0924579523016948</v>
      </c>
      <c r="E61" s="62">
        <v>47.800000000000004</v>
      </c>
      <c r="F61" s="62">
        <v>25.349495228581368</v>
      </c>
      <c r="G61" s="62">
        <v>36.698715601251486</v>
      </c>
      <c r="H61" s="63"/>
      <c r="I61" s="63"/>
      <c r="J61" s="63"/>
      <c r="K61" s="63"/>
      <c r="L61" s="63"/>
      <c r="M61" s="63"/>
      <c r="N61" s="63"/>
      <c r="O61" s="63">
        <v>2.2308964938133506</v>
      </c>
      <c r="P61" s="63">
        <v>0</v>
      </c>
      <c r="Q61" s="63"/>
      <c r="R61" s="63"/>
      <c r="S61" s="63">
        <v>118.17156527594788</v>
      </c>
    </row>
    <row r="62" spans="3:21" s="51" customFormat="1">
      <c r="C62" s="175" t="s">
        <v>61</v>
      </c>
      <c r="D62" s="62">
        <v>0</v>
      </c>
      <c r="E62" s="62">
        <v>0</v>
      </c>
      <c r="F62" s="62">
        <v>0</v>
      </c>
      <c r="G62" s="62">
        <v>0</v>
      </c>
      <c r="H62" s="63"/>
      <c r="I62" s="63"/>
      <c r="J62" s="63"/>
      <c r="K62" s="63"/>
      <c r="L62" s="63"/>
      <c r="M62" s="63"/>
      <c r="N62" s="63"/>
      <c r="O62" s="62">
        <v>0</v>
      </c>
      <c r="P62" s="63">
        <v>-4.5928786597159572</v>
      </c>
      <c r="Q62" s="63"/>
      <c r="R62" s="63"/>
      <c r="S62" s="63">
        <v>-4.5928786597159572</v>
      </c>
    </row>
    <row r="63" spans="3:21" s="51" customFormat="1">
      <c r="C63" s="175" t="s">
        <v>62</v>
      </c>
      <c r="D63" s="62"/>
      <c r="E63" s="62"/>
      <c r="F63" s="62">
        <v>-1.1000000000000001</v>
      </c>
      <c r="G63" s="62"/>
      <c r="H63" s="63"/>
      <c r="I63" s="63"/>
      <c r="J63" s="63"/>
      <c r="K63" s="63"/>
      <c r="L63" s="63"/>
      <c r="M63" s="63"/>
      <c r="N63" s="63"/>
      <c r="O63" s="63"/>
      <c r="P63" s="63"/>
      <c r="Q63" s="63"/>
      <c r="R63" s="63"/>
      <c r="S63" s="63">
        <v>-1.1000000000000001</v>
      </c>
    </row>
    <row r="64" spans="3:21" s="51" customFormat="1">
      <c r="C64" s="175" t="s">
        <v>63</v>
      </c>
      <c r="D64" s="62"/>
      <c r="E64" s="62"/>
      <c r="F64" s="62">
        <v>-6.3128842627624397</v>
      </c>
      <c r="G64" s="62"/>
      <c r="H64" s="63"/>
      <c r="I64" s="63"/>
      <c r="J64" s="63"/>
      <c r="K64" s="63"/>
      <c r="L64" s="63"/>
      <c r="M64" s="63"/>
      <c r="N64" s="63"/>
      <c r="O64" s="63"/>
      <c r="P64" s="63"/>
      <c r="Q64" s="63"/>
      <c r="R64" s="63"/>
      <c r="S64" s="63">
        <v>-6.3128842627624397</v>
      </c>
      <c r="U64" s="64"/>
    </row>
    <row r="65" spans="3:21" s="51" customFormat="1">
      <c r="C65" s="175" t="s">
        <v>64</v>
      </c>
      <c r="D65" s="62"/>
      <c r="E65" s="62"/>
      <c r="F65" s="62"/>
      <c r="G65" s="62"/>
      <c r="H65" s="63"/>
      <c r="I65" s="63"/>
      <c r="J65" s="63"/>
      <c r="K65" s="63"/>
      <c r="L65" s="63"/>
      <c r="M65" s="63"/>
      <c r="N65" s="63"/>
      <c r="O65" s="63"/>
      <c r="P65" s="63"/>
      <c r="Q65" s="63"/>
      <c r="R65" s="63"/>
      <c r="S65" s="63">
        <v>0</v>
      </c>
    </row>
    <row r="66" spans="3:21" s="51" customFormat="1" ht="15.5">
      <c r="C66" s="176" t="s">
        <v>65</v>
      </c>
      <c r="D66" s="65">
        <v>6.0924579523016948</v>
      </c>
      <c r="E66" s="65">
        <v>48.6</v>
      </c>
      <c r="F66" s="65">
        <v>17.936610965818929</v>
      </c>
      <c r="G66" s="65">
        <v>36.728715601251487</v>
      </c>
      <c r="H66" s="65">
        <v>109.38183514566988</v>
      </c>
      <c r="I66" s="65">
        <v>10.318142734307823</v>
      </c>
      <c r="J66" s="65"/>
      <c r="K66" s="65"/>
      <c r="L66" s="65"/>
      <c r="M66" s="65"/>
      <c r="N66" s="65"/>
      <c r="O66" s="65">
        <v>22.084029136437174</v>
      </c>
      <c r="P66" s="65">
        <v>-4.5928786597159572</v>
      </c>
      <c r="Q66" s="65">
        <v>0</v>
      </c>
      <c r="R66" s="65"/>
      <c r="S66" s="65">
        <v>246.548912876071</v>
      </c>
      <c r="U66" s="55"/>
    </row>
    <row r="67" spans="3:21" s="51" customFormat="1" ht="15.5">
      <c r="C67" s="57"/>
      <c r="D67" s="66"/>
      <c r="E67" s="66"/>
      <c r="F67" s="66"/>
      <c r="G67" s="66"/>
      <c r="H67" s="66"/>
      <c r="I67" s="66"/>
      <c r="J67" s="66"/>
      <c r="K67" s="66"/>
      <c r="L67" s="66"/>
      <c r="M67" s="66"/>
      <c r="N67" s="66"/>
      <c r="O67" s="66"/>
      <c r="P67" s="66"/>
      <c r="Q67" s="66"/>
      <c r="R67" s="66"/>
      <c r="S67" s="66"/>
    </row>
    <row r="68" spans="3:21" s="51" customFormat="1">
      <c r="C68" s="175" t="s">
        <v>66</v>
      </c>
      <c r="D68" s="62"/>
      <c r="E68" s="62"/>
      <c r="F68" s="62"/>
      <c r="G68" s="62"/>
      <c r="H68" s="63"/>
      <c r="I68" s="63"/>
      <c r="J68" s="63"/>
      <c r="K68" s="63"/>
      <c r="L68" s="63"/>
      <c r="M68" s="63"/>
      <c r="N68" s="63"/>
      <c r="O68" s="63"/>
      <c r="P68" s="63"/>
      <c r="Q68" s="63"/>
      <c r="R68" s="63"/>
      <c r="S68" s="63">
        <v>0</v>
      </c>
    </row>
    <row r="69" spans="3:21" s="51" customFormat="1">
      <c r="C69" s="175" t="s">
        <v>67</v>
      </c>
      <c r="D69" s="62"/>
      <c r="E69" s="62"/>
      <c r="F69" s="62"/>
      <c r="G69" s="62"/>
      <c r="H69" s="63"/>
      <c r="I69" s="63"/>
      <c r="J69" s="63"/>
      <c r="K69" s="63"/>
      <c r="L69" s="63"/>
      <c r="M69" s="63"/>
      <c r="N69" s="63"/>
      <c r="O69" s="62"/>
      <c r="P69" s="62"/>
      <c r="Q69" s="63"/>
      <c r="R69" s="63"/>
      <c r="S69" s="63">
        <v>0</v>
      </c>
    </row>
    <row r="70" spans="3:21" s="51" customFormat="1">
      <c r="C70" s="175" t="s">
        <v>68</v>
      </c>
      <c r="D70" s="62">
        <v>2.56997984007758</v>
      </c>
      <c r="E70" s="62">
        <v>0</v>
      </c>
      <c r="F70" s="62"/>
      <c r="G70" s="62">
        <v>4.1842754045985986</v>
      </c>
      <c r="H70" s="63">
        <v>109.38183514566988</v>
      </c>
      <c r="I70" s="63">
        <v>10.318142734307823</v>
      </c>
      <c r="J70" s="63"/>
      <c r="K70" s="63"/>
      <c r="L70" s="63"/>
      <c r="M70" s="63"/>
      <c r="N70" s="63"/>
      <c r="O70" s="62">
        <v>2.7631806275096813</v>
      </c>
      <c r="P70" s="62">
        <v>-48.340599999999995</v>
      </c>
      <c r="Q70" s="63"/>
      <c r="R70" s="63"/>
      <c r="S70" s="63">
        <v>80.876813752163571</v>
      </c>
    </row>
    <row r="71" spans="3:21" s="51" customFormat="1">
      <c r="C71" s="175" t="s">
        <v>69</v>
      </c>
      <c r="D71" s="62"/>
      <c r="E71" s="62"/>
      <c r="F71" s="62"/>
      <c r="G71" s="62"/>
      <c r="H71" s="63"/>
      <c r="I71" s="63"/>
      <c r="J71" s="63"/>
      <c r="K71" s="63"/>
      <c r="L71" s="63"/>
      <c r="M71" s="63"/>
      <c r="N71" s="63"/>
      <c r="O71" s="62"/>
      <c r="P71" s="62"/>
      <c r="Q71" s="63"/>
      <c r="R71" s="63"/>
      <c r="S71" s="63">
        <v>0</v>
      </c>
    </row>
    <row r="72" spans="3:21" s="51" customFormat="1">
      <c r="C72" s="175" t="s">
        <v>70</v>
      </c>
      <c r="D72" s="62">
        <v>0.23610978878389122</v>
      </c>
      <c r="E72" s="62"/>
      <c r="F72" s="62">
        <v>4.4938385611804459E-2</v>
      </c>
      <c r="G72" s="62">
        <v>1.5659570450451636</v>
      </c>
      <c r="H72" s="63"/>
      <c r="I72" s="63"/>
      <c r="J72" s="63"/>
      <c r="K72" s="63"/>
      <c r="L72" s="63"/>
      <c r="M72" s="63"/>
      <c r="N72" s="63"/>
      <c r="O72" s="62">
        <v>2.6132241323505561</v>
      </c>
      <c r="P72" s="62"/>
      <c r="Q72" s="63">
        <v>-4.0575435552405965</v>
      </c>
      <c r="R72" s="63"/>
      <c r="S72" s="63">
        <v>0.40268579655081904</v>
      </c>
    </row>
    <row r="73" spans="3:21" s="51" customFormat="1">
      <c r="C73" s="175" t="s">
        <v>71</v>
      </c>
      <c r="D73" s="62"/>
      <c r="E73" s="62"/>
      <c r="F73" s="62"/>
      <c r="G73" s="62">
        <v>-0.74956562451533659</v>
      </c>
      <c r="H73" s="63"/>
      <c r="I73" s="63"/>
      <c r="J73" s="63"/>
      <c r="K73" s="63"/>
      <c r="L73" s="63"/>
      <c r="M73" s="63"/>
      <c r="N73" s="63"/>
      <c r="O73" s="62">
        <v>0.93695703064417069</v>
      </c>
      <c r="P73" s="62"/>
      <c r="Q73" s="63"/>
      <c r="R73" s="63"/>
      <c r="S73" s="63">
        <v>0.18739140612883409</v>
      </c>
    </row>
    <row r="74" spans="3:21" s="51" customFormat="1">
      <c r="C74" s="175" t="s">
        <v>72</v>
      </c>
      <c r="D74" s="62"/>
      <c r="E74" s="62">
        <v>48.6</v>
      </c>
      <c r="F74" s="62">
        <v>-46.5</v>
      </c>
      <c r="G74" s="62">
        <v>0.50416821869521233</v>
      </c>
      <c r="H74" s="63"/>
      <c r="I74" s="63"/>
      <c r="J74" s="63"/>
      <c r="K74" s="63"/>
      <c r="L74" s="63"/>
      <c r="M74" s="63"/>
      <c r="N74" s="63"/>
      <c r="O74" s="62"/>
      <c r="P74" s="62"/>
      <c r="Q74" s="63"/>
      <c r="R74" s="63"/>
      <c r="S74" s="63">
        <v>2.6041682186952135</v>
      </c>
    </row>
    <row r="75" spans="3:21" s="51" customFormat="1">
      <c r="C75" s="175" t="s">
        <v>73</v>
      </c>
      <c r="D75" s="62"/>
      <c r="E75" s="62"/>
      <c r="F75" s="62"/>
      <c r="G75" s="62"/>
      <c r="H75" s="63"/>
      <c r="I75" s="63"/>
      <c r="J75" s="63"/>
      <c r="K75" s="63"/>
      <c r="L75" s="63"/>
      <c r="M75" s="63"/>
      <c r="N75" s="63"/>
      <c r="O75" s="62"/>
      <c r="P75" s="62">
        <v>0</v>
      </c>
      <c r="Q75" s="63"/>
      <c r="R75" s="63">
        <v>0</v>
      </c>
      <c r="S75" s="63">
        <v>0</v>
      </c>
    </row>
    <row r="76" spans="3:21" s="51" customFormat="1">
      <c r="C76" s="175" t="s">
        <v>74</v>
      </c>
      <c r="D76" s="62">
        <v>2.7441420256170312</v>
      </c>
      <c r="E76" s="62"/>
      <c r="F76" s="62"/>
      <c r="G76" s="62"/>
      <c r="H76" s="63"/>
      <c r="I76" s="63"/>
      <c r="J76" s="63"/>
      <c r="K76" s="63"/>
      <c r="L76" s="63"/>
      <c r="M76" s="63"/>
      <c r="N76" s="63"/>
      <c r="O76" s="62"/>
      <c r="P76" s="62"/>
      <c r="Q76" s="63"/>
      <c r="R76" s="63"/>
      <c r="S76" s="63">
        <v>2.7441420256170312</v>
      </c>
    </row>
    <row r="77" spans="3:21" s="51" customFormat="1">
      <c r="C77" s="175" t="s">
        <v>75</v>
      </c>
      <c r="D77" s="62">
        <v>0</v>
      </c>
      <c r="E77" s="62"/>
      <c r="F77" s="62">
        <v>1.70001406904591</v>
      </c>
      <c r="G77" s="62">
        <v>1.2420767288044043</v>
      </c>
      <c r="H77" s="63"/>
      <c r="I77" s="63"/>
      <c r="J77" s="63"/>
      <c r="K77" s="63"/>
      <c r="L77" s="63"/>
      <c r="M77" s="63"/>
      <c r="N77" s="63"/>
      <c r="O77" s="62">
        <v>5.1017483519633131E-2</v>
      </c>
      <c r="P77" s="62">
        <v>2.4572470482821185</v>
      </c>
      <c r="Q77" s="63"/>
      <c r="R77" s="63"/>
      <c r="S77" s="63">
        <v>5.4503553296520657</v>
      </c>
    </row>
    <row r="78" spans="3:21" s="51" customFormat="1">
      <c r="C78" s="175" t="s">
        <v>76</v>
      </c>
      <c r="D78" s="62"/>
      <c r="E78" s="62"/>
      <c r="F78" s="62"/>
      <c r="G78" s="62">
        <v>0.44732624375977414</v>
      </c>
      <c r="H78" s="63"/>
      <c r="I78" s="63"/>
      <c r="J78" s="63"/>
      <c r="K78" s="63"/>
      <c r="L78" s="63"/>
      <c r="M78" s="63"/>
      <c r="N78" s="63"/>
      <c r="O78" s="62"/>
      <c r="P78" s="62">
        <v>3.1333411601296381</v>
      </c>
      <c r="Q78" s="63">
        <v>0.84596568973356112</v>
      </c>
      <c r="R78" s="63"/>
      <c r="S78" s="63">
        <v>4.4266330936229732</v>
      </c>
    </row>
    <row r="79" spans="3:21" s="51" customFormat="1" ht="15.5">
      <c r="C79" s="176" t="s">
        <v>77</v>
      </c>
      <c r="D79" s="65">
        <v>5.5502316544785026</v>
      </c>
      <c r="E79" s="65">
        <v>48.6</v>
      </c>
      <c r="F79" s="65">
        <v>-44.755047545342279</v>
      </c>
      <c r="G79" s="65">
        <v>7.1942380163878168</v>
      </c>
      <c r="H79" s="65">
        <v>109.38183514566988</v>
      </c>
      <c r="I79" s="65">
        <v>10.318142734307823</v>
      </c>
      <c r="J79" s="65"/>
      <c r="K79" s="65"/>
      <c r="L79" s="65"/>
      <c r="M79" s="65"/>
      <c r="N79" s="65"/>
      <c r="O79" s="65">
        <v>6.3643792740240412</v>
      </c>
      <c r="P79" s="65">
        <v>-42.750011791588236</v>
      </c>
      <c r="Q79" s="65">
        <v>-3.2115778655070355</v>
      </c>
      <c r="R79" s="65">
        <v>0</v>
      </c>
      <c r="S79" s="65">
        <v>96.692189622430504</v>
      </c>
    </row>
    <row r="80" spans="3:21" s="51" customFormat="1" ht="15.5">
      <c r="C80" s="57"/>
      <c r="D80" s="66"/>
      <c r="E80" s="66"/>
      <c r="F80" s="66"/>
      <c r="G80" s="66"/>
      <c r="H80" s="66"/>
      <c r="I80" s="66"/>
      <c r="J80" s="66"/>
      <c r="K80" s="66"/>
      <c r="L80" s="66"/>
      <c r="M80" s="66"/>
      <c r="N80" s="66"/>
      <c r="O80" s="66"/>
      <c r="P80" s="66"/>
      <c r="Q80" s="66"/>
      <c r="R80" s="66"/>
      <c r="S80" s="66"/>
    </row>
    <row r="81" spans="3:24" s="51" customFormat="1" ht="15.5">
      <c r="C81" s="178" t="s">
        <v>78</v>
      </c>
      <c r="D81" s="62">
        <v>0.32210674831575531</v>
      </c>
      <c r="E81" s="63"/>
      <c r="F81" s="62">
        <v>1.9299776400292732</v>
      </c>
      <c r="G81" s="62">
        <v>10.885100099493346</v>
      </c>
      <c r="H81" s="63"/>
      <c r="I81" s="63"/>
      <c r="J81" s="63"/>
      <c r="K81" s="63"/>
      <c r="L81" s="63"/>
      <c r="M81" s="63"/>
      <c r="N81" s="63"/>
      <c r="O81" s="62">
        <v>1.844034937757657</v>
      </c>
      <c r="P81" s="62">
        <v>10.072222086615001</v>
      </c>
      <c r="Q81" s="62">
        <v>1.1461133930541632</v>
      </c>
      <c r="R81" s="62"/>
      <c r="S81" s="63">
        <v>26.199554905265195</v>
      </c>
      <c r="T81" s="67"/>
      <c r="X81" s="67"/>
    </row>
    <row r="82" spans="3:24" s="51" customFormat="1" ht="15.5">
      <c r="C82" s="178" t="s">
        <v>79</v>
      </c>
      <c r="D82" s="63"/>
      <c r="E82" s="63"/>
      <c r="F82" s="62">
        <v>38.438862637881712</v>
      </c>
      <c r="G82" s="62">
        <v>0.17718839974083389</v>
      </c>
      <c r="H82" s="63"/>
      <c r="I82" s="63"/>
      <c r="J82" s="63"/>
      <c r="K82" s="63"/>
      <c r="L82" s="63"/>
      <c r="M82" s="63"/>
      <c r="N82" s="63"/>
      <c r="O82" s="62">
        <v>3.0072968916095459</v>
      </c>
      <c r="P82" s="62">
        <v>1.2661303855523829</v>
      </c>
      <c r="Q82" s="62"/>
      <c r="R82" s="62"/>
      <c r="S82" s="63">
        <v>42.889478314784476</v>
      </c>
      <c r="T82" s="67"/>
      <c r="X82" s="67"/>
    </row>
    <row r="83" spans="3:24" s="51" customFormat="1">
      <c r="C83" s="175" t="s">
        <v>80</v>
      </c>
      <c r="D83" s="62">
        <v>0</v>
      </c>
      <c r="E83" s="63"/>
      <c r="F83" s="62">
        <v>5.666777520480518</v>
      </c>
      <c r="G83" s="62">
        <v>11.041115748636887</v>
      </c>
      <c r="H83" s="63"/>
      <c r="I83" s="63"/>
      <c r="J83" s="63"/>
      <c r="K83" s="63"/>
      <c r="L83" s="63"/>
      <c r="M83" s="63"/>
      <c r="N83" s="63"/>
      <c r="O83" s="62">
        <v>9.2185082939483429</v>
      </c>
      <c r="P83" s="62">
        <v>13.00983683571549</v>
      </c>
      <c r="Q83" s="62">
        <v>1.289495245663796</v>
      </c>
      <c r="R83" s="62"/>
      <c r="S83" s="63">
        <v>40.225733644445036</v>
      </c>
      <c r="T83" s="67"/>
      <c r="X83" s="67"/>
    </row>
    <row r="84" spans="3:24" s="51" customFormat="1">
      <c r="C84" s="175" t="s">
        <v>81</v>
      </c>
      <c r="D84" s="62">
        <v>0</v>
      </c>
      <c r="E84" s="63"/>
      <c r="F84" s="62">
        <v>1.9715966805851073</v>
      </c>
      <c r="G84" s="62">
        <v>6.057342656522982</v>
      </c>
      <c r="H84" s="63"/>
      <c r="I84" s="63"/>
      <c r="J84" s="63"/>
      <c r="K84" s="63"/>
      <c r="L84" s="63"/>
      <c r="M84" s="63"/>
      <c r="N84" s="63"/>
      <c r="O84" s="62">
        <v>1.4770309618520476</v>
      </c>
      <c r="P84" s="62">
        <v>13.031439326384481</v>
      </c>
      <c r="Q84" s="62">
        <v>0.76951555573569785</v>
      </c>
      <c r="R84" s="62"/>
      <c r="S84" s="63">
        <v>23.306925181080313</v>
      </c>
      <c r="T84" s="67"/>
      <c r="X84" s="67"/>
    </row>
    <row r="85" spans="3:24" s="51" customFormat="1">
      <c r="C85" s="175" t="s">
        <v>82</v>
      </c>
      <c r="D85" s="62">
        <v>2.2137192704974398E-3</v>
      </c>
      <c r="E85" s="63"/>
      <c r="F85" s="62">
        <v>3.02362860179693</v>
      </c>
      <c r="G85" s="62">
        <v>0.345557554491078</v>
      </c>
      <c r="H85" s="63"/>
      <c r="I85" s="63"/>
      <c r="J85" s="63"/>
      <c r="K85" s="63"/>
      <c r="L85" s="63"/>
      <c r="M85" s="63"/>
      <c r="N85" s="63"/>
      <c r="O85" s="62">
        <v>0.172778777245539</v>
      </c>
      <c r="P85" s="62">
        <v>0.77750449760492502</v>
      </c>
      <c r="Q85" s="62">
        <v>6.4536710533781346E-3</v>
      </c>
      <c r="R85" s="62"/>
      <c r="S85" s="63">
        <v>4.3281368214623477</v>
      </c>
      <c r="T85" s="67"/>
      <c r="X85" s="67"/>
    </row>
    <row r="86" spans="3:24" s="51" customFormat="1" ht="15.5">
      <c r="C86" s="176" t="s">
        <v>83</v>
      </c>
      <c r="D86" s="65">
        <v>0.32432046758625277</v>
      </c>
      <c r="E86" s="65">
        <v>0</v>
      </c>
      <c r="F86" s="65">
        <v>51.030843080773536</v>
      </c>
      <c r="G86" s="65">
        <v>28.506304458885129</v>
      </c>
      <c r="H86" s="65">
        <v>0</v>
      </c>
      <c r="I86" s="65">
        <v>0</v>
      </c>
      <c r="J86" s="65"/>
      <c r="K86" s="65"/>
      <c r="L86" s="65"/>
      <c r="M86" s="65"/>
      <c r="N86" s="65"/>
      <c r="O86" s="65">
        <v>15.719649862413132</v>
      </c>
      <c r="P86" s="65">
        <v>38.157133131872278</v>
      </c>
      <c r="Q86" s="65">
        <v>3.2115778655070355</v>
      </c>
      <c r="R86" s="65">
        <v>0</v>
      </c>
      <c r="S86" s="65">
        <v>136.94982886703738</v>
      </c>
    </row>
    <row r="87" spans="3:24" s="51" customFormat="1">
      <c r="C87" s="175" t="s">
        <v>84</v>
      </c>
      <c r="D87" s="63">
        <v>0.21790583023693955</v>
      </c>
      <c r="E87" s="63"/>
      <c r="F87" s="68">
        <v>11.660815430387672</v>
      </c>
      <c r="G87" s="68">
        <v>1.0281731259785394</v>
      </c>
      <c r="H87" s="63"/>
      <c r="I87" s="63"/>
      <c r="J87" s="63"/>
      <c r="K87" s="63"/>
      <c r="L87" s="63"/>
      <c r="M87" s="63"/>
      <c r="N87" s="63"/>
      <c r="O87" s="63"/>
      <c r="P87" s="63"/>
      <c r="Q87" s="63"/>
      <c r="R87" s="63">
        <v>0</v>
      </c>
      <c r="S87" s="63">
        <v>12.906894386603149</v>
      </c>
    </row>
    <row r="88" spans="3:24" s="51" customFormat="1" ht="15.5">
      <c r="C88" s="176" t="s">
        <v>85</v>
      </c>
      <c r="D88" s="65">
        <v>0.54222629782319232</v>
      </c>
      <c r="E88" s="65">
        <v>0</v>
      </c>
      <c r="F88" s="65">
        <v>62.691658511161208</v>
      </c>
      <c r="G88" s="65">
        <v>29.534477584863669</v>
      </c>
      <c r="H88" s="65">
        <v>0</v>
      </c>
      <c r="I88" s="65">
        <v>0</v>
      </c>
      <c r="J88" s="65"/>
      <c r="K88" s="65"/>
      <c r="L88" s="65"/>
      <c r="M88" s="65"/>
      <c r="N88" s="65"/>
      <c r="O88" s="65">
        <v>15.719649862413132</v>
      </c>
      <c r="P88" s="65">
        <v>38.157133131872278</v>
      </c>
      <c r="Q88" s="65">
        <v>3.2115778655070355</v>
      </c>
      <c r="R88" s="65"/>
      <c r="S88" s="65">
        <v>149.85672325364052</v>
      </c>
    </row>
    <row r="99" spans="3:19" s="51" customFormat="1" ht="15.5">
      <c r="C99" s="59" t="s">
        <v>87</v>
      </c>
      <c r="D99" s="53"/>
      <c r="E99" s="53"/>
      <c r="F99" s="53"/>
      <c r="G99" s="53"/>
      <c r="H99" s="53"/>
      <c r="I99" s="54"/>
      <c r="J99" s="54"/>
      <c r="K99" s="54"/>
      <c r="L99" s="54"/>
      <c r="M99" s="54"/>
      <c r="N99" s="54"/>
      <c r="O99" s="53"/>
      <c r="P99" s="53"/>
      <c r="Q99" s="53"/>
      <c r="R99" s="53"/>
      <c r="S99" s="53"/>
    </row>
    <row r="102" spans="3:19" s="51" customFormat="1" ht="29">
      <c r="C102" s="56" t="s">
        <v>51</v>
      </c>
      <c r="D102" s="174" t="s">
        <v>42</v>
      </c>
      <c r="E102" s="174" t="s">
        <v>52</v>
      </c>
      <c r="F102" s="174" t="s">
        <v>53</v>
      </c>
      <c r="G102" s="174" t="s">
        <v>54</v>
      </c>
      <c r="H102" s="174" t="s">
        <v>20</v>
      </c>
      <c r="I102" s="174" t="s">
        <v>55</v>
      </c>
      <c r="J102" s="174"/>
      <c r="K102" s="174"/>
      <c r="L102" s="174"/>
      <c r="M102" s="174"/>
      <c r="N102" s="174"/>
      <c r="O102" s="174" t="s">
        <v>56</v>
      </c>
      <c r="P102" s="174" t="s">
        <v>57</v>
      </c>
      <c r="Q102" s="174" t="s">
        <v>58</v>
      </c>
      <c r="R102" s="174" t="s">
        <v>31</v>
      </c>
      <c r="S102" s="174" t="s">
        <v>10</v>
      </c>
    </row>
    <row r="103" spans="3:19" s="51" customFormat="1" ht="15.5">
      <c r="C103" s="60"/>
      <c r="D103" s="61"/>
      <c r="E103" s="61"/>
      <c r="F103" s="61"/>
      <c r="G103" s="61"/>
      <c r="H103" s="61"/>
      <c r="I103" s="61"/>
      <c r="J103" s="61"/>
      <c r="K103" s="61"/>
      <c r="L103" s="61"/>
      <c r="M103" s="61"/>
      <c r="N103" s="61"/>
      <c r="O103" s="61"/>
      <c r="P103" s="61"/>
      <c r="Q103" s="61"/>
      <c r="R103" s="61"/>
      <c r="S103" s="61"/>
    </row>
    <row r="104" spans="3:19" s="51" customFormat="1">
      <c r="C104" s="175" t="s">
        <v>59</v>
      </c>
      <c r="D104" s="62">
        <v>0</v>
      </c>
      <c r="E104" s="62">
        <v>0.7</v>
      </c>
      <c r="F104" s="62">
        <v>0</v>
      </c>
      <c r="G104" s="62">
        <v>0.02</v>
      </c>
      <c r="H104" s="63">
        <v>103.91274338838639</v>
      </c>
      <c r="I104" s="63">
        <v>14.961306964746345</v>
      </c>
      <c r="J104" s="63"/>
      <c r="K104" s="63"/>
      <c r="L104" s="63"/>
      <c r="M104" s="63"/>
      <c r="N104" s="63"/>
      <c r="O104" s="62">
        <v>23.557057880608284</v>
      </c>
      <c r="P104" s="63"/>
      <c r="Q104" s="63"/>
      <c r="R104" s="63"/>
      <c r="S104" s="63">
        <v>143.15110823374101</v>
      </c>
    </row>
    <row r="105" spans="3:19" s="51" customFormat="1">
      <c r="C105" s="175" t="s">
        <v>60</v>
      </c>
      <c r="D105" s="62">
        <v>2.6488212454034969</v>
      </c>
      <c r="E105" s="62">
        <v>47.0782111969732</v>
      </c>
      <c r="F105" s="62">
        <v>15.597678413553723</v>
      </c>
      <c r="G105" s="62">
        <v>32.40491197538708</v>
      </c>
      <c r="H105" s="63"/>
      <c r="I105" s="63"/>
      <c r="J105" s="63"/>
      <c r="K105" s="63"/>
      <c r="L105" s="63"/>
      <c r="M105" s="63"/>
      <c r="N105" s="63"/>
      <c r="O105" s="63">
        <v>1.6146683170390475</v>
      </c>
      <c r="P105" s="63">
        <v>0</v>
      </c>
      <c r="Q105" s="63"/>
      <c r="R105" s="63"/>
      <c r="S105" s="63">
        <v>99.344291148356547</v>
      </c>
    </row>
    <row r="106" spans="3:19" s="51" customFormat="1">
      <c r="C106" s="175" t="s">
        <v>61</v>
      </c>
      <c r="D106" s="62">
        <v>0</v>
      </c>
      <c r="E106" s="62">
        <v>0</v>
      </c>
      <c r="F106" s="62">
        <v>0</v>
      </c>
      <c r="G106" s="62">
        <v>0</v>
      </c>
      <c r="H106" s="63"/>
      <c r="I106" s="63"/>
      <c r="J106" s="63"/>
      <c r="K106" s="63"/>
      <c r="L106" s="63"/>
      <c r="M106" s="63"/>
      <c r="N106" s="63"/>
      <c r="O106" s="62">
        <v>0</v>
      </c>
      <c r="P106" s="63">
        <v>-6.8529198133149265</v>
      </c>
      <c r="Q106" s="63"/>
      <c r="R106" s="63"/>
      <c r="S106" s="63">
        <v>-6.8529198133149265</v>
      </c>
    </row>
    <row r="107" spans="3:19" s="51" customFormat="1">
      <c r="C107" s="175" t="s">
        <v>62</v>
      </c>
      <c r="D107" s="62"/>
      <c r="E107" s="62"/>
      <c r="F107" s="62">
        <v>-1.1000000000000001</v>
      </c>
      <c r="G107" s="62"/>
      <c r="H107" s="63"/>
      <c r="I107" s="63"/>
      <c r="J107" s="63"/>
      <c r="K107" s="63"/>
      <c r="L107" s="63"/>
      <c r="M107" s="63"/>
      <c r="N107" s="63"/>
      <c r="O107" s="62"/>
      <c r="P107" s="63"/>
      <c r="Q107" s="63"/>
      <c r="R107" s="63"/>
      <c r="S107" s="63">
        <v>-1.1000000000000001</v>
      </c>
    </row>
    <row r="108" spans="3:19" s="51" customFormat="1">
      <c r="C108" s="175" t="s">
        <v>63</v>
      </c>
      <c r="D108" s="62"/>
      <c r="E108" s="62"/>
      <c r="F108" s="62">
        <v>-6.8007692346473698</v>
      </c>
      <c r="G108" s="62"/>
      <c r="H108" s="63"/>
      <c r="I108" s="63"/>
      <c r="J108" s="63"/>
      <c r="K108" s="63"/>
      <c r="L108" s="63"/>
      <c r="M108" s="63"/>
      <c r="N108" s="63"/>
      <c r="O108" s="63"/>
      <c r="P108" s="63"/>
      <c r="Q108" s="63"/>
      <c r="R108" s="63"/>
      <c r="S108" s="63">
        <v>-6.8007692346473698</v>
      </c>
    </row>
    <row r="109" spans="3:19" s="51" customFormat="1">
      <c r="C109" s="175" t="s">
        <v>64</v>
      </c>
      <c r="D109" s="63"/>
      <c r="E109" s="63"/>
      <c r="F109" s="63"/>
      <c r="G109" s="63"/>
      <c r="H109" s="63"/>
      <c r="I109" s="63"/>
      <c r="J109" s="63"/>
      <c r="K109" s="63"/>
      <c r="L109" s="63"/>
      <c r="M109" s="63"/>
      <c r="N109" s="63"/>
      <c r="O109" s="63"/>
      <c r="P109" s="63"/>
      <c r="Q109" s="63"/>
      <c r="R109" s="63"/>
      <c r="S109" s="63">
        <v>0</v>
      </c>
    </row>
    <row r="110" spans="3:19" s="51" customFormat="1" ht="15.5">
      <c r="C110" s="176" t="s">
        <v>65</v>
      </c>
      <c r="D110" s="65">
        <v>2.6488212454034969</v>
      </c>
      <c r="E110" s="65">
        <v>47.778211196973203</v>
      </c>
      <c r="F110" s="65">
        <v>7.6969091789063535</v>
      </c>
      <c r="G110" s="65">
        <v>32.424911975387083</v>
      </c>
      <c r="H110" s="65">
        <v>103.91274338838639</v>
      </c>
      <c r="I110" s="65">
        <v>14.961306964746345</v>
      </c>
      <c r="J110" s="65"/>
      <c r="K110" s="65"/>
      <c r="L110" s="65"/>
      <c r="M110" s="65"/>
      <c r="N110" s="65"/>
      <c r="O110" s="65">
        <v>25.171726197647331</v>
      </c>
      <c r="P110" s="65">
        <v>-6.8529198133149265</v>
      </c>
      <c r="Q110" s="65">
        <v>0</v>
      </c>
      <c r="R110" s="65">
        <v>0</v>
      </c>
      <c r="S110" s="65">
        <v>227.74171033413526</v>
      </c>
    </row>
    <row r="111" spans="3:19" s="51" customFormat="1" ht="15.5">
      <c r="C111" s="57"/>
      <c r="D111" s="66"/>
      <c r="E111" s="66"/>
      <c r="F111" s="66"/>
      <c r="G111" s="66"/>
      <c r="H111" s="66"/>
      <c r="I111" s="66"/>
      <c r="J111" s="66"/>
      <c r="K111" s="66"/>
      <c r="L111" s="66"/>
      <c r="M111" s="66"/>
      <c r="N111" s="66"/>
      <c r="O111" s="66"/>
      <c r="P111" s="66"/>
      <c r="Q111" s="66"/>
      <c r="R111" s="66"/>
      <c r="S111" s="66"/>
    </row>
    <row r="112" spans="3:19" s="51" customFormat="1">
      <c r="C112" s="175" t="s">
        <v>66</v>
      </c>
      <c r="D112" s="62"/>
      <c r="E112" s="62"/>
      <c r="F112" s="62"/>
      <c r="G112" s="62"/>
      <c r="H112" s="63"/>
      <c r="I112" s="63"/>
      <c r="J112" s="63"/>
      <c r="K112" s="63"/>
      <c r="L112" s="63"/>
      <c r="M112" s="63"/>
      <c r="N112" s="63"/>
      <c r="O112" s="63"/>
      <c r="P112" s="63"/>
      <c r="Q112" s="63"/>
      <c r="R112" s="63"/>
      <c r="S112" s="63">
        <v>0</v>
      </c>
    </row>
    <row r="113" spans="3:20" s="51" customFormat="1">
      <c r="C113" s="175" t="s">
        <v>67</v>
      </c>
      <c r="D113" s="62"/>
      <c r="E113" s="62"/>
      <c r="F113" s="62"/>
      <c r="G113" s="62"/>
      <c r="H113" s="63"/>
      <c r="I113" s="63"/>
      <c r="J113" s="63"/>
      <c r="K113" s="63"/>
      <c r="L113" s="63"/>
      <c r="M113" s="63"/>
      <c r="N113" s="63"/>
      <c r="O113" s="62"/>
      <c r="P113" s="62"/>
      <c r="Q113" s="63"/>
      <c r="R113" s="63"/>
      <c r="S113" s="63">
        <v>0</v>
      </c>
    </row>
    <row r="114" spans="3:20" s="51" customFormat="1">
      <c r="C114" s="175" t="s">
        <v>68</v>
      </c>
      <c r="D114" s="62">
        <v>0</v>
      </c>
      <c r="E114" s="62">
        <v>0</v>
      </c>
      <c r="F114" s="62"/>
      <c r="G114" s="62">
        <v>4.20632773002602</v>
      </c>
      <c r="H114" s="63">
        <v>103.91274338838639</v>
      </c>
      <c r="I114" s="63">
        <v>14.961306964746345</v>
      </c>
      <c r="J114" s="63"/>
      <c r="K114" s="63"/>
      <c r="L114" s="63"/>
      <c r="M114" s="63"/>
      <c r="N114" s="63"/>
      <c r="O114" s="62">
        <v>2.4180820758374684</v>
      </c>
      <c r="P114" s="62">
        <v>-50.696999999999996</v>
      </c>
      <c r="Q114" s="63"/>
      <c r="R114" s="63"/>
      <c r="S114" s="63">
        <v>74.801460158996235</v>
      </c>
    </row>
    <row r="115" spans="3:20" s="51" customFormat="1">
      <c r="C115" s="175" t="s">
        <v>69</v>
      </c>
      <c r="D115" s="62"/>
      <c r="E115" s="62"/>
      <c r="F115" s="62"/>
      <c r="G115" s="62"/>
      <c r="H115" s="63"/>
      <c r="I115" s="63"/>
      <c r="J115" s="63"/>
      <c r="K115" s="63"/>
      <c r="L115" s="63"/>
      <c r="M115" s="63"/>
      <c r="N115" s="63"/>
      <c r="O115" s="62"/>
      <c r="P115" s="62"/>
      <c r="Q115" s="63"/>
      <c r="R115" s="63"/>
      <c r="S115" s="63">
        <v>0</v>
      </c>
    </row>
    <row r="116" spans="3:20" s="51" customFormat="1">
      <c r="C116" s="175" t="s">
        <v>70</v>
      </c>
      <c r="D116" s="62">
        <v>5.3419770632032383E-2</v>
      </c>
      <c r="E116" s="62"/>
      <c r="F116" s="62">
        <v>0</v>
      </c>
      <c r="G116" s="62">
        <v>1.2147336798111752</v>
      </c>
      <c r="H116" s="63"/>
      <c r="I116" s="63"/>
      <c r="J116" s="63"/>
      <c r="K116" s="63"/>
      <c r="L116" s="63"/>
      <c r="M116" s="63"/>
      <c r="N116" s="63"/>
      <c r="O116" s="62">
        <v>3.3160878375169278</v>
      </c>
      <c r="P116" s="62"/>
      <c r="Q116" s="63">
        <v>-4.5900902111438011</v>
      </c>
      <c r="R116" s="63"/>
      <c r="S116" s="63">
        <v>-5.8489231836658107E-3</v>
      </c>
    </row>
    <row r="117" spans="3:20" s="51" customFormat="1">
      <c r="C117" s="175" t="s">
        <v>71</v>
      </c>
      <c r="D117" s="62"/>
      <c r="E117" s="62"/>
      <c r="F117" s="62"/>
      <c r="G117" s="62">
        <v>-1.7065743144940571</v>
      </c>
      <c r="H117" s="63"/>
      <c r="I117" s="63"/>
      <c r="J117" s="63"/>
      <c r="K117" s="63"/>
      <c r="L117" s="63"/>
      <c r="M117" s="63"/>
      <c r="N117" s="63"/>
      <c r="O117" s="62">
        <v>2.1332178931175712</v>
      </c>
      <c r="P117" s="62"/>
      <c r="Q117" s="63"/>
      <c r="R117" s="63"/>
      <c r="S117" s="63">
        <v>0.4266435786235141</v>
      </c>
    </row>
    <row r="118" spans="3:20" s="51" customFormat="1">
      <c r="C118" s="175" t="s">
        <v>72</v>
      </c>
      <c r="D118" s="62"/>
      <c r="E118" s="62">
        <v>47.778211196973203</v>
      </c>
      <c r="F118" s="62">
        <v>-46.473309251920703</v>
      </c>
      <c r="G118" s="62">
        <v>0.42321213691880566</v>
      </c>
      <c r="H118" s="63"/>
      <c r="I118" s="63"/>
      <c r="J118" s="63"/>
      <c r="K118" s="63"/>
      <c r="L118" s="63"/>
      <c r="M118" s="63"/>
      <c r="N118" s="63"/>
      <c r="O118" s="62"/>
      <c r="P118" s="62"/>
      <c r="Q118" s="63"/>
      <c r="R118" s="63"/>
      <c r="S118" s="63">
        <v>1.728114081971305</v>
      </c>
    </row>
    <row r="119" spans="3:20" s="51" customFormat="1">
      <c r="C119" s="175" t="s">
        <v>73</v>
      </c>
      <c r="D119" s="62"/>
      <c r="E119" s="62"/>
      <c r="F119" s="62"/>
      <c r="G119" s="62"/>
      <c r="H119" s="63"/>
      <c r="I119" s="63"/>
      <c r="J119" s="63"/>
      <c r="K119" s="63"/>
      <c r="L119" s="63"/>
      <c r="M119" s="63"/>
      <c r="N119" s="63"/>
      <c r="O119" s="62"/>
      <c r="P119" s="62">
        <v>0.53740326741186584</v>
      </c>
      <c r="Q119" s="63"/>
      <c r="R119" s="63">
        <v>-0.42992261392949266</v>
      </c>
      <c r="S119" s="63">
        <v>0.10748065348237318</v>
      </c>
    </row>
    <row r="120" spans="3:20" s="51" customFormat="1">
      <c r="C120" s="175" t="s">
        <v>74</v>
      </c>
      <c r="D120" s="62">
        <v>2.4786780164701674</v>
      </c>
      <c r="E120" s="62"/>
      <c r="F120" s="62"/>
      <c r="G120" s="188">
        <v>0</v>
      </c>
      <c r="H120" s="63"/>
      <c r="I120" s="63"/>
      <c r="J120" s="63"/>
      <c r="K120" s="63"/>
      <c r="L120" s="63"/>
      <c r="M120" s="63"/>
      <c r="N120" s="63"/>
      <c r="O120" s="62"/>
      <c r="P120" s="69">
        <v>-3.4393809114359415E-2</v>
      </c>
      <c r="Q120" s="63"/>
      <c r="R120" s="74">
        <v>4.2992261392949267E-2</v>
      </c>
      <c r="S120" s="63">
        <v>2.4872764687487572</v>
      </c>
    </row>
    <row r="121" spans="3:20" s="51" customFormat="1">
      <c r="C121" s="175" t="s">
        <v>75</v>
      </c>
      <c r="D121" s="62">
        <v>0</v>
      </c>
      <c r="E121" s="62"/>
      <c r="F121" s="62">
        <v>1.0782</v>
      </c>
      <c r="G121" s="62">
        <v>1.2420767288044043</v>
      </c>
      <c r="H121" s="63"/>
      <c r="I121" s="63"/>
      <c r="J121" s="63"/>
      <c r="K121" s="63"/>
      <c r="L121" s="63"/>
      <c r="M121" s="63"/>
      <c r="N121" s="63"/>
      <c r="O121" s="62">
        <v>5.1017483519633131E-2</v>
      </c>
      <c r="P121" s="62">
        <v>2.3564918314703358</v>
      </c>
      <c r="Q121" s="63"/>
      <c r="R121" s="63"/>
      <c r="S121" s="63">
        <v>4.7277860437943726</v>
      </c>
    </row>
    <row r="122" spans="3:20" s="51" customFormat="1">
      <c r="C122" s="175" t="s">
        <v>76</v>
      </c>
      <c r="D122" s="62"/>
      <c r="E122" s="62"/>
      <c r="F122" s="62"/>
      <c r="G122" s="62">
        <v>0.40459209271542057</v>
      </c>
      <c r="H122" s="63"/>
      <c r="I122" s="63"/>
      <c r="J122" s="63"/>
      <c r="K122" s="63"/>
      <c r="L122" s="63"/>
      <c r="M122" s="63"/>
      <c r="N122" s="63"/>
      <c r="O122" s="62"/>
      <c r="P122" s="62">
        <v>3.2860783026088267</v>
      </c>
      <c r="Q122" s="63">
        <v>0.95699744896004757</v>
      </c>
      <c r="R122" s="63"/>
      <c r="S122" s="63">
        <v>4.6476678442842951</v>
      </c>
    </row>
    <row r="123" spans="3:20" s="51" customFormat="1" ht="15.5">
      <c r="C123" s="176" t="s">
        <v>77</v>
      </c>
      <c r="D123" s="65">
        <v>2.5320977871021997</v>
      </c>
      <c r="E123" s="65">
        <v>47.778211196973203</v>
      </c>
      <c r="F123" s="65">
        <v>-45.395109251920701</v>
      </c>
      <c r="G123" s="65">
        <v>5.7843680537817681</v>
      </c>
      <c r="H123" s="65">
        <v>103.91274338838639</v>
      </c>
      <c r="I123" s="65">
        <v>14.961306964746345</v>
      </c>
      <c r="J123" s="65"/>
      <c r="K123" s="65"/>
      <c r="L123" s="65"/>
      <c r="M123" s="65"/>
      <c r="N123" s="65"/>
      <c r="O123" s="65">
        <v>7.9184052899916004</v>
      </c>
      <c r="P123" s="65">
        <v>-44.551420407623326</v>
      </c>
      <c r="Q123" s="65">
        <v>-3.6330927621837534</v>
      </c>
      <c r="R123" s="65">
        <v>-0.3869303525365434</v>
      </c>
      <c r="S123" s="65">
        <v>88.92057990671718</v>
      </c>
    </row>
    <row r="124" spans="3:20" s="51" customFormat="1" ht="15.5">
      <c r="C124" s="57"/>
      <c r="D124" s="66"/>
      <c r="E124" s="66"/>
      <c r="F124" s="66"/>
      <c r="G124" s="66"/>
      <c r="H124" s="66"/>
      <c r="I124" s="66"/>
      <c r="J124" s="66"/>
      <c r="K124" s="66"/>
      <c r="L124" s="66"/>
      <c r="M124" s="66"/>
      <c r="N124" s="66"/>
      <c r="O124" s="66"/>
      <c r="P124" s="66"/>
      <c r="Q124" s="66"/>
      <c r="R124" s="66"/>
      <c r="S124" s="66"/>
    </row>
    <row r="125" spans="3:20" s="51" customFormat="1" ht="15.5">
      <c r="C125" s="178" t="s">
        <v>78</v>
      </c>
      <c r="D125" s="62">
        <v>0</v>
      </c>
      <c r="E125" s="63"/>
      <c r="F125" s="62">
        <v>1.4729206178416236</v>
      </c>
      <c r="G125" s="62">
        <v>10.500396800049039</v>
      </c>
      <c r="H125" s="63"/>
      <c r="I125" s="63"/>
      <c r="J125" s="63"/>
      <c r="K125" s="63"/>
      <c r="L125" s="63"/>
      <c r="M125" s="63"/>
      <c r="N125" s="63"/>
      <c r="O125" s="62">
        <v>2.2533883417615286</v>
      </c>
      <c r="P125" s="62">
        <v>9.9189000147829578</v>
      </c>
      <c r="Q125" s="62">
        <v>1.0888044989932395</v>
      </c>
      <c r="R125" s="62"/>
      <c r="S125" s="63">
        <v>25.234410273428388</v>
      </c>
      <c r="T125" s="67"/>
    </row>
    <row r="126" spans="3:20" s="51" customFormat="1" ht="15.5">
      <c r="C126" s="178" t="s">
        <v>79</v>
      </c>
      <c r="D126" s="63"/>
      <c r="E126" s="63"/>
      <c r="F126" s="62">
        <v>33.467243817501647</v>
      </c>
      <c r="G126" s="62">
        <v>0.45902890397400081</v>
      </c>
      <c r="H126" s="63"/>
      <c r="I126" s="63"/>
      <c r="J126" s="63"/>
      <c r="K126" s="63"/>
      <c r="L126" s="63"/>
      <c r="M126" s="63"/>
      <c r="N126" s="63"/>
      <c r="O126" s="62">
        <v>3.0649318006802346</v>
      </c>
      <c r="P126" s="62">
        <v>2.1184928132217893</v>
      </c>
      <c r="Q126" s="62"/>
      <c r="R126" s="70">
        <v>0</v>
      </c>
      <c r="S126" s="63">
        <v>39.109697335377675</v>
      </c>
      <c r="T126" s="67"/>
    </row>
    <row r="127" spans="3:20" s="51" customFormat="1">
      <c r="C127" s="175" t="s">
        <v>80</v>
      </c>
      <c r="D127" s="62">
        <v>0</v>
      </c>
      <c r="E127" s="63"/>
      <c r="F127" s="62">
        <v>3.9393678084627735</v>
      </c>
      <c r="G127" s="62">
        <v>9.6715864226456425</v>
      </c>
      <c r="H127" s="63"/>
      <c r="I127" s="63"/>
      <c r="J127" s="63"/>
      <c r="K127" s="63"/>
      <c r="L127" s="63"/>
      <c r="M127" s="63"/>
      <c r="N127" s="63"/>
      <c r="O127" s="62">
        <v>9.5694574161932415</v>
      </c>
      <c r="P127" s="62">
        <v>12.545996400325794</v>
      </c>
      <c r="Q127" s="62">
        <v>1.7548492723748692</v>
      </c>
      <c r="R127" s="62"/>
      <c r="S127" s="63">
        <v>37.481257320002321</v>
      </c>
      <c r="T127" s="67"/>
    </row>
    <row r="128" spans="3:20" s="51" customFormat="1">
      <c r="C128" s="175" t="s">
        <v>81</v>
      </c>
      <c r="D128" s="62">
        <v>0</v>
      </c>
      <c r="E128" s="63"/>
      <c r="F128" s="62">
        <v>1.2037428576368416</v>
      </c>
      <c r="G128" s="62">
        <v>4.7420165632308739</v>
      </c>
      <c r="H128" s="63"/>
      <c r="I128" s="63"/>
      <c r="J128" s="63"/>
      <c r="K128" s="63"/>
      <c r="L128" s="63"/>
      <c r="M128" s="63"/>
      <c r="N128" s="63"/>
      <c r="O128" s="62">
        <v>2.1255433490207265</v>
      </c>
      <c r="P128" s="62">
        <v>12.383405198063125</v>
      </c>
      <c r="Q128" s="62">
        <v>0.78298531976226649</v>
      </c>
      <c r="R128" s="62"/>
      <c r="S128" s="63">
        <v>21.237693287713832</v>
      </c>
      <c r="T128" s="67"/>
    </row>
    <row r="129" spans="3:20" s="51" customFormat="1">
      <c r="C129" s="175" t="s">
        <v>82</v>
      </c>
      <c r="D129" s="62">
        <v>2.2137192704974398E-3</v>
      </c>
      <c r="E129" s="63"/>
      <c r="F129" s="62">
        <v>2.65</v>
      </c>
      <c r="G129" s="62">
        <v>0.41</v>
      </c>
      <c r="H129" s="63"/>
      <c r="I129" s="63"/>
      <c r="J129" s="63"/>
      <c r="K129" s="63"/>
      <c r="L129" s="63"/>
      <c r="M129" s="63"/>
      <c r="N129" s="63"/>
      <c r="O129" s="62">
        <v>0.24</v>
      </c>
      <c r="P129" s="62">
        <v>0.73170616791472998</v>
      </c>
      <c r="Q129" s="62">
        <v>6.4536710533781346E-3</v>
      </c>
      <c r="R129" s="62"/>
      <c r="S129" s="63">
        <v>4.0403735582386053</v>
      </c>
      <c r="T129" s="67"/>
    </row>
    <row r="130" spans="3:20" s="51" customFormat="1" ht="15.5">
      <c r="C130" s="176" t="s">
        <v>83</v>
      </c>
      <c r="D130" s="65">
        <v>2.2137192704974398E-3</v>
      </c>
      <c r="E130" s="65">
        <v>0</v>
      </c>
      <c r="F130" s="65">
        <v>42.733275101442885</v>
      </c>
      <c r="G130" s="65">
        <v>25.783028689899556</v>
      </c>
      <c r="H130" s="65">
        <v>0</v>
      </c>
      <c r="I130" s="65">
        <v>0</v>
      </c>
      <c r="J130" s="65"/>
      <c r="K130" s="65"/>
      <c r="L130" s="65"/>
      <c r="M130" s="65"/>
      <c r="N130" s="65"/>
      <c r="O130" s="65">
        <v>17.253320907655731</v>
      </c>
      <c r="P130" s="65">
        <v>37.698500594308399</v>
      </c>
      <c r="Q130" s="65">
        <v>3.6330927621837534</v>
      </c>
      <c r="R130" s="65">
        <v>0</v>
      </c>
      <c r="S130" s="65">
        <v>127.10343177476082</v>
      </c>
    </row>
    <row r="131" spans="3:20" s="51" customFormat="1">
      <c r="C131" s="175" t="s">
        <v>84</v>
      </c>
      <c r="D131" s="63">
        <v>0.11450973903079993</v>
      </c>
      <c r="E131" s="63"/>
      <c r="F131" s="68">
        <v>10.358743329384168</v>
      </c>
      <c r="G131" s="68">
        <v>0.8575152317057565</v>
      </c>
      <c r="H131" s="63"/>
      <c r="I131" s="63"/>
      <c r="J131" s="63"/>
      <c r="K131" s="63"/>
      <c r="L131" s="63"/>
      <c r="M131" s="63"/>
      <c r="N131" s="63"/>
      <c r="O131" s="63"/>
      <c r="P131" s="63"/>
      <c r="Q131" s="63"/>
      <c r="R131" s="63">
        <v>0.3869303525365434</v>
      </c>
      <c r="S131" s="63">
        <v>11.717698652657267</v>
      </c>
    </row>
    <row r="132" spans="3:20" s="51" customFormat="1" ht="15.5">
      <c r="C132" s="176" t="s">
        <v>85</v>
      </c>
      <c r="D132" s="65">
        <v>0.11672345830129738</v>
      </c>
      <c r="E132" s="65">
        <v>0</v>
      </c>
      <c r="F132" s="65">
        <v>53.092018430827054</v>
      </c>
      <c r="G132" s="65">
        <v>26.640543921605314</v>
      </c>
      <c r="H132" s="65">
        <v>0</v>
      </c>
      <c r="I132" s="65">
        <v>0</v>
      </c>
      <c r="J132" s="65"/>
      <c r="K132" s="65"/>
      <c r="L132" s="65"/>
      <c r="M132" s="65"/>
      <c r="N132" s="65"/>
      <c r="O132" s="65">
        <v>17.253320907655731</v>
      </c>
      <c r="P132" s="65">
        <v>37.698500594308399</v>
      </c>
      <c r="Q132" s="65">
        <v>3.6330927621837534</v>
      </c>
      <c r="R132" s="65">
        <v>0.3869303525365434</v>
      </c>
      <c r="S132" s="65">
        <v>138.8211304274181</v>
      </c>
    </row>
    <row r="143" spans="3:20" s="51" customFormat="1" ht="15.5">
      <c r="C143" s="59" t="s">
        <v>88</v>
      </c>
      <c r="D143" s="53"/>
      <c r="E143" s="53"/>
      <c r="F143" s="53"/>
      <c r="G143" s="53"/>
      <c r="H143" s="53"/>
      <c r="I143" s="54"/>
      <c r="J143" s="54"/>
      <c r="K143" s="54"/>
      <c r="L143" s="54"/>
      <c r="M143" s="54"/>
      <c r="N143" s="54"/>
      <c r="O143" s="53"/>
      <c r="P143" s="53"/>
      <c r="Q143" s="53"/>
      <c r="R143" s="53"/>
      <c r="S143" s="53"/>
    </row>
    <row r="146" spans="3:19" s="51" customFormat="1" ht="29">
      <c r="C146" s="56" t="s">
        <v>51</v>
      </c>
      <c r="D146" s="174" t="s">
        <v>42</v>
      </c>
      <c r="E146" s="174" t="s">
        <v>52</v>
      </c>
      <c r="F146" s="174" t="s">
        <v>53</v>
      </c>
      <c r="G146" s="174" t="s">
        <v>54</v>
      </c>
      <c r="H146" s="174" t="s">
        <v>20</v>
      </c>
      <c r="I146" s="174" t="s">
        <v>55</v>
      </c>
      <c r="J146" s="174"/>
      <c r="K146" s="174"/>
      <c r="L146" s="174"/>
      <c r="M146" s="174"/>
      <c r="N146" s="174"/>
      <c r="O146" s="174" t="s">
        <v>56</v>
      </c>
      <c r="P146" s="174" t="s">
        <v>57</v>
      </c>
      <c r="Q146" s="174" t="s">
        <v>58</v>
      </c>
      <c r="R146" s="174" t="s">
        <v>31</v>
      </c>
      <c r="S146" s="174" t="s">
        <v>10</v>
      </c>
    </row>
    <row r="147" spans="3:19" s="51" customFormat="1" ht="15.5">
      <c r="C147" s="60"/>
      <c r="D147" s="61"/>
      <c r="E147" s="61"/>
      <c r="F147" s="61"/>
      <c r="G147" s="61"/>
      <c r="H147" s="61"/>
      <c r="I147" s="61"/>
      <c r="J147" s="61"/>
      <c r="K147" s="61"/>
      <c r="L147" s="61"/>
      <c r="M147" s="61"/>
      <c r="N147" s="61"/>
      <c r="O147" s="61"/>
      <c r="P147" s="61"/>
      <c r="Q147" s="61"/>
      <c r="R147" s="61"/>
      <c r="S147" s="61"/>
    </row>
    <row r="148" spans="3:19" s="51" customFormat="1">
      <c r="C148" s="175" t="s">
        <v>59</v>
      </c>
      <c r="D148" s="62">
        <v>0</v>
      </c>
      <c r="E148" s="62">
        <v>0.6</v>
      </c>
      <c r="F148" s="62">
        <v>0</v>
      </c>
      <c r="G148" s="62">
        <v>0.01</v>
      </c>
      <c r="H148" s="63">
        <v>87.505468116535909</v>
      </c>
      <c r="I148" s="63">
        <v>19.604471195184864</v>
      </c>
      <c r="J148" s="63"/>
      <c r="K148" s="63"/>
      <c r="L148" s="63"/>
      <c r="M148" s="63"/>
      <c r="N148" s="63"/>
      <c r="O148" s="62">
        <v>27.652813608001015</v>
      </c>
      <c r="P148" s="63"/>
      <c r="Q148" s="63"/>
      <c r="R148" s="63"/>
      <c r="S148" s="63">
        <v>135.37275291972179</v>
      </c>
    </row>
    <row r="149" spans="3:19" s="51" customFormat="1">
      <c r="C149" s="175" t="s">
        <v>60</v>
      </c>
      <c r="D149" s="62">
        <v>2.1426447253399448</v>
      </c>
      <c r="E149" s="62">
        <v>40.135568603962227</v>
      </c>
      <c r="F149" s="62">
        <v>11.603738828489348</v>
      </c>
      <c r="G149" s="62">
        <v>27.110364556531959</v>
      </c>
      <c r="H149" s="63"/>
      <c r="I149" s="63"/>
      <c r="J149" s="63"/>
      <c r="K149" s="63"/>
      <c r="L149" s="63"/>
      <c r="M149" s="63"/>
      <c r="N149" s="63"/>
      <c r="O149" s="63">
        <v>1.1840600232316554</v>
      </c>
      <c r="P149" s="63">
        <v>0</v>
      </c>
      <c r="Q149" s="63"/>
      <c r="R149" s="63"/>
      <c r="S149" s="63">
        <v>82.176376737555131</v>
      </c>
    </row>
    <row r="150" spans="3:19" s="51" customFormat="1">
      <c r="C150" s="175" t="s">
        <v>61</v>
      </c>
      <c r="D150" s="71">
        <v>0</v>
      </c>
      <c r="E150" s="71">
        <v>0</v>
      </c>
      <c r="F150" s="62">
        <v>0</v>
      </c>
      <c r="G150" s="71">
        <v>0</v>
      </c>
      <c r="H150" s="63"/>
      <c r="I150" s="63"/>
      <c r="J150" s="63"/>
      <c r="K150" s="63"/>
      <c r="L150" s="63"/>
      <c r="M150" s="63"/>
      <c r="N150" s="63"/>
      <c r="O150" s="71">
        <v>0</v>
      </c>
      <c r="P150" s="63">
        <v>-5.338388011490764</v>
      </c>
      <c r="Q150" s="63"/>
      <c r="R150" s="63"/>
      <c r="S150" s="63">
        <v>-5.338388011490764</v>
      </c>
    </row>
    <row r="151" spans="3:19" s="51" customFormat="1">
      <c r="C151" s="175" t="s">
        <v>62</v>
      </c>
      <c r="D151" s="63"/>
      <c r="E151" s="63"/>
      <c r="F151" s="63">
        <v>-1.1000000000000001</v>
      </c>
      <c r="G151" s="63"/>
      <c r="H151" s="63"/>
      <c r="I151" s="63"/>
      <c r="J151" s="63"/>
      <c r="K151" s="63"/>
      <c r="L151" s="63"/>
      <c r="M151" s="63"/>
      <c r="N151" s="63"/>
      <c r="O151" s="63"/>
      <c r="P151" s="63"/>
      <c r="Q151" s="63"/>
      <c r="R151" s="63"/>
      <c r="S151" s="63">
        <v>-1.1000000000000001</v>
      </c>
    </row>
    <row r="152" spans="3:19" s="51" customFormat="1">
      <c r="C152" s="175" t="s">
        <v>63</v>
      </c>
      <c r="D152" s="63"/>
      <c r="E152" s="63"/>
      <c r="F152" s="63">
        <v>-7.3263599105945998</v>
      </c>
      <c r="G152" s="63"/>
      <c r="H152" s="63"/>
      <c r="I152" s="63"/>
      <c r="J152" s="63"/>
      <c r="K152" s="63"/>
      <c r="L152" s="63"/>
      <c r="M152" s="63"/>
      <c r="N152" s="63"/>
      <c r="O152" s="63"/>
      <c r="P152" s="63"/>
      <c r="Q152" s="63"/>
      <c r="R152" s="63"/>
      <c r="S152" s="63">
        <v>-7.3263599105945998</v>
      </c>
    </row>
    <row r="153" spans="3:19" s="51" customFormat="1">
      <c r="C153" s="175" t="s">
        <v>64</v>
      </c>
      <c r="D153" s="63"/>
      <c r="E153" s="63"/>
      <c r="F153" s="63"/>
      <c r="G153" s="63"/>
      <c r="H153" s="63"/>
      <c r="I153" s="63"/>
      <c r="J153" s="63"/>
      <c r="K153" s="63"/>
      <c r="L153" s="63"/>
      <c r="M153" s="63"/>
      <c r="N153" s="63"/>
      <c r="O153" s="63"/>
      <c r="P153" s="63"/>
      <c r="Q153" s="63"/>
      <c r="R153" s="63"/>
      <c r="S153" s="63">
        <v>0</v>
      </c>
    </row>
    <row r="154" spans="3:19" s="51" customFormat="1" ht="15.5">
      <c r="C154" s="176" t="s">
        <v>65</v>
      </c>
      <c r="D154" s="72">
        <v>2.1426447253399448</v>
      </c>
      <c r="E154" s="72">
        <v>40.735568603962228</v>
      </c>
      <c r="F154" s="72">
        <v>3.1773789178947487</v>
      </c>
      <c r="G154" s="72">
        <v>27.12036455653196</v>
      </c>
      <c r="H154" s="72">
        <v>87.505468116535909</v>
      </c>
      <c r="I154" s="72">
        <v>19.604471195184864</v>
      </c>
      <c r="J154" s="72"/>
      <c r="K154" s="72"/>
      <c r="L154" s="72"/>
      <c r="M154" s="72"/>
      <c r="N154" s="72"/>
      <c r="O154" s="72">
        <v>28.83687363123267</v>
      </c>
      <c r="P154" s="72">
        <v>-5.338388011490764</v>
      </c>
      <c r="Q154" s="72">
        <v>0</v>
      </c>
      <c r="R154" s="72"/>
      <c r="S154" s="72">
        <v>203.78438173519157</v>
      </c>
    </row>
    <row r="155" spans="3:19" s="51" customFormat="1" ht="15.5">
      <c r="C155" s="57"/>
      <c r="D155" s="73"/>
      <c r="E155" s="73"/>
      <c r="F155" s="73"/>
      <c r="G155" s="73"/>
      <c r="H155" s="73"/>
      <c r="I155" s="73"/>
      <c r="J155" s="73"/>
      <c r="K155" s="73"/>
      <c r="L155" s="73"/>
      <c r="M155" s="73"/>
      <c r="N155" s="73"/>
      <c r="O155" s="73"/>
      <c r="P155" s="73"/>
      <c r="Q155" s="73"/>
      <c r="R155" s="73"/>
      <c r="S155" s="73"/>
    </row>
    <row r="156" spans="3:19" s="51" customFormat="1">
      <c r="C156" s="175" t="s">
        <v>66</v>
      </c>
      <c r="D156" s="63"/>
      <c r="E156" s="63"/>
      <c r="F156" s="63"/>
      <c r="G156" s="63"/>
      <c r="H156" s="63"/>
      <c r="I156" s="63"/>
      <c r="J156" s="63"/>
      <c r="K156" s="63"/>
      <c r="L156" s="63"/>
      <c r="M156" s="63"/>
      <c r="N156" s="63"/>
      <c r="O156" s="63"/>
      <c r="P156" s="63"/>
      <c r="Q156" s="63"/>
      <c r="R156" s="63"/>
      <c r="S156" s="63">
        <v>0</v>
      </c>
    </row>
    <row r="157" spans="3:19" s="51" customFormat="1">
      <c r="C157" s="175" t="s">
        <v>67</v>
      </c>
      <c r="D157" s="62"/>
      <c r="E157" s="62"/>
      <c r="F157" s="62"/>
      <c r="G157" s="62"/>
      <c r="H157" s="63"/>
      <c r="I157" s="63"/>
      <c r="J157" s="63"/>
      <c r="K157" s="63"/>
      <c r="L157" s="63"/>
      <c r="M157" s="63"/>
      <c r="N157" s="63"/>
      <c r="O157" s="63"/>
      <c r="P157" s="63"/>
      <c r="Q157" s="63"/>
      <c r="R157" s="63"/>
      <c r="S157" s="63">
        <v>0</v>
      </c>
    </row>
    <row r="158" spans="3:19" s="51" customFormat="1">
      <c r="C158" s="175" t="s">
        <v>68</v>
      </c>
      <c r="D158" s="62">
        <v>0</v>
      </c>
      <c r="E158" s="62">
        <v>0</v>
      </c>
      <c r="F158" s="62"/>
      <c r="G158" s="62">
        <v>4.0829815025015792</v>
      </c>
      <c r="H158" s="63">
        <v>87.505468116535909</v>
      </c>
      <c r="I158" s="63">
        <v>19.604471195184864</v>
      </c>
      <c r="J158" s="63"/>
      <c r="K158" s="63"/>
      <c r="L158" s="63"/>
      <c r="M158" s="63"/>
      <c r="N158" s="63"/>
      <c r="O158" s="62">
        <v>2.3645743766122096</v>
      </c>
      <c r="P158" s="62">
        <v>-50.266999999999996</v>
      </c>
      <c r="Q158" s="63"/>
      <c r="R158" s="63"/>
      <c r="S158" s="63">
        <v>63.290495190834577</v>
      </c>
    </row>
    <row r="159" spans="3:19" s="51" customFormat="1">
      <c r="C159" s="175" t="s">
        <v>69</v>
      </c>
      <c r="D159" s="62"/>
      <c r="E159" s="62"/>
      <c r="F159" s="62"/>
      <c r="G159" s="62"/>
      <c r="H159" s="63"/>
      <c r="I159" s="63"/>
      <c r="J159" s="63"/>
      <c r="K159" s="63"/>
      <c r="L159" s="63"/>
      <c r="M159" s="63"/>
      <c r="N159" s="63"/>
      <c r="O159" s="62"/>
      <c r="P159" s="62"/>
      <c r="Q159" s="63"/>
      <c r="R159" s="63"/>
      <c r="S159" s="63">
        <v>0</v>
      </c>
    </row>
    <row r="160" spans="3:19" s="51" customFormat="1">
      <c r="C160" s="175" t="s">
        <v>70</v>
      </c>
      <c r="D160" s="62">
        <v>0</v>
      </c>
      <c r="E160" s="62"/>
      <c r="F160" s="62">
        <v>0</v>
      </c>
      <c r="G160" s="62">
        <v>1.1033714738962501</v>
      </c>
      <c r="H160" s="63"/>
      <c r="I160" s="63"/>
      <c r="J160" s="63"/>
      <c r="K160" s="63"/>
      <c r="L160" s="63"/>
      <c r="M160" s="63"/>
      <c r="N160" s="63"/>
      <c r="O160" s="62">
        <v>3.4223564102833111</v>
      </c>
      <c r="P160" s="62"/>
      <c r="Q160" s="63">
        <v>-5.0031456465819746</v>
      </c>
      <c r="R160" s="63"/>
      <c r="S160" s="63">
        <v>-0.47741776240241318</v>
      </c>
    </row>
    <row r="161" spans="3:20" s="51" customFormat="1">
      <c r="C161" s="175" t="s">
        <v>71</v>
      </c>
      <c r="D161" s="62"/>
      <c r="E161" s="62"/>
      <c r="F161" s="62"/>
      <c r="G161" s="62">
        <v>-3.0305707441718415</v>
      </c>
      <c r="H161" s="63"/>
      <c r="I161" s="63"/>
      <c r="J161" s="63"/>
      <c r="K161" s="63"/>
      <c r="L161" s="63"/>
      <c r="M161" s="63"/>
      <c r="N161" s="63"/>
      <c r="O161" s="62">
        <v>3.7882134302148018</v>
      </c>
      <c r="P161" s="62"/>
      <c r="Q161" s="63"/>
      <c r="R161" s="63"/>
      <c r="S161" s="63">
        <v>0.75764268604296037</v>
      </c>
    </row>
    <row r="162" spans="3:20" s="51" customFormat="1">
      <c r="C162" s="175" t="s">
        <v>72</v>
      </c>
      <c r="D162" s="62"/>
      <c r="E162" s="62">
        <v>40.735568603962228</v>
      </c>
      <c r="F162" s="62">
        <v>-39.731196478800598</v>
      </c>
      <c r="G162" s="62">
        <v>0.33698049084305848</v>
      </c>
      <c r="H162" s="63"/>
      <c r="I162" s="63"/>
      <c r="J162" s="63"/>
      <c r="K162" s="63"/>
      <c r="L162" s="63"/>
      <c r="M162" s="63"/>
      <c r="N162" s="63"/>
      <c r="O162" s="62"/>
      <c r="P162" s="62"/>
      <c r="Q162" s="63"/>
      <c r="R162" s="63"/>
      <c r="S162" s="63">
        <v>1.3413526160046889</v>
      </c>
    </row>
    <row r="163" spans="3:20" s="51" customFormat="1">
      <c r="C163" s="175" t="s">
        <v>73</v>
      </c>
      <c r="D163" s="62"/>
      <c r="E163" s="62"/>
      <c r="F163" s="62"/>
      <c r="G163" s="62"/>
      <c r="H163" s="63"/>
      <c r="I163" s="63"/>
      <c r="J163" s="63"/>
      <c r="K163" s="63"/>
      <c r="L163" s="63"/>
      <c r="M163" s="63"/>
      <c r="N163" s="63"/>
      <c r="O163" s="62"/>
      <c r="P163" s="62">
        <v>2.1496130696474633</v>
      </c>
      <c r="Q163" s="63"/>
      <c r="R163" s="63">
        <v>-1.7196904557179706</v>
      </c>
      <c r="S163" s="63">
        <v>0.42992261392949271</v>
      </c>
    </row>
    <row r="164" spans="3:20" s="51" customFormat="1">
      <c r="C164" s="175" t="s">
        <v>74</v>
      </c>
      <c r="D164" s="62">
        <v>2.1404310060694471</v>
      </c>
      <c r="E164" s="62"/>
      <c r="F164" s="62"/>
      <c r="G164" s="69">
        <v>-0.15477214101461736</v>
      </c>
      <c r="H164" s="74"/>
      <c r="I164" s="74"/>
      <c r="J164" s="74"/>
      <c r="K164" s="74"/>
      <c r="L164" s="74"/>
      <c r="M164" s="74"/>
      <c r="N164" s="74"/>
      <c r="O164" s="69"/>
      <c r="P164" s="69">
        <v>-0.2063628546861565</v>
      </c>
      <c r="Q164" s="63"/>
      <c r="R164" s="74">
        <v>0.42992261392949271</v>
      </c>
      <c r="S164" s="63">
        <v>2.209218624298166</v>
      </c>
    </row>
    <row r="165" spans="3:20" s="51" customFormat="1">
      <c r="C165" s="175" t="s">
        <v>75</v>
      </c>
      <c r="D165" s="62">
        <v>0</v>
      </c>
      <c r="E165" s="62"/>
      <c r="F165" s="62">
        <v>1.0782</v>
      </c>
      <c r="G165" s="62">
        <v>1.2420767288044043</v>
      </c>
      <c r="H165" s="63"/>
      <c r="I165" s="63"/>
      <c r="J165" s="63"/>
      <c r="K165" s="63"/>
      <c r="L165" s="63"/>
      <c r="M165" s="63"/>
      <c r="N165" s="63"/>
      <c r="O165" s="62">
        <v>5.1017483519633131E-2</v>
      </c>
      <c r="P165" s="62">
        <v>2.3520206362854692</v>
      </c>
      <c r="Q165" s="63"/>
      <c r="R165" s="63"/>
      <c r="S165" s="63">
        <v>4.7233148486095065</v>
      </c>
    </row>
    <row r="166" spans="3:20" s="51" customFormat="1">
      <c r="C166" s="175" t="s">
        <v>76</v>
      </c>
      <c r="D166" s="62"/>
      <c r="E166" s="62"/>
      <c r="F166" s="62"/>
      <c r="G166" s="62">
        <v>0.3535258483957765</v>
      </c>
      <c r="H166" s="63"/>
      <c r="I166" s="63"/>
      <c r="J166" s="63"/>
      <c r="K166" s="63"/>
      <c r="L166" s="63"/>
      <c r="M166" s="63"/>
      <c r="N166" s="63"/>
      <c r="O166" s="62"/>
      <c r="P166" s="62">
        <v>3.2582065612805073</v>
      </c>
      <c r="Q166" s="63">
        <v>1.0431162352605265</v>
      </c>
      <c r="R166" s="63"/>
      <c r="S166" s="63">
        <v>4.6548486449368109</v>
      </c>
    </row>
    <row r="167" spans="3:20" s="51" customFormat="1" ht="15.5">
      <c r="C167" s="176" t="s">
        <v>77</v>
      </c>
      <c r="D167" s="72">
        <v>2.1404310060694471</v>
      </c>
      <c r="E167" s="72">
        <v>40.735568603962228</v>
      </c>
      <c r="F167" s="72">
        <v>-38.652996478800596</v>
      </c>
      <c r="G167" s="72">
        <v>3.9335931592546101</v>
      </c>
      <c r="H167" s="72">
        <v>87.505468116535909</v>
      </c>
      <c r="I167" s="72">
        <v>19.604471195184864</v>
      </c>
      <c r="J167" s="72"/>
      <c r="K167" s="72"/>
      <c r="L167" s="72"/>
      <c r="M167" s="72"/>
      <c r="N167" s="72"/>
      <c r="O167" s="72">
        <v>9.6261617006299556</v>
      </c>
      <c r="P167" s="72">
        <v>-42.71352258747271</v>
      </c>
      <c r="Q167" s="72">
        <v>-3.960029411321448</v>
      </c>
      <c r="R167" s="65">
        <v>-1.2897678417884779</v>
      </c>
      <c r="S167" s="72">
        <v>76.929377462253782</v>
      </c>
    </row>
    <row r="168" spans="3:20" s="51" customFormat="1" ht="15.5">
      <c r="C168" s="57"/>
      <c r="D168" s="73"/>
      <c r="E168" s="73"/>
      <c r="F168" s="73"/>
      <c r="G168" s="73"/>
      <c r="H168" s="73"/>
      <c r="I168" s="73"/>
      <c r="J168" s="73"/>
      <c r="K168" s="73"/>
      <c r="L168" s="73"/>
      <c r="M168" s="73"/>
      <c r="N168" s="73"/>
      <c r="O168" s="73"/>
      <c r="P168" s="73"/>
      <c r="Q168" s="73"/>
      <c r="R168" s="73"/>
      <c r="S168" s="73"/>
    </row>
    <row r="169" spans="3:20" s="51" customFormat="1" ht="15.5">
      <c r="C169" s="178" t="s">
        <v>78</v>
      </c>
      <c r="D169" s="62">
        <v>0</v>
      </c>
      <c r="E169" s="63"/>
      <c r="F169" s="62">
        <v>0.91047471072988595</v>
      </c>
      <c r="G169" s="62">
        <v>9.2828412206946656</v>
      </c>
      <c r="H169" s="63"/>
      <c r="I169" s="63"/>
      <c r="J169" s="63"/>
      <c r="K169" s="63"/>
      <c r="L169" s="63"/>
      <c r="M169" s="63"/>
      <c r="N169" s="63"/>
      <c r="O169" s="62">
        <v>2.797481014933286</v>
      </c>
      <c r="P169" s="62">
        <v>9.8446264808181319</v>
      </c>
      <c r="Q169" s="62">
        <v>1.0065715207299948</v>
      </c>
      <c r="R169" s="62"/>
      <c r="S169" s="63">
        <v>23.841994947905963</v>
      </c>
      <c r="T169" s="67"/>
    </row>
    <row r="170" spans="3:20" s="51" customFormat="1" ht="15.5">
      <c r="C170" s="178" t="s">
        <v>79</v>
      </c>
      <c r="D170" s="63"/>
      <c r="E170" s="63"/>
      <c r="F170" s="62">
        <v>27.751715068457877</v>
      </c>
      <c r="G170" s="62">
        <v>0.93047307809883106</v>
      </c>
      <c r="H170" s="63"/>
      <c r="I170" s="63"/>
      <c r="J170" s="63"/>
      <c r="K170" s="63"/>
      <c r="L170" s="63"/>
      <c r="M170" s="63"/>
      <c r="N170" s="63"/>
      <c r="O170" s="62">
        <v>3.2186817504954033</v>
      </c>
      <c r="P170" s="62">
        <v>3.1579242402183425</v>
      </c>
      <c r="Q170" s="62"/>
      <c r="R170" s="70">
        <v>0</v>
      </c>
      <c r="S170" s="75">
        <v>35.058794137270453</v>
      </c>
      <c r="T170" s="67"/>
    </row>
    <row r="171" spans="3:20" s="51" customFormat="1">
      <c r="C171" s="175" t="s">
        <v>80</v>
      </c>
      <c r="D171" s="62">
        <v>0</v>
      </c>
      <c r="E171" s="63"/>
      <c r="F171" s="62">
        <v>1.746497298641001</v>
      </c>
      <c r="G171" s="62">
        <v>8.4644882734430098</v>
      </c>
      <c r="H171" s="63"/>
      <c r="I171" s="63"/>
      <c r="J171" s="63"/>
      <c r="K171" s="63"/>
      <c r="L171" s="63"/>
      <c r="M171" s="63"/>
      <c r="N171" s="63"/>
      <c r="O171" s="62">
        <v>10.300321992032506</v>
      </c>
      <c r="P171" s="62">
        <v>11.885627565252159</v>
      </c>
      <c r="Q171" s="62">
        <v>2.1555790280909841</v>
      </c>
      <c r="R171" s="62"/>
      <c r="S171" s="63">
        <v>34.552514157459662</v>
      </c>
      <c r="T171" s="67"/>
    </row>
    <row r="172" spans="3:20" s="51" customFormat="1">
      <c r="C172" s="175" t="s">
        <v>81</v>
      </c>
      <c r="D172" s="62">
        <v>0</v>
      </c>
      <c r="E172" s="63"/>
      <c r="F172" s="62">
        <v>0.60659804706016329</v>
      </c>
      <c r="G172" s="62">
        <v>3.373347366526199</v>
      </c>
      <c r="H172" s="63"/>
      <c r="I172" s="63"/>
      <c r="J172" s="63"/>
      <c r="K172" s="63"/>
      <c r="L172" s="63"/>
      <c r="M172" s="63"/>
      <c r="N172" s="63"/>
      <c r="O172" s="62">
        <v>2.5554110979101758</v>
      </c>
      <c r="P172" s="62">
        <v>11.711297347178387</v>
      </c>
      <c r="Q172" s="62">
        <v>0.79142519144709034</v>
      </c>
      <c r="R172" s="62"/>
      <c r="S172" s="63">
        <v>19.038079050122015</v>
      </c>
      <c r="T172" s="67"/>
    </row>
    <row r="173" spans="3:20" s="51" customFormat="1">
      <c r="C173" s="175" t="s">
        <v>82</v>
      </c>
      <c r="D173" s="62">
        <v>2.2137192704974398E-3</v>
      </c>
      <c r="E173" s="63"/>
      <c r="F173" s="62">
        <v>2.28816075231342</v>
      </c>
      <c r="G173" s="62">
        <v>0.47763215046268398</v>
      </c>
      <c r="H173" s="63"/>
      <c r="I173" s="63"/>
      <c r="J173" s="63"/>
      <c r="K173" s="63"/>
      <c r="L173" s="63"/>
      <c r="M173" s="63"/>
      <c r="N173" s="63"/>
      <c r="O173" s="62">
        <v>0.338816075231342</v>
      </c>
      <c r="P173" s="62">
        <v>0.77565894251492096</v>
      </c>
      <c r="Q173" s="62">
        <v>6.4536710533781346E-3</v>
      </c>
      <c r="R173" s="62"/>
      <c r="S173" s="63">
        <v>3.8889353108462426</v>
      </c>
      <c r="T173" s="67"/>
    </row>
    <row r="174" spans="3:20" s="51" customFormat="1" ht="15.5">
      <c r="C174" s="176" t="s">
        <v>83</v>
      </c>
      <c r="D174" s="72">
        <v>2.2137192704974398E-3</v>
      </c>
      <c r="E174" s="72">
        <v>0</v>
      </c>
      <c r="F174" s="72">
        <v>33.30344587720235</v>
      </c>
      <c r="G174" s="72">
        <v>22.528782089225395</v>
      </c>
      <c r="H174" s="72">
        <v>0</v>
      </c>
      <c r="I174" s="72">
        <v>0</v>
      </c>
      <c r="J174" s="72"/>
      <c r="K174" s="72"/>
      <c r="L174" s="72"/>
      <c r="M174" s="72"/>
      <c r="N174" s="72"/>
      <c r="O174" s="72">
        <v>19.210711930602717</v>
      </c>
      <c r="P174" s="72">
        <v>37.375134575981946</v>
      </c>
      <c r="Q174" s="72">
        <v>3.9600294113214476</v>
      </c>
      <c r="R174" s="65">
        <v>0</v>
      </c>
      <c r="S174" s="72">
        <v>116.38031760360433</v>
      </c>
    </row>
    <row r="175" spans="3:20" s="51" customFormat="1">
      <c r="C175" s="175" t="s">
        <v>84</v>
      </c>
      <c r="D175" s="63">
        <v>0</v>
      </c>
      <c r="E175" s="63"/>
      <c r="F175" s="62">
        <v>8.5269295194929953</v>
      </c>
      <c r="G175" s="62">
        <v>0.65798930805195532</v>
      </c>
      <c r="H175" s="63"/>
      <c r="I175" s="63"/>
      <c r="J175" s="63"/>
      <c r="K175" s="63"/>
      <c r="L175" s="63"/>
      <c r="M175" s="63"/>
      <c r="N175" s="63"/>
      <c r="O175" s="63"/>
      <c r="P175" s="63"/>
      <c r="Q175" s="63"/>
      <c r="R175" s="63">
        <v>1.2897678417884779</v>
      </c>
      <c r="S175" s="63">
        <v>10.47468666933343</v>
      </c>
    </row>
    <row r="176" spans="3:20" s="51" customFormat="1" ht="15.5">
      <c r="C176" s="176" t="s">
        <v>85</v>
      </c>
      <c r="D176" s="72">
        <v>2.2137192704974398E-3</v>
      </c>
      <c r="E176" s="72">
        <v>0</v>
      </c>
      <c r="F176" s="72">
        <v>41.830375396695345</v>
      </c>
      <c r="G176" s="72">
        <v>23.186771397277351</v>
      </c>
      <c r="H176" s="72">
        <v>0</v>
      </c>
      <c r="I176" s="72">
        <v>0</v>
      </c>
      <c r="J176" s="72"/>
      <c r="K176" s="72"/>
      <c r="L176" s="72"/>
      <c r="M176" s="72"/>
      <c r="N176" s="72"/>
      <c r="O176" s="72">
        <v>19.210711930602717</v>
      </c>
      <c r="P176" s="72">
        <v>37.375134575981946</v>
      </c>
      <c r="Q176" s="72">
        <v>3.9600294113214476</v>
      </c>
      <c r="R176" s="72">
        <v>1.2897678417884779</v>
      </c>
      <c r="S176" s="72">
        <v>126.85500427293775</v>
      </c>
    </row>
    <row r="187" spans="3:21" s="51" customFormat="1" ht="15.5">
      <c r="C187" s="59" t="s">
        <v>89</v>
      </c>
      <c r="D187" s="53"/>
      <c r="E187" s="53"/>
      <c r="F187" s="53"/>
      <c r="G187" s="53"/>
      <c r="H187" s="53"/>
      <c r="I187" s="54"/>
      <c r="J187" s="54"/>
      <c r="K187" s="54"/>
      <c r="L187" s="54"/>
      <c r="M187" s="54"/>
      <c r="N187" s="54"/>
      <c r="O187" s="53"/>
      <c r="P187" s="53"/>
      <c r="Q187" s="53"/>
      <c r="R187" s="53"/>
      <c r="S187" s="53"/>
    </row>
    <row r="190" spans="3:21" s="51" customFormat="1" ht="29">
      <c r="C190" s="56" t="s">
        <v>51</v>
      </c>
      <c r="D190" s="174" t="s">
        <v>42</v>
      </c>
      <c r="E190" s="174" t="s">
        <v>52</v>
      </c>
      <c r="F190" s="174" t="s">
        <v>53</v>
      </c>
      <c r="G190" s="174" t="s">
        <v>54</v>
      </c>
      <c r="H190" s="174" t="s">
        <v>20</v>
      </c>
      <c r="I190" s="174" t="s">
        <v>55</v>
      </c>
      <c r="J190" s="174"/>
      <c r="K190" s="174"/>
      <c r="L190" s="174"/>
      <c r="M190" s="174"/>
      <c r="N190" s="174"/>
      <c r="O190" s="174" t="s">
        <v>56</v>
      </c>
      <c r="P190" s="174" t="s">
        <v>57</v>
      </c>
      <c r="Q190" s="174" t="s">
        <v>58</v>
      </c>
      <c r="R190" s="174" t="s">
        <v>31</v>
      </c>
      <c r="S190" s="174" t="s">
        <v>10</v>
      </c>
    </row>
    <row r="191" spans="3:21" s="51" customFormat="1" ht="15.5">
      <c r="C191" s="60"/>
      <c r="D191" s="61"/>
      <c r="E191" s="61"/>
      <c r="F191" s="61"/>
      <c r="G191" s="61"/>
      <c r="H191" s="61"/>
      <c r="I191" s="61"/>
      <c r="J191" s="61"/>
      <c r="K191" s="61"/>
      <c r="L191" s="61"/>
      <c r="M191" s="61"/>
      <c r="N191" s="61"/>
      <c r="O191" s="61"/>
      <c r="P191" s="61"/>
      <c r="Q191" s="61"/>
      <c r="R191" s="61"/>
      <c r="S191" s="61"/>
      <c r="U191" s="55"/>
    </row>
    <row r="192" spans="3:21" s="51" customFormat="1">
      <c r="C192" s="175" t="s">
        <v>59</v>
      </c>
      <c r="D192" s="62">
        <v>0</v>
      </c>
      <c r="E192" s="62">
        <v>0</v>
      </c>
      <c r="F192" s="62">
        <v>0</v>
      </c>
      <c r="G192" s="62">
        <v>0</v>
      </c>
      <c r="H192" s="63">
        <v>27.345458786417471</v>
      </c>
      <c r="I192" s="63">
        <v>46.775580395528799</v>
      </c>
      <c r="J192" s="63"/>
      <c r="K192" s="63"/>
      <c r="L192" s="63"/>
      <c r="M192" s="63"/>
      <c r="N192" s="63"/>
      <c r="O192" s="62">
        <v>39.150228110130641</v>
      </c>
      <c r="P192" s="63"/>
      <c r="Q192" s="63"/>
      <c r="R192" s="63"/>
      <c r="S192" s="63">
        <v>113.27126729207691</v>
      </c>
    </row>
    <row r="193" spans="3:19" s="51" customFormat="1">
      <c r="C193" s="175" t="s">
        <v>60</v>
      </c>
      <c r="D193" s="62">
        <v>0.74697394369004599</v>
      </c>
      <c r="E193" s="62">
        <v>0</v>
      </c>
      <c r="F193" s="62">
        <v>15.265776616616671</v>
      </c>
      <c r="G193" s="62">
        <v>0</v>
      </c>
      <c r="H193" s="63"/>
      <c r="I193" s="63"/>
      <c r="J193" s="63"/>
      <c r="K193" s="63"/>
      <c r="L193" s="63"/>
      <c r="M193" s="63"/>
      <c r="N193" s="63"/>
      <c r="O193" s="63">
        <v>0</v>
      </c>
      <c r="P193" s="75">
        <v>0</v>
      </c>
      <c r="Q193" s="63"/>
      <c r="R193" s="63"/>
      <c r="S193" s="63">
        <v>16.012750560306717</v>
      </c>
    </row>
    <row r="194" spans="3:19" s="51" customFormat="1">
      <c r="C194" s="175" t="s">
        <v>61</v>
      </c>
      <c r="D194" s="62">
        <v>0</v>
      </c>
      <c r="E194" s="62">
        <v>0</v>
      </c>
      <c r="F194" s="62">
        <v>0</v>
      </c>
      <c r="G194" s="62">
        <v>0</v>
      </c>
      <c r="H194" s="63"/>
      <c r="I194" s="63"/>
      <c r="J194" s="63"/>
      <c r="K194" s="63"/>
      <c r="L194" s="63"/>
      <c r="M194" s="63"/>
      <c r="N194" s="63"/>
      <c r="O194" s="62">
        <v>0</v>
      </c>
      <c r="P194" s="63">
        <v>-1.7515441453990022</v>
      </c>
      <c r="Q194" s="63"/>
      <c r="R194" s="63"/>
      <c r="S194" s="63">
        <v>-1.7515441453990022</v>
      </c>
    </row>
    <row r="195" spans="3:19" s="51" customFormat="1">
      <c r="C195" s="175" t="s">
        <v>62</v>
      </c>
      <c r="D195" s="62"/>
      <c r="E195" s="62"/>
      <c r="F195" s="62">
        <v>-1.1000000000000001</v>
      </c>
      <c r="G195" s="62"/>
      <c r="H195" s="63"/>
      <c r="I195" s="63"/>
      <c r="J195" s="63"/>
      <c r="K195" s="63"/>
      <c r="L195" s="63"/>
      <c r="M195" s="63"/>
      <c r="N195" s="63"/>
      <c r="O195" s="63"/>
      <c r="P195" s="63"/>
      <c r="Q195" s="63"/>
      <c r="R195" s="63"/>
      <c r="S195" s="63">
        <v>-1.1000000000000001</v>
      </c>
    </row>
    <row r="196" spans="3:19" s="51" customFormat="1">
      <c r="C196" s="175" t="s">
        <v>63</v>
      </c>
      <c r="D196" s="62"/>
      <c r="E196" s="62"/>
      <c r="F196" s="62">
        <v>-9.8675445253719403</v>
      </c>
      <c r="G196" s="62"/>
      <c r="H196" s="63"/>
      <c r="I196" s="63"/>
      <c r="J196" s="63"/>
      <c r="K196" s="63"/>
      <c r="L196" s="63"/>
      <c r="M196" s="63"/>
      <c r="N196" s="63"/>
      <c r="O196" s="63"/>
      <c r="P196" s="63"/>
      <c r="Q196" s="63"/>
      <c r="R196" s="63"/>
      <c r="S196" s="63">
        <v>-9.8675445253719403</v>
      </c>
    </row>
    <row r="197" spans="3:19" s="51" customFormat="1">
      <c r="C197" s="175" t="s">
        <v>64</v>
      </c>
      <c r="D197" s="63"/>
      <c r="E197" s="63"/>
      <c r="F197" s="63"/>
      <c r="G197" s="63"/>
      <c r="H197" s="63"/>
      <c r="I197" s="63"/>
      <c r="J197" s="63"/>
      <c r="K197" s="63"/>
      <c r="L197" s="63"/>
      <c r="M197" s="63"/>
      <c r="N197" s="63"/>
      <c r="O197" s="63"/>
      <c r="P197" s="63"/>
      <c r="Q197" s="63"/>
      <c r="R197" s="63"/>
      <c r="S197" s="63">
        <v>0</v>
      </c>
    </row>
    <row r="198" spans="3:19" s="51" customFormat="1" ht="15.5">
      <c r="C198" s="176" t="s">
        <v>65</v>
      </c>
      <c r="D198" s="65">
        <v>0.74697394369004599</v>
      </c>
      <c r="E198" s="65">
        <v>0</v>
      </c>
      <c r="F198" s="65">
        <v>4.2982320912447314</v>
      </c>
      <c r="G198" s="65">
        <v>0</v>
      </c>
      <c r="H198" s="65">
        <v>27.345458786417471</v>
      </c>
      <c r="I198" s="65">
        <v>46.775580395528799</v>
      </c>
      <c r="J198" s="65"/>
      <c r="K198" s="65"/>
      <c r="L198" s="65"/>
      <c r="M198" s="65"/>
      <c r="N198" s="65"/>
      <c r="O198" s="65">
        <v>39.150228110130641</v>
      </c>
      <c r="P198" s="65">
        <v>-1.7515441453990022</v>
      </c>
      <c r="Q198" s="65">
        <v>0</v>
      </c>
      <c r="R198" s="65"/>
      <c r="S198" s="65">
        <v>116.5649291816127</v>
      </c>
    </row>
    <row r="199" spans="3:19" s="51" customFormat="1" ht="15.5">
      <c r="C199" s="57"/>
      <c r="D199" s="66"/>
      <c r="E199" s="66"/>
      <c r="F199" s="66"/>
      <c r="G199" s="66"/>
      <c r="H199" s="66"/>
      <c r="I199" s="66"/>
      <c r="J199" s="66"/>
      <c r="K199" s="66"/>
      <c r="L199" s="66"/>
      <c r="M199" s="66"/>
      <c r="N199" s="66"/>
      <c r="O199" s="66"/>
      <c r="P199" s="66"/>
      <c r="Q199" s="66"/>
      <c r="R199" s="66"/>
      <c r="S199" s="66"/>
    </row>
    <row r="200" spans="3:19" s="51" customFormat="1">
      <c r="C200" s="175" t="s">
        <v>66</v>
      </c>
      <c r="D200" s="63"/>
      <c r="E200" s="63"/>
      <c r="F200" s="63"/>
      <c r="G200" s="63"/>
      <c r="H200" s="63"/>
      <c r="I200" s="63"/>
      <c r="J200" s="63"/>
      <c r="K200" s="63"/>
      <c r="L200" s="63"/>
      <c r="M200" s="63"/>
      <c r="N200" s="63"/>
      <c r="O200" s="63"/>
      <c r="P200" s="63"/>
      <c r="Q200" s="63"/>
      <c r="R200" s="63"/>
      <c r="S200" s="63">
        <v>0</v>
      </c>
    </row>
    <row r="201" spans="3:19" s="51" customFormat="1">
      <c r="C201" s="175" t="s">
        <v>67</v>
      </c>
      <c r="D201" s="62"/>
      <c r="E201" s="62"/>
      <c r="F201" s="62"/>
      <c r="G201" s="62"/>
      <c r="H201" s="63"/>
      <c r="I201" s="63"/>
      <c r="J201" s="63"/>
      <c r="K201" s="63"/>
      <c r="L201" s="63"/>
      <c r="M201" s="63"/>
      <c r="N201" s="63"/>
      <c r="O201" s="62"/>
      <c r="P201" s="62"/>
      <c r="Q201" s="63"/>
      <c r="R201" s="63"/>
      <c r="S201" s="63">
        <v>0</v>
      </c>
    </row>
    <row r="202" spans="3:19" s="51" customFormat="1">
      <c r="C202" s="175" t="s">
        <v>68</v>
      </c>
      <c r="D202" s="62">
        <v>0</v>
      </c>
      <c r="E202" s="62">
        <v>0</v>
      </c>
      <c r="F202" s="62"/>
      <c r="G202" s="62">
        <v>2.1496130696474633</v>
      </c>
      <c r="H202" s="62">
        <v>27.345458786417471</v>
      </c>
      <c r="I202" s="62">
        <v>46.775580395528799</v>
      </c>
      <c r="J202" s="62"/>
      <c r="K202" s="62"/>
      <c r="L202" s="62"/>
      <c r="M202" s="62"/>
      <c r="N202" s="62"/>
      <c r="O202" s="62">
        <v>0</v>
      </c>
      <c r="P202" s="62">
        <v>-56.673999999999992</v>
      </c>
      <c r="Q202" s="63"/>
      <c r="R202" s="63"/>
      <c r="S202" s="63">
        <v>19.596652251593738</v>
      </c>
    </row>
    <row r="203" spans="3:19" s="51" customFormat="1">
      <c r="C203" s="175" t="s">
        <v>69</v>
      </c>
      <c r="D203" s="62"/>
      <c r="E203" s="62"/>
      <c r="F203" s="62"/>
      <c r="G203" s="62"/>
      <c r="H203" s="63"/>
      <c r="I203" s="63"/>
      <c r="J203" s="63"/>
      <c r="K203" s="63"/>
      <c r="L203" s="63"/>
      <c r="M203" s="63"/>
      <c r="N203" s="63"/>
      <c r="O203" s="62"/>
      <c r="P203" s="62"/>
      <c r="Q203" s="63"/>
      <c r="R203" s="63"/>
      <c r="S203" s="63">
        <v>0</v>
      </c>
    </row>
    <row r="204" spans="3:19" s="51" customFormat="1">
      <c r="C204" s="175" t="s">
        <v>70</v>
      </c>
      <c r="D204" s="62">
        <v>0</v>
      </c>
      <c r="E204" s="62"/>
      <c r="F204" s="62">
        <v>0</v>
      </c>
      <c r="G204" s="62">
        <v>0.85449177920296737</v>
      </c>
      <c r="H204" s="63"/>
      <c r="I204" s="63"/>
      <c r="J204" s="63"/>
      <c r="K204" s="63"/>
      <c r="L204" s="63"/>
      <c r="M204" s="63"/>
      <c r="N204" s="63"/>
      <c r="O204" s="62">
        <v>3.403615539978218</v>
      </c>
      <c r="P204" s="62"/>
      <c r="Q204" s="63">
        <v>-5.1661619878122789</v>
      </c>
      <c r="R204" s="63"/>
      <c r="S204" s="63">
        <v>-0.90805466863109352</v>
      </c>
    </row>
    <row r="205" spans="3:19" s="51" customFormat="1">
      <c r="C205" s="175" t="s">
        <v>71</v>
      </c>
      <c r="D205" s="62"/>
      <c r="E205" s="62"/>
      <c r="F205" s="62"/>
      <c r="G205" s="62">
        <v>-13.268132354256622</v>
      </c>
      <c r="H205" s="63"/>
      <c r="I205" s="63"/>
      <c r="J205" s="63"/>
      <c r="K205" s="63"/>
      <c r="L205" s="63"/>
      <c r="M205" s="63"/>
      <c r="N205" s="63"/>
      <c r="O205" s="62">
        <v>16.585165442820777</v>
      </c>
      <c r="P205" s="62"/>
      <c r="Q205" s="63"/>
      <c r="R205" s="63"/>
      <c r="S205" s="63">
        <v>3.3170330885641555</v>
      </c>
    </row>
    <row r="206" spans="3:19" s="51" customFormat="1">
      <c r="C206" s="175" t="s">
        <v>72</v>
      </c>
      <c r="D206" s="62"/>
      <c r="E206" s="62">
        <v>0</v>
      </c>
      <c r="F206" s="62">
        <v>0</v>
      </c>
      <c r="G206" s="62">
        <v>0</v>
      </c>
      <c r="H206" s="63"/>
      <c r="I206" s="63"/>
      <c r="J206" s="63"/>
      <c r="K206" s="63"/>
      <c r="L206" s="63"/>
      <c r="M206" s="63"/>
      <c r="N206" s="63"/>
      <c r="O206" s="62"/>
      <c r="P206" s="62"/>
      <c r="Q206" s="63"/>
      <c r="R206" s="63"/>
      <c r="S206" s="63">
        <v>0</v>
      </c>
    </row>
    <row r="207" spans="3:19" s="51" customFormat="1">
      <c r="C207" s="175" t="s">
        <v>73</v>
      </c>
      <c r="D207" s="62"/>
      <c r="E207" s="62"/>
      <c r="F207" s="62"/>
      <c r="G207" s="62"/>
      <c r="H207" s="63"/>
      <c r="I207" s="63"/>
      <c r="J207" s="63"/>
      <c r="K207" s="63"/>
      <c r="L207" s="63"/>
      <c r="M207" s="63"/>
      <c r="N207" s="63"/>
      <c r="O207" s="62"/>
      <c r="P207" s="62">
        <v>4.2992261392949267</v>
      </c>
      <c r="Q207" s="63"/>
      <c r="R207" s="63">
        <v>-3.4393809114359413</v>
      </c>
      <c r="S207" s="63">
        <v>0.85984522785898543</v>
      </c>
    </row>
    <row r="208" spans="3:19" s="51" customFormat="1">
      <c r="C208" s="175" t="s">
        <v>74</v>
      </c>
      <c r="D208" s="62">
        <v>0.74476022441954859</v>
      </c>
      <c r="E208" s="62"/>
      <c r="F208" s="62"/>
      <c r="G208" s="69">
        <v>-0.30954428202923473</v>
      </c>
      <c r="H208" s="63"/>
      <c r="I208" s="63"/>
      <c r="J208" s="63"/>
      <c r="K208" s="63"/>
      <c r="L208" s="63"/>
      <c r="M208" s="63"/>
      <c r="N208" s="63"/>
      <c r="O208" s="62"/>
      <c r="P208" s="62">
        <v>-1.0318142734307825</v>
      </c>
      <c r="Q208" s="63"/>
      <c r="R208" s="74">
        <v>1.633705932932072</v>
      </c>
      <c r="S208" s="63">
        <v>1.0371076018916034</v>
      </c>
    </row>
    <row r="209" spans="3:21" s="51" customFormat="1">
      <c r="C209" s="175" t="s">
        <v>75</v>
      </c>
      <c r="D209" s="62">
        <v>0</v>
      </c>
      <c r="E209" s="62"/>
      <c r="F209" s="62">
        <v>0</v>
      </c>
      <c r="G209" s="188">
        <v>0</v>
      </c>
      <c r="H209" s="63"/>
      <c r="I209" s="63"/>
      <c r="J209" s="63"/>
      <c r="K209" s="63"/>
      <c r="L209" s="63"/>
      <c r="M209" s="63"/>
      <c r="N209" s="63"/>
      <c r="O209" s="62">
        <v>5.1017483519633131E-2</v>
      </c>
      <c r="P209" s="62">
        <v>2.3441960447119525</v>
      </c>
      <c r="Q209" s="63"/>
      <c r="R209" s="63"/>
      <c r="S209" s="63">
        <v>2.3952135282315856</v>
      </c>
      <c r="U209" s="64"/>
    </row>
    <row r="210" spans="3:21" s="51" customFormat="1">
      <c r="C210" s="175" t="s">
        <v>76</v>
      </c>
      <c r="D210" s="62"/>
      <c r="E210" s="62"/>
      <c r="F210" s="62"/>
      <c r="G210" s="62">
        <v>0.15893900909970565</v>
      </c>
      <c r="H210" s="63"/>
      <c r="I210" s="63"/>
      <c r="J210" s="63"/>
      <c r="K210" s="63"/>
      <c r="L210" s="63"/>
      <c r="M210" s="63"/>
      <c r="N210" s="63"/>
      <c r="O210" s="62"/>
      <c r="P210" s="62">
        <v>3.6734955070724626</v>
      </c>
      <c r="Q210" s="63">
        <v>1.077103851085037</v>
      </c>
      <c r="R210" s="63"/>
      <c r="S210" s="63">
        <v>4.9095383672572055</v>
      </c>
    </row>
    <row r="211" spans="3:21" s="51" customFormat="1" ht="15.5">
      <c r="C211" s="176" t="s">
        <v>77</v>
      </c>
      <c r="D211" s="65">
        <v>0.74476022441954859</v>
      </c>
      <c r="E211" s="65">
        <v>0</v>
      </c>
      <c r="F211" s="65">
        <v>0</v>
      </c>
      <c r="G211" s="65">
        <v>-10.414632778335719</v>
      </c>
      <c r="H211" s="65">
        <v>27.345458786417471</v>
      </c>
      <c r="I211" s="65">
        <v>46.775580395528799</v>
      </c>
      <c r="J211" s="65"/>
      <c r="K211" s="65"/>
      <c r="L211" s="65"/>
      <c r="M211" s="65"/>
      <c r="N211" s="65"/>
      <c r="O211" s="65">
        <v>20.039798466318629</v>
      </c>
      <c r="P211" s="65">
        <v>-47.388896582351435</v>
      </c>
      <c r="Q211" s="65">
        <v>-4.0890581367272416</v>
      </c>
      <c r="R211" s="65">
        <v>-1.8056749785038693</v>
      </c>
      <c r="S211" s="65">
        <v>31.20733539676618</v>
      </c>
    </row>
    <row r="212" spans="3:21" s="51" customFormat="1" ht="15.5">
      <c r="C212" s="57"/>
      <c r="D212" s="66"/>
      <c r="E212" s="66"/>
      <c r="F212" s="66"/>
      <c r="G212" s="66"/>
      <c r="H212" s="66"/>
      <c r="I212" s="66"/>
      <c r="J212" s="66"/>
      <c r="K212" s="66"/>
      <c r="L212" s="66"/>
      <c r="M212" s="66"/>
      <c r="N212" s="66"/>
      <c r="O212" s="66"/>
      <c r="P212" s="66"/>
      <c r="Q212" s="66"/>
      <c r="R212" s="66"/>
      <c r="S212" s="66"/>
    </row>
    <row r="213" spans="3:21" s="51" customFormat="1" ht="15.5">
      <c r="C213" s="178" t="s">
        <v>78</v>
      </c>
      <c r="D213" s="62">
        <v>0</v>
      </c>
      <c r="E213" s="63"/>
      <c r="F213" s="62">
        <v>0</v>
      </c>
      <c r="G213" s="62">
        <v>2.6196131084152277</v>
      </c>
      <c r="H213" s="63"/>
      <c r="I213" s="63"/>
      <c r="J213" s="63"/>
      <c r="K213" s="63"/>
      <c r="L213" s="63"/>
      <c r="M213" s="63"/>
      <c r="N213" s="63"/>
      <c r="O213" s="62">
        <v>2.4941614081810051</v>
      </c>
      <c r="P213" s="62">
        <v>15.692222796920932</v>
      </c>
      <c r="Q213" s="62">
        <v>0.41499583184774225</v>
      </c>
      <c r="R213" s="62"/>
      <c r="S213" s="63">
        <v>21.220993145364908</v>
      </c>
      <c r="T213" s="67"/>
    </row>
    <row r="214" spans="3:21" s="51" customFormat="1" ht="15.5">
      <c r="C214" s="178" t="s">
        <v>79</v>
      </c>
      <c r="D214" s="75"/>
      <c r="E214" s="75"/>
      <c r="F214" s="62">
        <v>0.93045123347554903</v>
      </c>
      <c r="G214" s="62">
        <v>3.6028639370370201</v>
      </c>
      <c r="H214" s="63"/>
      <c r="I214" s="63"/>
      <c r="J214" s="63"/>
      <c r="K214" s="63"/>
      <c r="L214" s="63"/>
      <c r="M214" s="63"/>
      <c r="N214" s="63"/>
      <c r="O214" s="62">
        <v>4.2184772740988761</v>
      </c>
      <c r="P214" s="62">
        <v>8.1773954821011205</v>
      </c>
      <c r="Q214" s="62"/>
      <c r="R214" s="62">
        <v>8.5984522785898534E-2</v>
      </c>
      <c r="S214" s="63">
        <v>17.015172449498465</v>
      </c>
      <c r="T214" s="67"/>
    </row>
    <row r="215" spans="3:21" s="51" customFormat="1">
      <c r="C215" s="175" t="s">
        <v>80</v>
      </c>
      <c r="D215" s="62">
        <v>0</v>
      </c>
      <c r="E215" s="63"/>
      <c r="F215" s="62">
        <v>0.16812387266585074</v>
      </c>
      <c r="G215" s="62">
        <v>2.6677723755245331</v>
      </c>
      <c r="H215" s="63"/>
      <c r="I215" s="63"/>
      <c r="J215" s="63"/>
      <c r="K215" s="63"/>
      <c r="L215" s="63"/>
      <c r="M215" s="63"/>
      <c r="N215" s="63"/>
      <c r="O215" s="62">
        <v>9.1119423382098859</v>
      </c>
      <c r="P215" s="62">
        <v>11.1263428965709</v>
      </c>
      <c r="Q215" s="62">
        <v>2.1285056205612118</v>
      </c>
      <c r="R215" s="62"/>
      <c r="S215" s="63">
        <v>25.202687103532384</v>
      </c>
      <c r="T215" s="67"/>
    </row>
    <row r="216" spans="3:21" s="51" customFormat="1">
      <c r="C216" s="175" t="s">
        <v>81</v>
      </c>
      <c r="D216" s="62">
        <v>0</v>
      </c>
      <c r="E216" s="63"/>
      <c r="F216" s="62">
        <v>4.3808247608083023E-2</v>
      </c>
      <c r="G216" s="62">
        <v>0.54387058176361458</v>
      </c>
      <c r="H216" s="63"/>
      <c r="I216" s="63"/>
      <c r="J216" s="63"/>
      <c r="K216" s="63"/>
      <c r="L216" s="63"/>
      <c r="M216" s="63"/>
      <c r="N216" s="63"/>
      <c r="O216" s="62">
        <v>2.4071612194730982</v>
      </c>
      <c r="P216" s="62">
        <v>9.9325738092989031</v>
      </c>
      <c r="Q216" s="62">
        <v>1.5391030132649095</v>
      </c>
      <c r="R216" s="62"/>
      <c r="S216" s="63">
        <v>14.466516871408608</v>
      </c>
      <c r="T216" s="67"/>
    </row>
    <row r="217" spans="3:21" s="51" customFormat="1">
      <c r="C217" s="175" t="s">
        <v>82</v>
      </c>
      <c r="D217" s="62">
        <v>2.2137192704974398E-3</v>
      </c>
      <c r="E217" s="63"/>
      <c r="F217" s="62">
        <v>0</v>
      </c>
      <c r="G217" s="62">
        <v>0.69442453716561003</v>
      </c>
      <c r="H217" s="63"/>
      <c r="I217" s="63"/>
      <c r="J217" s="63"/>
      <c r="K217" s="63"/>
      <c r="L217" s="63"/>
      <c r="M217" s="63"/>
      <c r="N217" s="63"/>
      <c r="O217" s="62">
        <v>0.87868740384914412</v>
      </c>
      <c r="P217" s="62">
        <v>0.708817452060579</v>
      </c>
      <c r="Q217" s="62">
        <v>6.4536710533781346E-3</v>
      </c>
      <c r="R217" s="62"/>
      <c r="S217" s="63">
        <v>2.2905967833992089</v>
      </c>
      <c r="T217" s="67"/>
    </row>
    <row r="218" spans="3:21" s="51" customFormat="1" ht="15.5">
      <c r="C218" s="176" t="s">
        <v>83</v>
      </c>
      <c r="D218" s="65">
        <v>2.2137192704974398E-3</v>
      </c>
      <c r="E218" s="65">
        <v>0</v>
      </c>
      <c r="F218" s="65">
        <v>1.1423833537494827</v>
      </c>
      <c r="G218" s="65">
        <v>10.128544539906006</v>
      </c>
      <c r="H218" s="65">
        <v>0</v>
      </c>
      <c r="I218" s="65">
        <v>0</v>
      </c>
      <c r="J218" s="65"/>
      <c r="K218" s="65"/>
      <c r="L218" s="65"/>
      <c r="M218" s="65"/>
      <c r="N218" s="65"/>
      <c r="O218" s="65">
        <v>19.110429643812012</v>
      </c>
      <c r="P218" s="65">
        <v>45.637352436952433</v>
      </c>
      <c r="Q218" s="65">
        <v>4.0890581367272416</v>
      </c>
      <c r="R218" s="65">
        <v>8.5984522785898534E-2</v>
      </c>
      <c r="S218" s="65">
        <v>80.195966353203573</v>
      </c>
    </row>
    <row r="219" spans="3:21" s="51" customFormat="1">
      <c r="C219" s="175" t="s">
        <v>84</v>
      </c>
      <c r="D219" s="63">
        <v>0</v>
      </c>
      <c r="E219" s="63"/>
      <c r="F219" s="68">
        <v>3.1558487374952491</v>
      </c>
      <c r="G219" s="68">
        <v>0.28608823842971293</v>
      </c>
      <c r="H219" s="63"/>
      <c r="I219" s="63"/>
      <c r="J219" s="63"/>
      <c r="K219" s="63"/>
      <c r="L219" s="63"/>
      <c r="M219" s="63"/>
      <c r="N219" s="63"/>
      <c r="O219" s="63"/>
      <c r="P219" s="63"/>
      <c r="Q219" s="63"/>
      <c r="R219" s="63">
        <v>1.7196904557179706</v>
      </c>
      <c r="S219" s="63">
        <v>5.1616274316429323</v>
      </c>
    </row>
    <row r="220" spans="3:21" s="51" customFormat="1" ht="15.5">
      <c r="C220" s="176" t="s">
        <v>85</v>
      </c>
      <c r="D220" s="65">
        <v>2.2137192704974398E-3</v>
      </c>
      <c r="E220" s="65">
        <v>0</v>
      </c>
      <c r="F220" s="65">
        <v>4.2982320912447314</v>
      </c>
      <c r="G220" s="65">
        <v>10.414632778335719</v>
      </c>
      <c r="H220" s="65">
        <v>0</v>
      </c>
      <c r="I220" s="65">
        <v>0</v>
      </c>
      <c r="J220" s="65"/>
      <c r="K220" s="65"/>
      <c r="L220" s="65"/>
      <c r="M220" s="65"/>
      <c r="N220" s="65"/>
      <c r="O220" s="65">
        <v>19.110429643812012</v>
      </c>
      <c r="P220" s="65">
        <v>45.637352436952433</v>
      </c>
      <c r="Q220" s="65">
        <v>4.0890581367272416</v>
      </c>
      <c r="R220" s="65">
        <v>1.8056749785038693</v>
      </c>
      <c r="S220" s="65">
        <v>85.3575937848465</v>
      </c>
    </row>
  </sheetData>
  <conditionalFormatting sqref="D21:R28">
    <cfRule type="cellIs" dxfId="20525" priority="1" operator="equal">
      <formula>0</formula>
    </cfRule>
  </conditionalFormatting>
  <conditionalFormatting sqref="D11:S20 S21:S31 D30:R31 D32:S42 D45:S48">
    <cfRule type="cellIs" dxfId="20524" priority="67" operator="equal">
      <formula>0</formula>
    </cfRule>
  </conditionalFormatting>
  <conditionalFormatting sqref="D59:S88">
    <cfRule type="cellIs" dxfId="20523" priority="7" operator="equal">
      <formula>0</formula>
    </cfRule>
  </conditionalFormatting>
  <conditionalFormatting sqref="D103:S132">
    <cfRule type="cellIs" dxfId="20522" priority="8" operator="equal">
      <formula>0</formula>
    </cfRule>
  </conditionalFormatting>
  <conditionalFormatting sqref="D147:S176">
    <cfRule type="cellIs" dxfId="20521" priority="9" operator="equal">
      <formula>0</formula>
    </cfRule>
  </conditionalFormatting>
  <conditionalFormatting sqref="D191:S220">
    <cfRule type="cellIs" dxfId="20520" priority="5" operator="equal">
      <formula>0</formula>
    </cfRule>
  </conditionalFormatting>
  <conditionalFormatting sqref="J10:O10">
    <cfRule type="cellIs" dxfId="20519" priority="3" operator="equal">
      <formula>0</formula>
    </cfRule>
  </conditionalFormatting>
  <conditionalFormatting sqref="U11:U28 U30:U42 U45:U48">
    <cfRule type="cellIs" dxfId="20518" priority="2" operator="equal">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7972-CF68-4F3F-AC21-AD18919F4BF9}">
  <dimension ref="A1:Z57"/>
  <sheetViews>
    <sheetView zoomScale="70" zoomScaleNormal="70" workbookViewId="0">
      <selection activeCell="C10" sqref="C10"/>
    </sheetView>
  </sheetViews>
  <sheetFormatPr baseColWidth="10" defaultColWidth="11.453125" defaultRowHeight="14.5"/>
  <cols>
    <col min="2" max="2" width="25.81640625" customWidth="1"/>
    <col min="5" max="5" width="11.72656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256.00658176786101</v>
      </c>
      <c r="D5" s="18"/>
      <c r="E5" s="20"/>
      <c r="F5" s="494"/>
      <c r="G5" s="21"/>
      <c r="H5" s="493"/>
      <c r="I5" s="21"/>
      <c r="J5" s="22"/>
      <c r="K5" s="23"/>
      <c r="L5" s="14"/>
      <c r="M5" s="14"/>
      <c r="N5" s="15"/>
      <c r="O5" s="16"/>
      <c r="P5" s="16"/>
      <c r="Q5" s="24">
        <f>Q13+Q22+Q30+Q42+Q46+Q38+Q43</f>
        <v>139.51658246944589</v>
      </c>
      <c r="R5" s="487"/>
      <c r="S5" s="79">
        <f>SUM(S13,S22,S27:S32,S41)</f>
        <v>141.10983647266181</v>
      </c>
      <c r="T5" s="79">
        <f>SUM(T8:T46)</f>
        <v>4.4860507954281585</v>
      </c>
      <c r="U5" s="79">
        <f>SUM(U8:U46)</f>
        <v>26.186395747332703</v>
      </c>
      <c r="V5" s="79">
        <f>SUM(V8:V46)</f>
        <v>42.165290372129355</v>
      </c>
      <c r="W5" s="173">
        <f>SUM(W8:W46)</f>
        <v>24.506016758025964</v>
      </c>
      <c r="X5" s="79">
        <f>SUM(X8:X46)</f>
        <v>43.766082799745597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(([7]Offre_calc!$L$81+[7]Offre_calc!$L$82+[7]Offre_calc!$L$127+[7]Offre_calc!$L$128)/([7]Offre_calc!$L$78+[7]Offre_calc!$L$124))*Bilan_enerdata_2015!I21</f>
        <v>2.6944655873275929</v>
      </c>
      <c r="D7" s="518"/>
      <c r="E7" s="28">
        <v>0</v>
      </c>
      <c r="F7" s="518"/>
      <c r="G7" s="17">
        <f>C7-E7</f>
        <v>2.6944655873275929</v>
      </c>
      <c r="H7" s="518"/>
      <c r="I7" s="21"/>
      <c r="J7" s="518"/>
      <c r="K7" s="525"/>
      <c r="L7" s="525"/>
      <c r="M7" s="525"/>
      <c r="N7" s="525"/>
      <c r="O7" s="525"/>
      <c r="P7" s="513"/>
      <c r="Q7" s="528"/>
      <c r="R7" s="498"/>
      <c r="S7" s="528"/>
      <c r="T7" s="525"/>
      <c r="U7" s="525"/>
      <c r="V7" s="525"/>
      <c r="W7" s="525"/>
      <c r="X7" s="525"/>
    </row>
    <row r="8" spans="1:24">
      <c r="A8" s="695"/>
      <c r="B8" s="1" t="s">
        <v>18</v>
      </c>
      <c r="C8" s="486">
        <f>(([7]Offre_calc!$L$80+[7]Offre_calc!$L$126)/([7]Offre_calc!$L$78+[7]Offre_calc!$L$124))*Bilan_enerdata_2015!I21</f>
        <v>3.2925160422071951</v>
      </c>
      <c r="D8" s="81"/>
      <c r="E8" s="28">
        <v>0</v>
      </c>
      <c r="F8" s="81"/>
      <c r="G8" s="17">
        <f t="shared" ref="G8:G19" si="0">C8-E8</f>
        <v>3.2925160422071951</v>
      </c>
      <c r="H8" s="81"/>
      <c r="I8" s="21"/>
      <c r="J8" s="81"/>
      <c r="K8" s="526"/>
      <c r="L8" s="526"/>
      <c r="M8" s="526"/>
      <c r="N8" s="526"/>
      <c r="O8" s="526"/>
      <c r="P8" s="29"/>
      <c r="Q8" s="529"/>
      <c r="R8" s="498"/>
      <c r="S8" s="529"/>
      <c r="T8" s="526"/>
      <c r="U8" s="526"/>
      <c r="V8" s="526"/>
      <c r="W8" s="526"/>
      <c r="X8" s="526"/>
    </row>
    <row r="9" spans="1:24">
      <c r="A9" s="695"/>
      <c r="B9" s="1" t="s">
        <v>19</v>
      </c>
      <c r="C9" s="486">
        <f>(([7]Offre_calc!$L$79+[7]Offre_calc!$L$125)/([7]Offre_calc!$L$78+[7]Offre_calc!$L$124))*Bilan_enerdata_2015!I21</f>
        <v>1.1874648021075129</v>
      </c>
      <c r="D9" s="81"/>
      <c r="E9" s="28">
        <v>0</v>
      </c>
      <c r="F9" s="81"/>
      <c r="G9" s="17">
        <f t="shared" si="0"/>
        <v>1.1874648021075129</v>
      </c>
      <c r="H9" s="81"/>
      <c r="I9" s="21"/>
      <c r="J9" s="81"/>
      <c r="K9" s="526"/>
      <c r="L9" s="526"/>
      <c r="M9" s="526"/>
      <c r="N9" s="526"/>
      <c r="O9" s="526"/>
      <c r="P9" s="29"/>
      <c r="Q9" s="529"/>
      <c r="R9" s="498"/>
      <c r="S9" s="529"/>
      <c r="T9" s="526"/>
      <c r="U9" s="526"/>
      <c r="V9" s="526"/>
      <c r="W9" s="526"/>
      <c r="X9" s="526"/>
    </row>
    <row r="10" spans="1:24">
      <c r="A10" s="695"/>
      <c r="B10" s="1" t="s">
        <v>20</v>
      </c>
      <c r="C10" s="17">
        <f>Bilan_enerdata_2015!H21-(Bilan_enerdata_2015!P20+Bilan_enerdata_2015!P19)</f>
        <v>114.07243284087656</v>
      </c>
      <c r="D10" s="81"/>
      <c r="E10" s="28">
        <f>F13-SUM(E11:E19)</f>
        <v>74.768152227129733</v>
      </c>
      <c r="F10" s="81"/>
      <c r="G10" s="17">
        <f t="shared" si="0"/>
        <v>39.304280613746826</v>
      </c>
      <c r="H10" s="81"/>
      <c r="I10" s="21"/>
      <c r="J10" s="81"/>
      <c r="K10" s="526"/>
      <c r="L10" s="526"/>
      <c r="M10" s="526"/>
      <c r="N10" s="526"/>
      <c r="O10" s="526"/>
      <c r="P10" s="29"/>
      <c r="Q10" s="529"/>
      <c r="R10" s="498"/>
      <c r="S10" s="529"/>
      <c r="T10" s="526"/>
      <c r="U10" s="526"/>
      <c r="V10" s="526"/>
      <c r="W10" s="526"/>
      <c r="X10" s="526"/>
    </row>
    <row r="11" spans="1:24">
      <c r="A11" s="695"/>
      <c r="B11" s="1" t="s">
        <v>21</v>
      </c>
      <c r="C11" s="17">
        <f>Bilan_enerdata_2015!M21</f>
        <v>4.8399621595771158E-2</v>
      </c>
      <c r="D11" s="81"/>
      <c r="E11" s="28">
        <f>C11*(1-[7]Offre_calc!$L$161)</f>
        <v>2.2941420636395527E-2</v>
      </c>
      <c r="F11" s="81"/>
      <c r="G11" s="17">
        <f t="shared" si="0"/>
        <v>2.5458200959375631E-2</v>
      </c>
      <c r="H11" s="81"/>
      <c r="I11" s="21"/>
      <c r="J11" s="81"/>
      <c r="K11" s="526"/>
      <c r="L11" s="526"/>
      <c r="M11" s="526"/>
      <c r="N11" s="526"/>
      <c r="O11" s="526"/>
      <c r="P11" s="29"/>
      <c r="Q11" s="529"/>
      <c r="R11" s="498"/>
      <c r="S11" s="529"/>
      <c r="T11" s="526"/>
      <c r="U11" s="526"/>
      <c r="V11" s="526"/>
      <c r="W11" s="526"/>
      <c r="X11" s="526"/>
    </row>
    <row r="12" spans="1:24">
      <c r="A12" s="695"/>
      <c r="B12" s="1" t="s">
        <v>22</v>
      </c>
      <c r="C12" s="17">
        <f>Bilan_enerdata_2015!K21</f>
        <v>0.83303231502302322</v>
      </c>
      <c r="D12" s="81"/>
      <c r="E12" s="28">
        <f>C12*(1-[7]Offre_calc!$L$171)</f>
        <v>0.63810275330763577</v>
      </c>
      <c r="F12" s="81"/>
      <c r="G12" s="17">
        <f t="shared" si="0"/>
        <v>0.19492956171538744</v>
      </c>
      <c r="H12" s="81"/>
      <c r="I12" s="21"/>
      <c r="J12" s="81"/>
      <c r="K12" s="526"/>
      <c r="L12" s="526"/>
      <c r="M12" s="526"/>
      <c r="N12" s="526"/>
      <c r="O12" s="526"/>
      <c r="P12" s="29"/>
      <c r="Q12" s="529"/>
      <c r="R12" s="498"/>
      <c r="S12" s="529"/>
      <c r="T12" s="526"/>
      <c r="U12" s="526"/>
      <c r="V12" s="526"/>
      <c r="W12" s="526"/>
      <c r="X12" s="526"/>
    </row>
    <row r="13" spans="1:24">
      <c r="A13" s="695"/>
      <c r="B13" s="1" t="s">
        <v>23</v>
      </c>
      <c r="C13" s="17">
        <f>Bilan_enerdata_2015!J21</f>
        <v>2.7957439494994754</v>
      </c>
      <c r="D13" s="81">
        <f>SUM(C7:C19)</f>
        <v>132.45382849112059</v>
      </c>
      <c r="E13" s="28">
        <f>C13*(1-[7]Offre_calc!$L$170)</f>
        <v>2.1415398653165982</v>
      </c>
      <c r="F13" s="81">
        <f>Bilan_enerdata_2015!S21</f>
        <v>81.822530914164503</v>
      </c>
      <c r="G13" s="17">
        <f t="shared" si="0"/>
        <v>0.65420408418287712</v>
      </c>
      <c r="H13" s="81">
        <f>SUM(G7:G19)</f>
        <v>50.631297576956122</v>
      </c>
      <c r="I13" s="33">
        <f>Bilan_enerdata_2015!P30</f>
        <v>2.7822871883060998</v>
      </c>
      <c r="J13" s="81">
        <f>H13-I13</f>
        <v>47.849010388650022</v>
      </c>
      <c r="K13" s="29">
        <f>Bilan_enerdata_2015!P31</f>
        <v>3.04359415305245</v>
      </c>
      <c r="L13" s="29">
        <f>-(Bilan_enerdata_2015!P14+Bilan_enerdata_2015!P13)</f>
        <v>5.5084264832330145</v>
      </c>
      <c r="M13" s="29">
        <f>Bilan_enerdata_2015!P28</f>
        <v>0</v>
      </c>
      <c r="N13" s="29"/>
      <c r="O13" s="29"/>
      <c r="P13" s="29"/>
      <c r="Q13" s="81">
        <f>J13-K13-L13-M13-N13-O13-P13</f>
        <v>39.296989752364553</v>
      </c>
      <c r="R13" s="508">
        <f>Q13-S13</f>
        <v>1.214475478818315</v>
      </c>
      <c r="S13" s="81">
        <f>SUM(T8:X19)</f>
        <v>38.082514273546238</v>
      </c>
      <c r="T13" s="29">
        <f>Bilan_enerdata_2015!P38</f>
        <v>0.74651762682717104</v>
      </c>
      <c r="U13" s="29">
        <f>Bilan_enerdata_2015!P34+Bilan_enerdata_2015!P39</f>
        <v>10.069552160228</v>
      </c>
      <c r="V13" s="29">
        <f>Bilan_enerdata_2015!P36</f>
        <v>13.6203670581426</v>
      </c>
      <c r="W13" s="29">
        <f>Bilan_enerdata_2015!P37</f>
        <v>12.701365476499801</v>
      </c>
      <c r="X13" s="29">
        <f>Bilan_enerdata_2015!P35</f>
        <v>0.94471195184866696</v>
      </c>
    </row>
    <row r="14" spans="1:24">
      <c r="A14" s="695"/>
      <c r="B14" s="1" t="s">
        <v>24</v>
      </c>
      <c r="C14" s="486">
        <v>0</v>
      </c>
      <c r="D14" s="81"/>
      <c r="E14" s="28">
        <v>0</v>
      </c>
      <c r="F14" s="81"/>
      <c r="G14" s="17">
        <f t="shared" si="0"/>
        <v>0</v>
      </c>
      <c r="H14" s="81"/>
      <c r="I14" s="21"/>
      <c r="J14" s="81"/>
      <c r="K14" s="526"/>
      <c r="L14" s="526"/>
      <c r="M14" s="526"/>
      <c r="N14" s="526"/>
      <c r="O14" s="526"/>
      <c r="P14" s="29"/>
      <c r="Q14" s="529"/>
      <c r="R14" s="498"/>
      <c r="S14" s="529"/>
      <c r="T14" s="526"/>
      <c r="U14" s="526"/>
      <c r="V14" s="526"/>
      <c r="W14" s="526"/>
      <c r="X14" s="526"/>
    </row>
    <row r="15" spans="1:24">
      <c r="A15" s="695"/>
      <c r="B15" s="1" t="s">
        <v>25</v>
      </c>
      <c r="C15" s="486">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26</v>
      </c>
      <c r="C16" s="17"/>
      <c r="D16" s="81"/>
      <c r="E16" s="28">
        <f>C16*(1-[7]Offre_calc!$L$158)</f>
        <v>0</v>
      </c>
      <c r="F16" s="81"/>
      <c r="G16" s="17">
        <f t="shared" si="0"/>
        <v>0</v>
      </c>
      <c r="H16" s="81"/>
      <c r="I16" s="21"/>
      <c r="J16" s="81"/>
      <c r="K16" s="526"/>
      <c r="L16" s="526"/>
      <c r="M16" s="526"/>
      <c r="N16" s="526"/>
      <c r="O16" s="526"/>
      <c r="P16" s="29"/>
      <c r="Q16" s="529"/>
      <c r="R16" s="498"/>
      <c r="S16" s="529"/>
      <c r="T16" s="526"/>
      <c r="U16" s="526"/>
      <c r="V16" s="526"/>
      <c r="W16" s="526"/>
      <c r="X16" s="526"/>
    </row>
    <row r="17" spans="1:24">
      <c r="A17" s="695"/>
      <c r="B17" s="1" t="s">
        <v>27</v>
      </c>
      <c r="C17" s="17">
        <f>Bilan_enerdata_2015!F21</f>
        <v>0.70199999999999996</v>
      </c>
      <c r="D17" s="81"/>
      <c r="E17" s="28">
        <f>C17*(1-[7]Offre_calc!$L$158)</f>
        <v>0.39312000000000002</v>
      </c>
      <c r="F17" s="81"/>
      <c r="G17" s="17">
        <f t="shared" si="0"/>
        <v>0.30887999999999993</v>
      </c>
      <c r="H17" s="81"/>
      <c r="I17" s="21"/>
      <c r="J17" s="81"/>
      <c r="K17" s="526"/>
      <c r="L17" s="526"/>
      <c r="M17" s="526"/>
      <c r="N17" s="526"/>
      <c r="O17" s="526"/>
      <c r="P17" s="29"/>
      <c r="Q17" s="529"/>
      <c r="R17" s="498"/>
      <c r="S17" s="529"/>
      <c r="T17" s="526"/>
      <c r="U17" s="526"/>
      <c r="V17" s="526"/>
      <c r="W17" s="526"/>
      <c r="X17" s="526"/>
    </row>
    <row r="18" spans="1:24">
      <c r="A18" s="695"/>
      <c r="B18" s="1" t="s">
        <v>28</v>
      </c>
      <c r="C18" s="17">
        <f>Bilan_enerdata_2015!D21</f>
        <v>2.993512517722364</v>
      </c>
      <c r="D18" s="81"/>
      <c r="E18" s="28">
        <f>C18*(1-[7]Offre_calc!$L$157)</f>
        <v>2.0412350215773709</v>
      </c>
      <c r="F18" s="81"/>
      <c r="G18" s="17">
        <f t="shared" si="0"/>
        <v>0.95227749614499313</v>
      </c>
      <c r="H18" s="81"/>
      <c r="I18" s="21"/>
      <c r="J18" s="81"/>
      <c r="K18" s="526"/>
      <c r="L18" s="526"/>
      <c r="M18" s="526"/>
      <c r="N18" s="526"/>
      <c r="O18" s="526"/>
      <c r="P18" s="29"/>
      <c r="Q18" s="529"/>
      <c r="R18" s="498"/>
      <c r="S18" s="529"/>
      <c r="T18" s="526"/>
      <c r="U18" s="526"/>
      <c r="V18" s="526"/>
      <c r="W18" s="526"/>
      <c r="X18" s="526"/>
    </row>
    <row r="19" spans="1:24">
      <c r="A19" s="695"/>
      <c r="B19" s="1" t="s">
        <v>260</v>
      </c>
      <c r="C19" s="17">
        <f>Bilan_enerdata_2015!G21</f>
        <v>3.8342608147611204</v>
      </c>
      <c r="D19" s="82"/>
      <c r="E19" s="28">
        <f>C19*(1-[7]Offre_calc!$L$160)</f>
        <v>1.8174396261967709</v>
      </c>
      <c r="F19" s="82"/>
      <c r="G19" s="17">
        <f t="shared" si="0"/>
        <v>2.0168211885643492</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0.34455546914278296</v>
      </c>
      <c r="H20" s="499"/>
      <c r="I20" s="17"/>
      <c r="J20" s="1"/>
      <c r="K20" s="17"/>
      <c r="L20" s="1"/>
      <c r="M20" s="1"/>
      <c r="N20" s="1"/>
      <c r="O20" s="1"/>
      <c r="P20" s="1"/>
      <c r="Q20" s="499"/>
      <c r="R20" s="498"/>
      <c r="S20" s="408"/>
      <c r="T20" s="495"/>
      <c r="U20" s="408"/>
      <c r="V20" s="495"/>
      <c r="W20" s="408"/>
      <c r="X20" s="495"/>
    </row>
    <row r="21" spans="1:24">
      <c r="A21" s="696" t="s">
        <v>13</v>
      </c>
      <c r="B21" s="1" t="s">
        <v>21</v>
      </c>
      <c r="C21" s="555">
        <f>-Bilan_enerdata_2015!M23</f>
        <v>0</v>
      </c>
      <c r="D21" s="531"/>
      <c r="E21" s="189">
        <v>0</v>
      </c>
      <c r="F21" s="531"/>
      <c r="G21" s="17">
        <f t="shared" ref="G21:G24" si="1">C21-E21</f>
        <v>0</v>
      </c>
      <c r="H21" s="531"/>
      <c r="I21" s="17"/>
      <c r="J21" s="531"/>
      <c r="K21" s="547">
        <f>Bilan_enerdata_2015!M31</f>
        <v>0</v>
      </c>
      <c r="L21" s="547">
        <f>-(Bilan_enerdata_2015!M13+Bilan_enerdata_2015!M14+Bilan_enerdata_2015!M15+Bilan_enerdata_2015!M16)</f>
        <v>0</v>
      </c>
      <c r="M21" s="547">
        <f>Bilan_enerdata_2015!M28</f>
        <v>0</v>
      </c>
      <c r="N21" s="547">
        <v>0</v>
      </c>
      <c r="O21" s="547">
        <f>Bilan_enerdata_2015!M21</f>
        <v>4.8399621595771158E-2</v>
      </c>
      <c r="P21" s="531"/>
      <c r="Q21" s="531"/>
      <c r="R21" s="498"/>
      <c r="S21" s="531"/>
      <c r="T21" s="531"/>
      <c r="U21" s="531"/>
      <c r="V21" s="531"/>
      <c r="W21" s="531"/>
      <c r="X21" s="531"/>
    </row>
    <row r="22" spans="1:24">
      <c r="A22" s="696"/>
      <c r="B22" s="1" t="s">
        <v>30</v>
      </c>
      <c r="C22" s="17"/>
      <c r="D22" s="85">
        <f>SUM(C21:C24)</f>
        <v>33.938598079402048</v>
      </c>
      <c r="E22" s="497"/>
      <c r="F22" s="85">
        <f>SUM(E21:E24)</f>
        <v>0.94207672880439985</v>
      </c>
      <c r="G22" s="17"/>
      <c r="H22" s="85">
        <f>SUM(G21:G24)</f>
        <v>32.996521350597646</v>
      </c>
      <c r="I22" s="408"/>
      <c r="J22" s="85">
        <f>H22-I22</f>
        <v>32.996521350597646</v>
      </c>
      <c r="K22" s="32"/>
      <c r="L22" s="32"/>
      <c r="M22" s="32"/>
      <c r="N22" s="32"/>
      <c r="O22" s="32"/>
      <c r="P22" s="32"/>
      <c r="Q22" s="85">
        <f>J22-SUM(K21:P24)</f>
        <v>27.993557515100598</v>
      </c>
      <c r="R22" s="508">
        <f>Q22-S22</f>
        <v>-1.6957218035303612</v>
      </c>
      <c r="S22" s="85">
        <f>SUM(T22:X24)</f>
        <v>29.689279318630959</v>
      </c>
      <c r="T22" s="32">
        <f>Bilan_enerdata_2015!G38+Bilan_enerdata_2015!R38+Bilan_enerdata_2015!M$38</f>
        <v>0.20373357065436756</v>
      </c>
      <c r="U22" s="32">
        <f>Bilan_enerdata_2015!G34+Bilan_enerdata_2015!R34+Bilan_enerdata_2015!M$34</f>
        <v>10.286252455773868</v>
      </c>
      <c r="V22" s="32">
        <f>Bilan_enerdata_2015!G36+Bilan_enerdata_2015!R36+Bilan_enerdata_2015!M$36</f>
        <v>11.918962927436349</v>
      </c>
      <c r="W22" s="32">
        <f>Bilan_enerdata_2015!G37+Bilan_enerdata_2015!K37+Bilan_enerdata_2015!R37+Bilan_enerdata_2015!M$37</f>
        <v>7.2076013059472235</v>
      </c>
      <c r="X22" s="32">
        <f>Bilan_enerdata_2015!G35+Bilan_enerdata_2015!R35+Bilan_enerdata_2015!M$35</f>
        <v>7.2729058819149789E-2</v>
      </c>
    </row>
    <row r="23" spans="1:24">
      <c r="A23" s="696"/>
      <c r="B23" s="1" t="s">
        <v>31</v>
      </c>
      <c r="C23" s="17">
        <f>SUM(Bilan_enerdata_2015!D28:Q28)-C47</f>
        <v>0</v>
      </c>
      <c r="D23" s="532"/>
      <c r="E23" s="33">
        <f>Bilan_enerdata_2015!S28+Bilan_enerdata_2015!S27</f>
        <v>0</v>
      </c>
      <c r="F23" s="534"/>
      <c r="G23" s="17">
        <f t="shared" si="1"/>
        <v>0</v>
      </c>
      <c r="H23" s="534"/>
      <c r="I23" s="17"/>
      <c r="J23" s="534"/>
      <c r="K23" s="536">
        <f>Bilan_enerdata_2015!R31</f>
        <v>0</v>
      </c>
      <c r="L23" s="536">
        <f>-(Bilan_enerdata_2015!R13+Bilan_enerdata_2015!R14+Bilan_enerdata_2015!R15+Bilan_enerdata_2015!R16)</f>
        <v>0</v>
      </c>
      <c r="M23" s="536"/>
      <c r="N23" s="536">
        <f>Bilan_enerdata_2015!R22</f>
        <v>0</v>
      </c>
      <c r="O23" s="536">
        <f>Bilan_enerdata_2015!R21</f>
        <v>0</v>
      </c>
      <c r="P23" s="536">
        <f>-Bilan_enerdata_2015!L27</f>
        <v>0</v>
      </c>
      <c r="Q23" s="534"/>
      <c r="S23" s="534"/>
      <c r="T23" s="538"/>
      <c r="U23" s="538"/>
      <c r="V23" s="538"/>
      <c r="W23" s="538"/>
      <c r="X23" s="538"/>
    </row>
    <row r="24" spans="1:24">
      <c r="A24" s="696"/>
      <c r="B24" s="1" t="s">
        <v>32</v>
      </c>
      <c r="C24" s="555">
        <f>Bilan_enerdata_2015!G18-C45-(Bilan_enerdata_2015!G20+Bilan_enerdata_2015!G19)-Bilan_enerdata_2015!G19</f>
        <v>33.938598079402048</v>
      </c>
      <c r="D24" s="533"/>
      <c r="E24" s="550">
        <f>Bilan_enerdata_2015!G30-0.3</f>
        <v>0.94207672880439985</v>
      </c>
      <c r="F24" s="535"/>
      <c r="G24" s="17">
        <f t="shared" si="1"/>
        <v>32.996521350597646</v>
      </c>
      <c r="H24" s="535"/>
      <c r="I24" s="34"/>
      <c r="J24" s="535"/>
      <c r="K24" s="537">
        <f>Bilan_enerdata_2015!G31</f>
        <v>0.46122098022356001</v>
      </c>
      <c r="L24" s="537"/>
      <c r="M24" s="537">
        <f>Bilan_enerdata_2015!G28</f>
        <v>0</v>
      </c>
      <c r="N24" s="537">
        <f>Bilan_enerdata_2015!G22</f>
        <v>0.65908241891659503</v>
      </c>
      <c r="O24" s="537">
        <f>Bilan_enerdata_2015!G21</f>
        <v>3.8342608147611204</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-Bilan_enerdata_2015!M22</f>
        <v>0.3</v>
      </c>
      <c r="D26" s="512"/>
      <c r="E26" s="190">
        <f>C26*F$35</f>
        <v>6.4959954568152206E-2</v>
      </c>
      <c r="F26" s="512"/>
      <c r="G26" s="33">
        <f t="shared" ref="G26:G31" si="2">C26-E26</f>
        <v>0.23504004543184778</v>
      </c>
      <c r="H26" s="512"/>
      <c r="I26" s="1"/>
      <c r="J26" s="512"/>
      <c r="K26" s="512"/>
      <c r="L26" s="512"/>
      <c r="M26" s="512"/>
      <c r="N26" s="512"/>
      <c r="O26" s="512"/>
      <c r="P26" s="512"/>
      <c r="Q26" s="512"/>
      <c r="R26" s="498"/>
      <c r="S26" s="512"/>
      <c r="T26" s="512"/>
      <c r="U26" s="512"/>
      <c r="V26" s="512"/>
      <c r="W26" s="512"/>
      <c r="X26" s="512"/>
    </row>
    <row r="27" spans="1:24">
      <c r="A27" s="697"/>
      <c r="B27" s="1" t="s">
        <v>22</v>
      </c>
      <c r="C27" s="17">
        <f>Bilan_enerdata_2015!K18-Bilan_enerdata_2015!K21-(Bilan_enerdata_2015!Q20+Bilan_enerdata_2015!Q19+Bilan_enerdata_2015!K20+Bilan_enerdata_2015!K19)</f>
        <v>0.9911123027642359</v>
      </c>
      <c r="D27" s="87"/>
      <c r="E27" s="190">
        <f t="shared" ref="E27:E34" si="3">C27*F$35</f>
        <v>0.21460870053167158</v>
      </c>
      <c r="F27" s="87"/>
      <c r="G27" s="33">
        <f t="shared" si="2"/>
        <v>0.77650360223256432</v>
      </c>
      <c r="H27" s="87"/>
      <c r="I27" s="500"/>
      <c r="J27" s="87"/>
      <c r="K27" s="87"/>
      <c r="L27" s="87"/>
      <c r="M27" s="87"/>
      <c r="N27" s="87"/>
      <c r="O27" s="87"/>
      <c r="P27" s="87"/>
      <c r="Q27" s="87"/>
      <c r="R27" s="498"/>
      <c r="S27" s="87"/>
      <c r="T27" s="87"/>
      <c r="U27" s="87"/>
      <c r="V27" s="87"/>
      <c r="W27" s="87"/>
      <c r="X27" s="87"/>
    </row>
    <row r="28" spans="1:24">
      <c r="A28" s="697"/>
      <c r="B28" s="1" t="s">
        <v>26</v>
      </c>
      <c r="C28" s="17">
        <f>-Bilan_enerdata_2015!N22-Bilan_enerdata_2015!Q22</f>
        <v>2.3029600000000001</v>
      </c>
      <c r="D28" s="87"/>
      <c r="E28" s="190">
        <f t="shared" si="3"/>
        <v>0.49866725657423938</v>
      </c>
      <c r="F28" s="87"/>
      <c r="G28" s="33">
        <f>C28-E28</f>
        <v>1.8042927434257607</v>
      </c>
      <c r="H28" s="87"/>
      <c r="I28" s="1"/>
      <c r="J28" s="87"/>
      <c r="K28" s="87"/>
      <c r="L28" s="87"/>
      <c r="M28" s="87"/>
      <c r="N28" s="87"/>
      <c r="O28" s="87"/>
      <c r="P28" s="87"/>
      <c r="Q28" s="87"/>
      <c r="R28" s="498"/>
      <c r="S28" s="87"/>
      <c r="T28" s="87"/>
      <c r="U28" s="87"/>
      <c r="V28" s="87"/>
      <c r="W28" s="87"/>
      <c r="X28" s="87"/>
    </row>
    <row r="29" spans="1:24">
      <c r="A29" s="697"/>
      <c r="B29" s="1" t="s">
        <v>23</v>
      </c>
      <c r="C29" s="17">
        <f>Bilan_enerdata_2015!J22</f>
        <v>0.37233004846401435</v>
      </c>
      <c r="D29" s="87"/>
      <c r="E29" s="190">
        <f t="shared" si="3"/>
        <v>8.0621810108600936E-2</v>
      </c>
      <c r="F29" s="87"/>
      <c r="G29" s="33">
        <f t="shared" si="2"/>
        <v>0.29170823835541343</v>
      </c>
      <c r="H29" s="87"/>
      <c r="I29" s="1"/>
      <c r="J29" s="87"/>
      <c r="K29" s="87"/>
      <c r="L29" s="87"/>
      <c r="M29" s="87"/>
      <c r="N29" s="87"/>
      <c r="O29" s="87"/>
      <c r="P29" s="87"/>
      <c r="Q29" s="87"/>
      <c r="R29" s="498"/>
      <c r="S29" s="87"/>
      <c r="T29" s="87"/>
      <c r="U29" s="87"/>
      <c r="V29" s="87"/>
      <c r="W29" s="87"/>
      <c r="X29" s="87"/>
    </row>
    <row r="30" spans="1:24">
      <c r="A30" s="697"/>
      <c r="B30" s="1" t="s">
        <v>24</v>
      </c>
      <c r="C30" s="17">
        <f>Bilan_enerdata_2015!O22</f>
        <v>6.1717047775784024E-2</v>
      </c>
      <c r="D30" s="86">
        <f>SUM(C26:C34)</f>
        <v>4.9398068179206298</v>
      </c>
      <c r="E30" s="190">
        <f t="shared" si="3"/>
        <v>1.3363788731984698E-2</v>
      </c>
      <c r="F30" s="86">
        <f>Bilan_enerdata_2015!I22+Bilan_enerdata_2015!J22+Bilan_enerdata_2015!K22+Bilan_enerdata_2015!L22+Bilan_enerdata_2015!O22+Bilan_enerdata_2015!P22</f>
        <v>1.0696320882252421</v>
      </c>
      <c r="G30" s="33">
        <f t="shared" si="2"/>
        <v>4.8353259043799328E-2</v>
      </c>
      <c r="H30" s="86">
        <f>SUM(G26:G34)</f>
        <v>3.8701747296953872</v>
      </c>
      <c r="I30" s="1"/>
      <c r="J30" s="86">
        <f>H30</f>
        <v>3.8701747296953872</v>
      </c>
      <c r="K30" s="87">
        <f>Bilan_enerdata_2015!Q31</f>
        <v>0.80882690971625104</v>
      </c>
      <c r="L30" s="87"/>
      <c r="M30" s="87">
        <f>Bilan_enerdata_2015!K28</f>
        <v>0</v>
      </c>
      <c r="N30" s="87"/>
      <c r="O30" s="87"/>
      <c r="P30" s="87">
        <f>-Bilan_enerdata_2015!N22</f>
        <v>0.4</v>
      </c>
      <c r="Q30" s="86">
        <f>J30-K30-L30-M30-N30-O30-P30</f>
        <v>2.6613478199791363</v>
      </c>
      <c r="R30" s="508">
        <f>Q30-S30</f>
        <v>-0.64344399863978641</v>
      </c>
      <c r="S30" s="86">
        <f>SUM(T27:X34)</f>
        <v>3.3047918186189227</v>
      </c>
      <c r="T30" s="87">
        <f>Bilan_enerdata_2015!Q$38</f>
        <v>6.4536710533781398E-3</v>
      </c>
      <c r="U30" s="87">
        <f>Bilan_enerdata_2015!Q$34+Bilan_enerdata_2015!K34</f>
        <v>1.3757403095240033</v>
      </c>
      <c r="V30" s="87">
        <f>Bilan_enerdata_2015!Q$36</f>
        <v>1.21184436300186</v>
      </c>
      <c r="W30" s="87">
        <f>Bilan_enerdata_2015!Q$37</f>
        <v>0.710753475039681</v>
      </c>
      <c r="X30" s="87">
        <f>Bilan_enerdata_2015!Q$35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555">
        <f>Bilan_enerdata_2015!G22+Bilan_enerdata_2015!G19</f>
        <v>0.65908241891659503</v>
      </c>
      <c r="D32" s="86"/>
      <c r="E32" s="190">
        <f t="shared" si="3"/>
        <v>0.14271321329829958</v>
      </c>
      <c r="F32" s="86"/>
      <c r="G32" s="33">
        <f>C32-E32</f>
        <v>0.51636920561829547</v>
      </c>
      <c r="H32" s="86"/>
      <c r="I32" s="1"/>
      <c r="J32" s="519"/>
      <c r="K32" s="87"/>
      <c r="L32" s="87"/>
      <c r="M32" s="87"/>
      <c r="N32" s="87"/>
      <c r="O32" s="87"/>
      <c r="P32" s="87"/>
      <c r="Q32" s="519"/>
      <c r="R32" s="498"/>
      <c r="S32" s="521"/>
      <c r="T32" s="523"/>
      <c r="U32" s="523"/>
      <c r="V32" s="523"/>
      <c r="W32" s="523"/>
      <c r="X32" s="523"/>
    </row>
    <row r="33" spans="1:26">
      <c r="A33" s="186"/>
      <c r="B33" s="1" t="s">
        <v>27</v>
      </c>
      <c r="C33" s="33">
        <f>Bilan_enerdata_2015!F22</f>
        <v>7.0000000000000007E-2</v>
      </c>
      <c r="D33" s="86"/>
      <c r="E33" s="190">
        <f t="shared" si="3"/>
        <v>1.515732273256885E-2</v>
      </c>
      <c r="F33" s="86"/>
      <c r="G33" s="33">
        <f t="shared" ref="G33:G34" si="4">C33-E33</f>
        <v>5.4842677267431153E-2</v>
      </c>
      <c r="H33" s="86"/>
      <c r="I33" s="1"/>
      <c r="J33" s="519"/>
      <c r="K33" s="87"/>
      <c r="L33" s="87"/>
      <c r="M33" s="87"/>
      <c r="N33" s="87"/>
      <c r="O33" s="87"/>
      <c r="P33" s="87"/>
      <c r="Q33" s="519"/>
      <c r="R33" s="498"/>
      <c r="S33" s="521"/>
      <c r="T33" s="523"/>
      <c r="U33" s="523"/>
      <c r="V33" s="523"/>
      <c r="W33" s="523"/>
      <c r="X33" s="523"/>
    </row>
    <row r="34" spans="1:26">
      <c r="A34" s="186"/>
      <c r="B34" s="1" t="s">
        <v>28</v>
      </c>
      <c r="C34" s="33">
        <f>Bilan_enerdata_2015!D22</f>
        <v>0.18260499999999999</v>
      </c>
      <c r="D34" s="88"/>
      <c r="E34" s="190">
        <f t="shared" si="3"/>
        <v>3.9540041679724774E-2</v>
      </c>
      <c r="F34" s="88"/>
      <c r="G34" s="33">
        <f t="shared" si="4"/>
        <v>0.14306495832027522</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0.21653318189384069</v>
      </c>
      <c r="G35" s="17"/>
      <c r="H35" s="501"/>
      <c r="I35" s="1"/>
      <c r="J35" s="1"/>
      <c r="K35" s="1"/>
      <c r="L35" s="1"/>
      <c r="M35" s="1"/>
      <c r="N35" s="1"/>
      <c r="O35" s="1"/>
      <c r="P35" s="1"/>
      <c r="Q35" s="502"/>
      <c r="R35" s="498"/>
      <c r="U35" s="33"/>
      <c r="V35" s="33"/>
      <c r="W35" s="33"/>
    </row>
    <row r="36" spans="1:26">
      <c r="A36" s="679" t="s">
        <v>34</v>
      </c>
      <c r="B36" s="1" t="s">
        <v>21</v>
      </c>
      <c r="C36" s="553">
        <v>0</v>
      </c>
      <c r="D36" s="540"/>
      <c r="E36" s="17">
        <f>Bilan_enerdata_2015!M30</f>
        <v>0</v>
      </c>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7.527289969702827</v>
      </c>
      <c r="D37" s="541"/>
      <c r="E37" s="504"/>
      <c r="F37" s="541"/>
      <c r="G37" s="17">
        <f t="shared" ref="G37:G42" si="5">C37-E37</f>
        <v>7.527289969702827</v>
      </c>
      <c r="H37" s="541"/>
      <c r="I37" s="498"/>
      <c r="J37" s="37"/>
      <c r="K37" s="35"/>
      <c r="L37" s="35"/>
      <c r="M37" s="505"/>
      <c r="N37" s="35"/>
      <c r="P37" s="35"/>
      <c r="Q37" s="543"/>
      <c r="R37" s="498"/>
      <c r="S37" s="541"/>
      <c r="T37" s="506">
        <f>Bilan_enerdata_2015!J38</f>
        <v>3.5377495274347415E-2</v>
      </c>
      <c r="U37" s="93">
        <f>Bilan_enerdata_2015!J34</f>
        <v>0.99652219098612382</v>
      </c>
      <c r="V37" s="506">
        <f>Bilan_enerdata_2015!J36</f>
        <v>6.1682880084838283</v>
      </c>
      <c r="W37" s="507">
        <f>Bilan_enerdata_2015!J37</f>
        <v>0.32710227495852834</v>
      </c>
      <c r="X37" s="506">
        <f>Bilan_enerdata_2015!J35</f>
        <v>0</v>
      </c>
      <c r="Y37" s="489">
        <f t="shared" ref="Y37:Y47" si="6">SUM(T37:X37)</f>
        <v>7.527289969702827</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13.651133248119873</v>
      </c>
      <c r="R38" s="498"/>
      <c r="S38" s="541"/>
      <c r="T38" s="84">
        <v>0</v>
      </c>
      <c r="U38" s="83">
        <v>0</v>
      </c>
      <c r="V38" s="84">
        <v>0</v>
      </c>
      <c r="W38" s="91">
        <v>0</v>
      </c>
      <c r="X38" s="91">
        <v>0</v>
      </c>
      <c r="Y38" s="489">
        <f t="shared" si="6"/>
        <v>0</v>
      </c>
      <c r="Z38" s="489">
        <f t="shared" si="7"/>
        <v>0</v>
      </c>
    </row>
    <row r="39" spans="1:26">
      <c r="A39" s="679"/>
      <c r="B39" s="1" t="s">
        <v>35</v>
      </c>
      <c r="C39" s="33">
        <f>SUM(T39:X39)</f>
        <v>0.11807626495854381</v>
      </c>
      <c r="D39" s="541"/>
      <c r="E39" s="35"/>
      <c r="F39" s="541"/>
      <c r="G39" s="17">
        <f t="shared" si="5"/>
        <v>0.11807626495854381</v>
      </c>
      <c r="H39" s="541"/>
      <c r="I39" s="35"/>
      <c r="J39" s="37"/>
      <c r="K39" s="35"/>
      <c r="L39" s="35"/>
      <c r="M39" s="37"/>
      <c r="N39" s="35"/>
      <c r="O39" s="35"/>
      <c r="P39" s="35"/>
      <c r="Q39" s="543"/>
      <c r="R39" s="498"/>
      <c r="S39" s="541"/>
      <c r="T39" s="84">
        <f>Bilan_enerdata_2015!O38</f>
        <v>8.9396802728204314E-3</v>
      </c>
      <c r="U39" s="83">
        <f>Bilan_enerdata_2015!O34</f>
        <v>0</v>
      </c>
      <c r="V39" s="84">
        <f>Bilan_enerdata_2015!O36</f>
        <v>3.1713574862667765E-2</v>
      </c>
      <c r="W39" s="91">
        <f>Bilan_enerdata_2015!O37</f>
        <v>7.7423009823055625E-2</v>
      </c>
      <c r="X39" s="91">
        <f>Bilan_enerdata_2015!O35</f>
        <v>0</v>
      </c>
      <c r="Y39" s="489">
        <f t="shared" si="6"/>
        <v>0.11807626495854381</v>
      </c>
      <c r="Z39" s="489">
        <f t="shared" si="7"/>
        <v>0</v>
      </c>
    </row>
    <row r="40" spans="1:26">
      <c r="A40" s="679"/>
      <c r="B40" s="1" t="s">
        <v>36</v>
      </c>
      <c r="C40" s="33">
        <f>Bilan_enerdata_2015!N12+P30</f>
        <v>2.8999002869050963</v>
      </c>
      <c r="D40" s="541"/>
      <c r="E40" s="554"/>
      <c r="F40" s="541"/>
      <c r="G40" s="17">
        <f t="shared" si="5"/>
        <v>2.8999002869050963</v>
      </c>
      <c r="H40" s="541"/>
      <c r="I40" s="35"/>
      <c r="J40" s="37"/>
      <c r="K40" s="35"/>
      <c r="L40" s="35"/>
      <c r="M40" s="37"/>
      <c r="N40" s="35"/>
      <c r="O40" s="35"/>
      <c r="P40" s="35"/>
      <c r="Q40" s="543"/>
      <c r="R40" s="498"/>
      <c r="S40" s="541"/>
      <c r="T40" s="83">
        <f>Bilan_enerdata_2015!N$38</f>
        <v>0</v>
      </c>
      <c r="U40" s="83">
        <f>Bilan_enerdata_2015!N$34</f>
        <v>0</v>
      </c>
      <c r="V40" s="83">
        <f>Bilan_enerdata_2015!N$36</f>
        <v>2.5020548325390175</v>
      </c>
      <c r="W40" s="83">
        <f>Bilan_enerdata_2015!N$37</f>
        <v>0.42323217882164721</v>
      </c>
      <c r="X40" s="84">
        <f>Bilan_enerdata_2015!N$35</f>
        <v>0</v>
      </c>
      <c r="Y40" s="489">
        <f t="shared" si="6"/>
        <v>2.9252870113606648</v>
      </c>
      <c r="Z40" s="489">
        <f t="shared" si="7"/>
        <v>-2.5386724455568555E-2</v>
      </c>
    </row>
    <row r="41" spans="1:26">
      <c r="A41" s="679"/>
      <c r="B41" s="1" t="s">
        <v>37</v>
      </c>
      <c r="C41" s="550">
        <f>-Bilan_enerdata_2015!L26-Bilan_enerdata_2015!L27+Bilan_enerdata_2015!L13+Bilan_enerdata_2015!L14-Bilan_enerdata_2015!L19</f>
        <v>3.1058667265534057</v>
      </c>
      <c r="D41" s="191">
        <f>SUM(C36:C47)</f>
        <v>89.616091234691183</v>
      </c>
      <c r="E41" s="38"/>
      <c r="F41" s="191">
        <f>SUM(E36:E47)</f>
        <v>2.2449999999999992</v>
      </c>
      <c r="G41" s="17">
        <f t="shared" si="5"/>
        <v>3.1058667265534057</v>
      </c>
      <c r="H41" s="191">
        <f>SUM(G36:G47)</f>
        <v>87.371091234691178</v>
      </c>
      <c r="I41" s="35"/>
      <c r="J41" s="37"/>
      <c r="K41" s="35"/>
      <c r="L41" s="37">
        <f>-(Bilan_enerdata_2015!L15+Bilan_enerdata_2015!L16)</f>
        <v>0</v>
      </c>
      <c r="M41" s="35"/>
      <c r="N41" s="35"/>
      <c r="O41" s="35"/>
      <c r="P41" s="35"/>
      <c r="Q41" s="543"/>
      <c r="R41" s="508">
        <f>SUM(Q36:Q47)-S41</f>
        <v>-0.46856367986407577</v>
      </c>
      <c r="S41" s="191">
        <f>SUM(T36:X46)</f>
        <v>70.03325106186567</v>
      </c>
      <c r="T41" s="83">
        <f>Bilan_enerdata_2015!L$38</f>
        <v>0.11181503207557658</v>
      </c>
      <c r="U41" s="83">
        <f>Bilan_enerdata_2015!L$34</f>
        <v>5.2409905400054732E-2</v>
      </c>
      <c r="V41" s="83">
        <f>Bilan_enerdata_2015!L$36</f>
        <v>0</v>
      </c>
      <c r="W41" s="83">
        <f>Bilan_enerdata_2015!L$37</f>
        <v>0</v>
      </c>
      <c r="X41" s="84">
        <f>Bilan_enerdata_2015!L$35</f>
        <v>2.9416417890777748</v>
      </c>
      <c r="Y41" s="489">
        <f t="shared" si="6"/>
        <v>3.1058667265534061</v>
      </c>
      <c r="Z41" s="489">
        <f>G41-Y41-L41</f>
        <v>-4.4408920985006262E-16</v>
      </c>
    </row>
    <row r="42" spans="1:26">
      <c r="A42" s="679"/>
      <c r="B42" s="1" t="s">
        <v>38</v>
      </c>
      <c r="C42" s="33">
        <f>Bilan_enerdata_2015!E18+Bilan_enerdata_2015!F18-Bilan_enerdata_2015!F21-Bilan_enerdata_2015!F22-E54-SUM(T43:X43)-(Bilan_enerdata_2015!E20+Bilan_enerdata_2015!F20+Bilan_enerdata_2015!E19+Bilan_enerdata_2015!F19)</f>
        <v>41.627629483827391</v>
      </c>
      <c r="D42" s="541"/>
      <c r="E42" s="17">
        <f>Bilan_enerdata_2015!F30+Bilan_enerdata_2015!S25+Bilan_enerdata_2015!F29+Bilan_enerdata_2015!E29</f>
        <v>2.2449999999999992</v>
      </c>
      <c r="F42" s="541"/>
      <c r="G42" s="17">
        <f t="shared" si="5"/>
        <v>39.382629483827394</v>
      </c>
      <c r="H42" s="541"/>
      <c r="I42" s="498"/>
      <c r="J42" s="37"/>
      <c r="K42" s="35"/>
      <c r="L42" s="35"/>
      <c r="M42" s="35"/>
      <c r="N42" s="35"/>
      <c r="O42" s="35"/>
      <c r="P42" s="35"/>
      <c r="Q42" s="36">
        <f>G42</f>
        <v>39.382629483827394</v>
      </c>
      <c r="R42" s="498"/>
      <c r="S42" s="541"/>
      <c r="T42" s="83">
        <v>0</v>
      </c>
      <c r="U42" s="83">
        <v>0</v>
      </c>
      <c r="V42" s="83">
        <v>0</v>
      </c>
      <c r="W42" s="83">
        <v>0</v>
      </c>
      <c r="X42" s="84">
        <f>Bilan_enerdata_2015!F35</f>
        <v>39.807000000000002</v>
      </c>
      <c r="Y42" s="489">
        <f t="shared" si="6"/>
        <v>39.807000000000002</v>
      </c>
      <c r="Z42" s="489">
        <f>Q42-SUM(T42:X42)</f>
        <v>-0.42437051617260835</v>
      </c>
    </row>
    <row r="43" spans="1:26">
      <c r="A43" s="679"/>
      <c r="B43" s="1" t="s">
        <v>39</v>
      </c>
      <c r="C43" s="33">
        <f>Bilan_enerdata_2015!F41+SUM(T43:X43)</f>
        <v>27.8713705161726</v>
      </c>
      <c r="D43" s="541"/>
      <c r="E43" s="38"/>
      <c r="F43" s="541"/>
      <c r="G43" s="17">
        <f>C43-E43</f>
        <v>27.8713705161726</v>
      </c>
      <c r="H43" s="541"/>
      <c r="I43" s="35"/>
      <c r="J43" s="37"/>
      <c r="K43" s="35"/>
      <c r="L43" s="35"/>
      <c r="M43" s="35"/>
      <c r="N43" s="35"/>
      <c r="O43" s="35"/>
      <c r="P43" s="35"/>
      <c r="Q43" s="36">
        <f>G43-Bilan_enerdata_2015!F41</f>
        <v>15.418370516172601</v>
      </c>
      <c r="R43" s="498"/>
      <c r="S43" s="541"/>
      <c r="T43" s="83">
        <f>Bilan_enerdata_2015!F38</f>
        <v>3.371</v>
      </c>
      <c r="U43" s="83">
        <f>Bilan_enerdata_2015!F34</f>
        <v>2.3566094604778201</v>
      </c>
      <c r="V43" s="83">
        <f>Bilan_enerdata_2015!F36</f>
        <v>6.6752954110546101</v>
      </c>
      <c r="W43" s="83">
        <f>Bilan_enerdata_2015!F37</f>
        <v>3.01546564464017</v>
      </c>
      <c r="X43" s="84">
        <v>0</v>
      </c>
      <c r="Y43" s="489">
        <f t="shared" si="6"/>
        <v>15.418370516172601</v>
      </c>
      <c r="Z43" s="489">
        <f>Q43-SUM(T43:X43)</f>
        <v>0</v>
      </c>
    </row>
    <row r="44" spans="1:26">
      <c r="A44" s="679"/>
      <c r="B44" s="1" t="s">
        <v>40</v>
      </c>
      <c r="C44" s="33">
        <v>0</v>
      </c>
      <c r="D44" s="541"/>
      <c r="E44" s="38"/>
      <c r="F44" s="541"/>
      <c r="G44" s="17">
        <f t="shared" ref="G44:G45" si="8">C44-E44</f>
        <v>0</v>
      </c>
      <c r="H44" s="541"/>
      <c r="I44" s="35"/>
      <c r="J44" s="37"/>
      <c r="K44" s="35"/>
      <c r="L44" s="35"/>
      <c r="M44" s="35"/>
      <c r="N44" s="35"/>
      <c r="O44" s="35"/>
      <c r="P44" s="35"/>
      <c r="Q44" s="36">
        <f>G44-Bilan_enerdata_2015!K41</f>
        <v>0</v>
      </c>
      <c r="R44" s="498"/>
      <c r="S44" s="541"/>
      <c r="T44" s="83">
        <f>Bilan_enerdata_2015!K$38</f>
        <v>0</v>
      </c>
      <c r="U44" s="83">
        <v>0</v>
      </c>
      <c r="V44" s="83">
        <f>Bilan_enerdata_2015!K$36</f>
        <v>0</v>
      </c>
      <c r="W44" s="83">
        <v>0</v>
      </c>
      <c r="X44" s="84">
        <f>Bilan_enerdata_2015!K$35</f>
        <v>0</v>
      </c>
      <c r="Y44" s="489">
        <f t="shared" si="6"/>
        <v>0</v>
      </c>
      <c r="Z44" s="489">
        <f t="shared" si="7"/>
        <v>0</v>
      </c>
    </row>
    <row r="45" spans="1:26">
      <c r="A45" s="679"/>
      <c r="B45" s="1" t="s">
        <v>41</v>
      </c>
      <c r="C45" s="33">
        <f>E53</f>
        <v>1.1015862413247299</v>
      </c>
      <c r="D45" s="541"/>
      <c r="E45" s="38"/>
      <c r="F45" s="541"/>
      <c r="G45" s="17">
        <f t="shared" si="8"/>
        <v>1.1015862413247299</v>
      </c>
      <c r="H45" s="541"/>
      <c r="I45" s="35"/>
      <c r="J45" s="37"/>
      <c r="K45" s="35"/>
      <c r="L45" s="35"/>
      <c r="M45" s="35"/>
      <c r="N45" s="35"/>
      <c r="O45" s="35"/>
      <c r="P45" s="35"/>
      <c r="Q45" s="36">
        <f>G45-Bilan_enerdata_2015!G41</f>
        <v>0</v>
      </c>
      <c r="R45" s="498"/>
      <c r="S45" s="541"/>
      <c r="T45" s="84">
        <v>0</v>
      </c>
      <c r="U45" s="83">
        <v>0</v>
      </c>
      <c r="V45" s="84">
        <v>0</v>
      </c>
      <c r="W45" s="92">
        <v>0</v>
      </c>
      <c r="X45" s="84">
        <v>0</v>
      </c>
      <c r="Y45" s="489">
        <f t="shared" si="6"/>
        <v>0</v>
      </c>
      <c r="Z45" s="489">
        <f>Q45-Y45</f>
        <v>0</v>
      </c>
    </row>
    <row r="46" spans="1:26">
      <c r="A46" s="679"/>
      <c r="B46" s="1" t="s">
        <v>42</v>
      </c>
      <c r="C46" s="550">
        <f>Bilan_enerdata_2015!D18-C18-C34-Bilan_enerdata_2015!D20</f>
        <v>5.3643717452465864</v>
      </c>
      <c r="D46" s="541"/>
      <c r="E46" s="37"/>
      <c r="F46" s="541"/>
      <c r="G46" s="17">
        <f>C46-E46</f>
        <v>5.3643717452465864</v>
      </c>
      <c r="H46" s="541"/>
      <c r="I46" s="38"/>
      <c r="J46" s="37"/>
      <c r="K46" s="35"/>
      <c r="L46" s="35"/>
      <c r="M46" s="35"/>
      <c r="N46" s="35"/>
      <c r="O46" s="35"/>
      <c r="P46" s="35"/>
      <c r="Q46" s="36">
        <f>G46-(Bilan_enerdata_2015!D41+Bilan_enerdata_2015!D29+Bilan_enerdata_2015!D30)</f>
        <v>1.1125541338817282</v>
      </c>
      <c r="R46" s="498"/>
      <c r="S46" s="541"/>
      <c r="T46" s="506">
        <f>Bilan_enerdata_2015!D38</f>
        <v>2.2137192704974398E-3</v>
      </c>
      <c r="U46" s="93">
        <f>Bilan_enerdata_2015!D34</f>
        <v>1.0493092649428299</v>
      </c>
      <c r="V46" s="506">
        <f>Bilan_enerdata_2015!D36</f>
        <v>3.6764196608413298E-2</v>
      </c>
      <c r="W46" s="507">
        <f>Bilan_enerdata_2015!D37</f>
        <v>4.3073392295861899E-2</v>
      </c>
      <c r="X46" s="506">
        <f>Bilan_enerdata_2015!D35</f>
        <v>0</v>
      </c>
      <c r="Y46" s="489">
        <f t="shared" si="6"/>
        <v>1.1313605731176026</v>
      </c>
      <c r="Z46" s="489">
        <f>Q46-Y46</f>
        <v>-1.8806439235874439E-2</v>
      </c>
    </row>
    <row r="47" spans="1:26">
      <c r="A47" s="90"/>
      <c r="B47" s="1" t="s">
        <v>31</v>
      </c>
      <c r="C47" s="33">
        <f>E57</f>
        <v>0</v>
      </c>
      <c r="D47" s="192"/>
      <c r="E47" s="511"/>
      <c r="F47" s="192"/>
      <c r="G47" s="17">
        <f>C47-E47</f>
        <v>0</v>
      </c>
      <c r="H47" s="192"/>
      <c r="I47" s="38"/>
      <c r="J47" s="37"/>
      <c r="K47" s="35"/>
      <c r="L47" s="35"/>
      <c r="M47" s="35"/>
      <c r="N47" s="35"/>
      <c r="O47" s="35"/>
      <c r="P47" s="35"/>
      <c r="Q47" s="544">
        <f>G47-Bilan_enerdata_2015!R41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C5-L13-SUM(L21:L24)-L30-L41-Bilan_enerdata_2015!S18</f>
        <v>0.32401713178458635</v>
      </c>
      <c r="D49" s="1"/>
      <c r="E49" s="556">
        <f>SUM(E7:E47)+I13-Bilan_enerdata_2015!S32+K13+SUM(K21:K24)+K30+Bilan_enerdata_2015!D29+Bilan_enerdata_2015!D30-Bilan_enerdata_2015!S29</f>
        <v>-3.6909905751525263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41.2001718566462</v>
      </c>
    </row>
    <row r="52" spans="1:19">
      <c r="A52" s="21"/>
      <c r="B52" s="1" t="s">
        <v>44</v>
      </c>
      <c r="C52" s="44"/>
      <c r="D52" s="1"/>
      <c r="E52" s="39">
        <f>Bilan_enerdata_2015!D41+Bilan_enerdata_2015!D29</f>
        <v>3.2143188055943388</v>
      </c>
      <c r="F52" s="187"/>
      <c r="G52" s="1"/>
      <c r="H52" s="1"/>
      <c r="I52" s="30"/>
      <c r="J52" s="17"/>
      <c r="K52" s="17"/>
      <c r="L52" s="21"/>
      <c r="M52" s="1"/>
      <c r="N52" s="17"/>
      <c r="O52" s="17"/>
      <c r="P52" s="17"/>
      <c r="Q52" s="1"/>
      <c r="S52" s="33"/>
    </row>
    <row r="53" spans="1:19">
      <c r="A53" s="21"/>
      <c r="B53" s="1" t="s">
        <v>41</v>
      </c>
      <c r="C53" s="45"/>
      <c r="D53" s="17"/>
      <c r="E53" s="433">
        <f>Bilan_enerdata_2015!G41+Bilan_enerdata_2015!G29</f>
        <v>1.1015862413247299</v>
      </c>
      <c r="F53" s="187"/>
      <c r="G53" s="1"/>
      <c r="H53" s="1"/>
      <c r="I53" s="30"/>
      <c r="J53" s="17"/>
      <c r="K53" s="17"/>
      <c r="L53" s="21"/>
      <c r="M53" s="1"/>
      <c r="N53" s="17"/>
      <c r="O53" s="17"/>
      <c r="P53" s="17"/>
      <c r="Q53" s="1"/>
    </row>
    <row r="54" spans="1:19">
      <c r="A54" s="21"/>
      <c r="B54" s="1" t="s">
        <v>39</v>
      </c>
      <c r="C54" s="45"/>
      <c r="D54" s="17"/>
      <c r="E54" s="435">
        <f>Bilan_enerdata_2015!F41</f>
        <v>12.452999999999999</v>
      </c>
      <c r="F54" s="187"/>
      <c r="G54" s="1"/>
      <c r="H54" s="1"/>
      <c r="I54" s="30"/>
      <c r="J54" s="17"/>
      <c r="K54" s="17"/>
      <c r="L54" s="21"/>
      <c r="M54" s="21"/>
      <c r="N54" s="17"/>
      <c r="O54" s="17"/>
      <c r="P54" s="17"/>
      <c r="Q54" s="1"/>
    </row>
    <row r="55" spans="1:19">
      <c r="B55" s="1" t="s">
        <v>21</v>
      </c>
      <c r="E55" s="434">
        <f>Bilan_enerdata_2015!M41+Bilan_enerdata_2015!M29</f>
        <v>0</v>
      </c>
    </row>
    <row r="56" spans="1:19">
      <c r="B56" s="1" t="s">
        <v>37</v>
      </c>
      <c r="E56" s="434">
        <f>Bilan_enerdata_2015!L41+Bilan_enerdata_2015!L29</f>
        <v>0</v>
      </c>
    </row>
    <row r="57" spans="1:19">
      <c r="B57" s="1" t="s">
        <v>31</v>
      </c>
      <c r="E57" s="515">
        <f>Bilan_enerdata_2015!R41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05FF6-566F-4062-8EC5-E08DDBE8DE6E}">
  <dimension ref="A1:Z57"/>
  <sheetViews>
    <sheetView topLeftCell="A3" zoomScale="55" zoomScaleNormal="55" workbookViewId="0">
      <selection activeCell="C7" sqref="C7"/>
    </sheetView>
  </sheetViews>
  <sheetFormatPr baseColWidth="10" defaultColWidth="11.453125" defaultRowHeight="14.5"/>
  <cols>
    <col min="2" max="2" width="25.81640625" customWidth="1"/>
    <col min="5" max="5" width="11.72656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2559.7800174335421</v>
      </c>
      <c r="D5" s="18"/>
      <c r="E5" s="20"/>
      <c r="F5" s="494"/>
      <c r="G5" s="21"/>
      <c r="H5" s="493"/>
      <c r="I5" s="21"/>
      <c r="J5" s="22"/>
      <c r="K5" s="23"/>
      <c r="L5" s="14"/>
      <c r="M5" s="14"/>
      <c r="N5" s="15"/>
      <c r="O5" s="16"/>
      <c r="P5" s="16"/>
      <c r="Q5" s="24">
        <f>Q13+Q22+Q30+Q42+Q46+Q38+Q43</f>
        <v>1463.0016875560805</v>
      </c>
      <c r="R5" s="487"/>
      <c r="S5" s="79">
        <f>SUM(S13,S22,S27:S32,S41)</f>
        <v>1463.2820921824346</v>
      </c>
      <c r="T5" s="79">
        <f>SUM(T8:T46)</f>
        <v>51.881876855801558</v>
      </c>
      <c r="U5" s="79">
        <f>SUM(U8:U46)</f>
        <v>299.96348503204933</v>
      </c>
      <c r="V5" s="79">
        <f>SUM(V8:V46)</f>
        <v>445.83971890251252</v>
      </c>
      <c r="W5" s="173">
        <f>SUM(W8:W46)</f>
        <v>240.1928337732686</v>
      </c>
      <c r="X5" s="79">
        <f>SUM(X8:X46)</f>
        <v>425.40417761880269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(([7]Offre_calc!$L$81+[7]Offre_calc!$L$82+[7]Offre_calc!$L$127+[7]Offre_calc!$L$128)/([7]Offre_calc!$L$78+[7]Offre_calc!$L$124))*Bilan_E_KP_AME_2020!I$21</f>
        <v>43.442050197585424</v>
      </c>
      <c r="D7" s="518"/>
      <c r="E7" s="28">
        <v>0</v>
      </c>
      <c r="F7" s="518"/>
      <c r="G7" s="17">
        <f>C7-E7</f>
        <v>43.442050197585424</v>
      </c>
      <c r="H7" s="518"/>
      <c r="I7" s="21"/>
      <c r="J7" s="518"/>
      <c r="K7" s="525"/>
      <c r="L7" s="525"/>
      <c r="M7" s="525"/>
      <c r="N7" s="525"/>
      <c r="O7" s="525"/>
      <c r="P7" s="513"/>
      <c r="Q7" s="528"/>
      <c r="R7" s="498"/>
      <c r="S7" s="528"/>
      <c r="T7" s="525"/>
      <c r="U7" s="525"/>
      <c r="V7" s="525"/>
      <c r="W7" s="525"/>
      <c r="X7" s="525"/>
    </row>
    <row r="8" spans="1:24">
      <c r="A8" s="695"/>
      <c r="B8" s="1" t="s">
        <v>18</v>
      </c>
      <c r="C8" s="486">
        <f>(([7]Offre_calc!$L$80+[7]Offre_calc!$L$126)/([7]Offre_calc!$L$78+[7]Offre_calc!$L$124))*Bilan_E_KP_AME_2020!I$21</f>
        <v>53.084236018684109</v>
      </c>
      <c r="D8" s="81"/>
      <c r="E8" s="28">
        <v>0</v>
      </c>
      <c r="F8" s="81"/>
      <c r="G8" s="17">
        <f t="shared" ref="G8:G19" si="0">C8-E8</f>
        <v>53.084236018684109</v>
      </c>
      <c r="H8" s="81"/>
      <c r="I8" s="21"/>
      <c r="J8" s="81"/>
      <c r="K8" s="526"/>
      <c r="L8" s="526"/>
      <c r="M8" s="526"/>
      <c r="N8" s="526"/>
      <c r="O8" s="526"/>
      <c r="P8" s="29"/>
      <c r="Q8" s="529"/>
      <c r="R8" s="498"/>
      <c r="S8" s="529"/>
      <c r="T8" s="526"/>
      <c r="U8" s="526"/>
      <c r="V8" s="526"/>
      <c r="W8" s="526"/>
      <c r="X8" s="526"/>
    </row>
    <row r="9" spans="1:24">
      <c r="A9" s="695"/>
      <c r="B9" s="1" t="s">
        <v>19</v>
      </c>
      <c r="C9" s="486">
        <f>(([7]Offre_calc!$L$79+[7]Offre_calc!$L$125)/([7]Offre_calc!$L$78+[7]Offre_calc!$L$124))*Bilan_E_KP_AME_2020!I$21</f>
        <v>19.145134301820498</v>
      </c>
      <c r="D9" s="81"/>
      <c r="E9" s="28">
        <v>0</v>
      </c>
      <c r="F9" s="81"/>
      <c r="G9" s="17">
        <f t="shared" si="0"/>
        <v>19.145134301820498</v>
      </c>
      <c r="H9" s="81"/>
      <c r="I9" s="21"/>
      <c r="J9" s="81"/>
      <c r="K9" s="526"/>
      <c r="L9" s="526"/>
      <c r="M9" s="526"/>
      <c r="N9" s="526"/>
      <c r="O9" s="526"/>
      <c r="P9" s="29"/>
      <c r="Q9" s="529"/>
      <c r="R9" s="498"/>
      <c r="S9" s="529"/>
      <c r="T9" s="526"/>
      <c r="U9" s="526"/>
      <c r="V9" s="526"/>
      <c r="W9" s="526"/>
      <c r="X9" s="526"/>
    </row>
    <row r="10" spans="1:24">
      <c r="A10" s="695"/>
      <c r="B10" s="1" t="s">
        <v>20</v>
      </c>
      <c r="C10" s="17">
        <f>Bilan_E_AME_Met_2020!H21-(Bilan_E_AME_Met_2020!P20+Bilan_E_AME_Met_2020!P19)</f>
        <v>1068.7282415646853</v>
      </c>
      <c r="D10" s="81"/>
      <c r="E10" s="28">
        <f>F13-SUM(E11:E19)</f>
        <v>709.56860719579549</v>
      </c>
      <c r="F10" s="81"/>
      <c r="G10" s="17">
        <f t="shared" si="0"/>
        <v>359.15963436888978</v>
      </c>
      <c r="H10" s="81"/>
      <c r="I10" s="21"/>
      <c r="J10" s="81"/>
      <c r="K10" s="526"/>
      <c r="L10" s="526"/>
      <c r="M10" s="526"/>
      <c r="N10" s="526"/>
      <c r="O10" s="526"/>
      <c r="P10" s="29"/>
      <c r="Q10" s="529"/>
      <c r="R10" s="498"/>
      <c r="S10" s="529"/>
      <c r="T10" s="526"/>
      <c r="U10" s="526"/>
      <c r="V10" s="526"/>
      <c r="W10" s="526"/>
      <c r="X10" s="526"/>
    </row>
    <row r="11" spans="1:24">
      <c r="A11" s="695"/>
      <c r="B11" s="1" t="s">
        <v>21</v>
      </c>
      <c r="C11" s="17">
        <f>Bilan_E_AME_Met_2020!M21</f>
        <v>5.1116648388888901</v>
      </c>
      <c r="D11" s="81"/>
      <c r="E11" s="28">
        <f>C11*(1-[7]Offre_calc!$L$161)</f>
        <v>2.4229291336333336</v>
      </c>
      <c r="F11" s="81"/>
      <c r="G11" s="17">
        <f t="shared" si="0"/>
        <v>2.6887357052555565</v>
      </c>
      <c r="H11" s="81"/>
      <c r="I11" s="21"/>
      <c r="J11" s="81"/>
      <c r="K11" s="526"/>
      <c r="L11" s="526"/>
      <c r="M11" s="526"/>
      <c r="N11" s="526"/>
      <c r="O11" s="526"/>
      <c r="P11" s="29"/>
      <c r="Q11" s="529"/>
      <c r="R11" s="498"/>
      <c r="S11" s="529"/>
      <c r="T11" s="526"/>
      <c r="U11" s="526"/>
      <c r="V11" s="526"/>
      <c r="W11" s="526"/>
      <c r="X11" s="526"/>
    </row>
    <row r="12" spans="1:24">
      <c r="A12" s="695"/>
      <c r="B12" s="1" t="s">
        <v>22</v>
      </c>
      <c r="C12" s="17">
        <f>Bilan_E_AME_Met_2020!K21</f>
        <v>11.440482679229399</v>
      </c>
      <c r="D12" s="81"/>
      <c r="E12" s="28">
        <f>C12*(1-[7]Offre_calc!$L$171)</f>
        <v>8.7634097322897198</v>
      </c>
      <c r="F12" s="81"/>
      <c r="G12" s="17">
        <f t="shared" si="0"/>
        <v>2.6770729469396795</v>
      </c>
      <c r="H12" s="81"/>
      <c r="I12" s="21"/>
      <c r="J12" s="81"/>
      <c r="K12" s="526"/>
      <c r="L12" s="526"/>
      <c r="M12" s="526"/>
      <c r="N12" s="526"/>
      <c r="O12" s="526"/>
      <c r="P12" s="29"/>
      <c r="Q12" s="529"/>
      <c r="R12" s="498"/>
      <c r="S12" s="529"/>
      <c r="T12" s="526"/>
      <c r="U12" s="526"/>
      <c r="V12" s="526"/>
      <c r="W12" s="526"/>
      <c r="X12" s="526"/>
    </row>
    <row r="13" spans="1:24">
      <c r="A13" s="695"/>
      <c r="B13" s="1" t="s">
        <v>23</v>
      </c>
      <c r="C13" s="17">
        <f>Bilan_E_AME_Met_2020!J21</f>
        <v>15.525267102350799</v>
      </c>
      <c r="D13" s="81">
        <f>SUM(C7:C19)</f>
        <v>1284.6591143400472</v>
      </c>
      <c r="E13" s="28">
        <f>C13*(1-[7]Offre_calc!$L$170)</f>
        <v>11.892354600400713</v>
      </c>
      <c r="F13" s="81">
        <f>Bilan_E_AME_Met_2020!S21</f>
        <v>767.1983577743697</v>
      </c>
      <c r="G13" s="17">
        <f t="shared" si="0"/>
        <v>3.6329125019500861</v>
      </c>
      <c r="H13" s="81">
        <f>SUM(G7:G19)</f>
        <v>517.46075656567734</v>
      </c>
      <c r="I13" s="33">
        <f>Bilan_E_AME_Met_2020!P30</f>
        <v>32.877518711415298</v>
      </c>
      <c r="J13" s="81">
        <f>H13-I13</f>
        <v>484.58323785426205</v>
      </c>
      <c r="K13" s="29">
        <f>Bilan_E_AME_Met_2020!P31</f>
        <v>35.222329940373399</v>
      </c>
      <c r="L13" s="29">
        <f>-(Bilan_E_AME_Met_2020!P14+Bilan_E_AME_Met_2020!P13)</f>
        <v>45.039193999999995</v>
      </c>
      <c r="M13" s="29">
        <f>Bilan_E_AME_Met_2020!P28</f>
        <v>0</v>
      </c>
      <c r="N13" s="29"/>
      <c r="O13" s="29"/>
      <c r="P13" s="29"/>
      <c r="Q13" s="81">
        <f>J13-K13-L13-M13-N13-O13-P13</f>
        <v>404.32171391388863</v>
      </c>
      <c r="R13" s="508">
        <f>Q13-S13</f>
        <v>-0.3233536819100209</v>
      </c>
      <c r="S13" s="81">
        <f>SUM(T8:X19)</f>
        <v>404.64506759579865</v>
      </c>
      <c r="T13" s="29">
        <f>Bilan_E_AME_Met_2020!P38</f>
        <v>8.0414155849497</v>
      </c>
      <c r="U13" s="29">
        <f>Bilan_E_AME_Met_2020!P34+Bilan_E_AME_Met_2020!P39</f>
        <v>105.150592236873</v>
      </c>
      <c r="V13" s="29">
        <f>Bilan_E_AME_Met_2020!P36</f>
        <v>158.3858485003</v>
      </c>
      <c r="W13" s="29">
        <f>Bilan_E_AME_Met_2020!P37</f>
        <v>124.730012203676</v>
      </c>
      <c r="X13" s="29">
        <f>Bilan_E_AME_Met_2020!P35</f>
        <v>8.3371990700000005</v>
      </c>
    </row>
    <row r="14" spans="1:24">
      <c r="A14" s="695"/>
      <c r="B14" s="1" t="s">
        <v>24</v>
      </c>
      <c r="C14" s="486">
        <v>0</v>
      </c>
      <c r="D14" s="81"/>
      <c r="E14" s="28">
        <v>0</v>
      </c>
      <c r="F14" s="81"/>
      <c r="G14" s="17">
        <f t="shared" si="0"/>
        <v>0</v>
      </c>
      <c r="H14" s="81"/>
      <c r="I14" s="21"/>
      <c r="J14" s="81"/>
      <c r="K14" s="526"/>
      <c r="L14" s="526"/>
      <c r="M14" s="526"/>
      <c r="N14" s="526"/>
      <c r="O14" s="526"/>
      <c r="P14" s="29"/>
      <c r="Q14" s="529"/>
      <c r="R14" s="498"/>
      <c r="S14" s="529"/>
      <c r="T14" s="526"/>
      <c r="U14" s="526"/>
      <c r="V14" s="526"/>
      <c r="W14" s="526"/>
      <c r="X14" s="526"/>
    </row>
    <row r="15" spans="1:24">
      <c r="A15" s="695"/>
      <c r="B15" s="1" t="s">
        <v>25</v>
      </c>
      <c r="C15" s="486">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26</v>
      </c>
      <c r="C16" s="17"/>
      <c r="D16" s="81"/>
      <c r="E16" s="28">
        <f>C16*(1-[7]Offre_calc!$L$158)</f>
        <v>0</v>
      </c>
      <c r="F16" s="81"/>
      <c r="G16" s="17">
        <f t="shared" si="0"/>
        <v>0</v>
      </c>
      <c r="H16" s="81"/>
      <c r="I16" s="21"/>
      <c r="J16" s="81"/>
      <c r="K16" s="526"/>
      <c r="L16" s="526"/>
      <c r="M16" s="526"/>
      <c r="N16" s="526"/>
      <c r="O16" s="526"/>
      <c r="P16" s="29"/>
      <c r="Q16" s="529"/>
      <c r="R16" s="498"/>
      <c r="S16" s="529"/>
      <c r="T16" s="526"/>
      <c r="U16" s="526"/>
      <c r="V16" s="526"/>
      <c r="W16" s="526"/>
      <c r="X16" s="526"/>
    </row>
    <row r="17" spans="1:24">
      <c r="A17" s="695"/>
      <c r="B17" s="1" t="s">
        <v>27</v>
      </c>
      <c r="C17" s="17">
        <f>Bilan_E_AME_Met_2020!F21</f>
        <v>3.4206184464582501</v>
      </c>
      <c r="D17" s="81"/>
      <c r="E17" s="28">
        <f>C17*(1-[7]Offre_calc!$L$158)</f>
        <v>1.9155463300166202</v>
      </c>
      <c r="F17" s="81"/>
      <c r="G17" s="17">
        <f t="shared" si="0"/>
        <v>1.5050721164416299</v>
      </c>
      <c r="H17" s="81"/>
      <c r="I17" s="21"/>
      <c r="J17" s="81"/>
      <c r="K17" s="526"/>
      <c r="L17" s="526"/>
      <c r="M17" s="526"/>
      <c r="N17" s="526"/>
      <c r="O17" s="526"/>
      <c r="P17" s="29"/>
      <c r="Q17" s="529"/>
      <c r="R17" s="498"/>
      <c r="S17" s="529"/>
      <c r="T17" s="526"/>
      <c r="U17" s="526"/>
      <c r="V17" s="526"/>
      <c r="W17" s="526"/>
      <c r="X17" s="526"/>
    </row>
    <row r="18" spans="1:24">
      <c r="A18" s="695"/>
      <c r="B18" s="1" t="s">
        <v>28</v>
      </c>
      <c r="C18" s="17">
        <f>Bilan_E_AME_Met_2020!D21</f>
        <v>9.3252829217432893</v>
      </c>
      <c r="D18" s="81"/>
      <c r="E18" s="28">
        <f>C18*(1-[7]Offre_calc!$L$157)</f>
        <v>6.35878219091689</v>
      </c>
      <c r="F18" s="81"/>
      <c r="G18" s="17">
        <f t="shared" si="0"/>
        <v>2.9665007308263993</v>
      </c>
      <c r="H18" s="81"/>
      <c r="I18" s="21"/>
      <c r="J18" s="81"/>
      <c r="K18" s="526"/>
      <c r="L18" s="526"/>
      <c r="M18" s="526"/>
      <c r="N18" s="526"/>
      <c r="O18" s="526"/>
      <c r="P18" s="29"/>
      <c r="Q18" s="529"/>
      <c r="R18" s="498"/>
      <c r="S18" s="529"/>
      <c r="T18" s="526"/>
      <c r="U18" s="526"/>
      <c r="V18" s="526"/>
      <c r="W18" s="526"/>
      <c r="X18" s="526"/>
    </row>
    <row r="19" spans="1:24">
      <c r="A19" s="695"/>
      <c r="B19" s="1" t="s">
        <v>260</v>
      </c>
      <c r="C19" s="17">
        <f>Bilan_E_AME_Met_2020!G21</f>
        <v>55.436136268600997</v>
      </c>
      <c r="D19" s="82"/>
      <c r="E19" s="28">
        <f>C19*(1-[7]Offre_calc!$L$160)</f>
        <v>26.276728591316871</v>
      </c>
      <c r="F19" s="82"/>
      <c r="G19" s="17">
        <f t="shared" si="0"/>
        <v>29.159407677284126</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0.33606264006185288</v>
      </c>
      <c r="H20" s="499"/>
      <c r="I20" s="17"/>
      <c r="J20" s="1"/>
      <c r="K20" s="17"/>
      <c r="L20" s="1"/>
      <c r="M20" s="1"/>
      <c r="N20" s="1"/>
      <c r="O20" s="1"/>
      <c r="P20" s="1"/>
      <c r="Q20" s="499"/>
      <c r="R20" s="498"/>
      <c r="S20" s="408"/>
      <c r="T20" s="495"/>
      <c r="U20" s="408"/>
      <c r="V20" s="495"/>
      <c r="W20" s="408"/>
      <c r="X20" s="495"/>
    </row>
    <row r="21" spans="1:24">
      <c r="A21" s="696" t="s">
        <v>13</v>
      </c>
      <c r="B21" s="1" t="s">
        <v>21</v>
      </c>
      <c r="C21" s="555">
        <f>-Bilan_E_AME_Met_2020!M23</f>
        <v>11.045323777777799</v>
      </c>
      <c r="D21" s="531"/>
      <c r="E21" s="189">
        <v>0</v>
      </c>
      <c r="F21" s="531"/>
      <c r="G21" s="17">
        <f t="shared" ref="G21:G24" si="1">C21-E21</f>
        <v>11.045323777777799</v>
      </c>
      <c r="H21" s="531"/>
      <c r="I21" s="17"/>
      <c r="J21" s="531"/>
      <c r="K21" s="547">
        <f>Bilan_E_AME_Met_2020!M31</f>
        <v>0</v>
      </c>
      <c r="L21" s="547">
        <f>-(Bilan_E_AME_Met_2020!M13+Bilan_E_AME_Met_2020!M14+Bilan_E_AME_Met_2020!M15+Bilan_E_AME_Met_2020!M16)</f>
        <v>0</v>
      </c>
      <c r="M21" s="547">
        <f>Bilan_E_AME_Met_2020!M28</f>
        <v>0</v>
      </c>
      <c r="N21" s="547">
        <f>Bilan_E_AME_Met_2020!M22</f>
        <v>3.0353079388888902</v>
      </c>
      <c r="O21" s="547">
        <f>Bilan_E_AME_Met_2020!M21</f>
        <v>5.1116648388888901</v>
      </c>
      <c r="P21" s="531"/>
      <c r="Q21" s="531"/>
      <c r="R21" s="498"/>
      <c r="S21" s="531"/>
      <c r="T21" s="531"/>
      <c r="U21" s="531"/>
      <c r="V21" s="531"/>
      <c r="W21" s="531"/>
      <c r="X21" s="531"/>
    </row>
    <row r="22" spans="1:24">
      <c r="A22" s="696"/>
      <c r="B22" s="1" t="s">
        <v>30</v>
      </c>
      <c r="C22" s="17"/>
      <c r="D22" s="85">
        <f>SUM(C21:C24)</f>
        <v>407.52265652777788</v>
      </c>
      <c r="E22" s="497"/>
      <c r="F22" s="85">
        <f>SUM(E21:E24)</f>
        <v>5.9612449999999999</v>
      </c>
      <c r="G22" s="17"/>
      <c r="H22" s="85">
        <f>SUM(G21:G24)</f>
        <v>401.56141152777786</v>
      </c>
      <c r="I22" s="408"/>
      <c r="J22" s="85">
        <f>H22-I22</f>
        <v>401.56141152777786</v>
      </c>
      <c r="K22" s="32"/>
      <c r="L22" s="32"/>
      <c r="M22" s="32"/>
      <c r="N22" s="32"/>
      <c r="O22" s="32"/>
      <c r="P22" s="32"/>
      <c r="Q22" s="85">
        <f>J22-SUM(K21:P24)</f>
        <v>312.98117475000009</v>
      </c>
      <c r="R22" s="508">
        <f>Q22-S22</f>
        <v>3.8549320872789394E-3</v>
      </c>
      <c r="S22" s="85">
        <f>SUM(T22:X24)</f>
        <v>312.97731981791281</v>
      </c>
      <c r="T22" s="32">
        <f>Bilan_E_AME_Met_2020!G38+Bilan_E_AME_Met_2020!R38+Bilan_E_AME_Met_2020!M$38</f>
        <v>2.7076685555555562</v>
      </c>
      <c r="U22" s="32">
        <f>Bilan_E_AME_Met_2020!G34+Bilan_E_AME_Met_2020!R34+Bilan_E_AME_Met_2020!M$34</f>
        <v>116.5874281388889</v>
      </c>
      <c r="V22" s="32">
        <f>Bilan_E_AME_Met_2020!G36+Bilan_E_AME_Met_2020!R36+Bilan_E_AME_Met_2020!M$36</f>
        <v>125.05981224999999</v>
      </c>
      <c r="W22" s="32">
        <f>Bilan_E_AME_Met_2020!G37+Bilan_E_AME_Met_2020!K37+Bilan_E_AME_Met_2020!R37+Bilan_E_AME_Met_2020!M$37</f>
        <v>66.374696373468396</v>
      </c>
      <c r="X22" s="32">
        <f>Bilan_E_AME_Met_2020!G35+Bilan_E_AME_Met_2020!R35+Bilan_E_AME_Met_2020!M$35</f>
        <v>2.2477144999999998</v>
      </c>
    </row>
    <row r="23" spans="1:24">
      <c r="A23" s="696"/>
      <c r="B23" s="1" t="s">
        <v>31</v>
      </c>
      <c r="C23" s="17">
        <f>SUM(Bilan_E_AME_Met_2020!D28:Q28)-C47</f>
        <v>0</v>
      </c>
      <c r="D23" s="532"/>
      <c r="E23" s="33">
        <f>Bilan_E_AME_Met_2020!S28+Bilan_E_AME_Met_2020!S27</f>
        <v>0</v>
      </c>
      <c r="F23" s="534"/>
      <c r="G23" s="17">
        <f t="shared" si="1"/>
        <v>0</v>
      </c>
      <c r="H23" s="534"/>
      <c r="I23" s="17"/>
      <c r="J23" s="534"/>
      <c r="K23" s="536">
        <f>Bilan_E_AME_Met_2020!R31</f>
        <v>0</v>
      </c>
      <c r="L23" s="536">
        <f>-(Bilan_E_AME_Met_2020!R13+Bilan_E_AME_Met_2020!R14+Bilan_E_AME_Met_2020!R15+Bilan_E_AME_Met_2020!R16)</f>
        <v>0</v>
      </c>
      <c r="M23" s="536"/>
      <c r="N23" s="536">
        <f>Bilan_E_AME_Met_2020!R22</f>
        <v>0</v>
      </c>
      <c r="O23" s="536">
        <f>Bilan_E_AME_Met_2020!R21</f>
        <v>0</v>
      </c>
      <c r="P23" s="536">
        <f>-Bilan_E_AME_Met_2020!L27</f>
        <v>0</v>
      </c>
      <c r="Q23" s="534"/>
      <c r="S23" s="534"/>
      <c r="T23" s="538"/>
      <c r="U23" s="538"/>
      <c r="V23" s="538"/>
      <c r="W23" s="538"/>
      <c r="X23" s="538"/>
    </row>
    <row r="24" spans="1:24">
      <c r="A24" s="696"/>
      <c r="B24" s="1" t="s">
        <v>32</v>
      </c>
      <c r="C24" s="555">
        <f>Bilan_E_AME_Met_2020!G18-C45-(Bilan_E_AME_Met_2020!G20+Bilan_E_AME_Met_2020!G19)-Bilan_E_AME_Met_2020!G19</f>
        <v>396.47733275000007</v>
      </c>
      <c r="D24" s="533"/>
      <c r="E24" s="550">
        <f>Bilan_E_AME_Met_2020!G30-0.3</f>
        <v>5.9612449999999999</v>
      </c>
      <c r="F24" s="535"/>
      <c r="G24" s="17">
        <f t="shared" si="1"/>
        <v>390.51608775000005</v>
      </c>
      <c r="H24" s="535"/>
      <c r="I24" s="34"/>
      <c r="J24" s="535"/>
      <c r="K24" s="537">
        <f>Bilan_E_AME_Met_2020!G31</f>
        <v>3.9080132500000002</v>
      </c>
      <c r="L24" s="537"/>
      <c r="M24" s="537">
        <f>Bilan_E_AME_Met_2020!G28</f>
        <v>0</v>
      </c>
      <c r="N24" s="537">
        <f>Bilan_E_AME_Met_2020!G22</f>
        <v>21.089114481399001</v>
      </c>
      <c r="O24" s="537">
        <f>Bilan_E_AME_Met_2020!G21</f>
        <v>55.436136268600997</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Bilan_E_AME_Met_2020!M22</f>
        <v>3.0353079388888902</v>
      </c>
      <c r="D26" s="512"/>
      <c r="E26" s="190">
        <f>C26*F$35</f>
        <v>0.35721208878351701</v>
      </c>
      <c r="F26" s="512"/>
      <c r="G26" s="33">
        <f t="shared" ref="G26:G31" si="2">C26-E26</f>
        <v>2.6780958501053731</v>
      </c>
      <c r="H26" s="512"/>
      <c r="I26" s="1"/>
      <c r="J26" s="512"/>
      <c r="K26" s="512"/>
      <c r="L26" s="512"/>
      <c r="M26" s="512"/>
      <c r="N26" s="512"/>
      <c r="O26" s="512"/>
      <c r="P26" s="512"/>
      <c r="Q26" s="512"/>
      <c r="R26" s="498"/>
      <c r="S26" s="512"/>
      <c r="T26" s="512"/>
      <c r="U26" s="512"/>
      <c r="V26" s="512"/>
      <c r="W26" s="512"/>
      <c r="X26" s="512"/>
    </row>
    <row r="27" spans="1:24">
      <c r="A27" s="697"/>
      <c r="B27" s="1" t="s">
        <v>22</v>
      </c>
      <c r="C27" s="17">
        <f>Bilan_E_AME_Met_2020!K18-Bilan_E_AME_Met_2020!K21-(Bilan_E_AME_Met_2020!Q20+Bilan_E_AME_Met_2020!Q19+Bilan_E_AME_Met_2020!K20+Bilan_E_AME_Met_2020!K19)</f>
        <v>22.30312628047551</v>
      </c>
      <c r="D27" s="87"/>
      <c r="E27" s="190">
        <f t="shared" ref="E27:E34" si="3">C27*F$35</f>
        <v>2.6247571862404189</v>
      </c>
      <c r="F27" s="87"/>
      <c r="G27" s="33">
        <f t="shared" si="2"/>
        <v>19.678369094235091</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Bilan_E_AME_Met_2020!J22</f>
        <v>7.65275234209368</v>
      </c>
      <c r="D29" s="87"/>
      <c r="E29" s="190">
        <f t="shared" si="3"/>
        <v>0.90061888417915248</v>
      </c>
      <c r="F29" s="87"/>
      <c r="G29" s="33">
        <f t="shared" si="2"/>
        <v>6.7521334579145273</v>
      </c>
      <c r="H29" s="87"/>
      <c r="I29" s="1"/>
      <c r="J29" s="87"/>
      <c r="K29" s="87"/>
      <c r="L29" s="87"/>
      <c r="M29" s="87"/>
      <c r="N29" s="87"/>
      <c r="O29" s="87"/>
      <c r="P29" s="87"/>
      <c r="Q29" s="87"/>
      <c r="R29" s="498"/>
      <c r="S29" s="87"/>
      <c r="T29" s="87"/>
      <c r="U29" s="87"/>
      <c r="V29" s="87"/>
      <c r="W29" s="87"/>
      <c r="X29" s="87"/>
    </row>
    <row r="30" spans="1:24">
      <c r="A30" s="697"/>
      <c r="B30" s="1" t="s">
        <v>24</v>
      </c>
      <c r="C30" s="17">
        <f>Bilan_E_AME_Met_2020!O22</f>
        <v>3.6793581777777802</v>
      </c>
      <c r="D30" s="86">
        <f>SUM(C26:C34)</f>
        <v>57.542616605565485</v>
      </c>
      <c r="E30" s="190">
        <f t="shared" si="3"/>
        <v>0.43300753878297921</v>
      </c>
      <c r="F30" s="86">
        <f>Bilan_E_AME_Met_2020!S22</f>
        <v>6.7719383619664981</v>
      </c>
      <c r="G30" s="33">
        <f t="shared" si="2"/>
        <v>3.2463506389948011</v>
      </c>
      <c r="H30" s="86">
        <f>SUM(G26:G34)</f>
        <v>50.770678243598979</v>
      </c>
      <c r="I30" s="1"/>
      <c r="J30" s="86">
        <f>H30</f>
        <v>50.770678243598979</v>
      </c>
      <c r="K30" s="87">
        <f>Bilan_E_AME_Met_2020!Q31</f>
        <v>4.2874916030489096</v>
      </c>
      <c r="L30" s="87"/>
      <c r="M30" s="87">
        <f>Bilan_E_AME_Met_2020!K28</f>
        <v>0</v>
      </c>
      <c r="N30" s="87"/>
      <c r="O30" s="87"/>
      <c r="P30" s="87"/>
      <c r="Q30" s="86">
        <f>J30-K30-L30-M30-N30-O30-P30</f>
        <v>46.483186640550073</v>
      </c>
      <c r="R30" s="508">
        <f>Q30-S30</f>
        <v>3.9094123468380815E-2</v>
      </c>
      <c r="S30" s="86">
        <f>SUM(T27:X34)</f>
        <v>46.444092517081693</v>
      </c>
      <c r="T30" s="87">
        <f>Bilan_E_AME_Met_2020!Q$38</f>
        <v>0.189373333333333</v>
      </c>
      <c r="U30" s="87">
        <f>Bilan_E_AME_Met_2020!Q$34+Bilan_E_AME_Met_2020!K34</f>
        <v>22.254054739303911</v>
      </c>
      <c r="V30" s="87">
        <f>Bilan_E_AME_Met_2020!Q$36</f>
        <v>14.411899999999999</v>
      </c>
      <c r="W30" s="87">
        <f>Bilan_E_AME_Met_2020!Q$37</f>
        <v>9.5887644444444504</v>
      </c>
      <c r="X30" s="87">
        <f>Bilan_E_AME_Met_2020!Q$35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555">
        <f>Bilan_E_AME_Met_2020!G22+Bilan_E_AME_Met_2020!G19</f>
        <v>19.101750481398987</v>
      </c>
      <c r="D32" s="86"/>
      <c r="E32" s="190">
        <f t="shared" si="3"/>
        <v>2.2480012988006286</v>
      </c>
      <c r="F32" s="86"/>
      <c r="G32" s="33">
        <f>C32-E32</f>
        <v>16.85374918259836</v>
      </c>
      <c r="H32" s="86"/>
      <c r="I32" s="1"/>
      <c r="J32" s="519"/>
      <c r="K32" s="87"/>
      <c r="L32" s="87"/>
      <c r="M32" s="87"/>
      <c r="N32" s="87"/>
      <c r="O32" s="87"/>
      <c r="P32" s="87"/>
      <c r="Q32" s="519"/>
      <c r="R32" s="498"/>
      <c r="S32" s="521"/>
      <c r="T32" s="523"/>
      <c r="U32" s="523"/>
      <c r="V32" s="523"/>
      <c r="W32" s="523"/>
      <c r="X32" s="523"/>
    </row>
    <row r="33" spans="1:26">
      <c r="A33" s="186"/>
      <c r="B33" s="1" t="s">
        <v>27</v>
      </c>
      <c r="C33" s="33">
        <f>Bilan_E_AME_Met_2020!F22</f>
        <v>0.19738462224074599</v>
      </c>
      <c r="D33" s="86"/>
      <c r="E33" s="190">
        <f t="shared" si="3"/>
        <v>2.3229331133424524E-2</v>
      </c>
      <c r="F33" s="86"/>
      <c r="G33" s="33">
        <f t="shared" ref="G33:G34" si="4">C33-E33</f>
        <v>0.17415529110732147</v>
      </c>
      <c r="H33" s="86"/>
      <c r="I33" s="1"/>
      <c r="J33" s="519"/>
      <c r="K33" s="87"/>
      <c r="L33" s="87"/>
      <c r="M33" s="87"/>
      <c r="N33" s="87"/>
      <c r="O33" s="87"/>
      <c r="P33" s="87"/>
      <c r="Q33" s="519"/>
      <c r="R33" s="498"/>
      <c r="S33" s="521"/>
      <c r="T33" s="523"/>
      <c r="U33" s="523"/>
      <c r="V33" s="523"/>
      <c r="W33" s="523"/>
      <c r="X33" s="523"/>
    </row>
    <row r="34" spans="1:26">
      <c r="A34" s="186"/>
      <c r="B34" s="1" t="s">
        <v>28</v>
      </c>
      <c r="C34" s="33">
        <f>Bilan_E_AME_Met_2020!D22</f>
        <v>1.57293676268989</v>
      </c>
      <c r="D34" s="88"/>
      <c r="E34" s="190">
        <f t="shared" si="3"/>
        <v>0.18511203404637705</v>
      </c>
      <c r="F34" s="88"/>
      <c r="G34" s="33">
        <f t="shared" si="4"/>
        <v>1.387824728643513</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0.11768561739876668</v>
      </c>
      <c r="G35" s="17"/>
      <c r="H35" s="501"/>
      <c r="I35" s="1"/>
      <c r="J35" s="1"/>
      <c r="K35" s="1"/>
      <c r="L35" s="1"/>
      <c r="M35" s="1"/>
      <c r="N35" s="1"/>
      <c r="O35" s="1"/>
      <c r="P35" s="1"/>
      <c r="Q35" s="502"/>
      <c r="R35" s="498"/>
      <c r="U35" s="33"/>
      <c r="V35" s="33"/>
      <c r="W35" s="33"/>
    </row>
    <row r="36" spans="1:26">
      <c r="A36" s="679" t="s">
        <v>34</v>
      </c>
      <c r="B36" s="1" t="s">
        <v>21</v>
      </c>
      <c r="C36" s="553">
        <v>0</v>
      </c>
      <c r="D36" s="540"/>
      <c r="E36" s="17">
        <f>Bilan_E_AME_Met_2020!M30</f>
        <v>0</v>
      </c>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89.485273611111111</v>
      </c>
      <c r="D37" s="541"/>
      <c r="E37" s="504"/>
      <c r="F37" s="541"/>
      <c r="G37" s="17">
        <f t="shared" ref="G37:G42" si="5">C37-E37</f>
        <v>89.485273611111111</v>
      </c>
      <c r="H37" s="541"/>
      <c r="I37" s="498"/>
      <c r="J37" s="37"/>
      <c r="K37" s="35"/>
      <c r="L37" s="35"/>
      <c r="M37" s="505"/>
      <c r="N37" s="35"/>
      <c r="P37" s="35"/>
      <c r="Q37" s="543"/>
      <c r="R37" s="498"/>
      <c r="S37" s="541"/>
      <c r="T37" s="506">
        <f>Bilan_E_AME_Met_2020!J38</f>
        <v>1.69047944444444</v>
      </c>
      <c r="U37" s="93">
        <f>Bilan_E_AME_Met_2020!J34</f>
        <v>15.5648575</v>
      </c>
      <c r="V37" s="506">
        <f>Bilan_E_AME_Met_2020!J36</f>
        <v>69.4067088888889</v>
      </c>
      <c r="W37" s="507">
        <f>Bilan_E_AME_Met_2020!J37</f>
        <v>2.8232277777777801</v>
      </c>
      <c r="X37" s="506">
        <f>Bilan_E_AME_Met_2020!J35</f>
        <v>0</v>
      </c>
      <c r="Y37" s="489">
        <f t="shared" ref="Y37:Y47" si="6">SUM(T37:X37)</f>
        <v>89.485273611111111</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156.83590979824294</v>
      </c>
      <c r="R38" s="498"/>
      <c r="S38" s="541"/>
      <c r="T38" s="84">
        <v>0</v>
      </c>
      <c r="U38" s="83">
        <v>0</v>
      </c>
      <c r="V38" s="84">
        <v>0</v>
      </c>
      <c r="W38" s="91">
        <v>0</v>
      </c>
      <c r="X38" s="91">
        <v>0</v>
      </c>
      <c r="Y38" s="489">
        <f t="shared" si="6"/>
        <v>0</v>
      </c>
      <c r="Z38" s="489">
        <f t="shared" si="7"/>
        <v>0</v>
      </c>
    </row>
    <row r="39" spans="1:26">
      <c r="A39" s="679"/>
      <c r="B39" s="1" t="s">
        <v>35</v>
      </c>
      <c r="C39" s="33">
        <f>SUM(T39:X39)</f>
        <v>1.7068616695866707</v>
      </c>
      <c r="D39" s="541"/>
      <c r="E39" s="35"/>
      <c r="F39" s="541"/>
      <c r="G39" s="17">
        <f t="shared" si="5"/>
        <v>1.7068616695866707</v>
      </c>
      <c r="H39" s="541"/>
      <c r="I39" s="35"/>
      <c r="J39" s="37"/>
      <c r="K39" s="35"/>
      <c r="L39" s="35"/>
      <c r="M39" s="37"/>
      <c r="N39" s="35"/>
      <c r="O39" s="35"/>
      <c r="P39" s="35"/>
      <c r="Q39" s="543"/>
      <c r="R39" s="498"/>
      <c r="S39" s="541"/>
      <c r="T39" s="84">
        <f>Bilan_E_AME_Met_2020!O38</f>
        <v>0.29232166666666698</v>
      </c>
      <c r="U39" s="83">
        <f>Bilan_E_AME_Met_2020!O34</f>
        <v>1.51127777777778E-2</v>
      </c>
      <c r="V39" s="84">
        <f>Bilan_E_AME_Met_2020!O36</f>
        <v>1.04480216638667</v>
      </c>
      <c r="W39" s="91">
        <f>Bilan_E_AME_Met_2020!O37</f>
        <v>0.354625058755556</v>
      </c>
      <c r="X39" s="91">
        <f>Bilan_E_AME_Met_2020!O35</f>
        <v>0</v>
      </c>
      <c r="Y39" s="489">
        <f t="shared" si="6"/>
        <v>1.7068616695866707</v>
      </c>
      <c r="Z39" s="489">
        <f t="shared" si="7"/>
        <v>0</v>
      </c>
    </row>
    <row r="40" spans="1:26">
      <c r="A40" s="679"/>
      <c r="B40" s="1" t="s">
        <v>36</v>
      </c>
      <c r="C40" s="33">
        <f>Bilan_E_AME_Met_2020!N12</f>
        <v>32.169396111111098</v>
      </c>
      <c r="D40" s="541"/>
      <c r="E40" s="554">
        <f>Bilan_E_AME_Met_2020!N22</f>
        <v>0.25705111111111101</v>
      </c>
      <c r="F40" s="541"/>
      <c r="G40" s="17">
        <f t="shared" si="5"/>
        <v>31.912344999999988</v>
      </c>
      <c r="H40" s="541"/>
      <c r="I40" s="35"/>
      <c r="J40" s="37"/>
      <c r="K40" s="35"/>
      <c r="L40" s="35"/>
      <c r="M40" s="37"/>
      <c r="N40" s="35"/>
      <c r="O40" s="35"/>
      <c r="P40" s="35"/>
      <c r="Q40" s="543"/>
      <c r="R40" s="498"/>
      <c r="S40" s="541"/>
      <c r="T40" s="83">
        <f>Bilan_E_AME_Met_2020!N$38</f>
        <v>0</v>
      </c>
      <c r="U40" s="83">
        <f>Bilan_E_AME_Met_2020!N$34</f>
        <v>0</v>
      </c>
      <c r="V40" s="83">
        <f>Bilan_E_AME_Met_2020!N$36</f>
        <v>27.426589444444399</v>
      </c>
      <c r="W40" s="83">
        <f>Bilan_E_AME_Met_2020!N$37</f>
        <v>4.4857555555555599</v>
      </c>
      <c r="X40" s="84">
        <f>Bilan_E_AME_Met_2020!N$35</f>
        <v>0</v>
      </c>
      <c r="Y40" s="489">
        <f t="shared" si="6"/>
        <v>31.912344999999959</v>
      </c>
      <c r="Z40" s="489">
        <f t="shared" si="7"/>
        <v>2.8421709430404007E-14</v>
      </c>
    </row>
    <row r="41" spans="1:26">
      <c r="A41" s="679"/>
      <c r="B41" s="1" t="s">
        <v>37</v>
      </c>
      <c r="C41" s="550">
        <f>-Bilan_E_AME_Met_2020!L26-Bilan_E_AME_Met_2020!L27+Bilan_E_AME_Met_2020!L13+Bilan_E_AME_Met_2020!L14-Bilan_E_AME_Met_2020!L19</f>
        <v>33.731429517545166</v>
      </c>
      <c r="D41" s="191">
        <f>SUM(C36:C47)</f>
        <v>894.72785348792945</v>
      </c>
      <c r="E41" s="38"/>
      <c r="F41" s="191">
        <f>SUM(E36:E47)</f>
        <v>14.340489550553073</v>
      </c>
      <c r="G41" s="17">
        <f t="shared" si="5"/>
        <v>33.731429517545166</v>
      </c>
      <c r="H41" s="191">
        <f>SUM(G36:G47)</f>
        <v>880.38736393737645</v>
      </c>
      <c r="I41" s="35"/>
      <c r="J41" s="37"/>
      <c r="K41" s="35"/>
      <c r="L41" s="37">
        <f>-(Bilan_E_AME_Met_2020!L15+Bilan_E_AME_Met_2020!L16)</f>
        <v>0</v>
      </c>
      <c r="M41" s="35"/>
      <c r="N41" s="35"/>
      <c r="O41" s="35"/>
      <c r="P41" s="35"/>
      <c r="Q41" s="543"/>
      <c r="R41" s="508">
        <f>SUM(Q36:Q47)-S41</f>
        <v>0</v>
      </c>
      <c r="S41" s="191">
        <f>SUM(T36:X46)</f>
        <v>699.21561225164123</v>
      </c>
      <c r="T41" s="83">
        <f>Bilan_E_AME_Met_2020!L$38</f>
        <v>1.93666726391606</v>
      </c>
      <c r="U41" s="83">
        <f>Bilan_E_AME_Met_2020!L$34</f>
        <v>1.0434102222764099</v>
      </c>
      <c r="V41" s="83">
        <f>Bilan_E_AME_Met_2020!L$36</f>
        <v>0</v>
      </c>
      <c r="W41" s="83">
        <f>Bilan_E_AME_Met_2020!L$37</f>
        <v>0</v>
      </c>
      <c r="X41" s="84">
        <f>Bilan_E_AME_Met_2020!L$35</f>
        <v>30.751352031352699</v>
      </c>
      <c r="Y41" s="489">
        <f t="shared" si="6"/>
        <v>33.731429517545166</v>
      </c>
      <c r="Z41" s="489">
        <f>G41-Y41-L41</f>
        <v>0</v>
      </c>
    </row>
    <row r="42" spans="1:26">
      <c r="A42" s="679"/>
      <c r="B42" s="1" t="s">
        <v>38</v>
      </c>
      <c r="C42" s="33">
        <f>Bilan_E_AME_Met_2020!E18+Bilan_E_AME_Met_2020!F18-Bilan_E_AME_Met_2020!F21-Bilan_E_AME_Met_2020!F22-E54-SUM(T43:X43)-(Bilan_E_AME_Met_2020!E20+Bilan_E_AME_Met_2020!F20+Bilan_E_AME_Met_2020!E19+Bilan_E_AME_Met_2020!F19)</f>
        <v>398.15135045689215</v>
      </c>
      <c r="D42" s="541"/>
      <c r="E42" s="17">
        <f>Bilan_E_AME_Met_2020!F30+Bilan_E_AME_Met_2020!S25+Bilan_E_AME_Met_2020!F29+Bilan_E_AME_Met_2020!E29</f>
        <v>14.083438439441963</v>
      </c>
      <c r="F42" s="541"/>
      <c r="G42" s="17">
        <f t="shared" si="5"/>
        <v>384.06791201745017</v>
      </c>
      <c r="H42" s="541"/>
      <c r="I42" s="498"/>
      <c r="J42" s="37"/>
      <c r="K42" s="35"/>
      <c r="L42" s="35"/>
      <c r="M42" s="35"/>
      <c r="N42" s="35"/>
      <c r="O42" s="35"/>
      <c r="P42" s="35"/>
      <c r="Q42" s="36">
        <f>G42</f>
        <v>384.06791201745017</v>
      </c>
      <c r="R42" s="498"/>
      <c r="S42" s="541"/>
      <c r="T42" s="83">
        <v>0</v>
      </c>
      <c r="U42" s="83">
        <v>0</v>
      </c>
      <c r="V42" s="83">
        <v>0</v>
      </c>
      <c r="W42" s="83">
        <v>0</v>
      </c>
      <c r="X42" s="84">
        <f>Bilan_E_AME_Met_2020!F35</f>
        <v>384.06791201745</v>
      </c>
      <c r="Y42" s="489">
        <f t="shared" si="6"/>
        <v>384.06791201745</v>
      </c>
      <c r="Z42" s="489">
        <f>Q42-SUM(T42:X42)</f>
        <v>0</v>
      </c>
    </row>
    <row r="43" spans="1:26">
      <c r="A43" s="679"/>
      <c r="B43" s="1" t="s">
        <v>39</v>
      </c>
      <c r="C43" s="33">
        <f>Bilan_E_AME_Met_2020!F41+SUM(T43:X43)</f>
        <v>279.19826698803649</v>
      </c>
      <c r="D43" s="541"/>
      <c r="E43" s="38"/>
      <c r="F43" s="541"/>
      <c r="G43" s="17">
        <f>C43-E43</f>
        <v>279.19826698803649</v>
      </c>
      <c r="H43" s="541"/>
      <c r="I43" s="35"/>
      <c r="J43" s="37"/>
      <c r="K43" s="35"/>
      <c r="L43" s="35"/>
      <c r="M43" s="35"/>
      <c r="N43" s="35"/>
      <c r="O43" s="35"/>
      <c r="P43" s="35"/>
      <c r="Q43" s="36">
        <f>G43-Bilan_E_AME_Met_2020!F41</f>
        <v>148.71414756648849</v>
      </c>
      <c r="R43" s="498"/>
      <c r="S43" s="541"/>
      <c r="T43" s="83">
        <f>Bilan_E_AME_Met_2020!F38</f>
        <v>37.008579624305803</v>
      </c>
      <c r="U43" s="83">
        <f>Bilan_E_AME_Met_2020!F34</f>
        <v>30.361762354379302</v>
      </c>
      <c r="V43" s="83">
        <f>Bilan_E_AME_Met_2020!F36</f>
        <v>49.863308104442503</v>
      </c>
      <c r="W43" s="83">
        <f>Bilan_E_AME_Met_2020!F37</f>
        <v>31.480497483360899</v>
      </c>
      <c r="X43" s="84">
        <v>0</v>
      </c>
      <c r="Y43" s="489">
        <f t="shared" si="6"/>
        <v>148.71414756648849</v>
      </c>
      <c r="Z43" s="489">
        <f>Q43-SUM(T43:X43)</f>
        <v>0</v>
      </c>
    </row>
    <row r="44" spans="1:26">
      <c r="A44" s="679"/>
      <c r="B44" s="1" t="s">
        <v>40</v>
      </c>
      <c r="C44" s="33">
        <v>0</v>
      </c>
      <c r="D44" s="541"/>
      <c r="E44" s="38"/>
      <c r="F44" s="541"/>
      <c r="G44" s="17">
        <f t="shared" ref="G44:G45" si="8">C44-E44</f>
        <v>0</v>
      </c>
      <c r="H44" s="541"/>
      <c r="I44" s="35"/>
      <c r="J44" s="37"/>
      <c r="K44" s="35"/>
      <c r="L44" s="35"/>
      <c r="M44" s="35"/>
      <c r="N44" s="35"/>
      <c r="O44" s="35"/>
      <c r="P44" s="35"/>
      <c r="Q44" s="36">
        <f>G44-Bilan_E_AME_Met_2020!K41</f>
        <v>0</v>
      </c>
      <c r="R44" s="498"/>
      <c r="S44" s="541"/>
      <c r="T44" s="83">
        <f>Bilan_E_AME_Met_2020!K$38</f>
        <v>0</v>
      </c>
      <c r="U44" s="83">
        <v>0</v>
      </c>
      <c r="V44" s="83">
        <f>Bilan_E_AME_Met_2020!K$36</f>
        <v>0</v>
      </c>
      <c r="W44" s="83">
        <v>0</v>
      </c>
      <c r="X44" s="84">
        <f>Bilan_E_AME_Met_2020!K$35</f>
        <v>0</v>
      </c>
      <c r="Y44" s="489">
        <f t="shared" si="6"/>
        <v>0</v>
      </c>
      <c r="Z44" s="489">
        <f t="shared" si="7"/>
        <v>0</v>
      </c>
    </row>
    <row r="45" spans="1:26">
      <c r="A45" s="679"/>
      <c r="B45" s="1" t="s">
        <v>41</v>
      </c>
      <c r="C45" s="33">
        <f>E53</f>
        <v>12.027936499999999</v>
      </c>
      <c r="D45" s="541"/>
      <c r="E45" s="38"/>
      <c r="F45" s="541"/>
      <c r="G45" s="17">
        <f t="shared" si="8"/>
        <v>12.027936499999999</v>
      </c>
      <c r="H45" s="541"/>
      <c r="I45" s="35"/>
      <c r="J45" s="37"/>
      <c r="K45" s="35"/>
      <c r="L45" s="35"/>
      <c r="M45" s="35"/>
      <c r="N45" s="35"/>
      <c r="O45" s="35"/>
      <c r="P45" s="35"/>
      <c r="Q45" s="36">
        <f>G45-Bilan_E_AME_Met_2020!G41</f>
        <v>0</v>
      </c>
      <c r="R45" s="498"/>
      <c r="S45" s="541"/>
      <c r="T45" s="84">
        <v>0</v>
      </c>
      <c r="U45" s="83">
        <v>0</v>
      </c>
      <c r="V45" s="84">
        <v>0</v>
      </c>
      <c r="W45" s="92">
        <v>0</v>
      </c>
      <c r="X45" s="84">
        <v>0</v>
      </c>
      <c r="Y45" s="489">
        <f t="shared" si="6"/>
        <v>0</v>
      </c>
      <c r="Z45" s="489">
        <f>Q45-Y45</f>
        <v>0</v>
      </c>
    </row>
    <row r="46" spans="1:26">
      <c r="A46" s="679"/>
      <c r="B46" s="1" t="s">
        <v>42</v>
      </c>
      <c r="C46" s="550">
        <f>Bilan_E_AME_Met_2020!D18-C18-C34-Bilan_E_AME_Met_2020!D20</f>
        <v>48.257338633646739</v>
      </c>
      <c r="D46" s="541"/>
      <c r="E46" s="37"/>
      <c r="F46" s="541"/>
      <c r="G46" s="17">
        <f>C46-E46</f>
        <v>48.257338633646739</v>
      </c>
      <c r="H46" s="541"/>
      <c r="I46" s="38"/>
      <c r="J46" s="37"/>
      <c r="K46" s="35"/>
      <c r="L46" s="35"/>
      <c r="M46" s="35"/>
      <c r="N46" s="35"/>
      <c r="O46" s="35"/>
      <c r="P46" s="35"/>
      <c r="Q46" s="36">
        <f>G46-(Bilan_E_AME_Met_2020!D41+Bilan_E_AME_Met_2020!D29+Bilan_E_AME_Met_2020!D30)</f>
        <v>9.5976428694600386</v>
      </c>
      <c r="R46" s="498"/>
      <c r="S46" s="541"/>
      <c r="T46" s="506">
        <f>Bilan_E_AME_Met_2020!D38</f>
        <v>1.5371382629999999E-2</v>
      </c>
      <c r="U46" s="93">
        <f>Bilan_E_AME_Met_2020!D34</f>
        <v>8.9862670625500005</v>
      </c>
      <c r="V46" s="506">
        <f>Bilan_E_AME_Met_2020!D36</f>
        <v>0.24074954805000001</v>
      </c>
      <c r="W46" s="507">
        <f>Bilan_E_AME_Met_2020!D37</f>
        <v>0.35525487623000002</v>
      </c>
      <c r="X46" s="506">
        <f>Bilan_E_AME_Met_2020!D35</f>
        <v>0</v>
      </c>
      <c r="Y46" s="489">
        <f t="shared" si="6"/>
        <v>9.5976428694599996</v>
      </c>
      <c r="Z46" s="489">
        <f>Q46-Y46</f>
        <v>3.907985046680551E-14</v>
      </c>
    </row>
    <row r="47" spans="1:26">
      <c r="A47" s="90"/>
      <c r="B47" s="1" t="s">
        <v>31</v>
      </c>
      <c r="C47" s="33">
        <f>E57</f>
        <v>0</v>
      </c>
      <c r="D47" s="192"/>
      <c r="E47" s="511"/>
      <c r="F47" s="192"/>
      <c r="G47" s="17">
        <f>C47-E47</f>
        <v>0</v>
      </c>
      <c r="H47" s="192"/>
      <c r="I47" s="38"/>
      <c r="J47" s="37"/>
      <c r="K47" s="35"/>
      <c r="L47" s="35"/>
      <c r="M47" s="35"/>
      <c r="N47" s="35"/>
      <c r="O47" s="35"/>
      <c r="P47" s="35"/>
      <c r="Q47" s="544">
        <f>G47-Bilan_E_AME_Met_2020!R41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C5-L13-SUM(L21:L24)-L30-L41-Bilan_E_AME_Met_2020!S18</f>
        <v>26.352964952749971</v>
      </c>
      <c r="D49" s="1"/>
      <c r="E49" s="556">
        <f>SUM(E7:E47)+I13-Bilan_E_AME_Met_2020!S32+K13+SUM(K21:K24)+K30+Bilan_E_AME_Met_2020!D29+Bilan_E_AME_Met_2020!D30-Bilan_E_AME_Met_2020!S29</f>
        <v>2.6935955688287549E-3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482.56884167124792</v>
      </c>
    </row>
    <row r="52" spans="1:19">
      <c r="A52" s="21"/>
      <c r="B52" s="1" t="s">
        <v>44</v>
      </c>
      <c r="C52" s="44"/>
      <c r="D52" s="1"/>
      <c r="E52" s="39">
        <f>Bilan_E_AME_Met_2020!D41+Bilan_E_AME_Met_2020!D29</f>
        <v>27.795210764186699</v>
      </c>
      <c r="F52" s="187"/>
      <c r="G52" s="1"/>
      <c r="H52" s="1"/>
      <c r="I52" s="30"/>
      <c r="J52" s="17"/>
      <c r="K52" s="17"/>
      <c r="L52" s="21"/>
      <c r="M52" s="1"/>
      <c r="N52" s="17"/>
      <c r="O52" s="17"/>
      <c r="P52" s="17"/>
      <c r="Q52" s="1"/>
      <c r="S52" s="33"/>
    </row>
    <row r="53" spans="1:19">
      <c r="A53" s="21"/>
      <c r="B53" s="1" t="s">
        <v>41</v>
      </c>
      <c r="C53" s="45"/>
      <c r="D53" s="17"/>
      <c r="E53" s="433">
        <f>Bilan_E_AME_Met_2020!G41+Bilan_E_AME_Met_2020!G29</f>
        <v>12.027936499999999</v>
      </c>
      <c r="F53" s="187"/>
      <c r="G53" s="1"/>
      <c r="H53" s="1"/>
      <c r="I53" s="30"/>
      <c r="J53" s="17"/>
      <c r="K53" s="17"/>
      <c r="L53" s="21"/>
      <c r="M53" s="1"/>
      <c r="N53" s="17"/>
      <c r="O53" s="17"/>
      <c r="P53" s="17"/>
      <c r="Q53" s="1"/>
    </row>
    <row r="54" spans="1:19">
      <c r="A54" s="21"/>
      <c r="B54" s="1" t="s">
        <v>39</v>
      </c>
      <c r="C54" s="45"/>
      <c r="D54" s="17"/>
      <c r="E54" s="435">
        <f>Bilan_E_AME_Met_2020!F41</f>
        <v>130.484119421548</v>
      </c>
      <c r="F54" s="187"/>
      <c r="G54" s="1"/>
      <c r="H54" s="1"/>
      <c r="I54" s="30"/>
      <c r="J54" s="17"/>
      <c r="K54" s="17"/>
      <c r="L54" s="21"/>
      <c r="M54" s="21"/>
      <c r="N54" s="17"/>
      <c r="O54" s="17"/>
      <c r="P54" s="17"/>
      <c r="Q54" s="1"/>
    </row>
    <row r="55" spans="1:19">
      <c r="B55" s="1" t="s">
        <v>21</v>
      </c>
      <c r="E55" s="434">
        <f>Bilan_E_AME_Met_2020!M41+Bilan_E_AME_Met_2020!M29</f>
        <v>0</v>
      </c>
    </row>
    <row r="56" spans="1:19">
      <c r="B56" s="1" t="s">
        <v>37</v>
      </c>
      <c r="E56" s="434">
        <f>Bilan_E_AME_Met_2020!L41+Bilan_E_AME_Met_2020!L29</f>
        <v>0</v>
      </c>
    </row>
    <row r="57" spans="1:19">
      <c r="B57" s="1" t="s">
        <v>31</v>
      </c>
      <c r="E57" s="515">
        <f>Bilan_E_AME_Met_2020!R41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61A-2002-47DA-848A-89FA15DE979F}">
  <dimension ref="A1:Z57"/>
  <sheetViews>
    <sheetView topLeftCell="B5" zoomScale="55" zoomScaleNormal="55" workbookViewId="0">
      <selection activeCell="E7" sqref="E7:E19"/>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2630.0020993744984</v>
      </c>
      <c r="D5" s="18"/>
      <c r="E5" s="20"/>
      <c r="F5" s="494"/>
      <c r="G5" s="21"/>
      <c r="H5" s="493"/>
      <c r="I5" s="21"/>
      <c r="J5" s="22"/>
      <c r="K5" s="23"/>
      <c r="L5" s="14"/>
      <c r="M5" s="14"/>
      <c r="N5" s="15"/>
      <c r="O5" s="16"/>
      <c r="P5" s="16"/>
      <c r="Q5" s="24">
        <f>Q13+Q22+Q30+Q42+Q46+Q38+Q43</f>
        <v>1510.9372654542078</v>
      </c>
      <c r="R5" s="487"/>
      <c r="S5" s="79">
        <f>SUM(S13,S22,S27:S32,S41)</f>
        <v>1510.9344263171051</v>
      </c>
      <c r="T5" s="79">
        <f>SUM(T8:T46)</f>
        <v>48.622419121780844</v>
      </c>
      <c r="U5" s="79">
        <f>SUM(U8:U46)</f>
        <v>299.8934025409539</v>
      </c>
      <c r="V5" s="79">
        <f>SUM(V8:V46)</f>
        <v>462.18068804179131</v>
      </c>
      <c r="W5" s="173">
        <f>SUM(W8:W46)</f>
        <v>242.00883156393084</v>
      </c>
      <c r="X5" s="79">
        <f>SUM(X8:X46)</f>
        <v>458.2290850486479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(([7]Offre_calc!$L$81+[7]Offre_calc!$L$82+[7]Offre_calc!$L$127+[7]Offre_calc!$L$128)/([7]Offre_calc!$L$78+[7]Offre_calc!$L$124))*Bilan_E_KP_AME_2023!I$21</f>
        <v>50.717065359842749</v>
      </c>
      <c r="D7" s="518"/>
      <c r="E7" s="28">
        <v>0</v>
      </c>
      <c r="F7" s="518"/>
      <c r="G7" s="17">
        <f>C7-E7</f>
        <v>50.717065359842749</v>
      </c>
      <c r="H7" s="518"/>
      <c r="I7" s="21"/>
      <c r="J7" s="518"/>
      <c r="K7" s="525"/>
      <c r="L7" s="525"/>
      <c r="M7" s="525"/>
      <c r="N7" s="525"/>
      <c r="O7" s="525"/>
      <c r="P7" s="513"/>
      <c r="Q7" s="528"/>
      <c r="R7" s="498"/>
      <c r="S7" s="528"/>
      <c r="T7" s="525"/>
      <c r="U7" s="525"/>
      <c r="V7" s="525"/>
      <c r="W7" s="525"/>
      <c r="X7" s="525"/>
    </row>
    <row r="8" spans="1:24">
      <c r="A8" s="695"/>
      <c r="B8" s="1" t="s">
        <v>18</v>
      </c>
      <c r="C8" s="486">
        <f>(([7]Offre_calc!$L$80+[7]Offre_calc!$L$126)/([7]Offre_calc!$L$78+[7]Offre_calc!$L$124))*Bilan_E_KP_AME_2023!I$21</f>
        <v>61.973978103974517</v>
      </c>
      <c r="D8" s="81"/>
      <c r="E8" s="28">
        <v>0</v>
      </c>
      <c r="F8" s="81"/>
      <c r="G8" s="17">
        <f t="shared" ref="G8:G19" si="0">C8-E8</f>
        <v>61.973978103974517</v>
      </c>
      <c r="H8" s="81"/>
      <c r="I8" s="21"/>
      <c r="J8" s="81"/>
      <c r="K8" s="526"/>
      <c r="L8" s="526"/>
      <c r="M8" s="526"/>
      <c r="N8" s="526"/>
      <c r="O8" s="526"/>
      <c r="P8" s="29"/>
      <c r="Q8" s="529"/>
      <c r="R8" s="498"/>
      <c r="S8" s="529"/>
      <c r="T8" s="526"/>
      <c r="U8" s="526"/>
      <c r="V8" s="526"/>
      <c r="W8" s="526"/>
      <c r="X8" s="526"/>
    </row>
    <row r="9" spans="1:24">
      <c r="A9" s="695"/>
      <c r="B9" s="1" t="s">
        <v>19</v>
      </c>
      <c r="C9" s="486">
        <f>(([7]Offre_calc!$L$79+[7]Offre_calc!$L$125)/([7]Offre_calc!$L$78+[7]Offre_calc!$L$124))*Bilan_E_KP_AME_2023!I$21</f>
        <v>22.351270791597365</v>
      </c>
      <c r="D9" s="81"/>
      <c r="E9" s="28">
        <v>0</v>
      </c>
      <c r="F9" s="81"/>
      <c r="G9" s="17">
        <f t="shared" si="0"/>
        <v>22.351270791597365</v>
      </c>
      <c r="H9" s="81"/>
      <c r="I9" s="21"/>
      <c r="J9" s="81"/>
      <c r="K9" s="526"/>
      <c r="L9" s="526"/>
      <c r="M9" s="526"/>
      <c r="N9" s="526"/>
      <c r="O9" s="526"/>
      <c r="P9" s="29"/>
      <c r="Q9" s="529"/>
      <c r="R9" s="498"/>
      <c r="S9" s="529"/>
      <c r="T9" s="526"/>
      <c r="U9" s="526"/>
      <c r="V9" s="526"/>
      <c r="W9" s="526"/>
      <c r="X9" s="526"/>
    </row>
    <row r="10" spans="1:24">
      <c r="A10" s="695"/>
      <c r="B10" s="1" t="s">
        <v>20</v>
      </c>
      <c r="C10" s="17">
        <f>Bilan_E_KP_AME_2023!H21-(Bilan_E_KP_AME_2023!P20+Bilan_E_KP_AME_2023!P19)</f>
        <v>1099.8082367406996</v>
      </c>
      <c r="D10" s="81"/>
      <c r="E10" s="28">
        <f>F13-SUM(E11:E19)</f>
        <v>734.90364523570804</v>
      </c>
      <c r="F10" s="81"/>
      <c r="G10" s="17">
        <f>C10-E10</f>
        <v>364.90459150499157</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Bilan_E_KP_AME_2023!M21</f>
        <v>0.35186004718702235</v>
      </c>
      <c r="D11" s="81"/>
      <c r="E11" s="28">
        <f>C11*(1-[7]Offre_calc!$L$161)</f>
        <v>0.1667816623666486</v>
      </c>
      <c r="F11" s="81"/>
      <c r="G11" s="17">
        <f t="shared" si="0"/>
        <v>0.18507838482037375</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Bilan_E_KP_AME_2023!K21</f>
        <v>9.8540491520373141</v>
      </c>
      <c r="D12" s="81"/>
      <c r="E12" s="28">
        <f>C12*(1-[7]Offre_calc!$L$171)</f>
        <v>7.5482016504605829</v>
      </c>
      <c r="F12" s="81"/>
      <c r="G12" s="17">
        <f t="shared" si="0"/>
        <v>2.3058475015767312</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Bilan_E_KP_AME_2023!J21</f>
        <v>34.496026032636451</v>
      </c>
      <c r="D13" s="81">
        <f>SUM(C7:C19)</f>
        <v>1315.4239714979749</v>
      </c>
      <c r="E13" s="28">
        <f>C13*(1-[7]Offre_calc!$L$170)</f>
        <v>26.423955940999523</v>
      </c>
      <c r="F13" s="81">
        <f>Bilan_E_KP_AME_2023!S21</f>
        <v>787.45248977514632</v>
      </c>
      <c r="G13" s="17">
        <f t="shared" si="0"/>
        <v>8.0720700916369275</v>
      </c>
      <c r="H13" s="81">
        <f>SUM(G7:G19)</f>
        <v>527.97148172282857</v>
      </c>
      <c r="I13" s="33">
        <f>Bilan_E_KP_AME_2023!P30</f>
        <v>34.108085964069424</v>
      </c>
      <c r="J13" s="81">
        <f>H13-I13</f>
        <v>493.86339575875917</v>
      </c>
      <c r="K13" s="29">
        <f>Bilan_E_KP_AME_2023!P31</f>
        <v>38.59518094579407</v>
      </c>
      <c r="L13" s="29">
        <f>-(Bilan_E_KP_AME_2023!P14+Bilan_E_KP_AME_2023!P13)</f>
        <v>24.298097404469559</v>
      </c>
      <c r="M13" s="29">
        <f>Bilan_E_KP_AME_2023!P28</f>
        <v>2.54864504300631E-2</v>
      </c>
      <c r="N13" s="29"/>
      <c r="O13" s="29"/>
      <c r="P13" s="29"/>
      <c r="Q13" s="81">
        <f>J13-K13-L13-M13-N13-O13-P13</f>
        <v>430.94463095806549</v>
      </c>
      <c r="R13" s="508">
        <f>Q13-S13</f>
        <v>0</v>
      </c>
      <c r="S13" s="81">
        <f>SUM(T8:X19)</f>
        <v>430.94463095806555</v>
      </c>
      <c r="T13" s="29">
        <f>Bilan_E_KP_AME_2023!P38</f>
        <v>8.3662824168205496</v>
      </c>
      <c r="U13" s="29">
        <f>Bilan_E_KP_AME_2023!P34+Bilan_E_KP_AME_2023!P39</f>
        <v>111.09265177846828</v>
      </c>
      <c r="V13" s="29">
        <f>Bilan_E_KP_AME_2023!P36</f>
        <v>167.04585454887541</v>
      </c>
      <c r="W13" s="29">
        <f>Bilan_E_KP_AME_2023!P37</f>
        <v>130.24280942426404</v>
      </c>
      <c r="X13" s="29">
        <f>Bilan_E_KP_AME_2023!P35</f>
        <v>14.197032789637335</v>
      </c>
    </row>
    <row r="14" spans="1:24">
      <c r="A14" s="695"/>
      <c r="B14" s="1" t="s">
        <v>24</v>
      </c>
      <c r="C14" s="17">
        <f>Bilan_E_KP_AME_2023!O21</f>
        <v>1.0949510903328832</v>
      </c>
      <c r="D14" s="81"/>
      <c r="E14" s="28">
        <v>0</v>
      </c>
      <c r="F14" s="81"/>
      <c r="G14" s="17">
        <f t="shared" si="0"/>
        <v>1.0949510903328832</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Bilan_E_KP_AME_2023!L21</f>
        <v>1.6747440159238469</v>
      </c>
      <c r="D16" s="81"/>
      <c r="E16" s="28">
        <f>C16*(1-[7]Offre_calc!$L$158)</f>
        <v>0.93785664891735432</v>
      </c>
      <c r="F16" s="81"/>
      <c r="G16" s="17">
        <f t="shared" si="0"/>
        <v>0.7368873670064926</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Bilan_E_KP_AME_2023!F21</f>
        <v>9.8157441879701768</v>
      </c>
      <c r="D17" s="81"/>
      <c r="E17" s="28">
        <f>C17*(1-[7]Offre_calc!$L$158)</f>
        <v>5.4968167452632999</v>
      </c>
      <c r="F17" s="81"/>
      <c r="G17" s="17">
        <f t="shared" si="0"/>
        <v>4.3189274427068769</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Bilan_E_KP_AME_2023!D21</f>
        <v>4.5103805765333682</v>
      </c>
      <c r="D18" s="81"/>
      <c r="E18" s="28">
        <f>C18*(1-[7]Offre_calc!$L$157)</f>
        <v>3.0755664921913421</v>
      </c>
      <c r="F18" s="81"/>
      <c r="G18" s="17">
        <f t="shared" si="0"/>
        <v>1.4348140843420261</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Bilan_E_KP_AME_2023!G21+Bilan_E_KP_AME_2023!R21</f>
        <v>18.775665399239546</v>
      </c>
      <c r="D19" s="82"/>
      <c r="E19" s="28">
        <f>C19*(1-[7]Offre_calc!$L$160)</f>
        <v>8.8996653992395451</v>
      </c>
      <c r="F19" s="82"/>
      <c r="G19" s="17">
        <f t="shared" si="0"/>
        <v>9.8760000000000012</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0.33178928772746102</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Bilan_E_KP_AME_2023!J23+Bilan_E_KP_AME_2023!M12</f>
        <v>5.3857442432423364</v>
      </c>
      <c r="D21" s="531"/>
      <c r="E21" s="33">
        <f>Bilan_E_KP_AME_2023!S23+Bilan_E_KP_AME_2023!M30</f>
        <v>0.74561654260248589</v>
      </c>
      <c r="F21" s="531"/>
      <c r="G21" s="17">
        <f t="shared" ref="G21:G45" si="1">C21-E21</f>
        <v>4.6401277006398507</v>
      </c>
      <c r="H21" s="531"/>
      <c r="I21" s="17"/>
      <c r="J21" s="531"/>
      <c r="K21" s="547">
        <f>Bilan_E_KP_AME_2023!M31</f>
        <v>5.4041471906535486E-2</v>
      </c>
      <c r="L21" s="547">
        <f>-(Bilan_E_KP_AME_2023!M13+Bilan_E_KP_AME_2023!M14+Bilan_E_KP_AME_2023!M15+Bilan_E_KP_AME_2023!M16)</f>
        <v>0</v>
      </c>
      <c r="M21" s="547">
        <f>Bilan_E_KP_AME_2023!M28</f>
        <v>4.6306720562744137E-3</v>
      </c>
      <c r="N21" s="547">
        <f>Bilan_E_KP_AME_2023!M22</f>
        <v>0.22730502357401322</v>
      </c>
      <c r="O21" s="547">
        <f>Bilan_E_KP_AME_2023!M21</f>
        <v>0.35186004718702235</v>
      </c>
      <c r="P21" s="531"/>
      <c r="Q21" s="531"/>
      <c r="R21" s="498"/>
      <c r="S21" s="531"/>
      <c r="T21" s="531"/>
      <c r="U21" s="531"/>
      <c r="V21" s="531"/>
      <c r="W21" s="531"/>
      <c r="X21" s="531"/>
    </row>
    <row r="22" spans="1:24">
      <c r="A22" s="696"/>
      <c r="B22" s="1" t="s">
        <v>30</v>
      </c>
      <c r="C22" s="17"/>
      <c r="D22" s="85">
        <f>SUM(C21:C24)</f>
        <v>368.77130378312614</v>
      </c>
      <c r="E22" s="497"/>
      <c r="F22" s="85">
        <f>SUM(E21:E24)</f>
        <v>6.0137399504415079</v>
      </c>
      <c r="G22" s="17"/>
      <c r="H22" s="85">
        <f>SUM(G21:G24)</f>
        <v>362.75756383268458</v>
      </c>
      <c r="I22" s="408"/>
      <c r="J22" s="85">
        <f>H22-I22</f>
        <v>362.75756383268458</v>
      </c>
      <c r="K22" s="32"/>
      <c r="L22" s="32"/>
      <c r="M22" s="32"/>
      <c r="N22" s="32"/>
      <c r="O22" s="32"/>
      <c r="P22" s="32"/>
      <c r="Q22" s="85">
        <f>J22-SUM(K21:P24)</f>
        <v>321.5384788757994</v>
      </c>
      <c r="R22" s="508">
        <f>Q22-S22</f>
        <v>-2.7283295480174274E-2</v>
      </c>
      <c r="S22" s="85">
        <f>SUM(T22:X24)</f>
        <v>321.56576217127957</v>
      </c>
      <c r="T22" s="32">
        <f>Bilan_E_KP_AME_2023!G38+Bilan_E_KP_AME_2023!R38+Bilan_E_KP_AME_2023!M$38</f>
        <v>2.5616339360839078</v>
      </c>
      <c r="U22" s="32">
        <f>Bilan_E_KP_AME_2023!G34+Bilan_E_KP_AME_2023!R34+Bilan_E_KP_AME_2023!M$34</f>
        <v>115.95574870449366</v>
      </c>
      <c r="V22" s="32">
        <f>Bilan_E_KP_AME_2023!G36+Bilan_E_KP_AME_2023!R36+Bilan_E_KP_AME_2023!M$36</f>
        <v>128.04372090293501</v>
      </c>
      <c r="W22" s="32">
        <f>Bilan_E_KP_AME_2023!G37+Bilan_E_KP_AME_2023!K37+Bilan_E_KP_AME_2023!R37+Bilan_E_KP_AME_2023!M$37</f>
        <v>70.096644237528054</v>
      </c>
      <c r="X22" s="32">
        <f>Bilan_E_KP_AME_2023!G35+Bilan_E_KP_AME_2023!R35+Bilan_E_KP_AME_2023!M$35</f>
        <v>4.9080143902389493</v>
      </c>
    </row>
    <row r="23" spans="1:24">
      <c r="A23" s="696"/>
      <c r="B23" s="1" t="s">
        <v>31</v>
      </c>
      <c r="C23" s="17">
        <f>SUM(Bilan_E_KP_AME_2023!D28:Q28)-C47</f>
        <v>0.40293892998328584</v>
      </c>
      <c r="D23" s="532"/>
      <c r="E23" s="33">
        <f>Bilan_E_KP_AME_2023!S28+Bilan_E_KP_AME_2023!S27</f>
        <v>0.12215600151648892</v>
      </c>
      <c r="F23" s="534"/>
      <c r="G23" s="17">
        <f t="shared" si="1"/>
        <v>0.28078292846679692</v>
      </c>
      <c r="H23" s="534"/>
      <c r="I23" s="17"/>
      <c r="J23" s="534"/>
      <c r="K23" s="536">
        <f>Bilan_E_KP_AME_2023!R31</f>
        <v>0</v>
      </c>
      <c r="L23" s="536">
        <f>-(Bilan_E_KP_AME_2023!R13+Bilan_E_KP_AME_2023!R14+Bilan_E_KP_AME_2023!R15+Bilan_E_KP_AME_2023!R16)</f>
        <v>0</v>
      </c>
      <c r="M23" s="536"/>
      <c r="N23" s="536">
        <f>Bilan_E_KP_AME_2023!R22</f>
        <v>0</v>
      </c>
      <c r="O23" s="536">
        <f>Bilan_E_KP_AME_2023!R21</f>
        <v>0</v>
      </c>
      <c r="P23" s="536">
        <f>-Bilan_E_KP_AME_2023!L27</f>
        <v>0</v>
      </c>
      <c r="Q23" s="534"/>
      <c r="S23" s="534"/>
      <c r="T23" s="538"/>
      <c r="U23" s="538"/>
      <c r="V23" s="538"/>
      <c r="W23" s="538"/>
      <c r="X23" s="538"/>
    </row>
    <row r="24" spans="1:24">
      <c r="A24" s="696"/>
      <c r="B24" s="1" t="s">
        <v>32</v>
      </c>
      <c r="C24" s="17">
        <f>Bilan_E_KP_AME_2023!G18-C45-(Bilan_E_KP_AME_2023!G20+Bilan_E_KP_AME_2023!G19)</f>
        <v>362.98262060990049</v>
      </c>
      <c r="D24" s="533"/>
      <c r="E24" s="33">
        <f>Bilan_E_KP_AME_2023!G30</f>
        <v>5.1459674063225336</v>
      </c>
      <c r="F24" s="535"/>
      <c r="G24" s="17">
        <f t="shared" si="1"/>
        <v>357.83665320357795</v>
      </c>
      <c r="H24" s="535"/>
      <c r="I24" s="34"/>
      <c r="J24" s="535"/>
      <c r="K24" s="537">
        <f>Bilan_E_KP_AME_2023!G31</f>
        <v>4.3041417463624567</v>
      </c>
      <c r="L24" s="537"/>
      <c r="M24" s="537">
        <f>Bilan_E_KP_AME_2023!G28</f>
        <v>0.3688106228045655</v>
      </c>
      <c r="N24" s="537">
        <f>Bilan_E_KP_AME_2023!G22</f>
        <v>17.132629973754788</v>
      </c>
      <c r="O24" s="537">
        <f>Bilan_E_KP_AME_2023!G21</f>
        <v>18.775665399239546</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Bilan_E_KP_AME_2023!M22</f>
        <v>0.22730502357401322</v>
      </c>
      <c r="D26" s="512"/>
      <c r="E26" s="190">
        <f>C26*F$35</f>
        <v>2.5950022154207806E-2</v>
      </c>
      <c r="F26" s="512"/>
      <c r="G26" s="33">
        <f t="shared" ref="G26:G31" si="2">C26-E26</f>
        <v>0.20135500141980542</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Bilan_E_KP_AME_2023!K18-Bilan_E_KP_AME_2023!K21-(Bilan_E_KP_AME_2023!Q20+Bilan_E_KP_AME_2023!Q19+Bilan_E_KP_AME_2023!K20+Bilan_E_KP_AME_2023!K19)</f>
        <v>14.31613779812743</v>
      </c>
      <c r="D27" s="87"/>
      <c r="E27" s="190">
        <f t="shared" ref="E27:E34" si="3">C27*F$35</f>
        <v>1.6343857570008014</v>
      </c>
      <c r="F27" s="87"/>
      <c r="G27" s="33">
        <f t="shared" si="2"/>
        <v>12.681752041126629</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Bilan_E_KP_AME_2023!J22</f>
        <v>14.734948238156928</v>
      </c>
      <c r="D29" s="87"/>
      <c r="E29" s="190">
        <f t="shared" si="3"/>
        <v>1.6821987794597624</v>
      </c>
      <c r="F29" s="87"/>
      <c r="G29" s="33">
        <f t="shared" si="2"/>
        <v>13.052749458697166</v>
      </c>
      <c r="H29" s="87"/>
      <c r="I29" s="1"/>
      <c r="J29" s="87"/>
      <c r="K29" s="87"/>
      <c r="L29" s="87"/>
      <c r="M29" s="87"/>
      <c r="N29" s="87"/>
      <c r="O29" s="87"/>
      <c r="P29" s="87"/>
      <c r="Q29" s="87"/>
      <c r="R29" s="498"/>
      <c r="S29" s="87"/>
      <c r="T29" s="87"/>
      <c r="U29" s="87"/>
      <c r="V29" s="87"/>
      <c r="W29" s="87"/>
      <c r="X29" s="87"/>
    </row>
    <row r="30" spans="1:24">
      <c r="A30" s="697"/>
      <c r="B30" s="1" t="s">
        <v>24</v>
      </c>
      <c r="C30" s="17">
        <f>Bilan_E_KP_AME_2023!O22</f>
        <v>2.3801724763059897</v>
      </c>
      <c r="D30" s="86">
        <f>SUM(C26:C34)</f>
        <v>49.588384407298619</v>
      </c>
      <c r="E30" s="190">
        <f t="shared" si="3"/>
        <v>0.27172971155591069</v>
      </c>
      <c r="F30" s="86">
        <f>Bilan_E_KP_AME_2023!S22</f>
        <v>5.6612020875190572</v>
      </c>
      <c r="G30" s="33">
        <f t="shared" si="2"/>
        <v>2.108442764750079</v>
      </c>
      <c r="H30" s="86">
        <f>SUM(G26:G34)</f>
        <v>43.927182319779561</v>
      </c>
      <c r="I30" s="1"/>
      <c r="J30" s="86">
        <f>H30</f>
        <v>43.927182319779561</v>
      </c>
      <c r="K30" s="87">
        <f>Bilan_E_KP_AME_2023!Q31</f>
        <v>3.2740395369373112</v>
      </c>
      <c r="L30" s="87"/>
      <c r="M30" s="87">
        <f>Bilan_E_KP_AME_2023!K28</f>
        <v>4.0111846923828126E-3</v>
      </c>
      <c r="N30" s="87"/>
      <c r="O30" s="87"/>
      <c r="P30" s="87"/>
      <c r="Q30" s="86">
        <f>J30-K30-L30-M30-N30-O30-P30</f>
        <v>40.649131598149872</v>
      </c>
      <c r="R30" s="508">
        <f>Q30-S30</f>
        <v>2.7283295480295067E-2</v>
      </c>
      <c r="S30" s="86">
        <f>SUM(T27:X34)</f>
        <v>40.621848302669576</v>
      </c>
      <c r="T30" s="87">
        <f>Bilan_E_KP_AME_2023!Q$38</f>
        <v>0</v>
      </c>
      <c r="U30" s="87">
        <f>Bilan_E_KP_AME_2023!Q$34+Bilan_E_KP_AME_2023!K34</f>
        <v>18.882939823967316</v>
      </c>
      <c r="V30" s="87">
        <f>Bilan_E_KP_AME_2023!Q$36</f>
        <v>15.952552032300854</v>
      </c>
      <c r="W30" s="87">
        <f>Bilan_E_KP_AME_2023!Q$37</f>
        <v>5.7863564464014026</v>
      </c>
      <c r="X30" s="87">
        <f>Bilan_E_KP_AME_2023!Q$35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Bilan_E_KP_AME_2023!G22</f>
        <v>17.132629973754788</v>
      </c>
      <c r="D32" s="86"/>
      <c r="E32" s="190">
        <f t="shared" si="3"/>
        <v>1.955927415893723</v>
      </c>
      <c r="F32" s="86"/>
      <c r="G32" s="33">
        <f>C32-E32</f>
        <v>15.176702557861066</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Bilan_E_KP_AME_2023!F22</f>
        <v>9.7194502166343774E-2</v>
      </c>
      <c r="D33" s="86"/>
      <c r="E33" s="190">
        <f t="shared" si="3"/>
        <v>1.1096100934445742E-2</v>
      </c>
      <c r="F33" s="86"/>
      <c r="G33" s="33">
        <f t="shared" ref="G33:G34" si="4">C33-E33</f>
        <v>8.6098401231898034E-2</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Bilan_E_KP_AME_2023!D22</f>
        <v>0.6999963952131163</v>
      </c>
      <c r="D34" s="88"/>
      <c r="E34" s="190">
        <f t="shared" si="3"/>
        <v>7.9914300520204984E-2</v>
      </c>
      <c r="F34" s="88"/>
      <c r="G34" s="33">
        <f t="shared" si="4"/>
        <v>0.62008209469291131</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0.11416387436663128</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95.96410250359429</v>
      </c>
      <c r="D37" s="541"/>
      <c r="E37" s="504"/>
      <c r="F37" s="541"/>
      <c r="G37" s="17">
        <f t="shared" ref="G37:G42" si="5">C37-E37</f>
        <v>95.96410250359429</v>
      </c>
      <c r="H37" s="541"/>
      <c r="I37" s="498"/>
      <c r="J37" s="37"/>
      <c r="K37" s="35"/>
      <c r="L37" s="35"/>
      <c r="M37" s="505"/>
      <c r="N37" s="35"/>
      <c r="P37" s="35"/>
      <c r="Q37" s="543"/>
      <c r="R37" s="498"/>
      <c r="S37" s="541"/>
      <c r="T37" s="506">
        <f>Bilan_E_KP_AME_2023!J38</f>
        <v>0.53778095326873299</v>
      </c>
      <c r="U37" s="93">
        <f>Bilan_E_KP_AME_2023!J34</f>
        <v>17.070500200938145</v>
      </c>
      <c r="V37" s="506">
        <f>Bilan_E_KP_AME_2023!J36</f>
        <v>74.162865758963164</v>
      </c>
      <c r="W37" s="507">
        <f>Bilan_E_KP_AME_2023!J37</f>
        <v>4.1929555904242415</v>
      </c>
      <c r="X37" s="506">
        <f>Bilan_E_KP_AME_2023!J35</f>
        <v>0</v>
      </c>
      <c r="Y37" s="489">
        <f t="shared" ref="Y37:Y47" si="6">SUM(T37:X37)</f>
        <v>95.96410250359429</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175.4389904670299</v>
      </c>
      <c r="R38" s="498"/>
      <c r="S38" s="541"/>
      <c r="T38" s="84">
        <v>0</v>
      </c>
      <c r="U38" s="83">
        <v>0</v>
      </c>
      <c r="V38" s="84">
        <v>0</v>
      </c>
      <c r="W38" s="91">
        <v>0</v>
      </c>
      <c r="X38" s="91">
        <v>0</v>
      </c>
      <c r="Y38" s="489">
        <f t="shared" si="6"/>
        <v>0</v>
      </c>
      <c r="Z38" s="489">
        <f t="shared" si="7"/>
        <v>0</v>
      </c>
    </row>
    <row r="39" spans="1:26">
      <c r="A39" s="679"/>
      <c r="B39" s="1" t="s">
        <v>35</v>
      </c>
      <c r="C39" s="33">
        <f>SUM(T39:X39)</f>
        <v>2.4242291286961541</v>
      </c>
      <c r="D39" s="541"/>
      <c r="E39" s="35"/>
      <c r="F39" s="541"/>
      <c r="G39" s="17">
        <f t="shared" si="5"/>
        <v>2.4242291286961541</v>
      </c>
      <c r="H39" s="541"/>
      <c r="I39" s="35"/>
      <c r="J39" s="37"/>
      <c r="K39" s="35"/>
      <c r="L39" s="35"/>
      <c r="M39" s="37"/>
      <c r="N39" s="35"/>
      <c r="O39" s="35"/>
      <c r="P39" s="35"/>
      <c r="Q39" s="543"/>
      <c r="R39" s="498"/>
      <c r="S39" s="541"/>
      <c r="T39" s="84">
        <f>Bilan_E_KP_AME_2023!O38</f>
        <v>9.2576225379409571E-2</v>
      </c>
      <c r="U39" s="83">
        <f>Bilan_E_KP_AME_2023!O34</f>
        <v>3.8591468753626534E-4</v>
      </c>
      <c r="V39" s="84">
        <f>Bilan_E_KP_AME_2023!O36</f>
        <v>1.3360751473174615</v>
      </c>
      <c r="W39" s="91">
        <f>Bilan_E_KP_AME_2023!O37</f>
        <v>0.99519184131174698</v>
      </c>
      <c r="X39" s="91">
        <f>Bilan_E_KP_AME_2023!O35</f>
        <v>0</v>
      </c>
      <c r="Y39" s="489">
        <f t="shared" si="6"/>
        <v>2.4242291286961541</v>
      </c>
      <c r="Z39" s="489">
        <f t="shared" si="7"/>
        <v>0</v>
      </c>
    </row>
    <row r="40" spans="1:26">
      <c r="A40" s="679"/>
      <c r="B40" s="1" t="s">
        <v>36</v>
      </c>
      <c r="C40" s="33">
        <f>Bilan_E_KP_AME_2023!N12</f>
        <v>36.514651680131124</v>
      </c>
      <c r="D40" s="541"/>
      <c r="E40" s="35"/>
      <c r="F40" s="541"/>
      <c r="G40" s="17">
        <f t="shared" si="5"/>
        <v>36.514651680131124</v>
      </c>
      <c r="H40" s="541"/>
      <c r="I40" s="35"/>
      <c r="J40" s="37"/>
      <c r="K40" s="35"/>
      <c r="L40" s="35"/>
      <c r="M40" s="37"/>
      <c r="N40" s="35"/>
      <c r="O40" s="35"/>
      <c r="P40" s="35"/>
      <c r="Q40" s="543"/>
      <c r="R40" s="498"/>
      <c r="S40" s="541"/>
      <c r="T40" s="83">
        <f>Bilan_E_KP_AME_2023!N$38</f>
        <v>0</v>
      </c>
      <c r="U40" s="83">
        <f>Bilan_E_KP_AME_2023!N$34</f>
        <v>0</v>
      </c>
      <c r="V40" s="83">
        <f>Bilan_E_KP_AME_2023!N$36</f>
        <v>30.690291714133512</v>
      </c>
      <c r="W40" s="83">
        <f>Bilan_E_KP_AME_2023!N$37</f>
        <v>5.8243599659976146</v>
      </c>
      <c r="X40" s="84">
        <f>Bilan_E_KP_AME_2023!N$35</f>
        <v>0</v>
      </c>
      <c r="Y40" s="489">
        <f t="shared" si="6"/>
        <v>36.514651680131124</v>
      </c>
      <c r="Z40" s="489">
        <f t="shared" si="7"/>
        <v>0</v>
      </c>
    </row>
    <row r="41" spans="1:26">
      <c r="A41" s="679"/>
      <c r="B41" s="1" t="s">
        <v>37</v>
      </c>
      <c r="C41" s="33">
        <f>Bilan_E_KP_AME_2023!L12+Bilan_E_KP_AME_2023!J26+Bilan_E_KP_AME_2023!J27-Bilan_E_KP_AME_2023!L21</f>
        <v>39.523628531639027</v>
      </c>
      <c r="D41" s="191">
        <f>SUM(C36:C47)</f>
        <v>933.10883905983746</v>
      </c>
      <c r="E41" s="38"/>
      <c r="F41" s="191">
        <f>SUM(E36:E47)</f>
        <v>28.942766247169097</v>
      </c>
      <c r="G41" s="17">
        <f t="shared" si="5"/>
        <v>39.523628531639027</v>
      </c>
      <c r="H41" s="191">
        <f>SUM(G36:G47)</f>
        <v>904.16607281266829</v>
      </c>
      <c r="I41" s="35"/>
      <c r="J41" s="37"/>
      <c r="K41" s="35"/>
      <c r="L41" s="37">
        <f>-SUM(Bilan_E_KP_AME_2023!L13:L16)</f>
        <v>-1.012378622969333</v>
      </c>
      <c r="M41" s="35"/>
      <c r="N41" s="35"/>
      <c r="O41" s="35"/>
      <c r="P41" s="35"/>
      <c r="Q41" s="543"/>
      <c r="R41" s="508">
        <f>SUM(Q36:Q47)-S41</f>
        <v>2.8391371027964851E-3</v>
      </c>
      <c r="S41" s="191">
        <f>SUM(T36:X46)</f>
        <v>717.80218488509024</v>
      </c>
      <c r="T41" s="83">
        <f>Bilan_E_KP_AME_2023!L$38</f>
        <v>2.2064360979425728</v>
      </c>
      <c r="U41" s="83">
        <f>Bilan_E_KP_AME_2023!L$34</f>
        <v>0.86581751367187498</v>
      </c>
      <c r="V41" s="83">
        <f>Bilan_E_KP_AME_2023!L$36</f>
        <v>0</v>
      </c>
      <c r="W41" s="83">
        <f>Bilan_E_KP_AME_2023!L$37</f>
        <v>0</v>
      </c>
      <c r="X41" s="84">
        <f>Bilan_E_KP_AME_2023!L$35</f>
        <v>37.460895129674924</v>
      </c>
      <c r="Y41" s="489">
        <f t="shared" si="6"/>
        <v>40.533148741289374</v>
      </c>
      <c r="Z41" s="489">
        <f>G41-Y41-L41</f>
        <v>2.8584133189859529E-3</v>
      </c>
    </row>
    <row r="42" spans="1:26">
      <c r="A42" s="679"/>
      <c r="B42" s="1" t="s">
        <v>38</v>
      </c>
      <c r="C42" s="33">
        <f>Bilan_E_KP_AME_2023!E18+Bilan_E_KP_AME_2023!F18-Bilan_E_KP_AME_2023!F21-Bilan_E_KP_AME_2023!F22-E54-SUM(T43:X43)-(Bilan_E_KP_AME_2023!E20+Bilan_E_KP_AME_2023!F20+Bilan_E_KP_AME_2023!E19+Bilan_E_KP_AME_2023!F19)</f>
        <v>430.60588971004984</v>
      </c>
      <c r="D42" s="541"/>
      <c r="E42" s="17">
        <f>Bilan_E_KP_AME_2023!F30+Bilan_E_KP_AME_2023!S25+Bilan_E_KP_AME_2023!F29+Bilan_E_KP_AME_2023!E29</f>
        <v>28.942766247169097</v>
      </c>
      <c r="F42" s="541"/>
      <c r="G42" s="17">
        <f t="shared" si="5"/>
        <v>401.66312346288072</v>
      </c>
      <c r="H42" s="541"/>
      <c r="I42" s="498"/>
      <c r="J42" s="37"/>
      <c r="K42" s="35"/>
      <c r="L42" s="35"/>
      <c r="M42" s="35"/>
      <c r="N42" s="35"/>
      <c r="O42" s="35"/>
      <c r="P42" s="35"/>
      <c r="Q42" s="36">
        <f>G42</f>
        <v>401.66312346288072</v>
      </c>
      <c r="R42" s="498"/>
      <c r="S42" s="541"/>
      <c r="T42" s="83">
        <v>0</v>
      </c>
      <c r="U42" s="83">
        <v>0</v>
      </c>
      <c r="V42" s="83">
        <v>0</v>
      </c>
      <c r="W42" s="83">
        <v>0</v>
      </c>
      <c r="X42" s="84">
        <f>Bilan_E_KP_AME_2023!F35</f>
        <v>401.66314273909671</v>
      </c>
      <c r="Y42" s="489">
        <f t="shared" si="6"/>
        <v>401.66314273909671</v>
      </c>
      <c r="Z42" s="489">
        <f>Q42-SUM(T42:X42)</f>
        <v>-1.927621599406848E-5</v>
      </c>
    </row>
    <row r="43" spans="1:26">
      <c r="A43" s="679"/>
      <c r="B43" s="1" t="s">
        <v>39</v>
      </c>
      <c r="C43" s="33">
        <f>Bilan_E_KP_AME_2023!F41+SUM(T43:X43)</f>
        <v>266.07456588845696</v>
      </c>
      <c r="D43" s="541"/>
      <c r="E43" s="38"/>
      <c r="F43" s="541"/>
      <c r="G43" s="17">
        <f>C43-E43</f>
        <v>266.07456588845696</v>
      </c>
      <c r="H43" s="541"/>
      <c r="I43" s="35"/>
      <c r="J43" s="37"/>
      <c r="K43" s="35"/>
      <c r="L43" s="35"/>
      <c r="M43" s="35"/>
      <c r="N43" s="35"/>
      <c r="O43" s="35"/>
      <c r="P43" s="35"/>
      <c r="Q43" s="36">
        <f>G43-Bilan_E_KP_AME_2023!F41</f>
        <v>132.96711825598967</v>
      </c>
      <c r="R43" s="498"/>
      <c r="S43" s="541"/>
      <c r="T43" s="83">
        <f>Bilan_E_KP_AME_2023!F38</f>
        <v>34.857709492285672</v>
      </c>
      <c r="U43" s="83">
        <f>Bilan_E_KP_AME_2023!F34</f>
        <v>28.289566768434444</v>
      </c>
      <c r="V43" s="83">
        <f>Bilan_E_KP_AME_2023!F36</f>
        <v>44.949327937265863</v>
      </c>
      <c r="W43" s="83">
        <f>Bilan_E_KP_AME_2023!F37</f>
        <v>24.870514058003725</v>
      </c>
      <c r="X43" s="84">
        <v>0</v>
      </c>
      <c r="Y43" s="489">
        <f t="shared" si="6"/>
        <v>132.9671182559897</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G44-Bilan_E_KP_AME_2023!K41</f>
        <v>0</v>
      </c>
      <c r="R44" s="498"/>
      <c r="S44" s="541"/>
      <c r="T44" s="83">
        <f>Bilan_E_KP_AME_2023!K$38</f>
        <v>0</v>
      </c>
      <c r="U44" s="83">
        <v>0</v>
      </c>
      <c r="V44" s="83">
        <f>Bilan_E_KP_AME_2023!K$36</f>
        <v>0</v>
      </c>
      <c r="W44" s="83">
        <v>0</v>
      </c>
      <c r="X44" s="84">
        <f>Bilan_E_KP_AME_2023!K$35</f>
        <v>0</v>
      </c>
      <c r="Y44" s="489">
        <f t="shared" si="6"/>
        <v>0</v>
      </c>
      <c r="Z44" s="489">
        <f t="shared" si="7"/>
        <v>0</v>
      </c>
    </row>
    <row r="45" spans="1:26">
      <c r="A45" s="679"/>
      <c r="B45" s="1" t="s">
        <v>41</v>
      </c>
      <c r="C45" s="33">
        <f>E53</f>
        <v>12.012561812227283</v>
      </c>
      <c r="D45" s="541"/>
      <c r="E45" s="38"/>
      <c r="F45" s="541"/>
      <c r="G45" s="17">
        <f t="shared" si="1"/>
        <v>12.012561812227283</v>
      </c>
      <c r="H45" s="541"/>
      <c r="I45" s="35"/>
      <c r="J45" s="37"/>
      <c r="K45" s="35"/>
      <c r="L45" s="35"/>
      <c r="M45" s="35"/>
      <c r="N45" s="35"/>
      <c r="O45" s="35"/>
      <c r="P45" s="35"/>
      <c r="Q45" s="36">
        <f>G45-Bilan_E_KP_AME_2023!G41</f>
        <v>0</v>
      </c>
      <c r="R45" s="498"/>
      <c r="S45" s="541"/>
      <c r="T45" s="84">
        <v>0</v>
      </c>
      <c r="U45" s="83">
        <v>0</v>
      </c>
      <c r="V45" s="84">
        <v>0</v>
      </c>
      <c r="W45" s="92">
        <v>0</v>
      </c>
      <c r="X45" s="84">
        <v>0</v>
      </c>
      <c r="Y45" s="489">
        <f t="shared" si="6"/>
        <v>0</v>
      </c>
      <c r="Z45" s="489">
        <f>Q45-Y45</f>
        <v>0</v>
      </c>
    </row>
    <row r="46" spans="1:26">
      <c r="A46" s="679"/>
      <c r="B46" s="1" t="s">
        <v>42</v>
      </c>
      <c r="C46" s="33">
        <f>Bilan_E_KP_AME_2023!D18-C18-C34</f>
        <v>49.989209805042663</v>
      </c>
      <c r="D46" s="541"/>
      <c r="E46" s="511"/>
      <c r="F46" s="541"/>
      <c r="G46" s="17">
        <f>C46-E46</f>
        <v>49.989209805042663</v>
      </c>
      <c r="H46" s="541"/>
      <c r="I46" s="38"/>
      <c r="J46" s="37"/>
      <c r="K46" s="35"/>
      <c r="L46" s="35"/>
      <c r="M46" s="35"/>
      <c r="N46" s="35"/>
      <c r="O46" s="35"/>
      <c r="P46" s="35"/>
      <c r="Q46" s="36">
        <f>G46-(Bilan_E_KP_AME_2023!D41+Bilan_E_KP_AME_2023!D29+Bilan_E_KP_AME_2023!D30)</f>
        <v>7.7357918362926625</v>
      </c>
      <c r="R46" s="498"/>
      <c r="S46" s="541"/>
      <c r="T46" s="506">
        <f>Bilan_E_KP_AME_2023!D38</f>
        <v>0</v>
      </c>
      <c r="U46" s="93">
        <f>Bilan_E_KP_AME_2023!D34</f>
        <v>7.7357918362926714</v>
      </c>
      <c r="V46" s="506">
        <f>Bilan_E_KP_AME_2023!D36</f>
        <v>0</v>
      </c>
      <c r="W46" s="507">
        <f>Bilan_E_KP_AME_2023!D37</f>
        <v>0</v>
      </c>
      <c r="X46" s="506">
        <f>Bilan_E_KP_AME_2023!D35</f>
        <v>0</v>
      </c>
      <c r="Y46" s="489">
        <f t="shared" si="6"/>
        <v>7.7357918362926714</v>
      </c>
      <c r="Z46" s="489">
        <f>Q46-Y46</f>
        <v>-8.8817841970012523E-15</v>
      </c>
    </row>
    <row r="47" spans="1:26">
      <c r="A47" s="90"/>
      <c r="B47" s="1" t="s">
        <v>31</v>
      </c>
      <c r="C47" s="33">
        <f>E57</f>
        <v>0</v>
      </c>
      <c r="D47" s="192"/>
      <c r="E47" s="511"/>
      <c r="F47" s="192"/>
      <c r="G47" s="17">
        <f>C47-E47</f>
        <v>0</v>
      </c>
      <c r="H47" s="192"/>
      <c r="I47" s="38"/>
      <c r="J47" s="37"/>
      <c r="K47" s="35"/>
      <c r="L47" s="35"/>
      <c r="M47" s="35"/>
      <c r="N47" s="35"/>
      <c r="O47" s="35"/>
      <c r="P47" s="35"/>
      <c r="Q47" s="544">
        <f>G47-Bilan_E_KP_AME_2023!R41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C5-L13-SUM(L21:L24)-L30-L41-Bilan_E_KP_AME_2023!S18</f>
        <v>0.20438153623217659</v>
      </c>
      <c r="D49" s="1"/>
      <c r="E49" s="34">
        <f>SUM(E7:E47)+I13-Bilan_E_KP_AME_2023!S32+K13+SUM(K21:K24)+K30+Bilan_E_KP_AME_2023!D29+Bilan_E_KP_AME_2023!D30</f>
        <v>0.20438153623292976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497.09059378637085</v>
      </c>
    </row>
    <row r="52" spans="1:19">
      <c r="A52" s="21"/>
      <c r="B52" s="1" t="s">
        <v>44</v>
      </c>
      <c r="C52" s="44"/>
      <c r="D52" s="1"/>
      <c r="E52" s="39">
        <f>Bilan_E_KP_AME_2023!D41+Bilan_E_KP_AME_2023!D29+Bilan_E_KP_AME_2023!D30</f>
        <v>42.25341796875</v>
      </c>
      <c r="F52" s="187"/>
      <c r="G52" s="1"/>
      <c r="H52" s="1"/>
      <c r="I52" s="30"/>
      <c r="J52" s="17"/>
      <c r="K52" s="17"/>
      <c r="L52" s="21"/>
      <c r="M52" s="1"/>
      <c r="N52" s="17"/>
      <c r="O52" s="17"/>
      <c r="P52" s="17"/>
      <c r="Q52" s="1"/>
      <c r="S52" s="33"/>
    </row>
    <row r="53" spans="1:19">
      <c r="A53" s="21"/>
      <c r="B53" s="1" t="s">
        <v>41</v>
      </c>
      <c r="C53" s="45"/>
      <c r="D53" s="17"/>
      <c r="E53" s="433">
        <f>Bilan_E_KP_AME_2023!G41+Bilan_E_KP_AME_2023!G29</f>
        <v>12.012561812227283</v>
      </c>
      <c r="F53" s="187"/>
      <c r="G53" s="1"/>
      <c r="H53" s="1"/>
      <c r="I53" s="30"/>
      <c r="J53" s="17"/>
      <c r="K53" s="17"/>
      <c r="L53" s="21"/>
      <c r="M53" s="1"/>
      <c r="N53" s="17"/>
      <c r="O53" s="17"/>
      <c r="P53" s="17"/>
      <c r="Q53" s="1"/>
    </row>
    <row r="54" spans="1:19">
      <c r="A54" s="21"/>
      <c r="B54" s="1" t="s">
        <v>39</v>
      </c>
      <c r="C54" s="45"/>
      <c r="D54" s="17"/>
      <c r="E54" s="435">
        <f>Bilan_E_KP_AME_2023!F41</f>
        <v>133.10744763246728</v>
      </c>
      <c r="F54" s="187"/>
      <c r="G54" s="1"/>
      <c r="H54" s="1"/>
      <c r="I54" s="30"/>
      <c r="J54" s="17"/>
      <c r="K54" s="17"/>
      <c r="L54" s="21"/>
      <c r="M54" s="21"/>
      <c r="N54" s="17"/>
      <c r="O54" s="17"/>
      <c r="P54" s="17"/>
      <c r="Q54" s="1"/>
    </row>
    <row r="55" spans="1:19">
      <c r="B55" s="1" t="s">
        <v>21</v>
      </c>
      <c r="E55" s="434">
        <f>Bilan_E_KP_AME_2023!M41+Bilan_E_KP_AME_2023!M29</f>
        <v>0</v>
      </c>
    </row>
    <row r="56" spans="1:19">
      <c r="B56" s="1" t="s">
        <v>37</v>
      </c>
      <c r="E56" s="515">
        <f>Bilan_E_KP_AME_2023!L41+Bilan_E_KP_AME_2023!L29</f>
        <v>0</v>
      </c>
    </row>
    <row r="57" spans="1:19">
      <c r="B57" s="1" t="s">
        <v>31</v>
      </c>
      <c r="E57" s="515">
        <f>Bilan_E_KP_AME_2023!R41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9D53-F4B7-4A97-BBB0-B5AF86BBCBF4}">
  <dimension ref="A1:Z57"/>
  <sheetViews>
    <sheetView topLeftCell="A4"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2724.295673872386</v>
      </c>
      <c r="D5" s="18"/>
      <c r="E5" s="20"/>
      <c r="F5" s="494"/>
      <c r="G5" s="21"/>
      <c r="H5" s="493"/>
      <c r="I5" s="21"/>
      <c r="J5" s="22"/>
      <c r="K5" s="23"/>
      <c r="L5" s="14"/>
      <c r="M5" s="14"/>
      <c r="N5" s="15"/>
      <c r="O5" s="16"/>
      <c r="P5" s="16"/>
      <c r="Q5" s="24">
        <f>Q13+Q22+Q30+Q42+Q46+Q38+Q43</f>
        <v>1507.802352076714</v>
      </c>
      <c r="R5" s="487"/>
      <c r="S5" s="79">
        <f>SUM(S13,S22,S27:S32,S41)</f>
        <v>1507.7975880545159</v>
      </c>
      <c r="T5" s="79">
        <f>SUM(T8:T46)</f>
        <v>48.285830055440421</v>
      </c>
      <c r="U5" s="79">
        <f>SUM(U8:U46)</f>
        <v>293.94325612951479</v>
      </c>
      <c r="V5" s="79">
        <f>SUM(V8:V46)</f>
        <v>454.79689587774709</v>
      </c>
      <c r="W5" s="173">
        <f>SUM(W8:W46)</f>
        <v>237.78986949513609</v>
      </c>
      <c r="X5" s="79">
        <f>SUM(X8:X46)</f>
        <v>472.98173649667729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(([7]Offre_calc!$M$81+[7]Offre_calc!$M$82+[7]Offre_calc!$M$127+[7]Offre_calc!$M$128)/([7]Offre_calc!$M$78+[7]Offre_calc!$M$124))*Bilan_E_KP_AME_2025!I$21</f>
        <v>64.725058264068068</v>
      </c>
      <c r="D7" s="518"/>
      <c r="E7" s="28">
        <v>0</v>
      </c>
      <c r="F7" s="518"/>
      <c r="G7" s="17">
        <f>C7-E7</f>
        <v>64.725058264068068</v>
      </c>
      <c r="H7" s="518"/>
      <c r="I7" s="21"/>
      <c r="J7" s="518"/>
      <c r="K7" s="525"/>
      <c r="L7" s="525"/>
      <c r="M7" s="525"/>
      <c r="N7" s="525"/>
      <c r="O7" s="525"/>
      <c r="P7" s="513"/>
      <c r="Q7" s="528"/>
      <c r="R7" s="498"/>
      <c r="S7" s="528"/>
      <c r="T7" s="525"/>
      <c r="U7" s="525"/>
      <c r="V7" s="525"/>
      <c r="W7" s="525"/>
      <c r="X7" s="525"/>
    </row>
    <row r="8" spans="1:24">
      <c r="A8" s="695"/>
      <c r="B8" s="1" t="s">
        <v>18</v>
      </c>
      <c r="C8" s="486">
        <f>(([7]Offre_calc!$M$80+[7]Offre_calc!$M$126)/([7]Offre_calc!$M$78+[7]Offre_calc!$M$124))*Bilan_E_KP_AME_2025!I$21</f>
        <v>61.993288439080395</v>
      </c>
      <c r="D8" s="81"/>
      <c r="E8" s="28">
        <v>0</v>
      </c>
      <c r="F8" s="81"/>
      <c r="G8" s="17">
        <f t="shared" ref="G8:G19" si="0">C8-E8</f>
        <v>61.993288439080395</v>
      </c>
      <c r="H8" s="81"/>
      <c r="I8" s="21"/>
      <c r="J8" s="81"/>
      <c r="K8" s="526"/>
      <c r="L8" s="526"/>
      <c r="M8" s="526"/>
      <c r="N8" s="526"/>
      <c r="O8" s="526"/>
      <c r="P8" s="29"/>
      <c r="Q8" s="529"/>
      <c r="R8" s="498"/>
      <c r="S8" s="529"/>
      <c r="T8" s="526"/>
      <c r="U8" s="526"/>
      <c r="V8" s="526"/>
      <c r="W8" s="526"/>
      <c r="X8" s="526"/>
    </row>
    <row r="9" spans="1:24">
      <c r="A9" s="695"/>
      <c r="B9" s="1" t="s">
        <v>19</v>
      </c>
      <c r="C9" s="486">
        <f>(([7]Offre_calc!$M$79+[7]Offre_calc!$M$125)/([7]Offre_calc!$M$78+[7]Offre_calc!$M$124))*Bilan_E_KP_AME_2025!I$21</f>
        <v>26.423368842886727</v>
      </c>
      <c r="D9" s="81"/>
      <c r="E9" s="28">
        <v>0</v>
      </c>
      <c r="F9" s="81"/>
      <c r="G9" s="17">
        <f t="shared" si="0"/>
        <v>26.423368842886727</v>
      </c>
      <c r="H9" s="81"/>
      <c r="I9" s="21"/>
      <c r="J9" s="81"/>
      <c r="K9" s="526"/>
      <c r="L9" s="526"/>
      <c r="M9" s="526"/>
      <c r="N9" s="526"/>
      <c r="O9" s="526"/>
      <c r="P9" s="29"/>
      <c r="Q9" s="529"/>
      <c r="R9" s="498"/>
      <c r="S9" s="529"/>
      <c r="T9" s="526"/>
      <c r="U9" s="526"/>
      <c r="V9" s="526"/>
      <c r="W9" s="526"/>
      <c r="X9" s="526"/>
    </row>
    <row r="10" spans="1:24">
      <c r="A10" s="695"/>
      <c r="B10" s="1" t="s">
        <v>20</v>
      </c>
      <c r="C10" s="17">
        <f>Bilan_E_KP_AME_2025!H21-(Bilan_E_KP_AME_2025!P20+Bilan_E_KP_AME_2025!P19)</f>
        <v>1190.909090909091</v>
      </c>
      <c r="D10" s="81"/>
      <c r="E10" s="28">
        <f>F13-SUM(E11:E19)</f>
        <v>795.78644248236355</v>
      </c>
      <c r="F10" s="81"/>
      <c r="G10" s="17">
        <f>C10-E10</f>
        <v>395.12264842672744</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Bilan_E_KP_AME_2025!M21</f>
        <v>0.47838708849063555</v>
      </c>
      <c r="D11" s="81"/>
      <c r="E11" s="28">
        <f>C11*(1-[7]Offre_calc!$M$161)</f>
        <v>0.2248419315905987</v>
      </c>
      <c r="F11" s="81"/>
      <c r="G11" s="17">
        <f t="shared" si="0"/>
        <v>0.25354515690003687</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Bilan_E_KP_AME_2025!K21</f>
        <v>9.4182266439786773</v>
      </c>
      <c r="D12" s="81"/>
      <c r="E12" s="28">
        <f>C12*(1-[7]Offre_calc!$M$171)</f>
        <v>7.0636699829840079</v>
      </c>
      <c r="F12" s="81"/>
      <c r="G12" s="17">
        <f t="shared" si="0"/>
        <v>2.3545566609946693</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Bilan_E_KP_AME_2025!J21</f>
        <v>34.217577807887082</v>
      </c>
      <c r="D13" s="81">
        <f>SUM(C7:C19)</f>
        <v>1420.9054514441093</v>
      </c>
      <c r="E13" s="28">
        <f>C13*(1-[7]Offre_calc!$M$170)</f>
        <v>25.663183355915312</v>
      </c>
      <c r="F13" s="81">
        <f>Bilan_E_KP_AME_2025!S21</f>
        <v>845.14548489572212</v>
      </c>
      <c r="G13" s="17">
        <f t="shared" si="0"/>
        <v>8.5543944519717705</v>
      </c>
      <c r="H13" s="81">
        <f>SUM(G7:G19)</f>
        <v>575.75996654838787</v>
      </c>
      <c r="I13" s="33">
        <f>Bilan_E_KP_AME_2025!P30</f>
        <v>36.290441897725728</v>
      </c>
      <c r="J13" s="81">
        <f>H13-I13</f>
        <v>539.46952465066215</v>
      </c>
      <c r="K13" s="29">
        <f>Bilan_E_KP_AME_2025!P31</f>
        <v>39.192716927085932</v>
      </c>
      <c r="L13" s="29">
        <f>-(Bilan_E_KP_AME_2025!P14+Bilan_E_KP_AME_2025!P13)</f>
        <v>64.055272794649682</v>
      </c>
      <c r="M13" s="29">
        <f>Bilan_E_KP_AME_2025!P28</f>
        <v>3.9614022827148432E-2</v>
      </c>
      <c r="N13" s="29"/>
      <c r="O13" s="29"/>
      <c r="P13" s="29"/>
      <c r="Q13" s="81">
        <f>J13-K13-L13-M13-N13-O13-P13</f>
        <v>436.18192090609938</v>
      </c>
      <c r="R13" s="508">
        <f>Q13-S13</f>
        <v>5.6843418860808015E-13</v>
      </c>
      <c r="S13" s="81">
        <f>SUM(T8:X19)</f>
        <v>436.18192090609881</v>
      </c>
      <c r="T13" s="29">
        <f>Bilan_E_KP_AME_2025!P38</f>
        <v>8.2455072704191767</v>
      </c>
      <c r="U13" s="29">
        <f>Bilan_E_KP_AME_2025!P34+Bilan_E_KP_AME_2025!P39</f>
        <v>110.31623789955354</v>
      </c>
      <c r="V13" s="29">
        <f>Bilan_E_KP_AME_2025!P36</f>
        <v>168.17343522041736</v>
      </c>
      <c r="W13" s="29">
        <f>Bilan_E_KP_AME_2025!P37</f>
        <v>131.53831129097264</v>
      </c>
      <c r="X13" s="29">
        <f>Bilan_E_KP_AME_2025!P35</f>
        <v>17.908429224736064</v>
      </c>
    </row>
    <row r="14" spans="1:24">
      <c r="A14" s="695"/>
      <c r="B14" s="1" t="s">
        <v>24</v>
      </c>
      <c r="C14" s="17">
        <f>Bilan_E_KP_AME_2025!O21</f>
        <v>1.0860489583659068</v>
      </c>
      <c r="D14" s="81"/>
      <c r="E14" s="28">
        <v>0</v>
      </c>
      <c r="F14" s="81"/>
      <c r="G14" s="17">
        <f t="shared" si="0"/>
        <v>1.0860489583659068</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Bilan_E_KP_AME_2025!L21</f>
        <v>2.5121160238857705</v>
      </c>
      <c r="D16" s="81"/>
      <c r="E16" s="28">
        <f>C16*(1-[7]Offre_calc!$M$158)</f>
        <v>1.4067849733760316</v>
      </c>
      <c r="F16" s="81"/>
      <c r="G16" s="17">
        <f t="shared" si="0"/>
        <v>1.1053310505097389</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Bilan_E_KP_AME_2025!F21</f>
        <v>7.8209554225929372</v>
      </c>
      <c r="D17" s="81"/>
      <c r="E17" s="28">
        <f>C17*(1-[7]Offre_calc!$M$158)</f>
        <v>4.3797350366520451</v>
      </c>
      <c r="F17" s="81"/>
      <c r="G17" s="17">
        <f t="shared" si="0"/>
        <v>3.4412203859408921</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Bilan_E_KP_AME_2025!D21</f>
        <v>2.8307670060467731</v>
      </c>
      <c r="D18" s="81"/>
      <c r="E18" s="28">
        <f>C18*(1-[7]Offre_calc!$M$157)</f>
        <v>1.9302610951046988</v>
      </c>
      <c r="F18" s="81"/>
      <c r="G18" s="17">
        <f t="shared" si="0"/>
        <v>0.90050591094207433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Bilan_E_KP_AME_2025!G21+Bilan_E_KP_AME_2025!R21</f>
        <v>18.490566037735849</v>
      </c>
      <c r="D19" s="82"/>
      <c r="E19" s="28">
        <f>C19*(1-[7]Offre_calc!$M$160)</f>
        <v>8.6905660377358487</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0.33178237654152681</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Bilan_E_KP_AME_2025!J23+Bilan_E_KP_AME_2025!M12</f>
        <v>8.2451986166011366</v>
      </c>
      <c r="D21" s="531"/>
      <c r="E21" s="33">
        <f>Bilan_E_KP_AME_2025!S23+Bilan_E_KP_AME_2025!M30</f>
        <v>1.0667723264940798</v>
      </c>
      <c r="F21" s="531"/>
      <c r="G21" s="17">
        <f t="shared" ref="G21:G45" si="1">C21-E21</f>
        <v>7.1784262901070566</v>
      </c>
      <c r="H21" s="531"/>
      <c r="I21" s="17"/>
      <c r="J21" s="531"/>
      <c r="K21" s="547">
        <f>Bilan_E_KP_AME_2025!M31</f>
        <v>8.4921041097376401E-2</v>
      </c>
      <c r="L21" s="547">
        <f>-(Bilan_E_KP_AME_2025!M13+Bilan_E_KP_AME_2025!M14+Bilan_E_KP_AME_2025!M15+Bilan_E_KP_AME_2025!M16)</f>
        <v>0</v>
      </c>
      <c r="M21" s="547">
        <f>Bilan_E_KP_AME_2025!M28</f>
        <v>1.0469420318603517E-2</v>
      </c>
      <c r="N21" s="547">
        <f>Bilan_E_KP_AME_2025!M22</f>
        <v>0.35468000245125708</v>
      </c>
      <c r="O21" s="547">
        <f>Bilan_E_KP_AME_2025!M21</f>
        <v>0.47838708849063555</v>
      </c>
      <c r="P21" s="531"/>
      <c r="Q21" s="531"/>
      <c r="R21" s="498"/>
      <c r="S21" s="531"/>
      <c r="T21" s="531"/>
      <c r="U21" s="531"/>
      <c r="V21" s="531"/>
      <c r="W21" s="531"/>
      <c r="X21" s="531"/>
    </row>
    <row r="22" spans="1:24">
      <c r="A22" s="696"/>
      <c r="B22" s="1" t="s">
        <v>30</v>
      </c>
      <c r="C22" s="17"/>
      <c r="D22" s="85">
        <f>SUM(C21:C24)</f>
        <v>359.73599162953508</v>
      </c>
      <c r="E22" s="497"/>
      <c r="F22" s="85">
        <f>SUM(E21:E24)</f>
        <v>6.9005035154175332</v>
      </c>
      <c r="G22" s="17"/>
      <c r="H22" s="85">
        <f>SUM(G21:G24)</f>
        <v>352.83548811411754</v>
      </c>
      <c r="I22" s="408"/>
      <c r="J22" s="85">
        <f>H22-I22</f>
        <v>352.83548811411754</v>
      </c>
      <c r="K22" s="32"/>
      <c r="L22" s="32"/>
      <c r="M22" s="32"/>
      <c r="N22" s="32"/>
      <c r="O22" s="32"/>
      <c r="P22" s="32"/>
      <c r="Q22" s="85">
        <f>J22-SUM(K21:P24)</f>
        <v>311.97426399190113</v>
      </c>
      <c r="R22" s="508">
        <f>Q22-S22</f>
        <v>-2.6432002044032288E-2</v>
      </c>
      <c r="S22" s="85">
        <f>SUM(T22:X24)</f>
        <v>312.00069599394516</v>
      </c>
      <c r="T22" s="32">
        <f>Bilan_E_KP_AME_2025!G38+Bilan_E_KP_AME_2025!R38+Bilan_E_KP_AME_2025!M$38</f>
        <v>2.4899238027122088</v>
      </c>
      <c r="U22" s="32">
        <f>Bilan_E_KP_AME_2025!G34+Bilan_E_KP_AME_2025!R34+Bilan_E_KP_AME_2025!M$34</f>
        <v>112.28992403957399</v>
      </c>
      <c r="V22" s="32">
        <f>Bilan_E_KP_AME_2025!G36+Bilan_E_KP_AME_2025!R36+Bilan_E_KP_AME_2025!M$36</f>
        <v>122.23887735132044</v>
      </c>
      <c r="W22" s="32">
        <f>Bilan_E_KP_AME_2025!G37+Bilan_E_KP_AME_2025!K37+Bilan_E_KP_AME_2025!R37+Bilan_E_KP_AME_2025!M$37</f>
        <v>68.197827273818135</v>
      </c>
      <c r="X22" s="32">
        <f>Bilan_E_KP_AME_2025!G35+Bilan_E_KP_AME_2025!R35+Bilan_E_KP_AME_2025!M$35</f>
        <v>6.7841435265203538</v>
      </c>
    </row>
    <row r="23" spans="1:24">
      <c r="A23" s="696"/>
      <c r="B23" s="1" t="s">
        <v>31</v>
      </c>
      <c r="C23" s="17">
        <f>SUM(Bilan_E_KP_AME_2025!D28:Q28)-C47</f>
        <v>0.56874418487548839</v>
      </c>
      <c r="D23" s="532"/>
      <c r="E23" s="33">
        <f>Bilan_E_KP_AME_2025!S28+Bilan_E_KP_AME_2025!S27</f>
        <v>0.17260395660400402</v>
      </c>
      <c r="F23" s="534"/>
      <c r="G23" s="17">
        <f t="shared" si="1"/>
        <v>0.39614022827148437</v>
      </c>
      <c r="H23" s="534"/>
      <c r="I23" s="17"/>
      <c r="J23" s="534"/>
      <c r="K23" s="536">
        <f>Bilan_E_KP_AME_2025!R31</f>
        <v>0</v>
      </c>
      <c r="L23" s="536">
        <f>-(Bilan_E_KP_AME_2025!R13+Bilan_E_KP_AME_2025!R14+Bilan_E_KP_AME_2025!R15+Bilan_E_KP_AME_2025!R16)</f>
        <v>0</v>
      </c>
      <c r="M23" s="536"/>
      <c r="N23" s="536">
        <f>Bilan_E_KP_AME_2025!R22</f>
        <v>0</v>
      </c>
      <c r="O23" s="536">
        <f>Bilan_E_KP_AME_2025!R21</f>
        <v>0</v>
      </c>
      <c r="P23" s="536">
        <f>-Bilan_E_KP_AME_2025!L27</f>
        <v>0</v>
      </c>
      <c r="Q23" s="534"/>
      <c r="S23" s="534"/>
      <c r="T23" s="538"/>
      <c r="U23" s="538"/>
      <c r="V23" s="538"/>
      <c r="W23" s="538"/>
      <c r="X23" s="538"/>
    </row>
    <row r="24" spans="1:24">
      <c r="A24" s="696"/>
      <c r="B24" s="1" t="s">
        <v>32</v>
      </c>
      <c r="C24" s="17">
        <f>Bilan_E_KP_AME_2025!G18-C45-(Bilan_E_KP_AME_2025!G20+Bilan_E_KP_AME_2025!G19)</f>
        <v>350.92204882805845</v>
      </c>
      <c r="D24" s="533"/>
      <c r="E24" s="33">
        <f>Bilan_E_KP_AME_2025!G30</f>
        <v>5.6611272323194495</v>
      </c>
      <c r="F24" s="535"/>
      <c r="G24" s="17">
        <f t="shared" si="1"/>
        <v>345.26092159573898</v>
      </c>
      <c r="H24" s="535"/>
      <c r="I24" s="34"/>
      <c r="J24" s="535"/>
      <c r="K24" s="537">
        <f>Bilan_E_KP_AME_2025!G31</f>
        <v>4.1611310137714437</v>
      </c>
      <c r="L24" s="537"/>
      <c r="M24" s="537">
        <f>Bilan_E_KP_AME_2025!G28</f>
        <v>0.51300159561157233</v>
      </c>
      <c r="N24" s="537">
        <f>Bilan_E_KP_AME_2025!G22</f>
        <v>16.768067922739682</v>
      </c>
      <c r="O24" s="537">
        <f>Bilan_E_KP_AME_2025!G21</f>
        <v>18.490566037735849</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Bilan_E_KP_AME_2025!M22</f>
        <v>0.35468000245125708</v>
      </c>
      <c r="D26" s="512"/>
      <c r="E26" s="190">
        <f>C26*F$35</f>
        <v>3.859842675731371E-2</v>
      </c>
      <c r="F26" s="512"/>
      <c r="G26" s="33">
        <f t="shared" ref="G26:G31" si="2">C26-E26</f>
        <v>0.31608157569394335</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Bilan_E_KP_AME_2025!K18-Bilan_E_KP_AME_2025!K21-(Bilan_E_KP_AME_2025!Q20+Bilan_E_KP_AME_2025!Q19+Bilan_E_KP_AME_2025!K20+Bilan_E_KP_AME_2025!K19)</f>
        <v>14.477216577336065</v>
      </c>
      <c r="D27" s="87"/>
      <c r="E27" s="190">
        <f t="shared" ref="E27:E34" si="3">C27*F$35</f>
        <v>1.5754984206837779</v>
      </c>
      <c r="F27" s="87"/>
      <c r="G27" s="33">
        <f t="shared" si="2"/>
        <v>12.901718156652288</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Bilan_E_KP_AME_2025!J22</f>
        <v>14.511462263372906</v>
      </c>
      <c r="D29" s="87"/>
      <c r="E29" s="190">
        <f t="shared" si="3"/>
        <v>1.5792252437217602</v>
      </c>
      <c r="F29" s="87"/>
      <c r="G29" s="33">
        <f t="shared" si="2"/>
        <v>12.932237019651145</v>
      </c>
      <c r="H29" s="87"/>
      <c r="I29" s="1"/>
      <c r="J29" s="87"/>
      <c r="K29" s="87"/>
      <c r="L29" s="87"/>
      <c r="M29" s="87"/>
      <c r="N29" s="87"/>
      <c r="O29" s="87"/>
      <c r="P29" s="87"/>
      <c r="Q29" s="87"/>
      <c r="R29" s="498"/>
      <c r="S29" s="87"/>
      <c r="T29" s="87"/>
      <c r="U29" s="87"/>
      <c r="V29" s="87"/>
      <c r="W29" s="87"/>
      <c r="X29" s="87"/>
    </row>
    <row r="30" spans="1:24">
      <c r="A30" s="697"/>
      <c r="B30" s="1" t="s">
        <v>24</v>
      </c>
      <c r="C30" s="17">
        <f>Bilan_E_KP_AME_2025!O22</f>
        <v>2.3429154336529705</v>
      </c>
      <c r="D30" s="86">
        <f>SUM(C26:C34)</f>
        <v>48.577833386921611</v>
      </c>
      <c r="E30" s="190">
        <f t="shared" si="3"/>
        <v>0.25497025245132637</v>
      </c>
      <c r="F30" s="86">
        <f>Bilan_E_KP_AME_2025!S22</f>
        <v>5.2865341464289735</v>
      </c>
      <c r="G30" s="33">
        <f t="shared" si="2"/>
        <v>2.0879451812016443</v>
      </c>
      <c r="H30" s="86">
        <f>SUM(G26:G34)</f>
        <v>43.291299240492634</v>
      </c>
      <c r="I30" s="1"/>
      <c r="J30" s="86">
        <f>H30</f>
        <v>43.291299240492634</v>
      </c>
      <c r="K30" s="87">
        <f>Bilan_E_KP_AME_2025!Q31</f>
        <v>3.2227514144892391</v>
      </c>
      <c r="L30" s="87"/>
      <c r="M30" s="87">
        <f>Bilan_E_KP_AME_2025!K28</f>
        <v>5.6591461181640631E-3</v>
      </c>
      <c r="N30" s="87"/>
      <c r="O30" s="87"/>
      <c r="P30" s="87"/>
      <c r="Q30" s="86">
        <f>J30-K30-L30-M30-N30-O30-P30</f>
        <v>40.062888679885234</v>
      </c>
      <c r="R30" s="508">
        <f>Q30-S30</f>
        <v>2.6432002043975444E-2</v>
      </c>
      <c r="S30" s="86">
        <f>SUM(T27:X34)</f>
        <v>40.036456677841258</v>
      </c>
      <c r="T30" s="87">
        <f>Bilan_E_KP_AME_2025!Q$38</f>
        <v>0</v>
      </c>
      <c r="U30" s="87">
        <f>Bilan_E_KP_AME_2025!Q$34+Bilan_E_KP_AME_2025!K34</f>
        <v>18.717898630882576</v>
      </c>
      <c r="V30" s="87">
        <f>Bilan_E_KP_AME_2025!Q$36</f>
        <v>15.992572069761611</v>
      </c>
      <c r="W30" s="87">
        <f>Bilan_E_KP_AME_2025!Q$37</f>
        <v>5.3259859771970728</v>
      </c>
      <c r="X30" s="87">
        <f>Bilan_E_KP_AME_2025!Q$35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Bilan_E_KP_AME_2025!G22</f>
        <v>16.768067922739682</v>
      </c>
      <c r="D32" s="86"/>
      <c r="E32" s="190">
        <f t="shared" si="3"/>
        <v>1.8248027436124632</v>
      </c>
      <c r="F32" s="86"/>
      <c r="G32" s="33">
        <f>C32-E32</f>
        <v>14.94326517912722</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Bilan_E_KP_AME_2025!F22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Bilan_E_KP_AME_2025!D22</f>
        <v>0.12349118736872708</v>
      </c>
      <c r="D34" s="88"/>
      <c r="E34" s="190">
        <f t="shared" si="3"/>
        <v>1.3439059202331474E-2</v>
      </c>
      <c r="F34" s="88"/>
      <c r="G34" s="33">
        <f t="shared" si="4"/>
        <v>0.1100521281663956</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0.10882605867416563</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95.295180518049435</v>
      </c>
      <c r="D37" s="541"/>
      <c r="E37" s="504"/>
      <c r="F37" s="541"/>
      <c r="G37" s="17">
        <f t="shared" ref="G37:G42" si="5">C37-E37</f>
        <v>95.295180518049435</v>
      </c>
      <c r="H37" s="541"/>
      <c r="I37" s="498"/>
      <c r="J37" s="37"/>
      <c r="K37" s="35"/>
      <c r="L37" s="35"/>
      <c r="M37" s="505"/>
      <c r="N37" s="35"/>
      <c r="P37" s="35"/>
      <c r="Q37" s="543"/>
      <c r="R37" s="498"/>
      <c r="S37" s="541"/>
      <c r="T37" s="506">
        <f>Bilan_E_KP_AME_2025!J38</f>
        <v>0.70706396927287185</v>
      </c>
      <c r="U37" s="93">
        <f>Bilan_E_KP_AME_2025!J34</f>
        <v>17.593885172405454</v>
      </c>
      <c r="V37" s="506">
        <f>Bilan_E_KP_AME_2025!J36</f>
        <v>72.996556103181632</v>
      </c>
      <c r="W37" s="507">
        <f>Bilan_E_KP_AME_2025!J37</f>
        <v>3.9976752731894716</v>
      </c>
      <c r="X37" s="506">
        <f>Bilan_E_KP_AME_2025!J35</f>
        <v>0</v>
      </c>
      <c r="Y37" s="489">
        <f t="shared" ref="Y37:Y47" si="6">SUM(T37:X37)</f>
        <v>95.295180518049435</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179.90300620656154</v>
      </c>
      <c r="R38" s="498"/>
      <c r="S38" s="541"/>
      <c r="T38" s="84">
        <v>0</v>
      </c>
      <c r="U38" s="83">
        <v>0</v>
      </c>
      <c r="V38" s="84">
        <v>0</v>
      </c>
      <c r="W38" s="91">
        <v>0</v>
      </c>
      <c r="X38" s="91">
        <v>0</v>
      </c>
      <c r="Y38" s="489">
        <f t="shared" si="6"/>
        <v>0</v>
      </c>
      <c r="Z38" s="489">
        <f t="shared" si="7"/>
        <v>0</v>
      </c>
    </row>
    <row r="39" spans="1:26">
      <c r="A39" s="679"/>
      <c r="B39" s="1" t="s">
        <v>35</v>
      </c>
      <c r="C39" s="33">
        <f>SUM(T39:X39)</f>
        <v>2.5338661060098264</v>
      </c>
      <c r="D39" s="541"/>
      <c r="E39" s="35"/>
      <c r="F39" s="541"/>
      <c r="G39" s="17">
        <f t="shared" si="5"/>
        <v>2.5338661060098264</v>
      </c>
      <c r="H39" s="541"/>
      <c r="I39" s="35"/>
      <c r="J39" s="37"/>
      <c r="K39" s="35"/>
      <c r="L39" s="35"/>
      <c r="M39" s="37"/>
      <c r="N39" s="35"/>
      <c r="O39" s="35"/>
      <c r="P39" s="35"/>
      <c r="Q39" s="543"/>
      <c r="R39" s="498"/>
      <c r="S39" s="541"/>
      <c r="T39" s="84">
        <f>Bilan_E_KP_AME_2025!O38</f>
        <v>9.0201671928645533E-2</v>
      </c>
      <c r="U39" s="83">
        <f>Bilan_E_KP_AME_2025!O34</f>
        <v>3.8289980908217579E-4</v>
      </c>
      <c r="V39" s="84">
        <f>Bilan_E_KP_AME_2025!O36</f>
        <v>1.4994987295121316</v>
      </c>
      <c r="W39" s="91">
        <f>Bilan_E_KP_AME_2025!O37</f>
        <v>0.94378280475996701</v>
      </c>
      <c r="X39" s="91">
        <f>Bilan_E_KP_AME_2025!O35</f>
        <v>0</v>
      </c>
      <c r="Y39" s="489">
        <f t="shared" si="6"/>
        <v>2.5338661060098264</v>
      </c>
      <c r="Z39" s="489">
        <f t="shared" si="7"/>
        <v>0</v>
      </c>
    </row>
    <row r="40" spans="1:26">
      <c r="A40" s="679"/>
      <c r="B40" s="1" t="s">
        <v>36</v>
      </c>
      <c r="C40" s="33">
        <f>Bilan_E_KP_AME_2025!N12</f>
        <v>39.319241851069634</v>
      </c>
      <c r="D40" s="541"/>
      <c r="E40" s="35"/>
      <c r="F40" s="541"/>
      <c r="G40" s="17">
        <f t="shared" si="5"/>
        <v>39.319241851069634</v>
      </c>
      <c r="H40" s="541"/>
      <c r="I40" s="35"/>
      <c r="J40" s="37"/>
      <c r="K40" s="35"/>
      <c r="L40" s="35"/>
      <c r="M40" s="37"/>
      <c r="N40" s="35"/>
      <c r="O40" s="35"/>
      <c r="P40" s="35"/>
      <c r="Q40" s="543"/>
      <c r="R40" s="498"/>
      <c r="S40" s="541"/>
      <c r="T40" s="83">
        <f>Bilan_E_KP_AME_2025!N$38</f>
        <v>0</v>
      </c>
      <c r="U40" s="83">
        <f>Bilan_E_KP_AME_2025!N$34</f>
        <v>0</v>
      </c>
      <c r="V40" s="83">
        <f>Bilan_E_KP_AME_2025!N$36</f>
        <v>32.811205728954405</v>
      </c>
      <c r="W40" s="83">
        <f>Bilan_E_KP_AME_2025!N$37</f>
        <v>6.5080361221152287</v>
      </c>
      <c r="X40" s="84">
        <f>Bilan_E_KP_AME_2025!N$35</f>
        <v>0</v>
      </c>
      <c r="Y40" s="489">
        <f t="shared" si="6"/>
        <v>39.319241851069634</v>
      </c>
      <c r="Z40" s="489">
        <f t="shared" si="7"/>
        <v>0</v>
      </c>
    </row>
    <row r="41" spans="1:26">
      <c r="A41" s="679"/>
      <c r="B41" s="1" t="s">
        <v>37</v>
      </c>
      <c r="C41" s="33">
        <f>Bilan_E_KP_AME_2025!L12+Bilan_E_KP_AME_2025!J26+Bilan_E_KP_AME_2025!J27-Bilan_E_KP_AME_2025!L21</f>
        <v>41.317421335324099</v>
      </c>
      <c r="D41" s="191">
        <f>SUM(C36:C47)</f>
        <v>931.73684264811277</v>
      </c>
      <c r="E41" s="38"/>
      <c r="F41" s="191">
        <f>SUM(E36:E47)</f>
        <v>31.900092161950717</v>
      </c>
      <c r="G41" s="17">
        <f t="shared" si="5"/>
        <v>41.317421335324099</v>
      </c>
      <c r="H41" s="191">
        <f>SUM(G36:G47)</f>
        <v>899.83675048616215</v>
      </c>
      <c r="I41" s="35"/>
      <c r="J41" s="37"/>
      <c r="K41" s="35"/>
      <c r="L41" s="37">
        <f>-SUM(Bilan_E_KP_AME_2025!L13:L16)</f>
        <v>-1.4372963961085583</v>
      </c>
      <c r="M41" s="35"/>
      <c r="N41" s="35"/>
      <c r="O41" s="35"/>
      <c r="P41" s="35"/>
      <c r="Q41" s="543"/>
      <c r="R41" s="508">
        <f>SUM(Q36:Q47)-S41</f>
        <v>4.7640221979463604E-3</v>
      </c>
      <c r="S41" s="191">
        <f>SUM(T36:X46)</f>
        <v>719.57851447663074</v>
      </c>
      <c r="T41" s="83">
        <f>Bilan_E_KP_AME_2025!L$38</f>
        <v>2.2606527751608563</v>
      </c>
      <c r="U41" s="83">
        <f>Bilan_E_KP_AME_2025!L$34</f>
        <v>0.83302892187499988</v>
      </c>
      <c r="V41" s="83">
        <f>Bilan_E_KP_AME_2025!L$36</f>
        <v>0</v>
      </c>
      <c r="W41" s="83">
        <f>Bilan_E_KP_AME_2025!L$37</f>
        <v>0</v>
      </c>
      <c r="X41" s="84">
        <f>Bilan_E_KP_AME_2025!L$35</f>
        <v>39.656272012198485</v>
      </c>
      <c r="Y41" s="489">
        <f t="shared" si="6"/>
        <v>42.74995370923434</v>
      </c>
      <c r="Z41" s="489">
        <f>G41-Y41-L41</f>
        <v>4.7640221983167308E-3</v>
      </c>
    </row>
    <row r="42" spans="1:26">
      <c r="A42" s="679"/>
      <c r="B42" s="1" t="s">
        <v>38</v>
      </c>
      <c r="C42" s="33">
        <f>Bilan_E_KP_AME_2025!E18+Bilan_E_KP_AME_2025!F18-Bilan_E_KP_AME_2025!F21-Bilan_E_KP_AME_2025!F22-E54-SUM(T43:X43)-(Bilan_E_KP_AME_2025!E20+Bilan_E_KP_AME_2025!F20+Bilan_E_KP_AME_2025!E19+Bilan_E_KP_AME_2025!F19)</f>
        <v>440.53298389517289</v>
      </c>
      <c r="D42" s="541"/>
      <c r="E42" s="17">
        <f>Bilan_E_KP_AME_2025!F30+Bilan_E_KP_AME_2025!S25+Bilan_E_KP_AME_2025!F29+Bilan_E_KP_AME_2025!E29</f>
        <v>31.900092161950717</v>
      </c>
      <c r="F42" s="541"/>
      <c r="G42" s="17">
        <f t="shared" si="5"/>
        <v>408.63289173322215</v>
      </c>
      <c r="H42" s="541"/>
      <c r="I42" s="498"/>
      <c r="J42" s="37"/>
      <c r="K42" s="35"/>
      <c r="L42" s="35"/>
      <c r="M42" s="35"/>
      <c r="N42" s="35"/>
      <c r="O42" s="35"/>
      <c r="P42" s="35"/>
      <c r="Q42" s="36">
        <f>G42</f>
        <v>408.63289173322215</v>
      </c>
      <c r="R42" s="498"/>
      <c r="S42" s="541"/>
      <c r="T42" s="83">
        <v>0</v>
      </c>
      <c r="U42" s="83">
        <v>0</v>
      </c>
      <c r="V42" s="83">
        <v>0</v>
      </c>
      <c r="W42" s="83">
        <v>0</v>
      </c>
      <c r="X42" s="84">
        <f>Bilan_E_KP_AME_2025!F35</f>
        <v>408.63289173322238</v>
      </c>
      <c r="Y42" s="489">
        <f t="shared" si="6"/>
        <v>408.63289173322238</v>
      </c>
      <c r="Z42" s="489">
        <f>Q42-SUM(T42:X42)</f>
        <v>0</v>
      </c>
    </row>
    <row r="43" spans="1:26">
      <c r="A43" s="679"/>
      <c r="B43" s="1" t="s">
        <v>39</v>
      </c>
      <c r="C43" s="33">
        <f>Bilan_E_KP_AME_2025!F41+SUM(T43:X43)</f>
        <v>251.21433532999862</v>
      </c>
      <c r="D43" s="541"/>
      <c r="E43" s="38"/>
      <c r="F43" s="541"/>
      <c r="G43" s="17">
        <f>C43-E43</f>
        <v>251.21433532999862</v>
      </c>
      <c r="H43" s="541"/>
      <c r="I43" s="35"/>
      <c r="J43" s="37"/>
      <c r="K43" s="35"/>
      <c r="L43" s="35"/>
      <c r="M43" s="35"/>
      <c r="N43" s="35"/>
      <c r="O43" s="35"/>
      <c r="P43" s="35"/>
      <c r="Q43" s="36">
        <f>G43-Bilan_E_KP_AME_2025!F41</f>
        <v>123.96298123801633</v>
      </c>
      <c r="R43" s="498"/>
      <c r="S43" s="541"/>
      <c r="T43" s="83">
        <f>Bilan_E_KP_AME_2025!F38</f>
        <v>34.492480565946664</v>
      </c>
      <c r="U43" s="83">
        <f>Bilan_E_KP_AME_2025!F34</f>
        <v>27.107499244386606</v>
      </c>
      <c r="V43" s="83">
        <f>Bilan_E_KP_AME_2025!F36</f>
        <v>41.084750674599483</v>
      </c>
      <c r="W43" s="83">
        <f>Bilan_E_KP_AME_2025!F37</f>
        <v>21.278250753083572</v>
      </c>
      <c r="X43" s="84">
        <v>0</v>
      </c>
      <c r="Y43" s="489">
        <f t="shared" si="6"/>
        <v>123.96298123801631</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G44-Bilan_E_KP_AME_2025!K41</f>
        <v>0</v>
      </c>
      <c r="R44" s="498"/>
      <c r="S44" s="541"/>
      <c r="T44" s="83">
        <f>Bilan_E_KP_AME_2025!K$38</f>
        <v>0</v>
      </c>
      <c r="U44" s="83">
        <v>0</v>
      </c>
      <c r="V44" s="83">
        <f>Bilan_E_KP_AME_2025!K$36</f>
        <v>0</v>
      </c>
      <c r="W44" s="83">
        <v>0</v>
      </c>
      <c r="X44" s="84">
        <f>Bilan_E_KP_AME_2025!K$35</f>
        <v>0</v>
      </c>
      <c r="Y44" s="489">
        <f t="shared" si="6"/>
        <v>0</v>
      </c>
      <c r="Z44" s="489">
        <f t="shared" si="7"/>
        <v>0</v>
      </c>
    </row>
    <row r="45" spans="1:26">
      <c r="A45" s="679"/>
      <c r="B45" s="1" t="s">
        <v>41</v>
      </c>
      <c r="C45" s="33">
        <f>E53</f>
        <v>12.538633041459809</v>
      </c>
      <c r="D45" s="541"/>
      <c r="E45" s="38"/>
      <c r="F45" s="541"/>
      <c r="G45" s="17">
        <f t="shared" si="1"/>
        <v>12.538633041459809</v>
      </c>
      <c r="H45" s="541"/>
      <c r="I45" s="35"/>
      <c r="J45" s="37"/>
      <c r="K45" s="35"/>
      <c r="L45" s="35"/>
      <c r="M45" s="35"/>
      <c r="N45" s="35"/>
      <c r="O45" s="35"/>
      <c r="P45" s="35"/>
      <c r="Q45" s="36">
        <f>G45-Bilan_E_KP_AME_2025!G41</f>
        <v>0</v>
      </c>
      <c r="R45" s="498"/>
      <c r="S45" s="541"/>
      <c r="T45" s="84">
        <v>0</v>
      </c>
      <c r="U45" s="83">
        <v>0</v>
      </c>
      <c r="V45" s="84">
        <v>0</v>
      </c>
      <c r="W45" s="92">
        <v>0</v>
      </c>
      <c r="X45" s="84">
        <v>0</v>
      </c>
      <c r="Y45" s="489">
        <f t="shared" si="6"/>
        <v>0</v>
      </c>
      <c r="Z45" s="489">
        <f>Q45-Y45</f>
        <v>0</v>
      </c>
    </row>
    <row r="46" spans="1:26">
      <c r="A46" s="679"/>
      <c r="B46" s="1" t="s">
        <v>42</v>
      </c>
      <c r="C46" s="33">
        <f>Bilan_E_KP_AME_2025!D18-C18-C34</f>
        <v>48.985180571028572</v>
      </c>
      <c r="D46" s="541"/>
      <c r="E46" s="511"/>
      <c r="F46" s="541"/>
      <c r="G46" s="17">
        <f>C46-E46</f>
        <v>48.985180571028572</v>
      </c>
      <c r="H46" s="541"/>
      <c r="I46" s="38"/>
      <c r="J46" s="37"/>
      <c r="K46" s="35"/>
      <c r="L46" s="35"/>
      <c r="M46" s="35"/>
      <c r="N46" s="35"/>
      <c r="O46" s="35"/>
      <c r="P46" s="35"/>
      <c r="Q46" s="36">
        <f>G46-(Bilan_E_KP_AME_2025!D41+Bilan_E_KP_AME_2025!D29+Bilan_E_KP_AME_2025!D30)</f>
        <v>7.0843993210285774</v>
      </c>
      <c r="R46" s="498"/>
      <c r="S46" s="541"/>
      <c r="T46" s="506">
        <f>Bilan_E_KP_AME_2025!D38</f>
        <v>0</v>
      </c>
      <c r="U46" s="93">
        <f>Bilan_E_KP_AME_2025!D34</f>
        <v>7.0843993210285721</v>
      </c>
      <c r="V46" s="506">
        <f>Bilan_E_KP_AME_2025!D36</f>
        <v>0</v>
      </c>
      <c r="W46" s="507">
        <f>Bilan_E_KP_AME_2025!D37</f>
        <v>0</v>
      </c>
      <c r="X46" s="506">
        <f>Bilan_E_KP_AME_2025!D35</f>
        <v>0</v>
      </c>
      <c r="Y46" s="489">
        <f t="shared" si="6"/>
        <v>7.0843993210285721</v>
      </c>
      <c r="Z46" s="489">
        <f>Q46-Y46</f>
        <v>0</v>
      </c>
    </row>
    <row r="47" spans="1:26">
      <c r="A47" s="90"/>
      <c r="B47" s="1" t="s">
        <v>31</v>
      </c>
      <c r="C47" s="33">
        <f>E57</f>
        <v>0</v>
      </c>
      <c r="D47" s="192"/>
      <c r="E47" s="511"/>
      <c r="F47" s="192"/>
      <c r="G47" s="17">
        <f>C47-E47</f>
        <v>0</v>
      </c>
      <c r="H47" s="192"/>
      <c r="I47" s="38"/>
      <c r="J47" s="37"/>
      <c r="K47" s="35"/>
      <c r="L47" s="35"/>
      <c r="M47" s="35"/>
      <c r="N47" s="35"/>
      <c r="O47" s="35"/>
      <c r="P47" s="35"/>
      <c r="Q47" s="544">
        <f>G47-Bilan_E_KP_AME_2025!R41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C5-L13-SUM(L21:L24)-L30-L41-Bilan_E_KP_AME_2025!S18</f>
        <v>0</v>
      </c>
      <c r="D49" s="1"/>
      <c r="E49" s="34">
        <f>SUM(E7:E47)+I13-Bilan_E_KP_AME_2025!S32+K13+SUM(K21:K24)+K30+Bilan_E_KP_AME_2025!D29+Bilan_E_KP_AME_2025!D30</f>
        <v>1.1191048088221578E-13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489.18544114691525</v>
      </c>
    </row>
    <row r="52" spans="1:19">
      <c r="A52" s="21"/>
      <c r="B52" s="1" t="s">
        <v>44</v>
      </c>
      <c r="C52" s="44"/>
      <c r="D52" s="1"/>
      <c r="E52" s="39">
        <f>Bilan_E_KP_AME_2025!D41+Bilan_E_KP_AME_2025!D29+Bilan_E_KP_AME_2025!D30</f>
        <v>41.900781249999994</v>
      </c>
      <c r="F52" s="187"/>
      <c r="G52" s="1"/>
      <c r="H52" s="1"/>
      <c r="I52" s="30"/>
      <c r="J52" s="17"/>
      <c r="K52" s="17"/>
      <c r="L52" s="21"/>
      <c r="M52" s="1"/>
      <c r="N52" s="17"/>
      <c r="O52" s="17"/>
      <c r="P52" s="17"/>
      <c r="Q52" s="1"/>
      <c r="S52" s="33"/>
    </row>
    <row r="53" spans="1:19">
      <c r="A53" s="21"/>
      <c r="B53" s="1" t="s">
        <v>41</v>
      </c>
      <c r="C53" s="45"/>
      <c r="D53" s="17"/>
      <c r="E53" s="433">
        <f>Bilan_E_KP_AME_2025!G41+Bilan_E_KP_AME_2025!G29</f>
        <v>12.538633041459809</v>
      </c>
      <c r="F53" s="187"/>
      <c r="G53" s="1"/>
      <c r="H53" s="1"/>
      <c r="I53" s="30"/>
      <c r="J53" s="17"/>
      <c r="K53" s="17"/>
      <c r="L53" s="21"/>
      <c r="M53" s="1"/>
      <c r="N53" s="17"/>
      <c r="O53" s="17"/>
      <c r="P53" s="17"/>
      <c r="Q53" s="1"/>
    </row>
    <row r="54" spans="1:19">
      <c r="A54" s="21"/>
      <c r="B54" s="1" t="s">
        <v>39</v>
      </c>
      <c r="C54" s="45"/>
      <c r="D54" s="17"/>
      <c r="E54" s="435">
        <f>Bilan_E_KP_AME_2025!F41</f>
        <v>127.25135409198229</v>
      </c>
      <c r="F54" s="187"/>
      <c r="G54" s="1"/>
      <c r="H54" s="1"/>
      <c r="I54" s="30"/>
      <c r="J54" s="17"/>
      <c r="K54" s="17"/>
      <c r="L54" s="21"/>
      <c r="M54" s="21"/>
      <c r="N54" s="17"/>
      <c r="O54" s="17"/>
      <c r="P54" s="17"/>
      <c r="Q54" s="1"/>
    </row>
    <row r="55" spans="1:19">
      <c r="B55" s="1" t="s">
        <v>21</v>
      </c>
      <c r="E55" s="434">
        <f>Bilan_E_KP_AME_2025!M41+Bilan_E_KP_AME_2025!M29</f>
        <v>0</v>
      </c>
    </row>
    <row r="56" spans="1:19">
      <c r="B56" s="1" t="s">
        <v>37</v>
      </c>
      <c r="E56" s="515">
        <f>Bilan_E_KP_AME_2025!L41+Bilan_E_KP_AME_2025!L29</f>
        <v>0</v>
      </c>
    </row>
    <row r="57" spans="1:19">
      <c r="B57" s="1" t="s">
        <v>31</v>
      </c>
      <c r="E57" s="515">
        <f>Bilan_E_KP_AME_2025!R41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86149-9FFD-4DDF-B381-3402FD8341C7}">
  <dimension ref="A1:Z57"/>
  <sheetViews>
    <sheetView topLeftCell="A7"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2678.5122863720321</v>
      </c>
      <c r="D5" s="18"/>
      <c r="E5" s="20"/>
      <c r="F5" s="494"/>
      <c r="G5" s="21"/>
      <c r="H5" s="493"/>
      <c r="I5" s="21"/>
      <c r="J5" s="22"/>
      <c r="K5" s="23"/>
      <c r="L5" s="14"/>
      <c r="M5" s="14"/>
      <c r="N5" s="15"/>
      <c r="O5" s="16"/>
      <c r="P5" s="16"/>
      <c r="Q5" s="24">
        <f>Q13+Q22+Q30+Q42+Q46+Q38+Q43</f>
        <v>1462.5806492254687</v>
      </c>
      <c r="R5" s="487"/>
      <c r="S5" s="79">
        <f>SUM(S13,S22,S27:S32,S41)</f>
        <v>1462.5783361299455</v>
      </c>
      <c r="T5" s="79">
        <f>SUM(T8:T46)</f>
        <v>47.660377109201285</v>
      </c>
      <c r="U5" s="79">
        <f>SUM(U8:U46)</f>
        <v>289.29550978783186</v>
      </c>
      <c r="V5" s="79">
        <f>SUM(V8:V46)</f>
        <v>452.50766316336291</v>
      </c>
      <c r="W5" s="173">
        <f>SUM(W8:W46)</f>
        <v>229.99427065596049</v>
      </c>
      <c r="X5" s="79">
        <f>SUM(X8:X46)</f>
        <v>443.12051541358881</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(([7]Offre_calc!$N$81+[7]Offre_calc!$N$82+[7]Offre_calc!$N$127+[7]Offre_calc!$N$128)/([7]Offre_calc!$N$78+[7]Offre_calc!$N$124))*Bilan_E_KP_AME_2028!I$21</f>
        <v>78.245150984789163</v>
      </c>
      <c r="D7" s="518"/>
      <c r="E7" s="28">
        <v>0</v>
      </c>
      <c r="F7" s="518"/>
      <c r="G7" s="17">
        <f>C7-E7</f>
        <v>78.245150984789163</v>
      </c>
      <c r="H7" s="518"/>
      <c r="I7" s="21"/>
      <c r="J7" s="518"/>
      <c r="K7" s="525"/>
      <c r="L7" s="525"/>
      <c r="M7" s="525"/>
      <c r="N7" s="525"/>
      <c r="O7" s="525"/>
      <c r="P7" s="513"/>
      <c r="Q7" s="528"/>
      <c r="R7" s="498"/>
      <c r="S7" s="528"/>
      <c r="T7" s="525"/>
      <c r="U7" s="525"/>
      <c r="V7" s="525"/>
      <c r="W7" s="525"/>
      <c r="X7" s="525"/>
    </row>
    <row r="8" spans="1:24">
      <c r="A8" s="695"/>
      <c r="B8" s="1" t="s">
        <v>18</v>
      </c>
      <c r="C8" s="486">
        <f>(([7]Offre_calc!$N$80+[7]Offre_calc!$N$126)/([7]Offre_calc!$N$78+[7]Offre_calc!$N$124))*Bilan_E_KP_AME_2028!I$21</f>
        <v>61.922083680230124</v>
      </c>
      <c r="D8" s="81"/>
      <c r="E8" s="28">
        <v>0</v>
      </c>
      <c r="F8" s="81"/>
      <c r="G8" s="17">
        <f t="shared" ref="G8:G19" si="0">C8-E8</f>
        <v>61.922083680230124</v>
      </c>
      <c r="H8" s="81"/>
      <c r="I8" s="21"/>
      <c r="J8" s="81"/>
      <c r="K8" s="526"/>
      <c r="L8" s="526"/>
      <c r="M8" s="526"/>
      <c r="N8" s="526"/>
      <c r="O8" s="526"/>
      <c r="P8" s="29"/>
      <c r="Q8" s="529"/>
      <c r="R8" s="498"/>
      <c r="S8" s="529"/>
      <c r="T8" s="526"/>
      <c r="U8" s="526"/>
      <c r="V8" s="526"/>
      <c r="W8" s="526"/>
      <c r="X8" s="526"/>
    </row>
    <row r="9" spans="1:24">
      <c r="A9" s="695"/>
      <c r="B9" s="1" t="s">
        <v>19</v>
      </c>
      <c r="C9" s="486">
        <f>(([7]Offre_calc!$N$79+[7]Offre_calc!$N$125)/([7]Offre_calc!$N$78+[7]Offre_calc!$N$124))*Bilan_E_KP_AME_2028!I$21</f>
        <v>32.483716028973177</v>
      </c>
      <c r="D9" s="81"/>
      <c r="E9" s="28">
        <v>0</v>
      </c>
      <c r="F9" s="81"/>
      <c r="G9" s="17">
        <f t="shared" si="0"/>
        <v>32.483716028973177</v>
      </c>
      <c r="H9" s="81"/>
      <c r="I9" s="21"/>
      <c r="J9" s="81"/>
      <c r="K9" s="526"/>
      <c r="L9" s="526"/>
      <c r="M9" s="526"/>
      <c r="N9" s="526"/>
      <c r="O9" s="526"/>
      <c r="P9" s="29"/>
      <c r="Q9" s="529"/>
      <c r="R9" s="498"/>
      <c r="S9" s="529"/>
      <c r="T9" s="526"/>
      <c r="U9" s="526"/>
      <c r="V9" s="526"/>
      <c r="W9" s="526"/>
      <c r="X9" s="526"/>
    </row>
    <row r="10" spans="1:24">
      <c r="A10" s="695"/>
      <c r="B10" s="1" t="s">
        <v>20</v>
      </c>
      <c r="C10" s="17">
        <f>Bilan_E_KP_AME_2028!H21-(Bilan_E_KP_AME_2028!P20+Bilan_E_KP_AME_2028!P19)</f>
        <v>1190.909090909091</v>
      </c>
      <c r="D10" s="81"/>
      <c r="E10" s="28">
        <f>F13-SUM(E11:E19)</f>
        <v>797.27462785803368</v>
      </c>
      <c r="F10" s="81"/>
      <c r="G10" s="17">
        <f>C10-E10</f>
        <v>393.63446305105731</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Bilan_E_KP_AME_2028!M21</f>
        <v>0.47195886872926307</v>
      </c>
      <c r="D11" s="81"/>
      <c r="E11" s="28">
        <f>C11*(1-[7]Offre_calc!$N$161)</f>
        <v>0.21615716187800246</v>
      </c>
      <c r="F11" s="81"/>
      <c r="G11" s="17">
        <f t="shared" si="0"/>
        <v>0.25580170685126058</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Bilan_E_KP_AME_2028!K21</f>
        <v>8.5008344637363535</v>
      </c>
      <c r="D12" s="81"/>
      <c r="E12" s="28">
        <f>C12*(1-[7]Offre_calc!$N$171)</f>
        <v>6.1206008138901744</v>
      </c>
      <c r="F12" s="81"/>
      <c r="G12" s="17">
        <f t="shared" si="0"/>
        <v>2.3802336498461791</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Bilan_E_KP_AME_2028!J21</f>
        <v>32.565743560582284</v>
      </c>
      <c r="D13" s="81">
        <f>SUM(C7:C19)</f>
        <v>1438.1860151985877</v>
      </c>
      <c r="E13" s="28">
        <f>C13*(1-[7]Offre_calc!$N$170)</f>
        <v>23.447335363619242</v>
      </c>
      <c r="F13" s="81">
        <f>Bilan_E_KP_AME_2028!S21</f>
        <v>842.80884953908037</v>
      </c>
      <c r="G13" s="17">
        <f t="shared" si="0"/>
        <v>9.1184081969630419</v>
      </c>
      <c r="H13" s="81">
        <f>SUM(G7:G19)</f>
        <v>595.37716565950768</v>
      </c>
      <c r="I13" s="33">
        <f>Bilan_E_KP_AME_2028!P30</f>
        <v>36.293113930785914</v>
      </c>
      <c r="J13" s="81">
        <f>H13-I13</f>
        <v>559.08405172872176</v>
      </c>
      <c r="K13" s="29">
        <f>Bilan_E_KP_AME_2028!P31</f>
        <v>40.115929077638647</v>
      </c>
      <c r="L13" s="29">
        <f>-(Bilan_E_KP_AME_2028!P14+Bilan_E_KP_AME_2028!P13)</f>
        <v>71.534753758802367</v>
      </c>
      <c r="M13" s="29">
        <f>Bilan_E_KP_AME_2028!P28</f>
        <v>6.6777445606960792E-2</v>
      </c>
      <c r="N13" s="29"/>
      <c r="O13" s="29"/>
      <c r="P13" s="29"/>
      <c r="Q13" s="81">
        <f>J13-K13-L13-M13-N13-O13-P13</f>
        <v>447.36659144667379</v>
      </c>
      <c r="R13" s="508">
        <f>Q13-S13</f>
        <v>0</v>
      </c>
      <c r="S13" s="81">
        <f>SUM(T8:X19)</f>
        <v>447.36659144667379</v>
      </c>
      <c r="T13" s="29">
        <f>Bilan_E_KP_AME_2028!P38</f>
        <v>7.9913059260342072</v>
      </c>
      <c r="U13" s="29">
        <f>Bilan_E_KP_AME_2028!P34+Bilan_E_KP_AME_2028!P39</f>
        <v>109.87696924977793</v>
      </c>
      <c r="V13" s="29">
        <f>Bilan_E_KP_AME_2028!P36</f>
        <v>172.83410671700432</v>
      </c>
      <c r="W13" s="29">
        <f>Bilan_E_KP_AME_2028!P37</f>
        <v>131.35942241830159</v>
      </c>
      <c r="X13" s="29">
        <f>Bilan_E_KP_AME_2028!P35</f>
        <v>25.304787135555738</v>
      </c>
    </row>
    <row r="14" spans="1:24">
      <c r="A14" s="695"/>
      <c r="B14" s="1" t="s">
        <v>24</v>
      </c>
      <c r="C14" s="17">
        <f>Bilan_E_KP_AME_2028!O21</f>
        <v>2.2844574579320316</v>
      </c>
      <c r="D14" s="81"/>
      <c r="E14" s="28">
        <v>0</v>
      </c>
      <c r="F14" s="81"/>
      <c r="G14" s="17">
        <f t="shared" si="0"/>
        <v>2.2844574579320316</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Bilan_E_KP_AME_2028!L21</f>
        <v>2.2465763720546779</v>
      </c>
      <c r="D16" s="81"/>
      <c r="E16" s="28">
        <f>C16*(1-[7]Offre_calc!$N$158)</f>
        <v>1.2580827683506197</v>
      </c>
      <c r="F16" s="81"/>
      <c r="G16" s="17">
        <f t="shared" si="0"/>
        <v>0.98849360370405814</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Bilan_E_KP_AME_2028!F21</f>
        <v>7.6468438736280877</v>
      </c>
      <c r="D17" s="81"/>
      <c r="E17" s="28">
        <f>C17*(1-[7]Offre_calc!$N$158)</f>
        <v>4.2822325692317298</v>
      </c>
      <c r="F17" s="81"/>
      <c r="G17" s="17">
        <f t="shared" si="0"/>
        <v>3.3646113043963579</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Bilan_E_KP_AME_2028!D21</f>
        <v>2.8283781870338589</v>
      </c>
      <c r="D18" s="81"/>
      <c r="E18" s="28">
        <f>C18*(1-[7]Offre_calc!$N$157)</f>
        <v>1.9286321922688152</v>
      </c>
      <c r="F18" s="81"/>
      <c r="G18" s="17">
        <f t="shared" si="0"/>
        <v>0.89974599476504369</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Bilan_E_KP_AME_2028!G21+Bilan_E_KP_AME_2028!R21</f>
        <v>18.081180811808117</v>
      </c>
      <c r="D19" s="82"/>
      <c r="E19" s="28">
        <f>C19*(1-[7]Offre_calc!$N$160)</f>
        <v>8.2811808118081167</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0.33053275523371223</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Bilan_E_KP_AME_2028!J23+Bilan_E_KP_AME_2028!M12</f>
        <v>7.9048852453387051</v>
      </c>
      <c r="D21" s="531"/>
      <c r="E21" s="33">
        <f>Bilan_E_KP_AME_2028!S23+Bilan_E_KP_AME_2028!M30</f>
        <v>0.95812627189144406</v>
      </c>
      <c r="F21" s="531"/>
      <c r="G21" s="17">
        <f t="shared" ref="G21:G45" si="1">C21-E21</f>
        <v>6.9467589734472615</v>
      </c>
      <c r="H21" s="531"/>
      <c r="I21" s="17"/>
      <c r="J21" s="531"/>
      <c r="K21" s="547">
        <f>Bilan_E_KP_AME_2028!M31</f>
        <v>8.211764297814271E-2</v>
      </c>
      <c r="L21" s="547">
        <f>-(Bilan_E_KP_AME_2028!M13+Bilan_E_KP_AME_2028!M14+Bilan_E_KP_AME_2028!M15+Bilan_E_KP_AME_2028!M16)</f>
        <v>0</v>
      </c>
      <c r="M21" s="547">
        <f>Bilan_E_KP_AME_2028!M28</f>
        <v>1.5351077650341492E-2</v>
      </c>
      <c r="N21" s="547">
        <f>Bilan_E_KP_AME_2028!M22</f>
        <v>0.33966953640978992</v>
      </c>
      <c r="O21" s="547">
        <f>Bilan_E_KP_AME_2028!M21</f>
        <v>0.47195886872926307</v>
      </c>
      <c r="P21" s="531"/>
      <c r="Q21" s="531"/>
      <c r="R21" s="498"/>
      <c r="S21" s="531"/>
      <c r="T21" s="531"/>
      <c r="U21" s="531"/>
      <c r="V21" s="531"/>
      <c r="W21" s="531"/>
      <c r="X21" s="531"/>
    </row>
    <row r="22" spans="1:24">
      <c r="A22" s="696"/>
      <c r="B22" s="1" t="s">
        <v>30</v>
      </c>
      <c r="C22" s="17"/>
      <c r="D22" s="85">
        <f>SUM(C21:C24)</f>
        <v>348.08506931600567</v>
      </c>
      <c r="E22" s="497"/>
      <c r="F22" s="85">
        <f>SUM(E21:E24)</f>
        <v>6.7566309334894523</v>
      </c>
      <c r="G22" s="17"/>
      <c r="H22" s="85">
        <f>SUM(G21:G24)</f>
        <v>341.32843838251625</v>
      </c>
      <c r="I22" s="408"/>
      <c r="J22" s="85">
        <f>H22-I22</f>
        <v>341.32843838251625</v>
      </c>
      <c r="K22" s="32"/>
      <c r="L22" s="32"/>
      <c r="M22" s="32"/>
      <c r="N22" s="32"/>
      <c r="O22" s="32"/>
      <c r="P22" s="32"/>
      <c r="Q22" s="85">
        <f>J22-SUM(K21:P24)</f>
        <v>301.54966275036384</v>
      </c>
      <c r="R22" s="508">
        <f>Q22-S22</f>
        <v>-2.5571216676155473E-2</v>
      </c>
      <c r="S22" s="85">
        <f>SUM(T22:X24)</f>
        <v>301.57523396703999</v>
      </c>
      <c r="T22" s="32">
        <f>Bilan_E_KP_AME_2028!G38+Bilan_E_KP_AME_2028!R38+Bilan_E_KP_AME_2028!M$38</f>
        <v>2.3374591353422414</v>
      </c>
      <c r="U22" s="32">
        <f>Bilan_E_KP_AME_2028!G34+Bilan_E_KP_AME_2028!R34+Bilan_E_KP_AME_2028!M$34</f>
        <v>109.46493147547221</v>
      </c>
      <c r="V22" s="32">
        <f>Bilan_E_KP_AME_2028!G36+Bilan_E_KP_AME_2028!R36+Bilan_E_KP_AME_2028!M$36</f>
        <v>112.39978162627901</v>
      </c>
      <c r="W22" s="32">
        <f>Bilan_E_KP_AME_2028!G37+Bilan_E_KP_AME_2028!K37+Bilan_E_KP_AME_2028!R37+Bilan_E_KP_AME_2028!M$37</f>
        <v>65.455223414858708</v>
      </c>
      <c r="X22" s="32">
        <f>Bilan_E_KP_AME_2028!G35+Bilan_E_KP_AME_2028!R35+Bilan_E_KP_AME_2028!M$35</f>
        <v>11.917838315087831</v>
      </c>
    </row>
    <row r="23" spans="1:24">
      <c r="A23" s="696"/>
      <c r="B23" s="1" t="s">
        <v>31</v>
      </c>
      <c r="C23" s="17">
        <f>SUM(Bilan_E_KP_AME_2028!D28:Q28)-C47</f>
        <v>0.84271073732182</v>
      </c>
      <c r="D23" s="532"/>
      <c r="E23" s="33">
        <f>Bilan_E_KP_AME_2028!S28+Bilan_E_KP_AME_2028!S27</f>
        <v>0.25615209347689405</v>
      </c>
      <c r="F23" s="534"/>
      <c r="G23" s="17">
        <f t="shared" si="1"/>
        <v>0.58655864384492595</v>
      </c>
      <c r="H23" s="534"/>
      <c r="I23" s="17"/>
      <c r="J23" s="534"/>
      <c r="K23" s="536">
        <f>Bilan_E_KP_AME_2028!R31</f>
        <v>0</v>
      </c>
      <c r="L23" s="536">
        <f>-(Bilan_E_KP_AME_2028!R13+Bilan_E_KP_AME_2028!R14+Bilan_E_KP_AME_2028!R15+Bilan_E_KP_AME_2028!R16)</f>
        <v>0</v>
      </c>
      <c r="M23" s="536"/>
      <c r="N23" s="536">
        <f>Bilan_E_KP_AME_2028!R22</f>
        <v>0</v>
      </c>
      <c r="O23" s="536">
        <f>Bilan_E_KP_AME_2028!R21</f>
        <v>0</v>
      </c>
      <c r="P23" s="536">
        <f>-Bilan_E_KP_AME_2028!L27</f>
        <v>0</v>
      </c>
      <c r="Q23" s="534"/>
      <c r="S23" s="534"/>
      <c r="T23" s="538"/>
      <c r="U23" s="538"/>
      <c r="V23" s="538"/>
      <c r="W23" s="538"/>
      <c r="X23" s="538"/>
    </row>
    <row r="24" spans="1:24">
      <c r="A24" s="696"/>
      <c r="B24" s="1" t="s">
        <v>32</v>
      </c>
      <c r="C24" s="17">
        <f>Bilan_E_KP_AME_2028!G18-C45-(Bilan_E_KP_AME_2028!G20+Bilan_E_KP_AME_2028!G19)</f>
        <v>339.33747333334514</v>
      </c>
      <c r="D24" s="533"/>
      <c r="E24" s="33">
        <f>Bilan_E_KP_AME_2028!G30</f>
        <v>5.5423525681211148</v>
      </c>
      <c r="F24" s="535"/>
      <c r="G24" s="17">
        <f t="shared" si="1"/>
        <v>333.79512076522406</v>
      </c>
      <c r="H24" s="535"/>
      <c r="I24" s="34"/>
      <c r="J24" s="535"/>
      <c r="K24" s="537">
        <f>Bilan_E_KP_AME_2028!G31</f>
        <v>4.0237645059289928</v>
      </c>
      <c r="L24" s="537"/>
      <c r="M24" s="537">
        <f>Bilan_E_KP_AME_2028!G28</f>
        <v>0.75220280486673308</v>
      </c>
      <c r="N24" s="537">
        <f>Bilan_E_KP_AME_2028!G22</f>
        <v>16.012530383781044</v>
      </c>
      <c r="O24" s="537">
        <f>Bilan_E_KP_AME_2028!G21</f>
        <v>18.081180811808117</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Bilan_E_KP_AME_2028!M22</f>
        <v>0.33966953640978992</v>
      </c>
      <c r="D26" s="512"/>
      <c r="E26" s="190">
        <f>C26*F$35</f>
        <v>3.4450833437693236E-2</v>
      </c>
      <c r="F26" s="512"/>
      <c r="G26" s="33">
        <f t="shared" ref="G26:G31" si="2">C26-E26</f>
        <v>0.30521870297209669</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Bilan_E_KP_AME_2028!K18-Bilan_E_KP_AME_2028!K21-(Bilan_E_KP_AME_2028!Q20+Bilan_E_KP_AME_2028!Q19+Bilan_E_KP_AME_2028!K20+Bilan_E_KP_AME_2028!K19)</f>
        <v>14.359119579973083</v>
      </c>
      <c r="D27" s="87"/>
      <c r="E27" s="190">
        <f t="shared" ref="E27:E34" si="3">C27*F$35</f>
        <v>1.4563673922313942</v>
      </c>
      <c r="F27" s="87"/>
      <c r="G27" s="33">
        <f t="shared" si="2"/>
        <v>12.902752187741688</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Bilan_E_KP_AME_2028!J22</f>
        <v>13.847709445189022</v>
      </c>
      <c r="D29" s="87"/>
      <c r="E29" s="190">
        <f t="shared" si="3"/>
        <v>1.4044978440875822</v>
      </c>
      <c r="F29" s="87"/>
      <c r="G29" s="33">
        <f t="shared" si="2"/>
        <v>12.443211601101439</v>
      </c>
      <c r="H29" s="87"/>
      <c r="I29" s="1"/>
      <c r="J29" s="87"/>
      <c r="K29" s="87"/>
      <c r="L29" s="87"/>
      <c r="M29" s="87"/>
      <c r="N29" s="87"/>
      <c r="O29" s="87"/>
      <c r="P29" s="87"/>
      <c r="Q29" s="87"/>
      <c r="R29" s="498"/>
      <c r="S29" s="87"/>
      <c r="T29" s="87"/>
      <c r="U29" s="87"/>
      <c r="V29" s="87"/>
      <c r="W29" s="87"/>
      <c r="X29" s="87"/>
    </row>
    <row r="30" spans="1:24">
      <c r="A30" s="697"/>
      <c r="B30" s="1" t="s">
        <v>24</v>
      </c>
      <c r="C30" s="17">
        <f>Bilan_E_KP_AME_2028!O22</f>
        <v>2.2653429264336893</v>
      </c>
      <c r="D30" s="86">
        <f>SUM(C26:C34)</f>
        <v>46.873768346734117</v>
      </c>
      <c r="E30" s="190">
        <f t="shared" si="3"/>
        <v>0.2297614106425773</v>
      </c>
      <c r="F30" s="86">
        <f>Bilan_E_KP_AME_2028!S22</f>
        <v>4.7541513524549677</v>
      </c>
      <c r="G30" s="33">
        <f t="shared" si="2"/>
        <v>2.0355815157911121</v>
      </c>
      <c r="H30" s="86">
        <f>SUM(G26:G34)</f>
        <v>42.119616994279149</v>
      </c>
      <c r="I30" s="1"/>
      <c r="J30" s="86">
        <f>H30</f>
        <v>42.119616994279149</v>
      </c>
      <c r="K30" s="87">
        <f>Bilan_E_KP_AME_2028!Q31</f>
        <v>3.1293610589936001</v>
      </c>
      <c r="L30" s="87"/>
      <c r="M30" s="87">
        <f>Bilan_E_KP_AME_2028!K28</f>
        <v>8.3794091977846576E-3</v>
      </c>
      <c r="N30" s="87"/>
      <c r="O30" s="87"/>
      <c r="P30" s="87"/>
      <c r="Q30" s="86">
        <f>J30-K30-L30-M30-N30-O30-P30</f>
        <v>38.98187652608776</v>
      </c>
      <c r="R30" s="508">
        <f>Q30-S30</f>
        <v>2.5571216676262054E-2</v>
      </c>
      <c r="S30" s="86">
        <f>SUM(T27:X34)</f>
        <v>38.956305309411498</v>
      </c>
      <c r="T30" s="87">
        <f>Bilan_E_KP_AME_2028!Q$38</f>
        <v>0</v>
      </c>
      <c r="U30" s="87">
        <f>Bilan_E_KP_AME_2028!Q$34+Bilan_E_KP_AME_2028!K34</f>
        <v>18.34727384417145</v>
      </c>
      <c r="V30" s="87">
        <f>Bilan_E_KP_AME_2028!Q$36</f>
        <v>15.866907360541454</v>
      </c>
      <c r="W30" s="87">
        <f>Bilan_E_KP_AME_2028!Q$37</f>
        <v>4.7421241046985951</v>
      </c>
      <c r="X30" s="87">
        <f>Bilan_E_KP_AME_2028!Q$35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Bilan_E_KP_AME_2028!G22</f>
        <v>16.012530383781044</v>
      </c>
      <c r="D32" s="86"/>
      <c r="E32" s="190">
        <f t="shared" si="3"/>
        <v>1.6240638562950724</v>
      </c>
      <c r="F32" s="86"/>
      <c r="G32" s="33">
        <f>C32-E32</f>
        <v>14.388466527485972</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Bilan_E_KP_AME_2028!F22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Bilan_E_KP_AME_2028!D22</f>
        <v>4.9396474947490832E-2</v>
      </c>
      <c r="D34" s="88"/>
      <c r="E34" s="190">
        <f t="shared" si="3"/>
        <v>5.010015760648431E-3</v>
      </c>
      <c r="F34" s="88"/>
      <c r="G34" s="33">
        <f t="shared" si="4"/>
        <v>4.4386459186842399E-2</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0.10142456047671722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99.463524740250676</v>
      </c>
      <c r="D37" s="541"/>
      <c r="E37" s="504"/>
      <c r="F37" s="541"/>
      <c r="G37" s="17">
        <f t="shared" ref="G37:G42" si="5">C37-E37</f>
        <v>99.463524740250676</v>
      </c>
      <c r="H37" s="541"/>
      <c r="I37" s="498"/>
      <c r="J37" s="37"/>
      <c r="K37" s="35"/>
      <c r="L37" s="35"/>
      <c r="M37" s="505"/>
      <c r="N37" s="35"/>
      <c r="P37" s="35"/>
      <c r="Q37" s="543"/>
      <c r="R37" s="498"/>
      <c r="S37" s="541"/>
      <c r="T37" s="506">
        <f>Bilan_E_KP_AME_2028!J38</f>
        <v>1.1066179688825246</v>
      </c>
      <c r="U37" s="93">
        <f>Bilan_E_KP_AME_2028!J34</f>
        <v>18.169859613838756</v>
      </c>
      <c r="V37" s="506">
        <f>Bilan_E_KP_AME_2028!J36</f>
        <v>76.439784825488388</v>
      </c>
      <c r="W37" s="507">
        <f>Bilan_E_KP_AME_2028!J37</f>
        <v>3.7472623320410015</v>
      </c>
      <c r="X37" s="506">
        <f>Bilan_E_KP_AME_2028!J35</f>
        <v>0</v>
      </c>
      <c r="Y37" s="489">
        <f t="shared" ref="Y37:Y47" si="6">SUM(T37:X37)</f>
        <v>99.463524740250676</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186.66502922131878</v>
      </c>
      <c r="R38" s="498"/>
      <c r="S38" s="541"/>
      <c r="T38" s="84">
        <v>0</v>
      </c>
      <c r="U38" s="83">
        <v>0</v>
      </c>
      <c r="V38" s="84">
        <v>0</v>
      </c>
      <c r="W38" s="91">
        <v>0</v>
      </c>
      <c r="X38" s="91">
        <v>0</v>
      </c>
      <c r="Y38" s="489">
        <f t="shared" si="6"/>
        <v>0</v>
      </c>
      <c r="Z38" s="489">
        <f t="shared" si="7"/>
        <v>0</v>
      </c>
    </row>
    <row r="39" spans="1:26">
      <c r="A39" s="679"/>
      <c r="B39" s="1" t="s">
        <v>35</v>
      </c>
      <c r="C39" s="33">
        <f>SUM(T39:X39)</f>
        <v>2.7231373652307198</v>
      </c>
      <c r="D39" s="541"/>
      <c r="E39" s="35"/>
      <c r="F39" s="541"/>
      <c r="G39" s="17">
        <f t="shared" si="5"/>
        <v>2.7231373652307198</v>
      </c>
      <c r="H39" s="541"/>
      <c r="I39" s="35"/>
      <c r="J39" s="37"/>
      <c r="K39" s="35"/>
      <c r="L39" s="35"/>
      <c r="M39" s="37"/>
      <c r="N39" s="35"/>
      <c r="O39" s="35"/>
      <c r="P39" s="35"/>
      <c r="Q39" s="543"/>
      <c r="R39" s="498"/>
      <c r="S39" s="541"/>
      <c r="T39" s="84">
        <f>Bilan_E_KP_AME_2028!O38</f>
        <v>8.6639841752499475E-2</v>
      </c>
      <c r="U39" s="83">
        <f>Bilan_E_KP_AME_2028!O34</f>
        <v>3.8276465550578692E-4</v>
      </c>
      <c r="V39" s="84">
        <f>Bilan_E_KP_AME_2028!O36</f>
        <v>1.7588356807089602</v>
      </c>
      <c r="W39" s="91">
        <f>Bilan_E_KP_AME_2028!O37</f>
        <v>0.8772790781137545</v>
      </c>
      <c r="X39" s="91">
        <f>Bilan_E_KP_AME_2028!O35</f>
        <v>0</v>
      </c>
      <c r="Y39" s="489">
        <f t="shared" si="6"/>
        <v>2.7231373652307198</v>
      </c>
      <c r="Z39" s="489">
        <f t="shared" si="7"/>
        <v>0</v>
      </c>
    </row>
    <row r="40" spans="1:26">
      <c r="A40" s="679"/>
      <c r="B40" s="1" t="s">
        <v>36</v>
      </c>
      <c r="C40" s="33">
        <f>Bilan_E_KP_AME_2028!N12</f>
        <v>45.31680426782367</v>
      </c>
      <c r="D40" s="541"/>
      <c r="E40" s="35"/>
      <c r="F40" s="541"/>
      <c r="G40" s="17">
        <f t="shared" si="5"/>
        <v>45.31680426782367</v>
      </c>
      <c r="H40" s="541"/>
      <c r="I40" s="35"/>
      <c r="J40" s="37"/>
      <c r="K40" s="35"/>
      <c r="L40" s="35"/>
      <c r="M40" s="37"/>
      <c r="N40" s="35"/>
      <c r="O40" s="35"/>
      <c r="P40" s="35"/>
      <c r="Q40" s="543"/>
      <c r="R40" s="498"/>
      <c r="S40" s="541"/>
      <c r="T40" s="83">
        <f>Bilan_E_KP_AME_2028!N$38</f>
        <v>0</v>
      </c>
      <c r="U40" s="83">
        <f>Bilan_E_KP_AME_2028!N$34</f>
        <v>0</v>
      </c>
      <c r="V40" s="83">
        <f>Bilan_E_KP_AME_2028!N$36</f>
        <v>37.868836361528707</v>
      </c>
      <c r="W40" s="83">
        <f>Bilan_E_KP_AME_2028!N$37</f>
        <v>7.447967906294962</v>
      </c>
      <c r="X40" s="84">
        <f>Bilan_E_KP_AME_2028!N$35</f>
        <v>0</v>
      </c>
      <c r="Y40" s="489">
        <f t="shared" si="6"/>
        <v>45.31680426782367</v>
      </c>
      <c r="Z40" s="489">
        <f t="shared" si="7"/>
        <v>0</v>
      </c>
    </row>
    <row r="41" spans="1:26">
      <c r="A41" s="679"/>
      <c r="B41" s="1" t="s">
        <v>37</v>
      </c>
      <c r="C41" s="33">
        <f>Bilan_E_KP_AME_2028!L12+Bilan_E_KP_AME_2028!J26+Bilan_E_KP_AME_2028!J27-Bilan_E_KP_AME_2028!L21</f>
        <v>38.027520916026305</v>
      </c>
      <c r="D41" s="191">
        <f>SUM(C36:C47)</f>
        <v>881.11548384875493</v>
      </c>
      <c r="E41" s="38"/>
      <c r="F41" s="191">
        <f>SUM(E36:E47)</f>
        <v>31.230804477900737</v>
      </c>
      <c r="G41" s="17">
        <f t="shared" si="5"/>
        <v>38.027520916026305</v>
      </c>
      <c r="H41" s="191">
        <f>SUM(G36:G47)</f>
        <v>849.8846793708542</v>
      </c>
      <c r="I41" s="35"/>
      <c r="J41" s="37"/>
      <c r="K41" s="35"/>
      <c r="L41" s="37">
        <f>-SUM(Bilan_E_KP_AME_2028!L13:L16)</f>
        <v>-1.134041931987412</v>
      </c>
      <c r="M41" s="35"/>
      <c r="N41" s="35"/>
      <c r="O41" s="35"/>
      <c r="P41" s="35"/>
      <c r="Q41" s="543"/>
      <c r="R41" s="508">
        <f>SUM(Q36:Q47)-S41</f>
        <v>2.3130955229362371E-3</v>
      </c>
      <c r="S41" s="191">
        <f>SUM(T36:X46)</f>
        <v>674.68020540682016</v>
      </c>
      <c r="T41" s="83">
        <f>Bilan_E_KP_AME_2028!L$38</f>
        <v>2.3728212231152073</v>
      </c>
      <c r="U41" s="83">
        <f>Bilan_E_KP_AME_2028!L$34</f>
        <v>0.84376959960937503</v>
      </c>
      <c r="V41" s="83">
        <f>Bilan_E_KP_AME_2028!L$36</f>
        <v>0</v>
      </c>
      <c r="W41" s="83">
        <f>Bilan_E_KP_AME_2028!L$37</f>
        <v>0</v>
      </c>
      <c r="X41" s="84">
        <f>Bilan_E_KP_AME_2028!L$35</f>
        <v>35.942658929765898</v>
      </c>
      <c r="Y41" s="489">
        <f t="shared" si="6"/>
        <v>39.159249752490481</v>
      </c>
      <c r="Z41" s="489">
        <f>G41-Y41-L41</f>
        <v>2.3130955232351091E-3</v>
      </c>
    </row>
    <row r="42" spans="1:26">
      <c r="A42" s="679"/>
      <c r="B42" s="1" t="s">
        <v>38</v>
      </c>
      <c r="C42" s="33">
        <f>Bilan_E_KP_AME_2028!E18+Bilan_E_KP_AME_2028!F18-Bilan_E_KP_AME_2028!F21-Bilan_E_KP_AME_2028!F22-E54-SUM(T43:X43)-(Bilan_E_KP_AME_2028!E20+Bilan_E_KP_AME_2028!F20+Bilan_E_KP_AME_2028!E19+Bilan_E_KP_AME_2028!F19)</f>
        <v>401.18603551107992</v>
      </c>
      <c r="D42" s="541"/>
      <c r="E42" s="17">
        <f>Bilan_E_KP_AME_2028!F30+Bilan_E_KP_AME_2028!S25+Bilan_E_KP_AME_2028!F29+Bilan_E_KP_AME_2028!E29</f>
        <v>31.230804477900737</v>
      </c>
      <c r="F42" s="541"/>
      <c r="G42" s="17">
        <f t="shared" si="5"/>
        <v>369.95523103317919</v>
      </c>
      <c r="H42" s="541"/>
      <c r="I42" s="498"/>
      <c r="J42" s="37"/>
      <c r="K42" s="35"/>
      <c r="L42" s="35"/>
      <c r="M42" s="35"/>
      <c r="N42" s="35"/>
      <c r="O42" s="35"/>
      <c r="P42" s="35"/>
      <c r="Q42" s="36">
        <f>G42</f>
        <v>369.95523103317919</v>
      </c>
      <c r="R42" s="498"/>
      <c r="S42" s="541"/>
      <c r="T42" s="83">
        <v>0</v>
      </c>
      <c r="U42" s="83">
        <v>0</v>
      </c>
      <c r="V42" s="83">
        <v>0</v>
      </c>
      <c r="W42" s="83">
        <v>0</v>
      </c>
      <c r="X42" s="84">
        <f>Bilan_E_KP_AME_2028!F35</f>
        <v>369.9552310331793</v>
      </c>
      <c r="Y42" s="489">
        <f t="shared" si="6"/>
        <v>369.9552310331793</v>
      </c>
      <c r="Z42" s="489">
        <f>Q42-SUM(T42:X42)</f>
        <v>0</v>
      </c>
    </row>
    <row r="43" spans="1:26">
      <c r="A43" s="679"/>
      <c r="B43" s="1" t="s">
        <v>39</v>
      </c>
      <c r="C43" s="33">
        <f>Bilan_E_KP_AME_2028!F41+SUM(T43:X43)</f>
        <v>234.54018457996267</v>
      </c>
      <c r="D43" s="541"/>
      <c r="E43" s="38"/>
      <c r="F43" s="541"/>
      <c r="G43" s="17">
        <f>C43-E43</f>
        <v>234.54018457996267</v>
      </c>
      <c r="H43" s="541"/>
      <c r="I43" s="35"/>
      <c r="J43" s="37"/>
      <c r="K43" s="35"/>
      <c r="L43" s="35"/>
      <c r="M43" s="35"/>
      <c r="N43" s="35"/>
      <c r="O43" s="35"/>
      <c r="P43" s="35"/>
      <c r="Q43" s="36">
        <f>G43-Bilan_E_KP_AME_2028!F41</f>
        <v>111.33348480701592</v>
      </c>
      <c r="R43" s="498"/>
      <c r="S43" s="541"/>
      <c r="T43" s="83">
        <f>Bilan_E_KP_AME_2028!F38</f>
        <v>33.765533014074606</v>
      </c>
      <c r="U43" s="83">
        <f>Bilan_E_KP_AME_2028!F34</f>
        <v>25.863549799477383</v>
      </c>
      <c r="V43" s="83">
        <f>Bilan_E_KP_AME_2028!F36</f>
        <v>35.339410591812062</v>
      </c>
      <c r="W43" s="83">
        <f>Bilan_E_KP_AME_2028!F37</f>
        <v>16.364991401651867</v>
      </c>
      <c r="X43" s="84">
        <v>0</v>
      </c>
      <c r="Y43" s="489">
        <f t="shared" si="6"/>
        <v>111.33348480701592</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G44-Bilan_E_KP_AME_2028!K41</f>
        <v>0</v>
      </c>
      <c r="R44" s="498"/>
      <c r="S44" s="541"/>
      <c r="T44" s="83">
        <f>Bilan_E_KP_AME_2028!K$38</f>
        <v>0</v>
      </c>
      <c r="U44" s="83">
        <v>0</v>
      </c>
      <c r="V44" s="83">
        <f>Bilan_E_KP_AME_2028!K$36</f>
        <v>0</v>
      </c>
      <c r="W44" s="83">
        <v>0</v>
      </c>
      <c r="X44" s="84">
        <f>Bilan_E_KP_AME_2028!K$35</f>
        <v>0</v>
      </c>
      <c r="Y44" s="489">
        <f t="shared" si="6"/>
        <v>0</v>
      </c>
      <c r="Z44" s="489">
        <f t="shared" si="7"/>
        <v>0</v>
      </c>
    </row>
    <row r="45" spans="1:26">
      <c r="A45" s="679"/>
      <c r="B45" s="1" t="s">
        <v>41</v>
      </c>
      <c r="C45" s="33">
        <f>E53</f>
        <v>12.463741308801668</v>
      </c>
      <c r="D45" s="541"/>
      <c r="E45" s="38"/>
      <c r="F45" s="541"/>
      <c r="G45" s="17">
        <f t="shared" si="1"/>
        <v>12.463741308801668</v>
      </c>
      <c r="H45" s="541"/>
      <c r="I45" s="35"/>
      <c r="J45" s="37"/>
      <c r="K45" s="35"/>
      <c r="L45" s="35"/>
      <c r="M45" s="35"/>
      <c r="N45" s="35"/>
      <c r="O45" s="35"/>
      <c r="P45" s="35"/>
      <c r="Q45" s="36">
        <f>G45-Bilan_E_KP_AME_2028!G41</f>
        <v>0</v>
      </c>
      <c r="R45" s="498"/>
      <c r="S45" s="541"/>
      <c r="T45" s="84">
        <v>0</v>
      </c>
      <c r="U45" s="83">
        <v>0</v>
      </c>
      <c r="V45" s="84">
        <v>0</v>
      </c>
      <c r="W45" s="92">
        <v>0</v>
      </c>
      <c r="X45" s="84">
        <v>0</v>
      </c>
      <c r="Y45" s="489">
        <f t="shared" si="6"/>
        <v>0</v>
      </c>
      <c r="Z45" s="489">
        <f>Q45-Y45</f>
        <v>0</v>
      </c>
    </row>
    <row r="46" spans="1:26">
      <c r="A46" s="679"/>
      <c r="B46" s="1" t="s">
        <v>42</v>
      </c>
      <c r="C46" s="33">
        <f>Bilan_E_KP_AME_2028!D18-C18-C34</f>
        <v>47.394535159579299</v>
      </c>
      <c r="D46" s="541"/>
      <c r="E46" s="511"/>
      <c r="F46" s="541"/>
      <c r="G46" s="17">
        <f>C46-E46</f>
        <v>47.394535159579299</v>
      </c>
      <c r="H46" s="541"/>
      <c r="I46" s="38"/>
      <c r="J46" s="37"/>
      <c r="K46" s="35"/>
      <c r="L46" s="35"/>
      <c r="M46" s="35"/>
      <c r="N46" s="35"/>
      <c r="O46" s="35"/>
      <c r="P46" s="35"/>
      <c r="Q46" s="36">
        <f>G46-(Bilan_E_KP_AME_2028!D41+Bilan_E_KP_AME_2028!D29+Bilan_E_KP_AME_2028!D30)</f>
        <v>6.7287734408292934</v>
      </c>
      <c r="R46" s="498"/>
      <c r="S46" s="541"/>
      <c r="T46" s="506">
        <f>Bilan_E_KP_AME_2028!D38</f>
        <v>0</v>
      </c>
      <c r="U46" s="93">
        <f>Bilan_E_KP_AME_2028!D34</f>
        <v>6.728773440829297</v>
      </c>
      <c r="V46" s="506">
        <f>Bilan_E_KP_AME_2028!D36</f>
        <v>0</v>
      </c>
      <c r="W46" s="507">
        <f>Bilan_E_KP_AME_2028!D37</f>
        <v>0</v>
      </c>
      <c r="X46" s="506">
        <f>Bilan_E_KP_AME_2028!D35</f>
        <v>0</v>
      </c>
      <c r="Y46" s="489">
        <f t="shared" si="6"/>
        <v>6.728773440829297</v>
      </c>
      <c r="Z46" s="489">
        <f>Q46-Y46</f>
        <v>0</v>
      </c>
    </row>
    <row r="47" spans="1:26">
      <c r="A47" s="90"/>
      <c r="B47" s="1" t="s">
        <v>31</v>
      </c>
      <c r="C47" s="33">
        <f>E57</f>
        <v>0</v>
      </c>
      <c r="D47" s="192"/>
      <c r="E47" s="511"/>
      <c r="F47" s="192"/>
      <c r="G47" s="17">
        <f>C47-E47</f>
        <v>0</v>
      </c>
      <c r="H47" s="192"/>
      <c r="I47" s="38"/>
      <c r="J47" s="37"/>
      <c r="K47" s="35"/>
      <c r="L47" s="35"/>
      <c r="M47" s="35"/>
      <c r="N47" s="35"/>
      <c r="O47" s="35"/>
      <c r="P47" s="35"/>
      <c r="Q47" s="544">
        <f>G47-Bilan_E_KP_AME_2028!R41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C5-L13-SUM(L21:L24)-L30-L41-Bilan_E_KP_AME_2028!S18</f>
        <v>0</v>
      </c>
      <c r="D49" s="1"/>
      <c r="E49" s="34">
        <f>SUM(E7:E47)+I13-Bilan_E_KP_AME_2028!S32+K13+SUM(K21:K24)+K30+Bilan_E_KP_AME_2028!D29+Bilan_E_KP_AME_2028!D30</f>
        <v>-2.3625545964023331E-13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488.03500564975667</v>
      </c>
    </row>
    <row r="52" spans="1:19">
      <c r="A52" s="21"/>
      <c r="B52" s="1" t="s">
        <v>44</v>
      </c>
      <c r="C52" s="44"/>
      <c r="D52" s="1"/>
      <c r="E52" s="39">
        <f>Bilan_E_KP_AME_2028!D41+Bilan_E_KP_AME_2028!D29+Bilan_E_KP_AME_2028!D30</f>
        <v>40.665761718750005</v>
      </c>
      <c r="F52" s="187"/>
      <c r="G52" s="1"/>
      <c r="H52" s="1"/>
      <c r="I52" s="30"/>
      <c r="J52" s="17"/>
      <c r="K52" s="17"/>
      <c r="L52" s="21"/>
      <c r="M52" s="1"/>
      <c r="N52" s="17"/>
      <c r="O52" s="17"/>
      <c r="P52" s="17"/>
      <c r="Q52" s="1"/>
      <c r="S52" s="33"/>
    </row>
    <row r="53" spans="1:19">
      <c r="A53" s="21"/>
      <c r="B53" s="1" t="s">
        <v>41</v>
      </c>
      <c r="C53" s="45"/>
      <c r="D53" s="17"/>
      <c r="E53" s="433">
        <f>Bilan_E_KP_AME_2028!G41+Bilan_E_KP_AME_2028!G29</f>
        <v>12.463741308801668</v>
      </c>
      <c r="F53" s="187"/>
      <c r="G53" s="1"/>
      <c r="H53" s="1"/>
      <c r="I53" s="30"/>
      <c r="J53" s="17"/>
      <c r="K53" s="17"/>
      <c r="L53" s="21"/>
      <c r="M53" s="1"/>
      <c r="N53" s="17"/>
      <c r="O53" s="17"/>
      <c r="P53" s="17"/>
      <c r="Q53" s="1"/>
    </row>
    <row r="54" spans="1:19">
      <c r="A54" s="21"/>
      <c r="B54" s="1" t="s">
        <v>39</v>
      </c>
      <c r="C54" s="45"/>
      <c r="D54" s="17"/>
      <c r="E54" s="435">
        <f>Bilan_E_KP_AME_2028!F41</f>
        <v>123.20669977294675</v>
      </c>
      <c r="F54" s="187"/>
      <c r="G54" s="1"/>
      <c r="H54" s="1"/>
      <c r="I54" s="30"/>
      <c r="J54" s="17"/>
      <c r="K54" s="17"/>
      <c r="L54" s="21"/>
      <c r="M54" s="21"/>
      <c r="N54" s="17"/>
      <c r="O54" s="17"/>
      <c r="P54" s="17"/>
      <c r="Q54" s="1"/>
    </row>
    <row r="55" spans="1:19">
      <c r="B55" s="1" t="s">
        <v>21</v>
      </c>
      <c r="E55" s="434">
        <f>Bilan_E_KP_AME_2028!M41+Bilan_E_KP_AME_2028!M29</f>
        <v>0</v>
      </c>
    </row>
    <row r="56" spans="1:19">
      <c r="B56" s="1" t="s">
        <v>37</v>
      </c>
      <c r="E56" s="515">
        <f>Bilan_E_KP_AME_2028!L41+Bilan_E_KP_AME_2028!L29</f>
        <v>0</v>
      </c>
    </row>
    <row r="57" spans="1:19">
      <c r="B57" s="1" t="s">
        <v>31</v>
      </c>
      <c r="E57" s="515">
        <f>Bilan_E_KP_AME_2028!R41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0213-E0AD-4E58-930A-FE57F18E73A7}">
  <dimension ref="A1:Z57"/>
  <sheetViews>
    <sheetView topLeftCell="A3"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2645.6934582813487</v>
      </c>
      <c r="D5" s="18"/>
      <c r="E5" s="20"/>
      <c r="F5" s="494"/>
      <c r="G5" s="21"/>
      <c r="H5" s="493"/>
      <c r="I5" s="21"/>
      <c r="J5" s="22"/>
      <c r="K5" s="23"/>
      <c r="L5" s="14"/>
      <c r="M5" s="14"/>
      <c r="N5" s="15"/>
      <c r="O5" s="16"/>
      <c r="P5" s="16"/>
      <c r="Q5" s="24">
        <f>Q13+Q22+Q30+Q42+Q46+Q38+Q43</f>
        <v>1432.4749700797865</v>
      </c>
      <c r="R5" s="487"/>
      <c r="S5" s="79">
        <f>SUM(S13,S22,S27:S32,S41)</f>
        <v>1432.4742909353799</v>
      </c>
      <c r="T5" s="79">
        <f>SUM(T8:T46)</f>
        <v>47.147872325239078</v>
      </c>
      <c r="U5" s="79">
        <f>SUM(U8:U46)</f>
        <v>286.13549908159888</v>
      </c>
      <c r="V5" s="79">
        <f>SUM(V8:V46)</f>
        <v>451.18068007383562</v>
      </c>
      <c r="W5" s="173">
        <f>SUM(W8:W46)</f>
        <v>224.79720476317669</v>
      </c>
      <c r="X5" s="79">
        <f>SUM(X8:X46)</f>
        <v>423.21303469152963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(([7]Offre_calc!$O$81+[7]Offre_calc!$O$82+[7]Offre_calc!$O$127+[7]Offre_calc!$O$128)/([7]Offre_calc!$O$78+[7]Offre_calc!$O$124))*Bilan_E_KP_AME_2030!I$21</f>
        <v>84.30216707973355</v>
      </c>
      <c r="D7" s="518"/>
      <c r="E7" s="28">
        <v>0</v>
      </c>
      <c r="F7" s="518"/>
      <c r="G7" s="17">
        <f>C7-E7</f>
        <v>84.30216707973355</v>
      </c>
      <c r="H7" s="518"/>
      <c r="I7" s="21"/>
      <c r="J7" s="518"/>
      <c r="K7" s="525"/>
      <c r="L7" s="525"/>
      <c r="M7" s="525"/>
      <c r="N7" s="525"/>
      <c r="O7" s="525"/>
      <c r="P7" s="513"/>
      <c r="Q7" s="528"/>
      <c r="R7" s="498"/>
      <c r="S7" s="528"/>
      <c r="T7" s="525"/>
      <c r="U7" s="525"/>
      <c r="V7" s="525"/>
      <c r="W7" s="525"/>
      <c r="X7" s="525"/>
    </row>
    <row r="8" spans="1:24">
      <c r="A8" s="695"/>
      <c r="B8" s="1" t="s">
        <v>18</v>
      </c>
      <c r="C8" s="486">
        <f>(([7]Offre_calc!$O$80+[7]Offre_calc!$O$126)/([7]Offre_calc!$O$78+[7]Offre_calc!$O$124))*Bilan_E_KP_AME_2030!I$21</f>
        <v>61.897354259313275</v>
      </c>
      <c r="D8" s="81"/>
      <c r="E8" s="28">
        <v>0</v>
      </c>
      <c r="F8" s="81"/>
      <c r="G8" s="17">
        <f t="shared" ref="G8:G19" si="0">C8-E8</f>
        <v>61.897354259313275</v>
      </c>
      <c r="H8" s="81"/>
      <c r="I8" s="21"/>
      <c r="J8" s="81"/>
      <c r="K8" s="526"/>
      <c r="L8" s="526"/>
      <c r="M8" s="526"/>
      <c r="N8" s="526"/>
      <c r="O8" s="526"/>
      <c r="P8" s="29"/>
      <c r="Q8" s="529"/>
      <c r="R8" s="498"/>
      <c r="S8" s="529"/>
      <c r="T8" s="526"/>
      <c r="U8" s="526"/>
      <c r="V8" s="526"/>
      <c r="W8" s="526"/>
      <c r="X8" s="526"/>
    </row>
    <row r="9" spans="1:24">
      <c r="A9" s="695"/>
      <c r="B9" s="1" t="s">
        <v>19</v>
      </c>
      <c r="C9" s="486">
        <f>(([7]Offre_calc!$O$79+[7]Offre_calc!$O$125)/([7]Offre_calc!$O$78+[7]Offre_calc!$O$124))*Bilan_E_KP_AME_2030!I$21</f>
        <v>36.529586120250457</v>
      </c>
      <c r="D9" s="81"/>
      <c r="E9" s="28">
        <v>0</v>
      </c>
      <c r="F9" s="81"/>
      <c r="G9" s="17">
        <f t="shared" si="0"/>
        <v>36.529586120250457</v>
      </c>
      <c r="H9" s="81"/>
      <c r="I9" s="21"/>
      <c r="J9" s="81"/>
      <c r="K9" s="526"/>
      <c r="L9" s="526"/>
      <c r="M9" s="526"/>
      <c r="N9" s="526"/>
      <c r="O9" s="526"/>
      <c r="P9" s="29"/>
      <c r="Q9" s="529"/>
      <c r="R9" s="498"/>
      <c r="S9" s="529"/>
      <c r="T9" s="526"/>
      <c r="U9" s="526"/>
      <c r="V9" s="526"/>
      <c r="W9" s="526"/>
      <c r="X9" s="526"/>
    </row>
    <row r="10" spans="1:24">
      <c r="A10" s="695"/>
      <c r="B10" s="1" t="s">
        <v>20</v>
      </c>
      <c r="C10" s="17">
        <f>Bilan_E_KP_AME_2030!H21-(Bilan_E_KP_AME_2030!P20+Bilan_E_KP_AME_2030!P19)</f>
        <v>1190.909090909091</v>
      </c>
      <c r="D10" s="81"/>
      <c r="E10" s="28">
        <f>F13-SUM(E11:E19)</f>
        <v>798.24365979650884</v>
      </c>
      <c r="F10" s="81"/>
      <c r="G10" s="17">
        <f>C10-E10</f>
        <v>392.66543111258216</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Bilan_E_KP_AME_2030!M21</f>
        <v>0.46787592950723628</v>
      </c>
      <c r="D11" s="81"/>
      <c r="E11" s="28">
        <f>C11*(1-[7]Offre_calc!$O$161)</f>
        <v>0.21054416827825631</v>
      </c>
      <c r="F11" s="81"/>
      <c r="G11" s="17">
        <f t="shared" si="0"/>
        <v>0.25733176122897994</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Bilan_E_KP_AME_2030!K21</f>
        <v>7.9944017148664477</v>
      </c>
      <c r="D12" s="81"/>
      <c r="E12" s="28">
        <f>C12*(1-[7]Offre_calc!$O$171)</f>
        <v>5.5960812004065135</v>
      </c>
      <c r="F12" s="81"/>
      <c r="G12" s="17">
        <f t="shared" si="0"/>
        <v>2.3983205144599342</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Bilan_E_KP_AME_2030!J21</f>
        <v>31.567770517320518</v>
      </c>
      <c r="D13" s="81">
        <f>SUM(C7:C19)</f>
        <v>1446.9969298920842</v>
      </c>
      <c r="E13" s="28">
        <f>C13*(1-[7]Offre_calc!$O$170)</f>
        <v>22.097439362124362</v>
      </c>
      <c r="F13" s="81">
        <f>Bilan_E_KP_AME_2030!S21</f>
        <v>841.46963149182989</v>
      </c>
      <c r="G13" s="17">
        <f t="shared" si="0"/>
        <v>9.4703311551961562</v>
      </c>
      <c r="H13" s="81">
        <f>SUM(G7:G19)</f>
        <v>605.52729840025461</v>
      </c>
      <c r="I13" s="33">
        <f>Bilan_E_KP_AME_2030!P30</f>
        <v>36.294895286159367</v>
      </c>
      <c r="J13" s="81">
        <f>H13-I13</f>
        <v>569.23240311409529</v>
      </c>
      <c r="K13" s="29">
        <f>Bilan_E_KP_AME_2030!P31</f>
        <v>40.722330861669313</v>
      </c>
      <c r="L13" s="29">
        <f>-(Bilan_E_KP_AME_2030!P14+Bilan_E_KP_AME_2030!P13)</f>
        <v>73.711460432822037</v>
      </c>
      <c r="M13" s="29">
        <f>Bilan_E_KP_AME_2030!P28</f>
        <v>8.7832205538302136E-2</v>
      </c>
      <c r="N13" s="29"/>
      <c r="O13" s="29"/>
      <c r="P13" s="29"/>
      <c r="Q13" s="81">
        <f>J13-K13-L13-M13-N13-O13-P13</f>
        <v>454.71077961406564</v>
      </c>
      <c r="R13" s="508">
        <f>Q13-S13</f>
        <v>0</v>
      </c>
      <c r="S13" s="81">
        <f>SUM(T8:X19)</f>
        <v>454.71077961406559</v>
      </c>
      <c r="T13" s="29">
        <f>Bilan_E_KP_AME_2030!P38</f>
        <v>7.7746258142900144</v>
      </c>
      <c r="U13" s="29">
        <f>Bilan_E_KP_AME_2030!P34+Bilan_E_KP_AME_2030!P39</f>
        <v>109.51907717242362</v>
      </c>
      <c r="V13" s="29">
        <f>Bilan_E_KP_AME_2030!P36</f>
        <v>175.94122104806229</v>
      </c>
      <c r="W13" s="29">
        <f>Bilan_E_KP_AME_2030!P37</f>
        <v>131.24016316985416</v>
      </c>
      <c r="X13" s="29">
        <f>Bilan_E_KP_AME_2030!P35</f>
        <v>30.235692409435519</v>
      </c>
    </row>
    <row r="14" spans="1:24">
      <c r="A14" s="695"/>
      <c r="B14" s="1" t="s">
        <v>24</v>
      </c>
      <c r="C14" s="17">
        <f>Bilan_E_KP_AME_2030!O21</f>
        <v>3.0833964576427819</v>
      </c>
      <c r="D14" s="81"/>
      <c r="E14" s="28">
        <v>0</v>
      </c>
      <c r="F14" s="81"/>
      <c r="G14" s="17">
        <f t="shared" si="0"/>
        <v>3.0833964576427819</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Bilan_E_KP_AME_2030!L21</f>
        <v>2.0695499375006161</v>
      </c>
      <c r="D16" s="81"/>
      <c r="E16" s="28">
        <f>C16*(1-[7]Offre_calc!$O$158)</f>
        <v>1.1589479650003451</v>
      </c>
      <c r="F16" s="81"/>
      <c r="G16" s="17">
        <f t="shared" si="0"/>
        <v>0.91060197250027097</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Bilan_E_KP_AME_2030!F21</f>
        <v>7.5307695076515202</v>
      </c>
      <c r="D17" s="81"/>
      <c r="E17" s="28">
        <f>C17*(1-[7]Offre_calc!$O$158)</f>
        <v>4.217230924284852</v>
      </c>
      <c r="F17" s="81"/>
      <c r="G17" s="17">
        <f t="shared" si="0"/>
        <v>3.3135385833666682</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Bilan_E_KP_AME_2030!D21</f>
        <v>2.8267856410252494</v>
      </c>
      <c r="D18" s="81"/>
      <c r="E18" s="28">
        <f>C18*(1-[7]Offre_calc!$O$157)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Bilan_E_KP_AME_2030!G21+Bilan_E_KP_AME_2030!R21</f>
        <v>17.818181818181817</v>
      </c>
      <c r="D19" s="82"/>
      <c r="E19" s="28">
        <f>C19*(1-[7]Offre_calc!$O$160)</f>
        <v>8.0181818181818159</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0.3297190642930079</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Bilan_E_KP_AME_2030!J23+Bilan_E_KP_AME_2030!M12</f>
        <v>7.9147659811273154</v>
      </c>
      <c r="D21" s="531"/>
      <c r="E21" s="33">
        <f>Bilan_E_KP_AME_2030!S23+Bilan_E_KP_AME_2030!M30</f>
        <v>1.1227112434658622</v>
      </c>
      <c r="F21" s="531"/>
      <c r="G21" s="17">
        <f t="shared" ref="G21:G45" si="1">C21-E21</f>
        <v>6.7920547376614531</v>
      </c>
      <c r="H21" s="531"/>
      <c r="I21" s="17"/>
      <c r="J21" s="531"/>
      <c r="K21" s="547">
        <f>Bilan_E_KP_AME_2030!M31</f>
        <v>8.0245635507199722E-2</v>
      </c>
      <c r="L21" s="547">
        <f>-(Bilan_E_KP_AME_2030!M13+Bilan_E_KP_AME_2030!M14+Bilan_E_KP_AME_2030!M15+Bilan_E_KP_AME_2030!M16)</f>
        <v>0</v>
      </c>
      <c r="M21" s="547">
        <f>Bilan_E_KP_AME_2030!M28</f>
        <v>1.8554553419966327E-2</v>
      </c>
      <c r="N21" s="547">
        <f>Bilan_E_KP_AME_2030!M22</f>
        <v>0.33007353312586968</v>
      </c>
      <c r="O21" s="547">
        <f>Bilan_E_KP_AME_2030!M21</f>
        <v>0.46787592950723628</v>
      </c>
      <c r="P21" s="531"/>
      <c r="Q21" s="531"/>
      <c r="R21" s="498"/>
      <c r="S21" s="531"/>
      <c r="T21" s="531"/>
      <c r="U21" s="531"/>
      <c r="V21" s="531"/>
      <c r="W21" s="531"/>
      <c r="X21" s="531"/>
    </row>
    <row r="22" spans="1:24">
      <c r="A22" s="696"/>
      <c r="B22" s="1" t="s">
        <v>30</v>
      </c>
      <c r="C22" s="17"/>
      <c r="D22" s="85">
        <f>SUM(C21:C24)</f>
        <v>340.54223512815361</v>
      </c>
      <c r="E22" s="497"/>
      <c r="F22" s="85">
        <f>SUM(E21:E24)</f>
        <v>6.8979987182307463</v>
      </c>
      <c r="G22" s="17"/>
      <c r="H22" s="85">
        <f>SUM(G21:G24)</f>
        <v>333.64423640992288</v>
      </c>
      <c r="I22" s="408"/>
      <c r="J22" s="85">
        <f>H22-I22</f>
        <v>333.64423640992288</v>
      </c>
      <c r="K22" s="32"/>
      <c r="L22" s="32"/>
      <c r="M22" s="32"/>
      <c r="N22" s="32"/>
      <c r="O22" s="32"/>
      <c r="P22" s="32"/>
      <c r="Q22" s="85">
        <f>J22-SUM(K21:P24)</f>
        <v>294.55911926183188</v>
      </c>
      <c r="R22" s="508">
        <f>Q22-S22</f>
        <v>-2.4997359764427074E-2</v>
      </c>
      <c r="S22" s="85">
        <f>SUM(T22:X24)</f>
        <v>294.58411662159631</v>
      </c>
      <c r="T22" s="32">
        <f>Bilan_E_KP_AME_2030!G38+Bilan_E_KP_AME_2030!R38+Bilan_E_KP_AME_2030!M$38</f>
        <v>2.2065468915632476</v>
      </c>
      <c r="U22" s="32">
        <f>Bilan_E_KP_AME_2030!G34+Bilan_E_KP_AME_2030!R34+Bilan_E_KP_AME_2030!M$34</f>
        <v>107.57006290409642</v>
      </c>
      <c r="V22" s="32">
        <f>Bilan_E_KP_AME_2030!G36+Bilan_E_KP_AME_2030!R36+Bilan_E_KP_AME_2030!M$36</f>
        <v>105.84038447625139</v>
      </c>
      <c r="W22" s="32">
        <f>Bilan_E_KP_AME_2030!G37+Bilan_E_KP_AME_2030!K37+Bilan_E_KP_AME_2030!R37+Bilan_E_KP_AME_2030!M$37</f>
        <v>63.626820842219111</v>
      </c>
      <c r="X22" s="32">
        <f>Bilan_E_KP_AME_2030!G35+Bilan_E_KP_AME_2030!R35+Bilan_E_KP_AME_2030!M$35</f>
        <v>15.340301507466149</v>
      </c>
    </row>
    <row r="23" spans="1:24">
      <c r="A23" s="696"/>
      <c r="B23" s="1" t="s">
        <v>31</v>
      </c>
      <c r="C23" s="17">
        <f>SUM(Bilan_E_KP_AME_2030!D28:Q28)-C47</f>
        <v>1.0257546861080284</v>
      </c>
      <c r="D23" s="532"/>
      <c r="E23" s="33">
        <f>Bilan_E_KP_AME_2030!S28+Bilan_E_KP_AME_2030!S27</f>
        <v>0.31211801610932366</v>
      </c>
      <c r="F23" s="534"/>
      <c r="G23" s="17">
        <f t="shared" si="1"/>
        <v>0.71363666999870479</v>
      </c>
      <c r="H23" s="534"/>
      <c r="I23" s="17"/>
      <c r="J23" s="534"/>
      <c r="K23" s="536">
        <f>Bilan_E_KP_AME_2030!R31</f>
        <v>0</v>
      </c>
      <c r="L23" s="536">
        <f>-(Bilan_E_KP_AME_2030!R13+Bilan_E_KP_AME_2030!R14+Bilan_E_KP_AME_2030!R15+Bilan_E_KP_AME_2030!R16)</f>
        <v>0</v>
      </c>
      <c r="M23" s="536"/>
      <c r="N23" s="536">
        <f>Bilan_E_KP_AME_2030!R22</f>
        <v>0</v>
      </c>
      <c r="O23" s="536">
        <f>Bilan_E_KP_AME_2030!R21</f>
        <v>0</v>
      </c>
      <c r="P23" s="536">
        <f>-Bilan_E_KP_AME_2030!L27</f>
        <v>0</v>
      </c>
      <c r="Q23" s="534"/>
      <c r="S23" s="534"/>
      <c r="T23" s="538"/>
      <c r="U23" s="538"/>
      <c r="V23" s="538"/>
      <c r="W23" s="538"/>
      <c r="X23" s="538"/>
    </row>
    <row r="24" spans="1:24">
      <c r="A24" s="696"/>
      <c r="B24" s="1" t="s">
        <v>32</v>
      </c>
      <c r="C24" s="17">
        <f>Bilan_E_KP_AME_2030!G18-C45-(Bilan_E_KP_AME_2030!G20+Bilan_E_KP_AME_2030!G19)</f>
        <v>331.60171446091829</v>
      </c>
      <c r="D24" s="533"/>
      <c r="E24" s="33">
        <f>Bilan_E_KP_AME_2030!G30</f>
        <v>5.4631694586555604</v>
      </c>
      <c r="F24" s="535"/>
      <c r="G24" s="17">
        <f t="shared" si="1"/>
        <v>326.13854500226273</v>
      </c>
      <c r="H24" s="535"/>
      <c r="I24" s="34"/>
      <c r="J24" s="535"/>
      <c r="K24" s="537">
        <f>Bilan_E_KP_AME_2030!G31</f>
        <v>3.9320361398527859</v>
      </c>
      <c r="L24" s="537"/>
      <c r="M24" s="537">
        <f>Bilan_E_KP_AME_2030!G28</f>
        <v>0.90917311757834995</v>
      </c>
      <c r="N24" s="537">
        <f>Bilan_E_KP_AME_2030!G22</f>
        <v>15.528976420917793</v>
      </c>
      <c r="O24" s="537">
        <f>Bilan_E_KP_AME_2030!G21</f>
        <v>17.818181818181817</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Bilan_E_KP_AME_2030!M22</f>
        <v>0.33007353312586968</v>
      </c>
      <c r="D26" s="512"/>
      <c r="E26" s="190">
        <f>C26*F$35</f>
        <v>3.1938090313895343E-2</v>
      </c>
      <c r="F26" s="512"/>
      <c r="G26" s="33">
        <f t="shared" ref="G26:G31" si="2">C26-E26</f>
        <v>0.29813544281197435</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Bilan_E_KP_AME_2030!K18-Bilan_E_KP_AME_2030!K21-(Bilan_E_KP_AME_2030!Q20+Bilan_E_KP_AME_2030!Q19+Bilan_E_KP_AME_2030!K20+Bilan_E_KP_AME_2030!K19)</f>
        <v>14.273681836752203</v>
      </c>
      <c r="D27" s="87"/>
      <c r="E27" s="190">
        <f t="shared" ref="E27:E34" si="3">C27*F$35</f>
        <v>1.3811290329665942</v>
      </c>
      <c r="F27" s="87"/>
      <c r="G27" s="33">
        <f t="shared" si="2"/>
        <v>12.892552803785609</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Bilan_E_KP_AME_2030!J22</f>
        <v>13.425934567091144</v>
      </c>
      <c r="D29" s="87"/>
      <c r="E29" s="190">
        <f t="shared" si="3"/>
        <v>1.2991005570528098</v>
      </c>
      <c r="F29" s="87"/>
      <c r="G29" s="33">
        <f t="shared" si="2"/>
        <v>12.126834010038333</v>
      </c>
      <c r="H29" s="87"/>
      <c r="I29" s="1"/>
      <c r="J29" s="87"/>
      <c r="K29" s="87"/>
      <c r="L29" s="87"/>
      <c r="M29" s="87"/>
      <c r="N29" s="87"/>
      <c r="O29" s="87"/>
      <c r="P29" s="87"/>
      <c r="Q29" s="87"/>
      <c r="R29" s="498"/>
      <c r="S29" s="87"/>
      <c r="T29" s="87"/>
      <c r="U29" s="87"/>
      <c r="V29" s="87"/>
      <c r="W29" s="87"/>
      <c r="X29" s="87"/>
    </row>
    <row r="30" spans="1:24">
      <c r="A30" s="697"/>
      <c r="B30" s="1" t="s">
        <v>24</v>
      </c>
      <c r="C30" s="17">
        <f>Bilan_E_KP_AME_2030!O22</f>
        <v>2.2140049259569654</v>
      </c>
      <c r="D30" s="86">
        <f>SUM(C26:C34)</f>
        <v>45.772671283843977</v>
      </c>
      <c r="E30" s="190">
        <f t="shared" si="3"/>
        <v>0.21422829213531003</v>
      </c>
      <c r="F30" s="86">
        <f>Bilan_E_KP_AME_2030!S22</f>
        <v>4.4289879758828699</v>
      </c>
      <c r="G30" s="33">
        <f t="shared" si="2"/>
        <v>1.9997766338216554</v>
      </c>
      <c r="H30" s="86">
        <f>SUM(G26:G34)</f>
        <v>41.343683307961101</v>
      </c>
      <c r="I30" s="1"/>
      <c r="J30" s="86">
        <f>H30</f>
        <v>41.343683307961101</v>
      </c>
      <c r="K30" s="87">
        <f>Bilan_E_KP_AME_2030!Q31</f>
        <v>3.067587727965682</v>
      </c>
      <c r="L30" s="87"/>
      <c r="M30" s="87">
        <f>Bilan_E_KP_AME_2030!K28</f>
        <v>1.0194809571410069E-2</v>
      </c>
      <c r="N30" s="87"/>
      <c r="O30" s="87"/>
      <c r="P30" s="87"/>
      <c r="Q30" s="86">
        <f>J30-K30-L30-M30-N30-O30-P30</f>
        <v>38.265900770424011</v>
      </c>
      <c r="R30" s="508">
        <f>Q30-S30</f>
        <v>2.4997359764462601E-2</v>
      </c>
      <c r="S30" s="86">
        <f>SUM(T27:X34)</f>
        <v>38.240903410659548</v>
      </c>
      <c r="T30" s="87">
        <f>Bilan_E_KP_AME_2030!Q$38</f>
        <v>0</v>
      </c>
      <c r="U30" s="87">
        <f>Bilan_E_KP_AME_2030!Q$34+Bilan_E_KP_AME_2030!K34</f>
        <v>18.104889666565256</v>
      </c>
      <c r="V30" s="87">
        <f>Bilan_E_KP_AME_2030!Q$36</f>
        <v>15.783130887728015</v>
      </c>
      <c r="W30" s="87">
        <f>Bilan_E_KP_AME_2030!Q$37</f>
        <v>4.3528828563662758</v>
      </c>
      <c r="X30" s="87">
        <f>Bilan_E_KP_AME_2030!Q$35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Bilan_E_KP_AME_2030!G22</f>
        <v>15.528976420917793</v>
      </c>
      <c r="D32" s="86"/>
      <c r="E32" s="190">
        <f t="shared" si="3"/>
        <v>1.5025920034142604</v>
      </c>
      <c r="F32" s="86"/>
      <c r="G32" s="33">
        <f>C32-E32</f>
        <v>14.026384417503532</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Bilan_E_KP_AME_2030!F22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Bilan_E_KP_AME_2030!D22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9.6760530938165612E-2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102.29885085722037</v>
      </c>
      <c r="D37" s="541"/>
      <c r="E37" s="504"/>
      <c r="F37" s="541"/>
      <c r="G37" s="17">
        <f t="shared" ref="G37:G42" si="5">C37-E37</f>
        <v>102.29885085722037</v>
      </c>
      <c r="H37" s="541"/>
      <c r="I37" s="498"/>
      <c r="J37" s="37"/>
      <c r="K37" s="35"/>
      <c r="L37" s="35"/>
      <c r="M37" s="505"/>
      <c r="N37" s="35"/>
      <c r="P37" s="35"/>
      <c r="Q37" s="543"/>
      <c r="R37" s="498"/>
      <c r="S37" s="541"/>
      <c r="T37" s="506">
        <f>Bilan_E_KP_AME_2030!J38</f>
        <v>1.4487991994826963</v>
      </c>
      <c r="U37" s="93">
        <f>Bilan_E_KP_AME_2030!J34</f>
        <v>18.534460646102772</v>
      </c>
      <c r="V37" s="506">
        <f>Bilan_E_KP_AME_2030!J36</f>
        <v>78.735270640359559</v>
      </c>
      <c r="W37" s="507">
        <f>Bilan_E_KP_AME_2030!J37</f>
        <v>3.5803203712753549</v>
      </c>
      <c r="X37" s="506">
        <f>Bilan_E_KP_AME_2030!J35</f>
        <v>0</v>
      </c>
      <c r="Y37" s="489">
        <f t="shared" ref="Y37:Y47" si="6">SUM(T37:X37)</f>
        <v>102.29885085722037</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191.44682633275042</v>
      </c>
      <c r="R38" s="498"/>
      <c r="S38" s="541"/>
      <c r="T38" s="84">
        <v>0</v>
      </c>
      <c r="U38" s="83">
        <v>0</v>
      </c>
      <c r="V38" s="84">
        <v>0</v>
      </c>
      <c r="W38" s="91">
        <v>0</v>
      </c>
      <c r="X38" s="91">
        <v>0</v>
      </c>
      <c r="Y38" s="489">
        <f t="shared" si="6"/>
        <v>0</v>
      </c>
      <c r="Z38" s="489">
        <f t="shared" si="7"/>
        <v>0</v>
      </c>
    </row>
    <row r="39" spans="1:26">
      <c r="A39" s="679"/>
      <c r="B39" s="1" t="s">
        <v>35</v>
      </c>
      <c r="C39" s="33">
        <f>SUM(T39:X39)</f>
        <v>2.8493182047113157</v>
      </c>
      <c r="D39" s="541"/>
      <c r="E39" s="35"/>
      <c r="F39" s="541"/>
      <c r="G39" s="17">
        <f t="shared" si="5"/>
        <v>2.8493182047113157</v>
      </c>
      <c r="H39" s="541"/>
      <c r="I39" s="35"/>
      <c r="J39" s="37"/>
      <c r="K39" s="35"/>
      <c r="L39" s="35"/>
      <c r="M39" s="37"/>
      <c r="N39" s="35"/>
      <c r="O39" s="35"/>
      <c r="P39" s="35"/>
      <c r="Q39" s="543"/>
      <c r="R39" s="498"/>
      <c r="S39" s="541"/>
      <c r="T39" s="84">
        <f>Bilan_E_KP_AME_2030!O38</f>
        <v>8.4265288301735436E-2</v>
      </c>
      <c r="U39" s="83">
        <f>Bilan_E_KP_AME_2030!O34</f>
        <v>3.8267455312152764E-4</v>
      </c>
      <c r="V39" s="84">
        <f>Bilan_E_KP_AME_2030!O36</f>
        <v>1.9317269815068459</v>
      </c>
      <c r="W39" s="91">
        <f>Bilan_E_KP_AME_2030!O37</f>
        <v>0.83294326034961275</v>
      </c>
      <c r="X39" s="91">
        <f>Bilan_E_KP_AME_2030!O35</f>
        <v>0</v>
      </c>
      <c r="Y39" s="489">
        <f t="shared" si="6"/>
        <v>2.8493182047113157</v>
      </c>
      <c r="Z39" s="489">
        <f t="shared" si="7"/>
        <v>0</v>
      </c>
    </row>
    <row r="40" spans="1:26">
      <c r="A40" s="679"/>
      <c r="B40" s="1" t="s">
        <v>36</v>
      </c>
      <c r="C40" s="33">
        <f>Bilan_E_KP_AME_2030!N12</f>
        <v>49.514351265721807</v>
      </c>
      <c r="D40" s="541"/>
      <c r="E40" s="35"/>
      <c r="F40" s="541"/>
      <c r="G40" s="17">
        <f t="shared" si="5"/>
        <v>49.514351265721807</v>
      </c>
      <c r="H40" s="541"/>
      <c r="I40" s="35"/>
      <c r="J40" s="37"/>
      <c r="K40" s="35"/>
      <c r="L40" s="35"/>
      <c r="M40" s="37"/>
      <c r="N40" s="35"/>
      <c r="O40" s="35"/>
      <c r="P40" s="35"/>
      <c r="Q40" s="543"/>
      <c r="R40" s="498"/>
      <c r="S40" s="541"/>
      <c r="T40" s="83">
        <f>Bilan_E_KP_AME_2030!N$38</f>
        <v>0</v>
      </c>
      <c r="U40" s="83">
        <f>Bilan_E_KP_AME_2030!N$34</f>
        <v>0</v>
      </c>
      <c r="V40" s="83">
        <f>Bilan_E_KP_AME_2030!N$36</f>
        <v>41.43976216997369</v>
      </c>
      <c r="W40" s="83">
        <f>Bilan_E_KP_AME_2030!N$37</f>
        <v>8.0745890957481183</v>
      </c>
      <c r="X40" s="84">
        <f>Bilan_E_KP_AME_2030!N$35</f>
        <v>0</v>
      </c>
      <c r="Y40" s="489">
        <f t="shared" si="6"/>
        <v>49.514351265721807</v>
      </c>
      <c r="Z40" s="489">
        <f t="shared" si="7"/>
        <v>0</v>
      </c>
    </row>
    <row r="41" spans="1:26">
      <c r="A41" s="679"/>
      <c r="B41" s="1" t="s">
        <v>37</v>
      </c>
      <c r="C41" s="33">
        <f>Bilan_E_KP_AME_2030!L12+Bilan_E_KP_AME_2030!J26+Bilan_E_KP_AME_2030!J27-Bilan_E_KP_AME_2030!L21</f>
        <v>35.852433715856947</v>
      </c>
      <c r="D41" s="191">
        <f>SUM(C36:C47)</f>
        <v>847.55248436510703</v>
      </c>
      <c r="E41" s="38"/>
      <c r="F41" s="191">
        <f>SUM(E36:E47)</f>
        <v>30.784612688534001</v>
      </c>
      <c r="G41" s="17">
        <f t="shared" si="5"/>
        <v>35.852433715856947</v>
      </c>
      <c r="H41" s="191">
        <f>SUM(G36:G47)</f>
        <v>816.76787167657301</v>
      </c>
      <c r="I41" s="35"/>
      <c r="J41" s="37"/>
      <c r="K41" s="35"/>
      <c r="L41" s="37">
        <f>-SUM(Bilan_E_KP_AME_2030!L13:L16)</f>
        <v>-0.93187228923998122</v>
      </c>
      <c r="M41" s="35"/>
      <c r="N41" s="35"/>
      <c r="O41" s="35"/>
      <c r="P41" s="35"/>
      <c r="Q41" s="543"/>
      <c r="R41" s="508">
        <f>SUM(Q36:Q47)-S41</f>
        <v>6.7914440660388209E-4</v>
      </c>
      <c r="S41" s="191">
        <f>SUM(T36:X46)</f>
        <v>644.93849128905833</v>
      </c>
      <c r="T41" s="83">
        <f>Bilan_E_KP_AME_2030!L$38</f>
        <v>2.4657875210358444</v>
      </c>
      <c r="U41" s="83">
        <f>Bilan_E_KP_AME_2030!L$34</f>
        <v>0.85092246484375</v>
      </c>
      <c r="V41" s="83">
        <f>Bilan_E_KP_AME_2030!L$36</f>
        <v>0</v>
      </c>
      <c r="W41" s="83">
        <f>Bilan_E_KP_AME_2030!L$37</f>
        <v>0</v>
      </c>
      <c r="X41" s="84">
        <f>Bilan_E_KP_AME_2030!L$35</f>
        <v>33.466916874810835</v>
      </c>
      <c r="Y41" s="489">
        <f t="shared" si="6"/>
        <v>36.783626860690433</v>
      </c>
      <c r="Z41" s="489">
        <f>G41-Y41-L41</f>
        <v>6.7914440649519126E-4</v>
      </c>
    </row>
    <row r="42" spans="1:26">
      <c r="A42" s="679"/>
      <c r="B42" s="1" t="s">
        <v>38</v>
      </c>
      <c r="C42" s="33">
        <f>Bilan_E_KP_AME_2030!E18+Bilan_E_KP_AME_2030!F18-Bilan_E_KP_AME_2030!F21-Bilan_E_KP_AME_2030!F22-E54-SUM(T43:X43)-(Bilan_E_KP_AME_2030!E20+Bilan_E_KP_AME_2030!F20+Bilan_E_KP_AME_2030!E19+Bilan_E_KP_AME_2030!F19)</f>
        <v>374.9547365883513</v>
      </c>
      <c r="D42" s="541"/>
      <c r="E42" s="17">
        <f>Bilan_E_KP_AME_2030!F30+Bilan_E_KP_AME_2030!S25+Bilan_E_KP_AME_2030!F29+Bilan_E_KP_AME_2030!E29</f>
        <v>30.784612688534001</v>
      </c>
      <c r="F42" s="541"/>
      <c r="G42" s="17">
        <f t="shared" si="5"/>
        <v>344.17012389981727</v>
      </c>
      <c r="H42" s="541"/>
      <c r="I42" s="498"/>
      <c r="J42" s="37"/>
      <c r="K42" s="35"/>
      <c r="L42" s="35"/>
      <c r="M42" s="35"/>
      <c r="N42" s="35"/>
      <c r="O42" s="35"/>
      <c r="P42" s="35"/>
      <c r="Q42" s="36">
        <f>G42</f>
        <v>344.17012389981727</v>
      </c>
      <c r="R42" s="498"/>
      <c r="S42" s="541"/>
      <c r="T42" s="83">
        <v>0</v>
      </c>
      <c r="U42" s="83">
        <v>0</v>
      </c>
      <c r="V42" s="83">
        <v>0</v>
      </c>
      <c r="W42" s="83">
        <v>0</v>
      </c>
      <c r="X42" s="84">
        <f>Bilan_E_KP_AME_2030!F35</f>
        <v>344.1701238998171</v>
      </c>
      <c r="Y42" s="489">
        <f t="shared" si="6"/>
        <v>344.1701238998171</v>
      </c>
      <c r="Z42" s="489">
        <f>Q42-SUM(T42:X42)</f>
        <v>0</v>
      </c>
    </row>
    <row r="43" spans="1:26">
      <c r="A43" s="679"/>
      <c r="B43" s="1" t="s">
        <v>39</v>
      </c>
      <c r="C43" s="33">
        <f>Bilan_E_KP_AME_2030!F41+SUM(T43:X43)</f>
        <v>223.32472443834632</v>
      </c>
      <c r="D43" s="541"/>
      <c r="E43" s="38"/>
      <c r="F43" s="541"/>
      <c r="G43" s="17">
        <f>C43-E43</f>
        <v>223.32472443834632</v>
      </c>
      <c r="H43" s="541"/>
      <c r="I43" s="35"/>
      <c r="J43" s="37"/>
      <c r="K43" s="35"/>
      <c r="L43" s="35"/>
      <c r="M43" s="35"/>
      <c r="N43" s="35"/>
      <c r="O43" s="35"/>
      <c r="P43" s="35"/>
      <c r="Q43" s="36">
        <f>G43-Bilan_E_KP_AME_2030!F41</f>
        <v>102.81894603292447</v>
      </c>
      <c r="R43" s="498"/>
      <c r="S43" s="541"/>
      <c r="T43" s="83">
        <f>Bilan_E_KP_AME_2030!F38</f>
        <v>33.167847610565538</v>
      </c>
      <c r="U43" s="83">
        <f>Bilan_E_KP_AME_2030!F34</f>
        <v>25.052429385041094</v>
      </c>
      <c r="V43" s="83">
        <f>Bilan_E_KP_AME_2030!F36</f>
        <v>31.509183869953784</v>
      </c>
      <c r="W43" s="83">
        <f>Bilan_E_KP_AME_2030!F37</f>
        <v>13.089485167364064</v>
      </c>
      <c r="X43" s="84">
        <v>0</v>
      </c>
      <c r="Y43" s="489">
        <f t="shared" si="6"/>
        <v>102.81894603292447</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G44-Bilan_E_KP_AME_2030!K41</f>
        <v>0</v>
      </c>
      <c r="R44" s="498"/>
      <c r="S44" s="541"/>
      <c r="T44" s="83">
        <f>Bilan_E_KP_AME_2030!K$38</f>
        <v>0</v>
      </c>
      <c r="U44" s="83">
        <v>0</v>
      </c>
      <c r="V44" s="83">
        <f>Bilan_E_KP_AME_2030!K$36</f>
        <v>0</v>
      </c>
      <c r="W44" s="83">
        <v>0</v>
      </c>
      <c r="X44" s="84">
        <f>Bilan_E_KP_AME_2030!K$35</f>
        <v>0</v>
      </c>
      <c r="Y44" s="489">
        <f t="shared" si="6"/>
        <v>0</v>
      </c>
      <c r="Z44" s="489">
        <f t="shared" si="7"/>
        <v>0</v>
      </c>
    </row>
    <row r="45" spans="1:26">
      <c r="A45" s="679"/>
      <c r="B45" s="1" t="s">
        <v>41</v>
      </c>
      <c r="C45" s="33">
        <f>E53</f>
        <v>12.411293173801123</v>
      </c>
      <c r="D45" s="541"/>
      <c r="E45" s="38"/>
      <c r="F45" s="541"/>
      <c r="G45" s="17">
        <f t="shared" si="1"/>
        <v>12.411293173801123</v>
      </c>
      <c r="H45" s="541"/>
      <c r="I45" s="35"/>
      <c r="J45" s="37"/>
      <c r="K45" s="35"/>
      <c r="L45" s="35"/>
      <c r="M45" s="35"/>
      <c r="N45" s="35"/>
      <c r="O45" s="35"/>
      <c r="P45" s="35"/>
      <c r="Q45" s="36">
        <f>G45-Bilan_E_KP_AME_2030!G41</f>
        <v>0</v>
      </c>
      <c r="R45" s="498"/>
      <c r="S45" s="541"/>
      <c r="T45" s="84">
        <v>0</v>
      </c>
      <c r="U45" s="83">
        <v>0</v>
      </c>
      <c r="V45" s="84">
        <v>0</v>
      </c>
      <c r="W45" s="92">
        <v>0</v>
      </c>
      <c r="X45" s="84">
        <v>0</v>
      </c>
      <c r="Y45" s="489">
        <f t="shared" si="6"/>
        <v>0</v>
      </c>
      <c r="Z45" s="489">
        <f>Q45-Y45</f>
        <v>0</v>
      </c>
    </row>
    <row r="46" spans="1:26">
      <c r="A46" s="679"/>
      <c r="B46" s="1" t="s">
        <v>42</v>
      </c>
      <c r="C46" s="33">
        <f>Bilan_E_KP_AME_2030!D18-C18-C34</f>
        <v>46.34677612109779</v>
      </c>
      <c r="D46" s="541"/>
      <c r="E46" s="511"/>
      <c r="F46" s="541"/>
      <c r="G46" s="17">
        <f>C46-E46</f>
        <v>46.34677612109779</v>
      </c>
      <c r="H46" s="541"/>
      <c r="I46" s="38"/>
      <c r="J46" s="37"/>
      <c r="K46" s="35"/>
      <c r="L46" s="35"/>
      <c r="M46" s="35"/>
      <c r="N46" s="35"/>
      <c r="O46" s="35"/>
      <c r="P46" s="35"/>
      <c r="Q46" s="36">
        <f>G46-(Bilan_E_KP_AME_2030!D41+Bilan_E_KP_AME_2030!D29+Bilan_E_KP_AME_2030!D30)</f>
        <v>6.5032741679727906</v>
      </c>
      <c r="R46" s="498"/>
      <c r="S46" s="541"/>
      <c r="T46" s="506">
        <f>Bilan_E_KP_AME_2030!D38</f>
        <v>0</v>
      </c>
      <c r="U46" s="93">
        <f>Bilan_E_KP_AME_2030!D34</f>
        <v>6.5032741679727843</v>
      </c>
      <c r="V46" s="506">
        <f>Bilan_E_KP_AME_2030!D36</f>
        <v>0</v>
      </c>
      <c r="W46" s="507">
        <f>Bilan_E_KP_AME_2030!D37</f>
        <v>0</v>
      </c>
      <c r="X46" s="506">
        <f>Bilan_E_KP_AME_2030!D35</f>
        <v>0</v>
      </c>
      <c r="Y46" s="489">
        <f t="shared" si="6"/>
        <v>6.5032741679727843</v>
      </c>
      <c r="Z46" s="489">
        <f>Q46-Y46</f>
        <v>0</v>
      </c>
    </row>
    <row r="47" spans="1:26">
      <c r="A47" s="90"/>
      <c r="B47" s="1" t="s">
        <v>31</v>
      </c>
      <c r="C47" s="33">
        <f>E57</f>
        <v>0</v>
      </c>
      <c r="D47" s="192"/>
      <c r="E47" s="511"/>
      <c r="F47" s="192"/>
      <c r="G47" s="17">
        <f>C47-E47</f>
        <v>0</v>
      </c>
      <c r="H47" s="192"/>
      <c r="I47" s="38"/>
      <c r="J47" s="37"/>
      <c r="K47" s="35"/>
      <c r="L47" s="35"/>
      <c r="M47" s="35"/>
      <c r="N47" s="35"/>
      <c r="O47" s="35"/>
      <c r="P47" s="35"/>
      <c r="Q47" s="544">
        <f>G47-Bilan_E_KP_AME_2030!R41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C5-L13-SUM(L21:L24)-L30-L41-Bilan_E_KP_AME_2030!S18</f>
        <v>0</v>
      </c>
      <c r="D49" s="1"/>
      <c r="E49" s="34">
        <f>SUM(E7:E47)+I13-Bilan_E_KP_AME_2030!S32+K13+SUM(K21:K24)+K30+Bilan_E_KP_AME_2030!D29+Bilan_E_KP_AME_2030!D30</f>
        <v>7.9936057773011271E-14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487.48754035990942</v>
      </c>
    </row>
    <row r="52" spans="1:19">
      <c r="A52" s="21"/>
      <c r="B52" s="1" t="s">
        <v>44</v>
      </c>
      <c r="C52" s="44"/>
      <c r="D52" s="1"/>
      <c r="E52" s="39">
        <f>Bilan_E_KP_AME_2030!D41+Bilan_E_KP_AME_2030!D29+Bilan_E_KP_AME_2030!D30</f>
        <v>39.843501953124999</v>
      </c>
      <c r="F52" s="187"/>
      <c r="G52" s="1"/>
      <c r="H52" s="1"/>
      <c r="I52" s="30"/>
      <c r="J52" s="17"/>
      <c r="K52" s="17"/>
      <c r="L52" s="21"/>
      <c r="M52" s="1"/>
      <c r="N52" s="17"/>
      <c r="O52" s="17"/>
      <c r="P52" s="17"/>
      <c r="Q52" s="1"/>
      <c r="S52" s="33"/>
    </row>
    <row r="53" spans="1:19">
      <c r="A53" s="21"/>
      <c r="B53" s="1" t="s">
        <v>41</v>
      </c>
      <c r="C53" s="45"/>
      <c r="D53" s="17"/>
      <c r="E53" s="433">
        <f>Bilan_E_KP_AME_2030!G41+Bilan_E_KP_AME_2030!G29</f>
        <v>12.411293173801123</v>
      </c>
      <c r="F53" s="187"/>
      <c r="G53" s="1"/>
      <c r="H53" s="1"/>
      <c r="I53" s="30"/>
      <c r="J53" s="17"/>
      <c r="K53" s="17"/>
      <c r="L53" s="21"/>
      <c r="M53" s="1"/>
      <c r="N53" s="17"/>
      <c r="O53" s="17"/>
      <c r="P53" s="17"/>
      <c r="Q53" s="1"/>
    </row>
    <row r="54" spans="1:19">
      <c r="A54" s="21"/>
      <c r="B54" s="1" t="s">
        <v>39</v>
      </c>
      <c r="C54" s="45"/>
      <c r="D54" s="17"/>
      <c r="E54" s="435">
        <f>Bilan_E_KP_AME_2030!F41</f>
        <v>120.50577840542185</v>
      </c>
      <c r="F54" s="187"/>
      <c r="G54" s="1"/>
      <c r="H54" s="1"/>
      <c r="I54" s="30"/>
      <c r="J54" s="17"/>
      <c r="K54" s="17"/>
      <c r="L54" s="21"/>
      <c r="M54" s="21"/>
      <c r="N54" s="17"/>
      <c r="O54" s="17"/>
      <c r="P54" s="17"/>
      <c r="Q54" s="1"/>
    </row>
    <row r="55" spans="1:19">
      <c r="B55" s="1" t="s">
        <v>21</v>
      </c>
      <c r="E55" s="434">
        <f>Bilan_E_KP_AME_2030!M41+Bilan_E_KP_AME_2030!M29</f>
        <v>0</v>
      </c>
    </row>
    <row r="56" spans="1:19">
      <c r="B56" s="1" t="s">
        <v>37</v>
      </c>
      <c r="E56" s="515">
        <f>Bilan_E_KP_AME_2030!L41+Bilan_E_KP_AME_2030!L29</f>
        <v>0</v>
      </c>
    </row>
    <row r="57" spans="1:19">
      <c r="B57" s="1" t="s">
        <v>31</v>
      </c>
      <c r="E57" s="515">
        <f>Bilan_E_KP_AME_2030!R41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ABA0-5C50-4574-9AC2-4BA42536EAF7}">
  <dimension ref="A1:Z57"/>
  <sheetViews>
    <sheetView topLeftCell="A4"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2557.1577904897672</v>
      </c>
      <c r="D5" s="18"/>
      <c r="E5" s="20"/>
      <c r="F5" s="494"/>
      <c r="G5" s="21"/>
      <c r="H5" s="493"/>
      <c r="I5" s="21"/>
      <c r="J5" s="22"/>
      <c r="K5" s="23"/>
      <c r="L5" s="14"/>
      <c r="M5" s="14"/>
      <c r="N5" s="15"/>
      <c r="O5" s="16"/>
      <c r="P5" s="16"/>
      <c r="Q5" s="24">
        <f>Q13+Q22+Q30+Q42+Q46+Q38+Q43</f>
        <v>1409.9429352165114</v>
      </c>
      <c r="R5" s="487"/>
      <c r="S5" s="79">
        <f>SUM(S13,S22,S27:S32,S41)</f>
        <v>1409.9432361019374</v>
      </c>
      <c r="T5" s="79">
        <f>SUM(T8:T46)</f>
        <v>46.257798340783566</v>
      </c>
      <c r="U5" s="79">
        <f>SUM(U8:U46)</f>
        <v>283.32534705645605</v>
      </c>
      <c r="V5" s="79">
        <f>SUM(V8:V46)</f>
        <v>451.16087209850525</v>
      </c>
      <c r="W5" s="173">
        <f>SUM(W8:W46)</f>
        <v>224.74593228110416</v>
      </c>
      <c r="X5" s="79">
        <f>SUM(X8:X46)</f>
        <v>404.4532863250883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(([7]Offre_calc!$P$81+[7]Offre_calc!$P$82+[7]Offre_calc!$P$127+[7]Offre_calc!$P$128)/([7]Offre_calc!$P$78+[7]Offre_calc!$P$124))*Bilan_E_KP_AME_2033!I$21</f>
        <v>96.505602816020541</v>
      </c>
      <c r="D7" s="518"/>
      <c r="E7" s="28">
        <v>0</v>
      </c>
      <c r="F7" s="518"/>
      <c r="G7" s="17">
        <f>C7-E7</f>
        <v>96.505602816020541</v>
      </c>
      <c r="H7" s="518"/>
      <c r="I7" s="21"/>
      <c r="J7" s="518"/>
      <c r="K7" s="525"/>
      <c r="L7" s="525"/>
      <c r="M7" s="525"/>
      <c r="N7" s="525"/>
      <c r="O7" s="525"/>
      <c r="P7" s="513"/>
      <c r="Q7" s="528"/>
      <c r="R7" s="498"/>
      <c r="S7" s="528"/>
      <c r="T7" s="525"/>
      <c r="U7" s="525"/>
      <c r="V7" s="525"/>
      <c r="W7" s="525"/>
      <c r="X7" s="525"/>
    </row>
    <row r="8" spans="1:24">
      <c r="A8" s="695"/>
      <c r="B8" s="1" t="s">
        <v>18</v>
      </c>
      <c r="C8" s="486">
        <f>(([7]Offre_calc!$P$80+[7]Offre_calc!$P$126)/([7]Offre_calc!$P$78+[7]Offre_calc!$P$124))*Bilan_E_KP_AME_2033!I$21</f>
        <v>61.817093056570968</v>
      </c>
      <c r="D8" s="81"/>
      <c r="E8" s="28">
        <v>0</v>
      </c>
      <c r="F8" s="81"/>
      <c r="G8" s="17">
        <f t="shared" ref="G8:G19" si="0">C8-E8</f>
        <v>61.817093056570968</v>
      </c>
      <c r="H8" s="81"/>
      <c r="I8" s="21"/>
      <c r="J8" s="81"/>
      <c r="K8" s="526"/>
      <c r="L8" s="526"/>
      <c r="M8" s="526"/>
      <c r="N8" s="526"/>
      <c r="O8" s="526"/>
      <c r="P8" s="29"/>
      <c r="Q8" s="529"/>
      <c r="R8" s="498"/>
      <c r="S8" s="529"/>
      <c r="T8" s="526"/>
      <c r="U8" s="526"/>
      <c r="V8" s="526"/>
      <c r="W8" s="526"/>
      <c r="X8" s="526"/>
    </row>
    <row r="9" spans="1:24">
      <c r="A9" s="695"/>
      <c r="B9" s="1" t="s">
        <v>19</v>
      </c>
      <c r="C9" s="486">
        <f>(([7]Offre_calc!$P$79+[7]Offre_calc!$P$125)/([7]Offre_calc!$P$78+[7]Offre_calc!$P$124))*Bilan_E_KP_AME_2033!I$21</f>
        <v>49.250995451628675</v>
      </c>
      <c r="D9" s="81"/>
      <c r="E9" s="28">
        <v>0</v>
      </c>
      <c r="F9" s="81"/>
      <c r="G9" s="17">
        <f t="shared" si="0"/>
        <v>49.250995451628675</v>
      </c>
      <c r="H9" s="81"/>
      <c r="I9" s="21"/>
      <c r="J9" s="81"/>
      <c r="K9" s="526"/>
      <c r="L9" s="526"/>
      <c r="M9" s="526"/>
      <c r="N9" s="526"/>
      <c r="O9" s="526"/>
      <c r="P9" s="29"/>
      <c r="Q9" s="529"/>
      <c r="R9" s="498"/>
      <c r="S9" s="529"/>
      <c r="T9" s="526"/>
      <c r="U9" s="526"/>
      <c r="V9" s="526"/>
      <c r="W9" s="526"/>
      <c r="X9" s="526"/>
    </row>
    <row r="10" spans="1:24">
      <c r="A10" s="695"/>
      <c r="B10" s="1" t="s">
        <v>20</v>
      </c>
      <c r="C10" s="17">
        <f>Bilan_E_KP_AME_2033!H21-(Bilan_E_KP_AME_2033!P20+Bilan_E_KP_AME_2033!P19)</f>
        <v>1121.3636363636365</v>
      </c>
      <c r="D10" s="81"/>
      <c r="E10" s="28">
        <f>F13-SUM(E11:E19)</f>
        <v>751.769735853366</v>
      </c>
      <c r="F10" s="81"/>
      <c r="G10" s="17">
        <f>C10-E10</f>
        <v>369.59390051027049</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Bilan_E_KP_AME_2033!M21</f>
        <v>0.47494016865067573</v>
      </c>
      <c r="D11" s="81"/>
      <c r="E11" s="28">
        <f>C11*(1-[7]Offre_calc!$P$161)</f>
        <v>0.21016102462792402</v>
      </c>
      <c r="F11" s="81"/>
      <c r="G11" s="17">
        <f t="shared" si="0"/>
        <v>0.26477914402275171</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Bilan_E_KP_AME_2033!K21</f>
        <v>7.6561165469613854</v>
      </c>
      <c r="D12" s="81"/>
      <c r="E12" s="28">
        <f>C12*(1-[7]Offre_calc!$P$171)</f>
        <v>5.2444398346685492</v>
      </c>
      <c r="F12" s="81"/>
      <c r="G12" s="17">
        <f t="shared" si="0"/>
        <v>2.4116767122928362</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Bilan_E_KP_AME_2033!J21</f>
        <v>30.869450548245954</v>
      </c>
      <c r="D13" s="81">
        <f>SUM(C7:C19)</f>
        <v>1401.5202872712844</v>
      </c>
      <c r="E13" s="28">
        <f>C13*(1-[7]Offre_calc!$P$170)</f>
        <v>21.145573625548479</v>
      </c>
      <c r="F13" s="81">
        <f>Bilan_E_KP_AME_2033!S21</f>
        <v>793.72845706694284</v>
      </c>
      <c r="G13" s="17">
        <f t="shared" si="0"/>
        <v>9.7238769226974746</v>
      </c>
      <c r="H13" s="81">
        <f>SUM(G7:G19)</f>
        <v>607.79183020434164</v>
      </c>
      <c r="I13" s="33">
        <f>Bilan_E_KP_AME_2033!P30</f>
        <v>34.631314570260251</v>
      </c>
      <c r="J13" s="81">
        <f>H13-I13</f>
        <v>573.16051563408143</v>
      </c>
      <c r="K13" s="29">
        <f>Bilan_E_KP_AME_2033!P31</f>
        <v>41.938968757160723</v>
      </c>
      <c r="L13" s="29">
        <f>-(Bilan_E_KP_AME_2033!P14+Bilan_E_KP_AME_2033!P13)</f>
        <v>60.003896317889257</v>
      </c>
      <c r="M13" s="29">
        <f>Bilan_E_KP_AME_2033!P28</f>
        <v>0.21762333659139796</v>
      </c>
      <c r="N13" s="29"/>
      <c r="O13" s="29"/>
      <c r="P13" s="29"/>
      <c r="Q13" s="81">
        <f>J13-K13-L13-M13-N13-O13-P13</f>
        <v>471.00002722244005</v>
      </c>
      <c r="R13" s="508">
        <f>Q13-S13</f>
        <v>0</v>
      </c>
      <c r="S13" s="81">
        <f>SUM(T8:X19)</f>
        <v>471.00002722243977</v>
      </c>
      <c r="T13" s="29">
        <f>Bilan_E_KP_AME_2033!P38</f>
        <v>7.3892266408052469</v>
      </c>
      <c r="U13" s="29">
        <f>Bilan_E_KP_AME_2033!P34+Bilan_E_KP_AME_2033!P39</f>
        <v>109.83356944385173</v>
      </c>
      <c r="V13" s="29">
        <f>Bilan_E_KP_AME_2033!P36</f>
        <v>180.22551264292704</v>
      </c>
      <c r="W13" s="29">
        <f>Bilan_E_KP_AME_2033!P37</f>
        <v>133.46461699259584</v>
      </c>
      <c r="X13" s="29">
        <f>Bilan_E_KP_AME_2033!P35</f>
        <v>40.087101502259863</v>
      </c>
    </row>
    <row r="14" spans="1:24">
      <c r="A14" s="695"/>
      <c r="B14" s="1" t="s">
        <v>24</v>
      </c>
      <c r="C14" s="17">
        <f>Bilan_E_KP_AME_2033!O21</f>
        <v>3.0833964576427819</v>
      </c>
      <c r="D14" s="81"/>
      <c r="E14" s="28">
        <v>0</v>
      </c>
      <c r="F14" s="81"/>
      <c r="G14" s="17">
        <f t="shared" si="0"/>
        <v>3.0833964576427819</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Bilan_E_KP_AME_2033!L21</f>
        <v>2.2996832177069302</v>
      </c>
      <c r="D16" s="81"/>
      <c r="E16" s="28">
        <f>C16*(1-[7]Offre_calc!$P$158)</f>
        <v>1.2878226019158809</v>
      </c>
      <c r="F16" s="81"/>
      <c r="G16" s="17">
        <f t="shared" si="0"/>
        <v>1.0118606157910492</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Bilan_E_KP_AME_2033!F21</f>
        <v>7.7941116668718937</v>
      </c>
      <c r="D17" s="81"/>
      <c r="E17" s="28">
        <f>C17*(1-[7]Offre_calc!$P$158)</f>
        <v>4.364702533448261</v>
      </c>
      <c r="F17" s="81"/>
      <c r="G17" s="17">
        <f t="shared" si="0"/>
        <v>3.4294091334236327</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Bilan_E_KP_AME_2033!D21</f>
        <v>2.8267856410252494</v>
      </c>
      <c r="D18" s="81"/>
      <c r="E18" s="28">
        <f>C18*(1-[7]Offre_calc!$P$157)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Bilan_E_KP_AME_2033!G21+Bilan_E_KP_AME_2033!R21</f>
        <v>17.578475336322871</v>
      </c>
      <c r="D19" s="82"/>
      <c r="E19" s="28">
        <f>C19*(1-[7]Offre_calc!$P$160)</f>
        <v>7.7784753363228702</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0.32959326352760232</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Bilan_E_KP_AME_2033!J23+Bilan_E_KP_AME_2033!M12</f>
        <v>7.6978510421922888</v>
      </c>
      <c r="D21" s="531"/>
      <c r="E21" s="33">
        <f>Bilan_E_KP_AME_2033!S23+Bilan_E_KP_AME_2033!M30</f>
        <v>0.99423482550395781</v>
      </c>
      <c r="F21" s="531"/>
      <c r="G21" s="17">
        <f t="shared" ref="G21:G45" si="1">C21-E21</f>
        <v>6.7036162166883306</v>
      </c>
      <c r="H21" s="531"/>
      <c r="I21" s="17"/>
      <c r="J21" s="531"/>
      <c r="K21" s="547">
        <f>Bilan_E_KP_AME_2033!M31</f>
        <v>7.9022380537406095E-2</v>
      </c>
      <c r="L21" s="547">
        <f>-(Bilan_E_KP_AME_2033!M13+Bilan_E_KP_AME_2033!M14+Bilan_E_KP_AME_2033!M15+Bilan_E_KP_AME_2033!M16)</f>
        <v>0</v>
      </c>
      <c r="M21" s="547">
        <f>Bilan_E_KP_AME_2033!M28</f>
        <v>4.3169818369445515E-2</v>
      </c>
      <c r="N21" s="547">
        <f>Bilan_E_KP_AME_2033!M22</f>
        <v>0.32594257421966627</v>
      </c>
      <c r="O21" s="547">
        <f>Bilan_E_KP_AME_2033!M21</f>
        <v>0.47494016865067573</v>
      </c>
      <c r="P21" s="531"/>
      <c r="Q21" s="531"/>
      <c r="R21" s="498"/>
      <c r="S21" s="531"/>
      <c r="T21" s="531"/>
      <c r="U21" s="531"/>
      <c r="V21" s="531"/>
      <c r="W21" s="531"/>
      <c r="X21" s="531"/>
    </row>
    <row r="22" spans="1:24">
      <c r="A22" s="696"/>
      <c r="B22" s="1" t="s">
        <v>30</v>
      </c>
      <c r="C22" s="17"/>
      <c r="D22" s="85">
        <f>SUM(C21:C24)</f>
        <v>336.12400870450335</v>
      </c>
      <c r="E22" s="497"/>
      <c r="F22" s="85">
        <f>SUM(E21:E24)</f>
        <v>7.0672231518546464</v>
      </c>
      <c r="G22" s="17"/>
      <c r="H22" s="85">
        <f>SUM(G21:G24)</f>
        <v>329.05678555264871</v>
      </c>
      <c r="I22" s="408"/>
      <c r="J22" s="85">
        <f>H22-I22</f>
        <v>329.05678555264871</v>
      </c>
      <c r="K22" s="32"/>
      <c r="L22" s="32"/>
      <c r="M22" s="32"/>
      <c r="N22" s="32"/>
      <c r="O22" s="32"/>
      <c r="P22" s="32"/>
      <c r="Q22" s="85">
        <f>J22-SUM(K21:P24)</f>
        <v>289.26092707408321</v>
      </c>
      <c r="R22" s="508">
        <f>Q22-S22</f>
        <v>-2.5030873755326866E-2</v>
      </c>
      <c r="S22" s="85">
        <f>SUM(T22:X24)</f>
        <v>289.28595794783854</v>
      </c>
      <c r="T22" s="32">
        <f>Bilan_E_KP_AME_2033!G38+Bilan_E_KP_AME_2033!R38+Bilan_E_KP_AME_2033!M$38</f>
        <v>1.9723172621187404</v>
      </c>
      <c r="U22" s="32">
        <f>Bilan_E_KP_AME_2033!G34+Bilan_E_KP_AME_2033!R34+Bilan_E_KP_AME_2033!M$34</f>
        <v>105.18237111341841</v>
      </c>
      <c r="V22" s="32">
        <f>Bilan_E_KP_AME_2033!G36+Bilan_E_KP_AME_2033!R36+Bilan_E_KP_AME_2033!M$36</f>
        <v>96.722252319174757</v>
      </c>
      <c r="W22" s="32">
        <f>Bilan_E_KP_AME_2033!G37+Bilan_E_KP_AME_2033!K37+Bilan_E_KP_AME_2033!R37+Bilan_E_KP_AME_2033!M$37</f>
        <v>63.898149326649992</v>
      </c>
      <c r="X22" s="32">
        <f>Bilan_E_KP_AME_2033!G35+Bilan_E_KP_AME_2033!R35+Bilan_E_KP_AME_2033!M$35</f>
        <v>21.510867926476621</v>
      </c>
    </row>
    <row r="23" spans="1:24">
      <c r="A23" s="696"/>
      <c r="B23" s="1" t="s">
        <v>31</v>
      </c>
      <c r="C23" s="17">
        <f>SUM(Bilan_E_KP_AME_2033!D28:Q28)-C47</f>
        <v>1.8793404882366878</v>
      </c>
      <c r="D23" s="532"/>
      <c r="E23" s="33">
        <f>Bilan_E_KP_AME_2033!S28+Bilan_E_KP_AME_2033!S27</f>
        <v>0.72859353189346332</v>
      </c>
      <c r="F23" s="534"/>
      <c r="G23" s="17">
        <f t="shared" si="1"/>
        <v>1.1507469563432244</v>
      </c>
      <c r="H23" s="534"/>
      <c r="I23" s="17"/>
      <c r="J23" s="534"/>
      <c r="K23" s="536">
        <f>Bilan_E_KP_AME_2033!R31</f>
        <v>0</v>
      </c>
      <c r="L23" s="536">
        <f>-(Bilan_E_KP_AME_2033!R13+Bilan_E_KP_AME_2033!R14+Bilan_E_KP_AME_2033!R15+Bilan_E_KP_AME_2033!R16)</f>
        <v>0</v>
      </c>
      <c r="M23" s="536"/>
      <c r="N23" s="536">
        <f>Bilan_E_KP_AME_2033!R22</f>
        <v>0</v>
      </c>
      <c r="O23" s="536">
        <f>Bilan_E_KP_AME_2033!R21</f>
        <v>0</v>
      </c>
      <c r="P23" s="536">
        <f>-Bilan_E_KP_AME_2033!L27</f>
        <v>0</v>
      </c>
      <c r="Q23" s="534"/>
      <c r="S23" s="534"/>
      <c r="T23" s="538"/>
      <c r="U23" s="538"/>
      <c r="V23" s="538"/>
      <c r="W23" s="538"/>
      <c r="X23" s="538"/>
    </row>
    <row r="24" spans="1:24">
      <c r="A24" s="696"/>
      <c r="B24" s="1" t="s">
        <v>32</v>
      </c>
      <c r="C24" s="17">
        <f>Bilan_E_KP_AME_2033!G18-C45-(Bilan_E_KP_AME_2033!G20+Bilan_E_KP_AME_2033!G19)</f>
        <v>326.54681717407436</v>
      </c>
      <c r="D24" s="533"/>
      <c r="E24" s="33">
        <f>Bilan_E_KP_AME_2033!G30</f>
        <v>5.3443947944572248</v>
      </c>
      <c r="F24" s="535"/>
      <c r="G24" s="17">
        <f t="shared" si="1"/>
        <v>321.20242237961713</v>
      </c>
      <c r="H24" s="535"/>
      <c r="I24" s="34"/>
      <c r="J24" s="535"/>
      <c r="K24" s="537">
        <f>Bilan_E_KP_AME_2033!G31</f>
        <v>3.8720966463328983</v>
      </c>
      <c r="L24" s="537"/>
      <c r="M24" s="537">
        <f>Bilan_E_KP_AME_2033!G28</f>
        <v>2.1153211001028303</v>
      </c>
      <c r="N24" s="537">
        <f>Bilan_E_KP_AME_2033!G22</f>
        <v>15.306890454029709</v>
      </c>
      <c r="O24" s="537">
        <f>Bilan_E_KP_AME_2033!G21</f>
        <v>17.578475336322871</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Bilan_E_KP_AME_2033!M22</f>
        <v>0.32594257421966627</v>
      </c>
      <c r="D26" s="512"/>
      <c r="E26" s="190">
        <f>C26*F$35</f>
        <v>3.0774838116783408E-2</v>
      </c>
      <c r="F26" s="512"/>
      <c r="G26" s="33">
        <f t="shared" ref="G26:G31" si="2">C26-E26</f>
        <v>0.29516773610288288</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Bilan_E_KP_AME_2033!K18-Bilan_E_KP_AME_2033!K21-(Bilan_E_KP_AME_2033!Q20+Bilan_E_KP_AME_2033!Q19+Bilan_E_KP_AME_2033!K20+Bilan_E_KP_AME_2033!K19)</f>
        <v>14.100205410834619</v>
      </c>
      <c r="D27" s="87"/>
      <c r="E27" s="190">
        <f t="shared" ref="E27:E34" si="3">C27*F$35</f>
        <v>1.3313128546361188</v>
      </c>
      <c r="F27" s="87"/>
      <c r="G27" s="33">
        <f t="shared" si="2"/>
        <v>12.7688925561985</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Bilan_E_KP_AME_2033!J22</f>
        <v>13.130836985616687</v>
      </c>
      <c r="D29" s="87"/>
      <c r="E29" s="190">
        <f t="shared" si="3"/>
        <v>1.2397870500276726</v>
      </c>
      <c r="F29" s="87"/>
      <c r="G29" s="33">
        <f t="shared" si="2"/>
        <v>11.891049935589015</v>
      </c>
      <c r="H29" s="87"/>
      <c r="I29" s="1"/>
      <c r="J29" s="87"/>
      <c r="K29" s="87"/>
      <c r="L29" s="87"/>
      <c r="M29" s="87"/>
      <c r="N29" s="87"/>
      <c r="O29" s="87"/>
      <c r="P29" s="87"/>
      <c r="Q29" s="87"/>
      <c r="R29" s="498"/>
      <c r="S29" s="87"/>
      <c r="T29" s="87"/>
      <c r="U29" s="87"/>
      <c r="V29" s="87"/>
      <c r="W29" s="87"/>
      <c r="X29" s="87"/>
    </row>
    <row r="30" spans="1:24">
      <c r="A30" s="697"/>
      <c r="B30" s="1" t="s">
        <v>24</v>
      </c>
      <c r="C30" s="17">
        <f>Bilan_E_KP_AME_2033!O22</f>
        <v>2.1777173090422202</v>
      </c>
      <c r="D30" s="86">
        <f>SUM(C26:C34)</f>
        <v>45.041592733742903</v>
      </c>
      <c r="E30" s="190">
        <f t="shared" si="3"/>
        <v>0.20561566039766468</v>
      </c>
      <c r="F30" s="86">
        <f>Bilan_E_KP_AME_2033!S22</f>
        <v>4.2527360171391511</v>
      </c>
      <c r="G30" s="33">
        <f t="shared" si="2"/>
        <v>1.9721016486445555</v>
      </c>
      <c r="H30" s="86">
        <f>SUM(G26:G34)</f>
        <v>40.788856716603753</v>
      </c>
      <c r="I30" s="1"/>
      <c r="J30" s="86">
        <f>H30</f>
        <v>40.788856716603753</v>
      </c>
      <c r="K30" s="87">
        <f>Bilan_E_KP_AME_2033!Q31</f>
        <v>3.0236871210614171</v>
      </c>
      <c r="L30" s="87"/>
      <c r="M30" s="87">
        <f>Bilan_E_KP_AME_2033!K28</f>
        <v>2.387711193000305E-2</v>
      </c>
      <c r="N30" s="87"/>
      <c r="O30" s="87"/>
      <c r="P30" s="87"/>
      <c r="Q30" s="86">
        <f>J30-K30-L30-M30-N30-O30-P30</f>
        <v>37.741292483612334</v>
      </c>
      <c r="R30" s="508">
        <f>Q30-S30</f>
        <v>2.5030873755326866E-2</v>
      </c>
      <c r="S30" s="86">
        <f>SUM(T27:X34)</f>
        <v>37.716261609857007</v>
      </c>
      <c r="T30" s="87">
        <f>Bilan_E_KP_AME_2033!Q$38</f>
        <v>0</v>
      </c>
      <c r="U30" s="87">
        <f>Bilan_E_KP_AME_2033!Q$34+Bilan_E_KP_AME_2033!K34</f>
        <v>17.967080102244328</v>
      </c>
      <c r="V30" s="87">
        <f>Bilan_E_KP_AME_2033!Q$36</f>
        <v>15.690776641240536</v>
      </c>
      <c r="W30" s="87">
        <f>Bilan_E_KP_AME_2033!Q$37</f>
        <v>4.0584048663721433</v>
      </c>
      <c r="X30" s="87">
        <f>Bilan_E_KP_AME_2033!Q$35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Bilan_E_KP_AME_2033!G22</f>
        <v>15.306890454029709</v>
      </c>
      <c r="D32" s="86"/>
      <c r="E32" s="190">
        <f t="shared" si="3"/>
        <v>1.4452456139609116</v>
      </c>
      <c r="F32" s="86"/>
      <c r="G32" s="33">
        <f>C32-E32</f>
        <v>13.861644840068797</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Bilan_E_KP_AME_2033!F22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Bilan_E_KP_AME_2033!D22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9.4417975897935214E-2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107.95666307793716</v>
      </c>
      <c r="D37" s="541"/>
      <c r="E37" s="504"/>
      <c r="F37" s="541"/>
      <c r="G37" s="17">
        <f t="shared" ref="G37:G42" si="5">C37-E37</f>
        <v>107.95666307793716</v>
      </c>
      <c r="H37" s="541"/>
      <c r="I37" s="498"/>
      <c r="J37" s="37"/>
      <c r="K37" s="35"/>
      <c r="L37" s="35"/>
      <c r="M37" s="505"/>
      <c r="N37" s="35"/>
      <c r="P37" s="35"/>
      <c r="Q37" s="543"/>
      <c r="R37" s="498"/>
      <c r="S37" s="541"/>
      <c r="T37" s="506">
        <f>Bilan_E_KP_AME_2033!J38</f>
        <v>2.05899706998358</v>
      </c>
      <c r="U37" s="93">
        <f>Bilan_E_KP_AME_2033!J34</f>
        <v>19.164817057512749</v>
      </c>
      <c r="V37" s="506">
        <f>Bilan_E_KP_AME_2033!J36</f>
        <v>83.273177408961004</v>
      </c>
      <c r="W37" s="507">
        <f>Bilan_E_KP_AME_2033!J37</f>
        <v>3.4596715414798309</v>
      </c>
      <c r="X37" s="506">
        <f>Bilan_E_KP_AME_2033!J35</f>
        <v>0</v>
      </c>
      <c r="Y37" s="489">
        <f t="shared" ref="Y37:Y47" si="6">SUM(T37:X37)</f>
        <v>107.95666307793716</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199.05132730656317</v>
      </c>
      <c r="R38" s="498"/>
      <c r="S38" s="541"/>
      <c r="T38" s="84">
        <v>0</v>
      </c>
      <c r="U38" s="83">
        <v>0</v>
      </c>
      <c r="V38" s="84">
        <v>0</v>
      </c>
      <c r="W38" s="91">
        <v>0</v>
      </c>
      <c r="X38" s="91">
        <v>0</v>
      </c>
      <c r="Y38" s="489">
        <f t="shared" si="6"/>
        <v>0</v>
      </c>
      <c r="Z38" s="489">
        <f t="shared" si="7"/>
        <v>0</v>
      </c>
    </row>
    <row r="39" spans="1:26">
      <c r="A39" s="679"/>
      <c r="B39" s="1" t="s">
        <v>35</v>
      </c>
      <c r="C39" s="33">
        <f>SUM(T39:X39)</f>
        <v>2.8404482619184632</v>
      </c>
      <c r="D39" s="541"/>
      <c r="E39" s="35"/>
      <c r="F39" s="541"/>
      <c r="G39" s="17">
        <f t="shared" si="5"/>
        <v>2.8404482619184632</v>
      </c>
      <c r="H39" s="541"/>
      <c r="I39" s="35"/>
      <c r="J39" s="37"/>
      <c r="K39" s="35"/>
      <c r="L39" s="35"/>
      <c r="M39" s="37"/>
      <c r="N39" s="35"/>
      <c r="O39" s="35"/>
      <c r="P39" s="35"/>
      <c r="Q39" s="543"/>
      <c r="R39" s="498"/>
      <c r="S39" s="541"/>
      <c r="T39" s="84">
        <f>Bilan_E_KP_AME_2033!O38</f>
        <v>8.070345812558942E-2</v>
      </c>
      <c r="U39" s="83">
        <f>Bilan_E_KP_AME_2033!O34</f>
        <v>3.8147295409713907E-4</v>
      </c>
      <c r="V39" s="84">
        <f>Bilan_E_KP_AME_2033!O36</f>
        <v>1.9582561857397398</v>
      </c>
      <c r="W39" s="91">
        <f>Bilan_E_KP_AME_2033!O37</f>
        <v>0.80110714509903691</v>
      </c>
      <c r="X39" s="91">
        <f>Bilan_E_KP_AME_2033!O35</f>
        <v>0</v>
      </c>
      <c r="Y39" s="489">
        <f t="shared" si="6"/>
        <v>2.8404482619184632</v>
      </c>
      <c r="Z39" s="489">
        <f t="shared" si="7"/>
        <v>0</v>
      </c>
    </row>
    <row r="40" spans="1:26">
      <c r="A40" s="679"/>
      <c r="B40" s="1" t="s">
        <v>36</v>
      </c>
      <c r="C40" s="33">
        <f>Bilan_E_KP_AME_2033!N12</f>
        <v>54.409714472774652</v>
      </c>
      <c r="D40" s="541"/>
      <c r="E40" s="35"/>
      <c r="F40" s="541"/>
      <c r="G40" s="17">
        <f t="shared" si="5"/>
        <v>54.409714472774652</v>
      </c>
      <c r="H40" s="541"/>
      <c r="I40" s="35"/>
      <c r="J40" s="37"/>
      <c r="K40" s="35"/>
      <c r="L40" s="35"/>
      <c r="M40" s="37"/>
      <c r="N40" s="35"/>
      <c r="O40" s="35"/>
      <c r="P40" s="35"/>
      <c r="Q40" s="543"/>
      <c r="R40" s="498"/>
      <c r="S40" s="541"/>
      <c r="T40" s="83">
        <f>Bilan_E_KP_AME_2033!N$38</f>
        <v>0</v>
      </c>
      <c r="U40" s="83">
        <f>Bilan_E_KP_AME_2033!N$34</f>
        <v>0</v>
      </c>
      <c r="V40" s="83">
        <f>Bilan_E_KP_AME_2033!N$36</f>
        <v>46.067590504591024</v>
      </c>
      <c r="W40" s="83">
        <f>Bilan_E_KP_AME_2033!N$37</f>
        <v>8.3421239681836319</v>
      </c>
      <c r="X40" s="84">
        <f>Bilan_E_KP_AME_2033!N$35</f>
        <v>0</v>
      </c>
      <c r="Y40" s="489">
        <f t="shared" si="6"/>
        <v>54.409714472774652</v>
      </c>
      <c r="Z40" s="489">
        <f t="shared" si="7"/>
        <v>0</v>
      </c>
    </row>
    <row r="41" spans="1:26">
      <c r="A41" s="679"/>
      <c r="B41" s="1" t="s">
        <v>37</v>
      </c>
      <c r="C41" s="33">
        <f>Bilan_E_KP_AME_2033!L12+Bilan_E_KP_AME_2033!J26+Bilan_E_KP_AME_2033!J27-Bilan_E_KP_AME_2033!L21</f>
        <v>32.744325399970521</v>
      </c>
      <c r="D41" s="191">
        <f>SUM(C36:C47)</f>
        <v>810.55814168045288</v>
      </c>
      <c r="E41" s="38"/>
      <c r="F41" s="191">
        <f>SUM(E36:E47)</f>
        <v>30.11532500448401</v>
      </c>
      <c r="G41" s="17">
        <f t="shared" si="5"/>
        <v>32.744325399970521</v>
      </c>
      <c r="H41" s="191">
        <f>SUM(G36:G47)</f>
        <v>780.44281667596886</v>
      </c>
      <c r="I41" s="35"/>
      <c r="J41" s="37"/>
      <c r="K41" s="35"/>
      <c r="L41" s="37">
        <f>-SUM(Bilan_E_KP_AME_2033!L13:L16)</f>
        <v>-1.1001760939623788</v>
      </c>
      <c r="M41" s="35"/>
      <c r="N41" s="35"/>
      <c r="O41" s="35"/>
      <c r="P41" s="35"/>
      <c r="Q41" s="543"/>
      <c r="R41" s="508">
        <f>SUM(Q36:Q47)-S41</f>
        <v>-3.008854262134264E-4</v>
      </c>
      <c r="S41" s="191">
        <f>SUM(T36:X46)</f>
        <v>611.94098932180202</v>
      </c>
      <c r="T41" s="83">
        <f>Bilan_E_KP_AME_2033!L$38</f>
        <v>2.6244824682898504</v>
      </c>
      <c r="U41" s="83">
        <f>Bilan_E_KP_AME_2033!L$34</f>
        <v>0.86552810351562492</v>
      </c>
      <c r="V41" s="83">
        <f>Bilan_E_KP_AME_2033!L$36</f>
        <v>0</v>
      </c>
      <c r="W41" s="83">
        <f>Bilan_E_KP_AME_2033!L$37</f>
        <v>0</v>
      </c>
      <c r="X41" s="84">
        <f>Bilan_E_KP_AME_2033!L$35</f>
        <v>30.35479180755361</v>
      </c>
      <c r="Y41" s="489">
        <f t="shared" si="6"/>
        <v>33.844802379359088</v>
      </c>
      <c r="Z41" s="489">
        <f>G41-Y41-L41</f>
        <v>-3.0088542618833536E-4</v>
      </c>
    </row>
    <row r="42" spans="1:26">
      <c r="A42" s="679"/>
      <c r="B42" s="1" t="s">
        <v>38</v>
      </c>
      <c r="C42" s="33">
        <f>Bilan_E_KP_AME_2033!E18+Bilan_E_KP_AME_2033!F18-Bilan_E_KP_AME_2033!F21-Bilan_E_KP_AME_2033!F22-E54-SUM(T43:X43)-(Bilan_E_KP_AME_2033!E20+Bilan_E_KP_AME_2033!F20+Bilan_E_KP_AME_2033!E19+Bilan_E_KP_AME_2033!F19)</f>
        <v>342.61585009328218</v>
      </c>
      <c r="D42" s="541"/>
      <c r="E42" s="17">
        <f>Bilan_E_KP_AME_2033!F30+Bilan_E_KP_AME_2033!S25+Bilan_E_KP_AME_2033!F29+Bilan_E_KP_AME_2033!E29</f>
        <v>30.11532500448401</v>
      </c>
      <c r="F42" s="541"/>
      <c r="G42" s="17">
        <f t="shared" si="5"/>
        <v>312.50052508879816</v>
      </c>
      <c r="H42" s="541"/>
      <c r="I42" s="498"/>
      <c r="J42" s="37"/>
      <c r="K42" s="35"/>
      <c r="L42" s="35"/>
      <c r="M42" s="35"/>
      <c r="N42" s="35"/>
      <c r="O42" s="35"/>
      <c r="P42" s="35"/>
      <c r="Q42" s="36">
        <f>G42</f>
        <v>312.50052508879816</v>
      </c>
      <c r="R42" s="498"/>
      <c r="S42" s="541"/>
      <c r="T42" s="83">
        <v>0</v>
      </c>
      <c r="U42" s="83">
        <v>0</v>
      </c>
      <c r="V42" s="83">
        <v>0</v>
      </c>
      <c r="W42" s="83">
        <v>0</v>
      </c>
      <c r="X42" s="84">
        <f>Bilan_E_KP_AME_2033!F35</f>
        <v>312.50052508879821</v>
      </c>
      <c r="Y42" s="489">
        <f t="shared" si="6"/>
        <v>312.50052508879821</v>
      </c>
      <c r="Z42" s="489">
        <f>Q42-SUM(T42:X42)</f>
        <v>0</v>
      </c>
    </row>
    <row r="43" spans="1:26">
      <c r="A43" s="679"/>
      <c r="B43" s="1" t="s">
        <v>39</v>
      </c>
      <c r="C43" s="33">
        <f>Bilan_E_KP_AME_2033!F41+SUM(T43:X43)</f>
        <v>211.11846628487757</v>
      </c>
      <c r="D43" s="541"/>
      <c r="E43" s="38"/>
      <c r="F43" s="541"/>
      <c r="G43" s="17">
        <f>C43-E43</f>
        <v>211.11846628487757</v>
      </c>
      <c r="H43" s="541"/>
      <c r="I43" s="35"/>
      <c r="J43" s="37"/>
      <c r="K43" s="35"/>
      <c r="L43" s="35"/>
      <c r="M43" s="35"/>
      <c r="N43" s="35"/>
      <c r="O43" s="35"/>
      <c r="P43" s="35"/>
      <c r="Q43" s="36">
        <f>G43-Bilan_E_KP_AME_2033!F41</f>
        <v>94.041160430885768</v>
      </c>
      <c r="R43" s="498"/>
      <c r="S43" s="541"/>
      <c r="T43" s="83">
        <f>Bilan_E_KP_AME_2033!F38</f>
        <v>32.13207144146056</v>
      </c>
      <c r="U43" s="83">
        <f>Bilan_E_KP_AME_2033!F34</f>
        <v>23.963924152830415</v>
      </c>
      <c r="V43" s="83">
        <f>Bilan_E_KP_AME_2033!F36</f>
        <v>27.223306395871116</v>
      </c>
      <c r="W43" s="83">
        <f>Bilan_E_KP_AME_2033!F37</f>
        <v>10.721858440723695</v>
      </c>
      <c r="X43" s="84">
        <v>0</v>
      </c>
      <c r="Y43" s="489">
        <f t="shared" si="6"/>
        <v>94.041160430885782</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G44-Bilan_E_KP_AME_2033!K41</f>
        <v>0</v>
      </c>
      <c r="R44" s="498"/>
      <c r="S44" s="541"/>
      <c r="T44" s="83">
        <f>Bilan_E_KP_AME_2033!K$38</f>
        <v>0</v>
      </c>
      <c r="U44" s="83">
        <v>0</v>
      </c>
      <c r="V44" s="83">
        <f>Bilan_E_KP_AME_2033!K$36</f>
        <v>0</v>
      </c>
      <c r="W44" s="83">
        <v>0</v>
      </c>
      <c r="X44" s="84">
        <f>Bilan_E_KP_AME_2033!K$35</f>
        <v>0</v>
      </c>
      <c r="Y44" s="489">
        <f t="shared" si="6"/>
        <v>0</v>
      </c>
      <c r="Z44" s="489">
        <f t="shared" si="7"/>
        <v>0</v>
      </c>
    </row>
    <row r="45" spans="1:26">
      <c r="A45" s="679"/>
      <c r="B45" s="1" t="s">
        <v>41</v>
      </c>
      <c r="C45" s="33">
        <f>E53</f>
        <v>12.185345647681713</v>
      </c>
      <c r="D45" s="541"/>
      <c r="E45" s="38"/>
      <c r="F45" s="541"/>
      <c r="G45" s="17">
        <f t="shared" si="1"/>
        <v>12.185345647681713</v>
      </c>
      <c r="H45" s="541"/>
      <c r="I45" s="35"/>
      <c r="J45" s="37"/>
      <c r="K45" s="35"/>
      <c r="L45" s="35"/>
      <c r="M45" s="35"/>
      <c r="N45" s="35"/>
      <c r="O45" s="35"/>
      <c r="P45" s="35"/>
      <c r="Q45" s="36">
        <f>G45-Bilan_E_KP_AME_2033!G41</f>
        <v>0</v>
      </c>
      <c r="R45" s="498"/>
      <c r="S45" s="541"/>
      <c r="T45" s="84">
        <v>0</v>
      </c>
      <c r="U45" s="83">
        <v>0</v>
      </c>
      <c r="V45" s="84">
        <v>0</v>
      </c>
      <c r="W45" s="92">
        <v>0</v>
      </c>
      <c r="X45" s="84">
        <v>0</v>
      </c>
      <c r="Y45" s="489">
        <f t="shared" si="6"/>
        <v>0</v>
      </c>
      <c r="Z45" s="489">
        <f>Q45-Y45</f>
        <v>0</v>
      </c>
    </row>
    <row r="46" spans="1:26">
      <c r="A46" s="679"/>
      <c r="B46" s="1" t="s">
        <v>42</v>
      </c>
      <c r="C46" s="33">
        <f>Bilan_E_KP_AME_2033!D18-C18-C34</f>
        <v>46.166677563253685</v>
      </c>
      <c r="D46" s="541"/>
      <c r="E46" s="511"/>
      <c r="F46" s="541"/>
      <c r="G46" s="17">
        <f>C46-E46</f>
        <v>46.166677563253685</v>
      </c>
      <c r="H46" s="541"/>
      <c r="I46" s="38"/>
      <c r="J46" s="37"/>
      <c r="K46" s="35"/>
      <c r="L46" s="35"/>
      <c r="M46" s="35"/>
      <c r="N46" s="35"/>
      <c r="O46" s="35"/>
      <c r="P46" s="35"/>
      <c r="Q46" s="36">
        <f>G46-(Bilan_E_KP_AME_2033!D41+Bilan_E_KP_AME_2033!D29+Bilan_E_KP_AME_2033!D30)</f>
        <v>6.3476756101286895</v>
      </c>
      <c r="R46" s="498"/>
      <c r="S46" s="541"/>
      <c r="T46" s="506">
        <f>Bilan_E_KP_AME_2033!D38</f>
        <v>0</v>
      </c>
      <c r="U46" s="93">
        <f>Bilan_E_KP_AME_2033!D34</f>
        <v>6.3476756101286895</v>
      </c>
      <c r="V46" s="506">
        <f>Bilan_E_KP_AME_2033!D36</f>
        <v>0</v>
      </c>
      <c r="W46" s="507">
        <f>Bilan_E_KP_AME_2033!D37</f>
        <v>0</v>
      </c>
      <c r="X46" s="506">
        <f>Bilan_E_KP_AME_2033!D35</f>
        <v>0</v>
      </c>
      <c r="Y46" s="489">
        <f t="shared" si="6"/>
        <v>6.3476756101286895</v>
      </c>
      <c r="Z46" s="489">
        <f>Q46-Y46</f>
        <v>0</v>
      </c>
    </row>
    <row r="47" spans="1:26">
      <c r="A47" s="90"/>
      <c r="B47" s="1" t="s">
        <v>31</v>
      </c>
      <c r="C47" s="33">
        <f>E57</f>
        <v>0.52065087875698901</v>
      </c>
      <c r="D47" s="192"/>
      <c r="E47" s="511"/>
      <c r="F47" s="192"/>
      <c r="G47" s="17">
        <f>C47-E47</f>
        <v>0.52065087875698901</v>
      </c>
      <c r="H47" s="192"/>
      <c r="I47" s="38"/>
      <c r="J47" s="37"/>
      <c r="K47" s="35"/>
      <c r="L47" s="35"/>
      <c r="M47" s="35"/>
      <c r="N47" s="35"/>
      <c r="O47" s="35"/>
      <c r="P47" s="35"/>
      <c r="Q47" s="544">
        <f>G47-Bilan_E_KP_AME_2033!R41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C5-L13-SUM(L21:L24)-L30-L41-Bilan_E_KP_AME_2033!S18</f>
        <v>0</v>
      </c>
      <c r="D49" s="1"/>
      <c r="E49" s="34">
        <f>SUM(E7:E47)+I13-Bilan_E_KP_AME_2033!S32+K13+SUM(K21:K24)+K30+Bilan_E_KP_AME_2033!D29+Bilan_E_KP_AME_2033!D30</f>
        <v>2.1316282072803006E-13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492.20904537032584</v>
      </c>
    </row>
    <row r="52" spans="1:19">
      <c r="A52" s="21"/>
      <c r="B52" s="1" t="s">
        <v>44</v>
      </c>
      <c r="C52" s="44"/>
      <c r="D52" s="1"/>
      <c r="E52" s="39">
        <f>Bilan_E_KP_AME_2033!D41+Bilan_E_KP_AME_2033!D29+Bilan_E_KP_AME_2033!D30</f>
        <v>39.819001953124996</v>
      </c>
      <c r="F52" s="187"/>
      <c r="G52" s="1"/>
      <c r="H52" s="1"/>
      <c r="I52" s="30"/>
      <c r="J52" s="17"/>
      <c r="K52" s="17"/>
      <c r="L52" s="21"/>
      <c r="M52" s="1"/>
      <c r="N52" s="17"/>
      <c r="O52" s="17"/>
      <c r="P52" s="17"/>
      <c r="Q52" s="1"/>
      <c r="S52" s="33"/>
    </row>
    <row r="53" spans="1:19">
      <c r="A53" s="21"/>
      <c r="B53" s="1" t="s">
        <v>41</v>
      </c>
      <c r="C53" s="45"/>
      <c r="D53" s="17"/>
      <c r="E53" s="433">
        <f>Bilan_E_KP_AME_2033!G41+Bilan_E_KP_AME_2033!G29</f>
        <v>12.185345647681713</v>
      </c>
      <c r="F53" s="187"/>
      <c r="G53" s="1"/>
      <c r="H53" s="1"/>
      <c r="I53" s="30"/>
      <c r="J53" s="17"/>
      <c r="K53" s="17"/>
      <c r="L53" s="21"/>
      <c r="M53" s="1"/>
      <c r="N53" s="17"/>
      <c r="O53" s="17"/>
      <c r="P53" s="17"/>
      <c r="Q53" s="1"/>
    </row>
    <row r="54" spans="1:19">
      <c r="A54" s="21"/>
      <c r="B54" s="1" t="s">
        <v>39</v>
      </c>
      <c r="C54" s="45"/>
      <c r="D54" s="17"/>
      <c r="E54" s="435">
        <f>Bilan_E_KP_AME_2033!F41</f>
        <v>117.0773058539918</v>
      </c>
      <c r="F54" s="187"/>
      <c r="G54" s="1"/>
      <c r="H54" s="1"/>
      <c r="I54" s="30"/>
      <c r="J54" s="17"/>
      <c r="K54" s="17"/>
      <c r="L54" s="21"/>
      <c r="M54" s="21"/>
      <c r="N54" s="17"/>
      <c r="O54" s="17"/>
      <c r="P54" s="17"/>
      <c r="Q54" s="1"/>
    </row>
    <row r="55" spans="1:19">
      <c r="B55" s="1" t="s">
        <v>21</v>
      </c>
      <c r="E55" s="434">
        <f>Bilan_E_KP_AME_2033!M41+Bilan_E_KP_AME_2033!M29</f>
        <v>0</v>
      </c>
    </row>
    <row r="56" spans="1:19">
      <c r="B56" s="1" t="s">
        <v>37</v>
      </c>
      <c r="E56" s="515">
        <f>Bilan_E_KP_AME_2033!L41+Bilan_E_KP_AME_2033!L29</f>
        <v>0</v>
      </c>
    </row>
    <row r="57" spans="1:19">
      <c r="B57" s="1" t="s">
        <v>31</v>
      </c>
      <c r="E57" s="515">
        <f>Bilan_E_KP_AME_2033!R41</f>
        <v>0.52065087875698901</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324E-1296-4BB3-9DBA-9D0CF68806F7}">
  <dimension ref="A1:Z57"/>
  <sheetViews>
    <sheetView topLeftCell="A4"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2498.226106302131</v>
      </c>
      <c r="D5" s="18"/>
      <c r="E5" s="20"/>
      <c r="F5" s="494"/>
      <c r="G5" s="21"/>
      <c r="H5" s="493"/>
      <c r="I5" s="21"/>
      <c r="J5" s="22"/>
      <c r="K5" s="23"/>
      <c r="L5" s="14"/>
      <c r="M5" s="14"/>
      <c r="N5" s="15"/>
      <c r="O5" s="16"/>
      <c r="P5" s="16"/>
      <c r="Q5" s="24">
        <f>Q13+Q22+Q30+Q42+Q46+Q38+Q43</f>
        <v>1394.8736612461169</v>
      </c>
      <c r="R5" s="487"/>
      <c r="S5" s="79">
        <f>SUM(S13,S22,S27:S32,S41)</f>
        <v>1394.8746154847647</v>
      </c>
      <c r="T5" s="79">
        <f>SUM(T8:T46)</f>
        <v>45.606635190834453</v>
      </c>
      <c r="U5" s="79">
        <f>SUM(U8:U46)</f>
        <v>281.3086707137744</v>
      </c>
      <c r="V5" s="79">
        <f>SUM(V8:V46)</f>
        <v>451.3007715396393</v>
      </c>
      <c r="W5" s="173">
        <f>SUM(W8:W46)</f>
        <v>224.71175062638912</v>
      </c>
      <c r="X5" s="79">
        <f>SUM(X8:X46)</f>
        <v>391.94678741412747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(([7]Offre_calc!$Q$81+[7]Offre_calc!$Q$82+[7]Offre_calc!$Q$127+[7]Offre_calc!$Q$128)/([7]Offre_calc!$Q$78+[7]Offre_calc!$Q$124))*Bilan_E_KP_AME_2035!I$21</f>
        <v>104.64035644380186</v>
      </c>
      <c r="D7" s="518"/>
      <c r="E7" s="28">
        <v>0</v>
      </c>
      <c r="F7" s="518"/>
      <c r="G7" s="17">
        <f>C7-E7</f>
        <v>104.64035644380186</v>
      </c>
      <c r="H7" s="518"/>
      <c r="I7" s="21"/>
      <c r="J7" s="518"/>
      <c r="K7" s="525"/>
      <c r="L7" s="525"/>
      <c r="M7" s="525"/>
      <c r="N7" s="525"/>
      <c r="O7" s="525"/>
      <c r="P7" s="513"/>
      <c r="Q7" s="528"/>
      <c r="R7" s="498"/>
      <c r="S7" s="528"/>
      <c r="T7" s="525"/>
      <c r="U7" s="525"/>
      <c r="V7" s="525"/>
      <c r="W7" s="525"/>
      <c r="X7" s="525"/>
    </row>
    <row r="8" spans="1:24">
      <c r="A8" s="695"/>
      <c r="B8" s="1" t="s">
        <v>18</v>
      </c>
      <c r="C8" s="486">
        <f>(([7]Offre_calc!$Q$80+[7]Offre_calc!$Q$126)/([7]Offre_calc!$Q$78+[7]Offre_calc!$Q$124))*Bilan_E_KP_AME_2035!I$21</f>
        <v>61.77355795095243</v>
      </c>
      <c r="D8" s="81"/>
      <c r="E8" s="28">
        <v>0</v>
      </c>
      <c r="F8" s="81"/>
      <c r="G8" s="17">
        <f t="shared" ref="G8:G19" si="0">C8-E8</f>
        <v>61.77355795095243</v>
      </c>
      <c r="H8" s="81"/>
      <c r="I8" s="21"/>
      <c r="J8" s="81"/>
      <c r="K8" s="526"/>
      <c r="L8" s="526"/>
      <c r="M8" s="526"/>
      <c r="N8" s="526"/>
      <c r="O8" s="526"/>
      <c r="P8" s="29"/>
      <c r="Q8" s="529"/>
      <c r="R8" s="498"/>
      <c r="S8" s="529"/>
      <c r="T8" s="526"/>
      <c r="U8" s="526"/>
      <c r="V8" s="526"/>
      <c r="W8" s="526"/>
      <c r="X8" s="526"/>
    </row>
    <row r="9" spans="1:24">
      <c r="A9" s="695"/>
      <c r="B9" s="1" t="s">
        <v>19</v>
      </c>
      <c r="C9" s="486">
        <f>(([7]Offre_calc!$Q$79+[7]Offre_calc!$Q$125)/([7]Offre_calc!$Q$78+[7]Offre_calc!$Q$124))*Bilan_E_KP_AME_2035!I$21</f>
        <v>57.722832839414558</v>
      </c>
      <c r="D9" s="81"/>
      <c r="E9" s="28">
        <v>0</v>
      </c>
      <c r="F9" s="81"/>
      <c r="G9" s="17">
        <f t="shared" si="0"/>
        <v>57.722832839414558</v>
      </c>
      <c r="H9" s="81"/>
      <c r="I9" s="21"/>
      <c r="J9" s="81"/>
      <c r="K9" s="526"/>
      <c r="L9" s="526"/>
      <c r="M9" s="526"/>
      <c r="N9" s="526"/>
      <c r="O9" s="526"/>
      <c r="P9" s="29"/>
      <c r="Q9" s="529"/>
      <c r="R9" s="498"/>
      <c r="S9" s="529"/>
      <c r="T9" s="526"/>
      <c r="U9" s="526"/>
      <c r="V9" s="526"/>
      <c r="W9" s="526"/>
      <c r="X9" s="526"/>
    </row>
    <row r="10" spans="1:24">
      <c r="A10" s="695"/>
      <c r="B10" s="1" t="s">
        <v>20</v>
      </c>
      <c r="C10" s="17">
        <f>Bilan_E_KP_AME_2035!H21-(Bilan_E_KP_AME_2035!P20+Bilan_E_KP_AME_2035!P19)</f>
        <v>1075.0000000000002</v>
      </c>
      <c r="D10" s="81"/>
      <c r="E10" s="28">
        <f>F13-SUM(E11:E19)</f>
        <v>720.79180772937377</v>
      </c>
      <c r="F10" s="81"/>
      <c r="G10" s="17">
        <f>C10-E10</f>
        <v>354.20819227062645</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Bilan_E_KP_AME_2035!M21</f>
        <v>0.47972213502804317</v>
      </c>
      <c r="D11" s="81"/>
      <c r="E11" s="28">
        <f>C11*(1-[7]Offre_calc!$Q$161)</f>
        <v>0.20987843407476889</v>
      </c>
      <c r="F11" s="81"/>
      <c r="G11" s="17">
        <f t="shared" si="0"/>
        <v>0.26984370095327426</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Bilan_E_KP_AME_2035!K21</f>
        <v>7.4482212846984126</v>
      </c>
      <c r="D12" s="81"/>
      <c r="E12" s="28">
        <f>C12*(1-[7]Offre_calc!$Q$171)</f>
        <v>5.0275493671714289</v>
      </c>
      <c r="F12" s="81"/>
      <c r="G12" s="17">
        <f t="shared" si="0"/>
        <v>2.4206719175269837</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Bilan_E_KP_AME_2035!J21</f>
        <v>30.45355250478201</v>
      </c>
      <c r="D13" s="81">
        <f>SUM(C7:C19)</f>
        <v>1371.2734259904307</v>
      </c>
      <c r="E13" s="28">
        <f>C13*(1-[7]Offre_calc!$Q$170)</f>
        <v>20.556147940727858</v>
      </c>
      <c r="F13" s="81">
        <f>Bilan_E_KP_AME_2035!S21</f>
        <v>761.97190791669834</v>
      </c>
      <c r="G13" s="17">
        <f t="shared" si="0"/>
        <v>9.8974045640541526</v>
      </c>
      <c r="H13" s="81">
        <f>SUM(G7:G19)</f>
        <v>609.30151807373272</v>
      </c>
      <c r="I13" s="33">
        <f>Bilan_E_KP_AME_2035!P30</f>
        <v>33.522260759660846</v>
      </c>
      <c r="J13" s="81">
        <f>H13-I13</f>
        <v>575.77925731407186</v>
      </c>
      <c r="K13" s="29">
        <f>Bilan_E_KP_AME_2035!P31</f>
        <v>42.744249460921445</v>
      </c>
      <c r="L13" s="29">
        <f>-(Bilan_E_KP_AME_2035!P14+Bilan_E_KP_AME_2035!P13)</f>
        <v>50.941346245748719</v>
      </c>
      <c r="M13" s="29">
        <f>Bilan_E_KP_AME_2035!P28</f>
        <v>0.31236464325712177</v>
      </c>
      <c r="N13" s="29"/>
      <c r="O13" s="29"/>
      <c r="P13" s="29"/>
      <c r="Q13" s="81">
        <f>J13-K13-L13-M13-N13-O13-P13</f>
        <v>481.78129696414459</v>
      </c>
      <c r="R13" s="508">
        <f>Q13-S13</f>
        <v>0</v>
      </c>
      <c r="S13" s="81">
        <f>SUM(T8:X19)</f>
        <v>481.78129696414442</v>
      </c>
      <c r="T13" s="29">
        <f>Bilan_E_KP_AME_2035!P38</f>
        <v>7.1029233048090266</v>
      </c>
      <c r="U13" s="29">
        <f>Bilan_E_KP_AME_2035!P34+Bilan_E_KP_AME_2035!P39</f>
        <v>109.99437284793218</v>
      </c>
      <c r="V13" s="29">
        <f>Bilan_E_KP_AME_2035!P36</f>
        <v>183.08170703950353</v>
      </c>
      <c r="W13" s="29">
        <f>Bilan_E_KP_AME_2035!P37</f>
        <v>134.9475862077569</v>
      </c>
      <c r="X13" s="29">
        <f>Bilan_E_KP_AME_2035!P35</f>
        <v>46.654707564142761</v>
      </c>
    </row>
    <row r="14" spans="1:24">
      <c r="A14" s="695"/>
      <c r="B14" s="1" t="s">
        <v>24</v>
      </c>
      <c r="C14" s="17">
        <f>Bilan_E_KP_AME_2035!O21</f>
        <v>3.0833964576427819</v>
      </c>
      <c r="D14" s="81"/>
      <c r="E14" s="28">
        <v>0</v>
      </c>
      <c r="F14" s="81"/>
      <c r="G14" s="17">
        <f t="shared" si="0"/>
        <v>3.0833964576427819</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Bilan_E_KP_AME_2035!L21</f>
        <v>2.4531054045111396</v>
      </c>
      <c r="D16" s="81"/>
      <c r="E16" s="28">
        <f>C16*(1-[7]Offre_calc!$Q$158)</f>
        <v>1.3737390265262384</v>
      </c>
      <c r="F16" s="81"/>
      <c r="G16" s="17">
        <f t="shared" si="0"/>
        <v>1.0793663779849012</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Bilan_E_KP_AME_2035!F21</f>
        <v>7.9696731063521415</v>
      </c>
      <c r="D17" s="81"/>
      <c r="E17" s="28">
        <f>C17*(1-[7]Offre_calc!$Q$158)</f>
        <v>4.4630169395571997</v>
      </c>
      <c r="F17" s="81"/>
      <c r="G17" s="17">
        <f t="shared" si="0"/>
        <v>3.5066561667949419</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Bilan_E_KP_AME_2035!D21</f>
        <v>2.8267856410252494</v>
      </c>
      <c r="D18" s="81"/>
      <c r="E18" s="28">
        <f>C18*(1-[7]Offre_calc!$Q$157)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Bilan_E_KP_AME_2035!G21+Bilan_E_KP_AME_2035!R21</f>
        <v>17.422222222222224</v>
      </c>
      <c r="D19" s="82"/>
      <c r="E19" s="28">
        <f>C19*(1-[7]Offre_calc!$Q$160)</f>
        <v>7.6222222222222236</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0.32949599280988501</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Bilan_E_KP_AME_2035!J23+Bilan_E_KP_AME_2035!M12</f>
        <v>7.5554230965137767</v>
      </c>
      <c r="D21" s="531"/>
      <c r="E21" s="33">
        <f>Bilan_E_KP_AME_2035!S23+Bilan_E_KP_AME_2035!M30</f>
        <v>0.9120683670461246</v>
      </c>
      <c r="F21" s="531"/>
      <c r="G21" s="17">
        <f t="shared" ref="G21:G45" si="1">C21-E21</f>
        <v>6.643354729467652</v>
      </c>
      <c r="H21" s="531"/>
      <c r="I21" s="17"/>
      <c r="J21" s="531"/>
      <c r="K21" s="547">
        <f>Bilan_E_KP_AME_2035!M31</f>
        <v>7.8191432877507586E-2</v>
      </c>
      <c r="L21" s="547">
        <f>-(Bilan_E_KP_AME_2035!M13+Bilan_E_KP_AME_2035!M14+Bilan_E_KP_AME_2035!M15+Bilan_E_KP_AME_2035!M16)</f>
        <v>0</v>
      </c>
      <c r="M21" s="547">
        <f>Bilan_E_KP_AME_2035!M28</f>
        <v>5.9572399821179664E-2</v>
      </c>
      <c r="N21" s="547">
        <f>Bilan_E_KP_AME_2035!M22</f>
        <v>0.32322722394029924</v>
      </c>
      <c r="O21" s="547">
        <f>Bilan_E_KP_AME_2035!M21</f>
        <v>0.47972213502804317</v>
      </c>
      <c r="P21" s="531"/>
      <c r="Q21" s="531"/>
      <c r="R21" s="498"/>
      <c r="S21" s="531"/>
      <c r="T21" s="531"/>
      <c r="U21" s="531"/>
      <c r="V21" s="531"/>
      <c r="W21" s="531"/>
      <c r="X21" s="531"/>
    </row>
    <row r="22" spans="1:24">
      <c r="A22" s="696"/>
      <c r="B22" s="1" t="s">
        <v>30</v>
      </c>
      <c r="C22" s="17"/>
      <c r="D22" s="85">
        <f>SUM(C21:C24)</f>
        <v>333.11807804520765</v>
      </c>
      <c r="E22" s="497"/>
      <c r="F22" s="85">
        <f>SUM(E21:E24)</f>
        <v>7.1846560265420125</v>
      </c>
      <c r="G22" s="17"/>
      <c r="H22" s="85">
        <f>SUM(G21:G24)</f>
        <v>325.93342201866557</v>
      </c>
      <c r="I22" s="408"/>
      <c r="J22" s="85">
        <f>H22-I22</f>
        <v>325.93342201866557</v>
      </c>
      <c r="K22" s="32"/>
      <c r="L22" s="32"/>
      <c r="M22" s="32"/>
      <c r="N22" s="32"/>
      <c r="O22" s="32"/>
      <c r="P22" s="32"/>
      <c r="Q22" s="85">
        <f>J22-SUM(K21:P24)</f>
        <v>285.65933316585597</v>
      </c>
      <c r="R22" s="508">
        <f>Q22-S22</f>
        <v>-2.505321641598357E-2</v>
      </c>
      <c r="S22" s="85">
        <f>SUM(T22:X24)</f>
        <v>285.68438638227195</v>
      </c>
      <c r="T22" s="32">
        <f>Bilan_E_KP_AME_2035!G38+Bilan_E_KP_AME_2035!R38+Bilan_E_KP_AME_2035!M$38</f>
        <v>1.7974129621234143</v>
      </c>
      <c r="U22" s="32">
        <f>Bilan_E_KP_AME_2035!G34+Bilan_E_KP_AME_2035!R34+Bilan_E_KP_AME_2035!M$34</f>
        <v>103.53986201693733</v>
      </c>
      <c r="V22" s="32">
        <f>Bilan_E_KP_AME_2035!G36+Bilan_E_KP_AME_2035!R36+Bilan_E_KP_AME_2035!M$36</f>
        <v>90.643497547790304</v>
      </c>
      <c r="W22" s="32">
        <f>Bilan_E_KP_AME_2035!G37+Bilan_E_KP_AME_2035!K37+Bilan_E_KP_AME_2035!R37+Bilan_E_KP_AME_2035!M$37</f>
        <v>64.079034982937259</v>
      </c>
      <c r="X22" s="32">
        <f>Bilan_E_KP_AME_2035!G35+Bilan_E_KP_AME_2035!R35+Bilan_E_KP_AME_2035!M$35</f>
        <v>25.624578872483603</v>
      </c>
    </row>
    <row r="23" spans="1:24">
      <c r="A23" s="696"/>
      <c r="B23" s="1" t="s">
        <v>31</v>
      </c>
      <c r="C23" s="17">
        <f>SUM(Bilan_E_KP_AME_2035!D28:Q28)-C47</f>
        <v>2.4495904878733459</v>
      </c>
      <c r="D23" s="532"/>
      <c r="E23" s="33">
        <f>Bilan_E_KP_AME_2035!S28+Bilan_E_KP_AME_2035!S27</f>
        <v>1.0073759745042175</v>
      </c>
      <c r="F23" s="534"/>
      <c r="G23" s="17">
        <f t="shared" si="1"/>
        <v>1.4422145133691284</v>
      </c>
      <c r="H23" s="534"/>
      <c r="I23" s="17"/>
      <c r="J23" s="534"/>
      <c r="K23" s="536">
        <f>Bilan_E_KP_AME_2035!R31</f>
        <v>0</v>
      </c>
      <c r="L23" s="536">
        <f>-(Bilan_E_KP_AME_2035!R13+Bilan_E_KP_AME_2035!R14+Bilan_E_KP_AME_2035!R15+Bilan_E_KP_AME_2035!R16)</f>
        <v>0</v>
      </c>
      <c r="M23" s="536"/>
      <c r="N23" s="536">
        <f>Bilan_E_KP_AME_2035!R22</f>
        <v>0</v>
      </c>
      <c r="O23" s="536">
        <f>Bilan_E_KP_AME_2035!R21</f>
        <v>0</v>
      </c>
      <c r="P23" s="536">
        <f>-Bilan_E_KP_AME_2035!L27</f>
        <v>0</v>
      </c>
      <c r="Q23" s="534"/>
      <c r="S23" s="534"/>
      <c r="T23" s="538"/>
      <c r="U23" s="538"/>
      <c r="V23" s="538"/>
      <c r="W23" s="538"/>
      <c r="X23" s="538"/>
    </row>
    <row r="24" spans="1:24">
      <c r="A24" s="696"/>
      <c r="B24" s="1" t="s">
        <v>32</v>
      </c>
      <c r="C24" s="17">
        <f>Bilan_E_KP_AME_2035!G18-C45-(Bilan_E_KP_AME_2035!G20+Bilan_E_KP_AME_2035!G19)</f>
        <v>323.11306446082051</v>
      </c>
      <c r="D24" s="533"/>
      <c r="E24" s="33">
        <f>Bilan_E_KP_AME_2035!G30</f>
        <v>5.2652116849916704</v>
      </c>
      <c r="F24" s="535"/>
      <c r="G24" s="17">
        <f t="shared" si="1"/>
        <v>317.84785277582881</v>
      </c>
      <c r="H24" s="535"/>
      <c r="I24" s="34"/>
      <c r="J24" s="535"/>
      <c r="K24" s="537">
        <f>Bilan_E_KP_AME_2035!G31</f>
        <v>3.8313802109978718</v>
      </c>
      <c r="L24" s="537"/>
      <c r="M24" s="537">
        <f>Bilan_E_KP_AME_2035!G28</f>
        <v>2.9190475912378031</v>
      </c>
      <c r="N24" s="537">
        <f>Bilan_E_KP_AME_2035!G22</f>
        <v>15.160725636684646</v>
      </c>
      <c r="O24" s="537">
        <f>Bilan_E_KP_AME_2035!G21</f>
        <v>17.422222222222224</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Bilan_E_KP_AME_2035!M22</f>
        <v>0.32322722394029924</v>
      </c>
      <c r="D26" s="512"/>
      <c r="E26" s="190">
        <f>C26*F$35</f>
        <v>3.002366720482666E-2</v>
      </c>
      <c r="F26" s="512"/>
      <c r="G26" s="33">
        <f t="shared" ref="G26:G31" si="2">C26-E26</f>
        <v>0.2932035567354726</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Bilan_E_KP_AME_2035!K18-Bilan_E_KP_AME_2035!K21-(Bilan_E_KP_AME_2035!Q20+Bilan_E_KP_AME_2035!Q19+Bilan_E_KP_AME_2035!K20+Bilan_E_KP_AME_2035!K19)</f>
        <v>13.984332594265862</v>
      </c>
      <c r="D27" s="87"/>
      <c r="E27" s="190">
        <f t="shared" ref="E27:E34" si="3">C27*F$35</f>
        <v>1.2989652999321546</v>
      </c>
      <c r="F27" s="87"/>
      <c r="G27" s="33">
        <f t="shared" si="2"/>
        <v>12.685367294333707</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Bilan_E_KP_AME_2035!J22</f>
        <v>12.939045348987106</v>
      </c>
      <c r="D29" s="87"/>
      <c r="E29" s="190">
        <f t="shared" si="3"/>
        <v>1.2018715093685974</v>
      </c>
      <c r="F29" s="87"/>
      <c r="G29" s="33">
        <f t="shared" si="2"/>
        <v>11.737173839618508</v>
      </c>
      <c r="H29" s="87"/>
      <c r="I29" s="1"/>
      <c r="J29" s="87"/>
      <c r="K29" s="87"/>
      <c r="L29" s="87"/>
      <c r="M29" s="87"/>
      <c r="N29" s="87"/>
      <c r="O29" s="87"/>
      <c r="P29" s="87"/>
      <c r="Q29" s="87"/>
      <c r="R29" s="498"/>
      <c r="S29" s="87"/>
      <c r="T29" s="87"/>
      <c r="U29" s="87"/>
      <c r="V29" s="87"/>
      <c r="W29" s="87"/>
      <c r="X29" s="87"/>
    </row>
    <row r="30" spans="1:24">
      <c r="A30" s="697"/>
      <c r="B30" s="1" t="s">
        <v>24</v>
      </c>
      <c r="C30" s="17">
        <f>Bilan_E_KP_AME_2035!O22</f>
        <v>2.1538235080806043</v>
      </c>
      <c r="D30" s="86">
        <f>SUM(C26:C34)</f>
        <v>44.561154311958518</v>
      </c>
      <c r="E30" s="190">
        <f t="shared" si="3"/>
        <v>0.20006260436926637</v>
      </c>
      <c r="F30" s="86">
        <f>Bilan_E_KP_AME_2035!S22</f>
        <v>4.1391602199085806</v>
      </c>
      <c r="G30" s="33">
        <f t="shared" si="2"/>
        <v>1.9537609037113379</v>
      </c>
      <c r="H30" s="86">
        <f>SUM(G26:G34)</f>
        <v>40.421994092049935</v>
      </c>
      <c r="I30" s="1"/>
      <c r="J30" s="86">
        <f>H30</f>
        <v>40.421994092049935</v>
      </c>
      <c r="K30" s="87">
        <f>Bilan_E_KP_AME_2035!Q31</f>
        <v>2.9948048478615572</v>
      </c>
      <c r="L30" s="87"/>
      <c r="M30" s="87">
        <f>Bilan_E_KP_AME_2035!K28</f>
        <v>3.3095777678433143E-2</v>
      </c>
      <c r="N30" s="87"/>
      <c r="O30" s="87"/>
      <c r="P30" s="87"/>
      <c r="Q30" s="86">
        <f>J30-K30-L30-M30-N30-O30-P30</f>
        <v>37.394093466509943</v>
      </c>
      <c r="R30" s="508">
        <f>Q30-S30</f>
        <v>2.50532164158912E-2</v>
      </c>
      <c r="S30" s="86">
        <f>SUM(T27:X34)</f>
        <v>37.369040250094052</v>
      </c>
      <c r="T30" s="87">
        <f>Bilan_E_KP_AME_2035!Q$38</f>
        <v>0</v>
      </c>
      <c r="U30" s="87">
        <f>Bilan_E_KP_AME_2035!Q$34+Bilan_E_KP_AME_2035!K34</f>
        <v>17.877746900135776</v>
      </c>
      <c r="V30" s="87">
        <f>Bilan_E_KP_AME_2035!Q$36</f>
        <v>15.629207143582217</v>
      </c>
      <c r="W30" s="87">
        <f>Bilan_E_KP_AME_2035!Q$37</f>
        <v>3.8620862063760555</v>
      </c>
      <c r="X30" s="87">
        <f>Bilan_E_KP_AME_2035!Q$35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Bilan_E_KP_AME_2035!G22</f>
        <v>15.160725636684646</v>
      </c>
      <c r="D32" s="86"/>
      <c r="E32" s="190">
        <f t="shared" si="3"/>
        <v>1.4082371390337356</v>
      </c>
      <c r="F32" s="86"/>
      <c r="G32" s="33">
        <f>C32-E32</f>
        <v>13.75248849765091</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Bilan_E_KP_AME_2035!F22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Bilan_E_KP_AME_2035!D22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9.2887185797110014E-2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111.75633230751156</v>
      </c>
      <c r="D37" s="541"/>
      <c r="E37" s="504"/>
      <c r="F37" s="541"/>
      <c r="G37" s="17">
        <f t="shared" ref="G37:G42" si="5">C37-E37</f>
        <v>111.75633230751156</v>
      </c>
      <c r="H37" s="541"/>
      <c r="I37" s="498"/>
      <c r="J37" s="37"/>
      <c r="K37" s="35"/>
      <c r="L37" s="35"/>
      <c r="M37" s="505"/>
      <c r="N37" s="35"/>
      <c r="P37" s="35"/>
      <c r="Q37" s="543"/>
      <c r="R37" s="498"/>
      <c r="S37" s="541"/>
      <c r="T37" s="506">
        <f>Bilan_E_KP_AME_2035!J38</f>
        <v>2.5129576329044134</v>
      </c>
      <c r="U37" s="93">
        <f>Bilan_E_KP_AME_2035!J34</f>
        <v>19.565687098295676</v>
      </c>
      <c r="V37" s="506">
        <f>Bilan_E_KP_AME_2035!J36</f>
        <v>86.298448588028648</v>
      </c>
      <c r="W37" s="507">
        <f>Bilan_E_KP_AME_2035!J37</f>
        <v>3.3792389882828151</v>
      </c>
      <c r="X37" s="506">
        <f>Bilan_E_KP_AME_2035!J35</f>
        <v>0</v>
      </c>
      <c r="Y37" s="489">
        <f t="shared" ref="Y37:Y47" si="6">SUM(T37:X37)</f>
        <v>111.75633230751156</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204.30820908837475</v>
      </c>
      <c r="R38" s="498"/>
      <c r="S38" s="541"/>
      <c r="T38" s="84">
        <v>0</v>
      </c>
      <c r="U38" s="83">
        <v>0</v>
      </c>
      <c r="V38" s="84">
        <v>0</v>
      </c>
      <c r="W38" s="91">
        <v>0</v>
      </c>
      <c r="X38" s="91">
        <v>0</v>
      </c>
      <c r="Y38" s="489">
        <f t="shared" si="6"/>
        <v>0</v>
      </c>
      <c r="Z38" s="489">
        <f t="shared" si="7"/>
        <v>0</v>
      </c>
    </row>
    <row r="39" spans="1:26">
      <c r="A39" s="679"/>
      <c r="B39" s="1" t="s">
        <v>35</v>
      </c>
      <c r="C39" s="33">
        <f>SUM(T39:X39)</f>
        <v>2.8345349667232287</v>
      </c>
      <c r="D39" s="541"/>
      <c r="E39" s="35"/>
      <c r="F39" s="541"/>
      <c r="G39" s="17">
        <f t="shared" si="5"/>
        <v>2.8345349667232287</v>
      </c>
      <c r="H39" s="541"/>
      <c r="I39" s="35"/>
      <c r="J39" s="37"/>
      <c r="K39" s="35"/>
      <c r="L39" s="35"/>
      <c r="M39" s="37"/>
      <c r="N39" s="35"/>
      <c r="O39" s="35"/>
      <c r="P39" s="35"/>
      <c r="Q39" s="543"/>
      <c r="R39" s="498"/>
      <c r="S39" s="541"/>
      <c r="T39" s="84">
        <f>Bilan_E_KP_AME_2035!O38</f>
        <v>7.8328904674825409E-2</v>
      </c>
      <c r="U39" s="83">
        <f>Bilan_E_KP_AME_2035!O34</f>
        <v>3.8067188808088001E-4</v>
      </c>
      <c r="V39" s="84">
        <f>Bilan_E_KP_AME_2035!O36</f>
        <v>1.9759423218950023</v>
      </c>
      <c r="W39" s="91">
        <f>Bilan_E_KP_AME_2035!O37</f>
        <v>0.77988306826531983</v>
      </c>
      <c r="X39" s="91">
        <f>Bilan_E_KP_AME_2035!O35</f>
        <v>0</v>
      </c>
      <c r="Y39" s="489">
        <f t="shared" si="6"/>
        <v>2.8345349667232287</v>
      </c>
      <c r="Z39" s="489">
        <f t="shared" si="7"/>
        <v>0</v>
      </c>
    </row>
    <row r="40" spans="1:26">
      <c r="A40" s="679"/>
      <c r="B40" s="1" t="s">
        <v>36</v>
      </c>
      <c r="C40" s="33">
        <f>Bilan_E_KP_AME_2035!N12</f>
        <v>57.826394702164251</v>
      </c>
      <c r="D40" s="541"/>
      <c r="E40" s="35"/>
      <c r="F40" s="541"/>
      <c r="G40" s="17">
        <f t="shared" si="5"/>
        <v>57.826394702164251</v>
      </c>
      <c r="H40" s="541"/>
      <c r="I40" s="35"/>
      <c r="J40" s="37"/>
      <c r="K40" s="35"/>
      <c r="L40" s="35"/>
      <c r="M40" s="37"/>
      <c r="N40" s="35"/>
      <c r="O40" s="35"/>
      <c r="P40" s="35"/>
      <c r="Q40" s="543"/>
      <c r="R40" s="498"/>
      <c r="S40" s="541"/>
      <c r="T40" s="83">
        <f>Bilan_E_KP_AME_2035!N$38</f>
        <v>0</v>
      </c>
      <c r="U40" s="83">
        <f>Bilan_E_KP_AME_2035!N$34</f>
        <v>0</v>
      </c>
      <c r="V40" s="83">
        <f>Bilan_E_KP_AME_2035!N$36</f>
        <v>49.305914152356948</v>
      </c>
      <c r="W40" s="83">
        <f>Bilan_E_KP_AME_2035!N$37</f>
        <v>8.5204805498073064</v>
      </c>
      <c r="X40" s="84">
        <f>Bilan_E_KP_AME_2035!N$35</f>
        <v>0</v>
      </c>
      <c r="Y40" s="489">
        <f t="shared" si="6"/>
        <v>57.826394702164251</v>
      </c>
      <c r="Z40" s="489">
        <f t="shared" si="7"/>
        <v>0</v>
      </c>
    </row>
    <row r="41" spans="1:26">
      <c r="A41" s="679"/>
      <c r="B41" s="1" t="s">
        <v>37</v>
      </c>
      <c r="C41" s="33">
        <f>Bilan_E_KP_AME_2035!L12+Bilan_E_KP_AME_2035!J26+Bilan_E_KP_AME_2035!J27-Bilan_E_KP_AME_2035!L21</f>
        <v>30.678568481531752</v>
      </c>
      <c r="D41" s="191">
        <f>SUM(C36:C47)</f>
        <v>785.98342558440402</v>
      </c>
      <c r="E41" s="38"/>
      <c r="F41" s="191">
        <f>SUM(E36:E47)</f>
        <v>29.669133215117284</v>
      </c>
      <c r="G41" s="17">
        <f t="shared" si="5"/>
        <v>30.678568481531752</v>
      </c>
      <c r="H41" s="191">
        <f>SUM(G36:G47)</f>
        <v>756.31429236928682</v>
      </c>
      <c r="I41" s="35"/>
      <c r="J41" s="37"/>
      <c r="K41" s="35"/>
      <c r="L41" s="37">
        <f>-SUM(Bilan_E_KP_AME_2035!L13:L16)</f>
        <v>-1.2123786304439772</v>
      </c>
      <c r="M41" s="35"/>
      <c r="N41" s="35"/>
      <c r="O41" s="35"/>
      <c r="P41" s="35"/>
      <c r="Q41" s="543"/>
      <c r="R41" s="508">
        <f>SUM(Q36:Q47)-S41</f>
        <v>-9.5423864797794522E-4</v>
      </c>
      <c r="S41" s="191">
        <f>SUM(T36:X46)</f>
        <v>590.03989188825426</v>
      </c>
      <c r="T41" s="83">
        <f>Bilan_E_KP_AME_2035!L$38</f>
        <v>2.7366524531426237</v>
      </c>
      <c r="U41" s="83">
        <f>Bilan_E_KP_AME_2035!L$34</f>
        <v>0.87520713476562495</v>
      </c>
      <c r="V41" s="83">
        <f>Bilan_E_KP_AME_2035!L$36</f>
        <v>0</v>
      </c>
      <c r="W41" s="83">
        <f>Bilan_E_KP_AME_2035!L$37</f>
        <v>0</v>
      </c>
      <c r="X41" s="84">
        <f>Bilan_E_KP_AME_2035!L$35</f>
        <v>28.280041762715456</v>
      </c>
      <c r="Y41" s="489">
        <f t="shared" si="6"/>
        <v>31.891901350623705</v>
      </c>
      <c r="Z41" s="489">
        <f>G41-Y41-L41</f>
        <v>-9.5423864797616886E-4</v>
      </c>
    </row>
    <row r="42" spans="1:26">
      <c r="A42" s="679"/>
      <c r="B42" s="1" t="s">
        <v>38</v>
      </c>
      <c r="C42" s="33">
        <f>Bilan_E_KP_AME_2035!E18+Bilan_E_KP_AME_2035!F18-Bilan_E_KP_AME_2035!F21-Bilan_E_KP_AME_2035!F22-E54-SUM(T43:X43)-(Bilan_E_KP_AME_2035!E20+Bilan_E_KP_AME_2035!F20+Bilan_E_KP_AME_2035!E19+Bilan_E_KP_AME_2035!F19)</f>
        <v>321.05659242990276</v>
      </c>
      <c r="D42" s="541"/>
      <c r="E42" s="17">
        <f>Bilan_E_KP_AME_2035!F30+Bilan_E_KP_AME_2035!S25+Bilan_E_KP_AME_2035!F29+Bilan_E_KP_AME_2035!E29</f>
        <v>29.669133215117284</v>
      </c>
      <c r="F42" s="541"/>
      <c r="G42" s="17">
        <f t="shared" si="5"/>
        <v>291.38745921478551</v>
      </c>
      <c r="H42" s="541"/>
      <c r="I42" s="498"/>
      <c r="J42" s="37"/>
      <c r="K42" s="35"/>
      <c r="L42" s="35"/>
      <c r="M42" s="35"/>
      <c r="N42" s="35"/>
      <c r="O42" s="35"/>
      <c r="P42" s="35"/>
      <c r="Q42" s="36">
        <f>G42</f>
        <v>291.38745921478551</v>
      </c>
      <c r="R42" s="498"/>
      <c r="S42" s="541"/>
      <c r="T42" s="83">
        <v>0</v>
      </c>
      <c r="U42" s="83">
        <v>0</v>
      </c>
      <c r="V42" s="83">
        <v>0</v>
      </c>
      <c r="W42" s="83">
        <v>0</v>
      </c>
      <c r="X42" s="84">
        <f>Bilan_E_KP_AME_2035!F35</f>
        <v>291.38745921478562</v>
      </c>
      <c r="Y42" s="489">
        <f t="shared" si="6"/>
        <v>291.38745921478562</v>
      </c>
      <c r="Z42" s="489">
        <f>Q42-SUM(T42:X42)</f>
        <v>0</v>
      </c>
    </row>
    <row r="43" spans="1:26">
      <c r="A43" s="679"/>
      <c r="B43" s="1" t="s">
        <v>39</v>
      </c>
      <c r="C43" s="33">
        <f>Bilan_E_KP_AME_2035!F41+SUM(T43:X43)</f>
        <v>202.92731882266304</v>
      </c>
      <c r="D43" s="541"/>
      <c r="E43" s="38"/>
      <c r="F43" s="541"/>
      <c r="G43" s="17">
        <f>C43-E43</f>
        <v>202.92731882266304</v>
      </c>
      <c r="H43" s="541"/>
      <c r="I43" s="35"/>
      <c r="J43" s="37"/>
      <c r="K43" s="35"/>
      <c r="L43" s="35"/>
      <c r="M43" s="35"/>
      <c r="N43" s="35"/>
      <c r="O43" s="35"/>
      <c r="P43" s="35"/>
      <c r="Q43" s="36">
        <f>G43-Bilan_E_KP_AME_2035!F41</f>
        <v>88.143061240804471</v>
      </c>
      <c r="R43" s="498"/>
      <c r="S43" s="541"/>
      <c r="T43" s="83">
        <f>Bilan_E_KP_AME_2035!F38</f>
        <v>31.378359933180146</v>
      </c>
      <c r="U43" s="83">
        <f>Bilan_E_KP_AME_2035!F34</f>
        <v>23.255205938178186</v>
      </c>
      <c r="V43" s="83">
        <f>Bilan_E_KP_AME_2035!F36</f>
        <v>24.366054746482678</v>
      </c>
      <c r="W43" s="83">
        <f>Bilan_E_KP_AME_2035!F37</f>
        <v>9.1434406229634497</v>
      </c>
      <c r="X43" s="84">
        <v>0</v>
      </c>
      <c r="Y43" s="489">
        <f t="shared" si="6"/>
        <v>88.143061240804457</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G44-Bilan_E_KP_AME_2035!K41</f>
        <v>0</v>
      </c>
      <c r="R44" s="498"/>
      <c r="S44" s="541"/>
      <c r="T44" s="83">
        <f>Bilan_E_KP_AME_2035!K$38</f>
        <v>0</v>
      </c>
      <c r="U44" s="83">
        <v>0</v>
      </c>
      <c r="V44" s="83">
        <f>Bilan_E_KP_AME_2035!K$36</f>
        <v>0</v>
      </c>
      <c r="W44" s="83">
        <v>0</v>
      </c>
      <c r="X44" s="84">
        <f>Bilan_E_KP_AME_2035!K$35</f>
        <v>0</v>
      </c>
      <c r="Y44" s="489">
        <f t="shared" si="6"/>
        <v>0</v>
      </c>
      <c r="Z44" s="489">
        <f t="shared" si="7"/>
        <v>0</v>
      </c>
    </row>
    <row r="45" spans="1:26">
      <c r="A45" s="679"/>
      <c r="B45" s="1" t="s">
        <v>41</v>
      </c>
      <c r="C45" s="33">
        <f>E53</f>
        <v>12.028714359769619</v>
      </c>
      <c r="D45" s="541"/>
      <c r="E45" s="38"/>
      <c r="F45" s="541"/>
      <c r="G45" s="17">
        <f t="shared" si="1"/>
        <v>12.028714359769619</v>
      </c>
      <c r="H45" s="541"/>
      <c r="I45" s="35"/>
      <c r="J45" s="37"/>
      <c r="K45" s="35"/>
      <c r="L45" s="35"/>
      <c r="M45" s="35"/>
      <c r="N45" s="35"/>
      <c r="O45" s="35"/>
      <c r="P45" s="35"/>
      <c r="Q45" s="36">
        <f>G45-Bilan_E_KP_AME_2035!G41</f>
        <v>0</v>
      </c>
      <c r="R45" s="498"/>
      <c r="S45" s="541"/>
      <c r="T45" s="84">
        <v>0</v>
      </c>
      <c r="U45" s="83">
        <v>0</v>
      </c>
      <c r="V45" s="84">
        <v>0</v>
      </c>
      <c r="W45" s="92">
        <v>0</v>
      </c>
      <c r="X45" s="84">
        <v>0</v>
      </c>
      <c r="Y45" s="489">
        <f t="shared" si="6"/>
        <v>0</v>
      </c>
      <c r="Z45" s="489">
        <f>Q45-Y45</f>
        <v>0</v>
      </c>
    </row>
    <row r="46" spans="1:26">
      <c r="A46" s="679"/>
      <c r="B46" s="1" t="s">
        <v>42</v>
      </c>
      <c r="C46" s="33">
        <f>Bilan_E_KP_AME_2035!D18-C18-C34</f>
        <v>46.000479590016539</v>
      </c>
      <c r="D46" s="541"/>
      <c r="E46" s="511"/>
      <c r="F46" s="541"/>
      <c r="G46" s="17">
        <f>C46-E46</f>
        <v>46.000479590016539</v>
      </c>
      <c r="H46" s="541"/>
      <c r="I46" s="38"/>
      <c r="J46" s="37"/>
      <c r="K46" s="35"/>
      <c r="L46" s="35"/>
      <c r="M46" s="35"/>
      <c r="N46" s="35"/>
      <c r="O46" s="35"/>
      <c r="P46" s="35"/>
      <c r="Q46" s="36">
        <f>G46-(Bilan_E_KP_AME_2035!D41+Bilan_E_KP_AME_2035!D29+Bilan_E_KP_AME_2035!D30)</f>
        <v>6.2002081056415363</v>
      </c>
      <c r="R46" s="498"/>
      <c r="S46" s="541"/>
      <c r="T46" s="506">
        <f>Bilan_E_KP_AME_2035!D38</f>
        <v>0</v>
      </c>
      <c r="U46" s="93">
        <f>Bilan_E_KP_AME_2035!D34</f>
        <v>6.2002081056415257</v>
      </c>
      <c r="V46" s="506">
        <f>Bilan_E_KP_AME_2035!D36</f>
        <v>0</v>
      </c>
      <c r="W46" s="507">
        <f>Bilan_E_KP_AME_2035!D37</f>
        <v>0</v>
      </c>
      <c r="X46" s="506">
        <f>Bilan_E_KP_AME_2035!D35</f>
        <v>0</v>
      </c>
      <c r="Y46" s="489">
        <f t="shared" si="6"/>
        <v>6.2002081056415257</v>
      </c>
      <c r="Z46" s="489">
        <f>Q46-Y46</f>
        <v>1.0658141036401503E-14</v>
      </c>
    </row>
    <row r="47" spans="1:26">
      <c r="A47" s="90"/>
      <c r="B47" s="1" t="s">
        <v>31</v>
      </c>
      <c r="C47" s="33">
        <f>E57</f>
        <v>0.87448992412119186</v>
      </c>
      <c r="D47" s="192"/>
      <c r="E47" s="511"/>
      <c r="F47" s="192"/>
      <c r="G47" s="17">
        <f>C47-E47</f>
        <v>0.87448992412119186</v>
      </c>
      <c r="H47" s="192"/>
      <c r="I47" s="38"/>
      <c r="J47" s="37"/>
      <c r="K47" s="35"/>
      <c r="L47" s="35"/>
      <c r="M47" s="35"/>
      <c r="N47" s="35"/>
      <c r="O47" s="35"/>
      <c r="P47" s="35"/>
      <c r="Q47" s="544">
        <f>G47-Bilan_E_KP_AME_2035!R41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C5-L13-SUM(L21:L24)-L30-L41-Bilan_E_KP_AME_2035!S18</f>
        <v>0</v>
      </c>
      <c r="D49" s="1"/>
      <c r="E49" s="34">
        <f>SUM(E7:E47)+I13-Bilan_E_KP_AME_2035!S32+K13+SUM(K21:K24)+K30+Bilan_E_KP_AME_2035!D29+Bilan_E_KP_AME_2035!D30</f>
        <v>5.1514348342607263E-14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495.47068860876493</v>
      </c>
    </row>
    <row r="52" spans="1:19">
      <c r="A52" s="21"/>
      <c r="B52" s="1" t="s">
        <v>44</v>
      </c>
      <c r="C52" s="44"/>
      <c r="D52" s="1"/>
      <c r="E52" s="39">
        <f>Bilan_E_KP_AME_2035!D41+Bilan_E_KP_AME_2035!D29+Bilan_E_KP_AME_2035!D30</f>
        <v>39.800271484375003</v>
      </c>
      <c r="F52" s="187"/>
      <c r="G52" s="1"/>
      <c r="H52" s="1"/>
      <c r="I52" s="30"/>
      <c r="J52" s="17"/>
      <c r="K52" s="17"/>
      <c r="L52" s="21"/>
      <c r="M52" s="1"/>
      <c r="N52" s="17"/>
      <c r="O52" s="17"/>
      <c r="P52" s="17"/>
      <c r="Q52" s="1"/>
      <c r="S52" s="33"/>
    </row>
    <row r="53" spans="1:19">
      <c r="A53" s="21"/>
      <c r="B53" s="1" t="s">
        <v>41</v>
      </c>
      <c r="C53" s="45"/>
      <c r="D53" s="17"/>
      <c r="E53" s="433">
        <f>Bilan_E_KP_AME_2035!G41+Bilan_E_KP_AME_2035!G29</f>
        <v>12.028714359769619</v>
      </c>
      <c r="F53" s="187"/>
      <c r="G53" s="1"/>
      <c r="H53" s="1"/>
      <c r="I53" s="30"/>
      <c r="J53" s="17"/>
      <c r="K53" s="17"/>
      <c r="L53" s="21"/>
      <c r="M53" s="1"/>
      <c r="N53" s="17"/>
      <c r="O53" s="17"/>
      <c r="P53" s="17"/>
      <c r="Q53" s="1"/>
    </row>
    <row r="54" spans="1:19">
      <c r="A54" s="21"/>
      <c r="B54" s="1" t="s">
        <v>39</v>
      </c>
      <c r="C54" s="45"/>
      <c r="D54" s="17"/>
      <c r="E54" s="435">
        <f>Bilan_E_KP_AME_2035!F41</f>
        <v>114.78425758185857</v>
      </c>
      <c r="F54" s="187"/>
      <c r="G54" s="1"/>
      <c r="H54" s="1"/>
      <c r="I54" s="30"/>
      <c r="J54" s="17"/>
      <c r="K54" s="17"/>
      <c r="L54" s="21"/>
      <c r="M54" s="21"/>
      <c r="N54" s="17"/>
      <c r="O54" s="17"/>
      <c r="P54" s="17"/>
      <c r="Q54" s="1"/>
    </row>
    <row r="55" spans="1:19">
      <c r="B55" s="1" t="s">
        <v>21</v>
      </c>
      <c r="E55" s="434">
        <f>Bilan_E_KP_AME_2035!M41+Bilan_E_KP_AME_2035!M29</f>
        <v>0</v>
      </c>
    </row>
    <row r="56" spans="1:19">
      <c r="B56" s="1" t="s">
        <v>37</v>
      </c>
      <c r="E56" s="515">
        <f>Bilan_E_KP_AME_2035!L41+Bilan_E_KP_AME_2035!L29</f>
        <v>0</v>
      </c>
    </row>
    <row r="57" spans="1:19">
      <c r="B57" s="1" t="s">
        <v>31</v>
      </c>
      <c r="E57" s="515">
        <f>Bilan_E_KP_AME_2035!R41</f>
        <v>0.87448992412119186</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7E576-15AE-4832-B3F2-6BAE61FAFC4C}">
  <dimension ref="A1:Z57"/>
  <sheetViews>
    <sheetView topLeftCell="A4"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2418.1247907368247</v>
      </c>
      <c r="D5" s="18"/>
      <c r="E5" s="20"/>
      <c r="F5" s="494"/>
      <c r="G5" s="21"/>
      <c r="H5" s="493"/>
      <c r="I5" s="21"/>
      <c r="J5" s="22"/>
      <c r="K5" s="23"/>
      <c r="L5" s="14"/>
      <c r="M5" s="14"/>
      <c r="N5" s="15"/>
      <c r="O5" s="16"/>
      <c r="P5" s="16"/>
      <c r="Q5" s="24">
        <f>Q13+Q22+Q30+Q42+Q46+Q38+Q43</f>
        <v>1376.5440915628164</v>
      </c>
      <c r="R5" s="487"/>
      <c r="S5" s="79">
        <f>SUM(S13,S22,S27:S32,S41)</f>
        <v>1376.5452925385243</v>
      </c>
      <c r="T5" s="79">
        <f>SUM(T8:T46)</f>
        <v>44.5965244298065</v>
      </c>
      <c r="U5" s="79">
        <f>SUM(U8:U46)</f>
        <v>279.9847427711224</v>
      </c>
      <c r="V5" s="79">
        <f>SUM(V8:V46)</f>
        <v>449.42060390656781</v>
      </c>
      <c r="W5" s="173">
        <f>SUM(W8:W46)</f>
        <v>225.03070763733538</v>
      </c>
      <c r="X5" s="79">
        <f>SUM(X8:X46)</f>
        <v>377.51271379369234</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(([7]Offre_calc!$R$81+[7]Offre_calc!$R$82+[7]Offre_calc!$R$127+[7]Offre_calc!$R$128)/([7]Offre_calc!$R$78+[7]Offre_calc!$R$124))*Bilan_E_KP_AME_2038!I$21</f>
        <v>116.84217256366757</v>
      </c>
      <c r="D7" s="518"/>
      <c r="E7" s="28">
        <v>0</v>
      </c>
      <c r="F7" s="518"/>
      <c r="G7" s="17">
        <f>C7-E7</f>
        <v>116.84217256366757</v>
      </c>
      <c r="H7" s="518"/>
      <c r="I7" s="21"/>
      <c r="J7" s="518"/>
      <c r="K7" s="525"/>
      <c r="L7" s="525"/>
      <c r="M7" s="525"/>
      <c r="N7" s="525"/>
      <c r="O7" s="525"/>
      <c r="P7" s="513"/>
      <c r="Q7" s="528"/>
      <c r="R7" s="498"/>
      <c r="S7" s="528"/>
      <c r="T7" s="525"/>
      <c r="U7" s="525"/>
      <c r="V7" s="525"/>
      <c r="W7" s="525"/>
      <c r="X7" s="525"/>
    </row>
    <row r="8" spans="1:24">
      <c r="A8" s="695"/>
      <c r="B8" s="1" t="s">
        <v>18</v>
      </c>
      <c r="C8" s="486">
        <f>(([7]Offre_calc!$R$80+[7]Offre_calc!$R$126)/([7]Offre_calc!$R$78+[7]Offre_calc!$R$124))*Bilan_E_KP_AME_2038!I$21</f>
        <v>61.719540408587818</v>
      </c>
      <c r="D8" s="81"/>
      <c r="E8" s="28">
        <v>0</v>
      </c>
      <c r="F8" s="81"/>
      <c r="G8" s="17">
        <f t="shared" ref="G8:G19" si="0">C8-E8</f>
        <v>61.719540408587818</v>
      </c>
      <c r="H8" s="81"/>
      <c r="I8" s="21"/>
      <c r="J8" s="81"/>
      <c r="K8" s="526"/>
      <c r="L8" s="526"/>
      <c r="M8" s="526"/>
      <c r="N8" s="526"/>
      <c r="O8" s="526"/>
      <c r="P8" s="29"/>
      <c r="Q8" s="529"/>
      <c r="R8" s="498"/>
      <c r="S8" s="529"/>
      <c r="T8" s="526"/>
      <c r="U8" s="526"/>
      <c r="V8" s="526"/>
      <c r="W8" s="526"/>
      <c r="X8" s="526"/>
    </row>
    <row r="9" spans="1:24">
      <c r="A9" s="695"/>
      <c r="B9" s="1" t="s">
        <v>19</v>
      </c>
      <c r="C9" s="486">
        <f>(([7]Offre_calc!$R$79+[7]Offre_calc!$R$125)/([7]Offre_calc!$R$78+[7]Offre_calc!$R$124))*Bilan_E_KP_AME_2038!I$21</f>
        <v>70.420983810454288</v>
      </c>
      <c r="D9" s="81"/>
      <c r="E9" s="28">
        <v>0</v>
      </c>
      <c r="F9" s="81"/>
      <c r="G9" s="17">
        <f t="shared" si="0"/>
        <v>70.420983810454288</v>
      </c>
      <c r="H9" s="81"/>
      <c r="I9" s="21"/>
      <c r="J9" s="81"/>
      <c r="K9" s="526"/>
      <c r="L9" s="526"/>
      <c r="M9" s="526"/>
      <c r="N9" s="526"/>
      <c r="O9" s="526"/>
      <c r="P9" s="29"/>
      <c r="Q9" s="529"/>
      <c r="R9" s="498"/>
      <c r="S9" s="529"/>
      <c r="T9" s="526"/>
      <c r="U9" s="526"/>
      <c r="V9" s="526"/>
      <c r="W9" s="526"/>
      <c r="X9" s="526"/>
    </row>
    <row r="10" spans="1:24">
      <c r="A10" s="695"/>
      <c r="B10" s="1" t="s">
        <v>20</v>
      </c>
      <c r="C10" s="17">
        <f>Bilan_E_KP_AME_2038!H21-(Bilan_E_KP_AME_2038!P20+Bilan_E_KP_AME_2038!P19)</f>
        <v>1005.4545454545456</v>
      </c>
      <c r="D10" s="81"/>
      <c r="E10" s="28">
        <f>F13-SUM(E11:E19)</f>
        <v>676.38855213551608</v>
      </c>
      <c r="F10" s="81"/>
      <c r="G10" s="17">
        <f>C10-E10</f>
        <v>329.06599331902953</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Bilan_E_KP_AME_2038!M21</f>
        <v>0.47574727688811397</v>
      </c>
      <c r="D11" s="81"/>
      <c r="E11" s="28">
        <f>C11*(1-[7]Offre_calc!$R$161)</f>
        <v>0.20457132906188899</v>
      </c>
      <c r="F11" s="81"/>
      <c r="G11" s="17">
        <f t="shared" si="0"/>
        <v>0.27117594782622501</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Bilan_E_KP_AME_2038!K21</f>
        <v>7.1699357941539494</v>
      </c>
      <c r="D12" s="81"/>
      <c r="E12" s="28">
        <f>C12*(1-[7]Offre_calc!$R$171)</f>
        <v>4.7321576241416059</v>
      </c>
      <c r="F12" s="81"/>
      <c r="G12" s="17">
        <f t="shared" si="0"/>
        <v>2.4377781700123435</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Bilan_E_KP_AME_2038!J21</f>
        <v>29.95115714704033</v>
      </c>
      <c r="D13" s="81">
        <f>SUM(C7:C19)</f>
        <v>1327.8567095118585</v>
      </c>
      <c r="E13" s="28">
        <f>C13*(1-[7]Offre_calc!$R$170)</f>
        <v>19.767763717046616</v>
      </c>
      <c r="F13" s="81">
        <f>Bilan_E_KP_AME_2038!S21</f>
        <v>716.25267907413024</v>
      </c>
      <c r="G13" s="17">
        <f t="shared" si="0"/>
        <v>10.183393429993714</v>
      </c>
      <c r="H13" s="81">
        <f>SUM(G7:G19)</f>
        <v>611.60403043772885</v>
      </c>
      <c r="I13" s="33">
        <f>Bilan_E_KP_AME_2038!P30</f>
        <v>31.859130537431355</v>
      </c>
      <c r="J13" s="81">
        <f>H13-I13</f>
        <v>579.74489990029747</v>
      </c>
      <c r="K13" s="29">
        <f>Bilan_E_KP_AME_2038!P31</f>
        <v>43.831436480126726</v>
      </c>
      <c r="L13" s="29">
        <f>-(Bilan_E_KP_AME_2038!P14+Bilan_E_KP_AME_2038!P13)</f>
        <v>38.942042128507637</v>
      </c>
      <c r="M13" s="29">
        <f>Bilan_E_KP_AME_2038!P28</f>
        <v>0.47800681593948002</v>
      </c>
      <c r="N13" s="29"/>
      <c r="O13" s="29"/>
      <c r="P13" s="29"/>
      <c r="Q13" s="81">
        <f>J13-K13-L13-M13-N13-O13-P13</f>
        <v>496.49341447572363</v>
      </c>
      <c r="R13" s="508">
        <f>Q13-S13</f>
        <v>0</v>
      </c>
      <c r="S13" s="81">
        <f>SUM(T8:X19)</f>
        <v>496.49341447572328</v>
      </c>
      <c r="T13" s="29">
        <f>Bilan_E_KP_AME_2038!P38</f>
        <v>6.6555854929198803</v>
      </c>
      <c r="U13" s="29">
        <f>Bilan_E_KP_AME_2038!P34+Bilan_E_KP_AME_2038!P39</f>
        <v>111.15293457022204</v>
      </c>
      <c r="V13" s="29">
        <f>Bilan_E_KP_AME_2038!P36</f>
        <v>185.58174281281848</v>
      </c>
      <c r="W13" s="29">
        <f>Bilan_E_KP_AME_2038!P37</f>
        <v>137.18962935697431</v>
      </c>
      <c r="X13" s="29">
        <f>Bilan_E_KP_AME_2038!P35</f>
        <v>55.913522242788574</v>
      </c>
    </row>
    <row r="14" spans="1:24">
      <c r="A14" s="695"/>
      <c r="B14" s="1" t="s">
        <v>24</v>
      </c>
      <c r="C14" s="17">
        <f>Bilan_E_KP_AME_2038!O21</f>
        <v>5.3758847536792693</v>
      </c>
      <c r="D14" s="81"/>
      <c r="E14" s="28">
        <v>0</v>
      </c>
      <c r="F14" s="81"/>
      <c r="G14" s="17">
        <f t="shared" si="0"/>
        <v>5.3758847536792693</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Bilan_E_KP_AME_2038!L21</f>
        <v>2.7260808922399375</v>
      </c>
      <c r="D16" s="81"/>
      <c r="E16" s="28">
        <f>C16*(1-[7]Offre_calc!$R$158)</f>
        <v>1.5266052996543651</v>
      </c>
      <c r="F16" s="81"/>
      <c r="G16" s="17">
        <f t="shared" si="0"/>
        <v>1.1994755925855725</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Bilan_E_KP_AME_2038!F21</f>
        <v>7.7008933134364401</v>
      </c>
      <c r="D17" s="81"/>
      <c r="E17" s="28">
        <f>C17*(1-[7]Offre_calc!$R$158)</f>
        <v>4.312500255524407</v>
      </c>
      <c r="F17" s="81"/>
      <c r="G17" s="17">
        <f t="shared" si="0"/>
        <v>3.3883930579120332</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Bilan_E_KP_AME_2038!D21</f>
        <v>2.8267856410252494</v>
      </c>
      <c r="D18" s="81"/>
      <c r="E18" s="28">
        <f>C18*(1-[7]Offre_calc!$R$157)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Bilan_E_KP_AME_2038!G21+Bilan_E_KP_AME_2038!R21</f>
        <v>17.192982456140349</v>
      </c>
      <c r="D19" s="82"/>
      <c r="E19" s="28">
        <f>C19*(1-[7]Offre_calc!$R$160)</f>
        <v>7.3929824561403494</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0.32728082518167489</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Bilan_E_KP_AME_2038!J23+Bilan_E_KP_AME_2038!M12</f>
        <v>7.4272291037730369</v>
      </c>
      <c r="D21" s="531"/>
      <c r="E21" s="33">
        <f>Bilan_E_KP_AME_2038!S23+Bilan_E_KP_AME_2038!M30</f>
        <v>0.80290318959561247</v>
      </c>
      <c r="F21" s="531"/>
      <c r="G21" s="17">
        <f t="shared" ref="G21:G45" si="1">C21-E21</f>
        <v>6.6243259141774242</v>
      </c>
      <c r="H21" s="531"/>
      <c r="I21" s="17"/>
      <c r="J21" s="531"/>
      <c r="K21" s="547">
        <f>Bilan_E_KP_AME_2038!M31</f>
        <v>7.7924650670348858E-2</v>
      </c>
      <c r="L21" s="547">
        <f>-(Bilan_E_KP_AME_2038!M13+Bilan_E_KP_AME_2038!M14+Bilan_E_KP_AME_2038!M15+Bilan_E_KP_AME_2038!M16)</f>
        <v>0</v>
      </c>
      <c r="M21" s="547">
        <f>Bilan_E_KP_AME_2038!M28</f>
        <v>8.6230722428282419E-2</v>
      </c>
      <c r="N21" s="547">
        <f>Bilan_E_KP_AME_2038!M22</f>
        <v>0.32133708059977345</v>
      </c>
      <c r="O21" s="547">
        <f>Bilan_E_KP_AME_2038!M21</f>
        <v>0.47574727688811397</v>
      </c>
      <c r="P21" s="531"/>
      <c r="Q21" s="531"/>
      <c r="R21" s="498"/>
      <c r="S21" s="531"/>
      <c r="T21" s="531"/>
      <c r="U21" s="531"/>
      <c r="V21" s="531"/>
      <c r="W21" s="531"/>
      <c r="X21" s="531"/>
    </row>
    <row r="22" spans="1:24">
      <c r="A22" s="696"/>
      <c r="B22" s="1" t="s">
        <v>30</v>
      </c>
      <c r="C22" s="17"/>
      <c r="D22" s="85">
        <f>SUM(C21:C24)</f>
        <v>332.8448619038677</v>
      </c>
      <c r="E22" s="497"/>
      <c r="F22" s="85">
        <f>SUM(E21:E24)</f>
        <v>7.4111874835638654</v>
      </c>
      <c r="G22" s="17"/>
      <c r="H22" s="85">
        <f>SUM(G21:G24)</f>
        <v>325.43367442030387</v>
      </c>
      <c r="I22" s="408"/>
      <c r="J22" s="85">
        <f>H22-I22</f>
        <v>325.43367442030387</v>
      </c>
      <c r="K22" s="32"/>
      <c r="L22" s="32"/>
      <c r="M22" s="32"/>
      <c r="N22" s="32"/>
      <c r="O22" s="32"/>
      <c r="P22" s="32"/>
      <c r="Q22" s="85">
        <f>J22-SUM(K21:P24)</f>
        <v>284.18740287422014</v>
      </c>
      <c r="R22" s="508">
        <f>Q22-S22</f>
        <v>-2.5104122720961186E-2</v>
      </c>
      <c r="S22" s="85">
        <f>SUM(T22:X24)</f>
        <v>284.2125069969411</v>
      </c>
      <c r="T22" s="32">
        <f>Bilan_E_KP_AME_2038!G38+Bilan_E_KP_AME_2038!R38+Bilan_E_KP_AME_2038!M$38</f>
        <v>1.5228966049376753</v>
      </c>
      <c r="U22" s="32">
        <f>Bilan_E_KP_AME_2038!G34+Bilan_E_KP_AME_2038!R34+Bilan_E_KP_AME_2038!M$34</f>
        <v>101.6359229462508</v>
      </c>
      <c r="V22" s="32">
        <f>Bilan_E_KP_AME_2038!G36+Bilan_E_KP_AME_2038!R36+Bilan_E_KP_AME_2038!M$36</f>
        <v>86.970656357910485</v>
      </c>
      <c r="W22" s="32">
        <f>Bilan_E_KP_AME_2038!G37+Bilan_E_KP_AME_2038!K37+Bilan_E_KP_AME_2038!R37+Bilan_E_KP_AME_2038!M$37</f>
        <v>64.366616771086314</v>
      </c>
      <c r="X22" s="32">
        <f>Bilan_E_KP_AME_2038!G35+Bilan_E_KP_AME_2038!R35+Bilan_E_KP_AME_2038!M$35</f>
        <v>29.716414316755817</v>
      </c>
    </row>
    <row r="23" spans="1:24">
      <c r="A23" s="696"/>
      <c r="B23" s="1" t="s">
        <v>31</v>
      </c>
      <c r="C23" s="17">
        <f>SUM(Bilan_E_KP_AME_2038!D28:Q28)-C47</f>
        <v>3.4070013466564246</v>
      </c>
      <c r="D23" s="532"/>
      <c r="E23" s="33">
        <f>Bilan_E_KP_AME_2038!S28+Bilan_E_KP_AME_2038!S27</f>
        <v>1.4618472731749175</v>
      </c>
      <c r="F23" s="534"/>
      <c r="G23" s="17">
        <f t="shared" si="1"/>
        <v>1.9451540734815072</v>
      </c>
      <c r="H23" s="534"/>
      <c r="I23" s="17"/>
      <c r="J23" s="534"/>
      <c r="K23" s="536">
        <f>Bilan_E_KP_AME_2038!R31</f>
        <v>0</v>
      </c>
      <c r="L23" s="536">
        <f>-(Bilan_E_KP_AME_2038!R13+Bilan_E_KP_AME_2038!R14+Bilan_E_KP_AME_2038!R15+Bilan_E_KP_AME_2038!R16)</f>
        <v>0</v>
      </c>
      <c r="M23" s="536"/>
      <c r="N23" s="536">
        <f>Bilan_E_KP_AME_2038!R22</f>
        <v>0</v>
      </c>
      <c r="O23" s="536">
        <f>Bilan_E_KP_AME_2038!R21</f>
        <v>0</v>
      </c>
      <c r="P23" s="536">
        <f>-Bilan_E_KP_AME_2038!L27</f>
        <v>0</v>
      </c>
      <c r="Q23" s="534"/>
      <c r="S23" s="534"/>
      <c r="T23" s="538"/>
      <c r="U23" s="538"/>
      <c r="V23" s="538"/>
      <c r="W23" s="538"/>
      <c r="X23" s="538"/>
    </row>
    <row r="24" spans="1:24">
      <c r="A24" s="696"/>
      <c r="B24" s="1" t="s">
        <v>32</v>
      </c>
      <c r="C24" s="17">
        <f>Bilan_E_KP_AME_2038!G18-C45-(Bilan_E_KP_AME_2038!G20+Bilan_E_KP_AME_2038!G19)</f>
        <v>322.01063145343824</v>
      </c>
      <c r="D24" s="533"/>
      <c r="E24" s="33">
        <f>Bilan_E_KP_AME_2038!G30</f>
        <v>5.1464370207933356</v>
      </c>
      <c r="F24" s="535"/>
      <c r="G24" s="17">
        <f t="shared" si="1"/>
        <v>316.86419443264492</v>
      </c>
      <c r="H24" s="535"/>
      <c r="I24" s="34"/>
      <c r="J24" s="535"/>
      <c r="K24" s="537">
        <f>Bilan_E_KP_AME_2038!G31</f>
        <v>3.818307882847094</v>
      </c>
      <c r="L24" s="537"/>
      <c r="M24" s="537">
        <f>Bilan_E_KP_AME_2038!G28</f>
        <v>4.2253053989858387</v>
      </c>
      <c r="N24" s="537">
        <f>Bilan_E_KP_AME_2038!G22</f>
        <v>15.048436077523924</v>
      </c>
      <c r="O24" s="537">
        <f>Bilan_E_KP_AME_2038!G21</f>
        <v>17.192982456140349</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Bilan_E_KP_AME_2038!M22</f>
        <v>0.32133708059977345</v>
      </c>
      <c r="D26" s="512"/>
      <c r="E26" s="190">
        <f>C26*F$35</f>
        <v>2.9091410168478507E-2</v>
      </c>
      <c r="F26" s="512"/>
      <c r="G26" s="33">
        <f t="shared" ref="G26:G31" si="2">C26-E26</f>
        <v>0.29224567043129496</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Bilan_E_KP_AME_2038!K18-Bilan_E_KP_AME_2038!K21-(Bilan_E_KP_AME_2038!Q20+Bilan_E_KP_AME_2038!Q19+Bilan_E_KP_AME_2038!K20+Bilan_E_KP_AME_2038!K19)</f>
        <v>13.897387413912838</v>
      </c>
      <c r="D27" s="87"/>
      <c r="E27" s="190">
        <f t="shared" ref="E27:E34" si="3">C27*F$35</f>
        <v>1.2581635358539265</v>
      </c>
      <c r="F27" s="87"/>
      <c r="G27" s="33">
        <f t="shared" si="2"/>
        <v>12.639223878058912</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Bilan_E_KP_AME_2038!J22</f>
        <v>12.74533322609016</v>
      </c>
      <c r="D29" s="87"/>
      <c r="E29" s="190">
        <f t="shared" si="3"/>
        <v>1.1538653302073587</v>
      </c>
      <c r="F29" s="87"/>
      <c r="G29" s="33">
        <f t="shared" si="2"/>
        <v>11.591467895882802</v>
      </c>
      <c r="H29" s="87"/>
      <c r="I29" s="1"/>
      <c r="J29" s="87"/>
      <c r="K29" s="87"/>
      <c r="L29" s="87"/>
      <c r="M29" s="87"/>
      <c r="N29" s="87"/>
      <c r="O29" s="87"/>
      <c r="P29" s="87"/>
      <c r="Q29" s="87"/>
      <c r="R29" s="498"/>
      <c r="S29" s="87"/>
      <c r="T29" s="87"/>
      <c r="U29" s="87"/>
      <c r="V29" s="87"/>
      <c r="W29" s="87"/>
      <c r="X29" s="87"/>
    </row>
    <row r="30" spans="1:24">
      <c r="A30" s="697"/>
      <c r="B30" s="1" t="s">
        <v>24</v>
      </c>
      <c r="C30" s="17">
        <f>Bilan_E_KP_AME_2038!O22</f>
        <v>2.1348201063802894</v>
      </c>
      <c r="D30" s="86">
        <f>SUM(C26:C34)</f>
        <v>44.147313904506987</v>
      </c>
      <c r="E30" s="190">
        <f t="shared" si="3"/>
        <v>0.19327034164468507</v>
      </c>
      <c r="F30" s="86">
        <f>Bilan_E_KP_AME_2038!S22</f>
        <v>3.9967613268765492</v>
      </c>
      <c r="G30" s="33">
        <f t="shared" si="2"/>
        <v>1.9415497647356044</v>
      </c>
      <c r="H30" s="86">
        <f>SUM(G26:G34)</f>
        <v>40.150552577630435</v>
      </c>
      <c r="I30" s="1"/>
      <c r="J30" s="86">
        <f>H30</f>
        <v>40.150552577630435</v>
      </c>
      <c r="K30" s="87">
        <f>Bilan_E_KP_AME_2038!Q31</f>
        <v>2.9732290990631256</v>
      </c>
      <c r="L30" s="87"/>
      <c r="M30" s="87">
        <f>Bilan_E_KP_AME_2038!K28</f>
        <v>4.8227473393893973E-2</v>
      </c>
      <c r="N30" s="87"/>
      <c r="O30" s="87"/>
      <c r="P30" s="87"/>
      <c r="Q30" s="86">
        <f>J30-K30-L30-M30-N30-O30-P30</f>
        <v>37.129096005173416</v>
      </c>
      <c r="R30" s="508">
        <f>Q30-S30</f>
        <v>2.5104122720961186E-2</v>
      </c>
      <c r="S30" s="86">
        <f>SUM(T27:X34)</f>
        <v>37.103991882452455</v>
      </c>
      <c r="T30" s="87">
        <f>Bilan_E_KP_AME_2038!Q$38</f>
        <v>0</v>
      </c>
      <c r="U30" s="87">
        <f>Bilan_E_KP_AME_2038!Q$34+Bilan_E_KP_AME_2038!K34</f>
        <v>17.859317793482042</v>
      </c>
      <c r="V30" s="87">
        <f>Bilan_E_KP_AME_2038!Q$36</f>
        <v>15.554343379011728</v>
      </c>
      <c r="W30" s="87">
        <f>Bilan_E_KP_AME_2038!Q$37</f>
        <v>3.6903307099586842</v>
      </c>
      <c r="X30" s="87">
        <f>Bilan_E_KP_AME_2038!Q$35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Bilan_E_KP_AME_2038!G22</f>
        <v>15.048436077523924</v>
      </c>
      <c r="D32" s="86"/>
      <c r="E32" s="190">
        <f t="shared" si="3"/>
        <v>1.3623707090021</v>
      </c>
      <c r="F32" s="86"/>
      <c r="G32" s="33">
        <f>C32-E32</f>
        <v>13.686065368521824</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Bilan_E_KP_AME_2038!F22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Bilan_E_KP_AME_2038!D22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9.0532378380296444E-2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113.50572884864341</v>
      </c>
      <c r="D37" s="541"/>
      <c r="E37" s="504"/>
      <c r="F37" s="541"/>
      <c r="G37" s="17">
        <f t="shared" ref="G37:G42" si="5">C37-E37</f>
        <v>113.50572884864341</v>
      </c>
      <c r="H37" s="541"/>
      <c r="I37" s="498"/>
      <c r="J37" s="37"/>
      <c r="K37" s="35"/>
      <c r="L37" s="35"/>
      <c r="M37" s="505"/>
      <c r="N37" s="35"/>
      <c r="P37" s="35"/>
      <c r="Q37" s="543"/>
      <c r="R37" s="498"/>
      <c r="S37" s="541"/>
      <c r="T37" s="506">
        <f>Bilan_E_KP_AME_2038!J38</f>
        <v>3.2225859194218685</v>
      </c>
      <c r="U37" s="93">
        <f>Bilan_E_KP_AME_2038!J34</f>
        <v>20.258622771310847</v>
      </c>
      <c r="V37" s="506">
        <f>Bilan_E_KP_AME_2038!J36</f>
        <v>86.726820353783026</v>
      </c>
      <c r="W37" s="507">
        <f>Bilan_E_KP_AME_2038!J37</f>
        <v>3.2976998041276677</v>
      </c>
      <c r="X37" s="506">
        <f>Bilan_E_KP_AME_2038!J35</f>
        <v>0</v>
      </c>
      <c r="Y37" s="489">
        <f t="shared" ref="Y37:Y47" si="6">SUM(T37:X37)</f>
        <v>113.50572884864341</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206.76245905473863</v>
      </c>
      <c r="R38" s="498"/>
      <c r="S38" s="541"/>
      <c r="T38" s="84">
        <v>0</v>
      </c>
      <c r="U38" s="83">
        <v>0</v>
      </c>
      <c r="V38" s="84">
        <v>0</v>
      </c>
      <c r="W38" s="91">
        <v>0</v>
      </c>
      <c r="X38" s="91">
        <v>0</v>
      </c>
      <c r="Y38" s="489">
        <f t="shared" si="6"/>
        <v>0</v>
      </c>
      <c r="Z38" s="489">
        <f t="shared" si="7"/>
        <v>0</v>
      </c>
    </row>
    <row r="39" spans="1:26">
      <c r="A39" s="679"/>
      <c r="B39" s="1" t="s">
        <v>35</v>
      </c>
      <c r="C39" s="33">
        <f>SUM(T39:X39)</f>
        <v>2.8372848935198816</v>
      </c>
      <c r="D39" s="541"/>
      <c r="E39" s="35"/>
      <c r="F39" s="541"/>
      <c r="G39" s="17">
        <f t="shared" si="5"/>
        <v>2.8372848935198816</v>
      </c>
      <c r="H39" s="541"/>
      <c r="I39" s="35"/>
      <c r="J39" s="37"/>
      <c r="K39" s="35"/>
      <c r="L39" s="35"/>
      <c r="M39" s="37"/>
      <c r="N39" s="35"/>
      <c r="O39" s="35"/>
      <c r="P39" s="35"/>
      <c r="Q39" s="543"/>
      <c r="R39" s="498"/>
      <c r="S39" s="541"/>
      <c r="T39" s="84">
        <f>Bilan_E_KP_AME_2038!O38</f>
        <v>7.4767074498679406E-2</v>
      </c>
      <c r="U39" s="83">
        <f>Bilan_E_KP_AME_2038!O34</f>
        <v>3.7946622282562846E-4</v>
      </c>
      <c r="V39" s="84">
        <f>Bilan_E_KP_AME_2038!O36</f>
        <v>2.0042749347218733</v>
      </c>
      <c r="W39" s="91">
        <f>Bilan_E_KP_AME_2038!O37</f>
        <v>0.75786341807650337</v>
      </c>
      <c r="X39" s="91">
        <f>Bilan_E_KP_AME_2038!O35</f>
        <v>0</v>
      </c>
      <c r="Y39" s="489">
        <f t="shared" si="6"/>
        <v>2.8372848935198816</v>
      </c>
      <c r="Z39" s="489">
        <f t="shared" si="7"/>
        <v>0</v>
      </c>
    </row>
    <row r="40" spans="1:26">
      <c r="A40" s="679"/>
      <c r="B40" s="1" t="s">
        <v>36</v>
      </c>
      <c r="C40" s="33">
        <f>Bilan_E_KP_AME_2038!N12</f>
        <v>60.832905155553725</v>
      </c>
      <c r="D40" s="541"/>
      <c r="E40" s="35"/>
      <c r="F40" s="541"/>
      <c r="G40" s="17">
        <f t="shared" si="5"/>
        <v>60.832905155553725</v>
      </c>
      <c r="H40" s="541"/>
      <c r="I40" s="35"/>
      <c r="J40" s="37"/>
      <c r="K40" s="35"/>
      <c r="L40" s="35"/>
      <c r="M40" s="37"/>
      <c r="N40" s="35"/>
      <c r="O40" s="35"/>
      <c r="P40" s="35"/>
      <c r="Q40" s="543"/>
      <c r="R40" s="498"/>
      <c r="S40" s="541"/>
      <c r="T40" s="83">
        <f>Bilan_E_KP_AME_2038!N$38</f>
        <v>0</v>
      </c>
      <c r="U40" s="83">
        <f>Bilan_E_KP_AME_2038!N$34</f>
        <v>0</v>
      </c>
      <c r="V40" s="83">
        <f>Bilan_E_KP_AME_2038!N$36</f>
        <v>52.217429119397167</v>
      </c>
      <c r="W40" s="83">
        <f>Bilan_E_KP_AME_2038!N$37</f>
        <v>8.6154760361565579</v>
      </c>
      <c r="X40" s="84">
        <f>Bilan_E_KP_AME_2038!N$35</f>
        <v>0</v>
      </c>
      <c r="Y40" s="489">
        <f t="shared" si="6"/>
        <v>60.832905155553725</v>
      </c>
      <c r="Z40" s="489">
        <f t="shared" si="7"/>
        <v>0</v>
      </c>
    </row>
    <row r="41" spans="1:26">
      <c r="A41" s="679"/>
      <c r="B41" s="1" t="s">
        <v>37</v>
      </c>
      <c r="C41" s="33">
        <f>Bilan_E_KP_AME_2038!L12+Bilan_E_KP_AME_2038!J26+Bilan_E_KP_AME_2038!J27-Bilan_E_KP_AME_2038!L21</f>
        <v>28.189429270151923</v>
      </c>
      <c r="D41" s="191">
        <f>SUM(C36:C47)</f>
        <v>751.15217871849086</v>
      </c>
      <c r="E41" s="38"/>
      <c r="F41" s="191">
        <f>SUM(E36:E47)</f>
        <v>28.999845531067304</v>
      </c>
      <c r="G41" s="17">
        <f t="shared" si="5"/>
        <v>28.189429270151923</v>
      </c>
      <c r="H41" s="191">
        <f>SUM(G36:G47)</f>
        <v>722.15233318742366</v>
      </c>
      <c r="I41" s="35"/>
      <c r="J41" s="37"/>
      <c r="K41" s="35"/>
      <c r="L41" s="37">
        <f>-SUM(Bilan_E_KP_AME_2038!L13:L16)</f>
        <v>-1.397110886869676</v>
      </c>
      <c r="M41" s="35"/>
      <c r="N41" s="35"/>
      <c r="O41" s="35"/>
      <c r="P41" s="35"/>
      <c r="Q41" s="543"/>
      <c r="R41" s="508">
        <f>SUM(Q36:Q47)-S41</f>
        <v>-1.2009757083433215E-3</v>
      </c>
      <c r="S41" s="191">
        <f>SUM(T36:X46)</f>
        <v>558.73537918340753</v>
      </c>
      <c r="T41" s="83">
        <f>Bilan_E_KP_AME_2038!L$38</f>
        <v>2.9019247412329854</v>
      </c>
      <c r="U41" s="83">
        <f>Bilan_E_KP_AME_2038!L$34</f>
        <v>0.898333240234375</v>
      </c>
      <c r="V41" s="83">
        <f>Bilan_E_KP_AME_2038!L$36</f>
        <v>0</v>
      </c>
      <c r="W41" s="83">
        <f>Bilan_E_KP_AME_2038!L$37</f>
        <v>0</v>
      </c>
      <c r="X41" s="84">
        <f>Bilan_E_KP_AME_2038!L$35</f>
        <v>25.787483151262677</v>
      </c>
      <c r="Y41" s="489">
        <f t="shared" si="6"/>
        <v>29.587741132730038</v>
      </c>
      <c r="Z41" s="489">
        <f>G41-Y41-L41</f>
        <v>-1.2009757084392447E-3</v>
      </c>
    </row>
    <row r="42" spans="1:26">
      <c r="A42" s="679"/>
      <c r="B42" s="1" t="s">
        <v>38</v>
      </c>
      <c r="C42" s="33">
        <f>Bilan_E_KP_AME_2038!E18+Bilan_E_KP_AME_2038!F18-Bilan_E_KP_AME_2038!F21-Bilan_E_KP_AME_2038!F22-E54-SUM(T43:X43)-(Bilan_E_KP_AME_2038!E20+Bilan_E_KP_AME_2038!F20+Bilan_E_KP_AME_2038!E19+Bilan_E_KP_AME_2038!F19)</f>
        <v>295.09513961395248</v>
      </c>
      <c r="D42" s="541"/>
      <c r="E42" s="17">
        <f>Bilan_E_KP_AME_2038!F30+Bilan_E_KP_AME_2038!S25+Bilan_E_KP_AME_2038!F29+Bilan_E_KP_AME_2038!E29</f>
        <v>28.999845531067304</v>
      </c>
      <c r="F42" s="541"/>
      <c r="G42" s="17">
        <f t="shared" si="5"/>
        <v>266.09529408288518</v>
      </c>
      <c r="H42" s="541"/>
      <c r="I42" s="498"/>
      <c r="J42" s="37"/>
      <c r="K42" s="35"/>
      <c r="L42" s="35"/>
      <c r="M42" s="35"/>
      <c r="N42" s="35"/>
      <c r="O42" s="35"/>
      <c r="P42" s="35"/>
      <c r="Q42" s="36">
        <f>G42</f>
        <v>266.09529408288518</v>
      </c>
      <c r="R42" s="498"/>
      <c r="S42" s="541"/>
      <c r="T42" s="83">
        <v>0</v>
      </c>
      <c r="U42" s="83">
        <v>0</v>
      </c>
      <c r="V42" s="83">
        <v>0</v>
      </c>
      <c r="W42" s="83">
        <v>0</v>
      </c>
      <c r="X42" s="84">
        <f>Bilan_E_KP_AME_2038!F35</f>
        <v>266.09529408288529</v>
      </c>
      <c r="Y42" s="489">
        <f t="shared" si="6"/>
        <v>266.09529408288529</v>
      </c>
      <c r="Z42" s="489">
        <f>Q42-SUM(T42:X42)</f>
        <v>0</v>
      </c>
    </row>
    <row r="43" spans="1:26">
      <c r="A43" s="679"/>
      <c r="B43" s="1" t="s">
        <v>39</v>
      </c>
      <c r="C43" s="33">
        <f>Bilan_E_KP_AME_2038!F41+SUM(T43:X43)</f>
        <v>191.83700564227627</v>
      </c>
      <c r="D43" s="541"/>
      <c r="E43" s="38"/>
      <c r="F43" s="541"/>
      <c r="G43" s="17">
        <f>C43-E43</f>
        <v>191.83700564227627</v>
      </c>
      <c r="H43" s="541"/>
      <c r="I43" s="35"/>
      <c r="J43" s="37"/>
      <c r="K43" s="35"/>
      <c r="L43" s="35"/>
      <c r="M43" s="35"/>
      <c r="N43" s="35"/>
      <c r="O43" s="35"/>
      <c r="P43" s="35"/>
      <c r="Q43" s="36">
        <f>G43-Bilan_E_KP_AME_2038!F41</f>
        <v>80.099812765275573</v>
      </c>
      <c r="R43" s="498"/>
      <c r="S43" s="541"/>
      <c r="T43" s="83">
        <f>Bilan_E_KP_AME_2038!F38</f>
        <v>30.218764596795413</v>
      </c>
      <c r="U43" s="83">
        <f>Bilan_E_KP_AME_2038!F34</f>
        <v>22.402619678599791</v>
      </c>
      <c r="V43" s="83">
        <f>Bilan_E_KP_AME_2038!F36</f>
        <v>20.365336948925044</v>
      </c>
      <c r="W43" s="83">
        <f>Bilan_E_KP_AME_2038!F37</f>
        <v>7.1130915409553364</v>
      </c>
      <c r="X43" s="84">
        <v>0</v>
      </c>
      <c r="Y43" s="489">
        <f t="shared" si="6"/>
        <v>80.099812765275587</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G44-Bilan_E_KP_AME_2038!K41</f>
        <v>0</v>
      </c>
      <c r="R44" s="498"/>
      <c r="S44" s="541"/>
      <c r="T44" s="83">
        <f>Bilan_E_KP_AME_2038!K$38</f>
        <v>0</v>
      </c>
      <c r="U44" s="83">
        <v>0</v>
      </c>
      <c r="V44" s="83">
        <f>Bilan_E_KP_AME_2038!K$36</f>
        <v>0</v>
      </c>
      <c r="W44" s="83">
        <v>0</v>
      </c>
      <c r="X44" s="84">
        <f>Bilan_E_KP_AME_2038!K$35</f>
        <v>0</v>
      </c>
      <c r="Y44" s="489">
        <f t="shared" si="6"/>
        <v>0</v>
      </c>
      <c r="Z44" s="489">
        <f t="shared" si="7"/>
        <v>0</v>
      </c>
    </row>
    <row r="45" spans="1:26">
      <c r="A45" s="679"/>
      <c r="B45" s="1" t="s">
        <v>41</v>
      </c>
      <c r="C45" s="33">
        <f>E53</f>
        <v>11.878700409877391</v>
      </c>
      <c r="D45" s="541"/>
      <c r="E45" s="38"/>
      <c r="F45" s="541"/>
      <c r="G45" s="17">
        <f t="shared" si="1"/>
        <v>11.878700409877391</v>
      </c>
      <c r="H45" s="541"/>
      <c r="I45" s="35"/>
      <c r="J45" s="37"/>
      <c r="K45" s="35"/>
      <c r="L45" s="35"/>
      <c r="M45" s="35"/>
      <c r="N45" s="35"/>
      <c r="O45" s="35"/>
      <c r="P45" s="35"/>
      <c r="Q45" s="36">
        <f>G45-Bilan_E_KP_AME_2038!G41</f>
        <v>0</v>
      </c>
      <c r="R45" s="498"/>
      <c r="S45" s="541"/>
      <c r="T45" s="84">
        <v>0</v>
      </c>
      <c r="U45" s="83">
        <v>0</v>
      </c>
      <c r="V45" s="84">
        <v>0</v>
      </c>
      <c r="W45" s="92">
        <v>0</v>
      </c>
      <c r="X45" s="84">
        <v>0</v>
      </c>
      <c r="Y45" s="489">
        <f t="shared" si="6"/>
        <v>0</v>
      </c>
      <c r="Z45" s="489">
        <f>Q45-Y45</f>
        <v>0</v>
      </c>
    </row>
    <row r="46" spans="1:26">
      <c r="A46" s="679"/>
      <c r="B46" s="1" t="s">
        <v>42</v>
      </c>
      <c r="C46" s="33">
        <f>Bilan_E_KP_AME_2038!D18-C18-C34</f>
        <v>45.545215820424701</v>
      </c>
      <c r="D46" s="541"/>
      <c r="E46" s="511"/>
      <c r="F46" s="541"/>
      <c r="G46" s="17">
        <f>C46-E46</f>
        <v>45.545215820424701</v>
      </c>
      <c r="H46" s="541"/>
      <c r="I46" s="38"/>
      <c r="J46" s="37"/>
      <c r="K46" s="35"/>
      <c r="L46" s="35"/>
      <c r="M46" s="35"/>
      <c r="N46" s="35"/>
      <c r="O46" s="35"/>
      <c r="P46" s="35"/>
      <c r="Q46" s="36">
        <f>G46-(Bilan_E_KP_AME_2038!D41+Bilan_E_KP_AME_2038!D29+Bilan_E_KP_AME_2038!D30)</f>
        <v>5.7766123047996984</v>
      </c>
      <c r="R46" s="498"/>
      <c r="S46" s="541"/>
      <c r="T46" s="506">
        <f>Bilan_E_KP_AME_2038!D38</f>
        <v>0</v>
      </c>
      <c r="U46" s="93">
        <f>Bilan_E_KP_AME_2038!D34</f>
        <v>5.7766123047996905</v>
      </c>
      <c r="V46" s="506">
        <f>Bilan_E_KP_AME_2038!D36</f>
        <v>0</v>
      </c>
      <c r="W46" s="507">
        <f>Bilan_E_KP_AME_2038!D37</f>
        <v>0</v>
      </c>
      <c r="X46" s="506">
        <f>Bilan_E_KP_AME_2038!D35</f>
        <v>0</v>
      </c>
      <c r="Y46" s="489">
        <f t="shared" si="6"/>
        <v>5.7766123047996905</v>
      </c>
      <c r="Z46" s="489">
        <f>Q46-Y46</f>
        <v>7.9936057773011271E-15</v>
      </c>
    </row>
    <row r="47" spans="1:26">
      <c r="A47" s="90"/>
      <c r="B47" s="1" t="s">
        <v>31</v>
      </c>
      <c r="C47" s="33">
        <f>E57</f>
        <v>1.43076906409107</v>
      </c>
      <c r="D47" s="192"/>
      <c r="E47" s="511"/>
      <c r="F47" s="192"/>
      <c r="G47" s="17">
        <f>C47-E47</f>
        <v>1.43076906409107</v>
      </c>
      <c r="H47" s="192"/>
      <c r="I47" s="38"/>
      <c r="J47" s="37"/>
      <c r="K47" s="35"/>
      <c r="L47" s="35"/>
      <c r="M47" s="35"/>
      <c r="N47" s="35"/>
      <c r="O47" s="35"/>
      <c r="P47" s="35"/>
      <c r="Q47" s="544">
        <f>G47-Bilan_E_KP_AME_2038!R41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C5-L13-SUM(L21:L24)-L30-L41-Bilan_E_KP_AME_2038!S18</f>
        <v>0</v>
      </c>
      <c r="D49" s="1"/>
      <c r="E49" s="34">
        <f>SUM(E7:E47)+I13-Bilan_E_KP_AME_2038!S32+K13+SUM(K21:K24)+K30+Bilan_E_KP_AME_2038!D29+Bilan_E_KP_AME_2038!D30</f>
        <v>-1.1368683772161603E-13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498.49241777711063</v>
      </c>
    </row>
    <row r="52" spans="1:19">
      <c r="A52" s="21"/>
      <c r="B52" s="1" t="s">
        <v>44</v>
      </c>
      <c r="C52" s="44"/>
      <c r="D52" s="1"/>
      <c r="E52" s="39">
        <f>Bilan_E_KP_AME_2038!D41+Bilan_E_KP_AME_2038!D29+Bilan_E_KP_AME_2038!D30</f>
        <v>39.768603515625003</v>
      </c>
      <c r="F52" s="187"/>
      <c r="G52" s="1"/>
      <c r="H52" s="1"/>
      <c r="I52" s="30"/>
      <c r="J52" s="17"/>
      <c r="K52" s="17"/>
      <c r="L52" s="21"/>
      <c r="M52" s="1"/>
      <c r="N52" s="17"/>
      <c r="O52" s="17"/>
      <c r="P52" s="17"/>
      <c r="Q52" s="1"/>
      <c r="S52" s="33"/>
    </row>
    <row r="53" spans="1:19">
      <c r="A53" s="21"/>
      <c r="B53" s="1" t="s">
        <v>41</v>
      </c>
      <c r="C53" s="45"/>
      <c r="D53" s="17"/>
      <c r="E53" s="433">
        <f>Bilan_E_KP_AME_2038!G41+Bilan_E_KP_AME_2038!G29</f>
        <v>11.878700409877391</v>
      </c>
      <c r="F53" s="187"/>
      <c r="G53" s="1"/>
      <c r="H53" s="1"/>
      <c r="I53" s="30"/>
      <c r="J53" s="17"/>
      <c r="K53" s="17"/>
      <c r="L53" s="21"/>
      <c r="M53" s="1"/>
      <c r="N53" s="17"/>
      <c r="O53" s="17"/>
      <c r="P53" s="17"/>
      <c r="Q53" s="1"/>
    </row>
    <row r="54" spans="1:19">
      <c r="A54" s="21"/>
      <c r="B54" s="1" t="s">
        <v>39</v>
      </c>
      <c r="C54" s="45"/>
      <c r="D54" s="17"/>
      <c r="E54" s="435">
        <f>Bilan_E_KP_AME_2038!F41</f>
        <v>111.73719287700069</v>
      </c>
      <c r="F54" s="187"/>
      <c r="G54" s="1"/>
      <c r="H54" s="1"/>
      <c r="I54" s="30"/>
      <c r="J54" s="17"/>
      <c r="K54" s="17"/>
      <c r="L54" s="21"/>
      <c r="M54" s="21"/>
      <c r="N54" s="17"/>
      <c r="O54" s="17"/>
      <c r="P54" s="17"/>
      <c r="Q54" s="1"/>
    </row>
    <row r="55" spans="1:19">
      <c r="B55" s="1" t="s">
        <v>21</v>
      </c>
      <c r="E55" s="434">
        <f>Bilan_E_KP_AME_2038!M41+Bilan_E_KP_AME_2038!M29</f>
        <v>0</v>
      </c>
    </row>
    <row r="56" spans="1:19">
      <c r="B56" s="1" t="s">
        <v>37</v>
      </c>
      <c r="E56" s="515">
        <f>Bilan_E_KP_AME_2038!L41+Bilan_E_KP_AME_2038!L29</f>
        <v>0</v>
      </c>
    </row>
    <row r="57" spans="1:19">
      <c r="B57" s="1" t="s">
        <v>31</v>
      </c>
      <c r="E57" s="515">
        <f>Bilan_E_KP_AME_2038!R41</f>
        <v>1.43076906409107</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4D064-A07C-4579-B3BC-F4967FDC9F53}">
  <dimension ref="A1:Z57"/>
  <sheetViews>
    <sheetView topLeftCell="A7" zoomScale="55" zoomScaleNormal="55"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2364.6954821727309</v>
      </c>
      <c r="D5" s="18"/>
      <c r="E5" s="20"/>
      <c r="F5" s="494"/>
      <c r="G5" s="21"/>
      <c r="H5" s="493"/>
      <c r="I5" s="21"/>
      <c r="J5" s="22"/>
      <c r="K5" s="23"/>
      <c r="L5" s="14"/>
      <c r="M5" s="14"/>
      <c r="N5" s="15"/>
      <c r="O5" s="16"/>
      <c r="P5" s="16"/>
      <c r="Q5" s="24">
        <f>Q13+Q22+Q30+Q42+Q46+Q38+Q43</f>
        <v>1364.1419598612606</v>
      </c>
      <c r="R5" s="487"/>
      <c r="S5" s="79">
        <f>SUM(S13,S22,S27:S32,S41)</f>
        <v>1364.1433253283431</v>
      </c>
      <c r="T5" s="79">
        <f>SUM(T8:T46)</f>
        <v>43.939381581557811</v>
      </c>
      <c r="U5" s="79">
        <f>SUM(U8:U46)</f>
        <v>278.84285467134782</v>
      </c>
      <c r="V5" s="79">
        <f>SUM(V8:V46)</f>
        <v>448.22774538406884</v>
      </c>
      <c r="W5" s="173">
        <f>SUM(W8:W46)</f>
        <v>225.24334564463291</v>
      </c>
      <c r="X5" s="79">
        <f>SUM(X8:X46)</f>
        <v>367.88999804673574</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(([7]Offre_calc!$S$81+[7]Offre_calc!$S$82+[7]Offre_calc!$S$127+[7]Offre_calc!$S$128)/([7]Offre_calc!$S$78+[7]Offre_calc!$S$124))*Bilan_E_KP_AME_2040!I$21</f>
        <v>124.97622298682195</v>
      </c>
      <c r="D7" s="518"/>
      <c r="E7" s="28">
        <v>0</v>
      </c>
      <c r="F7" s="518"/>
      <c r="G7" s="17">
        <f>C7-E7</f>
        <v>124.97622298682195</v>
      </c>
      <c r="H7" s="518"/>
      <c r="I7" s="21"/>
      <c r="J7" s="518"/>
      <c r="K7" s="525"/>
      <c r="L7" s="525"/>
      <c r="M7" s="525"/>
      <c r="N7" s="525"/>
      <c r="O7" s="525"/>
      <c r="P7" s="513"/>
      <c r="Q7" s="528"/>
      <c r="R7" s="498"/>
      <c r="S7" s="528"/>
      <c r="T7" s="525"/>
      <c r="U7" s="525"/>
      <c r="V7" s="525"/>
      <c r="W7" s="525"/>
      <c r="X7" s="525"/>
    </row>
    <row r="8" spans="1:24">
      <c r="A8" s="695"/>
      <c r="B8" s="1" t="s">
        <v>18</v>
      </c>
      <c r="C8" s="486">
        <f>(([7]Offre_calc!$S$80+[7]Offre_calc!$S$126)/([7]Offre_calc!$S$78+[7]Offre_calc!$S$124))*Bilan_E_KP_AME_2040!I$21</f>
        <v>61.689185970190479</v>
      </c>
      <c r="D8" s="81"/>
      <c r="E8" s="28">
        <v>0</v>
      </c>
      <c r="F8" s="81"/>
      <c r="G8" s="17">
        <f t="shared" ref="G8:G19" si="0">C8-E8</f>
        <v>61.689185970190479</v>
      </c>
      <c r="H8" s="81"/>
      <c r="I8" s="21"/>
      <c r="J8" s="81"/>
      <c r="K8" s="526"/>
      <c r="L8" s="526"/>
      <c r="M8" s="526"/>
      <c r="N8" s="526"/>
      <c r="O8" s="526"/>
      <c r="P8" s="29"/>
      <c r="Q8" s="529"/>
      <c r="R8" s="498"/>
      <c r="S8" s="529"/>
      <c r="T8" s="526"/>
      <c r="U8" s="526"/>
      <c r="V8" s="526"/>
      <c r="W8" s="526"/>
      <c r="X8" s="526"/>
    </row>
    <row r="9" spans="1:24">
      <c r="A9" s="695"/>
      <c r="B9" s="1" t="s">
        <v>19</v>
      </c>
      <c r="C9" s="486">
        <f>(([7]Offre_calc!$S$79+[7]Offre_calc!$S$125)/([7]Offre_calc!$S$78+[7]Offre_calc!$S$124))*Bilan_E_KP_AME_2040!I$21</f>
        <v>78.881254191391108</v>
      </c>
      <c r="D9" s="81"/>
      <c r="E9" s="28">
        <v>0</v>
      </c>
      <c r="F9" s="81"/>
      <c r="G9" s="17">
        <f t="shared" si="0"/>
        <v>78.881254191391108</v>
      </c>
      <c r="H9" s="81"/>
      <c r="I9" s="21"/>
      <c r="J9" s="81"/>
      <c r="K9" s="526"/>
      <c r="L9" s="526"/>
      <c r="M9" s="526"/>
      <c r="N9" s="526"/>
      <c r="O9" s="526"/>
      <c r="P9" s="29"/>
      <c r="Q9" s="529"/>
      <c r="R9" s="498"/>
      <c r="S9" s="529"/>
      <c r="T9" s="526"/>
      <c r="U9" s="526"/>
      <c r="V9" s="526"/>
      <c r="W9" s="526"/>
      <c r="X9" s="526"/>
    </row>
    <row r="10" spans="1:24">
      <c r="A10" s="695"/>
      <c r="B10" s="1" t="s">
        <v>20</v>
      </c>
      <c r="C10" s="17">
        <f>Bilan_E_KP_AME_2040!H21-(Bilan_E_KP_AME_2040!P20+Bilan_E_KP_AME_2040!P19)</f>
        <v>959.09090909090924</v>
      </c>
      <c r="D10" s="81"/>
      <c r="E10" s="28">
        <f>F13-SUM(E11:E19)</f>
        <v>646.79268065795031</v>
      </c>
      <c r="F10" s="81"/>
      <c r="G10" s="17">
        <f>C10-E10</f>
        <v>312.29822843295892</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Bilan_E_KP_AME_2040!M21</f>
        <v>0.47316517381762646</v>
      </c>
      <c r="D11" s="81"/>
      <c r="E11" s="28">
        <f>C11*(1-[7]Offre_calc!$S$161)</f>
        <v>0.20109519887249128</v>
      </c>
      <c r="F11" s="81"/>
      <c r="G11" s="17">
        <f t="shared" si="0"/>
        <v>0.27206997494513518</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Bilan_E_KP_AME_2040!K21</f>
        <v>6.9984717304001904</v>
      </c>
      <c r="D12" s="81"/>
      <c r="E12" s="28">
        <f>C12*(1-[7]Offre_calc!$S$171)</f>
        <v>4.5490066247601231</v>
      </c>
      <c r="F12" s="81"/>
      <c r="G12" s="17">
        <f t="shared" si="0"/>
        <v>2.4494651056400674</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Bilan_E_KP_AME_2040!J21</f>
        <v>29.657322749860491</v>
      </c>
      <c r="D13" s="81">
        <f>SUM(C7:C19)</f>
        <v>1298.970777415208</v>
      </c>
      <c r="E13" s="28">
        <f>C13*(1-[7]Offre_calc!$S$170)</f>
        <v>19.277259787409317</v>
      </c>
      <c r="F13" s="81">
        <f>Bilan_E_KP_AME_2040!S21</f>
        <v>685.83173873481564</v>
      </c>
      <c r="G13" s="17">
        <f t="shared" si="0"/>
        <v>10.380062962451174</v>
      </c>
      <c r="H13" s="81">
        <f>SUM(G7:G19)</f>
        <v>613.1390386803921</v>
      </c>
      <c r="I13" s="33">
        <f>Bilan_E_KP_AME_2040!P30</f>
        <v>30.750377055945027</v>
      </c>
      <c r="J13" s="81">
        <f>H13-I13</f>
        <v>582.38866162444708</v>
      </c>
      <c r="K13" s="29">
        <f>Bilan_E_KP_AME_2040!P31</f>
        <v>44.547532005203358</v>
      </c>
      <c r="L13" s="29">
        <f>-(Bilan_E_KP_AME_2040!P14+Bilan_E_KP_AME_2040!P13)</f>
        <v>31.055970799843635</v>
      </c>
      <c r="M13" s="29">
        <f>Bilan_E_KP_AME_2040!P28</f>
        <v>0.59767950412449788</v>
      </c>
      <c r="N13" s="29"/>
      <c r="O13" s="29"/>
      <c r="P13" s="29"/>
      <c r="Q13" s="81">
        <f>J13-K13-L13-M13-N13-O13-P13</f>
        <v>506.1874793152756</v>
      </c>
      <c r="R13" s="508">
        <f>Q13-S13</f>
        <v>0</v>
      </c>
      <c r="S13" s="81">
        <f>SUM(T8:X19)</f>
        <v>506.18747931527588</v>
      </c>
      <c r="T13" s="29">
        <f>Bilan_E_KP_AME_2040!P38</f>
        <v>6.3643203530837074</v>
      </c>
      <c r="U13" s="29">
        <f>Bilan_E_KP_AME_2040!P34+Bilan_E_KP_AME_2040!P39</f>
        <v>111.80433548215856</v>
      </c>
      <c r="V13" s="29">
        <f>Bilan_E_KP_AME_2040!P36</f>
        <v>187.24843332836184</v>
      </c>
      <c r="W13" s="29">
        <f>Bilan_E_KP_AME_2040!P37</f>
        <v>138.68432478978596</v>
      </c>
      <c r="X13" s="29">
        <f>Bilan_E_KP_AME_2040!P35</f>
        <v>62.086065361885787</v>
      </c>
    </row>
    <row r="14" spans="1:24">
      <c r="A14" s="695"/>
      <c r="B14" s="1" t="s">
        <v>24</v>
      </c>
      <c r="C14" s="17">
        <f>Bilan_E_KP_AME_2040!O21</f>
        <v>6.9042102843702597</v>
      </c>
      <c r="D14" s="81"/>
      <c r="E14" s="28">
        <v>0</v>
      </c>
      <c r="F14" s="81"/>
      <c r="G14" s="17">
        <f t="shared" si="0"/>
        <v>6.9042102843702597</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Bilan_E_KP_AME_2040!L21</f>
        <v>2.9080645507258027</v>
      </c>
      <c r="D16" s="81"/>
      <c r="E16" s="28">
        <f>C16*(1-[7]Offre_calc!$S$158)</f>
        <v>1.6285161484064496</v>
      </c>
      <c r="F16" s="81"/>
      <c r="G16" s="17">
        <f t="shared" si="0"/>
        <v>1.2795484023193531</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Bilan_E_KP_AME_2040!F21</f>
        <v>7.5217067848259731</v>
      </c>
      <c r="D17" s="81"/>
      <c r="E17" s="28">
        <f>C17*(1-[7]Offre_calc!$S$158)</f>
        <v>4.2121557995025452</v>
      </c>
      <c r="F17" s="81"/>
      <c r="G17" s="17">
        <f t="shared" si="0"/>
        <v>3.309550985323428</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Bilan_E_KP_AME_2040!D21</f>
        <v>2.8267856410252494</v>
      </c>
      <c r="D18" s="81"/>
      <c r="E18" s="28">
        <f>C18*(1-[7]Offre_calc!$S$157)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Bilan_E_KP_AME_2040!G21+Bilan_E_KP_AME_2040!R21</f>
        <v>17.043478260869566</v>
      </c>
      <c r="D19" s="82"/>
      <c r="E19" s="28">
        <f>C19*(1-[7]Offre_calc!$S$160)</f>
        <v>7.2434782608695665</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0.32561900594905663</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Bilan_E_KP_AME_2040!J23+Bilan_E_KP_AME_2040!M12</f>
        <v>7.3420221843750157</v>
      </c>
      <c r="D21" s="531"/>
      <c r="E21" s="33">
        <f>Bilan_E_KP_AME_2040!S23+Bilan_E_KP_AME_2040!M30</f>
        <v>0.73197967978929057</v>
      </c>
      <c r="F21" s="531"/>
      <c r="G21" s="17">
        <f t="shared" ref="G21:G45" si="1">C21-E21</f>
        <v>6.6100425045857252</v>
      </c>
      <c r="H21" s="531"/>
      <c r="I21" s="17"/>
      <c r="J21" s="531"/>
      <c r="K21" s="547">
        <f>Bilan_E_KP_AME_2040!M31</f>
        <v>7.7727852789708229E-2</v>
      </c>
      <c r="L21" s="547">
        <f>-(Bilan_E_KP_AME_2040!M13+Bilan_E_KP_AME_2040!M14+Bilan_E_KP_AME_2040!M15+Bilan_E_KP_AME_2040!M16)</f>
        <v>0</v>
      </c>
      <c r="M21" s="547">
        <f>Bilan_E_KP_AME_2040!M28</f>
        <v>0.10410723133985722</v>
      </c>
      <c r="N21" s="547">
        <f>Bilan_E_KP_AME_2040!M22</f>
        <v>0.32007470171399477</v>
      </c>
      <c r="O21" s="547">
        <f>Bilan_E_KP_AME_2040!M21</f>
        <v>0.47316517381762646</v>
      </c>
      <c r="P21" s="531"/>
      <c r="Q21" s="531"/>
      <c r="R21" s="498"/>
      <c r="S21" s="531"/>
      <c r="T21" s="531"/>
      <c r="U21" s="531"/>
      <c r="V21" s="531"/>
      <c r="W21" s="531"/>
      <c r="X21" s="531"/>
    </row>
    <row r="22" spans="1:24">
      <c r="A22" s="696"/>
      <c r="B22" s="1" t="s">
        <v>30</v>
      </c>
      <c r="C22" s="17"/>
      <c r="D22" s="85">
        <f>SUM(C21:C24)</f>
        <v>332.58735010538044</v>
      </c>
      <c r="E22" s="497"/>
      <c r="F22" s="85">
        <f>SUM(E21:E24)</f>
        <v>7.566657267599517</v>
      </c>
      <c r="G22" s="17"/>
      <c r="H22" s="85">
        <f>SUM(G21:G24)</f>
        <v>325.02069283778093</v>
      </c>
      <c r="I22" s="408"/>
      <c r="J22" s="85">
        <f>H22-I22</f>
        <v>325.02069283778093</v>
      </c>
      <c r="K22" s="32"/>
      <c r="L22" s="32"/>
      <c r="M22" s="32"/>
      <c r="N22" s="32"/>
      <c r="O22" s="32"/>
      <c r="P22" s="32"/>
      <c r="Q22" s="85">
        <f>J22-SUM(K21:P24)</f>
        <v>283.11875600643066</v>
      </c>
      <c r="R22" s="508">
        <f>Q22-S22</f>
        <v>-2.5138060257631878E-2</v>
      </c>
      <c r="S22" s="85">
        <f>SUM(T22:X24)</f>
        <v>283.14389406668829</v>
      </c>
      <c r="T22" s="32">
        <f>Bilan_E_KP_AME_2040!G38+Bilan_E_KP_AME_2040!R38+Bilan_E_KP_AME_2040!M$38</f>
        <v>1.3434836260904512</v>
      </c>
      <c r="U22" s="32">
        <f>Bilan_E_KP_AME_2040!G34+Bilan_E_KP_AME_2040!R34+Bilan_E_KP_AME_2040!M$34</f>
        <v>100.27567229981769</v>
      </c>
      <c r="V22" s="32">
        <f>Bilan_E_KP_AME_2040!G36+Bilan_E_KP_AME_2040!R36+Bilan_E_KP_AME_2040!M$36</f>
        <v>84.522095564657249</v>
      </c>
      <c r="W22" s="32">
        <f>Bilan_E_KP_AME_2040!G37+Bilan_E_KP_AME_2040!K37+Bilan_E_KP_AME_2040!R37+Bilan_E_KP_AME_2040!M$37</f>
        <v>64.55833796318565</v>
      </c>
      <c r="X22" s="32">
        <f>Bilan_E_KP_AME_2040!G35+Bilan_E_KP_AME_2040!R35+Bilan_E_KP_AME_2040!M$35</f>
        <v>32.444304612937295</v>
      </c>
    </row>
    <row r="23" spans="1:24">
      <c r="A23" s="696"/>
      <c r="B23" s="1" t="s">
        <v>31</v>
      </c>
      <c r="C23" s="17">
        <f>SUM(Bilan_E_KP_AME_2040!D28:Q28)-C47</f>
        <v>4.0479309096677776</v>
      </c>
      <c r="D23" s="532"/>
      <c r="E23" s="33">
        <f>Bilan_E_KP_AME_2040!S28+Bilan_E_KP_AME_2040!S27</f>
        <v>1.7674236764824451</v>
      </c>
      <c r="F23" s="534"/>
      <c r="G23" s="17">
        <f t="shared" si="1"/>
        <v>2.2805072331853324</v>
      </c>
      <c r="H23" s="534"/>
      <c r="I23" s="17"/>
      <c r="J23" s="534"/>
      <c r="K23" s="536">
        <f>Bilan_E_KP_AME_2040!R31</f>
        <v>0</v>
      </c>
      <c r="L23" s="536">
        <f>-(Bilan_E_KP_AME_2040!R13+Bilan_E_KP_AME_2040!R14+Bilan_E_KP_AME_2040!R15+Bilan_E_KP_AME_2040!R16)</f>
        <v>0</v>
      </c>
      <c r="M23" s="536"/>
      <c r="N23" s="536">
        <f>Bilan_E_KP_AME_2040!R22</f>
        <v>0</v>
      </c>
      <c r="O23" s="536">
        <f>Bilan_E_KP_AME_2040!R21</f>
        <v>0</v>
      </c>
      <c r="P23" s="536">
        <f>-Bilan_E_KP_AME_2040!L27</f>
        <v>0</v>
      </c>
      <c r="Q23" s="534"/>
      <c r="S23" s="534"/>
      <c r="T23" s="538"/>
      <c r="U23" s="538"/>
      <c r="V23" s="538"/>
      <c r="W23" s="538"/>
      <c r="X23" s="538"/>
    </row>
    <row r="24" spans="1:24">
      <c r="A24" s="696"/>
      <c r="B24" s="1" t="s">
        <v>32</v>
      </c>
      <c r="C24" s="17">
        <f>Bilan_E_KP_AME_2040!G18-C45-(Bilan_E_KP_AME_2040!G20+Bilan_E_KP_AME_2040!G19)</f>
        <v>321.19739701133767</v>
      </c>
      <c r="D24" s="533"/>
      <c r="E24" s="33">
        <f>Bilan_E_KP_AME_2040!G30</f>
        <v>5.0672539113277812</v>
      </c>
      <c r="F24" s="535"/>
      <c r="G24" s="17">
        <f t="shared" si="1"/>
        <v>316.13014310000989</v>
      </c>
      <c r="H24" s="535"/>
      <c r="I24" s="34"/>
      <c r="J24" s="535"/>
      <c r="K24" s="537">
        <f>Bilan_E_KP_AME_2040!G31</f>
        <v>3.8086647866957031</v>
      </c>
      <c r="L24" s="537"/>
      <c r="M24" s="537">
        <f>Bilan_E_KP_AME_2040!G28</f>
        <v>5.1012543356530031</v>
      </c>
      <c r="N24" s="537">
        <f>Bilan_E_KP_AME_2040!G22</f>
        <v>14.973464488470796</v>
      </c>
      <c r="O24" s="537">
        <f>Bilan_E_KP_AME_2040!G21</f>
        <v>17.043478260869566</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Bilan_E_KP_AME_2040!M22</f>
        <v>0.32007470171399477</v>
      </c>
      <c r="D26" s="512"/>
      <c r="E26" s="190">
        <f>C26*F$35</f>
        <v>2.8487027412989634E-2</v>
      </c>
      <c r="F26" s="512"/>
      <c r="G26" s="33">
        <f t="shared" ref="G26:G31" si="2">C26-E26</f>
        <v>0.29158767430100513</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Bilan_E_KP_AME_2040!K18-Bilan_E_KP_AME_2040!K21-(Bilan_E_KP_AME_2040!Q20+Bilan_E_KP_AME_2040!Q19+Bilan_E_KP_AME_2040!K20+Bilan_E_KP_AME_2040!K19)</f>
        <v>13.837491890956752</v>
      </c>
      <c r="D27" s="87"/>
      <c r="E27" s="190">
        <f t="shared" ref="E27:E34" si="3">C27*F$35</f>
        <v>1.2315531615395752</v>
      </c>
      <c r="F27" s="87"/>
      <c r="G27" s="33">
        <f t="shared" si="2"/>
        <v>12.605938729417177</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Bilan_E_KP_AME_2040!J22</f>
        <v>12.61885930635281</v>
      </c>
      <c r="D29" s="87"/>
      <c r="E29" s="190">
        <f t="shared" si="3"/>
        <v>1.1230934186793133</v>
      </c>
      <c r="F29" s="87"/>
      <c r="G29" s="33">
        <f t="shared" si="2"/>
        <v>11.495765887673496</v>
      </c>
      <c r="H29" s="87"/>
      <c r="I29" s="1"/>
      <c r="J29" s="87"/>
      <c r="K29" s="87"/>
      <c r="L29" s="87"/>
      <c r="M29" s="87"/>
      <c r="N29" s="87"/>
      <c r="O29" s="87"/>
      <c r="P29" s="87"/>
      <c r="Q29" s="87"/>
      <c r="R29" s="498"/>
      <c r="S29" s="87"/>
      <c r="T29" s="87"/>
      <c r="U29" s="87"/>
      <c r="V29" s="87"/>
      <c r="W29" s="87"/>
      <c r="X29" s="87"/>
    </row>
    <row r="30" spans="1:24">
      <c r="A30" s="697"/>
      <c r="B30" s="1" t="s">
        <v>24</v>
      </c>
      <c r="C30" s="17">
        <f>Bilan_E_KP_AME_2040!O22</f>
        <v>2.1221335576886813</v>
      </c>
      <c r="D30" s="86">
        <f>SUM(C26:C34)</f>
        <v>43.872023945183031</v>
      </c>
      <c r="E30" s="190">
        <f t="shared" si="3"/>
        <v>0.18887239918736587</v>
      </c>
      <c r="F30" s="86">
        <f>Bilan_E_KP_AME_2040!S22</f>
        <v>3.9046620745007217</v>
      </c>
      <c r="G30" s="33">
        <f t="shared" si="2"/>
        <v>1.9332611585013155</v>
      </c>
      <c r="H30" s="86">
        <f>SUM(G26:G34)</f>
        <v>39.967361870682318</v>
      </c>
      <c r="I30" s="1"/>
      <c r="J30" s="86">
        <f>H30</f>
        <v>39.967361870682318</v>
      </c>
      <c r="K30" s="87">
        <f>Bilan_E_KP_AME_2040!Q31</f>
        <v>2.958822517532107</v>
      </c>
      <c r="L30" s="87"/>
      <c r="M30" s="87">
        <f>Bilan_E_KP_AME_2040!K28</f>
        <v>5.8487208617897309E-2</v>
      </c>
      <c r="N30" s="87"/>
      <c r="O30" s="87"/>
      <c r="P30" s="87"/>
      <c r="Q30" s="86">
        <f>J30-K30-L30-M30-N30-O30-P30</f>
        <v>36.950052144532314</v>
      </c>
      <c r="R30" s="508">
        <f>Q30-S30</f>
        <v>2.5138060257681616E-2</v>
      </c>
      <c r="S30" s="86">
        <f>SUM(T27:X34)</f>
        <v>36.924914084274633</v>
      </c>
      <c r="T30" s="87">
        <f>Bilan_E_KP_AME_2040!Q$38</f>
        <v>0</v>
      </c>
      <c r="U30" s="87">
        <f>Bilan_E_KP_AME_2040!Q$34+Bilan_E_KP_AME_2040!K34</f>
        <v>17.844652835962791</v>
      </c>
      <c r="V30" s="87">
        <f>Bilan_E_KP_AME_2040!Q$36</f>
        <v>15.504434202631401</v>
      </c>
      <c r="W30" s="87">
        <f>Bilan_E_KP_AME_2040!Q$37</f>
        <v>3.5758270456804375</v>
      </c>
      <c r="X30" s="87">
        <f>Bilan_E_KP_AME_2040!Q$35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Bilan_E_KP_AME_2040!G22</f>
        <v>14.973464488470796</v>
      </c>
      <c r="D32" s="86"/>
      <c r="E32" s="190">
        <f t="shared" si="3"/>
        <v>1.3326560676814783</v>
      </c>
      <c r="F32" s="86"/>
      <c r="G32" s="33">
        <f>C32-E32</f>
        <v>13.640808420789318</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Bilan_E_KP_AME_2040!F22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Bilan_E_KP_AME_2040!D22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8.9001183974997303E-2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114.6393068570419</v>
      </c>
      <c r="D37" s="541"/>
      <c r="E37" s="504"/>
      <c r="F37" s="541"/>
      <c r="G37" s="17">
        <f t="shared" ref="G37:G42" si="5">C37-E37</f>
        <v>114.6393068570419</v>
      </c>
      <c r="H37" s="541"/>
      <c r="I37" s="498"/>
      <c r="J37" s="37"/>
      <c r="K37" s="35"/>
      <c r="L37" s="35"/>
      <c r="M37" s="505"/>
      <c r="N37" s="35"/>
      <c r="P37" s="35"/>
      <c r="Q37" s="543"/>
      <c r="R37" s="498"/>
      <c r="S37" s="541"/>
      <c r="T37" s="506">
        <f>Bilan_E_KP_AME_2040!J38</f>
        <v>3.6844952632387193</v>
      </c>
      <c r="U37" s="93">
        <f>Bilan_E_KP_AME_2040!J34</f>
        <v>20.699069714826329</v>
      </c>
      <c r="V37" s="506">
        <f>Bilan_E_KP_AME_2040!J36</f>
        <v>87.012401530952616</v>
      </c>
      <c r="W37" s="507">
        <f>Bilan_E_KP_AME_2040!J37</f>
        <v>3.243340348024236</v>
      </c>
      <c r="X37" s="506">
        <f>Bilan_E_KP_AME_2040!J35</f>
        <v>0</v>
      </c>
      <c r="Y37" s="489">
        <f t="shared" ref="Y37:Y47" si="6">SUM(T37:X37)</f>
        <v>114.6393068570419</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208.41723499559396</v>
      </c>
      <c r="R38" s="498"/>
      <c r="S38" s="541"/>
      <c r="T38" s="84">
        <v>0</v>
      </c>
      <c r="U38" s="83">
        <v>0</v>
      </c>
      <c r="V38" s="84">
        <v>0</v>
      </c>
      <c r="W38" s="91">
        <v>0</v>
      </c>
      <c r="X38" s="91">
        <v>0</v>
      </c>
      <c r="Y38" s="489">
        <f t="shared" si="6"/>
        <v>0</v>
      </c>
      <c r="Z38" s="489">
        <f t="shared" si="7"/>
        <v>0</v>
      </c>
    </row>
    <row r="39" spans="1:26">
      <c r="A39" s="679"/>
      <c r="B39" s="1" t="s">
        <v>35</v>
      </c>
      <c r="C39" s="33">
        <f>SUM(T39:X39)</f>
        <v>2.8391181780509847</v>
      </c>
      <c r="D39" s="541"/>
      <c r="E39" s="35"/>
      <c r="F39" s="541"/>
      <c r="G39" s="17">
        <f t="shared" si="5"/>
        <v>2.8391181780509847</v>
      </c>
      <c r="H39" s="541"/>
      <c r="I39" s="35"/>
      <c r="J39" s="37"/>
      <c r="K39" s="35"/>
      <c r="L39" s="35"/>
      <c r="M39" s="37"/>
      <c r="N39" s="35"/>
      <c r="O39" s="35"/>
      <c r="P39" s="35"/>
      <c r="Q39" s="543"/>
      <c r="R39" s="498"/>
      <c r="S39" s="541"/>
      <c r="T39" s="84">
        <f>Bilan_E_KP_AME_2040!O38</f>
        <v>7.2392521047915395E-2</v>
      </c>
      <c r="U39" s="83">
        <f>Bilan_E_KP_AME_2040!O34</f>
        <v>3.7866244598879411E-4</v>
      </c>
      <c r="V39" s="84">
        <f>Bilan_E_KP_AME_2040!O36</f>
        <v>2.0231633432731213</v>
      </c>
      <c r="W39" s="91">
        <f>Bilan_E_KP_AME_2040!O37</f>
        <v>0.74318365128395913</v>
      </c>
      <c r="X39" s="91">
        <f>Bilan_E_KP_AME_2040!O35</f>
        <v>0</v>
      </c>
      <c r="Y39" s="489">
        <f t="shared" si="6"/>
        <v>2.8391181780509847</v>
      </c>
      <c r="Z39" s="489">
        <f t="shared" si="7"/>
        <v>0</v>
      </c>
    </row>
    <row r="40" spans="1:26">
      <c r="A40" s="679"/>
      <c r="B40" s="1" t="s">
        <v>36</v>
      </c>
      <c r="C40" s="33">
        <f>Bilan_E_KP_AME_2040!N12</f>
        <v>62.897832024028709</v>
      </c>
      <c r="D40" s="541"/>
      <c r="E40" s="35"/>
      <c r="F40" s="541"/>
      <c r="G40" s="17">
        <f t="shared" si="5"/>
        <v>62.897832024028709</v>
      </c>
      <c r="H40" s="541"/>
      <c r="I40" s="35"/>
      <c r="J40" s="37"/>
      <c r="K40" s="35"/>
      <c r="L40" s="35"/>
      <c r="M40" s="37"/>
      <c r="N40" s="35"/>
      <c r="O40" s="35"/>
      <c r="P40" s="35"/>
      <c r="Q40" s="543"/>
      <c r="R40" s="498"/>
      <c r="S40" s="541"/>
      <c r="T40" s="83">
        <f>Bilan_E_KP_AME_2040!N$38</f>
        <v>0</v>
      </c>
      <c r="U40" s="83">
        <f>Bilan_E_KP_AME_2040!N$34</f>
        <v>0</v>
      </c>
      <c r="V40" s="83">
        <f>Bilan_E_KP_AME_2040!N$36</f>
        <v>54.219025663639314</v>
      </c>
      <c r="W40" s="83">
        <f>Bilan_E_KP_AME_2040!N$37</f>
        <v>8.6788063603893928</v>
      </c>
      <c r="X40" s="84">
        <f>Bilan_E_KP_AME_2040!N$35</f>
        <v>0</v>
      </c>
      <c r="Y40" s="489">
        <f t="shared" si="6"/>
        <v>62.897832024028709</v>
      </c>
      <c r="Z40" s="489">
        <f t="shared" si="7"/>
        <v>0</v>
      </c>
    </row>
    <row r="41" spans="1:26">
      <c r="A41" s="679"/>
      <c r="B41" s="1" t="s">
        <v>37</v>
      </c>
      <c r="C41" s="33">
        <f>Bilan_E_KP_AME_2040!L12+Bilan_E_KP_AME_2040!J26+Bilan_E_KP_AME_2040!J27-Bilan_E_KP_AME_2040!L21</f>
        <v>26.520712211985533</v>
      </c>
      <c r="D41" s="191">
        <f>SUM(C36:C47)</f>
        <v>727.93704161156688</v>
      </c>
      <c r="E41" s="38"/>
      <c r="F41" s="191">
        <f>SUM(E36:E47)</f>
        <v>28.553653741700561</v>
      </c>
      <c r="G41" s="17">
        <f t="shared" si="5"/>
        <v>26.520712211985533</v>
      </c>
      <c r="H41" s="191">
        <f>SUM(G36:G47)</f>
        <v>699.38338786986628</v>
      </c>
      <c r="I41" s="35"/>
      <c r="J41" s="37"/>
      <c r="K41" s="35"/>
      <c r="L41" s="37">
        <f>-SUM(Bilan_E_KP_AME_2040!L13:L16)</f>
        <v>-1.5202657244868087</v>
      </c>
      <c r="M41" s="35"/>
      <c r="N41" s="35"/>
      <c r="O41" s="35"/>
      <c r="P41" s="35"/>
      <c r="Q41" s="543"/>
      <c r="R41" s="508">
        <f>SUM(Q36:Q47)-S41</f>
        <v>-1.365467082109717E-3</v>
      </c>
      <c r="S41" s="191">
        <f>SUM(T36:X46)</f>
        <v>537.88703786210419</v>
      </c>
      <c r="T41" s="83">
        <f>Bilan_E_KP_AME_2040!L$38</f>
        <v>3.0029030850571363</v>
      </c>
      <c r="U41" s="83">
        <f>Bilan_E_KP_AME_2040!L$34</f>
        <v>0.9136629082031249</v>
      </c>
      <c r="V41" s="83">
        <f>Bilan_E_KP_AME_2040!L$36</f>
        <v>0</v>
      </c>
      <c r="W41" s="83">
        <f>Bilan_E_KP_AME_2040!L$37</f>
        <v>0</v>
      </c>
      <c r="X41" s="84">
        <f>Bilan_E_KP_AME_2040!L$35</f>
        <v>24.125777410294155</v>
      </c>
      <c r="Y41" s="489">
        <f t="shared" si="6"/>
        <v>28.042343403554415</v>
      </c>
      <c r="Z41" s="489">
        <f>G41-Y41-L41</f>
        <v>-1.3654670820739678E-3</v>
      </c>
    </row>
    <row r="42" spans="1:26">
      <c r="A42" s="679"/>
      <c r="B42" s="1" t="s">
        <v>38</v>
      </c>
      <c r="C42" s="33">
        <f>Bilan_E_KP_AME_2040!E18+Bilan_E_KP_AME_2040!F18-Bilan_E_KP_AME_2040!F21-Bilan_E_KP_AME_2040!F22-E54-SUM(T43:X43)-(Bilan_E_KP_AME_2040!E20+Bilan_E_KP_AME_2040!F20+Bilan_E_KP_AME_2040!E19+Bilan_E_KP_AME_2040!F19)</f>
        <v>277.78750440331896</v>
      </c>
      <c r="D42" s="541"/>
      <c r="E42" s="17">
        <f>Bilan_E_KP_AME_2040!F30+Bilan_E_KP_AME_2040!S25+Bilan_E_KP_AME_2040!F29+Bilan_E_KP_AME_2040!E29</f>
        <v>28.553653741700561</v>
      </c>
      <c r="F42" s="541"/>
      <c r="G42" s="17">
        <f t="shared" si="5"/>
        <v>249.23385066161839</v>
      </c>
      <c r="H42" s="541"/>
      <c r="I42" s="498"/>
      <c r="J42" s="37"/>
      <c r="K42" s="35"/>
      <c r="L42" s="35"/>
      <c r="M42" s="35"/>
      <c r="N42" s="35"/>
      <c r="O42" s="35"/>
      <c r="P42" s="35"/>
      <c r="Q42" s="36">
        <f>G42</f>
        <v>249.23385066161839</v>
      </c>
      <c r="R42" s="498"/>
      <c r="S42" s="541"/>
      <c r="T42" s="83">
        <v>0</v>
      </c>
      <c r="U42" s="83">
        <v>0</v>
      </c>
      <c r="V42" s="83">
        <v>0</v>
      </c>
      <c r="W42" s="83">
        <v>0</v>
      </c>
      <c r="X42" s="84">
        <f>Bilan_E_KP_AME_2040!F35</f>
        <v>249.23385066161848</v>
      </c>
      <c r="Y42" s="489">
        <f t="shared" si="6"/>
        <v>249.23385066161848</v>
      </c>
      <c r="Z42" s="489">
        <f>Q42-SUM(T42:X42)</f>
        <v>0</v>
      </c>
    </row>
    <row r="43" spans="1:26">
      <c r="A43" s="679"/>
      <c r="B43" s="1" t="s">
        <v>39</v>
      </c>
      <c r="C43" s="33">
        <f>Bilan_E_KP_AME_2040!F41+SUM(T43:X43)</f>
        <v>184.4619399087608</v>
      </c>
      <c r="D43" s="541"/>
      <c r="E43" s="38"/>
      <c r="F43" s="541"/>
      <c r="G43" s="17">
        <f>C43-E43</f>
        <v>184.4619399087608</v>
      </c>
      <c r="H43" s="541"/>
      <c r="I43" s="35"/>
      <c r="J43" s="37"/>
      <c r="K43" s="35"/>
      <c r="L43" s="35"/>
      <c r="M43" s="35"/>
      <c r="N43" s="35"/>
      <c r="O43" s="35"/>
      <c r="P43" s="35"/>
      <c r="Q43" s="36">
        <f>G43-Bilan_E_KP_AME_2040!F41</f>
        <v>74.768856912035488</v>
      </c>
      <c r="R43" s="498"/>
      <c r="S43" s="541"/>
      <c r="T43" s="83">
        <f>Bilan_E_KP_AME_2040!F38</f>
        <v>29.471786733039881</v>
      </c>
      <c r="U43" s="83">
        <f>Bilan_E_KP_AME_2040!F34</f>
        <v>21.83935294215906</v>
      </c>
      <c r="V43" s="83">
        <f>Bilan_E_KP_AME_2040!F36</f>
        <v>17.698191750553285</v>
      </c>
      <c r="W43" s="83">
        <f>Bilan_E_KP_AME_2040!F37</f>
        <v>5.759525486283259</v>
      </c>
      <c r="X43" s="84">
        <v>0</v>
      </c>
      <c r="Y43" s="489">
        <f t="shared" si="6"/>
        <v>74.768856912035488</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G44-Bilan_E_KP_AME_2040!K41</f>
        <v>0</v>
      </c>
      <c r="R44" s="498"/>
      <c r="S44" s="541"/>
      <c r="T44" s="83">
        <f>Bilan_E_KP_AME_2040!K$38</f>
        <v>0</v>
      </c>
      <c r="U44" s="83">
        <v>0</v>
      </c>
      <c r="V44" s="83">
        <f>Bilan_E_KP_AME_2040!K$36</f>
        <v>0</v>
      </c>
      <c r="W44" s="83">
        <v>0</v>
      </c>
      <c r="X44" s="84">
        <f>Bilan_E_KP_AME_2040!K$35</f>
        <v>0</v>
      </c>
      <c r="Y44" s="489">
        <f t="shared" si="6"/>
        <v>0</v>
      </c>
      <c r="Z44" s="489">
        <f t="shared" si="7"/>
        <v>0</v>
      </c>
    </row>
    <row r="45" spans="1:26">
      <c r="A45" s="679"/>
      <c r="B45" s="1" t="s">
        <v>41</v>
      </c>
      <c r="C45" s="33">
        <f>E53</f>
        <v>11.766175832538266</v>
      </c>
      <c r="D45" s="541"/>
      <c r="E45" s="38"/>
      <c r="F45" s="541"/>
      <c r="G45" s="17">
        <f t="shared" si="1"/>
        <v>11.766175832538266</v>
      </c>
      <c r="H45" s="541"/>
      <c r="I45" s="35"/>
      <c r="J45" s="37"/>
      <c r="K45" s="35"/>
      <c r="L45" s="35"/>
      <c r="M45" s="35"/>
      <c r="N45" s="35"/>
      <c r="O45" s="35"/>
      <c r="P45" s="35"/>
      <c r="Q45" s="36">
        <f>G45-Bilan_E_KP_AME_2040!G41</f>
        <v>0</v>
      </c>
      <c r="R45" s="498"/>
      <c r="S45" s="541"/>
      <c r="T45" s="84">
        <v>0</v>
      </c>
      <c r="U45" s="83">
        <v>0</v>
      </c>
      <c r="V45" s="84">
        <v>0</v>
      </c>
      <c r="W45" s="92">
        <v>0</v>
      </c>
      <c r="X45" s="84">
        <v>0</v>
      </c>
      <c r="Y45" s="489">
        <f t="shared" si="6"/>
        <v>0</v>
      </c>
      <c r="Z45" s="489">
        <f>Q45-Y45</f>
        <v>0</v>
      </c>
    </row>
    <row r="46" spans="1:26">
      <c r="A46" s="679"/>
      <c r="B46" s="1" t="s">
        <v>42</v>
      </c>
      <c r="C46" s="33">
        <f>Bilan_E_KP_AME_2040!D18-C18-C34</f>
        <v>45.210854825774298</v>
      </c>
      <c r="D46" s="541"/>
      <c r="E46" s="511"/>
      <c r="F46" s="541"/>
      <c r="G46" s="17">
        <f>C46-E46</f>
        <v>45.210854825774298</v>
      </c>
      <c r="H46" s="541"/>
      <c r="I46" s="38"/>
      <c r="J46" s="37"/>
      <c r="K46" s="35"/>
      <c r="L46" s="35"/>
      <c r="M46" s="35"/>
      <c r="N46" s="35"/>
      <c r="O46" s="35"/>
      <c r="P46" s="35"/>
      <c r="Q46" s="36">
        <f>G46-(Bilan_E_KP_AME_2040!D41+Bilan_E_KP_AME_2040!D29+Bilan_E_KP_AME_2040!D30)</f>
        <v>5.4657298257742966</v>
      </c>
      <c r="R46" s="498"/>
      <c r="S46" s="541"/>
      <c r="T46" s="506">
        <f>Bilan_E_KP_AME_2040!D38</f>
        <v>0</v>
      </c>
      <c r="U46" s="93">
        <f>Bilan_E_KP_AME_2040!D34</f>
        <v>5.4657298257742912</v>
      </c>
      <c r="V46" s="506">
        <f>Bilan_E_KP_AME_2040!D36</f>
        <v>0</v>
      </c>
      <c r="W46" s="507">
        <f>Bilan_E_KP_AME_2040!D37</f>
        <v>0</v>
      </c>
      <c r="X46" s="506">
        <f>Bilan_E_KP_AME_2040!D35</f>
        <v>0</v>
      </c>
      <c r="Y46" s="489">
        <f t="shared" si="6"/>
        <v>5.4657298257742912</v>
      </c>
      <c r="Z46" s="489">
        <f>Q46-Y46</f>
        <v>0</v>
      </c>
    </row>
    <row r="47" spans="1:26">
      <c r="A47" s="90"/>
      <c r="B47" s="1" t="s">
        <v>31</v>
      </c>
      <c r="C47" s="33">
        <f>E57</f>
        <v>1.8135973700674786</v>
      </c>
      <c r="D47" s="192"/>
      <c r="E47" s="511"/>
      <c r="F47" s="192"/>
      <c r="G47" s="17">
        <f>C47-E47</f>
        <v>1.8135973700674786</v>
      </c>
      <c r="H47" s="192"/>
      <c r="I47" s="38"/>
      <c r="J47" s="37"/>
      <c r="K47" s="35"/>
      <c r="L47" s="35"/>
      <c r="M47" s="35"/>
      <c r="N47" s="35"/>
      <c r="O47" s="35"/>
      <c r="P47" s="35"/>
      <c r="Q47" s="544">
        <f>G47-Bilan_E_KP_AME_2040!R41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C5-L13-SUM(L21:L24)-L30-L41-Bilan_E_KP_AME_2040!S18</f>
        <v>0</v>
      </c>
      <c r="D49" s="1"/>
      <c r="E49" s="34">
        <f>SUM(E7:E47)+I13-Bilan_E_KP_AME_2040!S32+K13+SUM(K21:K24)+K30+Bilan_E_KP_AME_2040!D29+Bilan_E_KP_AME_2040!D30</f>
        <v>-2.3092638912203256E-14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500.44506521008458</v>
      </c>
    </row>
    <row r="52" spans="1:19">
      <c r="A52" s="21"/>
      <c r="B52" s="1" t="s">
        <v>44</v>
      </c>
      <c r="C52" s="44"/>
      <c r="D52" s="1"/>
      <c r="E52" s="39">
        <f>Bilan_E_KP_AME_2040!D41+Bilan_E_KP_AME_2040!D29+Bilan_E_KP_AME_2040!D30</f>
        <v>39.745125000000002</v>
      </c>
      <c r="F52" s="187"/>
      <c r="G52" s="1"/>
      <c r="H52" s="1"/>
      <c r="I52" s="30"/>
      <c r="J52" s="17"/>
      <c r="K52" s="17"/>
      <c r="L52" s="21"/>
      <c r="M52" s="1"/>
      <c r="N52" s="17"/>
      <c r="O52" s="17"/>
      <c r="P52" s="17"/>
      <c r="Q52" s="1"/>
      <c r="S52" s="33"/>
    </row>
    <row r="53" spans="1:19">
      <c r="A53" s="21"/>
      <c r="B53" s="1" t="s">
        <v>41</v>
      </c>
      <c r="C53" s="45"/>
      <c r="D53" s="17"/>
      <c r="E53" s="433">
        <f>Bilan_E_KP_AME_2040!G41+Bilan_E_KP_AME_2040!G29</f>
        <v>11.766175832538266</v>
      </c>
      <c r="F53" s="187"/>
      <c r="G53" s="1"/>
      <c r="H53" s="1"/>
      <c r="I53" s="30"/>
      <c r="J53" s="17"/>
      <c r="K53" s="17"/>
      <c r="L53" s="21"/>
      <c r="M53" s="1"/>
      <c r="N53" s="17"/>
      <c r="O53" s="17"/>
      <c r="P53" s="17"/>
      <c r="Q53" s="1"/>
    </row>
    <row r="54" spans="1:19">
      <c r="A54" s="21"/>
      <c r="B54" s="1" t="s">
        <v>39</v>
      </c>
      <c r="C54" s="45"/>
      <c r="D54" s="17"/>
      <c r="E54" s="435">
        <f>Bilan_E_KP_AME_2040!F41</f>
        <v>109.69308299672531</v>
      </c>
      <c r="F54" s="187"/>
      <c r="G54" s="1"/>
      <c r="H54" s="1"/>
      <c r="I54" s="30"/>
      <c r="J54" s="17"/>
      <c r="K54" s="17"/>
      <c r="L54" s="21"/>
      <c r="M54" s="21"/>
      <c r="N54" s="17"/>
      <c r="O54" s="17"/>
      <c r="P54" s="17"/>
      <c r="Q54" s="1"/>
    </row>
    <row r="55" spans="1:19">
      <c r="B55" s="1" t="s">
        <v>21</v>
      </c>
      <c r="E55" s="434">
        <f>Bilan_E_KP_AME_2040!M41+Bilan_E_KP_AME_2040!M29</f>
        <v>0</v>
      </c>
    </row>
    <row r="56" spans="1:19">
      <c r="B56" s="1" t="s">
        <v>37</v>
      </c>
      <c r="E56" s="515">
        <f>Bilan_E_KP_AME_2040!L41+Bilan_E_KP_AME_2040!L29</f>
        <v>0</v>
      </c>
    </row>
    <row r="57" spans="1:19">
      <c r="B57" s="1" t="s">
        <v>31</v>
      </c>
      <c r="E57" s="515">
        <f>Bilan_E_KP_AME_2040!R41</f>
        <v>1.8135973700674786</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C025-0EA8-48D4-9002-444FB9A53105}">
  <dimension ref="A1:Z57"/>
  <sheetViews>
    <sheetView zoomScale="55" zoomScaleNormal="55" workbookViewId="0">
      <selection activeCell="C10" sqref="C10"/>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2245.6361672888593</v>
      </c>
      <c r="D5" s="18"/>
      <c r="E5" s="20"/>
      <c r="F5" s="494"/>
      <c r="G5" s="21"/>
      <c r="H5" s="493"/>
      <c r="I5" s="21"/>
      <c r="J5" s="22"/>
      <c r="K5" s="23"/>
      <c r="L5" s="14"/>
      <c r="M5" s="14"/>
      <c r="N5" s="15"/>
      <c r="O5" s="16"/>
      <c r="P5" s="16"/>
      <c r="Q5" s="24">
        <f>Q13+Q22+Q30+Q42+Q46+Q38+Q43</f>
        <v>1345.1364964717748</v>
      </c>
      <c r="R5" s="487"/>
      <c r="S5" s="79">
        <f>SUM(S13,S22,S27:S32,S41)</f>
        <v>1345.1363162441849</v>
      </c>
      <c r="T5" s="79">
        <f>SUM(T8:T46)</f>
        <v>42.562560224867269</v>
      </c>
      <c r="U5" s="79">
        <f>SUM(U8:U46)</f>
        <v>276.77870199899866</v>
      </c>
      <c r="V5" s="79">
        <f>SUM(V8:V46)</f>
        <v>445.60779995221736</v>
      </c>
      <c r="W5" s="173">
        <f>SUM(W8:W46)</f>
        <v>224.56622437081768</v>
      </c>
      <c r="X5" s="79">
        <f>SUM(X8:X46)</f>
        <v>355.62102969728386</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(([7]Offre_calc!$U$81+[7]Offre_calc!$U$82+[7]Offre_calc!$U$127+[7]Offre_calc!$U$128)/([7]Offre_calc!$U$78+[7]Offre_calc!$U$124))*Bilan_E_KP_AME_2045!I$21</f>
        <v>145.30502712547016</v>
      </c>
      <c r="D7" s="518"/>
      <c r="E7" s="28">
        <v>0</v>
      </c>
      <c r="F7" s="518"/>
      <c r="G7" s="17">
        <f>C7-E7</f>
        <v>145.30502712547016</v>
      </c>
      <c r="H7" s="518"/>
      <c r="I7" s="21"/>
      <c r="J7" s="518"/>
      <c r="K7" s="525"/>
      <c r="L7" s="525"/>
      <c r="M7" s="525"/>
      <c r="N7" s="525"/>
      <c r="O7" s="525"/>
      <c r="P7" s="513"/>
      <c r="Q7" s="528"/>
      <c r="R7" s="498"/>
      <c r="S7" s="528"/>
      <c r="T7" s="525"/>
      <c r="U7" s="525"/>
      <c r="V7" s="525"/>
      <c r="W7" s="525"/>
      <c r="X7" s="525"/>
    </row>
    <row r="8" spans="1:24">
      <c r="A8" s="695"/>
      <c r="B8" s="1" t="s">
        <v>18</v>
      </c>
      <c r="C8" s="486">
        <f>(([7]Offre_calc!$U$80+[7]Offre_calc!$U$126)/([7]Offre_calc!$U$78+[7]Offre_calc!$U$124))*Bilan_E_KP_AME_2045!I$21</f>
        <v>61.625576407242434</v>
      </c>
      <c r="D8" s="81"/>
      <c r="E8" s="28">
        <v>0</v>
      </c>
      <c r="F8" s="81"/>
      <c r="G8" s="17">
        <f t="shared" ref="G8:G19" si="0">C8-E8</f>
        <v>61.625576407242434</v>
      </c>
      <c r="H8" s="81"/>
      <c r="I8" s="21"/>
      <c r="J8" s="81"/>
      <c r="K8" s="526"/>
      <c r="L8" s="526"/>
      <c r="M8" s="526"/>
      <c r="N8" s="526"/>
      <c r="O8" s="526"/>
      <c r="P8" s="29"/>
      <c r="Q8" s="529"/>
      <c r="R8" s="498"/>
      <c r="S8" s="529"/>
      <c r="T8" s="526"/>
      <c r="U8" s="526"/>
      <c r="V8" s="526"/>
      <c r="W8" s="526"/>
      <c r="X8" s="526"/>
    </row>
    <row r="9" spans="1:24">
      <c r="A9" s="695"/>
      <c r="B9" s="1" t="s">
        <v>19</v>
      </c>
      <c r="C9" s="486">
        <f>(([7]Offre_calc!$U$79+[7]Offre_calc!$U$125)/([7]Offre_calc!$U$78+[7]Offre_calc!$U$124))*Bilan_E_KP_AME_2045!I$21</f>
        <v>100.01527974290165</v>
      </c>
      <c r="D9" s="81"/>
      <c r="E9" s="28">
        <v>0</v>
      </c>
      <c r="F9" s="81"/>
      <c r="G9" s="17">
        <f t="shared" si="0"/>
        <v>100.01527974290165</v>
      </c>
      <c r="H9" s="81"/>
      <c r="I9" s="21"/>
      <c r="J9" s="81"/>
      <c r="K9" s="526"/>
      <c r="L9" s="526"/>
      <c r="M9" s="526"/>
      <c r="N9" s="526"/>
      <c r="O9" s="526"/>
      <c r="P9" s="29"/>
      <c r="Q9" s="529"/>
      <c r="R9" s="498"/>
      <c r="S9" s="529"/>
      <c r="T9" s="526"/>
      <c r="U9" s="526"/>
      <c r="V9" s="526"/>
      <c r="W9" s="526"/>
      <c r="X9" s="526"/>
    </row>
    <row r="10" spans="1:24">
      <c r="A10" s="695"/>
      <c r="B10" s="1" t="s">
        <v>20</v>
      </c>
      <c r="C10" s="17">
        <f>Bilan_E_KP_AME_2045!H21-(Bilan_E_KP_AME_2045!P20+Bilan_E_KP_AME_2045!P19)</f>
        <v>843.18181818181824</v>
      </c>
      <c r="D10" s="81"/>
      <c r="E10" s="28">
        <f>F13-SUM(E11:E19)</f>
        <v>569.48843340247151</v>
      </c>
      <c r="F10" s="81"/>
      <c r="G10" s="17">
        <f>C10-E10</f>
        <v>273.69338477934673</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Bilan_E_KP_AME_2045!M21</f>
        <v>0.46654149749263618</v>
      </c>
      <c r="D11" s="81"/>
      <c r="E11" s="28">
        <f>C11*(1-[7]Offre_calc!$U$161)</f>
        <v>0.19244836771571242</v>
      </c>
      <c r="F11" s="81"/>
      <c r="G11" s="17">
        <f t="shared" si="0"/>
        <v>0.27409312977692379</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Bilan_E_KP_AME_2045!K21</f>
        <v>6.5903281241207718</v>
      </c>
      <c r="D12" s="81"/>
      <c r="E12" s="28">
        <f>C12*(1-[7]Offre_calc!$U$171)</f>
        <v>4.1189550775754826</v>
      </c>
      <c r="F12" s="81"/>
      <c r="G12" s="17">
        <f t="shared" si="0"/>
        <v>2.4713730465452892</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Bilan_E_KP_AME_2045!J21</f>
        <v>28.98717588629853</v>
      </c>
      <c r="D13" s="81">
        <f>SUM(C7:C19)</f>
        <v>1223.9645095572178</v>
      </c>
      <c r="E13" s="28">
        <f>C13*(1-[7]Offre_calc!$U$170)</f>
        <v>18.116984928936581</v>
      </c>
      <c r="F13" s="81">
        <f>Bilan_E_KP_AME_2045!S21</f>
        <v>607.03457917910316</v>
      </c>
      <c r="G13" s="17">
        <f t="shared" si="0"/>
        <v>10.870190957361949</v>
      </c>
      <c r="H13" s="81">
        <f>SUM(G7:G19)</f>
        <v>616.92993037811436</v>
      </c>
      <c r="I13" s="33">
        <f>Bilan_E_KP_AME_2045!P30</f>
        <v>27.977940148174714</v>
      </c>
      <c r="J13" s="81">
        <f>H13-I13</f>
        <v>588.95199022993961</v>
      </c>
      <c r="K13" s="29">
        <f>Bilan_E_KP_AME_2045!P31</f>
        <v>45.919010237367587</v>
      </c>
      <c r="L13" s="29">
        <f>-(Bilan_E_KP_AME_2045!P14+Bilan_E_KP_AME_2045!P13)</f>
        <v>16.706363002811486</v>
      </c>
      <c r="M13" s="29">
        <f>Bilan_E_KP_AME_2045!P28</f>
        <v>0.90023160054861806</v>
      </c>
      <c r="N13" s="29"/>
      <c r="O13" s="29"/>
      <c r="P13" s="29"/>
      <c r="Q13" s="81">
        <f>J13-K13-L13-M13-N13-O13-P13</f>
        <v>525.42638538921187</v>
      </c>
      <c r="R13" s="508">
        <f>Q13-S13</f>
        <v>0</v>
      </c>
      <c r="S13" s="81">
        <f>SUM(T8:X19)</f>
        <v>525.42638538921221</v>
      </c>
      <c r="T13" s="29">
        <f>Bilan_E_KP_AME_2045!P38</f>
        <v>5.7660712732306445</v>
      </c>
      <c r="U13" s="29">
        <f>Bilan_E_KP_AME_2045!P34+Bilan_E_KP_AME_2045!P39</f>
        <v>113.809965125608</v>
      </c>
      <c r="V13" s="29">
        <f>Bilan_E_KP_AME_2045!P36</f>
        <v>190.93239321884863</v>
      </c>
      <c r="W13" s="29">
        <f>Bilan_E_KP_AME_2045!P37</f>
        <v>142.0321146826426</v>
      </c>
      <c r="X13" s="29">
        <f>Bilan_E_KP_AME_2045!P35</f>
        <v>72.885841088882287</v>
      </c>
    </row>
    <row r="14" spans="1:24">
      <c r="A14" s="695"/>
      <c r="B14" s="1" t="s">
        <v>24</v>
      </c>
      <c r="C14" s="17">
        <f>Bilan_E_KP_AME_2045!O21</f>
        <v>7.0184114557160298</v>
      </c>
      <c r="D14" s="81"/>
      <c r="E14" s="28">
        <v>0</v>
      </c>
      <c r="F14" s="81"/>
      <c r="G14" s="17">
        <f t="shared" si="0"/>
        <v>7.0184114557160298</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Bilan_E_KP_AME_2045!L21</f>
        <v>3.3436367529727189</v>
      </c>
      <c r="D16" s="81"/>
      <c r="E16" s="28">
        <f>C16*(1-[7]Offre_calc!$U$158)</f>
        <v>1.8724365816647228</v>
      </c>
      <c r="F16" s="81"/>
      <c r="G16" s="17">
        <f t="shared" si="0"/>
        <v>1.4712001713079961</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Bilan_E_KP_AME_2045!F21</f>
        <v>7.9230776783294274</v>
      </c>
      <c r="D17" s="81"/>
      <c r="E17" s="28">
        <f>C17*(1-[7]Offre_calc!$U$158)</f>
        <v>4.4369234998644798</v>
      </c>
      <c r="F17" s="81"/>
      <c r="G17" s="17">
        <f t="shared" si="0"/>
        <v>3.4861541784649477</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Bilan_E_KP_AME_2045!D21</f>
        <v>2.8267856410252494</v>
      </c>
      <c r="D18" s="81"/>
      <c r="E18" s="28">
        <f>C18*(1-[7]Offre_calc!$U$157)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Bilan_E_KP_AME_2045!G21+Bilan_E_KP_AME_2045!R21</f>
        <v>16.680851063829788</v>
      </c>
      <c r="D19" s="82"/>
      <c r="E19" s="28">
        <f>C19*(1-[7]Offre_calc!$U$160)</f>
        <v>6.8808510638297875</v>
      </c>
      <c r="F19" s="82"/>
      <c r="G19" s="17">
        <f t="shared" si="0"/>
        <v>9.8000000000000007</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0.32459592804019555</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Bilan_E_KP_AME_2045!J23+Bilan_E_KP_AME_2045!M12</f>
        <v>7.0352393931843382</v>
      </c>
      <c r="D21" s="531"/>
      <c r="E21" s="33">
        <f>Bilan_E_KP_AME_2045!S23+Bilan_E_KP_AME_2045!M30</f>
        <v>0.55488183254628975</v>
      </c>
      <c r="F21" s="531"/>
      <c r="G21" s="17">
        <f t="shared" ref="G21:G45" si="1">C21-E21</f>
        <v>6.4803575606380486</v>
      </c>
      <c r="H21" s="531"/>
      <c r="I21" s="17"/>
      <c r="J21" s="531"/>
      <c r="K21" s="547">
        <f>Bilan_E_KP_AME_2045!M31</f>
        <v>7.6127557497280507E-2</v>
      </c>
      <c r="L21" s="547">
        <f>-(Bilan_E_KP_AME_2045!M13+Bilan_E_KP_AME_2045!M14+Bilan_E_KP_AME_2045!M15+Bilan_E_KP_AME_2045!M16)</f>
        <v>0</v>
      </c>
      <c r="M21" s="547">
        <f>Bilan_E_KP_AME_2045!M28</f>
        <v>0.14455147414523528</v>
      </c>
      <c r="N21" s="547">
        <f>Bilan_E_KP_AME_2045!M22</f>
        <v>0.31804644322561132</v>
      </c>
      <c r="O21" s="547">
        <f>Bilan_E_KP_AME_2045!M21</f>
        <v>0.46654149749263618</v>
      </c>
      <c r="P21" s="531"/>
      <c r="Q21" s="531"/>
      <c r="R21" s="498"/>
      <c r="S21" s="531"/>
      <c r="T21" s="531"/>
      <c r="U21" s="531"/>
      <c r="V21" s="531"/>
      <c r="W21" s="531"/>
      <c r="X21" s="531"/>
    </row>
    <row r="22" spans="1:24">
      <c r="A22" s="696"/>
      <c r="B22" s="1" t="s">
        <v>30</v>
      </c>
      <c r="C22" s="17"/>
      <c r="D22" s="85">
        <f>SUM(C21:C24)</f>
        <v>326.99949885161192</v>
      </c>
      <c r="E22" s="497"/>
      <c r="F22" s="85">
        <f>SUM(E21:E24)</f>
        <v>7.8849084393721336</v>
      </c>
      <c r="G22" s="17"/>
      <c r="H22" s="85">
        <f>SUM(G21:G24)</f>
        <v>319.11459041223981</v>
      </c>
      <c r="I22" s="408"/>
      <c r="J22" s="85">
        <f>H22-I22</f>
        <v>319.11459041223981</v>
      </c>
      <c r="K22" s="32"/>
      <c r="L22" s="32"/>
      <c r="M22" s="32"/>
      <c r="N22" s="32"/>
      <c r="O22" s="32"/>
      <c r="P22" s="32"/>
      <c r="Q22" s="85">
        <f>J22-SUM(K21:P24)</f>
        <v>275.77138476823654</v>
      </c>
      <c r="R22" s="508">
        <f>Q22-S22</f>
        <v>-2.5274117631681747E-2</v>
      </c>
      <c r="S22" s="85">
        <f>SUM(T22:X24)</f>
        <v>275.79665888586823</v>
      </c>
      <c r="T22" s="32">
        <f>Bilan_E_KP_AME_2045!G38+Bilan_E_KP_AME_2045!R38+Bilan_E_KP_AME_2045!M$38</f>
        <v>0.9742107091049319</v>
      </c>
      <c r="U22" s="32">
        <f>Bilan_E_KP_AME_2045!G34+Bilan_E_KP_AME_2045!R34+Bilan_E_KP_AME_2045!M$34</f>
        <v>97.060575759304228</v>
      </c>
      <c r="V22" s="32">
        <f>Bilan_E_KP_AME_2045!G36+Bilan_E_KP_AME_2045!R36+Bilan_E_KP_AME_2045!M$36</f>
        <v>78.22933809519904</v>
      </c>
      <c r="W22" s="32">
        <f>Bilan_E_KP_AME_2045!G37+Bilan_E_KP_AME_2045!K37+Bilan_E_KP_AME_2045!R37+Bilan_E_KP_AME_2045!M$37</f>
        <v>64.297950825716597</v>
      </c>
      <c r="X22" s="32">
        <f>Bilan_E_KP_AME_2045!G35+Bilan_E_KP_AME_2045!R35+Bilan_E_KP_AME_2045!M$35</f>
        <v>35.234583496543372</v>
      </c>
    </row>
    <row r="23" spans="1:24">
      <c r="A23" s="696"/>
      <c r="B23" s="1" t="s">
        <v>31</v>
      </c>
      <c r="C23" s="17">
        <f>SUM(Bilan_E_KP_AME_2045!D28:Q28)-C47</f>
        <v>5.3798160271654041</v>
      </c>
      <c r="D23" s="532"/>
      <c r="E23" s="33">
        <f>Bilan_E_KP_AME_2045!S28+Bilan_E_KP_AME_2045!S27</f>
        <v>2.4607304691619536</v>
      </c>
      <c r="F23" s="534"/>
      <c r="G23" s="17">
        <f t="shared" si="1"/>
        <v>2.9190855580034505</v>
      </c>
      <c r="H23" s="534"/>
      <c r="I23" s="17"/>
      <c r="J23" s="534"/>
      <c r="K23" s="536">
        <f>Bilan_E_KP_AME_2045!R31</f>
        <v>0</v>
      </c>
      <c r="L23" s="536">
        <f>-(Bilan_E_KP_AME_2045!R13+Bilan_E_KP_AME_2045!R14+Bilan_E_KP_AME_2045!R15+Bilan_E_KP_AME_2045!R16)</f>
        <v>0</v>
      </c>
      <c r="M23" s="536"/>
      <c r="N23" s="536">
        <f>Bilan_E_KP_AME_2045!R22</f>
        <v>0</v>
      </c>
      <c r="O23" s="536">
        <f>Bilan_E_KP_AME_2045!R21</f>
        <v>0</v>
      </c>
      <c r="P23" s="536">
        <f>-Bilan_E_KP_AME_2045!L27</f>
        <v>0</v>
      </c>
      <c r="Q23" s="534"/>
      <c r="S23" s="534"/>
      <c r="T23" s="538"/>
      <c r="U23" s="538"/>
      <c r="V23" s="538"/>
      <c r="W23" s="538"/>
      <c r="X23" s="538"/>
    </row>
    <row r="24" spans="1:24">
      <c r="A24" s="696"/>
      <c r="B24" s="1" t="s">
        <v>32</v>
      </c>
      <c r="C24" s="17">
        <f>Bilan_E_KP_AME_2045!G18-C45-(Bilan_E_KP_AME_2045!G20+Bilan_E_KP_AME_2045!G19)</f>
        <v>314.58444343126217</v>
      </c>
      <c r="D24" s="533"/>
      <c r="E24" s="33">
        <f>Bilan_E_KP_AME_2045!G30</f>
        <v>4.8692961376638904</v>
      </c>
      <c r="F24" s="535"/>
      <c r="G24" s="17">
        <f t="shared" si="1"/>
        <v>309.71514729359831</v>
      </c>
      <c r="H24" s="535"/>
      <c r="I24" s="34"/>
      <c r="J24" s="535"/>
      <c r="K24" s="537">
        <f>Bilan_E_KP_AME_2045!G31</f>
        <v>3.7302503173667452</v>
      </c>
      <c r="L24" s="537"/>
      <c r="M24" s="537">
        <f>Bilan_E_KP_AME_2045!G28</f>
        <v>7.0830222331165276</v>
      </c>
      <c r="N24" s="537">
        <f>Bilan_E_KP_AME_2045!G22</f>
        <v>14.843815057329421</v>
      </c>
      <c r="O24" s="537">
        <f>Bilan_E_KP_AME_2045!G21</f>
        <v>16.680851063829788</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Bilan_E_KP_AME_2045!M22</f>
        <v>0.31804644322561132</v>
      </c>
      <c r="D26" s="512"/>
      <c r="E26" s="190">
        <f>C26*F$35</f>
        <v>2.7115889838054345E-2</v>
      </c>
      <c r="F26" s="512"/>
      <c r="G26" s="33">
        <f t="shared" ref="G26:G31" si="2">C26-E26</f>
        <v>0.29093055338755697</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Bilan_E_KP_AME_2045!K18-Bilan_E_KP_AME_2045!K21-(Bilan_E_KP_AME_2045!Q20+Bilan_E_KP_AME_2045!Q19+Bilan_E_KP_AME_2045!K20+Bilan_E_KP_AME_2045!K19)</f>
        <v>13.7263107150661</v>
      </c>
      <c r="D27" s="87"/>
      <c r="E27" s="190">
        <f t="shared" ref="E27:E34" si="3">C27*F$35</f>
        <v>1.1702728867450674</v>
      </c>
      <c r="F27" s="87"/>
      <c r="G27" s="33">
        <f t="shared" si="2"/>
        <v>12.556037828321033</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Bilan_E_KP_AME_2045!J22</f>
        <v>12.357161229114668</v>
      </c>
      <c r="D29" s="87"/>
      <c r="E29" s="190">
        <f t="shared" si="3"/>
        <v>1.0535424298458778</v>
      </c>
      <c r="F29" s="87"/>
      <c r="G29" s="33">
        <f t="shared" si="2"/>
        <v>11.30361879926879</v>
      </c>
      <c r="H29" s="87"/>
      <c r="I29" s="1"/>
      <c r="J29" s="87"/>
      <c r="K29" s="87"/>
      <c r="L29" s="87"/>
      <c r="M29" s="87"/>
      <c r="N29" s="87"/>
      <c r="O29" s="87"/>
      <c r="P29" s="87"/>
      <c r="Q29" s="87"/>
      <c r="R29" s="498"/>
      <c r="S29" s="87"/>
      <c r="T29" s="87"/>
      <c r="U29" s="87"/>
      <c r="V29" s="87"/>
      <c r="W29" s="87"/>
      <c r="X29" s="87"/>
    </row>
    <row r="30" spans="1:24">
      <c r="A30" s="697"/>
      <c r="B30" s="1" t="s">
        <v>24</v>
      </c>
      <c r="C30" s="17">
        <f>Bilan_E_KP_AME_2045!O22</f>
        <v>2.0992086164963606</v>
      </c>
      <c r="D30" s="86">
        <f>SUM(C26:C34)</f>
        <v>43.344542061232161</v>
      </c>
      <c r="E30" s="190">
        <f t="shared" si="3"/>
        <v>0.17897357698677774</v>
      </c>
      <c r="F30" s="86">
        <f>Bilan_E_KP_AME_2045!S22</f>
        <v>3.6954534554550835</v>
      </c>
      <c r="G30" s="33">
        <f t="shared" si="2"/>
        <v>1.9202350395095829</v>
      </c>
      <c r="H30" s="86">
        <f>SUM(G26:G34)</f>
        <v>39.649088605777081</v>
      </c>
      <c r="I30" s="1"/>
      <c r="J30" s="86">
        <f>H30</f>
        <v>39.649088605777081</v>
      </c>
      <c r="K30" s="87">
        <f>Bilan_E_KP_AME_2045!Q31</f>
        <v>2.9343505562312622</v>
      </c>
      <c r="L30" s="87"/>
      <c r="M30" s="87">
        <f>Bilan_E_KP_AME_2045!K28</f>
        <v>8.2131519400701847E-2</v>
      </c>
      <c r="N30" s="87"/>
      <c r="O30" s="87"/>
      <c r="P30" s="87"/>
      <c r="Q30" s="86">
        <f>J30-K30-L30-M30-N30-O30-P30</f>
        <v>36.632606530145111</v>
      </c>
      <c r="R30" s="508">
        <f>Q30-S30</f>
        <v>2.5274117631639115E-2</v>
      </c>
      <c r="S30" s="86">
        <f>SUM(T27:X34)</f>
        <v>36.607332412513472</v>
      </c>
      <c r="T30" s="87">
        <f>Bilan_E_KP_AME_2045!Q$38</f>
        <v>0</v>
      </c>
      <c r="U30" s="87">
        <f>Bilan_E_KP_AME_2045!Q$34+Bilan_E_KP_AME_2045!K34</f>
        <v>17.887052227660217</v>
      </c>
      <c r="V30" s="87">
        <f>Bilan_E_KP_AME_2045!Q$36</f>
        <v>15.360003531773184</v>
      </c>
      <c r="W30" s="87">
        <f>Bilan_E_KP_AME_2045!Q$37</f>
        <v>3.3602766530800707</v>
      </c>
      <c r="X30" s="87">
        <f>Bilan_E_KP_AME_2045!Q$35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Bilan_E_KP_AME_2045!G22</f>
        <v>14.843815057329421</v>
      </c>
      <c r="D32" s="86"/>
      <c r="E32" s="190">
        <f t="shared" si="3"/>
        <v>1.2655486720393059</v>
      </c>
      <c r="F32" s="86"/>
      <c r="G32" s="33">
        <f>C32-E32</f>
        <v>13.578266385290114</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Bilan_E_KP_AME_2045!F22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Bilan_E_KP_AME_2045!D22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8.5257642132533631E-2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117.9104978732921</v>
      </c>
      <c r="D37" s="541"/>
      <c r="E37" s="504"/>
      <c r="F37" s="541"/>
      <c r="G37" s="17">
        <f t="shared" ref="G37:G42" si="5">C37-E37</f>
        <v>117.9104978732921</v>
      </c>
      <c r="H37" s="541"/>
      <c r="I37" s="498"/>
      <c r="J37" s="37"/>
      <c r="K37" s="35"/>
      <c r="L37" s="35"/>
      <c r="M37" s="505"/>
      <c r="N37" s="35"/>
      <c r="P37" s="35"/>
      <c r="Q37" s="543"/>
      <c r="R37" s="498"/>
      <c r="S37" s="541"/>
      <c r="T37" s="506">
        <f>Bilan_E_KP_AME_2045!J38</f>
        <v>4.6306119511950978</v>
      </c>
      <c r="U37" s="93">
        <f>Bilan_E_KP_AME_2045!J34</f>
        <v>21.821162214793436</v>
      </c>
      <c r="V37" s="506">
        <f>Bilan_E_KP_AME_2045!J36</f>
        <v>88.320247059496523</v>
      </c>
      <c r="W37" s="507">
        <f>Bilan_E_KP_AME_2045!J37</f>
        <v>3.1384766478070549</v>
      </c>
      <c r="X37" s="506">
        <f>Bilan_E_KP_AME_2045!J35</f>
        <v>0</v>
      </c>
      <c r="Y37" s="489">
        <f t="shared" ref="Y37:Y47" si="6">SUM(T37:X37)</f>
        <v>117.9104978732921</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214.66230474731617</v>
      </c>
      <c r="R38" s="498"/>
      <c r="S38" s="541"/>
      <c r="T38" s="84">
        <v>0</v>
      </c>
      <c r="U38" s="83">
        <v>0</v>
      </c>
      <c r="V38" s="84">
        <v>0</v>
      </c>
      <c r="W38" s="91">
        <v>0</v>
      </c>
      <c r="X38" s="91">
        <v>0</v>
      </c>
      <c r="Y38" s="489">
        <f t="shared" si="6"/>
        <v>0</v>
      </c>
      <c r="Z38" s="489">
        <f t="shared" si="7"/>
        <v>0</v>
      </c>
    </row>
    <row r="39" spans="1:26">
      <c r="A39" s="679"/>
      <c r="B39" s="1" t="s">
        <v>35</v>
      </c>
      <c r="C39" s="33">
        <f>SUM(T39:X39)</f>
        <v>2.8554061636244761</v>
      </c>
      <c r="D39" s="541"/>
      <c r="E39" s="35"/>
      <c r="F39" s="541"/>
      <c r="G39" s="17">
        <f t="shared" si="5"/>
        <v>2.8554061636244761</v>
      </c>
      <c r="H39" s="541"/>
      <c r="I39" s="35"/>
      <c r="J39" s="37"/>
      <c r="K39" s="35"/>
      <c r="L39" s="35"/>
      <c r="M39" s="37"/>
      <c r="N39" s="35"/>
      <c r="O39" s="35"/>
      <c r="P39" s="35"/>
      <c r="Q39" s="543"/>
      <c r="R39" s="498"/>
      <c r="S39" s="541"/>
      <c r="T39" s="84">
        <f>Bilan_E_KP_AME_2045!O38</f>
        <v>6.6456137421005312E-2</v>
      </c>
      <c r="U39" s="83">
        <f>Bilan_E_KP_AME_2045!O34</f>
        <v>3.7537634069694789E-4</v>
      </c>
      <c r="V39" s="84">
        <f>Bilan_E_KP_AME_2045!O36</f>
        <v>2.0734984243972754</v>
      </c>
      <c r="W39" s="91">
        <f>Bilan_E_KP_AME_2045!O37</f>
        <v>0.71507622546549865</v>
      </c>
      <c r="X39" s="91">
        <f>Bilan_E_KP_AME_2045!O35</f>
        <v>0</v>
      </c>
      <c r="Y39" s="489">
        <f t="shared" si="6"/>
        <v>2.8554061636244761</v>
      </c>
      <c r="Z39" s="489">
        <f t="shared" si="7"/>
        <v>0</v>
      </c>
    </row>
    <row r="40" spans="1:26">
      <c r="A40" s="679"/>
      <c r="B40" s="1" t="s">
        <v>36</v>
      </c>
      <c r="C40" s="33">
        <f>Bilan_E_KP_AME_2045!N12</f>
        <v>67.964408038916218</v>
      </c>
      <c r="D40" s="541"/>
      <c r="E40" s="35"/>
      <c r="F40" s="541"/>
      <c r="G40" s="17">
        <f t="shared" si="5"/>
        <v>67.964408038916218</v>
      </c>
      <c r="H40" s="541"/>
      <c r="I40" s="35"/>
      <c r="J40" s="37"/>
      <c r="K40" s="35"/>
      <c r="L40" s="35"/>
      <c r="M40" s="37"/>
      <c r="N40" s="35"/>
      <c r="O40" s="35"/>
      <c r="P40" s="35"/>
      <c r="Q40" s="543"/>
      <c r="R40" s="498"/>
      <c r="S40" s="541"/>
      <c r="T40" s="83">
        <f>Bilan_E_KP_AME_2045!N$38</f>
        <v>0</v>
      </c>
      <c r="U40" s="83">
        <f>Bilan_E_KP_AME_2045!N$34</f>
        <v>0</v>
      </c>
      <c r="V40" s="83">
        <f>Bilan_E_KP_AME_2045!N$36</f>
        <v>59.616390446150973</v>
      </c>
      <c r="W40" s="83">
        <f>Bilan_E_KP_AME_2045!N$37</f>
        <v>8.34801759276524</v>
      </c>
      <c r="X40" s="84">
        <f>Bilan_E_KP_AME_2045!N$35</f>
        <v>0</v>
      </c>
      <c r="Y40" s="489">
        <f t="shared" si="6"/>
        <v>67.964408038916218</v>
      </c>
      <c r="Z40" s="489">
        <f t="shared" si="7"/>
        <v>0</v>
      </c>
    </row>
    <row r="41" spans="1:26">
      <c r="A41" s="679"/>
      <c r="B41" s="1" t="s">
        <v>37</v>
      </c>
      <c r="C41" s="33">
        <f>Bilan_E_KP_AME_2045!L12+Bilan_E_KP_AME_2045!J26+Bilan_E_KP_AME_2045!J27-Bilan_E_KP_AME_2045!L21</f>
        <v>24.110476598437344</v>
      </c>
      <c r="D41" s="191">
        <f>SUM(C36:C47)</f>
        <v>691.846807707886</v>
      </c>
      <c r="E41" s="38"/>
      <c r="F41" s="191">
        <f>SUM(E36:E47)</f>
        <v>27.438174268283912</v>
      </c>
      <c r="G41" s="17">
        <f t="shared" si="5"/>
        <v>24.110476598437344</v>
      </c>
      <c r="H41" s="191">
        <f>SUM(G36:G47)</f>
        <v>664.40863343960211</v>
      </c>
      <c r="I41" s="35"/>
      <c r="J41" s="37"/>
      <c r="K41" s="35"/>
      <c r="L41" s="37">
        <f>-SUM(Bilan_E_KP_AME_2045!L13:L16)</f>
        <v>-1.821516073046034</v>
      </c>
      <c r="M41" s="35"/>
      <c r="N41" s="35"/>
      <c r="O41" s="35"/>
      <c r="P41" s="35"/>
      <c r="Q41" s="543"/>
      <c r="R41" s="508">
        <f>SUM(Q36:Q47)-S41</f>
        <v>1.8022759036284697E-4</v>
      </c>
      <c r="S41" s="191">
        <f>SUM(T36:X46)</f>
        <v>507.305939556591</v>
      </c>
      <c r="T41" s="83">
        <f>Bilan_E_KP_AME_2045!L$38</f>
        <v>3.1934862443619529</v>
      </c>
      <c r="U41" s="83">
        <f>Bilan_E_KP_AME_2045!L$34</f>
        <v>0.96096945898437491</v>
      </c>
      <c r="V41" s="83">
        <f>Bilan_E_KP_AME_2045!L$36</f>
        <v>0</v>
      </c>
      <c r="W41" s="83">
        <f>Bilan_E_KP_AME_2045!L$37</f>
        <v>0</v>
      </c>
      <c r="X41" s="84">
        <f>Bilan_E_KP_AME_2045!L$35</f>
        <v>21.777356740546686</v>
      </c>
      <c r="Y41" s="489">
        <f t="shared" si="6"/>
        <v>25.931812443893016</v>
      </c>
      <c r="Z41" s="489">
        <f>G41-Y41-L41</f>
        <v>1.8022759036284697E-4</v>
      </c>
    </row>
    <row r="42" spans="1:26">
      <c r="A42" s="679"/>
      <c r="B42" s="1" t="s">
        <v>38</v>
      </c>
      <c r="C42" s="33">
        <f>Bilan_E_KP_AME_2045!E18+Bilan_E_KP_AME_2045!F18-Bilan_E_KP_AME_2045!F21-Bilan_E_KP_AME_2045!F22-E54-SUM(T43:X43)-(Bilan_E_KP_AME_2045!E20+Bilan_E_KP_AME_2045!F20+Bilan_E_KP_AME_2045!E19+Bilan_E_KP_AME_2045!F19)</f>
        <v>253.16142263959537</v>
      </c>
      <c r="D42" s="541"/>
      <c r="E42" s="17">
        <f>Bilan_E_KP_AME_2045!F30+Bilan_E_KP_AME_2045!S25+Bilan_E_KP_AME_2045!F29+Bilan_E_KP_AME_2045!E29</f>
        <v>27.438174268283912</v>
      </c>
      <c r="F42" s="541"/>
      <c r="G42" s="17">
        <f t="shared" si="5"/>
        <v>225.72324837131146</v>
      </c>
      <c r="H42" s="541"/>
      <c r="I42" s="498"/>
      <c r="J42" s="37"/>
      <c r="K42" s="35"/>
      <c r="L42" s="35"/>
      <c r="M42" s="35"/>
      <c r="N42" s="35"/>
      <c r="O42" s="35"/>
      <c r="P42" s="35"/>
      <c r="Q42" s="36">
        <f>G42</f>
        <v>225.72324837131146</v>
      </c>
      <c r="R42" s="498"/>
      <c r="S42" s="541"/>
      <c r="T42" s="83">
        <v>0</v>
      </c>
      <c r="U42" s="83">
        <v>0</v>
      </c>
      <c r="V42" s="83">
        <v>0</v>
      </c>
      <c r="W42" s="83">
        <v>0</v>
      </c>
      <c r="X42" s="84">
        <f>Bilan_E_KP_AME_2045!F35</f>
        <v>225.72324837131151</v>
      </c>
      <c r="Y42" s="489">
        <f t="shared" si="6"/>
        <v>225.72324837131151</v>
      </c>
      <c r="Z42" s="489">
        <f>Q42-SUM(T42:X42)</f>
        <v>0</v>
      </c>
    </row>
    <row r="43" spans="1:26">
      <c r="A43" s="679"/>
      <c r="B43" s="1" t="s">
        <v>39</v>
      </c>
      <c r="C43" s="33">
        <f>Bilan_E_KP_AME_2045!F41+SUM(T43:X43)</f>
        <v>167.190779847915</v>
      </c>
      <c r="D43" s="541"/>
      <c r="E43" s="38"/>
      <c r="F43" s="541"/>
      <c r="G43" s="17">
        <f>C43-E43</f>
        <v>167.190779847915</v>
      </c>
      <c r="H43" s="541"/>
      <c r="I43" s="35"/>
      <c r="J43" s="37"/>
      <c r="K43" s="35"/>
      <c r="L43" s="35"/>
      <c r="M43" s="35"/>
      <c r="N43" s="35"/>
      <c r="O43" s="35"/>
      <c r="P43" s="35"/>
      <c r="Q43" s="36">
        <f>G43-Bilan_E_KP_AME_2045!F41</f>
        <v>62.28074727109815</v>
      </c>
      <c r="R43" s="498"/>
      <c r="S43" s="541"/>
      <c r="T43" s="83">
        <f>Bilan_E_KP_AME_2045!F38</f>
        <v>27.931723909553636</v>
      </c>
      <c r="U43" s="83">
        <f>Bilan_E_KP_AME_2045!F34</f>
        <v>20.598782441852151</v>
      </c>
      <c r="V43" s="83">
        <f>Bilan_E_KP_AME_2045!F36</f>
        <v>11.075929176351762</v>
      </c>
      <c r="W43" s="83">
        <f>Bilan_E_KP_AME_2045!F37</f>
        <v>2.6743117433405894</v>
      </c>
      <c r="X43" s="84">
        <v>0</v>
      </c>
      <c r="Y43" s="489">
        <f t="shared" si="6"/>
        <v>62.280747271098143</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G44-Bilan_E_KP_AME_2045!K41</f>
        <v>0</v>
      </c>
      <c r="R44" s="498"/>
      <c r="S44" s="541"/>
      <c r="T44" s="83">
        <f>Bilan_E_KP_AME_2045!K$38</f>
        <v>0</v>
      </c>
      <c r="U44" s="83">
        <v>0</v>
      </c>
      <c r="V44" s="83">
        <f>Bilan_E_KP_AME_2045!K$36</f>
        <v>0</v>
      </c>
      <c r="W44" s="83">
        <v>0</v>
      </c>
      <c r="X44" s="84">
        <f>Bilan_E_KP_AME_2045!K$35</f>
        <v>0</v>
      </c>
      <c r="Y44" s="489">
        <f t="shared" si="6"/>
        <v>0</v>
      </c>
      <c r="Z44" s="489">
        <f t="shared" si="7"/>
        <v>0</v>
      </c>
    </row>
    <row r="45" spans="1:26">
      <c r="A45" s="679"/>
      <c r="B45" s="1" t="s">
        <v>41</v>
      </c>
      <c r="C45" s="33">
        <f>E53</f>
        <v>11.505661507854215</v>
      </c>
      <c r="D45" s="541"/>
      <c r="E45" s="38"/>
      <c r="F45" s="541"/>
      <c r="G45" s="17">
        <f t="shared" si="1"/>
        <v>11.505661507854215</v>
      </c>
      <c r="H45" s="541"/>
      <c r="I45" s="35"/>
      <c r="J45" s="37"/>
      <c r="K45" s="35"/>
      <c r="L45" s="35"/>
      <c r="M45" s="35"/>
      <c r="N45" s="35"/>
      <c r="O45" s="35"/>
      <c r="P45" s="35"/>
      <c r="Q45" s="36">
        <f>G45-Bilan_E_KP_AME_2045!G41</f>
        <v>0</v>
      </c>
      <c r="R45" s="498"/>
      <c r="S45" s="541"/>
      <c r="T45" s="84">
        <v>0</v>
      </c>
      <c r="U45" s="83">
        <v>0</v>
      </c>
      <c r="V45" s="84">
        <v>0</v>
      </c>
      <c r="W45" s="92">
        <v>0</v>
      </c>
      <c r="X45" s="84">
        <v>0</v>
      </c>
      <c r="Y45" s="489">
        <f t="shared" si="6"/>
        <v>0</v>
      </c>
      <c r="Z45" s="489">
        <f>Q45-Y45</f>
        <v>0</v>
      </c>
    </row>
    <row r="46" spans="1:26">
      <c r="A46" s="679"/>
      <c r="B46" s="1" t="s">
        <v>42</v>
      </c>
      <c r="C46" s="33">
        <f>Bilan_E_KP_AME_2045!D18-C18-C34</f>
        <v>44.318034238205584</v>
      </c>
      <c r="D46" s="541"/>
      <c r="E46" s="511"/>
      <c r="F46" s="541"/>
      <c r="G46" s="17">
        <f>C46-E46</f>
        <v>44.318034238205584</v>
      </c>
      <c r="H46" s="541"/>
      <c r="I46" s="38"/>
      <c r="J46" s="37"/>
      <c r="K46" s="35"/>
      <c r="L46" s="35"/>
      <c r="M46" s="35"/>
      <c r="N46" s="35"/>
      <c r="O46" s="35"/>
      <c r="P46" s="35"/>
      <c r="Q46" s="36">
        <f>G46-(Bilan_E_KP_AME_2045!D41+Bilan_E_KP_AME_2045!D29+Bilan_E_KP_AME_2045!D30)</f>
        <v>4.6398193944555857</v>
      </c>
      <c r="R46" s="498"/>
      <c r="S46" s="541"/>
      <c r="T46" s="506">
        <f>Bilan_E_KP_AME_2045!D38</f>
        <v>0</v>
      </c>
      <c r="U46" s="93">
        <f>Bilan_E_KP_AME_2045!D34</f>
        <v>4.6398193944555786</v>
      </c>
      <c r="V46" s="506">
        <f>Bilan_E_KP_AME_2045!D36</f>
        <v>0</v>
      </c>
      <c r="W46" s="507">
        <f>Bilan_E_KP_AME_2045!D37</f>
        <v>0</v>
      </c>
      <c r="X46" s="506">
        <f>Bilan_E_KP_AME_2045!D35</f>
        <v>0</v>
      </c>
      <c r="Y46" s="489">
        <f t="shared" si="6"/>
        <v>4.6398193944555786</v>
      </c>
      <c r="Z46" s="489">
        <f>Q46-Y46</f>
        <v>7.1054273576010019E-15</v>
      </c>
    </row>
    <row r="47" spans="1:26">
      <c r="A47" s="90"/>
      <c r="B47" s="1" t="s">
        <v>31</v>
      </c>
      <c r="C47" s="33">
        <f>E57</f>
        <v>2.8301208000456781</v>
      </c>
      <c r="D47" s="192"/>
      <c r="E47" s="511"/>
      <c r="F47" s="192"/>
      <c r="G47" s="17">
        <f>C47-E47</f>
        <v>2.8301208000456781</v>
      </c>
      <c r="H47" s="192"/>
      <c r="I47" s="38"/>
      <c r="J47" s="37"/>
      <c r="K47" s="35"/>
      <c r="L47" s="35"/>
      <c r="M47" s="35"/>
      <c r="N47" s="35"/>
      <c r="O47" s="35"/>
      <c r="P47" s="35"/>
      <c r="Q47" s="544">
        <f>G47-Bilan_E_KP_AME_2045!R41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C5-L13-SUM(L21:L24)-L30-L41-Bilan_E_KP_AME_2045!S18</f>
        <v>0</v>
      </c>
      <c r="D49" s="1"/>
      <c r="E49" s="34">
        <f>SUM(E7:E47)+I13-Bilan_E_KP_AME_2045!S32+K13+SUM(K21:K24)+K30+Bilan_E_KP_AME_2045!D29+Bilan_E_KP_AME_2045!D30</f>
        <v>4.4408920985006262E-14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501.13430337421443</v>
      </c>
    </row>
    <row r="52" spans="1:19">
      <c r="A52" s="21"/>
      <c r="B52" s="1" t="s">
        <v>44</v>
      </c>
      <c r="C52" s="44"/>
      <c r="D52" s="1"/>
      <c r="E52" s="39">
        <f>Bilan_E_KP_AME_2045!D41+Bilan_E_KP_AME_2045!D29+Bilan_E_KP_AME_2045!D30</f>
        <v>39.678214843749998</v>
      </c>
      <c r="F52" s="187"/>
      <c r="G52" s="1"/>
      <c r="H52" s="1"/>
      <c r="I52" s="30"/>
      <c r="J52" s="17"/>
      <c r="K52" s="17"/>
      <c r="L52" s="21"/>
      <c r="M52" s="1"/>
      <c r="N52" s="17"/>
      <c r="O52" s="17"/>
      <c r="P52" s="17"/>
      <c r="Q52" s="1"/>
      <c r="S52" s="33"/>
    </row>
    <row r="53" spans="1:19">
      <c r="A53" s="21"/>
      <c r="B53" s="1" t="s">
        <v>41</v>
      </c>
      <c r="C53" s="45"/>
      <c r="D53" s="17"/>
      <c r="E53" s="433">
        <f>Bilan_E_KP_AME_2045!G41+Bilan_E_KP_AME_2045!G29</f>
        <v>11.505661507854215</v>
      </c>
      <c r="F53" s="187"/>
      <c r="G53" s="1"/>
      <c r="H53" s="1"/>
      <c r="I53" s="30"/>
      <c r="J53" s="17"/>
      <c r="K53" s="17"/>
      <c r="L53" s="21"/>
      <c r="M53" s="1"/>
      <c r="N53" s="17"/>
      <c r="O53" s="17"/>
      <c r="P53" s="17"/>
      <c r="Q53" s="1"/>
    </row>
    <row r="54" spans="1:19">
      <c r="A54" s="21"/>
      <c r="B54" s="1" t="s">
        <v>39</v>
      </c>
      <c r="C54" s="45"/>
      <c r="D54" s="17"/>
      <c r="E54" s="435">
        <f>Bilan_E_KP_AME_2045!F41</f>
        <v>104.91003257681685</v>
      </c>
      <c r="F54" s="187"/>
      <c r="G54" s="1"/>
      <c r="H54" s="1"/>
      <c r="I54" s="30"/>
      <c r="J54" s="17"/>
      <c r="K54" s="17"/>
      <c r="L54" s="21"/>
      <c r="M54" s="21"/>
      <c r="N54" s="17"/>
      <c r="O54" s="17"/>
      <c r="P54" s="17"/>
      <c r="Q54" s="1"/>
    </row>
    <row r="55" spans="1:19">
      <c r="B55" s="1" t="s">
        <v>21</v>
      </c>
      <c r="E55" s="434">
        <f>Bilan_E_KP_AME_2045!M41+Bilan_E_KP_AME_2045!M29</f>
        <v>0</v>
      </c>
    </row>
    <row r="56" spans="1:19">
      <c r="B56" s="1" t="s">
        <v>37</v>
      </c>
      <c r="E56" s="515">
        <f>Bilan_E_KP_AME_2045!L41+Bilan_E_KP_AME_2045!L29</f>
        <v>0</v>
      </c>
    </row>
    <row r="57" spans="1:19">
      <c r="B57" s="1" t="s">
        <v>31</v>
      </c>
      <c r="E57" s="515">
        <f>Bilan_E_KP_AME_2045!R41</f>
        <v>2.8301208000456781</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804B-06F0-469B-8E0E-CB729205DABC}">
  <dimension ref="A1:Z57"/>
  <sheetViews>
    <sheetView zoomScale="70" zoomScaleNormal="70" workbookViewId="0">
      <selection sqref="A1:XFD1048576"/>
    </sheetView>
  </sheetViews>
  <sheetFormatPr baseColWidth="10" defaultColWidth="11.453125" defaultRowHeight="14.5"/>
  <cols>
    <col min="2" max="2" width="25.81640625" customWidth="1"/>
    <col min="5" max="5" width="11.26953125" customWidth="1"/>
    <col min="17" max="17" width="15.90625" bestFit="1"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2161.9320758013632</v>
      </c>
      <c r="D5" s="18"/>
      <c r="E5" s="20"/>
      <c r="F5" s="494"/>
      <c r="G5" s="21"/>
      <c r="H5" s="493"/>
      <c r="I5" s="21"/>
      <c r="J5" s="22"/>
      <c r="K5" s="23"/>
      <c r="L5" s="14"/>
      <c r="M5" s="14"/>
      <c r="N5" s="15"/>
      <c r="O5" s="16"/>
      <c r="P5" s="16"/>
      <c r="Q5" s="24">
        <f>Q13+Q22+Q30+Q42+Q46+Q38+Q43</f>
        <v>1337.3206190218214</v>
      </c>
      <c r="R5" s="487"/>
      <c r="S5" s="79">
        <f>SUM(S13,S22,S27:S32,S41)</f>
        <v>1337.3305910951583</v>
      </c>
      <c r="T5" s="79">
        <f>SUM(T8:T46)</f>
        <v>41.899452717118891</v>
      </c>
      <c r="U5" s="79">
        <f>SUM(U8:U46)</f>
        <v>273.02383748439536</v>
      </c>
      <c r="V5" s="79">
        <f>SUM(V8:V46)</f>
        <v>439.5744830744099</v>
      </c>
      <c r="W5" s="173">
        <f>SUM(W8:W46)</f>
        <v>227.90858744515975</v>
      </c>
      <c r="X5" s="79">
        <f>SUM(X8:X46)</f>
        <v>354.92423037407423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(([7]Offre_calc!$V$81+[7]Offre_calc!$V$82+[7]Offre_calc!$V$127+[7]Offre_calc!$V$128)/([7]Offre_calc!$V$78+[7]Offre_calc!$V$124))*Bilan_E_KP_AME_2050!I$21</f>
        <v>165.69590045425397</v>
      </c>
      <c r="D7" s="518"/>
      <c r="E7" s="28">
        <v>0</v>
      </c>
      <c r="F7" s="518"/>
      <c r="G7" s="17">
        <f>C7-E7</f>
        <v>165.69590045425397</v>
      </c>
      <c r="H7" s="518"/>
      <c r="I7" s="21"/>
      <c r="J7" s="518"/>
      <c r="K7" s="525"/>
      <c r="L7" s="525"/>
      <c r="M7" s="525"/>
      <c r="N7" s="525"/>
      <c r="O7" s="525"/>
      <c r="P7" s="513"/>
      <c r="Q7" s="528"/>
      <c r="R7" s="498"/>
      <c r="S7" s="528"/>
      <c r="T7" s="525"/>
      <c r="U7" s="525"/>
      <c r="V7" s="525"/>
      <c r="W7" s="525"/>
      <c r="X7" s="525"/>
    </row>
    <row r="8" spans="1:24">
      <c r="A8" s="695"/>
      <c r="B8" s="1" t="s">
        <v>18</v>
      </c>
      <c r="C8" s="486">
        <f>(([7]Offre_calc!$V$80+[7]Offre_calc!$V$126)/([7]Offre_calc!$V$78+[7]Offre_calc!$V$124))*Bilan_E_KP_AME_2050!I$21</f>
        <v>61.600743099155849</v>
      </c>
      <c r="D8" s="81"/>
      <c r="E8" s="28">
        <v>0</v>
      </c>
      <c r="F8" s="81"/>
      <c r="G8" s="17">
        <f t="shared" ref="G8:G19" si="0">C8-E8</f>
        <v>61.600743099155849</v>
      </c>
      <c r="H8" s="81"/>
      <c r="I8" s="21"/>
      <c r="J8" s="81"/>
      <c r="K8" s="526"/>
      <c r="L8" s="526"/>
      <c r="M8" s="526"/>
      <c r="N8" s="526"/>
      <c r="O8" s="526"/>
      <c r="P8" s="29"/>
      <c r="Q8" s="529"/>
      <c r="R8" s="498"/>
      <c r="S8" s="529"/>
      <c r="T8" s="526"/>
      <c r="U8" s="526"/>
      <c r="V8" s="526"/>
      <c r="W8" s="526"/>
      <c r="X8" s="526"/>
    </row>
    <row r="9" spans="1:24">
      <c r="A9" s="695"/>
      <c r="B9" s="1" t="s">
        <v>19</v>
      </c>
      <c r="C9" s="486">
        <f>(([7]Offre_calc!$V$79+[7]Offre_calc!$V$125)/([7]Offre_calc!$V$78+[7]Offre_calc!$V$124))*Bilan_E_KP_AME_2050!I$21</f>
        <v>111.08330722798594</v>
      </c>
      <c r="D9" s="81"/>
      <c r="E9" s="28">
        <v>0</v>
      </c>
      <c r="F9" s="81"/>
      <c r="G9" s="17">
        <f t="shared" si="0"/>
        <v>111.08330722798594</v>
      </c>
      <c r="H9" s="81"/>
      <c r="I9" s="21"/>
      <c r="J9" s="81"/>
      <c r="K9" s="526"/>
      <c r="L9" s="526"/>
      <c r="M9" s="526"/>
      <c r="N9" s="526"/>
      <c r="O9" s="526"/>
      <c r="P9" s="29"/>
      <c r="Q9" s="529"/>
      <c r="R9" s="498"/>
      <c r="S9" s="529"/>
      <c r="T9" s="526"/>
      <c r="U9" s="526"/>
      <c r="V9" s="526"/>
      <c r="W9" s="526"/>
      <c r="X9" s="526"/>
    </row>
    <row r="10" spans="1:24">
      <c r="A10" s="695"/>
      <c r="B10" s="1" t="s">
        <v>20</v>
      </c>
      <c r="C10" s="17">
        <f>Bilan_E_KP_AME_2050!H21-(Bilan_E_KP_AME_2050!P20+Bilan_E_KP_AME_2050!P19)</f>
        <v>727.27272727272737</v>
      </c>
      <c r="D10" s="81"/>
      <c r="E10" s="28">
        <f>F13-SUM(E11:E19)</f>
        <v>492.5991370284097</v>
      </c>
      <c r="F10" s="81"/>
      <c r="G10" s="17">
        <f>C10-E10</f>
        <v>234.67359024431767</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Bilan_E_KP_AME_2050!M21</f>
        <v>1.0761160081227215</v>
      </c>
      <c r="D11" s="81"/>
      <c r="E11" s="28">
        <f>C11*(1-[7]Offre_calc!$V$161)</f>
        <v>0.43044640324908862</v>
      </c>
      <c r="F11" s="81"/>
      <c r="G11" s="17">
        <f t="shared" si="0"/>
        <v>0.64566960487363279</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Bilan_E_KP_AME_2050!K21</f>
        <v>6.2305848357200952</v>
      </c>
      <c r="D12" s="81"/>
      <c r="E12" s="28">
        <f>C12*(1-[7]Offre_calc!$V$171)</f>
        <v>3.7383509014320571</v>
      </c>
      <c r="F12" s="81"/>
      <c r="G12" s="17">
        <f t="shared" si="0"/>
        <v>2.4922339342880382</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Bilan_E_KP_AME_2050!J21</f>
        <v>28.452469116356035</v>
      </c>
      <c r="D13" s="81">
        <f>SUM(C7:C19)</f>
        <v>1170.1282237174314</v>
      </c>
      <c r="E13" s="28">
        <f>C13*(1-[7]Offre_calc!$V$170)</f>
        <v>17.071481469813619</v>
      </c>
      <c r="F13" s="81">
        <f>Bilan_E_KP_AME_2050!S21</f>
        <v>540.98307170325586</v>
      </c>
      <c r="G13" s="17">
        <f t="shared" si="0"/>
        <v>11.380987646542415</v>
      </c>
      <c r="H13" s="81">
        <f>SUM(G7:G19)</f>
        <v>629.14515201417589</v>
      </c>
      <c r="I13" s="33">
        <f>Bilan_E_KP_AME_2050!P30</f>
        <v>26.129145836866744</v>
      </c>
      <c r="J13" s="81">
        <f>H13-I13</f>
        <v>603.01600617730912</v>
      </c>
      <c r="K13" s="29">
        <f>Bilan_E_KP_AME_2050!P31</f>
        <v>47.131742012269626</v>
      </c>
      <c r="L13" s="29">
        <f>-(Bilan_E_KP_AME_2050!P14+Bilan_E_KP_AME_2050!P13)</f>
        <v>12.7985093299136</v>
      </c>
      <c r="M13" s="29">
        <f>Bilan_E_KP_AME_2050!P28</f>
        <v>1.1785562348680418</v>
      </c>
      <c r="N13" s="29"/>
      <c r="O13" s="29"/>
      <c r="P13" s="29"/>
      <c r="Q13" s="81">
        <f>J13-K13-L13-M13-N13-O13-P13</f>
        <v>541.90719860025774</v>
      </c>
      <c r="R13" s="508">
        <f>Q13-S13</f>
        <v>0</v>
      </c>
      <c r="S13" s="81">
        <f>SUM(T8:X19)</f>
        <v>541.9071986002574</v>
      </c>
      <c r="T13" s="29">
        <f>Bilan_E_KP_AME_2050!P38</f>
        <v>5.5235547180923223</v>
      </c>
      <c r="U13" s="29">
        <f>Bilan_E_KP_AME_2050!P34+Bilan_E_KP_AME_2050!P39</f>
        <v>114.99790196708234</v>
      </c>
      <c r="V13" s="29">
        <f>Bilan_E_KP_AME_2050!P36</f>
        <v>194.47767196350526</v>
      </c>
      <c r="W13" s="29">
        <f>Bilan_E_KP_AME_2050!P37</f>
        <v>146.08879967332064</v>
      </c>
      <c r="X13" s="29">
        <f>Bilan_E_KP_AME_2050!P35</f>
        <v>80.819270278256823</v>
      </c>
    </row>
    <row r="14" spans="1:24">
      <c r="A14" s="695"/>
      <c r="B14" s="1" t="s">
        <v>24</v>
      </c>
      <c r="C14" s="17">
        <f>Bilan_E_KP_AME_2050!O21</f>
        <v>7.5664382136221358</v>
      </c>
      <c r="D14" s="81"/>
      <c r="E14" s="28">
        <v>0</v>
      </c>
      <c r="F14" s="81"/>
      <c r="G14" s="17">
        <f t="shared" si="0"/>
        <v>7.5664382136221358</v>
      </c>
      <c r="H14" s="81"/>
      <c r="I14" s="21"/>
      <c r="J14" s="81"/>
      <c r="K14" s="526"/>
      <c r="L14" s="526"/>
      <c r="M14" s="526"/>
      <c r="N14" s="526"/>
      <c r="O14" s="526"/>
      <c r="P14" s="29"/>
      <c r="Q14" s="529"/>
      <c r="R14" s="49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498"/>
      <c r="S15" s="529"/>
      <c r="T15" s="526"/>
      <c r="U15" s="526"/>
      <c r="V15" s="526"/>
      <c r="W15" s="526"/>
      <c r="X15" s="526"/>
    </row>
    <row r="16" spans="1:24">
      <c r="A16" s="695"/>
      <c r="B16" s="1" t="s">
        <v>346</v>
      </c>
      <c r="C16" s="17">
        <f>Bilan_E_KP_AME_2050!L21</f>
        <v>3.7328950664080915</v>
      </c>
      <c r="D16" s="81"/>
      <c r="E16" s="28">
        <f>C16*(1-[7]Offre_calc!$V$158)</f>
        <v>2.0904212371885316</v>
      </c>
      <c r="F16" s="81"/>
      <c r="G16" s="17">
        <f t="shared" si="0"/>
        <v>1.64247382921956</v>
      </c>
      <c r="H16" s="81"/>
      <c r="I16" s="21"/>
      <c r="J16" s="81"/>
      <c r="K16" s="526"/>
      <c r="L16" s="526"/>
      <c r="M16" s="526"/>
      <c r="N16" s="526"/>
      <c r="O16" s="526"/>
      <c r="P16" s="29"/>
      <c r="Q16" s="529"/>
      <c r="R16" s="498"/>
      <c r="S16" s="529"/>
      <c r="T16" s="526"/>
      <c r="U16" s="526"/>
      <c r="V16" s="526"/>
      <c r="W16" s="526"/>
      <c r="X16" s="526"/>
    </row>
    <row r="17" spans="1:24">
      <c r="A17" s="695"/>
      <c r="B17" s="1" t="s">
        <v>27</v>
      </c>
      <c r="C17" s="17">
        <f>Bilan_E_KP_AME_2050!F21</f>
        <v>8.0599105831015567</v>
      </c>
      <c r="D17" s="81"/>
      <c r="E17" s="28">
        <f>C17*(1-[7]Offre_calc!$V$158)</f>
        <v>4.5135499265368724</v>
      </c>
      <c r="F17" s="81"/>
      <c r="G17" s="17">
        <f t="shared" si="0"/>
        <v>3.5463606565646844</v>
      </c>
      <c r="H17" s="81"/>
      <c r="I17" s="21"/>
      <c r="J17" s="81"/>
      <c r="K17" s="526"/>
      <c r="L17" s="526"/>
      <c r="M17" s="526"/>
      <c r="N17" s="526"/>
      <c r="O17" s="526"/>
      <c r="P17" s="29"/>
      <c r="Q17" s="529"/>
      <c r="R17" s="498"/>
      <c r="S17" s="529"/>
      <c r="T17" s="526"/>
      <c r="U17" s="526"/>
      <c r="V17" s="526"/>
      <c r="W17" s="526"/>
      <c r="X17" s="526"/>
    </row>
    <row r="18" spans="1:24">
      <c r="A18" s="695"/>
      <c r="B18" s="1" t="s">
        <v>28</v>
      </c>
      <c r="C18" s="17">
        <f>Bilan_E_KP_AME_2050!D21</f>
        <v>2.8267856410252494</v>
      </c>
      <c r="D18" s="81"/>
      <c r="E18" s="28">
        <f>C18*(1-[7]Offre_calc!$V$157)</f>
        <v>1.9275462570448931</v>
      </c>
      <c r="F18" s="81"/>
      <c r="G18" s="17">
        <f t="shared" si="0"/>
        <v>0.8992393839803563</v>
      </c>
      <c r="H18" s="81"/>
      <c r="I18" s="21"/>
      <c r="J18" s="81"/>
      <c r="K18" s="526"/>
      <c r="L18" s="526"/>
      <c r="M18" s="526"/>
      <c r="N18" s="526"/>
      <c r="O18" s="526"/>
      <c r="P18" s="29"/>
      <c r="Q18" s="529"/>
      <c r="R18" s="498"/>
      <c r="S18" s="529"/>
      <c r="T18" s="526"/>
      <c r="U18" s="526"/>
      <c r="V18" s="526"/>
      <c r="W18" s="526"/>
      <c r="X18" s="526"/>
    </row>
    <row r="19" spans="1:24">
      <c r="A19" s="695"/>
      <c r="B19" s="1" t="s">
        <v>260</v>
      </c>
      <c r="C19" s="17">
        <f>Bilan_E_KP_AME_2050!G21+Bilan_E_KP_AME_2050!R21</f>
        <v>46.530346198952707</v>
      </c>
      <c r="D19" s="82"/>
      <c r="E19" s="28">
        <f>C19*(1-[7]Offre_calc!$V$160)</f>
        <v>18.612138479581084</v>
      </c>
      <c r="F19" s="82"/>
      <c r="G19" s="17">
        <f t="shared" si="0"/>
        <v>27.918207719371622</v>
      </c>
      <c r="H19" s="82"/>
      <c r="I19" s="21"/>
      <c r="J19" s="82"/>
      <c r="K19" s="527"/>
      <c r="L19" s="527"/>
      <c r="M19" s="527"/>
      <c r="N19" s="527"/>
      <c r="O19" s="527"/>
      <c r="P19" s="514"/>
      <c r="Q19" s="530"/>
      <c r="R19" s="498"/>
      <c r="S19" s="530"/>
      <c r="T19" s="527"/>
      <c r="U19" s="527"/>
      <c r="V19" s="527"/>
      <c r="W19" s="527"/>
      <c r="X19" s="527"/>
    </row>
    <row r="20" spans="1:24">
      <c r="A20" s="1"/>
      <c r="B20" s="1"/>
      <c r="C20" s="31"/>
      <c r="D20" s="499"/>
      <c r="E20" s="490"/>
      <c r="F20" s="499"/>
      <c r="G20" s="548">
        <f>G10/C10</f>
        <v>0.32267618658593678</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Bilan_E_KP_AME_2050!J23+Bilan_E_KP_AME_2050!M12</f>
        <v>7.3054951444669856</v>
      </c>
      <c r="D21" s="531"/>
      <c r="E21" s="33">
        <f>Bilan_E_KP_AME_2050!S23+Bilan_E_KP_AME_2050!M30</f>
        <v>0.41686200173574783</v>
      </c>
      <c r="F21" s="531"/>
      <c r="G21" s="17">
        <f t="shared" ref="G21:G45" si="1">C21-E21</f>
        <v>6.8886331427312379</v>
      </c>
      <c r="H21" s="531"/>
      <c r="I21" s="17"/>
      <c r="J21" s="531"/>
      <c r="K21" s="547">
        <f>Bilan_E_KP_AME_2050!M31</f>
        <v>8.0911668057348868E-2</v>
      </c>
      <c r="L21" s="547">
        <f>-(Bilan_E_KP_AME_2050!M13+Bilan_E_KP_AME_2050!M14+Bilan_E_KP_AME_2050!M15+Bilan_E_KP_AME_2050!M16)</f>
        <v>0</v>
      </c>
      <c r="M21" s="547">
        <f>Bilan_E_KP_AME_2050!M28</f>
        <v>0.17577324417174797</v>
      </c>
      <c r="N21" s="547">
        <f>Bilan_E_KP_AME_2050!M22</f>
        <v>0.31740804730172578</v>
      </c>
      <c r="O21" s="547">
        <f>Bilan_E_KP_AME_2050!M21</f>
        <v>1.0761160081227215</v>
      </c>
      <c r="P21" s="531"/>
      <c r="Q21" s="531"/>
      <c r="R21" s="498"/>
      <c r="S21" s="531"/>
      <c r="T21" s="531"/>
      <c r="U21" s="531"/>
      <c r="V21" s="531"/>
      <c r="W21" s="531"/>
      <c r="X21" s="531"/>
    </row>
    <row r="22" spans="1:24">
      <c r="A22" s="696"/>
      <c r="B22" s="1" t="s">
        <v>30</v>
      </c>
      <c r="C22" s="17"/>
      <c r="D22" s="85">
        <f>SUM(C21:C24)</f>
        <v>347.81228089014149</v>
      </c>
      <c r="E22" s="497"/>
      <c r="F22" s="85">
        <f>SUM(E21:E24)</f>
        <v>8.0851005058287679</v>
      </c>
      <c r="G22" s="17"/>
      <c r="H22" s="85">
        <f>SUM(G21:G24)</f>
        <v>339.7271803843127</v>
      </c>
      <c r="I22" s="408"/>
      <c r="J22" s="85">
        <f>H22-I22</f>
        <v>339.7271803843127</v>
      </c>
      <c r="K22" s="32"/>
      <c r="L22" s="32"/>
      <c r="M22" s="32"/>
      <c r="N22" s="32"/>
      <c r="O22" s="32"/>
      <c r="P22" s="32"/>
      <c r="Q22" s="85">
        <f>J22-SUM(K21:P24)</f>
        <v>264.18555600069658</v>
      </c>
      <c r="R22" s="508">
        <f>Q22-S22</f>
        <v>-2.5363417285348078E-2</v>
      </c>
      <c r="S22" s="85">
        <f>SUM(T22:X24)</f>
        <v>264.21091941798193</v>
      </c>
      <c r="T22" s="32">
        <f>Bilan_E_KP_AME_2050!G38+Bilan_E_KP_AME_2050!R38+Bilan_E_KP_AME_2050!M$38</f>
        <v>0.82724150114229067</v>
      </c>
      <c r="U22" s="32">
        <f>Bilan_E_KP_AME_2050!G34+Bilan_E_KP_AME_2050!R34+Bilan_E_KP_AME_2050!M$34</f>
        <v>93.244653189496177</v>
      </c>
      <c r="V22" s="32">
        <f>Bilan_E_KP_AME_2050!G36+Bilan_E_KP_AME_2050!R36+Bilan_E_KP_AME_2050!M$36</f>
        <v>69.950393796181032</v>
      </c>
      <c r="W22" s="32">
        <f>Bilan_E_KP_AME_2050!G37+Bilan_E_KP_AME_2050!K37+Bilan_E_KP_AME_2050!R37+Bilan_E_KP_AME_2050!M$37</f>
        <v>63.855416891592903</v>
      </c>
      <c r="X22" s="32">
        <f>Bilan_E_KP_AME_2050!G35+Bilan_E_KP_AME_2050!R35+Bilan_E_KP_AME_2050!M$35</f>
        <v>36.333214039569555</v>
      </c>
    </row>
    <row r="23" spans="1:24">
      <c r="A23" s="696"/>
      <c r="B23" s="1" t="s">
        <v>31</v>
      </c>
      <c r="C23" s="17">
        <f>SUM(Bilan_E_KP_AME_2050!D28:Q28)-C47</f>
        <v>6.1528027766898798</v>
      </c>
      <c r="D23" s="532"/>
      <c r="E23" s="33">
        <f>Bilan_E_KP_AME_2050!S28+Bilan_E_KP_AME_2050!S27</f>
        <v>2.99690014009302</v>
      </c>
      <c r="F23" s="534"/>
      <c r="G23" s="17">
        <f t="shared" si="1"/>
        <v>3.1559026365968599</v>
      </c>
      <c r="H23" s="534"/>
      <c r="I23" s="17"/>
      <c r="J23" s="534"/>
      <c r="K23" s="536">
        <f>Bilan_E_KP_AME_2050!R31</f>
        <v>0</v>
      </c>
      <c r="L23" s="536">
        <f>-(Bilan_E_KP_AME_2050!R13+Bilan_E_KP_AME_2050!R14+Bilan_E_KP_AME_2050!R15+Bilan_E_KP_AME_2050!R16)</f>
        <v>0</v>
      </c>
      <c r="M23" s="536"/>
      <c r="N23" s="536">
        <f>Bilan_E_KP_AME_2050!R22</f>
        <v>0</v>
      </c>
      <c r="O23" s="536">
        <f>Bilan_E_KP_AME_2050!R21</f>
        <v>0</v>
      </c>
      <c r="P23" s="536">
        <f>-Bilan_E_KP_AME_2050!L27</f>
        <v>0</v>
      </c>
      <c r="Q23" s="534"/>
      <c r="S23" s="534"/>
      <c r="T23" s="538"/>
      <c r="U23" s="538"/>
      <c r="V23" s="538"/>
      <c r="W23" s="538"/>
      <c r="X23" s="538"/>
    </row>
    <row r="24" spans="1:24">
      <c r="A24" s="696"/>
      <c r="B24" s="1" t="s">
        <v>32</v>
      </c>
      <c r="C24" s="17">
        <f>Bilan_E_KP_AME_2050!G18-C45-(Bilan_E_KP_AME_2050!G20+Bilan_E_KP_AME_2050!G19)</f>
        <v>334.35398296898461</v>
      </c>
      <c r="D24" s="533"/>
      <c r="E24" s="33">
        <f>Bilan_E_KP_AME_2050!G30</f>
        <v>4.6713383640000004</v>
      </c>
      <c r="F24" s="535"/>
      <c r="G24" s="17">
        <f t="shared" si="1"/>
        <v>329.6826446049846</v>
      </c>
      <c r="H24" s="535"/>
      <c r="I24" s="34"/>
      <c r="J24" s="535"/>
      <c r="K24" s="537">
        <f>Bilan_E_KP_AME_2050!G31</f>
        <v>3.9646717348100942</v>
      </c>
      <c r="L24" s="537"/>
      <c r="M24" s="537">
        <f>Bilan_E_KP_AME_2050!G28</f>
        <v>8.6128889644156494</v>
      </c>
      <c r="N24" s="537">
        <f>Bilan_E_KP_AME_2050!G22</f>
        <v>14.783508517784153</v>
      </c>
      <c r="O24" s="537">
        <f>Bilan_E_KP_AME_2050!G21</f>
        <v>46.530346198952707</v>
      </c>
      <c r="P24" s="537"/>
      <c r="Q24" s="535"/>
      <c r="R24" s="498"/>
      <c r="S24" s="535"/>
      <c r="T24" s="539"/>
      <c r="U24" s="539"/>
      <c r="V24" s="539"/>
      <c r="W24" s="539"/>
      <c r="X24" s="539"/>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Bilan_E_KP_AME_2050!M22</f>
        <v>0.31740804730172578</v>
      </c>
      <c r="D26" s="512"/>
      <c r="E26" s="190">
        <f>C26*F$35</f>
        <v>2.5920878886059266E-2</v>
      </c>
      <c r="F26" s="512"/>
      <c r="G26" s="33">
        <f t="shared" ref="G26:G31" si="2">C26-E26</f>
        <v>0.29148716841566652</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Bilan_E_KP_AME_2050!K18-Bilan_E_KP_AME_2050!K21-(Bilan_E_KP_AME_2050!Q20+Bilan_E_KP_AME_2050!Q19+Bilan_E_KP_AME_2050!K20+Bilan_E_KP_AME_2050!K19)</f>
        <v>13.656907392177548</v>
      </c>
      <c r="D27" s="87"/>
      <c r="E27" s="190">
        <f t="shared" ref="E27:E34" si="3">C27*F$35</f>
        <v>1.1152806158510935</v>
      </c>
      <c r="F27" s="87"/>
      <c r="G27" s="33">
        <f t="shared" si="2"/>
        <v>12.541626776326455</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Bilan_E_KP_AME_2050!J22</f>
        <v>12.163067049530284</v>
      </c>
      <c r="D29" s="87"/>
      <c r="E29" s="190">
        <f t="shared" si="3"/>
        <v>0.99328731755245103</v>
      </c>
      <c r="F29" s="87"/>
      <c r="G29" s="33">
        <f t="shared" si="2"/>
        <v>11.169779731977833</v>
      </c>
      <c r="H29" s="87"/>
      <c r="I29" s="1"/>
      <c r="J29" s="87"/>
      <c r="K29" s="87"/>
      <c r="L29" s="87"/>
      <c r="M29" s="87"/>
      <c r="N29" s="87"/>
      <c r="O29" s="87"/>
      <c r="P29" s="87"/>
      <c r="Q29" s="87"/>
      <c r="R29" s="498"/>
      <c r="S29" s="87"/>
      <c r="T29" s="87"/>
      <c r="U29" s="87"/>
      <c r="V29" s="87"/>
      <c r="W29" s="87"/>
      <c r="X29" s="87"/>
    </row>
    <row r="30" spans="1:24">
      <c r="A30" s="697"/>
      <c r="B30" s="1" t="s">
        <v>24</v>
      </c>
      <c r="C30" s="17">
        <f>Bilan_E_KP_AME_2050!O22</f>
        <v>2.086875550337155</v>
      </c>
      <c r="D30" s="86">
        <f>SUM(C26:C34)</f>
        <v>43.007766557130864</v>
      </c>
      <c r="E30" s="190">
        <f t="shared" si="3"/>
        <v>0.1704230527562732</v>
      </c>
      <c r="F30" s="86">
        <f>Bilan_E_KP_AME_2050!S22</f>
        <v>3.5121954769709394</v>
      </c>
      <c r="G30" s="33">
        <f t="shared" si="2"/>
        <v>1.9164524975808819</v>
      </c>
      <c r="H30" s="86">
        <f>SUM(G26:G34)</f>
        <v>39.495571080159927</v>
      </c>
      <c r="I30" s="1"/>
      <c r="J30" s="86">
        <f>H30</f>
        <v>39.495571080159927</v>
      </c>
      <c r="K30" s="87">
        <f>Bilan_E_KP_AME_2050!Q31</f>
        <v>2.9238621334994321</v>
      </c>
      <c r="L30" s="87"/>
      <c r="M30" s="87">
        <f>Bilan_E_KP_AME_2050!K28</f>
        <v>0.10101910584583218</v>
      </c>
      <c r="N30" s="87"/>
      <c r="O30" s="87"/>
      <c r="P30" s="87"/>
      <c r="Q30" s="86">
        <f>J30-K30-L30-M30-N30-O30-P30</f>
        <v>36.470689840814664</v>
      </c>
      <c r="R30" s="508">
        <f>Q30-S30</f>
        <v>2.5363417285397816E-2</v>
      </c>
      <c r="S30" s="86">
        <f>SUM(T27:X34)</f>
        <v>36.445326423529266</v>
      </c>
      <c r="T30" s="87">
        <f>Bilan_E_KP_AME_2050!Q$38</f>
        <v>0</v>
      </c>
      <c r="U30" s="87">
        <f>Bilan_E_KP_AME_2050!Q$34+Bilan_E_KP_AME_2050!K34</f>
        <v>17.911870236140274</v>
      </c>
      <c r="V30" s="87">
        <f>Bilan_E_KP_AME_2050!Q$36</f>
        <v>15.182773802844931</v>
      </c>
      <c r="W30" s="87">
        <f>Bilan_E_KP_AME_2050!Q$37</f>
        <v>3.3506823845440552</v>
      </c>
      <c r="X30" s="87">
        <f>Bilan_E_KP_AME_2050!Q$35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498"/>
      <c r="S31" s="521"/>
      <c r="T31" s="523"/>
      <c r="U31" s="523"/>
      <c r="V31" s="523"/>
      <c r="W31" s="523"/>
      <c r="X31" s="523"/>
    </row>
    <row r="32" spans="1:24">
      <c r="A32" s="697"/>
      <c r="B32" s="1" t="s">
        <v>29</v>
      </c>
      <c r="C32" s="17">
        <f>Bilan_E_KP_AME_2050!G22</f>
        <v>14.783508517784153</v>
      </c>
      <c r="D32" s="86"/>
      <c r="E32" s="190">
        <f t="shared" si="3"/>
        <v>1.2072836119250625</v>
      </c>
      <c r="F32" s="86"/>
      <c r="G32" s="33">
        <f>C32-E32</f>
        <v>13.576224905859091</v>
      </c>
      <c r="H32" s="86"/>
      <c r="I32" s="1"/>
      <c r="J32" s="519"/>
      <c r="K32" s="87"/>
      <c r="L32" s="87"/>
      <c r="M32" s="87"/>
      <c r="N32" s="87"/>
      <c r="O32" s="87"/>
      <c r="P32" s="87"/>
      <c r="Q32" s="519"/>
      <c r="R32" s="498"/>
      <c r="S32" s="521"/>
      <c r="T32" s="523"/>
      <c r="U32" s="523"/>
      <c r="V32" s="523"/>
      <c r="W32" s="523"/>
      <c r="X32" s="523"/>
    </row>
    <row r="33" spans="1:26">
      <c r="A33" s="186"/>
      <c r="B33" s="1" t="s">
        <v>27</v>
      </c>
      <c r="C33" s="33">
        <f>Bilan_E_KP_AME_2050!F22</f>
        <v>0</v>
      </c>
      <c r="D33" s="86"/>
      <c r="E33" s="190">
        <f t="shared" si="3"/>
        <v>0</v>
      </c>
      <c r="F33" s="86"/>
      <c r="G33" s="33">
        <f t="shared" ref="G33:G34" si="4">C33-E33</f>
        <v>0</v>
      </c>
      <c r="H33" s="86"/>
      <c r="I33" s="1"/>
      <c r="J33" s="519"/>
      <c r="K33" s="87"/>
      <c r="L33" s="87"/>
      <c r="M33" s="87"/>
      <c r="N33" s="87"/>
      <c r="O33" s="87"/>
      <c r="P33" s="87"/>
      <c r="Q33" s="519"/>
      <c r="R33" s="498"/>
      <c r="S33" s="521"/>
      <c r="T33" s="523"/>
      <c r="U33" s="523"/>
      <c r="V33" s="523"/>
      <c r="W33" s="523"/>
      <c r="X33" s="523"/>
    </row>
    <row r="34" spans="1:26">
      <c r="A34" s="186"/>
      <c r="B34" s="1" t="s">
        <v>28</v>
      </c>
      <c r="C34" s="33">
        <f>Bilan_E_KP_AME_2050!D22</f>
        <v>0</v>
      </c>
      <c r="D34" s="88"/>
      <c r="E34" s="190">
        <f t="shared" si="3"/>
        <v>0</v>
      </c>
      <c r="F34" s="88"/>
      <c r="G34" s="33">
        <f t="shared" si="4"/>
        <v>0</v>
      </c>
      <c r="H34" s="88"/>
      <c r="I34" s="1"/>
      <c r="J34" s="520"/>
      <c r="K34" s="89"/>
      <c r="L34" s="89"/>
      <c r="M34" s="89"/>
      <c r="N34" s="89"/>
      <c r="O34" s="89"/>
      <c r="P34" s="89"/>
      <c r="Q34" s="520"/>
      <c r="R34" s="498"/>
      <c r="S34" s="522"/>
      <c r="T34" s="524"/>
      <c r="U34" s="524"/>
      <c r="V34" s="524"/>
      <c r="W34" s="524"/>
      <c r="X34" s="524"/>
    </row>
    <row r="35" spans="1:26">
      <c r="A35" s="4"/>
      <c r="B35" s="1"/>
      <c r="C35" s="21"/>
      <c r="D35" s="499"/>
      <c r="E35" s="45"/>
      <c r="F35" s="45">
        <f>F30/D30</f>
        <v>8.1664214585646808E-2</v>
      </c>
      <c r="G35" s="17"/>
      <c r="H35" s="501"/>
      <c r="I35" s="1"/>
      <c r="J35" s="1"/>
      <c r="K35" s="1"/>
      <c r="L35" s="1"/>
      <c r="M35" s="1"/>
      <c r="N35" s="1"/>
      <c r="O35" s="1"/>
      <c r="P35" s="1"/>
      <c r="Q35" s="502"/>
      <c r="R35" s="498"/>
      <c r="U35" s="33"/>
      <c r="V35" s="33"/>
      <c r="W35" s="33"/>
    </row>
    <row r="36" spans="1:26">
      <c r="A36" s="679" t="s">
        <v>34</v>
      </c>
      <c r="B36" s="1" t="s">
        <v>21</v>
      </c>
      <c r="C36" s="33">
        <v>0</v>
      </c>
      <c r="D36" s="540"/>
      <c r="E36" s="17"/>
      <c r="F36" s="540"/>
      <c r="G36" s="17">
        <v>0</v>
      </c>
      <c r="H36" s="540"/>
      <c r="I36" s="35"/>
      <c r="J36" s="37"/>
      <c r="K36" s="35"/>
      <c r="L36" s="35"/>
      <c r="M36" s="35"/>
      <c r="N36" s="35"/>
      <c r="O36" s="35"/>
      <c r="P36" s="35"/>
      <c r="Q36" s="542"/>
      <c r="R36" s="498"/>
      <c r="S36" s="540"/>
      <c r="T36" s="503">
        <v>0</v>
      </c>
      <c r="U36" s="503">
        <v>0</v>
      </c>
      <c r="V36" s="503">
        <v>0</v>
      </c>
      <c r="W36" s="503">
        <v>0</v>
      </c>
      <c r="X36" s="503">
        <v>0</v>
      </c>
      <c r="Y36" s="489">
        <f>SUM(T36:X36)</f>
        <v>0</v>
      </c>
      <c r="Z36" s="489">
        <f>G36-Y36</f>
        <v>0</v>
      </c>
    </row>
    <row r="37" spans="1:26">
      <c r="A37" s="679"/>
      <c r="B37" s="1" t="s">
        <v>23</v>
      </c>
      <c r="C37" s="33">
        <f>SUM(T37:X37)</f>
        <v>116.96131138117599</v>
      </c>
      <c r="D37" s="541"/>
      <c r="E37" s="504"/>
      <c r="F37" s="541"/>
      <c r="G37" s="17">
        <f t="shared" ref="G37:G42" si="5">C37-E37</f>
        <v>116.96131138117599</v>
      </c>
      <c r="H37" s="541"/>
      <c r="I37" s="498"/>
      <c r="J37" s="37"/>
      <c r="K37" s="35"/>
      <c r="L37" s="35"/>
      <c r="M37" s="505"/>
      <c r="N37" s="35"/>
      <c r="P37" s="35"/>
      <c r="Q37" s="543"/>
      <c r="R37" s="498"/>
      <c r="S37" s="541"/>
      <c r="T37" s="506">
        <f>Bilan_E_KP_AME_2050!J38</f>
        <v>5.0054618408177598</v>
      </c>
      <c r="U37" s="93">
        <f>Bilan_E_KP_AME_2050!J34</f>
        <v>22.791437377983073</v>
      </c>
      <c r="V37" s="506">
        <f>Bilan_E_KP_AME_2050!J36</f>
        <v>86.155325304334795</v>
      </c>
      <c r="W37" s="507">
        <f>Bilan_E_KP_AME_2050!J37</f>
        <v>3.0090868580403627</v>
      </c>
      <c r="X37" s="506">
        <f>Bilan_E_KP_AME_2050!J35</f>
        <v>0</v>
      </c>
      <c r="Y37" s="489">
        <f t="shared" ref="Y37:Y47" si="6">SUM(T37:X37)</f>
        <v>116.96131138117599</v>
      </c>
      <c r="Z37" s="489">
        <f t="shared" ref="Z37:Z44" si="7">G37-Y37</f>
        <v>0</v>
      </c>
    </row>
    <row r="38" spans="1:26">
      <c r="A38" s="679"/>
      <c r="B38" s="1" t="s">
        <v>33</v>
      </c>
      <c r="C38" s="33">
        <f>SUM(T38:X38)</f>
        <v>0</v>
      </c>
      <c r="D38" s="541"/>
      <c r="E38" s="35"/>
      <c r="F38" s="541"/>
      <c r="G38" s="17">
        <f t="shared" si="5"/>
        <v>0</v>
      </c>
      <c r="H38" s="541"/>
      <c r="I38" s="35"/>
      <c r="J38" s="37"/>
      <c r="K38" s="35"/>
      <c r="L38" s="35"/>
      <c r="M38" s="37"/>
      <c r="N38" s="35"/>
      <c r="O38" s="35"/>
      <c r="P38" s="35"/>
      <c r="Q38" s="36">
        <f>SUM(G36:G41)-E55-E56-L41-L36</f>
        <v>220.06411362383321</v>
      </c>
      <c r="R38" s="498"/>
      <c r="S38" s="541"/>
      <c r="T38" s="84">
        <v>0</v>
      </c>
      <c r="U38" s="83">
        <v>0</v>
      </c>
      <c r="V38" s="84">
        <v>0</v>
      </c>
      <c r="W38" s="91">
        <v>0</v>
      </c>
      <c r="X38" s="91">
        <v>0</v>
      </c>
      <c r="Y38" s="489">
        <f t="shared" si="6"/>
        <v>0</v>
      </c>
      <c r="Z38" s="489">
        <f t="shared" si="7"/>
        <v>0</v>
      </c>
    </row>
    <row r="39" spans="1:26">
      <c r="A39" s="679"/>
      <c r="B39" s="1" t="s">
        <v>35</v>
      </c>
      <c r="C39" s="33">
        <f>SUM(T39:X39)</f>
        <v>2.8624530156397006</v>
      </c>
      <c r="D39" s="541"/>
      <c r="E39" s="35"/>
      <c r="F39" s="541"/>
      <c r="G39" s="17">
        <f t="shared" si="5"/>
        <v>2.8624530156397006</v>
      </c>
      <c r="H39" s="541"/>
      <c r="I39" s="35"/>
      <c r="J39" s="37"/>
      <c r="K39" s="35"/>
      <c r="L39" s="35"/>
      <c r="M39" s="37"/>
      <c r="N39" s="35"/>
      <c r="O39" s="35"/>
      <c r="P39" s="35"/>
      <c r="Q39" s="543"/>
      <c r="R39" s="498"/>
      <c r="S39" s="541"/>
      <c r="T39" s="84">
        <f>Bilan_E_KP_AME_2050!O38</f>
        <v>6.051975379409523E-2</v>
      </c>
      <c r="U39" s="83">
        <f>Bilan_E_KP_AME_2050!O34</f>
        <v>3.7093504340600874E-4</v>
      </c>
      <c r="V39" s="84">
        <f>Bilan_E_KP_AME_2050!O36</f>
        <v>2.1206229173139883</v>
      </c>
      <c r="W39" s="91">
        <f>Bilan_E_KP_AME_2050!O37</f>
        <v>0.68093940948821108</v>
      </c>
      <c r="X39" s="91">
        <f>Bilan_E_KP_AME_2050!O35</f>
        <v>0</v>
      </c>
      <c r="Y39" s="489">
        <f t="shared" si="6"/>
        <v>2.8624530156397006</v>
      </c>
      <c r="Z39" s="489">
        <f t="shared" si="7"/>
        <v>0</v>
      </c>
    </row>
    <row r="40" spans="1:26">
      <c r="A40" s="679"/>
      <c r="B40" s="1" t="s">
        <v>36</v>
      </c>
      <c r="C40" s="33">
        <f>Bilan_E_KP_AME_2050!N12</f>
        <v>75.083762899489528</v>
      </c>
      <c r="D40" s="541"/>
      <c r="E40" s="35"/>
      <c r="F40" s="541"/>
      <c r="G40" s="17">
        <f t="shared" si="5"/>
        <v>75.083762899489528</v>
      </c>
      <c r="H40" s="541"/>
      <c r="I40" s="35"/>
      <c r="J40" s="37"/>
      <c r="K40" s="35"/>
      <c r="L40" s="35"/>
      <c r="M40" s="37"/>
      <c r="N40" s="35"/>
      <c r="O40" s="35"/>
      <c r="P40" s="35"/>
      <c r="Q40" s="543"/>
      <c r="R40" s="498"/>
      <c r="S40" s="541"/>
      <c r="T40" s="83">
        <f>Bilan_E_KP_AME_2050!N$38</f>
        <v>0</v>
      </c>
      <c r="U40" s="83">
        <f>Bilan_E_KP_AME_2050!N$34</f>
        <v>0</v>
      </c>
      <c r="V40" s="83">
        <f>Bilan_E_KP_AME_2050!N$36</f>
        <v>66.478227859390046</v>
      </c>
      <c r="W40" s="83">
        <f>Bilan_E_KP_AME_2050!N$37</f>
        <v>8.6055350400994808</v>
      </c>
      <c r="X40" s="84">
        <f>Bilan_E_KP_AME_2050!N$35</f>
        <v>0</v>
      </c>
      <c r="Y40" s="489">
        <f t="shared" si="6"/>
        <v>75.083762899489528</v>
      </c>
      <c r="Z40" s="489">
        <f t="shared" si="7"/>
        <v>0</v>
      </c>
    </row>
    <row r="41" spans="1:26">
      <c r="A41" s="679"/>
      <c r="B41" s="1" t="s">
        <v>37</v>
      </c>
      <c r="C41" s="33">
        <f>Bilan_E_KP_AME_2050!L12+Bilan_E_KP_AME_2050!J26+Bilan_E_KP_AME_2050!J27-Bilan_E_KP_AME_2050!L21</f>
        <v>23.068884262667186</v>
      </c>
      <c r="D41" s="191">
        <f>SUM(C36:C47)</f>
        <v>673.75942095812184</v>
      </c>
      <c r="E41" s="38"/>
      <c r="F41" s="191">
        <f>SUM(E36:E47)</f>
        <v>26.322694794867193</v>
      </c>
      <c r="G41" s="17">
        <f t="shared" si="5"/>
        <v>23.068884262667186</v>
      </c>
      <c r="H41" s="191">
        <f>SUM(G36:G47)</f>
        <v>647.43672616325466</v>
      </c>
      <c r="I41" s="35"/>
      <c r="J41" s="37"/>
      <c r="K41" s="35"/>
      <c r="L41" s="37">
        <f>-SUM(Bilan_E_KP_AME_2050!L13:L16)</f>
        <v>-2.0877020648608209</v>
      </c>
      <c r="M41" s="35"/>
      <c r="N41" s="35"/>
      <c r="O41" s="35"/>
      <c r="P41" s="35"/>
      <c r="Q41" s="543"/>
      <c r="R41" s="508">
        <f>SUM(Q36:Q47)-S41</f>
        <v>-9.9720733372237191E-3</v>
      </c>
      <c r="S41" s="191">
        <f>SUM(T36:X46)</f>
        <v>494.7671466533896</v>
      </c>
      <c r="T41" s="83">
        <f>Bilan_E_KP_AME_2050!L$38</f>
        <v>3.2629555410385191</v>
      </c>
      <c r="U41" s="83">
        <f>Bilan_E_KP_AME_2050!L$34</f>
        <v>1.007010953125</v>
      </c>
      <c r="V41" s="83">
        <f>Bilan_E_KP_AME_2050!L$36</f>
        <v>0</v>
      </c>
      <c r="W41" s="83">
        <f>Bilan_E_KP_AME_2050!L$37</f>
        <v>0</v>
      </c>
      <c r="X41" s="84">
        <f>Bilan_E_KP_AME_2050!L$35</f>
        <v>20.896591906701669</v>
      </c>
      <c r="Y41" s="489">
        <f t="shared" si="6"/>
        <v>25.166558400865188</v>
      </c>
      <c r="Z41" s="489">
        <f>G41-Y41-L41</f>
        <v>-9.9720733371810866E-3</v>
      </c>
    </row>
    <row r="42" spans="1:26">
      <c r="A42" s="679"/>
      <c r="B42" s="1" t="s">
        <v>38</v>
      </c>
      <c r="C42" s="33">
        <f>Bilan_E_KP_AME_2050!E18+Bilan_E_KP_AME_2050!F18-Bilan_E_KP_AME_2050!F21-Bilan_E_KP_AME_2050!F22-E54-SUM(T43:X43)-(Bilan_E_KP_AME_2050!E20+Bilan_E_KP_AME_2050!F20+Bilan_E_KP_AME_2050!E19+Bilan_E_KP_AME_2050!F19)</f>
        <v>243.19784894441341</v>
      </c>
      <c r="D42" s="541"/>
      <c r="E42" s="17">
        <f>Bilan_E_KP_AME_2050!F30+Bilan_E_KP_AME_2050!S25+Bilan_E_KP_AME_2050!F29+Bilan_E_KP_AME_2050!E29</f>
        <v>26.322694794867193</v>
      </c>
      <c r="F42" s="541"/>
      <c r="G42" s="17">
        <f t="shared" si="5"/>
        <v>216.8751541495462</v>
      </c>
      <c r="H42" s="541"/>
      <c r="I42" s="498"/>
      <c r="J42" s="37"/>
      <c r="K42" s="35"/>
      <c r="L42" s="35"/>
      <c r="M42" s="35"/>
      <c r="N42" s="35"/>
      <c r="O42" s="35"/>
      <c r="P42" s="35"/>
      <c r="Q42" s="36">
        <f>G42</f>
        <v>216.8751541495462</v>
      </c>
      <c r="R42" s="498"/>
      <c r="S42" s="541"/>
      <c r="T42" s="83">
        <v>0</v>
      </c>
      <c r="U42" s="83">
        <v>0</v>
      </c>
      <c r="V42" s="83">
        <v>0</v>
      </c>
      <c r="W42" s="83">
        <v>0</v>
      </c>
      <c r="X42" s="84">
        <f>Bilan_E_KP_AME_2050!F35</f>
        <v>216.8751541495462</v>
      </c>
      <c r="Y42" s="489">
        <f t="shared" si="6"/>
        <v>216.8751541495462</v>
      </c>
      <c r="Z42" s="489">
        <f>Q42-SUM(T42:X42)</f>
        <v>0</v>
      </c>
    </row>
    <row r="43" spans="1:26">
      <c r="A43" s="679"/>
      <c r="B43" s="1" t="s">
        <v>39</v>
      </c>
      <c r="C43" s="33">
        <f>Bilan_E_KP_AME_2050!F41+SUM(T43:X43)</f>
        <v>154.19966573284961</v>
      </c>
      <c r="D43" s="541"/>
      <c r="E43" s="38"/>
      <c r="F43" s="541"/>
      <c r="G43" s="17">
        <f>C43-E43</f>
        <v>154.19966573284961</v>
      </c>
      <c r="H43" s="541"/>
      <c r="I43" s="35"/>
      <c r="J43" s="37"/>
      <c r="K43" s="35"/>
      <c r="L43" s="35"/>
      <c r="M43" s="35"/>
      <c r="N43" s="35"/>
      <c r="O43" s="35"/>
      <c r="P43" s="35"/>
      <c r="Q43" s="36">
        <f>G43-Bilan_E_KP_AME_2050!F41</f>
        <v>54.144514014701684</v>
      </c>
      <c r="R43" s="498"/>
      <c r="S43" s="541"/>
      <c r="T43" s="83">
        <f>Bilan_E_KP_AME_2050!F38</f>
        <v>27.219719362233906</v>
      </c>
      <c r="U43" s="83">
        <f>Bilan_E_KP_AME_2050!F34</f>
        <v>19.397200033553816</v>
      </c>
      <c r="V43" s="83">
        <f>Bilan_E_KP_AME_2050!F36</f>
        <v>5.2094674308398901</v>
      </c>
      <c r="W43" s="83">
        <f>Bilan_E_KP_AME_2050!F37</f>
        <v>2.3181271880740835</v>
      </c>
      <c r="X43" s="84">
        <v>0</v>
      </c>
      <c r="Y43" s="489">
        <f t="shared" si="6"/>
        <v>54.144514014701699</v>
      </c>
      <c r="Z43" s="489">
        <f>Q43-SUM(T43:X43)</f>
        <v>0</v>
      </c>
    </row>
    <row r="44" spans="1:26">
      <c r="A44" s="679"/>
      <c r="B44" s="1" t="s">
        <v>40</v>
      </c>
      <c r="C44" s="33">
        <v>0</v>
      </c>
      <c r="D44" s="541"/>
      <c r="E44" s="38"/>
      <c r="F44" s="541"/>
      <c r="G44" s="17">
        <f t="shared" si="1"/>
        <v>0</v>
      </c>
      <c r="H44" s="541"/>
      <c r="I44" s="35"/>
      <c r="J44" s="37"/>
      <c r="K44" s="35"/>
      <c r="L44" s="35"/>
      <c r="M44" s="35"/>
      <c r="N44" s="35"/>
      <c r="O44" s="35"/>
      <c r="P44" s="35"/>
      <c r="Q44" s="36">
        <f>G44-Bilan_E_KP_AME_2050!K41</f>
        <v>0</v>
      </c>
      <c r="R44" s="498"/>
      <c r="S44" s="541"/>
      <c r="T44" s="83">
        <f>Bilan_E_KP_AME_2050!K$38</f>
        <v>0</v>
      </c>
      <c r="U44" s="83">
        <v>0</v>
      </c>
      <c r="V44" s="83">
        <f>Bilan_E_KP_AME_2050!K$36</f>
        <v>0</v>
      </c>
      <c r="W44" s="83">
        <v>0</v>
      </c>
      <c r="X44" s="84">
        <f>Bilan_E_KP_AME_2050!K$35</f>
        <v>0</v>
      </c>
      <c r="Y44" s="489">
        <f t="shared" si="6"/>
        <v>0</v>
      </c>
      <c r="Z44" s="489">
        <f t="shared" si="7"/>
        <v>0</v>
      </c>
    </row>
    <row r="45" spans="1:26">
      <c r="A45" s="679"/>
      <c r="B45" s="1" t="s">
        <v>41</v>
      </c>
      <c r="C45" s="33">
        <f>E53</f>
        <v>11.196954266678716</v>
      </c>
      <c r="D45" s="541"/>
      <c r="E45" s="38"/>
      <c r="F45" s="541"/>
      <c r="G45" s="17">
        <f t="shared" si="1"/>
        <v>11.196954266678716</v>
      </c>
      <c r="H45" s="541"/>
      <c r="I45" s="35"/>
      <c r="J45" s="37"/>
      <c r="K45" s="35"/>
      <c r="L45" s="35"/>
      <c r="M45" s="35"/>
      <c r="N45" s="35"/>
      <c r="O45" s="35"/>
      <c r="P45" s="35"/>
      <c r="Q45" s="36">
        <f>G45-Bilan_E_KP_AME_2050!G41</f>
        <v>0</v>
      </c>
      <c r="R45" s="498"/>
      <c r="S45" s="541"/>
      <c r="T45" s="84">
        <v>0</v>
      </c>
      <c r="U45" s="83">
        <v>0</v>
      </c>
      <c r="V45" s="84">
        <v>0</v>
      </c>
      <c r="W45" s="92">
        <v>0</v>
      </c>
      <c r="X45" s="84">
        <v>0</v>
      </c>
      <c r="Y45" s="489">
        <f t="shared" si="6"/>
        <v>0</v>
      </c>
      <c r="Z45" s="489">
        <f>Q45-Y45</f>
        <v>0</v>
      </c>
    </row>
    <row r="46" spans="1:26">
      <c r="A46" s="679"/>
      <c r="B46" s="1" t="s">
        <v>42</v>
      </c>
      <c r="C46" s="33">
        <f>Bilan_E_KP_AME_2050!D18-C18-C34</f>
        <v>43.273105682596288</v>
      </c>
      <c r="D46" s="541"/>
      <c r="E46" s="511"/>
      <c r="F46" s="541"/>
      <c r="G46" s="17">
        <f>C46-E46</f>
        <v>43.273105682596288</v>
      </c>
      <c r="H46" s="541"/>
      <c r="I46" s="38"/>
      <c r="J46" s="37"/>
      <c r="K46" s="35"/>
      <c r="L46" s="35"/>
      <c r="M46" s="35"/>
      <c r="N46" s="35"/>
      <c r="O46" s="35"/>
      <c r="P46" s="35"/>
      <c r="Q46" s="36">
        <f>G46-(Bilan_E_KP_AME_2050!D41+Bilan_E_KP_AME_2050!D29+Bilan_E_KP_AME_2050!D30)</f>
        <v>3.6733927919712883</v>
      </c>
      <c r="R46" s="498"/>
      <c r="S46" s="541"/>
      <c r="T46" s="506">
        <f>Bilan_E_KP_AME_2050!D38</f>
        <v>0</v>
      </c>
      <c r="U46" s="93">
        <f>Bilan_E_KP_AME_2050!D34</f>
        <v>3.6733927919712848</v>
      </c>
      <c r="V46" s="506">
        <f>Bilan_E_KP_AME_2050!D36</f>
        <v>0</v>
      </c>
      <c r="W46" s="507">
        <f>Bilan_E_KP_AME_2050!D37</f>
        <v>0</v>
      </c>
      <c r="X46" s="506">
        <f>Bilan_E_KP_AME_2050!D35</f>
        <v>0</v>
      </c>
      <c r="Y46" s="489">
        <f t="shared" si="6"/>
        <v>3.6733927919712848</v>
      </c>
      <c r="Z46" s="489">
        <f>Q46-Y46</f>
        <v>3.5527136788005009E-15</v>
      </c>
    </row>
    <row r="47" spans="1:26">
      <c r="A47" s="90"/>
      <c r="B47" s="1" t="s">
        <v>31</v>
      </c>
      <c r="C47" s="33">
        <f>E57</f>
        <v>3.9154347726113912</v>
      </c>
      <c r="D47" s="192"/>
      <c r="E47" s="511"/>
      <c r="F47" s="192"/>
      <c r="G47" s="17">
        <f>C47-E47</f>
        <v>3.9154347726113912</v>
      </c>
      <c r="H47" s="192"/>
      <c r="I47" s="38"/>
      <c r="J47" s="37"/>
      <c r="K47" s="35"/>
      <c r="L47" s="35"/>
      <c r="M47" s="35"/>
      <c r="N47" s="35"/>
      <c r="O47" s="35"/>
      <c r="P47" s="35"/>
      <c r="Q47" s="544">
        <f>G47-Bilan_E_KP_AME_2050!R41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C5-L13-SUM(L21:L24)-L30-L41-Bilan_E_KP_AME_2050!S18</f>
        <v>0</v>
      </c>
      <c r="D49" s="1"/>
      <c r="E49" s="34">
        <f>SUM(E7:E47)+I13-Bilan_E_KP_AME_2050!S32+K13+SUM(K21:K24)+K30+Bilan_E_KP_AME_2050!D29+Bilan_E_KP_AME_2050!D30</f>
        <v>-1.5454304502782179E-13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495.56377313781644</v>
      </c>
    </row>
    <row r="52" spans="1:19">
      <c r="A52" s="21"/>
      <c r="B52" s="1" t="s">
        <v>44</v>
      </c>
      <c r="C52" s="44"/>
      <c r="D52" s="1"/>
      <c r="E52" s="39">
        <f>Bilan_E_KP_AME_2050!D41+Bilan_E_KP_AME_2050!D29+Bilan_E_KP_AME_2050!D30</f>
        <v>39.599712890625</v>
      </c>
      <c r="F52" s="187"/>
      <c r="G52" s="1"/>
      <c r="H52" s="1"/>
      <c r="I52" s="30"/>
      <c r="J52" s="17"/>
      <c r="K52" s="17"/>
      <c r="L52" s="21"/>
      <c r="M52" s="1"/>
      <c r="N52" s="17"/>
      <c r="O52" s="17"/>
      <c r="P52" s="17"/>
      <c r="Q52" s="1"/>
      <c r="S52" s="33"/>
    </row>
    <row r="53" spans="1:19">
      <c r="A53" s="21"/>
      <c r="B53" s="1" t="s">
        <v>41</v>
      </c>
      <c r="C53" s="45"/>
      <c r="D53" s="17"/>
      <c r="E53" s="433">
        <f>Bilan_E_KP_AME_2050!G41+Bilan_E_KP_AME_2050!G29</f>
        <v>11.196954266678716</v>
      </c>
      <c r="F53" s="187"/>
      <c r="G53" s="1"/>
      <c r="H53" s="1"/>
      <c r="I53" s="30"/>
      <c r="J53" s="17"/>
      <c r="K53" s="17"/>
      <c r="L53" s="21"/>
      <c r="M53" s="1"/>
      <c r="N53" s="17"/>
      <c r="O53" s="17"/>
      <c r="P53" s="17"/>
      <c r="Q53" s="1"/>
    </row>
    <row r="54" spans="1:19">
      <c r="A54" s="21"/>
      <c r="B54" s="1" t="s">
        <v>39</v>
      </c>
      <c r="C54" s="45"/>
      <c r="D54" s="17"/>
      <c r="E54" s="435">
        <f>Bilan_E_KP_AME_2050!F41</f>
        <v>100.05515171814793</v>
      </c>
      <c r="F54" s="187"/>
      <c r="G54" s="1"/>
      <c r="H54" s="1"/>
      <c r="I54" s="30"/>
      <c r="J54" s="17"/>
      <c r="K54" s="17"/>
      <c r="L54" s="21"/>
      <c r="M54" s="21"/>
      <c r="N54" s="17"/>
      <c r="O54" s="17"/>
      <c r="P54" s="17"/>
      <c r="Q54" s="1"/>
    </row>
    <row r="55" spans="1:19">
      <c r="B55" s="1" t="s">
        <v>21</v>
      </c>
      <c r="E55" s="434">
        <f>Bilan_E_KP_AME_2050!M41+Bilan_E_KP_AME_2050!M29</f>
        <v>0</v>
      </c>
    </row>
    <row r="56" spans="1:19">
      <c r="B56" s="1" t="s">
        <v>37</v>
      </c>
      <c r="E56" s="515">
        <f>Bilan_E_KP_AME_2050!L41+Bilan_E_KP_AME_2050!L29</f>
        <v>0</v>
      </c>
    </row>
    <row r="57" spans="1:19">
      <c r="B57" s="1" t="s">
        <v>31</v>
      </c>
      <c r="E57" s="515">
        <f>Bilan_E_KP_AME_2050!R41</f>
        <v>3.9154347726113912</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60AA-BFDE-43AA-9C0D-13FB70901EB3}">
  <dimension ref="A1:Z59"/>
  <sheetViews>
    <sheetView zoomScale="70" zoomScaleNormal="70" workbookViewId="0">
      <selection activeCell="C9" sqref="C9"/>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2562.3565436459598</v>
      </c>
      <c r="D5" s="18"/>
      <c r="E5" s="20"/>
      <c r="F5" s="494"/>
      <c r="G5" s="21"/>
      <c r="H5" s="493"/>
      <c r="I5" s="21"/>
      <c r="J5" s="22"/>
      <c r="K5" s="23"/>
      <c r="L5" s="14"/>
      <c r="M5" s="14"/>
      <c r="N5" s="15"/>
      <c r="O5" s="16"/>
      <c r="P5" s="16"/>
      <c r="Q5" s="24">
        <f>Q13+Q22+Q30+Q42+Q46+Q38+Q43</f>
        <v>1451.7387597900822</v>
      </c>
      <c r="R5" s="487"/>
      <c r="S5" s="79">
        <f>SUM(S13,S22,S27:S32,S41)</f>
        <v>1451.7387790662983</v>
      </c>
      <c r="T5" s="79">
        <f>SUM(T8:T46)</f>
        <v>47.085202680933875</v>
      </c>
      <c r="U5" s="79">
        <f>SUM(U8:U46)</f>
        <v>293.0379481954148</v>
      </c>
      <c r="V5" s="79">
        <f>SUM(V8:V46)</f>
        <v>446.19077720010114</v>
      </c>
      <c r="W5" s="173">
        <f>SUM(W8:W46)</f>
        <v>220.57395857590097</v>
      </c>
      <c r="X5" s="79">
        <f>SUM(X8:X46)</f>
        <v>444.85089241394763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(([7]Offre_calc!$L$106+[7]Offre_calc!$L$107+[7]Offre_calc!$L$144+[7]Offre_calc!$L$145)/([7]Offre_calc!$L$103+[7]Offre_calc!$L$141))*Bilan_E_KP_AMS_2023!K$21</f>
        <v>53.027471116665637</v>
      </c>
      <c r="D7" s="518"/>
      <c r="E7" s="28">
        <v>0</v>
      </c>
      <c r="F7" s="518"/>
      <c r="G7" s="17">
        <f>C7-E7</f>
        <v>53.027471116665637</v>
      </c>
      <c r="H7" s="518"/>
      <c r="I7" s="21"/>
      <c r="J7" s="518"/>
      <c r="K7" s="525"/>
      <c r="L7" s="525"/>
      <c r="M7" s="525"/>
      <c r="N7" s="525"/>
      <c r="O7" s="525"/>
      <c r="P7" s="513"/>
      <c r="Q7" s="528"/>
      <c r="R7" s="498"/>
      <c r="S7" s="528"/>
      <c r="T7" s="525"/>
      <c r="U7" s="525"/>
      <c r="V7" s="525"/>
      <c r="W7" s="525"/>
      <c r="X7" s="525"/>
    </row>
    <row r="8" spans="1:24">
      <c r="A8" s="695"/>
      <c r="B8" s="1" t="s">
        <v>18</v>
      </c>
      <c r="C8" s="486">
        <f>(([7]Offre_calc!$L$105+[7]Offre_calc!$L$143)/([7]Offre_calc!$L$103+[7]Offre_calc!$L$141))*Bilan_E_KP_AMS_2023!K$21</f>
        <v>63.956301952705743</v>
      </c>
      <c r="D8" s="81"/>
      <c r="E8" s="28">
        <v>0</v>
      </c>
      <c r="F8" s="81"/>
      <c r="G8" s="17">
        <f t="shared" ref="G8:G19" si="0">C8-E8</f>
        <v>63.956301952705743</v>
      </c>
      <c r="H8" s="81"/>
      <c r="I8" s="21"/>
      <c r="J8" s="81"/>
      <c r="K8" s="526"/>
      <c r="L8" s="526"/>
      <c r="M8" s="526"/>
      <c r="N8" s="526"/>
      <c r="O8" s="526"/>
      <c r="P8" s="29"/>
      <c r="Q8" s="529"/>
      <c r="R8" s="498"/>
      <c r="S8" s="529"/>
      <c r="T8" s="526"/>
      <c r="U8" s="526"/>
      <c r="V8" s="526"/>
      <c r="W8" s="526"/>
      <c r="X8" s="526"/>
    </row>
    <row r="9" spans="1:24">
      <c r="A9" s="695"/>
      <c r="B9" s="1" t="s">
        <v>19</v>
      </c>
      <c r="C9" s="486">
        <f>(([7]Offre_calc!$L$104+[7]Offre_calc!$L$142)/([7]Offre_calc!$L$103+[7]Offre_calc!$L$141))*Bilan_E_KP_AMS_2023!K$21</f>
        <v>22.484248565863673</v>
      </c>
      <c r="D9" s="81"/>
      <c r="E9" s="28">
        <v>0</v>
      </c>
      <c r="F9" s="81"/>
      <c r="G9" s="17">
        <f t="shared" si="0"/>
        <v>22.484248565863673</v>
      </c>
      <c r="H9" s="81"/>
      <c r="I9" s="21"/>
      <c r="J9" s="81"/>
      <c r="K9" s="526"/>
      <c r="L9" s="526"/>
      <c r="M9" s="526"/>
      <c r="N9" s="526"/>
      <c r="O9" s="526"/>
      <c r="P9" s="29"/>
      <c r="Q9" s="529"/>
      <c r="R9" s="498"/>
      <c r="S9" s="529"/>
      <c r="T9" s="526"/>
      <c r="U9" s="526"/>
      <c r="V9" s="526"/>
      <c r="W9" s="526"/>
      <c r="X9" s="526"/>
    </row>
    <row r="10" spans="1:24">
      <c r="A10" s="695"/>
      <c r="B10" s="1" t="s">
        <v>20</v>
      </c>
      <c r="C10" s="17">
        <f>Bilan_E_KP_AMS_2023!J21-(Bilan_E_KP_AMS_2023!R20+Bilan_E_KP_AMS_2023!R19)</f>
        <v>1043.1211754725207</v>
      </c>
      <c r="D10" s="81"/>
      <c r="E10" s="28">
        <f>F13-SUM(E11:E19)</f>
        <v>697.74988775000759</v>
      </c>
      <c r="F10" s="81"/>
      <c r="G10" s="17">
        <f t="shared" si="0"/>
        <v>345.3712877225131</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Bilan_E_KP_AMS_2023!O21</f>
        <v>5.9385856639344583</v>
      </c>
      <c r="D11" s="81"/>
      <c r="E11" s="28">
        <f>C11*(1-[7]Offre_calc!$L$161)</f>
        <v>2.8148896047049332</v>
      </c>
      <c r="F11" s="81"/>
      <c r="G11" s="17">
        <f t="shared" si="0"/>
        <v>3.1236960592295251</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Bilan_E_KP_AMS_2023!M21</f>
        <v>11.593699313859108</v>
      </c>
      <c r="D12" s="81"/>
      <c r="E12" s="28">
        <f>C12*(1-[7]Offre_calc!$L$171)</f>
        <v>8.8807736744160781</v>
      </c>
      <c r="F12" s="81"/>
      <c r="G12" s="17">
        <f t="shared" si="0"/>
        <v>2.7129256394430303</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Bilan_E_KP_AMS_2023!L21</f>
        <v>35.526476644989941</v>
      </c>
      <c r="D13" s="81">
        <f>SUM(C7:C19)</f>
        <v>1301.8758318259368</v>
      </c>
      <c r="E13" s="28">
        <f>C13*(1-[7]Offre_calc!$L$170)</f>
        <v>27.213281110062294</v>
      </c>
      <c r="F13" s="81">
        <f>Bilan_E_KP_AMS_2023!U21</f>
        <v>770.28028422865157</v>
      </c>
      <c r="G13" s="17">
        <f t="shared" si="0"/>
        <v>8.3131955349276474</v>
      </c>
      <c r="H13" s="81">
        <f>SUM(G7:G19)</f>
        <v>531.59554759728519</v>
      </c>
      <c r="I13" s="33">
        <f>Bilan_E_KP_AMS_2023!R30</f>
        <v>27.195483907152681</v>
      </c>
      <c r="J13" s="81">
        <f>H13-I13</f>
        <v>504.40006369013253</v>
      </c>
      <c r="K13" s="29">
        <f>Bilan_E_KP_AMS_2023!R31</f>
        <v>37.672439817680754</v>
      </c>
      <c r="L13" s="29">
        <f>-(Bilan_E_KP_AMS_2023!R14+Bilan_E_KP_AMS_2023!R13)</f>
        <v>40.000047900912989</v>
      </c>
      <c r="M13" s="29">
        <f>Bilan_E_KP_AMS_2023!R28</f>
        <v>3.2419807733491699</v>
      </c>
      <c r="N13" s="29"/>
      <c r="O13" s="29"/>
      <c r="P13" s="29"/>
      <c r="Q13" s="81">
        <f>J13-K13-L13-M13-N13-O13-P13</f>
        <v>423.48559519818963</v>
      </c>
      <c r="R13" s="508">
        <f>Q13-S13</f>
        <v>0</v>
      </c>
      <c r="S13" s="81">
        <f>SUM(T8:X19)</f>
        <v>423.48559519818957</v>
      </c>
      <c r="T13" s="29">
        <f>Bilan_E_KP_AMS_2023!R38</f>
        <v>8.1118979154125785</v>
      </c>
      <c r="U13" s="29">
        <f>Bilan_E_KP_AMS_2023!R34+Bilan_E_KP_AMS_2023!R39</f>
        <v>115.58056111877757</v>
      </c>
      <c r="V13" s="29">
        <f>Bilan_E_KP_AMS_2023!R36</f>
        <v>166.70645822540385</v>
      </c>
      <c r="W13" s="29">
        <f>Bilan_E_KP_AMS_2023!R37</f>
        <v>120.24688741623336</v>
      </c>
      <c r="X13" s="29">
        <f>Bilan_E_KP_AMS_2023!R35</f>
        <v>12.839790522362275</v>
      </c>
    </row>
    <row r="14" spans="1:24">
      <c r="A14" s="695"/>
      <c r="B14" s="1" t="s">
        <v>24</v>
      </c>
      <c r="C14" s="17">
        <f>Bilan_E_KP_AMS_2023!Q21</f>
        <v>0.58332819125492874</v>
      </c>
      <c r="D14" s="81"/>
      <c r="E14" s="28">
        <v>0</v>
      </c>
      <c r="F14" s="81"/>
      <c r="G14" s="17">
        <f t="shared" si="0"/>
        <v>0.58332819125492874</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Bilan_E_KP_AMS_2023!N21</f>
        <v>3.7008210788065874</v>
      </c>
      <c r="D16" s="81"/>
      <c r="E16" s="28">
        <f>C16*(1-[7]Offre_calc!$L$158)</f>
        <v>2.0724598041316891</v>
      </c>
      <c r="F16" s="81"/>
      <c r="G16" s="17">
        <f t="shared" si="0"/>
        <v>1.6283612746748983</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Bilan_E_KP_AMS_2023!F21</f>
        <v>8.9139035435547633</v>
      </c>
      <c r="D17" s="81"/>
      <c r="E17" s="28">
        <f>C17*(1-[7]Offre_calc!$L$158)</f>
        <v>4.9917859843906678</v>
      </c>
      <c r="F17" s="81"/>
      <c r="G17" s="17">
        <f t="shared" si="0"/>
        <v>3.9221175591640955</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Bilan_E_KP_AMS_2023!D21</f>
        <v>6.8358128316613413</v>
      </c>
      <c r="D18" s="81"/>
      <c r="E18" s="28">
        <f>C18*(1-[7]Offre_calc!$L$157)</f>
        <v>4.661246769581485</v>
      </c>
      <c r="F18" s="81"/>
      <c r="G18" s="17">
        <f t="shared" si="0"/>
        <v>2.1745660620798564</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Bilan_E_KP_AMS_2023!H21+Bilan_E_KP_AMS_2023!T21</f>
        <v>46.194007450119869</v>
      </c>
      <c r="D19" s="82"/>
      <c r="E19" s="28">
        <f>C19*(1-[7]Offre_calc!$L$160)</f>
        <v>21.895959531356816</v>
      </c>
      <c r="F19" s="82"/>
      <c r="G19" s="17">
        <f t="shared" si="0"/>
        <v>24.298047918763054</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0.33109412007292854</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Bilan_E_KP_AMS_2023!L23+Bilan_E_KP_AMS_2023!O12</f>
        <v>19.993841410095964</v>
      </c>
      <c r="D21" s="531"/>
      <c r="E21" s="33">
        <f>Bilan_E_KP_AMS_2023!U23+Bilan_E_KP_AMS_2023!O30</f>
        <v>1.5487915011872282</v>
      </c>
      <c r="F21" s="531"/>
      <c r="G21" s="17">
        <f t="shared" ref="G21:G45" si="1">C21-E21</f>
        <v>18.445049908908736</v>
      </c>
      <c r="H21" s="531"/>
      <c r="I21" s="17"/>
      <c r="J21" s="531"/>
      <c r="K21" s="547">
        <f>Bilan_E_KP_AMS_2023!O31</f>
        <v>0.13681314548719473</v>
      </c>
      <c r="L21" s="547">
        <f>-(Bilan_E_KP_AMS_2023!O13+Bilan_E_KP_AMS_2023!O14+Bilan_E_KP_AMS_2023!O15+Bilan_E_KP_AMS_2023!O16)</f>
        <v>1.9986637209666883E-2</v>
      </c>
      <c r="M21" s="547">
        <f>Bilan_E_KP_AMS_2023!O28</f>
        <v>0</v>
      </c>
      <c r="N21" s="547">
        <f>Bilan_E_KP_AMS_2023!O22</f>
        <v>3.0216984697001137</v>
      </c>
      <c r="O21" s="547">
        <f>Bilan_E_KP_AMS_2023!O21</f>
        <v>5.9385856639344583</v>
      </c>
      <c r="P21" s="547">
        <f>C36</f>
        <v>0.3161480845613035</v>
      </c>
      <c r="Q21" s="531"/>
      <c r="R21" s="508"/>
      <c r="S21" s="531"/>
      <c r="T21" s="531"/>
      <c r="U21" s="531"/>
      <c r="V21" s="531"/>
      <c r="W21" s="531"/>
      <c r="X21" s="531"/>
    </row>
    <row r="22" spans="1:24">
      <c r="A22" s="696"/>
      <c r="B22" s="1" t="s">
        <v>524</v>
      </c>
      <c r="C22" s="17">
        <f>Bilan_E_KP_AMS_2023!T24</f>
        <v>0</v>
      </c>
      <c r="D22" s="85">
        <f>SUM(C21:C24)</f>
        <v>382.17073429605449</v>
      </c>
      <c r="E22" s="632">
        <f>Bilan_E_KP_AMS_2023!I30+Bilan_E_KP_AMS_2023!U24</f>
        <v>0</v>
      </c>
      <c r="F22" s="85">
        <f>SUM(E21:E24)</f>
        <v>7.735661763728948</v>
      </c>
      <c r="G22" s="17">
        <f t="shared" si="1"/>
        <v>0</v>
      </c>
      <c r="H22" s="85">
        <f>SUM(G21:G24)</f>
        <v>374.43507253232553</v>
      </c>
      <c r="I22" s="408"/>
      <c r="J22" s="85">
        <f>H22-I22</f>
        <v>374.43507253232553</v>
      </c>
      <c r="K22" s="628">
        <f>Bilan_E_KP_AMS_2023!I31</f>
        <v>0</v>
      </c>
      <c r="L22" s="628">
        <f>-SUM(Bilan_E_KP_AMS_2023!I13:I16)</f>
        <v>0</v>
      </c>
      <c r="M22" s="32"/>
      <c r="N22" s="32"/>
      <c r="O22" s="32"/>
      <c r="P22" s="32"/>
      <c r="Q22" s="85">
        <f>J22-SUM(K21:P24)</f>
        <v>295.94658118888685</v>
      </c>
      <c r="R22" s="508">
        <f>Q22-S22</f>
        <v>-1.0072131549918595E-2</v>
      </c>
      <c r="S22" s="85">
        <f>SUM(T22:X24)</f>
        <v>295.95665332043677</v>
      </c>
      <c r="T22" s="32">
        <f>Bilan_E_KP_AMS_2023!H38+Bilan_E_KP_AMS_2023!T38+Bilan_E_KP_AMS_2023!O$38+Bilan_E_KP_AMS_2023!I38</f>
        <v>2.7283911280022086</v>
      </c>
      <c r="U22" s="32">
        <f>Bilan_E_KP_AMS_2023!H34+Bilan_E_KP_AMS_2023!T34+Bilan_E_KP_AMS_2023!O$34+Bilan_E_KP_AMS_2023!I34</f>
        <v>107.06163105738719</v>
      </c>
      <c r="V22" s="32">
        <f>Bilan_E_KP_AMS_2023!H36+Bilan_E_KP_AMS_2023!T36+Bilan_E_KP_AMS_2023!O$36+Bilan_E_KP_AMS_2023!I36</f>
        <v>125.71647612936714</v>
      </c>
      <c r="W22" s="32">
        <f>Bilan_E_KP_AMS_2023!H37+Bilan_E_KP_AMS_2023!M37+Bilan_E_KP_AMS_2023!T37+Bilan_E_KP_AMS_2023!O$37+Bilan_E_KP_AMS_2023!I37</f>
        <v>57.223947803585382</v>
      </c>
      <c r="X22" s="32">
        <f>Bilan_E_KP_AMS_2023!H35+Bilan_E_KP_AMS_2023!T35+Bilan_E_KP_AMS_2023!O$35+Bilan_E_KP_AMS_2023!I35</f>
        <v>3.2262072020948915</v>
      </c>
    </row>
    <row r="23" spans="1:24">
      <c r="A23" s="696"/>
      <c r="B23" s="1" t="s">
        <v>31</v>
      </c>
      <c r="C23" s="17">
        <f>SUM(Bilan_E_KP_AMS_2023!D28:S28)-C47</f>
        <v>1.4045322505041833</v>
      </c>
      <c r="D23" s="532"/>
      <c r="E23" s="33">
        <f>Bilan_E_KP_AMS_2023!U28</f>
        <v>1.1346932706722095</v>
      </c>
      <c r="F23" s="534"/>
      <c r="G23" s="17">
        <f t="shared" si="1"/>
        <v>0.2698389798319738</v>
      </c>
      <c r="H23" s="534"/>
      <c r="I23" s="17"/>
      <c r="J23" s="534"/>
      <c r="K23" s="536">
        <f>Bilan_E_KP_AMS_2023!T31</f>
        <v>0</v>
      </c>
      <c r="L23" s="536">
        <f>-(Bilan_E_KP_AMS_2023!T13+Bilan_E_KP_AMS_2023!T14+Bilan_E_KP_AMS_2023!T15+Bilan_E_KP_AMS_2023!T16)</f>
        <v>0</v>
      </c>
      <c r="M23" s="536">
        <f>Bilan_E_KP_AMS_2023!T24</f>
        <v>0</v>
      </c>
      <c r="N23" s="536">
        <f>Bilan_E_KP_AMS_2023!T22</f>
        <v>0</v>
      </c>
      <c r="O23" s="536">
        <f>Bilan_E_KP_AMS_2023!T21</f>
        <v>0</v>
      </c>
      <c r="P23" s="536">
        <f>Bilan_E_KP_AMS_2023!T27</f>
        <v>5.969332226194423E-2</v>
      </c>
      <c r="Q23" s="534"/>
      <c r="R23" s="489"/>
      <c r="S23" s="534"/>
      <c r="T23" s="538"/>
      <c r="U23" s="538"/>
      <c r="V23" s="538"/>
      <c r="W23" s="538"/>
      <c r="X23" s="538"/>
    </row>
    <row r="24" spans="1:24">
      <c r="A24" s="696"/>
      <c r="B24" s="1" t="s">
        <v>32</v>
      </c>
      <c r="C24" s="17">
        <f>Bilan_E_KP_AMS_2023!H18-C45-(Bilan_E_KP_AMS_2023!H20+Bilan_E_KP_AMS_2023!H19)</f>
        <v>360.77236063545433</v>
      </c>
      <c r="D24" s="533"/>
      <c r="E24" s="33">
        <f>Bilan_E_KP_AMS_2023!H30</f>
        <v>5.0521769918695103</v>
      </c>
      <c r="F24" s="535"/>
      <c r="G24" s="17">
        <f t="shared" si="1"/>
        <v>355.72018364358485</v>
      </c>
      <c r="H24" s="535"/>
      <c r="I24" s="34"/>
      <c r="J24" s="535"/>
      <c r="K24" s="537">
        <f>Bilan_E_KP_AMS_2023!H31</f>
        <v>4.3636192718547369</v>
      </c>
      <c r="L24" s="537"/>
      <c r="M24" s="537">
        <f>Bilan_E_KP_AMS_2023!H28</f>
        <v>0</v>
      </c>
      <c r="N24" s="537">
        <f>Bilan_E_KP_AMS_2023!H22</f>
        <v>18.437939298309416</v>
      </c>
      <c r="O24" s="537">
        <f>Bilan_E_KP_AMS_2023!H21</f>
        <v>46.194007450119869</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Bilan_E_KP_AMS_2023!O22</f>
        <v>3.0216984697001137</v>
      </c>
      <c r="D26" s="512"/>
      <c r="E26" s="190">
        <f>C26*F$35</f>
        <v>0.30636140607449369</v>
      </c>
      <c r="F26" s="512"/>
      <c r="G26" s="33">
        <f t="shared" ref="G26:G31" si="2">C26-E26</f>
        <v>2.7153370636256202</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Bilan_E_KP_AMS_2023!M18-Bilan_E_KP_AMS_2023!M21-(Bilan_E_KP_AMS_2023!S20+Bilan_E_KP_AMS_2023!S19+Bilan_E_KP_AMS_2023!M20+Bilan_E_KP_AMS_2023!M19)</f>
        <v>17.142428473906087</v>
      </c>
      <c r="D27" s="87"/>
      <c r="E27" s="190">
        <f t="shared" ref="E27:E34" si="3">C27*F$35</f>
        <v>1.7380220241891027</v>
      </c>
      <c r="F27" s="87"/>
      <c r="G27" s="33">
        <f t="shared" si="2"/>
        <v>15.404406449716983</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Bilan_E_KP_AMS_2023!L22</f>
        <v>21.79805888469869</v>
      </c>
      <c r="D29" s="87"/>
      <c r="E29" s="190">
        <f t="shared" si="3"/>
        <v>2.2100431385113226</v>
      </c>
      <c r="F29" s="87"/>
      <c r="G29" s="33">
        <f t="shared" si="2"/>
        <v>19.588015746187367</v>
      </c>
      <c r="H29" s="87"/>
      <c r="I29" s="1"/>
      <c r="J29" s="87"/>
      <c r="K29" s="87"/>
      <c r="L29" s="87"/>
      <c r="M29" s="87"/>
      <c r="N29" s="87"/>
      <c r="O29" s="87"/>
      <c r="P29" s="87"/>
      <c r="Q29" s="87"/>
      <c r="R29" s="508"/>
      <c r="S29" s="87"/>
      <c r="T29" s="87"/>
      <c r="U29" s="87"/>
      <c r="V29" s="87"/>
      <c r="W29" s="87"/>
      <c r="X29" s="87"/>
    </row>
    <row r="30" spans="1:24">
      <c r="A30" s="697"/>
      <c r="B30" s="1" t="s">
        <v>24</v>
      </c>
      <c r="C30" s="17">
        <f>Bilan_E_KP_AMS_2023!Q22</f>
        <v>4.3023879699163166</v>
      </c>
      <c r="D30" s="86">
        <f>SUM(C26:C34)</f>
        <v>65.292786698095881</v>
      </c>
      <c r="E30" s="190">
        <f t="shared" si="3"/>
        <v>0.43620686880526555</v>
      </c>
      <c r="F30" s="86">
        <f>Bilan_E_KP_AMS_2023!U22</f>
        <v>6.61984977651852</v>
      </c>
      <c r="G30" s="33">
        <f t="shared" si="2"/>
        <v>3.8661811011110512</v>
      </c>
      <c r="H30" s="86">
        <f>SUM(G26:G34)</f>
        <v>58.672936921577367</v>
      </c>
      <c r="I30" s="1"/>
      <c r="J30" s="86">
        <f>H30</f>
        <v>58.672936921577367</v>
      </c>
      <c r="K30" s="87">
        <f>Bilan_E_KP_AMS_2023!S31</f>
        <v>4.3810396487584971</v>
      </c>
      <c r="L30" s="87"/>
      <c r="M30" s="87">
        <f>Bilan_E_KP_AMS_2023!M28</f>
        <v>0</v>
      </c>
      <c r="N30" s="87"/>
      <c r="O30" s="87"/>
      <c r="P30" s="87"/>
      <c r="Q30" s="86">
        <f>J30-K30-L30-M30-N30-O30-P30</f>
        <v>54.291897272818872</v>
      </c>
      <c r="R30" s="508">
        <f>Q30-S30</f>
        <v>1.0072131549961227E-2</v>
      </c>
      <c r="S30" s="86">
        <f>SUM(T27:X34)</f>
        <v>54.281825141268911</v>
      </c>
      <c r="T30" s="87">
        <f>Bilan_E_KP_AMS_2023!S$38</f>
        <v>0</v>
      </c>
      <c r="U30" s="87">
        <f>Bilan_E_KP_AMS_2023!S$34+Bilan_E_KP_AMS_2023!M34</f>
        <v>20.019736988405118</v>
      </c>
      <c r="V30" s="87">
        <f>Bilan_E_KP_AMS_2023!S$36</f>
        <v>23.041532520535192</v>
      </c>
      <c r="W30" s="87">
        <f>Bilan_E_KP_AMS_2023!S$37</f>
        <v>11.220555632328594</v>
      </c>
      <c r="X30" s="87">
        <f>Bilan_E_KP_AMS_2023!S$35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Bilan_E_KP_AMS_2023!H22</f>
        <v>18.437939298309416</v>
      </c>
      <c r="D32" s="86"/>
      <c r="E32" s="190">
        <f t="shared" si="3"/>
        <v>1.8693701787878374</v>
      </c>
      <c r="F32" s="86"/>
      <c r="G32" s="33">
        <f>C32-E32</f>
        <v>16.56856911952158</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Bilan_E_KP_AMS_2023!F22</f>
        <v>7.6404494382022473E-2</v>
      </c>
      <c r="D33" s="86"/>
      <c r="E33" s="190">
        <f t="shared" si="3"/>
        <v>7.7464341872636308E-3</v>
      </c>
      <c r="F33" s="86"/>
      <c r="G33" s="33">
        <f t="shared" ref="G33:G34" si="4">C33-E33</f>
        <v>6.8658060194758841E-2</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Bilan_E_KP_AMS_2023!D22</f>
        <v>0.51386910718324508</v>
      </c>
      <c r="D34" s="88"/>
      <c r="E34" s="190">
        <f t="shared" si="3"/>
        <v>5.2099725963235394E-2</v>
      </c>
      <c r="F34" s="88"/>
      <c r="G34" s="33">
        <f t="shared" si="4"/>
        <v>0.46176938122000966</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0.10138715333330341</v>
      </c>
      <c r="G35" s="17"/>
      <c r="H35" s="501"/>
      <c r="I35" s="1"/>
      <c r="J35" s="1"/>
      <c r="K35" s="1"/>
      <c r="L35" s="1"/>
      <c r="M35" s="1"/>
      <c r="N35" s="1"/>
      <c r="O35" s="1"/>
      <c r="P35" s="1"/>
      <c r="Q35" s="502"/>
      <c r="R35" s="508"/>
      <c r="U35" s="33"/>
      <c r="V35" s="33"/>
      <c r="W35" s="33"/>
    </row>
    <row r="36" spans="1:26">
      <c r="A36" s="679" t="s">
        <v>34</v>
      </c>
      <c r="B36" s="1" t="s">
        <v>21</v>
      </c>
      <c r="C36" s="33">
        <f>E55</f>
        <v>0.3161480845613035</v>
      </c>
      <c r="D36" s="540"/>
      <c r="E36" s="17"/>
      <c r="F36" s="540"/>
      <c r="G36" s="17">
        <f t="shared" ref="G36:G42" si="5">C36-E36</f>
        <v>0.3161480845613035</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0.3161480845613035</v>
      </c>
    </row>
    <row r="37" spans="1:26">
      <c r="A37" s="679"/>
      <c r="B37" s="1" t="s">
        <v>23</v>
      </c>
      <c r="C37" s="33">
        <f>SUM(T37:X37)+E58</f>
        <v>88.912951866525106</v>
      </c>
      <c r="D37" s="541"/>
      <c r="E37" s="504"/>
      <c r="F37" s="541"/>
      <c r="G37" s="17">
        <f t="shared" si="5"/>
        <v>88.912951866525106</v>
      </c>
      <c r="H37" s="541"/>
      <c r="I37" s="498"/>
      <c r="J37" s="37"/>
      <c r="K37" s="35"/>
      <c r="L37" s="35"/>
      <c r="M37" s="505"/>
      <c r="N37" s="35"/>
      <c r="P37" s="35"/>
      <c r="Q37" s="543"/>
      <c r="R37" s="508"/>
      <c r="S37" s="541"/>
      <c r="T37" s="506">
        <f>Bilan_E_KP_AMS_2023!L38</f>
        <v>1.0052852655560149</v>
      </c>
      <c r="U37" s="93">
        <f>Bilan_E_KP_AMS_2023!L34</f>
        <v>17.934528794531492</v>
      </c>
      <c r="V37" s="506">
        <f>Bilan_E_KP_AMS_2023!L36</f>
        <v>69.673112957297619</v>
      </c>
      <c r="W37" s="507">
        <f>Bilan_E_KP_AMS_2023!L37</f>
        <v>0.2600018184764662</v>
      </c>
      <c r="X37" s="506">
        <f>Bilan_E_KP_AMS_2023!L35</f>
        <v>0</v>
      </c>
      <c r="Y37" s="489">
        <f t="shared" ref="Y37:Y47" si="6">SUM(T37:X37)</f>
        <v>88.872928835861586</v>
      </c>
      <c r="Z37" s="489">
        <f t="shared" ref="Z37:Z44" si="7">G37-Y37</f>
        <v>4.0023030663519421E-2</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184.61524810590095</v>
      </c>
      <c r="R38" s="508"/>
      <c r="S38" s="541"/>
      <c r="T38" s="84">
        <v>0</v>
      </c>
      <c r="U38" s="83">
        <v>0</v>
      </c>
      <c r="V38" s="84">
        <v>0</v>
      </c>
      <c r="W38" s="91">
        <v>0</v>
      </c>
      <c r="X38" s="91">
        <v>0</v>
      </c>
      <c r="Y38" s="489">
        <f t="shared" si="6"/>
        <v>0</v>
      </c>
      <c r="Z38" s="489">
        <f t="shared" si="7"/>
        <v>0</v>
      </c>
    </row>
    <row r="39" spans="1:26">
      <c r="A39" s="679"/>
      <c r="B39" s="1" t="s">
        <v>35</v>
      </c>
      <c r="C39" s="33">
        <f>SUM(T39:X39)</f>
        <v>2.4109171991556684</v>
      </c>
      <c r="D39" s="541"/>
      <c r="E39" s="35"/>
      <c r="F39" s="541"/>
      <c r="G39" s="17">
        <f t="shared" si="5"/>
        <v>2.4109171991556684</v>
      </c>
      <c r="H39" s="541"/>
      <c r="I39" s="35"/>
      <c r="J39" s="37"/>
      <c r="K39" s="35"/>
      <c r="L39" s="35"/>
      <c r="M39" s="37"/>
      <c r="N39" s="35"/>
      <c r="O39" s="35"/>
      <c r="P39" s="35"/>
      <c r="Q39" s="543"/>
      <c r="R39" s="508"/>
      <c r="S39" s="541"/>
      <c r="T39" s="84">
        <f>Bilan_E_KP_AMS_2023!Q38</f>
        <v>0.25485200979833694</v>
      </c>
      <c r="U39" s="83">
        <f>Bilan_E_KP_AMS_2023!Q34</f>
        <v>4.5058902280570805E-4</v>
      </c>
      <c r="V39" s="84">
        <f>Bilan_E_KP_AMS_2023!Q36</f>
        <v>1.3186709338752973</v>
      </c>
      <c r="W39" s="91">
        <f>Bilan_E_KP_AMS_2023!Q37</f>
        <v>0.83694366645922857</v>
      </c>
      <c r="X39" s="91">
        <f>Bilan_E_KP_AMS_2023!Q35</f>
        <v>0</v>
      </c>
      <c r="Y39" s="489">
        <f t="shared" si="6"/>
        <v>2.4109171991556684</v>
      </c>
      <c r="Z39" s="489">
        <f t="shared" si="7"/>
        <v>0</v>
      </c>
    </row>
    <row r="40" spans="1:26">
      <c r="A40" s="679"/>
      <c r="B40" s="1" t="s">
        <v>36</v>
      </c>
      <c r="C40" s="33">
        <f>Bilan_E_KP_AMS_2023!P12</f>
        <v>51.691578550496644</v>
      </c>
      <c r="D40" s="541"/>
      <c r="E40" s="35"/>
      <c r="F40" s="541"/>
      <c r="G40" s="17">
        <f t="shared" si="5"/>
        <v>51.691578550496644</v>
      </c>
      <c r="H40" s="541"/>
      <c r="I40" s="35"/>
      <c r="J40" s="37"/>
      <c r="K40" s="35"/>
      <c r="L40" s="35"/>
      <c r="M40" s="37"/>
      <c r="N40" s="35"/>
      <c r="O40" s="35"/>
      <c r="P40" s="35"/>
      <c r="Q40" s="543"/>
      <c r="R40" s="508"/>
      <c r="S40" s="541"/>
      <c r="T40" s="83">
        <f>Bilan_E_KP_AMS_2023!P$38</f>
        <v>0.15</v>
      </c>
      <c r="U40" s="83">
        <f>Bilan_E_KP_AMS_2023!P$34</f>
        <v>1.2785699462890625</v>
      </c>
      <c r="V40" s="83">
        <f>Bilan_E_KP_AMS_2023!P$36</f>
        <v>41.524804077007047</v>
      </c>
      <c r="W40" s="83">
        <f>Bilan_E_KP_AMS_2023!P$37</f>
        <v>8.7382045272005371</v>
      </c>
      <c r="X40" s="84">
        <f>Bilan_E_KP_AMS_2023!P$35</f>
        <v>0</v>
      </c>
      <c r="Y40" s="489">
        <f t="shared" si="6"/>
        <v>51.691578550496644</v>
      </c>
      <c r="Z40" s="489">
        <f t="shared" si="7"/>
        <v>0</v>
      </c>
    </row>
    <row r="41" spans="1:26">
      <c r="A41" s="679"/>
      <c r="B41" s="1" t="s">
        <v>37</v>
      </c>
      <c r="C41" s="33">
        <f>Bilan_E_KP_AMS_2023!N12+Bilan_E_KP_AMS_2023!L26-Bilan_E_KP_AMS_2023!N21+Bilan_E_KP_AMS_2023!T27</f>
        <v>44.317394482764307</v>
      </c>
      <c r="D41" s="191">
        <f>SUM(C36:C47)</f>
        <v>890.227243888109</v>
      </c>
      <c r="E41" s="511">
        <f>Bilan_E_KP_AMS_2023!U27</f>
        <v>1.6833516877868278E-2</v>
      </c>
      <c r="F41" s="191">
        <f>SUM(E36:E47)</f>
        <v>28.359286802271107</v>
      </c>
      <c r="G41" s="17">
        <f t="shared" si="5"/>
        <v>44.30056096588644</v>
      </c>
      <c r="H41" s="191">
        <f>SUM(G36:G47)</f>
        <v>861.8679570858377</v>
      </c>
      <c r="I41" s="35"/>
      <c r="J41" s="37"/>
      <c r="K41" s="35"/>
      <c r="L41" s="37">
        <f>-(SUM(Bilan_E_KP_AMS_2023!N13:N16)+SUM(Bilan_E_KP_AMS_2023!G13:G16))</f>
        <v>-1.7484700312933996</v>
      </c>
      <c r="M41" s="35"/>
      <c r="N41" s="35"/>
      <c r="O41" s="35"/>
      <c r="P41" s="35"/>
      <c r="Q41" s="543"/>
      <c r="R41" s="508">
        <f>SUM(Q36:Q47)-S41</f>
        <v>-1.9276216107755317E-5</v>
      </c>
      <c r="S41" s="191">
        <f>SUM(T36:X46)</f>
        <v>678.01470540640298</v>
      </c>
      <c r="T41" s="83">
        <f>Bilan_E_KP_AMS_2023!N$38+Bilan_E_KP_AMS_2023!G$38</f>
        <v>2.4838975032538144</v>
      </c>
      <c r="U41" s="83">
        <f>Bilan_E_KP_AMS_2023!N$34+Bilan_E_KP_AMS_2023!G$34</f>
        <v>0.76389416015625011</v>
      </c>
      <c r="V41" s="83">
        <f>Bilan_E_KP_AMS_2023!N$36+Bilan_E_KP_AMS_2023!G$36</f>
        <v>0</v>
      </c>
      <c r="W41" s="83">
        <f>Bilan_E_KP_AMS_2023!N$37+Bilan_E_KP_AMS_2023!G$37</f>
        <v>0</v>
      </c>
      <c r="X41" s="84">
        <f>Bilan_E_KP_AMS_2023!N$35+Bilan_E_KP_AMS_2023!G$35</f>
        <v>38.392031856976942</v>
      </c>
      <c r="Y41" s="489">
        <f t="shared" si="6"/>
        <v>41.639823520387004</v>
      </c>
      <c r="Z41" s="489">
        <f>G41-Y41-L41</f>
        <v>4.4092074767928349</v>
      </c>
    </row>
    <row r="42" spans="1:26">
      <c r="A42" s="679"/>
      <c r="B42" s="1" t="s">
        <v>38</v>
      </c>
      <c r="C42" s="33">
        <f>Bilan_E_KP_AMS_2023!E18+Bilan_E_KP_AMS_2023!F18-Bilan_E_KP_AMS_2023!F21-Bilan_E_KP_AMS_2023!F22-E54-SUM(T43:X43)-(Bilan_E_KP_AMS_2023!E20+Bilan_E_KP_AMS_2023!F20+Bilan_E_KP_AMS_2023!E19+Bilan_E_KP_AMS_2023!F19)</f>
        <v>418.73529684169046</v>
      </c>
      <c r="D42" s="541"/>
      <c r="E42" s="17">
        <f>Bilan_E_KP_AMS_2023!F30+Bilan_E_KP_AMS_2023!U25+Bilan_E_KP_AMS_2023!F29+Bilan_E_KP_AMS_2023!E29</f>
        <v>28.34245328539324</v>
      </c>
      <c r="F42" s="541"/>
      <c r="G42" s="17">
        <f t="shared" si="5"/>
        <v>390.39284355629724</v>
      </c>
      <c r="H42" s="541"/>
      <c r="I42" s="498"/>
      <c r="J42" s="37"/>
      <c r="K42" s="35"/>
      <c r="L42" s="35"/>
      <c r="M42" s="35"/>
      <c r="N42" s="35"/>
      <c r="O42" s="35"/>
      <c r="P42" s="35"/>
      <c r="Q42" s="36">
        <f>G42</f>
        <v>390.39284355629724</v>
      </c>
      <c r="R42" s="508"/>
      <c r="S42" s="541"/>
      <c r="T42" s="83">
        <v>0</v>
      </c>
      <c r="U42" s="83">
        <v>0</v>
      </c>
      <c r="V42" s="83">
        <v>0</v>
      </c>
      <c r="W42" s="83">
        <v>0</v>
      </c>
      <c r="X42" s="84">
        <f>Bilan_E_KP_AMS_2023!F35</f>
        <v>390.39286283251352</v>
      </c>
      <c r="Y42" s="489">
        <f t="shared" si="6"/>
        <v>390.39286283251352</v>
      </c>
      <c r="Z42" s="489">
        <f>Q42-SUM(T42:X42)</f>
        <v>-1.9276216278285574E-5</v>
      </c>
    </row>
    <row r="43" spans="1:26">
      <c r="A43" s="679"/>
      <c r="B43" s="1" t="s">
        <v>39</v>
      </c>
      <c r="C43" s="33">
        <f>Bilan_E_KP_AMS_2023!F41+SUM(T43:X43)</f>
        <v>222.08787378805931</v>
      </c>
      <c r="D43" s="541"/>
      <c r="E43" s="38"/>
      <c r="F43" s="541"/>
      <c r="G43" s="17">
        <f>C43-E43</f>
        <v>222.08787378805931</v>
      </c>
      <c r="H43" s="541"/>
      <c r="I43" s="35"/>
      <c r="J43" s="37"/>
      <c r="K43" s="35"/>
      <c r="L43" s="35"/>
      <c r="M43" s="35"/>
      <c r="N43" s="35"/>
      <c r="O43" s="35"/>
      <c r="P43" s="35"/>
      <c r="Q43" s="36">
        <f>G43-Bilan_E_KP_AMS_2023!F41</f>
        <v>96.115325658331457</v>
      </c>
      <c r="R43" s="508"/>
      <c r="S43" s="541"/>
      <c r="T43" s="83">
        <f>Bilan_E_KP_AMS_2023!F38</f>
        <v>32.350878858910924</v>
      </c>
      <c r="U43" s="83">
        <f>Bilan_E_KP_AMS_2023!F34</f>
        <v>23.50730673118812</v>
      </c>
      <c r="V43" s="83">
        <f>Bilan_E_KP_AMS_2023!F36</f>
        <v>18.209722356615</v>
      </c>
      <c r="W43" s="83">
        <f>Bilan_E_KP_AMS_2023!F37</f>
        <v>22.047417711617395</v>
      </c>
      <c r="X43" s="84">
        <v>0</v>
      </c>
      <c r="Y43" s="489">
        <f t="shared" si="6"/>
        <v>96.115325658331443</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G44-Bilan_E_KP_AMS_2023!M41</f>
        <v>0</v>
      </c>
      <c r="R44" s="498"/>
      <c r="S44" s="541"/>
      <c r="T44" s="83">
        <f>Bilan_E_KP_AMS_2023!M$38</f>
        <v>0</v>
      </c>
      <c r="U44" s="83">
        <v>0</v>
      </c>
      <c r="V44" s="83">
        <f>Bilan_E_KP_AMS_2023!M$36</f>
        <v>0</v>
      </c>
      <c r="W44" s="83">
        <v>0</v>
      </c>
      <c r="X44" s="84">
        <f>Bilan_E_KP_AMS_2023!M$35</f>
        <v>0</v>
      </c>
      <c r="Y44" s="489">
        <f t="shared" si="6"/>
        <v>0</v>
      </c>
      <c r="Z44" s="489">
        <f t="shared" si="7"/>
        <v>0</v>
      </c>
    </row>
    <row r="45" spans="1:26">
      <c r="A45" s="679"/>
      <c r="B45" s="1" t="s">
        <v>41</v>
      </c>
      <c r="C45" s="33">
        <f>E53</f>
        <v>11.836385273603906</v>
      </c>
      <c r="D45" s="541"/>
      <c r="E45" s="38"/>
      <c r="F45" s="541"/>
      <c r="G45" s="17">
        <f t="shared" si="1"/>
        <v>11.836385273603906</v>
      </c>
      <c r="H45" s="541"/>
      <c r="I45" s="35"/>
      <c r="J45" s="37"/>
      <c r="K45" s="35"/>
      <c r="L45" s="35"/>
      <c r="M45" s="35"/>
      <c r="N45" s="35"/>
      <c r="O45" s="35"/>
      <c r="P45" s="35"/>
      <c r="Q45" s="36">
        <f>G45-Bilan_E_KP_AMS_2023!H41</f>
        <v>0</v>
      </c>
      <c r="R45" s="498"/>
      <c r="S45" s="541"/>
      <c r="T45" s="84">
        <v>0</v>
      </c>
      <c r="U45" s="83">
        <v>0</v>
      </c>
      <c r="V45" s="84">
        <v>0</v>
      </c>
      <c r="W45" s="92">
        <v>0</v>
      </c>
      <c r="X45" s="84">
        <v>0</v>
      </c>
      <c r="Y45" s="489">
        <f t="shared" si="6"/>
        <v>0</v>
      </c>
      <c r="Z45" s="489">
        <f>Q45-Y45</f>
        <v>0</v>
      </c>
    </row>
    <row r="46" spans="1:26">
      <c r="A46" s="679"/>
      <c r="B46" s="1" t="s">
        <v>42</v>
      </c>
      <c r="C46" s="33">
        <f>Bilan_E_KP_AMS_2023!D18-C18-C34</f>
        <v>48.081249278407185</v>
      </c>
      <c r="D46" s="541"/>
      <c r="E46" s="511"/>
      <c r="F46" s="541"/>
      <c r="G46" s="17">
        <f>C46-E46</f>
        <v>48.081249278407185</v>
      </c>
      <c r="H46" s="541"/>
      <c r="I46" s="38"/>
      <c r="J46" s="37"/>
      <c r="K46" s="35"/>
      <c r="L46" s="35"/>
      <c r="M46" s="35"/>
      <c r="N46" s="35"/>
      <c r="O46" s="35"/>
      <c r="P46" s="35"/>
      <c r="Q46" s="36">
        <f>G46-(Bilan_E_KP_AMS_2023!D41+Bilan_E_KP_AMS_2023!D29+Bilan_E_KP_AMS_2023!D30)</f>
        <v>6.8912688096571841</v>
      </c>
      <c r="R46" s="498"/>
      <c r="S46" s="541"/>
      <c r="T46" s="506">
        <f>Bilan_E_KP_AMS_2023!D38</f>
        <v>0</v>
      </c>
      <c r="U46" s="93">
        <f>Bilan_E_KP_AMS_2023!D34</f>
        <v>6.8912688096571859</v>
      </c>
      <c r="V46" s="506">
        <f>Bilan_E_KP_AMS_2023!D36</f>
        <v>0</v>
      </c>
      <c r="W46" s="507">
        <f>Bilan_E_KP_AMS_2023!D37</f>
        <v>0</v>
      </c>
      <c r="X46" s="506">
        <f>Bilan_E_KP_AMS_2023!D35</f>
        <v>0</v>
      </c>
      <c r="Y46" s="489">
        <f t="shared" si="6"/>
        <v>6.8912688096571859</v>
      </c>
      <c r="Z46" s="489">
        <f>Q46-Y46</f>
        <v>0</v>
      </c>
    </row>
    <row r="47" spans="1:26">
      <c r="A47" s="90"/>
      <c r="B47" s="1" t="s">
        <v>31</v>
      </c>
      <c r="C47" s="33">
        <f>E57</f>
        <v>1.8374485228449866</v>
      </c>
      <c r="D47" s="192"/>
      <c r="E47" s="511"/>
      <c r="F47" s="192"/>
      <c r="G47" s="17">
        <f>C47-E47</f>
        <v>1.8374485228449866</v>
      </c>
      <c r="H47" s="192"/>
      <c r="I47" s="38"/>
      <c r="J47" s="37"/>
      <c r="K47" s="35"/>
      <c r="L47" s="35"/>
      <c r="M47" s="35"/>
      <c r="N47" s="35"/>
      <c r="O47" s="35"/>
      <c r="P47" s="35"/>
      <c r="Q47" s="544">
        <f>G47-Bilan_E_KP_AMS_2023!T41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C5-L13-SUM(L21:L24)-L30-L41-Bilan_E_KP_AMS_2023!U18</f>
        <v>0.20438153623354083</v>
      </c>
      <c r="D49" s="1"/>
      <c r="E49" s="34">
        <f>SUM(E7:E47)+I13-Bilan_E_KP_AMS_2023!U32+K13+SUM(K21:K24)+K30+Bilan_E_KP_AMS_2023!D29+Bilan_E_KP_AMS_2023!D30</f>
        <v>0.20438153623279653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493.57007416244443</v>
      </c>
    </row>
    <row r="52" spans="1:19">
      <c r="A52" s="21"/>
      <c r="B52" s="1" t="s">
        <v>44</v>
      </c>
      <c r="C52" s="44"/>
      <c r="D52" s="1"/>
      <c r="E52" s="39">
        <f>Bilan_E_KP_AMS_2023!D41+Bilan_E_KP_AMS_2023!D29+Bilan_E_KP_AMS_2023!D30</f>
        <v>41.189980468750001</v>
      </c>
      <c r="F52" s="187"/>
      <c r="G52" s="1"/>
      <c r="H52" s="1"/>
      <c r="I52" s="30"/>
      <c r="J52" s="17"/>
      <c r="K52" s="17"/>
      <c r="L52" s="21"/>
      <c r="M52" s="1"/>
      <c r="N52" s="17"/>
      <c r="O52" s="17"/>
      <c r="P52" s="17"/>
      <c r="Q52" s="1"/>
      <c r="S52" s="33"/>
    </row>
    <row r="53" spans="1:19">
      <c r="A53" s="21"/>
      <c r="B53" s="1" t="s">
        <v>41</v>
      </c>
      <c r="C53" s="45"/>
      <c r="D53" s="17"/>
      <c r="E53" s="433">
        <f>Bilan_E_KP_AMS_2023!H41+Bilan_E_KP_AMS_2023!H29</f>
        <v>11.836385273603906</v>
      </c>
      <c r="F53" s="187"/>
      <c r="G53" s="1"/>
      <c r="H53" s="1"/>
      <c r="I53" s="30"/>
      <c r="J53" s="17"/>
      <c r="K53" s="17"/>
      <c r="L53" s="21"/>
      <c r="M53" s="1"/>
      <c r="N53" s="17"/>
      <c r="O53" s="17"/>
      <c r="P53" s="17"/>
      <c r="Q53" s="1"/>
    </row>
    <row r="54" spans="1:19">
      <c r="A54" s="21"/>
      <c r="B54" s="1" t="s">
        <v>39</v>
      </c>
      <c r="C54" s="45"/>
      <c r="D54" s="17"/>
      <c r="E54" s="435">
        <f>Bilan_E_KP_AMS_2023!F41</f>
        <v>125.97254812972785</v>
      </c>
      <c r="F54" s="187"/>
      <c r="G54" s="1"/>
      <c r="H54" s="1"/>
      <c r="I54" s="30"/>
      <c r="J54" s="17"/>
      <c r="K54" s="17"/>
      <c r="L54" s="21"/>
      <c r="M54" s="21"/>
      <c r="N54" s="17"/>
      <c r="O54" s="17"/>
      <c r="P54" s="17"/>
      <c r="Q54" s="1"/>
    </row>
    <row r="55" spans="1:19">
      <c r="B55" s="1" t="s">
        <v>21</v>
      </c>
      <c r="E55" s="633">
        <f>Bilan_E_KP_AMS_2023!O41+Bilan_E_KP_AMS_2023!O29</f>
        <v>0.3161480845613035</v>
      </c>
    </row>
    <row r="56" spans="1:19">
      <c r="B56" s="1" t="s">
        <v>37</v>
      </c>
      <c r="E56" s="633">
        <f>Bilan_E_KP_AMS_2023!N41+Bilan_E_KP_AMS_2023!N29+Bilan_E_KP_AMS_2023!G41</f>
        <v>4.4092074767928091</v>
      </c>
    </row>
    <row r="57" spans="1:19">
      <c r="B57" s="1" t="s">
        <v>31</v>
      </c>
      <c r="E57" s="633">
        <f>Bilan_E_KP_AMS_2023!T41</f>
        <v>1.8374485228449866</v>
      </c>
    </row>
    <row r="58" spans="1:19">
      <c r="B58" s="1" t="s">
        <v>338</v>
      </c>
      <c r="E58" s="633">
        <f>Bilan_E_KP_AMS_2023!L41</f>
        <v>4.0023030663522148E-2</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A0C0A-B9C6-428B-8F54-A1CEA81FC1B6}">
  <dimension ref="A1:Z59"/>
  <sheetViews>
    <sheetView workbookViewId="0">
      <selection activeCell="C7" sqref="C7"/>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2515.6038628310957</v>
      </c>
      <c r="D5" s="18"/>
      <c r="E5" s="20"/>
      <c r="F5" s="494"/>
      <c r="G5" s="21"/>
      <c r="H5" s="493"/>
      <c r="I5" s="21"/>
      <c r="J5" s="22"/>
      <c r="K5" s="23"/>
      <c r="L5" s="14"/>
      <c r="M5" s="14"/>
      <c r="N5" s="15"/>
      <c r="O5" s="16"/>
      <c r="P5" s="16"/>
      <c r="Q5" s="24">
        <f>Q13+Q22+Q30+Q42+Q46+Q38+Q43</f>
        <v>1425.2991999455326</v>
      </c>
      <c r="R5" s="487"/>
      <c r="S5" s="79">
        <f>SUM(S13,S22,S27:S32,S41)</f>
        <v>1425.2991999455326</v>
      </c>
      <c r="T5" s="79">
        <f>SUM(T8:T46)</f>
        <v>46.384288524639935</v>
      </c>
      <c r="U5" s="79">
        <f>SUM(U8:U46)</f>
        <v>291.07210893731997</v>
      </c>
      <c r="V5" s="79">
        <f>SUM(V8:V46)</f>
        <v>429.26277924885835</v>
      </c>
      <c r="W5" s="173">
        <f>SUM(W8:W46)</f>
        <v>207.39576459260019</v>
      </c>
      <c r="X5" s="79">
        <f>SUM(X8:X46)</f>
        <v>451.18425864211417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(([7]Offre_calc!$M$106+[7]Offre_calc!$M$107+[7]Offre_calc!$M$144+[7]Offre_calc!$M$145)/([7]Offre_calc!$M$103+[7]Offre_calc!$M$141))*Bilan_E_KP_AMS_2025!K$21</f>
        <v>60.361769187904123</v>
      </c>
      <c r="D7" s="518"/>
      <c r="E7" s="28">
        <v>0</v>
      </c>
      <c r="F7" s="518"/>
      <c r="G7" s="17">
        <f>C7-E7</f>
        <v>60.361769187904123</v>
      </c>
      <c r="H7" s="518"/>
      <c r="I7" s="21"/>
      <c r="J7" s="518"/>
      <c r="K7" s="525"/>
      <c r="L7" s="525"/>
      <c r="M7" s="525"/>
      <c r="N7" s="525"/>
      <c r="O7" s="525"/>
      <c r="P7" s="513"/>
      <c r="Q7" s="528"/>
      <c r="R7" s="498"/>
      <c r="S7" s="528"/>
      <c r="T7" s="525"/>
      <c r="U7" s="525"/>
      <c r="V7" s="525"/>
      <c r="W7" s="525"/>
      <c r="X7" s="525"/>
    </row>
    <row r="8" spans="1:24">
      <c r="A8" s="695"/>
      <c r="B8" s="1" t="s">
        <v>18</v>
      </c>
      <c r="C8" s="486">
        <f>(([7]Offre_calc!$M$105+[7]Offre_calc!$M$143)/([7]Offre_calc!$M$103+[7]Offre_calc!$M$141))*Bilan_E_KP_AMS_2025!K$21</f>
        <v>64.370620431123712</v>
      </c>
      <c r="D8" s="81"/>
      <c r="E8" s="28">
        <v>0</v>
      </c>
      <c r="F8" s="81"/>
      <c r="G8" s="17">
        <f t="shared" ref="G8:G19" si="0">C8-E8</f>
        <v>64.370620431123712</v>
      </c>
      <c r="H8" s="81"/>
      <c r="I8" s="21"/>
      <c r="J8" s="81"/>
      <c r="K8" s="526"/>
      <c r="L8" s="526"/>
      <c r="M8" s="526"/>
      <c r="N8" s="526"/>
      <c r="O8" s="526"/>
      <c r="P8" s="29"/>
      <c r="Q8" s="529"/>
      <c r="R8" s="498"/>
      <c r="S8" s="529"/>
      <c r="T8" s="526"/>
      <c r="U8" s="526"/>
      <c r="V8" s="526"/>
      <c r="W8" s="526"/>
      <c r="X8" s="526"/>
    </row>
    <row r="9" spans="1:24">
      <c r="A9" s="695"/>
      <c r="B9" s="1" t="s">
        <v>19</v>
      </c>
      <c r="C9" s="486">
        <f>(([7]Offre_calc!$M$104+[7]Offre_calc!$M$142)/([7]Offre_calc!$M$103+[7]Offre_calc!$M$141))*Bilan_E_KP_AMS_2025!K$21</f>
        <v>29.392577072343837</v>
      </c>
      <c r="D9" s="81"/>
      <c r="E9" s="28">
        <v>0</v>
      </c>
      <c r="F9" s="81"/>
      <c r="G9" s="17">
        <f t="shared" si="0"/>
        <v>29.392577072343837</v>
      </c>
      <c r="H9" s="81"/>
      <c r="I9" s="21"/>
      <c r="J9" s="81"/>
      <c r="K9" s="526"/>
      <c r="L9" s="526"/>
      <c r="M9" s="526"/>
      <c r="N9" s="526"/>
      <c r="O9" s="526"/>
      <c r="P9" s="29"/>
      <c r="Q9" s="529"/>
      <c r="R9" s="498"/>
      <c r="S9" s="529"/>
      <c r="T9" s="526"/>
      <c r="U9" s="526"/>
      <c r="V9" s="526"/>
      <c r="W9" s="526"/>
      <c r="X9" s="526"/>
    </row>
    <row r="10" spans="1:24">
      <c r="A10" s="695"/>
      <c r="B10" s="1" t="s">
        <v>20</v>
      </c>
      <c r="C10" s="17">
        <f>Bilan_E_KP_AMS_2025!J21-(Bilan_E_KP_AMS_2025!R20+Bilan_E_KP_AMS_2025!R19)</f>
        <v>1045.9432149078937</v>
      </c>
      <c r="D10" s="81"/>
      <c r="E10" s="28">
        <f>F13-SUM(E11:E19)</f>
        <v>699.62900565446716</v>
      </c>
      <c r="F10" s="81"/>
      <c r="G10" s="17">
        <f t="shared" si="0"/>
        <v>346.3142092534265</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Bilan_E_KP_AMS_2025!O21</f>
        <v>5.5714952585660997</v>
      </c>
      <c r="D11" s="81"/>
      <c r="E11" s="28">
        <f>C11*(1-[7]Offre_calc!$M$161)</f>
        <v>2.6186027715260667</v>
      </c>
      <c r="F11" s="81"/>
      <c r="G11" s="17">
        <f t="shared" si="0"/>
        <v>2.952892487040033</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Bilan_E_KP_AMS_2025!M21</f>
        <v>11.203844266499178</v>
      </c>
      <c r="D12" s="81"/>
      <c r="E12" s="28">
        <f>C12*(1-[7]Offre_calc!$M$171)</f>
        <v>8.4028831998743847</v>
      </c>
      <c r="F12" s="81"/>
      <c r="G12" s="17">
        <f t="shared" si="0"/>
        <v>2.8009610666247937</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Bilan_E_KP_AMS_2025!L21</f>
        <v>33.862945169490679</v>
      </c>
      <c r="D13" s="81">
        <f>SUM(C7:C19)</f>
        <v>1303.0009474946703</v>
      </c>
      <c r="E13" s="28">
        <f>C13*(1-[7]Offre_calc!$M$170)</f>
        <v>25.397208877118011</v>
      </c>
      <c r="F13" s="81">
        <f>Bilan_E_KP_AMS_2025!U21</f>
        <v>762.48182866445461</v>
      </c>
      <c r="G13" s="17">
        <f t="shared" si="0"/>
        <v>8.465736292372668</v>
      </c>
      <c r="H13" s="81">
        <f>SUM(G7:G19)</f>
        <v>540.5191188302158</v>
      </c>
      <c r="I13" s="33">
        <f>Bilan_E_KP_AMS_2025!R30</f>
        <v>26.979234587968005</v>
      </c>
      <c r="J13" s="81">
        <f>H13-I13</f>
        <v>513.53988424224781</v>
      </c>
      <c r="K13" s="29">
        <f>Bilan_E_KP_AMS_2025!R31</f>
        <v>38.339806710254912</v>
      </c>
      <c r="L13" s="29">
        <f>-(Bilan_E_KP_AMS_2025!R14+Bilan_E_KP_AMS_2025!R13)</f>
        <v>40.000032758951647</v>
      </c>
      <c r="M13" s="29">
        <f>Bilan_E_KP_AMS_2025!R28</f>
        <v>7.9634516882678241</v>
      </c>
      <c r="N13" s="29"/>
      <c r="O13" s="29"/>
      <c r="P13" s="29"/>
      <c r="Q13" s="81">
        <f>J13-K13-L13-M13-N13-O13-P13</f>
        <v>427.23659308477346</v>
      </c>
      <c r="R13" s="508">
        <f>Q13-S13</f>
        <v>0</v>
      </c>
      <c r="S13" s="81">
        <f>SUM(T8:X19)</f>
        <v>427.23659308477357</v>
      </c>
      <c r="T13" s="29">
        <f>Bilan_E_KP_AMS_2025!R38</f>
        <v>7.9839854804023167</v>
      </c>
      <c r="U13" s="29">
        <f>Bilan_E_KP_AMS_2025!R34+Bilan_E_KP_AMS_2025!R39</f>
        <v>121.32585979507003</v>
      </c>
      <c r="V13" s="29">
        <f>Bilan_E_KP_AMS_2025!R36</f>
        <v>167.05352361968622</v>
      </c>
      <c r="W13" s="29">
        <f>Bilan_E_KP_AMS_2025!R37</f>
        <v>115.22915089485383</v>
      </c>
      <c r="X13" s="29">
        <f>Bilan_E_KP_AMS_2025!R35</f>
        <v>15.644073294761139</v>
      </c>
    </row>
    <row r="14" spans="1:24">
      <c r="A14" s="695"/>
      <c r="B14" s="1" t="s">
        <v>24</v>
      </c>
      <c r="C14" s="17">
        <f>Bilan_E_KP_AMS_2025!Q21</f>
        <v>0.31861460974897526</v>
      </c>
      <c r="D14" s="81"/>
      <c r="E14" s="28">
        <v>0</v>
      </c>
      <c r="F14" s="81"/>
      <c r="G14" s="17">
        <f t="shared" si="0"/>
        <v>0.31861460974897526</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Bilan_E_KP_AMS_2025!N21</f>
        <v>5.5512316182098811</v>
      </c>
      <c r="D16" s="81"/>
      <c r="E16" s="28">
        <f>C16*(1-[7]Offre_calc!$M$158)</f>
        <v>3.1086897061975338</v>
      </c>
      <c r="F16" s="81"/>
      <c r="G16" s="17">
        <f t="shared" si="0"/>
        <v>2.4425419120123473</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Bilan_E_KP_AMS_2025!F21</f>
        <v>4.8858805193656316</v>
      </c>
      <c r="D17" s="81"/>
      <c r="E17" s="28">
        <f>C17*(1-[7]Offre_calc!$M$158)</f>
        <v>2.7360930908447538</v>
      </c>
      <c r="F17" s="81"/>
      <c r="G17" s="17">
        <f t="shared" si="0"/>
        <v>2.1497874285208778</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Bilan_E_KP_AMS_2025!D21</f>
        <v>5.0316185079798812</v>
      </c>
      <c r="D18" s="81"/>
      <c r="E18" s="28">
        <f>C18*(1-[7]Offre_calc!$M$157)</f>
        <v>3.4309914700206301</v>
      </c>
      <c r="F18" s="81"/>
      <c r="G18" s="17">
        <f t="shared" si="0"/>
        <v>1.6006270379592511</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Bilan_E_KP_AMS_2025!H21+Bilan_E_KP_AMS_2025!T21</f>
        <v>36.507135945544903</v>
      </c>
      <c r="D19" s="82"/>
      <c r="E19" s="28">
        <f>C19*(1-[7]Offre_calc!$M$160)</f>
        <v>17.158353894406105</v>
      </c>
      <c r="F19" s="82"/>
      <c r="G19" s="17">
        <f t="shared" si="0"/>
        <v>19.348782051138798</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0.3311023049027792</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Bilan_E_KP_AMS_2025!L23+Bilan_E_KP_AMS_2025!O12</f>
        <v>25.326117813489105</v>
      </c>
      <c r="D21" s="531"/>
      <c r="E21" s="33">
        <f>Bilan_E_KP_AMS_2025!U23+Bilan_E_KP_AMS_2025!O30</f>
        <v>2.1513815604370476</v>
      </c>
      <c r="F21" s="531"/>
      <c r="G21" s="17">
        <f t="shared" ref="G21:G45" si="1">C21-E21</f>
        <v>23.174736253052057</v>
      </c>
      <c r="H21" s="531"/>
      <c r="I21" s="17"/>
      <c r="J21" s="531"/>
      <c r="K21" s="547">
        <f>Bilan_E_KP_AMS_2025!O31</f>
        <v>0.20419948522854417</v>
      </c>
      <c r="L21" s="547">
        <f>-(Bilan_E_KP_AMS_2025!O13+Bilan_E_KP_AMS_2025!O14+Bilan_E_KP_AMS_2025!O15+Bilan_E_KP_AMS_2025!O16)</f>
        <v>2.7393965473775879E-2</v>
      </c>
      <c r="M21" s="547">
        <f>Bilan_E_KP_AMS_2025!O28</f>
        <v>0</v>
      </c>
      <c r="N21" s="547">
        <f>Bilan_E_KP_AMS_2025!O22</f>
        <v>3.312429986969792</v>
      </c>
      <c r="O21" s="547">
        <f>Bilan_E_KP_AMS_2025!O21</f>
        <v>5.5714952585660997</v>
      </c>
      <c r="P21" s="547">
        <f>C36</f>
        <v>0.53337670416372851</v>
      </c>
      <c r="Q21" s="531"/>
      <c r="R21" s="508"/>
      <c r="S21" s="531"/>
      <c r="T21" s="531"/>
      <c r="U21" s="531"/>
      <c r="V21" s="531"/>
      <c r="W21" s="531"/>
      <c r="X21" s="531"/>
    </row>
    <row r="22" spans="1:24">
      <c r="A22" s="696"/>
      <c r="B22" s="1" t="s">
        <v>524</v>
      </c>
      <c r="C22" s="17">
        <f>Bilan_E_KP_AMS_2025!T24</f>
        <v>0</v>
      </c>
      <c r="D22" s="85">
        <f>SUM(C21:C24)</f>
        <v>350.00291882998897</v>
      </c>
      <c r="E22" s="632">
        <f>Bilan_E_KP_AMS_2025!I30+Bilan_E_KP_AMS_2025!U24</f>
        <v>0</v>
      </c>
      <c r="F22" s="85">
        <f>SUM(E21:E24)</f>
        <v>10.426417070415967</v>
      </c>
      <c r="G22" s="17">
        <f t="shared" si="1"/>
        <v>0</v>
      </c>
      <c r="H22" s="85">
        <f>SUM(G21:G24)</f>
        <v>339.57650175957298</v>
      </c>
      <c r="I22" s="408"/>
      <c r="J22" s="85">
        <f>H22-I22</f>
        <v>339.57650175957298</v>
      </c>
      <c r="K22" s="628">
        <f>Bilan_E_KP_AMS_2025!I31</f>
        <v>0</v>
      </c>
      <c r="L22" s="628">
        <f>-SUM(Bilan_E_KP_AMS_2025!I13:I16)</f>
        <v>0</v>
      </c>
      <c r="M22" s="32"/>
      <c r="N22" s="32"/>
      <c r="O22" s="32"/>
      <c r="P22" s="32"/>
      <c r="Q22" s="85">
        <f>J22-SUM(K21:P24)</f>
        <v>270.74144376064646</v>
      </c>
      <c r="R22" s="508">
        <f>Q22-S22</f>
        <v>-6.1525614853508159E-4</v>
      </c>
      <c r="S22" s="85">
        <f>SUM(T22:X24)</f>
        <v>270.742059016795</v>
      </c>
      <c r="T22" s="32">
        <f>Bilan_E_KP_AMS_2025!H38+Bilan_E_KP_AMS_2025!T38+Bilan_E_KP_AMS_2025!O$38+Bilan_E_KP_AMS_2025!I38</f>
        <v>2.5620317912758828</v>
      </c>
      <c r="U22" s="32">
        <f>Bilan_E_KP_AMS_2025!H34+Bilan_E_KP_AMS_2025!T34+Bilan_E_KP_AMS_2025!O$34+Bilan_E_KP_AMS_2025!I34</f>
        <v>101.89198183958929</v>
      </c>
      <c r="V22" s="32">
        <f>Bilan_E_KP_AMS_2025!H36+Bilan_E_KP_AMS_2025!T36+Bilan_E_KP_AMS_2025!O$36+Bilan_E_KP_AMS_2025!I36</f>
        <v>112.58996281774162</v>
      </c>
      <c r="W22" s="32">
        <f>Bilan_E_KP_AMS_2025!H37+Bilan_E_KP_AMS_2025!M37+Bilan_E_KP_AMS_2025!T37+Bilan_E_KP_AMS_2025!O$37+Bilan_E_KP_AMS_2025!I37</f>
        <v>49.692336714841716</v>
      </c>
      <c r="X22" s="32">
        <f>Bilan_E_KP_AMS_2025!H35+Bilan_E_KP_AMS_2025!T35+Bilan_E_KP_AMS_2025!O$35+Bilan_E_KP_AMS_2025!I35</f>
        <v>4.0057458533464949</v>
      </c>
    </row>
    <row r="23" spans="1:24">
      <c r="A23" s="696"/>
      <c r="B23" s="1" t="s">
        <v>31</v>
      </c>
      <c r="C23" s="17">
        <f>SUM(Bilan_E_KP_AMS_2025!D28:S28)-C47</f>
        <v>3.5585928488317924</v>
      </c>
      <c r="D23" s="532"/>
      <c r="E23" s="33">
        <f>Bilan_E_KP_AMS_2025!U28</f>
        <v>2.7872080908937384</v>
      </c>
      <c r="F23" s="534"/>
      <c r="G23" s="17">
        <f t="shared" si="1"/>
        <v>0.77138475793805394</v>
      </c>
      <c r="H23" s="534"/>
      <c r="I23" s="17"/>
      <c r="J23" s="534"/>
      <c r="K23" s="536">
        <f>Bilan_E_KP_AMS_2025!T31</f>
        <v>0</v>
      </c>
      <c r="L23" s="536">
        <f>-(Bilan_E_KP_AMS_2025!T13+Bilan_E_KP_AMS_2025!T14+Bilan_E_KP_AMS_2025!T15+Bilan_E_KP_AMS_2025!T16)</f>
        <v>0</v>
      </c>
      <c r="M23" s="536">
        <f>Bilan_E_KP_AMS_2025!T24</f>
        <v>0</v>
      </c>
      <c r="N23" s="536">
        <f>Bilan_E_KP_AMS_2025!T22</f>
        <v>0</v>
      </c>
      <c r="O23" s="536">
        <f>Bilan_E_KP_AMS_2025!T21</f>
        <v>0</v>
      </c>
      <c r="P23" s="536">
        <f>Bilan_E_KP_AMS_2025!T27</f>
        <v>9.9488870436573729E-2</v>
      </c>
      <c r="Q23" s="534"/>
      <c r="R23" s="489"/>
      <c r="S23" s="534"/>
      <c r="T23" s="538"/>
      <c r="U23" s="538"/>
      <c r="V23" s="538"/>
      <c r="W23" s="538"/>
      <c r="X23" s="538"/>
    </row>
    <row r="24" spans="1:24">
      <c r="A24" s="696"/>
      <c r="B24" s="1" t="s">
        <v>32</v>
      </c>
      <c r="C24" s="17">
        <f>Bilan_E_KP_AMS_2025!H18-C45-(Bilan_E_KP_AMS_2025!H20+Bilan_E_KP_AMS_2025!H19)</f>
        <v>321.11820816766806</v>
      </c>
      <c r="D24" s="533"/>
      <c r="E24" s="33">
        <f>Bilan_E_KP_AMS_2025!H30</f>
        <v>5.487827419085181</v>
      </c>
      <c r="F24" s="535"/>
      <c r="G24" s="17">
        <f t="shared" si="1"/>
        <v>315.63038074858287</v>
      </c>
      <c r="H24" s="535"/>
      <c r="I24" s="34"/>
      <c r="J24" s="535"/>
      <c r="K24" s="537">
        <f>Bilan_E_KP_AMS_2025!H31</f>
        <v>3.8797902193423388</v>
      </c>
      <c r="L24" s="537"/>
      <c r="M24" s="537">
        <f>Bilan_E_KP_AMS_2025!H28</f>
        <v>0</v>
      </c>
      <c r="N24" s="537">
        <f>Bilan_E_KP_AMS_2025!H22</f>
        <v>18.699747563200777</v>
      </c>
      <c r="O24" s="537">
        <f>Bilan_E_KP_AMS_2025!H21</f>
        <v>36.507135945544903</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Bilan_E_KP_AMS_2025!O22</f>
        <v>3.312429986969792</v>
      </c>
      <c r="D26" s="512"/>
      <c r="E26" s="190">
        <f>C26*F$35</f>
        <v>0.31884092739459158</v>
      </c>
      <c r="F26" s="512"/>
      <c r="G26" s="33">
        <f t="shared" ref="G26:G31" si="2">C26-E26</f>
        <v>2.9935890595752004</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Bilan_E_KP_AMS_2025!M18-Bilan_E_KP_AMS_2025!M21-(Bilan_E_KP_AMS_2025!S20+Bilan_E_KP_AMS_2025!S19+Bilan_E_KP_AMS_2025!M20+Bilan_E_KP_AMS_2025!M19)</f>
        <v>18.11984159632016</v>
      </c>
      <c r="D27" s="87"/>
      <c r="E27" s="190">
        <f t="shared" ref="E27:E34" si="3">C27*F$35</f>
        <v>1.7441416487413606</v>
      </c>
      <c r="F27" s="87"/>
      <c r="G27" s="33">
        <f t="shared" si="2"/>
        <v>16.375699947578799</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Bilan_E_KP_AMS_2025!L22</f>
        <v>26.355115374306525</v>
      </c>
      <c r="D29" s="87"/>
      <c r="E29" s="190">
        <f t="shared" si="3"/>
        <v>2.5368353325476596</v>
      </c>
      <c r="F29" s="87"/>
      <c r="G29" s="33">
        <f t="shared" si="2"/>
        <v>23.818280041758864</v>
      </c>
      <c r="H29" s="87"/>
      <c r="I29" s="1"/>
      <c r="J29" s="87"/>
      <c r="K29" s="87"/>
      <c r="L29" s="87"/>
      <c r="M29" s="87"/>
      <c r="N29" s="87"/>
      <c r="O29" s="87"/>
      <c r="P29" s="87"/>
      <c r="Q29" s="87"/>
      <c r="R29" s="508"/>
      <c r="S29" s="87"/>
      <c r="T29" s="87"/>
      <c r="U29" s="87"/>
      <c r="V29" s="87"/>
      <c r="W29" s="87"/>
      <c r="X29" s="87"/>
    </row>
    <row r="30" spans="1:24">
      <c r="A30" s="697"/>
      <c r="B30" s="1" t="s">
        <v>24</v>
      </c>
      <c r="C30" s="17">
        <f>Bilan_E_KP_AMS_2025!Q22</f>
        <v>5.6407627218251397</v>
      </c>
      <c r="D30" s="86">
        <f>SUM(C26:C34)</f>
        <v>72.321079060804209</v>
      </c>
      <c r="E30" s="190">
        <f t="shared" si="3"/>
        <v>0.54295668874947001</v>
      </c>
      <c r="F30" s="86">
        <f>Bilan_E_KP_AMS_2025!U22</f>
        <v>6.961330506193935</v>
      </c>
      <c r="G30" s="33">
        <f t="shared" si="2"/>
        <v>5.0978060330756696</v>
      </c>
      <c r="H30" s="86">
        <f>SUM(G26:G34)</f>
        <v>65.359748554610277</v>
      </c>
      <c r="I30" s="1"/>
      <c r="J30" s="86">
        <f>H30</f>
        <v>65.359748554610277</v>
      </c>
      <c r="K30" s="87">
        <f>Bilan_E_KP_AMS_2025!S31</f>
        <v>4.8935866171781743</v>
      </c>
      <c r="L30" s="87"/>
      <c r="M30" s="87">
        <f>Bilan_E_KP_AMS_2025!M28</f>
        <v>0</v>
      </c>
      <c r="N30" s="87"/>
      <c r="O30" s="87"/>
      <c r="P30" s="87"/>
      <c r="Q30" s="86">
        <f>J30-K30-L30-M30-N30-O30-P30</f>
        <v>60.466161937432105</v>
      </c>
      <c r="R30" s="508">
        <f>Q30-S30</f>
        <v>6.1525614849244903E-4</v>
      </c>
      <c r="S30" s="86">
        <f>SUM(T27:X34)</f>
        <v>60.465546681283612</v>
      </c>
      <c r="T30" s="87">
        <f>Bilan_E_KP_AMS_2025!S$38</f>
        <v>0</v>
      </c>
      <c r="U30" s="87">
        <f>Bilan_E_KP_AMS_2025!S$34+Bilan_E_KP_AMS_2025!M34</f>
        <v>20.458157406991582</v>
      </c>
      <c r="V30" s="87">
        <f>Bilan_E_KP_AMS_2025!S$36</f>
        <v>26.615725966388851</v>
      </c>
      <c r="W30" s="87">
        <f>Bilan_E_KP_AMS_2025!S$37</f>
        <v>13.391663307903183</v>
      </c>
      <c r="X30" s="87">
        <f>Bilan_E_KP_AMS_2025!S$35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Bilan_E_KP_AMS_2025!H22</f>
        <v>18.699747563200777</v>
      </c>
      <c r="D32" s="86"/>
      <c r="E32" s="190">
        <f t="shared" si="3"/>
        <v>1.7999610191157418</v>
      </c>
      <c r="F32" s="86"/>
      <c r="G32" s="33">
        <f>C32-E32</f>
        <v>16.899786544085035</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Bilan_E_KP_AMS_2025!F22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Bilan_E_KP_AMS_2025!D22</f>
        <v>0.1931818181818182</v>
      </c>
      <c r="D34" s="88"/>
      <c r="E34" s="190">
        <f t="shared" si="3"/>
        <v>1.859488964511237E-2</v>
      </c>
      <c r="F34" s="88"/>
      <c r="G34" s="33">
        <f t="shared" si="4"/>
        <v>0.17458692853670582</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9.6255899339405204E-2</v>
      </c>
      <c r="G35" s="17"/>
      <c r="H35" s="501"/>
      <c r="I35" s="1"/>
      <c r="J35" s="1"/>
      <c r="K35" s="1"/>
      <c r="L35" s="1"/>
      <c r="M35" s="1"/>
      <c r="N35" s="1"/>
      <c r="O35" s="1"/>
      <c r="P35" s="1"/>
      <c r="Q35" s="502"/>
      <c r="R35" s="508"/>
      <c r="U35" s="33"/>
      <c r="V35" s="33"/>
      <c r="W35" s="33"/>
    </row>
    <row r="36" spans="1:26">
      <c r="A36" s="679" t="s">
        <v>34</v>
      </c>
      <c r="B36" s="1" t="s">
        <v>21</v>
      </c>
      <c r="C36" s="33">
        <f>E55</f>
        <v>0.53337670416372851</v>
      </c>
      <c r="D36" s="540"/>
      <c r="E36" s="17"/>
      <c r="F36" s="540"/>
      <c r="G36" s="17">
        <f t="shared" ref="G36:G42" si="5">C36-E36</f>
        <v>0.53337670416372851</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0.53337670416372851</v>
      </c>
    </row>
    <row r="37" spans="1:26">
      <c r="A37" s="679"/>
      <c r="B37" s="1" t="s">
        <v>23</v>
      </c>
      <c r="C37" s="33">
        <f>SUM(T37:X37)+E58</f>
        <v>79.654571355791788</v>
      </c>
      <c r="D37" s="541"/>
      <c r="E37" s="504"/>
      <c r="F37" s="541"/>
      <c r="G37" s="17">
        <f t="shared" si="5"/>
        <v>79.654571355791788</v>
      </c>
      <c r="H37" s="541"/>
      <c r="I37" s="498"/>
      <c r="J37" s="37"/>
      <c r="K37" s="35"/>
      <c r="L37" s="35"/>
      <c r="M37" s="505"/>
      <c r="N37" s="35"/>
      <c r="P37" s="35"/>
      <c r="Q37" s="543"/>
      <c r="R37" s="508"/>
      <c r="S37" s="541"/>
      <c r="T37" s="506">
        <f>Bilan_E_KP_AMS_2025!L38</f>
        <v>1.325152202471839</v>
      </c>
      <c r="U37" s="93">
        <f>Bilan_E_KP_AMS_2025!L34</f>
        <v>18.774389983885822</v>
      </c>
      <c r="V37" s="506">
        <f>Bilan_E_KP_AMS_2025!L36</f>
        <v>59.150287479050967</v>
      </c>
      <c r="W37" s="507">
        <f>Bilan_E_KP_AMS_2025!L37</f>
        <v>0.34286013585192066</v>
      </c>
      <c r="X37" s="506">
        <f>Bilan_E_KP_AMS_2025!L35</f>
        <v>0</v>
      </c>
      <c r="Y37" s="489">
        <f t="shared" ref="Y37:Y47" si="6">SUM(T37:X37)</f>
        <v>79.592689801260548</v>
      </c>
      <c r="Z37" s="489">
        <f t="shared" ref="Z37:Z44" si="7">G37-Y37</f>
        <v>6.1881554531240113E-2</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190.20638995624131</v>
      </c>
      <c r="R38" s="508"/>
      <c r="S38" s="541"/>
      <c r="T38" s="84">
        <v>0</v>
      </c>
      <c r="U38" s="83">
        <v>0</v>
      </c>
      <c r="V38" s="84">
        <v>0</v>
      </c>
      <c r="W38" s="91">
        <v>0</v>
      </c>
      <c r="X38" s="91">
        <v>0</v>
      </c>
      <c r="Y38" s="489">
        <f t="shared" si="6"/>
        <v>0</v>
      </c>
      <c r="Z38" s="489">
        <f t="shared" si="7"/>
        <v>0</v>
      </c>
    </row>
    <row r="39" spans="1:26">
      <c r="A39" s="679"/>
      <c r="B39" s="1" t="s">
        <v>35</v>
      </c>
      <c r="C39" s="33">
        <f>SUM(T39:X39)</f>
        <v>2.671229256262392</v>
      </c>
      <c r="D39" s="541"/>
      <c r="E39" s="35"/>
      <c r="F39" s="541"/>
      <c r="G39" s="17">
        <f t="shared" si="5"/>
        <v>2.671229256262392</v>
      </c>
      <c r="H39" s="541"/>
      <c r="I39" s="35"/>
      <c r="J39" s="37"/>
      <c r="K39" s="35"/>
      <c r="L39" s="35"/>
      <c r="M39" s="37"/>
      <c r="N39" s="35"/>
      <c r="O39" s="35"/>
      <c r="P39" s="35"/>
      <c r="Q39" s="543"/>
      <c r="R39" s="508"/>
      <c r="S39" s="541"/>
      <c r="T39" s="84">
        <f>Bilan_E_KP_AMS_2025!Q38</f>
        <v>0.36066131262685786</v>
      </c>
      <c r="U39" s="83">
        <f>Bilan_E_KP_AMS_2025!Q34</f>
        <v>4.7991131198633983E-4</v>
      </c>
      <c r="V39" s="84">
        <f>Bilan_E_KP_AMS_2025!Q36</f>
        <v>1.4653773673998376</v>
      </c>
      <c r="W39" s="91">
        <f>Bilan_E_KP_AMS_2025!Q37</f>
        <v>0.84471066492371039</v>
      </c>
      <c r="X39" s="91">
        <f>Bilan_E_KP_AMS_2025!Q35</f>
        <v>0</v>
      </c>
      <c r="Y39" s="489">
        <f t="shared" si="6"/>
        <v>2.671229256262392</v>
      </c>
      <c r="Z39" s="489">
        <f t="shared" si="7"/>
        <v>0</v>
      </c>
    </row>
    <row r="40" spans="1:26">
      <c r="A40" s="679"/>
      <c r="B40" s="1" t="s">
        <v>36</v>
      </c>
      <c r="C40" s="33">
        <f>Bilan_E_KP_AMS_2025!P12</f>
        <v>63.09733962798451</v>
      </c>
      <c r="D40" s="541"/>
      <c r="E40" s="35"/>
      <c r="F40" s="541"/>
      <c r="G40" s="17">
        <f t="shared" si="5"/>
        <v>63.09733962798451</v>
      </c>
      <c r="H40" s="541"/>
      <c r="I40" s="35"/>
      <c r="J40" s="37"/>
      <c r="K40" s="35"/>
      <c r="L40" s="35"/>
      <c r="M40" s="37"/>
      <c r="N40" s="35"/>
      <c r="O40" s="35"/>
      <c r="P40" s="35"/>
      <c r="Q40" s="543"/>
      <c r="R40" s="508"/>
      <c r="S40" s="541"/>
      <c r="T40" s="83">
        <f>Bilan_E_KP_AMS_2025!P$38</f>
        <v>0.25</v>
      </c>
      <c r="U40" s="83">
        <f>Bilan_E_KP_AMS_2025!P$34</f>
        <v>1.955318115234375</v>
      </c>
      <c r="V40" s="83">
        <f>Bilan_E_KP_AMS_2025!P$36</f>
        <v>50.263804232391934</v>
      </c>
      <c r="W40" s="83">
        <f>Bilan_E_KP_AMS_2025!P$37</f>
        <v>10.628217280358204</v>
      </c>
      <c r="X40" s="84">
        <f>Bilan_E_KP_AMS_2025!P$35</f>
        <v>0</v>
      </c>
      <c r="Y40" s="489">
        <f t="shared" si="6"/>
        <v>63.09733962798451</v>
      </c>
      <c r="Z40" s="489">
        <f t="shared" si="7"/>
        <v>0</v>
      </c>
    </row>
    <row r="41" spans="1:26">
      <c r="A41" s="679"/>
      <c r="B41" s="1" t="s">
        <v>37</v>
      </c>
      <c r="C41" s="33">
        <f>Bilan_E_KP_AMS_2025!N12+Bilan_E_KP_AMS_2025!L26-Bilan_E_KP_AMS_2025!N21+Bilan_E_KP_AMS_2025!T27</f>
        <v>48.499574726885456</v>
      </c>
      <c r="D41" s="191">
        <f>SUM(C36:C47)</f>
        <v>862.96604346278218</v>
      </c>
      <c r="E41" s="511">
        <f>Bilan_E_KP_AMS_2025!U27</f>
        <v>2.8055861463113799E-2</v>
      </c>
      <c r="F41" s="191">
        <f>SUM(E36:E47)</f>
        <v>30.882131936431445</v>
      </c>
      <c r="G41" s="17">
        <f t="shared" si="5"/>
        <v>48.47151886542234</v>
      </c>
      <c r="H41" s="191">
        <f>SUM(G36:G47)</f>
        <v>832.08391152635068</v>
      </c>
      <c r="I41" s="35"/>
      <c r="J41" s="37"/>
      <c r="K41" s="35"/>
      <c r="L41" s="37">
        <f>-(SUM(Bilan_E_KP_AMS_2025!N13:N16)+SUM(Bilan_E_KP_AMS_2025!G13:G16))</f>
        <v>-2.3888492341186729</v>
      </c>
      <c r="M41" s="35"/>
      <c r="N41" s="35"/>
      <c r="O41" s="35"/>
      <c r="P41" s="35"/>
      <c r="Q41" s="543"/>
      <c r="R41" s="508">
        <f>SUM(Q36:Q47)-S41</f>
        <v>0</v>
      </c>
      <c r="S41" s="191">
        <f>SUM(T36:X46)</f>
        <v>666.85500116268054</v>
      </c>
      <c r="T41" s="83">
        <f>Bilan_E_KP_AMS_2025!N$38+Bilan_E_KP_AMS_2025!G$38</f>
        <v>2.8798420607810633</v>
      </c>
      <c r="U41" s="83">
        <f>Bilan_E_KP_AMS_2025!N$34+Bilan_E_KP_AMS_2025!G$34</f>
        <v>0.75934024169921888</v>
      </c>
      <c r="V41" s="83">
        <f>Bilan_E_KP_AMS_2025!N$36+Bilan_E_KP_AMS_2025!G$36</f>
        <v>0</v>
      </c>
      <c r="W41" s="83">
        <f>Bilan_E_KP_AMS_2025!N$37+Bilan_E_KP_AMS_2025!G$37</f>
        <v>0</v>
      </c>
      <c r="X41" s="84">
        <f>Bilan_E_KP_AMS_2025!N$35+Bilan_E_KP_AMS_2025!G$35</f>
        <v>41.205948968253495</v>
      </c>
      <c r="Y41" s="489">
        <f t="shared" si="6"/>
        <v>44.845131270733773</v>
      </c>
      <c r="Z41" s="489">
        <f>G41-Y41-L41</f>
        <v>6.0152368288072395</v>
      </c>
    </row>
    <row r="42" spans="1:26">
      <c r="A42" s="679"/>
      <c r="B42" s="1" t="s">
        <v>38</v>
      </c>
      <c r="C42" s="33">
        <f>Bilan_E_KP_AMS_2025!E18+Bilan_E_KP_AMS_2025!F18-Bilan_E_KP_AMS_2025!F21-Bilan_E_KP_AMS_2025!F22-E54-SUM(T43:X43)-(Bilan_E_KP_AMS_2025!E20+Bilan_E_KP_AMS_2025!F20+Bilan_E_KP_AMS_2025!E19+Bilan_E_KP_AMS_2025!F19)</f>
        <v>421.18256660072154</v>
      </c>
      <c r="D42" s="541"/>
      <c r="E42" s="17">
        <f>Bilan_E_KP_AMS_2025!F30+Bilan_E_KP_AMS_2025!U25+Bilan_E_KP_AMS_2025!F29+Bilan_E_KP_AMS_2025!E29</f>
        <v>30.854076074968333</v>
      </c>
      <c r="F42" s="541"/>
      <c r="G42" s="17">
        <f t="shared" si="5"/>
        <v>390.32849052575318</v>
      </c>
      <c r="H42" s="541"/>
      <c r="I42" s="498"/>
      <c r="J42" s="37"/>
      <c r="K42" s="35"/>
      <c r="L42" s="35"/>
      <c r="M42" s="35"/>
      <c r="N42" s="35"/>
      <c r="O42" s="35"/>
      <c r="P42" s="35"/>
      <c r="Q42" s="36">
        <f>G42</f>
        <v>390.32849052575318</v>
      </c>
      <c r="R42" s="508"/>
      <c r="S42" s="541"/>
      <c r="T42" s="83">
        <v>0</v>
      </c>
      <c r="U42" s="83">
        <v>0</v>
      </c>
      <c r="V42" s="83">
        <v>0</v>
      </c>
      <c r="W42" s="83">
        <v>0</v>
      </c>
      <c r="X42" s="84">
        <f>Bilan_E_KP_AMS_2025!F35</f>
        <v>390.32849052575307</v>
      </c>
      <c r="Y42" s="489">
        <f t="shared" si="6"/>
        <v>390.32849052575307</v>
      </c>
      <c r="Z42" s="489">
        <f>Q42-SUM(T42:X42)</f>
        <v>0</v>
      </c>
    </row>
    <row r="43" spans="1:26">
      <c r="A43" s="679"/>
      <c r="B43" s="1" t="s">
        <v>39</v>
      </c>
      <c r="C43" s="33">
        <f>Bilan_E_KP_AMS_2025!F41+SUM(T43:X43)</f>
        <v>193.77359249079205</v>
      </c>
      <c r="D43" s="541"/>
      <c r="E43" s="38"/>
      <c r="F43" s="541"/>
      <c r="G43" s="17">
        <f>C43-E43</f>
        <v>193.77359249079205</v>
      </c>
      <c r="H43" s="541"/>
      <c r="I43" s="35"/>
      <c r="J43" s="37"/>
      <c r="K43" s="35"/>
      <c r="L43" s="35"/>
      <c r="M43" s="35"/>
      <c r="N43" s="35"/>
      <c r="O43" s="35"/>
      <c r="P43" s="35"/>
      <c r="Q43" s="36">
        <f>G43-Bilan_E_KP_AMS_2025!F41</f>
        <v>80.554164699394775</v>
      </c>
      <c r="R43" s="508"/>
      <c r="S43" s="541"/>
      <c r="T43" s="83">
        <f>Bilan_E_KP_AMS_2025!F38</f>
        <v>31.022615677081973</v>
      </c>
      <c r="U43" s="83">
        <f>Bilan_E_KP_AMS_2025!F34</f>
        <v>20.140625662246215</v>
      </c>
      <c r="V43" s="83">
        <f>Bilan_E_KP_AMS_2025!F36</f>
        <v>12.124097766198929</v>
      </c>
      <c r="W43" s="83">
        <f>Bilan_E_KP_AMS_2025!F37</f>
        <v>17.266825593867647</v>
      </c>
      <c r="X43" s="84">
        <v>0</v>
      </c>
      <c r="Y43" s="489">
        <f t="shared" si="6"/>
        <v>80.554164699394761</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G44-Bilan_E_KP_AMS_2025!M41</f>
        <v>0</v>
      </c>
      <c r="R44" s="498"/>
      <c r="S44" s="541"/>
      <c r="T44" s="83">
        <f>Bilan_E_KP_AMS_2025!M$38</f>
        <v>0</v>
      </c>
      <c r="U44" s="83">
        <v>0</v>
      </c>
      <c r="V44" s="83">
        <f>Bilan_E_KP_AMS_2025!M$36</f>
        <v>0</v>
      </c>
      <c r="W44" s="83">
        <v>0</v>
      </c>
      <c r="X44" s="84">
        <f>Bilan_E_KP_AMS_2025!M$35</f>
        <v>0</v>
      </c>
      <c r="Y44" s="489">
        <f t="shared" si="6"/>
        <v>0</v>
      </c>
      <c r="Z44" s="489">
        <f t="shared" si="7"/>
        <v>0</v>
      </c>
    </row>
    <row r="45" spans="1:26">
      <c r="A45" s="679"/>
      <c r="B45" s="1" t="s">
        <v>41</v>
      </c>
      <c r="C45" s="33">
        <f>E53</f>
        <v>12.578912449765744</v>
      </c>
      <c r="D45" s="541"/>
      <c r="E45" s="38"/>
      <c r="F45" s="541"/>
      <c r="G45" s="17">
        <f t="shared" si="1"/>
        <v>12.578912449765744</v>
      </c>
      <c r="H45" s="541"/>
      <c r="I45" s="35"/>
      <c r="J45" s="37"/>
      <c r="K45" s="35"/>
      <c r="L45" s="35"/>
      <c r="M45" s="35"/>
      <c r="N45" s="35"/>
      <c r="O45" s="35"/>
      <c r="P45" s="35"/>
      <c r="Q45" s="36">
        <f>G45-Bilan_E_KP_AMS_2025!H41</f>
        <v>0</v>
      </c>
      <c r="R45" s="498"/>
      <c r="S45" s="541"/>
      <c r="T45" s="84">
        <v>0</v>
      </c>
      <c r="U45" s="83">
        <v>0</v>
      </c>
      <c r="V45" s="84">
        <v>0</v>
      </c>
      <c r="W45" s="92">
        <v>0</v>
      </c>
      <c r="X45" s="84">
        <v>0</v>
      </c>
      <c r="Y45" s="489">
        <f t="shared" si="6"/>
        <v>0</v>
      </c>
      <c r="Z45" s="489">
        <f>Q45-Y45</f>
        <v>0</v>
      </c>
    </row>
    <row r="46" spans="1:26">
      <c r="A46" s="679"/>
      <c r="B46" s="1" t="s">
        <v>42</v>
      </c>
      <c r="C46" s="33">
        <f>Bilan_E_KP_AMS_2025!D18-C18-C34</f>
        <v>36.57002141097896</v>
      </c>
      <c r="D46" s="541"/>
      <c r="E46" s="511"/>
      <c r="F46" s="541"/>
      <c r="G46" s="17">
        <f>C46-E46</f>
        <v>36.57002141097896</v>
      </c>
      <c r="H46" s="541"/>
      <c r="I46" s="38"/>
      <c r="J46" s="37"/>
      <c r="K46" s="35"/>
      <c r="L46" s="35"/>
      <c r="M46" s="35"/>
      <c r="N46" s="35"/>
      <c r="O46" s="35"/>
      <c r="P46" s="35"/>
      <c r="Q46" s="36">
        <f>G46-(Bilan_E_KP_AMS_2025!D41+Bilan_E_KP_AMS_2025!D29+Bilan_E_KP_AMS_2025!D30)</f>
        <v>5.7659559812914587</v>
      </c>
      <c r="R46" s="498"/>
      <c r="S46" s="541"/>
      <c r="T46" s="506">
        <f>Bilan_E_KP_AMS_2025!D38</f>
        <v>0</v>
      </c>
      <c r="U46" s="93">
        <f>Bilan_E_KP_AMS_2025!D34</f>
        <v>5.7659559812914596</v>
      </c>
      <c r="V46" s="506">
        <f>Bilan_E_KP_AMS_2025!D36</f>
        <v>0</v>
      </c>
      <c r="W46" s="507">
        <f>Bilan_E_KP_AMS_2025!D37</f>
        <v>0</v>
      </c>
      <c r="X46" s="506">
        <f>Bilan_E_KP_AMS_2025!D35</f>
        <v>0</v>
      </c>
      <c r="Y46" s="489">
        <f t="shared" si="6"/>
        <v>5.7659559812914596</v>
      </c>
      <c r="Z46" s="489">
        <f>Q46-Y46</f>
        <v>0</v>
      </c>
    </row>
    <row r="47" spans="1:26">
      <c r="A47" s="90"/>
      <c r="B47" s="1" t="s">
        <v>31</v>
      </c>
      <c r="C47" s="33">
        <f>E57</f>
        <v>4.4048588394360317</v>
      </c>
      <c r="D47" s="192"/>
      <c r="E47" s="511"/>
      <c r="F47" s="192"/>
      <c r="G47" s="17">
        <f>C47-E47</f>
        <v>4.4048588394360317</v>
      </c>
      <c r="H47" s="192"/>
      <c r="I47" s="38"/>
      <c r="J47" s="37"/>
      <c r="K47" s="35"/>
      <c r="L47" s="35"/>
      <c r="M47" s="35"/>
      <c r="N47" s="35"/>
      <c r="O47" s="35"/>
      <c r="P47" s="35"/>
      <c r="Q47" s="544">
        <f>G47-Bilan_E_KP_AMS_2025!T41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C5-L13-SUM(L21:L24)-L30-L41-Bilan_E_KP_AMS_2025!U18</f>
        <v>0</v>
      </c>
      <c r="D49" s="1"/>
      <c r="E49" s="34">
        <f>SUM(E7:E47)+I13-Bilan_E_KP_AMS_2025!U32+K13+SUM(K21:K24)+K30+Bilan_E_KP_AMS_2025!D29+Bilan_E_KP_AMS_2025!D30</f>
        <v>2.5224267119483557E-13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477.16412264228097</v>
      </c>
    </row>
    <row r="52" spans="1:19">
      <c r="A52" s="21"/>
      <c r="B52" s="1" t="s">
        <v>44</v>
      </c>
      <c r="C52" s="44"/>
      <c r="D52" s="1"/>
      <c r="E52" s="39">
        <f>Bilan_E_KP_AMS_2025!D41+Bilan_E_KP_AMS_2025!D29+Bilan_E_KP_AMS_2025!D30</f>
        <v>30.804065429687501</v>
      </c>
      <c r="F52" s="187"/>
      <c r="G52" s="1"/>
      <c r="H52" s="1"/>
      <c r="I52" s="30"/>
      <c r="J52" s="17"/>
      <c r="K52" s="17"/>
      <c r="L52" s="21"/>
      <c r="M52" s="1"/>
      <c r="N52" s="17"/>
      <c r="O52" s="17"/>
      <c r="P52" s="17"/>
      <c r="Q52" s="1"/>
      <c r="S52" s="33"/>
    </row>
    <row r="53" spans="1:19">
      <c r="A53" s="21"/>
      <c r="B53" s="1" t="s">
        <v>41</v>
      </c>
      <c r="C53" s="45"/>
      <c r="D53" s="17"/>
      <c r="E53" s="433">
        <f>Bilan_E_KP_AMS_2025!H41+Bilan_E_KP_AMS_2025!H29</f>
        <v>12.578912449765744</v>
      </c>
      <c r="F53" s="187"/>
      <c r="G53" s="1"/>
      <c r="H53" s="1"/>
      <c r="I53" s="30"/>
      <c r="J53" s="17"/>
      <c r="K53" s="17"/>
      <c r="L53" s="21"/>
      <c r="M53" s="1"/>
      <c r="N53" s="17"/>
      <c r="O53" s="17"/>
      <c r="P53" s="17"/>
      <c r="Q53" s="1"/>
    </row>
    <row r="54" spans="1:19">
      <c r="A54" s="21"/>
      <c r="B54" s="1" t="s">
        <v>39</v>
      </c>
      <c r="C54" s="45"/>
      <c r="D54" s="17"/>
      <c r="E54" s="435">
        <f>Bilan_E_KP_AMS_2025!F41</f>
        <v>113.21942779139728</v>
      </c>
      <c r="F54" s="187"/>
      <c r="G54" s="1"/>
      <c r="H54" s="1"/>
      <c r="I54" s="30"/>
      <c r="J54" s="17"/>
      <c r="K54" s="17"/>
      <c r="L54" s="21"/>
      <c r="M54" s="21"/>
      <c r="N54" s="17"/>
      <c r="O54" s="17"/>
      <c r="P54" s="17"/>
      <c r="Q54" s="1"/>
    </row>
    <row r="55" spans="1:19">
      <c r="B55" s="1" t="s">
        <v>21</v>
      </c>
      <c r="E55" s="633">
        <f>Bilan_E_KP_AMS_2025!O41+Bilan_E_KP_AMS_2025!O29</f>
        <v>0.53337670416372851</v>
      </c>
    </row>
    <row r="56" spans="1:19">
      <c r="B56" s="1" t="s">
        <v>37</v>
      </c>
      <c r="E56" s="633">
        <f>Bilan_E_KP_AMS_2025!N41+Bilan_E_KP_AMS_2025!N29+Bilan_E_KP_AMS_2025!G41</f>
        <v>6.0152368288072022</v>
      </c>
    </row>
    <row r="57" spans="1:19">
      <c r="B57" s="1" t="s">
        <v>31</v>
      </c>
      <c r="E57" s="633">
        <f>Bilan_E_KP_AMS_2025!T41</f>
        <v>4.4048588394360317</v>
      </c>
    </row>
    <row r="58" spans="1:19">
      <c r="B58" s="1" t="s">
        <v>338</v>
      </c>
      <c r="E58" s="633">
        <f>Bilan_E_KP_AMS_2025!L41</f>
        <v>6.1881554531238177E-2</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84EDD-6D23-473E-9A9C-E67109EBD1BD}">
  <dimension ref="A1:Z59"/>
  <sheetViews>
    <sheetView topLeftCell="A13" zoomScale="55" zoomScaleNormal="55" workbookViewId="0">
      <selection activeCell="I48" sqref="I48"/>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2370.9680133394495</v>
      </c>
      <c r="D5" s="18"/>
      <c r="E5" s="20"/>
      <c r="F5" s="494"/>
      <c r="G5" s="21"/>
      <c r="H5" s="493"/>
      <c r="I5" s="21"/>
      <c r="J5" s="22"/>
      <c r="K5" s="23"/>
      <c r="L5" s="14"/>
      <c r="M5" s="14"/>
      <c r="N5" s="15"/>
      <c r="O5" s="16"/>
      <c r="P5" s="16"/>
      <c r="Q5" s="24">
        <f>Q13+Q22+Q30+Q42+Q46+Q38+Q43</f>
        <v>1327.8266239984782</v>
      </c>
      <c r="R5" s="487"/>
      <c r="S5" s="79">
        <f>SUM(S13,S22,S27:S32,S41)</f>
        <v>1325.4063653520575</v>
      </c>
      <c r="T5" s="79">
        <f>SUM(T8:T46)</f>
        <v>45.420868547805206</v>
      </c>
      <c r="U5" s="79">
        <f>SUM(U8:U46)</f>
        <v>279.62763193945756</v>
      </c>
      <c r="V5" s="79">
        <f>SUM(V8:V46)</f>
        <v>407.93995181112825</v>
      </c>
      <c r="W5" s="173">
        <f>SUM(W8:W46)</f>
        <v>187.79657559292869</v>
      </c>
      <c r="X5" s="79">
        <f>SUM(X8:X46)</f>
        <v>404.62133746073783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(([7]Offre_calc!$N$106+[7]Offre_calc!$N$107+[7]Offre_calc!$N$144+[7]Offre_calc!$N$145)/([7]Offre_calc!$N$103+[7]Offre_calc!$N$141))*Bilan_E_KP_AMS_2028!K$21</f>
        <v>71.232257021801743</v>
      </c>
      <c r="D7" s="518"/>
      <c r="E7" s="28">
        <v>0</v>
      </c>
      <c r="F7" s="518"/>
      <c r="G7" s="17">
        <f>C7-E7</f>
        <v>71.232257021801743</v>
      </c>
      <c r="H7" s="518"/>
      <c r="I7" s="21"/>
      <c r="J7" s="518"/>
      <c r="K7" s="525"/>
      <c r="L7" s="525"/>
      <c r="M7" s="525"/>
      <c r="N7" s="525"/>
      <c r="O7" s="525"/>
      <c r="P7" s="513"/>
      <c r="Q7" s="528"/>
      <c r="R7" s="498"/>
      <c r="S7" s="528"/>
      <c r="T7" s="525"/>
      <c r="U7" s="525"/>
      <c r="V7" s="525"/>
      <c r="W7" s="525"/>
      <c r="X7" s="525"/>
    </row>
    <row r="8" spans="1:24">
      <c r="A8" s="695"/>
      <c r="B8" s="1" t="s">
        <v>18</v>
      </c>
      <c r="C8" s="486">
        <f>(([7]Offre_calc!$N$105+[7]Offre_calc!$N$143)/([7]Offre_calc!$N$103+[7]Offre_calc!$N$141))*Bilan_E_KP_AMS_2028!K$21</f>
        <v>63.0500461708438</v>
      </c>
      <c r="D8" s="81"/>
      <c r="E8" s="28">
        <v>0</v>
      </c>
      <c r="F8" s="81"/>
      <c r="G8" s="17">
        <f t="shared" ref="G8:G19" si="0">C8-E8</f>
        <v>63.0500461708438</v>
      </c>
      <c r="H8" s="81"/>
      <c r="I8" s="21"/>
      <c r="J8" s="81"/>
      <c r="K8" s="526"/>
      <c r="L8" s="526"/>
      <c r="M8" s="526"/>
      <c r="N8" s="526"/>
      <c r="O8" s="526"/>
      <c r="P8" s="29"/>
      <c r="Q8" s="529"/>
      <c r="R8" s="498"/>
      <c r="S8" s="529"/>
      <c r="T8" s="526"/>
      <c r="U8" s="526"/>
      <c r="V8" s="526"/>
      <c r="W8" s="526"/>
      <c r="X8" s="526"/>
    </row>
    <row r="9" spans="1:24">
      <c r="A9" s="695"/>
      <c r="B9" s="1" t="s">
        <v>19</v>
      </c>
      <c r="C9" s="486">
        <f>(([7]Offre_calc!$N$104+[7]Offre_calc!$N$142)/([7]Offre_calc!$N$103+[7]Offre_calc!$N$141))*Bilan_E_KP_AMS_2028!K$21</f>
        <v>44.517956587778748</v>
      </c>
      <c r="D9" s="81"/>
      <c r="E9" s="28">
        <v>0</v>
      </c>
      <c r="F9" s="81"/>
      <c r="G9" s="17">
        <f t="shared" si="0"/>
        <v>44.517956587778748</v>
      </c>
      <c r="H9" s="81"/>
      <c r="I9" s="21"/>
      <c r="J9" s="81"/>
      <c r="K9" s="526"/>
      <c r="L9" s="526"/>
      <c r="M9" s="526"/>
      <c r="N9" s="526"/>
      <c r="O9" s="526"/>
      <c r="P9" s="29"/>
      <c r="Q9" s="529"/>
      <c r="R9" s="498"/>
      <c r="S9" s="529"/>
      <c r="T9" s="526"/>
      <c r="U9" s="526"/>
      <c r="V9" s="526"/>
      <c r="W9" s="526"/>
      <c r="X9" s="526"/>
    </row>
    <row r="10" spans="1:24">
      <c r="A10" s="695"/>
      <c r="B10" s="1" t="s">
        <v>20</v>
      </c>
      <c r="C10" s="17">
        <f>Bilan_E_KP_AMS_2028!J21-(Bilan_E_KP_AMS_2028!R20+Bilan_E_KP_AMS_2028!R19)</f>
        <v>1009.7815647558707</v>
      </c>
      <c r="D10" s="81"/>
      <c r="E10" s="28">
        <f>F13-SUM(E11:E19)</f>
        <v>673.81578943453337</v>
      </c>
      <c r="F10" s="81"/>
      <c r="G10" s="17">
        <f t="shared" si="0"/>
        <v>335.96577532133733</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Bilan_E_KP_AMS_2028!O21</f>
        <v>5.9376906009360688</v>
      </c>
      <c r="D11" s="81"/>
      <c r="E11" s="28">
        <f>C11*(1-[7]Offre_calc!$N$161)</f>
        <v>2.7194622952287193</v>
      </c>
      <c r="F11" s="81"/>
      <c r="G11" s="17">
        <f t="shared" si="0"/>
        <v>3.2182283057073495</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Bilan_E_KP_AMS_2028!M21</f>
        <v>10.280381489535124</v>
      </c>
      <c r="D12" s="81"/>
      <c r="E12" s="28">
        <f>C12*(1-[7]Offre_calc!$N$171)</f>
        <v>7.4018746724652891</v>
      </c>
      <c r="F12" s="81"/>
      <c r="G12" s="17">
        <f t="shared" si="0"/>
        <v>2.8785068170698347</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Bilan_E_KP_AMS_2028!L21</f>
        <v>29.565327526851199</v>
      </c>
      <c r="D13" s="81">
        <f>SUM(C7:C19)</f>
        <v>1279.0438788378085</v>
      </c>
      <c r="E13" s="28">
        <f>C13*(1-[7]Offre_calc!$N$170)</f>
        <v>21.287035819332864</v>
      </c>
      <c r="F13" s="81">
        <f>Bilan_E_KP_AMS_2028!U21</f>
        <v>726.82267572771525</v>
      </c>
      <c r="G13" s="17">
        <f t="shared" si="0"/>
        <v>8.2782917075183349</v>
      </c>
      <c r="H13" s="81">
        <f>SUM(G7:G19)</f>
        <v>552.22120311009326</v>
      </c>
      <c r="I13" s="33">
        <f>Bilan_E_KP_AMS_2028!R30</f>
        <v>26.004010207915542</v>
      </c>
      <c r="J13" s="81">
        <f>H13-I13</f>
        <v>526.21719290217766</v>
      </c>
      <c r="K13" s="29">
        <f>Bilan_E_KP_AMS_2028!R31</f>
        <v>39.257968517902221</v>
      </c>
      <c r="L13" s="29">
        <f>-(Bilan_E_KP_AMS_2028!R14+Bilan_E_KP_AMS_2028!R13)</f>
        <v>39.63136742270666</v>
      </c>
      <c r="M13" s="29">
        <f>Bilan_E_KP_AMS_2028!R28</f>
        <v>16.613212092757209</v>
      </c>
      <c r="N13" s="29"/>
      <c r="O13" s="29"/>
      <c r="P13" s="29"/>
      <c r="Q13" s="81">
        <f>J13-K13-L13-M13-N13-O13-P13</f>
        <v>430.71464486881155</v>
      </c>
      <c r="R13" s="508">
        <f>Q13-S13</f>
        <v>0</v>
      </c>
      <c r="S13" s="81">
        <f>SUM(T8:X19)</f>
        <v>430.71464486881143</v>
      </c>
      <c r="T13" s="29">
        <f>Bilan_E_KP_AMS_2028!R38</f>
        <v>7.7920110174976385</v>
      </c>
      <c r="U13" s="29">
        <f>Bilan_E_KP_AMS_2028!R34+Bilan_E_KP_AMS_2028!R39</f>
        <v>124.0609713055903</v>
      </c>
      <c r="V13" s="29">
        <f>Bilan_E_KP_AMS_2028!R36</f>
        <v>167.36963395676293</v>
      </c>
      <c r="W13" s="29">
        <f>Bilan_E_KP_AMS_2028!R37</f>
        <v>106.66141597563889</v>
      </c>
      <c r="X13" s="29">
        <f>Bilan_E_KP_AMS_2028!R35</f>
        <v>24.830612613321723</v>
      </c>
    </row>
    <row r="14" spans="1:24">
      <c r="A14" s="695"/>
      <c r="B14" s="1" t="s">
        <v>24</v>
      </c>
      <c r="C14" s="17">
        <f>Bilan_E_KP_AMS_2028!Q21</f>
        <v>0.1274458438995901</v>
      </c>
      <c r="D14" s="81"/>
      <c r="E14" s="28">
        <v>0</v>
      </c>
      <c r="F14" s="81"/>
      <c r="G14" s="17">
        <f t="shared" si="0"/>
        <v>0.1274458438995901</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Bilan_E_KP_AMS_2028!N21</f>
        <v>4.867247129818443</v>
      </c>
      <c r="D16" s="81"/>
      <c r="E16" s="28">
        <f>C16*(1-[7]Offre_calc!$N$158)</f>
        <v>2.7256583926983282</v>
      </c>
      <c r="F16" s="81"/>
      <c r="G16" s="17">
        <f t="shared" si="0"/>
        <v>2.1415887371201148</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Bilan_E_KP_AMS_2028!F21</f>
        <v>2.4215350266049294</v>
      </c>
      <c r="D17" s="81"/>
      <c r="E17" s="28">
        <f>C17*(1-[7]Offre_calc!$N$158)</f>
        <v>1.3560596148987605</v>
      </c>
      <c r="F17" s="81"/>
      <c r="G17" s="17">
        <f t="shared" si="0"/>
        <v>1.0654754117061689</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Bilan_E_KP_AMS_2028!D21</f>
        <v>2.0126474031919526</v>
      </c>
      <c r="D18" s="81"/>
      <c r="E18" s="28">
        <f>C18*(1-[7]Offre_calc!$N$157)</f>
        <v>1.372396588008252</v>
      </c>
      <c r="F18" s="81"/>
      <c r="G18" s="17">
        <f t="shared" si="0"/>
        <v>0.64025081518370053</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Bilan_E_KP_AMS_2028!H21+Bilan_E_KP_AMS_2028!T21</f>
        <v>35.249779280676243</v>
      </c>
      <c r="D19" s="82"/>
      <c r="E19" s="28">
        <f>C19*(1-[7]Offre_calc!$N$160)</f>
        <v>16.144398910549718</v>
      </c>
      <c r="F19" s="82"/>
      <c r="G19" s="17">
        <f t="shared" si="0"/>
        <v>19.105380370126525</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0.33271133782538592</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Bilan_E_KP_AMS_2028!L23+Bilan_E_KP_AMS_2028!O12</f>
        <v>35.111444076693537</v>
      </c>
      <c r="D21" s="531"/>
      <c r="E21" s="33">
        <f>Bilan_E_KP_AMS_2028!U23+Bilan_E_KP_AMS_2028!O30</f>
        <v>3.1747025280642287</v>
      </c>
      <c r="F21" s="531"/>
      <c r="G21" s="17">
        <f t="shared" ref="G21:G45" si="1">C21-E21</f>
        <v>31.936741548629307</v>
      </c>
      <c r="H21" s="531"/>
      <c r="I21" s="17"/>
      <c r="J21" s="531"/>
      <c r="K21" s="547">
        <f>Bilan_E_KP_AMS_2028!O31</f>
        <v>0.32654700954617205</v>
      </c>
      <c r="L21" s="547">
        <f>-(Bilan_E_KP_AMS_2028!O13+Bilan_E_KP_AMS_2028!O14+Bilan_E_KP_AMS_2028!O15+Bilan_E_KP_AMS_2028!O16)</f>
        <v>0.15662240166829164</v>
      </c>
      <c r="M21" s="547">
        <f>Bilan_E_KP_AMS_2028!O28</f>
        <v>0</v>
      </c>
      <c r="N21" s="547">
        <f>Bilan_E_KP_AMS_2028!O22</f>
        <v>3.9361494776423425</v>
      </c>
      <c r="O21" s="547">
        <f>Bilan_E_KP_AMS_2028!O21</f>
        <v>5.9376906009360688</v>
      </c>
      <c r="P21" s="547">
        <f>C36</f>
        <v>0.80349139394028601</v>
      </c>
      <c r="Q21" s="531"/>
      <c r="R21" s="508"/>
      <c r="S21" s="531"/>
      <c r="T21" s="531"/>
      <c r="U21" s="531"/>
      <c r="V21" s="531"/>
      <c r="W21" s="531"/>
      <c r="X21" s="531"/>
    </row>
    <row r="22" spans="1:24">
      <c r="A22" s="696"/>
      <c r="B22" s="1" t="s">
        <v>524</v>
      </c>
      <c r="C22" s="17">
        <f>Bilan_E_KP_AMS_2028!T24</f>
        <v>0</v>
      </c>
      <c r="D22" s="85">
        <f>SUM(C21:C24)</f>
        <v>310.44968000952178</v>
      </c>
      <c r="E22" s="632">
        <f>Bilan_E_KP_AMS_2028!I30+Bilan_E_KP_AMS_2028!U24</f>
        <v>0</v>
      </c>
      <c r="F22" s="85">
        <f>SUM(E21:E24)</f>
        <v>14.124486078747591</v>
      </c>
      <c r="G22" s="17">
        <f t="shared" si="1"/>
        <v>0</v>
      </c>
      <c r="H22" s="85">
        <f>SUM(G21:G24)</f>
        <v>296.32519393077422</v>
      </c>
      <c r="I22" s="408"/>
      <c r="J22" s="85">
        <f>H22-I22</f>
        <v>296.32519393077422</v>
      </c>
      <c r="K22" s="628">
        <f>Bilan_E_KP_AMS_2028!I31</f>
        <v>0</v>
      </c>
      <c r="L22" s="628">
        <f>-SUM(Bilan_E_KP_AMS_2028!I13:I16)</f>
        <v>0</v>
      </c>
      <c r="M22" s="32"/>
      <c r="N22" s="32"/>
      <c r="O22" s="32"/>
      <c r="P22" s="32"/>
      <c r="Q22" s="85">
        <f>J22-SUM(K21:P24)</f>
        <v>227.48084101665896</v>
      </c>
      <c r="R22" s="508">
        <f>Q22-S22</f>
        <v>-5.6682988460465822E-4</v>
      </c>
      <c r="S22" s="85">
        <f>SUM(T22:X24)</f>
        <v>227.48140784654356</v>
      </c>
      <c r="T22" s="32">
        <f>Bilan_E_KP_AMS_2028!H38+Bilan_E_KP_AMS_2028!T38+Bilan_E_KP_AMS_2028!O$38+Bilan_E_KP_AMS_2028!I38</f>
        <v>2.3124927861863971</v>
      </c>
      <c r="U22" s="32">
        <f>Bilan_E_KP_AMS_2028!H34+Bilan_E_KP_AMS_2028!T34+Bilan_E_KP_AMS_2028!O$34+Bilan_E_KP_AMS_2028!I34</f>
        <v>91.707904356257487</v>
      </c>
      <c r="V22" s="32">
        <f>Bilan_E_KP_AMS_2028!H36+Bilan_E_KP_AMS_2028!T36+Bilan_E_KP_AMS_2028!O$36+Bilan_E_KP_AMS_2028!I36</f>
        <v>89.129735126685716</v>
      </c>
      <c r="W22" s="32">
        <f>Bilan_E_KP_AMS_2028!H37+Bilan_E_KP_AMS_2028!M37+Bilan_E_KP_AMS_2028!T37+Bilan_E_KP_AMS_2028!O$37+Bilan_E_KP_AMS_2028!I37</f>
        <v>38.947084563718889</v>
      </c>
      <c r="X22" s="32">
        <f>Bilan_E_KP_AMS_2028!H35+Bilan_E_KP_AMS_2028!T35+Bilan_E_KP_AMS_2028!O$35+Bilan_E_KP_AMS_2028!I35</f>
        <v>5.3841910136950872</v>
      </c>
    </row>
    <row r="23" spans="1:24">
      <c r="A23" s="696"/>
      <c r="B23" s="1" t="s">
        <v>31</v>
      </c>
      <c r="C23" s="17">
        <f>SUM(Bilan_E_KP_AMS_2028!D28:S28)-C47</f>
        <v>9.0602942270561684</v>
      </c>
      <c r="D23" s="532"/>
      <c r="E23" s="33">
        <f>Bilan_E_KP_AMS_2028!U28</f>
        <v>5.8146242324650217</v>
      </c>
      <c r="F23" s="534"/>
      <c r="G23" s="17">
        <f t="shared" si="1"/>
        <v>3.2456699945911467</v>
      </c>
      <c r="H23" s="534"/>
      <c r="I23" s="17"/>
      <c r="J23" s="534"/>
      <c r="K23" s="536">
        <f>Bilan_E_KP_AMS_2028!T31</f>
        <v>0</v>
      </c>
      <c r="L23" s="536">
        <f>-(Bilan_E_KP_AMS_2028!T13+Bilan_E_KP_AMS_2028!T14+Bilan_E_KP_AMS_2028!T15+Bilan_E_KP_AMS_2028!T16)</f>
        <v>0</v>
      </c>
      <c r="M23" s="536">
        <f>Bilan_E_KP_AMS_2028!T24</f>
        <v>0</v>
      </c>
      <c r="N23" s="536">
        <f>Bilan_E_KP_AMS_2028!T22</f>
        <v>0</v>
      </c>
      <c r="O23" s="536">
        <f>Bilan_E_KP_AMS_2028!T21</f>
        <v>0</v>
      </c>
      <c r="P23" s="536">
        <f>Bilan_E_KP_AMS_2028!T27</f>
        <v>1.3385382647332955</v>
      </c>
      <c r="Q23" s="534"/>
      <c r="R23" s="489"/>
      <c r="S23" s="534"/>
      <c r="T23" s="538"/>
      <c r="U23" s="538"/>
      <c r="V23" s="538"/>
      <c r="W23" s="538"/>
      <c r="X23" s="538"/>
    </row>
    <row r="24" spans="1:24">
      <c r="A24" s="696"/>
      <c r="B24" s="1" t="s">
        <v>32</v>
      </c>
      <c r="C24" s="17">
        <f>Bilan_E_KP_AMS_2028!H18-C45-(Bilan_E_KP_AMS_2028!H20+Bilan_E_KP_AMS_2028!H19)</f>
        <v>266.27794170577209</v>
      </c>
      <c r="D24" s="533"/>
      <c r="E24" s="33">
        <f>Bilan_E_KP_AMS_2028!H30</f>
        <v>5.1351593182183395</v>
      </c>
      <c r="F24" s="535"/>
      <c r="G24" s="17">
        <f t="shared" si="1"/>
        <v>261.14278238755378</v>
      </c>
      <c r="H24" s="535"/>
      <c r="I24" s="34"/>
      <c r="J24" s="535"/>
      <c r="K24" s="537">
        <f>Bilan_E_KP_AMS_2028!H31</f>
        <v>3.2228770072600459</v>
      </c>
      <c r="L24" s="537"/>
      <c r="M24" s="537">
        <f>Bilan_E_KP_AMS_2028!H28</f>
        <v>0</v>
      </c>
      <c r="N24" s="537">
        <f>Bilan_E_KP_AMS_2028!H22</f>
        <v>17.872657477712522</v>
      </c>
      <c r="O24" s="537">
        <f>Bilan_E_KP_AMS_2028!H21</f>
        <v>35.249779280676243</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Bilan_E_KP_AMS_2028!O22</f>
        <v>3.9361494776423425</v>
      </c>
      <c r="D26" s="512"/>
      <c r="E26" s="190">
        <f>C26*F$35</f>
        <v>0.35628744462129547</v>
      </c>
      <c r="F26" s="512"/>
      <c r="G26" s="33">
        <f t="shared" ref="G26:G31" si="2">C26-E26</f>
        <v>3.5798620330210471</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Bilan_E_KP_AMS_2028!M18-Bilan_E_KP_AMS_2028!M21-(Bilan_E_KP_AMS_2028!S20+Bilan_E_KP_AMS_2028!S19+Bilan_E_KP_AMS_2028!M20+Bilan_E_KP_AMS_2028!M19)</f>
        <v>18.272934200797707</v>
      </c>
      <c r="D27" s="87"/>
      <c r="E27" s="190">
        <f t="shared" ref="E27:E34" si="3">C27*F$35</f>
        <v>1.6540065536420812</v>
      </c>
      <c r="F27" s="87"/>
      <c r="G27" s="33">
        <f t="shared" si="2"/>
        <v>16.618927647155626</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Bilan_E_KP_AMS_2028!L22</f>
        <v>30.795424710415574</v>
      </c>
      <c r="D29" s="87"/>
      <c r="E29" s="190">
        <f t="shared" si="3"/>
        <v>2.7875016531824999</v>
      </c>
      <c r="F29" s="87"/>
      <c r="G29" s="33">
        <f t="shared" si="2"/>
        <v>28.007923057233075</v>
      </c>
      <c r="H29" s="87"/>
      <c r="I29" s="1"/>
      <c r="J29" s="87"/>
      <c r="K29" s="87"/>
      <c r="L29" s="87"/>
      <c r="M29" s="87"/>
      <c r="N29" s="87"/>
      <c r="O29" s="87"/>
      <c r="P29" s="87"/>
      <c r="Q29" s="87"/>
      <c r="R29" s="508"/>
      <c r="S29" s="87"/>
      <c r="T29" s="87"/>
      <c r="U29" s="87"/>
      <c r="V29" s="87"/>
      <c r="W29" s="87"/>
      <c r="X29" s="87"/>
    </row>
    <row r="30" spans="1:24">
      <c r="A30" s="697"/>
      <c r="B30" s="1" t="s">
        <v>24</v>
      </c>
      <c r="C30" s="17">
        <f>Bilan_E_KP_AMS_2028!Q22</f>
        <v>6.7289973607209745</v>
      </c>
      <c r="D30" s="86">
        <f>SUM(C26:C34)</f>
        <v>77.683435954561858</v>
      </c>
      <c r="E30" s="190">
        <f t="shared" si="3"/>
        <v>0.60908694858578794</v>
      </c>
      <c r="F30" s="86">
        <f>Bilan_E_KP_AMS_2028!U22</f>
        <v>7.0316518828525636</v>
      </c>
      <c r="G30" s="33">
        <f t="shared" si="2"/>
        <v>6.1199104121351864</v>
      </c>
      <c r="H30" s="86">
        <f>SUM(G26:G34)</f>
        <v>70.651784071709287</v>
      </c>
      <c r="I30" s="1"/>
      <c r="J30" s="86">
        <f>H30</f>
        <v>70.651784071709287</v>
      </c>
      <c r="K30" s="87">
        <f>Bilan_E_KP_AMS_2028!S31</f>
        <v>5.2865527205622431</v>
      </c>
      <c r="L30" s="87"/>
      <c r="M30" s="87">
        <f>Bilan_E_KP_AMS_2028!M28</f>
        <v>0</v>
      </c>
      <c r="N30" s="87"/>
      <c r="O30" s="87"/>
      <c r="P30" s="87"/>
      <c r="Q30" s="86">
        <f>J30-K30-L30-M30-N30-O30-P30</f>
        <v>65.365231351147045</v>
      </c>
      <c r="R30" s="508">
        <f>Q30-S30</f>
        <v>5.6682988467571249E-4</v>
      </c>
      <c r="S30" s="86">
        <f>SUM(T27:X34)</f>
        <v>65.36466452126237</v>
      </c>
      <c r="T30" s="87">
        <f>Bilan_E_KP_AMS_2028!S$38</f>
        <v>0</v>
      </c>
      <c r="U30" s="87">
        <f>Bilan_E_KP_AMS_2028!S$34+Bilan_E_KP_AMS_2028!M34</f>
        <v>20.57103205416584</v>
      </c>
      <c r="V30" s="87">
        <f>Bilan_E_KP_AMS_2028!S$36</f>
        <v>28.222608960163477</v>
      </c>
      <c r="W30" s="87">
        <f>Bilan_E_KP_AMS_2028!S$37</f>
        <v>16.571023506933056</v>
      </c>
      <c r="X30" s="87">
        <f>Bilan_E_KP_AMS_2028!S$35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Bilan_E_KP_AMS_2028!H22</f>
        <v>17.872657477712522</v>
      </c>
      <c r="D32" s="86"/>
      <c r="E32" s="190">
        <f t="shared" si="3"/>
        <v>1.6177748069517017</v>
      </c>
      <c r="F32" s="86"/>
      <c r="G32" s="33">
        <f>C32-E32</f>
        <v>16.254882670760821</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Bilan_E_KP_AMS_2028!F22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Bilan_E_KP_AMS_2028!D22</f>
        <v>7.7272727272727285E-2</v>
      </c>
      <c r="D34" s="88"/>
      <c r="E34" s="190">
        <f t="shared" si="3"/>
        <v>6.9944758691961231E-3</v>
      </c>
      <c r="F34" s="88"/>
      <c r="G34" s="33">
        <f t="shared" si="4"/>
        <v>7.0278251403531167E-2</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9.0516746542538051E-2</v>
      </c>
      <c r="G35" s="17"/>
      <c r="H35" s="501"/>
      <c r="I35" s="1"/>
      <c r="J35" s="1"/>
      <c r="K35" s="1"/>
      <c r="L35" s="1"/>
      <c r="M35" s="1"/>
      <c r="N35" s="1"/>
      <c r="O35" s="1"/>
      <c r="P35" s="1"/>
      <c r="Q35" s="502"/>
      <c r="R35" s="508"/>
      <c r="U35" s="33"/>
      <c r="V35" s="33"/>
      <c r="W35" s="33"/>
    </row>
    <row r="36" spans="1:26">
      <c r="A36" s="679" t="s">
        <v>34</v>
      </c>
      <c r="B36" s="1" t="s">
        <v>21</v>
      </c>
      <c r="C36" s="33">
        <f>E55</f>
        <v>0.80349139394028601</v>
      </c>
      <c r="D36" s="540"/>
      <c r="E36" s="17"/>
      <c r="F36" s="540"/>
      <c r="G36" s="17">
        <f t="shared" ref="G36:G42" si="5">C36-E36</f>
        <v>0.80349139394028601</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0.80349139394028601</v>
      </c>
    </row>
    <row r="37" spans="1:26">
      <c r="A37" s="679"/>
      <c r="B37" s="1" t="s">
        <v>23</v>
      </c>
      <c r="C37" s="33">
        <f>SUM(T37:X37)+E58</f>
        <v>73.324625027494662</v>
      </c>
      <c r="D37" s="541"/>
      <c r="E37" s="504"/>
      <c r="F37" s="541"/>
      <c r="G37" s="17">
        <f t="shared" si="5"/>
        <v>73.324625027494662</v>
      </c>
      <c r="H37" s="541"/>
      <c r="I37" s="498"/>
      <c r="J37" s="37"/>
      <c r="K37" s="35"/>
      <c r="L37" s="35"/>
      <c r="M37" s="505"/>
      <c r="N37" s="35"/>
      <c r="P37" s="35"/>
      <c r="Q37" s="543"/>
      <c r="R37" s="508"/>
      <c r="S37" s="541"/>
      <c r="T37" s="506">
        <f>Bilan_E_KP_AMS_2028!L38</f>
        <v>1.8335004892905753</v>
      </c>
      <c r="U37" s="93">
        <f>Bilan_E_KP_AMS_2028!L34</f>
        <v>19.904086757615648</v>
      </c>
      <c r="V37" s="506">
        <f>Bilan_E_KP_AMS_2028!L36</f>
        <v>51.076854442173044</v>
      </c>
      <c r="W37" s="507">
        <f>Bilan_E_KP_AMS_2028!L37</f>
        <v>0.41502991649093068</v>
      </c>
      <c r="X37" s="506">
        <f>Bilan_E_KP_AMS_2028!L35</f>
        <v>0</v>
      </c>
      <c r="Y37" s="489">
        <f t="shared" ref="Y37:Y47" si="6">SUM(T37:X37)</f>
        <v>73.229471605570211</v>
      </c>
      <c r="Z37" s="489">
        <f t="shared" ref="Z37:Z44" si="7">G37-Y37</f>
        <v>9.5153421924450754E-2</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202.02281075899268</v>
      </c>
      <c r="R38" s="508"/>
      <c r="S38" s="541"/>
      <c r="T38" s="84">
        <v>0</v>
      </c>
      <c r="U38" s="83">
        <v>0</v>
      </c>
      <c r="V38" s="84">
        <v>0</v>
      </c>
      <c r="W38" s="91">
        <v>0</v>
      </c>
      <c r="X38" s="91">
        <v>0</v>
      </c>
      <c r="Y38" s="489">
        <f t="shared" si="6"/>
        <v>0</v>
      </c>
      <c r="Z38" s="489">
        <f t="shared" si="7"/>
        <v>0</v>
      </c>
    </row>
    <row r="39" spans="1:26">
      <c r="A39" s="679"/>
      <c r="B39" s="1" t="s">
        <v>35</v>
      </c>
      <c r="C39" s="33">
        <f>SUM(T39:X39)</f>
        <v>3.0614833803630699</v>
      </c>
      <c r="D39" s="541"/>
      <c r="E39" s="35"/>
      <c r="F39" s="541"/>
      <c r="G39" s="17">
        <f t="shared" si="5"/>
        <v>3.0614833803630699</v>
      </c>
      <c r="H39" s="541"/>
      <c r="I39" s="35"/>
      <c r="J39" s="37"/>
      <c r="K39" s="35"/>
      <c r="L39" s="35"/>
      <c r="M39" s="37"/>
      <c r="N39" s="35"/>
      <c r="O39" s="35"/>
      <c r="P39" s="35"/>
      <c r="Q39" s="543"/>
      <c r="R39" s="508"/>
      <c r="S39" s="541"/>
      <c r="T39" s="84">
        <f>Bilan_E_KP_AMS_2028!Q38</f>
        <v>0.5193752668696392</v>
      </c>
      <c r="U39" s="83">
        <f>Bilan_E_KP_AMS_2028!Q34</f>
        <v>5.2671642446208732E-4</v>
      </c>
      <c r="V39" s="84">
        <f>Bilan_E_KP_AMS_2028!Q36</f>
        <v>1.6849133946274748</v>
      </c>
      <c r="W39" s="91">
        <f>Bilan_E_KP_AMS_2028!Q37</f>
        <v>0.85666800244149366</v>
      </c>
      <c r="X39" s="91">
        <f>Bilan_E_KP_AMS_2028!Q35</f>
        <v>0</v>
      </c>
      <c r="Y39" s="489">
        <f t="shared" si="6"/>
        <v>3.0614833803630699</v>
      </c>
      <c r="Z39" s="489">
        <f t="shared" si="7"/>
        <v>0</v>
      </c>
    </row>
    <row r="40" spans="1:26">
      <c r="A40" s="679"/>
      <c r="B40" s="1" t="s">
        <v>36</v>
      </c>
      <c r="C40" s="33">
        <f>Bilan_E_KP_AMS_2028!P12</f>
        <v>79.93802880459161</v>
      </c>
      <c r="D40" s="541"/>
      <c r="E40" s="35"/>
      <c r="F40" s="541"/>
      <c r="G40" s="17">
        <f t="shared" si="5"/>
        <v>79.93802880459161</v>
      </c>
      <c r="H40" s="541"/>
      <c r="I40" s="35"/>
      <c r="J40" s="37"/>
      <c r="K40" s="35"/>
      <c r="L40" s="35"/>
      <c r="M40" s="37"/>
      <c r="N40" s="35"/>
      <c r="O40" s="35"/>
      <c r="P40" s="35"/>
      <c r="Q40" s="543"/>
      <c r="R40" s="508"/>
      <c r="S40" s="541"/>
      <c r="T40" s="83">
        <f>Bilan_E_KP_AMS_2028!P$38</f>
        <v>0.4</v>
      </c>
      <c r="U40" s="83">
        <f>Bilan_E_KP_AMS_2028!P$34</f>
        <v>2.8483193359375001</v>
      </c>
      <c r="V40" s="83">
        <f>Bilan_E_KP_AMS_2028!P$36</f>
        <v>62.835725387811195</v>
      </c>
      <c r="W40" s="83">
        <f>Bilan_E_KP_AMS_2028!P$37</f>
        <v>13.853984080842906</v>
      </c>
      <c r="X40" s="84">
        <f>Bilan_E_KP_AMS_2028!P$35</f>
        <v>0</v>
      </c>
      <c r="Y40" s="489">
        <f t="shared" si="6"/>
        <v>79.938028804591596</v>
      </c>
      <c r="Z40" s="489">
        <f t="shared" si="7"/>
        <v>0</v>
      </c>
    </row>
    <row r="41" spans="1:26">
      <c r="A41" s="679"/>
      <c r="B41" s="1" t="s">
        <v>37</v>
      </c>
      <c r="C41" s="33">
        <f>Bilan_E_KP_AMS_2028!N12+Bilan_E_KP_AMS_2028!L26-Bilan_E_KP_AMS_2028!N21+Bilan_E_KP_AMS_2028!T27</f>
        <v>54.219918614322069</v>
      </c>
      <c r="D41" s="191">
        <f>SUM(C36:C47)</f>
        <v>785.54253712595585</v>
      </c>
      <c r="E41" s="511">
        <f>Bilan_E_KP_AMS_2028!U27</f>
        <v>0.37746779065478941</v>
      </c>
      <c r="F41" s="191">
        <f>SUM(E36:E47)</f>
        <v>29.777724061683383</v>
      </c>
      <c r="G41" s="17">
        <f t="shared" si="5"/>
        <v>53.842450823667278</v>
      </c>
      <c r="H41" s="191">
        <f>SUM(G36:G47)</f>
        <v>755.76481306427252</v>
      </c>
      <c r="I41" s="35"/>
      <c r="J41" s="37"/>
      <c r="K41" s="35"/>
      <c r="L41" s="37">
        <f>-(SUM(Bilan_E_KP_AMS_2028!N13:N16)+SUM(Bilan_E_KP_AMS_2028!G13:G16))</f>
        <v>-0.26124797738420713</v>
      </c>
      <c r="M41" s="35"/>
      <c r="N41" s="35"/>
      <c r="O41" s="35"/>
      <c r="P41" s="35"/>
      <c r="Q41" s="543"/>
      <c r="R41" s="508">
        <f>SUM(Q36:Q47)-S41</f>
        <v>2.4202586464207343</v>
      </c>
      <c r="S41" s="191">
        <f>SUM(T36:X46)</f>
        <v>601.84564811543999</v>
      </c>
      <c r="T41" s="83">
        <f>Bilan_E_KP_AMS_2028!N$38+Bilan_E_KP_AMS_2028!G$38</f>
        <v>3.9645164071396528</v>
      </c>
      <c r="U41" s="83">
        <f>Bilan_E_KP_AMS_2028!N$34+Bilan_E_KP_AMS_2028!G$34</f>
        <v>0.94250728115234383</v>
      </c>
      <c r="V41" s="83">
        <f>Bilan_E_KP_AMS_2028!N$36+Bilan_E_KP_AMS_2028!G$36</f>
        <v>0</v>
      </c>
      <c r="W41" s="83">
        <f>Bilan_E_KP_AMS_2028!N$37+Bilan_E_KP_AMS_2028!G$37</f>
        <v>0</v>
      </c>
      <c r="X41" s="84">
        <f>Bilan_E_KP_AMS_2028!N$35+Bilan_E_KP_AMS_2028!G$35</f>
        <v>38.46654463375507</v>
      </c>
      <c r="Y41" s="489">
        <f t="shared" si="6"/>
        <v>43.373568322047063</v>
      </c>
      <c r="Z41" s="489">
        <f>G41-Y41-L41</f>
        <v>10.730130479004421</v>
      </c>
    </row>
    <row r="42" spans="1:26">
      <c r="A42" s="679"/>
      <c r="B42" s="1" t="s">
        <v>38</v>
      </c>
      <c r="C42" s="33">
        <f>Bilan_E_KP_AMS_2028!E18+Bilan_E_KP_AMS_2028!F18-Bilan_E_KP_AMS_2028!F21-Bilan_E_KP_AMS_2028!F22-E54-SUM(T43:X43)-(Bilan_E_KP_AMS_2028!E20+Bilan_E_KP_AMS_2028!F20+Bilan_E_KP_AMS_2028!E19+Bilan_E_KP_AMS_2028!F19)</f>
        <v>365.34024547099443</v>
      </c>
      <c r="D42" s="541"/>
      <c r="E42" s="17">
        <f>Bilan_E_KP_AMS_2028!F30+Bilan_E_KP_AMS_2028!U25+Bilan_E_KP_AMS_2028!F29+Bilan_E_KP_AMS_2028!E29</f>
        <v>29.400256271028592</v>
      </c>
      <c r="F42" s="541"/>
      <c r="G42" s="17">
        <f t="shared" si="5"/>
        <v>335.93998919996585</v>
      </c>
      <c r="H42" s="541"/>
      <c r="I42" s="498"/>
      <c r="J42" s="37"/>
      <c r="K42" s="35"/>
      <c r="L42" s="35"/>
      <c r="M42" s="35"/>
      <c r="N42" s="35"/>
      <c r="O42" s="35"/>
      <c r="P42" s="35"/>
      <c r="Q42" s="36">
        <f>G42</f>
        <v>335.93998919996585</v>
      </c>
      <c r="R42" s="508"/>
      <c r="S42" s="541"/>
      <c r="T42" s="83">
        <v>0</v>
      </c>
      <c r="U42" s="83">
        <v>0</v>
      </c>
      <c r="V42" s="83">
        <v>0</v>
      </c>
      <c r="W42" s="83">
        <v>0</v>
      </c>
      <c r="X42" s="84">
        <f>Bilan_E_KP_AMS_2028!F35</f>
        <v>335.93998919996596</v>
      </c>
      <c r="Y42" s="489">
        <f t="shared" si="6"/>
        <v>335.93998919996596</v>
      </c>
      <c r="Z42" s="489">
        <f>Q42-SUM(T42:X42)</f>
        <v>0</v>
      </c>
    </row>
    <row r="43" spans="1:26">
      <c r="A43" s="679"/>
      <c r="B43" s="1" t="s">
        <v>39</v>
      </c>
      <c r="C43" s="33">
        <f>Bilan_E_KP_AMS_2028!F41+SUM(T43:X43)</f>
        <v>164.26447813997359</v>
      </c>
      <c r="D43" s="541"/>
      <c r="E43" s="38"/>
      <c r="F43" s="541"/>
      <c r="G43" s="17">
        <f>C43-E43</f>
        <v>164.26447813997359</v>
      </c>
      <c r="H43" s="541"/>
      <c r="I43" s="35"/>
      <c r="J43" s="37"/>
      <c r="K43" s="35"/>
      <c r="L43" s="35"/>
      <c r="M43" s="35"/>
      <c r="N43" s="35"/>
      <c r="O43" s="35"/>
      <c r="P43" s="35"/>
      <c r="Q43" s="36">
        <f>G43-Bilan_E_KP_AMS_2028!F41</f>
        <v>61.996373611984808</v>
      </c>
      <c r="R43" s="508"/>
      <c r="S43" s="541"/>
      <c r="T43" s="83">
        <f>Bilan_E_KP_AMS_2028!F38</f>
        <v>28.598972580821304</v>
      </c>
      <c r="U43" s="83">
        <f>Bilan_E_KP_AMS_2028!F34</f>
        <v>15.285550941396558</v>
      </c>
      <c r="V43" s="83">
        <f>Bilan_E_KP_AMS_2028!F36</f>
        <v>7.6204805429044127</v>
      </c>
      <c r="W43" s="83">
        <f>Bilan_E_KP_AMS_2028!F37</f>
        <v>10.491369546862531</v>
      </c>
      <c r="X43" s="84">
        <v>0</v>
      </c>
      <c r="Y43" s="489">
        <f t="shared" si="6"/>
        <v>61.996373611984801</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G44-Bilan_E_KP_AMS_2028!M41</f>
        <v>0</v>
      </c>
      <c r="R44" s="498"/>
      <c r="S44" s="541"/>
      <c r="T44" s="83">
        <f>Bilan_E_KP_AMS_2028!M$38</f>
        <v>0</v>
      </c>
      <c r="U44" s="83">
        <v>0</v>
      </c>
      <c r="V44" s="83">
        <f>Bilan_E_KP_AMS_2028!M$36</f>
        <v>0</v>
      </c>
      <c r="W44" s="83">
        <v>0</v>
      </c>
      <c r="X44" s="84">
        <f>Bilan_E_KP_AMS_2028!M$35</f>
        <v>0</v>
      </c>
      <c r="Y44" s="489">
        <f t="shared" si="6"/>
        <v>0</v>
      </c>
      <c r="Z44" s="489">
        <f t="shared" si="7"/>
        <v>0</v>
      </c>
    </row>
    <row r="45" spans="1:26">
      <c r="A45" s="679"/>
      <c r="B45" s="1" t="s">
        <v>41</v>
      </c>
      <c r="C45" s="33">
        <f>E53</f>
        <v>11.237851565782758</v>
      </c>
      <c r="D45" s="541"/>
      <c r="E45" s="38"/>
      <c r="F45" s="541"/>
      <c r="G45" s="17">
        <f t="shared" si="1"/>
        <v>11.237851565782758</v>
      </c>
      <c r="H45" s="541"/>
      <c r="I45" s="35"/>
      <c r="J45" s="37"/>
      <c r="K45" s="35"/>
      <c r="L45" s="35"/>
      <c r="M45" s="35"/>
      <c r="N45" s="35"/>
      <c r="O45" s="35"/>
      <c r="P45" s="35"/>
      <c r="Q45" s="36">
        <f>G45-Bilan_E_KP_AMS_2028!H41</f>
        <v>0</v>
      </c>
      <c r="R45" s="498"/>
      <c r="S45" s="541"/>
      <c r="T45" s="84">
        <v>0</v>
      </c>
      <c r="U45" s="83">
        <v>0</v>
      </c>
      <c r="V45" s="84">
        <v>0</v>
      </c>
      <c r="W45" s="92">
        <v>0</v>
      </c>
      <c r="X45" s="84">
        <v>0</v>
      </c>
      <c r="Y45" s="489">
        <f t="shared" si="6"/>
        <v>0</v>
      </c>
      <c r="Z45" s="489">
        <f>Q45-Y45</f>
        <v>0</v>
      </c>
    </row>
    <row r="46" spans="1:26">
      <c r="A46" s="679"/>
      <c r="B46" s="1" t="s">
        <v>42</v>
      </c>
      <c r="C46" s="33">
        <f>Bilan_E_KP_AMS_2028!D18-C18-C34</f>
        <v>25.799496862792406</v>
      </c>
      <c r="D46" s="541"/>
      <c r="E46" s="511"/>
      <c r="F46" s="541"/>
      <c r="G46" s="17">
        <f>C46-E46</f>
        <v>25.799496862792406</v>
      </c>
      <c r="H46" s="541"/>
      <c r="I46" s="38"/>
      <c r="J46" s="37"/>
      <c r="K46" s="35"/>
      <c r="L46" s="35"/>
      <c r="M46" s="35"/>
      <c r="N46" s="35"/>
      <c r="O46" s="35"/>
      <c r="P46" s="35"/>
      <c r="Q46" s="36">
        <f>G46-(Bilan_E_KP_AMS_2028!D41+Bilan_E_KP_AMS_2028!D29+Bilan_E_KP_AMS_2028!D30)</f>
        <v>4.3067331909174058</v>
      </c>
      <c r="R46" s="498"/>
      <c r="S46" s="541"/>
      <c r="T46" s="506">
        <f>Bilan_E_KP_AMS_2028!D38</f>
        <v>0</v>
      </c>
      <c r="U46" s="93">
        <f>Bilan_E_KP_AMS_2028!D34</f>
        <v>4.3067331909174058</v>
      </c>
      <c r="V46" s="506">
        <f>Bilan_E_KP_AMS_2028!D36</f>
        <v>0</v>
      </c>
      <c r="W46" s="507">
        <f>Bilan_E_KP_AMS_2028!D37</f>
        <v>0</v>
      </c>
      <c r="X46" s="506">
        <f>Bilan_E_KP_AMS_2028!D35</f>
        <v>0</v>
      </c>
      <c r="Y46" s="489">
        <f t="shared" si="6"/>
        <v>4.3067331909174058</v>
      </c>
      <c r="Z46" s="489">
        <f>Q46-Y46</f>
        <v>0</v>
      </c>
    </row>
    <row r="47" spans="1:26">
      <c r="A47" s="90"/>
      <c r="B47" s="1" t="s">
        <v>31</v>
      </c>
      <c r="C47" s="33">
        <f>E57</f>
        <v>7.5529178657010396</v>
      </c>
      <c r="D47" s="192"/>
      <c r="E47" s="511"/>
      <c r="F47" s="192"/>
      <c r="G47" s="17">
        <f>C47-E47</f>
        <v>7.5529178657010396</v>
      </c>
      <c r="H47" s="192"/>
      <c r="I47" s="38"/>
      <c r="J47" s="37"/>
      <c r="K47" s="35"/>
      <c r="L47" s="35"/>
      <c r="M47" s="35"/>
      <c r="N47" s="35"/>
      <c r="O47" s="35"/>
      <c r="P47" s="35"/>
      <c r="Q47" s="544">
        <f>G47-Bilan_E_KP_AMS_2028!T41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C5-L13-SUM(L21:L24)-L30-L41-Bilan_E_KP_AMS_2028!U18</f>
        <v>0</v>
      </c>
      <c r="D49" s="1"/>
      <c r="E49" s="34">
        <f>SUM(E7:E47)+I13-Bilan_E_KP_AMS_2028!U32+K13+SUM(K21:K24)+K30+Bilan_E_KP_AMS_2028!D29+Bilan_E_KP_AMS_2028!D30</f>
        <v>1.4566126083082054E-13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449.97370097419565</v>
      </c>
    </row>
    <row r="52" spans="1:19">
      <c r="A52" s="21"/>
      <c r="B52" s="1" t="s">
        <v>44</v>
      </c>
      <c r="C52" s="44"/>
      <c r="D52" s="1"/>
      <c r="E52" s="39">
        <f>Bilan_E_KP_AMS_2028!D41+Bilan_E_KP_AMS_2028!D29+Bilan_E_KP_AMS_2028!D30</f>
        <v>21.492763671875</v>
      </c>
      <c r="F52" s="187"/>
      <c r="G52" s="1"/>
      <c r="H52" s="1"/>
      <c r="I52" s="30"/>
      <c r="J52" s="17"/>
      <c r="K52" s="17"/>
      <c r="L52" s="21"/>
      <c r="M52" s="1"/>
      <c r="N52" s="17"/>
      <c r="O52" s="17"/>
      <c r="P52" s="17"/>
      <c r="Q52" s="1"/>
      <c r="S52" s="33"/>
    </row>
    <row r="53" spans="1:19">
      <c r="A53" s="21"/>
      <c r="B53" s="1" t="s">
        <v>41</v>
      </c>
      <c r="C53" s="45"/>
      <c r="D53" s="17"/>
      <c r="E53" s="433">
        <f>Bilan_E_KP_AMS_2028!H41+Bilan_E_KP_AMS_2028!H29</f>
        <v>11.237851565782758</v>
      </c>
      <c r="F53" s="187"/>
      <c r="G53" s="1"/>
      <c r="H53" s="1"/>
      <c r="I53" s="30"/>
      <c r="J53" s="17"/>
      <c r="K53" s="17"/>
      <c r="L53" s="21"/>
      <c r="M53" s="1"/>
      <c r="N53" s="17"/>
      <c r="O53" s="17"/>
      <c r="P53" s="17"/>
      <c r="Q53" s="1"/>
    </row>
    <row r="54" spans="1:19">
      <c r="A54" s="21"/>
      <c r="B54" s="1" t="s">
        <v>39</v>
      </c>
      <c r="C54" s="45"/>
      <c r="D54" s="17"/>
      <c r="E54" s="435">
        <f>Bilan_E_KP_AMS_2028!F41</f>
        <v>102.26810452798878</v>
      </c>
      <c r="F54" s="187"/>
      <c r="G54" s="1"/>
      <c r="H54" s="1"/>
      <c r="I54" s="30"/>
      <c r="J54" s="17"/>
      <c r="K54" s="17"/>
      <c r="L54" s="21"/>
      <c r="M54" s="21"/>
      <c r="N54" s="17"/>
      <c r="O54" s="17"/>
      <c r="P54" s="17"/>
      <c r="Q54" s="1"/>
    </row>
    <row r="55" spans="1:19">
      <c r="B55" s="1" t="s">
        <v>21</v>
      </c>
      <c r="E55" s="633">
        <f>Bilan_E_KP_AMS_2028!O41+Bilan_E_KP_AMS_2028!O29</f>
        <v>0.80349139394028601</v>
      </c>
    </row>
    <row r="56" spans="1:19">
      <c r="B56" s="1" t="s">
        <v>37</v>
      </c>
      <c r="E56" s="633">
        <f>Bilan_E_KP_AMS_2028!N41+Bilan_E_KP_AMS_2028!N29+Bilan_E_KP_AMS_2028!G41</f>
        <v>8.3098718325837186</v>
      </c>
    </row>
    <row r="57" spans="1:19">
      <c r="B57" s="1" t="s">
        <v>31</v>
      </c>
      <c r="E57" s="633">
        <f>Bilan_E_KP_AMS_2028!T41</f>
        <v>7.5529178657010396</v>
      </c>
    </row>
    <row r="58" spans="1:19">
      <c r="B58" s="1" t="s">
        <v>338</v>
      </c>
      <c r="E58" s="633">
        <f>Bilan_E_KP_AMS_2028!L41</f>
        <v>9.5153421924450407E-2</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62B65-CFCC-4559-9B27-04280274D973}">
  <dimension ref="A1:Z59"/>
  <sheetViews>
    <sheetView topLeftCell="A13" zoomScale="55" zoomScaleNormal="55" workbookViewId="0">
      <selection activeCell="R41" sqref="R41"/>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2277.187278074699</v>
      </c>
      <c r="D5" s="18"/>
      <c r="E5" s="20"/>
      <c r="F5" s="494"/>
      <c r="G5" s="21"/>
      <c r="H5" s="493"/>
      <c r="I5" s="21"/>
      <c r="J5" s="22"/>
      <c r="K5" s="23"/>
      <c r="L5" s="14"/>
      <c r="M5" s="14"/>
      <c r="N5" s="15"/>
      <c r="O5" s="16"/>
      <c r="P5" s="16"/>
      <c r="Q5" s="24">
        <f>Q13+Q22+Q30+Q42+Q46+Q38+Q43</f>
        <v>1263.3324406823792</v>
      </c>
      <c r="R5" s="487"/>
      <c r="S5" s="79">
        <f>SUM(S13,S22,S27:S32,S41)</f>
        <v>1259.2986762716778</v>
      </c>
      <c r="T5" s="79">
        <f>SUM(T8:T46)</f>
        <v>44.772947357385831</v>
      </c>
      <c r="U5" s="79">
        <f>SUM(U8:U46)</f>
        <v>272.03964339860033</v>
      </c>
      <c r="V5" s="79">
        <f>SUM(V8:V46)</f>
        <v>394.17624591605716</v>
      </c>
      <c r="W5" s="173">
        <f>SUM(W8:W46)</f>
        <v>174.73044959314768</v>
      </c>
      <c r="X5" s="79">
        <f>SUM(X8:X46)</f>
        <v>373.57939000648696</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(([7]Offre_calc!$O$106+[7]Offre_calc!$O$107+[7]Offre_calc!$O$144+[7]Offre_calc!$O$145)/([7]Offre_calc!$O$103+[7]Offre_calc!$O$141))*Bilan_E_KP_AMS_2030!K$21</f>
        <v>78.43934048262237</v>
      </c>
      <c r="D7" s="518"/>
      <c r="E7" s="28">
        <v>0</v>
      </c>
      <c r="F7" s="518"/>
      <c r="G7" s="17">
        <f>C7-E7</f>
        <v>78.43934048262237</v>
      </c>
      <c r="H7" s="518"/>
      <c r="I7" s="21"/>
      <c r="J7" s="518"/>
      <c r="K7" s="525"/>
      <c r="L7" s="525"/>
      <c r="M7" s="525"/>
      <c r="N7" s="525"/>
      <c r="O7" s="525"/>
      <c r="P7" s="513"/>
      <c r="Q7" s="528"/>
      <c r="R7" s="498"/>
      <c r="S7" s="528"/>
      <c r="T7" s="525"/>
      <c r="U7" s="525"/>
      <c r="V7" s="525"/>
      <c r="W7" s="525"/>
      <c r="X7" s="525"/>
    </row>
    <row r="8" spans="1:24">
      <c r="A8" s="695"/>
      <c r="B8" s="1" t="s">
        <v>18</v>
      </c>
      <c r="C8" s="486">
        <f>(([7]Offre_calc!$O$105+[7]Offre_calc!$O$143)/([7]Offre_calc!$O$103+[7]Offre_calc!$O$141))*Bilan_E_KP_AMS_2030!K$21</f>
        <v>62.554199036038128</v>
      </c>
      <c r="D8" s="81"/>
      <c r="E8" s="28">
        <v>0</v>
      </c>
      <c r="F8" s="81"/>
      <c r="G8" s="17">
        <f t="shared" ref="G8:G19" si="0">C8-E8</f>
        <v>62.554199036038128</v>
      </c>
      <c r="H8" s="81"/>
      <c r="I8" s="21"/>
      <c r="J8" s="81"/>
      <c r="K8" s="526"/>
      <c r="L8" s="526"/>
      <c r="M8" s="526"/>
      <c r="N8" s="526"/>
      <c r="O8" s="526"/>
      <c r="P8" s="29"/>
      <c r="Q8" s="529"/>
      <c r="R8" s="498"/>
      <c r="S8" s="529"/>
      <c r="T8" s="526"/>
      <c r="U8" s="526"/>
      <c r="V8" s="526"/>
      <c r="W8" s="526"/>
      <c r="X8" s="526"/>
    </row>
    <row r="9" spans="1:24">
      <c r="A9" s="695"/>
      <c r="B9" s="1" t="s">
        <v>19</v>
      </c>
      <c r="C9" s="486">
        <f>(([7]Offre_calc!$O$104+[7]Offre_calc!$O$142)/([7]Offre_calc!$O$103+[7]Offre_calc!$O$141))*Bilan_E_KP_AMS_2030!K$21</f>
        <v>54.256915654465516</v>
      </c>
      <c r="D9" s="81"/>
      <c r="E9" s="28">
        <v>0</v>
      </c>
      <c r="F9" s="81"/>
      <c r="G9" s="17">
        <f t="shared" si="0"/>
        <v>54.256915654465516</v>
      </c>
      <c r="H9" s="81"/>
      <c r="I9" s="21"/>
      <c r="J9" s="81"/>
      <c r="K9" s="526"/>
      <c r="L9" s="526"/>
      <c r="M9" s="526"/>
      <c r="N9" s="526"/>
      <c r="O9" s="526"/>
      <c r="P9" s="29"/>
      <c r="Q9" s="529"/>
      <c r="R9" s="498"/>
      <c r="S9" s="529"/>
      <c r="T9" s="526"/>
      <c r="U9" s="526"/>
      <c r="V9" s="526"/>
      <c r="W9" s="526"/>
      <c r="X9" s="526"/>
    </row>
    <row r="10" spans="1:24">
      <c r="A10" s="695"/>
      <c r="B10" s="1" t="s">
        <v>20</v>
      </c>
      <c r="C10" s="17">
        <f>Bilan_E_KP_AMS_2030!J21-(Bilan_E_KP_AMS_2030!R20+Bilan_E_KP_AMS_2030!R19)</f>
        <v>985.67379798785544</v>
      </c>
      <c r="D10" s="81"/>
      <c r="E10" s="28">
        <f>F13-SUM(E11:E19)</f>
        <v>656.58445331957091</v>
      </c>
      <c r="F10" s="81"/>
      <c r="G10" s="17">
        <f t="shared" si="0"/>
        <v>329.08934466828453</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Bilan_E_KP_AMS_2030!O21</f>
        <v>6.1733013975271804</v>
      </c>
      <c r="D11" s="81"/>
      <c r="E11" s="28">
        <f>C11*(1-[7]Offre_calc!$O$161)</f>
        <v>2.7779856288872309</v>
      </c>
      <c r="F11" s="81"/>
      <c r="G11" s="17">
        <f t="shared" si="0"/>
        <v>3.3953157686399495</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Bilan_E_KP_AMS_2030!M21</f>
        <v>9.7713809684984927</v>
      </c>
      <c r="D12" s="81"/>
      <c r="E12" s="28">
        <f>C12*(1-[7]Offre_calc!$O$171)</f>
        <v>6.8399666779489445</v>
      </c>
      <c r="F12" s="81"/>
      <c r="G12" s="17">
        <f t="shared" si="0"/>
        <v>2.9314142905495482</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Bilan_E_KP_AMS_2030!L21</f>
        <v>27.099203250664136</v>
      </c>
      <c r="D13" s="81">
        <f>SUM(C7:C19)</f>
        <v>1263.5993937948849</v>
      </c>
      <c r="E13" s="28">
        <f>C13*(1-[7]Offre_calc!$O$170)</f>
        <v>18.969442275464893</v>
      </c>
      <c r="F13" s="81">
        <f>Bilan_E_KP_AMS_2030!U21</f>
        <v>703.57680116487347</v>
      </c>
      <c r="G13" s="17">
        <f t="shared" si="0"/>
        <v>8.1297609751992432</v>
      </c>
      <c r="H13" s="81">
        <f>SUM(G7:G19)</f>
        <v>560.02259263001133</v>
      </c>
      <c r="I13" s="33">
        <f>Bilan_E_KP_AMS_2030!R30</f>
        <v>25.353860621213894</v>
      </c>
      <c r="J13" s="81">
        <f>H13-I13</f>
        <v>534.66873200879741</v>
      </c>
      <c r="K13" s="29">
        <f>Bilan_E_KP_AMS_2030!R31</f>
        <v>39.822975779719108</v>
      </c>
      <c r="L13" s="29">
        <f>-(Bilan_E_KP_AMS_2030!R14+Bilan_E_KP_AMS_2030!R13)</f>
        <v>40.000168370113556</v>
      </c>
      <c r="M13" s="29">
        <f>Bilan_E_KP_AMS_2030!R28</f>
        <v>22.347786362655235</v>
      </c>
      <c r="N13" s="29"/>
      <c r="O13" s="29"/>
      <c r="P13" s="29"/>
      <c r="Q13" s="81">
        <f>J13-K13-L13-M13-N13-O13-P13</f>
        <v>432.49780149630948</v>
      </c>
      <c r="R13" s="508">
        <f>Q13-S13</f>
        <v>0</v>
      </c>
      <c r="S13" s="81">
        <f>SUM(T8:X19)</f>
        <v>432.49780149630936</v>
      </c>
      <c r="T13" s="29">
        <f>Bilan_E_KP_AMS_2030!R38</f>
        <v>7.6640280422278524</v>
      </c>
      <c r="U13" s="29">
        <f>Bilan_E_KP_AMS_2030!R34+Bilan_E_KP_AMS_2030!R39</f>
        <v>125.34883441740973</v>
      </c>
      <c r="V13" s="29">
        <f>Bilan_E_KP_AMS_2030!R36</f>
        <v>167.58037418148072</v>
      </c>
      <c r="W13" s="29">
        <f>Bilan_E_KP_AMS_2030!R37</f>
        <v>100.94959269616226</v>
      </c>
      <c r="X13" s="29">
        <f>Bilan_E_KP_AMS_2030!R35</f>
        <v>30.954972159028785</v>
      </c>
    </row>
    <row r="14" spans="1:24">
      <c r="A14" s="695"/>
      <c r="B14" s="1" t="s">
        <v>24</v>
      </c>
      <c r="C14" s="17">
        <f>Bilan_E_KP_AMS_2030!Q21</f>
        <v>0</v>
      </c>
      <c r="D14" s="81"/>
      <c r="E14" s="28">
        <v>0</v>
      </c>
      <c r="F14" s="81"/>
      <c r="G14" s="17">
        <f t="shared" si="0"/>
        <v>0</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Bilan_E_KP_AMS_2030!N21</f>
        <v>4.4112574708908179</v>
      </c>
      <c r="D16" s="81"/>
      <c r="E16" s="28">
        <f>C16*(1-[7]Offre_calc!$O$158)</f>
        <v>2.4703041836988584</v>
      </c>
      <c r="F16" s="81"/>
      <c r="G16" s="17">
        <f t="shared" si="0"/>
        <v>1.9409532871919595</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Bilan_E_KP_AMS_2030!F21</f>
        <v>0.77863803143112786</v>
      </c>
      <c r="D17" s="81"/>
      <c r="E17" s="28">
        <f>C17*(1-[7]Offre_calc!$O$158)</f>
        <v>0.43603729760143167</v>
      </c>
      <c r="F17" s="81"/>
      <c r="G17" s="17">
        <f t="shared" si="0"/>
        <v>0.34260073382969619</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Bilan_E_KP_AMS_2030!D21</f>
        <v>0</v>
      </c>
      <c r="D18" s="81"/>
      <c r="E18" s="28">
        <f>C18*(1-[7]Offre_calc!$O$157)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Bilan_E_KP_AMS_2030!H21+Bilan_E_KP_AMS_2030!T21</f>
        <v>34.441359514891516</v>
      </c>
      <c r="D19" s="82"/>
      <c r="E19" s="28">
        <f>C19*(1-[7]Offre_calc!$O$160)</f>
        <v>15.498611781701181</v>
      </c>
      <c r="F19" s="82"/>
      <c r="G19" s="17">
        <f t="shared" si="0"/>
        <v>18.942747733190338</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0.33387246910700497</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Bilan_E_KP_AMS_2030!L23+Bilan_E_KP_AMS_2030!O12</f>
        <v>39.922010136410968</v>
      </c>
      <c r="D21" s="531"/>
      <c r="E21" s="33">
        <f>Bilan_E_KP_AMS_2030!U23+Bilan_E_KP_AMS_2030!O30</f>
        <v>4.3650458869881357</v>
      </c>
      <c r="F21" s="531"/>
      <c r="G21" s="17">
        <f t="shared" ref="G21:G45" si="1">C21-E21</f>
        <v>35.556964249422833</v>
      </c>
      <c r="H21" s="531"/>
      <c r="I21" s="17"/>
      <c r="J21" s="531"/>
      <c r="K21" s="547">
        <f>Bilan_E_KP_AMS_2030!O31</f>
        <v>0.38149928133809252</v>
      </c>
      <c r="L21" s="547">
        <f>-(Bilan_E_KP_AMS_2030!O13+Bilan_E_KP_AMS_2030!O14+Bilan_E_KP_AMS_2030!O15+Bilan_E_KP_AMS_2030!O16)</f>
        <v>0.12641139618575387</v>
      </c>
      <c r="M21" s="547">
        <f>Bilan_E_KP_AMS_2030!O28</f>
        <v>0</v>
      </c>
      <c r="N21" s="547">
        <f>Bilan_E_KP_AMS_2030!O22</f>
        <v>4.3055711350701857</v>
      </c>
      <c r="O21" s="547">
        <f>Bilan_E_KP_AMS_2030!O21</f>
        <v>6.1733013975271804</v>
      </c>
      <c r="P21" s="547">
        <f>C36</f>
        <v>0.98433711774094745</v>
      </c>
      <c r="Q21" s="531"/>
      <c r="R21" s="508"/>
      <c r="S21" s="531"/>
      <c r="T21" s="531"/>
      <c r="U21" s="531"/>
      <c r="V21" s="531"/>
      <c r="W21" s="531"/>
      <c r="X21" s="531"/>
    </row>
    <row r="22" spans="1:24">
      <c r="A22" s="696"/>
      <c r="B22" s="1" t="s">
        <v>524</v>
      </c>
      <c r="C22" s="17">
        <f>Bilan_E_KP_AMS_2030!T24</f>
        <v>0</v>
      </c>
      <c r="D22" s="85">
        <f>SUM(C21:C24)</f>
        <v>284.86591593963271</v>
      </c>
      <c r="E22" s="632">
        <f>Bilan_E_KP_AMS_2030!I30+Bilan_E_KP_AMS_2030!U24</f>
        <v>0</v>
      </c>
      <c r="F22" s="85">
        <f>SUM(E21:E24)</f>
        <v>17.092474301281641</v>
      </c>
      <c r="G22" s="17">
        <f t="shared" si="1"/>
        <v>0</v>
      </c>
      <c r="H22" s="85">
        <f>SUM(G21:G24)</f>
        <v>267.77344163835107</v>
      </c>
      <c r="I22" s="408"/>
      <c r="J22" s="85">
        <f>H22-I22</f>
        <v>267.77344163835107</v>
      </c>
      <c r="K22" s="628">
        <f>Bilan_E_KP_AMS_2030!I31</f>
        <v>0</v>
      </c>
      <c r="L22" s="628">
        <f>-SUM(Bilan_E_KP_AMS_2030!I13:I16)</f>
        <v>0</v>
      </c>
      <c r="M22" s="32"/>
      <c r="N22" s="32"/>
      <c r="O22" s="32"/>
      <c r="P22" s="32"/>
      <c r="Q22" s="85">
        <f>J22-SUM(K21:P24)</f>
        <v>199.22906725251164</v>
      </c>
      <c r="R22" s="508">
        <f>Q22-S22</f>
        <v>-5.3454570880262509E-4</v>
      </c>
      <c r="S22" s="85">
        <f>SUM(T22:X24)</f>
        <v>199.22960179822044</v>
      </c>
      <c r="T22" s="32">
        <f>Bilan_E_KP_AMS_2030!H38+Bilan_E_KP_AMS_2030!T38+Bilan_E_KP_AMS_2030!O$38+Bilan_E_KP_AMS_2030!I38</f>
        <v>2.1461334494600726</v>
      </c>
      <c r="U22" s="32">
        <f>Bilan_E_KP_AMS_2030!H34+Bilan_E_KP_AMS_2030!T34+Bilan_E_KP_AMS_2030!O$34+Bilan_E_KP_AMS_2030!I34</f>
        <v>85.507147432547441</v>
      </c>
      <c r="V22" s="32">
        <f>Bilan_E_KP_AMS_2030!H36+Bilan_E_KP_AMS_2030!T36+Bilan_E_KP_AMS_2030!O$36+Bilan_E_KP_AMS_2030!I36</f>
        <v>73.489583332648436</v>
      </c>
      <c r="W22" s="32">
        <f>Bilan_E_KP_AMS_2030!H37+Bilan_E_KP_AMS_2030!M37+Bilan_E_KP_AMS_2030!T37+Bilan_E_KP_AMS_2030!O$37+Bilan_E_KP_AMS_2030!I37</f>
        <v>31.783583129637009</v>
      </c>
      <c r="X22" s="32">
        <f>Bilan_E_KP_AMS_2030!H35+Bilan_E_KP_AMS_2030!T35+Bilan_E_KP_AMS_2030!O$35+Bilan_E_KP_AMS_2030!I35</f>
        <v>6.3031544539274833</v>
      </c>
    </row>
    <row r="23" spans="1:24">
      <c r="A23" s="696"/>
      <c r="B23" s="1" t="s">
        <v>31</v>
      </c>
      <c r="C23" s="17">
        <f>SUM(Bilan_E_KP_AMS_2030!D28:S28)-C47</f>
        <v>12.867355195369937</v>
      </c>
      <c r="D23" s="532"/>
      <c r="E23" s="33">
        <f>Bilan_E_KP_AMS_2030!U28</f>
        <v>7.8217252269293311</v>
      </c>
      <c r="F23" s="534"/>
      <c r="G23" s="17">
        <f t="shared" si="1"/>
        <v>5.0456299684406059</v>
      </c>
      <c r="H23" s="534"/>
      <c r="I23" s="17"/>
      <c r="J23" s="534"/>
      <c r="K23" s="536">
        <f>Bilan_E_KP_AMS_2030!T31</f>
        <v>0</v>
      </c>
      <c r="L23" s="536">
        <f>-(Bilan_E_KP_AMS_2030!T13+Bilan_E_KP_AMS_2030!T14+Bilan_E_KP_AMS_2030!T15+Bilan_E_KP_AMS_2030!T16)</f>
        <v>0</v>
      </c>
      <c r="M23" s="536">
        <f>Bilan_E_KP_AMS_2030!T24</f>
        <v>0</v>
      </c>
      <c r="N23" s="536">
        <f>Bilan_E_KP_AMS_2030!T22</f>
        <v>0</v>
      </c>
      <c r="O23" s="536">
        <f>Bilan_E_KP_AMS_2030!T21</f>
        <v>0</v>
      </c>
      <c r="P23" s="536">
        <f>Bilan_E_KP_AMS_2030!T27</f>
        <v>2.1645711942644428</v>
      </c>
      <c r="Q23" s="534"/>
      <c r="R23" s="489"/>
      <c r="S23" s="534"/>
      <c r="T23" s="538"/>
      <c r="U23" s="538"/>
      <c r="V23" s="538"/>
      <c r="W23" s="538"/>
      <c r="X23" s="538"/>
    </row>
    <row r="24" spans="1:24">
      <c r="A24" s="696"/>
      <c r="B24" s="1" t="s">
        <v>32</v>
      </c>
      <c r="C24" s="17">
        <f>Bilan_E_KP_AMS_2030!H18-C45-(Bilan_E_KP_AMS_2030!H20+Bilan_E_KP_AMS_2030!H19)</f>
        <v>232.0765506078518</v>
      </c>
      <c r="D24" s="533"/>
      <c r="E24" s="33">
        <f>Bilan_E_KP_AMS_2030!H30</f>
        <v>4.9057031873641765</v>
      </c>
      <c r="F24" s="535"/>
      <c r="G24" s="17">
        <f t="shared" si="1"/>
        <v>227.17084742048763</v>
      </c>
      <c r="H24" s="535"/>
      <c r="I24" s="34"/>
      <c r="J24" s="535"/>
      <c r="K24" s="537">
        <f>Bilan_E_KP_AMS_2030!H31</f>
        <v>2.7976613964793451</v>
      </c>
      <c r="L24" s="537"/>
      <c r="M24" s="537">
        <f>Bilan_E_KP_AMS_2030!H28</f>
        <v>0</v>
      </c>
      <c r="N24" s="537">
        <f>Bilan_E_KP_AMS_2030!H22</f>
        <v>17.169661952341983</v>
      </c>
      <c r="O24" s="537">
        <f>Bilan_E_KP_AMS_2030!H21</f>
        <v>34.441359514891516</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Bilan_E_KP_AMS_2030!O22</f>
        <v>4.3055711350701857</v>
      </c>
      <c r="D26" s="512"/>
      <c r="E26" s="190">
        <f>C26*F$35</f>
        <v>0.37393885178143615</v>
      </c>
      <c r="F26" s="512"/>
      <c r="G26" s="33">
        <f t="shared" ref="G26:G31" si="2">C26-E26</f>
        <v>3.9316322832887494</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Bilan_E_KP_AMS_2030!M18-Bilan_E_KP_AMS_2030!M21-(Bilan_E_KP_AMS_2030!S20+Bilan_E_KP_AMS_2030!S19+Bilan_E_KP_AMS_2030!M20+Bilan_E_KP_AMS_2030!M19)</f>
        <v>18.198359716679434</v>
      </c>
      <c r="D27" s="87"/>
      <c r="E27" s="190">
        <f t="shared" ref="E27:E34" si="3">C27*F$35</f>
        <v>1.5805275359013939</v>
      </c>
      <c r="F27" s="87"/>
      <c r="G27" s="33">
        <f t="shared" si="2"/>
        <v>16.617832180778041</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Bilan_E_KP_AMS_2030!L22</f>
        <v>33.995499480106155</v>
      </c>
      <c r="D29" s="87"/>
      <c r="E29" s="190">
        <f t="shared" si="3"/>
        <v>2.9525091195874715</v>
      </c>
      <c r="F29" s="87"/>
      <c r="G29" s="33">
        <f t="shared" si="2"/>
        <v>31.042990360518683</v>
      </c>
      <c r="H29" s="87"/>
      <c r="I29" s="1"/>
      <c r="J29" s="87"/>
      <c r="K29" s="87"/>
      <c r="L29" s="87"/>
      <c r="M29" s="87"/>
      <c r="N29" s="87"/>
      <c r="O29" s="87"/>
      <c r="P29" s="87"/>
      <c r="Q29" s="87"/>
      <c r="R29" s="508"/>
      <c r="S29" s="87"/>
      <c r="T29" s="87"/>
      <c r="U29" s="87"/>
      <c r="V29" s="87"/>
      <c r="W29" s="87"/>
      <c r="X29" s="87"/>
    </row>
    <row r="30" spans="1:24">
      <c r="A30" s="697"/>
      <c r="B30" s="1" t="s">
        <v>24</v>
      </c>
      <c r="C30" s="17">
        <f>Bilan_E_KP_AMS_2030!Q22</f>
        <v>7.5015461547405717</v>
      </c>
      <c r="D30" s="86">
        <f>SUM(C26:C34)</f>
        <v>81.170638438938326</v>
      </c>
      <c r="E30" s="190">
        <f t="shared" si="3"/>
        <v>0.65150928127527274</v>
      </c>
      <c r="F30" s="86">
        <f>Bilan_E_KP_AMS_2030!U22</f>
        <v>7.0496699239247187</v>
      </c>
      <c r="G30" s="33">
        <f t="shared" si="2"/>
        <v>6.8500368734652994</v>
      </c>
      <c r="H30" s="86">
        <f>SUM(G26:G34)</f>
        <v>74.120968515013615</v>
      </c>
      <c r="I30" s="1"/>
      <c r="J30" s="86">
        <f>H30</f>
        <v>74.120968515013615</v>
      </c>
      <c r="K30" s="87">
        <f>Bilan_E_KP_AMS_2030!S31</f>
        <v>5.5462664454161024</v>
      </c>
      <c r="L30" s="87"/>
      <c r="M30" s="87">
        <f>Bilan_E_KP_AMS_2030!M28</f>
        <v>0</v>
      </c>
      <c r="N30" s="87"/>
      <c r="O30" s="87"/>
      <c r="P30" s="87"/>
      <c r="Q30" s="86">
        <f>J30-K30-L30-M30-N30-O30-P30</f>
        <v>68.574702069597507</v>
      </c>
      <c r="R30" s="508">
        <f>Q30-S30</f>
        <v>5.3454570880262509E-4</v>
      </c>
      <c r="S30" s="86">
        <f>SUM(T27:X34)</f>
        <v>68.574167523888704</v>
      </c>
      <c r="T30" s="87">
        <f>Bilan_E_KP_AMS_2030!S$38</f>
        <v>0</v>
      </c>
      <c r="U30" s="87">
        <f>Bilan_E_KP_AMS_2030!S$34+Bilan_E_KP_AMS_2030!M34</f>
        <v>20.589706261589171</v>
      </c>
      <c r="V30" s="87">
        <f>Bilan_E_KP_AMS_2030!S$36</f>
        <v>29.293864289346555</v>
      </c>
      <c r="W30" s="87">
        <f>Bilan_E_KP_AMS_2030!S$37</f>
        <v>18.690596972952971</v>
      </c>
      <c r="X30" s="87">
        <f>Bilan_E_KP_AMS_2030!S$35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Bilan_E_KP_AMS_2030!H22</f>
        <v>17.169661952341983</v>
      </c>
      <c r="D32" s="86"/>
      <c r="E32" s="190">
        <f t="shared" si="3"/>
        <v>1.4911851353791445</v>
      </c>
      <c r="F32" s="86"/>
      <c r="G32" s="33">
        <f>C32-E32</f>
        <v>15.678476816962839</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Bilan_E_KP_AMS_2030!F22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Bilan_E_KP_AMS_2030!D22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8.6849999698202757E-2</v>
      </c>
      <c r="G35" s="17"/>
      <c r="H35" s="501"/>
      <c r="I35" s="1"/>
      <c r="J35" s="1"/>
      <c r="K35" s="1"/>
      <c r="L35" s="1"/>
      <c r="M35" s="1"/>
      <c r="N35" s="1"/>
      <c r="O35" s="1"/>
      <c r="P35" s="1"/>
      <c r="Q35" s="502"/>
      <c r="R35" s="508"/>
      <c r="U35" s="33"/>
      <c r="V35" s="33"/>
      <c r="W35" s="33"/>
    </row>
    <row r="36" spans="1:26">
      <c r="A36" s="679" t="s">
        <v>34</v>
      </c>
      <c r="B36" s="1" t="s">
        <v>21</v>
      </c>
      <c r="C36" s="33">
        <f>E55</f>
        <v>0.98433711774094745</v>
      </c>
      <c r="D36" s="540"/>
      <c r="E36" s="17"/>
      <c r="F36" s="540"/>
      <c r="G36" s="17">
        <f t="shared" ref="G36:G42" si="5">C36-E36</f>
        <v>0.98433711774094745</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0.98433711774094745</v>
      </c>
    </row>
    <row r="37" spans="1:26">
      <c r="A37" s="679"/>
      <c r="B37" s="1" t="s">
        <v>23</v>
      </c>
      <c r="C37" s="33">
        <f>SUM(T37:X37)+E58</f>
        <v>68.870279376256704</v>
      </c>
      <c r="D37" s="541"/>
      <c r="E37" s="504"/>
      <c r="F37" s="541"/>
      <c r="G37" s="17">
        <f t="shared" si="5"/>
        <v>68.870279376256704</v>
      </c>
      <c r="H37" s="541"/>
      <c r="I37" s="498"/>
      <c r="J37" s="37"/>
      <c r="K37" s="35"/>
      <c r="L37" s="35"/>
      <c r="M37" s="505"/>
      <c r="N37" s="35"/>
      <c r="P37" s="35"/>
      <c r="Q37" s="543"/>
      <c r="R37" s="508"/>
      <c r="S37" s="541"/>
      <c r="T37" s="506">
        <f>Bilan_E_KP_AMS_2030!L38</f>
        <v>2.1723993471697325</v>
      </c>
      <c r="U37" s="93">
        <f>Bilan_E_KP_AMS_2030!L34</f>
        <v>20.422417009283894</v>
      </c>
      <c r="V37" s="506">
        <f>Bilan_E_KP_AMS_2030!L36</f>
        <v>45.694565750921086</v>
      </c>
      <c r="W37" s="507">
        <f>Bilan_E_KP_AMS_2030!L37</f>
        <v>0.46314310358360405</v>
      </c>
      <c r="X37" s="506">
        <f>Bilan_E_KP_AMS_2030!L35</f>
        <v>0</v>
      </c>
      <c r="Y37" s="489">
        <f t="shared" ref="Y37:Y47" si="6">SUM(T37:X37)</f>
        <v>68.752525210958311</v>
      </c>
      <c r="Z37" s="489">
        <f t="shared" ref="Z37:Z44" si="7">G37-Y37</f>
        <v>0.11775416529839333</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209.99975848530036</v>
      </c>
      <c r="R38" s="508"/>
      <c r="S38" s="541"/>
      <c r="T38" s="84">
        <v>0</v>
      </c>
      <c r="U38" s="83">
        <v>0</v>
      </c>
      <c r="V38" s="84">
        <v>0</v>
      </c>
      <c r="W38" s="91">
        <v>0</v>
      </c>
      <c r="X38" s="91">
        <v>0</v>
      </c>
      <c r="Y38" s="489">
        <f t="shared" si="6"/>
        <v>0</v>
      </c>
      <c r="Z38" s="489">
        <f t="shared" si="7"/>
        <v>0</v>
      </c>
    </row>
    <row r="39" spans="1:26">
      <c r="A39" s="679"/>
      <c r="B39" s="1" t="s">
        <v>35</v>
      </c>
      <c r="C39" s="33">
        <f>SUM(T39:X39)</f>
        <v>3.3216527964301878</v>
      </c>
      <c r="D39" s="541"/>
      <c r="E39" s="35"/>
      <c r="F39" s="541"/>
      <c r="G39" s="17">
        <f t="shared" si="5"/>
        <v>3.3216527964301878</v>
      </c>
      <c r="H39" s="541"/>
      <c r="I39" s="35"/>
      <c r="J39" s="37"/>
      <c r="K39" s="35"/>
      <c r="L39" s="35"/>
      <c r="M39" s="37"/>
      <c r="N39" s="35"/>
      <c r="O39" s="35"/>
      <c r="P39" s="35"/>
      <c r="Q39" s="543"/>
      <c r="R39" s="508"/>
      <c r="S39" s="541"/>
      <c r="T39" s="84">
        <f>Bilan_E_KP_AMS_2030!Q38</f>
        <v>0.62518456969816016</v>
      </c>
      <c r="U39" s="83">
        <f>Bilan_E_KP_AMS_2030!Q34</f>
        <v>5.5791983277925228E-4</v>
      </c>
      <c r="V39" s="84">
        <f>Bilan_E_KP_AMS_2030!Q36</f>
        <v>1.8312707461125663</v>
      </c>
      <c r="W39" s="91">
        <f>Bilan_E_KP_AMS_2030!Q37</f>
        <v>0.86463956078668247</v>
      </c>
      <c r="X39" s="91">
        <f>Bilan_E_KP_AMS_2030!Q35</f>
        <v>0</v>
      </c>
      <c r="Y39" s="489">
        <f t="shared" si="6"/>
        <v>3.3216527964301878</v>
      </c>
      <c r="Z39" s="489">
        <f t="shared" si="7"/>
        <v>0</v>
      </c>
    </row>
    <row r="40" spans="1:26">
      <c r="A40" s="679"/>
      <c r="B40" s="1" t="s">
        <v>36</v>
      </c>
      <c r="C40" s="33">
        <f>Bilan_E_KP_AMS_2030!P12</f>
        <v>91.581907146552624</v>
      </c>
      <c r="D40" s="541"/>
      <c r="E40" s="35"/>
      <c r="F40" s="541"/>
      <c r="G40" s="17">
        <f t="shared" si="5"/>
        <v>91.581907146552624</v>
      </c>
      <c r="H40" s="541"/>
      <c r="I40" s="35"/>
      <c r="J40" s="37"/>
      <c r="K40" s="35"/>
      <c r="L40" s="35"/>
      <c r="M40" s="37"/>
      <c r="N40" s="35"/>
      <c r="O40" s="35"/>
      <c r="P40" s="35"/>
      <c r="Q40" s="543"/>
      <c r="R40" s="508"/>
      <c r="S40" s="541"/>
      <c r="T40" s="83">
        <f>Bilan_E_KP_AMS_2030!P$38</f>
        <v>0.5</v>
      </c>
      <c r="U40" s="83">
        <f>Bilan_E_KP_AMS_2030!P$34</f>
        <v>3.4088933105468748</v>
      </c>
      <c r="V40" s="83">
        <f>Bilan_E_KP_AMS_2030!P$36</f>
        <v>71.668518554839707</v>
      </c>
      <c r="W40" s="83">
        <f>Bilan_E_KP_AMS_2030!P$37</f>
        <v>16.00449528116604</v>
      </c>
      <c r="X40" s="84">
        <f>Bilan_E_KP_AMS_2030!P$35</f>
        <v>0</v>
      </c>
      <c r="Y40" s="489">
        <f t="shared" si="6"/>
        <v>91.581907146552624</v>
      </c>
      <c r="Z40" s="489">
        <f t="shared" si="7"/>
        <v>0</v>
      </c>
    </row>
    <row r="41" spans="1:26">
      <c r="A41" s="679"/>
      <c r="B41" s="1" t="s">
        <v>37</v>
      </c>
      <c r="C41" s="33">
        <f>Bilan_E_KP_AMS_2030!N12+Bilan_E_KP_AMS_2030!L26-Bilan_E_KP_AMS_2030!N21+Bilan_E_KP_AMS_2030!T27</f>
        <v>57.681018334440587</v>
      </c>
      <c r="D41" s="191">
        <f>SUM(C36:C47)</f>
        <v>735.13791857573415</v>
      </c>
      <c r="E41" s="511">
        <f>Bilan_E_KP_AMS_2030!U27</f>
        <v>0.61040907678257272</v>
      </c>
      <c r="F41" s="191">
        <f>SUM(E36:E47)</f>
        <v>29.041452145184671</v>
      </c>
      <c r="G41" s="17">
        <f t="shared" si="5"/>
        <v>57.070609257658013</v>
      </c>
      <c r="H41" s="191">
        <f>SUM(G36:G47)</f>
        <v>706.09646643054953</v>
      </c>
      <c r="I41" s="35"/>
      <c r="J41" s="37"/>
      <c r="K41" s="35"/>
      <c r="L41" s="37">
        <f>-(SUM(Bilan_E_KP_AMS_2030!N13:N16)+SUM(Bilan_E_KP_AMS_2030!G13:G16))</f>
        <v>1.1517499579259498</v>
      </c>
      <c r="M41" s="35"/>
      <c r="N41" s="35"/>
      <c r="O41" s="35"/>
      <c r="P41" s="35"/>
      <c r="Q41" s="543"/>
      <c r="R41" s="508">
        <f>SUM(Q36:Q47)-S41</f>
        <v>4.0337644107013375</v>
      </c>
      <c r="S41" s="191">
        <f>SUM(T36:X46)</f>
        <v>558.99710545325934</v>
      </c>
      <c r="T41" s="83">
        <f>Bilan_E_KP_AMS_2030!N$38+Bilan_E_KP_AMS_2030!G$38</f>
        <v>4.6410977021219679</v>
      </c>
      <c r="U41" s="83">
        <f>Bilan_E_KP_AMS_2030!N$34+Bilan_E_KP_AMS_2030!G$34</f>
        <v>1.0285361411132812</v>
      </c>
      <c r="V41" s="83">
        <f>Bilan_E_KP_AMS_2030!N$36+Bilan_E_KP_AMS_2030!G$36</f>
        <v>0</v>
      </c>
      <c r="W41" s="83">
        <f>Bilan_E_KP_AMS_2030!N$37+Bilan_E_KP_AMS_2030!G$37</f>
        <v>0</v>
      </c>
      <c r="X41" s="84">
        <f>Bilan_E_KP_AMS_2030!N$35+Bilan_E_KP_AMS_2030!G$35</f>
        <v>36.640275077422793</v>
      </c>
      <c r="Y41" s="489">
        <f t="shared" si="6"/>
        <v>42.309908920658039</v>
      </c>
      <c r="Z41" s="489">
        <f>G41-Y41-L41</f>
        <v>13.608950379074024</v>
      </c>
    </row>
    <row r="42" spans="1:26">
      <c r="A42" s="679"/>
      <c r="B42" s="1" t="s">
        <v>38</v>
      </c>
      <c r="C42" s="33">
        <f>Bilan_E_KP_AMS_2030!E18+Bilan_E_KP_AMS_2030!F18-Bilan_E_KP_AMS_2030!F21-Bilan_E_KP_AMS_2030!F22-E54-SUM(T43:X43)-(Bilan_E_KP_AMS_2030!E20+Bilan_E_KP_AMS_2030!F20+Bilan_E_KP_AMS_2030!E19+Bilan_E_KP_AMS_2030!F19)</f>
        <v>328.11203138451009</v>
      </c>
      <c r="D42" s="541"/>
      <c r="E42" s="17">
        <f>Bilan_E_KP_AMS_2030!F30+Bilan_E_KP_AMS_2030!U25+Bilan_E_KP_AMS_2030!F29+Bilan_E_KP_AMS_2030!E29</f>
        <v>28.431043068402097</v>
      </c>
      <c r="F42" s="541"/>
      <c r="G42" s="17">
        <f t="shared" si="5"/>
        <v>299.68098831610797</v>
      </c>
      <c r="H42" s="541"/>
      <c r="I42" s="498"/>
      <c r="J42" s="37"/>
      <c r="K42" s="35"/>
      <c r="L42" s="35"/>
      <c r="M42" s="35"/>
      <c r="N42" s="35"/>
      <c r="O42" s="35"/>
      <c r="P42" s="35"/>
      <c r="Q42" s="36">
        <f>G42</f>
        <v>299.68098831610797</v>
      </c>
      <c r="R42" s="508"/>
      <c r="S42" s="541"/>
      <c r="T42" s="83">
        <v>0</v>
      </c>
      <c r="U42" s="83">
        <v>0</v>
      </c>
      <c r="V42" s="83">
        <v>0</v>
      </c>
      <c r="W42" s="83">
        <v>0</v>
      </c>
      <c r="X42" s="84">
        <f>Bilan_E_KP_AMS_2030!F35</f>
        <v>299.68098831610791</v>
      </c>
      <c r="Y42" s="489">
        <f t="shared" si="6"/>
        <v>299.68098831610791</v>
      </c>
      <c r="Z42" s="489">
        <f>Q42-SUM(T42:X42)</f>
        <v>0</v>
      </c>
    </row>
    <row r="43" spans="1:26">
      <c r="A43" s="679"/>
      <c r="B43" s="1" t="s">
        <v>39</v>
      </c>
      <c r="C43" s="33">
        <f>Bilan_E_KP_AMS_2030!F41+SUM(T43:X43)</f>
        <v>145.24910419383642</v>
      </c>
      <c r="D43" s="541"/>
      <c r="E43" s="38"/>
      <c r="F43" s="541"/>
      <c r="G43" s="17">
        <f>C43-E43</f>
        <v>145.24910419383642</v>
      </c>
      <c r="H43" s="541"/>
      <c r="I43" s="35"/>
      <c r="J43" s="37"/>
      <c r="K43" s="35"/>
      <c r="L43" s="35"/>
      <c r="M43" s="35"/>
      <c r="N43" s="35"/>
      <c r="O43" s="35"/>
      <c r="P43" s="35"/>
      <c r="Q43" s="36">
        <f>G43-Bilan_E_KP_AMS_2030!F41</f>
        <v>49.92484380685309</v>
      </c>
      <c r="R43" s="508"/>
      <c r="S43" s="541"/>
      <c r="T43" s="83">
        <f>Bilan_E_KP_AMS_2030!F38</f>
        <v>27.024104246708042</v>
      </c>
      <c r="U43" s="83">
        <f>Bilan_E_KP_AMS_2030!F34</f>
        <v>12.308271650577865</v>
      </c>
      <c r="V43" s="83">
        <f>Bilan_E_KP_AMS_2030!F36</f>
        <v>4.6180690607080663</v>
      </c>
      <c r="W43" s="83">
        <f>Bilan_E_KP_AMS_2030!F37</f>
        <v>5.9743988488591224</v>
      </c>
      <c r="X43" s="84">
        <v>0</v>
      </c>
      <c r="Y43" s="489">
        <f t="shared" si="6"/>
        <v>49.924843806853097</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G44-Bilan_E_KP_AMS_2030!M41</f>
        <v>0</v>
      </c>
      <c r="R44" s="498"/>
      <c r="S44" s="541"/>
      <c r="T44" s="83">
        <f>Bilan_E_KP_AMS_2030!M$38</f>
        <v>0</v>
      </c>
      <c r="U44" s="83">
        <v>0</v>
      </c>
      <c r="V44" s="83">
        <f>Bilan_E_KP_AMS_2030!M$36</f>
        <v>0</v>
      </c>
      <c r="W44" s="83">
        <v>0</v>
      </c>
      <c r="X44" s="84">
        <f>Bilan_E_KP_AMS_2030!M$35</f>
        <v>0</v>
      </c>
      <c r="Y44" s="489">
        <f t="shared" si="6"/>
        <v>0</v>
      </c>
      <c r="Z44" s="489">
        <f t="shared" si="7"/>
        <v>0</v>
      </c>
    </row>
    <row r="45" spans="1:26">
      <c r="A45" s="679"/>
      <c r="B45" s="1" t="s">
        <v>41</v>
      </c>
      <c r="C45" s="33">
        <f>E53</f>
        <v>10.356262080325934</v>
      </c>
      <c r="D45" s="541"/>
      <c r="E45" s="38"/>
      <c r="F45" s="541"/>
      <c r="G45" s="17">
        <f t="shared" si="1"/>
        <v>10.356262080325934</v>
      </c>
      <c r="H45" s="541"/>
      <c r="I45" s="35"/>
      <c r="J45" s="37"/>
      <c r="K45" s="35"/>
      <c r="L45" s="35"/>
      <c r="M45" s="35"/>
      <c r="N45" s="35"/>
      <c r="O45" s="35"/>
      <c r="P45" s="35"/>
      <c r="Q45" s="36">
        <f>G45-Bilan_E_KP_AMS_2030!H41</f>
        <v>0</v>
      </c>
      <c r="R45" s="498"/>
      <c r="S45" s="541"/>
      <c r="T45" s="84">
        <v>0</v>
      </c>
      <c r="U45" s="83">
        <v>0</v>
      </c>
      <c r="V45" s="84">
        <v>0</v>
      </c>
      <c r="W45" s="92">
        <v>0</v>
      </c>
      <c r="X45" s="84">
        <v>0</v>
      </c>
      <c r="Y45" s="489">
        <f t="shared" si="6"/>
        <v>0</v>
      </c>
      <c r="Z45" s="489">
        <f>Q45-Y45</f>
        <v>0</v>
      </c>
    </row>
    <row r="46" spans="1:26">
      <c r="A46" s="679"/>
      <c r="B46" s="1" t="s">
        <v>42</v>
      </c>
      <c r="C46" s="33">
        <f>Bilan_E_KP_AMS_2030!D18-C18-C34</f>
        <v>19.500894978355525</v>
      </c>
      <c r="D46" s="541"/>
      <c r="E46" s="511"/>
      <c r="F46" s="541"/>
      <c r="G46" s="17">
        <f>C46-E46</f>
        <v>19.500894978355525</v>
      </c>
      <c r="H46" s="541"/>
      <c r="I46" s="38"/>
      <c r="J46" s="37"/>
      <c r="K46" s="35"/>
      <c r="L46" s="35"/>
      <c r="M46" s="35"/>
      <c r="N46" s="35"/>
      <c r="O46" s="35"/>
      <c r="P46" s="35"/>
      <c r="Q46" s="36">
        <f>G46-(Bilan_E_KP_AMS_2030!D41+Bilan_E_KP_AMS_2030!D29+Bilan_E_KP_AMS_2030!D30)</f>
        <v>3.4252792556992766</v>
      </c>
      <c r="R46" s="498"/>
      <c r="S46" s="541"/>
      <c r="T46" s="506">
        <f>Bilan_E_KP_AMS_2030!D38</f>
        <v>0</v>
      </c>
      <c r="U46" s="93">
        <f>Bilan_E_KP_AMS_2030!D34</f>
        <v>3.4252792556992748</v>
      </c>
      <c r="V46" s="506">
        <f>Bilan_E_KP_AMS_2030!D36</f>
        <v>0</v>
      </c>
      <c r="W46" s="507">
        <f>Bilan_E_KP_AMS_2030!D37</f>
        <v>0</v>
      </c>
      <c r="X46" s="506">
        <f>Bilan_E_KP_AMS_2030!D35</f>
        <v>0</v>
      </c>
      <c r="Y46" s="489">
        <f t="shared" si="6"/>
        <v>3.4252792556992748</v>
      </c>
      <c r="Z46" s="489">
        <f>Q46-Y46</f>
        <v>0</v>
      </c>
    </row>
    <row r="47" spans="1:26">
      <c r="A47" s="90"/>
      <c r="B47" s="1" t="s">
        <v>31</v>
      </c>
      <c r="C47" s="33">
        <f>E57</f>
        <v>9.4804311672852979</v>
      </c>
      <c r="D47" s="192"/>
      <c r="E47" s="511"/>
      <c r="F47" s="192"/>
      <c r="G47" s="17">
        <f>C47-E47</f>
        <v>9.4804311672852979</v>
      </c>
      <c r="H47" s="192"/>
      <c r="I47" s="38"/>
      <c r="J47" s="37"/>
      <c r="K47" s="35"/>
      <c r="L47" s="35"/>
      <c r="M47" s="35"/>
      <c r="N47" s="35"/>
      <c r="O47" s="35"/>
      <c r="P47" s="35"/>
      <c r="Q47" s="544">
        <f>G47-Bilan_E_KP_AMS_2030!T41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C5-L13-SUM(L21:L24)-L30-L41-Bilan_E_KP_AMS_2030!U18</f>
        <v>0</v>
      </c>
      <c r="D49" s="1"/>
      <c r="E49" s="34">
        <f>SUM(E7:E47)+I13-Bilan_E_KP_AMS_2030!U32+K13+SUM(K21:K24)+K30+Bilan_E_KP_AMS_2030!D29+Bilan_E_KP_AMS_2030!D30</f>
        <v>1.4210854715202004E-13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432.56194575908961</v>
      </c>
    </row>
    <row r="52" spans="1:19">
      <c r="A52" s="21"/>
      <c r="B52" s="1" t="s">
        <v>44</v>
      </c>
      <c r="C52" s="44"/>
      <c r="D52" s="1"/>
      <c r="E52" s="39">
        <f>Bilan_E_KP_AMS_2030!D41+Bilan_E_KP_AMS_2030!D29+Bilan_E_KP_AMS_2030!D30</f>
        <v>16.075615722656249</v>
      </c>
      <c r="F52" s="187"/>
      <c r="G52" s="1"/>
      <c r="H52" s="1"/>
      <c r="I52" s="30"/>
      <c r="J52" s="17"/>
      <c r="K52" s="17"/>
      <c r="L52" s="21"/>
      <c r="M52" s="1"/>
      <c r="N52" s="17"/>
      <c r="O52" s="17"/>
      <c r="P52" s="17"/>
      <c r="Q52" s="1"/>
      <c r="S52" s="33"/>
    </row>
    <row r="53" spans="1:19">
      <c r="A53" s="21"/>
      <c r="B53" s="1" t="s">
        <v>41</v>
      </c>
      <c r="C53" s="45"/>
      <c r="D53" s="17"/>
      <c r="E53" s="433">
        <f>Bilan_E_KP_AMS_2030!H41+Bilan_E_KP_AMS_2030!H29</f>
        <v>10.356262080325934</v>
      </c>
      <c r="F53" s="187"/>
      <c r="G53" s="1"/>
      <c r="H53" s="1"/>
      <c r="I53" s="30"/>
      <c r="J53" s="17"/>
      <c r="K53" s="17"/>
      <c r="L53" s="21"/>
      <c r="M53" s="1"/>
      <c r="N53" s="17"/>
      <c r="O53" s="17"/>
      <c r="P53" s="17"/>
      <c r="Q53" s="1"/>
    </row>
    <row r="54" spans="1:19">
      <c r="A54" s="21"/>
      <c r="B54" s="1" t="s">
        <v>39</v>
      </c>
      <c r="C54" s="45"/>
      <c r="D54" s="17"/>
      <c r="E54" s="435">
        <f>Bilan_E_KP_AMS_2030!F41</f>
        <v>95.324260386983326</v>
      </c>
      <c r="F54" s="187"/>
      <c r="G54" s="1"/>
      <c r="H54" s="1"/>
      <c r="I54" s="30"/>
      <c r="J54" s="17"/>
      <c r="K54" s="17"/>
      <c r="L54" s="21"/>
      <c r="M54" s="21"/>
      <c r="N54" s="17"/>
      <c r="O54" s="17"/>
      <c r="P54" s="17"/>
      <c r="Q54" s="1"/>
    </row>
    <row r="55" spans="1:19">
      <c r="B55" s="1" t="s">
        <v>21</v>
      </c>
      <c r="E55" s="633">
        <f>Bilan_E_KP_AMS_2030!O41+Bilan_E_KP_AMS_2030!O29</f>
        <v>0.98433711774094745</v>
      </c>
    </row>
    <row r="56" spans="1:19">
      <c r="B56" s="1" t="s">
        <v>37</v>
      </c>
      <c r="E56" s="633">
        <f>Bilan_E_KP_AMS_2030!N41+Bilan_E_KP_AMS_2030!N29+Bilan_E_KP_AMS_2030!G41</f>
        <v>9.5751859683728693</v>
      </c>
    </row>
    <row r="57" spans="1:19">
      <c r="B57" s="1" t="s">
        <v>31</v>
      </c>
      <c r="E57" s="633">
        <f>Bilan_E_KP_AMS_2030!T41</f>
        <v>9.4804311672852979</v>
      </c>
    </row>
    <row r="58" spans="1:19">
      <c r="B58" s="1" t="s">
        <v>338</v>
      </c>
      <c r="E58" s="633">
        <f>Bilan_E_KP_AMS_2030!L41</f>
        <v>0.11775416529838639</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157A5-7165-45D0-BB55-20AE2E1949E4}">
  <dimension ref="A1:Z59"/>
  <sheetViews>
    <sheetView topLeftCell="A14" zoomScale="55" zoomScaleNormal="55" workbookViewId="0">
      <selection activeCell="K44" sqref="K44"/>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2204.5856621827961</v>
      </c>
      <c r="D5" s="18"/>
      <c r="E5" s="20"/>
      <c r="F5" s="494"/>
      <c r="G5" s="21"/>
      <c r="H5" s="493"/>
      <c r="I5" s="21"/>
      <c r="J5" s="22"/>
      <c r="K5" s="23"/>
      <c r="L5" s="14"/>
      <c r="M5" s="14"/>
      <c r="N5" s="15"/>
      <c r="O5" s="16"/>
      <c r="P5" s="16"/>
      <c r="Q5" s="24">
        <f>Q13+Q22+Q30+Q42+Q46+Q38+Q43</f>
        <v>1195.4663707392617</v>
      </c>
      <c r="R5" s="487"/>
      <c r="S5" s="79">
        <f>SUM(S13,S22,S27:S32,S41)</f>
        <v>1193.852864974981</v>
      </c>
      <c r="T5" s="79">
        <f>SUM(T8:T46)</f>
        <v>43.424450242621283</v>
      </c>
      <c r="U5" s="79">
        <f>SUM(U8:U46)</f>
        <v>266.8884736594942</v>
      </c>
      <c r="V5" s="79">
        <f>SUM(V8:V46)</f>
        <v>381.91640023392398</v>
      </c>
      <c r="W5" s="173">
        <f>SUM(W8:W46)</f>
        <v>170.6758057722065</v>
      </c>
      <c r="X5" s="79">
        <f>SUM(X8:X46)</f>
        <v>330.94773506673516</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(([7]Offre_calc!$P$106+[7]Offre_calc!$P$107+[7]Offre_calc!$P$144+[7]Offre_calc!$P$145)/([7]Offre_calc!$P$103+[7]Offre_calc!$P$141))*Bilan_E_KP_AMS_2033!K$21</f>
        <v>105.66427828397158</v>
      </c>
      <c r="D7" s="518"/>
      <c r="E7" s="28">
        <v>0</v>
      </c>
      <c r="F7" s="518"/>
      <c r="G7" s="17">
        <f>C7-E7</f>
        <v>105.66427828397158</v>
      </c>
      <c r="H7" s="518"/>
      <c r="I7" s="21"/>
      <c r="J7" s="518"/>
      <c r="K7" s="525"/>
      <c r="L7" s="525"/>
      <c r="M7" s="525"/>
      <c r="N7" s="525"/>
      <c r="O7" s="525"/>
      <c r="P7" s="513"/>
      <c r="Q7" s="528"/>
      <c r="R7" s="498"/>
      <c r="S7" s="528"/>
      <c r="T7" s="525"/>
      <c r="U7" s="525"/>
      <c r="V7" s="525"/>
      <c r="W7" s="525"/>
      <c r="X7" s="525"/>
    </row>
    <row r="8" spans="1:24">
      <c r="A8" s="695"/>
      <c r="B8" s="1" t="s">
        <v>18</v>
      </c>
      <c r="C8" s="486">
        <f>(([7]Offre_calc!$P$105+[7]Offre_calc!$P$143)/([7]Offre_calc!$P$103+[7]Offre_calc!$P$141))*Bilan_E_KP_AMS_2033!K$21</f>
        <v>63.312853114663199</v>
      </c>
      <c r="D8" s="81"/>
      <c r="E8" s="28">
        <v>0</v>
      </c>
      <c r="F8" s="81"/>
      <c r="G8" s="17">
        <f t="shared" ref="G8:G19" si="0">C8-E8</f>
        <v>63.312853114663199</v>
      </c>
      <c r="H8" s="81"/>
      <c r="I8" s="21"/>
      <c r="J8" s="81"/>
      <c r="K8" s="526"/>
      <c r="L8" s="526"/>
      <c r="M8" s="526"/>
      <c r="N8" s="526"/>
      <c r="O8" s="526"/>
      <c r="P8" s="29"/>
      <c r="Q8" s="529"/>
      <c r="R8" s="498"/>
      <c r="S8" s="529"/>
      <c r="T8" s="526"/>
      <c r="U8" s="526"/>
      <c r="V8" s="526"/>
      <c r="W8" s="526"/>
      <c r="X8" s="526"/>
    </row>
    <row r="9" spans="1:24">
      <c r="A9" s="695"/>
      <c r="B9" s="1" t="s">
        <v>19</v>
      </c>
      <c r="C9" s="486">
        <f>(([7]Offre_calc!$P$104+[7]Offre_calc!$P$142)/([7]Offre_calc!$P$103+[7]Offre_calc!$P$141))*Bilan_E_KP_AMS_2033!K$21</f>
        <v>69.623065361113532</v>
      </c>
      <c r="D9" s="81"/>
      <c r="E9" s="28">
        <v>0</v>
      </c>
      <c r="F9" s="81"/>
      <c r="G9" s="17">
        <f t="shared" si="0"/>
        <v>69.623065361113532</v>
      </c>
      <c r="H9" s="81"/>
      <c r="I9" s="21"/>
      <c r="J9" s="81"/>
      <c r="K9" s="526"/>
      <c r="L9" s="526"/>
      <c r="M9" s="526"/>
      <c r="N9" s="526"/>
      <c r="O9" s="526"/>
      <c r="P9" s="29"/>
      <c r="Q9" s="529"/>
      <c r="R9" s="498"/>
      <c r="S9" s="529"/>
      <c r="T9" s="526"/>
      <c r="U9" s="526"/>
      <c r="V9" s="526"/>
      <c r="W9" s="526"/>
      <c r="X9" s="526"/>
    </row>
    <row r="10" spans="1:24">
      <c r="A10" s="695"/>
      <c r="B10" s="1" t="s">
        <v>20</v>
      </c>
      <c r="C10" s="17">
        <f>Bilan_E_KP_AMS_2033!J21-(Bilan_E_KP_AMS_2033!R20+Bilan_E_KP_AMS_2033!R19)</f>
        <v>971.7407012865051</v>
      </c>
      <c r="D10" s="81"/>
      <c r="E10" s="28">
        <f>F13-SUM(E11:E19)</f>
        <v>648.87445556233388</v>
      </c>
      <c r="F10" s="81"/>
      <c r="G10" s="17">
        <f t="shared" si="0"/>
        <v>322.86624572417122</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Bilan_E_KP_AMS_2033!O21</f>
        <v>4.4668310287108053</v>
      </c>
      <c r="D11" s="81"/>
      <c r="E11" s="28">
        <f>C11*(1-[7]Offre_calc!$P$161)</f>
        <v>1.9765727302045313</v>
      </c>
      <c r="F11" s="81"/>
      <c r="G11" s="17">
        <f t="shared" si="0"/>
        <v>2.4902582985062738</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Bilan_E_KP_AMS_2033!M21</f>
        <v>9.83092180533645</v>
      </c>
      <c r="D12" s="81"/>
      <c r="E12" s="28">
        <f>C12*(1-[7]Offre_calc!$P$171)</f>
        <v>6.7341814366554686</v>
      </c>
      <c r="F12" s="81"/>
      <c r="G12" s="17">
        <f t="shared" si="0"/>
        <v>3.0967403686809813</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Bilan_E_KP_AMS_2033!L21</f>
        <v>26.063195396520957</v>
      </c>
      <c r="D13" s="81">
        <f>SUM(C7:C19)</f>
        <v>1277.8192221468685</v>
      </c>
      <c r="E13" s="28">
        <f>C13*(1-[7]Offre_calc!$P$170)</f>
        <v>17.853288846616856</v>
      </c>
      <c r="F13" s="81">
        <f>Bilan_E_KP_AMS_2033!U21</f>
        <v>687.35105971664882</v>
      </c>
      <c r="G13" s="17">
        <f t="shared" si="0"/>
        <v>8.2099065499041011</v>
      </c>
      <c r="H13" s="81">
        <f>SUM(G7:G19)</f>
        <v>590.46816243021942</v>
      </c>
      <c r="I13" s="33">
        <f>Bilan_E_KP_AMS_2033!R30</f>
        <v>24.58367294682958</v>
      </c>
      <c r="J13" s="81">
        <f>H13-I13</f>
        <v>565.88448948338987</v>
      </c>
      <c r="K13" s="29">
        <f>Bilan_E_KP_AMS_2033!R31</f>
        <v>42.191455549105193</v>
      </c>
      <c r="L13" s="29">
        <f>-(Bilan_E_KP_AMS_2033!R14+Bilan_E_KP_AMS_2033!R13)</f>
        <v>39.430412100204194</v>
      </c>
      <c r="M13" s="29">
        <f>Bilan_E_KP_AMS_2033!R28</f>
        <v>40.318919655124205</v>
      </c>
      <c r="N13" s="29"/>
      <c r="O13" s="29"/>
      <c r="P13" s="29"/>
      <c r="Q13" s="81">
        <f>J13-K13-L13-M13-N13-O13-P13</f>
        <v>443.9437021789563</v>
      </c>
      <c r="R13" s="508">
        <f>Q13-S13</f>
        <v>0</v>
      </c>
      <c r="S13" s="81">
        <f>SUM(T8:X19)</f>
        <v>443.94370217895613</v>
      </c>
      <c r="T13" s="29">
        <f>Bilan_E_KP_AMS_2033!R38</f>
        <v>7.6931885452586402</v>
      </c>
      <c r="U13" s="29">
        <f>Bilan_E_KP_AMS_2033!R34+Bilan_E_KP_AMS_2033!R39</f>
        <v>128.54465329673022</v>
      </c>
      <c r="V13" s="29">
        <f>Bilan_E_KP_AMS_2033!R36</f>
        <v>162.42127689265124</v>
      </c>
      <c r="W13" s="29">
        <f>Bilan_E_KP_AMS_2033!R37</f>
        <v>98.49757027134045</v>
      </c>
      <c r="X13" s="29">
        <f>Bilan_E_KP_AMS_2033!R35</f>
        <v>46.787013172975605</v>
      </c>
    </row>
    <row r="14" spans="1:24">
      <c r="A14" s="695"/>
      <c r="B14" s="1" t="s">
        <v>24</v>
      </c>
      <c r="C14" s="17">
        <f>Bilan_E_KP_AMS_2033!Q21</f>
        <v>1.6766395861963883</v>
      </c>
      <c r="D14" s="81"/>
      <c r="E14" s="28">
        <v>0</v>
      </c>
      <c r="F14" s="81"/>
      <c r="G14" s="17">
        <f t="shared" si="0"/>
        <v>1.6766395861963883</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Bilan_E_KP_AMS_2033!N21</f>
        <v>4.7819832265678626</v>
      </c>
      <c r="D16" s="81"/>
      <c r="E16" s="28">
        <f>C16*(1-[7]Offre_calc!$P$158)</f>
        <v>2.6779106068780032</v>
      </c>
      <c r="F16" s="81"/>
      <c r="G16" s="17">
        <f t="shared" si="0"/>
        <v>2.1040726196898594</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Bilan_E_KP_AMS_2033!F21</f>
        <v>0.79278558393774012</v>
      </c>
      <c r="D17" s="81"/>
      <c r="E17" s="28">
        <f>C17*(1-[7]Offre_calc!$P$158)</f>
        <v>0.44395992700513454</v>
      </c>
      <c r="F17" s="81"/>
      <c r="G17" s="17">
        <f t="shared" si="0"/>
        <v>0.34882565693260559</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Bilan_E_KP_AMS_2033!D21</f>
        <v>0</v>
      </c>
      <c r="D18" s="81"/>
      <c r="E18" s="28">
        <f>C18*(1-[7]Offre_calc!$P$157)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Bilan_E_KP_AMS_2033!H21+Bilan_E_KP_AMS_2033!T21</f>
        <v>19.865967473344622</v>
      </c>
      <c r="D19" s="82"/>
      <c r="E19" s="28">
        <f>C19*(1-[7]Offre_calc!$P$160)</f>
        <v>8.7906906069549944</v>
      </c>
      <c r="F19" s="82"/>
      <c r="G19" s="17">
        <f t="shared" si="0"/>
        <v>11.075276866389627</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0.33225555469347201</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Bilan_E_KP_AMS_2033!L23+Bilan_E_KP_AMS_2033!O12</f>
        <v>54.391285226771195</v>
      </c>
      <c r="D21" s="531"/>
      <c r="E21" s="33">
        <f>Bilan_E_KP_AMS_2033!U23+Bilan_E_KP_AMS_2033!O30</f>
        <v>6.3228643727898914</v>
      </c>
      <c r="F21" s="531"/>
      <c r="G21" s="17">
        <f t="shared" ref="G21:G45" si="1">C21-E21</f>
        <v>48.068420853981301</v>
      </c>
      <c r="H21" s="531"/>
      <c r="I21" s="17"/>
      <c r="J21" s="531"/>
      <c r="K21" s="547">
        <f>Bilan_E_KP_AMS_2033!O31</f>
        <v>0.56859294678535055</v>
      </c>
      <c r="L21" s="547">
        <f>-(Bilan_E_KP_AMS_2033!O13+Bilan_E_KP_AMS_2033!O14+Bilan_E_KP_AMS_2033!O15+Bilan_E_KP_AMS_2033!O16)</f>
        <v>0.83237985193665964</v>
      </c>
      <c r="M21" s="547">
        <f>Bilan_E_KP_AMS_2033!O28</f>
        <v>0</v>
      </c>
      <c r="N21" s="547">
        <f>Bilan_E_KP_AMS_2033!O22</f>
        <v>4.2657087375224645</v>
      </c>
      <c r="O21" s="547">
        <f>Bilan_E_KP_AMS_2033!O21</f>
        <v>4.4668310287108053</v>
      </c>
      <c r="P21" s="547">
        <f>C36</f>
        <v>1.4684689617858735</v>
      </c>
      <c r="Q21" s="531"/>
      <c r="R21" s="508"/>
      <c r="S21" s="531"/>
      <c r="T21" s="531"/>
      <c r="U21" s="531"/>
      <c r="V21" s="531"/>
      <c r="W21" s="531"/>
      <c r="X21" s="531"/>
    </row>
    <row r="22" spans="1:24">
      <c r="A22" s="696"/>
      <c r="B22" s="1" t="s">
        <v>524</v>
      </c>
      <c r="C22" s="17">
        <f>Bilan_E_KP_AMS_2033!T24</f>
        <v>0</v>
      </c>
      <c r="D22" s="85">
        <f>SUM(C21:C24)</f>
        <v>257.71865078104781</v>
      </c>
      <c r="E22" s="632">
        <f>Bilan_E_KP_AMS_2033!I30+Bilan_E_KP_AMS_2033!U24</f>
        <v>0</v>
      </c>
      <c r="F22" s="85">
        <f>SUM(E21:E24)</f>
        <v>24.319374215726203</v>
      </c>
      <c r="G22" s="17">
        <f t="shared" si="1"/>
        <v>0</v>
      </c>
      <c r="H22" s="85">
        <f>SUM(G21:G24)</f>
        <v>233.3992765653216</v>
      </c>
      <c r="I22" s="408"/>
      <c r="J22" s="85">
        <f>H22-I22</f>
        <v>233.3992765653216</v>
      </c>
      <c r="K22" s="628">
        <f>Bilan_E_KP_AMS_2033!I31</f>
        <v>0</v>
      </c>
      <c r="L22" s="628">
        <f>-SUM(Bilan_E_KP_AMS_2033!I13:I16)</f>
        <v>0</v>
      </c>
      <c r="M22" s="32"/>
      <c r="N22" s="32"/>
      <c r="O22" s="32"/>
      <c r="P22" s="32"/>
      <c r="Q22" s="85">
        <f>J22-SUM(K21:P24)</f>
        <v>177.99466271368232</v>
      </c>
      <c r="R22" s="508">
        <f>Q22-S22</f>
        <v>-4.9454600872422816E-4</v>
      </c>
      <c r="S22" s="85">
        <f>SUM(T22:X24)</f>
        <v>177.99515725969104</v>
      </c>
      <c r="T22" s="32">
        <f>Bilan_E_KP_AMS_2033!H38+Bilan_E_KP_AMS_2033!T38+Bilan_E_KP_AMS_2033!O$38+Bilan_E_KP_AMS_2033!I38</f>
        <v>2.1396933718322648</v>
      </c>
      <c r="U22" s="32">
        <f>Bilan_E_KP_AMS_2033!H34+Bilan_E_KP_AMS_2033!T34+Bilan_E_KP_AMS_2033!O$34+Bilan_E_KP_AMS_2033!I34</f>
        <v>77.770814236367698</v>
      </c>
      <c r="V22" s="32">
        <f>Bilan_E_KP_AMS_2033!H36+Bilan_E_KP_AMS_2033!T36+Bilan_E_KP_AMS_2033!O$36+Bilan_E_KP_AMS_2033!I36</f>
        <v>61.708144623217308</v>
      </c>
      <c r="W22" s="32">
        <f>Bilan_E_KP_AMS_2033!H37+Bilan_E_KP_AMS_2033!M37+Bilan_E_KP_AMS_2033!T37+Bilan_E_KP_AMS_2033!O$37+Bilan_E_KP_AMS_2033!I37</f>
        <v>28.873775067892772</v>
      </c>
      <c r="X22" s="32">
        <f>Bilan_E_KP_AMS_2033!H35+Bilan_E_KP_AMS_2033!T35+Bilan_E_KP_AMS_2033!O$35+Bilan_E_KP_AMS_2033!I35</f>
        <v>7.5027299603809841</v>
      </c>
    </row>
    <row r="23" spans="1:24">
      <c r="A23" s="696"/>
      <c r="B23" s="1" t="s">
        <v>31</v>
      </c>
      <c r="C23" s="17">
        <f>SUM(Bilan_E_KP_AMS_2033!D28:S28)-C47</f>
        <v>25.7132792263128</v>
      </c>
      <c r="D23" s="532"/>
      <c r="E23" s="33">
        <f>Bilan_E_KP_AMS_2033!U28</f>
        <v>13.68827322291467</v>
      </c>
      <c r="F23" s="534"/>
      <c r="G23" s="17">
        <f t="shared" si="1"/>
        <v>12.025006003398129</v>
      </c>
      <c r="H23" s="534"/>
      <c r="I23" s="17"/>
      <c r="J23" s="534"/>
      <c r="K23" s="536">
        <f>Bilan_E_KP_AMS_2033!T31</f>
        <v>0</v>
      </c>
      <c r="L23" s="536">
        <f>-(Bilan_E_KP_AMS_2033!T13+Bilan_E_KP_AMS_2033!T14+Bilan_E_KP_AMS_2033!T15+Bilan_E_KP_AMS_2033!T16)</f>
        <v>8.5933245803094055E-2</v>
      </c>
      <c r="M23" s="536">
        <f>Bilan_E_KP_AMS_2033!T24</f>
        <v>0</v>
      </c>
      <c r="N23" s="536">
        <f>Bilan_E_KP_AMS_2033!T22</f>
        <v>0</v>
      </c>
      <c r="O23" s="536">
        <f>Bilan_E_KP_AMS_2033!T21</f>
        <v>0</v>
      </c>
      <c r="P23" s="536">
        <f>Bilan_E_KP_AMS_2033!T27</f>
        <v>7.4762747623703172</v>
      </c>
      <c r="Q23" s="534"/>
      <c r="R23" s="489"/>
      <c r="S23" s="534"/>
      <c r="T23" s="538"/>
      <c r="U23" s="538"/>
      <c r="V23" s="538"/>
      <c r="W23" s="538"/>
      <c r="X23" s="538"/>
    </row>
    <row r="24" spans="1:24">
      <c r="A24" s="696"/>
      <c r="B24" s="1" t="s">
        <v>32</v>
      </c>
      <c r="C24" s="17">
        <f>Bilan_E_KP_AMS_2033!H18-C45-(Bilan_E_KP_AMS_2033!H20+Bilan_E_KP_AMS_2033!H19)</f>
        <v>177.6140863279638</v>
      </c>
      <c r="D24" s="533"/>
      <c r="E24" s="33">
        <f>Bilan_E_KP_AMS_2033!H30</f>
        <v>4.3082366200216411</v>
      </c>
      <c r="F24" s="535"/>
      <c r="G24" s="17">
        <f t="shared" si="1"/>
        <v>173.30584970794217</v>
      </c>
      <c r="H24" s="535"/>
      <c r="I24" s="34"/>
      <c r="J24" s="535"/>
      <c r="K24" s="537">
        <f>Bilan_E_KP_AMS_2033!H31</f>
        <v>2.138992514097271</v>
      </c>
      <c r="L24" s="537"/>
      <c r="M24" s="537">
        <f>Bilan_E_KP_AMS_2033!H28</f>
        <v>0</v>
      </c>
      <c r="N24" s="537">
        <f>Bilan_E_KP_AMS_2033!H22</f>
        <v>14.235464329282825</v>
      </c>
      <c r="O24" s="537">
        <f>Bilan_E_KP_AMS_2033!H21</f>
        <v>19.865967473344622</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Bilan_E_KP_AMS_2033!O22</f>
        <v>4.2657087375224645</v>
      </c>
      <c r="D26" s="512"/>
      <c r="E26" s="190">
        <f>C26*F$35</f>
        <v>0.35032529828411846</v>
      </c>
      <c r="F26" s="512"/>
      <c r="G26" s="33">
        <f t="shared" ref="G26:G31" si="2">C26-E26</f>
        <v>3.915383439238346</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Bilan_E_KP_AMS_2033!M18-Bilan_E_KP_AMS_2033!M21-(Bilan_E_KP_AMS_2033!S20+Bilan_E_KP_AMS_2033!S19+Bilan_E_KP_AMS_2033!M20+Bilan_E_KP_AMS_2033!M19)</f>
        <v>17.391107538687592</v>
      </c>
      <c r="D27" s="87"/>
      <c r="E27" s="190">
        <f t="shared" ref="E27:E34" si="3">C27*F$35</f>
        <v>1.4282608848536806</v>
      </c>
      <c r="F27" s="87"/>
      <c r="G27" s="33">
        <f t="shared" si="2"/>
        <v>15.962846653833912</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Bilan_E_KP_AMS_2033!L22</f>
        <v>35.236777417757288</v>
      </c>
      <c r="D29" s="87"/>
      <c r="E29" s="190">
        <f t="shared" si="3"/>
        <v>2.8938531247720714</v>
      </c>
      <c r="F29" s="87"/>
      <c r="G29" s="33">
        <f t="shared" si="2"/>
        <v>32.342924292985217</v>
      </c>
      <c r="H29" s="87"/>
      <c r="I29" s="1"/>
      <c r="J29" s="87"/>
      <c r="K29" s="87"/>
      <c r="L29" s="87"/>
      <c r="M29" s="87"/>
      <c r="N29" s="87"/>
      <c r="O29" s="87"/>
      <c r="P29" s="87"/>
      <c r="Q29" s="87"/>
      <c r="R29" s="508"/>
      <c r="S29" s="87"/>
      <c r="T29" s="87"/>
      <c r="U29" s="87"/>
      <c r="V29" s="87"/>
      <c r="W29" s="87"/>
      <c r="X29" s="87"/>
    </row>
    <row r="30" spans="1:24">
      <c r="A30" s="697"/>
      <c r="B30" s="1" t="s">
        <v>24</v>
      </c>
      <c r="C30" s="17">
        <f>Bilan_E_KP_AMS_2033!Q22</f>
        <v>9.4996550719303219</v>
      </c>
      <c r="D30" s="86">
        <f>SUM(C26:C34)</f>
        <v>80.628713095180487</v>
      </c>
      <c r="E30" s="190">
        <f t="shared" si="3"/>
        <v>0.78016800992444757</v>
      </c>
      <c r="F30" s="86">
        <f>Bilan_E_KP_AMS_2033!U22</f>
        <v>6.6217080685492906</v>
      </c>
      <c r="G30" s="33">
        <f t="shared" si="2"/>
        <v>8.7194870620058751</v>
      </c>
      <c r="H30" s="86">
        <f>SUM(G26:G34)</f>
        <v>74.007005026631205</v>
      </c>
      <c r="I30" s="1"/>
      <c r="J30" s="86">
        <f>H30</f>
        <v>74.007005026631205</v>
      </c>
      <c r="K30" s="87">
        <f>Bilan_E_KP_AMS_2033!S31</f>
        <v>5.5417484036628721</v>
      </c>
      <c r="L30" s="87"/>
      <c r="M30" s="87">
        <f>Bilan_E_KP_AMS_2033!M28</f>
        <v>0</v>
      </c>
      <c r="N30" s="87"/>
      <c r="O30" s="87"/>
      <c r="P30" s="87"/>
      <c r="Q30" s="86">
        <f>J30-K30-L30-M30-N30-O30-P30</f>
        <v>68.465256622968326</v>
      </c>
      <c r="R30" s="508">
        <f>Q30-S30</f>
        <v>4.9454600866738474E-4</v>
      </c>
      <c r="S30" s="86">
        <f>SUM(T27:X34)</f>
        <v>68.464762076959659</v>
      </c>
      <c r="T30" s="87">
        <f>Bilan_E_KP_AMS_2033!S$38</f>
        <v>0</v>
      </c>
      <c r="U30" s="87">
        <f>Bilan_E_KP_AMS_2033!S$34+Bilan_E_KP_AMS_2033!M34</f>
        <v>20.593291317894622</v>
      </c>
      <c r="V30" s="87">
        <f>Bilan_E_KP_AMS_2033!S$36</f>
        <v>29.067896346898497</v>
      </c>
      <c r="W30" s="87">
        <f>Bilan_E_KP_AMS_2033!S$37</f>
        <v>18.80357441216654</v>
      </c>
      <c r="X30" s="87">
        <f>Bilan_E_KP_AMS_2033!S$35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Bilan_E_KP_AMS_2033!H22</f>
        <v>14.235464329282825</v>
      </c>
      <c r="D32" s="86"/>
      <c r="E32" s="190">
        <f t="shared" si="3"/>
        <v>1.1691007507149733</v>
      </c>
      <c r="F32" s="86"/>
      <c r="G32" s="33">
        <f>C32-E32</f>
        <v>13.066363578567852</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Bilan_E_KP_AMS_2033!F22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Bilan_E_KP_AMS_2033!D22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8.2125930259267621E-2</v>
      </c>
      <c r="G35" s="17"/>
      <c r="H35" s="501"/>
      <c r="I35" s="1"/>
      <c r="J35" s="1"/>
      <c r="K35" s="1"/>
      <c r="L35" s="1"/>
      <c r="M35" s="1"/>
      <c r="N35" s="1"/>
      <c r="O35" s="1"/>
      <c r="P35" s="1"/>
      <c r="Q35" s="502"/>
      <c r="R35" s="508"/>
      <c r="U35" s="33"/>
      <c r="V35" s="33"/>
      <c r="W35" s="33"/>
    </row>
    <row r="36" spans="1:26">
      <c r="A36" s="679" t="s">
        <v>34</v>
      </c>
      <c r="B36" s="1" t="s">
        <v>21</v>
      </c>
      <c r="C36" s="33">
        <f>E55</f>
        <v>1.4684689617858735</v>
      </c>
      <c r="D36" s="540"/>
      <c r="E36" s="17"/>
      <c r="F36" s="540"/>
      <c r="G36" s="17">
        <f t="shared" ref="G36:G42" si="5">C36-E36</f>
        <v>1.4684689617858735</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1.4684689617858735</v>
      </c>
    </row>
    <row r="37" spans="1:26">
      <c r="A37" s="679"/>
      <c r="B37" s="1" t="s">
        <v>23</v>
      </c>
      <c r="C37" s="33">
        <f>SUM(T37:X37)+E58</f>
        <v>64.942110533106998</v>
      </c>
      <c r="D37" s="541"/>
      <c r="E37" s="504"/>
      <c r="F37" s="541"/>
      <c r="G37" s="17">
        <f t="shared" si="5"/>
        <v>64.942110533106998</v>
      </c>
      <c r="H37" s="541"/>
      <c r="I37" s="498"/>
      <c r="J37" s="37"/>
      <c r="K37" s="35"/>
      <c r="L37" s="35"/>
      <c r="M37" s="505"/>
      <c r="N37" s="35"/>
      <c r="P37" s="35"/>
      <c r="Q37" s="543"/>
      <c r="R37" s="508"/>
      <c r="S37" s="541"/>
      <c r="T37" s="506">
        <f>Bilan_E_KP_AMS_2033!L38</f>
        <v>2.5327781893790755</v>
      </c>
      <c r="U37" s="93">
        <f>Bilan_E_KP_AMS_2033!L34</f>
        <v>20.32032070760291</v>
      </c>
      <c r="V37" s="506">
        <f>Bilan_E_KP_AMS_2033!L36</f>
        <v>41.434907608340509</v>
      </c>
      <c r="W37" s="507">
        <f>Bilan_E_KP_AMS_2033!L37</f>
        <v>0.44569918061681485</v>
      </c>
      <c r="X37" s="506">
        <f>Bilan_E_KP_AMS_2033!L35</f>
        <v>0</v>
      </c>
      <c r="Y37" s="489">
        <f t="shared" ref="Y37:Y47" si="6">SUM(T37:X37)</f>
        <v>64.733705685939313</v>
      </c>
      <c r="Z37" s="489">
        <f t="shared" ref="Z37:Z44" si="7">G37-Y37</f>
        <v>0.20840484716768515</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230.23465119964015</v>
      </c>
      <c r="R38" s="508"/>
      <c r="S38" s="541"/>
      <c r="T38" s="84">
        <v>0</v>
      </c>
      <c r="U38" s="83">
        <v>0</v>
      </c>
      <c r="V38" s="84">
        <v>0</v>
      </c>
      <c r="W38" s="91">
        <v>0</v>
      </c>
      <c r="X38" s="91">
        <v>0</v>
      </c>
      <c r="Y38" s="489">
        <f t="shared" si="6"/>
        <v>0</v>
      </c>
      <c r="Z38" s="489">
        <f t="shared" si="7"/>
        <v>0</v>
      </c>
    </row>
    <row r="39" spans="1:26">
      <c r="A39" s="679"/>
      <c r="B39" s="1" t="s">
        <v>35</v>
      </c>
      <c r="C39" s="33">
        <f>SUM(T39:X39)</f>
        <v>3.8758335430782291</v>
      </c>
      <c r="D39" s="541"/>
      <c r="E39" s="35"/>
      <c r="F39" s="541"/>
      <c r="G39" s="17">
        <f t="shared" si="5"/>
        <v>3.8758335430782291</v>
      </c>
      <c r="H39" s="541"/>
      <c r="I39" s="35"/>
      <c r="J39" s="37"/>
      <c r="K39" s="35"/>
      <c r="L39" s="35"/>
      <c r="M39" s="37"/>
      <c r="N39" s="35"/>
      <c r="O39" s="35"/>
      <c r="P39" s="35"/>
      <c r="Q39" s="543"/>
      <c r="R39" s="508"/>
      <c r="S39" s="541"/>
      <c r="T39" s="84">
        <f>Bilan_E_KP_AMS_2033!Q38</f>
        <v>0.82781531321025892</v>
      </c>
      <c r="U39" s="83">
        <f>Bilan_E_KP_AMS_2033!Q34</f>
        <v>6.3863689419622622E-4</v>
      </c>
      <c r="V39" s="84">
        <f>Bilan_E_KP_AMS_2033!Q36</f>
        <v>2.1381357466702497</v>
      </c>
      <c r="W39" s="91">
        <f>Bilan_E_KP_AMS_2033!Q37</f>
        <v>0.90924384630352406</v>
      </c>
      <c r="X39" s="91">
        <f>Bilan_E_KP_AMS_2033!Q35</f>
        <v>0</v>
      </c>
      <c r="Y39" s="489">
        <f t="shared" si="6"/>
        <v>3.8758335430782291</v>
      </c>
      <c r="Z39" s="489">
        <f t="shared" si="7"/>
        <v>0</v>
      </c>
    </row>
    <row r="40" spans="1:26">
      <c r="A40" s="679"/>
      <c r="B40" s="1" t="s">
        <v>36</v>
      </c>
      <c r="C40" s="33">
        <f>Bilan_E_KP_AMS_2033!P12</f>
        <v>105.39487042391544</v>
      </c>
      <c r="D40" s="541"/>
      <c r="E40" s="35"/>
      <c r="F40" s="541"/>
      <c r="G40" s="17">
        <f t="shared" si="5"/>
        <v>105.39487042391544</v>
      </c>
      <c r="H40" s="541"/>
      <c r="I40" s="35"/>
      <c r="J40" s="37"/>
      <c r="K40" s="35"/>
      <c r="L40" s="35"/>
      <c r="M40" s="37"/>
      <c r="N40" s="35"/>
      <c r="O40" s="35"/>
      <c r="P40" s="35"/>
      <c r="Q40" s="543"/>
      <c r="R40" s="508"/>
      <c r="S40" s="541"/>
      <c r="T40" s="83">
        <f>Bilan_E_KP_AMS_2033!P$38</f>
        <v>0.65</v>
      </c>
      <c r="U40" s="83">
        <f>Bilan_E_KP_AMS_2033!P$34</f>
        <v>4.7115375976562497</v>
      </c>
      <c r="V40" s="83">
        <f>Bilan_E_KP_AMS_2033!P$36</f>
        <v>81.342309221763003</v>
      </c>
      <c r="W40" s="83">
        <f>Bilan_E_KP_AMS_2033!P$37</f>
        <v>18.691023604496184</v>
      </c>
      <c r="X40" s="84">
        <f>Bilan_E_KP_AMS_2033!P$35</f>
        <v>0</v>
      </c>
      <c r="Y40" s="489">
        <f t="shared" si="6"/>
        <v>105.39487042391544</v>
      </c>
      <c r="Z40" s="489">
        <f t="shared" si="7"/>
        <v>0</v>
      </c>
    </row>
    <row r="41" spans="1:26">
      <c r="A41" s="679"/>
      <c r="B41" s="1" t="s">
        <v>37</v>
      </c>
      <c r="C41" s="33">
        <f>Bilan_E_KP_AMS_2033!N12+Bilan_E_KP_AMS_2033!L26-Bilan_E_KP_AMS_2033!N21+Bilan_E_KP_AMS_2033!T27</f>
        <v>80.280320504964067</v>
      </c>
      <c r="D41" s="191">
        <f>SUM(C36:C47)</f>
        <v>680.51671110784014</v>
      </c>
      <c r="E41" s="511">
        <f>Bilan_E_KP_AMS_2033!U27</f>
        <v>2.1083094829884299</v>
      </c>
      <c r="F41" s="191">
        <f>SUM(E36:E47)</f>
        <v>29.081418597527417</v>
      </c>
      <c r="G41" s="17">
        <f t="shared" si="5"/>
        <v>78.172011021975635</v>
      </c>
      <c r="H41" s="191">
        <f>SUM(G36:G47)</f>
        <v>651.43529251031271</v>
      </c>
      <c r="I41" s="35"/>
      <c r="J41" s="37"/>
      <c r="K41" s="35"/>
      <c r="L41" s="37">
        <f>-(SUM(Bilan_E_KP_AMS_2033!N13:N16)+SUM(Bilan_E_KP_AMS_2033!G13:G16))</f>
        <v>8.2722544871922423</v>
      </c>
      <c r="M41" s="35"/>
      <c r="N41" s="35"/>
      <c r="O41" s="35"/>
      <c r="P41" s="35"/>
      <c r="Q41" s="543"/>
      <c r="R41" s="508">
        <f>SUM(Q36:Q47)-S41</f>
        <v>1.6135057642804327</v>
      </c>
      <c r="S41" s="191">
        <f>SUM(T36:X46)</f>
        <v>503.44924345937426</v>
      </c>
      <c r="T41" s="83">
        <f>Bilan_E_KP_AMS_2033!N$38+Bilan_E_KP_AMS_2033!G$38</f>
        <v>6.9172702223723741</v>
      </c>
      <c r="U41" s="83">
        <f>Bilan_E_KP_AMS_2033!N$34+Bilan_E_KP_AMS_2033!G$34</f>
        <v>1.1054608081054689</v>
      </c>
      <c r="V41" s="83">
        <f>Bilan_E_KP_AMS_2033!N$36+Bilan_E_KP_AMS_2033!G$36</f>
        <v>0</v>
      </c>
      <c r="W41" s="83">
        <f>Bilan_E_KP_AMS_2033!N$37+Bilan_E_KP_AMS_2033!G$37</f>
        <v>0</v>
      </c>
      <c r="X41" s="84">
        <f>Bilan_E_KP_AMS_2033!N$35+Bilan_E_KP_AMS_2033!G$35</f>
        <v>46.594004751948866</v>
      </c>
      <c r="Y41" s="489">
        <f t="shared" si="6"/>
        <v>54.616735782426709</v>
      </c>
      <c r="Z41" s="489">
        <f>G41-Y41-L41</f>
        <v>15.283020752356684</v>
      </c>
    </row>
    <row r="42" spans="1:26">
      <c r="A42" s="679"/>
      <c r="B42" s="1" t="s">
        <v>38</v>
      </c>
      <c r="C42" s="33">
        <f>Bilan_E_KP_AMS_2033!E18+Bilan_E_KP_AMS_2033!F18-Bilan_E_KP_AMS_2033!F21-Bilan_E_KP_AMS_2033!F22-E54-SUM(T43:X43)-(Bilan_E_KP_AMS_2033!E20+Bilan_E_KP_AMS_2033!F20+Bilan_E_KP_AMS_2033!E19+Bilan_E_KP_AMS_2033!F19)</f>
        <v>257.03709629596869</v>
      </c>
      <c r="D42" s="541"/>
      <c r="E42" s="17">
        <f>Bilan_E_KP_AMS_2033!F30+Bilan_E_KP_AMS_2033!U25+Bilan_E_KP_AMS_2033!F29+Bilan_E_KP_AMS_2033!E29</f>
        <v>26.973109114538985</v>
      </c>
      <c r="F42" s="541"/>
      <c r="G42" s="17">
        <f t="shared" si="5"/>
        <v>230.0639871814297</v>
      </c>
      <c r="H42" s="541"/>
      <c r="I42" s="498"/>
      <c r="J42" s="37"/>
      <c r="K42" s="35"/>
      <c r="L42" s="35"/>
      <c r="M42" s="35"/>
      <c r="N42" s="35"/>
      <c r="O42" s="35"/>
      <c r="P42" s="35"/>
      <c r="Q42" s="36">
        <f>G42</f>
        <v>230.0639871814297</v>
      </c>
      <c r="R42" s="508"/>
      <c r="S42" s="541"/>
      <c r="T42" s="83">
        <v>0</v>
      </c>
      <c r="U42" s="83">
        <v>0</v>
      </c>
      <c r="V42" s="83">
        <v>0</v>
      </c>
      <c r="W42" s="83">
        <v>0</v>
      </c>
      <c r="X42" s="84">
        <f>Bilan_E_KP_AMS_2033!F35</f>
        <v>230.06398718142972</v>
      </c>
      <c r="Y42" s="489">
        <f t="shared" si="6"/>
        <v>230.06398718142972</v>
      </c>
      <c r="Z42" s="489">
        <f>Q42-SUM(T42:X42)</f>
        <v>0</v>
      </c>
    </row>
    <row r="43" spans="1:26">
      <c r="A43" s="679"/>
      <c r="B43" s="1" t="s">
        <v>39</v>
      </c>
      <c r="C43" s="33">
        <f>Bilan_E_KP_AMS_2033!F41+SUM(T43:X43)</f>
        <v>126.15345063406959</v>
      </c>
      <c r="D43" s="541"/>
      <c r="E43" s="38"/>
      <c r="F43" s="541"/>
      <c r="G43" s="17">
        <f>C43-E43</f>
        <v>126.15345063406959</v>
      </c>
      <c r="H43" s="541"/>
      <c r="I43" s="35"/>
      <c r="J43" s="37"/>
      <c r="K43" s="35"/>
      <c r="L43" s="35"/>
      <c r="M43" s="35"/>
      <c r="N43" s="35"/>
      <c r="O43" s="35"/>
      <c r="P43" s="35"/>
      <c r="Q43" s="36">
        <f>G43-Bilan_E_KP_AMS_2033!F41</f>
        <v>41.252145651320816</v>
      </c>
      <c r="R43" s="508"/>
      <c r="S43" s="541"/>
      <c r="T43" s="83">
        <f>Bilan_E_KP_AMS_2033!F38</f>
        <v>22.663704600568668</v>
      </c>
      <c r="U43" s="83">
        <f>Bilan_E_KP_AMS_2033!F34</f>
        <v>10.329791866978772</v>
      </c>
      <c r="V43" s="83">
        <f>Bilan_E_KP_AMS_2033!F36</f>
        <v>3.8037297943831954</v>
      </c>
      <c r="W43" s="83">
        <f>Bilan_E_KP_AMS_2033!F37</f>
        <v>4.4549193893901853</v>
      </c>
      <c r="X43" s="84">
        <v>0</v>
      </c>
      <c r="Y43" s="489">
        <f t="shared" si="6"/>
        <v>41.252145651320816</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G44-Bilan_E_KP_AMS_2033!M41</f>
        <v>0</v>
      </c>
      <c r="R44" s="498"/>
      <c r="S44" s="541"/>
      <c r="T44" s="83">
        <f>Bilan_E_KP_AMS_2033!M$38</f>
        <v>0</v>
      </c>
      <c r="U44" s="83">
        <v>0</v>
      </c>
      <c r="V44" s="83">
        <f>Bilan_E_KP_AMS_2033!M$36</f>
        <v>0</v>
      </c>
      <c r="W44" s="83">
        <v>0</v>
      </c>
      <c r="X44" s="84">
        <f>Bilan_E_KP_AMS_2033!M$35</f>
        <v>0</v>
      </c>
      <c r="Y44" s="489">
        <f t="shared" si="6"/>
        <v>0</v>
      </c>
      <c r="Z44" s="489">
        <f t="shared" si="7"/>
        <v>0</v>
      </c>
    </row>
    <row r="45" spans="1:26">
      <c r="A45" s="679"/>
      <c r="B45" s="1" t="s">
        <v>41</v>
      </c>
      <c r="C45" s="33">
        <f>E53</f>
        <v>9.2771889658758084</v>
      </c>
      <c r="D45" s="541"/>
      <c r="E45" s="38"/>
      <c r="F45" s="541"/>
      <c r="G45" s="17">
        <f t="shared" si="1"/>
        <v>9.2771889658758084</v>
      </c>
      <c r="H45" s="541"/>
      <c r="I45" s="35"/>
      <c r="J45" s="37"/>
      <c r="K45" s="35"/>
      <c r="L45" s="35"/>
      <c r="M45" s="35"/>
      <c r="N45" s="35"/>
      <c r="O45" s="35"/>
      <c r="P45" s="35"/>
      <c r="Q45" s="36">
        <f>G45-Bilan_E_KP_AMS_2033!H41</f>
        <v>0</v>
      </c>
      <c r="R45" s="498"/>
      <c r="S45" s="541"/>
      <c r="T45" s="84">
        <v>0</v>
      </c>
      <c r="U45" s="83">
        <v>0</v>
      </c>
      <c r="V45" s="84">
        <v>0</v>
      </c>
      <c r="W45" s="92">
        <v>0</v>
      </c>
      <c r="X45" s="84">
        <v>0</v>
      </c>
      <c r="Y45" s="489">
        <f t="shared" si="6"/>
        <v>0</v>
      </c>
      <c r="Z45" s="489">
        <f>Q45-Y45</f>
        <v>0</v>
      </c>
    </row>
    <row r="46" spans="1:26">
      <c r="A46" s="679"/>
      <c r="B46" s="1" t="s">
        <v>42</v>
      </c>
      <c r="C46" s="33">
        <f>Bilan_E_KP_AMS_2033!D18-C18-C34</f>
        <v>17.481730816264069</v>
      </c>
      <c r="D46" s="541"/>
      <c r="E46" s="511"/>
      <c r="F46" s="541"/>
      <c r="G46" s="17">
        <f>C46-E46</f>
        <v>17.481730816264069</v>
      </c>
      <c r="H46" s="541"/>
      <c r="I46" s="38"/>
      <c r="J46" s="37"/>
      <c r="K46" s="35"/>
      <c r="L46" s="35"/>
      <c r="M46" s="35"/>
      <c r="N46" s="35"/>
      <c r="O46" s="35"/>
      <c r="P46" s="35"/>
      <c r="Q46" s="36">
        <f>G46-(Bilan_E_KP_AMS_2033!D41+Bilan_E_KP_AMS_2033!D29+Bilan_E_KP_AMS_2033!D30)</f>
        <v>3.5119651912640677</v>
      </c>
      <c r="R46" s="498"/>
      <c r="S46" s="541"/>
      <c r="T46" s="506">
        <f>Bilan_E_KP_AMS_2033!D38</f>
        <v>0</v>
      </c>
      <c r="U46" s="93">
        <f>Bilan_E_KP_AMS_2033!D34</f>
        <v>3.5119651912640659</v>
      </c>
      <c r="V46" s="506">
        <f>Bilan_E_KP_AMS_2033!D36</f>
        <v>0</v>
      </c>
      <c r="W46" s="507">
        <f>Bilan_E_KP_AMS_2033!D37</f>
        <v>0</v>
      </c>
      <c r="X46" s="506">
        <f>Bilan_E_KP_AMS_2033!D35</f>
        <v>0</v>
      </c>
      <c r="Y46" s="489">
        <f t="shared" si="6"/>
        <v>3.5119651912640659</v>
      </c>
      <c r="Z46" s="489">
        <f>Q46-Y46</f>
        <v>0</v>
      </c>
    </row>
    <row r="47" spans="1:26">
      <c r="A47" s="90"/>
      <c r="B47" s="1" t="s">
        <v>31</v>
      </c>
      <c r="C47" s="33">
        <f>E57</f>
        <v>14.605640428811407</v>
      </c>
      <c r="D47" s="192"/>
      <c r="E47" s="511"/>
      <c r="F47" s="192"/>
      <c r="G47" s="17">
        <f>C47-E47</f>
        <v>14.605640428811407</v>
      </c>
      <c r="H47" s="192"/>
      <c r="I47" s="38"/>
      <c r="J47" s="37"/>
      <c r="K47" s="35"/>
      <c r="L47" s="35"/>
      <c r="M47" s="35"/>
      <c r="N47" s="35"/>
      <c r="O47" s="35"/>
      <c r="P47" s="35"/>
      <c r="Q47" s="544">
        <f>G47-Bilan_E_KP_AMS_2033!T41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C5-L13-SUM(L21:L24)-L30-L41-Bilan_E_KP_AMS_2033!U18</f>
        <v>0</v>
      </c>
      <c r="D49" s="1"/>
      <c r="E49" s="34">
        <f>SUM(E7:E47)+I13-Bilan_E_KP_AMS_2033!U32+K13+SUM(K21:K24)+K30+Bilan_E_KP_AMS_2033!D29+Bilan_E_KP_AMS_2033!D30</f>
        <v>-1.5276668818842154E-13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422.14120279853717</v>
      </c>
    </row>
    <row r="52" spans="1:19">
      <c r="A52" s="21"/>
      <c r="B52" s="1" t="s">
        <v>44</v>
      </c>
      <c r="C52" s="44"/>
      <c r="D52" s="1"/>
      <c r="E52" s="39">
        <f>Bilan_E_KP_AMS_2033!D41+Bilan_E_KP_AMS_2033!D29+Bilan_E_KP_AMS_2033!D30</f>
        <v>13.969765625000001</v>
      </c>
      <c r="F52" s="187"/>
      <c r="G52" s="1"/>
      <c r="H52" s="1"/>
      <c r="I52" s="30"/>
      <c r="J52" s="17"/>
      <c r="K52" s="17"/>
      <c r="L52" s="21"/>
      <c r="M52" s="1"/>
      <c r="N52" s="17"/>
      <c r="O52" s="17"/>
      <c r="P52" s="17"/>
      <c r="Q52" s="1"/>
      <c r="S52" s="33"/>
    </row>
    <row r="53" spans="1:19">
      <c r="A53" s="21"/>
      <c r="B53" s="1" t="s">
        <v>41</v>
      </c>
      <c r="C53" s="45"/>
      <c r="D53" s="17"/>
      <c r="E53" s="433">
        <f>Bilan_E_KP_AMS_2033!H41+Bilan_E_KP_AMS_2033!H29</f>
        <v>9.2771889658758084</v>
      </c>
      <c r="F53" s="187"/>
      <c r="G53" s="1"/>
      <c r="H53" s="1"/>
      <c r="I53" s="30"/>
      <c r="J53" s="17"/>
      <c r="K53" s="17"/>
      <c r="L53" s="21"/>
      <c r="M53" s="1"/>
      <c r="N53" s="17"/>
      <c r="O53" s="17"/>
      <c r="P53" s="17"/>
      <c r="Q53" s="1"/>
    </row>
    <row r="54" spans="1:19">
      <c r="A54" s="21"/>
      <c r="B54" s="1" t="s">
        <v>39</v>
      </c>
      <c r="C54" s="45"/>
      <c r="D54" s="17"/>
      <c r="E54" s="435">
        <f>Bilan_E_KP_AMS_2033!F41</f>
        <v>84.901304982748769</v>
      </c>
      <c r="F54" s="187"/>
      <c r="G54" s="1"/>
      <c r="H54" s="1"/>
      <c r="I54" s="30"/>
      <c r="J54" s="17"/>
      <c r="K54" s="17"/>
      <c r="L54" s="21"/>
      <c r="M54" s="21"/>
      <c r="N54" s="17"/>
      <c r="O54" s="17"/>
      <c r="P54" s="17"/>
      <c r="Q54" s="1"/>
    </row>
    <row r="55" spans="1:19">
      <c r="B55" s="1" t="s">
        <v>21</v>
      </c>
      <c r="E55" s="633">
        <f>Bilan_E_KP_AMS_2033!O41+Bilan_E_KP_AMS_2033!O29</f>
        <v>1.4684689617858735</v>
      </c>
    </row>
    <row r="56" spans="1:19">
      <c r="B56" s="1" t="s">
        <v>37</v>
      </c>
      <c r="E56" s="633">
        <f>Bilan_E_KP_AMS_2033!N41+Bilan_E_KP_AMS_2033!N29+Bilan_E_KP_AMS_2033!G41</f>
        <v>13.669514988076216</v>
      </c>
    </row>
    <row r="57" spans="1:19">
      <c r="B57" s="1" t="s">
        <v>31</v>
      </c>
      <c r="E57" s="633">
        <f>Bilan_E_KP_AMS_2033!T41</f>
        <v>14.605640428811407</v>
      </c>
    </row>
    <row r="58" spans="1:19">
      <c r="B58" s="1" t="s">
        <v>338</v>
      </c>
      <c r="E58" s="633">
        <f>Bilan_E_KP_AMS_2033!L41</f>
        <v>0.20840484716769062</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F3EC4-12B4-4951-8DFA-90EA4BBA06FD}">
  <dimension ref="A1:Z59"/>
  <sheetViews>
    <sheetView workbookViewId="0">
      <selection activeCell="C13" sqref="C13"/>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2155.8080728036434</v>
      </c>
      <c r="D5" s="18"/>
      <c r="E5" s="20"/>
      <c r="F5" s="494"/>
      <c r="G5" s="21"/>
      <c r="H5" s="493"/>
      <c r="I5" s="21"/>
      <c r="J5" s="22"/>
      <c r="K5" s="23"/>
      <c r="L5" s="14"/>
      <c r="M5" s="14"/>
      <c r="N5" s="15"/>
      <c r="O5" s="16"/>
      <c r="P5" s="16"/>
      <c r="Q5" s="24">
        <f>Q13+Q22+Q30+Q42+Q46+Q38+Q43</f>
        <v>1150.2637895074165</v>
      </c>
      <c r="R5" s="487"/>
      <c r="S5" s="79">
        <f>SUM(S13,S22,S27:S32,S41)</f>
        <v>1150.2637895074165</v>
      </c>
      <c r="T5" s="79">
        <f>SUM(T8:T46)</f>
        <v>42.511723035553004</v>
      </c>
      <c r="U5" s="79">
        <f>SUM(U8:U46)</f>
        <v>263.2793905709791</v>
      </c>
      <c r="V5" s="79">
        <f>SUM(V8:V46)</f>
        <v>373.97333423573798</v>
      </c>
      <c r="W5" s="173">
        <f>SUM(W8:W46)</f>
        <v>167.97270989157903</v>
      </c>
      <c r="X5" s="79">
        <f>SUM(X8:X46)</f>
        <v>302.52663177356726</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(([7]Offre_calc!$Q$106+[7]Offre_calc!$Q$107+[7]Offre_calc!$Q$144+[7]Offre_calc!$Q$145)/([7]Offre_calc!$Q$103+[7]Offre_calc!$Q$141))*Bilan_E_KP_AMS_2035!K$21</f>
        <v>123.75016896562751</v>
      </c>
      <c r="D7" s="518"/>
      <c r="E7" s="28">
        <v>0</v>
      </c>
      <c r="F7" s="518"/>
      <c r="G7" s="17">
        <f>C7-E7</f>
        <v>123.75016896562751</v>
      </c>
      <c r="H7" s="518"/>
      <c r="I7" s="21"/>
      <c r="J7" s="518"/>
      <c r="K7" s="525"/>
      <c r="L7" s="525"/>
      <c r="M7" s="525"/>
      <c r="N7" s="525"/>
      <c r="O7" s="525"/>
      <c r="P7" s="513"/>
      <c r="Q7" s="528"/>
      <c r="R7" s="498"/>
      <c r="S7" s="528"/>
      <c r="T7" s="525"/>
      <c r="U7" s="525"/>
      <c r="V7" s="525"/>
      <c r="W7" s="525"/>
      <c r="X7" s="525"/>
    </row>
    <row r="8" spans="1:24">
      <c r="A8" s="695"/>
      <c r="B8" s="1" t="s">
        <v>18</v>
      </c>
      <c r="C8" s="486">
        <f>(([7]Offre_calc!$Q$105+[7]Offre_calc!$Q$143)/([7]Offre_calc!$Q$103+[7]Offre_calc!$Q$141))*Bilan_E_KP_AMS_2035!K$21</f>
        <v>63.904373184195343</v>
      </c>
      <c r="D8" s="81"/>
      <c r="E8" s="28">
        <v>0</v>
      </c>
      <c r="F8" s="81"/>
      <c r="G8" s="17">
        <f t="shared" ref="G8:G19" si="0">C8-E8</f>
        <v>63.904373184195343</v>
      </c>
      <c r="H8" s="81"/>
      <c r="I8" s="21"/>
      <c r="J8" s="81"/>
      <c r="K8" s="526"/>
      <c r="L8" s="526"/>
      <c r="M8" s="526"/>
      <c r="N8" s="526"/>
      <c r="O8" s="526"/>
      <c r="P8" s="29"/>
      <c r="Q8" s="529"/>
      <c r="R8" s="498"/>
      <c r="S8" s="529"/>
      <c r="T8" s="526"/>
      <c r="U8" s="526"/>
      <c r="V8" s="526"/>
      <c r="W8" s="526"/>
      <c r="X8" s="526"/>
    </row>
    <row r="9" spans="1:24">
      <c r="A9" s="695"/>
      <c r="B9" s="1" t="s">
        <v>19</v>
      </c>
      <c r="C9" s="486">
        <f>(([7]Offre_calc!$Q$104+[7]Offre_calc!$Q$142)/([7]Offre_calc!$Q$103+[7]Offre_calc!$Q$141))*Bilan_E_KP_AMS_2035!K$21</f>
        <v>79.845482334340417</v>
      </c>
      <c r="D9" s="81"/>
      <c r="E9" s="28">
        <v>0</v>
      </c>
      <c r="F9" s="81"/>
      <c r="G9" s="17">
        <f t="shared" si="0"/>
        <v>79.845482334340417</v>
      </c>
      <c r="H9" s="81"/>
      <c r="I9" s="21"/>
      <c r="J9" s="81"/>
      <c r="K9" s="526"/>
      <c r="L9" s="526"/>
      <c r="M9" s="526"/>
      <c r="N9" s="526"/>
      <c r="O9" s="526"/>
      <c r="P9" s="29"/>
      <c r="Q9" s="529"/>
      <c r="R9" s="498"/>
      <c r="S9" s="529"/>
      <c r="T9" s="526"/>
      <c r="U9" s="526"/>
      <c r="V9" s="526"/>
      <c r="W9" s="526"/>
      <c r="X9" s="526"/>
    </row>
    <row r="10" spans="1:24">
      <c r="A10" s="695"/>
      <c r="B10" s="1" t="s">
        <v>20</v>
      </c>
      <c r="C10" s="17">
        <f>Bilan_E_KP_AMS_2035!J21-(Bilan_E_KP_AMS_2035!R20+Bilan_E_KP_AMS_2035!R19)</f>
        <v>962.45197015227166</v>
      </c>
      <c r="D10" s="81"/>
      <c r="E10" s="28">
        <f>F13-SUM(E11:E19)</f>
        <v>643.74427483366526</v>
      </c>
      <c r="F10" s="81"/>
      <c r="G10" s="17">
        <f t="shared" si="0"/>
        <v>318.7076953186064</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Bilan_E_KP_AMS_2035!O21</f>
        <v>2.8343761662812361</v>
      </c>
      <c r="D11" s="81"/>
      <c r="E11" s="28">
        <f>C11*(1-[7]Offre_calc!$Q$161)</f>
        <v>1.2400395727480409</v>
      </c>
      <c r="F11" s="81"/>
      <c r="G11" s="17">
        <f t="shared" si="0"/>
        <v>1.5943365935331952</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Bilan_E_KP_AMS_2035!M21</f>
        <v>9.8679572117025351</v>
      </c>
      <c r="D12" s="81"/>
      <c r="E12" s="28">
        <f>C12*(1-[7]Offre_calc!$Q$171)</f>
        <v>6.6608711178992115</v>
      </c>
      <c r="F12" s="81"/>
      <c r="G12" s="17">
        <f t="shared" si="0"/>
        <v>3.2070860938033237</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Bilan_E_KP_AMS_2035!L21</f>
        <v>25.455194099059376</v>
      </c>
      <c r="D13" s="81">
        <f>SUM(C7:C19)</f>
        <v>1287.62048956695</v>
      </c>
      <c r="E13" s="28">
        <f>C13*(1-[7]Offre_calc!$Q$170)</f>
        <v>17.182256016865079</v>
      </c>
      <c r="F13" s="81">
        <f>Bilan_E_KP_AMS_2035!U21</f>
        <v>676.85528060325873</v>
      </c>
      <c r="G13" s="17">
        <f t="shared" si="0"/>
        <v>8.2729380821942975</v>
      </c>
      <c r="H13" s="81">
        <f>SUM(G7:G19)</f>
        <v>610.76520896369141</v>
      </c>
      <c r="I13" s="33">
        <f>Bilan_E_KP_AMS_2035!R30</f>
        <v>24.070214497240038</v>
      </c>
      <c r="J13" s="81">
        <f>H13-I13</f>
        <v>586.69499446645136</v>
      </c>
      <c r="K13" s="29">
        <f>Bilan_E_KP_AMS_2035!R31</f>
        <v>43.697669495159822</v>
      </c>
      <c r="L13" s="29">
        <f>-(Bilan_E_KP_AMS_2035!R14+Bilan_E_KP_AMS_2035!R13)</f>
        <v>40.000125067890167</v>
      </c>
      <c r="M13" s="29">
        <f>Bilan_E_KP_AMS_2035!R28</f>
        <v>51.730551312429718</v>
      </c>
      <c r="N13" s="29"/>
      <c r="O13" s="29"/>
      <c r="P13" s="29"/>
      <c r="Q13" s="81">
        <f>J13-K13-L13-M13-N13-O13-P13</f>
        <v>451.26664859097161</v>
      </c>
      <c r="R13" s="508">
        <f>Q13-S13</f>
        <v>0</v>
      </c>
      <c r="S13" s="81">
        <f>SUM(T8:X19)</f>
        <v>451.26664859097161</v>
      </c>
      <c r="T13" s="29">
        <f>Bilan_E_KP_AMS_2035!R38</f>
        <v>7.7126288806125016</v>
      </c>
      <c r="U13" s="29">
        <f>Bilan_E_KP_AMS_2035!R34+Bilan_E_KP_AMS_2035!R39</f>
        <v>130.36754517319469</v>
      </c>
      <c r="V13" s="29">
        <f>Bilan_E_KP_AMS_2035!R36</f>
        <v>158.98187870009832</v>
      </c>
      <c r="W13" s="29">
        <f>Bilan_E_KP_AMS_2035!R37</f>
        <v>96.862888654792613</v>
      </c>
      <c r="X13" s="29">
        <f>Bilan_E_KP_AMS_2035!R35</f>
        <v>57.341707182273488</v>
      </c>
    </row>
    <row r="14" spans="1:24">
      <c r="A14" s="695"/>
      <c r="B14" s="1" t="s">
        <v>24</v>
      </c>
      <c r="C14" s="17">
        <f>Bilan_E_KP_AMS_2035!Q21</f>
        <v>2.7943993103273139</v>
      </c>
      <c r="D14" s="81"/>
      <c r="E14" s="28">
        <v>0</v>
      </c>
      <c r="F14" s="81"/>
      <c r="G14" s="17">
        <f t="shared" si="0"/>
        <v>2.7943993103273139</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Bilan_E_KP_AMS_2035!N21</f>
        <v>5.0291337303525587</v>
      </c>
      <c r="D16" s="81"/>
      <c r="E16" s="28">
        <f>C16*(1-[7]Offre_calc!$Q$158)</f>
        <v>2.8163148889974332</v>
      </c>
      <c r="F16" s="81"/>
      <c r="G16" s="17">
        <f t="shared" si="0"/>
        <v>2.2128188413551255</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Bilan_E_KP_AMS_2035!F21</f>
        <v>0.802217285608815</v>
      </c>
      <c r="D17" s="81"/>
      <c r="E17" s="28">
        <f>C17*(1-[7]Offre_calc!$Q$158)</f>
        <v>0.44924167994093644</v>
      </c>
      <c r="F17" s="81"/>
      <c r="G17" s="17">
        <f t="shared" si="0"/>
        <v>0.35297560566787856</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Bilan_E_KP_AMS_2035!D21</f>
        <v>0</v>
      </c>
      <c r="D18" s="81"/>
      <c r="E18" s="28">
        <f>C18*(1-[7]Offre_calc!$Q$157)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Bilan_E_KP_AMS_2035!H21+Bilan_E_KP_AMS_2035!T21</f>
        <v>10.885217127183394</v>
      </c>
      <c r="D19" s="82"/>
      <c r="E19" s="28">
        <f>C19*(1-[7]Offre_calc!$Q$160)</f>
        <v>4.7622824931427346</v>
      </c>
      <c r="F19" s="82"/>
      <c r="G19" s="17">
        <f t="shared" si="0"/>
        <v>6.122934634040659</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0.3311414025867524</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Bilan_E_KP_AMS_2035!L23+Bilan_E_KP_AMS_2035!O12</f>
        <v>59.955212459419087</v>
      </c>
      <c r="D21" s="531"/>
      <c r="E21" s="33">
        <f>Bilan_E_KP_AMS_2035!U23+Bilan_E_KP_AMS_2035!O30</f>
        <v>7.0127869081070386</v>
      </c>
      <c r="F21" s="531"/>
      <c r="G21" s="17">
        <f t="shared" ref="G21:G45" si="1">C21-E21</f>
        <v>52.942425551312049</v>
      </c>
      <c r="H21" s="531"/>
      <c r="I21" s="17"/>
      <c r="J21" s="531"/>
      <c r="K21" s="547">
        <f>Bilan_E_KP_AMS_2035!O31</f>
        <v>0.63692829514261562</v>
      </c>
      <c r="L21" s="547">
        <f>-(Bilan_E_KP_AMS_2035!O13+Bilan_E_KP_AMS_2035!O14+Bilan_E_KP_AMS_2035!O15+Bilan_E_KP_AMS_2035!O16)</f>
        <v>0.70221846136779031</v>
      </c>
      <c r="M21" s="547">
        <f>Bilan_E_KP_AMS_2035!O28</f>
        <v>0</v>
      </c>
      <c r="N21" s="547">
        <f>Bilan_E_KP_AMS_2035!O22</f>
        <v>4.1400526748892315</v>
      </c>
      <c r="O21" s="547">
        <f>Bilan_E_KP_AMS_2035!O21</f>
        <v>2.8343761662812361</v>
      </c>
      <c r="P21" s="547">
        <f>C36</f>
        <v>1.800451278990862</v>
      </c>
      <c r="Q21" s="531"/>
      <c r="R21" s="508"/>
      <c r="S21" s="531"/>
      <c r="T21" s="531"/>
      <c r="U21" s="531"/>
      <c r="V21" s="531"/>
      <c r="W21" s="531"/>
      <c r="X21" s="531"/>
    </row>
    <row r="22" spans="1:24">
      <c r="A22" s="696"/>
      <c r="B22" s="1" t="s">
        <v>524</v>
      </c>
      <c r="C22" s="17">
        <f>Bilan_E_KP_AMS_2035!T24</f>
        <v>0</v>
      </c>
      <c r="D22" s="85">
        <f>SUM(C21:C24)</f>
        <v>238.48566165529229</v>
      </c>
      <c r="E22" s="632">
        <f>Bilan_E_KP_AMS_2035!I30+Bilan_E_KP_AMS_2035!U24</f>
        <v>0</v>
      </c>
      <c r="F22" s="85">
        <f>SUM(E21:E24)</f>
        <v>28.135240658310245</v>
      </c>
      <c r="G22" s="17">
        <f t="shared" si="1"/>
        <v>0</v>
      </c>
      <c r="H22" s="85">
        <f>SUM(G21:G24)</f>
        <v>210.35042099698202</v>
      </c>
      <c r="I22" s="408"/>
      <c r="J22" s="85">
        <f>H22-I22</f>
        <v>210.35042099698202</v>
      </c>
      <c r="K22" s="628">
        <f>Bilan_E_KP_AMS_2035!I31</f>
        <v>0</v>
      </c>
      <c r="L22" s="628">
        <f>-SUM(Bilan_E_KP_AMS_2035!I13:I16)</f>
        <v>0</v>
      </c>
      <c r="M22" s="32"/>
      <c r="N22" s="32"/>
      <c r="O22" s="32"/>
      <c r="P22" s="32"/>
      <c r="Q22" s="85">
        <f>J22-SUM(K21:P24)</f>
        <v>164.08979500688801</v>
      </c>
      <c r="R22" s="508">
        <f>Q22-S22</f>
        <v>-4.6787954195792736E-4</v>
      </c>
      <c r="S22" s="85">
        <f>SUM(T22:X24)</f>
        <v>164.09026288642997</v>
      </c>
      <c r="T22" s="32">
        <f>Bilan_E_KP_AMS_2035!H38+Bilan_E_KP_AMS_2035!T38+Bilan_E_KP_AMS_2035!O$38+Bilan_E_KP_AMS_2035!I38</f>
        <v>2.1353999867470588</v>
      </c>
      <c r="U22" s="32">
        <f>Bilan_E_KP_AMS_2035!H34+Bilan_E_KP_AMS_2035!T34+Bilan_E_KP_AMS_2035!O$34+Bilan_E_KP_AMS_2035!I34</f>
        <v>72.864660758006423</v>
      </c>
      <c r="V22" s="32">
        <f>Bilan_E_KP_AMS_2035!H36+Bilan_E_KP_AMS_2035!T36+Bilan_E_KP_AMS_2035!O$36+Bilan_E_KP_AMS_2035!I36</f>
        <v>53.853852150263208</v>
      </c>
      <c r="W22" s="32">
        <f>Bilan_E_KP_AMS_2035!H37+Bilan_E_KP_AMS_2035!M37+Bilan_E_KP_AMS_2035!T37+Bilan_E_KP_AMS_2035!O$37+Bilan_E_KP_AMS_2035!I37</f>
        <v>26.933903026729944</v>
      </c>
      <c r="X22" s="32">
        <f>Bilan_E_KP_AMS_2035!H35+Bilan_E_KP_AMS_2035!T35+Bilan_E_KP_AMS_2035!O$35+Bilan_E_KP_AMS_2035!I35</f>
        <v>8.3024469646833161</v>
      </c>
    </row>
    <row r="23" spans="1:24">
      <c r="A23" s="696"/>
      <c r="B23" s="1" t="s">
        <v>31</v>
      </c>
      <c r="C23" s="17">
        <f>SUM(Bilan_E_KP_AMS_2035!D28:S28)-C47</f>
        <v>33.918970506054769</v>
      </c>
      <c r="D23" s="532"/>
      <c r="E23" s="33">
        <f>Bilan_E_KP_AMS_2035!U28</f>
        <v>17.20040831138288</v>
      </c>
      <c r="F23" s="534"/>
      <c r="G23" s="17">
        <f t="shared" si="1"/>
        <v>16.71856219467189</v>
      </c>
      <c r="H23" s="534"/>
      <c r="I23" s="17"/>
      <c r="J23" s="534"/>
      <c r="K23" s="536">
        <f>Bilan_E_KP_AMS_2035!T31</f>
        <v>0</v>
      </c>
      <c r="L23" s="536">
        <f>-(Bilan_E_KP_AMS_2035!T13+Bilan_E_KP_AMS_2035!T14+Bilan_E_KP_AMS_2035!T15+Bilan_E_KP_AMS_2035!T16)</f>
        <v>0.14322207633849007</v>
      </c>
      <c r="M23" s="536">
        <f>Bilan_E_KP_AMS_2035!T24</f>
        <v>0</v>
      </c>
      <c r="N23" s="536">
        <f>Bilan_E_KP_AMS_2035!T22</f>
        <v>0</v>
      </c>
      <c r="O23" s="536">
        <f>Bilan_E_KP_AMS_2035!T21</f>
        <v>0</v>
      </c>
      <c r="P23" s="536">
        <f>Bilan_E_KP_AMS_2035!T27</f>
        <v>11.017410474440901</v>
      </c>
      <c r="Q23" s="534"/>
      <c r="R23" s="489"/>
      <c r="S23" s="534"/>
      <c r="T23" s="538"/>
      <c r="U23" s="538"/>
      <c r="V23" s="538"/>
      <c r="W23" s="538"/>
      <c r="X23" s="538"/>
    </row>
    <row r="24" spans="1:24">
      <c r="A24" s="696"/>
      <c r="B24" s="1" t="s">
        <v>32</v>
      </c>
      <c r="C24" s="17">
        <f>Bilan_E_KP_AMS_2035!H18-C45-(Bilan_E_KP_AMS_2035!H20+Bilan_E_KP_AMS_2035!H19)</f>
        <v>144.61147868981843</v>
      </c>
      <c r="D24" s="533"/>
      <c r="E24" s="33">
        <f>Bilan_E_KP_AMS_2035!H30</f>
        <v>3.9220454388203256</v>
      </c>
      <c r="F24" s="535"/>
      <c r="G24" s="17">
        <f t="shared" si="1"/>
        <v>140.68943325099809</v>
      </c>
      <c r="H24" s="535"/>
      <c r="I24" s="34"/>
      <c r="J24" s="535"/>
      <c r="K24" s="537">
        <f>Bilan_E_KP_AMS_2035!H31</f>
        <v>1.7220653905707752</v>
      </c>
      <c r="L24" s="537"/>
      <c r="M24" s="537">
        <f>Bilan_E_KP_AMS_2035!H28</f>
        <v>0</v>
      </c>
      <c r="N24" s="537">
        <f>Bilan_E_KP_AMS_2035!H22</f>
        <v>12.378684044888715</v>
      </c>
      <c r="O24" s="537">
        <f>Bilan_E_KP_AMS_2035!H21</f>
        <v>10.885217127183394</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Bilan_E_KP_AMS_2035!O22</f>
        <v>4.1400526748892315</v>
      </c>
      <c r="D26" s="512"/>
      <c r="E26" s="190">
        <f>C26*F$35</f>
        <v>0.32651263758047583</v>
      </c>
      <c r="F26" s="512"/>
      <c r="G26" s="33">
        <f t="shared" ref="G26:G31" si="2">C26-E26</f>
        <v>3.8135400373087558</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Bilan_E_KP_AMS_2035!M18-Bilan_E_KP_AMS_2035!M21-(Bilan_E_KP_AMS_2035!S20+Bilan_E_KP_AMS_2035!S19+Bilan_E_KP_AMS_2035!M20+Bilan_E_KP_AMS_2035!M19)</f>
        <v>16.846403203963913</v>
      </c>
      <c r="D27" s="87"/>
      <c r="E27" s="190">
        <f t="shared" ref="E27:E34" si="3">C27*F$35</f>
        <v>1.3286216325780458</v>
      </c>
      <c r="F27" s="87"/>
      <c r="G27" s="33">
        <f t="shared" si="2"/>
        <v>15.517781571385868</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Bilan_E_KP_AMS_2035!L22</f>
        <v>36.0447949504767</v>
      </c>
      <c r="D29" s="87"/>
      <c r="E29" s="190">
        <f t="shared" si="3"/>
        <v>2.842737036103641</v>
      </c>
      <c r="F29" s="87"/>
      <c r="G29" s="33">
        <f t="shared" si="2"/>
        <v>33.202057914373057</v>
      </c>
      <c r="H29" s="87"/>
      <c r="I29" s="1"/>
      <c r="J29" s="87"/>
      <c r="K29" s="87"/>
      <c r="L29" s="87"/>
      <c r="M29" s="87"/>
      <c r="N29" s="87"/>
      <c r="O29" s="87"/>
      <c r="P29" s="87"/>
      <c r="Q29" s="87"/>
      <c r="R29" s="508"/>
      <c r="S29" s="87"/>
      <c r="T29" s="87"/>
      <c r="U29" s="87"/>
      <c r="V29" s="87"/>
      <c r="W29" s="87"/>
      <c r="X29" s="87"/>
    </row>
    <row r="30" spans="1:24">
      <c r="A30" s="697"/>
      <c r="B30" s="1" t="s">
        <v>24</v>
      </c>
      <c r="C30" s="17">
        <f>Bilan_E_KP_AMS_2035!Q22</f>
        <v>10.825953288370551</v>
      </c>
      <c r="D30" s="86">
        <f>SUM(C26:C34)</f>
        <v>80.235888162589106</v>
      </c>
      <c r="E30" s="190">
        <f t="shared" si="3"/>
        <v>0.85380811310654869</v>
      </c>
      <c r="F30" s="86">
        <f>Bilan_E_KP_AMS_2035!U22</f>
        <v>6.3279464127301193</v>
      </c>
      <c r="G30" s="33">
        <f t="shared" si="2"/>
        <v>9.9721451752640018</v>
      </c>
      <c r="H30" s="86">
        <f>SUM(G26:G34)</f>
        <v>73.907941749858992</v>
      </c>
      <c r="I30" s="1"/>
      <c r="J30" s="86">
        <f>H30</f>
        <v>73.907941749858992</v>
      </c>
      <c r="K30" s="87">
        <f>Bilan_E_KP_AMS_2035!S31</f>
        <v>5.5373897346121579</v>
      </c>
      <c r="L30" s="87"/>
      <c r="M30" s="87">
        <f>Bilan_E_KP_AMS_2035!M28</f>
        <v>0</v>
      </c>
      <c r="N30" s="87"/>
      <c r="O30" s="87"/>
      <c r="P30" s="87"/>
      <c r="Q30" s="86">
        <f>J30-K30-L30-M30-N30-O30-P30</f>
        <v>68.37055201524683</v>
      </c>
      <c r="R30" s="508">
        <f>Q30-S30</f>
        <v>4.6787954191529479E-4</v>
      </c>
      <c r="S30" s="86">
        <f>SUM(T27:X34)</f>
        <v>68.370084135704914</v>
      </c>
      <c r="T30" s="87">
        <f>Bilan_E_KP_AMS_2035!S$38</f>
        <v>0</v>
      </c>
      <c r="U30" s="87">
        <f>Bilan_E_KP_AMS_2035!S$34+Bilan_E_KP_AMS_2035!M34</f>
        <v>20.573940378796198</v>
      </c>
      <c r="V30" s="87">
        <f>Bilan_E_KP_AMS_2035!S$36</f>
        <v>28.917251051933125</v>
      </c>
      <c r="W30" s="87">
        <f>Bilan_E_KP_AMS_2035!S$37</f>
        <v>18.878892704975588</v>
      </c>
      <c r="X30" s="87">
        <f>Bilan_E_KP_AMS_2035!S$35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Bilan_E_KP_AMS_2035!H22</f>
        <v>12.378684044888715</v>
      </c>
      <c r="D32" s="86"/>
      <c r="E32" s="190">
        <f t="shared" si="3"/>
        <v>0.97626699336140876</v>
      </c>
      <c r="F32" s="86"/>
      <c r="G32" s="33">
        <f>C32-E32</f>
        <v>11.402417051527307</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Bilan_E_KP_AMS_2035!F22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Bilan_E_KP_AMS_2035!D22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7.8866783401303417E-2</v>
      </c>
      <c r="G35" s="17"/>
      <c r="H35" s="501"/>
      <c r="I35" s="1"/>
      <c r="J35" s="1"/>
      <c r="K35" s="1"/>
      <c r="L35" s="1"/>
      <c r="M35" s="1"/>
      <c r="N35" s="1"/>
      <c r="O35" s="1"/>
      <c r="P35" s="1"/>
      <c r="Q35" s="502"/>
      <c r="R35" s="508"/>
      <c r="U35" s="33"/>
      <c r="V35" s="33"/>
      <c r="W35" s="33"/>
    </row>
    <row r="36" spans="1:26">
      <c r="A36" s="679" t="s">
        <v>34</v>
      </c>
      <c r="B36" s="1" t="s">
        <v>21</v>
      </c>
      <c r="C36" s="33">
        <f>E55</f>
        <v>1.800451278990862</v>
      </c>
      <c r="D36" s="540"/>
      <c r="E36" s="17"/>
      <c r="F36" s="540"/>
      <c r="G36" s="17">
        <f t="shared" ref="G36:G42" si="5">C36-E36</f>
        <v>1.800451278990862</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1.800451278990862</v>
      </c>
    </row>
    <row r="37" spans="1:26">
      <c r="A37" s="679"/>
      <c r="B37" s="1" t="s">
        <v>23</v>
      </c>
      <c r="C37" s="33">
        <f>SUM(T37:X37)+E58</f>
        <v>62.273685760651823</v>
      </c>
      <c r="D37" s="541"/>
      <c r="E37" s="504"/>
      <c r="F37" s="541"/>
      <c r="G37" s="17">
        <f t="shared" si="5"/>
        <v>62.273685760651823</v>
      </c>
      <c r="H37" s="541"/>
      <c r="I37" s="498"/>
      <c r="J37" s="37"/>
      <c r="K37" s="35"/>
      <c r="L37" s="35"/>
      <c r="M37" s="505"/>
      <c r="N37" s="35"/>
      <c r="P37" s="35"/>
      <c r="Q37" s="543"/>
      <c r="R37" s="508"/>
      <c r="S37" s="541"/>
      <c r="T37" s="506">
        <f>Bilan_E_KP_AMS_2035!L38</f>
        <v>2.7730307508519707</v>
      </c>
      <c r="U37" s="93">
        <f>Bilan_E_KP_AMS_2035!L34</f>
        <v>20.203559685037114</v>
      </c>
      <c r="V37" s="506">
        <f>Bilan_E_KP_AMS_2035!L36</f>
        <v>38.595135513286785</v>
      </c>
      <c r="W37" s="507">
        <f>Bilan_E_KP_AMS_2035!L37</f>
        <v>0.43406989863895534</v>
      </c>
      <c r="X37" s="506">
        <f>Bilan_E_KP_AMS_2035!L35</f>
        <v>0</v>
      </c>
      <c r="Y37" s="489">
        <f t="shared" ref="Y37:Y47" si="6">SUM(T37:X37)</f>
        <v>62.005795847814824</v>
      </c>
      <c r="Z37" s="489">
        <f t="shared" ref="Z37:Z44" si="7">G37-Y37</f>
        <v>0.26788991283699914</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243.7219945071663</v>
      </c>
      <c r="R38" s="508"/>
      <c r="S38" s="541"/>
      <c r="T38" s="84">
        <v>0</v>
      </c>
      <c r="U38" s="83">
        <v>0</v>
      </c>
      <c r="V38" s="84">
        <v>0</v>
      </c>
      <c r="W38" s="91">
        <v>0</v>
      </c>
      <c r="X38" s="91">
        <v>0</v>
      </c>
      <c r="Y38" s="489">
        <f t="shared" si="6"/>
        <v>0</v>
      </c>
      <c r="Z38" s="489">
        <f t="shared" si="7"/>
        <v>0</v>
      </c>
    </row>
    <row r="39" spans="1:26">
      <c r="A39" s="679"/>
      <c r="B39" s="1" t="s">
        <v>35</v>
      </c>
      <c r="C39" s="33">
        <f>SUM(T39:X39)</f>
        <v>4.2452873741769226</v>
      </c>
      <c r="D39" s="541"/>
      <c r="E39" s="35"/>
      <c r="F39" s="541"/>
      <c r="G39" s="17">
        <f t="shared" si="5"/>
        <v>4.2452873741769226</v>
      </c>
      <c r="H39" s="541"/>
      <c r="I39" s="35"/>
      <c r="J39" s="37"/>
      <c r="K39" s="35"/>
      <c r="L39" s="35"/>
      <c r="M39" s="37"/>
      <c r="N39" s="35"/>
      <c r="O39" s="35"/>
      <c r="P39" s="35"/>
      <c r="Q39" s="543"/>
      <c r="R39" s="508"/>
      <c r="S39" s="541"/>
      <c r="T39" s="84">
        <f>Bilan_E_KP_AMS_2035!Q38</f>
        <v>0.96290247555165809</v>
      </c>
      <c r="U39" s="83">
        <f>Bilan_E_KP_AMS_2035!Q34</f>
        <v>6.9244826847420892E-4</v>
      </c>
      <c r="V39" s="84">
        <f>Bilan_E_KP_AMS_2035!Q36</f>
        <v>2.3427124137087052</v>
      </c>
      <c r="W39" s="91">
        <f>Bilan_E_KP_AMS_2035!Q37</f>
        <v>0.93898003664808516</v>
      </c>
      <c r="X39" s="91">
        <f>Bilan_E_KP_AMS_2035!Q35</f>
        <v>0</v>
      </c>
      <c r="Y39" s="489">
        <f t="shared" si="6"/>
        <v>4.2452873741769226</v>
      </c>
      <c r="Z39" s="489">
        <f t="shared" si="7"/>
        <v>0</v>
      </c>
    </row>
    <row r="40" spans="1:26">
      <c r="A40" s="679"/>
      <c r="B40" s="1" t="s">
        <v>36</v>
      </c>
      <c r="C40" s="33">
        <f>Bilan_E_KP_AMS_2035!P12</f>
        <v>114.79412791174752</v>
      </c>
      <c r="D40" s="541"/>
      <c r="E40" s="35"/>
      <c r="F40" s="541"/>
      <c r="G40" s="17">
        <f t="shared" si="5"/>
        <v>114.79412791174752</v>
      </c>
      <c r="H40" s="541"/>
      <c r="I40" s="35"/>
      <c r="J40" s="37"/>
      <c r="K40" s="35"/>
      <c r="L40" s="35"/>
      <c r="M40" s="37"/>
      <c r="N40" s="35"/>
      <c r="O40" s="35"/>
      <c r="P40" s="35"/>
      <c r="Q40" s="543"/>
      <c r="R40" s="508"/>
      <c r="S40" s="541"/>
      <c r="T40" s="83">
        <f>Bilan_E_KP_AMS_2035!P$38</f>
        <v>0.75</v>
      </c>
      <c r="U40" s="83">
        <f>Bilan_E_KP_AMS_2035!P$34</f>
        <v>5.5404179687499999</v>
      </c>
      <c r="V40" s="83">
        <f>Bilan_E_KP_AMS_2035!P$36</f>
        <v>88.021667456281236</v>
      </c>
      <c r="W40" s="83">
        <f>Bilan_E_KP_AMS_2035!P$37</f>
        <v>20.482042486716281</v>
      </c>
      <c r="X40" s="84">
        <f>Bilan_E_KP_AMS_2035!P$35</f>
        <v>0</v>
      </c>
      <c r="Y40" s="489">
        <f t="shared" si="6"/>
        <v>114.79412791174752</v>
      </c>
      <c r="Z40" s="489">
        <f t="shared" si="7"/>
        <v>0</v>
      </c>
    </row>
    <row r="41" spans="1:26">
      <c r="A41" s="679"/>
      <c r="B41" s="1" t="s">
        <v>37</v>
      </c>
      <c r="C41" s="33">
        <f>Bilan_E_KP_AMS_2035!N12+Bilan_E_KP_AMS_2035!L26-Bilan_E_KP_AMS_2035!N21+Bilan_E_KP_AMS_2035!T27</f>
        <v>95.012899286749615</v>
      </c>
      <c r="D41" s="191">
        <f>SUM(C36:C47)</f>
        <v>644.25277649791599</v>
      </c>
      <c r="E41" s="511">
        <f>Bilan_E_KP_AMS_2035!U27</f>
        <v>3.1069097537923351</v>
      </c>
      <c r="F41" s="191">
        <f>SUM(E36:E47)</f>
        <v>29.10806289908929</v>
      </c>
      <c r="G41" s="17">
        <f t="shared" si="5"/>
        <v>91.905989532957278</v>
      </c>
      <c r="H41" s="191">
        <f>SUM(G36:G47)</f>
        <v>615.14471359882668</v>
      </c>
      <c r="I41" s="35"/>
      <c r="J41" s="37"/>
      <c r="K41" s="35"/>
      <c r="L41" s="37">
        <f>-(SUM(Bilan_E_KP_AMS_2035!N13:N16)+SUM(Bilan_E_KP_AMS_2035!G13:G16))</f>
        <v>13.005585916047199</v>
      </c>
      <c r="M41" s="35"/>
      <c r="N41" s="35"/>
      <c r="O41" s="35"/>
      <c r="P41" s="35"/>
      <c r="Q41" s="543"/>
      <c r="R41" s="508">
        <f>SUM(Q36:Q47)-S41</f>
        <v>0</v>
      </c>
      <c r="S41" s="191">
        <f>SUM(T36:X46)</f>
        <v>466.53679389430994</v>
      </c>
      <c r="T41" s="83">
        <f>Bilan_E_KP_AMS_2035!N$38+Bilan_E_KP_AMS_2035!G$38</f>
        <v>8.3214654409998232</v>
      </c>
      <c r="U41" s="83">
        <f>Bilan_E_KP_AMS_2035!N$34+Bilan_E_KP_AMS_2035!G$34</f>
        <v>1.1254933974609376</v>
      </c>
      <c r="V41" s="83">
        <f>Bilan_E_KP_AMS_2035!N$36+Bilan_E_KP_AMS_2035!G$36</f>
        <v>0</v>
      </c>
      <c r="W41" s="83">
        <f>Bilan_E_KP_AMS_2035!N$37+Bilan_E_KP_AMS_2035!G$37</f>
        <v>0</v>
      </c>
      <c r="X41" s="84">
        <f>Bilan_E_KP_AMS_2035!N$35+Bilan_E_KP_AMS_2035!G$35</f>
        <v>53.229824534966241</v>
      </c>
      <c r="Y41" s="489">
        <f t="shared" si="6"/>
        <v>62.676783373427</v>
      </c>
      <c r="Z41" s="489">
        <f>G41-Y41-L41</f>
        <v>16.223620243483079</v>
      </c>
    </row>
    <row r="42" spans="1:26">
      <c r="A42" s="679"/>
      <c r="B42" s="1" t="s">
        <v>38</v>
      </c>
      <c r="C42" s="33">
        <f>Bilan_E_KP_AMS_2035!E18+Bilan_E_KP_AMS_2035!F18-Bilan_E_KP_AMS_2035!F21-Bilan_E_KP_AMS_2035!F22-E54-SUM(T43:X43)-(Bilan_E_KP_AMS_2035!E20+Bilan_E_KP_AMS_2035!F20+Bilan_E_KP_AMS_2035!E19+Bilan_E_KP_AMS_2035!F19)</f>
        <v>209.65380623694128</v>
      </c>
      <c r="D42" s="541"/>
      <c r="E42" s="17">
        <f>Bilan_E_KP_AMS_2035!F30+Bilan_E_KP_AMS_2035!U25+Bilan_E_KP_AMS_2035!F29+Bilan_E_KP_AMS_2035!E29</f>
        <v>26.001153145296957</v>
      </c>
      <c r="F42" s="541"/>
      <c r="G42" s="17">
        <f t="shared" si="5"/>
        <v>183.65265309164431</v>
      </c>
      <c r="H42" s="541"/>
      <c r="I42" s="498"/>
      <c r="J42" s="37"/>
      <c r="K42" s="35"/>
      <c r="L42" s="35"/>
      <c r="M42" s="35"/>
      <c r="N42" s="35"/>
      <c r="O42" s="35"/>
      <c r="P42" s="35"/>
      <c r="Q42" s="36">
        <f>G42</f>
        <v>183.65265309164431</v>
      </c>
      <c r="R42" s="508"/>
      <c r="S42" s="541"/>
      <c r="T42" s="83">
        <v>0</v>
      </c>
      <c r="U42" s="83">
        <v>0</v>
      </c>
      <c r="V42" s="83">
        <v>0</v>
      </c>
      <c r="W42" s="83">
        <v>0</v>
      </c>
      <c r="X42" s="84">
        <f>Bilan_E_KP_AMS_2035!F35</f>
        <v>183.65265309164423</v>
      </c>
      <c r="Y42" s="489">
        <f t="shared" si="6"/>
        <v>183.65265309164423</v>
      </c>
      <c r="Z42" s="489">
        <f>Q42-SUM(T42:X42)</f>
        <v>0</v>
      </c>
    </row>
    <row r="43" spans="1:26">
      <c r="A43" s="679"/>
      <c r="B43" s="1" t="s">
        <v>39</v>
      </c>
      <c r="C43" s="33">
        <f>Bilan_E_KP_AMS_2035!F41+SUM(T43:X43)</f>
        <v>113.9444764914973</v>
      </c>
      <c r="D43" s="541"/>
      <c r="E43" s="38"/>
      <c r="F43" s="541"/>
      <c r="G43" s="17">
        <f>C43-E43</f>
        <v>113.9444764914973</v>
      </c>
      <c r="H43" s="541"/>
      <c r="I43" s="35"/>
      <c r="J43" s="37"/>
      <c r="K43" s="35"/>
      <c r="L43" s="35"/>
      <c r="M43" s="35"/>
      <c r="N43" s="35"/>
      <c r="O43" s="35"/>
      <c r="P43" s="35"/>
      <c r="Q43" s="36">
        <f>G43-Bilan_E_KP_AMS_2035!F41</f>
        <v>35.633340688399443</v>
      </c>
      <c r="R43" s="508"/>
      <c r="S43" s="541"/>
      <c r="T43" s="83">
        <f>Bilan_E_KP_AMS_2035!F38</f>
        <v>19.85629550078999</v>
      </c>
      <c r="U43" s="83">
        <f>Bilan_E_KP_AMS_2035!F34</f>
        <v>9.0742751543652709</v>
      </c>
      <c r="V43" s="83">
        <f>Bilan_E_KP_AMS_2035!F36</f>
        <v>3.260836950166615</v>
      </c>
      <c r="W43" s="83">
        <f>Bilan_E_KP_AMS_2035!F37</f>
        <v>3.4419330830775619</v>
      </c>
      <c r="X43" s="84">
        <v>0</v>
      </c>
      <c r="Y43" s="489">
        <f t="shared" si="6"/>
        <v>35.633340688399443</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G44-Bilan_E_KP_AMS_2035!M41</f>
        <v>0</v>
      </c>
      <c r="R44" s="498"/>
      <c r="S44" s="541"/>
      <c r="T44" s="83">
        <f>Bilan_E_KP_AMS_2035!M$38</f>
        <v>0</v>
      </c>
      <c r="U44" s="83">
        <v>0</v>
      </c>
      <c r="V44" s="83">
        <f>Bilan_E_KP_AMS_2035!M$36</f>
        <v>0</v>
      </c>
      <c r="W44" s="83">
        <v>0</v>
      </c>
      <c r="X44" s="84">
        <f>Bilan_E_KP_AMS_2035!M$35</f>
        <v>0</v>
      </c>
      <c r="Y44" s="489">
        <f t="shared" si="6"/>
        <v>0</v>
      </c>
      <c r="Z44" s="489">
        <f t="shared" si="7"/>
        <v>0</v>
      </c>
    </row>
    <row r="45" spans="1:26">
      <c r="A45" s="679"/>
      <c r="B45" s="1" t="s">
        <v>41</v>
      </c>
      <c r="C45" s="33">
        <f>E53</f>
        <v>8.5375790835295255</v>
      </c>
      <c r="D45" s="541"/>
      <c r="E45" s="38"/>
      <c r="F45" s="541"/>
      <c r="G45" s="17">
        <f t="shared" si="1"/>
        <v>8.5375790835295255</v>
      </c>
      <c r="H45" s="541"/>
      <c r="I45" s="35"/>
      <c r="J45" s="37"/>
      <c r="K45" s="35"/>
      <c r="L45" s="35"/>
      <c r="M45" s="35"/>
      <c r="N45" s="35"/>
      <c r="O45" s="35"/>
      <c r="P45" s="35"/>
      <c r="Q45" s="36">
        <f>G45-Bilan_E_KP_AMS_2035!H41</f>
        <v>0</v>
      </c>
      <c r="R45" s="498"/>
      <c r="S45" s="541"/>
      <c r="T45" s="84">
        <v>0</v>
      </c>
      <c r="U45" s="83">
        <v>0</v>
      </c>
      <c r="V45" s="84">
        <v>0</v>
      </c>
      <c r="W45" s="92">
        <v>0</v>
      </c>
      <c r="X45" s="84">
        <v>0</v>
      </c>
      <c r="Y45" s="489">
        <f t="shared" si="6"/>
        <v>0</v>
      </c>
      <c r="Z45" s="489">
        <f>Q45-Y45</f>
        <v>0</v>
      </c>
    </row>
    <row r="46" spans="1:26">
      <c r="A46" s="679"/>
      <c r="B46" s="1" t="s">
        <v>42</v>
      </c>
      <c r="C46" s="33">
        <f>Bilan_E_KP_AMS_2035!D18-C18-C34</f>
        <v>16.178882267256224</v>
      </c>
      <c r="D46" s="541"/>
      <c r="E46" s="511"/>
      <c r="F46" s="541"/>
      <c r="G46" s="17">
        <f>C46-E46</f>
        <v>16.178882267256224</v>
      </c>
      <c r="H46" s="541"/>
      <c r="I46" s="38"/>
      <c r="J46" s="37"/>
      <c r="K46" s="35"/>
      <c r="L46" s="35"/>
      <c r="M46" s="35"/>
      <c r="N46" s="35"/>
      <c r="O46" s="35"/>
      <c r="P46" s="35"/>
      <c r="Q46" s="36">
        <f>G46-(Bilan_E_KP_AMS_2035!D41+Bilan_E_KP_AMS_2035!D29+Bilan_E_KP_AMS_2035!D30)</f>
        <v>3.5288056070999758</v>
      </c>
      <c r="R46" s="498"/>
      <c r="S46" s="541"/>
      <c r="T46" s="506">
        <f>Bilan_E_KP_AMS_2035!D38</f>
        <v>0</v>
      </c>
      <c r="U46" s="93">
        <f>Bilan_E_KP_AMS_2035!D34</f>
        <v>3.5288056070999749</v>
      </c>
      <c r="V46" s="506">
        <f>Bilan_E_KP_AMS_2035!D36</f>
        <v>0</v>
      </c>
      <c r="W46" s="507">
        <f>Bilan_E_KP_AMS_2035!D37</f>
        <v>0</v>
      </c>
      <c r="X46" s="506">
        <f>Bilan_E_KP_AMS_2035!D35</f>
        <v>0</v>
      </c>
      <c r="Y46" s="489">
        <f t="shared" si="6"/>
        <v>3.5288056070999749</v>
      </c>
      <c r="Z46" s="489">
        <f>Q46-Y46</f>
        <v>0</v>
      </c>
    </row>
    <row r="47" spans="1:26">
      <c r="A47" s="90"/>
      <c r="B47" s="1" t="s">
        <v>31</v>
      </c>
      <c r="C47" s="33">
        <f>E57</f>
        <v>17.811580806374948</v>
      </c>
      <c r="D47" s="192"/>
      <c r="E47" s="511"/>
      <c r="F47" s="192"/>
      <c r="G47" s="17">
        <f>C47-E47</f>
        <v>17.811580806374948</v>
      </c>
      <c r="H47" s="192"/>
      <c r="I47" s="38"/>
      <c r="J47" s="37"/>
      <c r="K47" s="35"/>
      <c r="L47" s="35"/>
      <c r="M47" s="35"/>
      <c r="N47" s="35"/>
      <c r="O47" s="35"/>
      <c r="P47" s="35"/>
      <c r="Q47" s="544">
        <f>G47-Bilan_E_KP_AMS_2035!T41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C5-L13-SUM(L21:L24)-L30-L41-Bilan_E_KP_AMS_2035!U18</f>
        <v>0</v>
      </c>
      <c r="D49" s="1"/>
      <c r="E49" s="34">
        <f>SUM(E7:E47)+I13-Bilan_E_KP_AMS_2035!U32+K13+SUM(K21:K24)+K30+Bilan_E_KP_AMS_2035!D29+Bilan_E_KP_AMS_2035!D30</f>
        <v>-3.5793590313915047E-13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415.57389934770197</v>
      </c>
    </row>
    <row r="52" spans="1:19">
      <c r="A52" s="21"/>
      <c r="B52" s="1" t="s">
        <v>44</v>
      </c>
      <c r="C52" s="44"/>
      <c r="D52" s="1"/>
      <c r="E52" s="39">
        <f>Bilan_E_KP_AMS_2035!D41+Bilan_E_KP_AMS_2035!D29+Bilan_E_KP_AMS_2035!D30</f>
        <v>12.650076660156248</v>
      </c>
      <c r="F52" s="187"/>
      <c r="G52" s="1"/>
      <c r="H52" s="1"/>
      <c r="I52" s="30"/>
      <c r="J52" s="17"/>
      <c r="K52" s="17"/>
      <c r="L52" s="21"/>
      <c r="M52" s="1"/>
      <c r="N52" s="17"/>
      <c r="O52" s="17"/>
      <c r="P52" s="17"/>
      <c r="Q52" s="1"/>
      <c r="S52" s="33"/>
    </row>
    <row r="53" spans="1:19">
      <c r="A53" s="21"/>
      <c r="B53" s="1" t="s">
        <v>41</v>
      </c>
      <c r="C53" s="45"/>
      <c r="D53" s="17"/>
      <c r="E53" s="433">
        <f>Bilan_E_KP_AMS_2035!H41+Bilan_E_KP_AMS_2035!H29</f>
        <v>8.5375790835295255</v>
      </c>
      <c r="F53" s="187"/>
      <c r="G53" s="1"/>
      <c r="H53" s="1"/>
      <c r="I53" s="30"/>
      <c r="J53" s="17"/>
      <c r="K53" s="17"/>
      <c r="L53" s="21"/>
      <c r="M53" s="1"/>
      <c r="N53" s="17"/>
      <c r="O53" s="17"/>
      <c r="P53" s="17"/>
      <c r="Q53" s="1"/>
    </row>
    <row r="54" spans="1:19">
      <c r="A54" s="21"/>
      <c r="B54" s="1" t="s">
        <v>39</v>
      </c>
      <c r="C54" s="45"/>
      <c r="D54" s="17"/>
      <c r="E54" s="435">
        <f>Bilan_E_KP_AMS_2035!F41</f>
        <v>78.311135803097855</v>
      </c>
      <c r="F54" s="187"/>
      <c r="G54" s="1"/>
      <c r="H54" s="1"/>
      <c r="I54" s="30"/>
      <c r="J54" s="17"/>
      <c r="K54" s="17"/>
      <c r="L54" s="21"/>
      <c r="M54" s="21"/>
      <c r="N54" s="17"/>
      <c r="O54" s="17"/>
      <c r="P54" s="17"/>
      <c r="Q54" s="1"/>
    </row>
    <row r="55" spans="1:19">
      <c r="B55" s="1" t="s">
        <v>21</v>
      </c>
      <c r="E55" s="633">
        <f>Bilan_E_KP_AMS_2035!O41+Bilan_E_KP_AMS_2035!O29</f>
        <v>1.800451278990862</v>
      </c>
    </row>
    <row r="56" spans="1:19">
      <c r="B56" s="1" t="s">
        <v>37</v>
      </c>
      <c r="E56" s="633">
        <f>Bilan_E_KP_AMS_2035!N41+Bilan_E_KP_AMS_2035!N29+Bilan_E_KP_AMS_2035!G41</f>
        <v>16.223620243483047</v>
      </c>
    </row>
    <row r="57" spans="1:19">
      <c r="B57" s="1" t="s">
        <v>31</v>
      </c>
      <c r="E57" s="633">
        <f>Bilan_E_KP_AMS_2035!T41</f>
        <v>17.811580806374948</v>
      </c>
    </row>
    <row r="58" spans="1:19">
      <c r="B58" s="1" t="s">
        <v>338</v>
      </c>
      <c r="E58" s="633">
        <f>Bilan_E_KP_AMS_2035!L41</f>
        <v>0.26788991283700125</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B2CC-4857-4519-88A9-1F98D67C3C7B}">
  <dimension ref="A1:Z59"/>
  <sheetViews>
    <sheetView topLeftCell="A40" workbookViewId="0">
      <selection activeCell="E58" sqref="E58"/>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2111.4839336593523</v>
      </c>
      <c r="D5" s="18"/>
      <c r="E5" s="20"/>
      <c r="F5" s="494"/>
      <c r="G5" s="21"/>
      <c r="H5" s="493"/>
      <c r="I5" s="21"/>
      <c r="J5" s="22"/>
      <c r="K5" s="23"/>
      <c r="L5" s="14"/>
      <c r="M5" s="14"/>
      <c r="N5" s="15"/>
      <c r="O5" s="16"/>
      <c r="P5" s="16"/>
      <c r="Q5" s="24">
        <f>Q13+Q22+Q30+Q42+Q46+Q38+Q43</f>
        <v>1087.8194462171675</v>
      </c>
      <c r="R5" s="487"/>
      <c r="S5" s="79">
        <f>SUM(S13,S22,S27:S32,S41)</f>
        <v>1087.8194462171673</v>
      </c>
      <c r="T5" s="79">
        <f>SUM(T8:T46)</f>
        <v>41.323852530243414</v>
      </c>
      <c r="U5" s="79">
        <f>SUM(U8:U46)</f>
        <v>258.28158020105252</v>
      </c>
      <c r="V5" s="79">
        <f>SUM(V8:V46)</f>
        <v>365.38379849035306</v>
      </c>
      <c r="W5" s="173">
        <f>SUM(W8:W46)</f>
        <v>164.32539773628505</v>
      </c>
      <c r="X5" s="79">
        <f>SUM(X8:X46)</f>
        <v>258.50481725923328</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(([7]Offre_calc!$R$106+[7]Offre_calc!$R$107+[7]Offre_calc!$R$144+[7]Offre_calc!$R$145)/([7]Offre_calc!$R$103+[7]Offre_calc!$R$141))*Bilan_E_KP_AMS_2038!K$21</f>
        <v>154.32357120639972</v>
      </c>
      <c r="D7" s="518"/>
      <c r="E7" s="28">
        <v>0</v>
      </c>
      <c r="F7" s="518"/>
      <c r="G7" s="17">
        <f>C7-E7</f>
        <v>154.32357120639972</v>
      </c>
      <c r="H7" s="518"/>
      <c r="I7" s="21"/>
      <c r="J7" s="518"/>
      <c r="K7" s="525"/>
      <c r="L7" s="525"/>
      <c r="M7" s="525"/>
      <c r="N7" s="525"/>
      <c r="O7" s="525"/>
      <c r="P7" s="513"/>
      <c r="Q7" s="528"/>
      <c r="R7" s="498"/>
      <c r="S7" s="528"/>
      <c r="T7" s="525"/>
      <c r="U7" s="525"/>
      <c r="V7" s="525"/>
      <c r="W7" s="525"/>
      <c r="X7" s="525"/>
    </row>
    <row r="8" spans="1:24">
      <c r="A8" s="695"/>
      <c r="B8" s="1" t="s">
        <v>18</v>
      </c>
      <c r="C8" s="486">
        <f>(([7]Offre_calc!$R$105+[7]Offre_calc!$R$143)/([7]Offre_calc!$R$103+[7]Offre_calc!$R$141))*Bilan_E_KP_AMS_2038!K$21</f>
        <v>63.617649610711382</v>
      </c>
      <c r="D8" s="81"/>
      <c r="E8" s="28">
        <v>0</v>
      </c>
      <c r="F8" s="81"/>
      <c r="G8" s="17">
        <f t="shared" ref="G8:G19" si="0">C8-E8</f>
        <v>63.617649610711382</v>
      </c>
      <c r="H8" s="81"/>
      <c r="I8" s="21"/>
      <c r="J8" s="81"/>
      <c r="K8" s="526"/>
      <c r="L8" s="526"/>
      <c r="M8" s="526"/>
      <c r="N8" s="526"/>
      <c r="O8" s="526"/>
      <c r="P8" s="29"/>
      <c r="Q8" s="529"/>
      <c r="R8" s="498"/>
      <c r="S8" s="529"/>
      <c r="T8" s="526"/>
      <c r="U8" s="526"/>
      <c r="V8" s="526"/>
      <c r="W8" s="526"/>
      <c r="X8" s="526"/>
    </row>
    <row r="9" spans="1:24">
      <c r="A9" s="695"/>
      <c r="B9" s="1" t="s">
        <v>19</v>
      </c>
      <c r="C9" s="486">
        <f>(([7]Offre_calc!$R$104+[7]Offre_calc!$R$142)/([7]Offre_calc!$R$103+[7]Offre_calc!$R$141))*Bilan_E_KP_AMS_2038!K$21</f>
        <v>93.521139501255604</v>
      </c>
      <c r="D9" s="81"/>
      <c r="E9" s="28">
        <v>0</v>
      </c>
      <c r="F9" s="81"/>
      <c r="G9" s="17">
        <f t="shared" si="0"/>
        <v>93.521139501255604</v>
      </c>
      <c r="H9" s="81"/>
      <c r="I9" s="21"/>
      <c r="J9" s="81"/>
      <c r="K9" s="526"/>
      <c r="L9" s="526"/>
      <c r="M9" s="526"/>
      <c r="N9" s="526"/>
      <c r="O9" s="526"/>
      <c r="P9" s="29"/>
      <c r="Q9" s="529"/>
      <c r="R9" s="498"/>
      <c r="S9" s="529"/>
      <c r="T9" s="526"/>
      <c r="U9" s="526"/>
      <c r="V9" s="526"/>
      <c r="W9" s="526"/>
      <c r="X9" s="526"/>
    </row>
    <row r="10" spans="1:24">
      <c r="A10" s="695"/>
      <c r="B10" s="1" t="s">
        <v>20</v>
      </c>
      <c r="C10" s="17">
        <f>Bilan_E_KP_AMS_2038!J21-(Bilan_E_KP_AMS_2038!R20+Bilan_E_KP_AMS_2038!R19)</f>
        <v>964.52942056246673</v>
      </c>
      <c r="D10" s="81"/>
      <c r="E10" s="28">
        <f>F13-SUM(E11:E19)</f>
        <v>647.46858980032471</v>
      </c>
      <c r="F10" s="81"/>
      <c r="G10" s="17">
        <f t="shared" si="0"/>
        <v>317.06083076214202</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Bilan_E_KP_AMS_2038!O21</f>
        <v>2.0095680781151462</v>
      </c>
      <c r="D11" s="81"/>
      <c r="E11" s="28">
        <f>C11*(1-[7]Offre_calc!$R$161)</f>
        <v>0.86411427358951276</v>
      </c>
      <c r="F11" s="81"/>
      <c r="G11" s="17">
        <f t="shared" si="0"/>
        <v>1.1454538045256335</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Bilan_E_KP_AMS_2038!M21</f>
        <v>10.089931127123995</v>
      </c>
      <c r="D12" s="81"/>
      <c r="E12" s="28">
        <f>C12*(1-[7]Offre_calc!$R$171)</f>
        <v>6.659354543901836</v>
      </c>
      <c r="F12" s="81"/>
      <c r="G12" s="17">
        <f t="shared" si="0"/>
        <v>3.4305765832221589</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Bilan_E_KP_AMS_2038!L21</f>
        <v>22.176349392164049</v>
      </c>
      <c r="D13" s="81">
        <f>SUM(C7:C19)</f>
        <v>1330.4964048288757</v>
      </c>
      <c r="E13" s="28">
        <f>C13*(1-[7]Offre_calc!$R$170)</f>
        <v>14.636390598828271</v>
      </c>
      <c r="F13" s="81">
        <f>Bilan_E_KP_AMS_2038!U21</f>
        <v>676.93382595178593</v>
      </c>
      <c r="G13" s="17">
        <f t="shared" si="0"/>
        <v>7.5399587933357779</v>
      </c>
      <c r="H13" s="81">
        <f>SUM(G7:G19)</f>
        <v>653.56257887709</v>
      </c>
      <c r="I13" s="33">
        <f>Bilan_E_KP_AMS_2038!R30</f>
        <v>23.96590055491529</v>
      </c>
      <c r="J13" s="81">
        <f>H13-I13</f>
        <v>629.59667832217474</v>
      </c>
      <c r="K13" s="29">
        <f>Bilan_E_KP_AMS_2038!R31</f>
        <v>47.023558909206123</v>
      </c>
      <c r="L13" s="29">
        <f>-(Bilan_E_KP_AMS_2038!R14+Bilan_E_KP_AMS_2038!R13)</f>
        <v>39.267637363013023</v>
      </c>
      <c r="M13" s="29">
        <f>Bilan_E_KP_AMS_2038!R28</f>
        <v>80.747003520407887</v>
      </c>
      <c r="N13" s="29"/>
      <c r="O13" s="29"/>
      <c r="P13" s="29"/>
      <c r="Q13" s="81">
        <f>J13-K13-L13-M13-N13-O13-P13</f>
        <v>462.5584785295477</v>
      </c>
      <c r="R13" s="508">
        <f>Q13-S13</f>
        <v>0</v>
      </c>
      <c r="S13" s="81">
        <f>SUM(T8:X19)</f>
        <v>462.55847852954747</v>
      </c>
      <c r="T13" s="29">
        <f>Bilan_E_KP_AMS_2038!R38</f>
        <v>7.7417893836432903</v>
      </c>
      <c r="U13" s="29">
        <f>Bilan_E_KP_AMS_2038!R34+Bilan_E_KP_AMS_2038!R39</f>
        <v>133.13040741841888</v>
      </c>
      <c r="V13" s="29">
        <f>Bilan_E_KP_AMS_2038!R36</f>
        <v>153.30644884049457</v>
      </c>
      <c r="W13" s="29">
        <f>Bilan_E_KP_AMS_2038!R37</f>
        <v>94.082065678581444</v>
      </c>
      <c r="X13" s="29">
        <f>Bilan_E_KP_AMS_2038!R35</f>
        <v>74.297767208409297</v>
      </c>
    </row>
    <row r="14" spans="1:24">
      <c r="A14" s="695"/>
      <c r="B14" s="1" t="s">
        <v>24</v>
      </c>
      <c r="C14" s="17">
        <f>Bilan_E_KP_AMS_2038!Q21</f>
        <v>4.9774137725284184</v>
      </c>
      <c r="D14" s="81"/>
      <c r="E14" s="28">
        <v>0</v>
      </c>
      <c r="F14" s="81"/>
      <c r="G14" s="17">
        <f t="shared" si="0"/>
        <v>4.9774137725284184</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Bilan_E_KP_AMS_2038!N21</f>
        <v>5.3878161949008447</v>
      </c>
      <c r="D16" s="81"/>
      <c r="E16" s="28">
        <f>C16*(1-[7]Offre_calc!$R$158)</f>
        <v>3.0171770691444735</v>
      </c>
      <c r="F16" s="81"/>
      <c r="G16" s="17">
        <f t="shared" si="0"/>
        <v>2.3706391257563713</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Bilan_E_KP_AMS_2038!F21</f>
        <v>0.36057808628354604</v>
      </c>
      <c r="D17" s="81"/>
      <c r="E17" s="28">
        <f>C17*(1-[7]Offre_calc!$R$158)</f>
        <v>0.2019237283187858</v>
      </c>
      <c r="F17" s="81"/>
      <c r="G17" s="17">
        <f t="shared" si="0"/>
        <v>0.15865435796476024</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Bilan_E_KP_AMS_2038!D21</f>
        <v>0</v>
      </c>
      <c r="D18" s="81"/>
      <c r="E18" s="28">
        <f>C18*(1-[7]Offre_calc!$R$157)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Bilan_E_KP_AMS_2038!H21+Bilan_E_KP_AMS_2038!T21</f>
        <v>9.5029672969263963</v>
      </c>
      <c r="D19" s="82"/>
      <c r="E19" s="28">
        <f>C19*(1-[7]Offre_calc!$R$160)</f>
        <v>4.0862759376783497</v>
      </c>
      <c r="F19" s="82"/>
      <c r="G19" s="17">
        <f t="shared" si="0"/>
        <v>5.4166913592480466</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0.32872074609942697</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Bilan_E_KP_AMS_2038!L23+Bilan_E_KP_AMS_2038!O12</f>
        <v>74.609914387324594</v>
      </c>
      <c r="D21" s="531"/>
      <c r="E21" s="33">
        <f>Bilan_E_KP_AMS_2038!U23+Bilan_E_KP_AMS_2038!O30</f>
        <v>8.2020982638581597</v>
      </c>
      <c r="F21" s="531"/>
      <c r="G21" s="17">
        <f t="shared" ref="G21:G45" si="1">C21-E21</f>
        <v>66.407816123466432</v>
      </c>
      <c r="H21" s="531"/>
      <c r="I21" s="17"/>
      <c r="J21" s="531"/>
      <c r="K21" s="547">
        <f>Bilan_E_KP_AMS_2038!O31</f>
        <v>0.80268515606426361</v>
      </c>
      <c r="L21" s="547">
        <f>-(Bilan_E_KP_AMS_2038!O13+Bilan_E_KP_AMS_2038!O14+Bilan_E_KP_AMS_2038!O15+Bilan_E_KP_AMS_2038!O16)</f>
        <v>2.7436669996352929</v>
      </c>
      <c r="M21" s="547">
        <f>Bilan_E_KP_AMS_2038!O28</f>
        <v>0</v>
      </c>
      <c r="N21" s="547">
        <f>Bilan_E_KP_AMS_2038!O22</f>
        <v>5.4622758911360467</v>
      </c>
      <c r="O21" s="547">
        <f>Bilan_E_KP_AMS_2038!O21</f>
        <v>2.0095680781151462</v>
      </c>
      <c r="P21" s="547">
        <f>C36</f>
        <v>2.3404115799640408</v>
      </c>
      <c r="Q21" s="531"/>
      <c r="R21" s="508"/>
      <c r="S21" s="531"/>
      <c r="T21" s="531"/>
      <c r="U21" s="531"/>
      <c r="V21" s="531"/>
      <c r="W21" s="531"/>
      <c r="X21" s="531"/>
    </row>
    <row r="22" spans="1:24">
      <c r="A22" s="696"/>
      <c r="B22" s="1" t="s">
        <v>524</v>
      </c>
      <c r="C22" s="17">
        <f>Bilan_E_KP_AMS_2038!T24</f>
        <v>0</v>
      </c>
      <c r="D22" s="85">
        <f>SUM(C21:C24)</f>
        <v>241.76877672710879</v>
      </c>
      <c r="E22" s="632">
        <f>Bilan_E_KP_AMS_2038!I30+Bilan_E_KP_AMS_2038!U24</f>
        <v>0</v>
      </c>
      <c r="F22" s="85">
        <f>SUM(E21:E24)</f>
        <v>37.469045465728946</v>
      </c>
      <c r="G22" s="17">
        <f t="shared" si="1"/>
        <v>0</v>
      </c>
      <c r="H22" s="85">
        <f>SUM(G21:G24)</f>
        <v>204.29973126137986</v>
      </c>
      <c r="I22" s="408"/>
      <c r="J22" s="85">
        <f>H22-I22</f>
        <v>204.29973126137986</v>
      </c>
      <c r="K22" s="628">
        <f>Bilan_E_KP_AMS_2038!I31</f>
        <v>0</v>
      </c>
      <c r="L22" s="628">
        <f>-SUM(Bilan_E_KP_AMS_2038!I13:I16)</f>
        <v>0</v>
      </c>
      <c r="M22" s="32"/>
      <c r="N22" s="32"/>
      <c r="O22" s="32"/>
      <c r="P22" s="32"/>
      <c r="Q22" s="85">
        <f>J22-SUM(K21:P24)</f>
        <v>147.66791221553714</v>
      </c>
      <c r="R22" s="508">
        <f>Q22-S22</f>
        <v>-4.2787984170900017E-4</v>
      </c>
      <c r="S22" s="85">
        <f>SUM(T22:X24)</f>
        <v>147.66834009537885</v>
      </c>
      <c r="T22" s="32">
        <f>Bilan_E_KP_AMS_2038!H38+Bilan_E_KP_AMS_2038!T38+Bilan_E_KP_AMS_2038!O$38+Bilan_E_KP_AMS_2038!I38</f>
        <v>2.1289599091192519</v>
      </c>
      <c r="U22" s="32">
        <f>Bilan_E_KP_AMS_2038!H34+Bilan_E_KP_AMS_2038!T34+Bilan_E_KP_AMS_2038!O$34+Bilan_E_KP_AMS_2038!I34</f>
        <v>66.114459172361592</v>
      </c>
      <c r="V22" s="32">
        <f>Bilan_E_KP_AMS_2038!H36+Bilan_E_KP_AMS_2038!T36+Bilan_E_KP_AMS_2038!O$36+Bilan_E_KP_AMS_2038!I36</f>
        <v>46.138850849222088</v>
      </c>
      <c r="W22" s="32">
        <f>Bilan_E_KP_AMS_2038!H37+Bilan_E_KP_AMS_2038!M37+Bilan_E_KP_AMS_2038!T37+Bilan_E_KP_AMS_2038!O$37+Bilan_E_KP_AMS_2038!I37</f>
        <v>24.240555145702622</v>
      </c>
      <c r="X22" s="32">
        <f>Bilan_E_KP_AMS_2038!H35+Bilan_E_KP_AMS_2038!T35+Bilan_E_KP_AMS_2038!O$35+Bilan_E_KP_AMS_2038!I35</f>
        <v>9.0455150189732958</v>
      </c>
    </row>
    <row r="23" spans="1:24">
      <c r="A23" s="696"/>
      <c r="B23" s="1" t="s">
        <v>31</v>
      </c>
      <c r="C23" s="17">
        <f>SUM(Bilan_E_KP_AMS_2038!D28:S28)-C47</f>
        <v>58.479139124897358</v>
      </c>
      <c r="D23" s="532"/>
      <c r="E23" s="33">
        <f>Bilan_E_KP_AMS_2038!U28</f>
        <v>26.00053513357134</v>
      </c>
      <c r="F23" s="534"/>
      <c r="G23" s="17">
        <f t="shared" si="1"/>
        <v>32.478603991326018</v>
      </c>
      <c r="H23" s="534"/>
      <c r="I23" s="17"/>
      <c r="J23" s="534"/>
      <c r="K23" s="536">
        <f>Bilan_E_KP_AMS_2038!T31</f>
        <v>0</v>
      </c>
      <c r="L23" s="536">
        <f>-(Bilan_E_KP_AMS_2038!T13+Bilan_E_KP_AMS_2038!T14+Bilan_E_KP_AMS_2038!T15+Bilan_E_KP_AMS_2038!T16)</f>
        <v>0.45605370393256905</v>
      </c>
      <c r="M23" s="536">
        <f>Bilan_E_KP_AMS_2038!T24</f>
        <v>0</v>
      </c>
      <c r="N23" s="536">
        <f>Bilan_E_KP_AMS_2038!T22</f>
        <v>0</v>
      </c>
      <c r="O23" s="536">
        <f>Bilan_E_KP_AMS_2038!T21</f>
        <v>1.9189703578470259</v>
      </c>
      <c r="P23" s="536">
        <f>Bilan_E_KP_AMS_2038!T27</f>
        <v>22.716960756953675</v>
      </c>
      <c r="Q23" s="534"/>
      <c r="R23" s="489"/>
      <c r="S23" s="534"/>
      <c r="T23" s="538"/>
      <c r="U23" s="538"/>
      <c r="V23" s="538"/>
      <c r="W23" s="538"/>
      <c r="X23" s="538"/>
    </row>
    <row r="24" spans="1:24">
      <c r="A24" s="696"/>
      <c r="B24" s="1" t="s">
        <v>32</v>
      </c>
      <c r="C24" s="17">
        <f>Bilan_E_KP_AMS_2038!H18-C45-(Bilan_E_KP_AMS_2038!H20+Bilan_E_KP_AMS_2038!H19)</f>
        <v>108.67972321488683</v>
      </c>
      <c r="D24" s="533"/>
      <c r="E24" s="33">
        <f>Bilan_E_KP_AMS_2038!H30</f>
        <v>3.2664120682994437</v>
      </c>
      <c r="F24" s="535"/>
      <c r="G24" s="17">
        <f t="shared" si="1"/>
        <v>105.41331114658739</v>
      </c>
      <c r="H24" s="535"/>
      <c r="I24" s="34"/>
      <c r="J24" s="535"/>
      <c r="K24" s="537">
        <f>Bilan_E_KP_AMS_2038!H31</f>
        <v>1.3208205478094497</v>
      </c>
      <c r="L24" s="537"/>
      <c r="M24" s="537">
        <f>Bilan_E_KP_AMS_2038!H28</f>
        <v>0</v>
      </c>
      <c r="N24" s="537">
        <f>Bilan_E_KP_AMS_2038!H22</f>
        <v>9.2764090353058375</v>
      </c>
      <c r="O24" s="537">
        <f>Bilan_E_KP_AMS_2038!H21</f>
        <v>7.5839969390793698</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Bilan_E_KP_AMS_2038!O22</f>
        <v>5.4622758911360467</v>
      </c>
      <c r="D26" s="512"/>
      <c r="E26" s="190">
        <f>C26*F$35</f>
        <v>0.39572644825174386</v>
      </c>
      <c r="F26" s="512"/>
      <c r="G26" s="33">
        <f t="shared" ref="G26:G31" si="2">C26-E26</f>
        <v>5.0665494428843028</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Bilan_E_KP_AMS_2038!M18-Bilan_E_KP_AMS_2038!M21-(Bilan_E_KP_AMS_2038!S20+Bilan_E_KP_AMS_2038!S19+Bilan_E_KP_AMS_2038!M20+Bilan_E_KP_AMS_2038!M19)</f>
        <v>16.80772371990394</v>
      </c>
      <c r="D27" s="87"/>
      <c r="E27" s="190">
        <f t="shared" ref="E27:E34" si="3">C27*F$35</f>
        <v>1.2176720735888795</v>
      </c>
      <c r="F27" s="87"/>
      <c r="G27" s="33">
        <f t="shared" si="2"/>
        <v>15.590051646315061</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Bilan_E_KP_AMS_2038!L22</f>
        <v>35.764224717869801</v>
      </c>
      <c r="D29" s="87"/>
      <c r="E29" s="190">
        <f t="shared" si="3"/>
        <v>2.5910169870852728</v>
      </c>
      <c r="F29" s="87"/>
      <c r="G29" s="33">
        <f t="shared" si="2"/>
        <v>33.173207730784526</v>
      </c>
      <c r="H29" s="87"/>
      <c r="I29" s="1"/>
      <c r="J29" s="87"/>
      <c r="K29" s="87"/>
      <c r="L29" s="87"/>
      <c r="M29" s="87"/>
      <c r="N29" s="87"/>
      <c r="O29" s="87"/>
      <c r="P29" s="87"/>
      <c r="Q29" s="87"/>
      <c r="R29" s="508"/>
      <c r="S29" s="87"/>
      <c r="T29" s="87"/>
      <c r="U29" s="87"/>
      <c r="V29" s="87"/>
      <c r="W29" s="87"/>
      <c r="X29" s="87"/>
    </row>
    <row r="30" spans="1:24">
      <c r="A30" s="697"/>
      <c r="B30" s="1" t="s">
        <v>24</v>
      </c>
      <c r="C30" s="17">
        <f>Bilan_E_KP_AMS_2038!Q22</f>
        <v>10.952590418500169</v>
      </c>
      <c r="D30" s="86">
        <f>SUM(C26:C34)</f>
        <v>78.263223782715784</v>
      </c>
      <c r="E30" s="190">
        <f t="shared" si="3"/>
        <v>0.79348421644219036</v>
      </c>
      <c r="F30" s="86">
        <f>Bilan_E_KP_AMS_2038!U22</f>
        <v>5.6699493386124447</v>
      </c>
      <c r="G30" s="33">
        <f t="shared" si="2"/>
        <v>10.159106202057979</v>
      </c>
      <c r="H30" s="86">
        <f>SUM(G26:G34)</f>
        <v>72.593274444103344</v>
      </c>
      <c r="I30" s="1"/>
      <c r="J30" s="86">
        <f>H30</f>
        <v>72.593274444103344</v>
      </c>
      <c r="K30" s="87">
        <f>Bilan_E_KP_AMS_2038!S31</f>
        <v>5.4411740217158124</v>
      </c>
      <c r="L30" s="87"/>
      <c r="M30" s="87">
        <f>Bilan_E_KP_AMS_2038!M28</f>
        <v>0</v>
      </c>
      <c r="N30" s="87"/>
      <c r="O30" s="87"/>
      <c r="P30" s="87"/>
      <c r="Q30" s="86">
        <f>J30-K30-L30-M30-N30-O30-P30</f>
        <v>67.152100422387534</v>
      </c>
      <c r="R30" s="508">
        <f>Q30-S30</f>
        <v>4.2787984175163274E-4</v>
      </c>
      <c r="S30" s="86">
        <f>SUM(T27:X34)</f>
        <v>67.151672542545782</v>
      </c>
      <c r="T30" s="87">
        <f>Bilan_E_KP_AMS_2038!S$38</f>
        <v>0</v>
      </c>
      <c r="U30" s="87">
        <f>Bilan_E_KP_AMS_2038!S$34+Bilan_E_KP_AMS_2038!M34</f>
        <v>20.64210295285303</v>
      </c>
      <c r="V30" s="87">
        <f>Bilan_E_KP_AMS_2038!S$36</f>
        <v>27.523160685886953</v>
      </c>
      <c r="W30" s="87">
        <f>Bilan_E_KP_AMS_2038!S$37</f>
        <v>18.986408903805792</v>
      </c>
      <c r="X30" s="87">
        <f>Bilan_E_KP_AMS_2038!S$35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Bilan_E_KP_AMS_2038!H22</f>
        <v>9.2764090353058375</v>
      </c>
      <c r="D32" s="86"/>
      <c r="E32" s="190">
        <f t="shared" si="3"/>
        <v>0.67204961324435863</v>
      </c>
      <c r="F32" s="86"/>
      <c r="G32" s="33">
        <f>C32-E32</f>
        <v>8.6043594220614796</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Bilan_E_KP_AMS_2038!F22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Bilan_E_KP_AMS_2038!D22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7.2447173328229766E-2</v>
      </c>
      <c r="G35" s="17"/>
      <c r="H35" s="501"/>
      <c r="I35" s="1"/>
      <c r="J35" s="1"/>
      <c r="K35" s="1"/>
      <c r="L35" s="1"/>
      <c r="M35" s="1"/>
      <c r="N35" s="1"/>
      <c r="O35" s="1"/>
      <c r="P35" s="1"/>
      <c r="Q35" s="502"/>
      <c r="R35" s="508"/>
      <c r="U35" s="33"/>
      <c r="V35" s="33"/>
      <c r="W35" s="33"/>
    </row>
    <row r="36" spans="1:26">
      <c r="A36" s="679" t="s">
        <v>34</v>
      </c>
      <c r="B36" s="1" t="s">
        <v>21</v>
      </c>
      <c r="C36" s="33">
        <f>E55</f>
        <v>2.3404115799640408</v>
      </c>
      <c r="D36" s="540"/>
      <c r="E36" s="17"/>
      <c r="F36" s="540"/>
      <c r="G36" s="17">
        <f t="shared" ref="G36:G42" si="5">C36-E36</f>
        <v>2.3404115799640408</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2.3404115799640408</v>
      </c>
    </row>
    <row r="37" spans="1:26">
      <c r="A37" s="679"/>
      <c r="B37" s="1" t="s">
        <v>23</v>
      </c>
      <c r="C37" s="33">
        <f>SUM(T37:X37)+E58</f>
        <v>59.832679893229987</v>
      </c>
      <c r="D37" s="541"/>
      <c r="E37" s="504"/>
      <c r="F37" s="541"/>
      <c r="G37" s="17">
        <f t="shared" si="5"/>
        <v>59.832679893229987</v>
      </c>
      <c r="H37" s="541"/>
      <c r="I37" s="498"/>
      <c r="J37" s="37"/>
      <c r="K37" s="35"/>
      <c r="L37" s="35"/>
      <c r="M37" s="505"/>
      <c r="N37" s="35"/>
      <c r="P37" s="35"/>
      <c r="Q37" s="543"/>
      <c r="R37" s="508"/>
      <c r="S37" s="541"/>
      <c r="T37" s="506">
        <f>Bilan_E_KP_AMS_2038!L38</f>
        <v>3.1334095930613137</v>
      </c>
      <c r="U37" s="93">
        <f>Bilan_E_KP_AMS_2038!L34</f>
        <v>20.031105646676835</v>
      </c>
      <c r="V37" s="506">
        <f>Bilan_E_KP_AMS_2038!L36</f>
        <v>35.896639108009097</v>
      </c>
      <c r="W37" s="507">
        <f>Bilan_E_KP_AMS_2038!L37</f>
        <v>0.41672235765550286</v>
      </c>
      <c r="X37" s="506">
        <f>Bilan_E_KP_AMS_2038!L35</f>
        <v>0</v>
      </c>
      <c r="Y37" s="489">
        <f t="shared" ref="Y37:Y47" si="6">SUM(T37:X37)</f>
        <v>59.47787670540275</v>
      </c>
      <c r="Z37" s="489">
        <f t="shared" ref="Z37:Z44" si="7">G37-Y37</f>
        <v>0.35480318782723685</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272.0014437678347</v>
      </c>
      <c r="R38" s="508"/>
      <c r="S38" s="541"/>
      <c r="T38" s="84">
        <v>0</v>
      </c>
      <c r="U38" s="83">
        <v>0</v>
      </c>
      <c r="V38" s="84">
        <v>0</v>
      </c>
      <c r="W38" s="91">
        <v>0</v>
      </c>
      <c r="X38" s="91">
        <v>0</v>
      </c>
      <c r="Y38" s="489">
        <f t="shared" si="6"/>
        <v>0</v>
      </c>
      <c r="Z38" s="489">
        <f t="shared" si="7"/>
        <v>0</v>
      </c>
    </row>
    <row r="39" spans="1:26">
      <c r="A39" s="679"/>
      <c r="B39" s="1" t="s">
        <v>35</v>
      </c>
      <c r="C39" s="33">
        <f>SUM(T39:X39)</f>
        <v>4.7241037369540058</v>
      </c>
      <c r="D39" s="541"/>
      <c r="E39" s="35"/>
      <c r="F39" s="541"/>
      <c r="G39" s="17">
        <f t="shared" si="5"/>
        <v>4.7241037369540058</v>
      </c>
      <c r="H39" s="541"/>
      <c r="I39" s="35"/>
      <c r="J39" s="37"/>
      <c r="K39" s="35"/>
      <c r="L39" s="35"/>
      <c r="M39" s="37"/>
      <c r="N39" s="35"/>
      <c r="O39" s="35"/>
      <c r="P39" s="35"/>
      <c r="Q39" s="543"/>
      <c r="R39" s="508"/>
      <c r="S39" s="541"/>
      <c r="T39" s="84">
        <f>Bilan_E_KP_AMS_2038!Q38</f>
        <v>1.1655332190637568</v>
      </c>
      <c r="U39" s="83">
        <f>Bilan_E_KP_AMS_2038!Q34</f>
        <v>7.4990210834655101E-4</v>
      </c>
      <c r="V39" s="84">
        <f>Bilan_E_KP_AMS_2038!Q36</f>
        <v>2.574236293616976</v>
      </c>
      <c r="W39" s="91">
        <f>Bilan_E_KP_AMS_2038!Q37</f>
        <v>0.98358432216492664</v>
      </c>
      <c r="X39" s="91">
        <f>Bilan_E_KP_AMS_2038!Q35</f>
        <v>0</v>
      </c>
      <c r="Y39" s="489">
        <f t="shared" si="6"/>
        <v>4.7241037369540058</v>
      </c>
      <c r="Z39" s="489">
        <f t="shared" si="7"/>
        <v>0</v>
      </c>
    </row>
    <row r="40" spans="1:26">
      <c r="A40" s="679"/>
      <c r="B40" s="1" t="s">
        <v>36</v>
      </c>
      <c r="C40" s="33">
        <f>Bilan_E_KP_AMS_2038!P12</f>
        <v>128.43983591306872</v>
      </c>
      <c r="D40" s="541"/>
      <c r="E40" s="35"/>
      <c r="F40" s="541"/>
      <c r="G40" s="17">
        <f t="shared" si="5"/>
        <v>128.43983591306872</v>
      </c>
      <c r="H40" s="541"/>
      <c r="I40" s="35"/>
      <c r="J40" s="37"/>
      <c r="K40" s="35"/>
      <c r="L40" s="35"/>
      <c r="M40" s="37"/>
      <c r="N40" s="35"/>
      <c r="O40" s="35"/>
      <c r="P40" s="35"/>
      <c r="Q40" s="543"/>
      <c r="R40" s="508"/>
      <c r="S40" s="541"/>
      <c r="T40" s="83">
        <f>Bilan_E_KP_AMS_2038!P$38</f>
        <v>0.9</v>
      </c>
      <c r="U40" s="83">
        <f>Bilan_E_KP_AMS_2038!P$34</f>
        <v>6.8164926757812498</v>
      </c>
      <c r="V40" s="83">
        <f>Bilan_E_KP_AMS_2038!P$36</f>
        <v>97.288022909546527</v>
      </c>
      <c r="W40" s="83">
        <f>Bilan_E_KP_AMS_2038!P$37</f>
        <v>23.435320327740932</v>
      </c>
      <c r="X40" s="84">
        <f>Bilan_E_KP_AMS_2038!P$35</f>
        <v>0</v>
      </c>
      <c r="Y40" s="489">
        <f t="shared" si="6"/>
        <v>128.43983591306872</v>
      </c>
      <c r="Z40" s="489">
        <f t="shared" si="7"/>
        <v>0</v>
      </c>
    </row>
    <row r="41" spans="1:26">
      <c r="A41" s="679"/>
      <c r="B41" s="1" t="s">
        <v>37</v>
      </c>
      <c r="C41" s="33">
        <f>Bilan_E_KP_AMS_2038!N12+Bilan_E_KP_AMS_2038!L26-Bilan_E_KP_AMS_2038!N21+Bilan_E_KP_AMS_2038!T27</f>
        <v>124.98466317741159</v>
      </c>
      <c r="D41" s="191">
        <f>SUM(C36:C47)</f>
        <v>593.01112447946082</v>
      </c>
      <c r="E41" s="511">
        <f>Bilan_E_KP_AMS_2038!U27</f>
        <v>6.4061829334609364</v>
      </c>
      <c r="F41" s="191">
        <f>SUM(E36:E47)</f>
        <v>30.961195194702977</v>
      </c>
      <c r="G41" s="17">
        <f t="shared" si="5"/>
        <v>118.57848024395065</v>
      </c>
      <c r="H41" s="191">
        <f>SUM(G36:G47)</f>
        <v>562.04992928475781</v>
      </c>
      <c r="I41" s="35"/>
      <c r="J41" s="37"/>
      <c r="K41" s="35"/>
      <c r="L41" s="37">
        <f>-(SUM(Bilan_E_KP_AMS_2038!N13:N16)+SUM(Bilan_E_KP_AMS_2038!G13:G16))</f>
        <v>19.435720472687514</v>
      </c>
      <c r="M41" s="35"/>
      <c r="N41" s="35"/>
      <c r="O41" s="35"/>
      <c r="P41" s="35"/>
      <c r="Q41" s="543"/>
      <c r="R41" s="508">
        <f>SUM(Q36:Q47)-S41</f>
        <v>0</v>
      </c>
      <c r="S41" s="191">
        <f>SUM(T36:X46)</f>
        <v>410.44095504969516</v>
      </c>
      <c r="T41" s="83">
        <f>Bilan_E_KP_AMS_2038!N$38+Bilan_E_KP_AMS_2038!G$38</f>
        <v>13.27694106679661</v>
      </c>
      <c r="U41" s="83">
        <f>Bilan_E_KP_AMS_2038!N$34+Bilan_E_KP_AMS_2038!G$34</f>
        <v>1.8349433718750003</v>
      </c>
      <c r="V41" s="83">
        <f>Bilan_E_KP_AMS_2038!N$36+Bilan_E_KP_AMS_2038!G$36</f>
        <v>0</v>
      </c>
      <c r="W41" s="83">
        <f>Bilan_E_KP_AMS_2038!N$37+Bilan_E_KP_AMS_2038!G$37</f>
        <v>0</v>
      </c>
      <c r="X41" s="84">
        <f>Bilan_E_KP_AMS_2038!N$35+Bilan_E_KP_AMS_2038!G$35</f>
        <v>64.247742973737701</v>
      </c>
      <c r="Y41" s="489">
        <f t="shared" si="6"/>
        <v>79.35962741240931</v>
      </c>
      <c r="Z41" s="489">
        <f>G41-Y41-L41</f>
        <v>19.783132358853827</v>
      </c>
    </row>
    <row r="42" spans="1:26">
      <c r="A42" s="679"/>
      <c r="B42" s="1" t="s">
        <v>38</v>
      </c>
      <c r="C42" s="33">
        <f>Bilan_E_KP_AMS_2038!E18+Bilan_E_KP_AMS_2038!F18-Bilan_E_KP_AMS_2038!F21-Bilan_E_KP_AMS_2038!F22-E54-SUM(T43:X43)-(Bilan_E_KP_AMS_2038!E20+Bilan_E_KP_AMS_2038!F20+Bilan_E_KP_AMS_2038!E19+Bilan_E_KP_AMS_2038!F19)</f>
        <v>135.46880431935512</v>
      </c>
      <c r="D42" s="541"/>
      <c r="E42" s="17">
        <f>Bilan_E_KP_AMS_2038!F30+Bilan_E_KP_AMS_2038!U25+Bilan_E_KP_AMS_2038!F29+Bilan_E_KP_AMS_2038!E29</f>
        <v>24.555012261242041</v>
      </c>
      <c r="F42" s="541"/>
      <c r="G42" s="17">
        <f t="shared" si="5"/>
        <v>110.91379205811307</v>
      </c>
      <c r="H42" s="541"/>
      <c r="I42" s="498"/>
      <c r="J42" s="37"/>
      <c r="K42" s="35"/>
      <c r="L42" s="35"/>
      <c r="M42" s="35"/>
      <c r="N42" s="35"/>
      <c r="O42" s="35"/>
      <c r="P42" s="35"/>
      <c r="Q42" s="36">
        <f>G42</f>
        <v>110.91379205811307</v>
      </c>
      <c r="R42" s="508"/>
      <c r="S42" s="541"/>
      <c r="T42" s="83">
        <v>0</v>
      </c>
      <c r="U42" s="83">
        <v>0</v>
      </c>
      <c r="V42" s="83">
        <v>0</v>
      </c>
      <c r="W42" s="83">
        <v>0</v>
      </c>
      <c r="X42" s="84">
        <f>Bilan_E_KP_AMS_2038!F35</f>
        <v>110.91379205811297</v>
      </c>
      <c r="Y42" s="489">
        <f t="shared" si="6"/>
        <v>110.91379205811297</v>
      </c>
      <c r="Z42" s="489">
        <f>Q42-SUM(T42:X42)</f>
        <v>0</v>
      </c>
    </row>
    <row r="43" spans="1:26">
      <c r="A43" s="679"/>
      <c r="B43" s="1" t="s">
        <v>39</v>
      </c>
      <c r="C43" s="33">
        <f>Bilan_E_KP_AMS_2038!F41+SUM(T43:X43)</f>
        <v>93.617921298990439</v>
      </c>
      <c r="D43" s="541"/>
      <c r="E43" s="38"/>
      <c r="F43" s="541"/>
      <c r="G43" s="17">
        <f>C43-E43</f>
        <v>93.617921298990439</v>
      </c>
      <c r="H43" s="541"/>
      <c r="I43" s="35"/>
      <c r="J43" s="37"/>
      <c r="K43" s="35"/>
      <c r="L43" s="35"/>
      <c r="M43" s="35"/>
      <c r="N43" s="35"/>
      <c r="O43" s="35"/>
      <c r="P43" s="35"/>
      <c r="Q43" s="36">
        <f>G43-Bilan_E_KP_AMS_2038!F41</f>
        <v>24.449550993374615</v>
      </c>
      <c r="R43" s="508"/>
      <c r="S43" s="541"/>
      <c r="T43" s="83">
        <f>Bilan_E_KP_AMS_2038!F38</f>
        <v>12.977219358559188</v>
      </c>
      <c r="U43" s="83">
        <f>Bilan_E_KP_AMS_2038!F34</f>
        <v>6.6351508306047968</v>
      </c>
      <c r="V43" s="83">
        <f>Bilan_E_KP_AMS_2038!F36</f>
        <v>2.6564398035767778</v>
      </c>
      <c r="W43" s="83">
        <f>Bilan_E_KP_AMS_2038!F37</f>
        <v>2.1807410006338563</v>
      </c>
      <c r="X43" s="84">
        <v>0</v>
      </c>
      <c r="Y43" s="489">
        <f t="shared" si="6"/>
        <v>24.449550993374615</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G44-Bilan_E_KP_AMS_2038!M41</f>
        <v>0</v>
      </c>
      <c r="R44" s="498"/>
      <c r="S44" s="541"/>
      <c r="T44" s="83">
        <f>Bilan_E_KP_AMS_2038!M$38</f>
        <v>0</v>
      </c>
      <c r="U44" s="83">
        <v>0</v>
      </c>
      <c r="V44" s="83">
        <f>Bilan_E_KP_AMS_2038!M$36</f>
        <v>0</v>
      </c>
      <c r="W44" s="83">
        <v>0</v>
      </c>
      <c r="X44" s="84">
        <f>Bilan_E_KP_AMS_2038!M$35</f>
        <v>0</v>
      </c>
      <c r="Y44" s="489">
        <f t="shared" si="6"/>
        <v>0</v>
      </c>
      <c r="Z44" s="489">
        <f t="shared" si="7"/>
        <v>0</v>
      </c>
    </row>
    <row r="45" spans="1:26">
      <c r="A45" s="679"/>
      <c r="B45" s="1" t="s">
        <v>41</v>
      </c>
      <c r="C45" s="33">
        <f>E53</f>
        <v>7.4756631455411453</v>
      </c>
      <c r="D45" s="541"/>
      <c r="E45" s="38"/>
      <c r="F45" s="541"/>
      <c r="G45" s="17">
        <f t="shared" si="1"/>
        <v>7.4756631455411453</v>
      </c>
      <c r="H45" s="541"/>
      <c r="I45" s="35"/>
      <c r="J45" s="37"/>
      <c r="K45" s="35"/>
      <c r="L45" s="35"/>
      <c r="M45" s="35"/>
      <c r="N45" s="35"/>
      <c r="O45" s="35"/>
      <c r="P45" s="35"/>
      <c r="Q45" s="36">
        <f>G45-Bilan_E_KP_AMS_2038!H41</f>
        <v>0</v>
      </c>
      <c r="R45" s="498"/>
      <c r="S45" s="541"/>
      <c r="T45" s="84">
        <v>0</v>
      </c>
      <c r="U45" s="83">
        <v>0</v>
      </c>
      <c r="V45" s="84">
        <v>0</v>
      </c>
      <c r="W45" s="92">
        <v>0</v>
      </c>
      <c r="X45" s="84">
        <v>0</v>
      </c>
      <c r="Y45" s="489">
        <f t="shared" si="6"/>
        <v>0</v>
      </c>
      <c r="Z45" s="489">
        <f>Q45-Y45</f>
        <v>0</v>
      </c>
    </row>
    <row r="46" spans="1:26">
      <c r="A46" s="679"/>
      <c r="B46" s="1" t="s">
        <v>42</v>
      </c>
      <c r="C46" s="33">
        <f>Bilan_E_KP_AMS_2038!D18-C18-C34</f>
        <v>13.859177019435306</v>
      </c>
      <c r="D46" s="541"/>
      <c r="E46" s="511"/>
      <c r="F46" s="541"/>
      <c r="G46" s="17">
        <f>C46-E46</f>
        <v>13.859177019435306</v>
      </c>
      <c r="H46" s="541"/>
      <c r="I46" s="38"/>
      <c r="J46" s="37"/>
      <c r="K46" s="35"/>
      <c r="L46" s="35"/>
      <c r="M46" s="35"/>
      <c r="N46" s="35"/>
      <c r="O46" s="35"/>
      <c r="P46" s="35"/>
      <c r="Q46" s="36">
        <f>G46-(Bilan_E_KP_AMS_2038!D41+Bilan_E_KP_AMS_2038!D29+Bilan_E_KP_AMS_2038!D30)</f>
        <v>3.0761682303728062</v>
      </c>
      <c r="R46" s="498"/>
      <c r="S46" s="541"/>
      <c r="T46" s="506">
        <f>Bilan_E_KP_AMS_2038!D38</f>
        <v>0</v>
      </c>
      <c r="U46" s="93">
        <f>Bilan_E_KP_AMS_2038!D34</f>
        <v>3.0761682303728053</v>
      </c>
      <c r="V46" s="506">
        <f>Bilan_E_KP_AMS_2038!D36</f>
        <v>0</v>
      </c>
      <c r="W46" s="507">
        <f>Bilan_E_KP_AMS_2038!D37</f>
        <v>0</v>
      </c>
      <c r="X46" s="506">
        <f>Bilan_E_KP_AMS_2038!D35</f>
        <v>0</v>
      </c>
      <c r="Y46" s="489">
        <f t="shared" si="6"/>
        <v>3.0761682303728053</v>
      </c>
      <c r="Z46" s="489">
        <f>Q46-Y46</f>
        <v>0</v>
      </c>
    </row>
    <row r="47" spans="1:26">
      <c r="A47" s="90"/>
      <c r="B47" s="1" t="s">
        <v>31</v>
      </c>
      <c r="C47" s="33">
        <f>E57</f>
        <v>22.267864395510532</v>
      </c>
      <c r="D47" s="192"/>
      <c r="E47" s="511"/>
      <c r="F47" s="192"/>
      <c r="G47" s="17">
        <f>C47-E47</f>
        <v>22.267864395510532</v>
      </c>
      <c r="H47" s="192"/>
      <c r="I47" s="38"/>
      <c r="J47" s="37"/>
      <c r="K47" s="35"/>
      <c r="L47" s="35"/>
      <c r="M47" s="35"/>
      <c r="N47" s="35"/>
      <c r="O47" s="35"/>
      <c r="P47" s="35"/>
      <c r="Q47" s="544">
        <f>G47-Bilan_E_KP_AMS_2038!T41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C5-L13-SUM(L21:L24)-L30-L41-Bilan_E_KP_AMS_2038!U18</f>
        <v>0</v>
      </c>
      <c r="D49" s="1"/>
      <c r="E49" s="34">
        <f>SUM(E7:E47)+I13-Bilan_E_KP_AMS_2038!U32+K13+SUM(K21:K24)+K30+Bilan_E_KP_AMS_2038!D29+Bilan_E_KP_AMS_2038!D30</f>
        <v>-1.8474111129762605E-13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410.15704376114138</v>
      </c>
    </row>
    <row r="52" spans="1:19">
      <c r="A52" s="21"/>
      <c r="B52" s="1" t="s">
        <v>44</v>
      </c>
      <c r="C52" s="44"/>
      <c r="D52" s="1"/>
      <c r="E52" s="39">
        <f>Bilan_E_KP_AMS_2038!D41+Bilan_E_KP_AMS_2038!D29+Bilan_E_KP_AMS_2038!D30</f>
        <v>10.783008789062499</v>
      </c>
      <c r="F52" s="187"/>
      <c r="G52" s="1"/>
      <c r="H52" s="1"/>
      <c r="I52" s="30"/>
      <c r="J52" s="17"/>
      <c r="K52" s="17"/>
      <c r="L52" s="21"/>
      <c r="M52" s="1"/>
      <c r="N52" s="17"/>
      <c r="O52" s="17"/>
      <c r="P52" s="17"/>
      <c r="Q52" s="1"/>
      <c r="S52" s="33"/>
    </row>
    <row r="53" spans="1:19">
      <c r="A53" s="21"/>
      <c r="B53" s="1" t="s">
        <v>41</v>
      </c>
      <c r="C53" s="45"/>
      <c r="D53" s="17"/>
      <c r="E53" s="433">
        <f>Bilan_E_KP_AMS_2038!H41+Bilan_E_KP_AMS_2038!H29</f>
        <v>7.4756631455411453</v>
      </c>
      <c r="F53" s="187"/>
      <c r="G53" s="1"/>
      <c r="H53" s="1"/>
      <c r="I53" s="30"/>
      <c r="J53" s="17"/>
      <c r="K53" s="17"/>
      <c r="L53" s="21"/>
      <c r="M53" s="1"/>
      <c r="N53" s="17"/>
      <c r="O53" s="17"/>
      <c r="P53" s="17"/>
      <c r="Q53" s="1"/>
    </row>
    <row r="54" spans="1:19">
      <c r="A54" s="21"/>
      <c r="B54" s="1" t="s">
        <v>39</v>
      </c>
      <c r="C54" s="45"/>
      <c r="D54" s="17"/>
      <c r="E54" s="435">
        <f>Bilan_E_KP_AMS_2038!F41</f>
        <v>69.168370305615824</v>
      </c>
      <c r="F54" s="187"/>
      <c r="G54" s="1"/>
      <c r="H54" s="1"/>
      <c r="I54" s="30"/>
      <c r="J54" s="17"/>
      <c r="K54" s="17"/>
      <c r="L54" s="21"/>
      <c r="M54" s="21"/>
      <c r="N54" s="17"/>
      <c r="O54" s="17"/>
      <c r="P54" s="17"/>
      <c r="Q54" s="1"/>
    </row>
    <row r="55" spans="1:19">
      <c r="B55" s="1" t="s">
        <v>21</v>
      </c>
      <c r="E55" s="633">
        <f>Bilan_E_KP_AMS_2038!O41+Bilan_E_KP_AMS_2038!O29</f>
        <v>2.3404115799640408</v>
      </c>
    </row>
    <row r="56" spans="1:19">
      <c r="B56" s="1" t="s">
        <v>37</v>
      </c>
      <c r="E56" s="633">
        <f>Bilan_E_KP_AMS_2038!N41+Bilan_E_KP_AMS_2038!N29+Bilan_E_KP_AMS_2038!G41</f>
        <v>19.783132358853834</v>
      </c>
    </row>
    <row r="57" spans="1:19">
      <c r="B57" s="1" t="s">
        <v>31</v>
      </c>
      <c r="E57" s="633">
        <f>Bilan_E_KP_AMS_2038!T41</f>
        <v>22.267864395510532</v>
      </c>
    </row>
    <row r="58" spans="1:19">
      <c r="B58" s="1" t="s">
        <v>338</v>
      </c>
      <c r="E58" s="633">
        <f>Bilan_E_KP_AMS_2038!L41</f>
        <v>0.35480318782723769</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374D0-8C96-43CD-A426-FD8BF5C283B2}">
  <dimension ref="A1:Z59"/>
  <sheetViews>
    <sheetView topLeftCell="A39" workbookViewId="0">
      <selection activeCell="C13" sqref="C13"/>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2079.6787440826847</v>
      </c>
      <c r="D5" s="18"/>
      <c r="E5" s="20"/>
      <c r="F5" s="494"/>
      <c r="G5" s="21"/>
      <c r="H5" s="493"/>
      <c r="I5" s="21"/>
      <c r="J5" s="22"/>
      <c r="K5" s="23"/>
      <c r="L5" s="14"/>
      <c r="M5" s="14"/>
      <c r="N5" s="15"/>
      <c r="O5" s="16"/>
      <c r="P5" s="16"/>
      <c r="Q5" s="24">
        <f>Q13+Q22+Q30+Q42+Q46+Q38+Q43</f>
        <v>1045.9219286436633</v>
      </c>
      <c r="R5" s="487"/>
      <c r="S5" s="79">
        <f>SUM(S13,S22,S27:S32,S41)</f>
        <v>1045.9219286436637</v>
      </c>
      <c r="T5" s="79">
        <f>SUM(T8:T46)</f>
        <v>40.459062970284407</v>
      </c>
      <c r="U5" s="79">
        <f>SUM(U8:U46)</f>
        <v>254.62560417630226</v>
      </c>
      <c r="V5" s="79">
        <f>SUM(V8:V46)</f>
        <v>359.78646428131049</v>
      </c>
      <c r="W5" s="173">
        <f>SUM(W8:W46)</f>
        <v>161.89385629942248</v>
      </c>
      <c r="X5" s="79">
        <f>SUM(X8:X46)</f>
        <v>229.15694091634393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(([7]Offre_calc!$S$106+[7]Offre_calc!$S$107+[7]Offre_calc!$S$144+[7]Offre_calc!$S$145)/([7]Offre_calc!$S$103+[7]Offre_calc!$S$141))*Bilan_E_KP_AMS_2040!K$21</f>
        <v>174.51493015350593</v>
      </c>
      <c r="D7" s="518"/>
      <c r="E7" s="28">
        <v>0</v>
      </c>
      <c r="F7" s="518"/>
      <c r="G7" s="17">
        <f>C7-E7</f>
        <v>174.51493015350593</v>
      </c>
      <c r="H7" s="518"/>
      <c r="I7" s="21"/>
      <c r="J7" s="518"/>
      <c r="K7" s="525"/>
      <c r="L7" s="525"/>
      <c r="M7" s="525"/>
      <c r="N7" s="525"/>
      <c r="O7" s="525"/>
      <c r="P7" s="513"/>
      <c r="Q7" s="528"/>
      <c r="R7" s="498"/>
      <c r="S7" s="528"/>
      <c r="T7" s="525"/>
      <c r="U7" s="525"/>
      <c r="V7" s="525"/>
      <c r="W7" s="525"/>
      <c r="X7" s="525"/>
    </row>
    <row r="8" spans="1:24">
      <c r="A8" s="695"/>
      <c r="B8" s="1" t="s">
        <v>18</v>
      </c>
      <c r="C8" s="486">
        <f>(([7]Offre_calc!$S$105+[7]Offre_calc!$S$143)/([7]Offre_calc!$S$103+[7]Offre_calc!$S$141))*Bilan_E_KP_AMS_2040!K$21</f>
        <v>63.627732161662429</v>
      </c>
      <c r="D8" s="81"/>
      <c r="E8" s="28">
        <v>0</v>
      </c>
      <c r="F8" s="81"/>
      <c r="G8" s="17">
        <f t="shared" ref="G8:G19" si="0">C8-E8</f>
        <v>63.627732161662429</v>
      </c>
      <c r="H8" s="81"/>
      <c r="I8" s="21"/>
      <c r="J8" s="81"/>
      <c r="K8" s="526"/>
      <c r="L8" s="526"/>
      <c r="M8" s="526"/>
      <c r="N8" s="526"/>
      <c r="O8" s="526"/>
      <c r="P8" s="29"/>
      <c r="Q8" s="529"/>
      <c r="R8" s="498"/>
      <c r="S8" s="529"/>
      <c r="T8" s="526"/>
      <c r="U8" s="526"/>
      <c r="V8" s="526"/>
      <c r="W8" s="526"/>
      <c r="X8" s="526"/>
    </row>
    <row r="9" spans="1:24">
      <c r="A9" s="695"/>
      <c r="B9" s="1" t="s">
        <v>19</v>
      </c>
      <c r="C9" s="486">
        <f>(([7]Offre_calc!$S$104+[7]Offre_calc!$S$142)/([7]Offre_calc!$S$103+[7]Offre_calc!$S$141))*Bilan_E_KP_AMS_2040!K$21</f>
        <v>102.62792189266722</v>
      </c>
      <c r="D9" s="81"/>
      <c r="E9" s="28">
        <v>0</v>
      </c>
      <c r="F9" s="81"/>
      <c r="G9" s="17">
        <f t="shared" si="0"/>
        <v>102.62792189266722</v>
      </c>
      <c r="H9" s="81"/>
      <c r="I9" s="21"/>
      <c r="J9" s="81"/>
      <c r="K9" s="526"/>
      <c r="L9" s="526"/>
      <c r="M9" s="526"/>
      <c r="N9" s="526"/>
      <c r="O9" s="526"/>
      <c r="P9" s="29"/>
      <c r="Q9" s="529"/>
      <c r="R9" s="498"/>
      <c r="S9" s="529"/>
      <c r="T9" s="526"/>
      <c r="U9" s="526"/>
      <c r="V9" s="526"/>
      <c r="W9" s="526"/>
      <c r="X9" s="526"/>
    </row>
    <row r="10" spans="1:24">
      <c r="A10" s="695"/>
      <c r="B10" s="1" t="s">
        <v>20</v>
      </c>
      <c r="C10" s="17">
        <f>Bilan_E_KP_AMS_2040!J21-(Bilan_E_KP_AMS_2040!R20+Bilan_E_KP_AMS_2040!R19)</f>
        <v>965.91438750259681</v>
      </c>
      <c r="D10" s="81"/>
      <c r="E10" s="28">
        <f>F13-SUM(E11:E19)</f>
        <v>649.97795525323625</v>
      </c>
      <c r="F10" s="81"/>
      <c r="G10" s="17">
        <f t="shared" si="0"/>
        <v>315.93643224936056</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Bilan_E_KP_AMS_2040!O21</f>
        <v>1.4716569620482758</v>
      </c>
      <c r="D11" s="81"/>
      <c r="E11" s="28">
        <f>C11*(1-[7]Offre_calc!$S$161)</f>
        <v>0.62545420887051728</v>
      </c>
      <c r="F11" s="81"/>
      <c r="G11" s="17">
        <f t="shared" si="0"/>
        <v>0.8462027531777585</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Bilan_E_KP_AMS_2040!M21</f>
        <v>10.227645630646329</v>
      </c>
      <c r="D12" s="81"/>
      <c r="E12" s="28">
        <f>C12*(1-[7]Offre_calc!$S$171)</f>
        <v>6.647969659920113</v>
      </c>
      <c r="F12" s="81"/>
      <c r="G12" s="17">
        <f t="shared" si="0"/>
        <v>3.5796759707262158</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Bilan_E_KP_AMS_2040!L21</f>
        <v>20.176267010584041</v>
      </c>
      <c r="D13" s="81">
        <f>SUM(C7:C19)</f>
        <v>1359.3156990333036</v>
      </c>
      <c r="E13" s="28">
        <f>C13*(1-[7]Offre_calc!$S$170)</f>
        <v>13.114573556879625</v>
      </c>
      <c r="F13" s="81">
        <f>Bilan_E_KP_AMS_2040!U21</f>
        <v>677.22154021394851</v>
      </c>
      <c r="G13" s="17">
        <f t="shared" si="0"/>
        <v>7.0616934537044163</v>
      </c>
      <c r="H13" s="81">
        <f>SUM(G7:G19)</f>
        <v>682.09415881935513</v>
      </c>
      <c r="I13" s="33">
        <f>Bilan_E_KP_AMS_2040!R30</f>
        <v>23.896357926698794</v>
      </c>
      <c r="J13" s="81">
        <f>H13-I13</f>
        <v>658.19780089265635</v>
      </c>
      <c r="K13" s="29">
        <f>Bilan_E_KP_AMS_2040!R31</f>
        <v>49.147245311640418</v>
      </c>
      <c r="L13" s="29">
        <f>-(Bilan_E_KP_AMS_2040!R14+Bilan_E_KP_AMS_2040!R13)</f>
        <v>40.000273468658179</v>
      </c>
      <c r="M13" s="29">
        <f>Bilan_E_KP_AMS_2040!R28</f>
        <v>99.340394157506324</v>
      </c>
      <c r="N13" s="29"/>
      <c r="O13" s="29"/>
      <c r="P13" s="29"/>
      <c r="Q13" s="81">
        <f>J13-K13-L13-M13-N13-O13-P13</f>
        <v>469.70988795485141</v>
      </c>
      <c r="R13" s="508">
        <f>Q13-S13</f>
        <v>-4.5474735088646412E-13</v>
      </c>
      <c r="S13" s="81">
        <f>SUM(T8:X19)</f>
        <v>469.70988795485187</v>
      </c>
      <c r="T13" s="29">
        <f>Bilan_E_KP_AMS_2040!R38</f>
        <v>7.76122971899715</v>
      </c>
      <c r="U13" s="29">
        <f>Bilan_E_KP_AMS_2040!R34+Bilan_E_KP_AMS_2040!R39</f>
        <v>134.5958383814887</v>
      </c>
      <c r="V13" s="29">
        <f>Bilan_E_KP_AMS_2040!R36</f>
        <v>149.5228289340921</v>
      </c>
      <c r="W13" s="29">
        <f>Bilan_E_KP_AMS_2040!R37</f>
        <v>92.228183694440688</v>
      </c>
      <c r="X13" s="29">
        <f>Bilan_E_KP_AMS_2040!R35</f>
        <v>85.601807225833156</v>
      </c>
    </row>
    <row r="14" spans="1:24">
      <c r="A14" s="695"/>
      <c r="B14" s="1" t="s">
        <v>24</v>
      </c>
      <c r="C14" s="17">
        <f>Bilan_E_KP_AMS_2040!Q21</f>
        <v>6.4327567473291545</v>
      </c>
      <c r="D14" s="81"/>
      <c r="E14" s="28">
        <v>0</v>
      </c>
      <c r="F14" s="81"/>
      <c r="G14" s="17">
        <f t="shared" si="0"/>
        <v>6.4327567473291545</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Bilan_E_KP_AMS_2040!N21</f>
        <v>5.6269378379330357</v>
      </c>
      <c r="D16" s="81"/>
      <c r="E16" s="28">
        <f>C16*(1-[7]Offre_calc!$S$158)</f>
        <v>3.1510851892425005</v>
      </c>
      <c r="F16" s="81"/>
      <c r="G16" s="17">
        <f t="shared" si="0"/>
        <v>2.4758526486905352</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Bilan_E_KP_AMS_2040!F21</f>
        <v>6.6151953400033478E-2</v>
      </c>
      <c r="D17" s="81"/>
      <c r="E17" s="28">
        <f>C17*(1-[7]Offre_calc!$S$158)</f>
        <v>3.704509390401875E-2</v>
      </c>
      <c r="F17" s="81"/>
      <c r="G17" s="17">
        <f t="shared" si="0"/>
        <v>2.9106859496014728E-2</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Bilan_E_KP_AMS_2040!D21</f>
        <v>0</v>
      </c>
      <c r="D18" s="81"/>
      <c r="E18" s="28">
        <f>C18*(1-[7]Offre_calc!$S$157)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Bilan_E_KP_AMS_2040!H21+Bilan_E_KP_AMS_2040!T21</f>
        <v>8.6293111809304861</v>
      </c>
      <c r="D19" s="82"/>
      <c r="E19" s="28">
        <f>C19*(1-[7]Offre_calc!$S$160)</f>
        <v>3.6674572518954571</v>
      </c>
      <c r="F19" s="82"/>
      <c r="G19" s="17">
        <f t="shared" si="0"/>
        <v>4.961853929035029</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0.32708533627522057</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Bilan_E_KP_AMS_2040!L23+Bilan_E_KP_AMS_2040!O12</f>
        <v>79.162411730085978</v>
      </c>
      <c r="D21" s="531"/>
      <c r="E21" s="33">
        <f>Bilan_E_KP_AMS_2040!U23+Bilan_E_KP_AMS_2040!O30</f>
        <v>8.3486401032283108</v>
      </c>
      <c r="F21" s="531"/>
      <c r="G21" s="17">
        <f t="shared" ref="G21:G45" si="1">C21-E21</f>
        <v>70.813771626857672</v>
      </c>
      <c r="H21" s="531"/>
      <c r="I21" s="17"/>
      <c r="J21" s="531"/>
      <c r="K21" s="547">
        <f>Bilan_E_KP_AMS_2040!O31</f>
        <v>0.85323983441970752</v>
      </c>
      <c r="L21" s="547">
        <f>-(Bilan_E_KP_AMS_2040!O13+Bilan_E_KP_AMS_2040!O14+Bilan_E_KP_AMS_2040!O15+Bilan_E_KP_AMS_2040!O16)</f>
        <v>1.9416491298644523</v>
      </c>
      <c r="M21" s="547">
        <f>Bilan_E_KP_AMS_2040!O28</f>
        <v>0</v>
      </c>
      <c r="N21" s="547">
        <f>Bilan_E_KP_AMS_2040!O22</f>
        <v>6.1169134542385972</v>
      </c>
      <c r="O21" s="547">
        <f>Bilan_E_KP_AMS_2040!O21</f>
        <v>1.4716569620482758</v>
      </c>
      <c r="P21" s="547">
        <f>C36</f>
        <v>2.7141517882424018</v>
      </c>
      <c r="Q21" s="531"/>
      <c r="R21" s="508"/>
      <c r="S21" s="531"/>
      <c r="T21" s="531"/>
      <c r="U21" s="531"/>
      <c r="V21" s="531"/>
      <c r="W21" s="531"/>
      <c r="X21" s="531"/>
    </row>
    <row r="22" spans="1:24">
      <c r="A22" s="696"/>
      <c r="B22" s="1" t="s">
        <v>524</v>
      </c>
      <c r="C22" s="17">
        <f>Bilan_E_KP_AMS_2040!T24</f>
        <v>0</v>
      </c>
      <c r="D22" s="85">
        <f>SUM(C21:C24)</f>
        <v>240.74981553425272</v>
      </c>
      <c r="E22" s="632">
        <f>Bilan_E_KP_AMS_2040!I30+Bilan_E_KP_AMS_2040!U24</f>
        <v>0</v>
      </c>
      <c r="F22" s="85">
        <f>SUM(E21:E24)</f>
        <v>42.484731253894111</v>
      </c>
      <c r="G22" s="17">
        <f t="shared" si="1"/>
        <v>0</v>
      </c>
      <c r="H22" s="85">
        <f>SUM(G21:G24)</f>
        <v>198.26508428035862</v>
      </c>
      <c r="I22" s="408"/>
      <c r="J22" s="85">
        <f>H22-I22</f>
        <v>198.26508428035862</v>
      </c>
      <c r="K22" s="628">
        <f>Bilan_E_KP_AMS_2040!I31</f>
        <v>0</v>
      </c>
      <c r="L22" s="628">
        <f>-SUM(Bilan_E_KP_AMS_2040!I13:I16)</f>
        <v>0</v>
      </c>
      <c r="M22" s="32"/>
      <c r="N22" s="32"/>
      <c r="O22" s="32"/>
      <c r="P22" s="32"/>
      <c r="Q22" s="85">
        <f>J22-SUM(K21:P24)</f>
        <v>136.85553125814664</v>
      </c>
      <c r="R22" s="508">
        <f>Q22-S22</f>
        <v>-4.0121337497112108E-4</v>
      </c>
      <c r="S22" s="85">
        <f>SUM(T22:X24)</f>
        <v>136.85593247152161</v>
      </c>
      <c r="T22" s="32">
        <f>Bilan_E_KP_AMS_2040!H38+Bilan_E_KP_AMS_2040!T38+Bilan_E_KP_AMS_2040!O$38+Bilan_E_KP_AMS_2040!I38</f>
        <v>2.1246665240340468</v>
      </c>
      <c r="U22" s="32">
        <f>Bilan_E_KP_AMS_2040!H34+Bilan_E_KP_AMS_2040!T34+Bilan_E_KP_AMS_2040!O$34+Bilan_E_KP_AMS_2040!I34</f>
        <v>61.74986568544189</v>
      </c>
      <c r="V22" s="32">
        <f>Bilan_E_KP_AMS_2040!H36+Bilan_E_KP_AMS_2040!T36+Bilan_E_KP_AMS_2040!O$36+Bilan_E_KP_AMS_2040!I36</f>
        <v>40.99551664852801</v>
      </c>
      <c r="W22" s="32">
        <f>Bilan_E_KP_AMS_2040!H37+Bilan_E_KP_AMS_2040!M37+Bilan_E_KP_AMS_2040!T37+Bilan_E_KP_AMS_2040!O$37+Bilan_E_KP_AMS_2040!I37</f>
        <v>22.444989891684408</v>
      </c>
      <c r="X22" s="32">
        <f>Bilan_E_KP_AMS_2040!H35+Bilan_E_KP_AMS_2040!T35+Bilan_E_KP_AMS_2040!O$35+Bilan_E_KP_AMS_2040!I35</f>
        <v>9.5408937218332817</v>
      </c>
    </row>
    <row r="23" spans="1:24">
      <c r="A23" s="696"/>
      <c r="B23" s="1" t="s">
        <v>31</v>
      </c>
      <c r="C23" s="17">
        <f>SUM(Bilan_E_KP_AMS_2040!D28:S28)-C47</f>
        <v>74.316428606522422</v>
      </c>
      <c r="D23" s="532"/>
      <c r="E23" s="33">
        <f>Bilan_E_KP_AMS_2040!U28</f>
        <v>31.292224159614491</v>
      </c>
      <c r="F23" s="534"/>
      <c r="G23" s="17">
        <f t="shared" si="1"/>
        <v>43.02420444690793</v>
      </c>
      <c r="H23" s="534"/>
      <c r="I23" s="17"/>
      <c r="J23" s="534"/>
      <c r="K23" s="536">
        <f>Bilan_E_KP_AMS_2040!T31</f>
        <v>0</v>
      </c>
      <c r="L23" s="536">
        <f>-(Bilan_E_KP_AMS_2040!T13+Bilan_E_KP_AMS_2040!T14+Bilan_E_KP_AMS_2040!T15+Bilan_E_KP_AMS_2040!T16)</f>
        <v>0.66460812232862176</v>
      </c>
      <c r="M23" s="536">
        <f>Bilan_E_KP_AMS_2040!T24</f>
        <v>0</v>
      </c>
      <c r="N23" s="536">
        <f>Bilan_E_KP_AMS_2040!T22</f>
        <v>0</v>
      </c>
      <c r="O23" s="536">
        <f>Bilan_E_KP_AMS_2040!T21</f>
        <v>3.1982839297450432</v>
      </c>
      <c r="P23" s="536">
        <f>Bilan_E_KP_AMS_2040!T27</f>
        <v>30.516660945295527</v>
      </c>
      <c r="Q23" s="534"/>
      <c r="R23" s="489"/>
      <c r="S23" s="534"/>
      <c r="T23" s="538"/>
      <c r="U23" s="538"/>
      <c r="V23" s="538"/>
      <c r="W23" s="538"/>
      <c r="X23" s="538"/>
    </row>
    <row r="24" spans="1:24">
      <c r="A24" s="696"/>
      <c r="B24" s="1" t="s">
        <v>32</v>
      </c>
      <c r="C24" s="17">
        <f>Bilan_E_KP_AMS_2040!H18-C45-(Bilan_E_KP_AMS_2040!H20+Bilan_E_KP_AMS_2040!H19)</f>
        <v>87.270975197644304</v>
      </c>
      <c r="D24" s="533"/>
      <c r="E24" s="33">
        <f>Bilan_E_KP_AMS_2040!H30</f>
        <v>2.8438669910513061</v>
      </c>
      <c r="F24" s="535"/>
      <c r="G24" s="17">
        <f t="shared" si="1"/>
        <v>84.427108206593005</v>
      </c>
      <c r="H24" s="535"/>
      <c r="I24" s="34"/>
      <c r="J24" s="535"/>
      <c r="K24" s="537">
        <f>Bilan_E_KP_AMS_2040!H31</f>
        <v>1.042848686512976</v>
      </c>
      <c r="L24" s="537"/>
      <c r="M24" s="537">
        <f>Bilan_E_KP_AMS_2040!H28</f>
        <v>0</v>
      </c>
      <c r="N24" s="537">
        <f>Bilan_E_KP_AMS_2040!H22</f>
        <v>7.4585129183309293</v>
      </c>
      <c r="O24" s="537">
        <f>Bilan_E_KP_AMS_2040!H21</f>
        <v>5.4310272511854434</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Bilan_E_KP_AMS_2040!O22</f>
        <v>6.1169134542385972</v>
      </c>
      <c r="D26" s="512"/>
      <c r="E26" s="190">
        <f>C26*F$35</f>
        <v>0.41634860190463763</v>
      </c>
      <c r="F26" s="512"/>
      <c r="G26" s="33">
        <f t="shared" ref="G26:G31" si="2">C26-E26</f>
        <v>5.7005648523339598</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Bilan_E_KP_AMS_2040!M18-Bilan_E_KP_AMS_2040!M21-(Bilan_E_KP_AMS_2040!S20+Bilan_E_KP_AMS_2040!S19+Bilan_E_KP_AMS_2040!M20+Bilan_E_KP_AMS_2040!M19)</f>
        <v>16.769040256511662</v>
      </c>
      <c r="D27" s="87"/>
      <c r="E27" s="190">
        <f t="shared" ref="E27:E34" si="3">C27*F$35</f>
        <v>1.1413871584603401</v>
      </c>
      <c r="F27" s="87"/>
      <c r="G27" s="33">
        <f t="shared" si="2"/>
        <v>15.627653098051322</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Bilan_E_KP_AMS_2040!L22</f>
        <v>35.547730315639996</v>
      </c>
      <c r="D29" s="87"/>
      <c r="E29" s="190">
        <f t="shared" si="3"/>
        <v>2.4195614223615127</v>
      </c>
      <c r="F29" s="87"/>
      <c r="G29" s="33">
        <f t="shared" si="2"/>
        <v>33.128168893278485</v>
      </c>
      <c r="H29" s="87"/>
      <c r="I29" s="1"/>
      <c r="J29" s="87"/>
      <c r="K29" s="87"/>
      <c r="L29" s="87"/>
      <c r="M29" s="87"/>
      <c r="N29" s="87"/>
      <c r="O29" s="87"/>
      <c r="P29" s="87"/>
      <c r="Q29" s="87"/>
      <c r="R29" s="508"/>
      <c r="S29" s="87"/>
      <c r="T29" s="87"/>
      <c r="U29" s="87"/>
      <c r="V29" s="87"/>
      <c r="W29" s="87"/>
      <c r="X29" s="87"/>
    </row>
    <row r="30" spans="1:24">
      <c r="A30" s="697"/>
      <c r="B30" s="1" t="s">
        <v>24</v>
      </c>
      <c r="C30" s="17">
        <f>Bilan_E_KP_AMS_2040!Q22</f>
        <v>11.02899005085181</v>
      </c>
      <c r="D30" s="86">
        <f>SUM(C26:C34)</f>
        <v>76.921186995572995</v>
      </c>
      <c r="E30" s="190">
        <f t="shared" si="3"/>
        <v>0.75068980825786213</v>
      </c>
      <c r="F30" s="86">
        <f>Bilan_E_KP_AMS_2040!U22</f>
        <v>5.235651755095569</v>
      </c>
      <c r="G30" s="33">
        <f t="shared" si="2"/>
        <v>10.278300242593948</v>
      </c>
      <c r="H30" s="86">
        <f>SUM(G26:G34)</f>
        <v>71.685535240477421</v>
      </c>
      <c r="I30" s="1"/>
      <c r="J30" s="86">
        <f>H30</f>
        <v>71.685535240477421</v>
      </c>
      <c r="K30" s="87">
        <f>Bilan_E_KP_AMS_2040!S31</f>
        <v>5.3750429512534854</v>
      </c>
      <c r="L30" s="87"/>
      <c r="M30" s="87">
        <f>Bilan_E_KP_AMS_2040!M28</f>
        <v>0</v>
      </c>
      <c r="N30" s="87"/>
      <c r="O30" s="87"/>
      <c r="P30" s="87"/>
      <c r="Q30" s="86">
        <f>J30-K30-L30-M30-N30-O30-P30</f>
        <v>66.31049228922393</v>
      </c>
      <c r="R30" s="508">
        <f>Q30-S30</f>
        <v>4.0121337497112108E-4</v>
      </c>
      <c r="S30" s="86">
        <f>SUM(T27:X34)</f>
        <v>66.310091075848959</v>
      </c>
      <c r="T30" s="87">
        <f>Bilan_E_KP_AMS_2040!S$38</f>
        <v>0</v>
      </c>
      <c r="U30" s="87">
        <f>Bilan_E_KP_AMS_2040!S$34+Bilan_E_KP_AMS_2040!M34</f>
        <v>20.658237597633519</v>
      </c>
      <c r="V30" s="87">
        <f>Bilan_E_KP_AMS_2040!S$36</f>
        <v>26.593767108522837</v>
      </c>
      <c r="W30" s="87">
        <f>Bilan_E_KP_AMS_2040!S$37</f>
        <v>19.0580863696926</v>
      </c>
      <c r="X30" s="87">
        <f>Bilan_E_KP_AMS_2040!S$35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Bilan_E_KP_AMS_2040!H22</f>
        <v>7.4585129183309293</v>
      </c>
      <c r="D32" s="86"/>
      <c r="E32" s="190">
        <f t="shared" si="3"/>
        <v>0.50766476411121608</v>
      </c>
      <c r="F32" s="86"/>
      <c r="G32" s="33">
        <f>C32-E32</f>
        <v>6.9508481542197131</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Bilan_E_KP_AMS_2040!F22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Bilan_E_KP_AMS_2040!D22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6.8065145112709891E-2</v>
      </c>
      <c r="G35" s="17"/>
      <c r="H35" s="501"/>
      <c r="I35" s="1"/>
      <c r="J35" s="1"/>
      <c r="K35" s="1"/>
      <c r="L35" s="1"/>
      <c r="M35" s="1"/>
      <c r="N35" s="1"/>
      <c r="O35" s="1"/>
      <c r="P35" s="1"/>
      <c r="Q35" s="502"/>
      <c r="R35" s="508"/>
      <c r="U35" s="33"/>
      <c r="V35" s="33"/>
      <c r="W35" s="33"/>
    </row>
    <row r="36" spans="1:26">
      <c r="A36" s="679" t="s">
        <v>34</v>
      </c>
      <c r="B36" s="1" t="s">
        <v>21</v>
      </c>
      <c r="C36" s="33">
        <f>E55</f>
        <v>2.7141517882424018</v>
      </c>
      <c r="D36" s="540"/>
      <c r="E36" s="17"/>
      <c r="F36" s="540"/>
      <c r="G36" s="17">
        <f t="shared" ref="G36:G42" si="5">C36-E36</f>
        <v>2.7141517882424018</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2.7141517882424018</v>
      </c>
    </row>
    <row r="37" spans="1:26">
      <c r="A37" s="679"/>
      <c r="B37" s="1" t="s">
        <v>23</v>
      </c>
      <c r="C37" s="33">
        <f>SUM(T37:X37)+E58</f>
        <v>58.151481750195423</v>
      </c>
      <c r="D37" s="541"/>
      <c r="E37" s="504"/>
      <c r="F37" s="541"/>
      <c r="G37" s="17">
        <f t="shared" si="5"/>
        <v>58.151481750195423</v>
      </c>
      <c r="H37" s="541"/>
      <c r="I37" s="498"/>
      <c r="J37" s="37"/>
      <c r="K37" s="35"/>
      <c r="L37" s="35"/>
      <c r="M37" s="505"/>
      <c r="N37" s="35"/>
      <c r="P37" s="35"/>
      <c r="Q37" s="543"/>
      <c r="R37" s="508"/>
      <c r="S37" s="541"/>
      <c r="T37" s="506">
        <f>Bilan_E_KP_AMS_2040!L38</f>
        <v>3.3736621545342089</v>
      </c>
      <c r="U37" s="93">
        <f>Bilan_E_KP_AMS_2040!L34</f>
        <v>19.866368456853682</v>
      </c>
      <c r="V37" s="506">
        <f>Bilan_E_KP_AMS_2040!L36</f>
        <v>34.097641504490639</v>
      </c>
      <c r="W37" s="507">
        <f>Bilan_E_KP_AMS_2040!L37</f>
        <v>0.40515733033320123</v>
      </c>
      <c r="X37" s="506">
        <f>Bilan_E_KP_AMS_2040!L35</f>
        <v>0</v>
      </c>
      <c r="Y37" s="489">
        <f t="shared" ref="Y37:Y47" si="6">SUM(T37:X37)</f>
        <v>57.742829446211736</v>
      </c>
      <c r="Z37" s="489">
        <f t="shared" ref="Z37:Z44" si="7">G37-Y37</f>
        <v>0.40865230398368624</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290.04216071536371</v>
      </c>
      <c r="R38" s="508"/>
      <c r="S38" s="541"/>
      <c r="T38" s="84">
        <v>0</v>
      </c>
      <c r="U38" s="83">
        <v>0</v>
      </c>
      <c r="V38" s="84">
        <v>0</v>
      </c>
      <c r="W38" s="91">
        <v>0</v>
      </c>
      <c r="X38" s="91">
        <v>0</v>
      </c>
      <c r="Y38" s="489">
        <f t="shared" si="6"/>
        <v>0</v>
      </c>
      <c r="Z38" s="489">
        <f t="shared" si="7"/>
        <v>0</v>
      </c>
    </row>
    <row r="39" spans="1:26">
      <c r="A39" s="679"/>
      <c r="B39" s="1" t="s">
        <v>35</v>
      </c>
      <c r="C39" s="33">
        <f>SUM(T39:X39)</f>
        <v>5.0433146454720621</v>
      </c>
      <c r="D39" s="541"/>
      <c r="E39" s="35"/>
      <c r="F39" s="541"/>
      <c r="G39" s="17">
        <f t="shared" si="5"/>
        <v>5.0433146454720621</v>
      </c>
      <c r="H39" s="541"/>
      <c r="I39" s="35"/>
      <c r="J39" s="37"/>
      <c r="K39" s="35"/>
      <c r="L39" s="35"/>
      <c r="M39" s="37"/>
      <c r="N39" s="35"/>
      <c r="O39" s="35"/>
      <c r="P39" s="35"/>
      <c r="Q39" s="543"/>
      <c r="R39" s="508"/>
      <c r="S39" s="541"/>
      <c r="T39" s="84">
        <f>Bilan_E_KP_AMS_2040!Q38</f>
        <v>1.300620381405156</v>
      </c>
      <c r="U39" s="83">
        <f>Bilan_E_KP_AMS_2040!Q34</f>
        <v>7.8820466826144567E-4</v>
      </c>
      <c r="V39" s="84">
        <f>Bilan_E_KP_AMS_2040!Q36</f>
        <v>2.7285855468891569</v>
      </c>
      <c r="W39" s="91">
        <f>Bilan_E_KP_AMS_2040!Q37</f>
        <v>1.0133205125094877</v>
      </c>
      <c r="X39" s="91">
        <f>Bilan_E_KP_AMS_2040!Q35</f>
        <v>0</v>
      </c>
      <c r="Y39" s="489">
        <f t="shared" si="6"/>
        <v>5.0433146454720621</v>
      </c>
      <c r="Z39" s="489">
        <f t="shared" si="7"/>
        <v>0</v>
      </c>
    </row>
    <row r="40" spans="1:26">
      <c r="A40" s="679"/>
      <c r="B40" s="1" t="s">
        <v>36</v>
      </c>
      <c r="C40" s="33">
        <f>Bilan_E_KP_AMS_2040!P12</f>
        <v>137.63232647396575</v>
      </c>
      <c r="D40" s="541"/>
      <c r="E40" s="35"/>
      <c r="F40" s="541"/>
      <c r="G40" s="17">
        <f t="shared" si="5"/>
        <v>137.63232647396575</v>
      </c>
      <c r="H40" s="541"/>
      <c r="I40" s="35"/>
      <c r="J40" s="37"/>
      <c r="K40" s="35"/>
      <c r="L40" s="35"/>
      <c r="M40" s="37"/>
      <c r="N40" s="35"/>
      <c r="O40" s="35"/>
      <c r="P40" s="35"/>
      <c r="Q40" s="543"/>
      <c r="R40" s="508"/>
      <c r="S40" s="541"/>
      <c r="T40" s="83">
        <f>Bilan_E_KP_AMS_2040!P$38</f>
        <v>1</v>
      </c>
      <c r="U40" s="83">
        <f>Bilan_E_KP_AMS_2040!P$34</f>
        <v>7.6335380859375004</v>
      </c>
      <c r="V40" s="83">
        <f>Bilan_E_KP_AMS_2040!P$36</f>
        <v>103.59461616627088</v>
      </c>
      <c r="W40" s="83">
        <f>Bilan_E_KP_AMS_2040!P$37</f>
        <v>25.404172221757367</v>
      </c>
      <c r="X40" s="84">
        <f>Bilan_E_KP_AMS_2040!P$35</f>
        <v>0</v>
      </c>
      <c r="Y40" s="489">
        <f t="shared" si="6"/>
        <v>137.63232647396575</v>
      </c>
      <c r="Z40" s="489">
        <f t="shared" si="7"/>
        <v>0</v>
      </c>
    </row>
    <row r="41" spans="1:26">
      <c r="A41" s="679"/>
      <c r="B41" s="1" t="s">
        <v>37</v>
      </c>
      <c r="C41" s="33">
        <f>Bilan_E_KP_AMS_2040!N12+Bilan_E_KP_AMS_2040!L26-Bilan_E_KP_AMS_2040!N21+Bilan_E_KP_AMS_2040!T27</f>
        <v>143.97598201570864</v>
      </c>
      <c r="D41" s="191">
        <f>SUM(C36:C47)</f>
        <v>558.93964392614805</v>
      </c>
      <c r="E41" s="511">
        <f>Bilan_E_KP_AMS_2040!U27</f>
        <v>8.6056983865733407</v>
      </c>
      <c r="F41" s="191">
        <f>SUM(E36:E47)</f>
        <v>32.196616725112094</v>
      </c>
      <c r="G41" s="17">
        <f t="shared" si="5"/>
        <v>135.37028362913529</v>
      </c>
      <c r="H41" s="191">
        <f>SUM(G36:G47)</f>
        <v>526.74302720103594</v>
      </c>
      <c r="I41" s="35"/>
      <c r="J41" s="37"/>
      <c r="K41" s="35"/>
      <c r="L41" s="37">
        <f>-(SUM(Bilan_E_KP_AMS_2040!N13:N16)+SUM(Bilan_E_KP_AMS_2040!G13:G16))</f>
        <v>23.768520291933058</v>
      </c>
      <c r="M41" s="35"/>
      <c r="N41" s="35"/>
      <c r="O41" s="35"/>
      <c r="P41" s="35"/>
      <c r="Q41" s="543"/>
      <c r="R41" s="508">
        <f>SUM(Q36:Q47)-S41</f>
        <v>0</v>
      </c>
      <c r="S41" s="191">
        <f>SUM(T36:X46)</f>
        <v>373.04601714144121</v>
      </c>
      <c r="T41" s="83">
        <f>Bilan_E_KP_AMS_2040!N$38+Bilan_E_KP_AMS_2040!G$38</f>
        <v>15.889145060057182</v>
      </c>
      <c r="U41" s="83">
        <f>Bilan_E_KP_AMS_2040!N$34+Bilan_E_KP_AMS_2040!G$34</f>
        <v>2.1415231567382813</v>
      </c>
      <c r="V41" s="83">
        <f>Bilan_E_KP_AMS_2040!N$36+Bilan_E_KP_AMS_2040!G$36</f>
        <v>0</v>
      </c>
      <c r="W41" s="83">
        <f>Bilan_E_KP_AMS_2040!N$37+Bilan_E_KP_AMS_2040!G$37</f>
        <v>0</v>
      </c>
      <c r="X41" s="84">
        <f>Bilan_E_KP_AMS_2040!N$35+Bilan_E_KP_AMS_2040!G$35</f>
        <v>71.59302193291866</v>
      </c>
      <c r="Y41" s="489">
        <f t="shared" si="6"/>
        <v>89.623690149714122</v>
      </c>
      <c r="Z41" s="489">
        <f>G41-Y41-L41</f>
        <v>21.978073187488107</v>
      </c>
    </row>
    <row r="42" spans="1:26">
      <c r="A42" s="679"/>
      <c r="B42" s="1" t="s">
        <v>38</v>
      </c>
      <c r="C42" s="33">
        <f>Bilan_E_KP_AMS_2040!E18+Bilan_E_KP_AMS_2040!F18-Bilan_E_KP_AMS_2040!F21-Bilan_E_KP_AMS_2040!F22-E54-SUM(T43:X43)-(Bilan_E_KP_AMS_2040!E20+Bilan_E_KP_AMS_2040!F20+Bilan_E_KP_AMS_2040!E19+Bilan_E_KP_AMS_2040!F19)</f>
        <v>86.012136374297569</v>
      </c>
      <c r="D42" s="541"/>
      <c r="E42" s="17">
        <f>Bilan_E_KP_AMS_2040!F30+Bilan_E_KP_AMS_2040!U25+Bilan_E_KP_AMS_2040!F29+Bilan_E_KP_AMS_2040!E29</f>
        <v>23.590918338538749</v>
      </c>
      <c r="F42" s="541"/>
      <c r="G42" s="17">
        <f t="shared" si="5"/>
        <v>62.42121803575882</v>
      </c>
      <c r="H42" s="541"/>
      <c r="I42" s="498"/>
      <c r="J42" s="37"/>
      <c r="K42" s="35"/>
      <c r="L42" s="35"/>
      <c r="M42" s="35"/>
      <c r="N42" s="35"/>
      <c r="O42" s="35"/>
      <c r="P42" s="35"/>
      <c r="Q42" s="36">
        <f>G42</f>
        <v>62.42121803575882</v>
      </c>
      <c r="R42" s="508"/>
      <c r="S42" s="541"/>
      <c r="T42" s="83">
        <v>0</v>
      </c>
      <c r="U42" s="83">
        <v>0</v>
      </c>
      <c r="V42" s="83">
        <v>0</v>
      </c>
      <c r="W42" s="83">
        <v>0</v>
      </c>
      <c r="X42" s="84">
        <f>Bilan_E_KP_AMS_2040!F35</f>
        <v>62.42121803575882</v>
      </c>
      <c r="Y42" s="489">
        <f t="shared" si="6"/>
        <v>62.42121803575882</v>
      </c>
      <c r="Z42" s="489">
        <f>Q42-SUM(T42:X42)</f>
        <v>0</v>
      </c>
    </row>
    <row r="43" spans="1:26">
      <c r="A43" s="679"/>
      <c r="B43" s="1" t="s">
        <v>39</v>
      </c>
      <c r="C43" s="33">
        <f>Bilan_E_KP_AMS_2040!F41+SUM(T43:X43)</f>
        <v>81.252071276569239</v>
      </c>
      <c r="D43" s="541"/>
      <c r="E43" s="38"/>
      <c r="F43" s="541"/>
      <c r="G43" s="17">
        <f>C43-E43</f>
        <v>81.252071276569239</v>
      </c>
      <c r="H43" s="541"/>
      <c r="I43" s="35"/>
      <c r="J43" s="37"/>
      <c r="K43" s="35"/>
      <c r="L43" s="35"/>
      <c r="M43" s="35"/>
      <c r="N43" s="35"/>
      <c r="O43" s="35"/>
      <c r="P43" s="35"/>
      <c r="Q43" s="36">
        <f>G43-Bilan_E_KP_AMS_2040!F41</f>
        <v>17.798450134669082</v>
      </c>
      <c r="R43" s="508"/>
      <c r="S43" s="541"/>
      <c r="T43" s="83">
        <f>Bilan_E_KP_AMS_2040!F38</f>
        <v>9.0097391312566604</v>
      </c>
      <c r="U43" s="83">
        <f>Bilan_E_KP_AMS_2040!F34</f>
        <v>5.1952563518908157</v>
      </c>
      <c r="V43" s="83">
        <f>Bilan_E_KP_AMS_2040!F36</f>
        <v>2.2535083725168867</v>
      </c>
      <c r="W43" s="83">
        <f>Bilan_E_KP_AMS_2040!F37</f>
        <v>1.3399462790047187</v>
      </c>
      <c r="X43" s="84">
        <v>0</v>
      </c>
      <c r="Y43" s="489">
        <f t="shared" si="6"/>
        <v>17.798450134669078</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G44-Bilan_E_KP_AMS_2040!M41</f>
        <v>0</v>
      </c>
      <c r="R44" s="498"/>
      <c r="S44" s="541"/>
      <c r="T44" s="83">
        <f>Bilan_E_KP_AMS_2040!M$38</f>
        <v>0</v>
      </c>
      <c r="U44" s="83">
        <v>0</v>
      </c>
      <c r="V44" s="83">
        <f>Bilan_E_KP_AMS_2040!M$36</f>
        <v>0</v>
      </c>
      <c r="W44" s="83">
        <v>0</v>
      </c>
      <c r="X44" s="84">
        <f>Bilan_E_KP_AMS_2040!M$35</f>
        <v>0</v>
      </c>
      <c r="Y44" s="489">
        <f t="shared" si="6"/>
        <v>0</v>
      </c>
      <c r="Z44" s="489">
        <f t="shared" si="7"/>
        <v>0</v>
      </c>
    </row>
    <row r="45" spans="1:26">
      <c r="A45" s="679"/>
      <c r="B45" s="1" t="s">
        <v>41</v>
      </c>
      <c r="C45" s="33">
        <f>E53</f>
        <v>6.7321107560009157</v>
      </c>
      <c r="D45" s="541"/>
      <c r="E45" s="38"/>
      <c r="F45" s="541"/>
      <c r="G45" s="17">
        <f t="shared" si="1"/>
        <v>6.7321107560009157</v>
      </c>
      <c r="H45" s="541"/>
      <c r="I45" s="35"/>
      <c r="J45" s="37"/>
      <c r="K45" s="35"/>
      <c r="L45" s="35"/>
      <c r="M45" s="35"/>
      <c r="N45" s="35"/>
      <c r="O45" s="35"/>
      <c r="P45" s="35"/>
      <c r="Q45" s="36">
        <f>G45-Bilan_E_KP_AMS_2040!H41</f>
        <v>0</v>
      </c>
      <c r="R45" s="498"/>
      <c r="S45" s="541"/>
      <c r="T45" s="84">
        <v>0</v>
      </c>
      <c r="U45" s="83">
        <v>0</v>
      </c>
      <c r="V45" s="84">
        <v>0</v>
      </c>
      <c r="W45" s="92">
        <v>0</v>
      </c>
      <c r="X45" s="84">
        <v>0</v>
      </c>
      <c r="Y45" s="489">
        <f t="shared" si="6"/>
        <v>0</v>
      </c>
      <c r="Z45" s="489">
        <f>Q45-Y45</f>
        <v>0</v>
      </c>
    </row>
    <row r="46" spans="1:26">
      <c r="A46" s="679"/>
      <c r="B46" s="1" t="s">
        <v>42</v>
      </c>
      <c r="C46" s="33">
        <f>Bilan_E_KP_AMS_2040!D18-C18-C34</f>
        <v>12.402103294712147</v>
      </c>
      <c r="D46" s="541"/>
      <c r="E46" s="511"/>
      <c r="F46" s="541"/>
      <c r="G46" s="17">
        <f>C46-E46</f>
        <v>12.402103294712147</v>
      </c>
      <c r="H46" s="541"/>
      <c r="I46" s="38"/>
      <c r="J46" s="37"/>
      <c r="K46" s="35"/>
      <c r="L46" s="35"/>
      <c r="M46" s="35"/>
      <c r="N46" s="35"/>
      <c r="O46" s="35"/>
      <c r="P46" s="35"/>
      <c r="Q46" s="36">
        <f>G46-(Bilan_E_KP_AMS_2040!D41+Bilan_E_KP_AMS_2040!D29+Bilan_E_KP_AMS_2040!D30)</f>
        <v>2.7841882556496476</v>
      </c>
      <c r="R46" s="498"/>
      <c r="S46" s="541"/>
      <c r="T46" s="506">
        <f>Bilan_E_KP_AMS_2040!D38</f>
        <v>0</v>
      </c>
      <c r="U46" s="93">
        <f>Bilan_E_KP_AMS_2040!D34</f>
        <v>2.7841882556496467</v>
      </c>
      <c r="V46" s="506">
        <f>Bilan_E_KP_AMS_2040!D36</f>
        <v>0</v>
      </c>
      <c r="W46" s="507">
        <f>Bilan_E_KP_AMS_2040!D37</f>
        <v>0</v>
      </c>
      <c r="X46" s="506">
        <f>Bilan_E_KP_AMS_2040!D35</f>
        <v>0</v>
      </c>
      <c r="Y46" s="489">
        <f t="shared" si="6"/>
        <v>2.7841882556496467</v>
      </c>
      <c r="Z46" s="489">
        <f>Q46-Y46</f>
        <v>0</v>
      </c>
    </row>
    <row r="47" spans="1:26">
      <c r="A47" s="90"/>
      <c r="B47" s="1" t="s">
        <v>31</v>
      </c>
      <c r="C47" s="33">
        <f>E57</f>
        <v>25.023965550983899</v>
      </c>
      <c r="D47" s="192"/>
      <c r="E47" s="511"/>
      <c r="F47" s="192"/>
      <c r="G47" s="17">
        <f>C47-E47</f>
        <v>25.023965550983899</v>
      </c>
      <c r="H47" s="192"/>
      <c r="I47" s="38"/>
      <c r="J47" s="37"/>
      <c r="K47" s="35"/>
      <c r="L47" s="35"/>
      <c r="M47" s="35"/>
      <c r="N47" s="35"/>
      <c r="O47" s="35"/>
      <c r="P47" s="35"/>
      <c r="Q47" s="544">
        <f>G47-Bilan_E_KP_AMS_2040!T41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C5-L13-SUM(L21:L24)-L30-L41-Bilan_E_KP_AMS_2040!U18</f>
        <v>0</v>
      </c>
      <c r="D49" s="1"/>
      <c r="E49" s="34">
        <f>SUM(E7:E47)+I13-Bilan_E_KP_AMS_2040!U32+K13+SUM(K21:K24)+K30+Bilan_E_KP_AMS_2040!D29+Bilan_E_KP_AMS_2040!D30</f>
        <v>-1.1990408665951691E-14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406.70729820524622</v>
      </c>
    </row>
    <row r="52" spans="1:19">
      <c r="A52" s="21"/>
      <c r="B52" s="1" t="s">
        <v>44</v>
      </c>
      <c r="C52" s="44"/>
      <c r="D52" s="1"/>
      <c r="E52" s="39">
        <f>Bilan_E_KP_AMS_2040!D41+Bilan_E_KP_AMS_2040!D29+Bilan_E_KP_AMS_2040!D30</f>
        <v>9.617915039062499</v>
      </c>
      <c r="F52" s="187"/>
      <c r="G52" s="1"/>
      <c r="H52" s="1"/>
      <c r="I52" s="30"/>
      <c r="J52" s="17"/>
      <c r="K52" s="17"/>
      <c r="L52" s="21"/>
      <c r="M52" s="1"/>
      <c r="N52" s="17"/>
      <c r="O52" s="17"/>
      <c r="P52" s="17"/>
      <c r="Q52" s="1"/>
      <c r="S52" s="33"/>
    </row>
    <row r="53" spans="1:19">
      <c r="A53" s="21"/>
      <c r="B53" s="1" t="s">
        <v>41</v>
      </c>
      <c r="C53" s="45"/>
      <c r="D53" s="17"/>
      <c r="E53" s="433">
        <f>Bilan_E_KP_AMS_2040!H41+Bilan_E_KP_AMS_2040!H29</f>
        <v>6.7321107560009157</v>
      </c>
      <c r="F53" s="187"/>
      <c r="G53" s="1"/>
      <c r="H53" s="1"/>
      <c r="I53" s="30"/>
      <c r="J53" s="17"/>
      <c r="K53" s="17"/>
      <c r="L53" s="21"/>
      <c r="M53" s="1"/>
      <c r="N53" s="17"/>
      <c r="O53" s="17"/>
      <c r="P53" s="17"/>
      <c r="Q53" s="1"/>
    </row>
    <row r="54" spans="1:19">
      <c r="A54" s="21"/>
      <c r="B54" s="1" t="s">
        <v>39</v>
      </c>
      <c r="C54" s="45"/>
      <c r="D54" s="17"/>
      <c r="E54" s="435">
        <f>Bilan_E_KP_AMS_2040!F41</f>
        <v>63.453621141900157</v>
      </c>
      <c r="F54" s="187"/>
      <c r="G54" s="1"/>
      <c r="H54" s="1"/>
      <c r="I54" s="30"/>
      <c r="J54" s="17"/>
      <c r="K54" s="17"/>
      <c r="L54" s="21"/>
      <c r="M54" s="21"/>
      <c r="N54" s="17"/>
      <c r="O54" s="17"/>
      <c r="P54" s="17"/>
      <c r="Q54" s="1"/>
    </row>
    <row r="55" spans="1:19">
      <c r="B55" s="1" t="s">
        <v>21</v>
      </c>
      <c r="E55" s="633">
        <f>Bilan_E_KP_AMS_2040!O41+Bilan_E_KP_AMS_2040!O29</f>
        <v>2.7141517882424018</v>
      </c>
    </row>
    <row r="56" spans="1:19">
      <c r="B56" s="1" t="s">
        <v>37</v>
      </c>
      <c r="E56" s="633">
        <f>Bilan_E_KP_AMS_2040!N41+Bilan_E_KP_AMS_2040!N29+Bilan_E_KP_AMS_2040!G41</f>
        <v>21.978073187488125</v>
      </c>
    </row>
    <row r="57" spans="1:19">
      <c r="B57" s="1" t="s">
        <v>31</v>
      </c>
      <c r="E57" s="633">
        <f>Bilan_E_KP_AMS_2040!T41</f>
        <v>25.023965550983899</v>
      </c>
    </row>
    <row r="58" spans="1:19">
      <c r="B58" s="1" t="s">
        <v>338</v>
      </c>
      <c r="E58" s="633">
        <f>Bilan_E_KP_AMS_2040!L41</f>
        <v>0.4086523039836884</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F15B-27C0-48D9-A764-81606E9DD972}">
  <dimension ref="A1:Z59"/>
  <sheetViews>
    <sheetView topLeftCell="A31" zoomScale="70" zoomScaleNormal="70" workbookViewId="0">
      <selection activeCell="C13" sqref="C13"/>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1907.595589734432</v>
      </c>
      <c r="D5" s="18"/>
      <c r="E5" s="20"/>
      <c r="F5" s="494"/>
      <c r="G5" s="21"/>
      <c r="H5" s="493"/>
      <c r="I5" s="21"/>
      <c r="J5" s="22"/>
      <c r="K5" s="23"/>
      <c r="L5" s="14"/>
      <c r="M5" s="14"/>
      <c r="N5" s="15"/>
      <c r="O5" s="16"/>
      <c r="P5" s="16"/>
      <c r="Q5" s="24">
        <f>Q13+Q22+Q30+Q42+Q46+Q38+Q43</f>
        <v>958.82006470797978</v>
      </c>
      <c r="R5" s="487"/>
      <c r="S5" s="79">
        <f>SUM(S13,S22,S27:S32,S41)</f>
        <v>958.82006470797967</v>
      </c>
      <c r="T5" s="79">
        <f>SUM(T8:T46)</f>
        <v>38.13716937975687</v>
      </c>
      <c r="U5" s="79">
        <f>SUM(U8:U46)</f>
        <v>246.03850005676796</v>
      </c>
      <c r="V5" s="79">
        <f>SUM(V8:V46)</f>
        <v>348.95521530906376</v>
      </c>
      <c r="W5" s="173">
        <f>SUM(W8:W46)</f>
        <v>153.11385852396248</v>
      </c>
      <c r="X5" s="79">
        <f>SUM(X8:X46)</f>
        <v>172.57532143842849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(([7]Offre_calc!$U$106+[7]Offre_calc!$U$107+[7]Offre_calc!$U$144+[7]Offre_calc!$U$145)/([7]Offre_calc!$U$103+[7]Offre_calc!$U$141))*Bilan_E_KP_AMS_2045!K$21</f>
        <v>234.80282794093338</v>
      </c>
      <c r="D7" s="518"/>
      <c r="E7" s="28">
        <v>0</v>
      </c>
      <c r="F7" s="518"/>
      <c r="G7" s="17">
        <f>C7-E7</f>
        <v>234.80282794093338</v>
      </c>
      <c r="H7" s="518"/>
      <c r="I7" s="21"/>
      <c r="J7" s="518"/>
      <c r="K7" s="525"/>
      <c r="L7" s="525"/>
      <c r="M7" s="525"/>
      <c r="N7" s="525"/>
      <c r="O7" s="525"/>
      <c r="P7" s="513"/>
      <c r="Q7" s="528"/>
      <c r="R7" s="498"/>
      <c r="S7" s="528"/>
      <c r="T7" s="525"/>
      <c r="U7" s="525"/>
      <c r="V7" s="525"/>
      <c r="W7" s="525"/>
      <c r="X7" s="525"/>
    </row>
    <row r="8" spans="1:24">
      <c r="A8" s="695"/>
      <c r="B8" s="1" t="s">
        <v>18</v>
      </c>
      <c r="C8" s="486">
        <f>(([7]Offre_calc!$U$105+[7]Offre_calc!$U$143)/([7]Offre_calc!$U$103+[7]Offre_calc!$U$141))*Bilan_E_KP_AMS_2045!K$21</f>
        <v>67.346435613831446</v>
      </c>
      <c r="D8" s="81"/>
      <c r="E8" s="28">
        <v>0</v>
      </c>
      <c r="F8" s="81"/>
      <c r="G8" s="17">
        <f t="shared" ref="G8:G19" si="0">C8-E8</f>
        <v>67.346435613831446</v>
      </c>
      <c r="H8" s="81"/>
      <c r="I8" s="21"/>
      <c r="J8" s="81"/>
      <c r="K8" s="526"/>
      <c r="L8" s="526"/>
      <c r="M8" s="526"/>
      <c r="N8" s="526"/>
      <c r="O8" s="526"/>
      <c r="P8" s="29"/>
      <c r="Q8" s="529"/>
      <c r="R8" s="498"/>
      <c r="S8" s="529"/>
      <c r="T8" s="526"/>
      <c r="U8" s="526"/>
      <c r="V8" s="526"/>
      <c r="W8" s="526"/>
      <c r="X8" s="526"/>
    </row>
    <row r="9" spans="1:24">
      <c r="A9" s="695"/>
      <c r="B9" s="1" t="s">
        <v>19</v>
      </c>
      <c r="C9" s="486">
        <f>(([7]Offre_calc!$U$104+[7]Offre_calc!$U$142)/([7]Offre_calc!$U$103+[7]Offre_calc!$U$141))*Bilan_E_KP_AMS_2045!K$21</f>
        <v>131.07718780619996</v>
      </c>
      <c r="D9" s="81"/>
      <c r="E9" s="28">
        <v>0</v>
      </c>
      <c r="F9" s="81"/>
      <c r="G9" s="17">
        <f t="shared" si="0"/>
        <v>131.07718780619996</v>
      </c>
      <c r="H9" s="81"/>
      <c r="I9" s="21"/>
      <c r="J9" s="81"/>
      <c r="K9" s="526"/>
      <c r="L9" s="526"/>
      <c r="M9" s="526"/>
      <c r="N9" s="526"/>
      <c r="O9" s="526"/>
      <c r="P9" s="29"/>
      <c r="Q9" s="529"/>
      <c r="R9" s="498"/>
      <c r="S9" s="529"/>
      <c r="T9" s="526"/>
      <c r="U9" s="526"/>
      <c r="V9" s="526"/>
      <c r="W9" s="526"/>
      <c r="X9" s="526"/>
    </row>
    <row r="10" spans="1:24">
      <c r="A10" s="695"/>
      <c r="B10" s="1" t="s">
        <v>20</v>
      </c>
      <c r="C10" s="17">
        <f>Bilan_E_KP_AMS_2045!J21-(Bilan_E_KP_AMS_2045!R20+Bilan_E_KP_AMS_2045!R19)</f>
        <v>835.87348477446847</v>
      </c>
      <c r="D10" s="81"/>
      <c r="E10" s="28">
        <f>F13-SUM(E11:E19)</f>
        <v>565.47330247027003</v>
      </c>
      <c r="F10" s="81"/>
      <c r="G10" s="17">
        <f t="shared" si="0"/>
        <v>270.40018230419844</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Bilan_E_KP_AMS_2045!O21</f>
        <v>0.11419280490868838</v>
      </c>
      <c r="D11" s="81"/>
      <c r="E11" s="28">
        <f>C11*(1-[7]Offre_calc!$U$161)</f>
        <v>4.7104532024833959E-2</v>
      </c>
      <c r="F11" s="81"/>
      <c r="G11" s="17">
        <f t="shared" si="0"/>
        <v>6.7088272883854425E-2</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Bilan_E_KP_AMS_2045!M21</f>
        <v>5.3742483693021068</v>
      </c>
      <c r="D12" s="81"/>
      <c r="E12" s="28">
        <f>C12*(1-[7]Offre_calc!$U$171)</f>
        <v>3.358905230813817</v>
      </c>
      <c r="F12" s="81"/>
      <c r="G12" s="17">
        <f t="shared" si="0"/>
        <v>2.0153431384882898</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Bilan_E_KP_AMS_2045!L21</f>
        <v>14.188154051569427</v>
      </c>
      <c r="D13" s="81">
        <f>SUM(C7:C19)</f>
        <v>1312.8973119108757</v>
      </c>
      <c r="E13" s="28">
        <f>C13*(1-[7]Offre_calc!$U$170)</f>
        <v>8.8675962822308918</v>
      </c>
      <c r="F13" s="81">
        <f>Bilan_E_KP_AMS_2045!U21</f>
        <v>585.96102151313323</v>
      </c>
      <c r="G13" s="17">
        <f t="shared" si="0"/>
        <v>5.3205577693385351</v>
      </c>
      <c r="H13" s="81">
        <f>SUM(G7:G19)</f>
        <v>726.93629039774237</v>
      </c>
      <c r="I13" s="33">
        <f>Bilan_E_KP_AMS_2045!R30</f>
        <v>20.439487728936754</v>
      </c>
      <c r="J13" s="81">
        <f>H13-I13</f>
        <v>706.49680266880557</v>
      </c>
      <c r="K13" s="29">
        <f>Bilan_E_KP_AMS_2045!R31</f>
        <v>52.564064229351587</v>
      </c>
      <c r="L13" s="29">
        <f>-(Bilan_E_KP_AMS_2045!R14+Bilan_E_KP_AMS_2045!R13)</f>
        <v>40.00031821738844</v>
      </c>
      <c r="M13" s="29">
        <f>Bilan_E_KP_AMS_2045!R28</f>
        <v>137.29765828865015</v>
      </c>
      <c r="N13" s="29"/>
      <c r="O13" s="29"/>
      <c r="P13" s="29"/>
      <c r="Q13" s="81">
        <f>J13-K13-L13-M13-N13-O13-P13</f>
        <v>476.63476193341535</v>
      </c>
      <c r="R13" s="508">
        <f>Q13-S13</f>
        <v>0</v>
      </c>
      <c r="S13" s="81">
        <f>SUM(T8:X19)</f>
        <v>476.63476193341523</v>
      </c>
      <c r="T13" s="29">
        <f>Bilan_E_KP_AMS_2045!R38</f>
        <v>7.8035752238100597</v>
      </c>
      <c r="U13" s="29">
        <f>Bilan_E_KP_AMS_2045!R34+Bilan_E_KP_AMS_2045!R39</f>
        <v>138.02181886663794</v>
      </c>
      <c r="V13" s="29">
        <f>Bilan_E_KP_AMS_2045!R36</f>
        <v>139.69858105781077</v>
      </c>
      <c r="W13" s="29">
        <f>Bilan_E_KP_AMS_2045!R37</f>
        <v>86.91432505661372</v>
      </c>
      <c r="X13" s="29">
        <f>Bilan_E_KP_AMS_2045!R35</f>
        <v>104.19646172854269</v>
      </c>
    </row>
    <row r="14" spans="1:24">
      <c r="A14" s="695"/>
      <c r="B14" s="1" t="s">
        <v>24</v>
      </c>
      <c r="C14" s="17">
        <f>Bilan_E_KP_AMS_2045!Q21</f>
        <v>6.4766550958451852</v>
      </c>
      <c r="D14" s="81"/>
      <c r="E14" s="28">
        <v>0</v>
      </c>
      <c r="F14" s="81"/>
      <c r="G14" s="17">
        <f t="shared" si="0"/>
        <v>6.4766550958451852</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Bilan_E_KP_AMS_2045!N21</f>
        <v>6.3451610040287907</v>
      </c>
      <c r="D16" s="81"/>
      <c r="E16" s="28">
        <f>C16*(1-[7]Offre_calc!$U$158)</f>
        <v>3.5532901622561233</v>
      </c>
      <c r="F16" s="81"/>
      <c r="G16" s="17">
        <f t="shared" si="0"/>
        <v>2.7918708417726674</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Bilan_E_KP_AMS_2045!F21</f>
        <v>0</v>
      </c>
      <c r="D17" s="81"/>
      <c r="E17" s="28">
        <f>C17*(1-[7]Offre_calc!$U$158)</f>
        <v>0</v>
      </c>
      <c r="F17" s="81"/>
      <c r="G17" s="17">
        <f t="shared" si="0"/>
        <v>0</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Bilan_E_KP_AMS_2045!D21</f>
        <v>0</v>
      </c>
      <c r="D18" s="81"/>
      <c r="E18" s="28">
        <f>C18*(1-[7]Offre_calc!$U$157)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Bilan_E_KP_AMS_2045!H21+Bilan_E_KP_AMS_2045!T21</f>
        <v>11.298964449788109</v>
      </c>
      <c r="D19" s="82"/>
      <c r="E19" s="28">
        <f>C19*(1-[7]Offre_calc!$U$160)</f>
        <v>4.6608228355375942</v>
      </c>
      <c r="F19" s="82"/>
      <c r="G19" s="17">
        <f t="shared" si="0"/>
        <v>6.6381416142505145</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0.3234941498080377</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Bilan_E_KP_AMS_2045!L23+Bilan_E_KP_AMS_2045!O12</f>
        <v>85.201461498203557</v>
      </c>
      <c r="D21" s="531"/>
      <c r="E21" s="33">
        <f>Bilan_E_KP_AMS_2045!U23+Bilan_E_KP_AMS_2045!O30</f>
        <v>7.8627323262481461</v>
      </c>
      <c r="F21" s="531"/>
      <c r="G21" s="17">
        <f t="shared" ref="G21:G45" si="1">C21-E21</f>
        <v>77.338729171955407</v>
      </c>
      <c r="H21" s="531"/>
      <c r="I21" s="17"/>
      <c r="J21" s="531"/>
      <c r="K21" s="547">
        <f>Bilan_E_KP_AMS_2045!O31</f>
        <v>0.89340915852369218</v>
      </c>
      <c r="L21" s="547">
        <f>-(Bilan_E_KP_AMS_2045!O13+Bilan_E_KP_AMS_2045!O14+Bilan_E_KP_AMS_2045!O15+Bilan_E_KP_AMS_2045!O16)</f>
        <v>3.3152894290666399</v>
      </c>
      <c r="M21" s="547">
        <f>Bilan_E_KP_AMS_2045!O28</f>
        <v>0</v>
      </c>
      <c r="N21" s="547">
        <f>Bilan_E_KP_AMS_2045!O22</f>
        <v>7.6477038720835147</v>
      </c>
      <c r="O21" s="547">
        <f>Bilan_E_KP_AMS_2045!O21</f>
        <v>0.11419280490868838</v>
      </c>
      <c r="P21" s="547">
        <f>C36</f>
        <v>3.7147337189182332</v>
      </c>
      <c r="Q21" s="531"/>
      <c r="R21" s="508"/>
      <c r="S21" s="531"/>
      <c r="T21" s="531"/>
      <c r="U21" s="531"/>
      <c r="V21" s="531"/>
      <c r="W21" s="531"/>
      <c r="X21" s="531"/>
    </row>
    <row r="22" spans="1:24">
      <c r="A22" s="696"/>
      <c r="B22" s="1" t="s">
        <v>524</v>
      </c>
      <c r="C22" s="17">
        <f>Bilan_E_KP_AMS_2045!T24</f>
        <v>1.5966000387788533</v>
      </c>
      <c r="D22" s="85">
        <f>SUM(C21:C24)</f>
        <v>238.947769661526</v>
      </c>
      <c r="E22" s="632">
        <f>Bilan_E_KP_AMS_2045!I30+Bilan_E_KP_AMS_2045!U24</f>
        <v>0.49958756262863263</v>
      </c>
      <c r="F22" s="85">
        <f>SUM(E21:E24)</f>
        <v>51.146154345759292</v>
      </c>
      <c r="G22" s="17">
        <f t="shared" si="1"/>
        <v>1.0970124761502207</v>
      </c>
      <c r="H22" s="85">
        <f>SUM(G21:G24)</f>
        <v>187.80161531576672</v>
      </c>
      <c r="I22" s="408"/>
      <c r="J22" s="85">
        <f>H22-I22</f>
        <v>187.80161531576672</v>
      </c>
      <c r="K22" s="628">
        <f>Bilan_E_KP_AMS_2045!I31</f>
        <v>1.4890152642061536E-2</v>
      </c>
      <c r="L22" s="628">
        <f>-SUM(Bilan_E_KP_AMS_2045!I13:I16)</f>
        <v>5.5254823817777333E-2</v>
      </c>
      <c r="M22" s="32"/>
      <c r="N22" s="32"/>
      <c r="O22" s="32"/>
      <c r="P22" s="32"/>
      <c r="Q22" s="85">
        <f>J22-SUM(K21:P24)</f>
        <v>114.27035324807639</v>
      </c>
      <c r="R22" s="508">
        <f>Q22-S22</f>
        <v>-3.4682726220580662E-4</v>
      </c>
      <c r="S22" s="85">
        <f>SUM(T22:X24)</f>
        <v>114.2707000753386</v>
      </c>
      <c r="T22" s="32">
        <f>Bilan_E_KP_AMS_2045!H38+Bilan_E_KP_AMS_2045!T38+Bilan_E_KP_AMS_2045!O$38+Bilan_E_KP_AMS_2045!I38</f>
        <v>2.0973058121269341</v>
      </c>
      <c r="U22" s="32">
        <f>Bilan_E_KP_AMS_2045!H34+Bilan_E_KP_AMS_2045!T34+Bilan_E_KP_AMS_2045!O$34+Bilan_E_KP_AMS_2045!I34</f>
        <v>51.626451827515524</v>
      </c>
      <c r="V22" s="32">
        <f>Bilan_E_KP_AMS_2045!H36+Bilan_E_KP_AMS_2045!T36+Bilan_E_KP_AMS_2045!O$36+Bilan_E_KP_AMS_2045!I36</f>
        <v>32.563947038858615</v>
      </c>
      <c r="W22" s="32">
        <f>Bilan_E_KP_AMS_2045!H37+Bilan_E_KP_AMS_2045!M37+Bilan_E_KP_AMS_2045!T37+Bilan_E_KP_AMS_2045!O$37+Bilan_E_KP_AMS_2045!I37</f>
        <v>17.698380103029951</v>
      </c>
      <c r="X22" s="32">
        <f>Bilan_E_KP_AMS_2045!H35+Bilan_E_KP_AMS_2045!T35+Bilan_E_KP_AMS_2045!O$35+Bilan_E_KP_AMS_2045!I35</f>
        <v>10.284615293807569</v>
      </c>
    </row>
    <row r="23" spans="1:24">
      <c r="A23" s="696"/>
      <c r="B23" s="1" t="s">
        <v>31</v>
      </c>
      <c r="C23" s="17">
        <f>SUM(Bilan_E_KP_AMS_2045!D28:S28)-C47</f>
        <v>106.31226752612866</v>
      </c>
      <c r="D23" s="532"/>
      <c r="E23" s="33">
        <f>Bilan_E_KP_AMS_2045!U28</f>
        <v>40.846053340873411</v>
      </c>
      <c r="F23" s="534"/>
      <c r="G23" s="17">
        <f t="shared" si="1"/>
        <v>65.466214185255254</v>
      </c>
      <c r="H23" s="534"/>
      <c r="I23" s="17"/>
      <c r="J23" s="534"/>
      <c r="K23" s="536">
        <f>Bilan_E_KP_AMS_2045!T31</f>
        <v>0</v>
      </c>
      <c r="L23" s="536">
        <f>-(Bilan_E_KP_AMS_2045!T13+Bilan_E_KP_AMS_2045!T14+Bilan_E_KP_AMS_2045!T15+Bilan_E_KP_AMS_2045!T16)</f>
        <v>1.3953345659196588</v>
      </c>
      <c r="M23" s="536">
        <f>Bilan_E_KP_AMS_2045!T24</f>
        <v>1.5966000387788533</v>
      </c>
      <c r="N23" s="536">
        <f>Bilan_E_KP_AMS_2045!T22</f>
        <v>0</v>
      </c>
      <c r="O23" s="536">
        <f>Bilan_E_KP_AMS_2045!T21</f>
        <v>11.298964449788109</v>
      </c>
      <c r="P23" s="536">
        <f>Bilan_E_KP_AMS_2045!T27</f>
        <v>39.633062058762192</v>
      </c>
      <c r="Q23" s="534"/>
      <c r="R23" s="489"/>
      <c r="S23" s="534"/>
      <c r="T23" s="538"/>
      <c r="U23" s="538"/>
      <c r="V23" s="538"/>
      <c r="W23" s="538"/>
      <c r="X23" s="538"/>
    </row>
    <row r="24" spans="1:24">
      <c r="A24" s="696"/>
      <c r="B24" s="1" t="s">
        <v>32</v>
      </c>
      <c r="C24" s="17">
        <f>Bilan_E_KP_AMS_2045!H18-C45-(Bilan_E_KP_AMS_2045!H20+Bilan_E_KP_AMS_2045!H19)</f>
        <v>45.837440598414929</v>
      </c>
      <c r="D24" s="533"/>
      <c r="E24" s="33">
        <f>Bilan_E_KP_AMS_2045!H30</f>
        <v>1.9377811160090992</v>
      </c>
      <c r="F24" s="535"/>
      <c r="G24" s="17">
        <f t="shared" si="1"/>
        <v>43.899659482405831</v>
      </c>
      <c r="H24" s="535"/>
      <c r="I24" s="34"/>
      <c r="J24" s="535"/>
      <c r="K24" s="537">
        <f>Bilan_E_KP_AMS_2045!H31</f>
        <v>0.58071595304039991</v>
      </c>
      <c r="L24" s="537"/>
      <c r="M24" s="537">
        <f>Bilan_E_KP_AMS_2045!H28</f>
        <v>0</v>
      </c>
      <c r="N24" s="537">
        <f>Bilan_E_KP_AMS_2045!H22</f>
        <v>3.2711110414405256</v>
      </c>
      <c r="O24" s="537">
        <f>Bilan_E_KP_AMS_2045!H21</f>
        <v>0</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Bilan_E_KP_AMS_2045!O22</f>
        <v>7.6477038720835147</v>
      </c>
      <c r="D26" s="512"/>
      <c r="E26" s="190">
        <f>C26*F$35</f>
        <v>0.42868468676855254</v>
      </c>
      <c r="F26" s="512"/>
      <c r="G26" s="33">
        <f t="shared" ref="G26:G31" si="2">C26-E26</f>
        <v>7.2190191853149619</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Bilan_E_KP_AMS_2045!M18-Bilan_E_KP_AMS_2045!M21-(Bilan_E_KP_AMS_2045!S20+Bilan_E_KP_AMS_2045!S19+Bilan_E_KP_AMS_2045!M20+Bilan_E_KP_AMS_2045!M19)</f>
        <v>16.704419498639645</v>
      </c>
      <c r="D27" s="87"/>
      <c r="E27" s="190">
        <f t="shared" ref="E27:E34" si="3">C27*F$35</f>
        <v>0.93635017257460029</v>
      </c>
      <c r="F27" s="87"/>
      <c r="G27" s="33">
        <f t="shared" si="2"/>
        <v>15.768069326065044</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Bilan_E_KP_AMS_2045!L22</f>
        <v>34.963821149394811</v>
      </c>
      <c r="D29" s="87"/>
      <c r="E29" s="190">
        <f t="shared" si="3"/>
        <v>1.9598633744662244</v>
      </c>
      <c r="F29" s="87"/>
      <c r="G29" s="33">
        <f t="shared" si="2"/>
        <v>33.003957774928587</v>
      </c>
      <c r="H29" s="87"/>
      <c r="I29" s="1"/>
      <c r="J29" s="87"/>
      <c r="K29" s="87"/>
      <c r="L29" s="87"/>
      <c r="M29" s="87"/>
      <c r="N29" s="87"/>
      <c r="O29" s="87"/>
      <c r="P29" s="87"/>
      <c r="Q29" s="87"/>
      <c r="R29" s="508"/>
      <c r="S29" s="87"/>
      <c r="T29" s="87"/>
      <c r="U29" s="87"/>
      <c r="V29" s="87"/>
      <c r="W29" s="87"/>
      <c r="X29" s="87"/>
    </row>
    <row r="30" spans="1:24">
      <c r="A30" s="697"/>
      <c r="B30" s="1" t="s">
        <v>24</v>
      </c>
      <c r="C30" s="17">
        <f>Bilan_E_KP_AMS_2045!Q22</f>
        <v>11.276034288959668</v>
      </c>
      <c r="D30" s="86">
        <f>SUM(C26:C34)</f>
        <v>73.863089850518151</v>
      </c>
      <c r="E30" s="190">
        <f t="shared" si="3"/>
        <v>0.63206725940307773</v>
      </c>
      <c r="F30" s="86">
        <f>Bilan_E_KP_AMS_2045!U22</f>
        <v>4.1403244772473649</v>
      </c>
      <c r="G30" s="33">
        <f t="shared" si="2"/>
        <v>10.64396702955659</v>
      </c>
      <c r="H30" s="86">
        <f>SUM(G26:G34)</f>
        <v>69.722765373270789</v>
      </c>
      <c r="I30" s="1"/>
      <c r="J30" s="86">
        <f>H30</f>
        <v>69.722765373270789</v>
      </c>
      <c r="K30" s="87">
        <f>Bilan_E_KP_AMS_2045!S31</f>
        <v>5.2350040213197584</v>
      </c>
      <c r="L30" s="87"/>
      <c r="M30" s="87">
        <f>Bilan_E_KP_AMS_2045!M28</f>
        <v>0</v>
      </c>
      <c r="N30" s="87"/>
      <c r="O30" s="87"/>
      <c r="P30" s="87"/>
      <c r="Q30" s="86">
        <f>J30-K30-L30-M30-N30-O30-P30</f>
        <v>64.487761351951036</v>
      </c>
      <c r="R30" s="508">
        <f>Q30-S30</f>
        <v>3.4682726223422833E-4</v>
      </c>
      <c r="S30" s="86">
        <f>SUM(T27:X34)</f>
        <v>64.487414524688802</v>
      </c>
      <c r="T30" s="87">
        <f>Bilan_E_KP_AMS_2045!S$38</f>
        <v>0</v>
      </c>
      <c r="U30" s="87">
        <f>Bilan_E_KP_AMS_2045!S$34+Bilan_E_KP_AMS_2045!M34</f>
        <v>20.664059985995607</v>
      </c>
      <c r="V30" s="87">
        <f>Bilan_E_KP_AMS_2045!S$36</f>
        <v>24.846536847991327</v>
      </c>
      <c r="W30" s="87">
        <f>Bilan_E_KP_AMS_2045!S$37</f>
        <v>18.976817690701857</v>
      </c>
      <c r="X30" s="87">
        <f>Bilan_E_KP_AMS_2045!S$35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Bilan_E_KP_AMS_2045!H22</f>
        <v>3.2711110414405256</v>
      </c>
      <c r="D32" s="86"/>
      <c r="E32" s="190">
        <f t="shared" si="3"/>
        <v>0.18335898403491063</v>
      </c>
      <c r="F32" s="86"/>
      <c r="G32" s="33">
        <f>C32-E32</f>
        <v>3.087752057405615</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Bilan_E_KP_AMS_2045!F22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Bilan_E_KP_AMS_2045!D22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5.6054038432814361E-2</v>
      </c>
      <c r="G35" s="17"/>
      <c r="H35" s="501"/>
      <c r="I35" s="1"/>
      <c r="J35" s="1"/>
      <c r="K35" s="1"/>
      <c r="L35" s="1"/>
      <c r="M35" s="1"/>
      <c r="N35" s="1"/>
      <c r="O35" s="1"/>
      <c r="P35" s="1"/>
      <c r="Q35" s="502"/>
      <c r="R35" s="508"/>
      <c r="U35" s="33"/>
      <c r="V35" s="33"/>
      <c r="W35" s="33"/>
    </row>
    <row r="36" spans="1:26">
      <c r="A36" s="679" t="s">
        <v>34</v>
      </c>
      <c r="B36" s="1" t="s">
        <v>21</v>
      </c>
      <c r="C36" s="33">
        <f>E55</f>
        <v>3.7147337189182332</v>
      </c>
      <c r="D36" s="540"/>
      <c r="E36" s="17"/>
      <c r="F36" s="540"/>
      <c r="G36" s="17">
        <f t="shared" ref="G36:G42" si="5">C36-E36</f>
        <v>3.7147337189182332</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3.7147337189182332</v>
      </c>
    </row>
    <row r="37" spans="1:26">
      <c r="A37" s="679"/>
      <c r="B37" s="1" t="s">
        <v>23</v>
      </c>
      <c r="C37" s="33">
        <f>SUM(T37:X37)+E58</f>
        <v>55.18887790788726</v>
      </c>
      <c r="D37" s="541"/>
      <c r="E37" s="504"/>
      <c r="F37" s="541"/>
      <c r="G37" s="17">
        <f t="shared" si="5"/>
        <v>55.18887790788726</v>
      </c>
      <c r="H37" s="541"/>
      <c r="I37" s="498"/>
      <c r="J37" s="37"/>
      <c r="K37" s="35"/>
      <c r="L37" s="35"/>
      <c r="M37" s="505"/>
      <c r="N37" s="35"/>
      <c r="P37" s="35"/>
      <c r="Q37" s="543"/>
      <c r="R37" s="508"/>
      <c r="S37" s="541"/>
      <c r="T37" s="506">
        <f>Bilan_E_KP_AMS_2045!L38</f>
        <v>3.9742935582164471</v>
      </c>
      <c r="U37" s="93">
        <f>Bilan_E_KP_AMS_2045!L34</f>
        <v>19.327819378703428</v>
      </c>
      <c r="V37" s="506">
        <f>Bilan_E_KP_AMS_2045!L36</f>
        <v>30.989297403436193</v>
      </c>
      <c r="W37" s="507">
        <f>Bilan_E_KP_AMS_2045!L37</f>
        <v>0.37326901233115406</v>
      </c>
      <c r="X37" s="506">
        <f>Bilan_E_KP_AMS_2045!L35</f>
        <v>0</v>
      </c>
      <c r="Y37" s="489">
        <f t="shared" ref="Y37:Y47" si="6">SUM(T37:X37)</f>
        <v>54.664679352687223</v>
      </c>
      <c r="Z37" s="489">
        <f t="shared" ref="Z37:Z44" si="7">G37-Y37</f>
        <v>0.52419855520003722</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291.28695204497978</v>
      </c>
      <c r="R38" s="508"/>
      <c r="S38" s="541"/>
      <c r="T38" s="84">
        <v>0</v>
      </c>
      <c r="U38" s="83">
        <v>0</v>
      </c>
      <c r="V38" s="84">
        <v>0</v>
      </c>
      <c r="W38" s="91">
        <v>0</v>
      </c>
      <c r="X38" s="91">
        <v>0</v>
      </c>
      <c r="Y38" s="489">
        <f t="shared" si="6"/>
        <v>0</v>
      </c>
      <c r="Z38" s="489">
        <f t="shared" si="7"/>
        <v>0</v>
      </c>
    </row>
    <row r="39" spans="1:26">
      <c r="A39" s="679"/>
      <c r="B39" s="1" t="s">
        <v>35</v>
      </c>
      <c r="C39" s="33">
        <f>SUM(T39:X39)</f>
        <v>5.7345256264080104</v>
      </c>
      <c r="D39" s="541"/>
      <c r="E39" s="35"/>
      <c r="F39" s="541"/>
      <c r="G39" s="17">
        <f t="shared" si="5"/>
        <v>5.7345256264080104</v>
      </c>
      <c r="H39" s="541"/>
      <c r="I39" s="35"/>
      <c r="J39" s="37"/>
      <c r="K39" s="35"/>
      <c r="L39" s="35"/>
      <c r="M39" s="37"/>
      <c r="N39" s="35"/>
      <c r="O39" s="35"/>
      <c r="P39" s="35"/>
      <c r="Q39" s="543"/>
      <c r="R39" s="508"/>
      <c r="S39" s="541"/>
      <c r="T39" s="84">
        <f>Bilan_E_KP_AMS_2045!Q38</f>
        <v>1.7440136932478227</v>
      </c>
      <c r="U39" s="83">
        <f>Bilan_E_KP_AMS_2045!Q34</f>
        <v>8.4299170840015686E-4</v>
      </c>
      <c r="V39" s="84">
        <f>Bilan_E_KP_AMS_2045!Q36</f>
        <v>2.9888036499995505</v>
      </c>
      <c r="W39" s="91">
        <f>Bilan_E_KP_AMS_2045!Q37</f>
        <v>1.0008652914522365</v>
      </c>
      <c r="X39" s="91">
        <f>Bilan_E_KP_AMS_2045!Q35</f>
        <v>0</v>
      </c>
      <c r="Y39" s="489">
        <f t="shared" si="6"/>
        <v>5.7345256264080104</v>
      </c>
      <c r="Z39" s="489">
        <f t="shared" si="7"/>
        <v>0</v>
      </c>
    </row>
    <row r="40" spans="1:26">
      <c r="A40" s="679"/>
      <c r="B40" s="1" t="s">
        <v>36</v>
      </c>
      <c r="C40" s="33">
        <f>Bilan_E_KP_AMS_2045!P12</f>
        <v>155.82057805919561</v>
      </c>
      <c r="D40" s="541"/>
      <c r="E40" s="35"/>
      <c r="F40" s="541"/>
      <c r="G40" s="17">
        <f t="shared" si="5"/>
        <v>155.82057805919561</v>
      </c>
      <c r="H40" s="541"/>
      <c r="I40" s="35"/>
      <c r="J40" s="37"/>
      <c r="K40" s="35"/>
      <c r="L40" s="35"/>
      <c r="M40" s="37"/>
      <c r="N40" s="35"/>
      <c r="O40" s="35"/>
      <c r="P40" s="35"/>
      <c r="Q40" s="543"/>
      <c r="R40" s="508"/>
      <c r="S40" s="541"/>
      <c r="T40" s="83">
        <f>Bilan_E_KP_AMS_2045!P$38</f>
        <v>1.25</v>
      </c>
      <c r="U40" s="83">
        <f>Bilan_E_KP_AMS_2045!P$34</f>
        <v>9.6085478515625002</v>
      </c>
      <c r="V40" s="83">
        <f>Bilan_E_KP_AMS_2045!P$36</f>
        <v>117.54725011788614</v>
      </c>
      <c r="W40" s="83">
        <f>Bilan_E_KP_AMS_2045!P$37</f>
        <v>27.414780089746973</v>
      </c>
      <c r="X40" s="84">
        <f>Bilan_E_KP_AMS_2045!P$35</f>
        <v>0</v>
      </c>
      <c r="Y40" s="489">
        <f t="shared" si="6"/>
        <v>155.82057805919561</v>
      </c>
      <c r="Z40" s="489">
        <f t="shared" si="7"/>
        <v>0</v>
      </c>
    </row>
    <row r="41" spans="1:26">
      <c r="A41" s="679"/>
      <c r="B41" s="1" t="s">
        <v>37</v>
      </c>
      <c r="C41" s="33">
        <f>Bilan_E_KP_AMS_2045!N12+Bilan_E_KP_AMS_2045!L26-Bilan_E_KP_AMS_2045!N21+Bilan_E_KP_AMS_2045!T27</f>
        <v>139.292037015434</v>
      </c>
      <c r="D41" s="191">
        <f>SUM(C36:C47)</f>
        <v>486.46144458484213</v>
      </c>
      <c r="E41" s="511">
        <f>Bilan_E_KP_AMS_2045!U27</f>
        <v>11.176523500570941</v>
      </c>
      <c r="F41" s="191">
        <f>SUM(E36:E47)</f>
        <v>32.379084300323257</v>
      </c>
      <c r="G41" s="17">
        <f t="shared" si="5"/>
        <v>128.11551351486307</v>
      </c>
      <c r="H41" s="191">
        <f>SUM(G36:G47)</f>
        <v>454.08236028451887</v>
      </c>
      <c r="I41" s="35"/>
      <c r="J41" s="37"/>
      <c r="K41" s="35"/>
      <c r="L41" s="37">
        <f>-(SUM(Bilan_E_KP_AMS_2045!N13:N16)+SUM(Bilan_E_KP_AMS_2045!G13:G16))</f>
        <v>26.316150382031346</v>
      </c>
      <c r="M41" s="35"/>
      <c r="N41" s="35"/>
      <c r="O41" s="35"/>
      <c r="P41" s="35"/>
      <c r="Q41" s="543"/>
      <c r="R41" s="508">
        <f>SUM(Q36:Q47)-S41</f>
        <v>0</v>
      </c>
      <c r="S41" s="191">
        <f>SUM(T36:X46)</f>
        <v>303.42718817453704</v>
      </c>
      <c r="T41" s="83">
        <f>Bilan_E_KP_AMS_2045!N$38+Bilan_E_KP_AMS_2045!G$38</f>
        <v>19.501926779757628</v>
      </c>
      <c r="U41" s="83">
        <f>Bilan_E_KP_AMS_2045!N$34+Bilan_E_KP_AMS_2045!G$34</f>
        <v>2.6644658203125</v>
      </c>
      <c r="V41" s="83">
        <f>Bilan_E_KP_AMS_2045!N$36+Bilan_E_KP_AMS_2045!G$36</f>
        <v>0</v>
      </c>
      <c r="W41" s="83">
        <f>Bilan_E_KP_AMS_2045!N$37+Bilan_E_KP_AMS_2045!G$37</f>
        <v>0</v>
      </c>
      <c r="X41" s="84">
        <f>Bilan_E_KP_AMS_2045!N$35+Bilan_E_KP_AMS_2045!G$35</f>
        <v>52.900776406618853</v>
      </c>
      <c r="Y41" s="489">
        <f t="shared" si="6"/>
        <v>75.067169006688985</v>
      </c>
      <c r="Z41" s="489">
        <f>G41-Y41-L41</f>
        <v>26.732194126142737</v>
      </c>
    </row>
    <row r="42" spans="1:26">
      <c r="A42" s="679"/>
      <c r="B42" s="1" t="s">
        <v>38</v>
      </c>
      <c r="C42" s="33">
        <f>Bilan_E_KP_AMS_2045!E18+Bilan_E_KP_AMS_2045!F18-Bilan_E_KP_AMS_2045!F21-Bilan_E_KP_AMS_2045!F22-E54-SUM(T43:X43)-(Bilan_E_KP_AMS_2045!E20+Bilan_E_KP_AMS_2045!F20+Bilan_E_KP_AMS_2045!E19+Bilan_E_KP_AMS_2045!F19)</f>
        <v>26.3960288092117</v>
      </c>
      <c r="D42" s="541"/>
      <c r="E42" s="17">
        <f>Bilan_E_KP_AMS_2045!F30+Bilan_E_KP_AMS_2045!U25+Bilan_E_KP_AMS_2045!F29+Bilan_E_KP_AMS_2045!E29</f>
        <v>21.202560799752316</v>
      </c>
      <c r="F42" s="541"/>
      <c r="G42" s="17">
        <f t="shared" si="5"/>
        <v>5.1934680094593837</v>
      </c>
      <c r="H42" s="541"/>
      <c r="I42" s="498"/>
      <c r="J42" s="37"/>
      <c r="K42" s="35"/>
      <c r="L42" s="35"/>
      <c r="M42" s="35"/>
      <c r="N42" s="35"/>
      <c r="O42" s="35"/>
      <c r="P42" s="35"/>
      <c r="Q42" s="36">
        <f>G42</f>
        <v>5.1934680094593837</v>
      </c>
      <c r="R42" s="508"/>
      <c r="S42" s="541"/>
      <c r="T42" s="83">
        <v>0</v>
      </c>
      <c r="U42" s="83">
        <v>0</v>
      </c>
      <c r="V42" s="83">
        <v>0</v>
      </c>
      <c r="W42" s="83">
        <v>0</v>
      </c>
      <c r="X42" s="84">
        <f>Bilan_E_KP_AMS_2045!F35</f>
        <v>5.1934680094593588</v>
      </c>
      <c r="Y42" s="489">
        <f t="shared" si="6"/>
        <v>5.1934680094593588</v>
      </c>
      <c r="Z42" s="489">
        <f>Q42-SUM(T42:X42)</f>
        <v>2.4868995751603507E-14</v>
      </c>
    </row>
    <row r="43" spans="1:26">
      <c r="A43" s="679"/>
      <c r="B43" s="1" t="s">
        <v>39</v>
      </c>
      <c r="C43" s="33">
        <f>Bilan_E_KP_AMS_2045!F41+SUM(T43:X43)</f>
        <v>55.440383489226718</v>
      </c>
      <c r="D43" s="541"/>
      <c r="E43" s="38"/>
      <c r="F43" s="541"/>
      <c r="G43" s="17">
        <f>C43-E43</f>
        <v>55.440383489226718</v>
      </c>
      <c r="H43" s="541"/>
      <c r="I43" s="35"/>
      <c r="J43" s="37"/>
      <c r="K43" s="35"/>
      <c r="L43" s="35"/>
      <c r="M43" s="35"/>
      <c r="N43" s="35"/>
      <c r="O43" s="35"/>
      <c r="P43" s="35"/>
      <c r="Q43" s="36">
        <f>G43-Bilan_E_KP_AMS_2045!F41</f>
        <v>4.7952050870156384</v>
      </c>
      <c r="R43" s="508"/>
      <c r="S43" s="541"/>
      <c r="T43" s="83">
        <f>Bilan_E_KP_AMS_2045!F38</f>
        <v>1.7660543125979742</v>
      </c>
      <c r="U43" s="83">
        <f>Bilan_E_KP_AMS_2045!F34</f>
        <v>1.9729303012498745</v>
      </c>
      <c r="V43" s="83">
        <f>Bilan_E_KP_AMS_2045!F36</f>
        <v>0.32079919308121357</v>
      </c>
      <c r="W43" s="83">
        <f>Bilan_E_KP_AMS_2045!F37</f>
        <v>0.73542128008657859</v>
      </c>
      <c r="X43" s="84">
        <v>0</v>
      </c>
      <c r="Y43" s="489">
        <f t="shared" si="6"/>
        <v>4.7952050870156402</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G44-Bilan_E_KP_AMS_2045!M41</f>
        <v>0</v>
      </c>
      <c r="R44" s="498"/>
      <c r="S44" s="541"/>
      <c r="T44" s="83">
        <f>Bilan_E_KP_AMS_2045!M$38</f>
        <v>0</v>
      </c>
      <c r="U44" s="83">
        <v>0</v>
      </c>
      <c r="V44" s="83">
        <f>Bilan_E_KP_AMS_2045!M$36</f>
        <v>0</v>
      </c>
      <c r="W44" s="83">
        <v>0</v>
      </c>
      <c r="X44" s="84">
        <f>Bilan_E_KP_AMS_2045!M$35</f>
        <v>0</v>
      </c>
      <c r="Y44" s="489">
        <f t="shared" si="6"/>
        <v>0</v>
      </c>
      <c r="Z44" s="489">
        <f t="shared" si="7"/>
        <v>0</v>
      </c>
    </row>
    <row r="45" spans="1:26">
      <c r="A45" s="679"/>
      <c r="B45" s="1" t="s">
        <v>41</v>
      </c>
      <c r="C45" s="33">
        <f>E53</f>
        <v>4.7799931551444459</v>
      </c>
      <c r="D45" s="541"/>
      <c r="E45" s="38"/>
      <c r="F45" s="541"/>
      <c r="G45" s="17">
        <f t="shared" si="1"/>
        <v>4.7799931551444459</v>
      </c>
      <c r="H45" s="541"/>
      <c r="I45" s="35"/>
      <c r="J45" s="37"/>
      <c r="K45" s="35"/>
      <c r="L45" s="35"/>
      <c r="M45" s="35"/>
      <c r="N45" s="35"/>
      <c r="O45" s="35"/>
      <c r="P45" s="35"/>
      <c r="Q45" s="36">
        <f>G45-Bilan_E_KP_AMS_2045!H41</f>
        <v>0</v>
      </c>
      <c r="R45" s="498"/>
      <c r="S45" s="541"/>
      <c r="T45" s="84">
        <v>0</v>
      </c>
      <c r="U45" s="83">
        <v>0</v>
      </c>
      <c r="V45" s="84">
        <v>0</v>
      </c>
      <c r="W45" s="92">
        <v>0</v>
      </c>
      <c r="X45" s="84">
        <v>0</v>
      </c>
      <c r="Y45" s="489">
        <f t="shared" si="6"/>
        <v>0</v>
      </c>
      <c r="Z45" s="489">
        <f>Q45-Y45</f>
        <v>0</v>
      </c>
    </row>
    <row r="46" spans="1:26">
      <c r="A46" s="679"/>
      <c r="B46" s="1" t="s">
        <v>42</v>
      </c>
      <c r="C46" s="33">
        <f>Bilan_E_KP_AMS_2045!D18-C18-C34</f>
        <v>9.1088960408946864</v>
      </c>
      <c r="D46" s="541"/>
      <c r="E46" s="511"/>
      <c r="F46" s="541"/>
      <c r="G46" s="17">
        <f>C46-E46</f>
        <v>9.1088960408946864</v>
      </c>
      <c r="H46" s="541"/>
      <c r="I46" s="38"/>
      <c r="J46" s="37"/>
      <c r="K46" s="35"/>
      <c r="L46" s="35"/>
      <c r="M46" s="35"/>
      <c r="N46" s="35"/>
      <c r="O46" s="35"/>
      <c r="P46" s="35"/>
      <c r="Q46" s="36">
        <f>G46-(Bilan_E_KP_AMS_2045!D41+Bilan_E_KP_AMS_2045!D29+Bilan_E_KP_AMS_2045!D30)</f>
        <v>2.1515630330821871</v>
      </c>
      <c r="R46" s="498"/>
      <c r="S46" s="541"/>
      <c r="T46" s="506">
        <f>Bilan_E_KP_AMS_2045!D38</f>
        <v>0</v>
      </c>
      <c r="U46" s="93">
        <f>Bilan_E_KP_AMS_2045!D34</f>
        <v>2.1515630330821871</v>
      </c>
      <c r="V46" s="506">
        <f>Bilan_E_KP_AMS_2045!D36</f>
        <v>0</v>
      </c>
      <c r="W46" s="507">
        <f>Bilan_E_KP_AMS_2045!D37</f>
        <v>0</v>
      </c>
      <c r="X46" s="506">
        <f>Bilan_E_KP_AMS_2045!D35</f>
        <v>0</v>
      </c>
      <c r="Y46" s="489">
        <f t="shared" si="6"/>
        <v>2.1515630330821871</v>
      </c>
      <c r="Z46" s="489">
        <f>Q46-Y46</f>
        <v>0</v>
      </c>
    </row>
    <row r="47" spans="1:26">
      <c r="A47" s="90"/>
      <c r="B47" s="1" t="s">
        <v>31</v>
      </c>
      <c r="C47" s="33">
        <f>E57</f>
        <v>30.985390762521494</v>
      </c>
      <c r="D47" s="192"/>
      <c r="E47" s="511"/>
      <c r="F47" s="192"/>
      <c r="G47" s="17">
        <f>C47-E47</f>
        <v>30.985390762521494</v>
      </c>
      <c r="H47" s="192"/>
      <c r="I47" s="38"/>
      <c r="J47" s="37"/>
      <c r="K47" s="35"/>
      <c r="L47" s="35"/>
      <c r="M47" s="35"/>
      <c r="N47" s="35"/>
      <c r="O47" s="35"/>
      <c r="P47" s="35"/>
      <c r="Q47" s="544">
        <f>G47-Bilan_E_KP_AMS_2045!T41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C5-L13-SUM(L21:L24)-L30-L41-Bilan_E_KP_AMS_2045!U18</f>
        <v>0</v>
      </c>
      <c r="D49" s="1"/>
      <c r="E49" s="34">
        <f>SUM(E7:E47)+I13-Bilan_E_KP_AMS_2045!U32+K13+SUM(K21:K24)+K30+Bilan_E_KP_AMS_2045!D29+Bilan_E_KP_AMS_2045!D30</f>
        <v>5.3290705182007514E-15</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399.21682991243654</v>
      </c>
    </row>
    <row r="52" spans="1:19">
      <c r="A52" s="21"/>
      <c r="B52" s="1" t="s">
        <v>44</v>
      </c>
      <c r="C52" s="44"/>
      <c r="D52" s="1"/>
      <c r="E52" s="39">
        <f>Bilan_E_KP_AMS_2045!D41+Bilan_E_KP_AMS_2045!D29+Bilan_E_KP_AMS_2045!D30</f>
        <v>6.9573330078124993</v>
      </c>
      <c r="F52" s="187"/>
      <c r="G52" s="1"/>
      <c r="H52" s="1"/>
      <c r="I52" s="30"/>
      <c r="J52" s="17"/>
      <c r="K52" s="17"/>
      <c r="L52" s="21"/>
      <c r="M52" s="1"/>
      <c r="N52" s="17"/>
      <c r="O52" s="17"/>
      <c r="P52" s="17"/>
      <c r="Q52" s="1"/>
      <c r="S52" s="33"/>
    </row>
    <row r="53" spans="1:19">
      <c r="A53" s="21"/>
      <c r="B53" s="1" t="s">
        <v>41</v>
      </c>
      <c r="C53" s="45"/>
      <c r="D53" s="17"/>
      <c r="E53" s="433">
        <f>Bilan_E_KP_AMS_2045!H41+Bilan_E_KP_AMS_2045!H29</f>
        <v>4.7799931551444459</v>
      </c>
      <c r="F53" s="187"/>
      <c r="G53" s="1"/>
      <c r="H53" s="1"/>
      <c r="I53" s="30"/>
      <c r="J53" s="17"/>
      <c r="K53" s="17"/>
      <c r="L53" s="21"/>
      <c r="M53" s="1"/>
      <c r="N53" s="17"/>
      <c r="O53" s="17"/>
      <c r="P53" s="17"/>
      <c r="Q53" s="1"/>
    </row>
    <row r="54" spans="1:19">
      <c r="A54" s="21"/>
      <c r="B54" s="1" t="s">
        <v>39</v>
      </c>
      <c r="C54" s="45"/>
      <c r="D54" s="17"/>
      <c r="E54" s="435">
        <f>Bilan_E_KP_AMS_2045!F41</f>
        <v>50.64517840221108</v>
      </c>
      <c r="F54" s="187"/>
      <c r="G54" s="1"/>
      <c r="H54" s="1"/>
      <c r="I54" s="30"/>
      <c r="J54" s="17"/>
      <c r="K54" s="17"/>
      <c r="L54" s="21"/>
      <c r="M54" s="21"/>
      <c r="N54" s="17"/>
      <c r="O54" s="17"/>
      <c r="P54" s="17"/>
      <c r="Q54" s="1"/>
    </row>
    <row r="55" spans="1:19">
      <c r="B55" s="1" t="s">
        <v>21</v>
      </c>
      <c r="E55" s="633">
        <f>Bilan_E_KP_AMS_2045!O41+Bilan_E_KP_AMS_2045!O29</f>
        <v>3.7147337189182332</v>
      </c>
    </row>
    <row r="56" spans="1:19">
      <c r="B56" s="1" t="s">
        <v>37</v>
      </c>
      <c r="E56" s="633">
        <f>Bilan_E_KP_AMS_2045!N41+Bilan_E_KP_AMS_2045!N29+Bilan_E_KP_AMS_2045!G41</f>
        <v>26.732194126142758</v>
      </c>
    </row>
    <row r="57" spans="1:19">
      <c r="B57" s="1" t="s">
        <v>31</v>
      </c>
      <c r="E57" s="633">
        <f>Bilan_E_KP_AMS_2045!T41</f>
        <v>30.985390762521494</v>
      </c>
    </row>
    <row r="58" spans="1:19">
      <c r="B58" s="1" t="s">
        <v>338</v>
      </c>
      <c r="E58" s="633">
        <f>Bilan_E_KP_AMS_2045!L41</f>
        <v>0.52419855520004055</v>
      </c>
    </row>
    <row r="59" spans="1:19">
      <c r="E59" s="634"/>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A643-154A-4DF0-AFD5-31861A293765}">
  <dimension ref="A1:Z59"/>
  <sheetViews>
    <sheetView topLeftCell="A28" zoomScale="70" zoomScaleNormal="70" workbookViewId="0">
      <selection activeCell="C16" sqref="C16"/>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1819.2099246348469</v>
      </c>
      <c r="D5" s="18"/>
      <c r="E5" s="20"/>
      <c r="F5" s="494"/>
      <c r="G5" s="21"/>
      <c r="H5" s="493"/>
      <c r="I5" s="21"/>
      <c r="J5" s="22"/>
      <c r="K5" s="23"/>
      <c r="L5" s="14"/>
      <c r="M5" s="14"/>
      <c r="N5" s="15"/>
      <c r="O5" s="16"/>
      <c r="P5" s="16"/>
      <c r="Q5" s="24">
        <f>Q13+Q22+Q30+Q42+Q46+Q38+Q43</f>
        <v>884.93548042238842</v>
      </c>
      <c r="R5" s="487"/>
      <c r="S5" s="79">
        <f>SUM(S13,S22,S27:S32,S41)</f>
        <v>884.9354804223882</v>
      </c>
      <c r="T5" s="79">
        <f>SUM(T8:T46)</f>
        <v>35.294954528658479</v>
      </c>
      <c r="U5" s="79">
        <f>SUM(U8:U46)</f>
        <v>233.19574866888979</v>
      </c>
      <c r="V5" s="79">
        <f>SUM(V8:V46)</f>
        <v>334.70711774931425</v>
      </c>
      <c r="W5" s="173">
        <f>SUM(W8:W46)</f>
        <v>144.47126625070987</v>
      </c>
      <c r="X5" s="79">
        <f>SUM(X8:X46)</f>
        <v>137.26639322481577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(([7]Offre_calc!$V$106+[7]Offre_calc!$V$107+[7]Offre_calc!$V$144+[7]Offre_calc!$V$145)/([7]Offre_calc!$V$103+[7]Offre_calc!$V$141))*Bilan_E_KP_AMS_2050!K$21</f>
        <v>318.19737227203552</v>
      </c>
      <c r="D7" s="518"/>
      <c r="E7" s="28">
        <v>0</v>
      </c>
      <c r="F7" s="518"/>
      <c r="G7" s="17">
        <f>C7-E7</f>
        <v>318.19737227203552</v>
      </c>
      <c r="H7" s="518"/>
      <c r="I7" s="21"/>
      <c r="J7" s="518"/>
      <c r="K7" s="525"/>
      <c r="L7" s="525"/>
      <c r="M7" s="525"/>
      <c r="N7" s="525"/>
      <c r="O7" s="525"/>
      <c r="P7" s="513"/>
      <c r="Q7" s="528"/>
      <c r="R7" s="498"/>
      <c r="S7" s="528"/>
      <c r="T7" s="525"/>
      <c r="U7" s="525"/>
      <c r="V7" s="525"/>
      <c r="W7" s="525"/>
      <c r="X7" s="525"/>
    </row>
    <row r="8" spans="1:24">
      <c r="A8" s="695"/>
      <c r="B8" s="1" t="s">
        <v>18</v>
      </c>
      <c r="C8" s="486">
        <f>(([7]Offre_calc!$V$105+[7]Offre_calc!$V$143)/([7]Offre_calc!$V$103+[7]Offre_calc!$V$141))*Bilan_E_KP_AMS_2050!K$21</f>
        <v>73.2588239466414</v>
      </c>
      <c r="D8" s="81"/>
      <c r="E8" s="28">
        <v>0</v>
      </c>
      <c r="F8" s="81"/>
      <c r="G8" s="17">
        <f t="shared" ref="G8:G19" si="0">C8-E8</f>
        <v>73.2588239466414</v>
      </c>
      <c r="H8" s="81"/>
      <c r="I8" s="21"/>
      <c r="J8" s="81"/>
      <c r="K8" s="526"/>
      <c r="L8" s="526"/>
      <c r="M8" s="526"/>
      <c r="N8" s="526"/>
      <c r="O8" s="526"/>
      <c r="P8" s="29"/>
      <c r="Q8" s="529"/>
      <c r="R8" s="498"/>
      <c r="S8" s="529"/>
      <c r="T8" s="526"/>
      <c r="U8" s="526"/>
      <c r="V8" s="526"/>
      <c r="W8" s="526"/>
      <c r="X8" s="526"/>
    </row>
    <row r="9" spans="1:24">
      <c r="A9" s="695"/>
      <c r="B9" s="1" t="s">
        <v>19</v>
      </c>
      <c r="C9" s="486">
        <f>(([7]Offre_calc!$V$104+[7]Offre_calc!$V$142)/([7]Offre_calc!$V$103+[7]Offre_calc!$V$141))*Bilan_E_KP_AMS_2050!K$21</f>
        <v>165.46515435257197</v>
      </c>
      <c r="D9" s="81"/>
      <c r="E9" s="28">
        <v>0</v>
      </c>
      <c r="F9" s="81"/>
      <c r="G9" s="17">
        <f t="shared" si="0"/>
        <v>165.46515435257197</v>
      </c>
      <c r="H9" s="81"/>
      <c r="I9" s="21"/>
      <c r="J9" s="81"/>
      <c r="K9" s="526"/>
      <c r="L9" s="526"/>
      <c r="M9" s="526"/>
      <c r="N9" s="526"/>
      <c r="O9" s="526"/>
      <c r="P9" s="29"/>
      <c r="Q9" s="529"/>
      <c r="R9" s="498"/>
      <c r="S9" s="529"/>
      <c r="T9" s="526"/>
      <c r="U9" s="526"/>
      <c r="V9" s="526"/>
      <c r="W9" s="526"/>
      <c r="X9" s="526"/>
    </row>
    <row r="10" spans="1:24">
      <c r="A10" s="695"/>
      <c r="B10" s="1" t="s">
        <v>20</v>
      </c>
      <c r="C10" s="17">
        <f>Bilan_E_KP_AMS_2050!J21-(Bilan_E_KP_AMS_2050!R20+Bilan_E_KP_AMS_2050!R19)</f>
        <v>712.60987447127138</v>
      </c>
      <c r="D10" s="81"/>
      <c r="E10" s="28">
        <f>F13-SUM(E11:E19)</f>
        <v>491.85665513055869</v>
      </c>
      <c r="F10" s="81"/>
      <c r="G10" s="17">
        <f t="shared" si="0"/>
        <v>220.75321934071269</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Bilan_E_KP_AMS_2050!O21</f>
        <v>0.11326810820885491</v>
      </c>
      <c r="D11" s="81"/>
      <c r="E11" s="28">
        <f>C11*(1-[7]Offre_calc!$V$161)</f>
        <v>4.5307243283541965E-2</v>
      </c>
      <c r="F11" s="81"/>
      <c r="G11" s="17">
        <f t="shared" si="0"/>
        <v>6.7960864925312947E-2</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Bilan_E_KP_AMS_2050!M21</f>
        <v>2.8053264742296591</v>
      </c>
      <c r="D12" s="81"/>
      <c r="E12" s="28">
        <f>C12*(1-[7]Offre_calc!$V$171)</f>
        <v>1.6831958845377955</v>
      </c>
      <c r="F12" s="81"/>
      <c r="G12" s="17">
        <f t="shared" si="0"/>
        <v>1.1221305896918636</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Bilan_E_KP_AMS_2050!L21</f>
        <v>14.491283228737107</v>
      </c>
      <c r="D13" s="81">
        <f>SUM(C7:C19)</f>
        <v>1326.1761298052793</v>
      </c>
      <c r="E13" s="28">
        <f>C13*(1-[7]Offre_calc!$V$170)</f>
        <v>8.6947699372422633</v>
      </c>
      <c r="F13" s="81">
        <f>Bilan_E_KP_AMS_2050!U21</f>
        <v>516.31765927282356</v>
      </c>
      <c r="G13" s="17">
        <f t="shared" si="0"/>
        <v>5.7965132914948434</v>
      </c>
      <c r="H13" s="81">
        <f>SUM(G7:G19)</f>
        <v>809.85847053245607</v>
      </c>
      <c r="I13" s="33">
        <f>Bilan_E_KP_AMS_2050!R30</f>
        <v>17.221013858771279</v>
      </c>
      <c r="J13" s="81">
        <f>H13-I13</f>
        <v>792.63745667368482</v>
      </c>
      <c r="K13" s="29">
        <f>Bilan_E_KP_AMS_2050!R31</f>
        <v>58.897580266978245</v>
      </c>
      <c r="L13" s="29">
        <f>-(Bilan_E_KP_AMS_2050!R14+Bilan_E_KP_AMS_2050!R13)</f>
        <v>40.000075434727478</v>
      </c>
      <c r="M13" s="29">
        <f>Bilan_E_KP_AMS_2050!R28</f>
        <v>227.10664749932533</v>
      </c>
      <c r="N13" s="29"/>
      <c r="O13" s="29"/>
      <c r="P13" s="29"/>
      <c r="Q13" s="81">
        <f>J13-K13-L13-M13-N13-O13-P13</f>
        <v>466.63315347265376</v>
      </c>
      <c r="R13" s="508">
        <f>Q13-S13</f>
        <v>0</v>
      </c>
      <c r="S13" s="81">
        <f>SUM(T8:X19)</f>
        <v>466.63315347265365</v>
      </c>
      <c r="T13" s="29">
        <f>Bilan_E_KP_AMS_2050!R38</f>
        <v>7.8459207286229669</v>
      </c>
      <c r="U13" s="29">
        <f>Bilan_E_KP_AMS_2050!R34+Bilan_E_KP_AMS_2050!R39</f>
        <v>137.71292998685365</v>
      </c>
      <c r="V13" s="29">
        <f>Bilan_E_KP_AMS_2050!R36</f>
        <v>129.06523934568938</v>
      </c>
      <c r="W13" s="29">
        <f>Bilan_E_KP_AMS_2050!R37</f>
        <v>81.567308013661545</v>
      </c>
      <c r="X13" s="29">
        <f>Bilan_E_KP_AMS_2050!R35</f>
        <v>110.4417553978261</v>
      </c>
    </row>
    <row r="14" spans="1:24">
      <c r="A14" s="695"/>
      <c r="B14" s="1" t="s">
        <v>24</v>
      </c>
      <c r="C14" s="17">
        <f>Bilan_E_KP_AMS_2050!Q21</f>
        <v>6.7631767445353068</v>
      </c>
      <c r="D14" s="81"/>
      <c r="E14" s="28">
        <v>0</v>
      </c>
      <c r="F14" s="81"/>
      <c r="G14" s="17">
        <f t="shared" si="0"/>
        <v>6.7631767445353068</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Bilan_E_KP_AMS_2050!N21</f>
        <v>6.5561937148871507</v>
      </c>
      <c r="D16" s="81"/>
      <c r="E16" s="28">
        <f>C16*(1-[7]Offre_calc!$V$158)</f>
        <v>3.671468480336805</v>
      </c>
      <c r="F16" s="81"/>
      <c r="G16" s="17">
        <f t="shared" si="0"/>
        <v>2.8847252345503458</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Bilan_E_KP_AMS_2050!F21</f>
        <v>0</v>
      </c>
      <c r="D17" s="81"/>
      <c r="E17" s="28">
        <f>C17*(1-[7]Offre_calc!$V$158)</f>
        <v>0</v>
      </c>
      <c r="F17" s="81"/>
      <c r="G17" s="17">
        <f t="shared" si="0"/>
        <v>0</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Bilan_E_KP_AMS_2050!D21</f>
        <v>0</v>
      </c>
      <c r="D18" s="81"/>
      <c r="E18" s="28">
        <f>C18*(1-[7]Offre_calc!$V$157)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Bilan_E_KP_AMS_2050!H21+Bilan_E_KP_AMS_2050!T21</f>
        <v>25.915656492161155</v>
      </c>
      <c r="D19" s="82"/>
      <c r="E19" s="28">
        <f>C19*(1-[7]Offre_calc!$V$160)</f>
        <v>10.366262596864463</v>
      </c>
      <c r="F19" s="82"/>
      <c r="G19" s="17">
        <f t="shared" si="0"/>
        <v>15.549393895296692</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0.3097813084676983</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Bilan_E_KP_AMS_2050!L23+Bilan_E_KP_AMS_2050!O12</f>
        <v>104.55793512466204</v>
      </c>
      <c r="D21" s="531"/>
      <c r="E21" s="33">
        <f>Bilan_E_KP_AMS_2050!U23+Bilan_E_KP_AMS_2050!O30</f>
        <v>8.6432834528003752</v>
      </c>
      <c r="F21" s="531"/>
      <c r="G21" s="17">
        <f t="shared" ref="G21:G45" si="1">C21-E21</f>
        <v>95.914651671861662</v>
      </c>
      <c r="H21" s="531"/>
      <c r="I21" s="17"/>
      <c r="J21" s="531"/>
      <c r="K21" s="547">
        <f>Bilan_E_KP_AMS_2050!O31</f>
        <v>1.1274664352930146</v>
      </c>
      <c r="L21" s="547">
        <f>-(Bilan_E_KP_AMS_2050!O13+Bilan_E_KP_AMS_2050!O14+Bilan_E_KP_AMS_2050!O15+Bilan_E_KP_AMS_2050!O16)</f>
        <v>6.0567013609387903</v>
      </c>
      <c r="M21" s="547">
        <f>Bilan_E_KP_AMS_2050!O28</f>
        <v>0</v>
      </c>
      <c r="N21" s="547">
        <f>Bilan_E_KP_AMS_2050!O22</f>
        <v>8.1785673020738106</v>
      </c>
      <c r="O21" s="547">
        <f>Bilan_E_KP_AMS_2050!O21</f>
        <v>0.11326810820885491</v>
      </c>
      <c r="P21" s="547">
        <f>C36</f>
        <v>4.780741280438523</v>
      </c>
      <c r="Q21" s="531"/>
      <c r="R21" s="508"/>
      <c r="S21" s="531"/>
      <c r="T21" s="531"/>
      <c r="U21" s="531"/>
      <c r="V21" s="531"/>
      <c r="W21" s="531"/>
      <c r="X21" s="531"/>
    </row>
    <row r="22" spans="1:24">
      <c r="A22" s="696"/>
      <c r="B22" s="1" t="s">
        <v>524</v>
      </c>
      <c r="C22" s="17">
        <f>Bilan_E_KP_AMS_2050!T24</f>
        <v>6.4074201765093832</v>
      </c>
      <c r="D22" s="85">
        <f>SUM(C21:C24)</f>
        <v>302.57528883994075</v>
      </c>
      <c r="E22" s="632">
        <f>Bilan_E_KP_AMS_2050!I30+Bilan_E_KP_AMS_2050!U24</f>
        <v>2.0495283783522416</v>
      </c>
      <c r="F22" s="85">
        <f>SUM(E21:E24)</f>
        <v>74.28267313096373</v>
      </c>
      <c r="G22" s="17">
        <f t="shared" si="1"/>
        <v>4.3578917981571417</v>
      </c>
      <c r="H22" s="85">
        <f>SUM(G21:G24)</f>
        <v>228.29261570897702</v>
      </c>
      <c r="I22" s="408"/>
      <c r="J22" s="85">
        <f>H22-I22</f>
        <v>228.29261570897702</v>
      </c>
      <c r="K22" s="628">
        <f>Bilan_E_KP_AMS_2050!I31</f>
        <v>5.9340338699632358E-2</v>
      </c>
      <c r="L22" s="628">
        <f>-SUM(Bilan_E_KP_AMS_2050!I13:I16)</f>
        <v>0.31877375583888373</v>
      </c>
      <c r="M22" s="32"/>
      <c r="N22" s="32"/>
      <c r="O22" s="32"/>
      <c r="P22" s="32"/>
      <c r="Q22" s="85">
        <f>J22-SUM(K21:P24)</f>
        <v>93.713372791112334</v>
      </c>
      <c r="R22" s="508">
        <f>Q22-S22</f>
        <v>-2.9244114948312472E-4</v>
      </c>
      <c r="S22" s="85">
        <f>SUM(T22:X24)</f>
        <v>93.713665232261818</v>
      </c>
      <c r="T22" s="32">
        <f>Bilan_E_KP_AMS_2050!H38+Bilan_E_KP_AMS_2050!T38+Bilan_E_KP_AMS_2050!O$38+Bilan_E_KP_AMS_2050!I38</f>
        <v>2.0699451002198215</v>
      </c>
      <c r="U22" s="32">
        <f>Bilan_E_KP_AMS_2050!H34+Bilan_E_KP_AMS_2050!T34+Bilan_E_KP_AMS_2050!O$34+Bilan_E_KP_AMS_2050!I34</f>
        <v>41.814196369584614</v>
      </c>
      <c r="V22" s="32">
        <f>Bilan_E_KP_AMS_2050!H36+Bilan_E_KP_AMS_2050!T36+Bilan_E_KP_AMS_2050!O$36+Bilan_E_KP_AMS_2050!I36</f>
        <v>26.189974300976441</v>
      </c>
      <c r="W22" s="32">
        <f>Bilan_E_KP_AMS_2050!H37+Bilan_E_KP_AMS_2050!M37+Bilan_E_KP_AMS_2050!T37+Bilan_E_KP_AMS_2050!O$37+Bilan_E_KP_AMS_2050!I37</f>
        <v>13.079973215835341</v>
      </c>
      <c r="X22" s="32">
        <f>Bilan_E_KP_AMS_2050!H35+Bilan_E_KP_AMS_2050!T35+Bilan_E_KP_AMS_2050!O$35+Bilan_E_KP_AMS_2050!I35</f>
        <v>10.559576245645603</v>
      </c>
    </row>
    <row r="23" spans="1:24">
      <c r="A23" s="696"/>
      <c r="B23" s="1" t="s">
        <v>31</v>
      </c>
      <c r="C23" s="17">
        <f>SUM(Bilan_E_KP_AMS_2050!D28:S28)-C47</f>
        <v>191.60993353876933</v>
      </c>
      <c r="D23" s="532"/>
      <c r="E23" s="33">
        <f>Bilan_E_KP_AMS_2050!U28</f>
        <v>63.589861299811105</v>
      </c>
      <c r="F23" s="534"/>
      <c r="G23" s="17">
        <f t="shared" si="1"/>
        <v>128.02007223895822</v>
      </c>
      <c r="H23" s="534"/>
      <c r="I23" s="17"/>
      <c r="J23" s="534"/>
      <c r="K23" s="536">
        <f>Bilan_E_KP_AMS_2050!T31</f>
        <v>0</v>
      </c>
      <c r="L23" s="536">
        <f>-(Bilan_E_KP_AMS_2050!T13+Bilan_E_KP_AMS_2050!T14+Bilan_E_KP_AMS_2050!T15+Bilan_E_KP_AMS_2050!T16)</f>
        <v>2.6159745910871801</v>
      </c>
      <c r="M23" s="536">
        <f>Bilan_E_KP_AMS_2050!T24</f>
        <v>6.4074201765093832</v>
      </c>
      <c r="N23" s="536">
        <f>Bilan_E_KP_AMS_2050!T22</f>
        <v>0</v>
      </c>
      <c r="O23" s="536">
        <f>Bilan_E_KP_AMS_2050!T21</f>
        <v>25.915656492161155</v>
      </c>
      <c r="P23" s="536">
        <f>Bilan_E_KP_AMS_2050!T27</f>
        <v>79.005333076615457</v>
      </c>
      <c r="Q23" s="534"/>
      <c r="R23" s="489"/>
      <c r="S23" s="534"/>
      <c r="T23" s="538"/>
      <c r="U23" s="538"/>
      <c r="V23" s="538"/>
      <c r="W23" s="538"/>
      <c r="X23" s="538"/>
    </row>
    <row r="24" spans="1:24">
      <c r="A24" s="696"/>
      <c r="B24" s="1" t="s">
        <v>32</v>
      </c>
      <c r="C24" s="17">
        <f>Bilan_E_KP_AMS_2050!H18-C45-(Bilan_E_KP_AMS_2050!H20+Bilan_E_KP_AMS_2050!H19)</f>
        <v>0</v>
      </c>
      <c r="D24" s="533"/>
      <c r="E24" s="33">
        <f>Bilan_E_KP_AMS_2050!H30</f>
        <v>0</v>
      </c>
      <c r="F24" s="535"/>
      <c r="G24" s="17">
        <f t="shared" si="1"/>
        <v>0</v>
      </c>
      <c r="H24" s="535"/>
      <c r="I24" s="34"/>
      <c r="J24" s="535"/>
      <c r="K24" s="537">
        <f>Bilan_E_KP_AMS_2050!H31</f>
        <v>0</v>
      </c>
      <c r="L24" s="537"/>
      <c r="M24" s="537">
        <f>Bilan_E_KP_AMS_2050!H28</f>
        <v>0</v>
      </c>
      <c r="N24" s="537">
        <f>Bilan_E_KP_AMS_2050!H22</f>
        <v>0</v>
      </c>
      <c r="O24" s="537">
        <f>Bilan_E_KP_AMS_2050!H21</f>
        <v>0</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Bilan_E_KP_AMS_2050!O22</f>
        <v>8.1785673020738106</v>
      </c>
      <c r="D26" s="512"/>
      <c r="E26" s="190">
        <f>C26*F$35</f>
        <v>0.35444449881085055</v>
      </c>
      <c r="F26" s="512"/>
      <c r="G26" s="33">
        <f t="shared" ref="G26:G31" si="2">C26-E26</f>
        <v>7.8241228032629602</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Bilan_E_KP_AMS_2050!M18-Bilan_E_KP_AMS_2050!M21-(Bilan_E_KP_AMS_2050!S20+Bilan_E_KP_AMS_2050!S19+Bilan_E_KP_AMS_2050!M20+Bilan_E_KP_AMS_2050!M19)</f>
        <v>16.42335846628184</v>
      </c>
      <c r="D27" s="87"/>
      <c r="E27" s="190">
        <f t="shared" ref="E27:E34" si="3">C27*F$35</f>
        <v>0.71175902152155091</v>
      </c>
      <c r="F27" s="87"/>
      <c r="G27" s="33">
        <f t="shared" si="2"/>
        <v>15.711599444760289</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Bilan_E_KP_AMS_2050!L22</f>
        <v>33.721862056250039</v>
      </c>
      <c r="D29" s="87"/>
      <c r="E29" s="190">
        <f t="shared" si="3"/>
        <v>1.4614452695725109</v>
      </c>
      <c r="F29" s="87"/>
      <c r="G29" s="33">
        <f t="shared" si="2"/>
        <v>32.260416786677531</v>
      </c>
      <c r="H29" s="87"/>
      <c r="I29" s="1"/>
      <c r="J29" s="87"/>
      <c r="K29" s="87"/>
      <c r="L29" s="87"/>
      <c r="M29" s="87"/>
      <c r="N29" s="87"/>
      <c r="O29" s="87"/>
      <c r="P29" s="87"/>
      <c r="Q29" s="87"/>
      <c r="R29" s="508"/>
      <c r="S29" s="87"/>
      <c r="T29" s="87"/>
      <c r="U29" s="87"/>
      <c r="V29" s="87"/>
      <c r="W29" s="87"/>
      <c r="X29" s="87"/>
    </row>
    <row r="30" spans="1:24">
      <c r="A30" s="697"/>
      <c r="B30" s="1" t="s">
        <v>24</v>
      </c>
      <c r="C30" s="17">
        <f>Bilan_E_KP_AMS_2050!Q22</f>
        <v>11.316516045102318</v>
      </c>
      <c r="D30" s="86">
        <f>SUM(C26:C34)</f>
        <v>69.640303869708006</v>
      </c>
      <c r="E30" s="190">
        <f t="shared" si="3"/>
        <v>0.4904375925199228</v>
      </c>
      <c r="F30" s="86">
        <f>Bilan_E_KP_AMS_2050!U22</f>
        <v>3.0180863824248352</v>
      </c>
      <c r="G30" s="33">
        <f t="shared" si="2"/>
        <v>10.826078452582395</v>
      </c>
      <c r="H30" s="86">
        <f>SUM(G26:G34)</f>
        <v>66.62221748728318</v>
      </c>
      <c r="I30" s="1"/>
      <c r="J30" s="86">
        <f>H30</f>
        <v>66.62221748728318</v>
      </c>
      <c r="K30" s="87">
        <f>Bilan_E_KP_AMS_2050!S31</f>
        <v>5.0089527300753778</v>
      </c>
      <c r="L30" s="87"/>
      <c r="M30" s="87">
        <f>Bilan_E_KP_AMS_2050!M28</f>
        <v>0</v>
      </c>
      <c r="N30" s="87"/>
      <c r="O30" s="87"/>
      <c r="P30" s="87"/>
      <c r="Q30" s="86">
        <f>J30-K30-L30-M30-N30-O30-P30</f>
        <v>61.613264757207801</v>
      </c>
      <c r="R30" s="508">
        <f>Q30-S30</f>
        <v>2.9244114949733557E-4</v>
      </c>
      <c r="S30" s="86">
        <f>SUM(T27:X34)</f>
        <v>61.612972316058304</v>
      </c>
      <c r="T30" s="87">
        <f>Bilan_E_KP_AMS_2050!S$38</f>
        <v>0</v>
      </c>
      <c r="U30" s="87">
        <f>Bilan_E_KP_AMS_2050!S$34+Bilan_E_KP_AMS_2050!M34</f>
        <v>20.476765974261674</v>
      </c>
      <c r="V30" s="87">
        <f>Bilan_E_KP_AMS_2050!S$36</f>
        <v>22.248806062911136</v>
      </c>
      <c r="W30" s="87">
        <f>Bilan_E_KP_AMS_2050!S$37</f>
        <v>18.887400278885494</v>
      </c>
      <c r="X30" s="87">
        <f>Bilan_E_KP_AMS_2050!S$35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Bilan_E_KP_AMS_2050!H22</f>
        <v>0</v>
      </c>
      <c r="D32" s="86"/>
      <c r="E32" s="190">
        <f t="shared" si="3"/>
        <v>0</v>
      </c>
      <c r="F32" s="86"/>
      <c r="G32" s="33">
        <f>C32-E32</f>
        <v>0</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Bilan_E_KP_AMS_2050!F22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Bilan_E_KP_AMS_2050!D22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4.3338213860632448E-2</v>
      </c>
      <c r="G35" s="17"/>
      <c r="H35" s="501"/>
      <c r="I35" s="1"/>
      <c r="J35" s="1"/>
      <c r="K35" s="1"/>
      <c r="L35" s="1"/>
      <c r="M35" s="1"/>
      <c r="N35" s="1"/>
      <c r="O35" s="1"/>
      <c r="P35" s="1"/>
      <c r="Q35" s="502"/>
      <c r="R35" s="508"/>
      <c r="U35" s="33"/>
      <c r="V35" s="33"/>
      <c r="W35" s="33"/>
    </row>
    <row r="36" spans="1:26">
      <c r="A36" s="679" t="s">
        <v>34</v>
      </c>
      <c r="B36" s="1" t="s">
        <v>21</v>
      </c>
      <c r="C36" s="33">
        <f>E55</f>
        <v>4.780741280438523</v>
      </c>
      <c r="D36" s="540"/>
      <c r="E36" s="17"/>
      <c r="F36" s="540"/>
      <c r="G36" s="17">
        <f t="shared" ref="G36:G42" si="5">C36-E36</f>
        <v>4.780741280438523</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4.780741280438523</v>
      </c>
    </row>
    <row r="37" spans="1:26">
      <c r="A37" s="679"/>
      <c r="B37" s="1" t="s">
        <v>23</v>
      </c>
      <c r="C37" s="33">
        <f>SUM(T37:X37)+E58</f>
        <v>52.961745813566075</v>
      </c>
      <c r="D37" s="541"/>
      <c r="E37" s="504"/>
      <c r="F37" s="541"/>
      <c r="G37" s="17">
        <f t="shared" si="5"/>
        <v>52.961745813566075</v>
      </c>
      <c r="H37" s="541"/>
      <c r="I37" s="498"/>
      <c r="J37" s="37"/>
      <c r="K37" s="35"/>
      <c r="L37" s="35"/>
      <c r="M37" s="505"/>
      <c r="N37" s="35"/>
      <c r="P37" s="35"/>
      <c r="Q37" s="543"/>
      <c r="R37" s="508"/>
      <c r="S37" s="541"/>
      <c r="T37" s="506">
        <f>Bilan_E_KP_AMS_2050!L38</f>
        <v>4.5749249618986854</v>
      </c>
      <c r="U37" s="93">
        <f>Bilan_E_KP_AMS_2050!L34</f>
        <v>18.511250218523632</v>
      </c>
      <c r="V37" s="506">
        <f>Bilan_E_KP_AMS_2050!L36</f>
        <v>28.937300829462252</v>
      </c>
      <c r="W37" s="507">
        <f>Bilan_E_KP_AMS_2050!L37</f>
        <v>0.34200087095620557</v>
      </c>
      <c r="X37" s="506">
        <f>Bilan_E_KP_AMS_2050!L35</f>
        <v>0</v>
      </c>
      <c r="Y37" s="489">
        <f t="shared" ref="Y37:Y47" si="6">SUM(T37:X37)</f>
        <v>52.365476880840774</v>
      </c>
      <c r="Z37" s="489">
        <f t="shared" ref="Z37:Z44" si="7">G37-Y37</f>
        <v>0.59626893272530168</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258.6627915960334</v>
      </c>
      <c r="R38" s="508"/>
      <c r="S38" s="541"/>
      <c r="T38" s="84">
        <v>0</v>
      </c>
      <c r="U38" s="83">
        <v>0</v>
      </c>
      <c r="V38" s="84">
        <v>0</v>
      </c>
      <c r="W38" s="91">
        <v>0</v>
      </c>
      <c r="X38" s="91">
        <v>0</v>
      </c>
      <c r="Y38" s="489">
        <f t="shared" si="6"/>
        <v>0</v>
      </c>
      <c r="Z38" s="489">
        <f t="shared" si="7"/>
        <v>0</v>
      </c>
    </row>
    <row r="39" spans="1:26">
      <c r="A39" s="679"/>
      <c r="B39" s="1" t="s">
        <v>35</v>
      </c>
      <c r="C39" s="33">
        <f>SUM(T39:X39)</f>
        <v>6.2933757940809487</v>
      </c>
      <c r="D39" s="541"/>
      <c r="E39" s="35"/>
      <c r="F39" s="541"/>
      <c r="G39" s="17">
        <f t="shared" si="5"/>
        <v>6.2933757940809487</v>
      </c>
      <c r="H39" s="541"/>
      <c r="I39" s="35"/>
      <c r="J39" s="37"/>
      <c r="K39" s="35"/>
      <c r="L39" s="35"/>
      <c r="M39" s="37"/>
      <c r="N39" s="35"/>
      <c r="O39" s="35"/>
      <c r="P39" s="35"/>
      <c r="Q39" s="543"/>
      <c r="R39" s="508"/>
      <c r="S39" s="541"/>
      <c r="T39" s="84">
        <f>Bilan_E_KP_AMS_2050!Q38</f>
        <v>2.1874070050904897</v>
      </c>
      <c r="U39" s="83">
        <f>Bilan_E_KP_AMS_2050!Q34</f>
        <v>8.5890570413253253E-4</v>
      </c>
      <c r="V39" s="84">
        <f>Bilan_E_KP_AMS_2050!Q36</f>
        <v>3.1166998128913419</v>
      </c>
      <c r="W39" s="91">
        <f>Bilan_E_KP_AMS_2050!Q37</f>
        <v>0.98841007039498519</v>
      </c>
      <c r="X39" s="91">
        <f>Bilan_E_KP_AMS_2050!Q35</f>
        <v>0</v>
      </c>
      <c r="Y39" s="489">
        <f t="shared" si="6"/>
        <v>6.2933757940809487</v>
      </c>
      <c r="Z39" s="489">
        <f t="shared" si="7"/>
        <v>0</v>
      </c>
    </row>
    <row r="40" spans="1:26">
      <c r="A40" s="679"/>
      <c r="B40" s="1" t="s">
        <v>36</v>
      </c>
      <c r="C40" s="33">
        <f>Bilan_E_KP_AMS_2050!P12</f>
        <v>167.23788927594987</v>
      </c>
      <c r="D40" s="541"/>
      <c r="E40" s="35"/>
      <c r="F40" s="541"/>
      <c r="G40" s="17">
        <f t="shared" si="5"/>
        <v>167.23788927594987</v>
      </c>
      <c r="H40" s="541"/>
      <c r="I40" s="35"/>
      <c r="J40" s="37"/>
      <c r="K40" s="35"/>
      <c r="L40" s="35"/>
      <c r="M40" s="37"/>
      <c r="N40" s="35"/>
      <c r="O40" s="35"/>
      <c r="P40" s="35"/>
      <c r="Q40" s="543"/>
      <c r="R40" s="508"/>
      <c r="S40" s="541"/>
      <c r="T40" s="83">
        <f>Bilan_E_KP_AMS_2050!P$38</f>
        <v>1.5</v>
      </c>
      <c r="U40" s="83">
        <f>Bilan_E_KP_AMS_2050!P$34</f>
        <v>11.306912109375</v>
      </c>
      <c r="V40" s="83">
        <f>Bilan_E_KP_AMS_2050!P$36</f>
        <v>124.95584249070536</v>
      </c>
      <c r="W40" s="83">
        <f>Bilan_E_KP_AMS_2050!P$37</f>
        <v>29.475134675869491</v>
      </c>
      <c r="X40" s="84">
        <f>Bilan_E_KP_AMS_2050!P$35</f>
        <v>0</v>
      </c>
      <c r="Y40" s="489">
        <f t="shared" si="6"/>
        <v>167.23788927594987</v>
      </c>
      <c r="Z40" s="489">
        <f t="shared" si="7"/>
        <v>0</v>
      </c>
    </row>
    <row r="41" spans="1:26">
      <c r="A41" s="679"/>
      <c r="B41" s="1" t="s">
        <v>37</v>
      </c>
      <c r="C41" s="33">
        <f>Bilan_E_KP_AMS_2050!N12+Bilan_E_KP_AMS_2050!L26-Bilan_E_KP_AMS_2050!N21+Bilan_E_KP_AMS_2050!T27</f>
        <v>135.2499271077379</v>
      </c>
      <c r="D41" s="191">
        <f>SUM(C36:C47)</f>
        <v>472.32583605525127</v>
      </c>
      <c r="E41" s="511">
        <f>Bilan_E_KP_AMS_2050!U27</f>
        <v>22.27950392760556</v>
      </c>
      <c r="F41" s="191">
        <f>SUM(E36:E47)</f>
        <v>41.117979189661469</v>
      </c>
      <c r="G41" s="17">
        <f t="shared" si="5"/>
        <v>112.97042318013234</v>
      </c>
      <c r="H41" s="191">
        <f>SUM(G36:G47)</f>
        <v>431.2078568655898</v>
      </c>
      <c r="I41" s="35"/>
      <c r="J41" s="37"/>
      <c r="K41" s="35"/>
      <c r="L41" s="37">
        <f>-(SUM(Bilan_E_KP_AMS_2050!N13:N16)+SUM(Bilan_E_KP_AMS_2050!G13:G16))</f>
        <v>49.908571368665989</v>
      </c>
      <c r="M41" s="35"/>
      <c r="N41" s="35"/>
      <c r="O41" s="35"/>
      <c r="P41" s="35"/>
      <c r="Q41" s="543"/>
      <c r="R41" s="508">
        <f>SUM(Q36:Q47)-S41</f>
        <v>0</v>
      </c>
      <c r="S41" s="191">
        <f>SUM(T36:X46)</f>
        <v>262.97568940141446</v>
      </c>
      <c r="T41" s="83">
        <f>Bilan_E_KP_AMS_2050!N$38+Bilan_E_KP_AMS_2050!G$38</f>
        <v>17.116756732826516</v>
      </c>
      <c r="U41" s="83">
        <f>Bilan_E_KP_AMS_2050!N$34+Bilan_E_KP_AMS_2050!G$34</f>
        <v>1.4169866943359375</v>
      </c>
      <c r="V41" s="83">
        <f>Bilan_E_KP_AMS_2050!N$36+Bilan_E_KP_AMS_2050!G$36</f>
        <v>0</v>
      </c>
      <c r="W41" s="83">
        <f>Bilan_E_KP_AMS_2050!N$37+Bilan_E_KP_AMS_2050!G$37</f>
        <v>0</v>
      </c>
      <c r="X41" s="84">
        <f>Bilan_E_KP_AMS_2050!N$35+Bilan_E_KP_AMS_2050!G$35</f>
        <v>14.232306217999398</v>
      </c>
      <c r="Y41" s="489">
        <f t="shared" si="6"/>
        <v>32.76604964516185</v>
      </c>
      <c r="Z41" s="489">
        <f>G41-Y41-L41</f>
        <v>30.295802166304512</v>
      </c>
    </row>
    <row r="42" spans="1:26">
      <c r="A42" s="679"/>
      <c r="B42" s="1" t="s">
        <v>38</v>
      </c>
      <c r="C42" s="33">
        <f>Bilan_E_KP_AMS_2050!E18+Bilan_E_KP_AMS_2050!F18-Bilan_E_KP_AMS_2050!F21-Bilan_E_KP_AMS_2050!F22-E54-SUM(T43:X43)-(Bilan_E_KP_AMS_2050!E20+Bilan_E_KP_AMS_2050!F20+Bilan_E_KP_AMS_2050!E19+Bilan_E_KP_AMS_2050!F19)</f>
        <v>20.871230625400578</v>
      </c>
      <c r="D42" s="541"/>
      <c r="E42" s="17">
        <f>Bilan_E_KP_AMS_2050!F30+Bilan_E_KP_AMS_2050!U25+Bilan_E_KP_AMS_2050!F29+Bilan_E_KP_AMS_2050!E29</f>
        <v>18.838475262055908</v>
      </c>
      <c r="F42" s="541"/>
      <c r="G42" s="17">
        <f t="shared" si="5"/>
        <v>2.0327553633446698</v>
      </c>
      <c r="H42" s="541"/>
      <c r="I42" s="498"/>
      <c r="J42" s="37"/>
      <c r="K42" s="35"/>
      <c r="L42" s="35"/>
      <c r="M42" s="35"/>
      <c r="N42" s="35"/>
      <c r="O42" s="35"/>
      <c r="P42" s="35"/>
      <c r="Q42" s="36">
        <f>G42</f>
        <v>2.0327553633446698</v>
      </c>
      <c r="R42" s="508"/>
      <c r="S42" s="541"/>
      <c r="T42" s="83">
        <v>0</v>
      </c>
      <c r="U42" s="83">
        <v>0</v>
      </c>
      <c r="V42" s="83">
        <v>0</v>
      </c>
      <c r="W42" s="83">
        <v>0</v>
      </c>
      <c r="X42" s="84">
        <f>Bilan_E_KP_AMS_2050!F35</f>
        <v>2.0327553633446804</v>
      </c>
      <c r="Y42" s="489">
        <f t="shared" si="6"/>
        <v>2.0327553633446804</v>
      </c>
      <c r="Z42" s="489">
        <f>Q42-SUM(T42:X42)</f>
        <v>-1.0658141036401503E-14</v>
      </c>
    </row>
    <row r="43" spans="1:26">
      <c r="A43" s="679"/>
      <c r="B43" s="1" t="s">
        <v>39</v>
      </c>
      <c r="C43" s="33">
        <f>Bilan_E_KP_AMS_2050!F41+SUM(T43:X43)</f>
        <v>40.84451414751306</v>
      </c>
      <c r="D43" s="541"/>
      <c r="E43" s="38"/>
      <c r="F43" s="541"/>
      <c r="G43" s="17">
        <f>C43-E43</f>
        <v>40.84451414751306</v>
      </c>
      <c r="H43" s="541"/>
      <c r="I43" s="35"/>
      <c r="J43" s="37"/>
      <c r="K43" s="35"/>
      <c r="L43" s="35"/>
      <c r="M43" s="35"/>
      <c r="N43" s="35"/>
      <c r="O43" s="35"/>
      <c r="P43" s="35"/>
      <c r="Q43" s="36">
        <f>G43-Bilan_E_KP_AMS_2050!F41</f>
        <v>0.9957070575013276</v>
      </c>
      <c r="R43" s="508"/>
      <c r="S43" s="541"/>
      <c r="T43" s="83">
        <f>Bilan_E_KP_AMS_2050!F38</f>
        <v>0</v>
      </c>
      <c r="U43" s="83">
        <f>Bilan_E_KP_AMS_2050!F34</f>
        <v>0.671413025716175</v>
      </c>
      <c r="V43" s="83">
        <f>Bilan_E_KP_AMS_2050!F36</f>
        <v>0.19325490667833059</v>
      </c>
      <c r="W43" s="83">
        <f>Bilan_E_KP_AMS_2050!F37</f>
        <v>0.13103912510682203</v>
      </c>
      <c r="X43" s="84">
        <v>0</v>
      </c>
      <c r="Y43" s="489">
        <f t="shared" si="6"/>
        <v>0.9957070575013276</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G44-Bilan_E_KP_AMS_2050!M41</f>
        <v>0</v>
      </c>
      <c r="R44" s="498"/>
      <c r="S44" s="541"/>
      <c r="T44" s="83">
        <f>Bilan_E_KP_AMS_2050!M$38</f>
        <v>0</v>
      </c>
      <c r="U44" s="83">
        <v>0</v>
      </c>
      <c r="V44" s="83">
        <f>Bilan_E_KP_AMS_2050!M$36</f>
        <v>0</v>
      </c>
      <c r="W44" s="83">
        <v>0</v>
      </c>
      <c r="X44" s="84">
        <f>Bilan_E_KP_AMS_2050!M$35</f>
        <v>0</v>
      </c>
      <c r="Y44" s="489">
        <f t="shared" si="6"/>
        <v>0</v>
      </c>
      <c r="Z44" s="489">
        <f t="shared" si="7"/>
        <v>0</v>
      </c>
    </row>
    <row r="45" spans="1:26">
      <c r="A45" s="679"/>
      <c r="B45" s="1" t="s">
        <v>41</v>
      </c>
      <c r="C45" s="33">
        <f>E53</f>
        <v>2.6585092475046008</v>
      </c>
      <c r="D45" s="541"/>
      <c r="E45" s="38"/>
      <c r="F45" s="541"/>
      <c r="G45" s="17">
        <f t="shared" si="1"/>
        <v>2.6585092475046008</v>
      </c>
      <c r="H45" s="541"/>
      <c r="I45" s="35"/>
      <c r="J45" s="37"/>
      <c r="K45" s="35"/>
      <c r="L45" s="35"/>
      <c r="M45" s="35"/>
      <c r="N45" s="35"/>
      <c r="O45" s="35"/>
      <c r="P45" s="35"/>
      <c r="Q45" s="36">
        <f>G45-Bilan_E_KP_AMS_2050!H41</f>
        <v>0</v>
      </c>
      <c r="R45" s="498"/>
      <c r="S45" s="541"/>
      <c r="T45" s="84">
        <v>0</v>
      </c>
      <c r="U45" s="83">
        <v>0</v>
      </c>
      <c r="V45" s="84">
        <v>0</v>
      </c>
      <c r="W45" s="92">
        <v>0</v>
      </c>
      <c r="X45" s="84">
        <v>0</v>
      </c>
      <c r="Y45" s="489">
        <f t="shared" si="6"/>
        <v>0</v>
      </c>
      <c r="Z45" s="489">
        <f>Q45-Y45</f>
        <v>0</v>
      </c>
    </row>
    <row r="46" spans="1:26">
      <c r="A46" s="679"/>
      <c r="B46" s="1" t="s">
        <v>42</v>
      </c>
      <c r="C46" s="33">
        <f>Bilan_E_KP_AMS_2050!D18-C18-C34</f>
        <v>5.9311888025037742</v>
      </c>
      <c r="D46" s="541"/>
      <c r="E46" s="511"/>
      <c r="F46" s="541"/>
      <c r="G46" s="17">
        <f>C46-E46</f>
        <v>5.9311888025037742</v>
      </c>
      <c r="H46" s="541"/>
      <c r="I46" s="38"/>
      <c r="J46" s="37"/>
      <c r="K46" s="35"/>
      <c r="L46" s="35"/>
      <c r="M46" s="35"/>
      <c r="N46" s="35"/>
      <c r="O46" s="35"/>
      <c r="P46" s="35"/>
      <c r="Q46" s="36">
        <f>G46-(Bilan_E_KP_AMS_2050!D41+Bilan_E_KP_AMS_2050!D29+Bilan_E_KP_AMS_2050!D30)</f>
        <v>1.2844353845350245</v>
      </c>
      <c r="R46" s="498"/>
      <c r="S46" s="541"/>
      <c r="T46" s="506">
        <f>Bilan_E_KP_AMS_2050!D38</f>
        <v>0</v>
      </c>
      <c r="U46" s="93">
        <f>Bilan_E_KP_AMS_2050!D34</f>
        <v>1.2844353845350245</v>
      </c>
      <c r="V46" s="506">
        <f>Bilan_E_KP_AMS_2050!D36</f>
        <v>0</v>
      </c>
      <c r="W46" s="507">
        <f>Bilan_E_KP_AMS_2050!D37</f>
        <v>0</v>
      </c>
      <c r="X46" s="506">
        <f>Bilan_E_KP_AMS_2050!D35</f>
        <v>0</v>
      </c>
      <c r="Y46" s="489">
        <f t="shared" si="6"/>
        <v>1.2844353845350245</v>
      </c>
      <c r="Z46" s="489">
        <f>Q46-Y46</f>
        <v>0</v>
      </c>
    </row>
    <row r="47" spans="1:26">
      <c r="A47" s="90"/>
      <c r="B47" s="1" t="s">
        <v>31</v>
      </c>
      <c r="C47" s="33">
        <f>E57</f>
        <v>35.496713960556022</v>
      </c>
      <c r="D47" s="192"/>
      <c r="E47" s="511"/>
      <c r="F47" s="192"/>
      <c r="G47" s="17">
        <f>C47-E47</f>
        <v>35.496713960556022</v>
      </c>
      <c r="H47" s="192"/>
      <c r="I47" s="38"/>
      <c r="J47" s="37"/>
      <c r="K47" s="35"/>
      <c r="L47" s="35"/>
      <c r="M47" s="35"/>
      <c r="N47" s="35"/>
      <c r="O47" s="35"/>
      <c r="P47" s="35"/>
      <c r="Q47" s="544">
        <f>G47-Bilan_E_KP_AMS_2050!T41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C5-L13-SUM(L21:L24)-L30-L41-Bilan_E_KP_AMS_2050!U18</f>
        <v>0</v>
      </c>
      <c r="D49" s="1"/>
      <c r="E49" s="34">
        <f>SUM(E7:E47)+I13-Bilan_E_KP_AMS_2050!U32+K13+SUM(K21:K24)+K30+Bilan_E_KP_AMS_2050!D29+Bilan_E_KP_AMS_2050!D30</f>
        <v>-1.5010215292932116E-13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386.60038971235554</v>
      </c>
    </row>
    <row r="52" spans="1:19">
      <c r="A52" s="21"/>
      <c r="B52" s="1" t="s">
        <v>44</v>
      </c>
      <c r="C52" s="44"/>
      <c r="D52" s="1"/>
      <c r="E52" s="39">
        <f>Bilan_E_KP_AMS_2050!D41+Bilan_E_KP_AMS_2050!D29+Bilan_E_KP_AMS_2050!D30</f>
        <v>4.6467534179687497</v>
      </c>
      <c r="F52" s="187"/>
      <c r="G52" s="1"/>
      <c r="H52" s="1"/>
      <c r="I52" s="30"/>
      <c r="J52" s="17"/>
      <c r="K52" s="17"/>
      <c r="L52" s="21"/>
      <c r="M52" s="1"/>
      <c r="N52" s="17"/>
      <c r="O52" s="17"/>
      <c r="P52" s="17"/>
      <c r="Q52" s="1"/>
      <c r="S52" s="33"/>
    </row>
    <row r="53" spans="1:19">
      <c r="A53" s="21"/>
      <c r="B53" s="1" t="s">
        <v>41</v>
      </c>
      <c r="C53" s="45"/>
      <c r="D53" s="17"/>
      <c r="E53" s="433">
        <f>Bilan_E_KP_AMS_2050!H41+Bilan_E_KP_AMS_2050!H29</f>
        <v>2.6585092475046008</v>
      </c>
      <c r="F53" s="187"/>
      <c r="G53" s="1"/>
      <c r="H53" s="1"/>
      <c r="I53" s="30"/>
      <c r="J53" s="17"/>
      <c r="K53" s="17"/>
      <c r="L53" s="21"/>
      <c r="M53" s="1"/>
      <c r="N53" s="17"/>
      <c r="O53" s="17"/>
      <c r="P53" s="17"/>
      <c r="Q53" s="1"/>
    </row>
    <row r="54" spans="1:19">
      <c r="A54" s="21"/>
      <c r="B54" s="1" t="s">
        <v>39</v>
      </c>
      <c r="C54" s="45"/>
      <c r="D54" s="17"/>
      <c r="E54" s="435">
        <f>Bilan_E_KP_AMS_2050!F41</f>
        <v>39.848807090011732</v>
      </c>
      <c r="F54" s="187"/>
      <c r="G54" s="1"/>
      <c r="H54" s="1"/>
      <c r="I54" s="30"/>
      <c r="J54" s="17"/>
      <c r="K54" s="17"/>
      <c r="L54" s="21"/>
      <c r="M54" s="21"/>
      <c r="N54" s="17"/>
      <c r="O54" s="17"/>
      <c r="P54" s="17"/>
      <c r="Q54" s="1"/>
    </row>
    <row r="55" spans="1:19">
      <c r="B55" s="1" t="s">
        <v>21</v>
      </c>
      <c r="E55" s="633">
        <f>Bilan_E_KP_AMS_2050!O41+Bilan_E_KP_AMS_2050!O29</f>
        <v>4.780741280438523</v>
      </c>
    </row>
    <row r="56" spans="1:19">
      <c r="B56" s="1" t="s">
        <v>37</v>
      </c>
      <c r="E56" s="633">
        <f>Bilan_E_KP_AMS_2050!N41+Bilan_E_KP_AMS_2050!N29+Bilan_E_KP_AMS_2050!G41</f>
        <v>30.295802166304487</v>
      </c>
    </row>
    <row r="57" spans="1:19">
      <c r="B57" s="1" t="s">
        <v>31</v>
      </c>
      <c r="E57" s="633">
        <f>Bilan_E_KP_AMS_2050!T41</f>
        <v>35.496713960556022</v>
      </c>
    </row>
    <row r="58" spans="1:19">
      <c r="B58" s="1" t="s">
        <v>338</v>
      </c>
      <c r="E58" s="633">
        <f>Bilan_E_KP_AMS_2050!L41</f>
        <v>0.5962689327253029</v>
      </c>
    </row>
    <row r="59" spans="1:19">
      <c r="E59" s="634"/>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AF2C7-2BB9-4704-8CC8-A4539922BB7E}">
  <dimension ref="C2:AK441"/>
  <sheetViews>
    <sheetView zoomScale="70" zoomScaleNormal="70" workbookViewId="0">
      <selection activeCell="C8" sqref="C8:S8"/>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86</v>
      </c>
      <c r="D8" s="699"/>
      <c r="E8" s="699"/>
      <c r="F8" s="699"/>
      <c r="G8" s="699"/>
      <c r="H8" s="699"/>
      <c r="I8" s="699"/>
      <c r="J8" s="699"/>
      <c r="K8" s="699"/>
      <c r="L8" s="699"/>
      <c r="M8" s="699"/>
      <c r="N8" s="699"/>
      <c r="O8" s="699"/>
      <c r="P8" s="699"/>
      <c r="Q8" s="699"/>
      <c r="R8" s="699"/>
      <c r="S8" s="699"/>
      <c r="U8" s="699" t="s">
        <v>86</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9.7977867342210008</v>
      </c>
      <c r="F12" s="643">
        <v>0</v>
      </c>
      <c r="G12" s="642">
        <v>0.18111850000000002</v>
      </c>
      <c r="H12" s="643">
        <v>1072.2208090909091</v>
      </c>
      <c r="I12" s="643">
        <v>115.72304451809002</v>
      </c>
      <c r="J12" s="643">
        <v>114.24305924309452</v>
      </c>
      <c r="K12" s="643">
        <v>33.631608055405756</v>
      </c>
      <c r="L12" s="643">
        <v>0</v>
      </c>
      <c r="M12" s="643">
        <v>9.2815441223735728</v>
      </c>
      <c r="N12" s="643">
        <v>32.908596666666668</v>
      </c>
      <c r="O12" s="643">
        <v>8.1133079726239394</v>
      </c>
      <c r="P12" s="644">
        <v>0</v>
      </c>
      <c r="Q12" s="643">
        <v>0</v>
      </c>
      <c r="R12" s="643">
        <v>0</v>
      </c>
      <c r="S12" s="645">
        <v>1396.1008749033845</v>
      </c>
      <c r="U12" s="641" t="s">
        <v>59</v>
      </c>
      <c r="V12" s="642">
        <v>0</v>
      </c>
      <c r="W12" s="643">
        <v>9.7977867342210008</v>
      </c>
      <c r="X12" s="643">
        <v>0</v>
      </c>
      <c r="Y12" s="642">
        <v>0.18111850000000002</v>
      </c>
      <c r="Z12" s="643">
        <v>1072.2208090909091</v>
      </c>
      <c r="AA12" s="643">
        <v>115.72304451809002</v>
      </c>
      <c r="AB12" s="643">
        <v>114.24305924309452</v>
      </c>
      <c r="AC12" s="643">
        <v>33.631608055405756</v>
      </c>
      <c r="AD12" s="643">
        <v>0</v>
      </c>
      <c r="AE12" s="643">
        <v>9.2815441223735728</v>
      </c>
      <c r="AF12" s="643">
        <v>32.908596666666668</v>
      </c>
      <c r="AG12" s="643">
        <v>8.1133079726239394</v>
      </c>
      <c r="AH12" s="644">
        <v>0</v>
      </c>
      <c r="AI12" s="643">
        <v>0</v>
      </c>
      <c r="AJ12" s="643">
        <v>0</v>
      </c>
      <c r="AK12" s="645">
        <v>1396.1008749033845</v>
      </c>
    </row>
    <row r="13" spans="3:37" ht="13.5">
      <c r="C13" s="641" t="s">
        <v>60</v>
      </c>
      <c r="D13" s="642">
        <v>59.346560356893349</v>
      </c>
      <c r="E13" s="643">
        <v>394.73997109464659</v>
      </c>
      <c r="F13" s="643">
        <v>515.26337584814883</v>
      </c>
      <c r="G13" s="642">
        <v>479.42224425000006</v>
      </c>
      <c r="H13" s="643">
        <v>0</v>
      </c>
      <c r="I13" s="643">
        <v>0</v>
      </c>
      <c r="J13" s="643">
        <v>2.6631252777777781</v>
      </c>
      <c r="K13" s="643">
        <v>0</v>
      </c>
      <c r="L13" s="643">
        <v>13.962014778928699</v>
      </c>
      <c r="M13" s="643">
        <v>0</v>
      </c>
      <c r="N13" s="643">
        <v>0</v>
      </c>
      <c r="O13" s="643">
        <v>0</v>
      </c>
      <c r="P13" s="644">
        <v>19.536102</v>
      </c>
      <c r="Q13" s="643">
        <v>0</v>
      </c>
      <c r="R13" s="643">
        <v>0</v>
      </c>
      <c r="S13" s="645">
        <v>1484.9333936063952</v>
      </c>
      <c r="U13" s="641" t="s">
        <v>60</v>
      </c>
      <c r="V13" s="642">
        <v>59.346560356893349</v>
      </c>
      <c r="W13" s="643">
        <v>394.73997109464659</v>
      </c>
      <c r="X13" s="643">
        <v>515.26337584814883</v>
      </c>
      <c r="Y13" s="642">
        <v>479.42224425000006</v>
      </c>
      <c r="Z13" s="643">
        <v>0</v>
      </c>
      <c r="AA13" s="643">
        <v>0</v>
      </c>
      <c r="AB13" s="643">
        <v>2.6631252777777781</v>
      </c>
      <c r="AC13" s="643">
        <v>0</v>
      </c>
      <c r="AD13" s="643">
        <v>13.962014778928699</v>
      </c>
      <c r="AE13" s="643">
        <v>0</v>
      </c>
      <c r="AF13" s="643">
        <v>0</v>
      </c>
      <c r="AG13" s="643">
        <v>0</v>
      </c>
      <c r="AH13" s="644">
        <v>19.536102</v>
      </c>
      <c r="AI13" s="643">
        <v>0</v>
      </c>
      <c r="AJ13" s="643">
        <v>0</v>
      </c>
      <c r="AK13" s="645">
        <v>1484.9333936063952</v>
      </c>
    </row>
    <row r="14" spans="3:37" ht="13.5">
      <c r="C14" s="641" t="s">
        <v>61</v>
      </c>
      <c r="D14" s="642">
        <v>-9.6972882210000014E-2</v>
      </c>
      <c r="E14" s="643">
        <v>-1.4488664385590002</v>
      </c>
      <c r="F14" s="643">
        <v>-154.00833143808623</v>
      </c>
      <c r="G14" s="642">
        <v>-95.022441999999998</v>
      </c>
      <c r="H14" s="643">
        <v>0</v>
      </c>
      <c r="I14" s="643">
        <v>0</v>
      </c>
      <c r="J14" s="643">
        <v>-2.0287163888888888</v>
      </c>
      <c r="K14" s="643">
        <v>0</v>
      </c>
      <c r="L14" s="643">
        <v>-7.1333416709442901</v>
      </c>
      <c r="M14" s="643">
        <v>0</v>
      </c>
      <c r="N14" s="643">
        <v>0</v>
      </c>
      <c r="O14" s="643">
        <v>0</v>
      </c>
      <c r="P14" s="644">
        <v>-64.575296000000009</v>
      </c>
      <c r="Q14" s="643">
        <v>0</v>
      </c>
      <c r="R14" s="643">
        <v>0</v>
      </c>
      <c r="S14" s="645">
        <v>-324.31396681868836</v>
      </c>
      <c r="U14" s="641" t="s">
        <v>61</v>
      </c>
      <c r="V14" s="642">
        <v>-9.6972882210000014E-2</v>
      </c>
      <c r="W14" s="643">
        <v>-1.4488664385590002</v>
      </c>
      <c r="X14" s="643">
        <v>-154.00833143808623</v>
      </c>
      <c r="Y14" s="642">
        <v>-95.022441999999998</v>
      </c>
      <c r="Z14" s="643">
        <v>0</v>
      </c>
      <c r="AA14" s="643">
        <v>0</v>
      </c>
      <c r="AB14" s="643">
        <v>-2.0287163888888888</v>
      </c>
      <c r="AC14" s="643">
        <v>0</v>
      </c>
      <c r="AD14" s="643">
        <v>-7.1333416709442901</v>
      </c>
      <c r="AE14" s="643">
        <v>0</v>
      </c>
      <c r="AF14" s="643">
        <v>0</v>
      </c>
      <c r="AG14" s="643">
        <v>0</v>
      </c>
      <c r="AH14" s="644">
        <v>-64.575296000000009</v>
      </c>
      <c r="AI14" s="643">
        <v>0</v>
      </c>
      <c r="AJ14" s="643">
        <v>0</v>
      </c>
      <c r="AK14" s="645">
        <v>-324.31396681868836</v>
      </c>
    </row>
    <row r="15" spans="3:37" ht="13.5">
      <c r="C15" s="641" t="s">
        <v>62</v>
      </c>
      <c r="D15" s="642">
        <v>0</v>
      </c>
      <c r="E15" s="643">
        <v>0</v>
      </c>
      <c r="F15" s="643">
        <v>-11.254966292131096</v>
      </c>
      <c r="G15" s="642">
        <v>0</v>
      </c>
      <c r="H15" s="643">
        <v>0</v>
      </c>
      <c r="I15" s="643">
        <v>0</v>
      </c>
      <c r="J15" s="643">
        <v>0</v>
      </c>
      <c r="K15" s="643">
        <v>0</v>
      </c>
      <c r="L15" s="643">
        <v>0</v>
      </c>
      <c r="M15" s="643">
        <v>0</v>
      </c>
      <c r="N15" s="643">
        <v>0</v>
      </c>
      <c r="O15" s="643">
        <v>0</v>
      </c>
      <c r="P15" s="644">
        <v>0</v>
      </c>
      <c r="Q15" s="643">
        <v>0</v>
      </c>
      <c r="R15" s="643">
        <v>0</v>
      </c>
      <c r="S15" s="645">
        <v>-11.254966292131096</v>
      </c>
      <c r="U15" s="641" t="s">
        <v>62</v>
      </c>
      <c r="V15" s="642">
        <v>0</v>
      </c>
      <c r="W15" s="643">
        <v>0</v>
      </c>
      <c r="X15" s="643">
        <v>-11.254966292131096</v>
      </c>
      <c r="Y15" s="642">
        <v>0</v>
      </c>
      <c r="Z15" s="643">
        <v>0</v>
      </c>
      <c r="AA15" s="643">
        <v>0</v>
      </c>
      <c r="AB15" s="643">
        <v>0</v>
      </c>
      <c r="AC15" s="643">
        <v>0</v>
      </c>
      <c r="AD15" s="643">
        <v>0</v>
      </c>
      <c r="AE15" s="643">
        <v>0</v>
      </c>
      <c r="AF15" s="643">
        <v>0</v>
      </c>
      <c r="AG15" s="643">
        <v>0</v>
      </c>
      <c r="AH15" s="644">
        <v>0</v>
      </c>
      <c r="AI15" s="643">
        <v>0</v>
      </c>
      <c r="AJ15" s="643">
        <v>0</v>
      </c>
      <c r="AK15" s="645">
        <v>-11.254966292131096</v>
      </c>
    </row>
    <row r="16" spans="3:37" ht="13.5">
      <c r="C16" s="641" t="s">
        <v>63</v>
      </c>
      <c r="D16" s="642">
        <v>0</v>
      </c>
      <c r="E16" s="643">
        <v>0</v>
      </c>
      <c r="F16" s="643">
        <v>-37.45524104092592</v>
      </c>
      <c r="G16" s="642">
        <v>0</v>
      </c>
      <c r="H16" s="643">
        <v>0</v>
      </c>
      <c r="I16" s="643">
        <v>0</v>
      </c>
      <c r="J16" s="643">
        <v>0</v>
      </c>
      <c r="K16" s="643">
        <v>0</v>
      </c>
      <c r="L16" s="643">
        <v>0</v>
      </c>
      <c r="M16" s="643">
        <v>0</v>
      </c>
      <c r="N16" s="643">
        <v>0</v>
      </c>
      <c r="O16" s="643">
        <v>0</v>
      </c>
      <c r="P16" s="644">
        <v>0</v>
      </c>
      <c r="Q16" s="643">
        <v>0</v>
      </c>
      <c r="R16" s="643">
        <v>0</v>
      </c>
      <c r="S16" s="645">
        <v>-37.45524104092592</v>
      </c>
      <c r="U16" s="641" t="s">
        <v>63</v>
      </c>
      <c r="V16" s="642">
        <v>0</v>
      </c>
      <c r="W16" s="643">
        <v>0</v>
      </c>
      <c r="X16" s="643">
        <v>-37.45524104092592</v>
      </c>
      <c r="Y16" s="642">
        <v>0</v>
      </c>
      <c r="Z16" s="643">
        <v>0</v>
      </c>
      <c r="AA16" s="643">
        <v>0</v>
      </c>
      <c r="AB16" s="643">
        <v>0</v>
      </c>
      <c r="AC16" s="643">
        <v>0</v>
      </c>
      <c r="AD16" s="643">
        <v>0</v>
      </c>
      <c r="AE16" s="643">
        <v>0</v>
      </c>
      <c r="AF16" s="643">
        <v>0</v>
      </c>
      <c r="AG16" s="643">
        <v>0</v>
      </c>
      <c r="AH16" s="644">
        <v>0</v>
      </c>
      <c r="AI16" s="643">
        <v>0</v>
      </c>
      <c r="AJ16" s="643">
        <v>0</v>
      </c>
      <c r="AK16" s="645">
        <v>-37.45524104092592</v>
      </c>
    </row>
    <row r="17" spans="3:37" ht="13.5">
      <c r="C17" s="641" t="s">
        <v>64</v>
      </c>
      <c r="D17" s="642">
        <v>2.2754338241033341</v>
      </c>
      <c r="E17" s="643">
        <v>1.7895047303380001</v>
      </c>
      <c r="F17" s="643">
        <v>-1.4741451662241043</v>
      </c>
      <c r="G17" s="642">
        <v>21.247482000000002</v>
      </c>
      <c r="H17" s="643">
        <v>0</v>
      </c>
      <c r="I17" s="643">
        <v>0</v>
      </c>
      <c r="J17" s="643">
        <v>0</v>
      </c>
      <c r="K17" s="643">
        <v>0</v>
      </c>
      <c r="L17" s="643">
        <v>0</v>
      </c>
      <c r="M17" s="643">
        <v>0</v>
      </c>
      <c r="N17" s="643">
        <v>0</v>
      </c>
      <c r="O17" s="643">
        <v>0</v>
      </c>
      <c r="P17" s="644">
        <v>0</v>
      </c>
      <c r="Q17" s="643">
        <v>0</v>
      </c>
      <c r="R17" s="643">
        <v>0</v>
      </c>
      <c r="S17" s="645">
        <v>23.838275388217234</v>
      </c>
      <c r="U17" s="641" t="s">
        <v>64</v>
      </c>
      <c r="V17" s="642">
        <v>2.2754338241033341</v>
      </c>
      <c r="W17" s="643">
        <v>1.7895047303380001</v>
      </c>
      <c r="X17" s="643">
        <v>-1.4741451662241043</v>
      </c>
      <c r="Y17" s="642">
        <v>21.247482000000002</v>
      </c>
      <c r="Z17" s="643">
        <v>0</v>
      </c>
      <c r="AA17" s="643">
        <v>0</v>
      </c>
      <c r="AB17" s="643">
        <v>0</v>
      </c>
      <c r="AC17" s="643">
        <v>0</v>
      </c>
      <c r="AD17" s="643">
        <v>0</v>
      </c>
      <c r="AE17" s="643">
        <v>0</v>
      </c>
      <c r="AF17" s="643">
        <v>0</v>
      </c>
      <c r="AG17" s="643">
        <v>0</v>
      </c>
      <c r="AH17" s="644">
        <v>0</v>
      </c>
      <c r="AI17" s="643">
        <v>0</v>
      </c>
      <c r="AJ17" s="643">
        <v>0</v>
      </c>
      <c r="AK17" s="645">
        <v>23.838275388217234</v>
      </c>
    </row>
    <row r="18" spans="3:37" ht="13.5">
      <c r="C18" s="646" t="s">
        <v>65</v>
      </c>
      <c r="D18" s="647">
        <v>61.52502129878669</v>
      </c>
      <c r="E18" s="647">
        <v>404.87839612064664</v>
      </c>
      <c r="F18" s="647">
        <v>311.07069191078136</v>
      </c>
      <c r="G18" s="647">
        <v>405.82840275000007</v>
      </c>
      <c r="H18" s="647">
        <v>1072.2208090909091</v>
      </c>
      <c r="I18" s="647">
        <v>115.72304451809002</v>
      </c>
      <c r="J18" s="647">
        <v>114.87746813198341</v>
      </c>
      <c r="K18" s="647">
        <v>33.631608055405756</v>
      </c>
      <c r="L18" s="647">
        <v>6.8286731079844092</v>
      </c>
      <c r="M18" s="647">
        <v>9.2815441223735728</v>
      </c>
      <c r="N18" s="647">
        <v>32.908596666666668</v>
      </c>
      <c r="O18" s="647">
        <v>8.1133079726239394</v>
      </c>
      <c r="P18" s="647">
        <v>-45.039194000000009</v>
      </c>
      <c r="Q18" s="647">
        <v>0</v>
      </c>
      <c r="R18" s="647">
        <v>0</v>
      </c>
      <c r="S18" s="647">
        <v>2531.8483697462511</v>
      </c>
      <c r="U18" s="646" t="s">
        <v>65</v>
      </c>
      <c r="V18" s="647">
        <v>61.52502129878669</v>
      </c>
      <c r="W18" s="647">
        <v>404.87839612064664</v>
      </c>
      <c r="X18" s="647">
        <v>311.07069191078136</v>
      </c>
      <c r="Y18" s="647">
        <v>405.82840275000007</v>
      </c>
      <c r="Z18" s="647">
        <v>1072.2208090909091</v>
      </c>
      <c r="AA18" s="647">
        <v>115.72304451809002</v>
      </c>
      <c r="AB18" s="647">
        <v>114.87746813198341</v>
      </c>
      <c r="AC18" s="647">
        <v>33.631608055405756</v>
      </c>
      <c r="AD18" s="647">
        <v>6.8286731079844092</v>
      </c>
      <c r="AE18" s="647">
        <v>9.2815441223735728</v>
      </c>
      <c r="AF18" s="647">
        <v>32.908596666666668</v>
      </c>
      <c r="AG18" s="647">
        <v>8.1133079726239394</v>
      </c>
      <c r="AH18" s="647">
        <v>-45.039194000000009</v>
      </c>
      <c r="AI18" s="647">
        <v>0</v>
      </c>
      <c r="AJ18" s="647">
        <v>0</v>
      </c>
      <c r="AK18" s="647">
        <v>2531.8483697462511</v>
      </c>
    </row>
    <row r="19" spans="3:37" ht="13">
      <c r="C19" s="636"/>
      <c r="D19" s="636"/>
      <c r="E19" s="636"/>
      <c r="F19" s="636"/>
      <c r="G19" s="636"/>
      <c r="H19" s="636"/>
      <c r="I19" s="636"/>
      <c r="J19" s="636"/>
      <c r="K19" s="636"/>
      <c r="L19" s="636"/>
      <c r="M19" s="636"/>
      <c r="N19" s="636"/>
      <c r="O19" s="636"/>
      <c r="P19" s="636"/>
      <c r="Q19" s="636"/>
      <c r="R19" s="636"/>
      <c r="S19" s="636"/>
      <c r="U19" s="636"/>
      <c r="V19" s="636"/>
      <c r="W19" s="636"/>
      <c r="X19" s="636"/>
      <c r="Y19" s="636"/>
      <c r="Z19" s="636"/>
      <c r="AA19" s="636"/>
      <c r="AB19" s="636"/>
      <c r="AC19" s="636"/>
      <c r="AD19" s="636"/>
      <c r="AE19" s="636"/>
      <c r="AF19" s="636"/>
      <c r="AG19" s="636"/>
      <c r="AH19" s="636"/>
      <c r="AI19" s="636"/>
      <c r="AJ19" s="636"/>
      <c r="AK19" s="636"/>
    </row>
    <row r="20" spans="3:37" ht="13.5">
      <c r="C20" s="648" t="s">
        <v>67</v>
      </c>
      <c r="D20" s="642">
        <v>-3.1696853392377875</v>
      </c>
      <c r="E20" s="649">
        <v>7.594656734105321</v>
      </c>
      <c r="F20" s="649">
        <v>3.8234994290490683</v>
      </c>
      <c r="G20" s="642">
        <v>-0.68950250000000013</v>
      </c>
      <c r="H20" s="642">
        <v>0</v>
      </c>
      <c r="I20" s="642">
        <v>0</v>
      </c>
      <c r="J20" s="642">
        <v>0</v>
      </c>
      <c r="K20" s="642">
        <v>0</v>
      </c>
      <c r="L20" s="642">
        <v>0</v>
      </c>
      <c r="M20" s="642">
        <v>0</v>
      </c>
      <c r="N20" s="642">
        <v>0</v>
      </c>
      <c r="O20" s="642">
        <v>0</v>
      </c>
      <c r="P20" s="642">
        <v>2.0843062301020092</v>
      </c>
      <c r="Q20" s="642">
        <v>0</v>
      </c>
      <c r="R20" s="642">
        <v>0</v>
      </c>
      <c r="S20" s="650">
        <v>9.6432745540186122</v>
      </c>
      <c r="U20" s="648" t="s">
        <v>67</v>
      </c>
      <c r="V20" s="642">
        <v>-3.1696853392377875</v>
      </c>
      <c r="W20" s="649">
        <v>7.594656734105321</v>
      </c>
      <c r="X20" s="649">
        <v>3.8234994290490683</v>
      </c>
      <c r="Y20" s="642">
        <v>-0.68950250000000013</v>
      </c>
      <c r="Z20" s="642">
        <v>0</v>
      </c>
      <c r="AA20" s="642">
        <v>0</v>
      </c>
      <c r="AB20" s="642">
        <v>0</v>
      </c>
      <c r="AC20" s="642">
        <v>0</v>
      </c>
      <c r="AD20" s="642">
        <v>0</v>
      </c>
      <c r="AE20" s="642">
        <v>0</v>
      </c>
      <c r="AF20" s="642">
        <v>0</v>
      </c>
      <c r="AG20" s="642">
        <v>0</v>
      </c>
      <c r="AH20" s="642">
        <v>2.0843062301020092</v>
      </c>
      <c r="AI20" s="642">
        <v>0</v>
      </c>
      <c r="AJ20" s="642">
        <v>0</v>
      </c>
      <c r="AK20" s="650">
        <v>9.6432745540186122</v>
      </c>
    </row>
    <row r="21" spans="3:37" ht="13.5">
      <c r="C21" s="648" t="s">
        <v>350</v>
      </c>
      <c r="D21" s="642">
        <v>14.864431241687887</v>
      </c>
      <c r="E21" s="642">
        <v>0</v>
      </c>
      <c r="F21" s="642">
        <v>13.418152502737103</v>
      </c>
      <c r="G21" s="642">
        <v>55.436136268601025</v>
      </c>
      <c r="H21" s="642">
        <v>1072.2208090909091</v>
      </c>
      <c r="I21" s="642">
        <v>115.67142051809002</v>
      </c>
      <c r="J21" s="651">
        <v>17.347825951117827</v>
      </c>
      <c r="K21" s="651">
        <v>11.678824122543197</v>
      </c>
      <c r="L21" s="651">
        <v>0</v>
      </c>
      <c r="M21" s="651">
        <v>5.2886919634287652</v>
      </c>
      <c r="N21" s="651">
        <v>0</v>
      </c>
      <c r="O21" s="651">
        <v>1.3922112325408571</v>
      </c>
      <c r="P21" s="642">
        <v>-527.28039181222232</v>
      </c>
      <c r="Q21" s="642">
        <v>0</v>
      </c>
      <c r="R21" s="642">
        <v>0</v>
      </c>
      <c r="S21" s="650">
        <v>780.03811107943307</v>
      </c>
      <c r="U21" s="648" t="s">
        <v>350</v>
      </c>
      <c r="V21" s="642">
        <v>14.864431241687887</v>
      </c>
      <c r="W21" s="642">
        <v>0</v>
      </c>
      <c r="X21" s="642">
        <v>13.418152502737103</v>
      </c>
      <c r="Y21" s="642">
        <v>55.436136268601025</v>
      </c>
      <c r="Z21" s="642">
        <v>1072.2208090909091</v>
      </c>
      <c r="AA21" s="642">
        <v>115.67142051809002</v>
      </c>
      <c r="AB21" s="651">
        <v>17.347825951117827</v>
      </c>
      <c r="AC21" s="651">
        <v>11.678824122543197</v>
      </c>
      <c r="AD21" s="651">
        <v>0</v>
      </c>
      <c r="AE21" s="651">
        <v>5.2886919634287652</v>
      </c>
      <c r="AF21" s="651">
        <v>0</v>
      </c>
      <c r="AG21" s="651">
        <v>1.3922112325408571</v>
      </c>
      <c r="AH21" s="642">
        <v>-527.28039181222232</v>
      </c>
      <c r="AI21" s="642">
        <v>0</v>
      </c>
      <c r="AJ21" s="642">
        <v>0</v>
      </c>
      <c r="AK21" s="650">
        <v>780.03811107943307</v>
      </c>
    </row>
    <row r="22" spans="3:37" ht="13.5">
      <c r="C22" s="648" t="s">
        <v>351</v>
      </c>
      <c r="D22" s="642">
        <v>1.5729367626898902</v>
      </c>
      <c r="E22" s="642">
        <v>0</v>
      </c>
      <c r="F22" s="642">
        <v>0.20358189452574635</v>
      </c>
      <c r="G22" s="642">
        <v>21.08911448139898</v>
      </c>
      <c r="H22" s="642">
        <v>0</v>
      </c>
      <c r="I22" s="642">
        <v>0</v>
      </c>
      <c r="J22" s="651">
        <v>7.8982729217883261</v>
      </c>
      <c r="K22" s="651">
        <v>16.49482411485047</v>
      </c>
      <c r="L22" s="651">
        <v>0</v>
      </c>
      <c r="M22" s="651">
        <v>3.0673174902469076</v>
      </c>
      <c r="N22" s="651">
        <v>0.25705111111111106</v>
      </c>
      <c r="O22" s="651">
        <v>3.9939867016268904</v>
      </c>
      <c r="P22" s="642">
        <v>0</v>
      </c>
      <c r="Q22" s="642">
        <v>-45.831488617908406</v>
      </c>
      <c r="R22" s="642">
        <v>0</v>
      </c>
      <c r="S22" s="650">
        <v>8.7455968603299254</v>
      </c>
      <c r="U22" s="648" t="s">
        <v>351</v>
      </c>
      <c r="V22" s="642">
        <v>1.5729367626898902</v>
      </c>
      <c r="W22" s="642">
        <v>0</v>
      </c>
      <c r="X22" s="642">
        <v>0.20358189452574635</v>
      </c>
      <c r="Y22" s="642">
        <v>21.08911448139898</v>
      </c>
      <c r="Z22" s="642">
        <v>0</v>
      </c>
      <c r="AA22" s="642">
        <v>0</v>
      </c>
      <c r="AB22" s="651">
        <v>7.8982729217883261</v>
      </c>
      <c r="AC22" s="651">
        <v>16.49482411485047</v>
      </c>
      <c r="AD22" s="651">
        <v>0</v>
      </c>
      <c r="AE22" s="651">
        <v>3.0673174902469076</v>
      </c>
      <c r="AF22" s="651">
        <v>0.25705111111111106</v>
      </c>
      <c r="AG22" s="651">
        <v>3.9939867016268904</v>
      </c>
      <c r="AH22" s="642">
        <v>0</v>
      </c>
      <c r="AI22" s="642">
        <v>-45.831488617908406</v>
      </c>
      <c r="AJ22" s="642">
        <v>0</v>
      </c>
      <c r="AK22" s="650">
        <v>8.7455968603299254</v>
      </c>
    </row>
    <row r="23" spans="3:37" ht="13.5">
      <c r="C23" s="648" t="s">
        <v>352</v>
      </c>
      <c r="D23" s="642">
        <v>0</v>
      </c>
      <c r="E23" s="642">
        <v>0</v>
      </c>
      <c r="F23" s="642">
        <v>0</v>
      </c>
      <c r="G23" s="642">
        <v>0</v>
      </c>
      <c r="H23" s="642">
        <v>0</v>
      </c>
      <c r="I23" s="642">
        <v>0</v>
      </c>
      <c r="J23" s="652">
        <v>0</v>
      </c>
      <c r="K23" s="652">
        <v>0</v>
      </c>
      <c r="L23" s="652">
        <v>0</v>
      </c>
      <c r="M23" s="652">
        <v>-1.9873640000000001</v>
      </c>
      <c r="N23" s="652">
        <v>0</v>
      </c>
      <c r="O23" s="652">
        <v>0</v>
      </c>
      <c r="P23" s="642">
        <v>0</v>
      </c>
      <c r="Q23" s="642">
        <v>0</v>
      </c>
      <c r="R23" s="642">
        <v>0</v>
      </c>
      <c r="S23" s="650">
        <v>-1.9873640000000001</v>
      </c>
      <c r="U23" s="648" t="s">
        <v>352</v>
      </c>
      <c r="V23" s="642">
        <v>0</v>
      </c>
      <c r="W23" s="642">
        <v>0</v>
      </c>
      <c r="X23" s="642">
        <v>0</v>
      </c>
      <c r="Y23" s="642">
        <v>0</v>
      </c>
      <c r="Z23" s="642">
        <v>0</v>
      </c>
      <c r="AA23" s="642">
        <v>0</v>
      </c>
      <c r="AB23" s="652">
        <v>0</v>
      </c>
      <c r="AC23" s="652">
        <v>0</v>
      </c>
      <c r="AD23" s="652">
        <v>0</v>
      </c>
      <c r="AE23" s="652">
        <v>-1.9873640000000001</v>
      </c>
      <c r="AF23" s="652">
        <v>0</v>
      </c>
      <c r="AG23" s="652">
        <v>0</v>
      </c>
      <c r="AH23" s="642">
        <v>0</v>
      </c>
      <c r="AI23" s="642">
        <v>0</v>
      </c>
      <c r="AJ23" s="642">
        <v>0</v>
      </c>
      <c r="AK23" s="650">
        <v>-1.9873640000000001</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440.59076600316865</v>
      </c>
      <c r="F25" s="642">
        <v>-437.66600779015403</v>
      </c>
      <c r="G25" s="642">
        <v>0</v>
      </c>
      <c r="H25" s="642">
        <v>0</v>
      </c>
      <c r="I25" s="642">
        <v>0</v>
      </c>
      <c r="J25" s="642">
        <v>0</v>
      </c>
      <c r="K25" s="642">
        <v>0</v>
      </c>
      <c r="L25" s="642">
        <v>0</v>
      </c>
      <c r="M25" s="642">
        <v>0</v>
      </c>
      <c r="N25" s="642">
        <v>0</v>
      </c>
      <c r="O25" s="642">
        <v>0</v>
      </c>
      <c r="P25" s="642">
        <v>0</v>
      </c>
      <c r="Q25" s="642">
        <v>0</v>
      </c>
      <c r="R25" s="642">
        <v>0</v>
      </c>
      <c r="S25" s="650">
        <v>2.9247582130146133</v>
      </c>
      <c r="U25" s="648" t="s">
        <v>72</v>
      </c>
      <c r="V25" s="642">
        <v>0</v>
      </c>
      <c r="W25" s="642">
        <v>440.59076600316865</v>
      </c>
      <c r="X25" s="642">
        <v>-437.66600779015403</v>
      </c>
      <c r="Y25" s="642">
        <v>0</v>
      </c>
      <c r="Z25" s="642">
        <v>0</v>
      </c>
      <c r="AA25" s="642">
        <v>0</v>
      </c>
      <c r="AB25" s="642">
        <v>0</v>
      </c>
      <c r="AC25" s="642">
        <v>0</v>
      </c>
      <c r="AD25" s="642">
        <v>0</v>
      </c>
      <c r="AE25" s="642">
        <v>0</v>
      </c>
      <c r="AF25" s="642">
        <v>0</v>
      </c>
      <c r="AG25" s="642">
        <v>0</v>
      </c>
      <c r="AH25" s="642">
        <v>0</v>
      </c>
      <c r="AI25" s="642">
        <v>0</v>
      </c>
      <c r="AJ25" s="642">
        <v>0</v>
      </c>
      <c r="AK25" s="650">
        <v>2.9247582130146133</v>
      </c>
    </row>
    <row r="26" spans="3:37" ht="13.5">
      <c r="C26" s="648" t="s">
        <v>354</v>
      </c>
      <c r="D26" s="642">
        <v>0</v>
      </c>
      <c r="E26" s="642">
        <v>0</v>
      </c>
      <c r="F26" s="642">
        <v>0</v>
      </c>
      <c r="G26" s="642">
        <v>0</v>
      </c>
      <c r="H26" s="642">
        <v>0</v>
      </c>
      <c r="I26" s="642">
        <v>0</v>
      </c>
      <c r="J26" s="642">
        <v>0</v>
      </c>
      <c r="K26" s="642">
        <v>0</v>
      </c>
      <c r="L26" s="642">
        <v>-27.31624937979873</v>
      </c>
      <c r="M26" s="642">
        <v>0</v>
      </c>
      <c r="N26" s="642">
        <v>0</v>
      </c>
      <c r="O26" s="642">
        <v>0</v>
      </c>
      <c r="P26" s="642">
        <v>0</v>
      </c>
      <c r="Q26" s="642">
        <v>0</v>
      </c>
      <c r="R26" s="642">
        <v>0</v>
      </c>
      <c r="S26" s="650">
        <v>-27.31624937979873</v>
      </c>
      <c r="U26" s="648" t="s">
        <v>354</v>
      </c>
      <c r="V26" s="642">
        <v>0</v>
      </c>
      <c r="W26" s="642">
        <v>0</v>
      </c>
      <c r="X26" s="642">
        <v>0</v>
      </c>
      <c r="Y26" s="642">
        <v>0</v>
      </c>
      <c r="Z26" s="642">
        <v>0</v>
      </c>
      <c r="AA26" s="642">
        <v>0</v>
      </c>
      <c r="AB26" s="642">
        <v>0</v>
      </c>
      <c r="AC26" s="642">
        <v>0</v>
      </c>
      <c r="AD26" s="642">
        <v>-27.31624937979873</v>
      </c>
      <c r="AE26" s="642">
        <v>0</v>
      </c>
      <c r="AF26" s="642">
        <v>0</v>
      </c>
      <c r="AG26" s="642">
        <v>0</v>
      </c>
      <c r="AH26" s="642">
        <v>0</v>
      </c>
      <c r="AI26" s="642">
        <v>0</v>
      </c>
      <c r="AJ26" s="642">
        <v>0</v>
      </c>
      <c r="AK26" s="650">
        <v>-27.31624937979873</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0</v>
      </c>
      <c r="AE27" s="642">
        <v>0</v>
      </c>
      <c r="AF27" s="642">
        <v>0</v>
      </c>
      <c r="AG27" s="642">
        <v>0</v>
      </c>
      <c r="AH27" s="642">
        <v>0</v>
      </c>
      <c r="AI27" s="642">
        <v>0</v>
      </c>
      <c r="AJ27" s="642">
        <v>0</v>
      </c>
      <c r="AK27" s="650">
        <v>0</v>
      </c>
    </row>
    <row r="28" spans="3:37" ht="13.5">
      <c r="C28" s="648" t="s">
        <v>73</v>
      </c>
      <c r="D28" s="642">
        <v>0</v>
      </c>
      <c r="E28" s="642">
        <v>0</v>
      </c>
      <c r="F28" s="642">
        <v>0</v>
      </c>
      <c r="G28" s="642">
        <v>0</v>
      </c>
      <c r="H28" s="642">
        <v>0</v>
      </c>
      <c r="I28" s="642">
        <v>0</v>
      </c>
      <c r="J28" s="642">
        <v>0</v>
      </c>
      <c r="K28" s="642">
        <v>0</v>
      </c>
      <c r="L28" s="642">
        <v>0</v>
      </c>
      <c r="M28" s="642">
        <v>0</v>
      </c>
      <c r="N28" s="642">
        <v>0</v>
      </c>
      <c r="O28" s="642">
        <v>0</v>
      </c>
      <c r="P28" s="642">
        <v>0</v>
      </c>
      <c r="Q28" s="642">
        <v>0</v>
      </c>
      <c r="R28" s="642">
        <v>0</v>
      </c>
      <c r="S28" s="650">
        <v>0</v>
      </c>
      <c r="U28" s="648" t="s">
        <v>73</v>
      </c>
      <c r="V28" s="642">
        <v>0</v>
      </c>
      <c r="W28" s="642">
        <v>0</v>
      </c>
      <c r="X28" s="642">
        <v>0</v>
      </c>
      <c r="Y28" s="642">
        <v>0</v>
      </c>
      <c r="Z28" s="642">
        <v>0</v>
      </c>
      <c r="AA28" s="642">
        <v>0</v>
      </c>
      <c r="AB28" s="642">
        <v>0</v>
      </c>
      <c r="AC28" s="642">
        <v>0</v>
      </c>
      <c r="AD28" s="642">
        <v>0</v>
      </c>
      <c r="AE28" s="642">
        <v>0</v>
      </c>
      <c r="AF28" s="642">
        <v>0</v>
      </c>
      <c r="AG28" s="642">
        <v>0</v>
      </c>
      <c r="AH28" s="642">
        <v>0</v>
      </c>
      <c r="AI28" s="642">
        <v>0</v>
      </c>
      <c r="AJ28" s="642">
        <v>0</v>
      </c>
      <c r="AK28" s="650">
        <v>0</v>
      </c>
    </row>
    <row r="29" spans="3:37" ht="13.5">
      <c r="C29" s="648" t="s">
        <v>356</v>
      </c>
      <c r="D29" s="642">
        <v>24.856875540426671</v>
      </c>
      <c r="E29" s="642">
        <v>-42.586921310488997</v>
      </c>
      <c r="F29" s="642">
        <v>41.670112128488995</v>
      </c>
      <c r="G29" s="642">
        <v>0</v>
      </c>
      <c r="H29" s="642">
        <v>0</v>
      </c>
      <c r="I29" s="642">
        <v>0</v>
      </c>
      <c r="J29" s="642">
        <v>0</v>
      </c>
      <c r="K29" s="642">
        <v>0</v>
      </c>
      <c r="L29" s="642">
        <v>0</v>
      </c>
      <c r="M29" s="642">
        <v>0</v>
      </c>
      <c r="N29" s="642">
        <v>0</v>
      </c>
      <c r="O29" s="642">
        <v>0</v>
      </c>
      <c r="P29" s="642">
        <v>0</v>
      </c>
      <c r="Q29" s="642">
        <v>0</v>
      </c>
      <c r="R29" s="642">
        <v>0</v>
      </c>
      <c r="S29" s="650">
        <v>23.94006635842667</v>
      </c>
      <c r="U29" s="648" t="s">
        <v>356</v>
      </c>
      <c r="V29" s="642">
        <v>24.856875540426671</v>
      </c>
      <c r="W29" s="642">
        <v>-42.586921310488997</v>
      </c>
      <c r="X29" s="642">
        <v>41.670112128488995</v>
      </c>
      <c r="Y29" s="642">
        <v>0</v>
      </c>
      <c r="Z29" s="642">
        <v>0</v>
      </c>
      <c r="AA29" s="642">
        <v>0</v>
      </c>
      <c r="AB29" s="642">
        <v>0</v>
      </c>
      <c r="AC29" s="642">
        <v>0</v>
      </c>
      <c r="AD29" s="642">
        <v>0</v>
      </c>
      <c r="AE29" s="642">
        <v>0</v>
      </c>
      <c r="AF29" s="642">
        <v>0</v>
      </c>
      <c r="AG29" s="642">
        <v>0</v>
      </c>
      <c r="AH29" s="642">
        <v>0</v>
      </c>
      <c r="AI29" s="642">
        <v>0</v>
      </c>
      <c r="AJ29" s="642">
        <v>0</v>
      </c>
      <c r="AK29" s="650">
        <v>23.94006635842667</v>
      </c>
    </row>
    <row r="30" spans="3:37" ht="13.5">
      <c r="C30" s="648" t="s">
        <v>75</v>
      </c>
      <c r="D30" s="642">
        <v>10.864485000000002</v>
      </c>
      <c r="E30" s="642">
        <v>0</v>
      </c>
      <c r="F30" s="642">
        <v>12.156002809978</v>
      </c>
      <c r="G30" s="642">
        <v>6.2612449999999988</v>
      </c>
      <c r="H30" s="642">
        <v>0</v>
      </c>
      <c r="I30" s="642">
        <v>0</v>
      </c>
      <c r="J30" s="642">
        <v>0</v>
      </c>
      <c r="K30" s="642">
        <v>0</v>
      </c>
      <c r="L30" s="642">
        <v>0</v>
      </c>
      <c r="M30" s="642">
        <v>0</v>
      </c>
      <c r="N30" s="642">
        <v>0</v>
      </c>
      <c r="O30" s="642">
        <v>0</v>
      </c>
      <c r="P30" s="642">
        <v>32.903944582120353</v>
      </c>
      <c r="Q30" s="642">
        <v>0</v>
      </c>
      <c r="R30" s="642">
        <v>0</v>
      </c>
      <c r="S30" s="650">
        <v>62.185677392098349</v>
      </c>
      <c r="U30" s="648" t="s">
        <v>75</v>
      </c>
      <c r="V30" s="642">
        <v>10.864485000000002</v>
      </c>
      <c r="W30" s="642">
        <v>0</v>
      </c>
      <c r="X30" s="642">
        <v>12.156002809978</v>
      </c>
      <c r="Y30" s="642">
        <v>6.2612449999999988</v>
      </c>
      <c r="Z30" s="642">
        <v>0</v>
      </c>
      <c r="AA30" s="642">
        <v>0</v>
      </c>
      <c r="AB30" s="642">
        <v>0</v>
      </c>
      <c r="AC30" s="642">
        <v>0</v>
      </c>
      <c r="AD30" s="642">
        <v>0</v>
      </c>
      <c r="AE30" s="642">
        <v>0</v>
      </c>
      <c r="AF30" s="642">
        <v>0</v>
      </c>
      <c r="AG30" s="642">
        <v>0</v>
      </c>
      <c r="AH30" s="642">
        <v>32.903944582120353</v>
      </c>
      <c r="AI30" s="642">
        <v>0</v>
      </c>
      <c r="AJ30" s="642">
        <v>0</v>
      </c>
      <c r="AK30" s="650">
        <v>62.185677392098349</v>
      </c>
    </row>
    <row r="31" spans="3:37" ht="13.5">
      <c r="C31" s="648" t="s">
        <v>76</v>
      </c>
      <c r="D31" s="642">
        <v>0</v>
      </c>
      <c r="E31" s="642">
        <v>0</v>
      </c>
      <c r="F31" s="642">
        <v>0</v>
      </c>
      <c r="G31" s="642">
        <v>3.9080132499999998</v>
      </c>
      <c r="H31" s="642">
        <v>0</v>
      </c>
      <c r="I31" s="642">
        <v>0</v>
      </c>
      <c r="J31" s="642">
        <v>0</v>
      </c>
      <c r="K31" s="642">
        <v>0</v>
      </c>
      <c r="L31" s="642">
        <v>0</v>
      </c>
      <c r="M31" s="642">
        <v>0</v>
      </c>
      <c r="N31" s="642">
        <v>0</v>
      </c>
      <c r="O31" s="642">
        <v>0</v>
      </c>
      <c r="P31" s="642">
        <v>35.893531999999993</v>
      </c>
      <c r="Q31" s="642">
        <v>4.1669160064579911</v>
      </c>
      <c r="R31" s="642">
        <v>0</v>
      </c>
      <c r="S31" s="650">
        <v>43.968461256457985</v>
      </c>
      <c r="U31" s="648" t="s">
        <v>76</v>
      </c>
      <c r="V31" s="642">
        <v>0</v>
      </c>
      <c r="W31" s="642">
        <v>0</v>
      </c>
      <c r="X31" s="642">
        <v>0</v>
      </c>
      <c r="Y31" s="642">
        <v>3.9080132499999998</v>
      </c>
      <c r="Z31" s="642">
        <v>0</v>
      </c>
      <c r="AA31" s="642">
        <v>0</v>
      </c>
      <c r="AB31" s="642">
        <v>0</v>
      </c>
      <c r="AC31" s="642">
        <v>0</v>
      </c>
      <c r="AD31" s="642">
        <v>0</v>
      </c>
      <c r="AE31" s="642">
        <v>0</v>
      </c>
      <c r="AF31" s="642">
        <v>0</v>
      </c>
      <c r="AG31" s="642">
        <v>0</v>
      </c>
      <c r="AH31" s="642">
        <v>35.893531999999993</v>
      </c>
      <c r="AI31" s="642">
        <v>4.1669160064579911</v>
      </c>
      <c r="AJ31" s="642">
        <v>0</v>
      </c>
      <c r="AK31" s="650">
        <v>43.968461256457985</v>
      </c>
    </row>
    <row r="32" spans="3:37" ht="13.5">
      <c r="C32" s="646" t="s">
        <v>77</v>
      </c>
      <c r="D32" s="647">
        <v>48.989043205566666</v>
      </c>
      <c r="E32" s="647">
        <v>405.59850142678499</v>
      </c>
      <c r="F32" s="647">
        <v>-366.39465902537506</v>
      </c>
      <c r="G32" s="647">
        <v>86.005006499999993</v>
      </c>
      <c r="H32" s="647">
        <v>1072.2208090909091</v>
      </c>
      <c r="I32" s="647">
        <v>115.67142051809002</v>
      </c>
      <c r="J32" s="647">
        <v>25.246098872906153</v>
      </c>
      <c r="K32" s="647">
        <v>28.173648237393667</v>
      </c>
      <c r="L32" s="647">
        <v>-27.31624937979873</v>
      </c>
      <c r="M32" s="647">
        <v>6.3686454536756729</v>
      </c>
      <c r="N32" s="647">
        <v>0.25705111111111106</v>
      </c>
      <c r="O32" s="647">
        <v>5.3861979341677468</v>
      </c>
      <c r="P32" s="647">
        <v>-456.39860899999991</v>
      </c>
      <c r="Q32" s="647">
        <v>-41.66457261145041</v>
      </c>
      <c r="R32" s="647">
        <v>0</v>
      </c>
      <c r="S32" s="647">
        <v>902.14233233398068</v>
      </c>
      <c r="U32" s="646" t="s">
        <v>77</v>
      </c>
      <c r="V32" s="647">
        <v>48.989043205566666</v>
      </c>
      <c r="W32" s="647">
        <v>405.59850142678499</v>
      </c>
      <c r="X32" s="647">
        <v>-366.39465902537506</v>
      </c>
      <c r="Y32" s="647">
        <v>86.005006499999993</v>
      </c>
      <c r="Z32" s="647">
        <v>1072.2208090909091</v>
      </c>
      <c r="AA32" s="647">
        <v>115.67142051809002</v>
      </c>
      <c r="AB32" s="647">
        <v>25.246098872906153</v>
      </c>
      <c r="AC32" s="647">
        <v>28.173648237393667</v>
      </c>
      <c r="AD32" s="647">
        <v>-27.31624937979873</v>
      </c>
      <c r="AE32" s="647">
        <v>6.3686454536756729</v>
      </c>
      <c r="AF32" s="647">
        <v>0.25705111111111106</v>
      </c>
      <c r="AG32" s="647">
        <v>5.3861979341677468</v>
      </c>
      <c r="AH32" s="647">
        <v>-456.39860899999991</v>
      </c>
      <c r="AI32" s="647">
        <v>-41.66457261145041</v>
      </c>
      <c r="AJ32" s="647">
        <v>0</v>
      </c>
      <c r="AK32" s="647">
        <v>902.14233233398068</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9.103168484740003</v>
      </c>
      <c r="E34" s="642">
        <v>0</v>
      </c>
      <c r="F34" s="642">
        <v>30.742620872292591</v>
      </c>
      <c r="G34" s="642">
        <v>115.67477925</v>
      </c>
      <c r="H34" s="642">
        <v>0</v>
      </c>
      <c r="I34" s="642">
        <v>0</v>
      </c>
      <c r="J34" s="642">
        <v>15.652087601653344</v>
      </c>
      <c r="K34" s="642">
        <v>3.5686448746488644</v>
      </c>
      <c r="L34" s="642">
        <v>1.0751813257923004</v>
      </c>
      <c r="M34" s="642">
        <v>0.92719655758676645</v>
      </c>
      <c r="N34" s="642">
        <v>0</v>
      </c>
      <c r="O34" s="642">
        <v>1.540935583552362E-2</v>
      </c>
      <c r="P34" s="642">
        <v>105.80333299999998</v>
      </c>
      <c r="Q34" s="642">
        <v>17.474535389228187</v>
      </c>
      <c r="R34" s="642">
        <v>0</v>
      </c>
      <c r="S34" s="650">
        <v>300.03695671177758</v>
      </c>
      <c r="U34" s="648" t="s">
        <v>78</v>
      </c>
      <c r="V34" s="642">
        <v>9.103168484740003</v>
      </c>
      <c r="W34" s="642">
        <v>0</v>
      </c>
      <c r="X34" s="642">
        <v>30.742620872292591</v>
      </c>
      <c r="Y34" s="642">
        <v>115.67477925</v>
      </c>
      <c r="Z34" s="642">
        <v>0</v>
      </c>
      <c r="AA34" s="642">
        <v>0</v>
      </c>
      <c r="AB34" s="642">
        <v>15.652087601653344</v>
      </c>
      <c r="AC34" s="642">
        <v>3.5686448746488644</v>
      </c>
      <c r="AD34" s="642">
        <v>1.0751813257923004</v>
      </c>
      <c r="AE34" s="642">
        <v>0.92719655758676645</v>
      </c>
      <c r="AF34" s="642">
        <v>0</v>
      </c>
      <c r="AG34" s="642">
        <v>1.540935583552362E-2</v>
      </c>
      <c r="AH34" s="642">
        <v>105.80333299999998</v>
      </c>
      <c r="AI34" s="642">
        <v>17.474535389228187</v>
      </c>
      <c r="AJ34" s="642">
        <v>0</v>
      </c>
      <c r="AK34" s="650">
        <v>300.03695671177758</v>
      </c>
    </row>
    <row r="35" spans="3:37" ht="13.5">
      <c r="C35" s="648" t="s">
        <v>79</v>
      </c>
      <c r="D35" s="642">
        <v>0</v>
      </c>
      <c r="E35" s="642">
        <v>0</v>
      </c>
      <c r="F35" s="642">
        <v>396.20072754031048</v>
      </c>
      <c r="G35" s="642">
        <v>2.2477145000000003</v>
      </c>
      <c r="H35" s="642">
        <v>0</v>
      </c>
      <c r="I35" s="642">
        <v>0</v>
      </c>
      <c r="J35" s="642">
        <v>0</v>
      </c>
      <c r="K35" s="642">
        <v>0</v>
      </c>
      <c r="L35" s="642">
        <v>30.751352031352695</v>
      </c>
      <c r="M35" s="642">
        <v>0</v>
      </c>
      <c r="N35" s="642">
        <v>0</v>
      </c>
      <c r="O35" s="642">
        <v>0</v>
      </c>
      <c r="P35" s="642">
        <v>8.3371990700000005</v>
      </c>
      <c r="Q35" s="642">
        <v>0</v>
      </c>
      <c r="R35" s="642">
        <v>0</v>
      </c>
      <c r="S35" s="650">
        <v>437.53699314166312</v>
      </c>
      <c r="U35" s="648" t="s">
        <v>79</v>
      </c>
      <c r="V35" s="642">
        <v>0</v>
      </c>
      <c r="W35" s="642">
        <v>0</v>
      </c>
      <c r="X35" s="642">
        <v>396.20072754031048</v>
      </c>
      <c r="Y35" s="642">
        <v>2.2477145000000003</v>
      </c>
      <c r="Z35" s="642">
        <v>0</v>
      </c>
      <c r="AA35" s="642">
        <v>0</v>
      </c>
      <c r="AB35" s="642">
        <v>0</v>
      </c>
      <c r="AC35" s="642">
        <v>0</v>
      </c>
      <c r="AD35" s="642">
        <v>30.751352031352695</v>
      </c>
      <c r="AE35" s="642">
        <v>0</v>
      </c>
      <c r="AF35" s="642">
        <v>0</v>
      </c>
      <c r="AG35" s="642">
        <v>0</v>
      </c>
      <c r="AH35" s="642">
        <v>8.3371990700000005</v>
      </c>
      <c r="AI35" s="642">
        <v>0</v>
      </c>
      <c r="AJ35" s="642">
        <v>0</v>
      </c>
      <c r="AK35" s="650">
        <v>437.53699314166312</v>
      </c>
    </row>
    <row r="36" spans="3:37" ht="13.5">
      <c r="C36" s="648" t="s">
        <v>80</v>
      </c>
      <c r="D36" s="642">
        <v>0.24074954804999998</v>
      </c>
      <c r="E36" s="642">
        <v>0</v>
      </c>
      <c r="F36" s="642">
        <v>50.312051197940285</v>
      </c>
      <c r="G36" s="642">
        <v>125.05981225000002</v>
      </c>
      <c r="H36" s="642">
        <v>0</v>
      </c>
      <c r="I36" s="642">
        <v>0</v>
      </c>
      <c r="J36" s="642">
        <v>69.406708888888886</v>
      </c>
      <c r="K36" s="642">
        <v>0</v>
      </c>
      <c r="L36" s="642">
        <v>0</v>
      </c>
      <c r="M36" s="642">
        <v>0</v>
      </c>
      <c r="N36" s="642">
        <v>28.099863055555552</v>
      </c>
      <c r="O36" s="642">
        <v>2.0645206826866662</v>
      </c>
      <c r="P36" s="642">
        <v>161.49853200000001</v>
      </c>
      <c r="Q36" s="642">
        <v>14.411899999999999</v>
      </c>
      <c r="R36" s="642">
        <v>0</v>
      </c>
      <c r="S36" s="650">
        <v>451.09413762312141</v>
      </c>
      <c r="U36" s="648" t="s">
        <v>80</v>
      </c>
      <c r="V36" s="642">
        <v>0.24074954804999998</v>
      </c>
      <c r="W36" s="642">
        <v>0</v>
      </c>
      <c r="X36" s="642">
        <v>50.312051197940285</v>
      </c>
      <c r="Y36" s="642">
        <v>125.05981225000002</v>
      </c>
      <c r="Z36" s="642">
        <v>0</v>
      </c>
      <c r="AA36" s="642">
        <v>0</v>
      </c>
      <c r="AB36" s="642">
        <v>69.406708888888886</v>
      </c>
      <c r="AC36" s="642">
        <v>0</v>
      </c>
      <c r="AD36" s="642">
        <v>0</v>
      </c>
      <c r="AE36" s="642">
        <v>0</v>
      </c>
      <c r="AF36" s="642">
        <v>28.099863055555552</v>
      </c>
      <c r="AG36" s="642">
        <v>2.0645206826866662</v>
      </c>
      <c r="AH36" s="642">
        <v>161.49853200000001</v>
      </c>
      <c r="AI36" s="642">
        <v>14.411899999999999</v>
      </c>
      <c r="AJ36" s="642">
        <v>0</v>
      </c>
      <c r="AK36" s="650">
        <v>451.09413762312141</v>
      </c>
    </row>
    <row r="37" spans="3:37" ht="13.5">
      <c r="C37" s="648" t="s">
        <v>81</v>
      </c>
      <c r="D37" s="642">
        <v>0.35525487623000002</v>
      </c>
      <c r="E37" s="642">
        <v>0</v>
      </c>
      <c r="F37" s="642">
        <v>31.907501208676987</v>
      </c>
      <c r="G37" s="642">
        <v>62.61667825</v>
      </c>
      <c r="H37" s="642">
        <v>0</v>
      </c>
      <c r="I37" s="642">
        <v>0</v>
      </c>
      <c r="J37" s="642">
        <v>2.8232277777777779</v>
      </c>
      <c r="K37" s="642">
        <v>2.2859468815788357</v>
      </c>
      <c r="L37" s="642">
        <v>0</v>
      </c>
      <c r="M37" s="642">
        <v>1.4745088888888889</v>
      </c>
      <c r="N37" s="642">
        <v>4.5516825000000001</v>
      </c>
      <c r="O37" s="642">
        <v>0.35485889253622721</v>
      </c>
      <c r="P37" s="642">
        <v>127.64086592999999</v>
      </c>
      <c r="Q37" s="642">
        <v>9.5887644444444451</v>
      </c>
      <c r="R37" s="642">
        <v>0</v>
      </c>
      <c r="S37" s="650">
        <v>243.59928965013316</v>
      </c>
      <c r="U37" s="648" t="s">
        <v>81</v>
      </c>
      <c r="V37" s="642">
        <v>0.35525487623000002</v>
      </c>
      <c r="W37" s="642">
        <v>0</v>
      </c>
      <c r="X37" s="642">
        <v>31.907501208676987</v>
      </c>
      <c r="Y37" s="642">
        <v>62.61667825</v>
      </c>
      <c r="Z37" s="642">
        <v>0</v>
      </c>
      <c r="AA37" s="642">
        <v>0</v>
      </c>
      <c r="AB37" s="642">
        <v>2.8232277777777779</v>
      </c>
      <c r="AC37" s="642">
        <v>2.2859468815788357</v>
      </c>
      <c r="AD37" s="642">
        <v>0</v>
      </c>
      <c r="AE37" s="642">
        <v>1.4745088888888889</v>
      </c>
      <c r="AF37" s="642">
        <v>4.5516825000000001</v>
      </c>
      <c r="AG37" s="642">
        <v>0.35485889253622721</v>
      </c>
      <c r="AH37" s="642">
        <v>127.64086592999999</v>
      </c>
      <c r="AI37" s="642">
        <v>9.5887644444444451</v>
      </c>
      <c r="AJ37" s="642">
        <v>0</v>
      </c>
      <c r="AK37" s="650">
        <v>243.59928965013316</v>
      </c>
    </row>
    <row r="38" spans="3:37" ht="13.5">
      <c r="C38" s="648" t="s">
        <v>82</v>
      </c>
      <c r="D38" s="642">
        <v>1.5371382629999998E-2</v>
      </c>
      <c r="E38" s="642">
        <v>0</v>
      </c>
      <c r="F38" s="642">
        <v>37.352212663167997</v>
      </c>
      <c r="G38" s="642">
        <v>2.1964755</v>
      </c>
      <c r="H38" s="642">
        <v>0</v>
      </c>
      <c r="I38" s="642">
        <v>0</v>
      </c>
      <c r="J38" s="642">
        <v>1.7493453935920653</v>
      </c>
      <c r="K38" s="642">
        <v>0</v>
      </c>
      <c r="L38" s="642">
        <v>1.9048961095281811</v>
      </c>
      <c r="M38" s="642">
        <v>0.51119305555555561</v>
      </c>
      <c r="N38" s="642">
        <v>0</v>
      </c>
      <c r="O38" s="642">
        <v>0.29232166666666665</v>
      </c>
      <c r="P38" s="642">
        <v>8.079485</v>
      </c>
      <c r="Q38" s="642">
        <v>0.18937333333333334</v>
      </c>
      <c r="R38" s="642">
        <v>0</v>
      </c>
      <c r="S38" s="650">
        <v>52.290674104473801</v>
      </c>
      <c r="U38" s="648" t="s">
        <v>82</v>
      </c>
      <c r="V38" s="642">
        <v>1.5371382629999998E-2</v>
      </c>
      <c r="W38" s="642">
        <v>0</v>
      </c>
      <c r="X38" s="642">
        <v>37.352212663167997</v>
      </c>
      <c r="Y38" s="642">
        <v>2.1964755</v>
      </c>
      <c r="Z38" s="642">
        <v>0</v>
      </c>
      <c r="AA38" s="642">
        <v>0</v>
      </c>
      <c r="AB38" s="642">
        <v>1.7493453935920653</v>
      </c>
      <c r="AC38" s="642">
        <v>0</v>
      </c>
      <c r="AD38" s="642">
        <v>1.9048961095281811</v>
      </c>
      <c r="AE38" s="642">
        <v>0.51119305555555561</v>
      </c>
      <c r="AF38" s="642">
        <v>0</v>
      </c>
      <c r="AG38" s="642">
        <v>0.29232166666666665</v>
      </c>
      <c r="AH38" s="642">
        <v>8.079485</v>
      </c>
      <c r="AI38" s="642">
        <v>0.18937333333333334</v>
      </c>
      <c r="AJ38" s="642">
        <v>0</v>
      </c>
      <c r="AK38" s="650">
        <v>52.290674104473801</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v>
      </c>
      <c r="Q39" s="642">
        <v>0</v>
      </c>
      <c r="R39" s="642">
        <v>0</v>
      </c>
      <c r="S39" s="650">
        <v>0</v>
      </c>
      <c r="U39" s="648" t="s">
        <v>357</v>
      </c>
      <c r="V39" s="642">
        <v>0</v>
      </c>
      <c r="W39" s="642">
        <v>0</v>
      </c>
      <c r="X39" s="642">
        <v>0</v>
      </c>
      <c r="Y39" s="642">
        <v>0</v>
      </c>
      <c r="Z39" s="642">
        <v>0</v>
      </c>
      <c r="AA39" s="642">
        <v>0</v>
      </c>
      <c r="AB39" s="642">
        <v>0</v>
      </c>
      <c r="AC39" s="642">
        <v>0</v>
      </c>
      <c r="AD39" s="642">
        <v>0</v>
      </c>
      <c r="AE39" s="642">
        <v>0</v>
      </c>
      <c r="AF39" s="642">
        <v>0</v>
      </c>
      <c r="AG39" s="642">
        <v>0</v>
      </c>
      <c r="AH39" s="642">
        <v>0</v>
      </c>
      <c r="AI39" s="642">
        <v>0</v>
      </c>
      <c r="AJ39" s="642">
        <v>0</v>
      </c>
      <c r="AK39" s="650">
        <v>0</v>
      </c>
    </row>
    <row r="40" spans="3:37" ht="13.5">
      <c r="C40" s="646" t="s">
        <v>83</v>
      </c>
      <c r="D40" s="647">
        <v>9.714544291650002</v>
      </c>
      <c r="E40" s="647">
        <v>0</v>
      </c>
      <c r="F40" s="647">
        <v>546.5151134823883</v>
      </c>
      <c r="G40" s="647">
        <v>307.79545975000002</v>
      </c>
      <c r="H40" s="647">
        <v>0</v>
      </c>
      <c r="I40" s="647">
        <v>0</v>
      </c>
      <c r="J40" s="647">
        <v>89.631369661912075</v>
      </c>
      <c r="K40" s="647">
        <v>5.8545917562277001</v>
      </c>
      <c r="L40" s="647">
        <v>33.731429466673177</v>
      </c>
      <c r="M40" s="647">
        <v>2.9128985020312106</v>
      </c>
      <c r="N40" s="647">
        <v>32.65154555555555</v>
      </c>
      <c r="O40" s="647">
        <v>2.7271105977250834</v>
      </c>
      <c r="P40" s="647">
        <v>411.35941499999996</v>
      </c>
      <c r="Q40" s="647">
        <v>41.664573167005962</v>
      </c>
      <c r="R40" s="647">
        <v>0</v>
      </c>
      <c r="S40" s="647">
        <v>1484.5580512311692</v>
      </c>
      <c r="U40" s="646" t="s">
        <v>83</v>
      </c>
      <c r="V40" s="647">
        <v>9.714544291650002</v>
      </c>
      <c r="W40" s="647">
        <v>0</v>
      </c>
      <c r="X40" s="647">
        <v>546.5151134823883</v>
      </c>
      <c r="Y40" s="647">
        <v>307.79545975000002</v>
      </c>
      <c r="Z40" s="647">
        <v>0</v>
      </c>
      <c r="AA40" s="647">
        <v>0</v>
      </c>
      <c r="AB40" s="647">
        <v>89.631369661912075</v>
      </c>
      <c r="AC40" s="647">
        <v>5.8545917562277001</v>
      </c>
      <c r="AD40" s="647">
        <v>33.731429466673177</v>
      </c>
      <c r="AE40" s="647">
        <v>2.9128985020312106</v>
      </c>
      <c r="AF40" s="647">
        <v>32.65154555555555</v>
      </c>
      <c r="AG40" s="647">
        <v>2.7271105977250834</v>
      </c>
      <c r="AH40" s="647">
        <v>411.35941499999996</v>
      </c>
      <c r="AI40" s="647">
        <v>41.664573167005962</v>
      </c>
      <c r="AJ40" s="647">
        <v>0</v>
      </c>
      <c r="AK40" s="647">
        <v>1484.5580512311692</v>
      </c>
    </row>
    <row r="41" spans="3:37" ht="13.5">
      <c r="C41" s="641" t="s">
        <v>84</v>
      </c>
      <c r="D41" s="642">
        <v>2.8214338015700005</v>
      </c>
      <c r="E41" s="642">
        <v>0</v>
      </c>
      <c r="F41" s="642">
        <v>130.9502374537683</v>
      </c>
      <c r="G41" s="642">
        <v>12.027936500000001</v>
      </c>
      <c r="H41" s="642">
        <v>0</v>
      </c>
      <c r="I41" s="642">
        <v>0</v>
      </c>
      <c r="J41" s="642">
        <v>0</v>
      </c>
      <c r="K41" s="642">
        <v>0</v>
      </c>
      <c r="L41" s="642">
        <v>0</v>
      </c>
      <c r="M41" s="642">
        <v>0</v>
      </c>
      <c r="N41" s="642">
        <v>0</v>
      </c>
      <c r="O41" s="642">
        <v>0</v>
      </c>
      <c r="P41" s="642">
        <v>0</v>
      </c>
      <c r="Q41" s="642">
        <v>0</v>
      </c>
      <c r="R41" s="642">
        <v>0</v>
      </c>
      <c r="S41" s="650">
        <v>145.79960775533831</v>
      </c>
      <c r="U41" s="641" t="s">
        <v>84</v>
      </c>
      <c r="V41" s="642">
        <v>2.8214338015700005</v>
      </c>
      <c r="W41" s="642">
        <v>0</v>
      </c>
      <c r="X41" s="642">
        <v>130.9502374537683</v>
      </c>
      <c r="Y41" s="642">
        <v>12.027936500000001</v>
      </c>
      <c r="Z41" s="642">
        <v>0</v>
      </c>
      <c r="AA41" s="642">
        <v>0</v>
      </c>
      <c r="AB41" s="642">
        <v>0</v>
      </c>
      <c r="AC41" s="642">
        <v>0</v>
      </c>
      <c r="AD41" s="642">
        <v>0</v>
      </c>
      <c r="AE41" s="642">
        <v>0</v>
      </c>
      <c r="AF41" s="642">
        <v>0</v>
      </c>
      <c r="AG41" s="642">
        <v>0</v>
      </c>
      <c r="AH41" s="642">
        <v>0</v>
      </c>
      <c r="AI41" s="642">
        <v>0</v>
      </c>
      <c r="AJ41" s="642">
        <v>0</v>
      </c>
      <c r="AK41" s="650">
        <v>145.79960775533831</v>
      </c>
    </row>
    <row r="42" spans="3:37" ht="13.5">
      <c r="C42" s="646" t="s">
        <v>85</v>
      </c>
      <c r="D42" s="647">
        <v>12.535978093220002</v>
      </c>
      <c r="E42" s="647">
        <v>0</v>
      </c>
      <c r="F42" s="647">
        <v>677.4653509361566</v>
      </c>
      <c r="G42" s="647">
        <v>319.82339625000003</v>
      </c>
      <c r="H42" s="647">
        <v>0</v>
      </c>
      <c r="I42" s="647">
        <v>0</v>
      </c>
      <c r="J42" s="647">
        <v>89.631369661912075</v>
      </c>
      <c r="K42" s="647">
        <v>5.8545917562277001</v>
      </c>
      <c r="L42" s="647">
        <v>33.731429466673177</v>
      </c>
      <c r="M42" s="647">
        <v>2.9128985020312106</v>
      </c>
      <c r="N42" s="647">
        <v>32.65154555555555</v>
      </c>
      <c r="O42" s="647">
        <v>2.7271105977250834</v>
      </c>
      <c r="P42" s="647">
        <v>411.35941499999996</v>
      </c>
      <c r="Q42" s="647">
        <v>41.664573167005962</v>
      </c>
      <c r="R42" s="647">
        <v>0</v>
      </c>
      <c r="S42" s="647">
        <v>1630.3576589865074</v>
      </c>
      <c r="U42" s="646" t="s">
        <v>85</v>
      </c>
      <c r="V42" s="647">
        <v>12.535978093220002</v>
      </c>
      <c r="W42" s="647">
        <v>0</v>
      </c>
      <c r="X42" s="647">
        <v>677.4653509361566</v>
      </c>
      <c r="Y42" s="647">
        <v>319.82339625000003</v>
      </c>
      <c r="Z42" s="647">
        <v>0</v>
      </c>
      <c r="AA42" s="647">
        <v>0</v>
      </c>
      <c r="AB42" s="647">
        <v>89.631369661912075</v>
      </c>
      <c r="AC42" s="647">
        <v>5.8545917562277001</v>
      </c>
      <c r="AD42" s="647">
        <v>33.731429466673177</v>
      </c>
      <c r="AE42" s="647">
        <v>2.9128985020312106</v>
      </c>
      <c r="AF42" s="647">
        <v>32.65154555555555</v>
      </c>
      <c r="AG42" s="647">
        <v>2.7271105977250834</v>
      </c>
      <c r="AH42" s="647">
        <v>411.35941499999996</v>
      </c>
      <c r="AI42" s="647">
        <v>41.664573167005962</v>
      </c>
      <c r="AJ42" s="647">
        <v>0</v>
      </c>
      <c r="AK42" s="647">
        <v>1630.3576589865074</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358</v>
      </c>
      <c r="D44" s="699"/>
      <c r="E44" s="699"/>
      <c r="F44" s="699"/>
      <c r="G44" s="699"/>
      <c r="H44" s="699"/>
      <c r="I44" s="699"/>
      <c r="J44" s="699"/>
      <c r="K44" s="699"/>
      <c r="L44" s="699"/>
      <c r="M44" s="699"/>
      <c r="N44" s="699"/>
      <c r="O44" s="699"/>
      <c r="P44" s="699"/>
      <c r="Q44" s="699"/>
      <c r="R44" s="699"/>
      <c r="S44" s="699"/>
      <c r="U44" s="699" t="s">
        <v>358</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9.7691999999999997</v>
      </c>
      <c r="F48" s="643">
        <v>0</v>
      </c>
      <c r="G48" s="642">
        <v>0.18608000000000002</v>
      </c>
      <c r="H48" s="643">
        <v>1100.0000000000002</v>
      </c>
      <c r="I48" s="643">
        <v>135.04231425541462</v>
      </c>
      <c r="J48" s="643">
        <v>189.86826025669441</v>
      </c>
      <c r="K48" s="643">
        <v>24.170186950164744</v>
      </c>
      <c r="L48" s="643">
        <v>0.17473616288186822</v>
      </c>
      <c r="M48" s="643">
        <v>0.14724141092299528</v>
      </c>
      <c r="N48" s="643">
        <v>36.514651680131124</v>
      </c>
      <c r="O48" s="643">
        <v>5.8993526953350273</v>
      </c>
      <c r="P48" s="644">
        <v>0</v>
      </c>
      <c r="Q48" s="643">
        <v>0</v>
      </c>
      <c r="R48" s="643">
        <v>0</v>
      </c>
      <c r="S48" s="645">
        <v>1501.7720234115452</v>
      </c>
      <c r="U48" s="641" t="s">
        <v>59</v>
      </c>
      <c r="V48" s="642">
        <v>0</v>
      </c>
      <c r="W48" s="643">
        <v>9.7691999999999997</v>
      </c>
      <c r="X48" s="643">
        <v>0</v>
      </c>
      <c r="Y48" s="642">
        <v>0.18608000000000002</v>
      </c>
      <c r="Z48" s="643">
        <v>1119.7245179063361</v>
      </c>
      <c r="AA48" s="643">
        <v>139.7041324372328</v>
      </c>
      <c r="AB48" s="643">
        <v>163.20539166181254</v>
      </c>
      <c r="AC48" s="643">
        <v>30.468703460147175</v>
      </c>
      <c r="AD48" s="643">
        <v>0.17473616288186822</v>
      </c>
      <c r="AE48" s="643">
        <v>0.14724141092299528</v>
      </c>
      <c r="AF48" s="643">
        <v>40.964336574173757</v>
      </c>
      <c r="AG48" s="643">
        <v>7.1518943001451731</v>
      </c>
      <c r="AH48" s="644">
        <v>0</v>
      </c>
      <c r="AI48" s="643">
        <v>0</v>
      </c>
      <c r="AJ48" s="643">
        <v>0</v>
      </c>
      <c r="AK48" s="645">
        <v>1511.4962339136523</v>
      </c>
    </row>
    <row r="49" spans="3:37" ht="13.5">
      <c r="C49" s="641" t="s">
        <v>60</v>
      </c>
      <c r="D49" s="642">
        <v>55.101902053292484</v>
      </c>
      <c r="E49" s="643">
        <v>500.10836609636777</v>
      </c>
      <c r="F49" s="643">
        <v>279.29112148859122</v>
      </c>
      <c r="G49" s="642">
        <v>374.80910242212775</v>
      </c>
      <c r="H49" s="643">
        <v>0</v>
      </c>
      <c r="I49" s="643">
        <v>0</v>
      </c>
      <c r="J49" s="643">
        <v>1.5889557346935721</v>
      </c>
      <c r="K49" s="643">
        <v>0</v>
      </c>
      <c r="L49" s="643">
        <v>1.5000078530419791</v>
      </c>
      <c r="M49" s="643">
        <v>0</v>
      </c>
      <c r="N49" s="643">
        <v>0</v>
      </c>
      <c r="O49" s="643">
        <v>0</v>
      </c>
      <c r="P49" s="644">
        <v>0</v>
      </c>
      <c r="Q49" s="643">
        <v>0</v>
      </c>
      <c r="R49" s="643">
        <v>0</v>
      </c>
      <c r="S49" s="645">
        <v>1212.3994556481148</v>
      </c>
      <c r="U49" s="641" t="s">
        <v>60</v>
      </c>
      <c r="V49" s="642">
        <v>44.533896750987545</v>
      </c>
      <c r="W49" s="643">
        <v>459.32392184850846</v>
      </c>
      <c r="X49" s="643">
        <v>277.24182021025467</v>
      </c>
      <c r="Y49" s="642">
        <v>383.77086405289117</v>
      </c>
      <c r="Z49" s="643">
        <v>0</v>
      </c>
      <c r="AA49" s="643">
        <v>0</v>
      </c>
      <c r="AB49" s="643">
        <v>1.5889557346935721</v>
      </c>
      <c r="AC49" s="643">
        <v>0</v>
      </c>
      <c r="AD49" s="643">
        <v>1.5000078530419791</v>
      </c>
      <c r="AE49" s="643">
        <v>0</v>
      </c>
      <c r="AF49" s="643">
        <v>0</v>
      </c>
      <c r="AG49" s="643">
        <v>0</v>
      </c>
      <c r="AH49" s="644">
        <v>0</v>
      </c>
      <c r="AI49" s="643">
        <v>0</v>
      </c>
      <c r="AJ49" s="643">
        <v>0</v>
      </c>
      <c r="AK49" s="645">
        <v>1167.9594664503775</v>
      </c>
    </row>
    <row r="50" spans="3:37" ht="13.5">
      <c r="C50" s="641" t="s">
        <v>61</v>
      </c>
      <c r="D50" s="642">
        <v>0</v>
      </c>
      <c r="E50" s="643">
        <v>0</v>
      </c>
      <c r="F50" s="643">
        <v>-1.2153350000000001</v>
      </c>
      <c r="G50" s="642">
        <v>0</v>
      </c>
      <c r="H50" s="643">
        <v>0</v>
      </c>
      <c r="I50" s="643">
        <v>0</v>
      </c>
      <c r="J50" s="643">
        <v>0</v>
      </c>
      <c r="K50" s="643">
        <v>0</v>
      </c>
      <c r="L50" s="643">
        <v>0</v>
      </c>
      <c r="M50" s="643">
        <v>0</v>
      </c>
      <c r="N50" s="643">
        <v>0</v>
      </c>
      <c r="O50" s="643">
        <v>0</v>
      </c>
      <c r="P50" s="644">
        <v>-24.298097404469559</v>
      </c>
      <c r="Q50" s="643">
        <v>0</v>
      </c>
      <c r="R50" s="643">
        <v>0</v>
      </c>
      <c r="S50" s="645">
        <v>-25.513432404469558</v>
      </c>
      <c r="U50" s="641" t="s">
        <v>61</v>
      </c>
      <c r="V50" s="642">
        <v>0</v>
      </c>
      <c r="W50" s="643">
        <v>0</v>
      </c>
      <c r="X50" s="643">
        <v>-1.2153350000000001</v>
      </c>
      <c r="Y50" s="642">
        <v>0</v>
      </c>
      <c r="Z50" s="643">
        <v>0</v>
      </c>
      <c r="AA50" s="643">
        <v>0</v>
      </c>
      <c r="AB50" s="643">
        <v>0</v>
      </c>
      <c r="AC50" s="643">
        <v>0</v>
      </c>
      <c r="AD50" s="643">
        <v>0</v>
      </c>
      <c r="AE50" s="643">
        <v>0</v>
      </c>
      <c r="AF50" s="643">
        <v>0</v>
      </c>
      <c r="AG50" s="643">
        <v>0</v>
      </c>
      <c r="AH50" s="644">
        <v>-55.679944149892151</v>
      </c>
      <c r="AI50" s="643">
        <v>0</v>
      </c>
      <c r="AJ50" s="643">
        <v>0</v>
      </c>
      <c r="AK50" s="645">
        <v>-56.895279149892154</v>
      </c>
    </row>
    <row r="51" spans="3:37" ht="13.5">
      <c r="C51" s="641" t="s">
        <v>62</v>
      </c>
      <c r="D51" s="642">
        <v>0</v>
      </c>
      <c r="E51" s="643">
        <v>0</v>
      </c>
      <c r="F51" s="643">
        <v>-18.810185715850007</v>
      </c>
      <c r="G51" s="642">
        <v>0</v>
      </c>
      <c r="H51" s="643">
        <v>0</v>
      </c>
      <c r="I51" s="643">
        <v>0</v>
      </c>
      <c r="J51" s="643">
        <v>0</v>
      </c>
      <c r="K51" s="643">
        <v>0</v>
      </c>
      <c r="L51" s="643">
        <v>0</v>
      </c>
      <c r="M51" s="643">
        <v>0</v>
      </c>
      <c r="N51" s="643">
        <v>0</v>
      </c>
      <c r="O51" s="643">
        <v>0</v>
      </c>
      <c r="P51" s="644">
        <v>0</v>
      </c>
      <c r="Q51" s="643">
        <v>0</v>
      </c>
      <c r="R51" s="643">
        <v>0</v>
      </c>
      <c r="S51" s="645">
        <v>-18.810185715850007</v>
      </c>
      <c r="U51" s="641" t="s">
        <v>62</v>
      </c>
      <c r="V51" s="642">
        <v>0</v>
      </c>
      <c r="W51" s="643">
        <v>0</v>
      </c>
      <c r="X51" s="643">
        <v>-18.660224222059444</v>
      </c>
      <c r="Y51" s="642">
        <v>0</v>
      </c>
      <c r="Z51" s="643">
        <v>0</v>
      </c>
      <c r="AA51" s="643">
        <v>0</v>
      </c>
      <c r="AB51" s="643">
        <v>0</v>
      </c>
      <c r="AC51" s="643">
        <v>0</v>
      </c>
      <c r="AD51" s="643">
        <v>0</v>
      </c>
      <c r="AE51" s="643">
        <v>0</v>
      </c>
      <c r="AF51" s="643">
        <v>0</v>
      </c>
      <c r="AG51" s="643">
        <v>0</v>
      </c>
      <c r="AH51" s="644">
        <v>0</v>
      </c>
      <c r="AI51" s="643">
        <v>0</v>
      </c>
      <c r="AJ51" s="643">
        <v>0</v>
      </c>
      <c r="AK51" s="645">
        <v>-18.660224222059444</v>
      </c>
    </row>
    <row r="52" spans="3:37" ht="13.5">
      <c r="C52" s="641" t="s">
        <v>63</v>
      </c>
      <c r="D52" s="642">
        <v>0</v>
      </c>
      <c r="E52" s="643">
        <v>0</v>
      </c>
      <c r="F52" s="643">
        <v>-62.925116345665856</v>
      </c>
      <c r="G52" s="642">
        <v>0</v>
      </c>
      <c r="H52" s="643">
        <v>0</v>
      </c>
      <c r="I52" s="643">
        <v>0</v>
      </c>
      <c r="J52" s="643">
        <v>0</v>
      </c>
      <c r="K52" s="643">
        <v>0</v>
      </c>
      <c r="L52" s="643">
        <v>-0.48762923007264619</v>
      </c>
      <c r="M52" s="643">
        <v>0</v>
      </c>
      <c r="N52" s="643">
        <v>0</v>
      </c>
      <c r="O52" s="643">
        <v>0</v>
      </c>
      <c r="P52" s="644">
        <v>0</v>
      </c>
      <c r="Q52" s="643">
        <v>0</v>
      </c>
      <c r="R52" s="643">
        <v>0</v>
      </c>
      <c r="S52" s="645">
        <v>-63.412745575738505</v>
      </c>
      <c r="U52" s="641" t="s">
        <v>63</v>
      </c>
      <c r="V52" s="642">
        <v>0</v>
      </c>
      <c r="W52" s="643">
        <v>0</v>
      </c>
      <c r="X52" s="643">
        <v>-57.939384373642596</v>
      </c>
      <c r="Y52" s="642">
        <v>0</v>
      </c>
      <c r="Z52" s="643">
        <v>0</v>
      </c>
      <c r="AA52" s="643">
        <v>0</v>
      </c>
      <c r="AB52" s="643">
        <v>0</v>
      </c>
      <c r="AC52" s="643">
        <v>0</v>
      </c>
      <c r="AD52" s="643">
        <v>-0.93673862712011491</v>
      </c>
      <c r="AE52" s="643">
        <v>0</v>
      </c>
      <c r="AF52" s="643">
        <v>0</v>
      </c>
      <c r="AG52" s="643">
        <v>0</v>
      </c>
      <c r="AH52" s="644">
        <v>0</v>
      </c>
      <c r="AI52" s="643">
        <v>0</v>
      </c>
      <c r="AJ52" s="643">
        <v>0</v>
      </c>
      <c r="AK52" s="645">
        <v>-58.876123000762711</v>
      </c>
    </row>
    <row r="53" spans="3:37" ht="13.5">
      <c r="C53" s="641" t="s">
        <v>64</v>
      </c>
      <c r="D53" s="642">
        <v>9.7684723496666986E-2</v>
      </c>
      <c r="E53" s="643">
        <v>-5.9567697000000003E-2</v>
      </c>
      <c r="F53" s="643">
        <v>3.8766666666666671E-2</v>
      </c>
      <c r="G53" s="642">
        <v>0</v>
      </c>
      <c r="H53" s="643">
        <v>0</v>
      </c>
      <c r="I53" s="643">
        <v>0</v>
      </c>
      <c r="J53" s="643">
        <v>0</v>
      </c>
      <c r="K53" s="643">
        <v>0</v>
      </c>
      <c r="L53" s="643">
        <v>0</v>
      </c>
      <c r="M53" s="643">
        <v>0</v>
      </c>
      <c r="N53" s="643">
        <v>0</v>
      </c>
      <c r="O53" s="643">
        <v>0</v>
      </c>
      <c r="P53" s="644">
        <v>0</v>
      </c>
      <c r="Q53" s="643">
        <v>0</v>
      </c>
      <c r="R53" s="643">
        <v>0</v>
      </c>
      <c r="S53" s="645">
        <v>7.6883693163333655E-2</v>
      </c>
      <c r="U53" s="641" t="s">
        <v>64</v>
      </c>
      <c r="V53" s="642">
        <v>9.7684723496666986E-2</v>
      </c>
      <c r="W53" s="643">
        <v>-5.9567697000000003E-2</v>
      </c>
      <c r="X53" s="643">
        <v>3.8766666666666671E-2</v>
      </c>
      <c r="Y53" s="642">
        <v>0</v>
      </c>
      <c r="Z53" s="643">
        <v>0</v>
      </c>
      <c r="AA53" s="643">
        <v>0</v>
      </c>
      <c r="AB53" s="643">
        <v>0</v>
      </c>
      <c r="AC53" s="643">
        <v>0</v>
      </c>
      <c r="AD53" s="643">
        <v>0</v>
      </c>
      <c r="AE53" s="643">
        <v>0</v>
      </c>
      <c r="AF53" s="643">
        <v>0</v>
      </c>
      <c r="AG53" s="643">
        <v>0</v>
      </c>
      <c r="AH53" s="644">
        <v>0</v>
      </c>
      <c r="AI53" s="643">
        <v>0</v>
      </c>
      <c r="AJ53" s="643">
        <v>0</v>
      </c>
      <c r="AK53" s="645">
        <v>7.6883693163333655E-2</v>
      </c>
    </row>
    <row r="54" spans="3:37" ht="13.5">
      <c r="C54" s="646" t="s">
        <v>65</v>
      </c>
      <c r="D54" s="647">
        <v>55.199586776789154</v>
      </c>
      <c r="E54" s="647">
        <v>509.81799839936781</v>
      </c>
      <c r="F54" s="647">
        <v>196.37925109374203</v>
      </c>
      <c r="G54" s="647">
        <v>374.99518242212775</v>
      </c>
      <c r="H54" s="647">
        <v>1100.0000000000002</v>
      </c>
      <c r="I54" s="647">
        <v>135.04231425541462</v>
      </c>
      <c r="J54" s="647">
        <v>191.45721599138798</v>
      </c>
      <c r="K54" s="647">
        <v>24.170186950164744</v>
      </c>
      <c r="L54" s="647">
        <v>1.1871147858512012</v>
      </c>
      <c r="M54" s="647">
        <v>0.14724141092299528</v>
      </c>
      <c r="N54" s="647">
        <v>36.514651680131124</v>
      </c>
      <c r="O54" s="647">
        <v>5.8993526953350273</v>
      </c>
      <c r="P54" s="647">
        <v>-24.298097404469559</v>
      </c>
      <c r="Q54" s="647">
        <v>0</v>
      </c>
      <c r="R54" s="647">
        <v>0</v>
      </c>
      <c r="S54" s="647">
        <v>2606.5119990567659</v>
      </c>
      <c r="U54" s="646" t="s">
        <v>65</v>
      </c>
      <c r="V54" s="647">
        <v>44.631581474484214</v>
      </c>
      <c r="W54" s="647">
        <v>469.0335541515085</v>
      </c>
      <c r="X54" s="647">
        <v>199.46564328121934</v>
      </c>
      <c r="Y54" s="647">
        <v>383.95694405289117</v>
      </c>
      <c r="Z54" s="647">
        <v>1119.7245179063361</v>
      </c>
      <c r="AA54" s="647">
        <v>139.7041324372328</v>
      </c>
      <c r="AB54" s="647">
        <v>164.79434739650611</v>
      </c>
      <c r="AC54" s="647">
        <v>30.468703460147175</v>
      </c>
      <c r="AD54" s="647">
        <v>0.73800538880373245</v>
      </c>
      <c r="AE54" s="647">
        <v>0.14724141092299528</v>
      </c>
      <c r="AF54" s="647">
        <v>40.964336574173757</v>
      </c>
      <c r="AG54" s="647">
        <v>7.1518943001451731</v>
      </c>
      <c r="AH54" s="647">
        <v>-55.679944149892151</v>
      </c>
      <c r="AI54" s="647">
        <v>0</v>
      </c>
      <c r="AJ54" s="647">
        <v>0</v>
      </c>
      <c r="AK54" s="647">
        <v>2545.100957684479</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4.3623690669338813E-2</v>
      </c>
      <c r="F56" s="649">
        <v>-0.43976848620269193</v>
      </c>
      <c r="G56" s="642">
        <v>0</v>
      </c>
      <c r="H56" s="642">
        <v>0</v>
      </c>
      <c r="I56" s="642">
        <v>0</v>
      </c>
      <c r="J56" s="642">
        <v>0</v>
      </c>
      <c r="K56" s="642">
        <v>0</v>
      </c>
      <c r="L56" s="642">
        <v>0</v>
      </c>
      <c r="M56" s="642">
        <v>0</v>
      </c>
      <c r="N56" s="642">
        <v>0</v>
      </c>
      <c r="O56" s="642">
        <v>0</v>
      </c>
      <c r="P56" s="642">
        <v>0.19176325930063415</v>
      </c>
      <c r="Q56" s="642">
        <v>0</v>
      </c>
      <c r="R56" s="642">
        <v>0</v>
      </c>
      <c r="S56" s="650">
        <v>-0.20438153623271899</v>
      </c>
      <c r="U56" s="648" t="s">
        <v>67</v>
      </c>
      <c r="V56" s="642">
        <v>0</v>
      </c>
      <c r="W56" s="649">
        <v>4.3623690669338813E-2</v>
      </c>
      <c r="X56" s="649">
        <v>-0.43976848620269193</v>
      </c>
      <c r="Y56" s="642">
        <v>0</v>
      </c>
      <c r="Z56" s="642">
        <v>0</v>
      </c>
      <c r="AA56" s="642">
        <v>0</v>
      </c>
      <c r="AB56" s="642">
        <v>0</v>
      </c>
      <c r="AC56" s="642">
        <v>0</v>
      </c>
      <c r="AD56" s="642">
        <v>0</v>
      </c>
      <c r="AE56" s="642">
        <v>0</v>
      </c>
      <c r="AF56" s="642">
        <v>0</v>
      </c>
      <c r="AG56" s="642">
        <v>0</v>
      </c>
      <c r="AH56" s="642">
        <v>0.19176325930063415</v>
      </c>
      <c r="AI56" s="642">
        <v>0</v>
      </c>
      <c r="AJ56" s="642">
        <v>0</v>
      </c>
      <c r="AK56" s="650">
        <v>-0.20438153623271899</v>
      </c>
    </row>
    <row r="57" spans="3:37" ht="13.5">
      <c r="C57" s="648" t="s">
        <v>350</v>
      </c>
      <c r="D57" s="642">
        <v>4.5103805765333682</v>
      </c>
      <c r="E57" s="642">
        <v>0</v>
      </c>
      <c r="F57" s="642">
        <v>9.8157441879701768</v>
      </c>
      <c r="G57" s="642">
        <v>18.775665399239546</v>
      </c>
      <c r="H57" s="642">
        <v>1100.0000000000002</v>
      </c>
      <c r="I57" s="642">
        <v>135.04231425541462</v>
      </c>
      <c r="J57" s="651">
        <v>34.496026032636451</v>
      </c>
      <c r="K57" s="651">
        <v>9.8540491520373141</v>
      </c>
      <c r="L57" s="651">
        <v>1.6747440159238469</v>
      </c>
      <c r="M57" s="651">
        <v>0.35186004718702235</v>
      </c>
      <c r="N57" s="651">
        <v>0</v>
      </c>
      <c r="O57" s="651">
        <v>1.0949510903328832</v>
      </c>
      <c r="P57" s="642">
        <v>-528.16324498212941</v>
      </c>
      <c r="Q57" s="642">
        <v>0</v>
      </c>
      <c r="R57" s="642">
        <v>0</v>
      </c>
      <c r="S57" s="650">
        <v>787.45248977514632</v>
      </c>
      <c r="U57" s="648" t="s">
        <v>350</v>
      </c>
      <c r="V57" s="642">
        <v>5.5105945472454412</v>
      </c>
      <c r="W57" s="642">
        <v>0</v>
      </c>
      <c r="X57" s="642">
        <v>9.2785541053255489</v>
      </c>
      <c r="Y57" s="642">
        <v>63.913833390943651</v>
      </c>
      <c r="Z57" s="642">
        <v>1119.7245179063361</v>
      </c>
      <c r="AA57" s="642">
        <v>139.7041324372328</v>
      </c>
      <c r="AB57" s="651">
        <v>30.922255006102869</v>
      </c>
      <c r="AC57" s="651">
        <v>9.8129258074353114</v>
      </c>
      <c r="AD57" s="651">
        <v>1.6747440159238469</v>
      </c>
      <c r="AE57" s="651">
        <v>2.1200176690328574</v>
      </c>
      <c r="AF57" s="651">
        <v>0</v>
      </c>
      <c r="AG57" s="651">
        <v>1.0949510903328832</v>
      </c>
      <c r="AH57" s="642">
        <v>-563.75233589122035</v>
      </c>
      <c r="AI57" s="642">
        <v>0</v>
      </c>
      <c r="AJ57" s="642">
        <v>0</v>
      </c>
      <c r="AK57" s="650">
        <v>820.00419008469089</v>
      </c>
    </row>
    <row r="58" spans="3:37" ht="13.5">
      <c r="C58" s="648" t="s">
        <v>351</v>
      </c>
      <c r="D58" s="642">
        <v>0.6999963952131163</v>
      </c>
      <c r="E58" s="642">
        <v>0</v>
      </c>
      <c r="F58" s="642">
        <v>9.7194502166343774E-2</v>
      </c>
      <c r="G58" s="642">
        <v>17.132629973754788</v>
      </c>
      <c r="H58" s="642">
        <v>0</v>
      </c>
      <c r="I58" s="642">
        <v>0</v>
      </c>
      <c r="J58" s="651">
        <v>14.734948238156928</v>
      </c>
      <c r="K58" s="651">
        <v>12.603624013464524</v>
      </c>
      <c r="L58" s="651">
        <v>0</v>
      </c>
      <c r="M58" s="651">
        <v>0.22730502357401322</v>
      </c>
      <c r="N58" s="651">
        <v>0</v>
      </c>
      <c r="O58" s="651">
        <v>2.3801724763059897</v>
      </c>
      <c r="P58" s="642">
        <v>0</v>
      </c>
      <c r="Q58" s="642">
        <v>-42.214668535116644</v>
      </c>
      <c r="R58" s="642">
        <v>0</v>
      </c>
      <c r="S58" s="650">
        <v>5.6612020875190572</v>
      </c>
      <c r="U58" s="648" t="s">
        <v>351</v>
      </c>
      <c r="V58" s="642">
        <v>0.57556847895375396</v>
      </c>
      <c r="W58" s="642">
        <v>0</v>
      </c>
      <c r="X58" s="642">
        <v>9.6807273074047573E-2</v>
      </c>
      <c r="Y58" s="642">
        <v>19.098436526179597</v>
      </c>
      <c r="Z58" s="642">
        <v>0</v>
      </c>
      <c r="AA58" s="642">
        <v>0</v>
      </c>
      <c r="AB58" s="651">
        <v>18.536093620572945</v>
      </c>
      <c r="AC58" s="651">
        <v>15.896426642523334</v>
      </c>
      <c r="AD58" s="651">
        <v>0</v>
      </c>
      <c r="AE58" s="651">
        <v>0.61098888777569416</v>
      </c>
      <c r="AF58" s="651">
        <v>0</v>
      </c>
      <c r="AG58" s="651">
        <v>3.2143759234787459</v>
      </c>
      <c r="AH58" s="642">
        <v>0</v>
      </c>
      <c r="AI58" s="642">
        <v>-51.338123400700034</v>
      </c>
      <c r="AJ58" s="642">
        <v>0</v>
      </c>
      <c r="AK58" s="650">
        <v>6.6905739518580836</v>
      </c>
    </row>
    <row r="59" spans="3:37" ht="13.5">
      <c r="C59" s="648" t="s">
        <v>352</v>
      </c>
      <c r="D59" s="642">
        <v>0</v>
      </c>
      <c r="E59" s="642">
        <v>0</v>
      </c>
      <c r="F59" s="642">
        <v>0</v>
      </c>
      <c r="G59" s="642">
        <v>0</v>
      </c>
      <c r="H59" s="642">
        <v>0</v>
      </c>
      <c r="I59" s="642">
        <v>0</v>
      </c>
      <c r="J59" s="652">
        <v>5.238502832319341</v>
      </c>
      <c r="K59" s="652">
        <v>0</v>
      </c>
      <c r="L59" s="652">
        <v>0</v>
      </c>
      <c r="M59" s="652">
        <v>-4.5574974641178265</v>
      </c>
      <c r="N59" s="652">
        <v>0</v>
      </c>
      <c r="O59" s="652">
        <v>0</v>
      </c>
      <c r="P59" s="642">
        <v>0</v>
      </c>
      <c r="Q59" s="642">
        <v>0</v>
      </c>
      <c r="R59" s="642">
        <v>0</v>
      </c>
      <c r="S59" s="650">
        <v>0.68100536820151447</v>
      </c>
      <c r="U59" s="648" t="s">
        <v>352</v>
      </c>
      <c r="V59" s="642">
        <v>0</v>
      </c>
      <c r="W59" s="642">
        <v>0</v>
      </c>
      <c r="X59" s="642">
        <v>0</v>
      </c>
      <c r="Y59" s="642">
        <v>0</v>
      </c>
      <c r="Z59" s="642">
        <v>0</v>
      </c>
      <c r="AA59" s="642">
        <v>0</v>
      </c>
      <c r="AB59" s="652">
        <v>13.772235368900052</v>
      </c>
      <c r="AC59" s="652">
        <v>0</v>
      </c>
      <c r="AD59" s="652">
        <v>0</v>
      </c>
      <c r="AE59" s="652">
        <v>-11.981844770943045</v>
      </c>
      <c r="AF59" s="652">
        <v>0</v>
      </c>
      <c r="AG59" s="652">
        <v>0</v>
      </c>
      <c r="AH59" s="642">
        <v>0</v>
      </c>
      <c r="AI59" s="642">
        <v>0</v>
      </c>
      <c r="AJ59" s="642">
        <v>0</v>
      </c>
      <c r="AK59" s="650">
        <v>1.7903905979570069</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528.18160482950532</v>
      </c>
      <c r="F61" s="642">
        <v>-522.91035312734175</v>
      </c>
      <c r="G61" s="642">
        <v>0</v>
      </c>
      <c r="H61" s="642">
        <v>0</v>
      </c>
      <c r="I61" s="642">
        <v>0</v>
      </c>
      <c r="J61" s="642">
        <v>0</v>
      </c>
      <c r="K61" s="642">
        <v>0</v>
      </c>
      <c r="L61" s="642">
        <v>0</v>
      </c>
      <c r="M61" s="642">
        <v>0</v>
      </c>
      <c r="N61" s="642">
        <v>0</v>
      </c>
      <c r="O61" s="642">
        <v>0</v>
      </c>
      <c r="P61" s="642">
        <v>0</v>
      </c>
      <c r="Q61" s="642">
        <v>0</v>
      </c>
      <c r="R61" s="642">
        <v>0</v>
      </c>
      <c r="S61" s="650">
        <v>5.2712517021635534</v>
      </c>
      <c r="U61" s="648" t="s">
        <v>72</v>
      </c>
      <c r="V61" s="642">
        <v>0</v>
      </c>
      <c r="W61" s="642">
        <v>485.93325526938804</v>
      </c>
      <c r="X61" s="642">
        <v>-481.0844870628257</v>
      </c>
      <c r="Y61" s="642">
        <v>0</v>
      </c>
      <c r="Z61" s="642">
        <v>0</v>
      </c>
      <c r="AA61" s="642">
        <v>0</v>
      </c>
      <c r="AB61" s="642">
        <v>0</v>
      </c>
      <c r="AC61" s="642">
        <v>0</v>
      </c>
      <c r="AD61" s="642">
        <v>0</v>
      </c>
      <c r="AE61" s="642">
        <v>0</v>
      </c>
      <c r="AF61" s="642">
        <v>0</v>
      </c>
      <c r="AG61" s="642">
        <v>0</v>
      </c>
      <c r="AH61" s="642">
        <v>0</v>
      </c>
      <c r="AI61" s="642">
        <v>0</v>
      </c>
      <c r="AJ61" s="642">
        <v>0</v>
      </c>
      <c r="AK61" s="650">
        <v>4.8487682065623261</v>
      </c>
    </row>
    <row r="62" spans="3:37" ht="13.5">
      <c r="C62" s="648" t="s">
        <v>354</v>
      </c>
      <c r="D62" s="642">
        <v>0</v>
      </c>
      <c r="E62" s="642">
        <v>0</v>
      </c>
      <c r="F62" s="642">
        <v>0</v>
      </c>
      <c r="G62" s="642">
        <v>0</v>
      </c>
      <c r="H62" s="642">
        <v>0</v>
      </c>
      <c r="I62" s="642">
        <v>0</v>
      </c>
      <c r="J62" s="642">
        <v>41.023636384681005</v>
      </c>
      <c r="K62" s="642">
        <v>0</v>
      </c>
      <c r="L62" s="642">
        <v>-41.023636384681005</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-41.390538118321977</v>
      </c>
      <c r="AE62" s="642">
        <v>0</v>
      </c>
      <c r="AF62" s="642">
        <v>0</v>
      </c>
      <c r="AG62" s="642">
        <v>0</v>
      </c>
      <c r="AH62" s="642">
        <v>0</v>
      </c>
      <c r="AI62" s="642">
        <v>0</v>
      </c>
      <c r="AJ62" s="642">
        <v>0</v>
      </c>
      <c r="AK62" s="650">
        <v>-41.390538118321977</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0</v>
      </c>
      <c r="AE63" s="642">
        <v>0</v>
      </c>
      <c r="AF63" s="642">
        <v>0</v>
      </c>
      <c r="AG63" s="642">
        <v>0</v>
      </c>
      <c r="AH63" s="642">
        <v>0</v>
      </c>
      <c r="AI63" s="642">
        <v>0</v>
      </c>
      <c r="AJ63" s="642">
        <v>0</v>
      </c>
      <c r="AK63" s="650">
        <v>0</v>
      </c>
    </row>
    <row r="64" spans="3:37" ht="13.5">
      <c r="C64" s="648" t="s">
        <v>73</v>
      </c>
      <c r="D64" s="642">
        <v>0</v>
      </c>
      <c r="E64" s="642">
        <v>0</v>
      </c>
      <c r="F64" s="642">
        <v>0</v>
      </c>
      <c r="G64" s="642">
        <v>0.3688106228045655</v>
      </c>
      <c r="H64" s="642">
        <v>0</v>
      </c>
      <c r="I64" s="642">
        <v>0</v>
      </c>
      <c r="J64" s="642">
        <v>0</v>
      </c>
      <c r="K64" s="642">
        <v>4.0111846923828126E-3</v>
      </c>
      <c r="L64" s="642">
        <v>0</v>
      </c>
      <c r="M64" s="642">
        <v>4.6306720562744137E-3</v>
      </c>
      <c r="N64" s="642">
        <v>0</v>
      </c>
      <c r="O64" s="642">
        <v>0</v>
      </c>
      <c r="P64" s="642">
        <v>2.54864504300631E-2</v>
      </c>
      <c r="Q64" s="642">
        <v>0</v>
      </c>
      <c r="R64" s="642">
        <v>-0.28078292846679692</v>
      </c>
      <c r="S64" s="650">
        <v>0.12215600151648892</v>
      </c>
      <c r="U64" s="648" t="s">
        <v>73</v>
      </c>
      <c r="V64" s="642">
        <v>0</v>
      </c>
      <c r="W64" s="642">
        <v>0</v>
      </c>
      <c r="X64" s="642">
        <v>0</v>
      </c>
      <c r="Y64" s="642">
        <v>1.2251451363860373</v>
      </c>
      <c r="Z64" s="642">
        <v>0</v>
      </c>
      <c r="AA64" s="642">
        <v>0</v>
      </c>
      <c r="AB64" s="642">
        <v>0</v>
      </c>
      <c r="AC64" s="642">
        <v>1.6303964872591784E-2</v>
      </c>
      <c r="AD64" s="642">
        <v>0</v>
      </c>
      <c r="AE64" s="642">
        <v>3.8412141239826253E-2</v>
      </c>
      <c r="AF64" s="642">
        <v>0</v>
      </c>
      <c r="AG64" s="642">
        <v>0</v>
      </c>
      <c r="AH64" s="642">
        <v>0.37749949435770208</v>
      </c>
      <c r="AI64" s="642">
        <v>0</v>
      </c>
      <c r="AJ64" s="642">
        <v>-1.1412775410814249</v>
      </c>
      <c r="AK64" s="650">
        <v>0.51608319577473249</v>
      </c>
    </row>
    <row r="65" spans="3:37" ht="13.5">
      <c r="C65" s="648" t="s">
        <v>356</v>
      </c>
      <c r="D65" s="642">
        <v>30.422460937499999</v>
      </c>
      <c r="E65" s="642">
        <v>-18.4071872151276</v>
      </c>
      <c r="F65" s="642">
        <v>24.023113751560182</v>
      </c>
      <c r="G65" s="642">
        <v>0</v>
      </c>
      <c r="H65" s="642">
        <v>0</v>
      </c>
      <c r="I65" s="642">
        <v>0</v>
      </c>
      <c r="J65" s="642">
        <v>0</v>
      </c>
      <c r="K65" s="642">
        <v>0</v>
      </c>
      <c r="L65" s="642">
        <v>0</v>
      </c>
      <c r="M65" s="642">
        <v>0</v>
      </c>
      <c r="N65" s="642">
        <v>0</v>
      </c>
      <c r="O65" s="642">
        <v>0</v>
      </c>
      <c r="P65" s="642">
        <v>0</v>
      </c>
      <c r="Q65" s="642">
        <v>0</v>
      </c>
      <c r="R65" s="642">
        <v>0</v>
      </c>
      <c r="S65" s="650">
        <v>36.03838747393258</v>
      </c>
      <c r="U65" s="648" t="s">
        <v>356</v>
      </c>
      <c r="V65" s="642">
        <v>19.459654296874998</v>
      </c>
      <c r="W65" s="642">
        <v>-16.94328190286954</v>
      </c>
      <c r="X65" s="642">
        <v>22.108412068991214</v>
      </c>
      <c r="Y65" s="642">
        <v>0</v>
      </c>
      <c r="Z65" s="642">
        <v>0</v>
      </c>
      <c r="AA65" s="642">
        <v>0</v>
      </c>
      <c r="AB65" s="642">
        <v>0</v>
      </c>
      <c r="AC65" s="642">
        <v>0</v>
      </c>
      <c r="AD65" s="642">
        <v>0</v>
      </c>
      <c r="AE65" s="642">
        <v>0</v>
      </c>
      <c r="AF65" s="642">
        <v>0</v>
      </c>
      <c r="AG65" s="642">
        <v>0</v>
      </c>
      <c r="AH65" s="642">
        <v>0</v>
      </c>
      <c r="AI65" s="642">
        <v>0</v>
      </c>
      <c r="AJ65" s="642">
        <v>0</v>
      </c>
      <c r="AK65" s="650">
        <v>24.624784462996672</v>
      </c>
    </row>
    <row r="66" spans="3:37" ht="13.5">
      <c r="C66" s="648" t="s">
        <v>75</v>
      </c>
      <c r="D66" s="642">
        <v>11.830957031250001</v>
      </c>
      <c r="E66" s="642">
        <v>0</v>
      </c>
      <c r="F66" s="642">
        <v>18.055588008572965</v>
      </c>
      <c r="G66" s="642">
        <v>5.1459674063225336</v>
      </c>
      <c r="H66" s="642">
        <v>0</v>
      </c>
      <c r="I66" s="642">
        <v>0</v>
      </c>
      <c r="J66" s="642">
        <v>0</v>
      </c>
      <c r="K66" s="642">
        <v>0</v>
      </c>
      <c r="L66" s="642">
        <v>0</v>
      </c>
      <c r="M66" s="642">
        <v>6.4611174400971444E-2</v>
      </c>
      <c r="N66" s="642">
        <v>0</v>
      </c>
      <c r="O66" s="642">
        <v>0</v>
      </c>
      <c r="P66" s="642">
        <v>34.108085964069424</v>
      </c>
      <c r="Q66" s="642">
        <v>0</v>
      </c>
      <c r="R66" s="642">
        <v>0</v>
      </c>
      <c r="S66" s="650">
        <v>69.205209584615886</v>
      </c>
      <c r="U66" s="648" t="s">
        <v>75</v>
      </c>
      <c r="V66" s="642">
        <v>13.970490234374999</v>
      </c>
      <c r="W66" s="642">
        <v>0</v>
      </c>
      <c r="X66" s="642">
        <v>18.055588008572965</v>
      </c>
      <c r="Y66" s="642">
        <v>5.0521769918695103</v>
      </c>
      <c r="Z66" s="642">
        <v>0</v>
      </c>
      <c r="AA66" s="642">
        <v>0</v>
      </c>
      <c r="AB66" s="642">
        <v>0</v>
      </c>
      <c r="AC66" s="642">
        <v>0</v>
      </c>
      <c r="AD66" s="642">
        <v>0</v>
      </c>
      <c r="AE66" s="642">
        <v>0.15840158885399455</v>
      </c>
      <c r="AF66" s="642">
        <v>0</v>
      </c>
      <c r="AG66" s="642">
        <v>0</v>
      </c>
      <c r="AH66" s="642">
        <v>34.71147439382149</v>
      </c>
      <c r="AI66" s="642">
        <v>0</v>
      </c>
      <c r="AJ66" s="642">
        <v>0</v>
      </c>
      <c r="AK66" s="650">
        <v>71.948131217492957</v>
      </c>
    </row>
    <row r="67" spans="3:37" ht="13.5">
      <c r="C67" s="648" t="s">
        <v>76</v>
      </c>
      <c r="D67" s="642">
        <v>0</v>
      </c>
      <c r="E67" s="642">
        <v>0</v>
      </c>
      <c r="F67" s="642">
        <v>0</v>
      </c>
      <c r="G67" s="642">
        <v>4.3041417463624567</v>
      </c>
      <c r="H67" s="642">
        <v>0</v>
      </c>
      <c r="I67" s="642">
        <v>0</v>
      </c>
      <c r="J67" s="642">
        <v>0</v>
      </c>
      <c r="K67" s="642">
        <v>0</v>
      </c>
      <c r="L67" s="642">
        <v>0</v>
      </c>
      <c r="M67" s="642">
        <v>5.4041471906535486E-2</v>
      </c>
      <c r="N67" s="642">
        <v>0</v>
      </c>
      <c r="O67" s="642">
        <v>0</v>
      </c>
      <c r="P67" s="642">
        <v>38.59518094579407</v>
      </c>
      <c r="Q67" s="642">
        <v>3.2740395369373112</v>
      </c>
      <c r="R67" s="642">
        <v>0</v>
      </c>
      <c r="S67" s="650">
        <v>46.227403701000377</v>
      </c>
      <c r="U67" s="648" t="s">
        <v>76</v>
      </c>
      <c r="V67" s="642">
        <v>0</v>
      </c>
      <c r="W67" s="642">
        <v>0</v>
      </c>
      <c r="X67" s="642">
        <v>0</v>
      </c>
      <c r="Y67" s="642">
        <v>4.5315152472590912</v>
      </c>
      <c r="Z67" s="642">
        <v>0</v>
      </c>
      <c r="AA67" s="642">
        <v>0</v>
      </c>
      <c r="AB67" s="642">
        <v>0</v>
      </c>
      <c r="AC67" s="642">
        <v>0</v>
      </c>
      <c r="AD67" s="642">
        <v>0</v>
      </c>
      <c r="AE67" s="642">
        <v>0.14207721072264479</v>
      </c>
      <c r="AF67" s="642">
        <v>0</v>
      </c>
      <c r="AG67" s="642">
        <v>0</v>
      </c>
      <c r="AH67" s="642">
        <v>38.917619787515648</v>
      </c>
      <c r="AI67" s="642">
        <v>3.9810231243072418</v>
      </c>
      <c r="AJ67" s="642">
        <v>0</v>
      </c>
      <c r="AK67" s="650">
        <v>47.572235369804623</v>
      </c>
    </row>
    <row r="68" spans="3:37" ht="13.5">
      <c r="C68" s="646" t="s">
        <v>77</v>
      </c>
      <c r="D68" s="647">
        <v>47.463794940496484</v>
      </c>
      <c r="E68" s="647">
        <v>509.81804130504707</v>
      </c>
      <c r="F68" s="647">
        <v>-471.3584811632748</v>
      </c>
      <c r="G68" s="647">
        <v>45.727215148483886</v>
      </c>
      <c r="H68" s="647">
        <v>1100.0000000000002</v>
      </c>
      <c r="I68" s="647">
        <v>135.04231425541462</v>
      </c>
      <c r="J68" s="647">
        <v>95.493113487793721</v>
      </c>
      <c r="K68" s="647">
        <v>22.461684350194222</v>
      </c>
      <c r="L68" s="647">
        <v>-39.348892368757156</v>
      </c>
      <c r="M68" s="647">
        <v>-3.8550490749930102</v>
      </c>
      <c r="N68" s="647">
        <v>0</v>
      </c>
      <c r="O68" s="647">
        <v>3.4751235666388727</v>
      </c>
      <c r="P68" s="647">
        <v>-455.24272836253516</v>
      </c>
      <c r="Q68" s="647">
        <v>-38.940628998179335</v>
      </c>
      <c r="R68" s="647">
        <v>-0.28078292846679692</v>
      </c>
      <c r="S68" s="647">
        <v>950.45472415786298</v>
      </c>
      <c r="U68" s="646" t="s">
        <v>77</v>
      </c>
      <c r="V68" s="647">
        <v>39.516307557449196</v>
      </c>
      <c r="W68" s="647">
        <v>469.03359705718782</v>
      </c>
      <c r="X68" s="647">
        <v>-431.98489409306461</v>
      </c>
      <c r="Y68" s="647">
        <v>93.82110729263789</v>
      </c>
      <c r="Z68" s="647">
        <v>1119.7245179063361</v>
      </c>
      <c r="AA68" s="647">
        <v>139.7041324372328</v>
      </c>
      <c r="AB68" s="647">
        <v>63.23058399557587</v>
      </c>
      <c r="AC68" s="647">
        <v>25.725656414831235</v>
      </c>
      <c r="AD68" s="647">
        <v>-39.715794102398128</v>
      </c>
      <c r="AE68" s="647">
        <v>-8.9119472733180274</v>
      </c>
      <c r="AF68" s="647">
        <v>0</v>
      </c>
      <c r="AG68" s="647">
        <v>4.3093270138116289</v>
      </c>
      <c r="AH68" s="647">
        <v>-489.55397895622485</v>
      </c>
      <c r="AI68" s="647">
        <v>-47.357100276392799</v>
      </c>
      <c r="AJ68" s="647">
        <v>-1.1412775410814249</v>
      </c>
      <c r="AK68" s="647">
        <v>936.40023743258246</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7.7357918362926714</v>
      </c>
      <c r="E70" s="642">
        <v>0</v>
      </c>
      <c r="F70" s="642">
        <v>28.289566768434444</v>
      </c>
      <c r="G70" s="642">
        <v>114.22190114423505</v>
      </c>
      <c r="H70" s="642">
        <v>0</v>
      </c>
      <c r="I70" s="642">
        <v>0</v>
      </c>
      <c r="J70" s="642">
        <v>17.070500200938145</v>
      </c>
      <c r="K70" s="642">
        <v>1.6812193044902295</v>
      </c>
      <c r="L70" s="642">
        <v>0.86581751367187498</v>
      </c>
      <c r="M70" s="642">
        <v>1.4530646317918139</v>
      </c>
      <c r="N70" s="642">
        <v>0</v>
      </c>
      <c r="O70" s="642">
        <v>3.8591468753626534E-4</v>
      </c>
      <c r="P70" s="642">
        <v>111.09265177846828</v>
      </c>
      <c r="Q70" s="642">
        <v>17.201720519477085</v>
      </c>
      <c r="R70" s="642">
        <v>0.28078292846679687</v>
      </c>
      <c r="S70" s="650">
        <v>299.89340254095396</v>
      </c>
      <c r="U70" s="648" t="s">
        <v>78</v>
      </c>
      <c r="V70" s="642">
        <v>5.1152739170350241</v>
      </c>
      <c r="W70" s="642">
        <v>0</v>
      </c>
      <c r="X70" s="642">
        <v>25.534648950011739</v>
      </c>
      <c r="Y70" s="642">
        <v>99.93968438859396</v>
      </c>
      <c r="Z70" s="642">
        <v>0</v>
      </c>
      <c r="AA70" s="642">
        <v>0</v>
      </c>
      <c r="AB70" s="642">
        <v>17.52580931876382</v>
      </c>
      <c r="AC70" s="642">
        <v>4.7157637498356459</v>
      </c>
      <c r="AD70" s="642">
        <v>0.87185221093750009</v>
      </c>
      <c r="AE70" s="642">
        <v>3.1523522333366012</v>
      </c>
      <c r="AF70" s="642">
        <v>0</v>
      </c>
      <c r="AG70" s="642">
        <v>3.8591468753626534E-4</v>
      </c>
      <c r="AH70" s="642">
        <v>120.66054558326853</v>
      </c>
      <c r="AI70" s="642">
        <v>18.606282657435788</v>
      </c>
      <c r="AJ70" s="642">
        <v>0.25516677856445313</v>
      </c>
      <c r="AK70" s="650">
        <v>296.37776570247064</v>
      </c>
    </row>
    <row r="71" spans="3:37" ht="13.5">
      <c r="C71" s="648" t="s">
        <v>79</v>
      </c>
      <c r="D71" s="642">
        <v>0</v>
      </c>
      <c r="E71" s="642">
        <v>0</v>
      </c>
      <c r="F71" s="642">
        <v>401.66314273909671</v>
      </c>
      <c r="G71" s="642">
        <v>4.8257671396463779</v>
      </c>
      <c r="H71" s="642">
        <v>0</v>
      </c>
      <c r="I71" s="642">
        <v>0</v>
      </c>
      <c r="J71" s="642">
        <v>0</v>
      </c>
      <c r="K71" s="642">
        <v>0</v>
      </c>
      <c r="L71" s="642">
        <v>37.460895129674924</v>
      </c>
      <c r="M71" s="642">
        <v>8.2247250592570986E-2</v>
      </c>
      <c r="N71" s="642">
        <v>0</v>
      </c>
      <c r="O71" s="642">
        <v>0</v>
      </c>
      <c r="P71" s="642">
        <v>14.197032789637335</v>
      </c>
      <c r="Q71" s="642">
        <v>0</v>
      </c>
      <c r="R71" s="642">
        <v>0</v>
      </c>
      <c r="S71" s="650">
        <v>458.2290850486479</v>
      </c>
      <c r="U71" s="648" t="s">
        <v>79</v>
      </c>
      <c r="V71" s="642">
        <v>0</v>
      </c>
      <c r="W71" s="642">
        <v>0</v>
      </c>
      <c r="X71" s="642">
        <v>381.87925300829363</v>
      </c>
      <c r="Y71" s="642">
        <v>4.8754277636803574</v>
      </c>
      <c r="Z71" s="642">
        <v>0</v>
      </c>
      <c r="AA71" s="642">
        <v>0</v>
      </c>
      <c r="AB71" s="642">
        <v>0</v>
      </c>
      <c r="AC71" s="642">
        <v>0</v>
      </c>
      <c r="AD71" s="642">
        <v>37.352195820661073</v>
      </c>
      <c r="AE71" s="642">
        <v>0.21416436386199153</v>
      </c>
      <c r="AF71" s="642">
        <v>0</v>
      </c>
      <c r="AG71" s="642">
        <v>0</v>
      </c>
      <c r="AH71" s="642">
        <v>13.917722567256266</v>
      </c>
      <c r="AI71" s="642">
        <v>0</v>
      </c>
      <c r="AJ71" s="642">
        <v>1.4045889662865447E-5</v>
      </c>
      <c r="AK71" s="650">
        <v>438.23877756964299</v>
      </c>
    </row>
    <row r="72" spans="3:37" ht="13.5">
      <c r="C72" s="648" t="s">
        <v>80</v>
      </c>
      <c r="D72" s="642">
        <v>0</v>
      </c>
      <c r="E72" s="642">
        <v>0</v>
      </c>
      <c r="F72" s="642">
        <v>44.949327937265863</v>
      </c>
      <c r="G72" s="642">
        <v>126.45597876373861</v>
      </c>
      <c r="H72" s="642">
        <v>0</v>
      </c>
      <c r="I72" s="642">
        <v>0</v>
      </c>
      <c r="J72" s="642">
        <v>74.162865758963164</v>
      </c>
      <c r="K72" s="642">
        <v>0</v>
      </c>
      <c r="L72" s="642">
        <v>0</v>
      </c>
      <c r="M72" s="642">
        <v>1.5877421391963937</v>
      </c>
      <c r="N72" s="642">
        <v>30.690291714133512</v>
      </c>
      <c r="O72" s="642">
        <v>1.3360751473174615</v>
      </c>
      <c r="P72" s="642">
        <v>167.04585454887541</v>
      </c>
      <c r="Q72" s="642">
        <v>15.952552032300854</v>
      </c>
      <c r="R72" s="642">
        <v>0</v>
      </c>
      <c r="S72" s="650">
        <v>462.18068804179131</v>
      </c>
      <c r="U72" s="648" t="s">
        <v>80</v>
      </c>
      <c r="V72" s="642">
        <v>0</v>
      </c>
      <c r="W72" s="642">
        <v>0</v>
      </c>
      <c r="X72" s="642">
        <v>41.162395061542448</v>
      </c>
      <c r="Y72" s="642">
        <v>118.23647816170383</v>
      </c>
      <c r="Z72" s="642">
        <v>0</v>
      </c>
      <c r="AA72" s="642">
        <v>0</v>
      </c>
      <c r="AB72" s="642">
        <v>77.948130735821934</v>
      </c>
      <c r="AC72" s="642">
        <v>0</v>
      </c>
      <c r="AD72" s="642">
        <v>0</v>
      </c>
      <c r="AE72" s="642">
        <v>3.7070842987992951</v>
      </c>
      <c r="AF72" s="642">
        <v>32.239034361458778</v>
      </c>
      <c r="AG72" s="642">
        <v>1.2931636502499975</v>
      </c>
      <c r="AH72" s="642">
        <v>162.51262140820876</v>
      </c>
      <c r="AI72" s="642">
        <v>21.915030230615571</v>
      </c>
      <c r="AJ72" s="642">
        <v>0</v>
      </c>
      <c r="AK72" s="650">
        <v>459.01393790840058</v>
      </c>
    </row>
    <row r="73" spans="3:37" ht="13.5">
      <c r="C73" s="648" t="s">
        <v>81</v>
      </c>
      <c r="D73" s="642">
        <v>0</v>
      </c>
      <c r="E73" s="642">
        <v>0</v>
      </c>
      <c r="F73" s="642">
        <v>24.870514058003725</v>
      </c>
      <c r="G73" s="642">
        <v>69.200500866366369</v>
      </c>
      <c r="H73" s="642">
        <v>0</v>
      </c>
      <c r="I73" s="642">
        <v>0</v>
      </c>
      <c r="J73" s="642">
        <v>4.1929555904242415</v>
      </c>
      <c r="K73" s="642">
        <v>2.7283295480293974E-2</v>
      </c>
      <c r="L73" s="642">
        <v>0</v>
      </c>
      <c r="M73" s="642">
        <v>0.86886007568139212</v>
      </c>
      <c r="N73" s="642">
        <v>5.8243599659976146</v>
      </c>
      <c r="O73" s="642">
        <v>0.99519184131174698</v>
      </c>
      <c r="P73" s="642">
        <v>130.24280942426404</v>
      </c>
      <c r="Q73" s="642">
        <v>5.7863564464014026</v>
      </c>
      <c r="R73" s="642">
        <v>0</v>
      </c>
      <c r="S73" s="650">
        <v>242.00883156393087</v>
      </c>
      <c r="U73" s="648" t="s">
        <v>81</v>
      </c>
      <c r="V73" s="642">
        <v>0</v>
      </c>
      <c r="W73" s="642">
        <v>0</v>
      </c>
      <c r="X73" s="642">
        <v>21.247497718121448</v>
      </c>
      <c r="Y73" s="642">
        <v>62.565763699850315</v>
      </c>
      <c r="Z73" s="642">
        <v>0</v>
      </c>
      <c r="AA73" s="642">
        <v>0</v>
      </c>
      <c r="AB73" s="642">
        <v>5.5520423930757747</v>
      </c>
      <c r="AC73" s="642">
        <v>2.7283295480293974E-2</v>
      </c>
      <c r="AD73" s="642">
        <v>0</v>
      </c>
      <c r="AE73" s="642">
        <v>1.9616328552758351</v>
      </c>
      <c r="AF73" s="642">
        <v>8.7253022127149791</v>
      </c>
      <c r="AG73" s="642">
        <v>1.2941657115976744</v>
      </c>
      <c r="AH73" s="642">
        <v>128.40391717018849</v>
      </c>
      <c r="AI73" s="642">
        <v>6.8357873883414371</v>
      </c>
      <c r="AJ73" s="642">
        <v>0</v>
      </c>
      <c r="AK73" s="650">
        <v>236.61339244464625</v>
      </c>
    </row>
    <row r="74" spans="3:37" ht="13.5">
      <c r="C74" s="648" t="s">
        <v>82</v>
      </c>
      <c r="D74" s="642">
        <v>0</v>
      </c>
      <c r="E74" s="642">
        <v>0</v>
      </c>
      <c r="F74" s="642">
        <v>34.857709492285672</v>
      </c>
      <c r="G74" s="642">
        <v>2.5298696752764673</v>
      </c>
      <c r="H74" s="642">
        <v>0</v>
      </c>
      <c r="I74" s="642">
        <v>0</v>
      </c>
      <c r="J74" s="642">
        <v>0.53778095326873299</v>
      </c>
      <c r="K74" s="642">
        <v>0</v>
      </c>
      <c r="L74" s="642">
        <v>2.2064360979425728</v>
      </c>
      <c r="M74" s="642">
        <v>3.176426080744045E-2</v>
      </c>
      <c r="N74" s="642">
        <v>0</v>
      </c>
      <c r="O74" s="642">
        <v>9.2576225379409571E-2</v>
      </c>
      <c r="P74" s="642">
        <v>8.3662824168205496</v>
      </c>
      <c r="Q74" s="642">
        <v>0</v>
      </c>
      <c r="R74" s="642">
        <v>0</v>
      </c>
      <c r="S74" s="650">
        <v>48.622419121780844</v>
      </c>
      <c r="U74" s="648" t="s">
        <v>82</v>
      </c>
      <c r="V74" s="642">
        <v>0</v>
      </c>
      <c r="W74" s="642">
        <v>0</v>
      </c>
      <c r="X74" s="642">
        <v>34.89814208484043</v>
      </c>
      <c r="Y74" s="642">
        <v>2.6598837825323027</v>
      </c>
      <c r="Z74" s="642">
        <v>0</v>
      </c>
      <c r="AA74" s="642">
        <v>0</v>
      </c>
      <c r="AB74" s="642">
        <v>0.53778095326873299</v>
      </c>
      <c r="AC74" s="642">
        <v>0</v>
      </c>
      <c r="AD74" s="642">
        <v>2.161994219425559</v>
      </c>
      <c r="AE74" s="642">
        <v>8.3395696152002902E-2</v>
      </c>
      <c r="AF74" s="642">
        <v>0</v>
      </c>
      <c r="AG74" s="642">
        <v>0.25485200979833694</v>
      </c>
      <c r="AH74" s="642">
        <v>8.3792280774105983</v>
      </c>
      <c r="AI74" s="642">
        <v>0</v>
      </c>
      <c r="AJ74" s="642">
        <v>5.2098714141513347E-2</v>
      </c>
      <c r="AK74" s="650">
        <v>49.027375537569476</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v>
      </c>
      <c r="Q75" s="642">
        <v>0</v>
      </c>
      <c r="R75" s="642">
        <v>0</v>
      </c>
      <c r="S75" s="650">
        <v>0</v>
      </c>
      <c r="U75" s="648" t="s">
        <v>357</v>
      </c>
      <c r="V75" s="642">
        <v>0</v>
      </c>
      <c r="W75" s="642">
        <v>0</v>
      </c>
      <c r="X75" s="642">
        <v>0</v>
      </c>
      <c r="Y75" s="642">
        <v>0</v>
      </c>
      <c r="Z75" s="642">
        <v>0</v>
      </c>
      <c r="AA75" s="642">
        <v>0</v>
      </c>
      <c r="AB75" s="642">
        <v>0</v>
      </c>
      <c r="AC75" s="642">
        <v>0</v>
      </c>
      <c r="AD75" s="642">
        <v>0</v>
      </c>
      <c r="AE75" s="642">
        <v>0</v>
      </c>
      <c r="AF75" s="642">
        <v>0</v>
      </c>
      <c r="AG75" s="642">
        <v>0</v>
      </c>
      <c r="AH75" s="642">
        <v>0</v>
      </c>
      <c r="AI75" s="642">
        <v>0</v>
      </c>
      <c r="AJ75" s="642">
        <v>0</v>
      </c>
      <c r="AK75" s="650">
        <v>0</v>
      </c>
    </row>
    <row r="76" spans="3:37" ht="13.5">
      <c r="C76" s="646" t="s">
        <v>83</v>
      </c>
      <c r="D76" s="647">
        <v>7.7357918362926714</v>
      </c>
      <c r="E76" s="647">
        <v>0</v>
      </c>
      <c r="F76" s="647">
        <v>534.63026099508636</v>
      </c>
      <c r="G76" s="647">
        <v>317.23401758926286</v>
      </c>
      <c r="H76" s="647">
        <v>0</v>
      </c>
      <c r="I76" s="647">
        <v>0</v>
      </c>
      <c r="J76" s="647">
        <v>95.96410250359429</v>
      </c>
      <c r="K76" s="647">
        <v>1.7085025999705235</v>
      </c>
      <c r="L76" s="647">
        <v>40.533148741289374</v>
      </c>
      <c r="M76" s="647">
        <v>4.0236783580696116</v>
      </c>
      <c r="N76" s="647">
        <v>36.514651680131124</v>
      </c>
      <c r="O76" s="647">
        <v>2.4242291286961546</v>
      </c>
      <c r="P76" s="647">
        <v>430.9446309580656</v>
      </c>
      <c r="Q76" s="647">
        <v>38.940628998179342</v>
      </c>
      <c r="R76" s="647">
        <v>0.28078292846679687</v>
      </c>
      <c r="S76" s="647">
        <v>1510.9344263171047</v>
      </c>
      <c r="U76" s="646" t="s">
        <v>83</v>
      </c>
      <c r="V76" s="647">
        <v>5.1152739170350241</v>
      </c>
      <c r="W76" s="647">
        <v>0</v>
      </c>
      <c r="X76" s="647">
        <v>504.72193682280971</v>
      </c>
      <c r="Y76" s="647">
        <v>288.27723779636074</v>
      </c>
      <c r="Z76" s="647">
        <v>0</v>
      </c>
      <c r="AA76" s="647">
        <v>0</v>
      </c>
      <c r="AB76" s="647">
        <v>101.56376340093026</v>
      </c>
      <c r="AC76" s="647">
        <v>4.7430470453159401</v>
      </c>
      <c r="AD76" s="647">
        <v>40.386042251024129</v>
      </c>
      <c r="AE76" s="647">
        <v>9.118629447425727</v>
      </c>
      <c r="AF76" s="647">
        <v>40.964336574173757</v>
      </c>
      <c r="AG76" s="647">
        <v>2.8425672863335452</v>
      </c>
      <c r="AH76" s="647">
        <v>433.87403480633265</v>
      </c>
      <c r="AI76" s="647">
        <v>47.357100276392799</v>
      </c>
      <c r="AJ76" s="647">
        <v>0.30727953859562934</v>
      </c>
      <c r="AK76" s="647">
        <v>1479.2712491627301</v>
      </c>
    </row>
    <row r="77" spans="3:37" ht="13.5">
      <c r="C77" s="641" t="s">
        <v>84</v>
      </c>
      <c r="D77" s="642">
        <v>0</v>
      </c>
      <c r="E77" s="642">
        <v>0</v>
      </c>
      <c r="F77" s="642">
        <v>133.10744763246728</v>
      </c>
      <c r="G77" s="642">
        <v>12.012561812227283</v>
      </c>
      <c r="H77" s="642">
        <v>0</v>
      </c>
      <c r="I77" s="642">
        <v>0</v>
      </c>
      <c r="J77" s="642">
        <v>0</v>
      </c>
      <c r="K77" s="642">
        <v>0</v>
      </c>
      <c r="L77" s="642">
        <v>0</v>
      </c>
      <c r="M77" s="642">
        <v>0</v>
      </c>
      <c r="N77" s="642">
        <v>0</v>
      </c>
      <c r="O77" s="642">
        <v>0</v>
      </c>
      <c r="P77" s="642">
        <v>0</v>
      </c>
      <c r="Q77" s="642">
        <v>0</v>
      </c>
      <c r="R77" s="642">
        <v>0</v>
      </c>
      <c r="S77" s="650">
        <v>145.12000944469457</v>
      </c>
      <c r="U77" s="641" t="s">
        <v>84</v>
      </c>
      <c r="V77" s="642">
        <v>0</v>
      </c>
      <c r="W77" s="642">
        <v>0</v>
      </c>
      <c r="X77" s="642">
        <v>126.72857692201117</v>
      </c>
      <c r="Y77" s="642">
        <v>1.7991582007077653</v>
      </c>
      <c r="Z77" s="642">
        <v>0</v>
      </c>
      <c r="AA77" s="642">
        <v>0</v>
      </c>
      <c r="AB77" s="642">
        <v>0</v>
      </c>
      <c r="AC77" s="642">
        <v>0</v>
      </c>
      <c r="AD77" s="642">
        <v>0.12920617897727274</v>
      </c>
      <c r="AE77" s="642">
        <v>0</v>
      </c>
      <c r="AF77" s="642">
        <v>0</v>
      </c>
      <c r="AG77" s="642">
        <v>0</v>
      </c>
      <c r="AH77" s="642">
        <v>0</v>
      </c>
      <c r="AI77" s="642">
        <v>0</v>
      </c>
      <c r="AJ77" s="642">
        <v>0.83399800248579548</v>
      </c>
      <c r="AK77" s="650">
        <v>129.49093930418201</v>
      </c>
    </row>
    <row r="78" spans="3:37" ht="13.5">
      <c r="C78" s="646" t="s">
        <v>85</v>
      </c>
      <c r="D78" s="647">
        <v>7.7357918362926714</v>
      </c>
      <c r="E78" s="647">
        <v>0</v>
      </c>
      <c r="F78" s="647">
        <v>667.73770862755362</v>
      </c>
      <c r="G78" s="647">
        <v>329.24657940149012</v>
      </c>
      <c r="H78" s="647">
        <v>0</v>
      </c>
      <c r="I78" s="647">
        <v>0</v>
      </c>
      <c r="J78" s="647">
        <v>95.96410250359429</v>
      </c>
      <c r="K78" s="647">
        <v>1.7085025999705235</v>
      </c>
      <c r="L78" s="647">
        <v>40.533148741289374</v>
      </c>
      <c r="M78" s="647">
        <v>4.0236783580696116</v>
      </c>
      <c r="N78" s="647">
        <v>36.514651680131124</v>
      </c>
      <c r="O78" s="647">
        <v>2.4242291286961546</v>
      </c>
      <c r="P78" s="647">
        <v>430.9446309580656</v>
      </c>
      <c r="Q78" s="647">
        <v>38.940628998179342</v>
      </c>
      <c r="R78" s="647">
        <v>0.28078292846679687</v>
      </c>
      <c r="S78" s="647">
        <v>1656.0544357617991</v>
      </c>
      <c r="U78" s="646" t="s">
        <v>85</v>
      </c>
      <c r="V78" s="647">
        <v>5.1152739170350241</v>
      </c>
      <c r="W78" s="647">
        <v>0</v>
      </c>
      <c r="X78" s="647">
        <v>631.45051374482091</v>
      </c>
      <c r="Y78" s="647">
        <v>290.07639599706852</v>
      </c>
      <c r="Z78" s="647">
        <v>0</v>
      </c>
      <c r="AA78" s="647">
        <v>0</v>
      </c>
      <c r="AB78" s="647">
        <v>101.56376340093026</v>
      </c>
      <c r="AC78" s="647">
        <v>4.7430470453159401</v>
      </c>
      <c r="AD78" s="647">
        <v>40.5152484300014</v>
      </c>
      <c r="AE78" s="647">
        <v>9.118629447425727</v>
      </c>
      <c r="AF78" s="647">
        <v>40.964336574173757</v>
      </c>
      <c r="AG78" s="647">
        <v>2.8425672863335452</v>
      </c>
      <c r="AH78" s="647">
        <v>433.87403480633265</v>
      </c>
      <c r="AI78" s="647">
        <v>47.357100276392799</v>
      </c>
      <c r="AJ78" s="647">
        <v>1.1412775410814249</v>
      </c>
      <c r="AK78" s="647">
        <v>1608.762188466912</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13">
      <c r="C80" s="636"/>
      <c r="D80" s="636"/>
      <c r="E80" s="636"/>
      <c r="F80" s="636"/>
      <c r="G80" s="636"/>
      <c r="H80" s="636"/>
      <c r="I80" s="636"/>
      <c r="J80" s="636"/>
      <c r="K80" s="636"/>
      <c r="L80" s="636"/>
      <c r="M80" s="636"/>
      <c r="N80" s="636"/>
      <c r="O80" s="636"/>
      <c r="P80" s="636"/>
      <c r="Q80" s="636"/>
      <c r="R80" s="636"/>
      <c r="S80" s="636"/>
      <c r="U80" s="636"/>
      <c r="V80" s="636"/>
      <c r="W80" s="636"/>
      <c r="X80" s="636"/>
      <c r="Y80" s="636"/>
      <c r="Z80" s="636"/>
      <c r="AA80" s="636"/>
      <c r="AB80" s="636"/>
      <c r="AC80" s="636"/>
      <c r="AD80" s="636"/>
      <c r="AE80" s="636"/>
      <c r="AF80" s="636"/>
      <c r="AG80" s="636"/>
      <c r="AH80" s="636"/>
      <c r="AI80" s="636"/>
      <c r="AJ80" s="636"/>
      <c r="AK80" s="636"/>
    </row>
    <row r="81" spans="3:37" ht="22.5">
      <c r="C81" s="699" t="s">
        <v>87</v>
      </c>
      <c r="D81" s="699"/>
      <c r="E81" s="699"/>
      <c r="F81" s="699"/>
      <c r="G81" s="699"/>
      <c r="H81" s="699"/>
      <c r="I81" s="699"/>
      <c r="J81" s="699"/>
      <c r="K81" s="699"/>
      <c r="L81" s="699"/>
      <c r="M81" s="699"/>
      <c r="N81" s="699"/>
      <c r="O81" s="699"/>
      <c r="P81" s="699"/>
      <c r="Q81" s="699"/>
      <c r="R81" s="699"/>
      <c r="S81" s="699"/>
      <c r="U81" s="699" t="s">
        <v>87</v>
      </c>
      <c r="V81" s="699"/>
      <c r="W81" s="699"/>
      <c r="X81" s="699"/>
      <c r="Y81" s="699"/>
      <c r="Z81" s="699"/>
      <c r="AA81" s="699"/>
      <c r="AB81" s="699"/>
      <c r="AC81" s="699"/>
      <c r="AD81" s="699"/>
      <c r="AE81" s="699"/>
      <c r="AF81" s="699"/>
      <c r="AG81" s="699"/>
      <c r="AH81" s="699"/>
      <c r="AI81" s="699"/>
      <c r="AJ81" s="699"/>
      <c r="AK81" s="699"/>
    </row>
    <row r="82" spans="3:37" ht="13">
      <c r="C82" s="636"/>
      <c r="D82" s="636"/>
      <c r="E82" s="636"/>
      <c r="F82" s="636"/>
      <c r="G82" s="636"/>
      <c r="H82" s="636"/>
      <c r="I82" s="636"/>
      <c r="J82" s="636"/>
      <c r="K82" s="636"/>
      <c r="L82" s="636"/>
      <c r="M82" s="636"/>
      <c r="N82" s="636"/>
      <c r="O82" s="636"/>
      <c r="P82" s="636"/>
      <c r="Q82" s="636"/>
      <c r="R82" s="636"/>
      <c r="S82" s="636"/>
      <c r="U82" s="636"/>
      <c r="V82" s="636"/>
      <c r="W82" s="636"/>
      <c r="X82" s="636"/>
      <c r="Y82" s="636"/>
      <c r="Z82" s="636"/>
      <c r="AA82" s="636"/>
      <c r="AB82" s="636"/>
      <c r="AC82" s="636"/>
      <c r="AD82" s="636"/>
      <c r="AE82" s="636"/>
      <c r="AF82" s="636"/>
      <c r="AG82" s="636"/>
      <c r="AH82" s="636"/>
      <c r="AI82" s="636"/>
      <c r="AJ82" s="636"/>
      <c r="AK82" s="636"/>
    </row>
    <row r="83" spans="3:37" ht="13" customHeight="1">
      <c r="C83" s="700" t="s">
        <v>128</v>
      </c>
      <c r="D83" s="701" t="s">
        <v>42</v>
      </c>
      <c r="E83" s="701" t="s">
        <v>52</v>
      </c>
      <c r="F83" s="701" t="s">
        <v>53</v>
      </c>
      <c r="G83" s="701" t="s">
        <v>32</v>
      </c>
      <c r="H83" s="701" t="s">
        <v>20</v>
      </c>
      <c r="I83" s="701" t="s">
        <v>55</v>
      </c>
      <c r="J83" s="701" t="s">
        <v>56</v>
      </c>
      <c r="K83" s="701"/>
      <c r="L83" s="701"/>
      <c r="M83" s="701"/>
      <c r="N83" s="701"/>
      <c r="O83" s="701"/>
      <c r="P83" s="701" t="s">
        <v>57</v>
      </c>
      <c r="Q83" s="701" t="s">
        <v>58</v>
      </c>
      <c r="R83" s="701" t="s">
        <v>31</v>
      </c>
      <c r="S83" s="701" t="s">
        <v>10</v>
      </c>
      <c r="U83" s="700" t="s">
        <v>128</v>
      </c>
      <c r="V83" s="701" t="s">
        <v>42</v>
      </c>
      <c r="W83" s="701" t="s">
        <v>52</v>
      </c>
      <c r="X83" s="701" t="s">
        <v>53</v>
      </c>
      <c r="Y83" s="701" t="s">
        <v>32</v>
      </c>
      <c r="Z83" s="701" t="s">
        <v>20</v>
      </c>
      <c r="AA83" s="701" t="s">
        <v>55</v>
      </c>
      <c r="AB83" s="701" t="s">
        <v>56</v>
      </c>
      <c r="AC83" s="701"/>
      <c r="AD83" s="701"/>
      <c r="AE83" s="701"/>
      <c r="AF83" s="701"/>
      <c r="AG83" s="701"/>
      <c r="AH83" s="701" t="s">
        <v>57</v>
      </c>
      <c r="AI83" s="701" t="s">
        <v>58</v>
      </c>
      <c r="AJ83" s="701" t="s">
        <v>31</v>
      </c>
      <c r="AK83" s="701" t="s">
        <v>10</v>
      </c>
    </row>
    <row r="84" spans="3:37" ht="46">
      <c r="C84" s="700"/>
      <c r="D84" s="701"/>
      <c r="E84" s="701"/>
      <c r="F84" s="701"/>
      <c r="G84" s="701"/>
      <c r="H84" s="701"/>
      <c r="I84" s="701"/>
      <c r="J84" s="640" t="s">
        <v>338</v>
      </c>
      <c r="K84" s="640" t="s">
        <v>40</v>
      </c>
      <c r="L84" s="640" t="s">
        <v>346</v>
      </c>
      <c r="M84" s="640" t="s">
        <v>347</v>
      </c>
      <c r="N84" s="640" t="s">
        <v>348</v>
      </c>
      <c r="O84" s="640" t="s">
        <v>349</v>
      </c>
      <c r="P84" s="701"/>
      <c r="Q84" s="701"/>
      <c r="R84" s="701"/>
      <c r="S84" s="701"/>
      <c r="U84" s="700"/>
      <c r="V84" s="701"/>
      <c r="W84" s="701"/>
      <c r="X84" s="701"/>
      <c r="Y84" s="701"/>
      <c r="Z84" s="701"/>
      <c r="AA84" s="701"/>
      <c r="AB84" s="640" t="s">
        <v>338</v>
      </c>
      <c r="AC84" s="640" t="s">
        <v>40</v>
      </c>
      <c r="AD84" s="640" t="s">
        <v>346</v>
      </c>
      <c r="AE84" s="640" t="s">
        <v>347</v>
      </c>
      <c r="AF84" s="640" t="s">
        <v>348</v>
      </c>
      <c r="AG84" s="640" t="s">
        <v>349</v>
      </c>
      <c r="AH84" s="701"/>
      <c r="AI84" s="701"/>
      <c r="AJ84" s="701"/>
      <c r="AK84" s="701"/>
    </row>
    <row r="85" spans="3:37" ht="13.5">
      <c r="C85" s="641" t="s">
        <v>59</v>
      </c>
      <c r="D85" s="642">
        <v>0</v>
      </c>
      <c r="E85" s="643">
        <v>9.7691999999999997</v>
      </c>
      <c r="F85" s="643">
        <v>0</v>
      </c>
      <c r="G85" s="642">
        <v>0.18608000000000002</v>
      </c>
      <c r="H85" s="643">
        <v>1190.909090909091</v>
      </c>
      <c r="I85" s="643">
        <v>153.14171554603519</v>
      </c>
      <c r="J85" s="643">
        <v>193.32113368570609</v>
      </c>
      <c r="K85" s="643">
        <v>23.895443221314743</v>
      </c>
      <c r="L85" s="643">
        <v>0.26210424432280233</v>
      </c>
      <c r="M85" s="643">
        <v>0.1322850330511596</v>
      </c>
      <c r="N85" s="643">
        <v>39.319241851069634</v>
      </c>
      <c r="O85" s="643">
        <v>5.962830498028703</v>
      </c>
      <c r="P85" s="644">
        <v>0</v>
      </c>
      <c r="Q85" s="643">
        <v>0</v>
      </c>
      <c r="R85" s="643">
        <v>0</v>
      </c>
      <c r="S85" s="645">
        <v>1616.8991249886192</v>
      </c>
      <c r="U85" s="641" t="s">
        <v>59</v>
      </c>
      <c r="V85" s="642">
        <v>0</v>
      </c>
      <c r="W85" s="643">
        <v>9.7691999999999997</v>
      </c>
      <c r="X85" s="643">
        <v>0</v>
      </c>
      <c r="Y85" s="642">
        <v>0.18608000000000002</v>
      </c>
      <c r="Z85" s="643">
        <v>1105.3443526170799</v>
      </c>
      <c r="AA85" s="643">
        <v>156.32644281876244</v>
      </c>
      <c r="AB85" s="643">
        <v>174.95767859419479</v>
      </c>
      <c r="AC85" s="643">
        <v>32.977912048889756</v>
      </c>
      <c r="AD85" s="643">
        <v>0.26210424432280233</v>
      </c>
      <c r="AE85" s="643">
        <v>0.1322850330511596</v>
      </c>
      <c r="AF85" s="643">
        <v>46.941675984424649</v>
      </c>
      <c r="AG85" s="643">
        <v>8.3026764246808291</v>
      </c>
      <c r="AH85" s="644">
        <v>0</v>
      </c>
      <c r="AI85" s="643">
        <v>0</v>
      </c>
      <c r="AJ85" s="643">
        <v>0</v>
      </c>
      <c r="AK85" s="645">
        <v>1535.200407765406</v>
      </c>
    </row>
    <row r="86" spans="3:37" ht="13.5">
      <c r="C86" s="641" t="s">
        <v>60</v>
      </c>
      <c r="D86" s="642">
        <v>51.93943876444407</v>
      </c>
      <c r="E86" s="643">
        <v>553.51354311683986</v>
      </c>
      <c r="F86" s="643">
        <v>233.05215902128853</v>
      </c>
      <c r="G86" s="642">
        <v>363.27460186951828</v>
      </c>
      <c r="H86" s="643">
        <v>0</v>
      </c>
      <c r="I86" s="643">
        <v>0</v>
      </c>
      <c r="J86" s="643">
        <v>2.3834336020403581</v>
      </c>
      <c r="K86" s="643">
        <v>0</v>
      </c>
      <c r="L86" s="643">
        <v>2.2500117795629686</v>
      </c>
      <c r="M86" s="643">
        <v>0</v>
      </c>
      <c r="N86" s="643">
        <v>0</v>
      </c>
      <c r="O86" s="643">
        <v>0</v>
      </c>
      <c r="P86" s="644">
        <v>0</v>
      </c>
      <c r="Q86" s="643">
        <v>0</v>
      </c>
      <c r="R86" s="643">
        <v>0</v>
      </c>
      <c r="S86" s="645">
        <v>1206.4131881536939</v>
      </c>
      <c r="U86" s="641" t="s">
        <v>60</v>
      </c>
      <c r="V86" s="642">
        <v>30.366070381082046</v>
      </c>
      <c r="W86" s="643">
        <v>485.53946937040786</v>
      </c>
      <c r="X86" s="643">
        <v>248.69079495957973</v>
      </c>
      <c r="Y86" s="642">
        <v>359.41495054347945</v>
      </c>
      <c r="Z86" s="643">
        <v>0</v>
      </c>
      <c r="AA86" s="643">
        <v>0</v>
      </c>
      <c r="AB86" s="643">
        <v>2.3834336020403581</v>
      </c>
      <c r="AC86" s="643">
        <v>0</v>
      </c>
      <c r="AD86" s="643">
        <v>2.2500117795629686</v>
      </c>
      <c r="AE86" s="643">
        <v>0</v>
      </c>
      <c r="AF86" s="643">
        <v>0</v>
      </c>
      <c r="AG86" s="643">
        <v>0</v>
      </c>
      <c r="AH86" s="644">
        <v>0</v>
      </c>
      <c r="AI86" s="643">
        <v>0</v>
      </c>
      <c r="AJ86" s="643">
        <v>0</v>
      </c>
      <c r="AK86" s="645">
        <v>1128.6447306361524</v>
      </c>
    </row>
    <row r="87" spans="3:37" ht="13.5">
      <c r="C87" s="641" t="s">
        <v>61</v>
      </c>
      <c r="D87" s="642">
        <v>0</v>
      </c>
      <c r="E87" s="643">
        <v>0</v>
      </c>
      <c r="F87" s="643">
        <v>0</v>
      </c>
      <c r="G87" s="642">
        <v>0</v>
      </c>
      <c r="H87" s="643">
        <v>0</v>
      </c>
      <c r="I87" s="643">
        <v>0</v>
      </c>
      <c r="J87" s="643">
        <v>0</v>
      </c>
      <c r="K87" s="643">
        <v>0</v>
      </c>
      <c r="L87" s="643">
        <v>0</v>
      </c>
      <c r="M87" s="643">
        <v>0</v>
      </c>
      <c r="N87" s="643">
        <v>0</v>
      </c>
      <c r="O87" s="643">
        <v>0</v>
      </c>
      <c r="P87" s="644">
        <v>-64.055272794649682</v>
      </c>
      <c r="Q87" s="643">
        <v>0</v>
      </c>
      <c r="R87" s="643">
        <v>0</v>
      </c>
      <c r="S87" s="645">
        <v>-64.055272794649682</v>
      </c>
      <c r="U87" s="641" t="s">
        <v>61</v>
      </c>
      <c r="V87" s="642">
        <v>0</v>
      </c>
      <c r="W87" s="643">
        <v>0</v>
      </c>
      <c r="X87" s="643">
        <v>0</v>
      </c>
      <c r="Y87" s="642">
        <v>0</v>
      </c>
      <c r="Z87" s="643">
        <v>0</v>
      </c>
      <c r="AA87" s="643">
        <v>0</v>
      </c>
      <c r="AB87" s="643">
        <v>0</v>
      </c>
      <c r="AC87" s="643">
        <v>0</v>
      </c>
      <c r="AD87" s="643">
        <v>0</v>
      </c>
      <c r="AE87" s="643">
        <v>0</v>
      </c>
      <c r="AF87" s="643">
        <v>0</v>
      </c>
      <c r="AG87" s="643">
        <v>0</v>
      </c>
      <c r="AH87" s="644">
        <v>-60.354291441125554</v>
      </c>
      <c r="AI87" s="643">
        <v>0</v>
      </c>
      <c r="AJ87" s="643">
        <v>0</v>
      </c>
      <c r="AK87" s="645">
        <v>-60.354291441125554</v>
      </c>
    </row>
    <row r="88" spans="3:37" ht="13.5">
      <c r="C88" s="641" t="s">
        <v>62</v>
      </c>
      <c r="D88" s="642">
        <v>0</v>
      </c>
      <c r="E88" s="643">
        <v>0</v>
      </c>
      <c r="F88" s="643">
        <v>-17.936302519197969</v>
      </c>
      <c r="G88" s="642">
        <v>0</v>
      </c>
      <c r="H88" s="643">
        <v>0</v>
      </c>
      <c r="I88" s="643">
        <v>0</v>
      </c>
      <c r="J88" s="643">
        <v>0</v>
      </c>
      <c r="K88" s="643">
        <v>0</v>
      </c>
      <c r="L88" s="643">
        <v>0</v>
      </c>
      <c r="M88" s="643">
        <v>0</v>
      </c>
      <c r="N88" s="643">
        <v>0</v>
      </c>
      <c r="O88" s="643">
        <v>0</v>
      </c>
      <c r="P88" s="644">
        <v>0</v>
      </c>
      <c r="Q88" s="643">
        <v>0</v>
      </c>
      <c r="R88" s="643">
        <v>0</v>
      </c>
      <c r="S88" s="645">
        <v>-17.936302519197969</v>
      </c>
      <c r="U88" s="641" t="s">
        <v>62</v>
      </c>
      <c r="V88" s="642">
        <v>0</v>
      </c>
      <c r="W88" s="643">
        <v>0</v>
      </c>
      <c r="X88" s="643">
        <v>-17.936302519197969</v>
      </c>
      <c r="Y88" s="642">
        <v>0</v>
      </c>
      <c r="Z88" s="643">
        <v>0</v>
      </c>
      <c r="AA88" s="643">
        <v>0</v>
      </c>
      <c r="AB88" s="643">
        <v>0</v>
      </c>
      <c r="AC88" s="643">
        <v>0</v>
      </c>
      <c r="AD88" s="643">
        <v>0</v>
      </c>
      <c r="AE88" s="643">
        <v>0</v>
      </c>
      <c r="AF88" s="643">
        <v>0</v>
      </c>
      <c r="AG88" s="643">
        <v>0</v>
      </c>
      <c r="AH88" s="644">
        <v>0</v>
      </c>
      <c r="AI88" s="643">
        <v>0</v>
      </c>
      <c r="AJ88" s="643">
        <v>0</v>
      </c>
      <c r="AK88" s="645">
        <v>-17.936302519197969</v>
      </c>
    </row>
    <row r="89" spans="3:37" ht="13.5">
      <c r="C89" s="641" t="s">
        <v>63</v>
      </c>
      <c r="D89" s="642">
        <v>0</v>
      </c>
      <c r="E89" s="643">
        <v>0</v>
      </c>
      <c r="F89" s="643">
        <v>-78.830324971165851</v>
      </c>
      <c r="G89" s="642">
        <v>0</v>
      </c>
      <c r="H89" s="643">
        <v>0</v>
      </c>
      <c r="I89" s="643">
        <v>0</v>
      </c>
      <c r="J89" s="643">
        <v>0</v>
      </c>
      <c r="K89" s="643">
        <v>0</v>
      </c>
      <c r="L89" s="643">
        <v>-0.81271538345441041</v>
      </c>
      <c r="M89" s="643">
        <v>0</v>
      </c>
      <c r="N89" s="643">
        <v>0</v>
      </c>
      <c r="O89" s="643">
        <v>0</v>
      </c>
      <c r="P89" s="644">
        <v>0</v>
      </c>
      <c r="Q89" s="643">
        <v>0</v>
      </c>
      <c r="R89" s="643">
        <v>0</v>
      </c>
      <c r="S89" s="645">
        <v>-79.643040354620268</v>
      </c>
      <c r="U89" s="641" t="s">
        <v>63</v>
      </c>
      <c r="V89" s="642">
        <v>0</v>
      </c>
      <c r="W89" s="643">
        <v>0</v>
      </c>
      <c r="X89" s="643">
        <v>-78.197230139294632</v>
      </c>
      <c r="Y89" s="642">
        <v>0</v>
      </c>
      <c r="Z89" s="643">
        <v>0</v>
      </c>
      <c r="AA89" s="643">
        <v>0</v>
      </c>
      <c r="AB89" s="643">
        <v>0</v>
      </c>
      <c r="AC89" s="643">
        <v>0</v>
      </c>
      <c r="AD89" s="643">
        <v>-1.5612310452001914</v>
      </c>
      <c r="AE89" s="643">
        <v>0</v>
      </c>
      <c r="AF89" s="643">
        <v>0</v>
      </c>
      <c r="AG89" s="643">
        <v>0</v>
      </c>
      <c r="AH89" s="644">
        <v>0</v>
      </c>
      <c r="AI89" s="643">
        <v>0</v>
      </c>
      <c r="AJ89" s="643">
        <v>0</v>
      </c>
      <c r="AK89" s="645">
        <v>-79.75846118449482</v>
      </c>
    </row>
    <row r="90" spans="3:37" ht="13.5">
      <c r="C90" s="641" t="s">
        <v>64</v>
      </c>
      <c r="D90" s="642">
        <v>0</v>
      </c>
      <c r="E90" s="643">
        <v>0</v>
      </c>
      <c r="F90" s="643">
        <v>0</v>
      </c>
      <c r="G90" s="642">
        <v>0</v>
      </c>
      <c r="H90" s="643">
        <v>0</v>
      </c>
      <c r="I90" s="643">
        <v>0</v>
      </c>
      <c r="J90" s="643">
        <v>0</v>
      </c>
      <c r="K90" s="643">
        <v>0</v>
      </c>
      <c r="L90" s="643">
        <v>0</v>
      </c>
      <c r="M90" s="643">
        <v>0</v>
      </c>
      <c r="N90" s="643">
        <v>0</v>
      </c>
      <c r="O90" s="643">
        <v>0</v>
      </c>
      <c r="P90" s="644">
        <v>0</v>
      </c>
      <c r="Q90" s="643">
        <v>0</v>
      </c>
      <c r="R90" s="643">
        <v>0</v>
      </c>
      <c r="S90" s="645">
        <v>0</v>
      </c>
      <c r="U90" s="641" t="s">
        <v>64</v>
      </c>
      <c r="V90" s="642">
        <v>0</v>
      </c>
      <c r="W90" s="643">
        <v>0</v>
      </c>
      <c r="X90" s="643">
        <v>0</v>
      </c>
      <c r="Y90" s="642">
        <v>0</v>
      </c>
      <c r="Z90" s="643">
        <v>0</v>
      </c>
      <c r="AA90" s="643">
        <v>0</v>
      </c>
      <c r="AB90" s="643">
        <v>0</v>
      </c>
      <c r="AC90" s="643">
        <v>0</v>
      </c>
      <c r="AD90" s="643">
        <v>0</v>
      </c>
      <c r="AE90" s="643">
        <v>0</v>
      </c>
      <c r="AF90" s="643">
        <v>0</v>
      </c>
      <c r="AG90" s="643">
        <v>0</v>
      </c>
      <c r="AH90" s="644">
        <v>0</v>
      </c>
      <c r="AI90" s="643">
        <v>0</v>
      </c>
      <c r="AJ90" s="643">
        <v>0</v>
      </c>
      <c r="AK90" s="645">
        <v>0</v>
      </c>
    </row>
    <row r="91" spans="3:37" ht="13.5">
      <c r="C91" s="646" t="s">
        <v>65</v>
      </c>
      <c r="D91" s="647">
        <v>51.93943876444407</v>
      </c>
      <c r="E91" s="647">
        <v>563.28274311683981</v>
      </c>
      <c r="F91" s="647">
        <v>136.28553153092471</v>
      </c>
      <c r="G91" s="647">
        <v>363.46068186951828</v>
      </c>
      <c r="H91" s="647">
        <v>1190.909090909091</v>
      </c>
      <c r="I91" s="647">
        <v>153.14171554603519</v>
      </c>
      <c r="J91" s="647">
        <v>195.70456728774644</v>
      </c>
      <c r="K91" s="647">
        <v>23.895443221314743</v>
      </c>
      <c r="L91" s="647">
        <v>1.6994006404313602</v>
      </c>
      <c r="M91" s="647">
        <v>0.1322850330511596</v>
      </c>
      <c r="N91" s="647">
        <v>39.319241851069634</v>
      </c>
      <c r="O91" s="647">
        <v>5.962830498028703</v>
      </c>
      <c r="P91" s="647">
        <v>-64.055272794649682</v>
      </c>
      <c r="Q91" s="647">
        <v>0</v>
      </c>
      <c r="R91" s="647">
        <v>0</v>
      </c>
      <c r="S91" s="647">
        <v>2661.6776974738459</v>
      </c>
      <c r="U91" s="646" t="s">
        <v>65</v>
      </c>
      <c r="V91" s="647">
        <v>30.366070381082046</v>
      </c>
      <c r="W91" s="647">
        <v>495.30866937040787</v>
      </c>
      <c r="X91" s="647">
        <v>152.55726230108715</v>
      </c>
      <c r="Y91" s="647">
        <v>359.60103054347945</v>
      </c>
      <c r="Z91" s="647">
        <v>1105.3443526170799</v>
      </c>
      <c r="AA91" s="647">
        <v>156.32644281876244</v>
      </c>
      <c r="AB91" s="647">
        <v>177.34111219623514</v>
      </c>
      <c r="AC91" s="647">
        <v>32.977912048889756</v>
      </c>
      <c r="AD91" s="647">
        <v>0.95088497868557909</v>
      </c>
      <c r="AE91" s="647">
        <v>0.1322850330511596</v>
      </c>
      <c r="AF91" s="647">
        <v>46.941675984424649</v>
      </c>
      <c r="AG91" s="647">
        <v>8.3026764246808291</v>
      </c>
      <c r="AH91" s="647">
        <v>-60.354291441125554</v>
      </c>
      <c r="AI91" s="647">
        <v>0</v>
      </c>
      <c r="AJ91" s="647">
        <v>0</v>
      </c>
      <c r="AK91" s="647">
        <v>2505.7960832567405</v>
      </c>
    </row>
    <row r="92" spans="3:37" ht="13">
      <c r="C92" s="636"/>
      <c r="D92" s="636">
        <v>0</v>
      </c>
      <c r="E92" s="636">
        <v>0</v>
      </c>
      <c r="F92" s="636">
        <v>0</v>
      </c>
      <c r="G92" s="636">
        <v>0</v>
      </c>
      <c r="H92" s="636">
        <v>0</v>
      </c>
      <c r="I92" s="636">
        <v>0</v>
      </c>
      <c r="J92" s="636">
        <v>0</v>
      </c>
      <c r="K92" s="636">
        <v>0</v>
      </c>
      <c r="L92" s="636">
        <v>0</v>
      </c>
      <c r="M92" s="636">
        <v>0</v>
      </c>
      <c r="N92" s="636">
        <v>0</v>
      </c>
      <c r="O92" s="636">
        <v>0</v>
      </c>
      <c r="P92" s="636">
        <v>0</v>
      </c>
      <c r="Q92" s="636">
        <v>0</v>
      </c>
      <c r="R92" s="636">
        <v>0</v>
      </c>
      <c r="S92" s="636">
        <v>0</v>
      </c>
      <c r="U92" s="636"/>
      <c r="V92" s="636">
        <v>0</v>
      </c>
      <c r="W92" s="636">
        <v>0</v>
      </c>
      <c r="X92" s="636">
        <v>0</v>
      </c>
      <c r="Y92" s="636">
        <v>0</v>
      </c>
      <c r="Z92" s="636">
        <v>0</v>
      </c>
      <c r="AA92" s="636">
        <v>0</v>
      </c>
      <c r="AB92" s="636">
        <v>0</v>
      </c>
      <c r="AC92" s="636">
        <v>0</v>
      </c>
      <c r="AD92" s="636">
        <v>0</v>
      </c>
      <c r="AE92" s="636">
        <v>0</v>
      </c>
      <c r="AF92" s="636">
        <v>0</v>
      </c>
      <c r="AG92" s="636">
        <v>0</v>
      </c>
      <c r="AH92" s="636">
        <v>0</v>
      </c>
      <c r="AI92" s="636">
        <v>0</v>
      </c>
      <c r="AJ92" s="636">
        <v>0</v>
      </c>
      <c r="AK92" s="636">
        <v>0</v>
      </c>
    </row>
    <row r="93" spans="3:37" ht="13.5">
      <c r="C93" s="648" t="s">
        <v>67</v>
      </c>
      <c r="D93" s="642">
        <v>0</v>
      </c>
      <c r="E93" s="649">
        <v>0</v>
      </c>
      <c r="F93" s="649">
        <v>0</v>
      </c>
      <c r="G93" s="642">
        <v>0</v>
      </c>
      <c r="H93" s="642">
        <v>0</v>
      </c>
      <c r="I93" s="642">
        <v>0</v>
      </c>
      <c r="J93" s="642">
        <v>0</v>
      </c>
      <c r="K93" s="642">
        <v>0</v>
      </c>
      <c r="L93" s="642">
        <v>0</v>
      </c>
      <c r="M93" s="642">
        <v>0</v>
      </c>
      <c r="N93" s="642">
        <v>0</v>
      </c>
      <c r="O93" s="642">
        <v>0</v>
      </c>
      <c r="P93" s="642">
        <v>0</v>
      </c>
      <c r="Q93" s="642">
        <v>0</v>
      </c>
      <c r="R93" s="642">
        <v>0</v>
      </c>
      <c r="S93" s="650">
        <v>0</v>
      </c>
      <c r="U93" s="648" t="s">
        <v>67</v>
      </c>
      <c r="V93" s="642">
        <v>0</v>
      </c>
      <c r="W93" s="649">
        <v>0</v>
      </c>
      <c r="X93" s="649">
        <v>0</v>
      </c>
      <c r="Y93" s="642">
        <v>0</v>
      </c>
      <c r="Z93" s="642">
        <v>0</v>
      </c>
      <c r="AA93" s="642">
        <v>0</v>
      </c>
      <c r="AB93" s="642">
        <v>0</v>
      </c>
      <c r="AC93" s="642">
        <v>0</v>
      </c>
      <c r="AD93" s="642">
        <v>0</v>
      </c>
      <c r="AE93" s="642">
        <v>0</v>
      </c>
      <c r="AF93" s="642">
        <v>0</v>
      </c>
      <c r="AG93" s="642">
        <v>0</v>
      </c>
      <c r="AH93" s="642">
        <v>0</v>
      </c>
      <c r="AI93" s="642">
        <v>0</v>
      </c>
      <c r="AJ93" s="642">
        <v>0</v>
      </c>
      <c r="AK93" s="650">
        <v>0</v>
      </c>
    </row>
    <row r="94" spans="3:37" ht="13.5">
      <c r="C94" s="648" t="s">
        <v>350</v>
      </c>
      <c r="D94" s="642">
        <v>2.8307670060467731</v>
      </c>
      <c r="E94" s="642">
        <v>0</v>
      </c>
      <c r="F94" s="642">
        <v>7.8209554225929372</v>
      </c>
      <c r="G94" s="642">
        <v>18.490566037735849</v>
      </c>
      <c r="H94" s="642">
        <v>1190.909090909091</v>
      </c>
      <c r="I94" s="642">
        <v>153.14171554603519</v>
      </c>
      <c r="J94" s="651">
        <v>34.217577807887082</v>
      </c>
      <c r="K94" s="651">
        <v>9.4182266439786773</v>
      </c>
      <c r="L94" s="651">
        <v>2.5121160238857705</v>
      </c>
      <c r="M94" s="651">
        <v>0.47838708849063555</v>
      </c>
      <c r="N94" s="651">
        <v>0</v>
      </c>
      <c r="O94" s="651">
        <v>1.0860489583659068</v>
      </c>
      <c r="P94" s="642">
        <v>-575.7599665483873</v>
      </c>
      <c r="Q94" s="642">
        <v>0</v>
      </c>
      <c r="R94" s="642">
        <v>0</v>
      </c>
      <c r="S94" s="650">
        <v>845.14548489572212</v>
      </c>
      <c r="U94" s="648" t="s">
        <v>350</v>
      </c>
      <c r="V94" s="642">
        <v>2.9164996321078078</v>
      </c>
      <c r="W94" s="642">
        <v>0</v>
      </c>
      <c r="X94" s="642">
        <v>6.3333521168078128</v>
      </c>
      <c r="Y94" s="642">
        <v>58.629502572898801</v>
      </c>
      <c r="Z94" s="642">
        <v>1105.3443526170799</v>
      </c>
      <c r="AA94" s="642">
        <v>156.32644281876244</v>
      </c>
      <c r="AB94" s="651">
        <v>29.491752812436719</v>
      </c>
      <c r="AC94" s="651">
        <v>9.3450725233746681</v>
      </c>
      <c r="AD94" s="651">
        <v>2.5121160238857705</v>
      </c>
      <c r="AE94" s="651">
        <v>3.1867918912350612</v>
      </c>
      <c r="AF94" s="651">
        <v>0</v>
      </c>
      <c r="AG94" s="651">
        <v>1.0860489583659068</v>
      </c>
      <c r="AH94" s="642">
        <v>-572.43560291202368</v>
      </c>
      <c r="AI94" s="642">
        <v>0</v>
      </c>
      <c r="AJ94" s="642">
        <v>0</v>
      </c>
      <c r="AK94" s="650">
        <v>802.73632905493105</v>
      </c>
    </row>
    <row r="95" spans="3:37" ht="13.5">
      <c r="C95" s="648" t="s">
        <v>351</v>
      </c>
      <c r="D95" s="642">
        <v>0.12349118736872708</v>
      </c>
      <c r="E95" s="642">
        <v>0</v>
      </c>
      <c r="F95" s="642">
        <v>0</v>
      </c>
      <c r="G95" s="642">
        <v>16.768067922739682</v>
      </c>
      <c r="H95" s="642">
        <v>0</v>
      </c>
      <c r="I95" s="642">
        <v>0</v>
      </c>
      <c r="J95" s="651">
        <v>14.511462263372906</v>
      </c>
      <c r="K95" s="651">
        <v>12.721360709604678</v>
      </c>
      <c r="L95" s="651">
        <v>0</v>
      </c>
      <c r="M95" s="651">
        <v>0.35468000245125708</v>
      </c>
      <c r="N95" s="651">
        <v>0</v>
      </c>
      <c r="O95" s="651">
        <v>2.3429154336529705</v>
      </c>
      <c r="P95" s="642">
        <v>0</v>
      </c>
      <c r="Q95" s="642">
        <v>-41.535443372761243</v>
      </c>
      <c r="R95" s="642">
        <v>0</v>
      </c>
      <c r="S95" s="650">
        <v>5.2865341464289735</v>
      </c>
      <c r="U95" s="648" t="s">
        <v>351</v>
      </c>
      <c r="V95" s="642">
        <v>0.24574746286376692</v>
      </c>
      <c r="W95" s="642">
        <v>0</v>
      </c>
      <c r="X95" s="642">
        <v>0</v>
      </c>
      <c r="Y95" s="642">
        <v>18.639904753059838</v>
      </c>
      <c r="Z95" s="642">
        <v>0</v>
      </c>
      <c r="AA95" s="642">
        <v>0</v>
      </c>
      <c r="AB95" s="651">
        <v>22.139054647682539</v>
      </c>
      <c r="AC95" s="651">
        <v>18.333827420527065</v>
      </c>
      <c r="AD95" s="651">
        <v>0</v>
      </c>
      <c r="AE95" s="651">
        <v>0.99352215322234005</v>
      </c>
      <c r="AF95" s="651">
        <v>0</v>
      </c>
      <c r="AG95" s="651">
        <v>3.9855789938168567</v>
      </c>
      <c r="AH95" s="642">
        <v>0</v>
      </c>
      <c r="AI95" s="642">
        <v>-57.31222867632534</v>
      </c>
      <c r="AJ95" s="642">
        <v>0</v>
      </c>
      <c r="AK95" s="650">
        <v>7.0254067548470651</v>
      </c>
    </row>
    <row r="96" spans="3:37" ht="13.5">
      <c r="C96" s="648" t="s">
        <v>352</v>
      </c>
      <c r="D96" s="642">
        <v>0</v>
      </c>
      <c r="E96" s="642">
        <v>0</v>
      </c>
      <c r="F96" s="642">
        <v>0</v>
      </c>
      <c r="G96" s="642">
        <v>0</v>
      </c>
      <c r="H96" s="642">
        <v>0</v>
      </c>
      <c r="I96" s="642">
        <v>0</v>
      </c>
      <c r="J96" s="652">
        <v>8.112913583549977</v>
      </c>
      <c r="K96" s="652">
        <v>0</v>
      </c>
      <c r="L96" s="652">
        <v>0</v>
      </c>
      <c r="M96" s="652">
        <v>-7.1616744658787432</v>
      </c>
      <c r="N96" s="652">
        <v>0</v>
      </c>
      <c r="O96" s="652">
        <v>0</v>
      </c>
      <c r="P96" s="642">
        <v>0</v>
      </c>
      <c r="Q96" s="642">
        <v>0</v>
      </c>
      <c r="R96" s="642">
        <v>0</v>
      </c>
      <c r="S96" s="650">
        <v>0.95123911767123381</v>
      </c>
      <c r="U96" s="648" t="s">
        <v>352</v>
      </c>
      <c r="V96" s="642">
        <v>0</v>
      </c>
      <c r="W96" s="642">
        <v>0</v>
      </c>
      <c r="X96" s="642">
        <v>0</v>
      </c>
      <c r="Y96" s="642">
        <v>0</v>
      </c>
      <c r="Z96" s="642">
        <v>0</v>
      </c>
      <c r="AA96" s="642">
        <v>0</v>
      </c>
      <c r="AB96" s="652">
        <v>21.330356361778993</v>
      </c>
      <c r="AC96" s="652">
        <v>0</v>
      </c>
      <c r="AD96" s="652">
        <v>0</v>
      </c>
      <c r="AE96" s="652">
        <v>-18.829372078360407</v>
      </c>
      <c r="AF96" s="652">
        <v>0</v>
      </c>
      <c r="AG96" s="652">
        <v>0</v>
      </c>
      <c r="AH96" s="642">
        <v>0</v>
      </c>
      <c r="AI96" s="642">
        <v>0</v>
      </c>
      <c r="AJ96" s="642">
        <v>0</v>
      </c>
      <c r="AK96" s="650">
        <v>2.5009842834185854</v>
      </c>
    </row>
    <row r="97" spans="3:37" ht="13.5">
      <c r="C97" s="648" t="s">
        <v>353</v>
      </c>
      <c r="D97" s="642">
        <v>0</v>
      </c>
      <c r="E97" s="642">
        <v>0</v>
      </c>
      <c r="F97" s="642">
        <v>0</v>
      </c>
      <c r="G97" s="642">
        <v>0</v>
      </c>
      <c r="H97" s="642">
        <v>0</v>
      </c>
      <c r="I97" s="642">
        <v>0</v>
      </c>
      <c r="J97" s="642">
        <v>0</v>
      </c>
      <c r="K97" s="642">
        <v>0</v>
      </c>
      <c r="L97" s="642">
        <v>0</v>
      </c>
      <c r="M97" s="642">
        <v>0</v>
      </c>
      <c r="N97" s="642">
        <v>0</v>
      </c>
      <c r="O97" s="642">
        <v>0</v>
      </c>
      <c r="P97" s="642">
        <v>0</v>
      </c>
      <c r="Q97" s="642">
        <v>0</v>
      </c>
      <c r="R97" s="642">
        <v>0</v>
      </c>
      <c r="S97" s="650">
        <v>0</v>
      </c>
      <c r="U97" s="648" t="s">
        <v>353</v>
      </c>
      <c r="V97" s="642">
        <v>0</v>
      </c>
      <c r="W97" s="642">
        <v>0</v>
      </c>
      <c r="X97" s="642">
        <v>0</v>
      </c>
      <c r="Y97" s="642">
        <v>0</v>
      </c>
      <c r="Z97" s="642">
        <v>0</v>
      </c>
      <c r="AA97" s="642">
        <v>0</v>
      </c>
      <c r="AB97" s="642">
        <v>0</v>
      </c>
      <c r="AC97" s="642">
        <v>0</v>
      </c>
      <c r="AD97" s="642">
        <v>0</v>
      </c>
      <c r="AE97" s="642">
        <v>0</v>
      </c>
      <c r="AF97" s="642">
        <v>0</v>
      </c>
      <c r="AG97" s="642">
        <v>0</v>
      </c>
      <c r="AH97" s="642">
        <v>0</v>
      </c>
      <c r="AI97" s="642">
        <v>0</v>
      </c>
      <c r="AJ97" s="642">
        <v>0</v>
      </c>
      <c r="AK97" s="650">
        <v>0</v>
      </c>
    </row>
    <row r="98" spans="3:37" ht="13.5">
      <c r="C98" s="648" t="s">
        <v>72</v>
      </c>
      <c r="D98" s="642">
        <v>0</v>
      </c>
      <c r="E98" s="642">
        <v>583.50105466083789</v>
      </c>
      <c r="F98" s="642">
        <v>-577.66604411422952</v>
      </c>
      <c r="G98" s="642">
        <v>0</v>
      </c>
      <c r="H98" s="642">
        <v>0</v>
      </c>
      <c r="I98" s="642">
        <v>0</v>
      </c>
      <c r="J98" s="642">
        <v>0</v>
      </c>
      <c r="K98" s="642">
        <v>0</v>
      </c>
      <c r="L98" s="642">
        <v>0</v>
      </c>
      <c r="M98" s="642">
        <v>0</v>
      </c>
      <c r="N98" s="642">
        <v>0</v>
      </c>
      <c r="O98" s="642">
        <v>0</v>
      </c>
      <c r="P98" s="642">
        <v>0</v>
      </c>
      <c r="Q98" s="642">
        <v>0</v>
      </c>
      <c r="R98" s="642">
        <v>0</v>
      </c>
      <c r="S98" s="650">
        <v>5.8350105466083733</v>
      </c>
      <c r="U98" s="648" t="s">
        <v>72</v>
      </c>
      <c r="V98" s="642">
        <v>0</v>
      </c>
      <c r="W98" s="642">
        <v>513.08713872730914</v>
      </c>
      <c r="X98" s="642">
        <v>-507.95626734003605</v>
      </c>
      <c r="Y98" s="642">
        <v>0</v>
      </c>
      <c r="Z98" s="642">
        <v>0</v>
      </c>
      <c r="AA98" s="642">
        <v>0</v>
      </c>
      <c r="AB98" s="642">
        <v>0</v>
      </c>
      <c r="AC98" s="642">
        <v>0</v>
      </c>
      <c r="AD98" s="642">
        <v>0</v>
      </c>
      <c r="AE98" s="642">
        <v>0</v>
      </c>
      <c r="AF98" s="642">
        <v>0</v>
      </c>
      <c r="AG98" s="642">
        <v>0</v>
      </c>
      <c r="AH98" s="642">
        <v>0</v>
      </c>
      <c r="AI98" s="642">
        <v>0</v>
      </c>
      <c r="AJ98" s="642">
        <v>0</v>
      </c>
      <c r="AK98" s="650">
        <v>5.1308713872730891</v>
      </c>
    </row>
    <row r="99" spans="3:37" ht="13.5">
      <c r="C99" s="648" t="s">
        <v>354</v>
      </c>
      <c r="D99" s="642">
        <v>0</v>
      </c>
      <c r="E99" s="642">
        <v>0</v>
      </c>
      <c r="F99" s="642">
        <v>0</v>
      </c>
      <c r="G99" s="642">
        <v>0</v>
      </c>
      <c r="H99" s="642">
        <v>0</v>
      </c>
      <c r="I99" s="642">
        <v>0</v>
      </c>
      <c r="J99" s="642">
        <v>43.567433114887073</v>
      </c>
      <c r="K99" s="642">
        <v>0</v>
      </c>
      <c r="L99" s="642">
        <v>-43.567433114887073</v>
      </c>
      <c r="M99" s="642">
        <v>0</v>
      </c>
      <c r="N99" s="642">
        <v>0</v>
      </c>
      <c r="O99" s="642">
        <v>0</v>
      </c>
      <c r="P99" s="642">
        <v>0</v>
      </c>
      <c r="Q99" s="642">
        <v>0</v>
      </c>
      <c r="R99" s="642">
        <v>0</v>
      </c>
      <c r="S99" s="650">
        <v>0</v>
      </c>
      <c r="U99" s="648" t="s">
        <v>354</v>
      </c>
      <c r="V99" s="642">
        <v>0</v>
      </c>
      <c r="W99" s="642">
        <v>0</v>
      </c>
      <c r="X99" s="642">
        <v>0</v>
      </c>
      <c r="Y99" s="642">
        <v>0</v>
      </c>
      <c r="Z99" s="642">
        <v>0</v>
      </c>
      <c r="AA99" s="642">
        <v>0</v>
      </c>
      <c r="AB99" s="642" t="e">
        <v>#VALUE!</v>
      </c>
      <c r="AC99" s="642">
        <v>0</v>
      </c>
      <c r="AD99" s="642">
        <v>-45.82837485909166</v>
      </c>
      <c r="AE99" s="642">
        <v>0</v>
      </c>
      <c r="AF99" s="642">
        <v>0</v>
      </c>
      <c r="AG99" s="642">
        <v>0</v>
      </c>
      <c r="AH99" s="642">
        <v>0</v>
      </c>
      <c r="AI99" s="642">
        <v>0</v>
      </c>
      <c r="AJ99" s="642">
        <v>0</v>
      </c>
      <c r="AK99" s="650">
        <v>-45.82837485909166</v>
      </c>
    </row>
    <row r="100" spans="3:37" ht="13.5">
      <c r="C100" s="648" t="s">
        <v>355</v>
      </c>
      <c r="D100" s="642">
        <v>0</v>
      </c>
      <c r="E100" s="642">
        <v>0</v>
      </c>
      <c r="F100" s="642">
        <v>0</v>
      </c>
      <c r="G100" s="642">
        <v>0</v>
      </c>
      <c r="H100" s="642">
        <v>0</v>
      </c>
      <c r="I100" s="642">
        <v>0</v>
      </c>
      <c r="J100" s="642">
        <v>0</v>
      </c>
      <c r="K100" s="642">
        <v>0</v>
      </c>
      <c r="L100" s="642">
        <v>0</v>
      </c>
      <c r="M100" s="642">
        <v>0</v>
      </c>
      <c r="N100" s="642">
        <v>0</v>
      </c>
      <c r="O100" s="642">
        <v>0</v>
      </c>
      <c r="P100" s="642">
        <v>0</v>
      </c>
      <c r="Q100" s="642">
        <v>0</v>
      </c>
      <c r="R100" s="642">
        <v>0</v>
      </c>
      <c r="S100" s="650">
        <v>0</v>
      </c>
      <c r="U100" s="648" t="s">
        <v>355</v>
      </c>
      <c r="V100" s="642">
        <v>0</v>
      </c>
      <c r="W100" s="642">
        <v>0</v>
      </c>
      <c r="X100" s="642">
        <v>0</v>
      </c>
      <c r="Y100" s="642">
        <v>0</v>
      </c>
      <c r="Z100" s="642">
        <v>0</v>
      </c>
      <c r="AA100" s="642">
        <v>0</v>
      </c>
      <c r="AB100" s="642">
        <v>0</v>
      </c>
      <c r="AC100" s="642">
        <v>0</v>
      </c>
      <c r="AD100" s="642">
        <v>0</v>
      </c>
      <c r="AE100" s="642">
        <v>0</v>
      </c>
      <c r="AF100" s="642">
        <v>0</v>
      </c>
      <c r="AG100" s="642">
        <v>0</v>
      </c>
      <c r="AH100" s="642">
        <v>0</v>
      </c>
      <c r="AI100" s="642">
        <v>0</v>
      </c>
      <c r="AJ100" s="642">
        <v>0</v>
      </c>
      <c r="AK100" s="650">
        <v>0</v>
      </c>
    </row>
    <row r="101" spans="3:37" ht="13.5">
      <c r="C101" s="648" t="s">
        <v>73</v>
      </c>
      <c r="D101" s="642">
        <v>0</v>
      </c>
      <c r="E101" s="642">
        <v>0</v>
      </c>
      <c r="F101" s="642">
        <v>0</v>
      </c>
      <c r="G101" s="642">
        <v>0.51300159561157233</v>
      </c>
      <c r="H101" s="642">
        <v>0</v>
      </c>
      <c r="I101" s="642">
        <v>0</v>
      </c>
      <c r="J101" s="642">
        <v>0</v>
      </c>
      <c r="K101" s="642">
        <v>5.6591461181640631E-3</v>
      </c>
      <c r="L101" s="642">
        <v>0</v>
      </c>
      <c r="M101" s="642">
        <v>1.0469420318603517E-2</v>
      </c>
      <c r="N101" s="642">
        <v>0</v>
      </c>
      <c r="O101" s="642">
        <v>0</v>
      </c>
      <c r="P101" s="642">
        <v>3.9614022827148432E-2</v>
      </c>
      <c r="Q101" s="642">
        <v>0</v>
      </c>
      <c r="R101" s="642">
        <v>-0.39614022827148437</v>
      </c>
      <c r="S101" s="650">
        <v>0.17260395660400402</v>
      </c>
      <c r="U101" s="648" t="s">
        <v>73</v>
      </c>
      <c r="V101" s="642">
        <v>0</v>
      </c>
      <c r="W101" s="642">
        <v>0</v>
      </c>
      <c r="X101" s="642">
        <v>0</v>
      </c>
      <c r="Y101" s="642">
        <v>2.0927767434982734</v>
      </c>
      <c r="Z101" s="642">
        <v>0</v>
      </c>
      <c r="AA101" s="642">
        <v>0</v>
      </c>
      <c r="AB101" s="642">
        <v>0</v>
      </c>
      <c r="AC101" s="642">
        <v>3.312665996831457E-2</v>
      </c>
      <c r="AD101" s="642">
        <v>0</v>
      </c>
      <c r="AE101" s="642">
        <v>0.11014614439464597</v>
      </c>
      <c r="AF101" s="642">
        <v>0</v>
      </c>
      <c r="AG101" s="642">
        <v>0</v>
      </c>
      <c r="AH101" s="642">
        <v>1.15943309889101</v>
      </c>
      <c r="AI101" s="642">
        <v>0</v>
      </c>
      <c r="AJ101" s="642">
        <v>-2.31886619778202</v>
      </c>
      <c r="AK101" s="650">
        <v>1.0766164489702237</v>
      </c>
    </row>
    <row r="102" spans="3:37" ht="13.5">
      <c r="C102" s="648" t="s">
        <v>356</v>
      </c>
      <c r="D102" s="642">
        <v>30.168562499999993</v>
      </c>
      <c r="E102" s="642">
        <v>-20.218311543998034</v>
      </c>
      <c r="F102" s="642">
        <v>26.444357300871886</v>
      </c>
      <c r="G102" s="642">
        <v>0</v>
      </c>
      <c r="H102" s="642">
        <v>0</v>
      </c>
      <c r="I102" s="642">
        <v>0</v>
      </c>
      <c r="J102" s="642">
        <v>0</v>
      </c>
      <c r="K102" s="642">
        <v>0</v>
      </c>
      <c r="L102" s="642">
        <v>0</v>
      </c>
      <c r="M102" s="642">
        <v>0</v>
      </c>
      <c r="N102" s="642">
        <v>0</v>
      </c>
      <c r="O102" s="642">
        <v>0</v>
      </c>
      <c r="P102" s="642">
        <v>0</v>
      </c>
      <c r="Q102" s="642">
        <v>0</v>
      </c>
      <c r="R102" s="642">
        <v>0</v>
      </c>
      <c r="S102" s="650">
        <v>36.394608256873845</v>
      </c>
      <c r="U102" s="648" t="s">
        <v>356</v>
      </c>
      <c r="V102" s="642">
        <v>13.02096923828125</v>
      </c>
      <c r="W102" s="642">
        <v>-17.778469356901262</v>
      </c>
      <c r="X102" s="642">
        <v>23.253187829923604</v>
      </c>
      <c r="Y102" s="642">
        <v>0</v>
      </c>
      <c r="Z102" s="642">
        <v>0</v>
      </c>
      <c r="AA102" s="642">
        <v>0</v>
      </c>
      <c r="AB102" s="642">
        <v>0</v>
      </c>
      <c r="AC102" s="642">
        <v>0</v>
      </c>
      <c r="AD102" s="642">
        <v>0</v>
      </c>
      <c r="AE102" s="642">
        <v>0</v>
      </c>
      <c r="AF102" s="642">
        <v>0</v>
      </c>
      <c r="AG102" s="642">
        <v>0</v>
      </c>
      <c r="AH102" s="642">
        <v>0</v>
      </c>
      <c r="AI102" s="642">
        <v>0</v>
      </c>
      <c r="AJ102" s="642">
        <v>0</v>
      </c>
      <c r="AK102" s="650">
        <v>18.495687711303592</v>
      </c>
    </row>
    <row r="103" spans="3:37" ht="13.5">
      <c r="C103" s="648" t="s">
        <v>75</v>
      </c>
      <c r="D103" s="642">
        <v>11.732218749999999</v>
      </c>
      <c r="E103" s="642">
        <v>0</v>
      </c>
      <c r="F103" s="642">
        <v>19.839035858468488</v>
      </c>
      <c r="G103" s="642">
        <v>5.6611272323194495</v>
      </c>
      <c r="H103" s="642">
        <v>0</v>
      </c>
      <c r="I103" s="642">
        <v>0</v>
      </c>
      <c r="J103" s="642">
        <v>0</v>
      </c>
      <c r="K103" s="642">
        <v>0</v>
      </c>
      <c r="L103" s="642">
        <v>0</v>
      </c>
      <c r="M103" s="642">
        <v>0.11553320882284591</v>
      </c>
      <c r="N103" s="642">
        <v>0</v>
      </c>
      <c r="O103" s="642">
        <v>0</v>
      </c>
      <c r="P103" s="642">
        <v>36.290441897725728</v>
      </c>
      <c r="Q103" s="642">
        <v>0</v>
      </c>
      <c r="R103" s="642">
        <v>0</v>
      </c>
      <c r="S103" s="650">
        <v>73.638356947336518</v>
      </c>
      <c r="U103" s="648" t="s">
        <v>75</v>
      </c>
      <c r="V103" s="642">
        <v>10.2975283203125</v>
      </c>
      <c r="W103" s="642">
        <v>0</v>
      </c>
      <c r="X103" s="642">
        <v>19.839035858468488</v>
      </c>
      <c r="Y103" s="642">
        <v>5.487827419085181</v>
      </c>
      <c r="Z103" s="642">
        <v>0</v>
      </c>
      <c r="AA103" s="642">
        <v>0</v>
      </c>
      <c r="AB103" s="642">
        <v>0</v>
      </c>
      <c r="AC103" s="642">
        <v>0</v>
      </c>
      <c r="AD103" s="642">
        <v>0</v>
      </c>
      <c r="AE103" s="642">
        <v>0.28883302205711481</v>
      </c>
      <c r="AF103" s="642">
        <v>0</v>
      </c>
      <c r="AG103" s="642">
        <v>0</v>
      </c>
      <c r="AH103" s="642">
        <v>33.686888178717467</v>
      </c>
      <c r="AI103" s="642">
        <v>0</v>
      </c>
      <c r="AJ103" s="642">
        <v>0</v>
      </c>
      <c r="AK103" s="650">
        <v>69.600112798640737</v>
      </c>
    </row>
    <row r="104" spans="3:37" ht="13.5">
      <c r="C104" s="648" t="s">
        <v>76</v>
      </c>
      <c r="D104" s="642">
        <v>0</v>
      </c>
      <c r="E104" s="642">
        <v>0</v>
      </c>
      <c r="F104" s="642">
        <v>0</v>
      </c>
      <c r="G104" s="642">
        <v>4.1611310137714437</v>
      </c>
      <c r="H104" s="642">
        <v>0</v>
      </c>
      <c r="I104" s="642">
        <v>0</v>
      </c>
      <c r="J104" s="642">
        <v>0</v>
      </c>
      <c r="K104" s="642">
        <v>0</v>
      </c>
      <c r="L104" s="642">
        <v>0</v>
      </c>
      <c r="M104" s="642">
        <v>8.4921041097376401E-2</v>
      </c>
      <c r="N104" s="642">
        <v>0</v>
      </c>
      <c r="O104" s="642">
        <v>0</v>
      </c>
      <c r="P104" s="642">
        <v>39.192716927085932</v>
      </c>
      <c r="Q104" s="642">
        <v>3.2227514144892391</v>
      </c>
      <c r="R104" s="642">
        <v>0</v>
      </c>
      <c r="S104" s="650">
        <v>46.66152039644399</v>
      </c>
      <c r="U104" s="648" t="s">
        <v>76</v>
      </c>
      <c r="V104" s="642">
        <v>0</v>
      </c>
      <c r="W104" s="642">
        <v>0</v>
      </c>
      <c r="X104" s="642">
        <v>0</v>
      </c>
      <c r="Y104" s="642">
        <v>4.2421905472985904</v>
      </c>
      <c r="Z104" s="642">
        <v>0</v>
      </c>
      <c r="AA104" s="642">
        <v>0</v>
      </c>
      <c r="AB104" s="642">
        <v>0</v>
      </c>
      <c r="AC104" s="642">
        <v>0</v>
      </c>
      <c r="AD104" s="642">
        <v>0</v>
      </c>
      <c r="AE104" s="642">
        <v>0.2232731866999258</v>
      </c>
      <c r="AF104" s="642">
        <v>0</v>
      </c>
      <c r="AG104" s="642">
        <v>0</v>
      </c>
      <c r="AH104" s="642">
        <v>39.221580519444494</v>
      </c>
      <c r="AI104" s="642">
        <v>4.4453067332156078</v>
      </c>
      <c r="AJ104" s="642">
        <v>0</v>
      </c>
      <c r="AK104" s="650">
        <v>48.132350986658622</v>
      </c>
    </row>
    <row r="105" spans="3:37" ht="13.5">
      <c r="C105" s="646" t="s">
        <v>77</v>
      </c>
      <c r="D105" s="647">
        <v>44.8550394434155</v>
      </c>
      <c r="E105" s="647">
        <v>563.28274311683981</v>
      </c>
      <c r="F105" s="647">
        <v>-523.5616955322962</v>
      </c>
      <c r="G105" s="647">
        <v>45.593893802178002</v>
      </c>
      <c r="H105" s="647">
        <v>1190.909090909091</v>
      </c>
      <c r="I105" s="647">
        <v>153.14171554603519</v>
      </c>
      <c r="J105" s="647">
        <v>100.40938676969702</v>
      </c>
      <c r="K105" s="647">
        <v>22.145246499701521</v>
      </c>
      <c r="L105" s="647">
        <v>-41.055317091001299</v>
      </c>
      <c r="M105" s="647">
        <v>-6.1176837046980248</v>
      </c>
      <c r="N105" s="647">
        <v>0</v>
      </c>
      <c r="O105" s="647">
        <v>3.4289643920188775</v>
      </c>
      <c r="P105" s="647">
        <v>-500.23719370074849</v>
      </c>
      <c r="Q105" s="647">
        <v>-38.312691958272012</v>
      </c>
      <c r="R105" s="647">
        <v>-0.39614022827148437</v>
      </c>
      <c r="S105" s="647">
        <v>1014.085358263689</v>
      </c>
      <c r="U105" s="646" t="s">
        <v>77</v>
      </c>
      <c r="V105" s="647">
        <v>26.480744653565324</v>
      </c>
      <c r="W105" s="647">
        <v>495.30866937040787</v>
      </c>
      <c r="X105" s="647">
        <v>-458.53069153483614</v>
      </c>
      <c r="Y105" s="647">
        <v>89.092202035840685</v>
      </c>
      <c r="Z105" s="647">
        <v>1105.3443526170799</v>
      </c>
      <c r="AA105" s="647">
        <v>156.32644281876244</v>
      </c>
      <c r="AB105" s="647">
        <v>72.961163821898253</v>
      </c>
      <c r="AC105" s="647">
        <v>27.712026603870047</v>
      </c>
      <c r="AD105" s="647">
        <v>-43.316258835205886</v>
      </c>
      <c r="AE105" s="647">
        <v>-14.02680568075132</v>
      </c>
      <c r="AF105" s="647">
        <v>0</v>
      </c>
      <c r="AG105" s="647">
        <v>5.0716279521827641</v>
      </c>
      <c r="AH105" s="647">
        <v>-498.36770111497077</v>
      </c>
      <c r="AI105" s="647">
        <v>-52.866921943109737</v>
      </c>
      <c r="AJ105" s="647">
        <v>-2.31886619778202</v>
      </c>
      <c r="AK105" s="647">
        <v>908.86998456695119</v>
      </c>
    </row>
    <row r="106" spans="3:37" ht="13">
      <c r="C106" s="636"/>
      <c r="D106" s="636">
        <v>0</v>
      </c>
      <c r="E106" s="636">
        <v>0</v>
      </c>
      <c r="F106" s="636">
        <v>0</v>
      </c>
      <c r="G106" s="636">
        <v>0</v>
      </c>
      <c r="H106" s="636">
        <v>0</v>
      </c>
      <c r="I106" s="636">
        <v>0</v>
      </c>
      <c r="J106" s="636">
        <v>0</v>
      </c>
      <c r="K106" s="636">
        <v>0</v>
      </c>
      <c r="L106" s="636">
        <v>0</v>
      </c>
      <c r="M106" s="636">
        <v>0</v>
      </c>
      <c r="N106" s="636">
        <v>0</v>
      </c>
      <c r="O106" s="636">
        <v>0</v>
      </c>
      <c r="P106" s="636">
        <v>0</v>
      </c>
      <c r="Q106" s="636">
        <v>0</v>
      </c>
      <c r="R106" s="636">
        <v>0</v>
      </c>
      <c r="S106" s="636">
        <v>0</v>
      </c>
      <c r="U106" s="636"/>
      <c r="V106" s="636">
        <v>0</v>
      </c>
      <c r="W106" s="636">
        <v>0</v>
      </c>
      <c r="X106" s="636">
        <v>0</v>
      </c>
      <c r="Y106" s="636">
        <v>0</v>
      </c>
      <c r="Z106" s="636">
        <v>0</v>
      </c>
      <c r="AA106" s="636">
        <v>0</v>
      </c>
      <c r="AB106" s="636">
        <v>0</v>
      </c>
      <c r="AC106" s="636">
        <v>0</v>
      </c>
      <c r="AD106" s="636">
        <v>0</v>
      </c>
      <c r="AE106" s="636">
        <v>0</v>
      </c>
      <c r="AF106" s="636">
        <v>0</v>
      </c>
      <c r="AG106" s="636">
        <v>0</v>
      </c>
      <c r="AH106" s="636">
        <v>0</v>
      </c>
      <c r="AI106" s="636">
        <v>0</v>
      </c>
      <c r="AJ106" s="636">
        <v>0</v>
      </c>
      <c r="AK106" s="636">
        <v>0</v>
      </c>
    </row>
    <row r="107" spans="3:37" ht="13.5">
      <c r="C107" s="648" t="s">
        <v>78</v>
      </c>
      <c r="D107" s="642">
        <v>7.0843993210285721</v>
      </c>
      <c r="E107" s="642">
        <v>0</v>
      </c>
      <c r="F107" s="642">
        <v>27.107499244386606</v>
      </c>
      <c r="G107" s="642">
        <v>109.63750187259986</v>
      </c>
      <c r="H107" s="642">
        <v>0</v>
      </c>
      <c r="I107" s="642">
        <v>0</v>
      </c>
      <c r="J107" s="642">
        <v>17.593885172405454</v>
      </c>
      <c r="K107" s="642">
        <v>1.7237647195692531</v>
      </c>
      <c r="L107" s="642">
        <v>0.83302892187499988</v>
      </c>
      <c r="M107" s="642">
        <v>2.2562819387026423</v>
      </c>
      <c r="N107" s="642">
        <v>0</v>
      </c>
      <c r="O107" s="642">
        <v>3.8289980908217579E-4</v>
      </c>
      <c r="P107" s="642">
        <v>110.31623789955354</v>
      </c>
      <c r="Q107" s="642">
        <v>16.994133911313323</v>
      </c>
      <c r="R107" s="642">
        <v>0.39614022827148437</v>
      </c>
      <c r="S107" s="650">
        <v>293.94325612951479</v>
      </c>
      <c r="U107" s="648" t="s">
        <v>78</v>
      </c>
      <c r="V107" s="642">
        <v>3.885325727516717</v>
      </c>
      <c r="W107" s="642">
        <v>0</v>
      </c>
      <c r="X107" s="642">
        <v>23.321309480837726</v>
      </c>
      <c r="Y107" s="642">
        <v>96.699296914521057</v>
      </c>
      <c r="Z107" s="642">
        <v>0</v>
      </c>
      <c r="AA107" s="642">
        <v>0</v>
      </c>
      <c r="AB107" s="642">
        <v>18.074671536539281</v>
      </c>
      <c r="AC107" s="642">
        <v>5.2394534429757353</v>
      </c>
      <c r="AD107" s="642">
        <v>0.94215535644531256</v>
      </c>
      <c r="AE107" s="642">
        <v>5.1082185801979545</v>
      </c>
      <c r="AF107" s="642">
        <v>0</v>
      </c>
      <c r="AG107" s="642">
        <v>3.8289980908217579E-4</v>
      </c>
      <c r="AH107" s="642">
        <v>125.74204552909232</v>
      </c>
      <c r="AI107" s="642">
        <v>19.862626301688149</v>
      </c>
      <c r="AJ107" s="642">
        <v>1.1177628173828125</v>
      </c>
      <c r="AK107" s="650">
        <v>299.99324858700612</v>
      </c>
    </row>
    <row r="108" spans="3:37" ht="13.5">
      <c r="C108" s="648" t="s">
        <v>79</v>
      </c>
      <c r="D108" s="642">
        <v>0</v>
      </c>
      <c r="E108" s="642">
        <v>0</v>
      </c>
      <c r="F108" s="642">
        <v>408.63289173322238</v>
      </c>
      <c r="G108" s="642">
        <v>6.6484606559899468</v>
      </c>
      <c r="H108" s="642">
        <v>0</v>
      </c>
      <c r="I108" s="642">
        <v>0</v>
      </c>
      <c r="J108" s="642">
        <v>0</v>
      </c>
      <c r="K108" s="642">
        <v>0</v>
      </c>
      <c r="L108" s="642">
        <v>39.656272012198485</v>
      </c>
      <c r="M108" s="642">
        <v>0.13568287053040709</v>
      </c>
      <c r="N108" s="642">
        <v>0</v>
      </c>
      <c r="O108" s="642">
        <v>0</v>
      </c>
      <c r="P108" s="642">
        <v>17.908429224736064</v>
      </c>
      <c r="Q108" s="642">
        <v>0</v>
      </c>
      <c r="R108" s="642">
        <v>0</v>
      </c>
      <c r="S108" s="650">
        <v>472.98173649667723</v>
      </c>
      <c r="U108" s="648" t="s">
        <v>79</v>
      </c>
      <c r="V108" s="642">
        <v>0</v>
      </c>
      <c r="W108" s="642">
        <v>0</v>
      </c>
      <c r="X108" s="642">
        <v>375.77190763394009</v>
      </c>
      <c r="Y108" s="642">
        <v>6.755817454004311</v>
      </c>
      <c r="Z108" s="642">
        <v>0</v>
      </c>
      <c r="AA108" s="642">
        <v>0</v>
      </c>
      <c r="AB108" s="642">
        <v>0</v>
      </c>
      <c r="AC108" s="642">
        <v>0</v>
      </c>
      <c r="AD108" s="642">
        <v>39.472711320953763</v>
      </c>
      <c r="AE108" s="642">
        <v>0.35556933968443744</v>
      </c>
      <c r="AF108" s="642">
        <v>0</v>
      </c>
      <c r="AG108" s="642">
        <v>0</v>
      </c>
      <c r="AH108" s="642">
        <v>17.446496979828503</v>
      </c>
      <c r="AI108" s="642">
        <v>0</v>
      </c>
      <c r="AJ108" s="642">
        <v>0</v>
      </c>
      <c r="AK108" s="650">
        <v>439.80250272841107</v>
      </c>
    </row>
    <row r="109" spans="3:37" ht="13.5">
      <c r="C109" s="648" t="s">
        <v>80</v>
      </c>
      <c r="D109" s="642">
        <v>0</v>
      </c>
      <c r="E109" s="642">
        <v>0</v>
      </c>
      <c r="F109" s="642">
        <v>41.084750674599483</v>
      </c>
      <c r="G109" s="642">
        <v>119.79409980429404</v>
      </c>
      <c r="H109" s="642">
        <v>0</v>
      </c>
      <c r="I109" s="642">
        <v>0</v>
      </c>
      <c r="J109" s="642">
        <v>72.996556103181632</v>
      </c>
      <c r="K109" s="642">
        <v>0</v>
      </c>
      <c r="L109" s="642">
        <v>0</v>
      </c>
      <c r="M109" s="642">
        <v>2.4447775470264088</v>
      </c>
      <c r="N109" s="642">
        <v>32.811205728954405</v>
      </c>
      <c r="O109" s="642">
        <v>1.4994987295121316</v>
      </c>
      <c r="P109" s="642">
        <v>168.17343522041736</v>
      </c>
      <c r="Q109" s="642">
        <v>15.992572069761611</v>
      </c>
      <c r="R109" s="642">
        <v>0</v>
      </c>
      <c r="S109" s="650">
        <v>454.79689587774703</v>
      </c>
      <c r="U109" s="648" t="s">
        <v>80</v>
      </c>
      <c r="V109" s="642">
        <v>0</v>
      </c>
      <c r="W109" s="642">
        <v>0</v>
      </c>
      <c r="X109" s="642">
        <v>34.76631066711105</v>
      </c>
      <c r="Y109" s="642">
        <v>106.63972230210601</v>
      </c>
      <c r="Z109" s="642">
        <v>0</v>
      </c>
      <c r="AA109" s="642">
        <v>0</v>
      </c>
      <c r="AB109" s="642">
        <v>79.335392755141783</v>
      </c>
      <c r="AC109" s="642">
        <v>0</v>
      </c>
      <c r="AD109" s="642">
        <v>0</v>
      </c>
      <c r="AE109" s="642">
        <v>5.6126169632687386</v>
      </c>
      <c r="AF109" s="642">
        <v>35.519956519553347</v>
      </c>
      <c r="AG109" s="642">
        <v>1.427931671492281</v>
      </c>
      <c r="AH109" s="642">
        <v>160.67228544284913</v>
      </c>
      <c r="AI109" s="642">
        <v>25.929258094327544</v>
      </c>
      <c r="AJ109" s="642">
        <v>0</v>
      </c>
      <c r="AK109" s="650">
        <v>449.90347441584998</v>
      </c>
    </row>
    <row r="110" spans="3:37" ht="13.5">
      <c r="C110" s="648" t="s">
        <v>81</v>
      </c>
      <c r="D110" s="642">
        <v>0</v>
      </c>
      <c r="E110" s="642">
        <v>0</v>
      </c>
      <c r="F110" s="642">
        <v>21.278250753083572</v>
      </c>
      <c r="G110" s="642">
        <v>66.807967366338673</v>
      </c>
      <c r="H110" s="642">
        <v>0</v>
      </c>
      <c r="I110" s="642">
        <v>0</v>
      </c>
      <c r="J110" s="642">
        <v>3.9976752731894716</v>
      </c>
      <c r="K110" s="642">
        <v>2.6432002043970358E-2</v>
      </c>
      <c r="L110" s="642">
        <v>0</v>
      </c>
      <c r="M110" s="642">
        <v>1.3634279054354832</v>
      </c>
      <c r="N110" s="642">
        <v>6.5080361221152287</v>
      </c>
      <c r="O110" s="642">
        <v>0.94378280475996701</v>
      </c>
      <c r="P110" s="642">
        <v>131.53831129097264</v>
      </c>
      <c r="Q110" s="642">
        <v>5.3259859771970728</v>
      </c>
      <c r="R110" s="642">
        <v>0</v>
      </c>
      <c r="S110" s="650">
        <v>237.78986949513609</v>
      </c>
      <c r="U110" s="648" t="s">
        <v>81</v>
      </c>
      <c r="V110" s="642">
        <v>0</v>
      </c>
      <c r="W110" s="642">
        <v>0</v>
      </c>
      <c r="X110" s="642">
        <v>15.239894940926636</v>
      </c>
      <c r="Y110" s="642">
        <v>55.988063388934151</v>
      </c>
      <c r="Z110" s="642">
        <v>0</v>
      </c>
      <c r="AA110" s="642">
        <v>0</v>
      </c>
      <c r="AB110" s="642">
        <v>6.2628201133829862</v>
      </c>
      <c r="AC110" s="642">
        <v>2.6432002043970358E-2</v>
      </c>
      <c r="AD110" s="642">
        <v>0</v>
      </c>
      <c r="AE110" s="642">
        <v>2.9467401783649554</v>
      </c>
      <c r="AF110" s="642">
        <v>11.4217194648713</v>
      </c>
      <c r="AG110" s="642">
        <v>1.4420725885698453</v>
      </c>
      <c r="AH110" s="642">
        <v>125.88549835067262</v>
      </c>
      <c r="AI110" s="642">
        <v>7.0750375470940394</v>
      </c>
      <c r="AJ110" s="642">
        <v>0</v>
      </c>
      <c r="AK110" s="650">
        <v>226.28827857486053</v>
      </c>
    </row>
    <row r="111" spans="3:37" ht="13.5">
      <c r="C111" s="648" t="s">
        <v>82</v>
      </c>
      <c r="D111" s="642">
        <v>0</v>
      </c>
      <c r="E111" s="642">
        <v>0</v>
      </c>
      <c r="F111" s="642">
        <v>34.492480565946664</v>
      </c>
      <c r="G111" s="642">
        <v>2.4401253266579648</v>
      </c>
      <c r="H111" s="642">
        <v>0</v>
      </c>
      <c r="I111" s="642">
        <v>0</v>
      </c>
      <c r="J111" s="642">
        <v>0.70706396927287185</v>
      </c>
      <c r="K111" s="642">
        <v>0</v>
      </c>
      <c r="L111" s="642">
        <v>2.2606527751608563</v>
      </c>
      <c r="M111" s="642">
        <v>4.979847605424418E-2</v>
      </c>
      <c r="N111" s="642">
        <v>0</v>
      </c>
      <c r="O111" s="642">
        <v>9.0201671928645533E-2</v>
      </c>
      <c r="P111" s="642">
        <v>8.2455072704191767</v>
      </c>
      <c r="Q111" s="642">
        <v>0</v>
      </c>
      <c r="R111" s="642">
        <v>0</v>
      </c>
      <c r="S111" s="650">
        <v>48.285830055440421</v>
      </c>
      <c r="U111" s="648" t="s">
        <v>82</v>
      </c>
      <c r="V111" s="642">
        <v>0</v>
      </c>
      <c r="W111" s="642">
        <v>0</v>
      </c>
      <c r="X111" s="642">
        <v>33.216742540132081</v>
      </c>
      <c r="Y111" s="642">
        <v>2.5829673934416131</v>
      </c>
      <c r="Z111" s="642">
        <v>0</v>
      </c>
      <c r="AA111" s="642">
        <v>0</v>
      </c>
      <c r="AB111" s="642">
        <v>0.70706396927287185</v>
      </c>
      <c r="AC111" s="642">
        <v>0</v>
      </c>
      <c r="AD111" s="642">
        <v>3.7843312923041141</v>
      </c>
      <c r="AE111" s="642">
        <v>0.13594565228640071</v>
      </c>
      <c r="AF111" s="642">
        <v>0</v>
      </c>
      <c r="AG111" s="642">
        <v>0.36066131262685786</v>
      </c>
      <c r="AH111" s="642">
        <v>8.2670833714025918</v>
      </c>
      <c r="AI111" s="642">
        <v>0</v>
      </c>
      <c r="AJ111" s="642">
        <v>8.6831190235855574E-2</v>
      </c>
      <c r="AK111" s="650">
        <v>49.141626721702394</v>
      </c>
    </row>
    <row r="112" spans="3:37" ht="13.5">
      <c r="C112" s="648" t="s">
        <v>357</v>
      </c>
      <c r="D112" s="642">
        <v>0</v>
      </c>
      <c r="E112" s="642">
        <v>0</v>
      </c>
      <c r="F112" s="642">
        <v>0</v>
      </c>
      <c r="G112" s="642">
        <v>0</v>
      </c>
      <c r="H112" s="642">
        <v>0</v>
      </c>
      <c r="I112" s="642">
        <v>0</v>
      </c>
      <c r="J112" s="642">
        <v>0</v>
      </c>
      <c r="K112" s="642">
        <v>0</v>
      </c>
      <c r="L112" s="642">
        <v>0</v>
      </c>
      <c r="M112" s="642">
        <v>0</v>
      </c>
      <c r="N112" s="642">
        <v>0</v>
      </c>
      <c r="O112" s="642">
        <v>0</v>
      </c>
      <c r="P112" s="642">
        <v>0</v>
      </c>
      <c r="Q112" s="642">
        <v>0</v>
      </c>
      <c r="R112" s="642">
        <v>0</v>
      </c>
      <c r="S112" s="650">
        <v>0</v>
      </c>
      <c r="U112" s="648" t="s">
        <v>357</v>
      </c>
      <c r="V112" s="642">
        <v>0</v>
      </c>
      <c r="W112" s="642">
        <v>0</v>
      </c>
      <c r="X112" s="642">
        <v>0</v>
      </c>
      <c r="Y112" s="642">
        <v>0</v>
      </c>
      <c r="Z112" s="642">
        <v>0</v>
      </c>
      <c r="AA112" s="642">
        <v>0</v>
      </c>
      <c r="AB112" s="642">
        <v>0</v>
      </c>
      <c r="AC112" s="642">
        <v>0</v>
      </c>
      <c r="AD112" s="642">
        <v>0</v>
      </c>
      <c r="AE112" s="642">
        <v>0</v>
      </c>
      <c r="AF112" s="642">
        <v>0</v>
      </c>
      <c r="AG112" s="642">
        <v>0</v>
      </c>
      <c r="AH112" s="642">
        <v>0</v>
      </c>
      <c r="AI112" s="642">
        <v>0</v>
      </c>
      <c r="AJ112" s="642">
        <v>0</v>
      </c>
      <c r="AK112" s="650">
        <v>0</v>
      </c>
    </row>
    <row r="113" spans="3:37" ht="13.5">
      <c r="C113" s="646" t="s">
        <v>83</v>
      </c>
      <c r="D113" s="647">
        <v>7.0843993210285721</v>
      </c>
      <c r="E113" s="647">
        <v>0</v>
      </c>
      <c r="F113" s="647">
        <v>532.59587297123869</v>
      </c>
      <c r="G113" s="647">
        <v>305.32815502588045</v>
      </c>
      <c r="H113" s="647">
        <v>0</v>
      </c>
      <c r="I113" s="647">
        <v>0</v>
      </c>
      <c r="J113" s="647">
        <v>95.295180518049435</v>
      </c>
      <c r="K113" s="647">
        <v>1.7501967216132235</v>
      </c>
      <c r="L113" s="647">
        <v>42.74995370923434</v>
      </c>
      <c r="M113" s="647">
        <v>6.2499687377491853</v>
      </c>
      <c r="N113" s="647">
        <v>39.319241851069634</v>
      </c>
      <c r="O113" s="647">
        <v>2.5338661060098264</v>
      </c>
      <c r="P113" s="647">
        <v>436.18192090609881</v>
      </c>
      <c r="Q113" s="647">
        <v>38.312691958272005</v>
      </c>
      <c r="R113" s="647">
        <v>0.39614022827148437</v>
      </c>
      <c r="S113" s="647">
        <v>1507.7975880545155</v>
      </c>
      <c r="U113" s="646" t="s">
        <v>83</v>
      </c>
      <c r="V113" s="647">
        <v>3.885325727516717</v>
      </c>
      <c r="W113" s="647">
        <v>0</v>
      </c>
      <c r="X113" s="647">
        <v>482.31616526294755</v>
      </c>
      <c r="Y113" s="647">
        <v>268.66586745300714</v>
      </c>
      <c r="Z113" s="647">
        <v>0</v>
      </c>
      <c r="AA113" s="647">
        <v>0</v>
      </c>
      <c r="AB113" s="647">
        <v>104.37994837433692</v>
      </c>
      <c r="AC113" s="647">
        <v>5.2658854450197055</v>
      </c>
      <c r="AD113" s="647">
        <v>44.199197969703192</v>
      </c>
      <c r="AE113" s="647">
        <v>14.159090713802485</v>
      </c>
      <c r="AF113" s="647">
        <v>46.941675984424649</v>
      </c>
      <c r="AG113" s="647">
        <v>3.2310484724980664</v>
      </c>
      <c r="AH113" s="647">
        <v>438.0134096738451</v>
      </c>
      <c r="AI113" s="647">
        <v>52.866921943109737</v>
      </c>
      <c r="AJ113" s="647">
        <v>1.2045940076186681</v>
      </c>
      <c r="AK113" s="647">
        <v>1465.1291310278302</v>
      </c>
    </row>
    <row r="114" spans="3:37" ht="13.5">
      <c r="C114" s="641" t="s">
        <v>84</v>
      </c>
      <c r="D114" s="642">
        <v>0</v>
      </c>
      <c r="E114" s="642">
        <v>0</v>
      </c>
      <c r="F114" s="642">
        <v>127.25135409198229</v>
      </c>
      <c r="G114" s="642">
        <v>12.538633041459809</v>
      </c>
      <c r="H114" s="642">
        <v>0</v>
      </c>
      <c r="I114" s="642">
        <v>0</v>
      </c>
      <c r="J114" s="642">
        <v>0</v>
      </c>
      <c r="K114" s="642">
        <v>0</v>
      </c>
      <c r="L114" s="642">
        <v>0</v>
      </c>
      <c r="M114" s="642">
        <v>0</v>
      </c>
      <c r="N114" s="642">
        <v>0</v>
      </c>
      <c r="O114" s="642">
        <v>0</v>
      </c>
      <c r="P114" s="642">
        <v>0</v>
      </c>
      <c r="Q114" s="642">
        <v>0</v>
      </c>
      <c r="R114" s="642">
        <v>0</v>
      </c>
      <c r="S114" s="650">
        <v>139.78998713344208</v>
      </c>
      <c r="U114" s="641" t="s">
        <v>84</v>
      </c>
      <c r="V114" s="642">
        <v>0</v>
      </c>
      <c r="W114" s="642">
        <v>0</v>
      </c>
      <c r="X114" s="642">
        <v>128.77178857297574</v>
      </c>
      <c r="Y114" s="642">
        <v>1.8429610546316848</v>
      </c>
      <c r="Z114" s="642">
        <v>0</v>
      </c>
      <c r="AA114" s="642">
        <v>0</v>
      </c>
      <c r="AB114" s="642">
        <v>0</v>
      </c>
      <c r="AC114" s="642">
        <v>0</v>
      </c>
      <c r="AD114" s="642">
        <v>0.17036074218750002</v>
      </c>
      <c r="AE114" s="642">
        <v>0</v>
      </c>
      <c r="AF114" s="642">
        <v>0</v>
      </c>
      <c r="AG114" s="642">
        <v>0</v>
      </c>
      <c r="AH114" s="642">
        <v>0</v>
      </c>
      <c r="AI114" s="642">
        <v>0</v>
      </c>
      <c r="AJ114" s="642">
        <v>1.1142721901633521</v>
      </c>
      <c r="AK114" s="650">
        <v>131.89938255995827</v>
      </c>
    </row>
    <row r="115" spans="3:37" ht="13.5">
      <c r="C115" s="646" t="s">
        <v>85</v>
      </c>
      <c r="D115" s="647">
        <v>7.0843993210285721</v>
      </c>
      <c r="E115" s="647">
        <v>0</v>
      </c>
      <c r="F115" s="647">
        <v>659.847227063221</v>
      </c>
      <c r="G115" s="647">
        <v>317.86678806734028</v>
      </c>
      <c r="H115" s="647">
        <v>0</v>
      </c>
      <c r="I115" s="647">
        <v>0</v>
      </c>
      <c r="J115" s="647">
        <v>95.295180518049435</v>
      </c>
      <c r="K115" s="647">
        <v>1.7501967216132235</v>
      </c>
      <c r="L115" s="647">
        <v>42.74995370923434</v>
      </c>
      <c r="M115" s="647">
        <v>6.2499687377491853</v>
      </c>
      <c r="N115" s="647">
        <v>39.319241851069634</v>
      </c>
      <c r="O115" s="647">
        <v>2.5338661060098264</v>
      </c>
      <c r="P115" s="647">
        <v>436.18192090609881</v>
      </c>
      <c r="Q115" s="647">
        <v>38.312691958272005</v>
      </c>
      <c r="R115" s="647">
        <v>0.39614022827148437</v>
      </c>
      <c r="S115" s="647">
        <v>1647.5875751879578</v>
      </c>
      <c r="U115" s="646" t="s">
        <v>85</v>
      </c>
      <c r="V115" s="647">
        <v>3.885325727516717</v>
      </c>
      <c r="W115" s="647">
        <v>0</v>
      </c>
      <c r="X115" s="647">
        <v>611.08795383592337</v>
      </c>
      <c r="Y115" s="647">
        <v>270.50882850763884</v>
      </c>
      <c r="Z115" s="647">
        <v>0</v>
      </c>
      <c r="AA115" s="647">
        <v>0</v>
      </c>
      <c r="AB115" s="647">
        <v>104.37994837433692</v>
      </c>
      <c r="AC115" s="647">
        <v>5.2658854450197055</v>
      </c>
      <c r="AD115" s="647">
        <v>44.36955871189069</v>
      </c>
      <c r="AE115" s="647">
        <v>14.159090713802485</v>
      </c>
      <c r="AF115" s="647">
        <v>46.941675984424649</v>
      </c>
      <c r="AG115" s="647">
        <v>3.2310484724980664</v>
      </c>
      <c r="AH115" s="647">
        <v>438.0134096738451</v>
      </c>
      <c r="AI115" s="647">
        <v>52.866921943109737</v>
      </c>
      <c r="AJ115" s="647">
        <v>2.31886619778202</v>
      </c>
      <c r="AK115" s="647">
        <v>1597.0285135877887</v>
      </c>
    </row>
    <row r="116" spans="3:37" ht="13">
      <c r="C116" s="636"/>
      <c r="D116" s="636"/>
      <c r="E116" s="636"/>
      <c r="F116" s="636"/>
      <c r="G116" s="636"/>
      <c r="H116" s="636"/>
      <c r="I116" s="636"/>
      <c r="J116" s="636"/>
      <c r="K116" s="636"/>
      <c r="L116" s="636"/>
      <c r="M116" s="636"/>
      <c r="N116" s="636"/>
      <c r="O116" s="636"/>
      <c r="P116" s="636"/>
      <c r="Q116" s="636"/>
      <c r="R116" s="636"/>
      <c r="S116" s="636"/>
      <c r="U116" s="636"/>
      <c r="V116" s="636"/>
      <c r="W116" s="636"/>
      <c r="X116" s="636"/>
      <c r="Y116" s="636"/>
      <c r="Z116" s="636"/>
      <c r="AA116" s="636"/>
      <c r="AB116" s="636"/>
      <c r="AC116" s="636"/>
      <c r="AD116" s="636"/>
      <c r="AE116" s="636"/>
      <c r="AF116" s="636"/>
      <c r="AG116" s="636"/>
      <c r="AH116" s="636"/>
      <c r="AI116" s="636"/>
      <c r="AJ116" s="636"/>
      <c r="AK116" s="636"/>
    </row>
    <row r="117" spans="3:37" ht="22.5">
      <c r="C117" s="699" t="s">
        <v>359</v>
      </c>
      <c r="D117" s="699"/>
      <c r="E117" s="699"/>
      <c r="F117" s="699"/>
      <c r="G117" s="699"/>
      <c r="H117" s="699"/>
      <c r="I117" s="699"/>
      <c r="J117" s="699"/>
      <c r="K117" s="699"/>
      <c r="L117" s="699"/>
      <c r="M117" s="699"/>
      <c r="N117" s="699"/>
      <c r="O117" s="699"/>
      <c r="P117" s="699"/>
      <c r="Q117" s="699"/>
      <c r="R117" s="699"/>
      <c r="S117" s="699"/>
      <c r="U117" s="699" t="s">
        <v>359</v>
      </c>
      <c r="V117" s="699"/>
      <c r="W117" s="699"/>
      <c r="X117" s="699"/>
      <c r="Y117" s="699"/>
      <c r="Z117" s="699"/>
      <c r="AA117" s="699"/>
      <c r="AB117" s="699"/>
      <c r="AC117" s="699"/>
      <c r="AD117" s="699"/>
      <c r="AE117" s="699"/>
      <c r="AF117" s="699"/>
      <c r="AG117" s="699"/>
      <c r="AH117" s="699"/>
      <c r="AI117" s="699"/>
      <c r="AJ117" s="699"/>
      <c r="AK117" s="699"/>
    </row>
    <row r="118" spans="3:37" ht="13">
      <c r="C118" s="636"/>
      <c r="D118" s="636"/>
      <c r="E118" s="636"/>
      <c r="F118" s="636"/>
      <c r="G118" s="636"/>
      <c r="H118" s="636"/>
      <c r="I118" s="636"/>
      <c r="J118" s="636"/>
      <c r="K118" s="636"/>
      <c r="L118" s="636"/>
      <c r="M118" s="636"/>
      <c r="N118" s="636"/>
      <c r="O118" s="636"/>
      <c r="P118" s="636"/>
      <c r="Q118" s="636"/>
      <c r="R118" s="636"/>
      <c r="S118" s="636"/>
      <c r="U118" s="636"/>
      <c r="V118" s="636"/>
      <c r="W118" s="636"/>
      <c r="X118" s="636"/>
      <c r="Y118" s="636"/>
      <c r="Z118" s="636"/>
      <c r="AA118" s="636"/>
      <c r="AB118" s="636"/>
      <c r="AC118" s="636"/>
      <c r="AD118" s="636"/>
      <c r="AE118" s="636"/>
      <c r="AF118" s="636"/>
      <c r="AG118" s="636"/>
      <c r="AH118" s="636"/>
      <c r="AI118" s="636"/>
      <c r="AJ118" s="636"/>
      <c r="AK118" s="636"/>
    </row>
    <row r="119" spans="3:37" ht="13" customHeight="1">
      <c r="C119" s="700" t="s">
        <v>128</v>
      </c>
      <c r="D119" s="701" t="s">
        <v>42</v>
      </c>
      <c r="E119" s="701" t="s">
        <v>52</v>
      </c>
      <c r="F119" s="701" t="s">
        <v>53</v>
      </c>
      <c r="G119" s="701" t="s">
        <v>32</v>
      </c>
      <c r="H119" s="701" t="s">
        <v>20</v>
      </c>
      <c r="I119" s="701" t="s">
        <v>55</v>
      </c>
      <c r="J119" s="701" t="s">
        <v>56</v>
      </c>
      <c r="K119" s="701"/>
      <c r="L119" s="701"/>
      <c r="M119" s="701"/>
      <c r="N119" s="701"/>
      <c r="O119" s="701"/>
      <c r="P119" s="701" t="s">
        <v>57</v>
      </c>
      <c r="Q119" s="701" t="s">
        <v>58</v>
      </c>
      <c r="R119" s="701" t="s">
        <v>31</v>
      </c>
      <c r="S119" s="701" t="s">
        <v>10</v>
      </c>
      <c r="U119" s="700" t="s">
        <v>128</v>
      </c>
      <c r="V119" s="701" t="s">
        <v>42</v>
      </c>
      <c r="W119" s="701" t="s">
        <v>52</v>
      </c>
      <c r="X119" s="701" t="s">
        <v>53</v>
      </c>
      <c r="Y119" s="701" t="s">
        <v>32</v>
      </c>
      <c r="Z119" s="701" t="s">
        <v>20</v>
      </c>
      <c r="AA119" s="701" t="s">
        <v>55</v>
      </c>
      <c r="AB119" s="701" t="s">
        <v>56</v>
      </c>
      <c r="AC119" s="701"/>
      <c r="AD119" s="701"/>
      <c r="AE119" s="701"/>
      <c r="AF119" s="701"/>
      <c r="AG119" s="701"/>
      <c r="AH119" s="701" t="s">
        <v>57</v>
      </c>
      <c r="AI119" s="701" t="s">
        <v>58</v>
      </c>
      <c r="AJ119" s="701" t="s">
        <v>31</v>
      </c>
      <c r="AK119" s="701" t="s">
        <v>10</v>
      </c>
    </row>
    <row r="120" spans="3:37" ht="46">
      <c r="C120" s="700"/>
      <c r="D120" s="701"/>
      <c r="E120" s="701"/>
      <c r="F120" s="701"/>
      <c r="G120" s="701"/>
      <c r="H120" s="701"/>
      <c r="I120" s="701"/>
      <c r="J120" s="640" t="s">
        <v>338</v>
      </c>
      <c r="K120" s="640" t="s">
        <v>40</v>
      </c>
      <c r="L120" s="640" t="s">
        <v>346</v>
      </c>
      <c r="M120" s="640" t="s">
        <v>347</v>
      </c>
      <c r="N120" s="640" t="s">
        <v>348</v>
      </c>
      <c r="O120" s="640" t="s">
        <v>349</v>
      </c>
      <c r="P120" s="701"/>
      <c r="Q120" s="701"/>
      <c r="R120" s="701"/>
      <c r="S120" s="701"/>
      <c r="U120" s="700"/>
      <c r="V120" s="701"/>
      <c r="W120" s="701"/>
      <c r="X120" s="701"/>
      <c r="Y120" s="701"/>
      <c r="Z120" s="701"/>
      <c r="AA120" s="701"/>
      <c r="AB120" s="640" t="s">
        <v>338</v>
      </c>
      <c r="AC120" s="640" t="s">
        <v>40</v>
      </c>
      <c r="AD120" s="640" t="s">
        <v>346</v>
      </c>
      <c r="AE120" s="640" t="s">
        <v>347</v>
      </c>
      <c r="AF120" s="640" t="s">
        <v>348</v>
      </c>
      <c r="AG120" s="640" t="s">
        <v>349</v>
      </c>
      <c r="AH120" s="701"/>
      <c r="AI120" s="701"/>
      <c r="AJ120" s="701"/>
      <c r="AK120" s="701"/>
    </row>
    <row r="121" spans="3:37" ht="13.5">
      <c r="C121" s="641" t="s">
        <v>59</v>
      </c>
      <c r="D121" s="642">
        <v>0</v>
      </c>
      <c r="E121" s="643">
        <v>9.7691999999999997</v>
      </c>
      <c r="F121" s="643">
        <v>0</v>
      </c>
      <c r="G121" s="642">
        <v>0.18608000000000002</v>
      </c>
      <c r="H121" s="643">
        <v>1190.909090909091</v>
      </c>
      <c r="I121" s="643">
        <v>172.65095069399246</v>
      </c>
      <c r="J121" s="643">
        <v>190.83629555260256</v>
      </c>
      <c r="K121" s="643">
        <v>22.859954043709436</v>
      </c>
      <c r="L121" s="643">
        <v>0.28638238403450345</v>
      </c>
      <c r="M121" s="643">
        <v>0.13461365170799597</v>
      </c>
      <c r="N121" s="643">
        <v>45.31680426782367</v>
      </c>
      <c r="O121" s="643">
        <v>7.2729377495964416</v>
      </c>
      <c r="P121" s="644">
        <v>0</v>
      </c>
      <c r="Q121" s="643">
        <v>0</v>
      </c>
      <c r="R121" s="643">
        <v>0</v>
      </c>
      <c r="S121" s="645">
        <v>1640.222309252558</v>
      </c>
      <c r="U121" s="641" t="s">
        <v>59</v>
      </c>
      <c r="V121" s="642">
        <v>0</v>
      </c>
      <c r="W121" s="643">
        <v>9.7691999999999997</v>
      </c>
      <c r="X121" s="643">
        <v>0</v>
      </c>
      <c r="Y121" s="642">
        <v>0.18608000000000002</v>
      </c>
      <c r="Z121" s="643">
        <v>1083.7741046831957</v>
      </c>
      <c r="AA121" s="643">
        <v>180.88004160308333</v>
      </c>
      <c r="AB121" s="643">
        <v>179.66191601295682</v>
      </c>
      <c r="AC121" s="643">
        <v>35.233025744634077</v>
      </c>
      <c r="AD121" s="643">
        <v>0.28638238403450345</v>
      </c>
      <c r="AE121" s="643">
        <v>0.13461365170799597</v>
      </c>
      <c r="AF121" s="643">
        <v>55.315214066923446</v>
      </c>
      <c r="AG121" s="643">
        <v>11.104217144375802</v>
      </c>
      <c r="AH121" s="644">
        <v>0</v>
      </c>
      <c r="AI121" s="643">
        <v>0</v>
      </c>
      <c r="AJ121" s="643">
        <v>0</v>
      </c>
      <c r="AK121" s="645">
        <v>1556.3447952909116</v>
      </c>
    </row>
    <row r="122" spans="3:37" ht="13.5">
      <c r="C122" s="641" t="s">
        <v>60</v>
      </c>
      <c r="D122" s="642">
        <v>50.272309821560647</v>
      </c>
      <c r="E122" s="643">
        <v>541.69545178681915</v>
      </c>
      <c r="F122" s="643">
        <v>188.86081515186203</v>
      </c>
      <c r="G122" s="642">
        <v>351.61513464214681</v>
      </c>
      <c r="H122" s="643">
        <v>0</v>
      </c>
      <c r="I122" s="643">
        <v>0</v>
      </c>
      <c r="J122" s="643">
        <v>2.7986686910966072</v>
      </c>
      <c r="K122" s="643">
        <v>0</v>
      </c>
      <c r="L122" s="643">
        <v>1.9601939880201746</v>
      </c>
      <c r="M122" s="643">
        <v>0</v>
      </c>
      <c r="N122" s="643">
        <v>0</v>
      </c>
      <c r="O122" s="643">
        <v>0</v>
      </c>
      <c r="P122" s="644">
        <v>0</v>
      </c>
      <c r="Q122" s="643">
        <v>0</v>
      </c>
      <c r="R122" s="643">
        <v>0</v>
      </c>
      <c r="S122" s="645">
        <v>1137.2025740815054</v>
      </c>
      <c r="U122" s="641" t="s">
        <v>60</v>
      </c>
      <c r="V122" s="642">
        <v>19.313313128242111</v>
      </c>
      <c r="W122" s="643">
        <v>439.73434116717101</v>
      </c>
      <c r="X122" s="643">
        <v>187.81160121991923</v>
      </c>
      <c r="Y122" s="642">
        <v>309.5644193276562</v>
      </c>
      <c r="Z122" s="643">
        <v>0</v>
      </c>
      <c r="AA122" s="643">
        <v>0</v>
      </c>
      <c r="AB122" s="643">
        <v>2.7986686910966072</v>
      </c>
      <c r="AC122" s="643">
        <v>0</v>
      </c>
      <c r="AD122" s="643">
        <v>1.9601939880201746</v>
      </c>
      <c r="AE122" s="643">
        <v>0</v>
      </c>
      <c r="AF122" s="643">
        <v>0</v>
      </c>
      <c r="AG122" s="643">
        <v>0</v>
      </c>
      <c r="AH122" s="644">
        <v>0</v>
      </c>
      <c r="AI122" s="643">
        <v>0</v>
      </c>
      <c r="AJ122" s="643">
        <v>0</v>
      </c>
      <c r="AK122" s="645">
        <v>961.18253752210535</v>
      </c>
    </row>
    <row r="123" spans="3:37" ht="13.5">
      <c r="C123" s="641" t="s">
        <v>61</v>
      </c>
      <c r="D123" s="642">
        <v>0</v>
      </c>
      <c r="E123" s="643">
        <v>0</v>
      </c>
      <c r="F123" s="643">
        <v>0</v>
      </c>
      <c r="G123" s="642">
        <v>0</v>
      </c>
      <c r="H123" s="643">
        <v>0</v>
      </c>
      <c r="I123" s="643">
        <v>0</v>
      </c>
      <c r="J123" s="643">
        <v>0</v>
      </c>
      <c r="K123" s="643">
        <v>0</v>
      </c>
      <c r="L123" s="643">
        <v>0</v>
      </c>
      <c r="M123" s="643">
        <v>0</v>
      </c>
      <c r="N123" s="643">
        <v>0</v>
      </c>
      <c r="O123" s="643">
        <v>0</v>
      </c>
      <c r="P123" s="644">
        <v>-71.534753758802367</v>
      </c>
      <c r="Q123" s="643">
        <v>0</v>
      </c>
      <c r="R123" s="643">
        <v>0</v>
      </c>
      <c r="S123" s="645">
        <v>-71.534753758802367</v>
      </c>
      <c r="U123" s="641" t="s">
        <v>61</v>
      </c>
      <c r="V123" s="642">
        <v>0</v>
      </c>
      <c r="W123" s="643">
        <v>0</v>
      </c>
      <c r="X123" s="643">
        <v>0</v>
      </c>
      <c r="Y123" s="642">
        <v>0</v>
      </c>
      <c r="Z123" s="643">
        <v>0</v>
      </c>
      <c r="AA123" s="643">
        <v>0</v>
      </c>
      <c r="AB123" s="643">
        <v>0</v>
      </c>
      <c r="AC123" s="643">
        <v>0</v>
      </c>
      <c r="AD123" s="643">
        <v>0</v>
      </c>
      <c r="AE123" s="643">
        <v>0</v>
      </c>
      <c r="AF123" s="643">
        <v>0</v>
      </c>
      <c r="AG123" s="643">
        <v>0</v>
      </c>
      <c r="AH123" s="644">
        <v>-59.869044369838548</v>
      </c>
      <c r="AI123" s="643">
        <v>0</v>
      </c>
      <c r="AJ123" s="643">
        <v>0</v>
      </c>
      <c r="AK123" s="645">
        <v>-59.869044369838548</v>
      </c>
    </row>
    <row r="124" spans="3:37" ht="13.5">
      <c r="C124" s="641" t="s">
        <v>62</v>
      </c>
      <c r="D124" s="642">
        <v>0</v>
      </c>
      <c r="E124" s="643">
        <v>0</v>
      </c>
      <c r="F124" s="643">
        <v>-17.07041205275393</v>
      </c>
      <c r="G124" s="642">
        <v>0</v>
      </c>
      <c r="H124" s="643">
        <v>0</v>
      </c>
      <c r="I124" s="643">
        <v>0</v>
      </c>
      <c r="J124" s="643">
        <v>0</v>
      </c>
      <c r="K124" s="643">
        <v>0</v>
      </c>
      <c r="L124" s="643">
        <v>0</v>
      </c>
      <c r="M124" s="643">
        <v>0</v>
      </c>
      <c r="N124" s="643">
        <v>0</v>
      </c>
      <c r="O124" s="643">
        <v>0</v>
      </c>
      <c r="P124" s="644">
        <v>0</v>
      </c>
      <c r="Q124" s="643">
        <v>0</v>
      </c>
      <c r="R124" s="643">
        <v>0</v>
      </c>
      <c r="S124" s="645">
        <v>-17.07041205275393</v>
      </c>
      <c r="U124" s="641" t="s">
        <v>62</v>
      </c>
      <c r="V124" s="642">
        <v>0</v>
      </c>
      <c r="W124" s="643">
        <v>0</v>
      </c>
      <c r="X124" s="643">
        <v>-16.843089298461354</v>
      </c>
      <c r="Y124" s="642">
        <v>-3.370970564953437E-2</v>
      </c>
      <c r="Z124" s="643">
        <v>0</v>
      </c>
      <c r="AA124" s="643">
        <v>0</v>
      </c>
      <c r="AB124" s="643">
        <v>0</v>
      </c>
      <c r="AC124" s="643">
        <v>0</v>
      </c>
      <c r="AD124" s="643">
        <v>0</v>
      </c>
      <c r="AE124" s="643">
        <v>-3.7455228499482631E-3</v>
      </c>
      <c r="AF124" s="643">
        <v>0</v>
      </c>
      <c r="AG124" s="643">
        <v>0</v>
      </c>
      <c r="AH124" s="644">
        <v>0</v>
      </c>
      <c r="AI124" s="643">
        <v>0</v>
      </c>
      <c r="AJ124" s="643">
        <v>0</v>
      </c>
      <c r="AK124" s="645">
        <v>-16.880544526960836</v>
      </c>
    </row>
    <row r="125" spans="3:37" ht="13.5">
      <c r="C125" s="641" t="s">
        <v>63</v>
      </c>
      <c r="D125" s="642">
        <v>0</v>
      </c>
      <c r="E125" s="643">
        <v>0</v>
      </c>
      <c r="F125" s="643">
        <v>-79.881990921256516</v>
      </c>
      <c r="G125" s="642">
        <v>0</v>
      </c>
      <c r="H125" s="643">
        <v>0</v>
      </c>
      <c r="I125" s="643">
        <v>0</v>
      </c>
      <c r="J125" s="643">
        <v>0</v>
      </c>
      <c r="K125" s="643">
        <v>0</v>
      </c>
      <c r="L125" s="643">
        <v>-0.82615205603276265</v>
      </c>
      <c r="M125" s="643">
        <v>0</v>
      </c>
      <c r="N125" s="643">
        <v>0</v>
      </c>
      <c r="O125" s="643">
        <v>0</v>
      </c>
      <c r="P125" s="644">
        <v>0</v>
      </c>
      <c r="Q125" s="643">
        <v>0</v>
      </c>
      <c r="R125" s="643">
        <v>0</v>
      </c>
      <c r="S125" s="645">
        <v>-80.708142977289285</v>
      </c>
      <c r="U125" s="641" t="s">
        <v>63</v>
      </c>
      <c r="V125" s="642">
        <v>0</v>
      </c>
      <c r="W125" s="643">
        <v>0</v>
      </c>
      <c r="X125" s="643">
        <v>-78.255878538705957</v>
      </c>
      <c r="Y125" s="642">
        <v>0</v>
      </c>
      <c r="Z125" s="643">
        <v>0</v>
      </c>
      <c r="AA125" s="643">
        <v>0</v>
      </c>
      <c r="AB125" s="643">
        <v>0</v>
      </c>
      <c r="AC125" s="643">
        <v>0</v>
      </c>
      <c r="AD125" s="643">
        <v>-2.9528968014026442</v>
      </c>
      <c r="AE125" s="643">
        <v>0</v>
      </c>
      <c r="AF125" s="643">
        <v>0</v>
      </c>
      <c r="AG125" s="643">
        <v>0</v>
      </c>
      <c r="AH125" s="644">
        <v>0</v>
      </c>
      <c r="AI125" s="643">
        <v>0</v>
      </c>
      <c r="AJ125" s="643">
        <v>0</v>
      </c>
      <c r="AK125" s="645">
        <v>-81.208775340108602</v>
      </c>
    </row>
    <row r="126" spans="3:37" ht="13.5">
      <c r="C126" s="641" t="s">
        <v>64</v>
      </c>
      <c r="D126" s="642">
        <v>0</v>
      </c>
      <c r="E126" s="643">
        <v>0</v>
      </c>
      <c r="F126" s="643">
        <v>0</v>
      </c>
      <c r="G126" s="642">
        <v>0</v>
      </c>
      <c r="H126" s="643">
        <v>0</v>
      </c>
      <c r="I126" s="643">
        <v>0</v>
      </c>
      <c r="J126" s="643">
        <v>0</v>
      </c>
      <c r="K126" s="643">
        <v>0</v>
      </c>
      <c r="L126" s="643">
        <v>0</v>
      </c>
      <c r="M126" s="643">
        <v>0</v>
      </c>
      <c r="N126" s="643">
        <v>0</v>
      </c>
      <c r="O126" s="643">
        <v>0</v>
      </c>
      <c r="P126" s="644">
        <v>0</v>
      </c>
      <c r="Q126" s="643">
        <v>0</v>
      </c>
      <c r="R126" s="643">
        <v>0</v>
      </c>
      <c r="S126" s="645">
        <v>0</v>
      </c>
      <c r="U126" s="641" t="s">
        <v>64</v>
      </c>
      <c r="V126" s="642">
        <v>0</v>
      </c>
      <c r="W126" s="643">
        <v>0</v>
      </c>
      <c r="X126" s="643">
        <v>0</v>
      </c>
      <c r="Y126" s="642">
        <v>0</v>
      </c>
      <c r="Z126" s="643">
        <v>0</v>
      </c>
      <c r="AA126" s="643">
        <v>0</v>
      </c>
      <c r="AB126" s="643">
        <v>0</v>
      </c>
      <c r="AC126" s="643">
        <v>0</v>
      </c>
      <c r="AD126" s="643">
        <v>0</v>
      </c>
      <c r="AE126" s="643">
        <v>0</v>
      </c>
      <c r="AF126" s="643">
        <v>0</v>
      </c>
      <c r="AG126" s="643">
        <v>0</v>
      </c>
      <c r="AH126" s="644">
        <v>0</v>
      </c>
      <c r="AI126" s="643">
        <v>0</v>
      </c>
      <c r="AJ126" s="643">
        <v>0</v>
      </c>
      <c r="AK126" s="645">
        <v>0</v>
      </c>
    </row>
    <row r="127" spans="3:37" ht="13.5">
      <c r="C127" s="646" t="s">
        <v>65</v>
      </c>
      <c r="D127" s="647">
        <v>50.272309821560647</v>
      </c>
      <c r="E127" s="647">
        <v>551.4646517868191</v>
      </c>
      <c r="F127" s="647">
        <v>91.908412177851574</v>
      </c>
      <c r="G127" s="647">
        <v>351.80121464214682</v>
      </c>
      <c r="H127" s="647">
        <v>1190.909090909091</v>
      </c>
      <c r="I127" s="647">
        <v>172.65095069399246</v>
      </c>
      <c r="J127" s="647">
        <v>193.63496424369919</v>
      </c>
      <c r="K127" s="647">
        <v>22.859954043709436</v>
      </c>
      <c r="L127" s="647">
        <v>1.4204243160219152</v>
      </c>
      <c r="M127" s="647">
        <v>0.13461365170799597</v>
      </c>
      <c r="N127" s="647">
        <v>45.31680426782367</v>
      </c>
      <c r="O127" s="647">
        <v>7.2729377495964416</v>
      </c>
      <c r="P127" s="647">
        <v>-71.534753758802367</v>
      </c>
      <c r="Q127" s="647">
        <v>0</v>
      </c>
      <c r="R127" s="647">
        <v>0</v>
      </c>
      <c r="S127" s="647">
        <v>2608.111574545218</v>
      </c>
      <c r="U127" s="646" t="s">
        <v>65</v>
      </c>
      <c r="V127" s="647">
        <v>19.313313128242111</v>
      </c>
      <c r="W127" s="647">
        <v>449.50354116717102</v>
      </c>
      <c r="X127" s="647">
        <v>92.712633382751903</v>
      </c>
      <c r="Y127" s="647">
        <v>309.71678962200667</v>
      </c>
      <c r="Z127" s="647">
        <v>1083.7741046831957</v>
      </c>
      <c r="AA127" s="647">
        <v>180.88004160308333</v>
      </c>
      <c r="AB127" s="647">
        <v>182.46058470405345</v>
      </c>
      <c r="AC127" s="647">
        <v>35.233025744634077</v>
      </c>
      <c r="AD127" s="647">
        <v>-0.70632042934796635</v>
      </c>
      <c r="AE127" s="647">
        <v>0.13086812885804772</v>
      </c>
      <c r="AF127" s="647">
        <v>55.315214066923446</v>
      </c>
      <c r="AG127" s="647">
        <v>11.104217144375802</v>
      </c>
      <c r="AH127" s="647">
        <v>-59.869044369838548</v>
      </c>
      <c r="AI127" s="647">
        <v>0</v>
      </c>
      <c r="AJ127" s="647">
        <v>0</v>
      </c>
      <c r="AK127" s="647">
        <v>2359.5689685761085</v>
      </c>
    </row>
    <row r="128" spans="3:37" ht="13">
      <c r="C128" s="636"/>
      <c r="D128" s="636">
        <v>0</v>
      </c>
      <c r="E128" s="636">
        <v>0</v>
      </c>
      <c r="F128" s="636">
        <v>0</v>
      </c>
      <c r="G128" s="636">
        <v>0</v>
      </c>
      <c r="H128" s="636">
        <v>0</v>
      </c>
      <c r="I128" s="636">
        <v>0</v>
      </c>
      <c r="J128" s="636">
        <v>0</v>
      </c>
      <c r="K128" s="636">
        <v>0</v>
      </c>
      <c r="L128" s="636">
        <v>0</v>
      </c>
      <c r="M128" s="636">
        <v>0</v>
      </c>
      <c r="N128" s="636">
        <v>0</v>
      </c>
      <c r="O128" s="636">
        <v>0</v>
      </c>
      <c r="P128" s="636">
        <v>0</v>
      </c>
      <c r="Q128" s="636">
        <v>0</v>
      </c>
      <c r="R128" s="636">
        <v>0</v>
      </c>
      <c r="S128" s="636">
        <v>0</v>
      </c>
      <c r="U128" s="636"/>
      <c r="V128" s="636">
        <v>0</v>
      </c>
      <c r="W128" s="636">
        <v>0</v>
      </c>
      <c r="X128" s="636">
        <v>0</v>
      </c>
      <c r="Y128" s="636">
        <v>0</v>
      </c>
      <c r="Z128" s="636">
        <v>0</v>
      </c>
      <c r="AA128" s="636">
        <v>0</v>
      </c>
      <c r="AB128" s="636">
        <v>0</v>
      </c>
      <c r="AC128" s="636">
        <v>0</v>
      </c>
      <c r="AD128" s="636">
        <v>0</v>
      </c>
      <c r="AE128" s="636">
        <v>0</v>
      </c>
      <c r="AF128" s="636">
        <v>0</v>
      </c>
      <c r="AG128" s="636">
        <v>0</v>
      </c>
      <c r="AH128" s="636">
        <v>0</v>
      </c>
      <c r="AI128" s="636">
        <v>0</v>
      </c>
      <c r="AJ128" s="636">
        <v>0</v>
      </c>
      <c r="AK128" s="636">
        <v>0</v>
      </c>
    </row>
    <row r="129" spans="3:37" ht="13.5">
      <c r="C129" s="648" t="s">
        <v>67</v>
      </c>
      <c r="D129" s="642">
        <v>0</v>
      </c>
      <c r="E129" s="649">
        <v>0</v>
      </c>
      <c r="F129" s="649">
        <v>0</v>
      </c>
      <c r="G129" s="642">
        <v>0</v>
      </c>
      <c r="H129" s="642">
        <v>0</v>
      </c>
      <c r="I129" s="642">
        <v>0</v>
      </c>
      <c r="J129" s="642">
        <v>0</v>
      </c>
      <c r="K129" s="642">
        <v>0</v>
      </c>
      <c r="L129" s="642">
        <v>0</v>
      </c>
      <c r="M129" s="642">
        <v>0</v>
      </c>
      <c r="N129" s="642">
        <v>0</v>
      </c>
      <c r="O129" s="642">
        <v>0</v>
      </c>
      <c r="P129" s="642">
        <v>0</v>
      </c>
      <c r="Q129" s="642">
        <v>0</v>
      </c>
      <c r="R129" s="642">
        <v>0</v>
      </c>
      <c r="S129" s="650">
        <v>0</v>
      </c>
      <c r="U129" s="648" t="s">
        <v>67</v>
      </c>
      <c r="V129" s="642">
        <v>0</v>
      </c>
      <c r="W129" s="649">
        <v>0</v>
      </c>
      <c r="X129" s="649">
        <v>0</v>
      </c>
      <c r="Y129" s="642">
        <v>0</v>
      </c>
      <c r="Z129" s="642">
        <v>0</v>
      </c>
      <c r="AA129" s="642">
        <v>0</v>
      </c>
      <c r="AB129" s="642">
        <v>0</v>
      </c>
      <c r="AC129" s="642">
        <v>0</v>
      </c>
      <c r="AD129" s="642">
        <v>0</v>
      </c>
      <c r="AE129" s="642">
        <v>0</v>
      </c>
      <c r="AF129" s="642">
        <v>0</v>
      </c>
      <c r="AG129" s="642">
        <v>0</v>
      </c>
      <c r="AH129" s="642">
        <v>0</v>
      </c>
      <c r="AI129" s="642">
        <v>0</v>
      </c>
      <c r="AJ129" s="642">
        <v>0</v>
      </c>
      <c r="AK129" s="650">
        <v>0</v>
      </c>
    </row>
    <row r="130" spans="3:37" ht="13.5">
      <c r="C130" s="648" t="s">
        <v>350</v>
      </c>
      <c r="D130" s="642">
        <v>2.8283781870338589</v>
      </c>
      <c r="E130" s="642">
        <v>0</v>
      </c>
      <c r="F130" s="642">
        <v>7.6468438736280877</v>
      </c>
      <c r="G130" s="642">
        <v>18.081180811808117</v>
      </c>
      <c r="H130" s="642">
        <v>1190.909090909091</v>
      </c>
      <c r="I130" s="642">
        <v>172.65095069399246</v>
      </c>
      <c r="J130" s="651">
        <v>32.565743560582284</v>
      </c>
      <c r="K130" s="651">
        <v>8.5008344637363535</v>
      </c>
      <c r="L130" s="651">
        <v>2.2465763720546779</v>
      </c>
      <c r="M130" s="651">
        <v>0.47195886872926307</v>
      </c>
      <c r="N130" s="651">
        <v>0</v>
      </c>
      <c r="O130" s="651">
        <v>2.2844574579320316</v>
      </c>
      <c r="P130" s="642">
        <v>-595.37716565950768</v>
      </c>
      <c r="Q130" s="642">
        <v>0</v>
      </c>
      <c r="R130" s="642">
        <v>0</v>
      </c>
      <c r="S130" s="650">
        <v>842.80884953908037</v>
      </c>
      <c r="U130" s="648" t="s">
        <v>350</v>
      </c>
      <c r="V130" s="642">
        <v>1.5423887961183378</v>
      </c>
      <c r="W130" s="642">
        <v>0</v>
      </c>
      <c r="X130" s="642">
        <v>4.7336207331322191</v>
      </c>
      <c r="Y130" s="642">
        <v>50.521301576652128</v>
      </c>
      <c r="Z130" s="642">
        <v>1083.7741046831957</v>
      </c>
      <c r="AA130" s="642">
        <v>180.88004160308333</v>
      </c>
      <c r="AB130" s="651">
        <v>27.309071851402241</v>
      </c>
      <c r="AC130" s="651">
        <v>8.3886793509275197</v>
      </c>
      <c r="AD130" s="651">
        <v>2.2465763720546779</v>
      </c>
      <c r="AE130" s="651">
        <v>4.4961118375316795</v>
      </c>
      <c r="AF130" s="651">
        <v>0</v>
      </c>
      <c r="AG130" s="651">
        <v>2.2844574579320316</v>
      </c>
      <c r="AH130" s="642">
        <v>-585.94262020496217</v>
      </c>
      <c r="AI130" s="642">
        <v>0</v>
      </c>
      <c r="AJ130" s="642">
        <v>0</v>
      </c>
      <c r="AK130" s="650">
        <v>780.23373405706764</v>
      </c>
    </row>
    <row r="131" spans="3:37" ht="13.5">
      <c r="C131" s="648" t="s">
        <v>351</v>
      </c>
      <c r="D131" s="642">
        <v>4.9396474947490832E-2</v>
      </c>
      <c r="E131" s="642">
        <v>0</v>
      </c>
      <c r="F131" s="642">
        <v>0</v>
      </c>
      <c r="G131" s="642">
        <v>16.012530383781044</v>
      </c>
      <c r="H131" s="642">
        <v>0</v>
      </c>
      <c r="I131" s="642">
        <v>0</v>
      </c>
      <c r="J131" s="651">
        <v>13.847709445189022</v>
      </c>
      <c r="K131" s="651">
        <v>12.568399079785937</v>
      </c>
      <c r="L131" s="651">
        <v>0</v>
      </c>
      <c r="M131" s="651">
        <v>0.33966953640978992</v>
      </c>
      <c r="N131" s="651">
        <v>0</v>
      </c>
      <c r="O131" s="651">
        <v>2.2653429264336893</v>
      </c>
      <c r="P131" s="642">
        <v>0</v>
      </c>
      <c r="Q131" s="642">
        <v>-40.328896494092007</v>
      </c>
      <c r="R131" s="642">
        <v>0</v>
      </c>
      <c r="S131" s="650">
        <v>4.7541513524549677</v>
      </c>
      <c r="U131" s="648" t="s">
        <v>351</v>
      </c>
      <c r="V131" s="642">
        <v>9.8298985145506765E-2</v>
      </c>
      <c r="W131" s="642">
        <v>0</v>
      </c>
      <c r="X131" s="642">
        <v>0</v>
      </c>
      <c r="Y131" s="642">
        <v>18.159328264867909</v>
      </c>
      <c r="Z131" s="642">
        <v>0</v>
      </c>
      <c r="AA131" s="642">
        <v>0</v>
      </c>
      <c r="AB131" s="651">
        <v>24.238794590159831</v>
      </c>
      <c r="AC131" s="651">
        <v>21.035165918687227</v>
      </c>
      <c r="AD131" s="651">
        <v>0</v>
      </c>
      <c r="AE131" s="651">
        <v>1.5919552250789037</v>
      </c>
      <c r="AF131" s="651">
        <v>0</v>
      </c>
      <c r="AG131" s="651">
        <v>4.9326813925495161</v>
      </c>
      <c r="AH131" s="642">
        <v>0</v>
      </c>
      <c r="AI131" s="642">
        <v>-63.058158381408973</v>
      </c>
      <c r="AJ131" s="642">
        <v>0</v>
      </c>
      <c r="AK131" s="650">
        <v>6.9980659950799184</v>
      </c>
    </row>
    <row r="132" spans="3:37" ht="13.5">
      <c r="C132" s="648" t="s">
        <v>352</v>
      </c>
      <c r="D132" s="642">
        <v>0</v>
      </c>
      <c r="E132" s="642">
        <v>0</v>
      </c>
      <c r="F132" s="642">
        <v>0</v>
      </c>
      <c r="G132" s="642">
        <v>0</v>
      </c>
      <c r="H132" s="642">
        <v>0</v>
      </c>
      <c r="I132" s="642">
        <v>0</v>
      </c>
      <c r="J132" s="652">
        <v>7.7702715936307092</v>
      </c>
      <c r="K132" s="652">
        <v>0</v>
      </c>
      <c r="L132" s="652">
        <v>0</v>
      </c>
      <c r="M132" s="652">
        <v>-6.9252545578233695</v>
      </c>
      <c r="N132" s="652">
        <v>0</v>
      </c>
      <c r="O132" s="652">
        <v>0</v>
      </c>
      <c r="P132" s="642">
        <v>0</v>
      </c>
      <c r="Q132" s="642">
        <v>0</v>
      </c>
      <c r="R132" s="642">
        <v>0</v>
      </c>
      <c r="S132" s="650">
        <v>0.84501703580733967</v>
      </c>
      <c r="U132" s="648" t="s">
        <v>352</v>
      </c>
      <c r="V132" s="642">
        <v>0</v>
      </c>
      <c r="W132" s="642">
        <v>0</v>
      </c>
      <c r="X132" s="642">
        <v>0</v>
      </c>
      <c r="Y132" s="642">
        <v>0</v>
      </c>
      <c r="Z132" s="642">
        <v>0</v>
      </c>
      <c r="AA132" s="642">
        <v>0</v>
      </c>
      <c r="AB132" s="652">
        <v>30.043092797136723</v>
      </c>
      <c r="AC132" s="652">
        <v>0</v>
      </c>
      <c r="AD132" s="652">
        <v>0</v>
      </c>
      <c r="AE132" s="652">
        <v>-26.775906455448105</v>
      </c>
      <c r="AF132" s="652">
        <v>0</v>
      </c>
      <c r="AG132" s="652">
        <v>0</v>
      </c>
      <c r="AH132" s="642">
        <v>0</v>
      </c>
      <c r="AI132" s="642">
        <v>0</v>
      </c>
      <c r="AJ132" s="642">
        <v>0</v>
      </c>
      <c r="AK132" s="650">
        <v>3.2671863416886175</v>
      </c>
    </row>
    <row r="133" spans="3:37" ht="13.5">
      <c r="C133" s="648" t="s">
        <v>353</v>
      </c>
      <c r="D133" s="642">
        <v>0</v>
      </c>
      <c r="E133" s="642">
        <v>0</v>
      </c>
      <c r="F133" s="642">
        <v>0</v>
      </c>
      <c r="G133" s="642">
        <v>0</v>
      </c>
      <c r="H133" s="642">
        <v>0</v>
      </c>
      <c r="I133" s="642">
        <v>0</v>
      </c>
      <c r="J133" s="642">
        <v>0</v>
      </c>
      <c r="K133" s="642">
        <v>0</v>
      </c>
      <c r="L133" s="642">
        <v>0</v>
      </c>
      <c r="M133" s="642">
        <v>0</v>
      </c>
      <c r="N133" s="642">
        <v>0</v>
      </c>
      <c r="O133" s="642">
        <v>0</v>
      </c>
      <c r="P133" s="642">
        <v>0</v>
      </c>
      <c r="Q133" s="642">
        <v>0</v>
      </c>
      <c r="R133" s="642">
        <v>0</v>
      </c>
      <c r="S133" s="650">
        <v>0</v>
      </c>
      <c r="U133" s="648" t="s">
        <v>353</v>
      </c>
      <c r="V133" s="642">
        <v>0</v>
      </c>
      <c r="W133" s="642">
        <v>0</v>
      </c>
      <c r="X133" s="642">
        <v>0</v>
      </c>
      <c r="Y133" s="642">
        <v>0</v>
      </c>
      <c r="Z133" s="642">
        <v>0</v>
      </c>
      <c r="AA133" s="642">
        <v>0</v>
      </c>
      <c r="AB133" s="642">
        <v>0</v>
      </c>
      <c r="AC133" s="642">
        <v>0</v>
      </c>
      <c r="AD133" s="642">
        <v>0</v>
      </c>
      <c r="AE133" s="642">
        <v>0</v>
      </c>
      <c r="AF133" s="642">
        <v>0</v>
      </c>
      <c r="AG133" s="642">
        <v>0</v>
      </c>
      <c r="AH133" s="642">
        <v>0</v>
      </c>
      <c r="AI133" s="642">
        <v>0</v>
      </c>
      <c r="AJ133" s="642">
        <v>0</v>
      </c>
      <c r="AK133" s="650">
        <v>0</v>
      </c>
    </row>
    <row r="134" spans="3:37" ht="13.5">
      <c r="C134" s="648" t="s">
        <v>72</v>
      </c>
      <c r="D134" s="642">
        <v>0</v>
      </c>
      <c r="E134" s="642">
        <v>571.25876810153738</v>
      </c>
      <c r="F134" s="642">
        <v>-565.54618042052198</v>
      </c>
      <c r="G134" s="642">
        <v>0</v>
      </c>
      <c r="H134" s="642">
        <v>0</v>
      </c>
      <c r="I134" s="642">
        <v>0</v>
      </c>
      <c r="J134" s="642">
        <v>0</v>
      </c>
      <c r="K134" s="642">
        <v>0</v>
      </c>
      <c r="L134" s="642">
        <v>0</v>
      </c>
      <c r="M134" s="642">
        <v>0</v>
      </c>
      <c r="N134" s="642">
        <v>0</v>
      </c>
      <c r="O134" s="642">
        <v>0</v>
      </c>
      <c r="P134" s="642">
        <v>0</v>
      </c>
      <c r="Q134" s="642">
        <v>0</v>
      </c>
      <c r="R134" s="642">
        <v>0</v>
      </c>
      <c r="S134" s="650">
        <v>5.7125876810154068</v>
      </c>
      <c r="U134" s="648" t="s">
        <v>72</v>
      </c>
      <c r="V134" s="642">
        <v>0</v>
      </c>
      <c r="W134" s="642">
        <v>465.63789420124414</v>
      </c>
      <c r="X134" s="642">
        <v>-460.98151525923168</v>
      </c>
      <c r="Y134" s="642">
        <v>0</v>
      </c>
      <c r="Z134" s="642">
        <v>0</v>
      </c>
      <c r="AA134" s="642">
        <v>0</v>
      </c>
      <c r="AB134" s="642">
        <v>0</v>
      </c>
      <c r="AC134" s="642">
        <v>0</v>
      </c>
      <c r="AD134" s="642">
        <v>0</v>
      </c>
      <c r="AE134" s="642">
        <v>0</v>
      </c>
      <c r="AF134" s="642">
        <v>0</v>
      </c>
      <c r="AG134" s="642">
        <v>0</v>
      </c>
      <c r="AH134" s="642">
        <v>0</v>
      </c>
      <c r="AI134" s="642">
        <v>0</v>
      </c>
      <c r="AJ134" s="642">
        <v>0</v>
      </c>
      <c r="AK134" s="650">
        <v>4.6563789420124522</v>
      </c>
    </row>
    <row r="135" spans="3:37" ht="13.5">
      <c r="C135" s="648" t="s">
        <v>354</v>
      </c>
      <c r="D135" s="642">
        <v>0</v>
      </c>
      <c r="E135" s="642">
        <v>0</v>
      </c>
      <c r="F135" s="642">
        <v>0</v>
      </c>
      <c r="G135" s="642">
        <v>0</v>
      </c>
      <c r="H135" s="642">
        <v>0</v>
      </c>
      <c r="I135" s="642">
        <v>0</v>
      </c>
      <c r="J135" s="642">
        <v>39.987714904046477</v>
      </c>
      <c r="K135" s="642">
        <v>0</v>
      </c>
      <c r="L135" s="642">
        <v>-39.987714904046477</v>
      </c>
      <c r="M135" s="642">
        <v>0</v>
      </c>
      <c r="N135" s="642">
        <v>0</v>
      </c>
      <c r="O135" s="642">
        <v>0</v>
      </c>
      <c r="P135" s="642">
        <v>0</v>
      </c>
      <c r="Q135" s="642">
        <v>0</v>
      </c>
      <c r="R135" s="642">
        <v>0</v>
      </c>
      <c r="S135" s="650">
        <v>0</v>
      </c>
      <c r="U135" s="648" t="s">
        <v>354</v>
      </c>
      <c r="V135" s="642">
        <v>0</v>
      </c>
      <c r="W135" s="642">
        <v>0</v>
      </c>
      <c r="X135" s="642">
        <v>0</v>
      </c>
      <c r="Y135" s="642">
        <v>0</v>
      </c>
      <c r="Z135" s="642">
        <v>0</v>
      </c>
      <c r="AA135" s="642">
        <v>0</v>
      </c>
      <c r="AB135" s="642" t="e">
        <v>#VALUE!</v>
      </c>
      <c r="AC135" s="642">
        <v>0</v>
      </c>
      <c r="AD135" s="642">
        <v>-45.567606807542596</v>
      </c>
      <c r="AE135" s="642">
        <v>0</v>
      </c>
      <c r="AF135" s="642">
        <v>0</v>
      </c>
      <c r="AG135" s="642">
        <v>0</v>
      </c>
      <c r="AH135" s="642">
        <v>0</v>
      </c>
      <c r="AI135" s="642">
        <v>0</v>
      </c>
      <c r="AJ135" s="642">
        <v>0</v>
      </c>
      <c r="AK135" s="650">
        <v>-45.567606807542596</v>
      </c>
    </row>
    <row r="136" spans="3:37" ht="13.5">
      <c r="C136" s="648" t="s">
        <v>355</v>
      </c>
      <c r="D136" s="642">
        <v>0</v>
      </c>
      <c r="E136" s="642">
        <v>0</v>
      </c>
      <c r="F136" s="642">
        <v>0</v>
      </c>
      <c r="G136" s="642">
        <v>0</v>
      </c>
      <c r="H136" s="642">
        <v>0</v>
      </c>
      <c r="I136" s="642">
        <v>0</v>
      </c>
      <c r="J136" s="642">
        <v>0</v>
      </c>
      <c r="K136" s="642">
        <v>0</v>
      </c>
      <c r="L136" s="642">
        <v>0</v>
      </c>
      <c r="M136" s="642">
        <v>0</v>
      </c>
      <c r="N136" s="642">
        <v>0</v>
      </c>
      <c r="O136" s="642">
        <v>0</v>
      </c>
      <c r="P136" s="642">
        <v>0</v>
      </c>
      <c r="Q136" s="642">
        <v>0</v>
      </c>
      <c r="R136" s="642">
        <v>0</v>
      </c>
      <c r="S136" s="650">
        <v>0</v>
      </c>
      <c r="U136" s="648" t="s">
        <v>355</v>
      </c>
      <c r="V136" s="642">
        <v>0</v>
      </c>
      <c r="W136" s="642">
        <v>0</v>
      </c>
      <c r="X136" s="642">
        <v>0</v>
      </c>
      <c r="Y136" s="642">
        <v>0</v>
      </c>
      <c r="Z136" s="642">
        <v>0</v>
      </c>
      <c r="AA136" s="642">
        <v>0</v>
      </c>
      <c r="AB136" s="642">
        <v>0</v>
      </c>
      <c r="AC136" s="642">
        <v>0</v>
      </c>
      <c r="AD136" s="642">
        <v>-3.4570377590144092</v>
      </c>
      <c r="AE136" s="642">
        <v>0</v>
      </c>
      <c r="AF136" s="642">
        <v>0</v>
      </c>
      <c r="AG136" s="642">
        <v>0</v>
      </c>
      <c r="AH136" s="642">
        <v>0</v>
      </c>
      <c r="AI136" s="642">
        <v>0</v>
      </c>
      <c r="AJ136" s="642">
        <v>0</v>
      </c>
      <c r="AK136" s="650">
        <v>-3.4570377590144092</v>
      </c>
    </row>
    <row r="137" spans="3:37" ht="13.5">
      <c r="C137" s="648" t="s">
        <v>73</v>
      </c>
      <c r="D137" s="642">
        <v>0</v>
      </c>
      <c r="E137" s="642">
        <v>0</v>
      </c>
      <c r="F137" s="642">
        <v>0</v>
      </c>
      <c r="G137" s="642">
        <v>0.75220280486673308</v>
      </c>
      <c r="H137" s="642">
        <v>0</v>
      </c>
      <c r="I137" s="642">
        <v>0</v>
      </c>
      <c r="J137" s="642">
        <v>0</v>
      </c>
      <c r="K137" s="642">
        <v>8.3794091977846576E-3</v>
      </c>
      <c r="L137" s="642">
        <v>0</v>
      </c>
      <c r="M137" s="642">
        <v>1.5351077650341492E-2</v>
      </c>
      <c r="N137" s="642">
        <v>0</v>
      </c>
      <c r="O137" s="642">
        <v>0</v>
      </c>
      <c r="P137" s="642">
        <v>6.6777445606960792E-2</v>
      </c>
      <c r="Q137" s="642">
        <v>0</v>
      </c>
      <c r="R137" s="642">
        <v>-0.58655864384492595</v>
      </c>
      <c r="S137" s="650">
        <v>0.25615209347689405</v>
      </c>
      <c r="U137" s="648" t="s">
        <v>73</v>
      </c>
      <c r="V137" s="642">
        <v>0</v>
      </c>
      <c r="W137" s="642">
        <v>0</v>
      </c>
      <c r="X137" s="642">
        <v>0</v>
      </c>
      <c r="Y137" s="642">
        <v>3.5795956147675603</v>
      </c>
      <c r="Z137" s="642">
        <v>0</v>
      </c>
      <c r="AA137" s="642">
        <v>0</v>
      </c>
      <c r="AB137" s="642">
        <v>0</v>
      </c>
      <c r="AC137" s="642">
        <v>7.7817295973207842E-2</v>
      </c>
      <c r="AD137" s="642">
        <v>0</v>
      </c>
      <c r="AE137" s="642">
        <v>0.31126918389283142</v>
      </c>
      <c r="AF137" s="642">
        <v>0</v>
      </c>
      <c r="AG137" s="642">
        <v>0</v>
      </c>
      <c r="AH137" s="642">
        <v>4.1063588490477363</v>
      </c>
      <c r="AI137" s="642">
        <v>0</v>
      </c>
      <c r="AJ137" s="642">
        <v>-5.4472107181245484</v>
      </c>
      <c r="AK137" s="650">
        <v>2.6278302255567869</v>
      </c>
    </row>
    <row r="138" spans="3:37" ht="13.5">
      <c r="C138" s="648" t="s">
        <v>356</v>
      </c>
      <c r="D138" s="642">
        <v>29.279348437500001</v>
      </c>
      <c r="E138" s="642">
        <v>-19.79411631471827</v>
      </c>
      <c r="F138" s="642">
        <v>25.889534996151326</v>
      </c>
      <c r="G138" s="642">
        <v>0</v>
      </c>
      <c r="H138" s="642">
        <v>0</v>
      </c>
      <c r="I138" s="642">
        <v>0</v>
      </c>
      <c r="J138" s="642">
        <v>0</v>
      </c>
      <c r="K138" s="642">
        <v>0</v>
      </c>
      <c r="L138" s="642">
        <v>0</v>
      </c>
      <c r="M138" s="642">
        <v>0</v>
      </c>
      <c r="N138" s="642">
        <v>0</v>
      </c>
      <c r="O138" s="642">
        <v>0</v>
      </c>
      <c r="P138" s="642">
        <v>0</v>
      </c>
      <c r="Q138" s="642">
        <v>0</v>
      </c>
      <c r="R138" s="642">
        <v>0</v>
      </c>
      <c r="S138" s="650">
        <v>35.374767118933057</v>
      </c>
      <c r="U138" s="648" t="s">
        <v>356</v>
      </c>
      <c r="V138" s="642">
        <v>8.1420534667968738</v>
      </c>
      <c r="W138" s="642">
        <v>-16.134353034073111</v>
      </c>
      <c r="X138" s="642">
        <v>21.102780789728897</v>
      </c>
      <c r="Y138" s="642">
        <v>0</v>
      </c>
      <c r="Z138" s="642">
        <v>0</v>
      </c>
      <c r="AA138" s="642">
        <v>0</v>
      </c>
      <c r="AB138" s="642">
        <v>0</v>
      </c>
      <c r="AC138" s="642">
        <v>0</v>
      </c>
      <c r="AD138" s="642">
        <v>0</v>
      </c>
      <c r="AE138" s="642">
        <v>0</v>
      </c>
      <c r="AF138" s="642">
        <v>0</v>
      </c>
      <c r="AG138" s="642">
        <v>0</v>
      </c>
      <c r="AH138" s="642">
        <v>0</v>
      </c>
      <c r="AI138" s="642">
        <v>0</v>
      </c>
      <c r="AJ138" s="642">
        <v>0</v>
      </c>
      <c r="AK138" s="650">
        <v>13.110481222452659</v>
      </c>
    </row>
    <row r="139" spans="3:37" ht="13.5">
      <c r="C139" s="648" t="s">
        <v>75</v>
      </c>
      <c r="D139" s="642">
        <v>11.386413281250002</v>
      </c>
      <c r="E139" s="642">
        <v>0</v>
      </c>
      <c r="F139" s="642">
        <v>19.422798115452274</v>
      </c>
      <c r="G139" s="642">
        <v>5.5423525681211148</v>
      </c>
      <c r="H139" s="642">
        <v>0</v>
      </c>
      <c r="I139" s="642">
        <v>0</v>
      </c>
      <c r="J139" s="642">
        <v>0</v>
      </c>
      <c r="K139" s="642">
        <v>0</v>
      </c>
      <c r="L139" s="642">
        <v>0</v>
      </c>
      <c r="M139" s="642">
        <v>0.11310923608410439</v>
      </c>
      <c r="N139" s="642">
        <v>0</v>
      </c>
      <c r="O139" s="642">
        <v>0</v>
      </c>
      <c r="P139" s="642">
        <v>36.293113930785914</v>
      </c>
      <c r="Q139" s="642">
        <v>0</v>
      </c>
      <c r="R139" s="642">
        <v>0</v>
      </c>
      <c r="S139" s="650">
        <v>72.757787131693405</v>
      </c>
      <c r="U139" s="648" t="s">
        <v>75</v>
      </c>
      <c r="V139" s="642">
        <v>7.5011909179687501</v>
      </c>
      <c r="W139" s="642">
        <v>0</v>
      </c>
      <c r="X139" s="642">
        <v>19.422798115452274</v>
      </c>
      <c r="Y139" s="642">
        <v>5.203024859868802</v>
      </c>
      <c r="Z139" s="642">
        <v>0</v>
      </c>
      <c r="AA139" s="642">
        <v>0</v>
      </c>
      <c r="AB139" s="642">
        <v>0</v>
      </c>
      <c r="AC139" s="642">
        <v>0</v>
      </c>
      <c r="AD139" s="642">
        <v>0</v>
      </c>
      <c r="AE139" s="642">
        <v>0.45243694433641768</v>
      </c>
      <c r="AF139" s="642">
        <v>0</v>
      </c>
      <c r="AG139" s="642">
        <v>0</v>
      </c>
      <c r="AH139" s="642">
        <v>32.151874261364433</v>
      </c>
      <c r="AI139" s="642">
        <v>0</v>
      </c>
      <c r="AJ139" s="642">
        <v>0</v>
      </c>
      <c r="AK139" s="650">
        <v>64.731325098990681</v>
      </c>
    </row>
    <row r="140" spans="3:37" ht="13.5">
      <c r="C140" s="648" t="s">
        <v>76</v>
      </c>
      <c r="D140" s="642">
        <v>0</v>
      </c>
      <c r="E140" s="642">
        <v>0</v>
      </c>
      <c r="F140" s="642">
        <v>0</v>
      </c>
      <c r="G140" s="642">
        <v>4.0237645059289928</v>
      </c>
      <c r="H140" s="642">
        <v>0</v>
      </c>
      <c r="I140" s="642">
        <v>0</v>
      </c>
      <c r="J140" s="642">
        <v>0</v>
      </c>
      <c r="K140" s="642">
        <v>0</v>
      </c>
      <c r="L140" s="642">
        <v>0</v>
      </c>
      <c r="M140" s="642">
        <v>8.211764297814271E-2</v>
      </c>
      <c r="N140" s="642">
        <v>0</v>
      </c>
      <c r="O140" s="642">
        <v>0</v>
      </c>
      <c r="P140" s="642">
        <v>40.115929077638647</v>
      </c>
      <c r="Q140" s="642">
        <v>3.1293610589936001</v>
      </c>
      <c r="R140" s="642">
        <v>0</v>
      </c>
      <c r="S140" s="650">
        <v>47.351172285539384</v>
      </c>
      <c r="U140" s="648" t="s">
        <v>76</v>
      </c>
      <c r="V140" s="642">
        <v>0</v>
      </c>
      <c r="W140" s="642">
        <v>0</v>
      </c>
      <c r="X140" s="642">
        <v>0</v>
      </c>
      <c r="Y140" s="642">
        <v>3.6512599711974678</v>
      </c>
      <c r="Z140" s="642">
        <v>0</v>
      </c>
      <c r="AA140" s="642">
        <v>0</v>
      </c>
      <c r="AB140" s="642">
        <v>0</v>
      </c>
      <c r="AC140" s="642">
        <v>0</v>
      </c>
      <c r="AD140" s="642">
        <v>0</v>
      </c>
      <c r="AE140" s="642">
        <v>0.31750086706064945</v>
      </c>
      <c r="AF140" s="642">
        <v>0</v>
      </c>
      <c r="AG140" s="642">
        <v>0</v>
      </c>
      <c r="AH140" s="642">
        <v>40.286923174182249</v>
      </c>
      <c r="AI140" s="642">
        <v>4.8906691757229597</v>
      </c>
      <c r="AJ140" s="642">
        <v>0</v>
      </c>
      <c r="AK140" s="650">
        <v>49.146353188163332</v>
      </c>
    </row>
    <row r="141" spans="3:37" ht="13.5">
      <c r="C141" s="646" t="s">
        <v>77</v>
      </c>
      <c r="D141" s="647">
        <v>43.543536380731354</v>
      </c>
      <c r="E141" s="647">
        <v>551.4646517868191</v>
      </c>
      <c r="F141" s="647">
        <v>-512.58700343529028</v>
      </c>
      <c r="G141" s="647">
        <v>44.412031074506011</v>
      </c>
      <c r="H141" s="647">
        <v>1190.909090909091</v>
      </c>
      <c r="I141" s="647">
        <v>172.65095069399246</v>
      </c>
      <c r="J141" s="647">
        <v>94.171439503448497</v>
      </c>
      <c r="K141" s="647">
        <v>21.077612952720074</v>
      </c>
      <c r="L141" s="647">
        <v>-37.741138531991801</v>
      </c>
      <c r="M141" s="647">
        <v>-5.9030481959717278</v>
      </c>
      <c r="N141" s="647">
        <v>0</v>
      </c>
      <c r="O141" s="647">
        <v>4.5498003843657209</v>
      </c>
      <c r="P141" s="647">
        <v>-518.9013452054761</v>
      </c>
      <c r="Q141" s="647">
        <v>-37.199535435098404</v>
      </c>
      <c r="R141" s="647">
        <v>-0.58655864384492595</v>
      </c>
      <c r="S141" s="647">
        <v>1009.8604842380009</v>
      </c>
      <c r="U141" s="646" t="s">
        <v>77</v>
      </c>
      <c r="V141" s="647">
        <v>17.283932166029469</v>
      </c>
      <c r="W141" s="647">
        <v>449.50354116717102</v>
      </c>
      <c r="X141" s="647">
        <v>-415.72231562091827</v>
      </c>
      <c r="Y141" s="647">
        <v>81.114510287353866</v>
      </c>
      <c r="Z141" s="647">
        <v>1083.7741046831957</v>
      </c>
      <c r="AA141" s="647">
        <v>180.88004160308333</v>
      </c>
      <c r="AB141" s="647">
        <v>81.590959238698787</v>
      </c>
      <c r="AC141" s="647">
        <v>29.501662565587953</v>
      </c>
      <c r="AD141" s="647">
        <v>-46.778068194502332</v>
      </c>
      <c r="AE141" s="647">
        <v>-19.606632397547621</v>
      </c>
      <c r="AF141" s="647">
        <v>0</v>
      </c>
      <c r="AG141" s="647">
        <v>7.2171388504815477</v>
      </c>
      <c r="AH141" s="647">
        <v>-509.39746392036778</v>
      </c>
      <c r="AI141" s="647">
        <v>-58.16748920568601</v>
      </c>
      <c r="AJ141" s="647">
        <v>-5.4472107181245484</v>
      </c>
      <c r="AK141" s="647">
        <v>875.74671050445522</v>
      </c>
    </row>
    <row r="142" spans="3:37" ht="13">
      <c r="C142" s="636"/>
      <c r="D142" s="636">
        <v>0</v>
      </c>
      <c r="E142" s="636">
        <v>0</v>
      </c>
      <c r="F142" s="636">
        <v>0</v>
      </c>
      <c r="G142" s="636">
        <v>0</v>
      </c>
      <c r="H142" s="636">
        <v>0</v>
      </c>
      <c r="I142" s="636">
        <v>0</v>
      </c>
      <c r="J142" s="636">
        <v>0</v>
      </c>
      <c r="K142" s="636">
        <v>0</v>
      </c>
      <c r="L142" s="636">
        <v>0</v>
      </c>
      <c r="M142" s="636">
        <v>0</v>
      </c>
      <c r="N142" s="636">
        <v>0</v>
      </c>
      <c r="O142" s="636">
        <v>0</v>
      </c>
      <c r="P142" s="636">
        <v>0</v>
      </c>
      <c r="Q142" s="636">
        <v>0</v>
      </c>
      <c r="R142" s="636">
        <v>0</v>
      </c>
      <c r="S142" s="636">
        <v>0</v>
      </c>
      <c r="U142" s="636"/>
      <c r="V142" s="636">
        <v>0</v>
      </c>
      <c r="W142" s="636">
        <v>0</v>
      </c>
      <c r="X142" s="636">
        <v>0</v>
      </c>
      <c r="Y142" s="636">
        <v>0</v>
      </c>
      <c r="Z142" s="636">
        <v>0</v>
      </c>
      <c r="AA142" s="636">
        <v>0</v>
      </c>
      <c r="AB142" s="636">
        <v>0</v>
      </c>
      <c r="AC142" s="636">
        <v>0</v>
      </c>
      <c r="AD142" s="636">
        <v>0</v>
      </c>
      <c r="AE142" s="636">
        <v>0</v>
      </c>
      <c r="AF142" s="636">
        <v>0</v>
      </c>
      <c r="AG142" s="636">
        <v>0</v>
      </c>
      <c r="AH142" s="636">
        <v>0</v>
      </c>
      <c r="AI142" s="636">
        <v>0</v>
      </c>
      <c r="AJ142" s="636">
        <v>0</v>
      </c>
      <c r="AK142" s="636">
        <v>0</v>
      </c>
    </row>
    <row r="143" spans="3:37" ht="13.5">
      <c r="C143" s="648" t="s">
        <v>78</v>
      </c>
      <c r="D143" s="642">
        <v>6.728773440829297</v>
      </c>
      <c r="E143" s="642">
        <v>0</v>
      </c>
      <c r="F143" s="642">
        <v>25.863549799477383</v>
      </c>
      <c r="G143" s="642">
        <v>106.8903340661312</v>
      </c>
      <c r="H143" s="642">
        <v>0</v>
      </c>
      <c r="I143" s="642">
        <v>0</v>
      </c>
      <c r="J143" s="642">
        <v>18.169859613838756</v>
      </c>
      <c r="K143" s="642">
        <v>1.7567698743130979</v>
      </c>
      <c r="L143" s="642">
        <v>0.84376959960937503</v>
      </c>
      <c r="M143" s="642">
        <v>2.2002106600734406</v>
      </c>
      <c r="N143" s="642">
        <v>0</v>
      </c>
      <c r="O143" s="642">
        <v>3.8276465550578692E-4</v>
      </c>
      <c r="P143" s="642">
        <v>109.87696924977793</v>
      </c>
      <c r="Q143" s="642">
        <v>16.590503969858354</v>
      </c>
      <c r="R143" s="642">
        <v>0.37438674926757814</v>
      </c>
      <c r="S143" s="650">
        <v>289.29550978783192</v>
      </c>
      <c r="U143" s="648" t="s">
        <v>78</v>
      </c>
      <c r="V143" s="642">
        <v>2.0293809622126395</v>
      </c>
      <c r="W143" s="642">
        <v>0</v>
      </c>
      <c r="X143" s="642">
        <v>19.296192618187902</v>
      </c>
      <c r="Y143" s="642">
        <v>85.841195035715842</v>
      </c>
      <c r="Z143" s="642">
        <v>0</v>
      </c>
      <c r="AA143" s="642">
        <v>0</v>
      </c>
      <c r="AB143" s="642">
        <v>17.65205880284368</v>
      </c>
      <c r="AC143" s="642">
        <v>5.7057919623698545</v>
      </c>
      <c r="AD143" s="642">
        <v>1.0576742773437502</v>
      </c>
      <c r="AE143" s="642">
        <v>7.4832270132048837</v>
      </c>
      <c r="AF143" s="642">
        <v>0</v>
      </c>
      <c r="AG143" s="642">
        <v>3.8276465550578692E-4</v>
      </c>
      <c r="AH143" s="642">
        <v>128.8590842242281</v>
      </c>
      <c r="AI143" s="642">
        <v>20.165819518520905</v>
      </c>
      <c r="AJ143" s="642">
        <v>3.3051525878906252</v>
      </c>
      <c r="AK143" s="650">
        <v>291.39595976717368</v>
      </c>
    </row>
    <row r="144" spans="3:37" ht="13.5">
      <c r="C144" s="648" t="s">
        <v>79</v>
      </c>
      <c r="D144" s="642">
        <v>0</v>
      </c>
      <c r="E144" s="642">
        <v>0</v>
      </c>
      <c r="F144" s="642">
        <v>369.9552310331793</v>
      </c>
      <c r="G144" s="642">
        <v>11.471553092100274</v>
      </c>
      <c r="H144" s="642">
        <v>0</v>
      </c>
      <c r="I144" s="642">
        <v>0</v>
      </c>
      <c r="J144" s="642">
        <v>0</v>
      </c>
      <c r="K144" s="642">
        <v>0</v>
      </c>
      <c r="L144" s="642">
        <v>35.942658929765898</v>
      </c>
      <c r="M144" s="642">
        <v>0.23411332841020971</v>
      </c>
      <c r="N144" s="642">
        <v>0</v>
      </c>
      <c r="O144" s="642">
        <v>0</v>
      </c>
      <c r="P144" s="642">
        <v>25.304787135555738</v>
      </c>
      <c r="Q144" s="642">
        <v>0</v>
      </c>
      <c r="R144" s="642">
        <v>0.21217189457734786</v>
      </c>
      <c r="S144" s="650">
        <v>443.12051541358881</v>
      </c>
      <c r="U144" s="648" t="s">
        <v>79</v>
      </c>
      <c r="V144" s="642">
        <v>0</v>
      </c>
      <c r="W144" s="642">
        <v>0</v>
      </c>
      <c r="X144" s="642">
        <v>313.43701377185255</v>
      </c>
      <c r="Y144" s="642">
        <v>10.638728179836399</v>
      </c>
      <c r="Z144" s="642">
        <v>0</v>
      </c>
      <c r="AA144" s="642">
        <v>0</v>
      </c>
      <c r="AB144" s="642">
        <v>0</v>
      </c>
      <c r="AC144" s="642">
        <v>0</v>
      </c>
      <c r="AD144" s="642">
        <v>37.80600606344305</v>
      </c>
      <c r="AE144" s="642">
        <v>1.0240500912331831</v>
      </c>
      <c r="AF144" s="642">
        <v>0</v>
      </c>
      <c r="AG144" s="642">
        <v>0</v>
      </c>
      <c r="AH144" s="642">
        <v>27.763643315903455</v>
      </c>
      <c r="AI144" s="642">
        <v>0</v>
      </c>
      <c r="AJ144" s="642">
        <v>0.49126373722019012</v>
      </c>
      <c r="AK144" s="650">
        <v>391.16070515948877</v>
      </c>
    </row>
    <row r="145" spans="3:37" ht="13.5">
      <c r="C145" s="648" t="s">
        <v>80</v>
      </c>
      <c r="D145" s="642">
        <v>0</v>
      </c>
      <c r="E145" s="642">
        <v>0</v>
      </c>
      <c r="F145" s="642">
        <v>35.339410591812062</v>
      </c>
      <c r="G145" s="642">
        <v>110.15178599375342</v>
      </c>
      <c r="H145" s="642">
        <v>0</v>
      </c>
      <c r="I145" s="642">
        <v>0</v>
      </c>
      <c r="J145" s="642">
        <v>76.439784825488388</v>
      </c>
      <c r="K145" s="642">
        <v>0</v>
      </c>
      <c r="L145" s="642">
        <v>0</v>
      </c>
      <c r="M145" s="642">
        <v>2.2479956325255803</v>
      </c>
      <c r="N145" s="642">
        <v>37.868836361528707</v>
      </c>
      <c r="O145" s="642">
        <v>1.7588356807089602</v>
      </c>
      <c r="P145" s="642">
        <v>172.83410671700432</v>
      </c>
      <c r="Q145" s="642">
        <v>15.866907360541454</v>
      </c>
      <c r="R145" s="642">
        <v>0</v>
      </c>
      <c r="S145" s="650">
        <v>452.50766316336285</v>
      </c>
      <c r="U145" s="648" t="s">
        <v>80</v>
      </c>
      <c r="V145" s="642">
        <v>0</v>
      </c>
      <c r="W145" s="642">
        <v>0</v>
      </c>
      <c r="X145" s="642">
        <v>15.561012749366258</v>
      </c>
      <c r="Y145" s="642">
        <v>82.553801475145548</v>
      </c>
      <c r="Z145" s="642">
        <v>0</v>
      </c>
      <c r="AA145" s="642">
        <v>0</v>
      </c>
      <c r="AB145" s="642">
        <v>74.889683173020046</v>
      </c>
      <c r="AC145" s="642">
        <v>0</v>
      </c>
      <c r="AD145" s="642">
        <v>0</v>
      </c>
      <c r="AE145" s="642">
        <v>7.1785914326213538</v>
      </c>
      <c r="AF145" s="642">
        <v>42.28245423809345</v>
      </c>
      <c r="AG145" s="642">
        <v>1.7308148603825539</v>
      </c>
      <c r="AH145" s="642">
        <v>160.19147139934566</v>
      </c>
      <c r="AI145" s="642">
        <v>30.044387556600874</v>
      </c>
      <c r="AJ145" s="642">
        <v>0</v>
      </c>
      <c r="AK145" s="650">
        <v>414.43221688457572</v>
      </c>
    </row>
    <row r="146" spans="3:37" ht="13.5">
      <c r="C146" s="648" t="s">
        <v>81</v>
      </c>
      <c r="D146" s="642">
        <v>0</v>
      </c>
      <c r="E146" s="642">
        <v>0</v>
      </c>
      <c r="F146" s="642">
        <v>16.364991401651867</v>
      </c>
      <c r="G146" s="642">
        <v>64.121059154218784</v>
      </c>
      <c r="H146" s="642">
        <v>0</v>
      </c>
      <c r="I146" s="642">
        <v>0</v>
      </c>
      <c r="J146" s="642">
        <v>3.7472623320410015</v>
      </c>
      <c r="K146" s="642">
        <v>2.5571216676264549E-2</v>
      </c>
      <c r="L146" s="642">
        <v>0</v>
      </c>
      <c r="M146" s="642">
        <v>1.3085930439636488</v>
      </c>
      <c r="N146" s="642">
        <v>7.447967906294962</v>
      </c>
      <c r="O146" s="642">
        <v>0.8772790781137545</v>
      </c>
      <c r="P146" s="642">
        <v>131.35942241830159</v>
      </c>
      <c r="Q146" s="642">
        <v>4.7421241046985951</v>
      </c>
      <c r="R146" s="642">
        <v>0</v>
      </c>
      <c r="S146" s="650">
        <v>229.99427065596046</v>
      </c>
      <c r="U146" s="648" t="s">
        <v>81</v>
      </c>
      <c r="V146" s="642">
        <v>0</v>
      </c>
      <c r="W146" s="642">
        <v>0</v>
      </c>
      <c r="X146" s="642">
        <v>8.4431338424639417</v>
      </c>
      <c r="Y146" s="642">
        <v>45.209877020113709</v>
      </c>
      <c r="Z146" s="642">
        <v>0</v>
      </c>
      <c r="AA146" s="642">
        <v>0</v>
      </c>
      <c r="AB146" s="642">
        <v>7.2212655206083989</v>
      </c>
      <c r="AC146" s="642">
        <v>2.5571216676264549E-2</v>
      </c>
      <c r="AD146" s="642">
        <v>0</v>
      </c>
      <c r="AE146" s="642">
        <v>3.9312936539229324</v>
      </c>
      <c r="AF146" s="642">
        <v>13.032759828829999</v>
      </c>
      <c r="AG146" s="642">
        <v>1.6365054019865546</v>
      </c>
      <c r="AH146" s="642">
        <v>124.3283929234443</v>
      </c>
      <c r="AI146" s="642">
        <v>7.9572821305642334</v>
      </c>
      <c r="AJ146" s="642">
        <v>0</v>
      </c>
      <c r="AK146" s="650">
        <v>211.78608153861032</v>
      </c>
    </row>
    <row r="147" spans="3:37" ht="13.5">
      <c r="C147" s="648" t="s">
        <v>82</v>
      </c>
      <c r="D147" s="642">
        <v>0</v>
      </c>
      <c r="E147" s="642">
        <v>0</v>
      </c>
      <c r="F147" s="642">
        <v>33.765533014074606</v>
      </c>
      <c r="G147" s="642">
        <v>2.2907099526353965</v>
      </c>
      <c r="H147" s="642">
        <v>0</v>
      </c>
      <c r="I147" s="642">
        <v>0</v>
      </c>
      <c r="J147" s="642">
        <v>1.1066179688825246</v>
      </c>
      <c r="K147" s="642">
        <v>0</v>
      </c>
      <c r="L147" s="642">
        <v>2.3728212231152073</v>
      </c>
      <c r="M147" s="642">
        <v>4.6749182706844826E-2</v>
      </c>
      <c r="N147" s="642">
        <v>0</v>
      </c>
      <c r="O147" s="642">
        <v>8.6639841752499475E-2</v>
      </c>
      <c r="P147" s="642">
        <v>7.9913059260342072</v>
      </c>
      <c r="Q147" s="642">
        <v>0</v>
      </c>
      <c r="R147" s="642">
        <v>0</v>
      </c>
      <c r="S147" s="650">
        <v>47.660377109201292</v>
      </c>
      <c r="U147" s="648" t="s">
        <v>82</v>
      </c>
      <c r="V147" s="642">
        <v>0</v>
      </c>
      <c r="W147" s="642">
        <v>0</v>
      </c>
      <c r="X147" s="642">
        <v>29.817412370685851</v>
      </c>
      <c r="Y147" s="642">
        <v>2.4393255997206347</v>
      </c>
      <c r="Z147" s="642">
        <v>0</v>
      </c>
      <c r="AA147" s="642">
        <v>0</v>
      </c>
      <c r="AB147" s="642">
        <v>1.1066179688825246</v>
      </c>
      <c r="AC147" s="642">
        <v>0</v>
      </c>
      <c r="AD147" s="642">
        <v>7.1577097724425283</v>
      </c>
      <c r="AE147" s="642">
        <v>0.2121152695409248</v>
      </c>
      <c r="AF147" s="642">
        <v>0</v>
      </c>
      <c r="AG147" s="642">
        <v>0.5193752668696392</v>
      </c>
      <c r="AH147" s="642">
        <v>8.0258276876076717</v>
      </c>
      <c r="AI147" s="642">
        <v>0</v>
      </c>
      <c r="AJ147" s="642">
        <v>0.13892990437736891</v>
      </c>
      <c r="AK147" s="650">
        <v>49.417313840127143</v>
      </c>
    </row>
    <row r="148" spans="3:37" ht="13.5">
      <c r="C148" s="648" t="s">
        <v>357</v>
      </c>
      <c r="D148" s="642">
        <v>0</v>
      </c>
      <c r="E148" s="642">
        <v>0</v>
      </c>
      <c r="F148" s="642">
        <v>0</v>
      </c>
      <c r="G148" s="642">
        <v>0</v>
      </c>
      <c r="H148" s="642">
        <v>0</v>
      </c>
      <c r="I148" s="642">
        <v>0</v>
      </c>
      <c r="J148" s="642">
        <v>0</v>
      </c>
      <c r="K148" s="642">
        <v>0</v>
      </c>
      <c r="L148" s="642">
        <v>0</v>
      </c>
      <c r="M148" s="642">
        <v>0</v>
      </c>
      <c r="N148" s="642">
        <v>0</v>
      </c>
      <c r="O148" s="642">
        <v>0</v>
      </c>
      <c r="P148" s="642">
        <v>0</v>
      </c>
      <c r="Q148" s="642">
        <v>0</v>
      </c>
      <c r="R148" s="642">
        <v>0</v>
      </c>
      <c r="S148" s="650">
        <v>0</v>
      </c>
      <c r="U148" s="648" t="s">
        <v>357</v>
      </c>
      <c r="V148" s="642">
        <v>0</v>
      </c>
      <c r="W148" s="642">
        <v>0</v>
      </c>
      <c r="X148" s="642">
        <v>0</v>
      </c>
      <c r="Y148" s="642">
        <v>0</v>
      </c>
      <c r="Z148" s="642">
        <v>0</v>
      </c>
      <c r="AA148" s="642">
        <v>0</v>
      </c>
      <c r="AB148" s="642">
        <v>0</v>
      </c>
      <c r="AC148" s="642">
        <v>0</v>
      </c>
      <c r="AD148" s="642">
        <v>0</v>
      </c>
      <c r="AE148" s="642">
        <v>0</v>
      </c>
      <c r="AF148" s="642">
        <v>0</v>
      </c>
      <c r="AG148" s="642">
        <v>0</v>
      </c>
      <c r="AH148" s="642">
        <v>0.36</v>
      </c>
      <c r="AI148" s="642">
        <v>0</v>
      </c>
      <c r="AJ148" s="642">
        <v>0</v>
      </c>
      <c r="AK148" s="650">
        <v>0.36</v>
      </c>
    </row>
    <row r="149" spans="3:37" ht="13.5">
      <c r="C149" s="646" t="s">
        <v>83</v>
      </c>
      <c r="D149" s="647">
        <v>6.728773440829297</v>
      </c>
      <c r="E149" s="647">
        <v>0</v>
      </c>
      <c r="F149" s="647">
        <v>481.28871584019521</v>
      </c>
      <c r="G149" s="647">
        <v>294.92544225883904</v>
      </c>
      <c r="H149" s="647">
        <v>0</v>
      </c>
      <c r="I149" s="647">
        <v>0</v>
      </c>
      <c r="J149" s="647">
        <v>99.463524740250691</v>
      </c>
      <c r="K149" s="647">
        <v>1.7823410909893624</v>
      </c>
      <c r="L149" s="647">
        <v>39.159249752490481</v>
      </c>
      <c r="M149" s="647">
        <v>6.0376618476797237</v>
      </c>
      <c r="N149" s="647">
        <v>45.31680426782367</v>
      </c>
      <c r="O149" s="647">
        <v>2.7231373652307198</v>
      </c>
      <c r="P149" s="647">
        <v>447.36659144667379</v>
      </c>
      <c r="Q149" s="647">
        <v>37.199535435098404</v>
      </c>
      <c r="R149" s="647">
        <v>0.58655864384492595</v>
      </c>
      <c r="S149" s="647">
        <v>1462.5783361299455</v>
      </c>
      <c r="U149" s="646" t="s">
        <v>83</v>
      </c>
      <c r="V149" s="647">
        <v>2.0293809622126395</v>
      </c>
      <c r="W149" s="647">
        <v>0</v>
      </c>
      <c r="X149" s="647">
        <v>386.5547653525565</v>
      </c>
      <c r="Y149" s="647">
        <v>226.68292731053214</v>
      </c>
      <c r="Z149" s="647">
        <v>0</v>
      </c>
      <c r="AA149" s="647">
        <v>0</v>
      </c>
      <c r="AB149" s="647">
        <v>100.86962546535466</v>
      </c>
      <c r="AC149" s="647">
        <v>5.7313631790461192</v>
      </c>
      <c r="AD149" s="647">
        <v>46.02139011322933</v>
      </c>
      <c r="AE149" s="647">
        <v>19.829277460523276</v>
      </c>
      <c r="AF149" s="647">
        <v>55.315214066923446</v>
      </c>
      <c r="AG149" s="647">
        <v>3.8870782938942541</v>
      </c>
      <c r="AH149" s="647">
        <v>449.52841955052912</v>
      </c>
      <c r="AI149" s="647">
        <v>58.16748920568601</v>
      </c>
      <c r="AJ149" s="647">
        <v>3.9353462294881845</v>
      </c>
      <c r="AK149" s="647">
        <v>1358.5522771899757</v>
      </c>
    </row>
    <row r="150" spans="3:37" ht="13.5">
      <c r="C150" s="641" t="s">
        <v>84</v>
      </c>
      <c r="D150" s="642">
        <v>0</v>
      </c>
      <c r="E150" s="642">
        <v>0</v>
      </c>
      <c r="F150" s="642">
        <v>123.20669977294675</v>
      </c>
      <c r="G150" s="642">
        <v>12.463741308801668</v>
      </c>
      <c r="H150" s="642">
        <v>0</v>
      </c>
      <c r="I150" s="642">
        <v>0</v>
      </c>
      <c r="J150" s="642">
        <v>0</v>
      </c>
      <c r="K150" s="642">
        <v>0</v>
      </c>
      <c r="L150" s="642">
        <v>0</v>
      </c>
      <c r="M150" s="642">
        <v>0</v>
      </c>
      <c r="N150" s="642">
        <v>0</v>
      </c>
      <c r="O150" s="642">
        <v>0</v>
      </c>
      <c r="P150" s="642">
        <v>0</v>
      </c>
      <c r="Q150" s="642">
        <v>0</v>
      </c>
      <c r="R150" s="642">
        <v>0</v>
      </c>
      <c r="S150" s="650">
        <v>135.67044108174841</v>
      </c>
      <c r="U150" s="641" t="s">
        <v>84</v>
      </c>
      <c r="V150" s="642">
        <v>0</v>
      </c>
      <c r="W150" s="642">
        <v>0</v>
      </c>
      <c r="X150" s="642">
        <v>121.88018365111382</v>
      </c>
      <c r="Y150" s="642">
        <v>1.8275750900030534</v>
      </c>
      <c r="Z150" s="642">
        <v>0</v>
      </c>
      <c r="AA150" s="642">
        <v>0</v>
      </c>
      <c r="AB150" s="642">
        <v>0</v>
      </c>
      <c r="AC150" s="642">
        <v>0</v>
      </c>
      <c r="AD150" s="642">
        <v>0.27491428444602273</v>
      </c>
      <c r="AE150" s="642">
        <v>0</v>
      </c>
      <c r="AF150" s="642">
        <v>0</v>
      </c>
      <c r="AG150" s="642">
        <v>0</v>
      </c>
      <c r="AH150" s="642">
        <v>0</v>
      </c>
      <c r="AI150" s="642">
        <v>0</v>
      </c>
      <c r="AJ150" s="642">
        <v>1.5118644886363639</v>
      </c>
      <c r="AK150" s="650">
        <v>125.49453751419927</v>
      </c>
    </row>
    <row r="151" spans="3:37" ht="13.5">
      <c r="C151" s="646" t="s">
        <v>85</v>
      </c>
      <c r="D151" s="647">
        <v>6.728773440829297</v>
      </c>
      <c r="E151" s="647">
        <v>0</v>
      </c>
      <c r="F151" s="647">
        <v>604.49541561314186</v>
      </c>
      <c r="G151" s="647">
        <v>307.38918356764071</v>
      </c>
      <c r="H151" s="647">
        <v>0</v>
      </c>
      <c r="I151" s="647">
        <v>0</v>
      </c>
      <c r="J151" s="647">
        <v>99.463524740250691</v>
      </c>
      <c r="K151" s="647">
        <v>1.7823410909893624</v>
      </c>
      <c r="L151" s="647">
        <v>39.159249752490481</v>
      </c>
      <c r="M151" s="647">
        <v>6.0376618476797237</v>
      </c>
      <c r="N151" s="647">
        <v>45.31680426782367</v>
      </c>
      <c r="O151" s="647">
        <v>2.7231373652307198</v>
      </c>
      <c r="P151" s="647">
        <v>447.36659144667379</v>
      </c>
      <c r="Q151" s="647">
        <v>37.199535435098404</v>
      </c>
      <c r="R151" s="647">
        <v>0.58655864384492595</v>
      </c>
      <c r="S151" s="647">
        <v>1598.2487772116938</v>
      </c>
      <c r="U151" s="646" t="s">
        <v>85</v>
      </c>
      <c r="V151" s="647">
        <v>2.0293809622126395</v>
      </c>
      <c r="W151" s="647">
        <v>0</v>
      </c>
      <c r="X151" s="647">
        <v>508.43494900367028</v>
      </c>
      <c r="Y151" s="647">
        <v>228.51050240053519</v>
      </c>
      <c r="Z151" s="647">
        <v>0</v>
      </c>
      <c r="AA151" s="647">
        <v>0</v>
      </c>
      <c r="AB151" s="647">
        <v>100.86962546535466</v>
      </c>
      <c r="AC151" s="647">
        <v>5.7313631790461192</v>
      </c>
      <c r="AD151" s="647">
        <v>46.29630439767535</v>
      </c>
      <c r="AE151" s="647">
        <v>19.829277460523276</v>
      </c>
      <c r="AF151" s="647">
        <v>55.315214066923446</v>
      </c>
      <c r="AG151" s="647">
        <v>3.8870782938942541</v>
      </c>
      <c r="AH151" s="647">
        <v>449.52841955052912</v>
      </c>
      <c r="AI151" s="647">
        <v>58.16748920568601</v>
      </c>
      <c r="AJ151" s="647">
        <v>5.4472107181245484</v>
      </c>
      <c r="AK151" s="647">
        <v>1484.0468147041749</v>
      </c>
    </row>
    <row r="152" spans="3:37" ht="13">
      <c r="C152" s="636"/>
      <c r="D152" s="636"/>
      <c r="E152" s="636"/>
      <c r="F152" s="636"/>
      <c r="G152" s="636"/>
      <c r="H152" s="636"/>
      <c r="I152" s="636"/>
      <c r="J152" s="636"/>
      <c r="K152" s="636"/>
      <c r="L152" s="636"/>
      <c r="M152" s="636"/>
      <c r="N152" s="636"/>
      <c r="O152" s="636"/>
      <c r="P152" s="636"/>
      <c r="Q152" s="636"/>
      <c r="R152" s="636"/>
      <c r="S152" s="636"/>
      <c r="U152" s="636"/>
      <c r="V152" s="636"/>
      <c r="W152" s="636"/>
      <c r="X152" s="636"/>
      <c r="Y152" s="636"/>
      <c r="Z152" s="636"/>
      <c r="AA152" s="636"/>
      <c r="AB152" s="636"/>
      <c r="AC152" s="636"/>
      <c r="AD152" s="636"/>
      <c r="AE152" s="636"/>
      <c r="AF152" s="636"/>
      <c r="AG152" s="636"/>
      <c r="AH152" s="636"/>
      <c r="AI152" s="636"/>
      <c r="AJ152" s="636"/>
      <c r="AK152" s="636"/>
    </row>
    <row r="153" spans="3:37" ht="22.5">
      <c r="C153" s="699" t="s">
        <v>88</v>
      </c>
      <c r="D153" s="699"/>
      <c r="E153" s="699"/>
      <c r="F153" s="699"/>
      <c r="G153" s="699"/>
      <c r="H153" s="699"/>
      <c r="I153" s="699"/>
      <c r="J153" s="699"/>
      <c r="K153" s="699"/>
      <c r="L153" s="699"/>
      <c r="M153" s="699"/>
      <c r="N153" s="699"/>
      <c r="O153" s="699"/>
      <c r="P153" s="699"/>
      <c r="Q153" s="699"/>
      <c r="R153" s="699"/>
      <c r="S153" s="699"/>
      <c r="U153" s="699" t="s">
        <v>88</v>
      </c>
      <c r="V153" s="699"/>
      <c r="W153" s="699"/>
      <c r="X153" s="699"/>
      <c r="Y153" s="699"/>
      <c r="Z153" s="699"/>
      <c r="AA153" s="699"/>
      <c r="AB153" s="699"/>
      <c r="AC153" s="699"/>
      <c r="AD153" s="699"/>
      <c r="AE153" s="699"/>
      <c r="AF153" s="699"/>
      <c r="AG153" s="699"/>
      <c r="AH153" s="699"/>
      <c r="AI153" s="699"/>
      <c r="AJ153" s="699"/>
      <c r="AK153" s="699"/>
    </row>
    <row r="154" spans="3:37" ht="13">
      <c r="C154" s="636"/>
      <c r="D154" s="636"/>
      <c r="E154" s="636"/>
      <c r="F154" s="636"/>
      <c r="G154" s="636"/>
      <c r="H154" s="636"/>
      <c r="I154" s="636"/>
      <c r="J154" s="636"/>
      <c r="K154" s="636"/>
      <c r="L154" s="636"/>
      <c r="M154" s="636"/>
      <c r="N154" s="636"/>
      <c r="O154" s="636"/>
      <c r="P154" s="636"/>
      <c r="Q154" s="636"/>
      <c r="R154" s="636"/>
      <c r="S154" s="636"/>
      <c r="U154" s="636"/>
      <c r="V154" s="636"/>
      <c r="W154" s="636"/>
      <c r="X154" s="636"/>
      <c r="Y154" s="636"/>
      <c r="Z154" s="636"/>
      <c r="AA154" s="636"/>
      <c r="AB154" s="636"/>
      <c r="AC154" s="636"/>
      <c r="AD154" s="636"/>
      <c r="AE154" s="636"/>
      <c r="AF154" s="636"/>
      <c r="AG154" s="636"/>
      <c r="AH154" s="636"/>
      <c r="AI154" s="636"/>
      <c r="AJ154" s="636"/>
      <c r="AK154" s="636"/>
    </row>
    <row r="155" spans="3:37" ht="13" customHeight="1">
      <c r="C155" s="700" t="s">
        <v>128</v>
      </c>
      <c r="D155" s="701" t="s">
        <v>42</v>
      </c>
      <c r="E155" s="701" t="s">
        <v>52</v>
      </c>
      <c r="F155" s="701" t="s">
        <v>53</v>
      </c>
      <c r="G155" s="701" t="s">
        <v>32</v>
      </c>
      <c r="H155" s="701" t="s">
        <v>20</v>
      </c>
      <c r="I155" s="701" t="s">
        <v>55</v>
      </c>
      <c r="J155" s="701" t="s">
        <v>56</v>
      </c>
      <c r="K155" s="701"/>
      <c r="L155" s="701"/>
      <c r="M155" s="701"/>
      <c r="N155" s="701"/>
      <c r="O155" s="701"/>
      <c r="P155" s="701" t="s">
        <v>57</v>
      </c>
      <c r="Q155" s="701" t="s">
        <v>58</v>
      </c>
      <c r="R155" s="701" t="s">
        <v>31</v>
      </c>
      <c r="S155" s="701" t="s">
        <v>10</v>
      </c>
      <c r="U155" s="700" t="s">
        <v>128</v>
      </c>
      <c r="V155" s="701" t="s">
        <v>42</v>
      </c>
      <c r="W155" s="701" t="s">
        <v>52</v>
      </c>
      <c r="X155" s="701" t="s">
        <v>53</v>
      </c>
      <c r="Y155" s="701" t="s">
        <v>32</v>
      </c>
      <c r="Z155" s="701" t="s">
        <v>20</v>
      </c>
      <c r="AA155" s="701" t="s">
        <v>55</v>
      </c>
      <c r="AB155" s="701" t="s">
        <v>56</v>
      </c>
      <c r="AC155" s="701"/>
      <c r="AD155" s="701"/>
      <c r="AE155" s="701"/>
      <c r="AF155" s="701"/>
      <c r="AG155" s="701"/>
      <c r="AH155" s="701" t="s">
        <v>57</v>
      </c>
      <c r="AI155" s="701" t="s">
        <v>58</v>
      </c>
      <c r="AJ155" s="701" t="s">
        <v>31</v>
      </c>
      <c r="AK155" s="701" t="s">
        <v>10</v>
      </c>
    </row>
    <row r="156" spans="3:37" ht="46">
      <c r="C156" s="700"/>
      <c r="D156" s="701"/>
      <c r="E156" s="701"/>
      <c r="F156" s="701"/>
      <c r="G156" s="701"/>
      <c r="H156" s="701"/>
      <c r="I156" s="701"/>
      <c r="J156" s="640" t="s">
        <v>338</v>
      </c>
      <c r="K156" s="640" t="s">
        <v>40</v>
      </c>
      <c r="L156" s="640" t="s">
        <v>346</v>
      </c>
      <c r="M156" s="640" t="s">
        <v>347</v>
      </c>
      <c r="N156" s="640" t="s">
        <v>348</v>
      </c>
      <c r="O156" s="640" t="s">
        <v>349</v>
      </c>
      <c r="P156" s="701"/>
      <c r="Q156" s="701"/>
      <c r="R156" s="701"/>
      <c r="S156" s="701"/>
      <c r="U156" s="700"/>
      <c r="V156" s="701"/>
      <c r="W156" s="701"/>
      <c r="X156" s="701"/>
      <c r="Y156" s="701"/>
      <c r="Z156" s="701"/>
      <c r="AA156" s="701"/>
      <c r="AB156" s="640" t="s">
        <v>338</v>
      </c>
      <c r="AC156" s="640" t="s">
        <v>40</v>
      </c>
      <c r="AD156" s="640" t="s">
        <v>346</v>
      </c>
      <c r="AE156" s="640" t="s">
        <v>347</v>
      </c>
      <c r="AF156" s="640" t="s">
        <v>348</v>
      </c>
      <c r="AG156" s="640" t="s">
        <v>349</v>
      </c>
      <c r="AH156" s="701"/>
      <c r="AI156" s="701"/>
      <c r="AJ156" s="701"/>
      <c r="AK156" s="701"/>
    </row>
    <row r="157" spans="3:37" ht="13.5">
      <c r="C157" s="641" t="s">
        <v>59</v>
      </c>
      <c r="D157" s="642">
        <v>0</v>
      </c>
      <c r="E157" s="643">
        <v>9.7691999999999997</v>
      </c>
      <c r="F157" s="643">
        <v>0</v>
      </c>
      <c r="G157" s="642">
        <v>0.18608000000000002</v>
      </c>
      <c r="H157" s="643">
        <v>1190.909090909091</v>
      </c>
      <c r="I157" s="643">
        <v>182.7291074592973</v>
      </c>
      <c r="J157" s="643">
        <v>189.61507961766128</v>
      </c>
      <c r="K157" s="643">
        <v>22.268083551618652</v>
      </c>
      <c r="L157" s="643">
        <v>0.30256781050897086</v>
      </c>
      <c r="M157" s="643">
        <v>0.13616606414588689</v>
      </c>
      <c r="N157" s="643">
        <v>49.514351265721807</v>
      </c>
      <c r="O157" s="643">
        <v>8.1467195883110648</v>
      </c>
      <c r="P157" s="644">
        <v>0</v>
      </c>
      <c r="Q157" s="643">
        <v>0</v>
      </c>
      <c r="R157" s="643">
        <v>0</v>
      </c>
      <c r="S157" s="645">
        <v>1653.5764462663558</v>
      </c>
      <c r="U157" s="641" t="s">
        <v>59</v>
      </c>
      <c r="V157" s="642">
        <v>0</v>
      </c>
      <c r="W157" s="643">
        <v>9.7691999999999997</v>
      </c>
      <c r="X157" s="643">
        <v>0</v>
      </c>
      <c r="Y157" s="642">
        <v>0.18608000000000002</v>
      </c>
      <c r="Z157" s="643">
        <v>1069.3939393939395</v>
      </c>
      <c r="AA157" s="643">
        <v>197.24910745929728</v>
      </c>
      <c r="AB157" s="643">
        <v>182.13163745220285</v>
      </c>
      <c r="AC157" s="643">
        <v>36.932838973655407</v>
      </c>
      <c r="AD157" s="643">
        <v>0.30256781050897086</v>
      </c>
      <c r="AE157" s="643">
        <v>0.13616606414588689</v>
      </c>
      <c r="AF157" s="643">
        <v>61.091225724919909</v>
      </c>
      <c r="AG157" s="643">
        <v>13.043980364734779</v>
      </c>
      <c r="AH157" s="644">
        <v>0</v>
      </c>
      <c r="AI157" s="643">
        <v>0</v>
      </c>
      <c r="AJ157" s="643">
        <v>0</v>
      </c>
      <c r="AK157" s="645">
        <v>1570.2367432434044</v>
      </c>
    </row>
    <row r="158" spans="3:37" ht="13.5">
      <c r="C158" s="641" t="s">
        <v>60</v>
      </c>
      <c r="D158" s="642">
        <v>49.173561762123036</v>
      </c>
      <c r="E158" s="643">
        <v>533.81672423347197</v>
      </c>
      <c r="F158" s="643">
        <v>159.30055959731865</v>
      </c>
      <c r="G158" s="642">
        <v>343.82692763471942</v>
      </c>
      <c r="H158" s="643">
        <v>0</v>
      </c>
      <c r="I158" s="643">
        <v>0</v>
      </c>
      <c r="J158" s="643">
        <v>3.0754920838007731</v>
      </c>
      <c r="K158" s="643">
        <v>0</v>
      </c>
      <c r="L158" s="643">
        <v>1.7669821269916453</v>
      </c>
      <c r="M158" s="643">
        <v>0</v>
      </c>
      <c r="N158" s="643">
        <v>0</v>
      </c>
      <c r="O158" s="643">
        <v>0</v>
      </c>
      <c r="P158" s="644">
        <v>0</v>
      </c>
      <c r="Q158" s="643">
        <v>0</v>
      </c>
      <c r="R158" s="643">
        <v>0</v>
      </c>
      <c r="S158" s="645">
        <v>1090.9602474384255</v>
      </c>
      <c r="U158" s="641" t="s">
        <v>60</v>
      </c>
      <c r="V158" s="642">
        <v>12.56447967339157</v>
      </c>
      <c r="W158" s="643">
        <v>409.1975890316798</v>
      </c>
      <c r="X158" s="643">
        <v>146.83839951059079</v>
      </c>
      <c r="Y158" s="642">
        <v>277.07529977218445</v>
      </c>
      <c r="Z158" s="643">
        <v>0</v>
      </c>
      <c r="AA158" s="643">
        <v>0</v>
      </c>
      <c r="AB158" s="643">
        <v>3.0754920838007731</v>
      </c>
      <c r="AC158" s="643">
        <v>0</v>
      </c>
      <c r="AD158" s="643">
        <v>1.7669821269916453</v>
      </c>
      <c r="AE158" s="643">
        <v>0</v>
      </c>
      <c r="AF158" s="643">
        <v>0</v>
      </c>
      <c r="AG158" s="643">
        <v>0</v>
      </c>
      <c r="AH158" s="644">
        <v>0</v>
      </c>
      <c r="AI158" s="643">
        <v>0</v>
      </c>
      <c r="AJ158" s="643">
        <v>0</v>
      </c>
      <c r="AK158" s="645">
        <v>850.51824219863909</v>
      </c>
    </row>
    <row r="159" spans="3:37" ht="13.5">
      <c r="C159" s="641" t="s">
        <v>61</v>
      </c>
      <c r="D159" s="642">
        <v>0</v>
      </c>
      <c r="E159" s="643">
        <v>0</v>
      </c>
      <c r="F159" s="643">
        <v>0</v>
      </c>
      <c r="G159" s="642">
        <v>0</v>
      </c>
      <c r="H159" s="643">
        <v>0</v>
      </c>
      <c r="I159" s="643">
        <v>0</v>
      </c>
      <c r="J159" s="643">
        <v>0</v>
      </c>
      <c r="K159" s="643">
        <v>0</v>
      </c>
      <c r="L159" s="643">
        <v>0</v>
      </c>
      <c r="M159" s="643">
        <v>0</v>
      </c>
      <c r="N159" s="643">
        <v>0</v>
      </c>
      <c r="O159" s="643">
        <v>0</v>
      </c>
      <c r="P159" s="644">
        <v>-73.711460432822037</v>
      </c>
      <c r="Q159" s="643">
        <v>0</v>
      </c>
      <c r="R159" s="643">
        <v>0</v>
      </c>
      <c r="S159" s="645">
        <v>-73.711460432822037</v>
      </c>
      <c r="U159" s="641" t="s">
        <v>61</v>
      </c>
      <c r="V159" s="642">
        <v>0</v>
      </c>
      <c r="W159" s="643">
        <v>0</v>
      </c>
      <c r="X159" s="643">
        <v>0</v>
      </c>
      <c r="Y159" s="642">
        <v>0</v>
      </c>
      <c r="Z159" s="643">
        <v>0</v>
      </c>
      <c r="AA159" s="643">
        <v>0</v>
      </c>
      <c r="AB159" s="643">
        <v>0</v>
      </c>
      <c r="AC159" s="643">
        <v>0</v>
      </c>
      <c r="AD159" s="643">
        <v>0</v>
      </c>
      <c r="AE159" s="643">
        <v>0</v>
      </c>
      <c r="AF159" s="643">
        <v>0</v>
      </c>
      <c r="AG159" s="643">
        <v>0</v>
      </c>
      <c r="AH159" s="644">
        <v>-59.233927293838519</v>
      </c>
      <c r="AI159" s="643">
        <v>0</v>
      </c>
      <c r="AJ159" s="643">
        <v>0</v>
      </c>
      <c r="AK159" s="645">
        <v>-59.233927293838519</v>
      </c>
    </row>
    <row r="160" spans="3:37" ht="13.5">
      <c r="C160" s="641" t="s">
        <v>62</v>
      </c>
      <c r="D160" s="642">
        <v>0</v>
      </c>
      <c r="E160" s="643">
        <v>0</v>
      </c>
      <c r="F160" s="643">
        <v>-16.493151741791234</v>
      </c>
      <c r="G160" s="642">
        <v>0</v>
      </c>
      <c r="H160" s="643">
        <v>0</v>
      </c>
      <c r="I160" s="643">
        <v>0</v>
      </c>
      <c r="J160" s="643">
        <v>0</v>
      </c>
      <c r="K160" s="643">
        <v>0</v>
      </c>
      <c r="L160" s="643">
        <v>0</v>
      </c>
      <c r="M160" s="643">
        <v>0</v>
      </c>
      <c r="N160" s="643">
        <v>0</v>
      </c>
      <c r="O160" s="643">
        <v>0</v>
      </c>
      <c r="P160" s="644">
        <v>0</v>
      </c>
      <c r="Q160" s="643">
        <v>0</v>
      </c>
      <c r="R160" s="643">
        <v>0</v>
      </c>
      <c r="S160" s="645">
        <v>-16.493151741791234</v>
      </c>
      <c r="U160" s="641" t="s">
        <v>62</v>
      </c>
      <c r="V160" s="642">
        <v>0</v>
      </c>
      <c r="W160" s="643">
        <v>0</v>
      </c>
      <c r="X160" s="643">
        <v>-16.114280484636947</v>
      </c>
      <c r="Y160" s="642">
        <v>-5.618284274922395E-2</v>
      </c>
      <c r="Z160" s="643">
        <v>0</v>
      </c>
      <c r="AA160" s="643">
        <v>0</v>
      </c>
      <c r="AB160" s="643">
        <v>0</v>
      </c>
      <c r="AC160" s="643">
        <v>0</v>
      </c>
      <c r="AD160" s="643">
        <v>0</v>
      </c>
      <c r="AE160" s="643">
        <v>-6.2425380832471051E-3</v>
      </c>
      <c r="AF160" s="643">
        <v>0</v>
      </c>
      <c r="AG160" s="643">
        <v>0</v>
      </c>
      <c r="AH160" s="644">
        <v>0</v>
      </c>
      <c r="AI160" s="643">
        <v>0</v>
      </c>
      <c r="AJ160" s="643">
        <v>0</v>
      </c>
      <c r="AK160" s="645">
        <v>-16.176705865469415</v>
      </c>
    </row>
    <row r="161" spans="3:37" ht="13.5">
      <c r="C161" s="641" t="s">
        <v>63</v>
      </c>
      <c r="D161" s="642">
        <v>0</v>
      </c>
      <c r="E161" s="643">
        <v>0</v>
      </c>
      <c r="F161" s="643">
        <v>-80.583101554650298</v>
      </c>
      <c r="G161" s="642">
        <v>0</v>
      </c>
      <c r="H161" s="643">
        <v>0</v>
      </c>
      <c r="I161" s="643">
        <v>0</v>
      </c>
      <c r="J161" s="643">
        <v>0</v>
      </c>
      <c r="K161" s="643">
        <v>0</v>
      </c>
      <c r="L161" s="643">
        <v>-0.83510983775166403</v>
      </c>
      <c r="M161" s="643">
        <v>0</v>
      </c>
      <c r="N161" s="643">
        <v>0</v>
      </c>
      <c r="O161" s="643">
        <v>0</v>
      </c>
      <c r="P161" s="644">
        <v>0</v>
      </c>
      <c r="Q161" s="643">
        <v>0</v>
      </c>
      <c r="R161" s="643">
        <v>0</v>
      </c>
      <c r="S161" s="645">
        <v>-81.418211392401957</v>
      </c>
      <c r="U161" s="641" t="s">
        <v>63</v>
      </c>
      <c r="V161" s="642">
        <v>0</v>
      </c>
      <c r="W161" s="643">
        <v>0</v>
      </c>
      <c r="X161" s="643">
        <v>-78.29497747164686</v>
      </c>
      <c r="Y161" s="642">
        <v>0</v>
      </c>
      <c r="Z161" s="643">
        <v>0</v>
      </c>
      <c r="AA161" s="643">
        <v>0</v>
      </c>
      <c r="AB161" s="643">
        <v>0</v>
      </c>
      <c r="AC161" s="643">
        <v>0</v>
      </c>
      <c r="AD161" s="643">
        <v>-3.8806739722042796</v>
      </c>
      <c r="AE161" s="643">
        <v>0</v>
      </c>
      <c r="AF161" s="643">
        <v>0</v>
      </c>
      <c r="AG161" s="643">
        <v>0</v>
      </c>
      <c r="AH161" s="644">
        <v>0</v>
      </c>
      <c r="AI161" s="643">
        <v>0</v>
      </c>
      <c r="AJ161" s="643">
        <v>0</v>
      </c>
      <c r="AK161" s="645">
        <v>-82.175651443851137</v>
      </c>
    </row>
    <row r="162" spans="3:37" ht="13.5">
      <c r="C162" s="641" t="s">
        <v>64</v>
      </c>
      <c r="D162" s="642">
        <v>0</v>
      </c>
      <c r="E162" s="643">
        <v>0</v>
      </c>
      <c r="F162" s="643">
        <v>0</v>
      </c>
      <c r="G162" s="642">
        <v>0</v>
      </c>
      <c r="H162" s="643">
        <v>0</v>
      </c>
      <c r="I162" s="643">
        <v>0</v>
      </c>
      <c r="J162" s="643">
        <v>0</v>
      </c>
      <c r="K162" s="643">
        <v>0</v>
      </c>
      <c r="L162" s="643">
        <v>0</v>
      </c>
      <c r="M162" s="643">
        <v>0</v>
      </c>
      <c r="N162" s="643">
        <v>0</v>
      </c>
      <c r="O162" s="643">
        <v>0</v>
      </c>
      <c r="P162" s="644">
        <v>0</v>
      </c>
      <c r="Q162" s="643">
        <v>0</v>
      </c>
      <c r="R162" s="643">
        <v>0</v>
      </c>
      <c r="S162" s="645">
        <v>0</v>
      </c>
      <c r="U162" s="641" t="s">
        <v>64</v>
      </c>
      <c r="V162" s="642">
        <v>0</v>
      </c>
      <c r="W162" s="643">
        <v>0</v>
      </c>
      <c r="X162" s="643">
        <v>0</v>
      </c>
      <c r="Y162" s="642">
        <v>0</v>
      </c>
      <c r="Z162" s="643">
        <v>0</v>
      </c>
      <c r="AA162" s="643">
        <v>0</v>
      </c>
      <c r="AB162" s="643">
        <v>0</v>
      </c>
      <c r="AC162" s="643">
        <v>0</v>
      </c>
      <c r="AD162" s="643">
        <v>0</v>
      </c>
      <c r="AE162" s="643">
        <v>0</v>
      </c>
      <c r="AF162" s="643">
        <v>0</v>
      </c>
      <c r="AG162" s="643">
        <v>0</v>
      </c>
      <c r="AH162" s="644">
        <v>0</v>
      </c>
      <c r="AI162" s="643">
        <v>0</v>
      </c>
      <c r="AJ162" s="643">
        <v>0</v>
      </c>
      <c r="AK162" s="645">
        <v>0</v>
      </c>
    </row>
    <row r="163" spans="3:37" ht="13.5">
      <c r="C163" s="646" t="s">
        <v>65</v>
      </c>
      <c r="D163" s="647">
        <v>49.173561762123036</v>
      </c>
      <c r="E163" s="647">
        <v>543.58592423347193</v>
      </c>
      <c r="F163" s="647">
        <v>62.224306300877117</v>
      </c>
      <c r="G163" s="647">
        <v>344.01300763471943</v>
      </c>
      <c r="H163" s="647">
        <v>1190.909090909091</v>
      </c>
      <c r="I163" s="647">
        <v>182.7291074592973</v>
      </c>
      <c r="J163" s="647">
        <v>192.69057170146206</v>
      </c>
      <c r="K163" s="647">
        <v>22.268083551618652</v>
      </c>
      <c r="L163" s="647">
        <v>1.234440099748952</v>
      </c>
      <c r="M163" s="647">
        <v>0.13616606414588689</v>
      </c>
      <c r="N163" s="647">
        <v>49.514351265721807</v>
      </c>
      <c r="O163" s="647">
        <v>8.1467195883110648</v>
      </c>
      <c r="P163" s="647">
        <v>-73.711460432822037</v>
      </c>
      <c r="Q163" s="647">
        <v>0</v>
      </c>
      <c r="R163" s="647">
        <v>0</v>
      </c>
      <c r="S163" s="647">
        <v>2572.9138701377656</v>
      </c>
      <c r="U163" s="646" t="s">
        <v>65</v>
      </c>
      <c r="V163" s="647">
        <v>12.56447967339157</v>
      </c>
      <c r="W163" s="647">
        <v>418.96678903167981</v>
      </c>
      <c r="X163" s="647">
        <v>52.42914155430698</v>
      </c>
      <c r="Y163" s="647">
        <v>277.2051969294352</v>
      </c>
      <c r="Z163" s="647">
        <v>1069.3939393939395</v>
      </c>
      <c r="AA163" s="647">
        <v>197.24910745929728</v>
      </c>
      <c r="AB163" s="647">
        <v>185.20712953600363</v>
      </c>
      <c r="AC163" s="647">
        <v>36.932838973655407</v>
      </c>
      <c r="AD163" s="647">
        <v>-1.8111240347036635</v>
      </c>
      <c r="AE163" s="647">
        <v>0.12992352606263979</v>
      </c>
      <c r="AF163" s="647">
        <v>61.091225724919909</v>
      </c>
      <c r="AG163" s="647">
        <v>13.043980364734779</v>
      </c>
      <c r="AH163" s="647">
        <v>-59.233927293838519</v>
      </c>
      <c r="AI163" s="647">
        <v>0</v>
      </c>
      <c r="AJ163" s="647">
        <v>0</v>
      </c>
      <c r="AK163" s="647">
        <v>2263.168700838884</v>
      </c>
    </row>
    <row r="164" spans="3:37" ht="13">
      <c r="C164" s="636"/>
      <c r="D164" s="636">
        <v>0</v>
      </c>
      <c r="E164" s="636">
        <v>0</v>
      </c>
      <c r="F164" s="636">
        <v>0</v>
      </c>
      <c r="G164" s="636">
        <v>0</v>
      </c>
      <c r="H164" s="636">
        <v>0</v>
      </c>
      <c r="I164" s="636">
        <v>0</v>
      </c>
      <c r="J164" s="636">
        <v>0</v>
      </c>
      <c r="K164" s="636">
        <v>0</v>
      </c>
      <c r="L164" s="636">
        <v>0</v>
      </c>
      <c r="M164" s="636">
        <v>0</v>
      </c>
      <c r="N164" s="636">
        <v>0</v>
      </c>
      <c r="O164" s="636">
        <v>0</v>
      </c>
      <c r="P164" s="636">
        <v>0</v>
      </c>
      <c r="Q164" s="636">
        <v>0</v>
      </c>
      <c r="R164" s="636">
        <v>0</v>
      </c>
      <c r="S164" s="636">
        <v>0</v>
      </c>
      <c r="U164" s="636"/>
      <c r="V164" s="636">
        <v>0</v>
      </c>
      <c r="W164" s="636">
        <v>0</v>
      </c>
      <c r="X164" s="636">
        <v>0</v>
      </c>
      <c r="Y164" s="636">
        <v>0</v>
      </c>
      <c r="Z164" s="636">
        <v>0</v>
      </c>
      <c r="AA164" s="636">
        <v>0</v>
      </c>
      <c r="AB164" s="636">
        <v>0</v>
      </c>
      <c r="AC164" s="636">
        <v>0</v>
      </c>
      <c r="AD164" s="636">
        <v>0</v>
      </c>
      <c r="AE164" s="636">
        <v>0</v>
      </c>
      <c r="AF164" s="636">
        <v>0</v>
      </c>
      <c r="AG164" s="636">
        <v>0</v>
      </c>
      <c r="AH164" s="636">
        <v>0</v>
      </c>
      <c r="AI164" s="636">
        <v>0</v>
      </c>
      <c r="AJ164" s="636">
        <v>0</v>
      </c>
      <c r="AK164" s="636">
        <v>0</v>
      </c>
    </row>
    <row r="165" spans="3:37" ht="13.5">
      <c r="C165" s="648" t="s">
        <v>67</v>
      </c>
      <c r="D165" s="642">
        <v>0</v>
      </c>
      <c r="E165" s="649">
        <v>0</v>
      </c>
      <c r="F165" s="649">
        <v>0</v>
      </c>
      <c r="G165" s="642">
        <v>0</v>
      </c>
      <c r="H165" s="642">
        <v>0</v>
      </c>
      <c r="I165" s="642">
        <v>0</v>
      </c>
      <c r="J165" s="642">
        <v>0</v>
      </c>
      <c r="K165" s="642">
        <v>0</v>
      </c>
      <c r="L165" s="642">
        <v>0</v>
      </c>
      <c r="M165" s="642">
        <v>0</v>
      </c>
      <c r="N165" s="642">
        <v>0</v>
      </c>
      <c r="O165" s="642">
        <v>0</v>
      </c>
      <c r="P165" s="642">
        <v>0</v>
      </c>
      <c r="Q165" s="642">
        <v>0</v>
      </c>
      <c r="R165" s="642">
        <v>0</v>
      </c>
      <c r="S165" s="650">
        <v>0</v>
      </c>
      <c r="U165" s="648" t="s">
        <v>67</v>
      </c>
      <c r="V165" s="642">
        <v>0</v>
      </c>
      <c r="W165" s="649">
        <v>0</v>
      </c>
      <c r="X165" s="649">
        <v>0</v>
      </c>
      <c r="Y165" s="642">
        <v>0</v>
      </c>
      <c r="Z165" s="642">
        <v>0</v>
      </c>
      <c r="AA165" s="642">
        <v>0</v>
      </c>
      <c r="AB165" s="642">
        <v>0</v>
      </c>
      <c r="AC165" s="642">
        <v>0</v>
      </c>
      <c r="AD165" s="642">
        <v>0</v>
      </c>
      <c r="AE165" s="642">
        <v>0</v>
      </c>
      <c r="AF165" s="642">
        <v>0</v>
      </c>
      <c r="AG165" s="642">
        <v>0</v>
      </c>
      <c r="AH165" s="642">
        <v>0</v>
      </c>
      <c r="AI165" s="642">
        <v>0</v>
      </c>
      <c r="AJ165" s="642">
        <v>0</v>
      </c>
      <c r="AK165" s="650">
        <v>0</v>
      </c>
    </row>
    <row r="166" spans="3:37" ht="13.5">
      <c r="C166" s="648" t="s">
        <v>350</v>
      </c>
      <c r="D166" s="642">
        <v>2.8267856410252494</v>
      </c>
      <c r="E166" s="642">
        <v>0</v>
      </c>
      <c r="F166" s="642">
        <v>7.5307695076515202</v>
      </c>
      <c r="G166" s="642">
        <v>17.818181818181817</v>
      </c>
      <c r="H166" s="642">
        <v>1190.909090909091</v>
      </c>
      <c r="I166" s="642">
        <v>182.7291074592973</v>
      </c>
      <c r="J166" s="651">
        <v>31.567770517320518</v>
      </c>
      <c r="K166" s="651">
        <v>7.9944017148664477</v>
      </c>
      <c r="L166" s="651">
        <v>2.0695499375006161</v>
      </c>
      <c r="M166" s="651">
        <v>0.46787592950723628</v>
      </c>
      <c r="N166" s="651">
        <v>0</v>
      </c>
      <c r="O166" s="651">
        <v>3.0833964576427819</v>
      </c>
      <c r="P166" s="642">
        <v>-605.52729840025461</v>
      </c>
      <c r="Q166" s="642">
        <v>0</v>
      </c>
      <c r="R166" s="642">
        <v>0</v>
      </c>
      <c r="S166" s="650">
        <v>841.46963149182989</v>
      </c>
      <c r="U166" s="648" t="s">
        <v>350</v>
      </c>
      <c r="V166" s="642">
        <v>0.62631490545869017</v>
      </c>
      <c r="W166" s="642">
        <v>0</v>
      </c>
      <c r="X166" s="642">
        <v>3.6671331440151573</v>
      </c>
      <c r="Y166" s="642">
        <v>45.490909090909085</v>
      </c>
      <c r="Z166" s="642">
        <v>1069.3939393939395</v>
      </c>
      <c r="AA166" s="642">
        <v>197.24910745929728</v>
      </c>
      <c r="AB166" s="651">
        <v>26.112388272824305</v>
      </c>
      <c r="AC166" s="651">
        <v>7.8557568383975527</v>
      </c>
      <c r="AD166" s="651">
        <v>2.0695499375006161</v>
      </c>
      <c r="AE166" s="651">
        <v>5.1587850204163272</v>
      </c>
      <c r="AF166" s="651">
        <v>0</v>
      </c>
      <c r="AG166" s="651">
        <v>3.0833964576427819</v>
      </c>
      <c r="AH166" s="642">
        <v>-594.94729840025457</v>
      </c>
      <c r="AI166" s="642">
        <v>0</v>
      </c>
      <c r="AJ166" s="642">
        <v>0</v>
      </c>
      <c r="AK166" s="650">
        <v>765.75998212014645</v>
      </c>
    </row>
    <row r="167" spans="3:37" ht="13.5">
      <c r="C167" s="648" t="s">
        <v>351</v>
      </c>
      <c r="D167" s="642">
        <v>0</v>
      </c>
      <c r="E167" s="642">
        <v>0</v>
      </c>
      <c r="F167" s="642">
        <v>0</v>
      </c>
      <c r="G167" s="642">
        <v>15.528976420917793</v>
      </c>
      <c r="H167" s="642">
        <v>0</v>
      </c>
      <c r="I167" s="642">
        <v>0</v>
      </c>
      <c r="J167" s="651">
        <v>13.425934567091144</v>
      </c>
      <c r="K167" s="651">
        <v>12.460813842705811</v>
      </c>
      <c r="L167" s="651">
        <v>0</v>
      </c>
      <c r="M167" s="651">
        <v>0.33007353312586968</v>
      </c>
      <c r="N167" s="651">
        <v>0</v>
      </c>
      <c r="O167" s="651">
        <v>2.2140049259569654</v>
      </c>
      <c r="P167" s="642">
        <v>0</v>
      </c>
      <c r="Q167" s="642">
        <v>-39.530815313914701</v>
      </c>
      <c r="R167" s="642">
        <v>0</v>
      </c>
      <c r="S167" s="650">
        <v>4.4289879758828699</v>
      </c>
      <c r="U167" s="648" t="s">
        <v>351</v>
      </c>
      <c r="V167" s="642">
        <v>0</v>
      </c>
      <c r="W167" s="642">
        <v>0</v>
      </c>
      <c r="X167" s="642">
        <v>0</v>
      </c>
      <c r="Y167" s="642">
        <v>17.633177295554518</v>
      </c>
      <c r="Z167" s="642">
        <v>0</v>
      </c>
      <c r="AA167" s="642">
        <v>0</v>
      </c>
      <c r="AB167" s="651">
        <v>25.59264276124566</v>
      </c>
      <c r="AC167" s="651">
        <v>22.938494140017696</v>
      </c>
      <c r="AD167" s="651">
        <v>0</v>
      </c>
      <c r="AE167" s="651">
        <v>1.9723975687129698</v>
      </c>
      <c r="AF167" s="651">
        <v>0</v>
      </c>
      <c r="AG167" s="651">
        <v>5.6361523989336151</v>
      </c>
      <c r="AH167" s="642">
        <v>0</v>
      </c>
      <c r="AI167" s="642">
        <v>-66.845421794322675</v>
      </c>
      <c r="AJ167" s="642">
        <v>0</v>
      </c>
      <c r="AK167" s="650">
        <v>6.927442370141784</v>
      </c>
    </row>
    <row r="168" spans="3:37" ht="13.5">
      <c r="C168" s="648" t="s">
        <v>352</v>
      </c>
      <c r="D168" s="642">
        <v>0</v>
      </c>
      <c r="E168" s="642">
        <v>0</v>
      </c>
      <c r="F168" s="642">
        <v>0</v>
      </c>
      <c r="G168" s="642">
        <v>0</v>
      </c>
      <c r="H168" s="642">
        <v>0</v>
      </c>
      <c r="I168" s="642">
        <v>0</v>
      </c>
      <c r="J168" s="652">
        <v>7.7785999169814284</v>
      </c>
      <c r="K168" s="652">
        <v>0</v>
      </c>
      <c r="L168" s="652">
        <v>0</v>
      </c>
      <c r="M168" s="652">
        <v>-6.767381927773843</v>
      </c>
      <c r="N168" s="652">
        <v>0</v>
      </c>
      <c r="O168" s="652">
        <v>0</v>
      </c>
      <c r="P168" s="642">
        <v>0</v>
      </c>
      <c r="Q168" s="642">
        <v>0</v>
      </c>
      <c r="R168" s="642">
        <v>0</v>
      </c>
      <c r="S168" s="650">
        <v>1.0112179892075854</v>
      </c>
      <c r="U168" s="648" t="s">
        <v>352</v>
      </c>
      <c r="V168" s="642">
        <v>0</v>
      </c>
      <c r="W168" s="642">
        <v>0</v>
      </c>
      <c r="X168" s="642">
        <v>0</v>
      </c>
      <c r="Y168" s="642">
        <v>0</v>
      </c>
      <c r="Z168" s="642">
        <v>0</v>
      </c>
      <c r="AA168" s="642">
        <v>0</v>
      </c>
      <c r="AB168" s="652">
        <v>35.178099528176176</v>
      </c>
      <c r="AC168" s="652">
        <v>0</v>
      </c>
      <c r="AD168" s="652">
        <v>0</v>
      </c>
      <c r="AE168" s="652">
        <v>-30.604946589513276</v>
      </c>
      <c r="AF168" s="652">
        <v>0</v>
      </c>
      <c r="AG168" s="652">
        <v>0</v>
      </c>
      <c r="AH168" s="642">
        <v>0</v>
      </c>
      <c r="AI168" s="642">
        <v>0</v>
      </c>
      <c r="AJ168" s="642">
        <v>0</v>
      </c>
      <c r="AK168" s="650">
        <v>4.5731529386629006</v>
      </c>
    </row>
    <row r="169" spans="3:37" ht="13.5">
      <c r="C169" s="648" t="s">
        <v>353</v>
      </c>
      <c r="D169" s="642">
        <v>0</v>
      </c>
      <c r="E169" s="642">
        <v>0</v>
      </c>
      <c r="F169" s="642">
        <v>0</v>
      </c>
      <c r="G169" s="642">
        <v>0</v>
      </c>
      <c r="H169" s="642">
        <v>0</v>
      </c>
      <c r="I169" s="642">
        <v>0</v>
      </c>
      <c r="J169" s="642">
        <v>0</v>
      </c>
      <c r="K169" s="642">
        <v>0</v>
      </c>
      <c r="L169" s="642">
        <v>0</v>
      </c>
      <c r="M169" s="642">
        <v>0</v>
      </c>
      <c r="N169" s="642">
        <v>0</v>
      </c>
      <c r="O169" s="642">
        <v>0</v>
      </c>
      <c r="P169" s="642">
        <v>0</v>
      </c>
      <c r="Q169" s="642">
        <v>0</v>
      </c>
      <c r="R169" s="642">
        <v>0</v>
      </c>
      <c r="S169" s="650">
        <v>0</v>
      </c>
      <c r="U169" s="648" t="s">
        <v>353</v>
      </c>
      <c r="V169" s="642">
        <v>0</v>
      </c>
      <c r="W169" s="642">
        <v>0</v>
      </c>
      <c r="X169" s="642">
        <v>0</v>
      </c>
      <c r="Y169" s="642">
        <v>0</v>
      </c>
      <c r="Z169" s="642">
        <v>0</v>
      </c>
      <c r="AA169" s="642">
        <v>0</v>
      </c>
      <c r="AB169" s="642">
        <v>0</v>
      </c>
      <c r="AC169" s="642">
        <v>0</v>
      </c>
      <c r="AD169" s="642">
        <v>0</v>
      </c>
      <c r="AE169" s="642">
        <v>0</v>
      </c>
      <c r="AF169" s="642">
        <v>0</v>
      </c>
      <c r="AG169" s="642">
        <v>0</v>
      </c>
      <c r="AH169" s="642">
        <v>0</v>
      </c>
      <c r="AI169" s="642">
        <v>0</v>
      </c>
      <c r="AJ169" s="642">
        <v>0</v>
      </c>
      <c r="AK169" s="650">
        <v>0</v>
      </c>
    </row>
    <row r="170" spans="3:37" ht="13.5">
      <c r="C170" s="648" t="s">
        <v>72</v>
      </c>
      <c r="D170" s="642">
        <v>0</v>
      </c>
      <c r="E170" s="642">
        <v>563.09724372867038</v>
      </c>
      <c r="F170" s="642">
        <v>-557.46627129138369</v>
      </c>
      <c r="G170" s="642">
        <v>0</v>
      </c>
      <c r="H170" s="642">
        <v>0</v>
      </c>
      <c r="I170" s="642">
        <v>0</v>
      </c>
      <c r="J170" s="642">
        <v>0</v>
      </c>
      <c r="K170" s="642">
        <v>0</v>
      </c>
      <c r="L170" s="642">
        <v>0</v>
      </c>
      <c r="M170" s="642">
        <v>0</v>
      </c>
      <c r="N170" s="642">
        <v>0</v>
      </c>
      <c r="O170" s="642">
        <v>0</v>
      </c>
      <c r="P170" s="642">
        <v>0</v>
      </c>
      <c r="Q170" s="642">
        <v>0</v>
      </c>
      <c r="R170" s="642">
        <v>0</v>
      </c>
      <c r="S170" s="650">
        <v>5.6309724372866867</v>
      </c>
      <c r="U170" s="648" t="s">
        <v>72</v>
      </c>
      <c r="V170" s="642">
        <v>0</v>
      </c>
      <c r="W170" s="642">
        <v>434.00506451720082</v>
      </c>
      <c r="X170" s="642">
        <v>-429.66501387202879</v>
      </c>
      <c r="Y170" s="642">
        <v>0</v>
      </c>
      <c r="Z170" s="642">
        <v>0</v>
      </c>
      <c r="AA170" s="642">
        <v>0</v>
      </c>
      <c r="AB170" s="642">
        <v>0</v>
      </c>
      <c r="AC170" s="642">
        <v>0</v>
      </c>
      <c r="AD170" s="642">
        <v>0</v>
      </c>
      <c r="AE170" s="642">
        <v>0</v>
      </c>
      <c r="AF170" s="642">
        <v>0</v>
      </c>
      <c r="AG170" s="642">
        <v>0</v>
      </c>
      <c r="AH170" s="642">
        <v>0</v>
      </c>
      <c r="AI170" s="642">
        <v>0</v>
      </c>
      <c r="AJ170" s="642">
        <v>0</v>
      </c>
      <c r="AK170" s="650">
        <v>4.3400506451720275</v>
      </c>
    </row>
    <row r="171" spans="3:37" ht="13.5">
      <c r="C171" s="648" t="s">
        <v>354</v>
      </c>
      <c r="D171" s="642">
        <v>0</v>
      </c>
      <c r="E171" s="642">
        <v>0</v>
      </c>
      <c r="F171" s="642">
        <v>0</v>
      </c>
      <c r="G171" s="642">
        <v>0</v>
      </c>
      <c r="H171" s="642">
        <v>0</v>
      </c>
      <c r="I171" s="642">
        <v>0</v>
      </c>
      <c r="J171" s="642">
        <v>37.619415842848596</v>
      </c>
      <c r="K171" s="642">
        <v>0</v>
      </c>
      <c r="L171" s="642">
        <v>-37.619415842848596</v>
      </c>
      <c r="M171" s="642">
        <v>0</v>
      </c>
      <c r="N171" s="642">
        <v>0</v>
      </c>
      <c r="O171" s="642">
        <v>0</v>
      </c>
      <c r="P171" s="642">
        <v>0</v>
      </c>
      <c r="Q171" s="642">
        <v>0</v>
      </c>
      <c r="R171" s="642">
        <v>0</v>
      </c>
      <c r="S171" s="650">
        <v>0</v>
      </c>
      <c r="U171" s="648" t="s">
        <v>354</v>
      </c>
      <c r="V171" s="642">
        <v>0</v>
      </c>
      <c r="W171" s="642">
        <v>0</v>
      </c>
      <c r="X171" s="642">
        <v>0</v>
      </c>
      <c r="Y171" s="642">
        <v>0</v>
      </c>
      <c r="Z171" s="642">
        <v>0</v>
      </c>
      <c r="AA171" s="642">
        <v>0</v>
      </c>
      <c r="AB171" s="642" t="e">
        <v>#VALUE!</v>
      </c>
      <c r="AC171" s="642">
        <v>0</v>
      </c>
      <c r="AD171" s="642">
        <v>-46.213611225378862</v>
      </c>
      <c r="AE171" s="642">
        <v>0</v>
      </c>
      <c r="AF171" s="642">
        <v>0</v>
      </c>
      <c r="AG171" s="642">
        <v>0</v>
      </c>
      <c r="AH171" s="642">
        <v>0</v>
      </c>
      <c r="AI171" s="642">
        <v>0</v>
      </c>
      <c r="AJ171" s="642">
        <v>0</v>
      </c>
      <c r="AK171" s="650">
        <v>-46.213611225378862</v>
      </c>
    </row>
    <row r="172" spans="3:37" ht="13.5">
      <c r="C172" s="648" t="s">
        <v>355</v>
      </c>
      <c r="D172" s="642">
        <v>0</v>
      </c>
      <c r="E172" s="642">
        <v>0</v>
      </c>
      <c r="F172" s="642">
        <v>0</v>
      </c>
      <c r="G172" s="642">
        <v>0</v>
      </c>
      <c r="H172" s="642">
        <v>0</v>
      </c>
      <c r="I172" s="642">
        <v>0</v>
      </c>
      <c r="J172" s="642">
        <v>0</v>
      </c>
      <c r="K172" s="642">
        <v>0</v>
      </c>
      <c r="L172" s="642">
        <v>0</v>
      </c>
      <c r="M172" s="642">
        <v>0</v>
      </c>
      <c r="N172" s="642">
        <v>0</v>
      </c>
      <c r="O172" s="642">
        <v>0</v>
      </c>
      <c r="P172" s="642">
        <v>0</v>
      </c>
      <c r="Q172" s="642">
        <v>0</v>
      </c>
      <c r="R172" s="642">
        <v>0</v>
      </c>
      <c r="S172" s="650">
        <v>0</v>
      </c>
      <c r="U172" s="648" t="s">
        <v>355</v>
      </c>
      <c r="V172" s="642">
        <v>0</v>
      </c>
      <c r="W172" s="642">
        <v>0</v>
      </c>
      <c r="X172" s="642">
        <v>0</v>
      </c>
      <c r="Y172" s="642">
        <v>0</v>
      </c>
      <c r="Z172" s="642">
        <v>0</v>
      </c>
      <c r="AA172" s="642">
        <v>0</v>
      </c>
      <c r="AB172" s="642">
        <v>0</v>
      </c>
      <c r="AC172" s="642">
        <v>0</v>
      </c>
      <c r="AD172" s="642">
        <v>-5.5104572320471013</v>
      </c>
      <c r="AE172" s="642">
        <v>0</v>
      </c>
      <c r="AF172" s="642">
        <v>0</v>
      </c>
      <c r="AG172" s="642">
        <v>0</v>
      </c>
      <c r="AH172" s="642">
        <v>0</v>
      </c>
      <c r="AI172" s="642">
        <v>0</v>
      </c>
      <c r="AJ172" s="642">
        <v>0</v>
      </c>
      <c r="AK172" s="650">
        <v>-5.5104572320471013</v>
      </c>
    </row>
    <row r="173" spans="3:37" ht="13.5">
      <c r="C173" s="648" t="s">
        <v>73</v>
      </c>
      <c r="D173" s="642">
        <v>0</v>
      </c>
      <c r="E173" s="642">
        <v>0</v>
      </c>
      <c r="F173" s="642">
        <v>0</v>
      </c>
      <c r="G173" s="642">
        <v>0.90917311757834995</v>
      </c>
      <c r="H173" s="642">
        <v>0</v>
      </c>
      <c r="I173" s="642">
        <v>0</v>
      </c>
      <c r="J173" s="642">
        <v>0</v>
      </c>
      <c r="K173" s="642">
        <v>1.0194809571410069E-2</v>
      </c>
      <c r="L173" s="642">
        <v>0</v>
      </c>
      <c r="M173" s="642">
        <v>1.8554553419966327E-2</v>
      </c>
      <c r="N173" s="642">
        <v>0</v>
      </c>
      <c r="O173" s="642">
        <v>0</v>
      </c>
      <c r="P173" s="642">
        <v>8.7832205538302136E-2</v>
      </c>
      <c r="Q173" s="642">
        <v>0</v>
      </c>
      <c r="R173" s="642">
        <v>-0.71363666999870479</v>
      </c>
      <c r="S173" s="650">
        <v>0.31211801610932366</v>
      </c>
      <c r="U173" s="648" t="s">
        <v>73</v>
      </c>
      <c r="V173" s="642">
        <v>0</v>
      </c>
      <c r="W173" s="642">
        <v>0</v>
      </c>
      <c r="X173" s="642">
        <v>0</v>
      </c>
      <c r="Y173" s="642">
        <v>3.7406895887912213</v>
      </c>
      <c r="Z173" s="642">
        <v>0</v>
      </c>
      <c r="AA173" s="642">
        <v>0</v>
      </c>
      <c r="AB173" s="642">
        <v>0</v>
      </c>
      <c r="AC173" s="642">
        <v>0.10657235295701485</v>
      </c>
      <c r="AD173" s="642">
        <v>0</v>
      </c>
      <c r="AE173" s="642">
        <v>0.4156321765323579</v>
      </c>
      <c r="AF173" s="642">
        <v>0</v>
      </c>
      <c r="AG173" s="642">
        <v>0</v>
      </c>
      <c r="AH173" s="642">
        <v>6.8862135756840344</v>
      </c>
      <c r="AI173" s="642">
        <v>0</v>
      </c>
      <c r="AJ173" s="642">
        <v>-7.4600647069910382</v>
      </c>
      <c r="AK173" s="650">
        <v>3.6890429869735906</v>
      </c>
    </row>
    <row r="174" spans="3:37" ht="13.5">
      <c r="C174" s="648" t="s">
        <v>356</v>
      </c>
      <c r="D174" s="642">
        <v>28.68732140625</v>
      </c>
      <c r="E174" s="642">
        <v>-19.511319495198432</v>
      </c>
      <c r="F174" s="642">
        <v>25.519653459670948</v>
      </c>
      <c r="G174" s="642">
        <v>0</v>
      </c>
      <c r="H174" s="642">
        <v>0</v>
      </c>
      <c r="I174" s="642">
        <v>0</v>
      </c>
      <c r="J174" s="642">
        <v>0</v>
      </c>
      <c r="K174" s="642">
        <v>0</v>
      </c>
      <c r="L174" s="642">
        <v>0</v>
      </c>
      <c r="M174" s="642">
        <v>0</v>
      </c>
      <c r="N174" s="642">
        <v>0</v>
      </c>
      <c r="O174" s="642">
        <v>0</v>
      </c>
      <c r="P174" s="642">
        <v>0</v>
      </c>
      <c r="Q174" s="642">
        <v>0</v>
      </c>
      <c r="R174" s="642">
        <v>0</v>
      </c>
      <c r="S174" s="650">
        <v>34.69565537072252</v>
      </c>
      <c r="U174" s="648" t="s">
        <v>356</v>
      </c>
      <c r="V174" s="642">
        <v>5.4641713867187498</v>
      </c>
      <c r="W174" s="642">
        <v>-15.038275485521009</v>
      </c>
      <c r="X174" s="642">
        <v>19.669176096265762</v>
      </c>
      <c r="Y174" s="642">
        <v>0</v>
      </c>
      <c r="Z174" s="642">
        <v>0</v>
      </c>
      <c r="AA174" s="642">
        <v>0</v>
      </c>
      <c r="AB174" s="642">
        <v>0</v>
      </c>
      <c r="AC174" s="642">
        <v>0</v>
      </c>
      <c r="AD174" s="642">
        <v>0</v>
      </c>
      <c r="AE174" s="642">
        <v>0</v>
      </c>
      <c r="AF174" s="642">
        <v>0</v>
      </c>
      <c r="AG174" s="642">
        <v>0</v>
      </c>
      <c r="AH174" s="642">
        <v>0</v>
      </c>
      <c r="AI174" s="642">
        <v>0</v>
      </c>
      <c r="AJ174" s="642">
        <v>0</v>
      </c>
      <c r="AK174" s="650">
        <v>10.095071997463503</v>
      </c>
    </row>
    <row r="175" spans="3:37" ht="13.5">
      <c r="C175" s="648" t="s">
        <v>75</v>
      </c>
      <c r="D175" s="642">
        <v>11.156180546875001</v>
      </c>
      <c r="E175" s="642">
        <v>0</v>
      </c>
      <c r="F175" s="642">
        <v>19.145306286774794</v>
      </c>
      <c r="G175" s="642">
        <v>5.4631694586555604</v>
      </c>
      <c r="H175" s="642">
        <v>0</v>
      </c>
      <c r="I175" s="642">
        <v>0</v>
      </c>
      <c r="J175" s="642">
        <v>0</v>
      </c>
      <c r="K175" s="642">
        <v>0</v>
      </c>
      <c r="L175" s="642">
        <v>0</v>
      </c>
      <c r="M175" s="642">
        <v>0.11149325425827675</v>
      </c>
      <c r="N175" s="642">
        <v>0</v>
      </c>
      <c r="O175" s="642">
        <v>0</v>
      </c>
      <c r="P175" s="642">
        <v>36.294895286159367</v>
      </c>
      <c r="Q175" s="642">
        <v>0</v>
      </c>
      <c r="R175" s="642">
        <v>0</v>
      </c>
      <c r="S175" s="650">
        <v>72.171044832722998</v>
      </c>
      <c r="U175" s="648" t="s">
        <v>75</v>
      </c>
      <c r="V175" s="642">
        <v>5.6084375</v>
      </c>
      <c r="W175" s="642">
        <v>0</v>
      </c>
      <c r="X175" s="642">
        <v>19.145306286774794</v>
      </c>
      <c r="Y175" s="642">
        <v>5.0171964416224535</v>
      </c>
      <c r="Z175" s="642">
        <v>0</v>
      </c>
      <c r="AA175" s="642">
        <v>0</v>
      </c>
      <c r="AB175" s="642">
        <v>0</v>
      </c>
      <c r="AC175" s="642">
        <v>0</v>
      </c>
      <c r="AD175" s="642">
        <v>0</v>
      </c>
      <c r="AE175" s="642">
        <v>0.55746627129138371</v>
      </c>
      <c r="AF175" s="642">
        <v>0</v>
      </c>
      <c r="AG175" s="642">
        <v>0</v>
      </c>
      <c r="AH175" s="642">
        <v>31.128531649795733</v>
      </c>
      <c r="AI175" s="642">
        <v>0</v>
      </c>
      <c r="AJ175" s="642">
        <v>0</v>
      </c>
      <c r="AK175" s="650">
        <v>61.456938149484365</v>
      </c>
    </row>
    <row r="176" spans="3:37" ht="13.5">
      <c r="C176" s="648" t="s">
        <v>76</v>
      </c>
      <c r="D176" s="642">
        <v>0</v>
      </c>
      <c r="E176" s="642">
        <v>0</v>
      </c>
      <c r="F176" s="642">
        <v>0</v>
      </c>
      <c r="G176" s="642">
        <v>3.9320361398527859</v>
      </c>
      <c r="H176" s="642">
        <v>0</v>
      </c>
      <c r="I176" s="642">
        <v>0</v>
      </c>
      <c r="J176" s="642">
        <v>0</v>
      </c>
      <c r="K176" s="642">
        <v>0</v>
      </c>
      <c r="L176" s="642">
        <v>0</v>
      </c>
      <c r="M176" s="642">
        <v>8.0245635507199722E-2</v>
      </c>
      <c r="N176" s="642">
        <v>0</v>
      </c>
      <c r="O176" s="642">
        <v>0</v>
      </c>
      <c r="P176" s="642">
        <v>40.722330861669313</v>
      </c>
      <c r="Q176" s="642">
        <v>3.067587727965682</v>
      </c>
      <c r="R176" s="642">
        <v>0</v>
      </c>
      <c r="S176" s="650">
        <v>47.802200364994981</v>
      </c>
      <c r="U176" s="648" t="s">
        <v>76</v>
      </c>
      <c r="V176" s="642">
        <v>0</v>
      </c>
      <c r="W176" s="642">
        <v>0</v>
      </c>
      <c r="X176" s="642">
        <v>0</v>
      </c>
      <c r="Y176" s="642">
        <v>3.2661405451259231</v>
      </c>
      <c r="Z176" s="642">
        <v>0</v>
      </c>
      <c r="AA176" s="642">
        <v>0</v>
      </c>
      <c r="AB176" s="642">
        <v>0</v>
      </c>
      <c r="AC176" s="642">
        <v>0</v>
      </c>
      <c r="AD176" s="642">
        <v>0</v>
      </c>
      <c r="AE176" s="642">
        <v>0.36290450501399146</v>
      </c>
      <c r="AF176" s="642">
        <v>0</v>
      </c>
      <c r="AG176" s="642">
        <v>0</v>
      </c>
      <c r="AH176" s="642">
        <v>41.021033770751153</v>
      </c>
      <c r="AI176" s="642">
        <v>5.1842177504327198</v>
      </c>
      <c r="AJ176" s="642">
        <v>0</v>
      </c>
      <c r="AK176" s="650">
        <v>49.83429657132379</v>
      </c>
    </row>
    <row r="177" spans="3:37" ht="13.5">
      <c r="C177" s="646" t="s">
        <v>77</v>
      </c>
      <c r="D177" s="647">
        <v>42.670287594150253</v>
      </c>
      <c r="E177" s="647">
        <v>543.58592423347193</v>
      </c>
      <c r="F177" s="647">
        <v>-505.27054203728642</v>
      </c>
      <c r="G177" s="647">
        <v>43.651536955186302</v>
      </c>
      <c r="H177" s="647">
        <v>1190.909090909091</v>
      </c>
      <c r="I177" s="647">
        <v>182.7291074592973</v>
      </c>
      <c r="J177" s="647">
        <v>90.391720844241689</v>
      </c>
      <c r="K177" s="647">
        <v>20.465410367143665</v>
      </c>
      <c r="L177" s="647">
        <v>-35.549865905347978</v>
      </c>
      <c r="M177" s="647">
        <v>-5.7591390219552938</v>
      </c>
      <c r="N177" s="647">
        <v>0</v>
      </c>
      <c r="O177" s="647">
        <v>5.2974013835997482</v>
      </c>
      <c r="P177" s="647">
        <v>-528.42224004688751</v>
      </c>
      <c r="Q177" s="647">
        <v>-36.463227585949021</v>
      </c>
      <c r="R177" s="647">
        <v>-0.71363666999870479</v>
      </c>
      <c r="S177" s="647">
        <v>1007.5218284787569</v>
      </c>
      <c r="U177" s="646" t="s">
        <v>77</v>
      </c>
      <c r="V177" s="647">
        <v>11.698923792177441</v>
      </c>
      <c r="W177" s="647">
        <v>418.96678903167981</v>
      </c>
      <c r="X177" s="647">
        <v>-387.18339834497311</v>
      </c>
      <c r="Y177" s="647">
        <v>75.148112962003211</v>
      </c>
      <c r="Z177" s="647">
        <v>1069.3939393939395</v>
      </c>
      <c r="AA177" s="647">
        <v>197.24910745929728</v>
      </c>
      <c r="AB177" s="647">
        <v>86.883130562246151</v>
      </c>
      <c r="AC177" s="647">
        <v>30.900823331372262</v>
      </c>
      <c r="AD177" s="647">
        <v>-49.654518519925347</v>
      </c>
      <c r="AE177" s="647">
        <v>-22.137761047546249</v>
      </c>
      <c r="AF177" s="647">
        <v>0</v>
      </c>
      <c r="AG177" s="647">
        <v>8.719548856576397</v>
      </c>
      <c r="AH177" s="647">
        <v>-515.91151940402369</v>
      </c>
      <c r="AI177" s="647">
        <v>-61.66120404388996</v>
      </c>
      <c r="AJ177" s="647">
        <v>-7.4600647069910382</v>
      </c>
      <c r="AK177" s="647">
        <v>854.95190932194248</v>
      </c>
    </row>
    <row r="178" spans="3:37" ht="13">
      <c r="C178" s="636"/>
      <c r="D178" s="636">
        <v>0</v>
      </c>
      <c r="E178" s="636">
        <v>0</v>
      </c>
      <c r="F178" s="636">
        <v>0</v>
      </c>
      <c r="G178" s="636">
        <v>0</v>
      </c>
      <c r="H178" s="636">
        <v>0</v>
      </c>
      <c r="I178" s="636">
        <v>0</v>
      </c>
      <c r="J178" s="636">
        <v>0</v>
      </c>
      <c r="K178" s="636">
        <v>0</v>
      </c>
      <c r="L178" s="636">
        <v>0</v>
      </c>
      <c r="M178" s="636">
        <v>0</v>
      </c>
      <c r="N178" s="636">
        <v>0</v>
      </c>
      <c r="O178" s="636">
        <v>0</v>
      </c>
      <c r="P178" s="636">
        <v>0</v>
      </c>
      <c r="Q178" s="636">
        <v>0</v>
      </c>
      <c r="R178" s="636">
        <v>0</v>
      </c>
      <c r="S178" s="636">
        <v>0</v>
      </c>
      <c r="U178" s="636"/>
      <c r="V178" s="636">
        <v>0</v>
      </c>
      <c r="W178" s="636">
        <v>0</v>
      </c>
      <c r="X178" s="636">
        <v>0</v>
      </c>
      <c r="Y178" s="636">
        <v>0</v>
      </c>
      <c r="Z178" s="636">
        <v>0</v>
      </c>
      <c r="AA178" s="636">
        <v>0</v>
      </c>
      <c r="AB178" s="636">
        <v>0</v>
      </c>
      <c r="AC178" s="636">
        <v>0</v>
      </c>
      <c r="AD178" s="636">
        <v>0</v>
      </c>
      <c r="AE178" s="636">
        <v>0</v>
      </c>
      <c r="AF178" s="636">
        <v>0</v>
      </c>
      <c r="AG178" s="636">
        <v>0</v>
      </c>
      <c r="AH178" s="636">
        <v>0</v>
      </c>
      <c r="AI178" s="636">
        <v>0</v>
      </c>
      <c r="AJ178" s="636">
        <v>0</v>
      </c>
      <c r="AK178" s="636">
        <v>0</v>
      </c>
    </row>
    <row r="179" spans="3:37" ht="13.5">
      <c r="C179" s="648" t="s">
        <v>78</v>
      </c>
      <c r="D179" s="642">
        <v>6.5032741679727843</v>
      </c>
      <c r="E179" s="642">
        <v>0</v>
      </c>
      <c r="F179" s="642">
        <v>25.052429385041094</v>
      </c>
      <c r="G179" s="642">
        <v>105.0474497029609</v>
      </c>
      <c r="H179" s="642">
        <v>0</v>
      </c>
      <c r="I179" s="642">
        <v>0</v>
      </c>
      <c r="J179" s="642">
        <v>18.534460646102772</v>
      </c>
      <c r="K179" s="642">
        <v>1.777675824710524</v>
      </c>
      <c r="L179" s="642">
        <v>0.85092246484375</v>
      </c>
      <c r="M179" s="642">
        <v>2.1625963554323833</v>
      </c>
      <c r="N179" s="642">
        <v>0</v>
      </c>
      <c r="O179" s="642">
        <v>3.8267455312152764E-4</v>
      </c>
      <c r="P179" s="642">
        <v>109.51907717242362</v>
      </c>
      <c r="Q179" s="642">
        <v>16.327213841854732</v>
      </c>
      <c r="R179" s="642">
        <v>0.36001684570312498</v>
      </c>
      <c r="S179" s="650">
        <v>286.13549908159882</v>
      </c>
      <c r="U179" s="648" t="s">
        <v>78</v>
      </c>
      <c r="V179" s="642">
        <v>0.86555588121413052</v>
      </c>
      <c r="W179" s="642">
        <v>0</v>
      </c>
      <c r="X179" s="642">
        <v>16.762295336222397</v>
      </c>
      <c r="Y179" s="642">
        <v>79.095876477460209</v>
      </c>
      <c r="Z179" s="642">
        <v>0</v>
      </c>
      <c r="AA179" s="642">
        <v>0</v>
      </c>
      <c r="AB179" s="642">
        <v>17.089093863910584</v>
      </c>
      <c r="AC179" s="642">
        <v>6.0070182825186862</v>
      </c>
      <c r="AD179" s="642">
        <v>1.13006109375</v>
      </c>
      <c r="AE179" s="642">
        <v>8.8072015710081235</v>
      </c>
      <c r="AF179" s="642">
        <v>0</v>
      </c>
      <c r="AG179" s="642">
        <v>3.8267455312152764E-4</v>
      </c>
      <c r="AH179" s="642">
        <v>130.4568218783393</v>
      </c>
      <c r="AI179" s="642">
        <v>20.327951659562498</v>
      </c>
      <c r="AJ179" s="642">
        <v>4.7486479492187499</v>
      </c>
      <c r="AK179" s="650">
        <v>285.29090666775784</v>
      </c>
    </row>
    <row r="180" spans="3:37" ht="13.5">
      <c r="C180" s="648" t="s">
        <v>79</v>
      </c>
      <c r="D180" s="642">
        <v>0</v>
      </c>
      <c r="E180" s="642">
        <v>0</v>
      </c>
      <c r="F180" s="642">
        <v>344.1701238998171</v>
      </c>
      <c r="G180" s="642">
        <v>14.686948049507158</v>
      </c>
      <c r="H180" s="642">
        <v>0</v>
      </c>
      <c r="I180" s="642">
        <v>0</v>
      </c>
      <c r="J180" s="642">
        <v>0</v>
      </c>
      <c r="K180" s="642">
        <v>0</v>
      </c>
      <c r="L180" s="642">
        <v>33.466916874810835</v>
      </c>
      <c r="M180" s="642">
        <v>0.29973363366341144</v>
      </c>
      <c r="N180" s="642">
        <v>0</v>
      </c>
      <c r="O180" s="642">
        <v>0</v>
      </c>
      <c r="P180" s="642">
        <v>30.235692409435519</v>
      </c>
      <c r="Q180" s="642">
        <v>0</v>
      </c>
      <c r="R180" s="642">
        <v>0.35361982429557981</v>
      </c>
      <c r="S180" s="650">
        <v>423.21303469152963</v>
      </c>
      <c r="U180" s="648" t="s">
        <v>79</v>
      </c>
      <c r="V180" s="642">
        <v>0</v>
      </c>
      <c r="W180" s="642">
        <v>0</v>
      </c>
      <c r="X180" s="642">
        <v>271.88041786379415</v>
      </c>
      <c r="Y180" s="642">
        <v>13.227335330391124</v>
      </c>
      <c r="Z180" s="642">
        <v>0</v>
      </c>
      <c r="AA180" s="642">
        <v>0</v>
      </c>
      <c r="AB180" s="642">
        <v>0</v>
      </c>
      <c r="AC180" s="642">
        <v>0</v>
      </c>
      <c r="AD180" s="642">
        <v>36.694869225102572</v>
      </c>
      <c r="AE180" s="642">
        <v>1.4697039255990136</v>
      </c>
      <c r="AF180" s="642">
        <v>0</v>
      </c>
      <c r="AG180" s="642">
        <v>0</v>
      </c>
      <c r="AH180" s="642">
        <v>34.641740873286757</v>
      </c>
      <c r="AI180" s="642">
        <v>0</v>
      </c>
      <c r="AJ180" s="642">
        <v>0.81877289536698361</v>
      </c>
      <c r="AK180" s="650">
        <v>358.73284011354053</v>
      </c>
    </row>
    <row r="181" spans="3:37" ht="13.5">
      <c r="C181" s="648" t="s">
        <v>80</v>
      </c>
      <c r="D181" s="642">
        <v>0</v>
      </c>
      <c r="E181" s="642">
        <v>0</v>
      </c>
      <c r="F181" s="642">
        <v>31.509183869953784</v>
      </c>
      <c r="G181" s="642">
        <v>103.72357678672635</v>
      </c>
      <c r="H181" s="642">
        <v>0</v>
      </c>
      <c r="I181" s="642">
        <v>0</v>
      </c>
      <c r="J181" s="642">
        <v>78.735270640359559</v>
      </c>
      <c r="K181" s="642">
        <v>0</v>
      </c>
      <c r="L181" s="642">
        <v>0</v>
      </c>
      <c r="M181" s="642">
        <v>2.1168076895250278</v>
      </c>
      <c r="N181" s="642">
        <v>41.43976216997369</v>
      </c>
      <c r="O181" s="642">
        <v>1.9317269815068459</v>
      </c>
      <c r="P181" s="642">
        <v>175.94122104806229</v>
      </c>
      <c r="Q181" s="642">
        <v>15.783130887728015</v>
      </c>
      <c r="R181" s="642">
        <v>0</v>
      </c>
      <c r="S181" s="650">
        <v>451.18068007383562</v>
      </c>
      <c r="U181" s="648" t="s">
        <v>80</v>
      </c>
      <c r="V181" s="642">
        <v>0</v>
      </c>
      <c r="W181" s="642">
        <v>0</v>
      </c>
      <c r="X181" s="642">
        <v>2.7574808042030705</v>
      </c>
      <c r="Y181" s="642">
        <v>67.24718580242552</v>
      </c>
      <c r="Z181" s="642">
        <v>0</v>
      </c>
      <c r="AA181" s="642">
        <v>0</v>
      </c>
      <c r="AB181" s="642">
        <v>71.925876784938879</v>
      </c>
      <c r="AC181" s="642">
        <v>0</v>
      </c>
      <c r="AD181" s="642">
        <v>0</v>
      </c>
      <c r="AE181" s="642">
        <v>7.4719095336028349</v>
      </c>
      <c r="AF181" s="642">
        <v>46.984438986784113</v>
      </c>
      <c r="AG181" s="642">
        <v>1.9327369863094026</v>
      </c>
      <c r="AH181" s="642">
        <v>159.87092870367675</v>
      </c>
      <c r="AI181" s="642">
        <v>32.787807198116425</v>
      </c>
      <c r="AJ181" s="642">
        <v>0</v>
      </c>
      <c r="AK181" s="650">
        <v>390.97836480005702</v>
      </c>
    </row>
    <row r="182" spans="3:37" ht="13.5">
      <c r="C182" s="648" t="s">
        <v>81</v>
      </c>
      <c r="D182" s="642">
        <v>0</v>
      </c>
      <c r="E182" s="642">
        <v>0</v>
      </c>
      <c r="F182" s="642">
        <v>13.089485167364064</v>
      </c>
      <c r="G182" s="642">
        <v>62.329787012805554</v>
      </c>
      <c r="H182" s="642">
        <v>0</v>
      </c>
      <c r="I182" s="642">
        <v>0</v>
      </c>
      <c r="J182" s="642">
        <v>3.5803203712753549</v>
      </c>
      <c r="K182" s="642">
        <v>2.4997359764460676E-2</v>
      </c>
      <c r="L182" s="642">
        <v>0</v>
      </c>
      <c r="M182" s="642">
        <v>1.2720364696490929</v>
      </c>
      <c r="N182" s="642">
        <v>8.0745890957481183</v>
      </c>
      <c r="O182" s="642">
        <v>0.83294326034961275</v>
      </c>
      <c r="P182" s="642">
        <v>131.24016316985416</v>
      </c>
      <c r="Q182" s="642">
        <v>4.3528828563662758</v>
      </c>
      <c r="R182" s="642">
        <v>0</v>
      </c>
      <c r="S182" s="650">
        <v>224.79720476317669</v>
      </c>
      <c r="U182" s="648" t="s">
        <v>81</v>
      </c>
      <c r="V182" s="642">
        <v>0</v>
      </c>
      <c r="W182" s="642">
        <v>0</v>
      </c>
      <c r="X182" s="642">
        <v>3.9119597768221439</v>
      </c>
      <c r="Y182" s="642">
        <v>38.3508738706755</v>
      </c>
      <c r="Z182" s="642">
        <v>0</v>
      </c>
      <c r="AA182" s="642">
        <v>0</v>
      </c>
      <c r="AB182" s="642">
        <v>7.8602291254253389</v>
      </c>
      <c r="AC182" s="642">
        <v>2.4997359764460676E-2</v>
      </c>
      <c r="AD182" s="642">
        <v>0</v>
      </c>
      <c r="AE182" s="642">
        <v>4.2612082078528335</v>
      </c>
      <c r="AF182" s="642">
        <v>14.106786738135797</v>
      </c>
      <c r="AG182" s="642">
        <v>1.7661272775976942</v>
      </c>
      <c r="AH182" s="642">
        <v>123.29032263862543</v>
      </c>
      <c r="AI182" s="642">
        <v>8.5454451862110297</v>
      </c>
      <c r="AJ182" s="642">
        <v>0</v>
      </c>
      <c r="AK182" s="650">
        <v>202.11795018111022</v>
      </c>
    </row>
    <row r="183" spans="3:37" ht="13.5">
      <c r="C183" s="648" t="s">
        <v>82</v>
      </c>
      <c r="D183" s="642">
        <v>0</v>
      </c>
      <c r="E183" s="642">
        <v>0</v>
      </c>
      <c r="F183" s="642">
        <v>33.167847610565538</v>
      </c>
      <c r="G183" s="642">
        <v>2.1624159537319825</v>
      </c>
      <c r="H183" s="642">
        <v>0</v>
      </c>
      <c r="I183" s="642">
        <v>0</v>
      </c>
      <c r="J183" s="642">
        <v>1.4487991994826963</v>
      </c>
      <c r="K183" s="642">
        <v>0</v>
      </c>
      <c r="L183" s="642">
        <v>2.4657875210358444</v>
      </c>
      <c r="M183" s="642">
        <v>4.4130937831264955E-2</v>
      </c>
      <c r="N183" s="642">
        <v>0</v>
      </c>
      <c r="O183" s="642">
        <v>8.4265288301735436E-2</v>
      </c>
      <c r="P183" s="642">
        <v>7.7746258142900144</v>
      </c>
      <c r="Q183" s="642">
        <v>0</v>
      </c>
      <c r="R183" s="642">
        <v>0</v>
      </c>
      <c r="S183" s="650">
        <v>47.147872325239064</v>
      </c>
      <c r="U183" s="648" t="s">
        <v>82</v>
      </c>
      <c r="V183" s="642">
        <v>0</v>
      </c>
      <c r="W183" s="642">
        <v>0</v>
      </c>
      <c r="X183" s="642">
        <v>27.0175910939627</v>
      </c>
      <c r="Y183" s="642">
        <v>2.3189520199147382</v>
      </c>
      <c r="Z183" s="642">
        <v>0</v>
      </c>
      <c r="AA183" s="642">
        <v>0</v>
      </c>
      <c r="AB183" s="642">
        <v>1.4487991994826963</v>
      </c>
      <c r="AC183" s="642">
        <v>0</v>
      </c>
      <c r="AD183" s="642">
        <v>9.9723689588186737</v>
      </c>
      <c r="AE183" s="642">
        <v>0.257661335546082</v>
      </c>
      <c r="AF183" s="642">
        <v>0</v>
      </c>
      <c r="AG183" s="642">
        <v>0.62518456969816016</v>
      </c>
      <c r="AH183" s="642">
        <v>7.8177780162568453</v>
      </c>
      <c r="AI183" s="642">
        <v>0</v>
      </c>
      <c r="AJ183" s="642">
        <v>0.17366238047171115</v>
      </c>
      <c r="AK183" s="650">
        <v>49.631997574151612</v>
      </c>
    </row>
    <row r="184" spans="3:37" ht="13.5">
      <c r="C184" s="648" t="s">
        <v>357</v>
      </c>
      <c r="D184" s="642">
        <v>0</v>
      </c>
      <c r="E184" s="642">
        <v>0</v>
      </c>
      <c r="F184" s="642">
        <v>0</v>
      </c>
      <c r="G184" s="642">
        <v>0</v>
      </c>
      <c r="H184" s="642">
        <v>0</v>
      </c>
      <c r="I184" s="642">
        <v>0</v>
      </c>
      <c r="J184" s="642">
        <v>0</v>
      </c>
      <c r="K184" s="642">
        <v>0</v>
      </c>
      <c r="L184" s="642">
        <v>0</v>
      </c>
      <c r="M184" s="642">
        <v>0</v>
      </c>
      <c r="N184" s="642">
        <v>0</v>
      </c>
      <c r="O184" s="642">
        <v>0</v>
      </c>
      <c r="P184" s="642">
        <v>0</v>
      </c>
      <c r="Q184" s="642">
        <v>0</v>
      </c>
      <c r="R184" s="642">
        <v>0</v>
      </c>
      <c r="S184" s="650">
        <v>0</v>
      </c>
      <c r="U184" s="648" t="s">
        <v>357</v>
      </c>
      <c r="V184" s="642">
        <v>0</v>
      </c>
      <c r="W184" s="642">
        <v>0</v>
      </c>
      <c r="X184" s="642">
        <v>0</v>
      </c>
      <c r="Y184" s="642">
        <v>0</v>
      </c>
      <c r="Z184" s="642">
        <v>0</v>
      </c>
      <c r="AA184" s="642">
        <v>0</v>
      </c>
      <c r="AB184" s="642">
        <v>0</v>
      </c>
      <c r="AC184" s="642">
        <v>0</v>
      </c>
      <c r="AD184" s="642">
        <v>0</v>
      </c>
      <c r="AE184" s="642">
        <v>0</v>
      </c>
      <c r="AF184" s="642">
        <v>0</v>
      </c>
      <c r="AG184" s="642">
        <v>0</v>
      </c>
      <c r="AH184" s="642">
        <v>0.6</v>
      </c>
      <c r="AI184" s="642">
        <v>0</v>
      </c>
      <c r="AJ184" s="642">
        <v>0</v>
      </c>
      <c r="AK184" s="650">
        <v>0.6</v>
      </c>
    </row>
    <row r="185" spans="3:37" ht="13.5">
      <c r="C185" s="646" t="s">
        <v>83</v>
      </c>
      <c r="D185" s="647">
        <v>6.5032741679727843</v>
      </c>
      <c r="E185" s="647">
        <v>0</v>
      </c>
      <c r="F185" s="647">
        <v>446.98906993274153</v>
      </c>
      <c r="G185" s="647">
        <v>287.95017750573197</v>
      </c>
      <c r="H185" s="647">
        <v>0</v>
      </c>
      <c r="I185" s="647">
        <v>0</v>
      </c>
      <c r="J185" s="647">
        <v>102.29885085722037</v>
      </c>
      <c r="K185" s="647">
        <v>1.8026731844749846</v>
      </c>
      <c r="L185" s="647">
        <v>36.783626860690426</v>
      </c>
      <c r="M185" s="647">
        <v>5.8953050861011809</v>
      </c>
      <c r="N185" s="647">
        <v>49.514351265721807</v>
      </c>
      <c r="O185" s="647">
        <v>2.8493182047113157</v>
      </c>
      <c r="P185" s="647">
        <v>454.71077961406559</v>
      </c>
      <c r="Q185" s="647">
        <v>36.463227585949028</v>
      </c>
      <c r="R185" s="647">
        <v>0.71363666999870479</v>
      </c>
      <c r="S185" s="647">
        <v>1432.4742909353797</v>
      </c>
      <c r="U185" s="646" t="s">
        <v>83</v>
      </c>
      <c r="V185" s="647">
        <v>0.86555588121413052</v>
      </c>
      <c r="W185" s="647">
        <v>0</v>
      </c>
      <c r="X185" s="647">
        <v>322.32974487500439</v>
      </c>
      <c r="Y185" s="647">
        <v>200.24022350086713</v>
      </c>
      <c r="Z185" s="647">
        <v>0</v>
      </c>
      <c r="AA185" s="647">
        <v>0</v>
      </c>
      <c r="AB185" s="647">
        <v>98.323998973757497</v>
      </c>
      <c r="AC185" s="647">
        <v>6.032015642283147</v>
      </c>
      <c r="AD185" s="647">
        <v>47.797299277671243</v>
      </c>
      <c r="AE185" s="647">
        <v>22.267684573608886</v>
      </c>
      <c r="AF185" s="647">
        <v>61.091225724919909</v>
      </c>
      <c r="AG185" s="647">
        <v>4.3244315081583782</v>
      </c>
      <c r="AH185" s="647">
        <v>456.67759211018512</v>
      </c>
      <c r="AI185" s="647">
        <v>61.66120404388996</v>
      </c>
      <c r="AJ185" s="647">
        <v>5.7410832250574444</v>
      </c>
      <c r="AK185" s="647">
        <v>1287.352059336617</v>
      </c>
    </row>
    <row r="186" spans="3:37" ht="13.5">
      <c r="C186" s="641" t="s">
        <v>84</v>
      </c>
      <c r="D186" s="642">
        <v>0</v>
      </c>
      <c r="E186" s="642">
        <v>0</v>
      </c>
      <c r="F186" s="642">
        <v>120.50577840542185</v>
      </c>
      <c r="G186" s="642">
        <v>12.411293173801123</v>
      </c>
      <c r="H186" s="642">
        <v>0</v>
      </c>
      <c r="I186" s="642">
        <v>0</v>
      </c>
      <c r="J186" s="642">
        <v>0</v>
      </c>
      <c r="K186" s="642">
        <v>0</v>
      </c>
      <c r="L186" s="642">
        <v>0</v>
      </c>
      <c r="M186" s="642">
        <v>0</v>
      </c>
      <c r="N186" s="642">
        <v>0</v>
      </c>
      <c r="O186" s="642">
        <v>0</v>
      </c>
      <c r="P186" s="642">
        <v>0</v>
      </c>
      <c r="Q186" s="642">
        <v>0</v>
      </c>
      <c r="R186" s="642">
        <v>0</v>
      </c>
      <c r="S186" s="650">
        <v>132.91707157922298</v>
      </c>
      <c r="U186" s="641" t="s">
        <v>84</v>
      </c>
      <c r="V186" s="642">
        <v>0</v>
      </c>
      <c r="W186" s="642">
        <v>0</v>
      </c>
      <c r="X186" s="642">
        <v>117.28279502427566</v>
      </c>
      <c r="Y186" s="642">
        <v>1.8168604665649504</v>
      </c>
      <c r="Z186" s="642">
        <v>0</v>
      </c>
      <c r="AA186" s="642">
        <v>0</v>
      </c>
      <c r="AB186" s="642">
        <v>0</v>
      </c>
      <c r="AC186" s="642">
        <v>0</v>
      </c>
      <c r="AD186" s="642">
        <v>0.35207966308593752</v>
      </c>
      <c r="AE186" s="642">
        <v>0</v>
      </c>
      <c r="AF186" s="642">
        <v>0</v>
      </c>
      <c r="AG186" s="642">
        <v>0</v>
      </c>
      <c r="AH186" s="642">
        <v>0</v>
      </c>
      <c r="AI186" s="642">
        <v>0</v>
      </c>
      <c r="AJ186" s="642">
        <v>1.7189814819335938</v>
      </c>
      <c r="AK186" s="650">
        <v>121.17071663586013</v>
      </c>
    </row>
    <row r="187" spans="3:37" ht="13.5">
      <c r="C187" s="646" t="s">
        <v>85</v>
      </c>
      <c r="D187" s="647">
        <v>6.5032741679727843</v>
      </c>
      <c r="E187" s="647">
        <v>0</v>
      </c>
      <c r="F187" s="647">
        <v>567.49484833816337</v>
      </c>
      <c r="G187" s="647">
        <v>300.36147067953311</v>
      </c>
      <c r="H187" s="647">
        <v>0</v>
      </c>
      <c r="I187" s="647">
        <v>0</v>
      </c>
      <c r="J187" s="647">
        <v>102.29885085722037</v>
      </c>
      <c r="K187" s="647">
        <v>1.8026731844749846</v>
      </c>
      <c r="L187" s="647">
        <v>36.783626860690426</v>
      </c>
      <c r="M187" s="647">
        <v>5.8953050861011809</v>
      </c>
      <c r="N187" s="647">
        <v>49.514351265721807</v>
      </c>
      <c r="O187" s="647">
        <v>2.8493182047113157</v>
      </c>
      <c r="P187" s="647">
        <v>454.71077961406559</v>
      </c>
      <c r="Q187" s="647">
        <v>36.463227585949028</v>
      </c>
      <c r="R187" s="647">
        <v>0.71363666999870479</v>
      </c>
      <c r="S187" s="647">
        <v>1565.3913625146026</v>
      </c>
      <c r="U187" s="646" t="s">
        <v>85</v>
      </c>
      <c r="V187" s="647">
        <v>0.86555588121413052</v>
      </c>
      <c r="W187" s="647">
        <v>0</v>
      </c>
      <c r="X187" s="647">
        <v>439.61253989928008</v>
      </c>
      <c r="Y187" s="647">
        <v>202.05708396743208</v>
      </c>
      <c r="Z187" s="647">
        <v>0</v>
      </c>
      <c r="AA187" s="647">
        <v>0</v>
      </c>
      <c r="AB187" s="647">
        <v>98.323998973757497</v>
      </c>
      <c r="AC187" s="647">
        <v>6.032015642283147</v>
      </c>
      <c r="AD187" s="647">
        <v>48.149378940757181</v>
      </c>
      <c r="AE187" s="647">
        <v>22.267684573608886</v>
      </c>
      <c r="AF187" s="647">
        <v>61.091225724919909</v>
      </c>
      <c r="AG187" s="647">
        <v>4.3244315081583782</v>
      </c>
      <c r="AH187" s="647">
        <v>456.67759211018512</v>
      </c>
      <c r="AI187" s="647">
        <v>61.66120404388996</v>
      </c>
      <c r="AJ187" s="647">
        <v>7.4600647069910382</v>
      </c>
      <c r="AK187" s="647">
        <v>1408.5227759724771</v>
      </c>
    </row>
    <row r="188" spans="3:37" ht="13">
      <c r="C188" s="636"/>
      <c r="D188" s="636"/>
      <c r="E188" s="636"/>
      <c r="F188" s="636"/>
      <c r="G188" s="636"/>
      <c r="H188" s="636"/>
      <c r="I188" s="636"/>
      <c r="J188" s="636"/>
      <c r="K188" s="636"/>
      <c r="L188" s="636"/>
      <c r="M188" s="636"/>
      <c r="N188" s="636"/>
      <c r="O188" s="636"/>
      <c r="P188" s="636"/>
      <c r="Q188" s="636"/>
      <c r="R188" s="636"/>
      <c r="S188" s="636"/>
      <c r="U188" s="636"/>
      <c r="V188" s="636"/>
      <c r="W188" s="636"/>
      <c r="X188" s="636"/>
      <c r="Y188" s="636"/>
      <c r="Z188" s="636"/>
      <c r="AA188" s="636"/>
      <c r="AB188" s="636"/>
      <c r="AC188" s="636"/>
      <c r="AD188" s="636"/>
      <c r="AE188" s="636"/>
      <c r="AF188" s="636"/>
      <c r="AG188" s="636"/>
      <c r="AH188" s="636"/>
      <c r="AI188" s="636"/>
      <c r="AJ188" s="636"/>
      <c r="AK188" s="636"/>
    </row>
    <row r="189" spans="3:37" ht="22.5">
      <c r="C189" s="699" t="s">
        <v>360</v>
      </c>
      <c r="D189" s="699"/>
      <c r="E189" s="699"/>
      <c r="F189" s="699"/>
      <c r="G189" s="699"/>
      <c r="H189" s="699"/>
      <c r="I189" s="699"/>
      <c r="J189" s="699"/>
      <c r="K189" s="699"/>
      <c r="L189" s="699"/>
      <c r="M189" s="699"/>
      <c r="N189" s="699"/>
      <c r="O189" s="699"/>
      <c r="P189" s="699"/>
      <c r="Q189" s="699"/>
      <c r="R189" s="699"/>
      <c r="S189" s="699"/>
      <c r="U189" s="699" t="s">
        <v>360</v>
      </c>
      <c r="V189" s="699"/>
      <c r="W189" s="699"/>
      <c r="X189" s="699"/>
      <c r="Y189" s="699"/>
      <c r="Z189" s="699"/>
      <c r="AA189" s="699"/>
      <c r="AB189" s="699"/>
      <c r="AC189" s="699"/>
      <c r="AD189" s="699"/>
      <c r="AE189" s="699"/>
      <c r="AF189" s="699"/>
      <c r="AG189" s="699"/>
      <c r="AH189" s="699"/>
      <c r="AI189" s="699"/>
      <c r="AJ189" s="699"/>
      <c r="AK189" s="699"/>
    </row>
    <row r="190" spans="3:37" ht="13">
      <c r="C190" s="636"/>
      <c r="D190" s="636"/>
      <c r="E190" s="636"/>
      <c r="F190" s="636"/>
      <c r="G190" s="636"/>
      <c r="H190" s="636"/>
      <c r="I190" s="636"/>
      <c r="J190" s="636"/>
      <c r="K190" s="636"/>
      <c r="L190" s="636"/>
      <c r="M190" s="636"/>
      <c r="N190" s="636"/>
      <c r="O190" s="636"/>
      <c r="P190" s="636"/>
      <c r="Q190" s="636"/>
      <c r="R190" s="636"/>
      <c r="S190" s="636"/>
      <c r="U190" s="636"/>
      <c r="V190" s="636"/>
      <c r="W190" s="636"/>
      <c r="X190" s="636"/>
      <c r="Y190" s="636"/>
      <c r="Z190" s="636"/>
      <c r="AA190" s="636"/>
      <c r="AB190" s="636"/>
      <c r="AC190" s="636"/>
      <c r="AD190" s="636"/>
      <c r="AE190" s="636"/>
      <c r="AF190" s="636"/>
      <c r="AG190" s="636"/>
      <c r="AH190" s="636"/>
      <c r="AI190" s="636"/>
      <c r="AJ190" s="636"/>
      <c r="AK190" s="636"/>
    </row>
    <row r="191" spans="3:37" ht="13" customHeight="1">
      <c r="C191" s="700" t="s">
        <v>128</v>
      </c>
      <c r="D191" s="701" t="s">
        <v>42</v>
      </c>
      <c r="E191" s="701" t="s">
        <v>52</v>
      </c>
      <c r="F191" s="701" t="s">
        <v>53</v>
      </c>
      <c r="G191" s="701" t="s">
        <v>32</v>
      </c>
      <c r="H191" s="701" t="s">
        <v>20</v>
      </c>
      <c r="I191" s="701" t="s">
        <v>55</v>
      </c>
      <c r="J191" s="701" t="s">
        <v>56</v>
      </c>
      <c r="K191" s="701"/>
      <c r="L191" s="701"/>
      <c r="M191" s="701"/>
      <c r="N191" s="701"/>
      <c r="O191" s="701"/>
      <c r="P191" s="701" t="s">
        <v>57</v>
      </c>
      <c r="Q191" s="701" t="s">
        <v>58</v>
      </c>
      <c r="R191" s="701" t="s">
        <v>31</v>
      </c>
      <c r="S191" s="701" t="s">
        <v>10</v>
      </c>
      <c r="U191" s="700" t="s">
        <v>128</v>
      </c>
      <c r="V191" s="701" t="s">
        <v>42</v>
      </c>
      <c r="W191" s="701" t="s">
        <v>52</v>
      </c>
      <c r="X191" s="701" t="s">
        <v>53</v>
      </c>
      <c r="Y191" s="701" t="s">
        <v>32</v>
      </c>
      <c r="Z191" s="701" t="s">
        <v>20</v>
      </c>
      <c r="AA191" s="701" t="s">
        <v>55</v>
      </c>
      <c r="AB191" s="701" t="s">
        <v>56</v>
      </c>
      <c r="AC191" s="701"/>
      <c r="AD191" s="701"/>
      <c r="AE191" s="701"/>
      <c r="AF191" s="701"/>
      <c r="AG191" s="701"/>
      <c r="AH191" s="701" t="s">
        <v>57</v>
      </c>
      <c r="AI191" s="701" t="s">
        <v>58</v>
      </c>
      <c r="AJ191" s="701" t="s">
        <v>31</v>
      </c>
      <c r="AK191" s="701" t="s">
        <v>10</v>
      </c>
    </row>
    <row r="192" spans="3:37" ht="46">
      <c r="C192" s="700"/>
      <c r="D192" s="701"/>
      <c r="E192" s="701"/>
      <c r="F192" s="701"/>
      <c r="G192" s="701"/>
      <c r="H192" s="701"/>
      <c r="I192" s="701"/>
      <c r="J192" s="640" t="s">
        <v>338</v>
      </c>
      <c r="K192" s="640" t="s">
        <v>40</v>
      </c>
      <c r="L192" s="640" t="s">
        <v>346</v>
      </c>
      <c r="M192" s="640" t="s">
        <v>347</v>
      </c>
      <c r="N192" s="640" t="s">
        <v>348</v>
      </c>
      <c r="O192" s="640" t="s">
        <v>349</v>
      </c>
      <c r="P192" s="701"/>
      <c r="Q192" s="701"/>
      <c r="R192" s="701"/>
      <c r="S192" s="701"/>
      <c r="U192" s="700"/>
      <c r="V192" s="701"/>
      <c r="W192" s="701"/>
      <c r="X192" s="701"/>
      <c r="Y192" s="701"/>
      <c r="Z192" s="701"/>
      <c r="AA192" s="701"/>
      <c r="AB192" s="640" t="s">
        <v>338</v>
      </c>
      <c r="AC192" s="640" t="s">
        <v>40</v>
      </c>
      <c r="AD192" s="640" t="s">
        <v>346</v>
      </c>
      <c r="AE192" s="640" t="s">
        <v>347</v>
      </c>
      <c r="AF192" s="640" t="s">
        <v>348</v>
      </c>
      <c r="AG192" s="640" t="s">
        <v>349</v>
      </c>
      <c r="AH192" s="701"/>
      <c r="AI192" s="701"/>
      <c r="AJ192" s="701"/>
      <c r="AK192" s="701"/>
    </row>
    <row r="193" spans="3:37" ht="13.5">
      <c r="C193" s="641" t="s">
        <v>59</v>
      </c>
      <c r="D193" s="642">
        <v>0</v>
      </c>
      <c r="E193" s="643">
        <v>7.3966799999999999</v>
      </c>
      <c r="F193" s="643">
        <v>0</v>
      </c>
      <c r="G193" s="642">
        <v>0.13025600000000001</v>
      </c>
      <c r="H193" s="643">
        <v>1121.3636363636365</v>
      </c>
      <c r="I193" s="643">
        <v>207.57369132422022</v>
      </c>
      <c r="J193" s="643">
        <v>190.75115787672021</v>
      </c>
      <c r="K193" s="643">
        <v>21.756321957796004</v>
      </c>
      <c r="L193" s="643">
        <v>0.34997737871272444</v>
      </c>
      <c r="M193" s="643">
        <v>0.14846473955328648</v>
      </c>
      <c r="N193" s="643">
        <v>54.409714472774652</v>
      </c>
      <c r="O193" s="643">
        <v>8.1015620286034657</v>
      </c>
      <c r="P193" s="644">
        <v>0</v>
      </c>
      <c r="Q193" s="643">
        <v>0</v>
      </c>
      <c r="R193" s="643">
        <v>0</v>
      </c>
      <c r="S193" s="645">
        <v>1611.9814621420169</v>
      </c>
      <c r="U193" s="641" t="s">
        <v>59</v>
      </c>
      <c r="V193" s="642">
        <v>0</v>
      </c>
      <c r="W193" s="643">
        <v>7.3966799999999999</v>
      </c>
      <c r="X193" s="643">
        <v>0</v>
      </c>
      <c r="Y193" s="642">
        <v>0.13025600000000001</v>
      </c>
      <c r="Z193" s="643">
        <v>1024.3939393939395</v>
      </c>
      <c r="AA193" s="643">
        <v>228.1236913242202</v>
      </c>
      <c r="AB193" s="643">
        <v>188.80425896422437</v>
      </c>
      <c r="AC193" s="643">
        <v>37.588366510920622</v>
      </c>
      <c r="AD193" s="643">
        <v>0.34997737871272444</v>
      </c>
      <c r="AE193" s="643">
        <v>0.14846473955328648</v>
      </c>
      <c r="AF193" s="643">
        <v>70.498567758341522</v>
      </c>
      <c r="AG193" s="643">
        <v>15.201618538088493</v>
      </c>
      <c r="AH193" s="644">
        <v>0</v>
      </c>
      <c r="AI193" s="643">
        <v>0</v>
      </c>
      <c r="AJ193" s="643">
        <v>0</v>
      </c>
      <c r="AK193" s="645">
        <v>1572.6358206080006</v>
      </c>
    </row>
    <row r="194" spans="3:37" ht="13.5">
      <c r="C194" s="641" t="s">
        <v>60</v>
      </c>
      <c r="D194" s="642">
        <v>48.993463204278932</v>
      </c>
      <c r="E194" s="643">
        <v>524.37115290345116</v>
      </c>
      <c r="F194" s="643">
        <v>128.47715148642752</v>
      </c>
      <c r="G194" s="642">
        <v>338.60190682175607</v>
      </c>
      <c r="H194" s="643">
        <v>0</v>
      </c>
      <c r="I194" s="643">
        <v>0</v>
      </c>
      <c r="J194" s="643">
        <v>3.4492102766833175</v>
      </c>
      <c r="K194" s="643">
        <v>0</v>
      </c>
      <c r="L194" s="643">
        <v>1.9497058389942057</v>
      </c>
      <c r="M194" s="643">
        <v>0</v>
      </c>
      <c r="N194" s="643">
        <v>0</v>
      </c>
      <c r="O194" s="643">
        <v>0</v>
      </c>
      <c r="P194" s="644">
        <v>0</v>
      </c>
      <c r="Q194" s="643">
        <v>0</v>
      </c>
      <c r="R194" s="643">
        <v>0</v>
      </c>
      <c r="S194" s="645">
        <v>1045.8425905315912</v>
      </c>
      <c r="U194" s="641" t="s">
        <v>60</v>
      </c>
      <c r="V194" s="642">
        <v>10.847134235204434</v>
      </c>
      <c r="W194" s="643">
        <v>365.76498082844296</v>
      </c>
      <c r="X194" s="643">
        <v>91.958139733680838</v>
      </c>
      <c r="Y194" s="642">
        <v>234.76100914366791</v>
      </c>
      <c r="Z194" s="643">
        <v>0</v>
      </c>
      <c r="AA194" s="643">
        <v>0</v>
      </c>
      <c r="AB194" s="643">
        <v>3.4492102766833175</v>
      </c>
      <c r="AC194" s="643">
        <v>0</v>
      </c>
      <c r="AD194" s="643">
        <v>1.9497058389942057</v>
      </c>
      <c r="AE194" s="643">
        <v>0</v>
      </c>
      <c r="AF194" s="643">
        <v>0</v>
      </c>
      <c r="AG194" s="643">
        <v>0</v>
      </c>
      <c r="AH194" s="644">
        <v>0</v>
      </c>
      <c r="AI194" s="643">
        <v>0</v>
      </c>
      <c r="AJ194" s="643">
        <v>0</v>
      </c>
      <c r="AK194" s="645">
        <v>708.7301800566737</v>
      </c>
    </row>
    <row r="195" spans="3:37" ht="13.5">
      <c r="C195" s="641" t="s">
        <v>61</v>
      </c>
      <c r="D195" s="642">
        <v>0</v>
      </c>
      <c r="E195" s="643">
        <v>0</v>
      </c>
      <c r="F195" s="643">
        <v>0</v>
      </c>
      <c r="G195" s="642">
        <v>0</v>
      </c>
      <c r="H195" s="643">
        <v>0</v>
      </c>
      <c r="I195" s="643">
        <v>0</v>
      </c>
      <c r="J195" s="643">
        <v>0</v>
      </c>
      <c r="K195" s="643">
        <v>0</v>
      </c>
      <c r="L195" s="643">
        <v>0</v>
      </c>
      <c r="M195" s="643">
        <v>0</v>
      </c>
      <c r="N195" s="643">
        <v>0</v>
      </c>
      <c r="O195" s="643">
        <v>0</v>
      </c>
      <c r="P195" s="644">
        <v>-60.003896317889257</v>
      </c>
      <c r="Q195" s="643">
        <v>0</v>
      </c>
      <c r="R195" s="643">
        <v>0</v>
      </c>
      <c r="S195" s="645">
        <v>-60.003896317889257</v>
      </c>
      <c r="U195" s="641" t="s">
        <v>61</v>
      </c>
      <c r="V195" s="642">
        <v>0</v>
      </c>
      <c r="W195" s="643">
        <v>0</v>
      </c>
      <c r="X195" s="643">
        <v>0</v>
      </c>
      <c r="Y195" s="642">
        <v>0</v>
      </c>
      <c r="Z195" s="643">
        <v>0</v>
      </c>
      <c r="AA195" s="643">
        <v>0</v>
      </c>
      <c r="AB195" s="643">
        <v>0</v>
      </c>
      <c r="AC195" s="643">
        <v>0</v>
      </c>
      <c r="AD195" s="643">
        <v>0</v>
      </c>
      <c r="AE195" s="643">
        <v>0</v>
      </c>
      <c r="AF195" s="643">
        <v>0</v>
      </c>
      <c r="AG195" s="643">
        <v>0</v>
      </c>
      <c r="AH195" s="644">
        <v>-43.289743938015249</v>
      </c>
      <c r="AI195" s="643">
        <v>0</v>
      </c>
      <c r="AJ195" s="643">
        <v>0</v>
      </c>
      <c r="AK195" s="645">
        <v>-43.289743938015249</v>
      </c>
    </row>
    <row r="196" spans="3:37" ht="13.5">
      <c r="C196" s="641" t="s">
        <v>62</v>
      </c>
      <c r="D196" s="642">
        <v>0</v>
      </c>
      <c r="E196" s="643">
        <v>0</v>
      </c>
      <c r="F196" s="643">
        <v>-16.352432750095883</v>
      </c>
      <c r="G196" s="642">
        <v>0</v>
      </c>
      <c r="H196" s="643">
        <v>0</v>
      </c>
      <c r="I196" s="643">
        <v>0</v>
      </c>
      <c r="J196" s="643">
        <v>0</v>
      </c>
      <c r="K196" s="643">
        <v>0</v>
      </c>
      <c r="L196" s="643">
        <v>0</v>
      </c>
      <c r="M196" s="643">
        <v>0</v>
      </c>
      <c r="N196" s="643">
        <v>0</v>
      </c>
      <c r="O196" s="643">
        <v>0</v>
      </c>
      <c r="P196" s="644">
        <v>0</v>
      </c>
      <c r="Q196" s="643">
        <v>0</v>
      </c>
      <c r="R196" s="643">
        <v>0</v>
      </c>
      <c r="S196" s="645">
        <v>-16.352432750095883</v>
      </c>
      <c r="U196" s="641" t="s">
        <v>62</v>
      </c>
      <c r="V196" s="642">
        <v>0</v>
      </c>
      <c r="W196" s="643">
        <v>0</v>
      </c>
      <c r="X196" s="643">
        <v>-14.208433022133823</v>
      </c>
      <c r="Y196" s="642">
        <v>-0.95675088928507923</v>
      </c>
      <c r="Z196" s="643">
        <v>0</v>
      </c>
      <c r="AA196" s="643">
        <v>0</v>
      </c>
      <c r="AB196" s="643">
        <v>0</v>
      </c>
      <c r="AC196" s="643">
        <v>0</v>
      </c>
      <c r="AD196" s="643">
        <v>0</v>
      </c>
      <c r="AE196" s="643">
        <v>-0.16736955973660289</v>
      </c>
      <c r="AF196" s="643">
        <v>0</v>
      </c>
      <c r="AG196" s="643">
        <v>0</v>
      </c>
      <c r="AH196" s="644">
        <v>0</v>
      </c>
      <c r="AI196" s="643">
        <v>0</v>
      </c>
      <c r="AJ196" s="643">
        <v>0</v>
      </c>
      <c r="AK196" s="645">
        <v>-15.332553471155505</v>
      </c>
    </row>
    <row r="197" spans="3:37" ht="13.5">
      <c r="C197" s="641" t="s">
        <v>63</v>
      </c>
      <c r="D197" s="642">
        <v>0</v>
      </c>
      <c r="E197" s="643">
        <v>0</v>
      </c>
      <c r="F197" s="643">
        <v>-82.364123594751035</v>
      </c>
      <c r="G197" s="642">
        <v>0</v>
      </c>
      <c r="H197" s="643">
        <v>0</v>
      </c>
      <c r="I197" s="643">
        <v>0</v>
      </c>
      <c r="J197" s="643">
        <v>0</v>
      </c>
      <c r="K197" s="643">
        <v>0</v>
      </c>
      <c r="L197" s="643">
        <v>-0.84952974503182688</v>
      </c>
      <c r="M197" s="643">
        <v>0</v>
      </c>
      <c r="N197" s="643">
        <v>0</v>
      </c>
      <c r="O197" s="643">
        <v>0</v>
      </c>
      <c r="P197" s="644">
        <v>0</v>
      </c>
      <c r="Q197" s="643">
        <v>0</v>
      </c>
      <c r="R197" s="643">
        <v>0</v>
      </c>
      <c r="S197" s="645">
        <v>-83.213653339782866</v>
      </c>
      <c r="U197" s="641" t="s">
        <v>63</v>
      </c>
      <c r="V197" s="642">
        <v>0</v>
      </c>
      <c r="W197" s="643">
        <v>0</v>
      </c>
      <c r="X197" s="643">
        <v>-71.599112277853877</v>
      </c>
      <c r="Y197" s="642">
        <v>0</v>
      </c>
      <c r="Z197" s="643">
        <v>0</v>
      </c>
      <c r="AA197" s="643">
        <v>0</v>
      </c>
      <c r="AB197" s="643">
        <v>0</v>
      </c>
      <c r="AC197" s="643">
        <v>0</v>
      </c>
      <c r="AD197" s="643">
        <v>-10.622786066784549</v>
      </c>
      <c r="AE197" s="643">
        <v>0</v>
      </c>
      <c r="AF197" s="643">
        <v>0</v>
      </c>
      <c r="AG197" s="643">
        <v>0</v>
      </c>
      <c r="AH197" s="644">
        <v>0</v>
      </c>
      <c r="AI197" s="643">
        <v>0</v>
      </c>
      <c r="AJ197" s="643">
        <v>0</v>
      </c>
      <c r="AK197" s="645">
        <v>-82.221898344638419</v>
      </c>
    </row>
    <row r="198" spans="3:37" ht="13.5">
      <c r="C198" s="641" t="s">
        <v>64</v>
      </c>
      <c r="D198" s="642">
        <v>0</v>
      </c>
      <c r="E198" s="643">
        <v>0</v>
      </c>
      <c r="F198" s="643">
        <v>0</v>
      </c>
      <c r="G198" s="642">
        <v>0</v>
      </c>
      <c r="H198" s="643">
        <v>0</v>
      </c>
      <c r="I198" s="643">
        <v>0</v>
      </c>
      <c r="J198" s="643">
        <v>0</v>
      </c>
      <c r="K198" s="643">
        <v>0</v>
      </c>
      <c r="L198" s="643">
        <v>0</v>
      </c>
      <c r="M198" s="643">
        <v>0</v>
      </c>
      <c r="N198" s="643">
        <v>0</v>
      </c>
      <c r="O198" s="643">
        <v>0</v>
      </c>
      <c r="P198" s="644">
        <v>0</v>
      </c>
      <c r="Q198" s="643">
        <v>0</v>
      </c>
      <c r="R198" s="643">
        <v>0</v>
      </c>
      <c r="S198" s="645">
        <v>0</v>
      </c>
      <c r="U198" s="641" t="s">
        <v>64</v>
      </c>
      <c r="V198" s="642">
        <v>0</v>
      </c>
      <c r="W198" s="643">
        <v>0</v>
      </c>
      <c r="X198" s="643">
        <v>0</v>
      </c>
      <c r="Y198" s="642">
        <v>0</v>
      </c>
      <c r="Z198" s="643">
        <v>0</v>
      </c>
      <c r="AA198" s="643">
        <v>0</v>
      </c>
      <c r="AB198" s="643">
        <v>0</v>
      </c>
      <c r="AC198" s="643">
        <v>0</v>
      </c>
      <c r="AD198" s="643">
        <v>0</v>
      </c>
      <c r="AE198" s="643">
        <v>0</v>
      </c>
      <c r="AF198" s="643">
        <v>0</v>
      </c>
      <c r="AG198" s="643">
        <v>0</v>
      </c>
      <c r="AH198" s="644">
        <v>0</v>
      </c>
      <c r="AI198" s="643">
        <v>0</v>
      </c>
      <c r="AJ198" s="643">
        <v>0</v>
      </c>
      <c r="AK198" s="645">
        <v>0</v>
      </c>
    </row>
    <row r="199" spans="3:37" ht="13.5">
      <c r="C199" s="646" t="s">
        <v>65</v>
      </c>
      <c r="D199" s="647">
        <v>48.993463204278932</v>
      </c>
      <c r="E199" s="647">
        <v>531.76783290345111</v>
      </c>
      <c r="F199" s="647">
        <v>29.760595141580591</v>
      </c>
      <c r="G199" s="647">
        <v>338.73216282175605</v>
      </c>
      <c r="H199" s="647">
        <v>1121.3636363636365</v>
      </c>
      <c r="I199" s="647">
        <v>207.57369132422022</v>
      </c>
      <c r="J199" s="647">
        <v>194.20036815340353</v>
      </c>
      <c r="K199" s="647">
        <v>21.756321957796004</v>
      </c>
      <c r="L199" s="647">
        <v>1.4501534726751033</v>
      </c>
      <c r="M199" s="647">
        <v>0.14846473955328648</v>
      </c>
      <c r="N199" s="647">
        <v>54.409714472774652</v>
      </c>
      <c r="O199" s="647">
        <v>8.1015620286034657</v>
      </c>
      <c r="P199" s="647">
        <v>-60.003896317889257</v>
      </c>
      <c r="Q199" s="647">
        <v>0</v>
      </c>
      <c r="R199" s="647">
        <v>0</v>
      </c>
      <c r="S199" s="647">
        <v>2498.2540702658398</v>
      </c>
      <c r="U199" s="646" t="s">
        <v>65</v>
      </c>
      <c r="V199" s="647">
        <v>10.847134235204434</v>
      </c>
      <c r="W199" s="647">
        <v>373.16166082844296</v>
      </c>
      <c r="X199" s="647">
        <v>6.1505944336931329</v>
      </c>
      <c r="Y199" s="647">
        <v>233.93451425438283</v>
      </c>
      <c r="Z199" s="647">
        <v>1024.3939393939395</v>
      </c>
      <c r="AA199" s="647">
        <v>228.1236913242202</v>
      </c>
      <c r="AB199" s="647">
        <v>192.25346924090769</v>
      </c>
      <c r="AC199" s="647">
        <v>37.588366510920622</v>
      </c>
      <c r="AD199" s="647">
        <v>-8.3231028490776193</v>
      </c>
      <c r="AE199" s="647">
        <v>-1.8904820183316406E-2</v>
      </c>
      <c r="AF199" s="647">
        <v>70.498567758341522</v>
      </c>
      <c r="AG199" s="647">
        <v>15.201618538088493</v>
      </c>
      <c r="AH199" s="647">
        <v>-43.289743938015249</v>
      </c>
      <c r="AI199" s="647">
        <v>0</v>
      </c>
      <c r="AJ199" s="647">
        <v>0</v>
      </c>
      <c r="AK199" s="647">
        <v>2140.5218049108653</v>
      </c>
    </row>
    <row r="200" spans="3:37" ht="13">
      <c r="C200" s="636"/>
      <c r="D200" s="636">
        <v>0</v>
      </c>
      <c r="E200" s="636">
        <v>0</v>
      </c>
      <c r="F200" s="636">
        <v>0</v>
      </c>
      <c r="G200" s="636">
        <v>0</v>
      </c>
      <c r="H200" s="636">
        <v>0</v>
      </c>
      <c r="I200" s="636">
        <v>0</v>
      </c>
      <c r="J200" s="636">
        <v>0</v>
      </c>
      <c r="K200" s="636">
        <v>0</v>
      </c>
      <c r="L200" s="636">
        <v>0</v>
      </c>
      <c r="M200" s="636">
        <v>0</v>
      </c>
      <c r="N200" s="636">
        <v>0</v>
      </c>
      <c r="O200" s="636">
        <v>0</v>
      </c>
      <c r="P200" s="636">
        <v>0</v>
      </c>
      <c r="Q200" s="636">
        <v>0</v>
      </c>
      <c r="R200" s="636">
        <v>0</v>
      </c>
      <c r="S200" s="636">
        <v>0</v>
      </c>
      <c r="U200" s="636"/>
      <c r="V200" s="636">
        <v>0</v>
      </c>
      <c r="W200" s="636">
        <v>0</v>
      </c>
      <c r="X200" s="636">
        <v>0</v>
      </c>
      <c r="Y200" s="636">
        <v>0</v>
      </c>
      <c r="Z200" s="636">
        <v>0</v>
      </c>
      <c r="AA200" s="636">
        <v>0</v>
      </c>
      <c r="AB200" s="636">
        <v>0</v>
      </c>
      <c r="AC200" s="636">
        <v>0</v>
      </c>
      <c r="AD200" s="636">
        <v>0</v>
      </c>
      <c r="AE200" s="636">
        <v>0</v>
      </c>
      <c r="AF200" s="636">
        <v>0</v>
      </c>
      <c r="AG200" s="636">
        <v>0</v>
      </c>
      <c r="AH200" s="636">
        <v>0</v>
      </c>
      <c r="AI200" s="636">
        <v>0</v>
      </c>
      <c r="AJ200" s="636">
        <v>0</v>
      </c>
      <c r="AK200" s="636">
        <v>0</v>
      </c>
    </row>
    <row r="201" spans="3:37" ht="13.5">
      <c r="C201" s="648" t="s">
        <v>67</v>
      </c>
      <c r="D201" s="642">
        <v>0</v>
      </c>
      <c r="E201" s="649">
        <v>0</v>
      </c>
      <c r="F201" s="649">
        <v>0</v>
      </c>
      <c r="G201" s="642">
        <v>0</v>
      </c>
      <c r="H201" s="642">
        <v>0</v>
      </c>
      <c r="I201" s="642">
        <v>0</v>
      </c>
      <c r="J201" s="642">
        <v>0</v>
      </c>
      <c r="K201" s="642">
        <v>0</v>
      </c>
      <c r="L201" s="642">
        <v>0</v>
      </c>
      <c r="M201" s="642">
        <v>0</v>
      </c>
      <c r="N201" s="642">
        <v>0</v>
      </c>
      <c r="O201" s="642">
        <v>0</v>
      </c>
      <c r="P201" s="642">
        <v>0</v>
      </c>
      <c r="Q201" s="642">
        <v>0</v>
      </c>
      <c r="R201" s="642">
        <v>0</v>
      </c>
      <c r="S201" s="650">
        <v>0</v>
      </c>
      <c r="U201" s="648" t="s">
        <v>67</v>
      </c>
      <c r="V201" s="642">
        <v>0</v>
      </c>
      <c r="W201" s="649">
        <v>0</v>
      </c>
      <c r="X201" s="649">
        <v>0</v>
      </c>
      <c r="Y201" s="642">
        <v>0</v>
      </c>
      <c r="Z201" s="642">
        <v>0</v>
      </c>
      <c r="AA201" s="642">
        <v>0</v>
      </c>
      <c r="AB201" s="642">
        <v>0</v>
      </c>
      <c r="AC201" s="642">
        <v>0</v>
      </c>
      <c r="AD201" s="642">
        <v>0</v>
      </c>
      <c r="AE201" s="642">
        <v>0</v>
      </c>
      <c r="AF201" s="642">
        <v>0</v>
      </c>
      <c r="AG201" s="642">
        <v>0</v>
      </c>
      <c r="AH201" s="642">
        <v>0</v>
      </c>
      <c r="AI201" s="642">
        <v>0</v>
      </c>
      <c r="AJ201" s="642">
        <v>0</v>
      </c>
      <c r="AK201" s="650">
        <v>0</v>
      </c>
    </row>
    <row r="202" spans="3:37" ht="13.5">
      <c r="C202" s="648" t="s">
        <v>350</v>
      </c>
      <c r="D202" s="642">
        <v>2.8267856410252494</v>
      </c>
      <c r="E202" s="642">
        <v>0</v>
      </c>
      <c r="F202" s="642">
        <v>7.7941116668718937</v>
      </c>
      <c r="G202" s="642">
        <v>17.578475336322871</v>
      </c>
      <c r="H202" s="642">
        <v>1121.3636363636365</v>
      </c>
      <c r="I202" s="642">
        <v>207.57369132422022</v>
      </c>
      <c r="J202" s="651">
        <v>30.869450548245954</v>
      </c>
      <c r="K202" s="651">
        <v>7.6561165469613854</v>
      </c>
      <c r="L202" s="651">
        <v>2.2996832177069302</v>
      </c>
      <c r="M202" s="651">
        <v>0.47494016865067573</v>
      </c>
      <c r="N202" s="651">
        <v>0</v>
      </c>
      <c r="O202" s="651">
        <v>3.0833964576427819</v>
      </c>
      <c r="P202" s="642">
        <v>-607.79183020434141</v>
      </c>
      <c r="Q202" s="642">
        <v>0</v>
      </c>
      <c r="R202" s="642">
        <v>0</v>
      </c>
      <c r="S202" s="650">
        <v>793.72845706694284</v>
      </c>
      <c r="U202" s="648" t="s">
        <v>350</v>
      </c>
      <c r="V202" s="642">
        <v>0.62631490545869017</v>
      </c>
      <c r="W202" s="642">
        <v>0</v>
      </c>
      <c r="X202" s="642">
        <v>3.93047530323553</v>
      </c>
      <c r="Y202" s="642">
        <v>32.755695067264575</v>
      </c>
      <c r="Z202" s="642">
        <v>1024.3939393939395</v>
      </c>
      <c r="AA202" s="642">
        <v>228.1236913242202</v>
      </c>
      <c r="AB202" s="651">
        <v>25.192532039575013</v>
      </c>
      <c r="AC202" s="651">
        <v>7.1226809684101786</v>
      </c>
      <c r="AD202" s="651">
        <v>2.2996832177069302</v>
      </c>
      <c r="AE202" s="651">
        <v>5.010724922013905</v>
      </c>
      <c r="AF202" s="651">
        <v>0</v>
      </c>
      <c r="AG202" s="651">
        <v>3.0833964576427819</v>
      </c>
      <c r="AH202" s="642">
        <v>-605.04183020434141</v>
      </c>
      <c r="AI202" s="642">
        <v>0</v>
      </c>
      <c r="AJ202" s="642">
        <v>1.4249999999999998</v>
      </c>
      <c r="AK202" s="650">
        <v>728.92230339512548</v>
      </c>
    </row>
    <row r="203" spans="3:37" ht="13.5">
      <c r="C203" s="648" t="s">
        <v>351</v>
      </c>
      <c r="D203" s="642">
        <v>0</v>
      </c>
      <c r="E203" s="642">
        <v>0</v>
      </c>
      <c r="F203" s="642">
        <v>0</v>
      </c>
      <c r="G203" s="642">
        <v>15.306890454029709</v>
      </c>
      <c r="H203" s="642">
        <v>0</v>
      </c>
      <c r="I203" s="642">
        <v>0</v>
      </c>
      <c r="J203" s="651">
        <v>13.130836985616687</v>
      </c>
      <c r="K203" s="651">
        <v>12.274327089138302</v>
      </c>
      <c r="L203" s="651">
        <v>0</v>
      </c>
      <c r="M203" s="651">
        <v>0.32594257421966627</v>
      </c>
      <c r="N203" s="651">
        <v>0</v>
      </c>
      <c r="O203" s="651">
        <v>2.1777173090422202</v>
      </c>
      <c r="P203" s="642">
        <v>0</v>
      </c>
      <c r="Q203" s="642">
        <v>-38.962978394907431</v>
      </c>
      <c r="R203" s="642">
        <v>0</v>
      </c>
      <c r="S203" s="650">
        <v>4.2527360171391511</v>
      </c>
      <c r="U203" s="648" t="s">
        <v>351</v>
      </c>
      <c r="V203" s="642">
        <v>0</v>
      </c>
      <c r="W203" s="642">
        <v>0</v>
      </c>
      <c r="X203" s="642">
        <v>0</v>
      </c>
      <c r="Y203" s="642">
        <v>16.285163933286896</v>
      </c>
      <c r="Z203" s="642">
        <v>0</v>
      </c>
      <c r="AA203" s="642">
        <v>0</v>
      </c>
      <c r="AB203" s="651">
        <v>27.330859307935192</v>
      </c>
      <c r="AC203" s="651">
        <v>24.40929016388429</v>
      </c>
      <c r="AD203" s="651">
        <v>0</v>
      </c>
      <c r="AE203" s="651">
        <v>2.4469723551258755</v>
      </c>
      <c r="AF203" s="651">
        <v>0</v>
      </c>
      <c r="AG203" s="651">
        <v>7.1814032045118834</v>
      </c>
      <c r="AH203" s="642">
        <v>0</v>
      </c>
      <c r="AI203" s="642">
        <v>-70.686462815005612</v>
      </c>
      <c r="AJ203" s="642">
        <v>0</v>
      </c>
      <c r="AK203" s="650">
        <v>6.967226149738531</v>
      </c>
    </row>
    <row r="204" spans="3:37" ht="13.5">
      <c r="C204" s="648" t="s">
        <v>352</v>
      </c>
      <c r="D204" s="642">
        <v>0</v>
      </c>
      <c r="E204" s="642">
        <v>0</v>
      </c>
      <c r="F204" s="642">
        <v>0</v>
      </c>
      <c r="G204" s="642">
        <v>0</v>
      </c>
      <c r="H204" s="642">
        <v>0</v>
      </c>
      <c r="I204" s="642">
        <v>0</v>
      </c>
      <c r="J204" s="652">
        <v>7.549386302639002</v>
      </c>
      <c r="K204" s="652">
        <v>0</v>
      </c>
      <c r="L204" s="652">
        <v>0</v>
      </c>
      <c r="M204" s="652">
        <v>-6.6642207586545794</v>
      </c>
      <c r="N204" s="652">
        <v>0</v>
      </c>
      <c r="O204" s="652">
        <v>0</v>
      </c>
      <c r="P204" s="642">
        <v>0</v>
      </c>
      <c r="Q204" s="642">
        <v>0</v>
      </c>
      <c r="R204" s="642">
        <v>0</v>
      </c>
      <c r="S204" s="650">
        <v>0.8851655439844226</v>
      </c>
      <c r="U204" s="648" t="s">
        <v>352</v>
      </c>
      <c r="V204" s="642">
        <v>0</v>
      </c>
      <c r="W204" s="642">
        <v>0</v>
      </c>
      <c r="X204" s="642">
        <v>0</v>
      </c>
      <c r="Y204" s="642">
        <v>0</v>
      </c>
      <c r="Z204" s="642">
        <v>0</v>
      </c>
      <c r="AA204" s="642">
        <v>0</v>
      </c>
      <c r="AB204" s="652">
        <v>39.489443827479029</v>
      </c>
      <c r="AC204" s="652">
        <v>0</v>
      </c>
      <c r="AD204" s="652">
        <v>0</v>
      </c>
      <c r="AE204" s="652">
        <v>-34.859306538707116</v>
      </c>
      <c r="AF204" s="652">
        <v>0</v>
      </c>
      <c r="AG204" s="652">
        <v>0</v>
      </c>
      <c r="AH204" s="642">
        <v>0</v>
      </c>
      <c r="AI204" s="642">
        <v>0</v>
      </c>
      <c r="AJ204" s="642">
        <v>0</v>
      </c>
      <c r="AK204" s="650">
        <v>4.6301372887719126</v>
      </c>
    </row>
    <row r="205" spans="3:37" ht="13.5">
      <c r="C205" s="648" t="s">
        <v>353</v>
      </c>
      <c r="D205" s="642">
        <v>0</v>
      </c>
      <c r="E205" s="642">
        <v>0</v>
      </c>
      <c r="F205" s="642">
        <v>0</v>
      </c>
      <c r="G205" s="642">
        <v>0</v>
      </c>
      <c r="H205" s="642">
        <v>0</v>
      </c>
      <c r="I205" s="642">
        <v>0</v>
      </c>
      <c r="J205" s="642">
        <v>0</v>
      </c>
      <c r="K205" s="642">
        <v>0</v>
      </c>
      <c r="L205" s="642">
        <v>0</v>
      </c>
      <c r="M205" s="642">
        <v>0</v>
      </c>
      <c r="N205" s="642">
        <v>0</v>
      </c>
      <c r="O205" s="642">
        <v>0</v>
      </c>
      <c r="P205" s="642">
        <v>0</v>
      </c>
      <c r="Q205" s="642">
        <v>0</v>
      </c>
      <c r="R205" s="642">
        <v>0</v>
      </c>
      <c r="S205" s="650">
        <v>0</v>
      </c>
      <c r="U205" s="648" t="s">
        <v>353</v>
      </c>
      <c r="V205" s="642">
        <v>0</v>
      </c>
      <c r="W205" s="642">
        <v>0</v>
      </c>
      <c r="X205" s="642">
        <v>0</v>
      </c>
      <c r="Y205" s="642">
        <v>0</v>
      </c>
      <c r="Z205" s="642">
        <v>0</v>
      </c>
      <c r="AA205" s="642">
        <v>0</v>
      </c>
      <c r="AB205" s="642">
        <v>0</v>
      </c>
      <c r="AC205" s="642">
        <v>0</v>
      </c>
      <c r="AD205" s="642">
        <v>0</v>
      </c>
      <c r="AE205" s="642">
        <v>0</v>
      </c>
      <c r="AF205" s="642">
        <v>0</v>
      </c>
      <c r="AG205" s="642">
        <v>0</v>
      </c>
      <c r="AH205" s="642">
        <v>0</v>
      </c>
      <c r="AI205" s="642">
        <v>0</v>
      </c>
      <c r="AJ205" s="642">
        <v>0</v>
      </c>
      <c r="AK205" s="650">
        <v>0</v>
      </c>
    </row>
    <row r="206" spans="3:37" ht="13.5">
      <c r="C206" s="648" t="s">
        <v>72</v>
      </c>
      <c r="D206" s="642">
        <v>0</v>
      </c>
      <c r="E206" s="642">
        <v>550.85495716936975</v>
      </c>
      <c r="F206" s="642">
        <v>-545.34640759767603</v>
      </c>
      <c r="G206" s="642">
        <v>0</v>
      </c>
      <c r="H206" s="642">
        <v>0</v>
      </c>
      <c r="I206" s="642">
        <v>0</v>
      </c>
      <c r="J206" s="642">
        <v>0</v>
      </c>
      <c r="K206" s="642">
        <v>0</v>
      </c>
      <c r="L206" s="642">
        <v>0</v>
      </c>
      <c r="M206" s="642">
        <v>0</v>
      </c>
      <c r="N206" s="642">
        <v>0</v>
      </c>
      <c r="O206" s="642">
        <v>0</v>
      </c>
      <c r="P206" s="642">
        <v>0</v>
      </c>
      <c r="Q206" s="642">
        <v>0</v>
      </c>
      <c r="R206" s="642">
        <v>0</v>
      </c>
      <c r="S206" s="650">
        <v>5.5085495716937203</v>
      </c>
      <c r="U206" s="648" t="s">
        <v>72</v>
      </c>
      <c r="V206" s="642">
        <v>0</v>
      </c>
      <c r="W206" s="642">
        <v>386.55581999113582</v>
      </c>
      <c r="X206" s="642">
        <v>-382.69026179122449</v>
      </c>
      <c r="Y206" s="642">
        <v>0</v>
      </c>
      <c r="Z206" s="642">
        <v>0</v>
      </c>
      <c r="AA206" s="642">
        <v>0</v>
      </c>
      <c r="AB206" s="642">
        <v>0</v>
      </c>
      <c r="AC206" s="642">
        <v>0</v>
      </c>
      <c r="AD206" s="642">
        <v>0</v>
      </c>
      <c r="AE206" s="642">
        <v>0</v>
      </c>
      <c r="AF206" s="642">
        <v>0</v>
      </c>
      <c r="AG206" s="642">
        <v>0</v>
      </c>
      <c r="AH206" s="642">
        <v>0</v>
      </c>
      <c r="AI206" s="642">
        <v>0</v>
      </c>
      <c r="AJ206" s="642">
        <v>0</v>
      </c>
      <c r="AK206" s="650">
        <v>3.8655581999113338</v>
      </c>
    </row>
    <row r="207" spans="3:37" ht="13.5">
      <c r="C207" s="648" t="s">
        <v>354</v>
      </c>
      <c r="D207" s="642">
        <v>0</v>
      </c>
      <c r="E207" s="642">
        <v>0</v>
      </c>
      <c r="F207" s="642">
        <v>0</v>
      </c>
      <c r="G207" s="642">
        <v>0</v>
      </c>
      <c r="H207" s="642">
        <v>0</v>
      </c>
      <c r="I207" s="642">
        <v>0</v>
      </c>
      <c r="J207" s="642">
        <v>34.694031238964726</v>
      </c>
      <c r="K207" s="642">
        <v>0</v>
      </c>
      <c r="L207" s="642">
        <v>-34.694031238964726</v>
      </c>
      <c r="M207" s="642">
        <v>0</v>
      </c>
      <c r="N207" s="642">
        <v>0</v>
      </c>
      <c r="O207" s="642">
        <v>0</v>
      </c>
      <c r="P207" s="642">
        <v>0</v>
      </c>
      <c r="Q207" s="642">
        <v>0</v>
      </c>
      <c r="R207" s="642">
        <v>0</v>
      </c>
      <c r="S207" s="650">
        <v>0</v>
      </c>
      <c r="U207" s="648" t="s">
        <v>354</v>
      </c>
      <c r="V207" s="642">
        <v>0</v>
      </c>
      <c r="W207" s="642">
        <v>0</v>
      </c>
      <c r="X207" s="642">
        <v>0</v>
      </c>
      <c r="Y207" s="642">
        <v>0</v>
      </c>
      <c r="Z207" s="642">
        <v>0</v>
      </c>
      <c r="AA207" s="642">
        <v>0</v>
      </c>
      <c r="AB207" s="642" t="e">
        <v>#VALUE!</v>
      </c>
      <c r="AC207" s="642">
        <v>0</v>
      </c>
      <c r="AD207" s="642">
        <v>-64.13008508665132</v>
      </c>
      <c r="AE207" s="642">
        <v>0</v>
      </c>
      <c r="AF207" s="642">
        <v>0</v>
      </c>
      <c r="AG207" s="642">
        <v>0</v>
      </c>
      <c r="AH207" s="642">
        <v>0</v>
      </c>
      <c r="AI207" s="642">
        <v>0</v>
      </c>
      <c r="AJ207" s="642">
        <v>0</v>
      </c>
      <c r="AK207" s="650">
        <v>-64.13008508665132</v>
      </c>
    </row>
    <row r="208" spans="3:37" ht="13.5">
      <c r="C208" s="648" t="s">
        <v>355</v>
      </c>
      <c r="D208" s="642">
        <v>0</v>
      </c>
      <c r="E208" s="642">
        <v>0</v>
      </c>
      <c r="F208" s="642">
        <v>0</v>
      </c>
      <c r="G208" s="642">
        <v>0</v>
      </c>
      <c r="H208" s="642">
        <v>0</v>
      </c>
      <c r="I208" s="642">
        <v>0</v>
      </c>
      <c r="J208" s="642">
        <v>0</v>
      </c>
      <c r="K208" s="642">
        <v>0</v>
      </c>
      <c r="L208" s="642">
        <v>0</v>
      </c>
      <c r="M208" s="642">
        <v>0</v>
      </c>
      <c r="N208" s="642">
        <v>0</v>
      </c>
      <c r="O208" s="642">
        <v>0</v>
      </c>
      <c r="P208" s="642">
        <v>0</v>
      </c>
      <c r="Q208" s="642">
        <v>0</v>
      </c>
      <c r="R208" s="642">
        <v>0</v>
      </c>
      <c r="S208" s="650">
        <v>0</v>
      </c>
      <c r="U208" s="648" t="s">
        <v>355</v>
      </c>
      <c r="V208" s="642">
        <v>0</v>
      </c>
      <c r="W208" s="642">
        <v>0</v>
      </c>
      <c r="X208" s="642">
        <v>0</v>
      </c>
      <c r="Y208" s="642">
        <v>0</v>
      </c>
      <c r="Z208" s="642">
        <v>0</v>
      </c>
      <c r="AA208" s="642">
        <v>0</v>
      </c>
      <c r="AB208" s="642">
        <v>0</v>
      </c>
      <c r="AC208" s="642">
        <v>0</v>
      </c>
      <c r="AD208" s="642">
        <v>-12.704571841330187</v>
      </c>
      <c r="AE208" s="642">
        <v>0</v>
      </c>
      <c r="AF208" s="642">
        <v>0</v>
      </c>
      <c r="AG208" s="642">
        <v>0</v>
      </c>
      <c r="AH208" s="642">
        <v>0</v>
      </c>
      <c r="AI208" s="642">
        <v>0</v>
      </c>
      <c r="AJ208" s="642">
        <v>0</v>
      </c>
      <c r="AK208" s="650">
        <v>-12.704571841330187</v>
      </c>
    </row>
    <row r="209" spans="3:37" ht="13.5">
      <c r="C209" s="648" t="s">
        <v>73</v>
      </c>
      <c r="D209" s="642">
        <v>0</v>
      </c>
      <c r="E209" s="642">
        <v>0</v>
      </c>
      <c r="F209" s="642">
        <v>0</v>
      </c>
      <c r="G209" s="642">
        <v>2.1153211001028303</v>
      </c>
      <c r="H209" s="642">
        <v>0</v>
      </c>
      <c r="I209" s="642">
        <v>0</v>
      </c>
      <c r="J209" s="642">
        <v>0</v>
      </c>
      <c r="K209" s="642">
        <v>2.387711193000305E-2</v>
      </c>
      <c r="L209" s="642">
        <v>0</v>
      </c>
      <c r="M209" s="642">
        <v>4.3169818369445515E-2</v>
      </c>
      <c r="N209" s="642">
        <v>0</v>
      </c>
      <c r="O209" s="642">
        <v>0</v>
      </c>
      <c r="P209" s="642">
        <v>0.21762333659139796</v>
      </c>
      <c r="Q209" s="642">
        <v>0</v>
      </c>
      <c r="R209" s="642">
        <v>-1.6713978351002134</v>
      </c>
      <c r="S209" s="650">
        <v>0.72859353189346332</v>
      </c>
      <c r="U209" s="648" t="s">
        <v>73</v>
      </c>
      <c r="V209" s="642">
        <v>0</v>
      </c>
      <c r="W209" s="642">
        <v>0</v>
      </c>
      <c r="X209" s="642">
        <v>0</v>
      </c>
      <c r="Y209" s="642">
        <v>5.6183676161021641</v>
      </c>
      <c r="Z209" s="642">
        <v>0</v>
      </c>
      <c r="AA209" s="642">
        <v>0</v>
      </c>
      <c r="AB209" s="642">
        <v>0</v>
      </c>
      <c r="AC209" s="642">
        <v>0.19393074509344391</v>
      </c>
      <c r="AD209" s="642">
        <v>0</v>
      </c>
      <c r="AE209" s="642">
        <v>0.83952619550951879</v>
      </c>
      <c r="AF209" s="642">
        <v>0</v>
      </c>
      <c r="AG209" s="642">
        <v>0</v>
      </c>
      <c r="AH209" s="642">
        <v>13.50321720945872</v>
      </c>
      <c r="AI209" s="642">
        <v>0</v>
      </c>
      <c r="AJ209" s="642">
        <v>-13.575152156541073</v>
      </c>
      <c r="AK209" s="650">
        <v>6.579889609622775</v>
      </c>
    </row>
    <row r="210" spans="3:37" ht="13.5">
      <c r="C210" s="648" t="s">
        <v>356</v>
      </c>
      <c r="D210" s="642">
        <v>28.669681406249996</v>
      </c>
      <c r="E210" s="642">
        <v>-19.087124265918664</v>
      </c>
      <c r="F210" s="642">
        <v>24.964831154950382</v>
      </c>
      <c r="G210" s="642">
        <v>0</v>
      </c>
      <c r="H210" s="642">
        <v>0</v>
      </c>
      <c r="I210" s="642">
        <v>0</v>
      </c>
      <c r="J210" s="642">
        <v>0</v>
      </c>
      <c r="K210" s="642">
        <v>0</v>
      </c>
      <c r="L210" s="642">
        <v>0</v>
      </c>
      <c r="M210" s="642">
        <v>0</v>
      </c>
      <c r="N210" s="642">
        <v>0</v>
      </c>
      <c r="O210" s="642">
        <v>0</v>
      </c>
      <c r="P210" s="642">
        <v>0</v>
      </c>
      <c r="Q210" s="642">
        <v>0</v>
      </c>
      <c r="R210" s="642">
        <v>0</v>
      </c>
      <c r="S210" s="650">
        <v>34.547388295281714</v>
      </c>
      <c r="U210" s="648" t="s">
        <v>356</v>
      </c>
      <c r="V210" s="642">
        <v>4.3307530517578128</v>
      </c>
      <c r="W210" s="642">
        <v>-13.394159162692858</v>
      </c>
      <c r="X210" s="642">
        <v>17.518769056071054</v>
      </c>
      <c r="Y210" s="642">
        <v>0</v>
      </c>
      <c r="Z210" s="642">
        <v>0</v>
      </c>
      <c r="AA210" s="642">
        <v>0</v>
      </c>
      <c r="AB210" s="642">
        <v>0</v>
      </c>
      <c r="AC210" s="642">
        <v>0</v>
      </c>
      <c r="AD210" s="642">
        <v>0</v>
      </c>
      <c r="AE210" s="642">
        <v>0</v>
      </c>
      <c r="AF210" s="642">
        <v>0</v>
      </c>
      <c r="AG210" s="642">
        <v>0</v>
      </c>
      <c r="AH210" s="642">
        <v>0</v>
      </c>
      <c r="AI210" s="642">
        <v>0</v>
      </c>
      <c r="AJ210" s="642">
        <v>0</v>
      </c>
      <c r="AK210" s="650">
        <v>8.4553629451360095</v>
      </c>
    </row>
    <row r="211" spans="3:37" ht="13.5">
      <c r="C211" s="648" t="s">
        <v>75</v>
      </c>
      <c r="D211" s="642">
        <v>11.149320546875</v>
      </c>
      <c r="E211" s="642">
        <v>0</v>
      </c>
      <c r="F211" s="642">
        <v>18.729068543758572</v>
      </c>
      <c r="G211" s="642">
        <v>5.3443947944572248</v>
      </c>
      <c r="H211" s="642">
        <v>0</v>
      </c>
      <c r="I211" s="642">
        <v>0</v>
      </c>
      <c r="J211" s="642">
        <v>0</v>
      </c>
      <c r="K211" s="642">
        <v>0</v>
      </c>
      <c r="L211" s="642">
        <v>0</v>
      </c>
      <c r="M211" s="642">
        <v>0.10906928151953521</v>
      </c>
      <c r="N211" s="642">
        <v>0</v>
      </c>
      <c r="O211" s="642">
        <v>0</v>
      </c>
      <c r="P211" s="642">
        <v>34.631314570260251</v>
      </c>
      <c r="Q211" s="642">
        <v>0</v>
      </c>
      <c r="R211" s="642">
        <v>0</v>
      </c>
      <c r="S211" s="650">
        <v>69.963167736870574</v>
      </c>
      <c r="U211" s="648" t="s">
        <v>75</v>
      </c>
      <c r="V211" s="642">
        <v>4.9205957031249996</v>
      </c>
      <c r="W211" s="642">
        <v>0</v>
      </c>
      <c r="X211" s="642">
        <v>18.729068543758572</v>
      </c>
      <c r="Y211" s="642">
        <v>4.7445137460997815</v>
      </c>
      <c r="Z211" s="642">
        <v>0</v>
      </c>
      <c r="AA211" s="642">
        <v>0</v>
      </c>
      <c r="AB211" s="642">
        <v>0</v>
      </c>
      <c r="AC211" s="642">
        <v>0</v>
      </c>
      <c r="AD211" s="642">
        <v>0</v>
      </c>
      <c r="AE211" s="642">
        <v>0.70895032987697881</v>
      </c>
      <c r="AF211" s="642">
        <v>0</v>
      </c>
      <c r="AG211" s="642">
        <v>0</v>
      </c>
      <c r="AH211" s="642">
        <v>32.716541842987525</v>
      </c>
      <c r="AI211" s="642">
        <v>0</v>
      </c>
      <c r="AJ211" s="642">
        <v>0</v>
      </c>
      <c r="AK211" s="650">
        <v>61.819670165847853</v>
      </c>
    </row>
    <row r="212" spans="3:37" ht="13.5">
      <c r="C212" s="648" t="s">
        <v>76</v>
      </c>
      <c r="D212" s="642">
        <v>0</v>
      </c>
      <c r="E212" s="642">
        <v>0</v>
      </c>
      <c r="F212" s="642">
        <v>0</v>
      </c>
      <c r="G212" s="642">
        <v>3.8720966463328983</v>
      </c>
      <c r="H212" s="642">
        <v>0</v>
      </c>
      <c r="I212" s="642">
        <v>0</v>
      </c>
      <c r="J212" s="642">
        <v>0</v>
      </c>
      <c r="K212" s="642">
        <v>0</v>
      </c>
      <c r="L212" s="642">
        <v>0</v>
      </c>
      <c r="M212" s="642">
        <v>7.9022380537406095E-2</v>
      </c>
      <c r="N212" s="642">
        <v>0</v>
      </c>
      <c r="O212" s="642">
        <v>0</v>
      </c>
      <c r="P212" s="642">
        <v>41.938968757160723</v>
      </c>
      <c r="Q212" s="642">
        <v>3.0236871210614171</v>
      </c>
      <c r="R212" s="642">
        <v>0</v>
      </c>
      <c r="S212" s="650">
        <v>48.913774905092438</v>
      </c>
      <c r="U212" s="648" t="s">
        <v>76</v>
      </c>
      <c r="V212" s="642">
        <v>0</v>
      </c>
      <c r="W212" s="642">
        <v>0</v>
      </c>
      <c r="X212" s="642">
        <v>0</v>
      </c>
      <c r="Y212" s="642">
        <v>2.7662751616304524</v>
      </c>
      <c r="Z212" s="642">
        <v>0</v>
      </c>
      <c r="AA212" s="642">
        <v>0</v>
      </c>
      <c r="AB212" s="642">
        <v>0</v>
      </c>
      <c r="AC212" s="642">
        <v>0</v>
      </c>
      <c r="AD212" s="642">
        <v>0</v>
      </c>
      <c r="AE212" s="642">
        <v>0.41335146093328595</v>
      </c>
      <c r="AF212" s="642">
        <v>0</v>
      </c>
      <c r="AG212" s="642">
        <v>0</v>
      </c>
      <c r="AH212" s="642">
        <v>43.009166954325586</v>
      </c>
      <c r="AI212" s="642">
        <v>5.481964511548731</v>
      </c>
      <c r="AJ212" s="642">
        <v>0</v>
      </c>
      <c r="AK212" s="650">
        <v>51.670758088438056</v>
      </c>
    </row>
    <row r="213" spans="3:37" ht="13.5">
      <c r="C213" s="646" t="s">
        <v>77</v>
      </c>
      <c r="D213" s="647">
        <v>42.645787594150242</v>
      </c>
      <c r="E213" s="647">
        <v>531.76783290345111</v>
      </c>
      <c r="F213" s="647">
        <v>-493.85839623209517</v>
      </c>
      <c r="G213" s="647">
        <v>44.217178331245535</v>
      </c>
      <c r="H213" s="647">
        <v>1121.3636363636365</v>
      </c>
      <c r="I213" s="647">
        <v>207.57369132422022</v>
      </c>
      <c r="J213" s="647">
        <v>86.243705075466366</v>
      </c>
      <c r="K213" s="647">
        <v>19.954320748029687</v>
      </c>
      <c r="L213" s="647">
        <v>-32.394348021257798</v>
      </c>
      <c r="M213" s="647">
        <v>-5.6320765353578501</v>
      </c>
      <c r="N213" s="647">
        <v>0</v>
      </c>
      <c r="O213" s="647">
        <v>5.2611137666850016</v>
      </c>
      <c r="P213" s="647">
        <v>-531.00392354032908</v>
      </c>
      <c r="Q213" s="647">
        <v>-35.939291273846017</v>
      </c>
      <c r="R213" s="647">
        <v>-1.6713978351002134</v>
      </c>
      <c r="S213" s="647">
        <v>958.52783266889833</v>
      </c>
      <c r="U213" s="646" t="s">
        <v>77</v>
      </c>
      <c r="V213" s="647">
        <v>9.8776636603415024</v>
      </c>
      <c r="W213" s="647">
        <v>373.16166082844296</v>
      </c>
      <c r="X213" s="647">
        <v>-342.51194888815934</v>
      </c>
      <c r="Y213" s="647">
        <v>62.170015524383871</v>
      </c>
      <c r="Z213" s="647">
        <v>1024.3939393939395</v>
      </c>
      <c r="AA213" s="647">
        <v>228.1236913242202</v>
      </c>
      <c r="AB213" s="647">
        <v>92.01283517498922</v>
      </c>
      <c r="AC213" s="647">
        <v>31.725901877387908</v>
      </c>
      <c r="AD213" s="647">
        <v>-74.534973710274585</v>
      </c>
      <c r="AE213" s="647">
        <v>-25.439781275247555</v>
      </c>
      <c r="AF213" s="647">
        <v>0</v>
      </c>
      <c r="AG213" s="647">
        <v>10.264799662154665</v>
      </c>
      <c r="AH213" s="647">
        <v>-515.81290419756954</v>
      </c>
      <c r="AI213" s="647">
        <v>-65.204498303456887</v>
      </c>
      <c r="AJ213" s="647">
        <v>-12.150152156541072</v>
      </c>
      <c r="AK213" s="647">
        <v>796.07624891461057</v>
      </c>
    </row>
    <row r="214" spans="3:37" ht="13">
      <c r="C214" s="636"/>
      <c r="D214" s="636">
        <v>0</v>
      </c>
      <c r="E214" s="636">
        <v>0</v>
      </c>
      <c r="F214" s="636">
        <v>0</v>
      </c>
      <c r="G214" s="636">
        <v>0</v>
      </c>
      <c r="H214" s="636">
        <v>0</v>
      </c>
      <c r="I214" s="636">
        <v>0</v>
      </c>
      <c r="J214" s="636">
        <v>0</v>
      </c>
      <c r="K214" s="636">
        <v>0</v>
      </c>
      <c r="L214" s="636">
        <v>0</v>
      </c>
      <c r="M214" s="636">
        <v>0</v>
      </c>
      <c r="N214" s="636">
        <v>0</v>
      </c>
      <c r="O214" s="636">
        <v>0</v>
      </c>
      <c r="P214" s="636">
        <v>0</v>
      </c>
      <c r="Q214" s="636">
        <v>0</v>
      </c>
      <c r="R214" s="636">
        <v>0</v>
      </c>
      <c r="S214" s="636">
        <v>0</v>
      </c>
      <c r="U214" s="636"/>
      <c r="V214" s="636">
        <v>0</v>
      </c>
      <c r="W214" s="636">
        <v>0</v>
      </c>
      <c r="X214" s="636">
        <v>0</v>
      </c>
      <c r="Y214" s="636">
        <v>0</v>
      </c>
      <c r="Z214" s="636">
        <v>0</v>
      </c>
      <c r="AA214" s="636">
        <v>0</v>
      </c>
      <c r="AB214" s="636">
        <v>0</v>
      </c>
      <c r="AC214" s="636">
        <v>0</v>
      </c>
      <c r="AD214" s="636">
        <v>0</v>
      </c>
      <c r="AE214" s="636">
        <v>0</v>
      </c>
      <c r="AF214" s="636">
        <v>0</v>
      </c>
      <c r="AG214" s="636">
        <v>0</v>
      </c>
      <c r="AH214" s="636">
        <v>0</v>
      </c>
      <c r="AI214" s="636">
        <v>0</v>
      </c>
      <c r="AJ214" s="636">
        <v>0</v>
      </c>
      <c r="AK214" s="636">
        <v>0</v>
      </c>
    </row>
    <row r="215" spans="3:37" ht="13.5">
      <c r="C215" s="648" t="s">
        <v>78</v>
      </c>
      <c r="D215" s="642">
        <v>6.3476756101286895</v>
      </c>
      <c r="E215" s="642">
        <v>0</v>
      </c>
      <c r="F215" s="642">
        <v>23.963924152830415</v>
      </c>
      <c r="G215" s="642">
        <v>102.72602750235836</v>
      </c>
      <c r="H215" s="642">
        <v>0</v>
      </c>
      <c r="I215" s="642">
        <v>0</v>
      </c>
      <c r="J215" s="642">
        <v>19.164817057512749</v>
      </c>
      <c r="K215" s="642">
        <v>1.7769703360109936</v>
      </c>
      <c r="L215" s="642">
        <v>0.86552810351562492</v>
      </c>
      <c r="M215" s="642">
        <v>2.1151614516362294</v>
      </c>
      <c r="N215" s="642">
        <v>0</v>
      </c>
      <c r="O215" s="642">
        <v>3.8147295409713907E-4</v>
      </c>
      <c r="P215" s="642">
        <v>109.69856944385172</v>
      </c>
      <c r="Q215" s="642">
        <v>16.190109766233334</v>
      </c>
      <c r="R215" s="642">
        <v>0.34118215942382812</v>
      </c>
      <c r="S215" s="650">
        <v>283.19034705645606</v>
      </c>
      <c r="U215" s="648" t="s">
        <v>78</v>
      </c>
      <c r="V215" s="642">
        <v>0.96947057486293287</v>
      </c>
      <c r="W215" s="642">
        <v>0</v>
      </c>
      <c r="X215" s="642">
        <v>14.423852836289303</v>
      </c>
      <c r="Y215" s="642">
        <v>71.911931163769523</v>
      </c>
      <c r="Z215" s="642">
        <v>0</v>
      </c>
      <c r="AA215" s="642">
        <v>0</v>
      </c>
      <c r="AB215" s="642">
        <v>16.641526349557349</v>
      </c>
      <c r="AC215" s="642">
        <v>5.8374337597773929</v>
      </c>
      <c r="AD215" s="642">
        <v>1.8190377949218752</v>
      </c>
      <c r="AE215" s="642">
        <v>10.764172889266069</v>
      </c>
      <c r="AF215" s="642">
        <v>0</v>
      </c>
      <c r="AG215" s="642">
        <v>3.8147295409713907E-4</v>
      </c>
      <c r="AH215" s="642">
        <v>133.35975359263318</v>
      </c>
      <c r="AI215" s="642">
        <v>21.024156518221293</v>
      </c>
      <c r="AJ215" s="642">
        <v>5.3802006835937499</v>
      </c>
      <c r="AK215" s="650">
        <v>282.13191763584672</v>
      </c>
    </row>
    <row r="216" spans="3:37" ht="13.5">
      <c r="C216" s="648" t="s">
        <v>79</v>
      </c>
      <c r="D216" s="642">
        <v>0</v>
      </c>
      <c r="E216" s="642">
        <v>0</v>
      </c>
      <c r="F216" s="642">
        <v>312.50052508879821</v>
      </c>
      <c r="G216" s="642">
        <v>20.28727706696608</v>
      </c>
      <c r="H216" s="642">
        <v>0</v>
      </c>
      <c r="I216" s="642">
        <v>0</v>
      </c>
      <c r="J216" s="642">
        <v>0</v>
      </c>
      <c r="K216" s="642">
        <v>0</v>
      </c>
      <c r="L216" s="642">
        <v>30.35479180755361</v>
      </c>
      <c r="M216" s="642">
        <v>0.41402606259114449</v>
      </c>
      <c r="N216" s="642">
        <v>0</v>
      </c>
      <c r="O216" s="642">
        <v>0</v>
      </c>
      <c r="P216" s="642">
        <v>40.087101502259863</v>
      </c>
      <c r="Q216" s="642">
        <v>0</v>
      </c>
      <c r="R216" s="642">
        <v>0.80956479691939642</v>
      </c>
      <c r="S216" s="650">
        <v>404.45328632508824</v>
      </c>
      <c r="U216" s="648" t="s">
        <v>79</v>
      </c>
      <c r="V216" s="642">
        <v>0</v>
      </c>
      <c r="W216" s="642">
        <v>0</v>
      </c>
      <c r="X216" s="642">
        <v>200.27592241910855</v>
      </c>
      <c r="Y216" s="642">
        <v>16.649550205830046</v>
      </c>
      <c r="Z216" s="642">
        <v>0</v>
      </c>
      <c r="AA216" s="642">
        <v>0</v>
      </c>
      <c r="AB216" s="642">
        <v>0</v>
      </c>
      <c r="AC216" s="642">
        <v>0</v>
      </c>
      <c r="AD216" s="642">
        <v>44.40579181284334</v>
      </c>
      <c r="AE216" s="642">
        <v>2.5923432302996523</v>
      </c>
      <c r="AF216" s="642">
        <v>0</v>
      </c>
      <c r="AG216" s="642">
        <v>0</v>
      </c>
      <c r="AH216" s="642">
        <v>50.411052136241274</v>
      </c>
      <c r="AI216" s="642">
        <v>0</v>
      </c>
      <c r="AJ216" s="642">
        <v>1.5849058336758</v>
      </c>
      <c r="AK216" s="650">
        <v>315.91956563799869</v>
      </c>
    </row>
    <row r="217" spans="3:37" ht="13.5">
      <c r="C217" s="648" t="s">
        <v>80</v>
      </c>
      <c r="D217" s="642">
        <v>0</v>
      </c>
      <c r="E217" s="642">
        <v>0</v>
      </c>
      <c r="F217" s="642">
        <v>27.223306395871116</v>
      </c>
      <c r="G217" s="642">
        <v>94.787807272791255</v>
      </c>
      <c r="H217" s="642">
        <v>0</v>
      </c>
      <c r="I217" s="642">
        <v>0</v>
      </c>
      <c r="J217" s="642">
        <v>83.273177408961004</v>
      </c>
      <c r="K217" s="642">
        <v>0</v>
      </c>
      <c r="L217" s="642">
        <v>0</v>
      </c>
      <c r="M217" s="642">
        <v>1.9344450463834952</v>
      </c>
      <c r="N217" s="642">
        <v>46.067590504591024</v>
      </c>
      <c r="O217" s="642">
        <v>1.9582561857397398</v>
      </c>
      <c r="P217" s="642">
        <v>180.22551264292704</v>
      </c>
      <c r="Q217" s="642">
        <v>15.690776641240536</v>
      </c>
      <c r="R217" s="642">
        <v>0</v>
      </c>
      <c r="S217" s="650">
        <v>451.16087209850519</v>
      </c>
      <c r="U217" s="648" t="s">
        <v>80</v>
      </c>
      <c r="V217" s="642">
        <v>0</v>
      </c>
      <c r="W217" s="642">
        <v>0</v>
      </c>
      <c r="X217" s="642">
        <v>2.015713666762446</v>
      </c>
      <c r="Y217" s="642">
        <v>47.341776252628989</v>
      </c>
      <c r="Z217" s="642">
        <v>0</v>
      </c>
      <c r="AA217" s="642">
        <v>0</v>
      </c>
      <c r="AB217" s="642">
        <v>73.879452654225247</v>
      </c>
      <c r="AC217" s="642">
        <v>0</v>
      </c>
      <c r="AD217" s="642">
        <v>0</v>
      </c>
      <c r="AE217" s="642">
        <v>7.0740585205077799</v>
      </c>
      <c r="AF217" s="642">
        <v>56.247445771865117</v>
      </c>
      <c r="AG217" s="642">
        <v>2.3917818193760598</v>
      </c>
      <c r="AH217" s="642">
        <v>158.99417861004727</v>
      </c>
      <c r="AI217" s="642">
        <v>34.672503342788303</v>
      </c>
      <c r="AJ217" s="642">
        <v>0</v>
      </c>
      <c r="AK217" s="650">
        <v>382.61691063820126</v>
      </c>
    </row>
    <row r="218" spans="3:37" ht="13.5">
      <c r="C218" s="648" t="s">
        <v>81</v>
      </c>
      <c r="D218" s="642">
        <v>0</v>
      </c>
      <c r="E218" s="642">
        <v>0</v>
      </c>
      <c r="F218" s="642">
        <v>10.721858440723695</v>
      </c>
      <c r="G218" s="642">
        <v>62.595656083836779</v>
      </c>
      <c r="H218" s="642">
        <v>0</v>
      </c>
      <c r="I218" s="642">
        <v>0</v>
      </c>
      <c r="J218" s="642">
        <v>3.4596715414798309</v>
      </c>
      <c r="K218" s="642">
        <v>2.5030873755322387E-2</v>
      </c>
      <c r="L218" s="642">
        <v>0</v>
      </c>
      <c r="M218" s="642">
        <v>1.2774623690578935</v>
      </c>
      <c r="N218" s="642">
        <v>8.3421239681836319</v>
      </c>
      <c r="O218" s="642">
        <v>0.80110714509903691</v>
      </c>
      <c r="P218" s="642">
        <v>133.46461699259584</v>
      </c>
      <c r="Q218" s="642">
        <v>4.0584048663721433</v>
      </c>
      <c r="R218" s="642">
        <v>0</v>
      </c>
      <c r="S218" s="650">
        <v>224.74593228110413</v>
      </c>
      <c r="U218" s="648" t="s">
        <v>81</v>
      </c>
      <c r="V218" s="642">
        <v>0</v>
      </c>
      <c r="W218" s="642">
        <v>0</v>
      </c>
      <c r="X218" s="642">
        <v>3.1096233693990798</v>
      </c>
      <c r="Y218" s="642">
        <v>32.055438404613625</v>
      </c>
      <c r="Z218" s="642">
        <v>0</v>
      </c>
      <c r="AA218" s="642">
        <v>0</v>
      </c>
      <c r="AB218" s="642">
        <v>7.6606579921523004</v>
      </c>
      <c r="AC218" s="642">
        <v>2.5030873755322387E-2</v>
      </c>
      <c r="AD218" s="642">
        <v>0</v>
      </c>
      <c r="AE218" s="642">
        <v>4.7898930949422658</v>
      </c>
      <c r="AF218" s="642">
        <v>14.251121986476408</v>
      </c>
      <c r="AG218" s="642">
        <v>1.7168402703934114</v>
      </c>
      <c r="AH218" s="642">
        <v>121.34906004798763</v>
      </c>
      <c r="AI218" s="642">
        <v>9.5078384424472873</v>
      </c>
      <c r="AJ218" s="642">
        <v>0</v>
      </c>
      <c r="AK218" s="650">
        <v>194.46550448216732</v>
      </c>
    </row>
    <row r="219" spans="3:37" ht="13.5">
      <c r="C219" s="648" t="s">
        <v>82</v>
      </c>
      <c r="D219" s="642">
        <v>0</v>
      </c>
      <c r="E219" s="642">
        <v>0</v>
      </c>
      <c r="F219" s="642">
        <v>32.13207144146056</v>
      </c>
      <c r="G219" s="642">
        <v>1.9328709168763656</v>
      </c>
      <c r="H219" s="642">
        <v>0</v>
      </c>
      <c r="I219" s="642">
        <v>0</v>
      </c>
      <c r="J219" s="642">
        <v>2.05899706998358</v>
      </c>
      <c r="K219" s="642">
        <v>0</v>
      </c>
      <c r="L219" s="642">
        <v>2.6244824682898504</v>
      </c>
      <c r="M219" s="642">
        <v>3.9446345242374808E-2</v>
      </c>
      <c r="N219" s="642">
        <v>0</v>
      </c>
      <c r="O219" s="642">
        <v>8.070345812558942E-2</v>
      </c>
      <c r="P219" s="642">
        <v>7.3892266408052469</v>
      </c>
      <c r="Q219" s="642">
        <v>0</v>
      </c>
      <c r="R219" s="642">
        <v>0</v>
      </c>
      <c r="S219" s="650">
        <v>46.257798340783566</v>
      </c>
      <c r="U219" s="648" t="s">
        <v>82</v>
      </c>
      <c r="V219" s="642">
        <v>0</v>
      </c>
      <c r="W219" s="642">
        <v>0</v>
      </c>
      <c r="X219" s="642">
        <v>22.167558461996123</v>
      </c>
      <c r="Y219" s="642">
        <v>2.0916118720237509</v>
      </c>
      <c r="Z219" s="642">
        <v>0</v>
      </c>
      <c r="AA219" s="642">
        <v>0</v>
      </c>
      <c r="AB219" s="642">
        <v>2.05899706998358</v>
      </c>
      <c r="AC219" s="642">
        <v>0</v>
      </c>
      <c r="AD219" s="642">
        <v>14.821446231272425</v>
      </c>
      <c r="AE219" s="642">
        <v>0.31253970501504325</v>
      </c>
      <c r="AF219" s="642">
        <v>0</v>
      </c>
      <c r="AG219" s="642">
        <v>0.82781531321025892</v>
      </c>
      <c r="AH219" s="642">
        <v>7.4491158726448985</v>
      </c>
      <c r="AI219" s="642">
        <v>0</v>
      </c>
      <c r="AJ219" s="642">
        <v>0.21911019493558448</v>
      </c>
      <c r="AK219" s="650">
        <v>49.948194721081656</v>
      </c>
    </row>
    <row r="220" spans="3:37" ht="13.5">
      <c r="C220" s="648" t="s">
        <v>357</v>
      </c>
      <c r="D220" s="642">
        <v>0</v>
      </c>
      <c r="E220" s="642">
        <v>0</v>
      </c>
      <c r="F220" s="642">
        <v>0</v>
      </c>
      <c r="G220" s="642">
        <v>0</v>
      </c>
      <c r="H220" s="642">
        <v>0</v>
      </c>
      <c r="I220" s="642">
        <v>0</v>
      </c>
      <c r="J220" s="642">
        <v>0</v>
      </c>
      <c r="K220" s="642">
        <v>0</v>
      </c>
      <c r="L220" s="642">
        <v>0</v>
      </c>
      <c r="M220" s="642">
        <v>0</v>
      </c>
      <c r="N220" s="642">
        <v>0</v>
      </c>
      <c r="O220" s="642">
        <v>0</v>
      </c>
      <c r="P220" s="642">
        <v>0.13500000000000001</v>
      </c>
      <c r="Q220" s="642">
        <v>0</v>
      </c>
      <c r="R220" s="642">
        <v>0</v>
      </c>
      <c r="S220" s="650">
        <v>0.13500000000000001</v>
      </c>
      <c r="U220" s="648" t="s">
        <v>357</v>
      </c>
      <c r="V220" s="642">
        <v>0</v>
      </c>
      <c r="W220" s="642">
        <v>0</v>
      </c>
      <c r="X220" s="642">
        <v>0</v>
      </c>
      <c r="Y220" s="642">
        <v>0</v>
      </c>
      <c r="Z220" s="642">
        <v>0</v>
      </c>
      <c r="AA220" s="642">
        <v>0</v>
      </c>
      <c r="AB220" s="642">
        <v>0</v>
      </c>
      <c r="AC220" s="642">
        <v>0</v>
      </c>
      <c r="AD220" s="642">
        <v>0</v>
      </c>
      <c r="AE220" s="642">
        <v>0</v>
      </c>
      <c r="AF220" s="642">
        <v>0</v>
      </c>
      <c r="AG220" s="642">
        <v>0</v>
      </c>
      <c r="AH220" s="642">
        <v>0.96</v>
      </c>
      <c r="AI220" s="642">
        <v>0</v>
      </c>
      <c r="AJ220" s="642">
        <v>0</v>
      </c>
      <c r="AK220" s="650">
        <v>0.96</v>
      </c>
    </row>
    <row r="221" spans="3:37" ht="13.5">
      <c r="C221" s="646" t="s">
        <v>83</v>
      </c>
      <c r="D221" s="647">
        <v>6.3476756101286895</v>
      </c>
      <c r="E221" s="647">
        <v>0</v>
      </c>
      <c r="F221" s="647">
        <v>406.54168551968399</v>
      </c>
      <c r="G221" s="647">
        <v>282.32963884282884</v>
      </c>
      <c r="H221" s="647">
        <v>0</v>
      </c>
      <c r="I221" s="647">
        <v>0</v>
      </c>
      <c r="J221" s="647">
        <v>107.95666307793715</v>
      </c>
      <c r="K221" s="647">
        <v>1.8020012097663161</v>
      </c>
      <c r="L221" s="647">
        <v>33.844802379359088</v>
      </c>
      <c r="M221" s="647">
        <v>5.7805412749111369</v>
      </c>
      <c r="N221" s="647">
        <v>54.409714472774652</v>
      </c>
      <c r="O221" s="647">
        <v>2.8404482619184632</v>
      </c>
      <c r="P221" s="647">
        <v>471.00002722243971</v>
      </c>
      <c r="Q221" s="647">
        <v>35.93929127384601</v>
      </c>
      <c r="R221" s="647">
        <v>1.1507469563432244</v>
      </c>
      <c r="S221" s="647">
        <v>1409.9432361019371</v>
      </c>
      <c r="U221" s="646" t="s">
        <v>83</v>
      </c>
      <c r="V221" s="647">
        <v>0.96947057486293287</v>
      </c>
      <c r="W221" s="647">
        <v>0</v>
      </c>
      <c r="X221" s="647">
        <v>241.9926707535555</v>
      </c>
      <c r="Y221" s="647">
        <v>170.05030789886592</v>
      </c>
      <c r="Z221" s="647">
        <v>0</v>
      </c>
      <c r="AA221" s="647">
        <v>0</v>
      </c>
      <c r="AB221" s="647">
        <v>100.24063406591846</v>
      </c>
      <c r="AC221" s="647">
        <v>5.8624646335327153</v>
      </c>
      <c r="AD221" s="647">
        <v>61.046275839037641</v>
      </c>
      <c r="AE221" s="647">
        <v>25.533007440030815</v>
      </c>
      <c r="AF221" s="647">
        <v>70.498567758341522</v>
      </c>
      <c r="AG221" s="647">
        <v>4.9368188759338274</v>
      </c>
      <c r="AH221" s="647">
        <v>472.52316025955423</v>
      </c>
      <c r="AI221" s="647">
        <v>65.204498303456901</v>
      </c>
      <c r="AJ221" s="647">
        <v>7.184216712205135</v>
      </c>
      <c r="AK221" s="647">
        <v>1226.0420931152958</v>
      </c>
    </row>
    <row r="222" spans="3:37" ht="13.5">
      <c r="C222" s="641" t="s">
        <v>84</v>
      </c>
      <c r="D222" s="642">
        <v>0</v>
      </c>
      <c r="E222" s="642">
        <v>0</v>
      </c>
      <c r="F222" s="642">
        <v>117.0773058539918</v>
      </c>
      <c r="G222" s="642">
        <v>12.185345647681713</v>
      </c>
      <c r="H222" s="642">
        <v>0</v>
      </c>
      <c r="I222" s="642">
        <v>0</v>
      </c>
      <c r="J222" s="642">
        <v>0</v>
      </c>
      <c r="K222" s="642">
        <v>0</v>
      </c>
      <c r="L222" s="642">
        <v>0</v>
      </c>
      <c r="M222" s="642">
        <v>0</v>
      </c>
      <c r="N222" s="642">
        <v>0</v>
      </c>
      <c r="O222" s="642">
        <v>0</v>
      </c>
      <c r="P222" s="642">
        <v>0</v>
      </c>
      <c r="Q222" s="642">
        <v>0</v>
      </c>
      <c r="R222" s="642">
        <v>0.52065087875698901</v>
      </c>
      <c r="S222" s="650">
        <v>129.78330238043051</v>
      </c>
      <c r="U222" s="641" t="s">
        <v>84</v>
      </c>
      <c r="V222" s="642">
        <v>0</v>
      </c>
      <c r="W222" s="642">
        <v>0</v>
      </c>
      <c r="X222" s="642">
        <v>106.669872568297</v>
      </c>
      <c r="Y222" s="642">
        <v>1.6020598461664441</v>
      </c>
      <c r="Z222" s="642">
        <v>0</v>
      </c>
      <c r="AA222" s="642">
        <v>0</v>
      </c>
      <c r="AB222" s="642">
        <v>0</v>
      </c>
      <c r="AC222" s="642">
        <v>0</v>
      </c>
      <c r="AD222" s="642">
        <v>6.1061434912109362</v>
      </c>
      <c r="AE222" s="642">
        <v>0</v>
      </c>
      <c r="AF222" s="642">
        <v>0</v>
      </c>
      <c r="AG222" s="642">
        <v>0</v>
      </c>
      <c r="AH222" s="642">
        <v>0</v>
      </c>
      <c r="AI222" s="642">
        <v>0</v>
      </c>
      <c r="AJ222" s="642">
        <v>4.9659354443359369</v>
      </c>
      <c r="AK222" s="650">
        <v>119.34401135001032</v>
      </c>
    </row>
    <row r="223" spans="3:37" ht="13.5">
      <c r="C223" s="646" t="s">
        <v>85</v>
      </c>
      <c r="D223" s="647">
        <v>6.3476756101286895</v>
      </c>
      <c r="E223" s="647">
        <v>0</v>
      </c>
      <c r="F223" s="647">
        <v>523.61899137367573</v>
      </c>
      <c r="G223" s="647">
        <v>294.51498449051053</v>
      </c>
      <c r="H223" s="647">
        <v>0</v>
      </c>
      <c r="I223" s="647">
        <v>0</v>
      </c>
      <c r="J223" s="647">
        <v>107.95666307793715</v>
      </c>
      <c r="K223" s="647">
        <v>1.8020012097663161</v>
      </c>
      <c r="L223" s="647">
        <v>33.844802379359088</v>
      </c>
      <c r="M223" s="647">
        <v>5.7805412749111369</v>
      </c>
      <c r="N223" s="647">
        <v>54.409714472774652</v>
      </c>
      <c r="O223" s="647">
        <v>2.8404482619184632</v>
      </c>
      <c r="P223" s="647">
        <v>471.00002722243971</v>
      </c>
      <c r="Q223" s="647">
        <v>35.93929127384601</v>
      </c>
      <c r="R223" s="647">
        <v>1.6713978351002134</v>
      </c>
      <c r="S223" s="647">
        <v>1539.7265384823679</v>
      </c>
      <c r="U223" s="646" t="s">
        <v>85</v>
      </c>
      <c r="V223" s="647">
        <v>0.96947057486293287</v>
      </c>
      <c r="W223" s="647">
        <v>0</v>
      </c>
      <c r="X223" s="647">
        <v>348.66254332185252</v>
      </c>
      <c r="Y223" s="647">
        <v>171.65236774503236</v>
      </c>
      <c r="Z223" s="647">
        <v>0</v>
      </c>
      <c r="AA223" s="647">
        <v>0</v>
      </c>
      <c r="AB223" s="647">
        <v>100.24063406591846</v>
      </c>
      <c r="AC223" s="647">
        <v>5.8624646335327153</v>
      </c>
      <c r="AD223" s="647">
        <v>67.152419330248577</v>
      </c>
      <c r="AE223" s="647">
        <v>25.533007440030815</v>
      </c>
      <c r="AF223" s="647">
        <v>70.498567758341522</v>
      </c>
      <c r="AG223" s="647">
        <v>4.9368188759338274</v>
      </c>
      <c r="AH223" s="647">
        <v>472.52316025955423</v>
      </c>
      <c r="AI223" s="647">
        <v>65.204498303456901</v>
      </c>
      <c r="AJ223" s="647">
        <v>12.150152156541072</v>
      </c>
      <c r="AK223" s="647">
        <v>1345.3861044653063</v>
      </c>
    </row>
    <row r="224" spans="3:37" ht="13">
      <c r="C224" s="636"/>
      <c r="D224" s="636"/>
      <c r="E224" s="636"/>
      <c r="F224" s="636"/>
      <c r="G224" s="636"/>
      <c r="H224" s="636"/>
      <c r="I224" s="636"/>
      <c r="J224" s="636"/>
      <c r="K224" s="636"/>
      <c r="L224" s="636"/>
      <c r="M224" s="636"/>
      <c r="N224" s="636"/>
      <c r="O224" s="636"/>
      <c r="P224" s="636"/>
      <c r="Q224" s="636"/>
      <c r="R224" s="636"/>
      <c r="S224" s="636"/>
      <c r="U224" s="636"/>
      <c r="V224" s="636"/>
      <c r="W224" s="636"/>
      <c r="X224" s="636"/>
      <c r="Y224" s="636"/>
      <c r="Z224" s="636"/>
      <c r="AA224" s="636"/>
      <c r="AB224" s="636"/>
      <c r="AC224" s="636"/>
      <c r="AD224" s="636"/>
      <c r="AE224" s="636"/>
      <c r="AF224" s="636"/>
      <c r="AG224" s="636"/>
      <c r="AH224" s="636"/>
      <c r="AI224" s="636"/>
      <c r="AJ224" s="636"/>
      <c r="AK224" s="636"/>
    </row>
    <row r="225" spans="3:37" ht="22.5">
      <c r="C225" s="699" t="s">
        <v>361</v>
      </c>
      <c r="D225" s="699"/>
      <c r="E225" s="699"/>
      <c r="F225" s="699"/>
      <c r="G225" s="699"/>
      <c r="H225" s="699"/>
      <c r="I225" s="699"/>
      <c r="J225" s="699"/>
      <c r="K225" s="699"/>
      <c r="L225" s="699"/>
      <c r="M225" s="699"/>
      <c r="N225" s="699"/>
      <c r="O225" s="699"/>
      <c r="P225" s="699"/>
      <c r="Q225" s="699"/>
      <c r="R225" s="699"/>
      <c r="S225" s="699"/>
      <c r="U225" s="699" t="s">
        <v>361</v>
      </c>
      <c r="V225" s="699"/>
      <c r="W225" s="699"/>
      <c r="X225" s="699"/>
      <c r="Y225" s="699"/>
      <c r="Z225" s="699"/>
      <c r="AA225" s="699"/>
      <c r="AB225" s="699"/>
      <c r="AC225" s="699"/>
      <c r="AD225" s="699"/>
      <c r="AE225" s="699"/>
      <c r="AF225" s="699"/>
      <c r="AG225" s="699"/>
      <c r="AH225" s="699"/>
      <c r="AI225" s="699"/>
      <c r="AJ225" s="699"/>
      <c r="AK225" s="699"/>
    </row>
    <row r="226" spans="3:37" ht="13">
      <c r="C226" s="636"/>
      <c r="D226" s="636"/>
      <c r="E226" s="636"/>
      <c r="F226" s="636"/>
      <c r="G226" s="636"/>
      <c r="H226" s="636"/>
      <c r="I226" s="636"/>
      <c r="J226" s="636"/>
      <c r="K226" s="636"/>
      <c r="L226" s="636"/>
      <c r="M226" s="636"/>
      <c r="N226" s="636"/>
      <c r="O226" s="636"/>
      <c r="P226" s="636"/>
      <c r="Q226" s="636"/>
      <c r="R226" s="636"/>
      <c r="S226" s="636"/>
      <c r="U226" s="636"/>
      <c r="V226" s="636"/>
      <c r="W226" s="636"/>
      <c r="X226" s="636"/>
      <c r="Y226" s="636"/>
      <c r="Z226" s="636"/>
      <c r="AA226" s="636"/>
      <c r="AB226" s="636"/>
      <c r="AC226" s="636"/>
      <c r="AD226" s="636"/>
      <c r="AE226" s="636"/>
      <c r="AF226" s="636"/>
      <c r="AG226" s="636"/>
      <c r="AH226" s="636"/>
      <c r="AI226" s="636"/>
      <c r="AJ226" s="636"/>
      <c r="AK226" s="636"/>
    </row>
    <row r="227" spans="3:37" ht="13" customHeight="1">
      <c r="C227" s="700" t="s">
        <v>128</v>
      </c>
      <c r="D227" s="701" t="s">
        <v>42</v>
      </c>
      <c r="E227" s="701" t="s">
        <v>52</v>
      </c>
      <c r="F227" s="701" t="s">
        <v>53</v>
      </c>
      <c r="G227" s="701" t="s">
        <v>32</v>
      </c>
      <c r="H227" s="701" t="s">
        <v>20</v>
      </c>
      <c r="I227" s="701" t="s">
        <v>55</v>
      </c>
      <c r="J227" s="701" t="s">
        <v>56</v>
      </c>
      <c r="K227" s="701"/>
      <c r="L227" s="701"/>
      <c r="M227" s="701"/>
      <c r="N227" s="701"/>
      <c r="O227" s="701"/>
      <c r="P227" s="701" t="s">
        <v>57</v>
      </c>
      <c r="Q227" s="701" t="s">
        <v>58</v>
      </c>
      <c r="R227" s="701" t="s">
        <v>31</v>
      </c>
      <c r="S227" s="701" t="s">
        <v>10</v>
      </c>
      <c r="U227" s="700" t="s">
        <v>128</v>
      </c>
      <c r="V227" s="701" t="s">
        <v>42</v>
      </c>
      <c r="W227" s="701" t="s">
        <v>52</v>
      </c>
      <c r="X227" s="701" t="s">
        <v>53</v>
      </c>
      <c r="Y227" s="701" t="s">
        <v>32</v>
      </c>
      <c r="Z227" s="701" t="s">
        <v>20</v>
      </c>
      <c r="AA227" s="701" t="s">
        <v>55</v>
      </c>
      <c r="AB227" s="701" t="s">
        <v>56</v>
      </c>
      <c r="AC227" s="701"/>
      <c r="AD227" s="701"/>
      <c r="AE227" s="701"/>
      <c r="AF227" s="701"/>
      <c r="AG227" s="701"/>
      <c r="AH227" s="701" t="s">
        <v>57</v>
      </c>
      <c r="AI227" s="701" t="s">
        <v>58</v>
      </c>
      <c r="AJ227" s="701" t="s">
        <v>31</v>
      </c>
      <c r="AK227" s="701" t="s">
        <v>10</v>
      </c>
    </row>
    <row r="228" spans="3:37" ht="46">
      <c r="C228" s="700"/>
      <c r="D228" s="701"/>
      <c r="E228" s="701"/>
      <c r="F228" s="701"/>
      <c r="G228" s="701"/>
      <c r="H228" s="701"/>
      <c r="I228" s="701"/>
      <c r="J228" s="640" t="s">
        <v>338</v>
      </c>
      <c r="K228" s="640" t="s">
        <v>40</v>
      </c>
      <c r="L228" s="640" t="s">
        <v>346</v>
      </c>
      <c r="M228" s="640" t="s">
        <v>347</v>
      </c>
      <c r="N228" s="640" t="s">
        <v>348</v>
      </c>
      <c r="O228" s="640" t="s">
        <v>349</v>
      </c>
      <c r="P228" s="701"/>
      <c r="Q228" s="701"/>
      <c r="R228" s="701"/>
      <c r="S228" s="701"/>
      <c r="U228" s="700"/>
      <c r="V228" s="701"/>
      <c r="W228" s="701"/>
      <c r="X228" s="701"/>
      <c r="Y228" s="701"/>
      <c r="Z228" s="701"/>
      <c r="AA228" s="701"/>
      <c r="AB228" s="640" t="s">
        <v>338</v>
      </c>
      <c r="AC228" s="640" t="s">
        <v>40</v>
      </c>
      <c r="AD228" s="640" t="s">
        <v>346</v>
      </c>
      <c r="AE228" s="640" t="s">
        <v>347</v>
      </c>
      <c r="AF228" s="640" t="s">
        <v>348</v>
      </c>
      <c r="AG228" s="640" t="s">
        <v>349</v>
      </c>
      <c r="AH228" s="701"/>
      <c r="AI228" s="701"/>
      <c r="AJ228" s="701"/>
      <c r="AK228" s="701"/>
    </row>
    <row r="229" spans="3:37" ht="13.5">
      <c r="C229" s="641" t="s">
        <v>59</v>
      </c>
      <c r="D229" s="642">
        <v>0</v>
      </c>
      <c r="E229" s="643">
        <v>5.8150000000000004</v>
      </c>
      <c r="F229" s="643">
        <v>0</v>
      </c>
      <c r="G229" s="642">
        <v>9.3040000000000012E-2</v>
      </c>
      <c r="H229" s="643">
        <v>1075.0000000000002</v>
      </c>
      <c r="I229" s="643">
        <v>224.13674723416887</v>
      </c>
      <c r="J229" s="643">
        <v>191.59942379122555</v>
      </c>
      <c r="K229" s="643">
        <v>21.432553878964274</v>
      </c>
      <c r="L229" s="643">
        <v>0.38158375751522683</v>
      </c>
      <c r="M229" s="643">
        <v>0.1566638564915529</v>
      </c>
      <c r="N229" s="643">
        <v>57.826394702164251</v>
      </c>
      <c r="O229" s="643">
        <v>8.0717549324466145</v>
      </c>
      <c r="P229" s="644">
        <v>0</v>
      </c>
      <c r="Q229" s="643">
        <v>0</v>
      </c>
      <c r="R229" s="643">
        <v>0</v>
      </c>
      <c r="S229" s="645">
        <v>1584.5131621529763</v>
      </c>
      <c r="U229" s="641" t="s">
        <v>59</v>
      </c>
      <c r="V229" s="642">
        <v>0</v>
      </c>
      <c r="W229" s="643">
        <v>5.8150000000000004</v>
      </c>
      <c r="X229" s="643">
        <v>0</v>
      </c>
      <c r="Y229" s="642">
        <v>9.3040000000000012E-2</v>
      </c>
      <c r="Z229" s="643">
        <v>994.39393939393949</v>
      </c>
      <c r="AA229" s="643">
        <v>248.70674723416883</v>
      </c>
      <c r="AB229" s="643">
        <v>191.76566332259941</v>
      </c>
      <c r="AC229" s="643">
        <v>38.031253697312572</v>
      </c>
      <c r="AD229" s="643">
        <v>0.38158375751522683</v>
      </c>
      <c r="AE229" s="643">
        <v>0.1566638564915529</v>
      </c>
      <c r="AF229" s="643">
        <v>76.992812580470769</v>
      </c>
      <c r="AG229" s="643">
        <v>16.738826185514363</v>
      </c>
      <c r="AH229" s="644">
        <v>0</v>
      </c>
      <c r="AI229" s="643">
        <v>0</v>
      </c>
      <c r="AJ229" s="643">
        <v>0</v>
      </c>
      <c r="AK229" s="645">
        <v>1573.0755300280123</v>
      </c>
    </row>
    <row r="230" spans="3:37" ht="13.5">
      <c r="C230" s="641" t="s">
        <v>60</v>
      </c>
      <c r="D230" s="642">
        <v>48.827265231041785</v>
      </c>
      <c r="E230" s="643">
        <v>518.07410535010388</v>
      </c>
      <c r="F230" s="643">
        <v>107.87457071926454</v>
      </c>
      <c r="G230" s="642">
        <v>335.04873882059013</v>
      </c>
      <c r="H230" s="643">
        <v>0</v>
      </c>
      <c r="I230" s="643">
        <v>0</v>
      </c>
      <c r="J230" s="643">
        <v>3.6983557386050134</v>
      </c>
      <c r="K230" s="643">
        <v>0</v>
      </c>
      <c r="L230" s="643">
        <v>2.0715216469959126</v>
      </c>
      <c r="M230" s="643">
        <v>0</v>
      </c>
      <c r="N230" s="643">
        <v>0</v>
      </c>
      <c r="O230" s="643">
        <v>0</v>
      </c>
      <c r="P230" s="644">
        <v>0</v>
      </c>
      <c r="Q230" s="643">
        <v>0</v>
      </c>
      <c r="R230" s="643">
        <v>0</v>
      </c>
      <c r="S230" s="645">
        <v>1015.5945575066012</v>
      </c>
      <c r="U230" s="641" t="s">
        <v>60</v>
      </c>
      <c r="V230" s="642">
        <v>9.7783497021920969</v>
      </c>
      <c r="W230" s="643">
        <v>336.80990869295175</v>
      </c>
      <c r="X230" s="643">
        <v>55.498271181254346</v>
      </c>
      <c r="Y230" s="642">
        <v>207.3573846689826</v>
      </c>
      <c r="Z230" s="643">
        <v>0</v>
      </c>
      <c r="AA230" s="643">
        <v>0</v>
      </c>
      <c r="AB230" s="643">
        <v>3.6983557386050134</v>
      </c>
      <c r="AC230" s="643">
        <v>0</v>
      </c>
      <c r="AD230" s="643">
        <v>2.0715216469959126</v>
      </c>
      <c r="AE230" s="643">
        <v>0</v>
      </c>
      <c r="AF230" s="643">
        <v>0</v>
      </c>
      <c r="AG230" s="643">
        <v>0</v>
      </c>
      <c r="AH230" s="644">
        <v>0</v>
      </c>
      <c r="AI230" s="643">
        <v>0</v>
      </c>
      <c r="AJ230" s="643">
        <v>0</v>
      </c>
      <c r="AK230" s="645">
        <v>615.21379163098163</v>
      </c>
    </row>
    <row r="231" spans="3:37" ht="13.5">
      <c r="C231" s="641" t="s">
        <v>61</v>
      </c>
      <c r="D231" s="642">
        <v>0</v>
      </c>
      <c r="E231" s="643">
        <v>0</v>
      </c>
      <c r="F231" s="643">
        <v>0</v>
      </c>
      <c r="G231" s="642">
        <v>0</v>
      </c>
      <c r="H231" s="643">
        <v>0</v>
      </c>
      <c r="I231" s="643">
        <v>0</v>
      </c>
      <c r="J231" s="643">
        <v>0</v>
      </c>
      <c r="K231" s="643">
        <v>0</v>
      </c>
      <c r="L231" s="643">
        <v>0</v>
      </c>
      <c r="M231" s="643">
        <v>0</v>
      </c>
      <c r="N231" s="643">
        <v>0</v>
      </c>
      <c r="O231" s="643">
        <v>0</v>
      </c>
      <c r="P231" s="644">
        <v>-50.941346245748719</v>
      </c>
      <c r="Q231" s="643">
        <v>0</v>
      </c>
      <c r="R231" s="643">
        <v>0</v>
      </c>
      <c r="S231" s="645">
        <v>-50.941346245748719</v>
      </c>
      <c r="U231" s="641" t="s">
        <v>61</v>
      </c>
      <c r="V231" s="642">
        <v>0</v>
      </c>
      <c r="W231" s="643">
        <v>0</v>
      </c>
      <c r="X231" s="643">
        <v>0</v>
      </c>
      <c r="Y231" s="642">
        <v>0</v>
      </c>
      <c r="Z231" s="643">
        <v>0</v>
      </c>
      <c r="AA231" s="643">
        <v>0</v>
      </c>
      <c r="AB231" s="643">
        <v>0</v>
      </c>
      <c r="AC231" s="643">
        <v>0</v>
      </c>
      <c r="AD231" s="643">
        <v>0</v>
      </c>
      <c r="AE231" s="643">
        <v>0</v>
      </c>
      <c r="AF231" s="643">
        <v>0</v>
      </c>
      <c r="AG231" s="643">
        <v>0</v>
      </c>
      <c r="AH231" s="644">
        <v>-32.476172245636349</v>
      </c>
      <c r="AI231" s="643">
        <v>0</v>
      </c>
      <c r="AJ231" s="643">
        <v>0</v>
      </c>
      <c r="AK231" s="645">
        <v>-32.476172245636349</v>
      </c>
    </row>
    <row r="232" spans="3:37" ht="13.5">
      <c r="C232" s="641" t="s">
        <v>62</v>
      </c>
      <c r="D232" s="642">
        <v>0</v>
      </c>
      <c r="E232" s="643">
        <v>0</v>
      </c>
      <c r="F232" s="643">
        <v>-16.25862008896565</v>
      </c>
      <c r="G232" s="642">
        <v>0</v>
      </c>
      <c r="H232" s="643">
        <v>0</v>
      </c>
      <c r="I232" s="643">
        <v>0</v>
      </c>
      <c r="J232" s="643">
        <v>0</v>
      </c>
      <c r="K232" s="643">
        <v>0</v>
      </c>
      <c r="L232" s="643">
        <v>0</v>
      </c>
      <c r="M232" s="643">
        <v>0</v>
      </c>
      <c r="N232" s="643">
        <v>0</v>
      </c>
      <c r="O232" s="643">
        <v>0</v>
      </c>
      <c r="P232" s="644">
        <v>0</v>
      </c>
      <c r="Q232" s="643">
        <v>0</v>
      </c>
      <c r="R232" s="643">
        <v>0</v>
      </c>
      <c r="S232" s="645">
        <v>-16.25862008896565</v>
      </c>
      <c r="U232" s="641" t="s">
        <v>62</v>
      </c>
      <c r="V232" s="642">
        <v>0</v>
      </c>
      <c r="W232" s="643">
        <v>0</v>
      </c>
      <c r="X232" s="643">
        <v>-12.937868047131742</v>
      </c>
      <c r="Y232" s="642">
        <v>-1.5571295869756494</v>
      </c>
      <c r="Z232" s="643">
        <v>0</v>
      </c>
      <c r="AA232" s="643">
        <v>0</v>
      </c>
      <c r="AB232" s="643">
        <v>0</v>
      </c>
      <c r="AC232" s="643">
        <v>0</v>
      </c>
      <c r="AD232" s="643">
        <v>0</v>
      </c>
      <c r="AE232" s="643">
        <v>-0.27478757417217342</v>
      </c>
      <c r="AF232" s="643">
        <v>0</v>
      </c>
      <c r="AG232" s="643">
        <v>0</v>
      </c>
      <c r="AH232" s="644">
        <v>0</v>
      </c>
      <c r="AI232" s="643">
        <v>0</v>
      </c>
      <c r="AJ232" s="643">
        <v>0</v>
      </c>
      <c r="AK232" s="645">
        <v>-14.769785208279565</v>
      </c>
    </row>
    <row r="233" spans="3:37" ht="13.5">
      <c r="C233" s="641" t="s">
        <v>63</v>
      </c>
      <c r="D233" s="642">
        <v>0</v>
      </c>
      <c r="E233" s="643">
        <v>0</v>
      </c>
      <c r="F233" s="643">
        <v>-83.551471621484865</v>
      </c>
      <c r="G233" s="642">
        <v>0</v>
      </c>
      <c r="H233" s="643">
        <v>0</v>
      </c>
      <c r="I233" s="643">
        <v>0</v>
      </c>
      <c r="J233" s="643">
        <v>0</v>
      </c>
      <c r="K233" s="643">
        <v>0</v>
      </c>
      <c r="L233" s="643">
        <v>-0.85914301655193537</v>
      </c>
      <c r="M233" s="643">
        <v>0</v>
      </c>
      <c r="N233" s="643">
        <v>0</v>
      </c>
      <c r="O233" s="643">
        <v>0</v>
      </c>
      <c r="P233" s="644">
        <v>0</v>
      </c>
      <c r="Q233" s="643">
        <v>0</v>
      </c>
      <c r="R233" s="643">
        <v>0</v>
      </c>
      <c r="S233" s="645">
        <v>-84.410614638036805</v>
      </c>
      <c r="U233" s="641" t="s">
        <v>63</v>
      </c>
      <c r="V233" s="642">
        <v>0</v>
      </c>
      <c r="W233" s="643">
        <v>0</v>
      </c>
      <c r="X233" s="643">
        <v>-67.135202148658564</v>
      </c>
      <c r="Y233" s="642">
        <v>0</v>
      </c>
      <c r="Z233" s="643">
        <v>0</v>
      </c>
      <c r="AA233" s="643">
        <v>0</v>
      </c>
      <c r="AB233" s="643">
        <v>0</v>
      </c>
      <c r="AC233" s="643">
        <v>0</v>
      </c>
      <c r="AD233" s="643">
        <v>-15.117527463171397</v>
      </c>
      <c r="AE233" s="643">
        <v>0</v>
      </c>
      <c r="AF233" s="643">
        <v>0</v>
      </c>
      <c r="AG233" s="643">
        <v>0</v>
      </c>
      <c r="AH233" s="644">
        <v>0</v>
      </c>
      <c r="AI233" s="643">
        <v>0</v>
      </c>
      <c r="AJ233" s="643">
        <v>0</v>
      </c>
      <c r="AK233" s="645">
        <v>-82.252729611829963</v>
      </c>
    </row>
    <row r="234" spans="3:37" ht="13.5">
      <c r="C234" s="641" t="s">
        <v>64</v>
      </c>
      <c r="D234" s="642">
        <v>0</v>
      </c>
      <c r="E234" s="643">
        <v>0</v>
      </c>
      <c r="F234" s="643">
        <v>0</v>
      </c>
      <c r="G234" s="642">
        <v>0</v>
      </c>
      <c r="H234" s="643">
        <v>0</v>
      </c>
      <c r="I234" s="643">
        <v>0</v>
      </c>
      <c r="J234" s="643">
        <v>0</v>
      </c>
      <c r="K234" s="643">
        <v>0</v>
      </c>
      <c r="L234" s="643">
        <v>0</v>
      </c>
      <c r="M234" s="643">
        <v>0</v>
      </c>
      <c r="N234" s="643">
        <v>0</v>
      </c>
      <c r="O234" s="643">
        <v>0</v>
      </c>
      <c r="P234" s="644">
        <v>0</v>
      </c>
      <c r="Q234" s="643">
        <v>0</v>
      </c>
      <c r="R234" s="643">
        <v>0</v>
      </c>
      <c r="S234" s="645">
        <v>0</v>
      </c>
      <c r="U234" s="641" t="s">
        <v>64</v>
      </c>
      <c r="V234" s="642">
        <v>0</v>
      </c>
      <c r="W234" s="643">
        <v>0</v>
      </c>
      <c r="X234" s="643">
        <v>0</v>
      </c>
      <c r="Y234" s="642">
        <v>0</v>
      </c>
      <c r="Z234" s="643">
        <v>0</v>
      </c>
      <c r="AA234" s="643">
        <v>0</v>
      </c>
      <c r="AB234" s="643">
        <v>0</v>
      </c>
      <c r="AC234" s="643">
        <v>0</v>
      </c>
      <c r="AD234" s="643">
        <v>0</v>
      </c>
      <c r="AE234" s="643">
        <v>0</v>
      </c>
      <c r="AF234" s="643">
        <v>0</v>
      </c>
      <c r="AG234" s="643">
        <v>0</v>
      </c>
      <c r="AH234" s="644">
        <v>0</v>
      </c>
      <c r="AI234" s="643">
        <v>0</v>
      </c>
      <c r="AJ234" s="643">
        <v>0</v>
      </c>
      <c r="AK234" s="645">
        <v>0</v>
      </c>
    </row>
    <row r="235" spans="3:37" ht="13.5">
      <c r="C235" s="646" t="s">
        <v>65</v>
      </c>
      <c r="D235" s="647">
        <v>48.827265231041785</v>
      </c>
      <c r="E235" s="647">
        <v>523.88910535010393</v>
      </c>
      <c r="F235" s="647">
        <v>8.0644790088140255</v>
      </c>
      <c r="G235" s="647">
        <v>335.1417788205901</v>
      </c>
      <c r="H235" s="647">
        <v>1075.0000000000002</v>
      </c>
      <c r="I235" s="647">
        <v>224.13674723416887</v>
      </c>
      <c r="J235" s="647">
        <v>195.29777952983056</v>
      </c>
      <c r="K235" s="647">
        <v>21.432553878964274</v>
      </c>
      <c r="L235" s="647">
        <v>1.5939623879592042</v>
      </c>
      <c r="M235" s="647">
        <v>0.1566638564915529</v>
      </c>
      <c r="N235" s="647">
        <v>57.826394702164251</v>
      </c>
      <c r="O235" s="647">
        <v>8.0717549324466145</v>
      </c>
      <c r="P235" s="647">
        <v>-50.941346245748719</v>
      </c>
      <c r="Q235" s="647">
        <v>0</v>
      </c>
      <c r="R235" s="647">
        <v>0</v>
      </c>
      <c r="S235" s="647">
        <v>2448.4971386868265</v>
      </c>
      <c r="U235" s="646" t="s">
        <v>65</v>
      </c>
      <c r="V235" s="647">
        <v>9.7783497021920969</v>
      </c>
      <c r="W235" s="647">
        <v>342.62490869295175</v>
      </c>
      <c r="X235" s="647">
        <v>-24.574799014535962</v>
      </c>
      <c r="Y235" s="647">
        <v>205.89329508200694</v>
      </c>
      <c r="Z235" s="647">
        <v>994.39393939393949</v>
      </c>
      <c r="AA235" s="647">
        <v>248.70674723416883</v>
      </c>
      <c r="AB235" s="647">
        <v>195.46401906120443</v>
      </c>
      <c r="AC235" s="647">
        <v>38.031253697312572</v>
      </c>
      <c r="AD235" s="647">
        <v>-12.664422058660257</v>
      </c>
      <c r="AE235" s="647">
        <v>-0.11812371768062052</v>
      </c>
      <c r="AF235" s="647">
        <v>76.992812580470769</v>
      </c>
      <c r="AG235" s="647">
        <v>16.738826185514363</v>
      </c>
      <c r="AH235" s="647">
        <v>-32.476172245636349</v>
      </c>
      <c r="AI235" s="647">
        <v>0</v>
      </c>
      <c r="AJ235" s="647">
        <v>0</v>
      </c>
      <c r="AK235" s="647">
        <v>2058.7906345932479</v>
      </c>
    </row>
    <row r="236" spans="3:37" ht="13">
      <c r="C236" s="636"/>
      <c r="D236" s="636">
        <v>0</v>
      </c>
      <c r="E236" s="636">
        <v>0</v>
      </c>
      <c r="F236" s="636">
        <v>0</v>
      </c>
      <c r="G236" s="636">
        <v>0</v>
      </c>
      <c r="H236" s="636">
        <v>0</v>
      </c>
      <c r="I236" s="636">
        <v>0</v>
      </c>
      <c r="J236" s="636">
        <v>0</v>
      </c>
      <c r="K236" s="636">
        <v>0</v>
      </c>
      <c r="L236" s="636">
        <v>0</v>
      </c>
      <c r="M236" s="636">
        <v>0</v>
      </c>
      <c r="N236" s="636">
        <v>0</v>
      </c>
      <c r="O236" s="636">
        <v>0</v>
      </c>
      <c r="P236" s="636">
        <v>0</v>
      </c>
      <c r="Q236" s="636">
        <v>0</v>
      </c>
      <c r="R236" s="636">
        <v>0</v>
      </c>
      <c r="S236" s="636">
        <v>0</v>
      </c>
      <c r="U236" s="636"/>
      <c r="V236" s="636">
        <v>0</v>
      </c>
      <c r="W236" s="636">
        <v>0</v>
      </c>
      <c r="X236" s="636">
        <v>0</v>
      </c>
      <c r="Y236" s="636">
        <v>0</v>
      </c>
      <c r="Z236" s="636">
        <v>0</v>
      </c>
      <c r="AA236" s="636">
        <v>0</v>
      </c>
      <c r="AB236" s="636">
        <v>0</v>
      </c>
      <c r="AC236" s="636">
        <v>0</v>
      </c>
      <c r="AD236" s="636">
        <v>0</v>
      </c>
      <c r="AE236" s="636">
        <v>0</v>
      </c>
      <c r="AF236" s="636">
        <v>0</v>
      </c>
      <c r="AG236" s="636">
        <v>0</v>
      </c>
      <c r="AH236" s="636">
        <v>0</v>
      </c>
      <c r="AI236" s="636">
        <v>0</v>
      </c>
      <c r="AJ236" s="636">
        <v>0</v>
      </c>
      <c r="AK236" s="636">
        <v>0</v>
      </c>
    </row>
    <row r="237" spans="3:37" ht="13.5">
      <c r="C237" s="648" t="s">
        <v>67</v>
      </c>
      <c r="D237" s="642">
        <v>0</v>
      </c>
      <c r="E237" s="649">
        <v>0</v>
      </c>
      <c r="F237" s="649">
        <v>0</v>
      </c>
      <c r="G237" s="642">
        <v>0</v>
      </c>
      <c r="H237" s="642">
        <v>0</v>
      </c>
      <c r="I237" s="642">
        <v>0</v>
      </c>
      <c r="J237" s="642">
        <v>0</v>
      </c>
      <c r="K237" s="642">
        <v>0</v>
      </c>
      <c r="L237" s="642">
        <v>0</v>
      </c>
      <c r="M237" s="642">
        <v>0</v>
      </c>
      <c r="N237" s="642">
        <v>0</v>
      </c>
      <c r="O237" s="642">
        <v>0</v>
      </c>
      <c r="P237" s="642">
        <v>0</v>
      </c>
      <c r="Q237" s="642">
        <v>0</v>
      </c>
      <c r="R237" s="642">
        <v>0</v>
      </c>
      <c r="S237" s="650">
        <v>0</v>
      </c>
      <c r="U237" s="648" t="s">
        <v>67</v>
      </c>
      <c r="V237" s="642">
        <v>0</v>
      </c>
      <c r="W237" s="649">
        <v>0</v>
      </c>
      <c r="X237" s="649">
        <v>0</v>
      </c>
      <c r="Y237" s="642">
        <v>0</v>
      </c>
      <c r="Z237" s="642">
        <v>0</v>
      </c>
      <c r="AA237" s="642">
        <v>0</v>
      </c>
      <c r="AB237" s="642">
        <v>0</v>
      </c>
      <c r="AC237" s="642">
        <v>0</v>
      </c>
      <c r="AD237" s="642">
        <v>0</v>
      </c>
      <c r="AE237" s="642">
        <v>0</v>
      </c>
      <c r="AF237" s="642">
        <v>0</v>
      </c>
      <c r="AG237" s="642">
        <v>0</v>
      </c>
      <c r="AH237" s="642">
        <v>0</v>
      </c>
      <c r="AI237" s="642">
        <v>0</v>
      </c>
      <c r="AJ237" s="642">
        <v>0</v>
      </c>
      <c r="AK237" s="650">
        <v>0</v>
      </c>
    </row>
    <row r="238" spans="3:37" ht="13.5">
      <c r="C238" s="648" t="s">
        <v>350</v>
      </c>
      <c r="D238" s="642">
        <v>2.8267856410252494</v>
      </c>
      <c r="E238" s="642">
        <v>0</v>
      </c>
      <c r="F238" s="642">
        <v>7.9696731063521415</v>
      </c>
      <c r="G238" s="642">
        <v>17.422222222222224</v>
      </c>
      <c r="H238" s="642">
        <v>1075.0000000000002</v>
      </c>
      <c r="I238" s="642">
        <v>224.13674723416887</v>
      </c>
      <c r="J238" s="651">
        <v>30.45355250478201</v>
      </c>
      <c r="K238" s="651">
        <v>7.4482212846984126</v>
      </c>
      <c r="L238" s="651">
        <v>2.4531054045111396</v>
      </c>
      <c r="M238" s="651">
        <v>0.47972213502804317</v>
      </c>
      <c r="N238" s="651">
        <v>0</v>
      </c>
      <c r="O238" s="651">
        <v>3.0833964576427819</v>
      </c>
      <c r="P238" s="642">
        <v>-609.30151807373261</v>
      </c>
      <c r="Q238" s="642">
        <v>0</v>
      </c>
      <c r="R238" s="642">
        <v>0</v>
      </c>
      <c r="S238" s="650">
        <v>761.97190791669834</v>
      </c>
      <c r="U238" s="648" t="s">
        <v>350</v>
      </c>
      <c r="V238" s="642">
        <v>0.62631490545869017</v>
      </c>
      <c r="W238" s="642">
        <v>0</v>
      </c>
      <c r="X238" s="642">
        <v>4.1060367427157782</v>
      </c>
      <c r="Y238" s="642">
        <v>24.857777777777773</v>
      </c>
      <c r="Z238" s="642">
        <v>994.39393939393949</v>
      </c>
      <c r="AA238" s="642">
        <v>248.70674723416883</v>
      </c>
      <c r="AB238" s="651">
        <v>24.641197042508384</v>
      </c>
      <c r="AC238" s="651">
        <v>6.6719525843779666</v>
      </c>
      <c r="AD238" s="651">
        <v>2.4531054045111396</v>
      </c>
      <c r="AE238" s="651">
        <v>4.5108332461391543</v>
      </c>
      <c r="AF238" s="651">
        <v>0</v>
      </c>
      <c r="AG238" s="651">
        <v>3.0833964576427819</v>
      </c>
      <c r="AH238" s="642">
        <v>-611.77151807373264</v>
      </c>
      <c r="AI238" s="642">
        <v>0</v>
      </c>
      <c r="AJ238" s="642">
        <v>2.3749999999999996</v>
      </c>
      <c r="AK238" s="650">
        <v>704.65478271550762</v>
      </c>
    </row>
    <row r="239" spans="3:37" ht="13.5">
      <c r="C239" s="648" t="s">
        <v>351</v>
      </c>
      <c r="D239" s="642">
        <v>0</v>
      </c>
      <c r="E239" s="642">
        <v>0</v>
      </c>
      <c r="F239" s="642">
        <v>0</v>
      </c>
      <c r="G239" s="642">
        <v>15.160725636684646</v>
      </c>
      <c r="H239" s="642">
        <v>0</v>
      </c>
      <c r="I239" s="642">
        <v>0</v>
      </c>
      <c r="J239" s="651">
        <v>12.939045348987106</v>
      </c>
      <c r="K239" s="651">
        <v>12.151724678588742</v>
      </c>
      <c r="L239" s="651">
        <v>0</v>
      </c>
      <c r="M239" s="651">
        <v>0.32322722394029924</v>
      </c>
      <c r="N239" s="651">
        <v>0</v>
      </c>
      <c r="O239" s="651">
        <v>2.1538235080806043</v>
      </c>
      <c r="P239" s="642">
        <v>0</v>
      </c>
      <c r="Q239" s="642">
        <v>-38.589386176372813</v>
      </c>
      <c r="R239" s="642">
        <v>0</v>
      </c>
      <c r="S239" s="650">
        <v>4.1391602199085806</v>
      </c>
      <c r="U239" s="648" t="s">
        <v>351</v>
      </c>
      <c r="V239" s="642">
        <v>0</v>
      </c>
      <c r="W239" s="642">
        <v>0</v>
      </c>
      <c r="X239" s="642">
        <v>0</v>
      </c>
      <c r="Y239" s="642">
        <v>15.290780965453443</v>
      </c>
      <c r="Z239" s="642">
        <v>0</v>
      </c>
      <c r="AA239" s="642">
        <v>0</v>
      </c>
      <c r="AB239" s="651">
        <v>28.500378674784677</v>
      </c>
      <c r="AC239" s="651">
        <v>25.381229817913329</v>
      </c>
      <c r="AD239" s="651">
        <v>0</v>
      </c>
      <c r="AE239" s="651">
        <v>2.712197771476935</v>
      </c>
      <c r="AF239" s="651">
        <v>0</v>
      </c>
      <c r="AG239" s="651">
        <v>8.3103526067541207</v>
      </c>
      <c r="AH239" s="642">
        <v>0</v>
      </c>
      <c r="AI239" s="642">
        <v>-73.223954421682024</v>
      </c>
      <c r="AJ239" s="642">
        <v>0</v>
      </c>
      <c r="AK239" s="650">
        <v>6.9709854147004844</v>
      </c>
    </row>
    <row r="240" spans="3:37" ht="13.5">
      <c r="C240" s="648" t="s">
        <v>352</v>
      </c>
      <c r="D240" s="642">
        <v>0</v>
      </c>
      <c r="E240" s="642">
        <v>0</v>
      </c>
      <c r="F240" s="642">
        <v>0</v>
      </c>
      <c r="G240" s="642">
        <v>0</v>
      </c>
      <c r="H240" s="642">
        <v>0</v>
      </c>
      <c r="I240" s="642">
        <v>0</v>
      </c>
      <c r="J240" s="652">
        <v>7.3987592400222235</v>
      </c>
      <c r="K240" s="652">
        <v>0</v>
      </c>
      <c r="L240" s="652">
        <v>0</v>
      </c>
      <c r="M240" s="652">
        <v>-6.5941441726698065</v>
      </c>
      <c r="N240" s="652">
        <v>0</v>
      </c>
      <c r="O240" s="652">
        <v>0</v>
      </c>
      <c r="P240" s="642">
        <v>0</v>
      </c>
      <c r="Q240" s="642">
        <v>0</v>
      </c>
      <c r="R240" s="642">
        <v>0</v>
      </c>
      <c r="S240" s="650">
        <v>0.80461506735241706</v>
      </c>
      <c r="U240" s="648" t="s">
        <v>352</v>
      </c>
      <c r="V240" s="642">
        <v>0</v>
      </c>
      <c r="W240" s="642">
        <v>0</v>
      </c>
      <c r="X240" s="642">
        <v>0</v>
      </c>
      <c r="Y240" s="642">
        <v>0</v>
      </c>
      <c r="Z240" s="642">
        <v>0</v>
      </c>
      <c r="AA240" s="642">
        <v>0</v>
      </c>
      <c r="AB240" s="652">
        <v>40.786473386605621</v>
      </c>
      <c r="AC240" s="652">
        <v>0</v>
      </c>
      <c r="AD240" s="652">
        <v>0</v>
      </c>
      <c r="AE240" s="652">
        <v>-36.350944405812257</v>
      </c>
      <c r="AF240" s="652">
        <v>0</v>
      </c>
      <c r="AG240" s="652">
        <v>0</v>
      </c>
      <c r="AH240" s="642">
        <v>0</v>
      </c>
      <c r="AI240" s="642">
        <v>0</v>
      </c>
      <c r="AJ240" s="642">
        <v>0</v>
      </c>
      <c r="AK240" s="650">
        <v>4.4355289807933644</v>
      </c>
    </row>
    <row r="241" spans="3:37" ht="13.5">
      <c r="C241" s="648" t="s">
        <v>353</v>
      </c>
      <c r="D241" s="642">
        <v>0</v>
      </c>
      <c r="E241" s="642">
        <v>0</v>
      </c>
      <c r="F241" s="642">
        <v>0</v>
      </c>
      <c r="G241" s="642">
        <v>0</v>
      </c>
      <c r="H241" s="642">
        <v>0</v>
      </c>
      <c r="I241" s="642">
        <v>0</v>
      </c>
      <c r="J241" s="642">
        <v>0</v>
      </c>
      <c r="K241" s="642">
        <v>0</v>
      </c>
      <c r="L241" s="642">
        <v>0</v>
      </c>
      <c r="M241" s="642">
        <v>0</v>
      </c>
      <c r="N241" s="642">
        <v>0</v>
      </c>
      <c r="O241" s="642">
        <v>0</v>
      </c>
      <c r="P241" s="642">
        <v>0</v>
      </c>
      <c r="Q241" s="642">
        <v>0</v>
      </c>
      <c r="R241" s="642">
        <v>0</v>
      </c>
      <c r="S241" s="650">
        <v>0</v>
      </c>
      <c r="U241" s="648" t="s">
        <v>353</v>
      </c>
      <c r="V241" s="642">
        <v>0</v>
      </c>
      <c r="W241" s="642">
        <v>0</v>
      </c>
      <c r="X241" s="642">
        <v>0</v>
      </c>
      <c r="Y241" s="642">
        <v>0</v>
      </c>
      <c r="Z241" s="642">
        <v>0</v>
      </c>
      <c r="AA241" s="642">
        <v>0</v>
      </c>
      <c r="AB241" s="642">
        <v>0</v>
      </c>
      <c r="AC241" s="642">
        <v>0</v>
      </c>
      <c r="AD241" s="642">
        <v>0</v>
      </c>
      <c r="AE241" s="642">
        <v>0</v>
      </c>
      <c r="AF241" s="642">
        <v>0</v>
      </c>
      <c r="AG241" s="642">
        <v>0</v>
      </c>
      <c r="AH241" s="642">
        <v>0</v>
      </c>
      <c r="AI241" s="642">
        <v>0</v>
      </c>
      <c r="AJ241" s="642">
        <v>0</v>
      </c>
      <c r="AK241" s="650">
        <v>0</v>
      </c>
    </row>
    <row r="242" spans="3:37" ht="13.5">
      <c r="C242" s="648" t="s">
        <v>72</v>
      </c>
      <c r="D242" s="642">
        <v>0</v>
      </c>
      <c r="E242" s="642">
        <v>542.69343279650275</v>
      </c>
      <c r="F242" s="642">
        <v>-537.26649846853775</v>
      </c>
      <c r="G242" s="642">
        <v>0</v>
      </c>
      <c r="H242" s="642">
        <v>0</v>
      </c>
      <c r="I242" s="642">
        <v>0</v>
      </c>
      <c r="J242" s="642">
        <v>0</v>
      </c>
      <c r="K242" s="642">
        <v>0</v>
      </c>
      <c r="L242" s="642">
        <v>0</v>
      </c>
      <c r="M242" s="642">
        <v>0</v>
      </c>
      <c r="N242" s="642">
        <v>0</v>
      </c>
      <c r="O242" s="642">
        <v>0</v>
      </c>
      <c r="P242" s="642">
        <v>0</v>
      </c>
      <c r="Q242" s="642">
        <v>0</v>
      </c>
      <c r="R242" s="642">
        <v>0</v>
      </c>
      <c r="S242" s="650">
        <v>5.4269343279650002</v>
      </c>
      <c r="U242" s="648" t="s">
        <v>72</v>
      </c>
      <c r="V242" s="642">
        <v>0</v>
      </c>
      <c r="W242" s="642">
        <v>354.9229903070925</v>
      </c>
      <c r="X242" s="642">
        <v>-351.3737604040216</v>
      </c>
      <c r="Y242" s="642">
        <v>0</v>
      </c>
      <c r="Z242" s="642">
        <v>0</v>
      </c>
      <c r="AA242" s="642">
        <v>0</v>
      </c>
      <c r="AB242" s="642">
        <v>0</v>
      </c>
      <c r="AC242" s="642">
        <v>0</v>
      </c>
      <c r="AD242" s="642">
        <v>0</v>
      </c>
      <c r="AE242" s="642">
        <v>0</v>
      </c>
      <c r="AF242" s="642">
        <v>0</v>
      </c>
      <c r="AG242" s="642">
        <v>0</v>
      </c>
      <c r="AH242" s="642">
        <v>0</v>
      </c>
      <c r="AI242" s="642">
        <v>0</v>
      </c>
      <c r="AJ242" s="642">
        <v>0</v>
      </c>
      <c r="AK242" s="650">
        <v>3.5492299030709091</v>
      </c>
    </row>
    <row r="243" spans="3:37" ht="13.5">
      <c r="C243" s="648" t="s">
        <v>354</v>
      </c>
      <c r="D243" s="642">
        <v>0</v>
      </c>
      <c r="E243" s="642">
        <v>0</v>
      </c>
      <c r="F243" s="642">
        <v>0</v>
      </c>
      <c r="G243" s="642">
        <v>0</v>
      </c>
      <c r="H243" s="642">
        <v>0</v>
      </c>
      <c r="I243" s="642">
        <v>0</v>
      </c>
      <c r="J243" s="642">
        <v>32.75009012852766</v>
      </c>
      <c r="K243" s="642">
        <v>0</v>
      </c>
      <c r="L243" s="642">
        <v>-32.75009012852766</v>
      </c>
      <c r="M243" s="642">
        <v>0</v>
      </c>
      <c r="N243" s="642">
        <v>0</v>
      </c>
      <c r="O243" s="642">
        <v>0</v>
      </c>
      <c r="P243" s="642">
        <v>0</v>
      </c>
      <c r="Q243" s="642">
        <v>0</v>
      </c>
      <c r="R243" s="642">
        <v>0</v>
      </c>
      <c r="S243" s="650">
        <v>0</v>
      </c>
      <c r="U243" s="648" t="s">
        <v>354</v>
      </c>
      <c r="V243" s="642">
        <v>0</v>
      </c>
      <c r="W243" s="642">
        <v>0</v>
      </c>
      <c r="X243" s="642">
        <v>0</v>
      </c>
      <c r="Y243" s="642">
        <v>0</v>
      </c>
      <c r="Z243" s="642">
        <v>0</v>
      </c>
      <c r="AA243" s="642">
        <v>0</v>
      </c>
      <c r="AB243" s="642" t="e">
        <v>#VALUE!</v>
      </c>
      <c r="AC243" s="642">
        <v>0</v>
      </c>
      <c r="AD243" s="642">
        <v>-76.638831624044727</v>
      </c>
      <c r="AE243" s="642">
        <v>0</v>
      </c>
      <c r="AF243" s="642">
        <v>0</v>
      </c>
      <c r="AG243" s="642">
        <v>0</v>
      </c>
      <c r="AH243" s="642">
        <v>0</v>
      </c>
      <c r="AI243" s="642">
        <v>0</v>
      </c>
      <c r="AJ243" s="642">
        <v>0</v>
      </c>
      <c r="AK243" s="650">
        <v>-76.638831624044727</v>
      </c>
    </row>
    <row r="244" spans="3:37" ht="13.5">
      <c r="C244" s="648" t="s">
        <v>355</v>
      </c>
      <c r="D244" s="642">
        <v>0</v>
      </c>
      <c r="E244" s="642">
        <v>0</v>
      </c>
      <c r="F244" s="642">
        <v>0</v>
      </c>
      <c r="G244" s="642">
        <v>0</v>
      </c>
      <c r="H244" s="642">
        <v>0</v>
      </c>
      <c r="I244" s="642">
        <v>0</v>
      </c>
      <c r="J244" s="642">
        <v>0</v>
      </c>
      <c r="K244" s="642">
        <v>0</v>
      </c>
      <c r="L244" s="642">
        <v>0</v>
      </c>
      <c r="M244" s="642">
        <v>0</v>
      </c>
      <c r="N244" s="642">
        <v>0</v>
      </c>
      <c r="O244" s="642">
        <v>0</v>
      </c>
      <c r="P244" s="642">
        <v>0</v>
      </c>
      <c r="Q244" s="642">
        <v>0</v>
      </c>
      <c r="R244" s="642">
        <v>0</v>
      </c>
      <c r="S244" s="650">
        <v>0</v>
      </c>
      <c r="U244" s="648" t="s">
        <v>355</v>
      </c>
      <c r="V244" s="642">
        <v>0</v>
      </c>
      <c r="W244" s="642">
        <v>0</v>
      </c>
      <c r="X244" s="642">
        <v>0</v>
      </c>
      <c r="Y244" s="642">
        <v>0</v>
      </c>
      <c r="Z244" s="642">
        <v>0</v>
      </c>
      <c r="AA244" s="642">
        <v>0</v>
      </c>
      <c r="AB244" s="642">
        <v>0</v>
      </c>
      <c r="AC244" s="642">
        <v>0</v>
      </c>
      <c r="AD244" s="642">
        <v>-16.893833779014706</v>
      </c>
      <c r="AE244" s="642">
        <v>0</v>
      </c>
      <c r="AF244" s="642">
        <v>0</v>
      </c>
      <c r="AG244" s="642">
        <v>0</v>
      </c>
      <c r="AH244" s="642">
        <v>0</v>
      </c>
      <c r="AI244" s="642">
        <v>0</v>
      </c>
      <c r="AJ244" s="642">
        <v>0</v>
      </c>
      <c r="AK244" s="650">
        <v>-16.893833779014706</v>
      </c>
    </row>
    <row r="245" spans="3:37" ht="13.5">
      <c r="C245" s="648" t="s">
        <v>73</v>
      </c>
      <c r="D245" s="642">
        <v>0</v>
      </c>
      <c r="E245" s="642">
        <v>0</v>
      </c>
      <c r="F245" s="642">
        <v>0</v>
      </c>
      <c r="G245" s="642">
        <v>2.9190475912378031</v>
      </c>
      <c r="H245" s="642">
        <v>0</v>
      </c>
      <c r="I245" s="642">
        <v>0</v>
      </c>
      <c r="J245" s="642">
        <v>0</v>
      </c>
      <c r="K245" s="642">
        <v>3.3095777678433143E-2</v>
      </c>
      <c r="L245" s="642">
        <v>0</v>
      </c>
      <c r="M245" s="642">
        <v>5.9572399821179664E-2</v>
      </c>
      <c r="N245" s="642">
        <v>0</v>
      </c>
      <c r="O245" s="642">
        <v>0</v>
      </c>
      <c r="P245" s="642">
        <v>0.31236464325712177</v>
      </c>
      <c r="Q245" s="642">
        <v>0</v>
      </c>
      <c r="R245" s="642">
        <v>-2.3167044374903201</v>
      </c>
      <c r="S245" s="650">
        <v>1.0073759745042175</v>
      </c>
      <c r="U245" s="648" t="s">
        <v>73</v>
      </c>
      <c r="V245" s="642">
        <v>0</v>
      </c>
      <c r="W245" s="642">
        <v>0</v>
      </c>
      <c r="X245" s="642">
        <v>0</v>
      </c>
      <c r="Y245" s="642">
        <v>6.287229939138852</v>
      </c>
      <c r="Z245" s="642">
        <v>0</v>
      </c>
      <c r="AA245" s="642">
        <v>0</v>
      </c>
      <c r="AB245" s="642">
        <v>0</v>
      </c>
      <c r="AC245" s="642">
        <v>0.25073698660573684</v>
      </c>
      <c r="AD245" s="642">
        <v>0</v>
      </c>
      <c r="AE245" s="642">
        <v>1.1095111657303856</v>
      </c>
      <c r="AF245" s="642">
        <v>0</v>
      </c>
      <c r="AG245" s="642">
        <v>0</v>
      </c>
      <c r="AH245" s="642">
        <v>18.274688237257074</v>
      </c>
      <c r="AI245" s="642">
        <v>0</v>
      </c>
      <c r="AJ245" s="642">
        <v>-17.551589062401579</v>
      </c>
      <c r="AK245" s="650">
        <v>8.3705772663304678</v>
      </c>
    </row>
    <row r="246" spans="3:37" ht="13.5">
      <c r="C246" s="648" t="s">
        <v>356</v>
      </c>
      <c r="D246" s="642">
        <v>28.656195468750003</v>
      </c>
      <c r="E246" s="642">
        <v>-18.804327446398823</v>
      </c>
      <c r="F246" s="642">
        <v>24.594949618470011</v>
      </c>
      <c r="G246" s="642">
        <v>0</v>
      </c>
      <c r="H246" s="642">
        <v>0</v>
      </c>
      <c r="I246" s="642">
        <v>0</v>
      </c>
      <c r="J246" s="642">
        <v>0</v>
      </c>
      <c r="K246" s="642">
        <v>0</v>
      </c>
      <c r="L246" s="642">
        <v>0</v>
      </c>
      <c r="M246" s="642">
        <v>0</v>
      </c>
      <c r="N246" s="642">
        <v>0</v>
      </c>
      <c r="O246" s="642">
        <v>0</v>
      </c>
      <c r="P246" s="642">
        <v>0</v>
      </c>
      <c r="Q246" s="642">
        <v>0</v>
      </c>
      <c r="R246" s="642">
        <v>0</v>
      </c>
      <c r="S246" s="650">
        <v>34.446817640821195</v>
      </c>
      <c r="U246" s="648" t="s">
        <v>356</v>
      </c>
      <c r="V246" s="642">
        <v>3.6632235107421875</v>
      </c>
      <c r="W246" s="642">
        <v>-12.298081614140758</v>
      </c>
      <c r="X246" s="642">
        <v>16.085164362607916</v>
      </c>
      <c r="Y246" s="642">
        <v>0</v>
      </c>
      <c r="Z246" s="642">
        <v>0</v>
      </c>
      <c r="AA246" s="642">
        <v>0</v>
      </c>
      <c r="AB246" s="642">
        <v>0</v>
      </c>
      <c r="AC246" s="642">
        <v>0</v>
      </c>
      <c r="AD246" s="642">
        <v>0</v>
      </c>
      <c r="AE246" s="642">
        <v>0</v>
      </c>
      <c r="AF246" s="642">
        <v>0</v>
      </c>
      <c r="AG246" s="642">
        <v>0</v>
      </c>
      <c r="AH246" s="642">
        <v>0</v>
      </c>
      <c r="AI246" s="642">
        <v>0</v>
      </c>
      <c r="AJ246" s="642">
        <v>0</v>
      </c>
      <c r="AK246" s="650">
        <v>7.450306259209345</v>
      </c>
    </row>
    <row r="247" spans="3:37" ht="13.5">
      <c r="C247" s="648" t="s">
        <v>75</v>
      </c>
      <c r="D247" s="642">
        <v>11.144076015625002</v>
      </c>
      <c r="E247" s="642">
        <v>0</v>
      </c>
      <c r="F247" s="642">
        <v>18.451576715081096</v>
      </c>
      <c r="G247" s="642">
        <v>5.2652116849916704</v>
      </c>
      <c r="H247" s="642">
        <v>0</v>
      </c>
      <c r="I247" s="642">
        <v>0</v>
      </c>
      <c r="J247" s="642">
        <v>0</v>
      </c>
      <c r="K247" s="642">
        <v>0</v>
      </c>
      <c r="L247" s="642">
        <v>0</v>
      </c>
      <c r="M247" s="642">
        <v>0.10745329969370757</v>
      </c>
      <c r="N247" s="642">
        <v>0</v>
      </c>
      <c r="O247" s="642">
        <v>0</v>
      </c>
      <c r="P247" s="642">
        <v>33.522260759660846</v>
      </c>
      <c r="Q247" s="642">
        <v>0</v>
      </c>
      <c r="R247" s="642">
        <v>0</v>
      </c>
      <c r="S247" s="650">
        <v>68.490578475052317</v>
      </c>
      <c r="U247" s="648" t="s">
        <v>75</v>
      </c>
      <c r="V247" s="642">
        <v>4.4693862304687499</v>
      </c>
      <c r="W247" s="642">
        <v>0</v>
      </c>
      <c r="X247" s="642">
        <v>18.451576715081096</v>
      </c>
      <c r="Y247" s="642">
        <v>4.5667652369825715</v>
      </c>
      <c r="Z247" s="642">
        <v>0</v>
      </c>
      <c r="AA247" s="642">
        <v>0</v>
      </c>
      <c r="AB247" s="642">
        <v>0</v>
      </c>
      <c r="AC247" s="642">
        <v>0</v>
      </c>
      <c r="AD247" s="642">
        <v>0</v>
      </c>
      <c r="AE247" s="642">
        <v>0.8058997477028067</v>
      </c>
      <c r="AF247" s="642">
        <v>0</v>
      </c>
      <c r="AG247" s="642">
        <v>0</v>
      </c>
      <c r="AH247" s="642">
        <v>33.775215305115388</v>
      </c>
      <c r="AI247" s="642">
        <v>0</v>
      </c>
      <c r="AJ247" s="642">
        <v>0</v>
      </c>
      <c r="AK247" s="650">
        <v>62.068843235350613</v>
      </c>
    </row>
    <row r="248" spans="3:37" ht="13.5">
      <c r="C248" s="648" t="s">
        <v>76</v>
      </c>
      <c r="D248" s="642">
        <v>0</v>
      </c>
      <c r="E248" s="642">
        <v>0</v>
      </c>
      <c r="F248" s="642">
        <v>0</v>
      </c>
      <c r="G248" s="642">
        <v>3.8313802109978718</v>
      </c>
      <c r="H248" s="642">
        <v>0</v>
      </c>
      <c r="I248" s="642">
        <v>0</v>
      </c>
      <c r="J248" s="642">
        <v>0</v>
      </c>
      <c r="K248" s="642">
        <v>0</v>
      </c>
      <c r="L248" s="642">
        <v>0</v>
      </c>
      <c r="M248" s="642">
        <v>7.8191432877507586E-2</v>
      </c>
      <c r="N248" s="642">
        <v>0</v>
      </c>
      <c r="O248" s="642">
        <v>0</v>
      </c>
      <c r="P248" s="642">
        <v>42.744249460921445</v>
      </c>
      <c r="Q248" s="642">
        <v>2.9948048478615572</v>
      </c>
      <c r="R248" s="642">
        <v>0</v>
      </c>
      <c r="S248" s="650">
        <v>49.648625952658385</v>
      </c>
      <c r="U248" s="648" t="s">
        <v>76</v>
      </c>
      <c r="V248" s="642">
        <v>0</v>
      </c>
      <c r="W248" s="642">
        <v>0</v>
      </c>
      <c r="X248" s="642">
        <v>0</v>
      </c>
      <c r="Y248" s="642">
        <v>2.4425535766751323</v>
      </c>
      <c r="Z248" s="642">
        <v>0</v>
      </c>
      <c r="AA248" s="642">
        <v>0</v>
      </c>
      <c r="AB248" s="642">
        <v>0</v>
      </c>
      <c r="AC248" s="642">
        <v>0</v>
      </c>
      <c r="AD248" s="642">
        <v>0</v>
      </c>
      <c r="AE248" s="642">
        <v>0.43103886647208217</v>
      </c>
      <c r="AF248" s="642">
        <v>0</v>
      </c>
      <c r="AG248" s="642">
        <v>0</v>
      </c>
      <c r="AH248" s="642">
        <v>44.348699545879278</v>
      </c>
      <c r="AI248" s="642">
        <v>5.6786643797858867</v>
      </c>
      <c r="AJ248" s="642">
        <v>0</v>
      </c>
      <c r="AK248" s="650">
        <v>52.900956368812388</v>
      </c>
    </row>
    <row r="249" spans="3:37" ht="13.5">
      <c r="C249" s="646" t="s">
        <v>77</v>
      </c>
      <c r="D249" s="647">
        <v>42.627057125400256</v>
      </c>
      <c r="E249" s="647">
        <v>523.88910535010393</v>
      </c>
      <c r="F249" s="647">
        <v>-486.25029902863446</v>
      </c>
      <c r="G249" s="647">
        <v>44.598587346134217</v>
      </c>
      <c r="H249" s="647">
        <v>1075.0000000000002</v>
      </c>
      <c r="I249" s="647">
        <v>224.13674723416887</v>
      </c>
      <c r="J249" s="647">
        <v>83.541447222318993</v>
      </c>
      <c r="K249" s="647">
        <v>19.633041740965588</v>
      </c>
      <c r="L249" s="647">
        <v>-30.296984724016522</v>
      </c>
      <c r="M249" s="647">
        <v>-5.5459776813090693</v>
      </c>
      <c r="N249" s="647">
        <v>0</v>
      </c>
      <c r="O249" s="647">
        <v>5.2372199657233862</v>
      </c>
      <c r="P249" s="647">
        <v>-532.72264320989325</v>
      </c>
      <c r="Q249" s="647">
        <v>-35.594581328511254</v>
      </c>
      <c r="R249" s="647">
        <v>-2.3167044374903201</v>
      </c>
      <c r="S249" s="647">
        <v>925.93601557496061</v>
      </c>
      <c r="U249" s="646" t="s">
        <v>77</v>
      </c>
      <c r="V249" s="647">
        <v>8.7589246466696284</v>
      </c>
      <c r="W249" s="647">
        <v>342.62490869295175</v>
      </c>
      <c r="X249" s="647">
        <v>-312.73098258361676</v>
      </c>
      <c r="Y249" s="647">
        <v>53.445107496027774</v>
      </c>
      <c r="Z249" s="647">
        <v>994.39393939393949</v>
      </c>
      <c r="AA249" s="647">
        <v>248.70674723416883</v>
      </c>
      <c r="AB249" s="647">
        <v>93.928049103898687</v>
      </c>
      <c r="AC249" s="647">
        <v>32.303919388897036</v>
      </c>
      <c r="AD249" s="647">
        <v>-91.079559998548305</v>
      </c>
      <c r="AE249" s="647">
        <v>-26.781463608290892</v>
      </c>
      <c r="AF249" s="647">
        <v>0</v>
      </c>
      <c r="AG249" s="647">
        <v>11.393749064396903</v>
      </c>
      <c r="AH249" s="647">
        <v>-515.37291498548086</v>
      </c>
      <c r="AI249" s="647">
        <v>-67.545290041896138</v>
      </c>
      <c r="AJ249" s="647">
        <v>-15.176589062401579</v>
      </c>
      <c r="AK249" s="647">
        <v>756.86854474071572</v>
      </c>
    </row>
    <row r="250" spans="3:37" ht="13">
      <c r="C250" s="636"/>
      <c r="D250" s="636">
        <v>0</v>
      </c>
      <c r="E250" s="636">
        <v>0</v>
      </c>
      <c r="F250" s="636">
        <v>0</v>
      </c>
      <c r="G250" s="636">
        <v>0</v>
      </c>
      <c r="H250" s="636">
        <v>0</v>
      </c>
      <c r="I250" s="636">
        <v>0</v>
      </c>
      <c r="J250" s="636">
        <v>0</v>
      </c>
      <c r="K250" s="636">
        <v>0</v>
      </c>
      <c r="L250" s="636">
        <v>0</v>
      </c>
      <c r="M250" s="636">
        <v>0</v>
      </c>
      <c r="N250" s="636">
        <v>0</v>
      </c>
      <c r="O250" s="636">
        <v>0</v>
      </c>
      <c r="P250" s="636">
        <v>0</v>
      </c>
      <c r="Q250" s="636">
        <v>0</v>
      </c>
      <c r="R250" s="636">
        <v>0</v>
      </c>
      <c r="S250" s="636">
        <v>0</v>
      </c>
      <c r="U250" s="636"/>
      <c r="V250" s="636">
        <v>0</v>
      </c>
      <c r="W250" s="636">
        <v>0</v>
      </c>
      <c r="X250" s="636">
        <v>0</v>
      </c>
      <c r="Y250" s="636">
        <v>0</v>
      </c>
      <c r="Z250" s="636">
        <v>0</v>
      </c>
      <c r="AA250" s="636">
        <v>0</v>
      </c>
      <c r="AB250" s="636">
        <v>0</v>
      </c>
      <c r="AC250" s="636">
        <v>0</v>
      </c>
      <c r="AD250" s="636">
        <v>0</v>
      </c>
      <c r="AE250" s="636">
        <v>0</v>
      </c>
      <c r="AF250" s="636">
        <v>0</v>
      </c>
      <c r="AG250" s="636">
        <v>0</v>
      </c>
      <c r="AH250" s="636">
        <v>0</v>
      </c>
      <c r="AI250" s="636">
        <v>0</v>
      </c>
      <c r="AJ250" s="636">
        <v>0</v>
      </c>
      <c r="AK250" s="636">
        <v>0</v>
      </c>
    </row>
    <row r="251" spans="3:37" ht="13.5">
      <c r="C251" s="648" t="s">
        <v>78</v>
      </c>
      <c r="D251" s="642">
        <v>6.2002081056415257</v>
      </c>
      <c r="E251" s="642">
        <v>0</v>
      </c>
      <c r="F251" s="642">
        <v>23.255205938178186</v>
      </c>
      <c r="G251" s="642">
        <v>101.12865293850786</v>
      </c>
      <c r="H251" s="642">
        <v>0</v>
      </c>
      <c r="I251" s="642">
        <v>0</v>
      </c>
      <c r="J251" s="642">
        <v>19.565687098295676</v>
      </c>
      <c r="K251" s="642">
        <v>1.7744589215827917</v>
      </c>
      <c r="L251" s="642">
        <v>0.87520713476562495</v>
      </c>
      <c r="M251" s="642">
        <v>2.0825226770622867</v>
      </c>
      <c r="N251" s="642">
        <v>0</v>
      </c>
      <c r="O251" s="642">
        <v>3.8067188808088001E-4</v>
      </c>
      <c r="P251" s="642">
        <v>109.76937284793219</v>
      </c>
      <c r="Q251" s="642">
        <v>16.103287978552984</v>
      </c>
      <c r="R251" s="642">
        <v>0.32868640136718752</v>
      </c>
      <c r="S251" s="650">
        <v>281.08367071377444</v>
      </c>
      <c r="U251" s="648" t="s">
        <v>78</v>
      </c>
      <c r="V251" s="642">
        <v>1.01942505552247</v>
      </c>
      <c r="W251" s="642">
        <v>0</v>
      </c>
      <c r="X251" s="642">
        <v>12.936117077553076</v>
      </c>
      <c r="Y251" s="642">
        <v>67.349539979102474</v>
      </c>
      <c r="Z251" s="642">
        <v>0</v>
      </c>
      <c r="AA251" s="642">
        <v>0</v>
      </c>
      <c r="AB251" s="642">
        <v>16.313565187348217</v>
      </c>
      <c r="AC251" s="642">
        <v>5.7022810919996436</v>
      </c>
      <c r="AD251" s="642">
        <v>2.2588896484375001</v>
      </c>
      <c r="AE251" s="642">
        <v>11.903885554581411</v>
      </c>
      <c r="AF251" s="642">
        <v>0</v>
      </c>
      <c r="AG251" s="642">
        <v>3.8067188808088001E-4</v>
      </c>
      <c r="AH251" s="642">
        <v>135.13428233654639</v>
      </c>
      <c r="AI251" s="642">
        <v>21.466888656055119</v>
      </c>
      <c r="AJ251" s="642">
        <v>5.7972734375000003</v>
      </c>
      <c r="AK251" s="650">
        <v>279.88252869653439</v>
      </c>
    </row>
    <row r="252" spans="3:37" ht="13.5">
      <c r="C252" s="648" t="s">
        <v>79</v>
      </c>
      <c r="D252" s="642">
        <v>0</v>
      </c>
      <c r="E252" s="642">
        <v>0</v>
      </c>
      <c r="F252" s="642">
        <v>291.38745921478562</v>
      </c>
      <c r="G252" s="642">
        <v>24.020829745272028</v>
      </c>
      <c r="H252" s="642">
        <v>0</v>
      </c>
      <c r="I252" s="642">
        <v>0</v>
      </c>
      <c r="J252" s="642">
        <v>0</v>
      </c>
      <c r="K252" s="642">
        <v>0</v>
      </c>
      <c r="L252" s="642">
        <v>28.280041762715456</v>
      </c>
      <c r="M252" s="642">
        <v>0.49022101520963324</v>
      </c>
      <c r="N252" s="642">
        <v>0</v>
      </c>
      <c r="O252" s="642">
        <v>0</v>
      </c>
      <c r="P252" s="642">
        <v>46.654707564142761</v>
      </c>
      <c r="Q252" s="642">
        <v>0</v>
      </c>
      <c r="R252" s="642">
        <v>1.1135281120019407</v>
      </c>
      <c r="S252" s="650">
        <v>391.94678741412741</v>
      </c>
      <c r="U252" s="648" t="s">
        <v>79</v>
      </c>
      <c r="V252" s="642">
        <v>0</v>
      </c>
      <c r="W252" s="642">
        <v>0</v>
      </c>
      <c r="X252" s="642">
        <v>152.5395921226515</v>
      </c>
      <c r="Y252" s="642">
        <v>18.931026789455995</v>
      </c>
      <c r="Z252" s="642">
        <v>0</v>
      </c>
      <c r="AA252" s="642">
        <v>0</v>
      </c>
      <c r="AB252" s="642">
        <v>0</v>
      </c>
      <c r="AC252" s="642">
        <v>0</v>
      </c>
      <c r="AD252" s="642">
        <v>49.546406871337183</v>
      </c>
      <c r="AE252" s="642">
        <v>3.3407694334334113</v>
      </c>
      <c r="AF252" s="642">
        <v>0</v>
      </c>
      <c r="AG252" s="642">
        <v>0</v>
      </c>
      <c r="AH252" s="642">
        <v>60.923926311544285</v>
      </c>
      <c r="AI252" s="642">
        <v>0</v>
      </c>
      <c r="AJ252" s="642">
        <v>2.0956611258816777</v>
      </c>
      <c r="AK252" s="650">
        <v>287.37738265430403</v>
      </c>
    </row>
    <row r="253" spans="3:37" ht="13.5">
      <c r="C253" s="648" t="s">
        <v>80</v>
      </c>
      <c r="D253" s="642">
        <v>0</v>
      </c>
      <c r="E253" s="642">
        <v>0</v>
      </c>
      <c r="F253" s="642">
        <v>24.366054746482678</v>
      </c>
      <c r="G253" s="642">
        <v>88.830627596834503</v>
      </c>
      <c r="H253" s="642">
        <v>0</v>
      </c>
      <c r="I253" s="642">
        <v>0</v>
      </c>
      <c r="J253" s="642">
        <v>86.298448588028648</v>
      </c>
      <c r="K253" s="642">
        <v>0</v>
      </c>
      <c r="L253" s="642">
        <v>0</v>
      </c>
      <c r="M253" s="642">
        <v>1.8128699509558064</v>
      </c>
      <c r="N253" s="642">
        <v>49.305914152356948</v>
      </c>
      <c r="O253" s="642">
        <v>1.9759423218950023</v>
      </c>
      <c r="P253" s="642">
        <v>183.08170703950353</v>
      </c>
      <c r="Q253" s="642">
        <v>15.629207143582217</v>
      </c>
      <c r="R253" s="642">
        <v>0</v>
      </c>
      <c r="S253" s="650">
        <v>451.3007715396393</v>
      </c>
      <c r="U253" s="648" t="s">
        <v>80</v>
      </c>
      <c r="V253" s="642">
        <v>0</v>
      </c>
      <c r="W253" s="642">
        <v>0</v>
      </c>
      <c r="X253" s="642">
        <v>1.5212022418020299</v>
      </c>
      <c r="Y253" s="642">
        <v>34.748278571527685</v>
      </c>
      <c r="Z253" s="642">
        <v>0</v>
      </c>
      <c r="AA253" s="642">
        <v>0</v>
      </c>
      <c r="AB253" s="642">
        <v>75.181836567082826</v>
      </c>
      <c r="AC253" s="642">
        <v>0</v>
      </c>
      <c r="AD253" s="642">
        <v>0</v>
      </c>
      <c r="AE253" s="642">
        <v>6.1320491596813564</v>
      </c>
      <c r="AF253" s="642">
        <v>62.645467095100628</v>
      </c>
      <c r="AG253" s="642">
        <v>2.6978117080871646</v>
      </c>
      <c r="AH253" s="642">
        <v>158.40967854762758</v>
      </c>
      <c r="AI253" s="642">
        <v>35.928967439236224</v>
      </c>
      <c r="AJ253" s="642">
        <v>0</v>
      </c>
      <c r="AK253" s="650">
        <v>377.26529133014549</v>
      </c>
    </row>
    <row r="254" spans="3:37" ht="13.5">
      <c r="C254" s="648" t="s">
        <v>81</v>
      </c>
      <c r="D254" s="642">
        <v>0</v>
      </c>
      <c r="E254" s="642">
        <v>0</v>
      </c>
      <c r="F254" s="642">
        <v>9.1434406229634497</v>
      </c>
      <c r="G254" s="642">
        <v>62.772902131190932</v>
      </c>
      <c r="H254" s="642">
        <v>0</v>
      </c>
      <c r="I254" s="642">
        <v>0</v>
      </c>
      <c r="J254" s="642">
        <v>3.3792389882828151</v>
      </c>
      <c r="K254" s="642">
        <v>2.5053216415896862E-2</v>
      </c>
      <c r="L254" s="642">
        <v>0</v>
      </c>
      <c r="M254" s="642">
        <v>1.2810796353304272</v>
      </c>
      <c r="N254" s="642">
        <v>8.5204805498073064</v>
      </c>
      <c r="O254" s="642">
        <v>0.77988306826531983</v>
      </c>
      <c r="P254" s="642">
        <v>134.9475862077569</v>
      </c>
      <c r="Q254" s="642">
        <v>3.8620862063760555</v>
      </c>
      <c r="R254" s="642">
        <v>0</v>
      </c>
      <c r="S254" s="650">
        <v>224.71175062638912</v>
      </c>
      <c r="U254" s="648" t="s">
        <v>81</v>
      </c>
      <c r="V254" s="642">
        <v>0</v>
      </c>
      <c r="W254" s="642">
        <v>0</v>
      </c>
      <c r="X254" s="642">
        <v>2.5747324311170368</v>
      </c>
      <c r="Y254" s="642">
        <v>28.050706446538126</v>
      </c>
      <c r="Z254" s="642">
        <v>0</v>
      </c>
      <c r="AA254" s="642">
        <v>0</v>
      </c>
      <c r="AB254" s="642">
        <v>7.5276105699702738</v>
      </c>
      <c r="AC254" s="642">
        <v>2.5053216415896862E-2</v>
      </c>
      <c r="AD254" s="642">
        <v>0</v>
      </c>
      <c r="AE254" s="642">
        <v>4.9501246670361398</v>
      </c>
      <c r="AF254" s="642">
        <v>14.347345485370148</v>
      </c>
      <c r="AG254" s="642">
        <v>1.6839822655905561</v>
      </c>
      <c r="AH254" s="642">
        <v>120.05488498756245</v>
      </c>
      <c r="AI254" s="642">
        <v>10.149433946604795</v>
      </c>
      <c r="AJ254" s="642">
        <v>0</v>
      </c>
      <c r="AK254" s="650">
        <v>189.36387401620541</v>
      </c>
    </row>
    <row r="255" spans="3:37" ht="13.5">
      <c r="C255" s="648" t="s">
        <v>82</v>
      </c>
      <c r="D255" s="642">
        <v>0</v>
      </c>
      <c r="E255" s="642">
        <v>0</v>
      </c>
      <c r="F255" s="642">
        <v>31.378359933180146</v>
      </c>
      <c r="G255" s="642">
        <v>1.761464702880946</v>
      </c>
      <c r="H255" s="642">
        <v>0</v>
      </c>
      <c r="I255" s="642">
        <v>0</v>
      </c>
      <c r="J255" s="642">
        <v>2.5129576329044134</v>
      </c>
      <c r="K255" s="642">
        <v>0</v>
      </c>
      <c r="L255" s="642">
        <v>2.7366524531426237</v>
      </c>
      <c r="M255" s="642">
        <v>3.5948259242468285E-2</v>
      </c>
      <c r="N255" s="642">
        <v>0</v>
      </c>
      <c r="O255" s="642">
        <v>7.8328904674825409E-2</v>
      </c>
      <c r="P255" s="642">
        <v>7.1029233048090266</v>
      </c>
      <c r="Q255" s="642">
        <v>0</v>
      </c>
      <c r="R255" s="642">
        <v>0</v>
      </c>
      <c r="S255" s="650">
        <v>45.606635190834446</v>
      </c>
      <c r="U255" s="648" t="s">
        <v>82</v>
      </c>
      <c r="V255" s="642">
        <v>0</v>
      </c>
      <c r="W255" s="642">
        <v>0</v>
      </c>
      <c r="X255" s="642">
        <v>18.696617357576709</v>
      </c>
      <c r="Y255" s="642">
        <v>1.906896096641761</v>
      </c>
      <c r="Z255" s="642">
        <v>0</v>
      </c>
      <c r="AA255" s="642">
        <v>0</v>
      </c>
      <c r="AB255" s="642">
        <v>2.5129576329044134</v>
      </c>
      <c r="AC255" s="642">
        <v>0</v>
      </c>
      <c r="AD255" s="642">
        <v>18.28747352858748</v>
      </c>
      <c r="AE255" s="642">
        <v>0.33651107587795781</v>
      </c>
      <c r="AF255" s="642">
        <v>0</v>
      </c>
      <c r="AG255" s="642">
        <v>0.96290247555165809</v>
      </c>
      <c r="AH255" s="642">
        <v>7.1739705565638916</v>
      </c>
      <c r="AI255" s="642">
        <v>0</v>
      </c>
      <c r="AJ255" s="642">
        <v>0.24940873791150003</v>
      </c>
      <c r="AK255" s="650">
        <v>50.12673746161537</v>
      </c>
    </row>
    <row r="256" spans="3:37" ht="13.5">
      <c r="C256" s="648" t="s">
        <v>357</v>
      </c>
      <c r="D256" s="642">
        <v>0</v>
      </c>
      <c r="E256" s="642">
        <v>0</v>
      </c>
      <c r="F256" s="642">
        <v>0</v>
      </c>
      <c r="G256" s="642">
        <v>0</v>
      </c>
      <c r="H256" s="642">
        <v>0</v>
      </c>
      <c r="I256" s="642">
        <v>0</v>
      </c>
      <c r="J256" s="642">
        <v>0</v>
      </c>
      <c r="K256" s="642">
        <v>0</v>
      </c>
      <c r="L256" s="642">
        <v>0</v>
      </c>
      <c r="M256" s="642">
        <v>0</v>
      </c>
      <c r="N256" s="642">
        <v>0</v>
      </c>
      <c r="O256" s="642">
        <v>0</v>
      </c>
      <c r="P256" s="642">
        <v>0.22499999999999998</v>
      </c>
      <c r="Q256" s="642">
        <v>0</v>
      </c>
      <c r="R256" s="642">
        <v>0</v>
      </c>
      <c r="S256" s="650">
        <v>0.22499999999999998</v>
      </c>
      <c r="U256" s="648" t="s">
        <v>357</v>
      </c>
      <c r="V256" s="642">
        <v>0</v>
      </c>
      <c r="W256" s="642">
        <v>0</v>
      </c>
      <c r="X256" s="642">
        <v>0</v>
      </c>
      <c r="Y256" s="642">
        <v>0</v>
      </c>
      <c r="Z256" s="642">
        <v>0</v>
      </c>
      <c r="AA256" s="642">
        <v>0</v>
      </c>
      <c r="AB256" s="642">
        <v>0</v>
      </c>
      <c r="AC256" s="642">
        <v>0</v>
      </c>
      <c r="AD256" s="642">
        <v>0</v>
      </c>
      <c r="AE256" s="642">
        <v>0</v>
      </c>
      <c r="AF256" s="642">
        <v>0</v>
      </c>
      <c r="AG256" s="642">
        <v>0</v>
      </c>
      <c r="AH256" s="642">
        <v>1.2</v>
      </c>
      <c r="AI256" s="642">
        <v>0</v>
      </c>
      <c r="AJ256" s="642">
        <v>0</v>
      </c>
      <c r="AK256" s="650">
        <v>1.2</v>
      </c>
    </row>
    <row r="257" spans="3:37" ht="13.5">
      <c r="C257" s="646" t="s">
        <v>83</v>
      </c>
      <c r="D257" s="647">
        <v>6.2002081056415257</v>
      </c>
      <c r="E257" s="647">
        <v>0</v>
      </c>
      <c r="F257" s="647">
        <v>379.53052045559002</v>
      </c>
      <c r="G257" s="647">
        <v>278.51447711468631</v>
      </c>
      <c r="H257" s="647">
        <v>0</v>
      </c>
      <c r="I257" s="647">
        <v>0</v>
      </c>
      <c r="J257" s="647">
        <v>111.75633230751156</v>
      </c>
      <c r="K257" s="647">
        <v>1.7995121379986885</v>
      </c>
      <c r="L257" s="647">
        <v>31.891901350623705</v>
      </c>
      <c r="M257" s="647">
        <v>5.7026415378006226</v>
      </c>
      <c r="N257" s="647">
        <v>57.826394702164251</v>
      </c>
      <c r="O257" s="647">
        <v>2.8345349667232282</v>
      </c>
      <c r="P257" s="647">
        <v>481.78129696414442</v>
      </c>
      <c r="Q257" s="647">
        <v>35.594581328511254</v>
      </c>
      <c r="R257" s="647">
        <v>1.4422145133691282</v>
      </c>
      <c r="S257" s="647">
        <v>1394.8746154847647</v>
      </c>
      <c r="U257" s="646" t="s">
        <v>83</v>
      </c>
      <c r="V257" s="647">
        <v>1.01942505552247</v>
      </c>
      <c r="W257" s="647">
        <v>0</v>
      </c>
      <c r="X257" s="647">
        <v>188.26826123070035</v>
      </c>
      <c r="Y257" s="647">
        <v>150.98644788326604</v>
      </c>
      <c r="Z257" s="647">
        <v>0</v>
      </c>
      <c r="AA257" s="647">
        <v>0</v>
      </c>
      <c r="AB257" s="647">
        <v>101.53596995730574</v>
      </c>
      <c r="AC257" s="647">
        <v>5.727334308415541</v>
      </c>
      <c r="AD257" s="647">
        <v>70.092770048362169</v>
      </c>
      <c r="AE257" s="647">
        <v>26.663339890610278</v>
      </c>
      <c r="AF257" s="647">
        <v>76.992812580470769</v>
      </c>
      <c r="AG257" s="647">
        <v>5.3450771211174599</v>
      </c>
      <c r="AH257" s="647">
        <v>482.89674273984457</v>
      </c>
      <c r="AI257" s="647">
        <v>67.545290041896138</v>
      </c>
      <c r="AJ257" s="647">
        <v>8.1423433012931774</v>
      </c>
      <c r="AK257" s="647">
        <v>1185.2158141588047</v>
      </c>
    </row>
    <row r="258" spans="3:37" ht="13.5">
      <c r="C258" s="641" t="s">
        <v>84</v>
      </c>
      <c r="D258" s="642">
        <v>0</v>
      </c>
      <c r="E258" s="642">
        <v>0</v>
      </c>
      <c r="F258" s="642">
        <v>114.78425758185857</v>
      </c>
      <c r="G258" s="642">
        <v>12.028714359769619</v>
      </c>
      <c r="H258" s="642">
        <v>0</v>
      </c>
      <c r="I258" s="642">
        <v>0</v>
      </c>
      <c r="J258" s="642">
        <v>0</v>
      </c>
      <c r="K258" s="642">
        <v>0</v>
      </c>
      <c r="L258" s="642">
        <v>0</v>
      </c>
      <c r="M258" s="642">
        <v>0</v>
      </c>
      <c r="N258" s="642">
        <v>0</v>
      </c>
      <c r="O258" s="642">
        <v>0</v>
      </c>
      <c r="P258" s="642">
        <v>0</v>
      </c>
      <c r="Q258" s="642">
        <v>0</v>
      </c>
      <c r="R258" s="642">
        <v>0.87448992412119186</v>
      </c>
      <c r="S258" s="650">
        <v>127.68746186574938</v>
      </c>
      <c r="U258" s="641" t="s">
        <v>84</v>
      </c>
      <c r="V258" s="642">
        <v>0</v>
      </c>
      <c r="W258" s="642">
        <v>0</v>
      </c>
      <c r="X258" s="642">
        <v>99.887922338380434</v>
      </c>
      <c r="Y258" s="642">
        <v>1.4617397027131513</v>
      </c>
      <c r="Z258" s="642">
        <v>0</v>
      </c>
      <c r="AA258" s="642">
        <v>0</v>
      </c>
      <c r="AB258" s="642">
        <v>0</v>
      </c>
      <c r="AC258" s="642">
        <v>0</v>
      </c>
      <c r="AD258" s="642">
        <v>9.6859590362548822</v>
      </c>
      <c r="AE258" s="642">
        <v>0</v>
      </c>
      <c r="AF258" s="642">
        <v>0</v>
      </c>
      <c r="AG258" s="642">
        <v>0</v>
      </c>
      <c r="AH258" s="642">
        <v>0</v>
      </c>
      <c r="AI258" s="642">
        <v>0</v>
      </c>
      <c r="AJ258" s="642">
        <v>7.0342457611083988</v>
      </c>
      <c r="AK258" s="650">
        <v>118.06986683845686</v>
      </c>
    </row>
    <row r="259" spans="3:37" ht="13.5">
      <c r="C259" s="646" t="s">
        <v>85</v>
      </c>
      <c r="D259" s="647">
        <v>6.2002081056415257</v>
      </c>
      <c r="E259" s="647">
        <v>0</v>
      </c>
      <c r="F259" s="647">
        <v>494.3147780374486</v>
      </c>
      <c r="G259" s="647">
        <v>290.54319147445591</v>
      </c>
      <c r="H259" s="647">
        <v>0</v>
      </c>
      <c r="I259" s="647">
        <v>0</v>
      </c>
      <c r="J259" s="647">
        <v>111.75633230751156</v>
      </c>
      <c r="K259" s="647">
        <v>1.7995121379986885</v>
      </c>
      <c r="L259" s="647">
        <v>31.891901350623705</v>
      </c>
      <c r="M259" s="647">
        <v>5.7026415378006226</v>
      </c>
      <c r="N259" s="647">
        <v>57.826394702164251</v>
      </c>
      <c r="O259" s="647">
        <v>2.8345349667232282</v>
      </c>
      <c r="P259" s="647">
        <v>481.78129696414442</v>
      </c>
      <c r="Q259" s="647">
        <v>35.594581328511254</v>
      </c>
      <c r="R259" s="647">
        <v>2.3167044374903201</v>
      </c>
      <c r="S259" s="647">
        <v>1522.5620773505141</v>
      </c>
      <c r="U259" s="646" t="s">
        <v>85</v>
      </c>
      <c r="V259" s="647">
        <v>1.01942505552247</v>
      </c>
      <c r="W259" s="647">
        <v>0</v>
      </c>
      <c r="X259" s="647">
        <v>288.15618356908084</v>
      </c>
      <c r="Y259" s="647">
        <v>152.44818758597918</v>
      </c>
      <c r="Z259" s="647">
        <v>0</v>
      </c>
      <c r="AA259" s="647">
        <v>0</v>
      </c>
      <c r="AB259" s="647">
        <v>101.53596995730574</v>
      </c>
      <c r="AC259" s="647">
        <v>5.727334308415541</v>
      </c>
      <c r="AD259" s="647">
        <v>79.778729084617055</v>
      </c>
      <c r="AE259" s="647">
        <v>26.663339890610278</v>
      </c>
      <c r="AF259" s="647">
        <v>76.992812580470769</v>
      </c>
      <c r="AG259" s="647">
        <v>5.3450771211174599</v>
      </c>
      <c r="AH259" s="647">
        <v>482.89674273984457</v>
      </c>
      <c r="AI259" s="647">
        <v>67.545290041896138</v>
      </c>
      <c r="AJ259" s="647">
        <v>15.176589062401575</v>
      </c>
      <c r="AK259" s="647">
        <v>1303.2856809972616</v>
      </c>
    </row>
    <row r="260" spans="3:37" ht="13">
      <c r="C260" s="636"/>
      <c r="D260" s="636"/>
      <c r="E260" s="636"/>
      <c r="F260" s="636"/>
      <c r="G260" s="636"/>
      <c r="H260" s="636"/>
      <c r="I260" s="636"/>
      <c r="J260" s="636"/>
      <c r="K260" s="636"/>
      <c r="L260" s="636"/>
      <c r="M260" s="636"/>
      <c r="N260" s="636"/>
      <c r="O260" s="636"/>
      <c r="P260" s="636"/>
      <c r="Q260" s="636"/>
      <c r="R260" s="636"/>
      <c r="S260" s="636"/>
      <c r="U260" s="636"/>
      <c r="V260" s="636"/>
      <c r="W260" s="636"/>
      <c r="X260" s="636"/>
      <c r="Y260" s="636"/>
      <c r="Z260" s="636"/>
      <c r="AA260" s="636"/>
      <c r="AB260" s="636"/>
      <c r="AC260" s="636"/>
      <c r="AD260" s="636"/>
      <c r="AE260" s="636"/>
      <c r="AF260" s="636"/>
      <c r="AG260" s="636"/>
      <c r="AH260" s="636"/>
      <c r="AI260" s="636"/>
      <c r="AJ260" s="636"/>
      <c r="AK260" s="636"/>
    </row>
    <row r="261" spans="3:37" ht="22.5">
      <c r="C261" s="699" t="s">
        <v>362</v>
      </c>
      <c r="D261" s="699"/>
      <c r="E261" s="699"/>
      <c r="F261" s="699"/>
      <c r="G261" s="699"/>
      <c r="H261" s="699"/>
      <c r="I261" s="699"/>
      <c r="J261" s="699"/>
      <c r="K261" s="699"/>
      <c r="L261" s="699"/>
      <c r="M261" s="699"/>
      <c r="N261" s="699"/>
      <c r="O261" s="699"/>
      <c r="P261" s="699"/>
      <c r="Q261" s="699"/>
      <c r="R261" s="699"/>
      <c r="S261" s="699"/>
      <c r="U261" s="699" t="s">
        <v>362</v>
      </c>
      <c r="V261" s="699"/>
      <c r="W261" s="699"/>
      <c r="X261" s="699"/>
      <c r="Y261" s="699"/>
      <c r="Z261" s="699"/>
      <c r="AA261" s="699"/>
      <c r="AB261" s="699"/>
      <c r="AC261" s="699"/>
      <c r="AD261" s="699"/>
      <c r="AE261" s="699"/>
      <c r="AF261" s="699"/>
      <c r="AG261" s="699"/>
      <c r="AH261" s="699"/>
      <c r="AI261" s="699"/>
      <c r="AJ261" s="699"/>
      <c r="AK261" s="699"/>
    </row>
    <row r="262" spans="3:37" ht="13">
      <c r="C262" s="636"/>
      <c r="D262" s="636"/>
      <c r="E262" s="636"/>
      <c r="F262" s="636"/>
      <c r="G262" s="636"/>
      <c r="H262" s="636"/>
      <c r="I262" s="636"/>
      <c r="J262" s="636"/>
      <c r="K262" s="636"/>
      <c r="L262" s="636"/>
      <c r="M262" s="636"/>
      <c r="N262" s="636"/>
      <c r="O262" s="636"/>
      <c r="P262" s="636"/>
      <c r="Q262" s="636"/>
      <c r="R262" s="636"/>
      <c r="S262" s="636"/>
      <c r="U262" s="636"/>
      <c r="V262" s="636"/>
      <c r="W262" s="636"/>
      <c r="X262" s="636"/>
      <c r="Y262" s="636"/>
      <c r="Z262" s="636"/>
      <c r="AA262" s="636"/>
      <c r="AB262" s="636"/>
      <c r="AC262" s="636"/>
      <c r="AD262" s="636"/>
      <c r="AE262" s="636"/>
      <c r="AF262" s="636"/>
      <c r="AG262" s="636"/>
      <c r="AH262" s="636"/>
      <c r="AI262" s="636"/>
      <c r="AJ262" s="636"/>
      <c r="AK262" s="636"/>
    </row>
    <row r="263" spans="3:37" ht="13" customHeight="1">
      <c r="C263" s="700" t="s">
        <v>128</v>
      </c>
      <c r="D263" s="701" t="s">
        <v>42</v>
      </c>
      <c r="E263" s="701" t="s">
        <v>52</v>
      </c>
      <c r="F263" s="701" t="s">
        <v>53</v>
      </c>
      <c r="G263" s="701" t="s">
        <v>32</v>
      </c>
      <c r="H263" s="701" t="s">
        <v>20</v>
      </c>
      <c r="I263" s="701" t="s">
        <v>55</v>
      </c>
      <c r="J263" s="701" t="s">
        <v>56</v>
      </c>
      <c r="K263" s="701"/>
      <c r="L263" s="701"/>
      <c r="M263" s="701"/>
      <c r="N263" s="701"/>
      <c r="O263" s="701"/>
      <c r="P263" s="701" t="s">
        <v>57</v>
      </c>
      <c r="Q263" s="701" t="s">
        <v>58</v>
      </c>
      <c r="R263" s="701" t="s">
        <v>31</v>
      </c>
      <c r="S263" s="701" t="s">
        <v>10</v>
      </c>
      <c r="U263" s="700" t="s">
        <v>128</v>
      </c>
      <c r="V263" s="701" t="s">
        <v>42</v>
      </c>
      <c r="W263" s="701" t="s">
        <v>52</v>
      </c>
      <c r="X263" s="701" t="s">
        <v>53</v>
      </c>
      <c r="Y263" s="701" t="s">
        <v>32</v>
      </c>
      <c r="Z263" s="701" t="s">
        <v>20</v>
      </c>
      <c r="AA263" s="701" t="s">
        <v>55</v>
      </c>
      <c r="AB263" s="701" t="s">
        <v>56</v>
      </c>
      <c r="AC263" s="701"/>
      <c r="AD263" s="701"/>
      <c r="AE263" s="701"/>
      <c r="AF263" s="701"/>
      <c r="AG263" s="701"/>
      <c r="AH263" s="701" t="s">
        <v>57</v>
      </c>
      <c r="AI263" s="701" t="s">
        <v>58</v>
      </c>
      <c r="AJ263" s="701" t="s">
        <v>31</v>
      </c>
      <c r="AK263" s="701" t="s">
        <v>10</v>
      </c>
    </row>
    <row r="264" spans="3:37" ht="46">
      <c r="C264" s="700"/>
      <c r="D264" s="701"/>
      <c r="E264" s="701"/>
      <c r="F264" s="701"/>
      <c r="G264" s="701"/>
      <c r="H264" s="701"/>
      <c r="I264" s="701"/>
      <c r="J264" s="640" t="s">
        <v>338</v>
      </c>
      <c r="K264" s="640" t="s">
        <v>40</v>
      </c>
      <c r="L264" s="640" t="s">
        <v>346</v>
      </c>
      <c r="M264" s="640" t="s">
        <v>347</v>
      </c>
      <c r="N264" s="640" t="s">
        <v>348</v>
      </c>
      <c r="O264" s="640" t="s">
        <v>349</v>
      </c>
      <c r="P264" s="701"/>
      <c r="Q264" s="701"/>
      <c r="R264" s="701"/>
      <c r="S264" s="701"/>
      <c r="U264" s="700"/>
      <c r="V264" s="701"/>
      <c r="W264" s="701"/>
      <c r="X264" s="701"/>
      <c r="Y264" s="701"/>
      <c r="Z264" s="701"/>
      <c r="AA264" s="701"/>
      <c r="AB264" s="640" t="s">
        <v>338</v>
      </c>
      <c r="AC264" s="640" t="s">
        <v>40</v>
      </c>
      <c r="AD264" s="640" t="s">
        <v>346</v>
      </c>
      <c r="AE264" s="640" t="s">
        <v>347</v>
      </c>
      <c r="AF264" s="640" t="s">
        <v>348</v>
      </c>
      <c r="AG264" s="640" t="s">
        <v>349</v>
      </c>
      <c r="AH264" s="701"/>
      <c r="AI264" s="701"/>
      <c r="AJ264" s="701"/>
      <c r="AK264" s="701"/>
    </row>
    <row r="265" spans="3:37" ht="13.5">
      <c r="C265" s="641" t="s">
        <v>59</v>
      </c>
      <c r="D265" s="642">
        <v>0</v>
      </c>
      <c r="E265" s="643">
        <v>2.3260000000000005</v>
      </c>
      <c r="F265" s="643">
        <v>0</v>
      </c>
      <c r="G265" s="642">
        <v>3.7216000000000006E-2</v>
      </c>
      <c r="H265" s="643">
        <v>1005.4545454545456</v>
      </c>
      <c r="I265" s="643">
        <v>248.9826967827097</v>
      </c>
      <c r="J265" s="643">
        <v>189.82090717884753</v>
      </c>
      <c r="K265" s="643">
        <v>21.067323208066789</v>
      </c>
      <c r="L265" s="643">
        <v>0.444514092196865</v>
      </c>
      <c r="M265" s="643">
        <v>0.15770970126630299</v>
      </c>
      <c r="N265" s="643">
        <v>60.832905155553725</v>
      </c>
      <c r="O265" s="643">
        <v>10.347989753579439</v>
      </c>
      <c r="P265" s="644">
        <v>0</v>
      </c>
      <c r="Q265" s="643">
        <v>0</v>
      </c>
      <c r="R265" s="643">
        <v>0</v>
      </c>
      <c r="S265" s="645">
        <v>1539.4718073267661</v>
      </c>
      <c r="U265" s="641" t="s">
        <v>59</v>
      </c>
      <c r="V265" s="642">
        <v>0</v>
      </c>
      <c r="W265" s="643">
        <v>2.3260000000000005</v>
      </c>
      <c r="X265" s="643">
        <v>0</v>
      </c>
      <c r="Y265" s="642">
        <v>3.7216000000000006E-2</v>
      </c>
      <c r="Z265" s="643">
        <v>949.39393939393938</v>
      </c>
      <c r="AA265" s="643">
        <v>279.58269678270966</v>
      </c>
      <c r="AB265" s="643">
        <v>196.53145821434362</v>
      </c>
      <c r="AC265" s="643">
        <v>37.828582612394825</v>
      </c>
      <c r="AD265" s="643">
        <v>0.444514092196865</v>
      </c>
      <c r="AE265" s="643">
        <v>0.15770970126630299</v>
      </c>
      <c r="AF265" s="643">
        <v>86.476611770328219</v>
      </c>
      <c r="AG265" s="643">
        <v>21.065809354780896</v>
      </c>
      <c r="AH265" s="644">
        <v>0</v>
      </c>
      <c r="AI265" s="643">
        <v>0</v>
      </c>
      <c r="AJ265" s="643">
        <v>0</v>
      </c>
      <c r="AK265" s="645">
        <v>1573.8445379219597</v>
      </c>
    </row>
    <row r="266" spans="3:37" ht="13.5">
      <c r="C266" s="641" t="s">
        <v>60</v>
      </c>
      <c r="D266" s="642">
        <v>48.372001461449948</v>
      </c>
      <c r="E266" s="643">
        <v>509.74501402008315</v>
      </c>
      <c r="F266" s="643">
        <v>84.255119008679685</v>
      </c>
      <c r="G266" s="642">
        <v>333.85211586331565</v>
      </c>
      <c r="H266" s="643">
        <v>0</v>
      </c>
      <c r="I266" s="643">
        <v>0</v>
      </c>
      <c r="J266" s="643">
        <v>4.1218275156281265</v>
      </c>
      <c r="K266" s="643">
        <v>0</v>
      </c>
      <c r="L266" s="643">
        <v>2.2815668000430724</v>
      </c>
      <c r="M266" s="643">
        <v>0</v>
      </c>
      <c r="N266" s="643">
        <v>0</v>
      </c>
      <c r="O266" s="643">
        <v>0</v>
      </c>
      <c r="P266" s="644">
        <v>0</v>
      </c>
      <c r="Q266" s="643">
        <v>0</v>
      </c>
      <c r="R266" s="643">
        <v>0</v>
      </c>
      <c r="S266" s="645">
        <v>982.62764466919975</v>
      </c>
      <c r="U266" s="641" t="s">
        <v>60</v>
      </c>
      <c r="V266" s="642">
        <v>8.3965846696126416</v>
      </c>
      <c r="W266" s="643">
        <v>294.49378048971494</v>
      </c>
      <c r="X266" s="643">
        <v>18.517216360631103</v>
      </c>
      <c r="Y266" s="642">
        <v>163.11536747865699</v>
      </c>
      <c r="Z266" s="643">
        <v>0</v>
      </c>
      <c r="AA266" s="643">
        <v>0</v>
      </c>
      <c r="AB266" s="643">
        <v>4.1218275156281265</v>
      </c>
      <c r="AC266" s="643">
        <v>0</v>
      </c>
      <c r="AD266" s="643">
        <v>2.2815668000430724</v>
      </c>
      <c r="AE266" s="643">
        <v>0</v>
      </c>
      <c r="AF266" s="643">
        <v>0</v>
      </c>
      <c r="AG266" s="643">
        <v>0</v>
      </c>
      <c r="AH266" s="644">
        <v>0</v>
      </c>
      <c r="AI266" s="643">
        <v>0</v>
      </c>
      <c r="AJ266" s="643">
        <v>0</v>
      </c>
      <c r="AK266" s="645">
        <v>490.9263433142869</v>
      </c>
    </row>
    <row r="267" spans="3:37" ht="13.5">
      <c r="C267" s="641" t="s">
        <v>61</v>
      </c>
      <c r="D267" s="642">
        <v>0</v>
      </c>
      <c r="E267" s="643">
        <v>0</v>
      </c>
      <c r="F267" s="643">
        <v>0</v>
      </c>
      <c r="G267" s="642">
        <v>0</v>
      </c>
      <c r="H267" s="643">
        <v>0</v>
      </c>
      <c r="I267" s="643">
        <v>0</v>
      </c>
      <c r="J267" s="643">
        <v>0</v>
      </c>
      <c r="K267" s="643">
        <v>0</v>
      </c>
      <c r="L267" s="643">
        <v>0</v>
      </c>
      <c r="M267" s="643">
        <v>0</v>
      </c>
      <c r="N267" s="643">
        <v>0</v>
      </c>
      <c r="O267" s="643">
        <v>0</v>
      </c>
      <c r="P267" s="644">
        <v>-38.942042128507637</v>
      </c>
      <c r="Q267" s="643">
        <v>0</v>
      </c>
      <c r="R267" s="643">
        <v>0</v>
      </c>
      <c r="S267" s="645">
        <v>-38.942042128507637</v>
      </c>
      <c r="U267" s="641" t="s">
        <v>61</v>
      </c>
      <c r="V267" s="642">
        <v>0</v>
      </c>
      <c r="W267" s="643">
        <v>0</v>
      </c>
      <c r="X267" s="643">
        <v>0</v>
      </c>
      <c r="Y267" s="642">
        <v>0</v>
      </c>
      <c r="Z267" s="643">
        <v>0</v>
      </c>
      <c r="AA267" s="643">
        <v>0</v>
      </c>
      <c r="AB267" s="643">
        <v>0</v>
      </c>
      <c r="AC267" s="643">
        <v>0</v>
      </c>
      <c r="AD267" s="643">
        <v>0</v>
      </c>
      <c r="AE267" s="643">
        <v>0</v>
      </c>
      <c r="AF267" s="643">
        <v>0</v>
      </c>
      <c r="AG267" s="643">
        <v>0</v>
      </c>
      <c r="AH267" s="644">
        <v>-20.693548582118865</v>
      </c>
      <c r="AI267" s="643">
        <v>0</v>
      </c>
      <c r="AJ267" s="643">
        <v>0</v>
      </c>
      <c r="AK267" s="645">
        <v>-20.693548582118865</v>
      </c>
    </row>
    <row r="268" spans="3:37" ht="13.5">
      <c r="C268" s="641" t="s">
        <v>62</v>
      </c>
      <c r="D268" s="642">
        <v>0</v>
      </c>
      <c r="E268" s="643">
        <v>0</v>
      </c>
      <c r="F268" s="643">
        <v>-16.016991189558784</v>
      </c>
      <c r="G268" s="642">
        <v>0</v>
      </c>
      <c r="H268" s="643">
        <v>0</v>
      </c>
      <c r="I268" s="643">
        <v>0</v>
      </c>
      <c r="J268" s="643">
        <v>0</v>
      </c>
      <c r="K268" s="643">
        <v>0</v>
      </c>
      <c r="L268" s="643">
        <v>0</v>
      </c>
      <c r="M268" s="643">
        <v>0</v>
      </c>
      <c r="N268" s="643">
        <v>0</v>
      </c>
      <c r="O268" s="643">
        <v>0</v>
      </c>
      <c r="P268" s="644">
        <v>0</v>
      </c>
      <c r="Q268" s="643">
        <v>0</v>
      </c>
      <c r="R268" s="643">
        <v>0</v>
      </c>
      <c r="S268" s="645">
        <v>-16.016991189558784</v>
      </c>
      <c r="U268" s="641" t="s">
        <v>62</v>
      </c>
      <c r="V268" s="642">
        <v>0</v>
      </c>
      <c r="W268" s="643">
        <v>0</v>
      </c>
      <c r="X268" s="643">
        <v>-11.216317309287092</v>
      </c>
      <c r="Y268" s="642">
        <v>-1.9971079411498778</v>
      </c>
      <c r="Z268" s="643">
        <v>0</v>
      </c>
      <c r="AA268" s="643">
        <v>0</v>
      </c>
      <c r="AB268" s="643">
        <v>0</v>
      </c>
      <c r="AC268" s="643">
        <v>0</v>
      </c>
      <c r="AD268" s="643">
        <v>0</v>
      </c>
      <c r="AE268" s="643">
        <v>-0.69888193239441998</v>
      </c>
      <c r="AF268" s="643">
        <v>0</v>
      </c>
      <c r="AG268" s="643">
        <v>0</v>
      </c>
      <c r="AH268" s="644">
        <v>0</v>
      </c>
      <c r="AI268" s="643">
        <v>0</v>
      </c>
      <c r="AJ268" s="643">
        <v>0</v>
      </c>
      <c r="AK268" s="645">
        <v>-13.912307182831389</v>
      </c>
    </row>
    <row r="269" spans="3:37" ht="13.5">
      <c r="C269" s="641" t="s">
        <v>63</v>
      </c>
      <c r="D269" s="642">
        <v>0</v>
      </c>
      <c r="E269" s="643">
        <v>0</v>
      </c>
      <c r="F269" s="643">
        <v>-85.676103269538828</v>
      </c>
      <c r="G269" s="642">
        <v>0</v>
      </c>
      <c r="H269" s="643">
        <v>0</v>
      </c>
      <c r="I269" s="643">
        <v>0</v>
      </c>
      <c r="J269" s="643">
        <v>0</v>
      </c>
      <c r="K269" s="643">
        <v>0</v>
      </c>
      <c r="L269" s="643">
        <v>-0.88445591317339634</v>
      </c>
      <c r="M269" s="643">
        <v>0</v>
      </c>
      <c r="N269" s="643">
        <v>0</v>
      </c>
      <c r="O269" s="643">
        <v>0</v>
      </c>
      <c r="P269" s="644">
        <v>0</v>
      </c>
      <c r="Q269" s="643">
        <v>0</v>
      </c>
      <c r="R269" s="643">
        <v>0</v>
      </c>
      <c r="S269" s="645">
        <v>-86.560559182712225</v>
      </c>
      <c r="U269" s="641" t="s">
        <v>63</v>
      </c>
      <c r="V269" s="642">
        <v>0</v>
      </c>
      <c r="W269" s="643">
        <v>0</v>
      </c>
      <c r="X269" s="643">
        <v>-61.793178017106612</v>
      </c>
      <c r="Y269" s="642">
        <v>0</v>
      </c>
      <c r="Z269" s="643">
        <v>0</v>
      </c>
      <c r="AA269" s="643">
        <v>0</v>
      </c>
      <c r="AB269" s="643">
        <v>0</v>
      </c>
      <c r="AC269" s="643">
        <v>0</v>
      </c>
      <c r="AD269" s="643">
        <v>-20.442150229714262</v>
      </c>
      <c r="AE269" s="643">
        <v>0</v>
      </c>
      <c r="AF269" s="643">
        <v>0</v>
      </c>
      <c r="AG269" s="643">
        <v>0</v>
      </c>
      <c r="AH269" s="644">
        <v>0</v>
      </c>
      <c r="AI269" s="643">
        <v>0</v>
      </c>
      <c r="AJ269" s="643">
        <v>0</v>
      </c>
      <c r="AK269" s="645">
        <v>-82.23532824682087</v>
      </c>
    </row>
    <row r="270" spans="3:37" ht="13.5">
      <c r="C270" s="641" t="s">
        <v>64</v>
      </c>
      <c r="D270" s="642">
        <v>0</v>
      </c>
      <c r="E270" s="643">
        <v>0</v>
      </c>
      <c r="F270" s="643">
        <v>0</v>
      </c>
      <c r="G270" s="642">
        <v>0</v>
      </c>
      <c r="H270" s="643">
        <v>0</v>
      </c>
      <c r="I270" s="643">
        <v>0</v>
      </c>
      <c r="J270" s="643">
        <v>0</v>
      </c>
      <c r="K270" s="643">
        <v>0</v>
      </c>
      <c r="L270" s="643">
        <v>0</v>
      </c>
      <c r="M270" s="643">
        <v>0</v>
      </c>
      <c r="N270" s="643">
        <v>0</v>
      </c>
      <c r="O270" s="643">
        <v>0</v>
      </c>
      <c r="P270" s="644">
        <v>0</v>
      </c>
      <c r="Q270" s="643">
        <v>0</v>
      </c>
      <c r="R270" s="643">
        <v>0</v>
      </c>
      <c r="S270" s="645">
        <v>0</v>
      </c>
      <c r="U270" s="641" t="s">
        <v>64</v>
      </c>
      <c r="V270" s="642">
        <v>0</v>
      </c>
      <c r="W270" s="643">
        <v>0</v>
      </c>
      <c r="X270" s="643">
        <v>0</v>
      </c>
      <c r="Y270" s="642">
        <v>0</v>
      </c>
      <c r="Z270" s="643">
        <v>0</v>
      </c>
      <c r="AA270" s="643">
        <v>0</v>
      </c>
      <c r="AB270" s="643">
        <v>0</v>
      </c>
      <c r="AC270" s="643">
        <v>0</v>
      </c>
      <c r="AD270" s="643">
        <v>0</v>
      </c>
      <c r="AE270" s="643">
        <v>0</v>
      </c>
      <c r="AF270" s="643">
        <v>0</v>
      </c>
      <c r="AG270" s="643">
        <v>0</v>
      </c>
      <c r="AH270" s="644">
        <v>0</v>
      </c>
      <c r="AI270" s="643">
        <v>0</v>
      </c>
      <c r="AJ270" s="643">
        <v>0</v>
      </c>
      <c r="AK270" s="645">
        <v>0</v>
      </c>
    </row>
    <row r="271" spans="3:37" ht="13.5">
      <c r="C271" s="646" t="s">
        <v>65</v>
      </c>
      <c r="D271" s="647">
        <v>48.372001461449948</v>
      </c>
      <c r="E271" s="647">
        <v>512.07101402008311</v>
      </c>
      <c r="F271" s="647">
        <v>-17.437975450417916</v>
      </c>
      <c r="G271" s="647">
        <v>333.88933186331565</v>
      </c>
      <c r="H271" s="647">
        <v>1005.4545454545456</v>
      </c>
      <c r="I271" s="647">
        <v>248.9826967827097</v>
      </c>
      <c r="J271" s="647">
        <v>193.94273469447566</v>
      </c>
      <c r="K271" s="647">
        <v>21.067323208066789</v>
      </c>
      <c r="L271" s="647">
        <v>1.8416249790665411</v>
      </c>
      <c r="M271" s="647">
        <v>0.15770970126630299</v>
      </c>
      <c r="N271" s="647">
        <v>60.832905155553725</v>
      </c>
      <c r="O271" s="647">
        <v>10.347989753579439</v>
      </c>
      <c r="P271" s="647">
        <v>-38.942042128507637</v>
      </c>
      <c r="Q271" s="647">
        <v>0</v>
      </c>
      <c r="R271" s="647">
        <v>0</v>
      </c>
      <c r="S271" s="647">
        <v>2380.5798594951875</v>
      </c>
      <c r="U271" s="646" t="s">
        <v>65</v>
      </c>
      <c r="V271" s="647">
        <v>8.3965846696126416</v>
      </c>
      <c r="W271" s="647">
        <v>296.81978048971496</v>
      </c>
      <c r="X271" s="647">
        <v>-54.492278965762601</v>
      </c>
      <c r="Y271" s="647">
        <v>161.15547553750713</v>
      </c>
      <c r="Z271" s="647">
        <v>949.39393939393938</v>
      </c>
      <c r="AA271" s="647">
        <v>279.58269678270966</v>
      </c>
      <c r="AB271" s="647">
        <v>200.65328572997174</v>
      </c>
      <c r="AC271" s="647">
        <v>37.828582612394825</v>
      </c>
      <c r="AD271" s="647">
        <v>-17.716069337474323</v>
      </c>
      <c r="AE271" s="647">
        <v>-0.54117223112811697</v>
      </c>
      <c r="AF271" s="647">
        <v>86.476611770328219</v>
      </c>
      <c r="AG271" s="647">
        <v>21.065809354780896</v>
      </c>
      <c r="AH271" s="647">
        <v>-20.693548582118865</v>
      </c>
      <c r="AI271" s="647">
        <v>0</v>
      </c>
      <c r="AJ271" s="647">
        <v>0</v>
      </c>
      <c r="AK271" s="647">
        <v>1947.9296972244754</v>
      </c>
    </row>
    <row r="272" spans="3:37" ht="13">
      <c r="C272" s="636"/>
      <c r="D272" s="636">
        <v>0</v>
      </c>
      <c r="E272" s="636">
        <v>0</v>
      </c>
      <c r="F272" s="636">
        <v>0</v>
      </c>
      <c r="G272" s="636">
        <v>0</v>
      </c>
      <c r="H272" s="636">
        <v>0</v>
      </c>
      <c r="I272" s="636">
        <v>0</v>
      </c>
      <c r="J272" s="636">
        <v>0</v>
      </c>
      <c r="K272" s="636">
        <v>0</v>
      </c>
      <c r="L272" s="636">
        <v>0</v>
      </c>
      <c r="M272" s="636">
        <v>0</v>
      </c>
      <c r="N272" s="636">
        <v>0</v>
      </c>
      <c r="O272" s="636">
        <v>0</v>
      </c>
      <c r="P272" s="636">
        <v>0</v>
      </c>
      <c r="Q272" s="636">
        <v>0</v>
      </c>
      <c r="R272" s="636">
        <v>0</v>
      </c>
      <c r="S272" s="636">
        <v>0</v>
      </c>
      <c r="U272" s="636"/>
      <c r="V272" s="636">
        <v>0</v>
      </c>
      <c r="W272" s="636">
        <v>0</v>
      </c>
      <c r="X272" s="636">
        <v>0</v>
      </c>
      <c r="Y272" s="636">
        <v>0</v>
      </c>
      <c r="Z272" s="636">
        <v>0</v>
      </c>
      <c r="AA272" s="636">
        <v>0</v>
      </c>
      <c r="AB272" s="636">
        <v>0</v>
      </c>
      <c r="AC272" s="636">
        <v>0</v>
      </c>
      <c r="AD272" s="636">
        <v>0</v>
      </c>
      <c r="AE272" s="636">
        <v>0</v>
      </c>
      <c r="AF272" s="636">
        <v>0</v>
      </c>
      <c r="AG272" s="636">
        <v>0</v>
      </c>
      <c r="AH272" s="636">
        <v>0</v>
      </c>
      <c r="AI272" s="636">
        <v>0</v>
      </c>
      <c r="AJ272" s="636">
        <v>0</v>
      </c>
      <c r="AK272" s="636">
        <v>0</v>
      </c>
    </row>
    <row r="273" spans="3:37" ht="13.5">
      <c r="C273" s="648" t="s">
        <v>67</v>
      </c>
      <c r="D273" s="642">
        <v>0</v>
      </c>
      <c r="E273" s="649">
        <v>0</v>
      </c>
      <c r="F273" s="649">
        <v>0</v>
      </c>
      <c r="G273" s="642">
        <v>0</v>
      </c>
      <c r="H273" s="642">
        <v>0</v>
      </c>
      <c r="I273" s="642">
        <v>0</v>
      </c>
      <c r="J273" s="642">
        <v>0</v>
      </c>
      <c r="K273" s="642">
        <v>0</v>
      </c>
      <c r="L273" s="642">
        <v>0</v>
      </c>
      <c r="M273" s="642">
        <v>0</v>
      </c>
      <c r="N273" s="642">
        <v>0</v>
      </c>
      <c r="O273" s="642">
        <v>0</v>
      </c>
      <c r="P273" s="642">
        <v>0</v>
      </c>
      <c r="Q273" s="642">
        <v>0</v>
      </c>
      <c r="R273" s="642">
        <v>0</v>
      </c>
      <c r="S273" s="650">
        <v>0</v>
      </c>
      <c r="U273" s="648" t="s">
        <v>67</v>
      </c>
      <c r="V273" s="642">
        <v>0</v>
      </c>
      <c r="W273" s="649">
        <v>0</v>
      </c>
      <c r="X273" s="649">
        <v>0</v>
      </c>
      <c r="Y273" s="642">
        <v>0</v>
      </c>
      <c r="Z273" s="642">
        <v>0</v>
      </c>
      <c r="AA273" s="642">
        <v>0</v>
      </c>
      <c r="AB273" s="642">
        <v>0</v>
      </c>
      <c r="AC273" s="642">
        <v>0</v>
      </c>
      <c r="AD273" s="642">
        <v>0</v>
      </c>
      <c r="AE273" s="642">
        <v>0</v>
      </c>
      <c r="AF273" s="642">
        <v>0</v>
      </c>
      <c r="AG273" s="642">
        <v>0</v>
      </c>
      <c r="AH273" s="642">
        <v>0</v>
      </c>
      <c r="AI273" s="642">
        <v>0</v>
      </c>
      <c r="AJ273" s="642">
        <v>0</v>
      </c>
      <c r="AK273" s="650">
        <v>0</v>
      </c>
    </row>
    <row r="274" spans="3:37" ht="13.5">
      <c r="C274" s="648" t="s">
        <v>350</v>
      </c>
      <c r="D274" s="642">
        <v>2.8267856410252494</v>
      </c>
      <c r="E274" s="642">
        <v>0</v>
      </c>
      <c r="F274" s="642">
        <v>7.7008933134364401</v>
      </c>
      <c r="G274" s="642">
        <v>17.192982456140349</v>
      </c>
      <c r="H274" s="642">
        <v>1005.4545454545456</v>
      </c>
      <c r="I274" s="642">
        <v>248.9826967827097</v>
      </c>
      <c r="J274" s="651">
        <v>29.95115714704033</v>
      </c>
      <c r="K274" s="651">
        <v>7.1699357941539494</v>
      </c>
      <c r="L274" s="651">
        <v>2.7260808922399375</v>
      </c>
      <c r="M274" s="651">
        <v>0.47574727688811397</v>
      </c>
      <c r="N274" s="651">
        <v>0</v>
      </c>
      <c r="O274" s="651">
        <v>5.3758847536792693</v>
      </c>
      <c r="P274" s="642">
        <v>-611.6040304377284</v>
      </c>
      <c r="Q274" s="642">
        <v>0</v>
      </c>
      <c r="R274" s="642">
        <v>0</v>
      </c>
      <c r="S274" s="650">
        <v>716.25267907413024</v>
      </c>
      <c r="U274" s="648" t="s">
        <v>350</v>
      </c>
      <c r="V274" s="642">
        <v>0.62631490545869017</v>
      </c>
      <c r="W274" s="642">
        <v>0</v>
      </c>
      <c r="X274" s="642">
        <v>3.8372569498000768</v>
      </c>
      <c r="Y274" s="642">
        <v>12.853333333333333</v>
      </c>
      <c r="Z274" s="642">
        <v>949.39393939393938</v>
      </c>
      <c r="AA274" s="642">
        <v>279.58269678270966</v>
      </c>
      <c r="AB274" s="651">
        <v>24.143657694158538</v>
      </c>
      <c r="AC274" s="651">
        <v>6.0680800758314266</v>
      </c>
      <c r="AD274" s="651">
        <v>2.7260808922399375</v>
      </c>
      <c r="AE274" s="651">
        <v>4.1838174523267107</v>
      </c>
      <c r="AF274" s="651">
        <v>0</v>
      </c>
      <c r="AG274" s="651">
        <v>5.3758847536792693</v>
      </c>
      <c r="AH274" s="642">
        <v>-621.90403043772824</v>
      </c>
      <c r="AI274" s="642">
        <v>0</v>
      </c>
      <c r="AJ274" s="642">
        <v>3.8</v>
      </c>
      <c r="AK274" s="650">
        <v>670.68703179574891</v>
      </c>
    </row>
    <row r="275" spans="3:37" ht="13.5">
      <c r="C275" s="648" t="s">
        <v>351</v>
      </c>
      <c r="D275" s="642">
        <v>0</v>
      </c>
      <c r="E275" s="642">
        <v>0</v>
      </c>
      <c r="F275" s="642">
        <v>0</v>
      </c>
      <c r="G275" s="642">
        <v>15.048436077523924</v>
      </c>
      <c r="H275" s="642">
        <v>0</v>
      </c>
      <c r="I275" s="642">
        <v>0</v>
      </c>
      <c r="J275" s="651">
        <v>12.74533322609016</v>
      </c>
      <c r="K275" s="651">
        <v>12.056480951460374</v>
      </c>
      <c r="L275" s="651">
        <v>0</v>
      </c>
      <c r="M275" s="651">
        <v>0.32133708059977345</v>
      </c>
      <c r="N275" s="651">
        <v>0</v>
      </c>
      <c r="O275" s="651">
        <v>2.1348201063802894</v>
      </c>
      <c r="P275" s="642">
        <v>0</v>
      </c>
      <c r="Q275" s="642">
        <v>-38.309646115177976</v>
      </c>
      <c r="R275" s="642">
        <v>0</v>
      </c>
      <c r="S275" s="650">
        <v>3.9967613268765492</v>
      </c>
      <c r="U275" s="648" t="s">
        <v>351</v>
      </c>
      <c r="V275" s="642">
        <v>0</v>
      </c>
      <c r="W275" s="642">
        <v>0</v>
      </c>
      <c r="X275" s="642">
        <v>0</v>
      </c>
      <c r="Y275" s="642">
        <v>12.803359009118745</v>
      </c>
      <c r="Z275" s="642">
        <v>0</v>
      </c>
      <c r="AA275" s="642">
        <v>0</v>
      </c>
      <c r="AB275" s="651">
        <v>28.717481814983032</v>
      </c>
      <c r="AC275" s="651">
        <v>25.924008984647354</v>
      </c>
      <c r="AD275" s="651">
        <v>0</v>
      </c>
      <c r="AE275" s="651">
        <v>4.0573921431217457</v>
      </c>
      <c r="AF275" s="651">
        <v>0</v>
      </c>
      <c r="AG275" s="651">
        <v>9.7357518308203428</v>
      </c>
      <c r="AH275" s="642">
        <v>0</v>
      </c>
      <c r="AI275" s="642">
        <v>-74.504230286476243</v>
      </c>
      <c r="AJ275" s="642">
        <v>0</v>
      </c>
      <c r="AK275" s="650">
        <v>6.7337634962149808</v>
      </c>
    </row>
    <row r="276" spans="3:37" ht="13.5">
      <c r="C276" s="648" t="s">
        <v>352</v>
      </c>
      <c r="D276" s="642">
        <v>0</v>
      </c>
      <c r="E276" s="642">
        <v>0</v>
      </c>
      <c r="F276" s="642">
        <v>0</v>
      </c>
      <c r="G276" s="642">
        <v>0</v>
      </c>
      <c r="H276" s="642">
        <v>0</v>
      </c>
      <c r="I276" s="642">
        <v>0</v>
      </c>
      <c r="J276" s="652">
        <v>7.2695194025067336</v>
      </c>
      <c r="K276" s="652">
        <v>0</v>
      </c>
      <c r="L276" s="652">
        <v>0</v>
      </c>
      <c r="M276" s="652">
        <v>-6.5716455398660871</v>
      </c>
      <c r="N276" s="652">
        <v>0</v>
      </c>
      <c r="O276" s="652">
        <v>0</v>
      </c>
      <c r="P276" s="642">
        <v>0</v>
      </c>
      <c r="Q276" s="642">
        <v>0</v>
      </c>
      <c r="R276" s="642">
        <v>0</v>
      </c>
      <c r="S276" s="650">
        <v>0.69787386264064644</v>
      </c>
      <c r="U276" s="648" t="s">
        <v>352</v>
      </c>
      <c r="V276" s="642">
        <v>0</v>
      </c>
      <c r="W276" s="642">
        <v>0</v>
      </c>
      <c r="X276" s="642">
        <v>0</v>
      </c>
      <c r="Y276" s="642">
        <v>0</v>
      </c>
      <c r="Z276" s="642">
        <v>0</v>
      </c>
      <c r="AA276" s="642">
        <v>0</v>
      </c>
      <c r="AB276" s="652">
        <v>56.55251118568826</v>
      </c>
      <c r="AC276" s="652">
        <v>0</v>
      </c>
      <c r="AD276" s="652">
        <v>0</v>
      </c>
      <c r="AE276" s="652">
        <v>-51.12347011186219</v>
      </c>
      <c r="AF276" s="652">
        <v>0</v>
      </c>
      <c r="AG276" s="652">
        <v>0</v>
      </c>
      <c r="AH276" s="642">
        <v>0</v>
      </c>
      <c r="AI276" s="642">
        <v>0</v>
      </c>
      <c r="AJ276" s="642">
        <v>0</v>
      </c>
      <c r="AK276" s="650">
        <v>5.4290410738260704</v>
      </c>
    </row>
    <row r="277" spans="3:37" ht="13.5">
      <c r="C277" s="648" t="s">
        <v>353</v>
      </c>
      <c r="D277" s="642">
        <v>0</v>
      </c>
      <c r="E277" s="642">
        <v>0</v>
      </c>
      <c r="F277" s="642">
        <v>0</v>
      </c>
      <c r="G277" s="642">
        <v>0</v>
      </c>
      <c r="H277" s="642">
        <v>0</v>
      </c>
      <c r="I277" s="642">
        <v>0</v>
      </c>
      <c r="J277" s="642">
        <v>0</v>
      </c>
      <c r="K277" s="642">
        <v>0</v>
      </c>
      <c r="L277" s="642">
        <v>0</v>
      </c>
      <c r="M277" s="642">
        <v>0</v>
      </c>
      <c r="N277" s="642">
        <v>0</v>
      </c>
      <c r="O277" s="642">
        <v>0</v>
      </c>
      <c r="P277" s="642">
        <v>0</v>
      </c>
      <c r="Q277" s="642">
        <v>0</v>
      </c>
      <c r="R277" s="642">
        <v>0</v>
      </c>
      <c r="S277" s="650">
        <v>0</v>
      </c>
      <c r="U277" s="648" t="s">
        <v>353</v>
      </c>
      <c r="V277" s="642">
        <v>0</v>
      </c>
      <c r="W277" s="642">
        <v>0</v>
      </c>
      <c r="X277" s="642">
        <v>0</v>
      </c>
      <c r="Y277" s="642">
        <v>0</v>
      </c>
      <c r="Z277" s="642">
        <v>0</v>
      </c>
      <c r="AA277" s="642">
        <v>0</v>
      </c>
      <c r="AB277" s="642">
        <v>0</v>
      </c>
      <c r="AC277" s="642">
        <v>0</v>
      </c>
      <c r="AD277" s="642">
        <v>0</v>
      </c>
      <c r="AE277" s="642">
        <v>0</v>
      </c>
      <c r="AF277" s="642">
        <v>0</v>
      </c>
      <c r="AG277" s="642">
        <v>0</v>
      </c>
      <c r="AH277" s="642">
        <v>0</v>
      </c>
      <c r="AI277" s="642">
        <v>0</v>
      </c>
      <c r="AJ277" s="642">
        <v>0</v>
      </c>
      <c r="AK277" s="650">
        <v>0</v>
      </c>
    </row>
    <row r="278" spans="3:37" ht="13.5">
      <c r="C278" s="648" t="s">
        <v>72</v>
      </c>
      <c r="D278" s="642">
        <v>0</v>
      </c>
      <c r="E278" s="642">
        <v>530.45114623720224</v>
      </c>
      <c r="F278" s="642">
        <v>-525.1466347748302</v>
      </c>
      <c r="G278" s="642">
        <v>0</v>
      </c>
      <c r="H278" s="642">
        <v>0</v>
      </c>
      <c r="I278" s="642">
        <v>0</v>
      </c>
      <c r="J278" s="642">
        <v>0</v>
      </c>
      <c r="K278" s="642">
        <v>0</v>
      </c>
      <c r="L278" s="642">
        <v>0</v>
      </c>
      <c r="M278" s="642">
        <v>0</v>
      </c>
      <c r="N278" s="642">
        <v>0</v>
      </c>
      <c r="O278" s="642">
        <v>0</v>
      </c>
      <c r="P278" s="642">
        <v>0</v>
      </c>
      <c r="Q278" s="642">
        <v>0</v>
      </c>
      <c r="R278" s="642">
        <v>0</v>
      </c>
      <c r="S278" s="650">
        <v>5.3045114623720337</v>
      </c>
      <c r="U278" s="648" t="s">
        <v>72</v>
      </c>
      <c r="V278" s="642">
        <v>0</v>
      </c>
      <c r="W278" s="642">
        <v>307.47374578102756</v>
      </c>
      <c r="X278" s="642">
        <v>-304.39900832321729</v>
      </c>
      <c r="Y278" s="642">
        <v>0</v>
      </c>
      <c r="Z278" s="642">
        <v>0</v>
      </c>
      <c r="AA278" s="642">
        <v>0</v>
      </c>
      <c r="AB278" s="642">
        <v>0</v>
      </c>
      <c r="AC278" s="642">
        <v>0</v>
      </c>
      <c r="AD278" s="642">
        <v>0</v>
      </c>
      <c r="AE278" s="642">
        <v>0</v>
      </c>
      <c r="AF278" s="642">
        <v>0</v>
      </c>
      <c r="AG278" s="642">
        <v>0</v>
      </c>
      <c r="AH278" s="642">
        <v>0</v>
      </c>
      <c r="AI278" s="642">
        <v>0</v>
      </c>
      <c r="AJ278" s="642">
        <v>0</v>
      </c>
      <c r="AK278" s="650">
        <v>3.0747374578102722</v>
      </c>
    </row>
    <row r="279" spans="3:37" ht="13.5">
      <c r="C279" s="648" t="s">
        <v>354</v>
      </c>
      <c r="D279" s="642">
        <v>0</v>
      </c>
      <c r="E279" s="642">
        <v>0</v>
      </c>
      <c r="F279" s="642">
        <v>0</v>
      </c>
      <c r="G279" s="642">
        <v>0</v>
      </c>
      <c r="H279" s="642">
        <v>0</v>
      </c>
      <c r="I279" s="642">
        <v>0</v>
      </c>
      <c r="J279" s="642">
        <v>30.470996070194996</v>
      </c>
      <c r="K279" s="642">
        <v>0</v>
      </c>
      <c r="L279" s="642">
        <v>-30.470996070194996</v>
      </c>
      <c r="M279" s="642">
        <v>0</v>
      </c>
      <c r="N279" s="642">
        <v>0</v>
      </c>
      <c r="O279" s="642">
        <v>0</v>
      </c>
      <c r="P279" s="642">
        <v>0</v>
      </c>
      <c r="Q279" s="642">
        <v>0</v>
      </c>
      <c r="R279" s="642">
        <v>0</v>
      </c>
      <c r="S279" s="650">
        <v>0</v>
      </c>
      <c r="U279" s="648" t="s">
        <v>354</v>
      </c>
      <c r="V279" s="642">
        <v>0</v>
      </c>
      <c r="W279" s="642">
        <v>0</v>
      </c>
      <c r="X279" s="642">
        <v>0</v>
      </c>
      <c r="Y279" s="642">
        <v>0</v>
      </c>
      <c r="Z279" s="642">
        <v>0</v>
      </c>
      <c r="AA279" s="642">
        <v>0</v>
      </c>
      <c r="AB279" s="642" t="e">
        <v>#VALUE!</v>
      </c>
      <c r="AC279" s="642">
        <v>0</v>
      </c>
      <c r="AD279" s="642">
        <v>-92.079399970639116</v>
      </c>
      <c r="AE279" s="642">
        <v>0</v>
      </c>
      <c r="AF279" s="642">
        <v>0</v>
      </c>
      <c r="AG279" s="642">
        <v>0</v>
      </c>
      <c r="AH279" s="642">
        <v>0</v>
      </c>
      <c r="AI279" s="642">
        <v>0</v>
      </c>
      <c r="AJ279" s="642">
        <v>0</v>
      </c>
      <c r="AK279" s="650">
        <v>-92.079399970639116</v>
      </c>
    </row>
    <row r="280" spans="3:37" ht="13.5">
      <c r="C280" s="648" t="s">
        <v>355</v>
      </c>
      <c r="D280" s="642">
        <v>0</v>
      </c>
      <c r="E280" s="642">
        <v>0</v>
      </c>
      <c r="F280" s="642">
        <v>0</v>
      </c>
      <c r="G280" s="642">
        <v>0</v>
      </c>
      <c r="H280" s="642">
        <v>0</v>
      </c>
      <c r="I280" s="642">
        <v>0</v>
      </c>
      <c r="J280" s="642">
        <v>0</v>
      </c>
      <c r="K280" s="642">
        <v>0</v>
      </c>
      <c r="L280" s="642">
        <v>0</v>
      </c>
      <c r="M280" s="642">
        <v>0</v>
      </c>
      <c r="N280" s="642">
        <v>0</v>
      </c>
      <c r="O280" s="642">
        <v>0</v>
      </c>
      <c r="P280" s="642">
        <v>0</v>
      </c>
      <c r="Q280" s="642">
        <v>0</v>
      </c>
      <c r="R280" s="642">
        <v>0</v>
      </c>
      <c r="S280" s="650">
        <v>0</v>
      </c>
      <c r="U280" s="648" t="s">
        <v>355</v>
      </c>
      <c r="V280" s="642">
        <v>0</v>
      </c>
      <c r="W280" s="642">
        <v>0</v>
      </c>
      <c r="X280" s="642">
        <v>0</v>
      </c>
      <c r="Y280" s="642">
        <v>0</v>
      </c>
      <c r="Z280" s="642">
        <v>0</v>
      </c>
      <c r="AA280" s="642">
        <v>0</v>
      </c>
      <c r="AB280" s="642">
        <v>0</v>
      </c>
      <c r="AC280" s="642">
        <v>0</v>
      </c>
      <c r="AD280" s="642">
        <v>-18.857582137623396</v>
      </c>
      <c r="AE280" s="642">
        <v>0</v>
      </c>
      <c r="AF280" s="642">
        <v>0</v>
      </c>
      <c r="AG280" s="642">
        <v>0</v>
      </c>
      <c r="AH280" s="642">
        <v>0</v>
      </c>
      <c r="AI280" s="642">
        <v>0</v>
      </c>
      <c r="AJ280" s="642">
        <v>0</v>
      </c>
      <c r="AK280" s="650">
        <v>-18.857582137623396</v>
      </c>
    </row>
    <row r="281" spans="3:37" ht="13.5">
      <c r="C281" s="648" t="s">
        <v>73</v>
      </c>
      <c r="D281" s="642">
        <v>0</v>
      </c>
      <c r="E281" s="642">
        <v>0</v>
      </c>
      <c r="F281" s="642">
        <v>0</v>
      </c>
      <c r="G281" s="642">
        <v>4.2253053989858387</v>
      </c>
      <c r="H281" s="642">
        <v>0</v>
      </c>
      <c r="I281" s="642">
        <v>0</v>
      </c>
      <c r="J281" s="642">
        <v>0</v>
      </c>
      <c r="K281" s="642">
        <v>4.8227473393893973E-2</v>
      </c>
      <c r="L281" s="642">
        <v>0</v>
      </c>
      <c r="M281" s="642">
        <v>8.6230722428282419E-2</v>
      </c>
      <c r="N281" s="642">
        <v>0</v>
      </c>
      <c r="O281" s="642">
        <v>0</v>
      </c>
      <c r="P281" s="642">
        <v>0.47800681593948002</v>
      </c>
      <c r="Q281" s="642">
        <v>0</v>
      </c>
      <c r="R281" s="642">
        <v>-3.3759231375725771</v>
      </c>
      <c r="S281" s="650">
        <v>1.4618472731749175</v>
      </c>
      <c r="U281" s="648" t="s">
        <v>73</v>
      </c>
      <c r="V281" s="642">
        <v>0</v>
      </c>
      <c r="W281" s="642">
        <v>0</v>
      </c>
      <c r="X281" s="642">
        <v>0</v>
      </c>
      <c r="Y281" s="642">
        <v>6.2430459874299995</v>
      </c>
      <c r="Z281" s="642">
        <v>0</v>
      </c>
      <c r="AA281" s="642">
        <v>0</v>
      </c>
      <c r="AB281" s="642">
        <v>0</v>
      </c>
      <c r="AC281" s="642">
        <v>0.34514849554566557</v>
      </c>
      <c r="AD281" s="642">
        <v>0</v>
      </c>
      <c r="AE281" s="642">
        <v>1.9714882065568418</v>
      </c>
      <c r="AF281" s="642">
        <v>0</v>
      </c>
      <c r="AG281" s="642">
        <v>0</v>
      </c>
      <c r="AH281" s="642">
        <v>26.797369919651668</v>
      </c>
      <c r="AI281" s="642">
        <v>0</v>
      </c>
      <c r="AJ281" s="642">
        <v>-24.160394688196586</v>
      </c>
      <c r="AK281" s="650">
        <v>11.196657920987594</v>
      </c>
    </row>
    <row r="282" spans="3:37" ht="13.5">
      <c r="C282" s="648" t="s">
        <v>356</v>
      </c>
      <c r="D282" s="642">
        <v>28.633394531250001</v>
      </c>
      <c r="E282" s="642">
        <v>-18.380132217119058</v>
      </c>
      <c r="F282" s="642">
        <v>24.040127313749448</v>
      </c>
      <c r="G282" s="642">
        <v>0</v>
      </c>
      <c r="H282" s="642">
        <v>0</v>
      </c>
      <c r="I282" s="642">
        <v>0</v>
      </c>
      <c r="J282" s="642">
        <v>0</v>
      </c>
      <c r="K282" s="642">
        <v>0</v>
      </c>
      <c r="L282" s="642">
        <v>0</v>
      </c>
      <c r="M282" s="642">
        <v>0</v>
      </c>
      <c r="N282" s="642">
        <v>0</v>
      </c>
      <c r="O282" s="642">
        <v>0</v>
      </c>
      <c r="P282" s="642">
        <v>0</v>
      </c>
      <c r="Q282" s="642">
        <v>0</v>
      </c>
      <c r="R282" s="642">
        <v>0</v>
      </c>
      <c r="S282" s="650">
        <v>34.293389627880387</v>
      </c>
      <c r="U282" s="648" t="s">
        <v>356</v>
      </c>
      <c r="V282" s="642">
        <v>2.8339389038085936</v>
      </c>
      <c r="W282" s="642">
        <v>-10.653965291312606</v>
      </c>
      <c r="X282" s="642">
        <v>13.93475732241321</v>
      </c>
      <c r="Y282" s="642">
        <v>0</v>
      </c>
      <c r="Z282" s="642">
        <v>0</v>
      </c>
      <c r="AA282" s="642">
        <v>0</v>
      </c>
      <c r="AB282" s="642">
        <v>0</v>
      </c>
      <c r="AC282" s="642">
        <v>0</v>
      </c>
      <c r="AD282" s="642">
        <v>0</v>
      </c>
      <c r="AE282" s="642">
        <v>0</v>
      </c>
      <c r="AF282" s="642">
        <v>0</v>
      </c>
      <c r="AG282" s="642">
        <v>0</v>
      </c>
      <c r="AH282" s="642">
        <v>0</v>
      </c>
      <c r="AI282" s="642">
        <v>0</v>
      </c>
      <c r="AJ282" s="642">
        <v>0</v>
      </c>
      <c r="AK282" s="650">
        <v>6.1147309349091987</v>
      </c>
    </row>
    <row r="283" spans="3:37" ht="13.5">
      <c r="C283" s="648" t="s">
        <v>75</v>
      </c>
      <c r="D283" s="642">
        <v>11.135208984375002</v>
      </c>
      <c r="E283" s="642">
        <v>0</v>
      </c>
      <c r="F283" s="642">
        <v>18.035338972064878</v>
      </c>
      <c r="G283" s="642">
        <v>5.1464370207933356</v>
      </c>
      <c r="H283" s="642">
        <v>0</v>
      </c>
      <c r="I283" s="642">
        <v>0</v>
      </c>
      <c r="J283" s="642">
        <v>0</v>
      </c>
      <c r="K283" s="642">
        <v>0</v>
      </c>
      <c r="L283" s="642">
        <v>0</v>
      </c>
      <c r="M283" s="642">
        <v>0.10502932695496604</v>
      </c>
      <c r="N283" s="642">
        <v>0</v>
      </c>
      <c r="O283" s="642">
        <v>0</v>
      </c>
      <c r="P283" s="642">
        <v>31.859130537431355</v>
      </c>
      <c r="Q283" s="642">
        <v>0</v>
      </c>
      <c r="R283" s="642">
        <v>0</v>
      </c>
      <c r="S283" s="650">
        <v>66.281144841619536</v>
      </c>
      <c r="U283" s="648" t="s">
        <v>75</v>
      </c>
      <c r="V283" s="642">
        <v>3.871097900390625</v>
      </c>
      <c r="W283" s="642">
        <v>0</v>
      </c>
      <c r="X283" s="642">
        <v>18.035338972064878</v>
      </c>
      <c r="Y283" s="642">
        <v>3.9911144242887096</v>
      </c>
      <c r="Z283" s="642">
        <v>0</v>
      </c>
      <c r="AA283" s="642">
        <v>0</v>
      </c>
      <c r="AB283" s="642">
        <v>0</v>
      </c>
      <c r="AC283" s="642">
        <v>0</v>
      </c>
      <c r="AD283" s="642">
        <v>0</v>
      </c>
      <c r="AE283" s="642">
        <v>1.2603519234595923</v>
      </c>
      <c r="AF283" s="642">
        <v>0</v>
      </c>
      <c r="AG283" s="642">
        <v>0</v>
      </c>
      <c r="AH283" s="642">
        <v>35.363675991976798</v>
      </c>
      <c r="AI283" s="642">
        <v>0</v>
      </c>
      <c r="AJ283" s="642">
        <v>0</v>
      </c>
      <c r="AK283" s="650">
        <v>62.521579212180605</v>
      </c>
    </row>
    <row r="284" spans="3:37" ht="13.5">
      <c r="C284" s="648" t="s">
        <v>76</v>
      </c>
      <c r="D284" s="642">
        <v>0</v>
      </c>
      <c r="E284" s="642">
        <v>0</v>
      </c>
      <c r="F284" s="642">
        <v>0</v>
      </c>
      <c r="G284" s="642">
        <v>3.818307882847094</v>
      </c>
      <c r="H284" s="642">
        <v>0</v>
      </c>
      <c r="I284" s="642">
        <v>0</v>
      </c>
      <c r="J284" s="642">
        <v>0</v>
      </c>
      <c r="K284" s="642">
        <v>0</v>
      </c>
      <c r="L284" s="642">
        <v>0</v>
      </c>
      <c r="M284" s="642">
        <v>7.7924650670348858E-2</v>
      </c>
      <c r="N284" s="642">
        <v>0</v>
      </c>
      <c r="O284" s="642">
        <v>0</v>
      </c>
      <c r="P284" s="642">
        <v>43.831436480126726</v>
      </c>
      <c r="Q284" s="642">
        <v>2.9732290990631256</v>
      </c>
      <c r="R284" s="642">
        <v>0</v>
      </c>
      <c r="S284" s="650">
        <v>50.700898112707293</v>
      </c>
      <c r="U284" s="648" t="s">
        <v>76</v>
      </c>
      <c r="V284" s="642">
        <v>0</v>
      </c>
      <c r="W284" s="642">
        <v>0</v>
      </c>
      <c r="X284" s="642">
        <v>0</v>
      </c>
      <c r="Y284" s="642">
        <v>1.9196559923426515</v>
      </c>
      <c r="Z284" s="642">
        <v>0</v>
      </c>
      <c r="AA284" s="642">
        <v>0</v>
      </c>
      <c r="AB284" s="642">
        <v>0</v>
      </c>
      <c r="AC284" s="642">
        <v>0</v>
      </c>
      <c r="AD284" s="642">
        <v>0</v>
      </c>
      <c r="AE284" s="642">
        <v>0.60620715547662674</v>
      </c>
      <c r="AF284" s="642">
        <v>0</v>
      </c>
      <c r="AG284" s="642">
        <v>0</v>
      </c>
      <c r="AH284" s="642">
        <v>46.019363501687437</v>
      </c>
      <c r="AI284" s="642">
        <v>5.777975473960776</v>
      </c>
      <c r="AJ284" s="642">
        <v>0</v>
      </c>
      <c r="AK284" s="650">
        <v>54.323202123467496</v>
      </c>
    </row>
    <row r="285" spans="3:37" ht="13.5">
      <c r="C285" s="646" t="s">
        <v>77</v>
      </c>
      <c r="D285" s="647">
        <v>42.595389156650249</v>
      </c>
      <c r="E285" s="647">
        <v>512.07101402008323</v>
      </c>
      <c r="F285" s="647">
        <v>-475.37027517557942</v>
      </c>
      <c r="G285" s="647">
        <v>45.431468836290541</v>
      </c>
      <c r="H285" s="647">
        <v>1005.4545454545456</v>
      </c>
      <c r="I285" s="647">
        <v>248.9826967827097</v>
      </c>
      <c r="J285" s="647">
        <v>80.437005845832218</v>
      </c>
      <c r="K285" s="647">
        <v>19.274644219008216</v>
      </c>
      <c r="L285" s="647">
        <v>-27.744915177955058</v>
      </c>
      <c r="M285" s="647">
        <v>-5.5053764823246025</v>
      </c>
      <c r="N285" s="647">
        <v>0</v>
      </c>
      <c r="O285" s="647">
        <v>7.5107048600595583</v>
      </c>
      <c r="P285" s="647">
        <v>-535.43545660423092</v>
      </c>
      <c r="Q285" s="647">
        <v>-35.336417016114851</v>
      </c>
      <c r="R285" s="647">
        <v>-3.3759231375725771</v>
      </c>
      <c r="S285" s="647">
        <v>878.98910558140176</v>
      </c>
      <c r="U285" s="646" t="s">
        <v>77</v>
      </c>
      <c r="V285" s="647">
        <v>7.3313517096579091</v>
      </c>
      <c r="W285" s="647">
        <v>296.81978048971496</v>
      </c>
      <c r="X285" s="647">
        <v>-268.59165507893914</v>
      </c>
      <c r="Y285" s="647">
        <v>37.810508746513442</v>
      </c>
      <c r="Z285" s="647">
        <v>949.39393939393938</v>
      </c>
      <c r="AA285" s="647">
        <v>279.58269678270966</v>
      </c>
      <c r="AB285" s="647">
        <v>109.41365069482983</v>
      </c>
      <c r="AC285" s="647">
        <v>32.337237556024441</v>
      </c>
      <c r="AD285" s="647">
        <v>-108.21090121602258</v>
      </c>
      <c r="AE285" s="647">
        <v>-39.044213230920668</v>
      </c>
      <c r="AF285" s="647">
        <v>0</v>
      </c>
      <c r="AG285" s="647">
        <v>15.111636584499612</v>
      </c>
      <c r="AH285" s="647">
        <v>-513.7236210244123</v>
      </c>
      <c r="AI285" s="647">
        <v>-68.726254812515464</v>
      </c>
      <c r="AJ285" s="647">
        <v>-20.360394688196585</v>
      </c>
      <c r="AK285" s="647">
        <v>709.14376190688279</v>
      </c>
    </row>
    <row r="286" spans="3:37" ht="13">
      <c r="C286" s="636"/>
      <c r="D286" s="636">
        <v>0</v>
      </c>
      <c r="E286" s="636">
        <v>0</v>
      </c>
      <c r="F286" s="636">
        <v>0</v>
      </c>
      <c r="G286" s="636">
        <v>0</v>
      </c>
      <c r="H286" s="636">
        <v>0</v>
      </c>
      <c r="I286" s="636">
        <v>0</v>
      </c>
      <c r="J286" s="636">
        <v>0</v>
      </c>
      <c r="K286" s="636">
        <v>0</v>
      </c>
      <c r="L286" s="636">
        <v>0</v>
      </c>
      <c r="M286" s="636">
        <v>0</v>
      </c>
      <c r="N286" s="636">
        <v>0</v>
      </c>
      <c r="O286" s="636">
        <v>0</v>
      </c>
      <c r="P286" s="636">
        <v>0</v>
      </c>
      <c r="Q286" s="636">
        <v>0</v>
      </c>
      <c r="R286" s="636">
        <v>0</v>
      </c>
      <c r="S286" s="636">
        <v>0</v>
      </c>
      <c r="U286" s="636"/>
      <c r="V286" s="636">
        <v>0</v>
      </c>
      <c r="W286" s="636">
        <v>0</v>
      </c>
      <c r="X286" s="636">
        <v>0</v>
      </c>
      <c r="Y286" s="636">
        <v>0</v>
      </c>
      <c r="Z286" s="636">
        <v>0</v>
      </c>
      <c r="AA286" s="636">
        <v>0</v>
      </c>
      <c r="AB286" s="636">
        <v>0</v>
      </c>
      <c r="AC286" s="636">
        <v>0</v>
      </c>
      <c r="AD286" s="636">
        <v>0</v>
      </c>
      <c r="AE286" s="636">
        <v>0</v>
      </c>
      <c r="AF286" s="636">
        <v>0</v>
      </c>
      <c r="AG286" s="636">
        <v>0</v>
      </c>
      <c r="AH286" s="636">
        <v>0</v>
      </c>
      <c r="AI286" s="636">
        <v>0</v>
      </c>
      <c r="AJ286" s="636">
        <v>0</v>
      </c>
      <c r="AK286" s="636">
        <v>0</v>
      </c>
    </row>
    <row r="287" spans="3:37" ht="13.5">
      <c r="C287" s="648" t="s">
        <v>78</v>
      </c>
      <c r="D287" s="642">
        <v>5.7766123047996905</v>
      </c>
      <c r="E287" s="642">
        <v>0</v>
      </c>
      <c r="F287" s="642">
        <v>22.402619678599791</v>
      </c>
      <c r="G287" s="642">
        <v>99.281124041468402</v>
      </c>
      <c r="H287" s="642">
        <v>0</v>
      </c>
      <c r="I287" s="642">
        <v>0</v>
      </c>
      <c r="J287" s="642">
        <v>20.258622771310847</v>
      </c>
      <c r="K287" s="642">
        <v>1.7675748663376085</v>
      </c>
      <c r="L287" s="642">
        <v>0.898333240234375</v>
      </c>
      <c r="M287" s="642">
        <v>2.0447588657198987</v>
      </c>
      <c r="N287" s="642">
        <v>0</v>
      </c>
      <c r="O287" s="642">
        <v>3.7946622282562846E-4</v>
      </c>
      <c r="P287" s="642">
        <v>110.87393457022205</v>
      </c>
      <c r="Q287" s="642">
        <v>16.091742927144434</v>
      </c>
      <c r="R287" s="642">
        <v>0.31004003906249999</v>
      </c>
      <c r="S287" s="650">
        <v>279.70574277112252</v>
      </c>
      <c r="U287" s="648" t="s">
        <v>78</v>
      </c>
      <c r="V287" s="642">
        <v>1.065232959954733</v>
      </c>
      <c r="W287" s="642">
        <v>0</v>
      </c>
      <c r="X287" s="642">
        <v>10.225742404389669</v>
      </c>
      <c r="Y287" s="642">
        <v>56.981112862578769</v>
      </c>
      <c r="Z287" s="642">
        <v>0</v>
      </c>
      <c r="AA287" s="642">
        <v>0</v>
      </c>
      <c r="AB287" s="642">
        <v>15.894636498884354</v>
      </c>
      <c r="AC287" s="642">
        <v>5.4662409336494147</v>
      </c>
      <c r="AD287" s="642">
        <v>3.5459101562500011</v>
      </c>
      <c r="AE287" s="642">
        <v>18.012649117932849</v>
      </c>
      <c r="AF287" s="642">
        <v>0</v>
      </c>
      <c r="AG287" s="642">
        <v>3.7946622282562846E-4</v>
      </c>
      <c r="AH287" s="642">
        <v>139.02742097426295</v>
      </c>
      <c r="AI287" s="642">
        <v>22.276590949645215</v>
      </c>
      <c r="AJ287" s="642">
        <v>6.4302626953124999</v>
      </c>
      <c r="AK287" s="650">
        <v>278.92617901908329</v>
      </c>
    </row>
    <row r="288" spans="3:37" ht="13.5">
      <c r="C288" s="648" t="s">
        <v>79</v>
      </c>
      <c r="D288" s="642">
        <v>0</v>
      </c>
      <c r="E288" s="642">
        <v>0</v>
      </c>
      <c r="F288" s="642">
        <v>266.09529408288529</v>
      </c>
      <c r="G288" s="642">
        <v>27.519674276690072</v>
      </c>
      <c r="H288" s="642">
        <v>0</v>
      </c>
      <c r="I288" s="642">
        <v>0</v>
      </c>
      <c r="J288" s="642">
        <v>0</v>
      </c>
      <c r="K288" s="642">
        <v>0</v>
      </c>
      <c r="L288" s="642">
        <v>25.787483151262677</v>
      </c>
      <c r="M288" s="642">
        <v>0.56162600564673626</v>
      </c>
      <c r="N288" s="642">
        <v>0</v>
      </c>
      <c r="O288" s="642">
        <v>0</v>
      </c>
      <c r="P288" s="642">
        <v>55.913522242788574</v>
      </c>
      <c r="Q288" s="642">
        <v>0</v>
      </c>
      <c r="R288" s="642">
        <v>1.6351140344190074</v>
      </c>
      <c r="S288" s="650">
        <v>377.5127137936924</v>
      </c>
      <c r="U288" s="648" t="s">
        <v>79</v>
      </c>
      <c r="V288" s="642">
        <v>0</v>
      </c>
      <c r="W288" s="642">
        <v>0</v>
      </c>
      <c r="X288" s="642">
        <v>96.606255591578162</v>
      </c>
      <c r="Y288" s="642">
        <v>18.337650579977414</v>
      </c>
      <c r="Z288" s="642">
        <v>0</v>
      </c>
      <c r="AA288" s="642">
        <v>0</v>
      </c>
      <c r="AB288" s="642">
        <v>0</v>
      </c>
      <c r="AC288" s="642">
        <v>0</v>
      </c>
      <c r="AD288" s="642">
        <v>50.618247990049454</v>
      </c>
      <c r="AE288" s="642">
        <v>5.9499820008855142</v>
      </c>
      <c r="AF288" s="642">
        <v>0</v>
      </c>
      <c r="AG288" s="642">
        <v>0</v>
      </c>
      <c r="AH288" s="642">
        <v>73.690348279738799</v>
      </c>
      <c r="AI288" s="642">
        <v>0</v>
      </c>
      <c r="AJ288" s="642">
        <v>3.6092463767880076</v>
      </c>
      <c r="AK288" s="650">
        <v>248.81173081901736</v>
      </c>
    </row>
    <row r="289" spans="3:37" ht="13.5">
      <c r="C289" s="648" t="s">
        <v>80</v>
      </c>
      <c r="D289" s="642">
        <v>0</v>
      </c>
      <c r="E289" s="642">
        <v>0</v>
      </c>
      <c r="F289" s="642">
        <v>20.365336948925044</v>
      </c>
      <c r="G289" s="642">
        <v>85.23124323075227</v>
      </c>
      <c r="H289" s="642">
        <v>0</v>
      </c>
      <c r="I289" s="642">
        <v>0</v>
      </c>
      <c r="J289" s="642">
        <v>86.726820353783026</v>
      </c>
      <c r="K289" s="642">
        <v>0</v>
      </c>
      <c r="L289" s="642">
        <v>0</v>
      </c>
      <c r="M289" s="642">
        <v>1.7394131271582098</v>
      </c>
      <c r="N289" s="642">
        <v>52.217429119397167</v>
      </c>
      <c r="O289" s="642">
        <v>2.0042749347218733</v>
      </c>
      <c r="P289" s="642">
        <v>185.58174281281848</v>
      </c>
      <c r="Q289" s="642">
        <v>15.554343379011728</v>
      </c>
      <c r="R289" s="642">
        <v>0</v>
      </c>
      <c r="S289" s="650">
        <v>449.42060390656781</v>
      </c>
      <c r="U289" s="648" t="s">
        <v>80</v>
      </c>
      <c r="V289" s="642">
        <v>0</v>
      </c>
      <c r="W289" s="642">
        <v>0</v>
      </c>
      <c r="X289" s="642">
        <v>1.2585168598114169</v>
      </c>
      <c r="Y289" s="642">
        <v>24.208168890995722</v>
      </c>
      <c r="Z289" s="642">
        <v>0</v>
      </c>
      <c r="AA289" s="642">
        <v>0</v>
      </c>
      <c r="AB289" s="642">
        <v>64.793825414524548</v>
      </c>
      <c r="AC289" s="642">
        <v>0</v>
      </c>
      <c r="AD289" s="642">
        <v>0</v>
      </c>
      <c r="AE289" s="642">
        <v>7.6446849129460164</v>
      </c>
      <c r="AF289" s="642">
        <v>71.984931036617454</v>
      </c>
      <c r="AG289" s="642">
        <v>3.153558114778761</v>
      </c>
      <c r="AH289" s="642">
        <v>153.74527198137548</v>
      </c>
      <c r="AI289" s="642">
        <v>35.336807466581455</v>
      </c>
      <c r="AJ289" s="642">
        <v>0</v>
      </c>
      <c r="AK289" s="650">
        <v>362.12576467763085</v>
      </c>
    </row>
    <row r="290" spans="3:37" ht="13.5">
      <c r="C290" s="648" t="s">
        <v>81</v>
      </c>
      <c r="D290" s="642">
        <v>0</v>
      </c>
      <c r="E290" s="642">
        <v>0</v>
      </c>
      <c r="F290" s="642">
        <v>7.1130915409553364</v>
      </c>
      <c r="G290" s="642">
        <v>63.054682395398032</v>
      </c>
      <c r="H290" s="642">
        <v>0</v>
      </c>
      <c r="I290" s="642">
        <v>0</v>
      </c>
      <c r="J290" s="642">
        <v>3.2976998041276677</v>
      </c>
      <c r="K290" s="642">
        <v>2.5104122720965388E-2</v>
      </c>
      <c r="L290" s="642">
        <v>0</v>
      </c>
      <c r="M290" s="642">
        <v>1.2868302529673068</v>
      </c>
      <c r="N290" s="642">
        <v>8.6154760361565579</v>
      </c>
      <c r="O290" s="642">
        <v>0.75786341807650337</v>
      </c>
      <c r="P290" s="642">
        <v>137.18962935697431</v>
      </c>
      <c r="Q290" s="642">
        <v>3.6903307099586842</v>
      </c>
      <c r="R290" s="642">
        <v>0</v>
      </c>
      <c r="S290" s="650">
        <v>225.03070763733538</v>
      </c>
      <c r="U290" s="648" t="s">
        <v>81</v>
      </c>
      <c r="V290" s="642">
        <v>0</v>
      </c>
      <c r="W290" s="642">
        <v>0</v>
      </c>
      <c r="X290" s="642">
        <v>2.1697022188790429</v>
      </c>
      <c r="Y290" s="642">
        <v>20.911765460712612</v>
      </c>
      <c r="Z290" s="642">
        <v>0</v>
      </c>
      <c r="AA290" s="642">
        <v>0</v>
      </c>
      <c r="AB290" s="642">
        <v>7.3285872023111214</v>
      </c>
      <c r="AC290" s="642">
        <v>2.5104122720965388E-2</v>
      </c>
      <c r="AD290" s="642">
        <v>0</v>
      </c>
      <c r="AE290" s="642">
        <v>6.6037154086460879</v>
      </c>
      <c r="AF290" s="642">
        <v>14.491680733710758</v>
      </c>
      <c r="AG290" s="642">
        <v>1.6347019702159422</v>
      </c>
      <c r="AH290" s="642">
        <v>117.90366143236871</v>
      </c>
      <c r="AI290" s="642">
        <v>11.11285639628878</v>
      </c>
      <c r="AJ290" s="642">
        <v>0</v>
      </c>
      <c r="AK290" s="650">
        <v>182.18177494585402</v>
      </c>
    </row>
    <row r="291" spans="3:37" ht="13.5">
      <c r="C291" s="648" t="s">
        <v>82</v>
      </c>
      <c r="D291" s="642">
        <v>0</v>
      </c>
      <c r="E291" s="642">
        <v>0</v>
      </c>
      <c r="F291" s="642">
        <v>30.218764596795413</v>
      </c>
      <c r="G291" s="642">
        <v>1.4924386728389218</v>
      </c>
      <c r="H291" s="642">
        <v>0</v>
      </c>
      <c r="I291" s="642">
        <v>0</v>
      </c>
      <c r="J291" s="642">
        <v>3.2225859194218685</v>
      </c>
      <c r="K291" s="642">
        <v>0</v>
      </c>
      <c r="L291" s="642">
        <v>2.9019247412329854</v>
      </c>
      <c r="M291" s="642">
        <v>3.0457932098753505E-2</v>
      </c>
      <c r="N291" s="642">
        <v>0</v>
      </c>
      <c r="O291" s="642">
        <v>7.4767074498679406E-2</v>
      </c>
      <c r="P291" s="642">
        <v>6.6555854929198803</v>
      </c>
      <c r="Q291" s="642">
        <v>0</v>
      </c>
      <c r="R291" s="642">
        <v>0</v>
      </c>
      <c r="S291" s="650">
        <v>44.596524429806507</v>
      </c>
      <c r="U291" s="648" t="s">
        <v>82</v>
      </c>
      <c r="V291" s="642">
        <v>0</v>
      </c>
      <c r="W291" s="642">
        <v>0</v>
      </c>
      <c r="X291" s="642">
        <v>13.476198254352189</v>
      </c>
      <c r="Y291" s="642">
        <v>1.4718796614135594</v>
      </c>
      <c r="Z291" s="642">
        <v>0</v>
      </c>
      <c r="AA291" s="642">
        <v>0</v>
      </c>
      <c r="AB291" s="642">
        <v>3.2225859194218685</v>
      </c>
      <c r="AC291" s="642">
        <v>0</v>
      </c>
      <c r="AD291" s="642">
        <v>23.463730160224294</v>
      </c>
      <c r="AE291" s="642">
        <v>0.46480410360428193</v>
      </c>
      <c r="AF291" s="642">
        <v>0</v>
      </c>
      <c r="AG291" s="642">
        <v>1.1655332190637568</v>
      </c>
      <c r="AH291" s="642">
        <v>6.7433697745475678</v>
      </c>
      <c r="AI291" s="642">
        <v>0</v>
      </c>
      <c r="AJ291" s="642">
        <v>0.29485655237537339</v>
      </c>
      <c r="AK291" s="650">
        <v>50.302957645002891</v>
      </c>
    </row>
    <row r="292" spans="3:37" ht="13.5">
      <c r="C292" s="648" t="s">
        <v>357</v>
      </c>
      <c r="D292" s="642">
        <v>0</v>
      </c>
      <c r="E292" s="642">
        <v>0</v>
      </c>
      <c r="F292" s="642">
        <v>0</v>
      </c>
      <c r="G292" s="642">
        <v>0</v>
      </c>
      <c r="H292" s="642">
        <v>0</v>
      </c>
      <c r="I292" s="642">
        <v>0</v>
      </c>
      <c r="J292" s="642">
        <v>0</v>
      </c>
      <c r="K292" s="642">
        <v>0</v>
      </c>
      <c r="L292" s="642">
        <v>0</v>
      </c>
      <c r="M292" s="642">
        <v>0</v>
      </c>
      <c r="N292" s="642">
        <v>0</v>
      </c>
      <c r="O292" s="642">
        <v>0</v>
      </c>
      <c r="P292" s="642">
        <v>0.27899999999999997</v>
      </c>
      <c r="Q292" s="642">
        <v>0</v>
      </c>
      <c r="R292" s="642">
        <v>0</v>
      </c>
      <c r="S292" s="650">
        <v>0.27899999999999997</v>
      </c>
      <c r="U292" s="648" t="s">
        <v>357</v>
      </c>
      <c r="V292" s="642">
        <v>0</v>
      </c>
      <c r="W292" s="642">
        <v>0</v>
      </c>
      <c r="X292" s="642">
        <v>0</v>
      </c>
      <c r="Y292" s="642">
        <v>0</v>
      </c>
      <c r="Z292" s="642">
        <v>0</v>
      </c>
      <c r="AA292" s="642">
        <v>0</v>
      </c>
      <c r="AB292" s="642">
        <v>0</v>
      </c>
      <c r="AC292" s="642">
        <v>0</v>
      </c>
      <c r="AD292" s="642">
        <v>0</v>
      </c>
      <c r="AE292" s="642">
        <v>0</v>
      </c>
      <c r="AF292" s="642">
        <v>0</v>
      </c>
      <c r="AG292" s="642">
        <v>0</v>
      </c>
      <c r="AH292" s="642">
        <v>1.92</v>
      </c>
      <c r="AI292" s="642">
        <v>0</v>
      </c>
      <c r="AJ292" s="642">
        <v>0</v>
      </c>
      <c r="AK292" s="650">
        <v>1.92</v>
      </c>
    </row>
    <row r="293" spans="3:37" ht="13.5">
      <c r="C293" s="646" t="s">
        <v>83</v>
      </c>
      <c r="D293" s="647">
        <v>5.7766123047996905</v>
      </c>
      <c r="E293" s="647">
        <v>0</v>
      </c>
      <c r="F293" s="647">
        <v>346.19510684816078</v>
      </c>
      <c r="G293" s="647">
        <v>276.57916261714774</v>
      </c>
      <c r="H293" s="647">
        <v>0</v>
      </c>
      <c r="I293" s="647">
        <v>0</v>
      </c>
      <c r="J293" s="647">
        <v>113.50572884864343</v>
      </c>
      <c r="K293" s="647">
        <v>1.7926789890585739</v>
      </c>
      <c r="L293" s="647">
        <v>29.587741132730038</v>
      </c>
      <c r="M293" s="647">
        <v>5.6630861835909059</v>
      </c>
      <c r="N293" s="647">
        <v>60.832905155553725</v>
      </c>
      <c r="O293" s="647">
        <v>2.8372848935198816</v>
      </c>
      <c r="P293" s="647">
        <v>496.49341447572323</v>
      </c>
      <c r="Q293" s="647">
        <v>35.336417016114851</v>
      </c>
      <c r="R293" s="647">
        <v>1.9451540734815074</v>
      </c>
      <c r="S293" s="647">
        <v>1376.5452925385248</v>
      </c>
      <c r="U293" s="646" t="s">
        <v>83</v>
      </c>
      <c r="V293" s="647">
        <v>1.065232959954733</v>
      </c>
      <c r="W293" s="647">
        <v>0</v>
      </c>
      <c r="X293" s="647">
        <v>123.73641532901047</v>
      </c>
      <c r="Y293" s="647">
        <v>121.91057745567808</v>
      </c>
      <c r="Z293" s="647">
        <v>0</v>
      </c>
      <c r="AA293" s="647">
        <v>0</v>
      </c>
      <c r="AB293" s="647">
        <v>91.239635035141916</v>
      </c>
      <c r="AC293" s="647">
        <v>5.4913450563703794</v>
      </c>
      <c r="AD293" s="647">
        <v>77.627888306523744</v>
      </c>
      <c r="AE293" s="647">
        <v>38.675835544014738</v>
      </c>
      <c r="AF293" s="647">
        <v>86.476611770328219</v>
      </c>
      <c r="AG293" s="647">
        <v>5.9541727702812857</v>
      </c>
      <c r="AH293" s="647">
        <v>493.03007244229349</v>
      </c>
      <c r="AI293" s="647">
        <v>68.72625481251545</v>
      </c>
      <c r="AJ293" s="647">
        <v>10.334365624475881</v>
      </c>
      <c r="AK293" s="647">
        <v>1124.2684071065887</v>
      </c>
    </row>
    <row r="294" spans="3:37" ht="13.5">
      <c r="C294" s="641" t="s">
        <v>84</v>
      </c>
      <c r="D294" s="642">
        <v>0</v>
      </c>
      <c r="E294" s="642">
        <v>0</v>
      </c>
      <c r="F294" s="642">
        <v>111.73719287700069</v>
      </c>
      <c r="G294" s="642">
        <v>11.878700409877391</v>
      </c>
      <c r="H294" s="642">
        <v>0</v>
      </c>
      <c r="I294" s="642">
        <v>0</v>
      </c>
      <c r="J294" s="642">
        <v>0</v>
      </c>
      <c r="K294" s="642">
        <v>0</v>
      </c>
      <c r="L294" s="642">
        <v>0</v>
      </c>
      <c r="M294" s="642">
        <v>0</v>
      </c>
      <c r="N294" s="642">
        <v>0</v>
      </c>
      <c r="O294" s="642">
        <v>0</v>
      </c>
      <c r="P294" s="642">
        <v>0</v>
      </c>
      <c r="Q294" s="642">
        <v>0</v>
      </c>
      <c r="R294" s="642">
        <v>1.43076906409107</v>
      </c>
      <c r="S294" s="650">
        <v>125.04666235096916</v>
      </c>
      <c r="U294" s="641" t="s">
        <v>84</v>
      </c>
      <c r="V294" s="642">
        <v>0</v>
      </c>
      <c r="W294" s="642">
        <v>0</v>
      </c>
      <c r="X294" s="642">
        <v>90.362960784166091</v>
      </c>
      <c r="Y294" s="642">
        <v>1.2615947910933976</v>
      </c>
      <c r="Z294" s="642">
        <v>0</v>
      </c>
      <c r="AA294" s="642">
        <v>0</v>
      </c>
      <c r="AB294" s="642">
        <v>0</v>
      </c>
      <c r="AC294" s="642">
        <v>0</v>
      </c>
      <c r="AD294" s="642">
        <v>14.679117373046875</v>
      </c>
      <c r="AE294" s="642">
        <v>0</v>
      </c>
      <c r="AF294" s="642">
        <v>0</v>
      </c>
      <c r="AG294" s="642">
        <v>0</v>
      </c>
      <c r="AH294" s="642">
        <v>0</v>
      </c>
      <c r="AI294" s="642">
        <v>0</v>
      </c>
      <c r="AJ294" s="642">
        <v>10.026029063720703</v>
      </c>
      <c r="AK294" s="650">
        <v>116.32970201202707</v>
      </c>
    </row>
    <row r="295" spans="3:37" ht="13.5">
      <c r="C295" s="646" t="s">
        <v>85</v>
      </c>
      <c r="D295" s="647">
        <v>5.7766123047996905</v>
      </c>
      <c r="E295" s="647">
        <v>0</v>
      </c>
      <c r="F295" s="647">
        <v>457.9322997251615</v>
      </c>
      <c r="G295" s="647">
        <v>288.45786302702516</v>
      </c>
      <c r="H295" s="647">
        <v>0</v>
      </c>
      <c r="I295" s="647">
        <v>0</v>
      </c>
      <c r="J295" s="647">
        <v>113.50572884864343</v>
      </c>
      <c r="K295" s="647">
        <v>1.7926789890585739</v>
      </c>
      <c r="L295" s="647">
        <v>29.587741132730038</v>
      </c>
      <c r="M295" s="647">
        <v>5.6630861835909059</v>
      </c>
      <c r="N295" s="647">
        <v>60.832905155553725</v>
      </c>
      <c r="O295" s="647">
        <v>2.8372848935198816</v>
      </c>
      <c r="P295" s="647">
        <v>496.49341447572323</v>
      </c>
      <c r="Q295" s="647">
        <v>35.336417016114851</v>
      </c>
      <c r="R295" s="647">
        <v>3.3759231375725776</v>
      </c>
      <c r="S295" s="647">
        <v>1501.5919548894938</v>
      </c>
      <c r="U295" s="646" t="s">
        <v>85</v>
      </c>
      <c r="V295" s="647">
        <v>1.065232959954733</v>
      </c>
      <c r="W295" s="647">
        <v>0</v>
      </c>
      <c r="X295" s="647">
        <v>214.09937611317656</v>
      </c>
      <c r="Y295" s="647">
        <v>123.17217224677148</v>
      </c>
      <c r="Z295" s="647">
        <v>0</v>
      </c>
      <c r="AA295" s="647">
        <v>0</v>
      </c>
      <c r="AB295" s="647">
        <v>91.239635035141916</v>
      </c>
      <c r="AC295" s="647">
        <v>5.4913450563703794</v>
      </c>
      <c r="AD295" s="647">
        <v>92.307005679570622</v>
      </c>
      <c r="AE295" s="647">
        <v>38.675835544014738</v>
      </c>
      <c r="AF295" s="647">
        <v>86.476611770328219</v>
      </c>
      <c r="AG295" s="647">
        <v>5.9541727702812857</v>
      </c>
      <c r="AH295" s="647">
        <v>493.03007244229349</v>
      </c>
      <c r="AI295" s="647">
        <v>68.72625481251545</v>
      </c>
      <c r="AJ295" s="647">
        <v>20.360394688196585</v>
      </c>
      <c r="AK295" s="647">
        <v>1240.5981091186156</v>
      </c>
    </row>
    <row r="296" spans="3:37" ht="13">
      <c r="C296" s="636"/>
      <c r="D296" s="636"/>
      <c r="E296" s="636"/>
      <c r="F296" s="636"/>
      <c r="G296" s="636"/>
      <c r="H296" s="636"/>
      <c r="I296" s="636"/>
      <c r="J296" s="636"/>
      <c r="K296" s="636"/>
      <c r="L296" s="636"/>
      <c r="M296" s="636"/>
      <c r="N296" s="636"/>
      <c r="O296" s="636"/>
      <c r="P296" s="636"/>
      <c r="Q296" s="636"/>
      <c r="R296" s="636"/>
      <c r="S296" s="636"/>
      <c r="U296" s="636"/>
      <c r="V296" s="636"/>
      <c r="W296" s="636"/>
      <c r="X296" s="636"/>
      <c r="Y296" s="636"/>
      <c r="Z296" s="636"/>
      <c r="AA296" s="636"/>
      <c r="AB296" s="636"/>
      <c r="AC296" s="636"/>
      <c r="AD296" s="636"/>
      <c r="AE296" s="636"/>
      <c r="AF296" s="636"/>
      <c r="AG296" s="636"/>
      <c r="AH296" s="636"/>
      <c r="AI296" s="636"/>
      <c r="AJ296" s="636"/>
      <c r="AK296" s="636"/>
    </row>
    <row r="297" spans="3:37" ht="22.5">
      <c r="C297" s="699" t="s">
        <v>363</v>
      </c>
      <c r="D297" s="699"/>
      <c r="E297" s="699"/>
      <c r="F297" s="699"/>
      <c r="G297" s="699"/>
      <c r="H297" s="699"/>
      <c r="I297" s="699"/>
      <c r="J297" s="699"/>
      <c r="K297" s="699"/>
      <c r="L297" s="699"/>
      <c r="M297" s="699"/>
      <c r="N297" s="699"/>
      <c r="O297" s="699"/>
      <c r="P297" s="699"/>
      <c r="Q297" s="699"/>
      <c r="R297" s="699"/>
      <c r="S297" s="699"/>
      <c r="U297" s="699" t="s">
        <v>363</v>
      </c>
      <c r="V297" s="699"/>
      <c r="W297" s="699"/>
      <c r="X297" s="699"/>
      <c r="Y297" s="699"/>
      <c r="Z297" s="699"/>
      <c r="AA297" s="699"/>
      <c r="AB297" s="699"/>
      <c r="AC297" s="699"/>
      <c r="AD297" s="699"/>
      <c r="AE297" s="699"/>
      <c r="AF297" s="699"/>
      <c r="AG297" s="699"/>
      <c r="AH297" s="699"/>
      <c r="AI297" s="699"/>
      <c r="AJ297" s="699"/>
      <c r="AK297" s="699"/>
    </row>
    <row r="298" spans="3:37" ht="13">
      <c r="C298" s="636"/>
      <c r="D298" s="636"/>
      <c r="E298" s="636"/>
      <c r="F298" s="636"/>
      <c r="G298" s="636"/>
      <c r="H298" s="636"/>
      <c r="I298" s="636"/>
      <c r="J298" s="636"/>
      <c r="K298" s="636"/>
      <c r="L298" s="636"/>
      <c r="M298" s="636"/>
      <c r="N298" s="636"/>
      <c r="O298" s="636"/>
      <c r="P298" s="636"/>
      <c r="Q298" s="636"/>
      <c r="R298" s="636"/>
      <c r="S298" s="636"/>
      <c r="U298" s="636"/>
      <c r="V298" s="636"/>
      <c r="W298" s="636"/>
      <c r="X298" s="636"/>
      <c r="Y298" s="636"/>
      <c r="Z298" s="636"/>
      <c r="AA298" s="636"/>
      <c r="AB298" s="636"/>
      <c r="AC298" s="636"/>
      <c r="AD298" s="636"/>
      <c r="AE298" s="636"/>
      <c r="AF298" s="636"/>
      <c r="AG298" s="636"/>
      <c r="AH298" s="636"/>
      <c r="AI298" s="636"/>
      <c r="AJ298" s="636"/>
      <c r="AK298" s="636"/>
    </row>
    <row r="299" spans="3:37" ht="13" customHeight="1">
      <c r="C299" s="700" t="s">
        <v>128</v>
      </c>
      <c r="D299" s="701" t="s">
        <v>42</v>
      </c>
      <c r="E299" s="701" t="s">
        <v>52</v>
      </c>
      <c r="F299" s="701" t="s">
        <v>53</v>
      </c>
      <c r="G299" s="701" t="s">
        <v>32</v>
      </c>
      <c r="H299" s="701" t="s">
        <v>20</v>
      </c>
      <c r="I299" s="701" t="s">
        <v>55</v>
      </c>
      <c r="J299" s="701" t="s">
        <v>56</v>
      </c>
      <c r="K299" s="701"/>
      <c r="L299" s="701"/>
      <c r="M299" s="701"/>
      <c r="N299" s="701"/>
      <c r="O299" s="701"/>
      <c r="P299" s="701" t="s">
        <v>57</v>
      </c>
      <c r="Q299" s="701" t="s">
        <v>58</v>
      </c>
      <c r="R299" s="701" t="s">
        <v>31</v>
      </c>
      <c r="S299" s="701" t="s">
        <v>10</v>
      </c>
      <c r="U299" s="700" t="s">
        <v>128</v>
      </c>
      <c r="V299" s="701" t="s">
        <v>42</v>
      </c>
      <c r="W299" s="701" t="s">
        <v>52</v>
      </c>
      <c r="X299" s="701" t="s">
        <v>53</v>
      </c>
      <c r="Y299" s="701" t="s">
        <v>32</v>
      </c>
      <c r="Z299" s="701" t="s">
        <v>20</v>
      </c>
      <c r="AA299" s="701" t="s">
        <v>55</v>
      </c>
      <c r="AB299" s="701" t="s">
        <v>56</v>
      </c>
      <c r="AC299" s="701"/>
      <c r="AD299" s="701"/>
      <c r="AE299" s="701"/>
      <c r="AF299" s="701"/>
      <c r="AG299" s="701"/>
      <c r="AH299" s="701" t="s">
        <v>57</v>
      </c>
      <c r="AI299" s="701" t="s">
        <v>58</v>
      </c>
      <c r="AJ299" s="701" t="s">
        <v>31</v>
      </c>
      <c r="AK299" s="701" t="s">
        <v>10</v>
      </c>
    </row>
    <row r="300" spans="3:37" ht="46">
      <c r="C300" s="700"/>
      <c r="D300" s="701"/>
      <c r="E300" s="701"/>
      <c r="F300" s="701"/>
      <c r="G300" s="701"/>
      <c r="H300" s="701"/>
      <c r="I300" s="701"/>
      <c r="J300" s="640" t="s">
        <v>338</v>
      </c>
      <c r="K300" s="640" t="s">
        <v>40</v>
      </c>
      <c r="L300" s="640" t="s">
        <v>346</v>
      </c>
      <c r="M300" s="640" t="s">
        <v>347</v>
      </c>
      <c r="N300" s="640" t="s">
        <v>348</v>
      </c>
      <c r="O300" s="640" t="s">
        <v>349</v>
      </c>
      <c r="P300" s="701"/>
      <c r="Q300" s="701"/>
      <c r="R300" s="701"/>
      <c r="S300" s="701"/>
      <c r="U300" s="700"/>
      <c r="V300" s="701"/>
      <c r="W300" s="701"/>
      <c r="X300" s="701"/>
      <c r="Y300" s="701"/>
      <c r="Z300" s="701"/>
      <c r="AA300" s="701"/>
      <c r="AB300" s="640" t="s">
        <v>338</v>
      </c>
      <c r="AC300" s="640" t="s">
        <v>40</v>
      </c>
      <c r="AD300" s="640" t="s">
        <v>346</v>
      </c>
      <c r="AE300" s="640" t="s">
        <v>347</v>
      </c>
      <c r="AF300" s="640" t="s">
        <v>348</v>
      </c>
      <c r="AG300" s="640" t="s">
        <v>349</v>
      </c>
      <c r="AH300" s="701"/>
      <c r="AI300" s="701"/>
      <c r="AJ300" s="701"/>
      <c r="AK300" s="701"/>
    </row>
    <row r="301" spans="3:37" ht="13.5">
      <c r="C301" s="641" t="s">
        <v>59</v>
      </c>
      <c r="D301" s="642">
        <v>0</v>
      </c>
      <c r="E301" s="643">
        <v>0</v>
      </c>
      <c r="F301" s="643">
        <v>0</v>
      </c>
      <c r="G301" s="642">
        <v>0</v>
      </c>
      <c r="H301" s="643">
        <v>959.09090909090924</v>
      </c>
      <c r="I301" s="643">
        <v>265.54666314840352</v>
      </c>
      <c r="J301" s="643">
        <v>188.6372712469306</v>
      </c>
      <c r="K301" s="643">
        <v>20.835963621356942</v>
      </c>
      <c r="L301" s="643">
        <v>0.48646764865129044</v>
      </c>
      <c r="M301" s="643">
        <v>0.15840693111613638</v>
      </c>
      <c r="N301" s="643">
        <v>62.897832024028709</v>
      </c>
      <c r="O301" s="643">
        <v>11.865462020109925</v>
      </c>
      <c r="P301" s="644">
        <v>0</v>
      </c>
      <c r="Q301" s="643">
        <v>0</v>
      </c>
      <c r="R301" s="643">
        <v>0</v>
      </c>
      <c r="S301" s="645">
        <v>1509.5189757315065</v>
      </c>
      <c r="U301" s="641" t="s">
        <v>59</v>
      </c>
      <c r="V301" s="642">
        <v>0</v>
      </c>
      <c r="W301" s="643">
        <v>0</v>
      </c>
      <c r="X301" s="643">
        <v>0</v>
      </c>
      <c r="Y301" s="642">
        <v>0</v>
      </c>
      <c r="Z301" s="643">
        <v>919.39393939393949</v>
      </c>
      <c r="AA301" s="643">
        <v>300.16666314840353</v>
      </c>
      <c r="AB301" s="643">
        <v>196.07210414009427</v>
      </c>
      <c r="AC301" s="643">
        <v>37.690284018354092</v>
      </c>
      <c r="AD301" s="643">
        <v>0.48646764865129044</v>
      </c>
      <c r="AE301" s="643">
        <v>0.15840693111613638</v>
      </c>
      <c r="AF301" s="643">
        <v>92.901000398225491</v>
      </c>
      <c r="AG301" s="643">
        <v>23.979405132943342</v>
      </c>
      <c r="AH301" s="644">
        <v>0</v>
      </c>
      <c r="AI301" s="643">
        <v>0</v>
      </c>
      <c r="AJ301" s="643">
        <v>0</v>
      </c>
      <c r="AK301" s="645">
        <v>1570.8482708117278</v>
      </c>
    </row>
    <row r="302" spans="3:37" ht="13.5">
      <c r="C302" s="641" t="s">
        <v>60</v>
      </c>
      <c r="D302" s="642">
        <v>48.037640466799544</v>
      </c>
      <c r="E302" s="643">
        <v>504.19228646673599</v>
      </c>
      <c r="F302" s="643">
        <v>68.527294255032075</v>
      </c>
      <c r="G302" s="642">
        <v>332.96357284387591</v>
      </c>
      <c r="H302" s="643">
        <v>0</v>
      </c>
      <c r="I302" s="643">
        <v>0</v>
      </c>
      <c r="J302" s="643">
        <v>4.4041420336435353</v>
      </c>
      <c r="K302" s="643">
        <v>0</v>
      </c>
      <c r="L302" s="643">
        <v>2.4215969020745125</v>
      </c>
      <c r="M302" s="643">
        <v>0</v>
      </c>
      <c r="N302" s="643">
        <v>0</v>
      </c>
      <c r="O302" s="643">
        <v>0</v>
      </c>
      <c r="P302" s="644">
        <v>0</v>
      </c>
      <c r="Q302" s="643">
        <v>0</v>
      </c>
      <c r="R302" s="643">
        <v>0</v>
      </c>
      <c r="S302" s="645">
        <v>960.54653296816161</v>
      </c>
      <c r="U302" s="641" t="s">
        <v>60</v>
      </c>
      <c r="V302" s="642">
        <v>7.5315222042138927</v>
      </c>
      <c r="W302" s="643">
        <v>266.28302835422375</v>
      </c>
      <c r="X302" s="643">
        <v>14.660534841020075</v>
      </c>
      <c r="Y302" s="642">
        <v>136.19700966140181</v>
      </c>
      <c r="Z302" s="643">
        <v>0</v>
      </c>
      <c r="AA302" s="643">
        <v>0</v>
      </c>
      <c r="AB302" s="643">
        <v>4.4041420336435353</v>
      </c>
      <c r="AC302" s="643">
        <v>0</v>
      </c>
      <c r="AD302" s="643">
        <v>2.4215969020745125</v>
      </c>
      <c r="AE302" s="643">
        <v>0</v>
      </c>
      <c r="AF302" s="643">
        <v>0</v>
      </c>
      <c r="AG302" s="643">
        <v>0</v>
      </c>
      <c r="AH302" s="644">
        <v>0</v>
      </c>
      <c r="AI302" s="643">
        <v>0</v>
      </c>
      <c r="AJ302" s="643">
        <v>0</v>
      </c>
      <c r="AK302" s="645">
        <v>431.49783399657758</v>
      </c>
    </row>
    <row r="303" spans="3:37" ht="13.5">
      <c r="C303" s="641" t="s">
        <v>61</v>
      </c>
      <c r="D303" s="642">
        <v>0</v>
      </c>
      <c r="E303" s="643">
        <v>0</v>
      </c>
      <c r="F303" s="643">
        <v>0</v>
      </c>
      <c r="G303" s="642">
        <v>0</v>
      </c>
      <c r="H303" s="643">
        <v>0</v>
      </c>
      <c r="I303" s="643">
        <v>0</v>
      </c>
      <c r="J303" s="643">
        <v>0</v>
      </c>
      <c r="K303" s="643">
        <v>0</v>
      </c>
      <c r="L303" s="643">
        <v>0</v>
      </c>
      <c r="M303" s="643">
        <v>0</v>
      </c>
      <c r="N303" s="643">
        <v>0</v>
      </c>
      <c r="O303" s="643">
        <v>0</v>
      </c>
      <c r="P303" s="644">
        <v>-31.055970799843635</v>
      </c>
      <c r="Q303" s="643">
        <v>0</v>
      </c>
      <c r="R303" s="643">
        <v>0</v>
      </c>
      <c r="S303" s="645">
        <v>-31.055970799843635</v>
      </c>
      <c r="U303" s="641" t="s">
        <v>61</v>
      </c>
      <c r="V303" s="642">
        <v>0</v>
      </c>
      <c r="W303" s="643">
        <v>0</v>
      </c>
      <c r="X303" s="643">
        <v>-20.238165107819981</v>
      </c>
      <c r="Y303" s="642">
        <v>0</v>
      </c>
      <c r="Z303" s="643">
        <v>0</v>
      </c>
      <c r="AA303" s="643">
        <v>0</v>
      </c>
      <c r="AB303" s="643">
        <v>0</v>
      </c>
      <c r="AC303" s="643">
        <v>0</v>
      </c>
      <c r="AD303" s="643">
        <v>0</v>
      </c>
      <c r="AE303" s="643">
        <v>0</v>
      </c>
      <c r="AF303" s="643">
        <v>0</v>
      </c>
      <c r="AG303" s="643">
        <v>0</v>
      </c>
      <c r="AH303" s="644">
        <v>-12.632253344037395</v>
      </c>
      <c r="AI303" s="643">
        <v>0</v>
      </c>
      <c r="AJ303" s="643">
        <v>0</v>
      </c>
      <c r="AK303" s="645">
        <v>-32.870418451857375</v>
      </c>
    </row>
    <row r="304" spans="3:37" ht="13.5">
      <c r="C304" s="641" t="s">
        <v>62</v>
      </c>
      <c r="D304" s="642">
        <v>0</v>
      </c>
      <c r="E304" s="643">
        <v>0</v>
      </c>
      <c r="F304" s="643">
        <v>-15.855905256620872</v>
      </c>
      <c r="G304" s="642">
        <v>0</v>
      </c>
      <c r="H304" s="643">
        <v>0</v>
      </c>
      <c r="I304" s="643">
        <v>0</v>
      </c>
      <c r="J304" s="643">
        <v>0</v>
      </c>
      <c r="K304" s="643">
        <v>0</v>
      </c>
      <c r="L304" s="643">
        <v>0</v>
      </c>
      <c r="M304" s="643">
        <v>0</v>
      </c>
      <c r="N304" s="643">
        <v>0</v>
      </c>
      <c r="O304" s="643">
        <v>0</v>
      </c>
      <c r="P304" s="644">
        <v>0</v>
      </c>
      <c r="Q304" s="643">
        <v>0</v>
      </c>
      <c r="R304" s="643">
        <v>0</v>
      </c>
      <c r="S304" s="645">
        <v>-15.855905256620872</v>
      </c>
      <c r="U304" s="641" t="s">
        <v>62</v>
      </c>
      <c r="V304" s="642">
        <v>0</v>
      </c>
      <c r="W304" s="643">
        <v>0</v>
      </c>
      <c r="X304" s="643">
        <v>-10.068616817390659</v>
      </c>
      <c r="Y304" s="642">
        <v>-2.2904268439326967</v>
      </c>
      <c r="Z304" s="643">
        <v>0</v>
      </c>
      <c r="AA304" s="643">
        <v>0</v>
      </c>
      <c r="AB304" s="643">
        <v>0</v>
      </c>
      <c r="AC304" s="643">
        <v>0</v>
      </c>
      <c r="AD304" s="643">
        <v>0</v>
      </c>
      <c r="AE304" s="643">
        <v>-0.98161150454258428</v>
      </c>
      <c r="AF304" s="643">
        <v>0</v>
      </c>
      <c r="AG304" s="643">
        <v>0</v>
      </c>
      <c r="AH304" s="644">
        <v>0</v>
      </c>
      <c r="AI304" s="643">
        <v>0</v>
      </c>
      <c r="AJ304" s="643">
        <v>0</v>
      </c>
      <c r="AK304" s="645">
        <v>-13.34065516586594</v>
      </c>
    </row>
    <row r="305" spans="3:37" ht="13.5">
      <c r="C305" s="641" t="s">
        <v>63</v>
      </c>
      <c r="D305" s="642">
        <v>0</v>
      </c>
      <c r="E305" s="643">
        <v>0</v>
      </c>
      <c r="F305" s="643">
        <v>-87.092524368241456</v>
      </c>
      <c r="G305" s="642">
        <v>0</v>
      </c>
      <c r="H305" s="643">
        <v>0</v>
      </c>
      <c r="I305" s="643">
        <v>0</v>
      </c>
      <c r="J305" s="643">
        <v>0</v>
      </c>
      <c r="K305" s="643">
        <v>0</v>
      </c>
      <c r="L305" s="643">
        <v>-0.90133117758770376</v>
      </c>
      <c r="M305" s="643">
        <v>0</v>
      </c>
      <c r="N305" s="643">
        <v>0</v>
      </c>
      <c r="O305" s="643">
        <v>0</v>
      </c>
      <c r="P305" s="644">
        <v>0</v>
      </c>
      <c r="Q305" s="643">
        <v>0</v>
      </c>
      <c r="R305" s="643">
        <v>0</v>
      </c>
      <c r="S305" s="645">
        <v>-87.993855545829163</v>
      </c>
      <c r="U305" s="641" t="s">
        <v>63</v>
      </c>
      <c r="V305" s="642">
        <v>0</v>
      </c>
      <c r="W305" s="643">
        <v>0</v>
      </c>
      <c r="X305" s="643">
        <v>-58.231828596071985</v>
      </c>
      <c r="Y305" s="642">
        <v>0</v>
      </c>
      <c r="Z305" s="643">
        <v>0</v>
      </c>
      <c r="AA305" s="643">
        <v>0</v>
      </c>
      <c r="AB305" s="643">
        <v>0</v>
      </c>
      <c r="AC305" s="643">
        <v>0</v>
      </c>
      <c r="AD305" s="643">
        <v>-23.991898740742837</v>
      </c>
      <c r="AE305" s="643">
        <v>0</v>
      </c>
      <c r="AF305" s="643">
        <v>0</v>
      </c>
      <c r="AG305" s="643">
        <v>0</v>
      </c>
      <c r="AH305" s="644">
        <v>0</v>
      </c>
      <c r="AI305" s="643">
        <v>0</v>
      </c>
      <c r="AJ305" s="643">
        <v>0</v>
      </c>
      <c r="AK305" s="645">
        <v>-82.223727336814818</v>
      </c>
    </row>
    <row r="306" spans="3:37" ht="13.5">
      <c r="C306" s="641" t="s">
        <v>64</v>
      </c>
      <c r="D306" s="642">
        <v>0</v>
      </c>
      <c r="E306" s="643">
        <v>0</v>
      </c>
      <c r="F306" s="643">
        <v>0</v>
      </c>
      <c r="G306" s="642">
        <v>0</v>
      </c>
      <c r="H306" s="643">
        <v>0</v>
      </c>
      <c r="I306" s="643">
        <v>0</v>
      </c>
      <c r="J306" s="643">
        <v>0</v>
      </c>
      <c r="K306" s="643">
        <v>0</v>
      </c>
      <c r="L306" s="643">
        <v>0</v>
      </c>
      <c r="M306" s="643">
        <v>0</v>
      </c>
      <c r="N306" s="643">
        <v>0</v>
      </c>
      <c r="O306" s="643">
        <v>0</v>
      </c>
      <c r="P306" s="644">
        <v>0</v>
      </c>
      <c r="Q306" s="643">
        <v>0</v>
      </c>
      <c r="R306" s="643">
        <v>0</v>
      </c>
      <c r="S306" s="645">
        <v>0</v>
      </c>
      <c r="U306" s="641" t="s">
        <v>64</v>
      </c>
      <c r="V306" s="642">
        <v>0</v>
      </c>
      <c r="W306" s="643">
        <v>0</v>
      </c>
      <c r="X306" s="643">
        <v>0</v>
      </c>
      <c r="Y306" s="642">
        <v>0</v>
      </c>
      <c r="Z306" s="643">
        <v>0</v>
      </c>
      <c r="AA306" s="643">
        <v>0</v>
      </c>
      <c r="AB306" s="643">
        <v>0</v>
      </c>
      <c r="AC306" s="643">
        <v>0</v>
      </c>
      <c r="AD306" s="643">
        <v>0</v>
      </c>
      <c r="AE306" s="643">
        <v>0</v>
      </c>
      <c r="AF306" s="643">
        <v>0</v>
      </c>
      <c r="AG306" s="643">
        <v>0</v>
      </c>
      <c r="AH306" s="644">
        <v>0</v>
      </c>
      <c r="AI306" s="643">
        <v>0</v>
      </c>
      <c r="AJ306" s="643">
        <v>0</v>
      </c>
      <c r="AK306" s="645">
        <v>0</v>
      </c>
    </row>
    <row r="307" spans="3:37" ht="13.5">
      <c r="C307" s="646" t="s">
        <v>65</v>
      </c>
      <c r="D307" s="647">
        <v>48.037640466799544</v>
      </c>
      <c r="E307" s="647">
        <v>504.19228646673599</v>
      </c>
      <c r="F307" s="647">
        <v>-34.42113536983026</v>
      </c>
      <c r="G307" s="647">
        <v>332.96357284387591</v>
      </c>
      <c r="H307" s="647">
        <v>959.09090909090924</v>
      </c>
      <c r="I307" s="647">
        <v>265.54666314840352</v>
      </c>
      <c r="J307" s="647">
        <v>193.04141328057412</v>
      </c>
      <c r="K307" s="647">
        <v>20.835963621356942</v>
      </c>
      <c r="L307" s="647">
        <v>2.0067333731380987</v>
      </c>
      <c r="M307" s="647">
        <v>0.15840693111613638</v>
      </c>
      <c r="N307" s="647">
        <v>62.897832024028709</v>
      </c>
      <c r="O307" s="647">
        <v>11.865462020109925</v>
      </c>
      <c r="P307" s="647">
        <v>-31.055970799843635</v>
      </c>
      <c r="Q307" s="647">
        <v>0</v>
      </c>
      <c r="R307" s="647">
        <v>0</v>
      </c>
      <c r="S307" s="647">
        <v>2335.159777097374</v>
      </c>
      <c r="U307" s="646" t="s">
        <v>65</v>
      </c>
      <c r="V307" s="647">
        <v>7.5315222042138927</v>
      </c>
      <c r="W307" s="647">
        <v>266.28302835422375</v>
      </c>
      <c r="X307" s="647">
        <v>-73.87807568026254</v>
      </c>
      <c r="Y307" s="647">
        <v>133.90658281746911</v>
      </c>
      <c r="Z307" s="647">
        <v>919.39393939393949</v>
      </c>
      <c r="AA307" s="647">
        <v>300.16666314840353</v>
      </c>
      <c r="AB307" s="647">
        <v>200.47624617373779</v>
      </c>
      <c r="AC307" s="647">
        <v>37.690284018354092</v>
      </c>
      <c r="AD307" s="647">
        <v>-21.083834190017033</v>
      </c>
      <c r="AE307" s="647">
        <v>-0.82320457342644793</v>
      </c>
      <c r="AF307" s="647">
        <v>92.901000398225491</v>
      </c>
      <c r="AG307" s="647">
        <v>23.979405132943342</v>
      </c>
      <c r="AH307" s="647">
        <v>-12.632253344037395</v>
      </c>
      <c r="AI307" s="647">
        <v>0</v>
      </c>
      <c r="AJ307" s="647">
        <v>0</v>
      </c>
      <c r="AK307" s="647">
        <v>1873.9113038537675</v>
      </c>
    </row>
    <row r="308" spans="3:37" ht="13">
      <c r="C308" s="636"/>
      <c r="D308" s="636">
        <v>0</v>
      </c>
      <c r="E308" s="636">
        <v>0</v>
      </c>
      <c r="F308" s="636">
        <v>0</v>
      </c>
      <c r="G308" s="636">
        <v>0</v>
      </c>
      <c r="H308" s="636">
        <v>0</v>
      </c>
      <c r="I308" s="636">
        <v>0</v>
      </c>
      <c r="J308" s="636">
        <v>0</v>
      </c>
      <c r="K308" s="636">
        <v>0</v>
      </c>
      <c r="L308" s="636">
        <v>0</v>
      </c>
      <c r="M308" s="636">
        <v>0</v>
      </c>
      <c r="N308" s="636">
        <v>0</v>
      </c>
      <c r="O308" s="636">
        <v>0</v>
      </c>
      <c r="P308" s="636">
        <v>0</v>
      </c>
      <c r="Q308" s="636">
        <v>0</v>
      </c>
      <c r="R308" s="636">
        <v>0</v>
      </c>
      <c r="S308" s="636">
        <v>0</v>
      </c>
      <c r="U308" s="636"/>
      <c r="V308" s="636">
        <v>0</v>
      </c>
      <c r="W308" s="636">
        <v>0</v>
      </c>
      <c r="X308" s="636">
        <v>0</v>
      </c>
      <c r="Y308" s="636">
        <v>0</v>
      </c>
      <c r="Z308" s="636">
        <v>0</v>
      </c>
      <c r="AA308" s="636">
        <v>0</v>
      </c>
      <c r="AB308" s="636">
        <v>0</v>
      </c>
      <c r="AC308" s="636">
        <v>0</v>
      </c>
      <c r="AD308" s="636">
        <v>0</v>
      </c>
      <c r="AE308" s="636">
        <v>0</v>
      </c>
      <c r="AF308" s="636">
        <v>0</v>
      </c>
      <c r="AG308" s="636">
        <v>0</v>
      </c>
      <c r="AH308" s="636">
        <v>0</v>
      </c>
      <c r="AI308" s="636">
        <v>0</v>
      </c>
      <c r="AJ308" s="636">
        <v>0</v>
      </c>
      <c r="AK308" s="636">
        <v>0</v>
      </c>
    </row>
    <row r="309" spans="3:37" ht="13.5">
      <c r="C309" s="648" t="s">
        <v>67</v>
      </c>
      <c r="D309" s="642">
        <v>0</v>
      </c>
      <c r="E309" s="649">
        <v>0</v>
      </c>
      <c r="F309" s="649">
        <v>0</v>
      </c>
      <c r="G309" s="642">
        <v>0</v>
      </c>
      <c r="H309" s="642">
        <v>0</v>
      </c>
      <c r="I309" s="642">
        <v>0</v>
      </c>
      <c r="J309" s="642">
        <v>0</v>
      </c>
      <c r="K309" s="642">
        <v>0</v>
      </c>
      <c r="L309" s="642">
        <v>0</v>
      </c>
      <c r="M309" s="642">
        <v>0</v>
      </c>
      <c r="N309" s="642">
        <v>0</v>
      </c>
      <c r="O309" s="642">
        <v>0</v>
      </c>
      <c r="P309" s="642">
        <v>0</v>
      </c>
      <c r="Q309" s="642">
        <v>0</v>
      </c>
      <c r="R309" s="642">
        <v>0</v>
      </c>
      <c r="S309" s="650">
        <v>0</v>
      </c>
      <c r="U309" s="648" t="s">
        <v>67</v>
      </c>
      <c r="V309" s="642">
        <v>0</v>
      </c>
      <c r="W309" s="649">
        <v>0</v>
      </c>
      <c r="X309" s="649">
        <v>0</v>
      </c>
      <c r="Y309" s="642">
        <v>0</v>
      </c>
      <c r="Z309" s="642">
        <v>0</v>
      </c>
      <c r="AA309" s="642">
        <v>0</v>
      </c>
      <c r="AB309" s="642">
        <v>0</v>
      </c>
      <c r="AC309" s="642">
        <v>0</v>
      </c>
      <c r="AD309" s="642">
        <v>0</v>
      </c>
      <c r="AE309" s="642">
        <v>0</v>
      </c>
      <c r="AF309" s="642">
        <v>0</v>
      </c>
      <c r="AG309" s="642">
        <v>0</v>
      </c>
      <c r="AH309" s="642">
        <v>0</v>
      </c>
      <c r="AI309" s="642">
        <v>0</v>
      </c>
      <c r="AJ309" s="642">
        <v>0</v>
      </c>
      <c r="AK309" s="650">
        <v>0</v>
      </c>
    </row>
    <row r="310" spans="3:37" ht="13.5">
      <c r="C310" s="648" t="s">
        <v>350</v>
      </c>
      <c r="D310" s="642">
        <v>2.8267856410252494</v>
      </c>
      <c r="E310" s="642">
        <v>0</v>
      </c>
      <c r="F310" s="642">
        <v>7.5217067848259731</v>
      </c>
      <c r="G310" s="642">
        <v>17.043478260869566</v>
      </c>
      <c r="H310" s="642">
        <v>959.09090909090924</v>
      </c>
      <c r="I310" s="642">
        <v>265.54666314840352</v>
      </c>
      <c r="J310" s="651">
        <v>29.657322749860491</v>
      </c>
      <c r="K310" s="651">
        <v>6.9984717304001904</v>
      </c>
      <c r="L310" s="651">
        <v>2.9080645507258027</v>
      </c>
      <c r="M310" s="651">
        <v>0.47316517381762646</v>
      </c>
      <c r="N310" s="651">
        <v>0</v>
      </c>
      <c r="O310" s="651">
        <v>6.9042102843702597</v>
      </c>
      <c r="P310" s="642">
        <v>-613.13903868039233</v>
      </c>
      <c r="Q310" s="642">
        <v>0</v>
      </c>
      <c r="R310" s="642">
        <v>0</v>
      </c>
      <c r="S310" s="650">
        <v>685.83173873481564</v>
      </c>
      <c r="U310" s="648" t="s">
        <v>350</v>
      </c>
      <c r="V310" s="642">
        <v>0.62631490545869017</v>
      </c>
      <c r="W310" s="642">
        <v>0</v>
      </c>
      <c r="X310" s="642">
        <v>3.6580704211896093</v>
      </c>
      <c r="Y310" s="642">
        <v>6.2086956521739127</v>
      </c>
      <c r="Z310" s="642">
        <v>919.39393939393949</v>
      </c>
      <c r="AA310" s="642">
        <v>300.16666314840353</v>
      </c>
      <c r="AB310" s="651">
        <v>23.86094386593884</v>
      </c>
      <c r="AC310" s="651">
        <v>5.6952120200596408</v>
      </c>
      <c r="AD310" s="651">
        <v>2.9080645507258027</v>
      </c>
      <c r="AE310" s="651">
        <v>2.7862086520784959</v>
      </c>
      <c r="AF310" s="651">
        <v>0</v>
      </c>
      <c r="AG310" s="651">
        <v>6.9042102843702597</v>
      </c>
      <c r="AH310" s="642">
        <v>-628.6590386803922</v>
      </c>
      <c r="AI310" s="642">
        <v>0</v>
      </c>
      <c r="AJ310" s="642">
        <v>4.7499999999999991</v>
      </c>
      <c r="AK310" s="650">
        <v>648.29928421394618</v>
      </c>
    </row>
    <row r="311" spans="3:37" ht="13.5">
      <c r="C311" s="648" t="s">
        <v>351</v>
      </c>
      <c r="D311" s="642">
        <v>0</v>
      </c>
      <c r="E311" s="642">
        <v>0</v>
      </c>
      <c r="F311" s="642">
        <v>0</v>
      </c>
      <c r="G311" s="642">
        <v>14.973464488470796</v>
      </c>
      <c r="H311" s="642">
        <v>0</v>
      </c>
      <c r="I311" s="642">
        <v>0</v>
      </c>
      <c r="J311" s="651">
        <v>12.61885930635281</v>
      </c>
      <c r="K311" s="651">
        <v>11.992989190910333</v>
      </c>
      <c r="L311" s="651">
        <v>0</v>
      </c>
      <c r="M311" s="651">
        <v>0.32007470171399477</v>
      </c>
      <c r="N311" s="651">
        <v>0</v>
      </c>
      <c r="O311" s="651">
        <v>2.1221335576886813</v>
      </c>
      <c r="P311" s="642">
        <v>0</v>
      </c>
      <c r="Q311" s="642">
        <v>-38.122859170635891</v>
      </c>
      <c r="R311" s="642">
        <v>0</v>
      </c>
      <c r="S311" s="650">
        <v>3.9046620745007217</v>
      </c>
      <c r="U311" s="648" t="s">
        <v>351</v>
      </c>
      <c r="V311" s="642">
        <v>0</v>
      </c>
      <c r="W311" s="642">
        <v>0</v>
      </c>
      <c r="X311" s="642">
        <v>0</v>
      </c>
      <c r="Y311" s="642">
        <v>11.236128743190402</v>
      </c>
      <c r="Z311" s="642">
        <v>0</v>
      </c>
      <c r="AA311" s="642">
        <v>0</v>
      </c>
      <c r="AB311" s="651">
        <v>28.835017835425074</v>
      </c>
      <c r="AC311" s="651">
        <v>26.276566272731909</v>
      </c>
      <c r="AD311" s="651">
        <v>0</v>
      </c>
      <c r="AE311" s="651">
        <v>4.8299775408676195</v>
      </c>
      <c r="AF311" s="651">
        <v>0</v>
      </c>
      <c r="AG311" s="651">
        <v>10.71495831218258</v>
      </c>
      <c r="AH311" s="642">
        <v>0</v>
      </c>
      <c r="AI311" s="642">
        <v>-75.331063655699538</v>
      </c>
      <c r="AJ311" s="642">
        <v>0</v>
      </c>
      <c r="AK311" s="650">
        <v>6.561585048698058</v>
      </c>
    </row>
    <row r="312" spans="3:37" ht="13.5">
      <c r="C312" s="648" t="s">
        <v>352</v>
      </c>
      <c r="D312" s="642">
        <v>0</v>
      </c>
      <c r="E312" s="642">
        <v>0</v>
      </c>
      <c r="F312" s="642">
        <v>0</v>
      </c>
      <c r="G312" s="642">
        <v>0</v>
      </c>
      <c r="H312" s="642">
        <v>0</v>
      </c>
      <c r="I312" s="642">
        <v>0</v>
      </c>
      <c r="J312" s="652">
        <v>7.1836152532588793</v>
      </c>
      <c r="K312" s="652">
        <v>0</v>
      </c>
      <c r="L312" s="652">
        <v>0</v>
      </c>
      <c r="M312" s="652">
        <v>-6.5550489185987271</v>
      </c>
      <c r="N312" s="652">
        <v>0</v>
      </c>
      <c r="O312" s="652">
        <v>0</v>
      </c>
      <c r="P312" s="642">
        <v>0</v>
      </c>
      <c r="Q312" s="642">
        <v>0</v>
      </c>
      <c r="R312" s="642">
        <v>0</v>
      </c>
      <c r="S312" s="650">
        <v>0.62856633466015222</v>
      </c>
      <c r="U312" s="648" t="s">
        <v>352</v>
      </c>
      <c r="V312" s="642">
        <v>0</v>
      </c>
      <c r="W312" s="642">
        <v>0</v>
      </c>
      <c r="X312" s="642">
        <v>0</v>
      </c>
      <c r="Y312" s="642">
        <v>0</v>
      </c>
      <c r="Z312" s="642">
        <v>0</v>
      </c>
      <c r="AA312" s="642">
        <v>0</v>
      </c>
      <c r="AB312" s="652">
        <v>63.436450079223192</v>
      </c>
      <c r="AC312" s="652">
        <v>0</v>
      </c>
      <c r="AD312" s="652">
        <v>0</v>
      </c>
      <c r="AE312" s="652">
        <v>-57.885760697291161</v>
      </c>
      <c r="AF312" s="652">
        <v>0</v>
      </c>
      <c r="AG312" s="652">
        <v>0</v>
      </c>
      <c r="AH312" s="642">
        <v>0</v>
      </c>
      <c r="AI312" s="642">
        <v>0</v>
      </c>
      <c r="AJ312" s="642">
        <v>0</v>
      </c>
      <c r="AK312" s="650">
        <v>5.5506893819320311</v>
      </c>
    </row>
    <row r="313" spans="3:37" ht="13.5">
      <c r="C313" s="648" t="s">
        <v>353</v>
      </c>
      <c r="D313" s="642">
        <v>0</v>
      </c>
      <c r="E313" s="642">
        <v>0</v>
      </c>
      <c r="F313" s="642">
        <v>0</v>
      </c>
      <c r="G313" s="642">
        <v>0</v>
      </c>
      <c r="H313" s="642">
        <v>0</v>
      </c>
      <c r="I313" s="642">
        <v>0</v>
      </c>
      <c r="J313" s="642">
        <v>0</v>
      </c>
      <c r="K313" s="642">
        <v>0</v>
      </c>
      <c r="L313" s="642">
        <v>0</v>
      </c>
      <c r="M313" s="642">
        <v>0</v>
      </c>
      <c r="N313" s="642">
        <v>0</v>
      </c>
      <c r="O313" s="642">
        <v>0</v>
      </c>
      <c r="P313" s="642">
        <v>0</v>
      </c>
      <c r="Q313" s="642">
        <v>0</v>
      </c>
      <c r="R313" s="642">
        <v>0</v>
      </c>
      <c r="S313" s="650">
        <v>0</v>
      </c>
      <c r="U313" s="648" t="s">
        <v>353</v>
      </c>
      <c r="V313" s="642">
        <v>0</v>
      </c>
      <c r="W313" s="642">
        <v>0</v>
      </c>
      <c r="X313" s="642">
        <v>0</v>
      </c>
      <c r="Y313" s="642">
        <v>0</v>
      </c>
      <c r="Z313" s="642">
        <v>0</v>
      </c>
      <c r="AA313" s="642">
        <v>0</v>
      </c>
      <c r="AB313" s="642">
        <v>0</v>
      </c>
      <c r="AC313" s="642">
        <v>0</v>
      </c>
      <c r="AD313" s="642">
        <v>0</v>
      </c>
      <c r="AE313" s="642">
        <v>0</v>
      </c>
      <c r="AF313" s="642">
        <v>0</v>
      </c>
      <c r="AG313" s="642">
        <v>0</v>
      </c>
      <c r="AH313" s="642">
        <v>0</v>
      </c>
      <c r="AI313" s="642">
        <v>0</v>
      </c>
      <c r="AJ313" s="642">
        <v>0</v>
      </c>
      <c r="AK313" s="650">
        <v>0</v>
      </c>
    </row>
    <row r="314" spans="3:37" ht="13.5">
      <c r="C314" s="648" t="s">
        <v>72</v>
      </c>
      <c r="D314" s="642">
        <v>0</v>
      </c>
      <c r="E314" s="642">
        <v>522.28962186433523</v>
      </c>
      <c r="F314" s="642">
        <v>-517.06672564569192</v>
      </c>
      <c r="G314" s="642">
        <v>0</v>
      </c>
      <c r="H314" s="642">
        <v>0</v>
      </c>
      <c r="I314" s="642">
        <v>0</v>
      </c>
      <c r="J314" s="642">
        <v>0</v>
      </c>
      <c r="K314" s="642">
        <v>0</v>
      </c>
      <c r="L314" s="642">
        <v>0</v>
      </c>
      <c r="M314" s="642">
        <v>0</v>
      </c>
      <c r="N314" s="642">
        <v>0</v>
      </c>
      <c r="O314" s="642">
        <v>0</v>
      </c>
      <c r="P314" s="642">
        <v>0</v>
      </c>
      <c r="Q314" s="642">
        <v>0</v>
      </c>
      <c r="R314" s="642">
        <v>0</v>
      </c>
      <c r="S314" s="650">
        <v>5.2228962186433137</v>
      </c>
      <c r="U314" s="648" t="s">
        <v>72</v>
      </c>
      <c r="V314" s="642">
        <v>0</v>
      </c>
      <c r="W314" s="642">
        <v>275.84091609698424</v>
      </c>
      <c r="X314" s="642">
        <v>-273.0825069360144</v>
      </c>
      <c r="Y314" s="642">
        <v>0</v>
      </c>
      <c r="Z314" s="642">
        <v>0</v>
      </c>
      <c r="AA314" s="642">
        <v>0</v>
      </c>
      <c r="AB314" s="642">
        <v>0</v>
      </c>
      <c r="AC314" s="642">
        <v>0</v>
      </c>
      <c r="AD314" s="642">
        <v>0</v>
      </c>
      <c r="AE314" s="642">
        <v>0</v>
      </c>
      <c r="AF314" s="642">
        <v>0</v>
      </c>
      <c r="AG314" s="642">
        <v>0</v>
      </c>
      <c r="AH314" s="642">
        <v>0</v>
      </c>
      <c r="AI314" s="642">
        <v>0</v>
      </c>
      <c r="AJ314" s="642">
        <v>0</v>
      </c>
      <c r="AK314" s="650">
        <v>2.7584091609698476</v>
      </c>
    </row>
    <row r="315" spans="3:37" ht="13.5">
      <c r="C315" s="648" t="s">
        <v>354</v>
      </c>
      <c r="D315" s="642">
        <v>0</v>
      </c>
      <c r="E315" s="642">
        <v>0</v>
      </c>
      <c r="F315" s="642">
        <v>0</v>
      </c>
      <c r="G315" s="642">
        <v>0</v>
      </c>
      <c r="H315" s="642">
        <v>0</v>
      </c>
      <c r="I315" s="642">
        <v>0</v>
      </c>
      <c r="J315" s="642">
        <v>28.942309114060045</v>
      </c>
      <c r="K315" s="642">
        <v>0</v>
      </c>
      <c r="L315" s="642">
        <v>-28.942309114060045</v>
      </c>
      <c r="M315" s="642">
        <v>0</v>
      </c>
      <c r="N315" s="642">
        <v>0</v>
      </c>
      <c r="O315" s="642">
        <v>0</v>
      </c>
      <c r="P315" s="642">
        <v>0</v>
      </c>
      <c r="Q315" s="642">
        <v>0</v>
      </c>
      <c r="R315" s="642">
        <v>0</v>
      </c>
      <c r="S315" s="650">
        <v>0</v>
      </c>
      <c r="U315" s="648" t="s">
        <v>354</v>
      </c>
      <c r="V315" s="642">
        <v>0</v>
      </c>
      <c r="W315" s="642">
        <v>0</v>
      </c>
      <c r="X315" s="642">
        <v>0</v>
      </c>
      <c r="Y315" s="642">
        <v>0</v>
      </c>
      <c r="Z315" s="642">
        <v>0</v>
      </c>
      <c r="AA315" s="642">
        <v>0</v>
      </c>
      <c r="AB315" s="642" t="e">
        <v>#VALUE!</v>
      </c>
      <c r="AC315" s="642">
        <v>0</v>
      </c>
      <c r="AD315" s="642">
        <v>-101.68735143023177</v>
      </c>
      <c r="AE315" s="642">
        <v>0</v>
      </c>
      <c r="AF315" s="642">
        <v>0</v>
      </c>
      <c r="AG315" s="642">
        <v>0</v>
      </c>
      <c r="AH315" s="642">
        <v>0</v>
      </c>
      <c r="AI315" s="642">
        <v>0</v>
      </c>
      <c r="AJ315" s="642">
        <v>0</v>
      </c>
      <c r="AK315" s="650">
        <v>-101.68735143023177</v>
      </c>
    </row>
    <row r="316" spans="3:37" ht="13.5">
      <c r="C316" s="648" t="s">
        <v>355</v>
      </c>
      <c r="D316" s="642">
        <v>0</v>
      </c>
      <c r="E316" s="642">
        <v>0</v>
      </c>
      <c r="F316" s="642">
        <v>0</v>
      </c>
      <c r="G316" s="642">
        <v>0</v>
      </c>
      <c r="H316" s="642">
        <v>0</v>
      </c>
      <c r="I316" s="642">
        <v>0</v>
      </c>
      <c r="J316" s="642">
        <v>0</v>
      </c>
      <c r="K316" s="642">
        <v>0</v>
      </c>
      <c r="L316" s="642">
        <v>0</v>
      </c>
      <c r="M316" s="642">
        <v>0</v>
      </c>
      <c r="N316" s="642">
        <v>0</v>
      </c>
      <c r="O316" s="642">
        <v>0</v>
      </c>
      <c r="P316" s="642">
        <v>0</v>
      </c>
      <c r="Q316" s="642">
        <v>0</v>
      </c>
      <c r="R316" s="642">
        <v>0</v>
      </c>
      <c r="S316" s="650">
        <v>0</v>
      </c>
      <c r="U316" s="648" t="s">
        <v>355</v>
      </c>
      <c r="V316" s="642">
        <v>0</v>
      </c>
      <c r="W316" s="642">
        <v>0</v>
      </c>
      <c r="X316" s="642">
        <v>0</v>
      </c>
      <c r="Y316" s="642">
        <v>0</v>
      </c>
      <c r="Z316" s="642">
        <v>0</v>
      </c>
      <c r="AA316" s="642">
        <v>0</v>
      </c>
      <c r="AB316" s="642">
        <v>0</v>
      </c>
      <c r="AC316" s="642">
        <v>0</v>
      </c>
      <c r="AD316" s="642">
        <v>-20.330518764117095</v>
      </c>
      <c r="AE316" s="642">
        <v>0</v>
      </c>
      <c r="AF316" s="642">
        <v>0</v>
      </c>
      <c r="AG316" s="642">
        <v>0</v>
      </c>
      <c r="AH316" s="642">
        <v>0</v>
      </c>
      <c r="AI316" s="642">
        <v>0</v>
      </c>
      <c r="AJ316" s="642">
        <v>0</v>
      </c>
      <c r="AK316" s="650">
        <v>-20.330518764117095</v>
      </c>
    </row>
    <row r="317" spans="3:37" ht="13.5">
      <c r="C317" s="648" t="s">
        <v>73</v>
      </c>
      <c r="D317" s="642">
        <v>0</v>
      </c>
      <c r="E317" s="642">
        <v>0</v>
      </c>
      <c r="F317" s="642">
        <v>0</v>
      </c>
      <c r="G317" s="642">
        <v>5.1012543356530031</v>
      </c>
      <c r="H317" s="642">
        <v>0</v>
      </c>
      <c r="I317" s="642">
        <v>0</v>
      </c>
      <c r="J317" s="642">
        <v>0</v>
      </c>
      <c r="K317" s="642">
        <v>5.8487208617897309E-2</v>
      </c>
      <c r="L317" s="642">
        <v>0</v>
      </c>
      <c r="M317" s="642">
        <v>0.10410723133985722</v>
      </c>
      <c r="N317" s="642">
        <v>0</v>
      </c>
      <c r="O317" s="642">
        <v>0</v>
      </c>
      <c r="P317" s="642">
        <v>0.59767950412449788</v>
      </c>
      <c r="Q317" s="642">
        <v>0</v>
      </c>
      <c r="R317" s="642">
        <v>-4.094104603252811</v>
      </c>
      <c r="S317" s="650">
        <v>1.7674236764824451</v>
      </c>
      <c r="U317" s="648" t="s">
        <v>73</v>
      </c>
      <c r="V317" s="642">
        <v>0</v>
      </c>
      <c r="W317" s="642">
        <v>0</v>
      </c>
      <c r="X317" s="642">
        <v>0</v>
      </c>
      <c r="Y317" s="642">
        <v>5.6948243223481816</v>
      </c>
      <c r="Z317" s="642">
        <v>0</v>
      </c>
      <c r="AA317" s="642">
        <v>0</v>
      </c>
      <c r="AB317" s="642">
        <v>0</v>
      </c>
      <c r="AC317" s="642">
        <v>0.40677316588201312</v>
      </c>
      <c r="AD317" s="642">
        <v>0</v>
      </c>
      <c r="AE317" s="642">
        <v>2.440638995292078</v>
      </c>
      <c r="AF317" s="642">
        <v>0</v>
      </c>
      <c r="AG317" s="642">
        <v>0</v>
      </c>
      <c r="AH317" s="642">
        <v>32.838767990182951</v>
      </c>
      <c r="AI317" s="642">
        <v>0</v>
      </c>
      <c r="AJ317" s="642">
        <v>-28.474121611740912</v>
      </c>
      <c r="AK317" s="650">
        <v>12.906882861964313</v>
      </c>
    </row>
    <row r="318" spans="3:37" ht="13.5">
      <c r="C318" s="648" t="s">
        <v>356</v>
      </c>
      <c r="D318" s="642">
        <v>28.616489999999999</v>
      </c>
      <c r="E318" s="642">
        <v>-18.09733539759922</v>
      </c>
      <c r="F318" s="642">
        <v>23.670245777269074</v>
      </c>
      <c r="G318" s="642">
        <v>0</v>
      </c>
      <c r="H318" s="642">
        <v>0</v>
      </c>
      <c r="I318" s="642">
        <v>0</v>
      </c>
      <c r="J318" s="642">
        <v>0</v>
      </c>
      <c r="K318" s="642">
        <v>0</v>
      </c>
      <c r="L318" s="642">
        <v>0</v>
      </c>
      <c r="M318" s="642">
        <v>0</v>
      </c>
      <c r="N318" s="642">
        <v>0</v>
      </c>
      <c r="O318" s="642">
        <v>0</v>
      </c>
      <c r="P318" s="642">
        <v>0</v>
      </c>
      <c r="Q318" s="642">
        <v>0</v>
      </c>
      <c r="R318" s="642">
        <v>0</v>
      </c>
      <c r="S318" s="650">
        <v>34.189400379669848</v>
      </c>
      <c r="U318" s="648" t="s">
        <v>356</v>
      </c>
      <c r="V318" s="642">
        <v>2.3505202026367185</v>
      </c>
      <c r="W318" s="642">
        <v>-9.5578877427605047</v>
      </c>
      <c r="X318" s="642">
        <v>12.501152628950074</v>
      </c>
      <c r="Y318" s="642">
        <v>0</v>
      </c>
      <c r="Z318" s="642">
        <v>0</v>
      </c>
      <c r="AA318" s="642">
        <v>0</v>
      </c>
      <c r="AB318" s="642">
        <v>0</v>
      </c>
      <c r="AC318" s="642">
        <v>0</v>
      </c>
      <c r="AD318" s="642">
        <v>0</v>
      </c>
      <c r="AE318" s="642">
        <v>0</v>
      </c>
      <c r="AF318" s="642">
        <v>0</v>
      </c>
      <c r="AG318" s="642">
        <v>0</v>
      </c>
      <c r="AH318" s="642">
        <v>0</v>
      </c>
      <c r="AI318" s="642">
        <v>0</v>
      </c>
      <c r="AJ318" s="642">
        <v>0</v>
      </c>
      <c r="AK318" s="650">
        <v>5.2937850888262874</v>
      </c>
    </row>
    <row r="319" spans="3:37" ht="13.5">
      <c r="C319" s="648" t="s">
        <v>75</v>
      </c>
      <c r="D319" s="642">
        <v>11.128635000000001</v>
      </c>
      <c r="E319" s="642">
        <v>0</v>
      </c>
      <c r="F319" s="642">
        <v>17.757847143387398</v>
      </c>
      <c r="G319" s="642">
        <v>5.0672539113277812</v>
      </c>
      <c r="H319" s="642">
        <v>0</v>
      </c>
      <c r="I319" s="642">
        <v>0</v>
      </c>
      <c r="J319" s="642">
        <v>0</v>
      </c>
      <c r="K319" s="642">
        <v>0</v>
      </c>
      <c r="L319" s="642">
        <v>0</v>
      </c>
      <c r="M319" s="642">
        <v>0.1034133451291384</v>
      </c>
      <c r="N319" s="642">
        <v>0</v>
      </c>
      <c r="O319" s="642">
        <v>0</v>
      </c>
      <c r="P319" s="642">
        <v>30.750377055945027</v>
      </c>
      <c r="Q319" s="642">
        <v>0</v>
      </c>
      <c r="R319" s="642">
        <v>0</v>
      </c>
      <c r="S319" s="650">
        <v>64.807526455789343</v>
      </c>
      <c r="U319" s="648" t="s">
        <v>75</v>
      </c>
      <c r="V319" s="642">
        <v>3.4784289550781251</v>
      </c>
      <c r="W319" s="642">
        <v>0</v>
      </c>
      <c r="X319" s="642">
        <v>17.757847143387398</v>
      </c>
      <c r="Y319" s="642">
        <v>3.6194670795198434</v>
      </c>
      <c r="Z319" s="642">
        <v>0</v>
      </c>
      <c r="AA319" s="642">
        <v>0</v>
      </c>
      <c r="AB319" s="642">
        <v>0</v>
      </c>
      <c r="AC319" s="642">
        <v>0</v>
      </c>
      <c r="AD319" s="642">
        <v>0</v>
      </c>
      <c r="AE319" s="642">
        <v>1.5512001769370758</v>
      </c>
      <c r="AF319" s="642">
        <v>0</v>
      </c>
      <c r="AG319" s="642">
        <v>0</v>
      </c>
      <c r="AH319" s="642">
        <v>36.42264978321775</v>
      </c>
      <c r="AI319" s="642">
        <v>0</v>
      </c>
      <c r="AJ319" s="642">
        <v>0</v>
      </c>
      <c r="AK319" s="650">
        <v>62.829593138140197</v>
      </c>
    </row>
    <row r="320" spans="3:37" ht="13.5">
      <c r="C320" s="648" t="s">
        <v>76</v>
      </c>
      <c r="D320" s="642">
        <v>0</v>
      </c>
      <c r="E320" s="642">
        <v>0</v>
      </c>
      <c r="F320" s="642">
        <v>0</v>
      </c>
      <c r="G320" s="642">
        <v>3.8086647866957031</v>
      </c>
      <c r="H320" s="642">
        <v>0</v>
      </c>
      <c r="I320" s="642">
        <v>0</v>
      </c>
      <c r="J320" s="642">
        <v>0</v>
      </c>
      <c r="K320" s="642">
        <v>0</v>
      </c>
      <c r="L320" s="642">
        <v>0</v>
      </c>
      <c r="M320" s="642">
        <v>7.7727852789708229E-2</v>
      </c>
      <c r="N320" s="642">
        <v>0</v>
      </c>
      <c r="O320" s="642">
        <v>0</v>
      </c>
      <c r="P320" s="642">
        <v>44.547532005203358</v>
      </c>
      <c r="Q320" s="642">
        <v>2.958822517532107</v>
      </c>
      <c r="R320" s="642">
        <v>0</v>
      </c>
      <c r="S320" s="650">
        <v>51.392747162220878</v>
      </c>
      <c r="U320" s="648" t="s">
        <v>76</v>
      </c>
      <c r="V320" s="642">
        <v>0</v>
      </c>
      <c r="W320" s="642">
        <v>0</v>
      </c>
      <c r="X320" s="642">
        <v>0</v>
      </c>
      <c r="Y320" s="642">
        <v>1.6015823117827594</v>
      </c>
      <c r="Z320" s="642">
        <v>0</v>
      </c>
      <c r="AA320" s="642">
        <v>0</v>
      </c>
      <c r="AB320" s="642">
        <v>0</v>
      </c>
      <c r="AC320" s="642">
        <v>0</v>
      </c>
      <c r="AD320" s="642">
        <v>0</v>
      </c>
      <c r="AE320" s="642">
        <v>0.68639241933546835</v>
      </c>
      <c r="AF320" s="642">
        <v>0</v>
      </c>
      <c r="AG320" s="642">
        <v>0</v>
      </c>
      <c r="AH320" s="642">
        <v>47.148943407633553</v>
      </c>
      <c r="AI320" s="642">
        <v>5.8421151160056723</v>
      </c>
      <c r="AJ320" s="642">
        <v>0</v>
      </c>
      <c r="AK320" s="650">
        <v>55.279033254757444</v>
      </c>
    </row>
    <row r="321" spans="3:37" ht="13.5">
      <c r="C321" s="646" t="s">
        <v>77</v>
      </c>
      <c r="D321" s="647">
        <v>42.571910641025248</v>
      </c>
      <c r="E321" s="647">
        <v>504.19228646673599</v>
      </c>
      <c r="F321" s="647">
        <v>-468.11692594020946</v>
      </c>
      <c r="G321" s="647">
        <v>45.994115783016845</v>
      </c>
      <c r="H321" s="647">
        <v>959.09090909090924</v>
      </c>
      <c r="I321" s="647">
        <v>265.54666314840352</v>
      </c>
      <c r="J321" s="647">
        <v>78.402106423532217</v>
      </c>
      <c r="K321" s="647">
        <v>19.049948129928421</v>
      </c>
      <c r="L321" s="647">
        <v>-26.034244563334241</v>
      </c>
      <c r="M321" s="647">
        <v>-5.4765606138084015</v>
      </c>
      <c r="N321" s="647">
        <v>0</v>
      </c>
      <c r="O321" s="647">
        <v>9.0263438420589424</v>
      </c>
      <c r="P321" s="647">
        <v>-537.24345011511946</v>
      </c>
      <c r="Q321" s="647">
        <v>-35.164036653103786</v>
      </c>
      <c r="R321" s="647">
        <v>-4.094104603252811</v>
      </c>
      <c r="S321" s="647">
        <v>847.74496103678234</v>
      </c>
      <c r="U321" s="646" t="s">
        <v>77</v>
      </c>
      <c r="V321" s="647">
        <v>6.4552640631735336</v>
      </c>
      <c r="W321" s="647">
        <v>266.28302835422375</v>
      </c>
      <c r="X321" s="647">
        <v>-239.16543674248729</v>
      </c>
      <c r="Y321" s="647">
        <v>28.3606981090151</v>
      </c>
      <c r="Z321" s="647">
        <v>919.39393939393949</v>
      </c>
      <c r="AA321" s="647">
        <v>300.16666314840353</v>
      </c>
      <c r="AB321" s="647">
        <v>116.13241178058709</v>
      </c>
      <c r="AC321" s="647">
        <v>32.378551458673563</v>
      </c>
      <c r="AD321" s="647">
        <v>-119.10980564362306</v>
      </c>
      <c r="AE321" s="647">
        <v>-45.591342912780426</v>
      </c>
      <c r="AF321" s="647">
        <v>0</v>
      </c>
      <c r="AG321" s="647">
        <v>17.619168596552839</v>
      </c>
      <c r="AH321" s="647">
        <v>-512.24867749935788</v>
      </c>
      <c r="AI321" s="647">
        <v>-69.488948539693865</v>
      </c>
      <c r="AJ321" s="647">
        <v>-23.724121611740912</v>
      </c>
      <c r="AK321" s="647">
        <v>677.46139195488558</v>
      </c>
    </row>
    <row r="322" spans="3:37" ht="13">
      <c r="C322" s="636"/>
      <c r="D322" s="636">
        <v>0</v>
      </c>
      <c r="E322" s="636">
        <v>0</v>
      </c>
      <c r="F322" s="636">
        <v>0</v>
      </c>
      <c r="G322" s="636">
        <v>0</v>
      </c>
      <c r="H322" s="636">
        <v>0</v>
      </c>
      <c r="I322" s="636">
        <v>0</v>
      </c>
      <c r="J322" s="636">
        <v>0</v>
      </c>
      <c r="K322" s="636">
        <v>0</v>
      </c>
      <c r="L322" s="636">
        <v>0</v>
      </c>
      <c r="M322" s="636">
        <v>0</v>
      </c>
      <c r="N322" s="636">
        <v>0</v>
      </c>
      <c r="O322" s="636">
        <v>0</v>
      </c>
      <c r="P322" s="636">
        <v>0</v>
      </c>
      <c r="Q322" s="636">
        <v>0</v>
      </c>
      <c r="R322" s="636">
        <v>0</v>
      </c>
      <c r="S322" s="636">
        <v>0</v>
      </c>
      <c r="U322" s="636"/>
      <c r="V322" s="636">
        <v>0</v>
      </c>
      <c r="W322" s="636">
        <v>0</v>
      </c>
      <c r="X322" s="636">
        <v>0</v>
      </c>
      <c r="Y322" s="636">
        <v>0</v>
      </c>
      <c r="Z322" s="636">
        <v>0</v>
      </c>
      <c r="AA322" s="636">
        <v>0</v>
      </c>
      <c r="AB322" s="636">
        <v>0</v>
      </c>
      <c r="AC322" s="636">
        <v>0</v>
      </c>
      <c r="AD322" s="636">
        <v>0</v>
      </c>
      <c r="AE322" s="636">
        <v>0</v>
      </c>
      <c r="AF322" s="636">
        <v>0</v>
      </c>
      <c r="AG322" s="636">
        <v>0</v>
      </c>
      <c r="AH322" s="636">
        <v>0</v>
      </c>
      <c r="AI322" s="636">
        <v>0</v>
      </c>
      <c r="AJ322" s="636">
        <v>0</v>
      </c>
      <c r="AK322" s="636">
        <v>0</v>
      </c>
    </row>
    <row r="323" spans="3:37" ht="13.5">
      <c r="C323" s="648" t="s">
        <v>78</v>
      </c>
      <c r="D323" s="642">
        <v>5.4657298257742912</v>
      </c>
      <c r="E323" s="642">
        <v>0</v>
      </c>
      <c r="F323" s="642">
        <v>21.83935294215906</v>
      </c>
      <c r="G323" s="642">
        <v>97.960240418883188</v>
      </c>
      <c r="H323" s="642">
        <v>0</v>
      </c>
      <c r="I323" s="642">
        <v>0</v>
      </c>
      <c r="J323" s="642">
        <v>20.699069714826329</v>
      </c>
      <c r="K323" s="642">
        <v>1.7608774311708451</v>
      </c>
      <c r="L323" s="642">
        <v>0.9136629082031249</v>
      </c>
      <c r="M323" s="642">
        <v>2.0177626304462204</v>
      </c>
      <c r="N323" s="642">
        <v>0</v>
      </c>
      <c r="O323" s="642">
        <v>3.7866244598879411E-4</v>
      </c>
      <c r="P323" s="642">
        <v>111.48933548215857</v>
      </c>
      <c r="Q323" s="642">
        <v>16.083775404791947</v>
      </c>
      <c r="R323" s="642">
        <v>0.29766925048828125</v>
      </c>
      <c r="S323" s="650">
        <v>278.52785467134788</v>
      </c>
      <c r="U323" s="648" t="s">
        <v>78</v>
      </c>
      <c r="V323" s="642">
        <v>1.0762581410403587</v>
      </c>
      <c r="W323" s="642">
        <v>0</v>
      </c>
      <c r="X323" s="642">
        <v>8.4892491154216376</v>
      </c>
      <c r="Y323" s="642">
        <v>50.497915430959594</v>
      </c>
      <c r="Z323" s="642">
        <v>0</v>
      </c>
      <c r="AA323" s="642">
        <v>0</v>
      </c>
      <c r="AB323" s="642">
        <v>15.594949526554588</v>
      </c>
      <c r="AC323" s="642">
        <v>5.2865944994228578</v>
      </c>
      <c r="AD323" s="642">
        <v>4.3757583007812499</v>
      </c>
      <c r="AE323" s="642">
        <v>21.660537806594554</v>
      </c>
      <c r="AF323" s="642">
        <v>0</v>
      </c>
      <c r="AG323" s="642">
        <v>3.7866244598879411E-4</v>
      </c>
      <c r="AH323" s="642">
        <v>141.44668524271188</v>
      </c>
      <c r="AI323" s="642">
        <v>22.79177635880415</v>
      </c>
      <c r="AJ323" s="642">
        <v>6.850041015625</v>
      </c>
      <c r="AK323" s="650">
        <v>278.07014410036186</v>
      </c>
    </row>
    <row r="324" spans="3:37" ht="13.5">
      <c r="C324" s="648" t="s">
        <v>79</v>
      </c>
      <c r="D324" s="642">
        <v>0</v>
      </c>
      <c r="E324" s="642">
        <v>0</v>
      </c>
      <c r="F324" s="642">
        <v>249.23385066161848</v>
      </c>
      <c r="G324" s="642">
        <v>29.852237297635437</v>
      </c>
      <c r="H324" s="642">
        <v>0</v>
      </c>
      <c r="I324" s="642">
        <v>0</v>
      </c>
      <c r="J324" s="642">
        <v>0</v>
      </c>
      <c r="K324" s="642">
        <v>0</v>
      </c>
      <c r="L324" s="642">
        <v>24.125777410294155</v>
      </c>
      <c r="M324" s="642">
        <v>0.60922933260480494</v>
      </c>
      <c r="N324" s="642">
        <v>0</v>
      </c>
      <c r="O324" s="642">
        <v>0</v>
      </c>
      <c r="P324" s="642">
        <v>62.086065361885787</v>
      </c>
      <c r="Q324" s="642">
        <v>0</v>
      </c>
      <c r="R324" s="642">
        <v>1.9828379826970517</v>
      </c>
      <c r="S324" s="650">
        <v>367.88999804673568</v>
      </c>
      <c r="U324" s="648" t="s">
        <v>79</v>
      </c>
      <c r="V324" s="642">
        <v>0</v>
      </c>
      <c r="W324" s="642">
        <v>0</v>
      </c>
      <c r="X324" s="642">
        <v>59.317364570862594</v>
      </c>
      <c r="Y324" s="642">
        <v>17.942066440325025</v>
      </c>
      <c r="Z324" s="642">
        <v>0</v>
      </c>
      <c r="AA324" s="642">
        <v>0</v>
      </c>
      <c r="AB324" s="642">
        <v>0</v>
      </c>
      <c r="AC324" s="642">
        <v>0</v>
      </c>
      <c r="AD324" s="642">
        <v>51.332808735857633</v>
      </c>
      <c r="AE324" s="642">
        <v>7.6894570458535831</v>
      </c>
      <c r="AF324" s="642">
        <v>0</v>
      </c>
      <c r="AG324" s="642">
        <v>0</v>
      </c>
      <c r="AH324" s="642">
        <v>82.201296258535137</v>
      </c>
      <c r="AI324" s="642">
        <v>0</v>
      </c>
      <c r="AJ324" s="642">
        <v>4.6183032107255606</v>
      </c>
      <c r="AK324" s="650">
        <v>223.10129626215951</v>
      </c>
    </row>
    <row r="325" spans="3:37" ht="13.5">
      <c r="C325" s="648" t="s">
        <v>80</v>
      </c>
      <c r="D325" s="642">
        <v>0</v>
      </c>
      <c r="E325" s="642">
        <v>0</v>
      </c>
      <c r="F325" s="642">
        <v>17.698191750553285</v>
      </c>
      <c r="G325" s="642">
        <v>82.8316536533641</v>
      </c>
      <c r="H325" s="642">
        <v>0</v>
      </c>
      <c r="I325" s="642">
        <v>0</v>
      </c>
      <c r="J325" s="642">
        <v>87.012401530952616</v>
      </c>
      <c r="K325" s="642">
        <v>0</v>
      </c>
      <c r="L325" s="642">
        <v>0</v>
      </c>
      <c r="M325" s="642">
        <v>1.690441911293145</v>
      </c>
      <c r="N325" s="642">
        <v>54.219025663639314</v>
      </c>
      <c r="O325" s="642">
        <v>2.0231633432731213</v>
      </c>
      <c r="P325" s="642">
        <v>187.24843332836184</v>
      </c>
      <c r="Q325" s="642">
        <v>15.504434202631401</v>
      </c>
      <c r="R325" s="642">
        <v>0</v>
      </c>
      <c r="S325" s="650">
        <v>448.22774538406884</v>
      </c>
      <c r="U325" s="648" t="s">
        <v>80</v>
      </c>
      <c r="V325" s="642">
        <v>0</v>
      </c>
      <c r="W325" s="642">
        <v>0</v>
      </c>
      <c r="X325" s="642">
        <v>1.0833932718176746</v>
      </c>
      <c r="Y325" s="642">
        <v>18.084176496701136</v>
      </c>
      <c r="Z325" s="642">
        <v>0</v>
      </c>
      <c r="AA325" s="642">
        <v>0</v>
      </c>
      <c r="AB325" s="642">
        <v>57.868484646152382</v>
      </c>
      <c r="AC325" s="642">
        <v>0</v>
      </c>
      <c r="AD325" s="642">
        <v>0</v>
      </c>
      <c r="AE325" s="642">
        <v>7.7503613557290594</v>
      </c>
      <c r="AF325" s="642">
        <v>78.313096165620991</v>
      </c>
      <c r="AG325" s="642">
        <v>3.4573890525731583</v>
      </c>
      <c r="AH325" s="642">
        <v>150.63566760387405</v>
      </c>
      <c r="AI325" s="642">
        <v>34.942034151478268</v>
      </c>
      <c r="AJ325" s="642">
        <v>0</v>
      </c>
      <c r="AK325" s="650">
        <v>352.13460274394669</v>
      </c>
    </row>
    <row r="326" spans="3:37" ht="13.5">
      <c r="C326" s="648" t="s">
        <v>81</v>
      </c>
      <c r="D326" s="642">
        <v>0</v>
      </c>
      <c r="E326" s="642">
        <v>0</v>
      </c>
      <c r="F326" s="642">
        <v>5.759525486283259</v>
      </c>
      <c r="G326" s="642">
        <v>63.242535904869413</v>
      </c>
      <c r="H326" s="642">
        <v>0</v>
      </c>
      <c r="I326" s="642">
        <v>0</v>
      </c>
      <c r="J326" s="642">
        <v>3.243340348024236</v>
      </c>
      <c r="K326" s="642">
        <v>2.5138060257677737E-2</v>
      </c>
      <c r="L326" s="642">
        <v>0</v>
      </c>
      <c r="M326" s="642">
        <v>1.2906639980585595</v>
      </c>
      <c r="N326" s="642">
        <v>8.6788063603893928</v>
      </c>
      <c r="O326" s="642">
        <v>0.74318365128395913</v>
      </c>
      <c r="P326" s="642">
        <v>138.68432478978596</v>
      </c>
      <c r="Q326" s="642">
        <v>3.5758270456804375</v>
      </c>
      <c r="R326" s="642">
        <v>0</v>
      </c>
      <c r="S326" s="650">
        <v>225.24334564463288</v>
      </c>
      <c r="U326" s="648" t="s">
        <v>81</v>
      </c>
      <c r="V326" s="642">
        <v>0</v>
      </c>
      <c r="W326" s="642">
        <v>0</v>
      </c>
      <c r="X326" s="642">
        <v>1.8996820773870462</v>
      </c>
      <c r="Y326" s="642">
        <v>16.701006494583829</v>
      </c>
      <c r="Z326" s="642">
        <v>0</v>
      </c>
      <c r="AA326" s="642">
        <v>0</v>
      </c>
      <c r="AB326" s="642">
        <v>7.1959049572050198</v>
      </c>
      <c r="AC326" s="642">
        <v>2.5138060257677737E-2</v>
      </c>
      <c r="AD326" s="642">
        <v>0</v>
      </c>
      <c r="AE326" s="642">
        <v>7.1575742119644987</v>
      </c>
      <c r="AF326" s="642">
        <v>14.587904232604497</v>
      </c>
      <c r="AG326" s="642">
        <v>1.6018484399661996</v>
      </c>
      <c r="AH326" s="642">
        <v>116.46951239557291</v>
      </c>
      <c r="AI326" s="642">
        <v>11.755138029411436</v>
      </c>
      <c r="AJ326" s="642">
        <v>0</v>
      </c>
      <c r="AK326" s="650">
        <v>177.39370889895312</v>
      </c>
    </row>
    <row r="327" spans="3:37" ht="13.5">
      <c r="C327" s="648" t="s">
        <v>82</v>
      </c>
      <c r="D327" s="642">
        <v>0</v>
      </c>
      <c r="E327" s="642">
        <v>0</v>
      </c>
      <c r="F327" s="642">
        <v>29.471786733039881</v>
      </c>
      <c r="G327" s="642">
        <v>1.3166139535686423</v>
      </c>
      <c r="H327" s="642">
        <v>0</v>
      </c>
      <c r="I327" s="642">
        <v>0</v>
      </c>
      <c r="J327" s="642">
        <v>3.6844952632387193</v>
      </c>
      <c r="K327" s="642">
        <v>0</v>
      </c>
      <c r="L327" s="642">
        <v>3.0029030850571363</v>
      </c>
      <c r="M327" s="642">
        <v>2.6869672521809031E-2</v>
      </c>
      <c r="N327" s="642">
        <v>0</v>
      </c>
      <c r="O327" s="642">
        <v>7.2392521047915395E-2</v>
      </c>
      <c r="P327" s="642">
        <v>6.3643203530837074</v>
      </c>
      <c r="Q327" s="642">
        <v>0</v>
      </c>
      <c r="R327" s="642">
        <v>0</v>
      </c>
      <c r="S327" s="650">
        <v>43.939381581557811</v>
      </c>
      <c r="U327" s="648" t="s">
        <v>82</v>
      </c>
      <c r="V327" s="642">
        <v>0</v>
      </c>
      <c r="W327" s="642">
        <v>0</v>
      </c>
      <c r="X327" s="642">
        <v>10.199143313422546</v>
      </c>
      <c r="Y327" s="642">
        <v>1.1904851448286324</v>
      </c>
      <c r="Z327" s="642">
        <v>0</v>
      </c>
      <c r="AA327" s="642">
        <v>0</v>
      </c>
      <c r="AB327" s="642">
        <v>3.6844952632387193</v>
      </c>
      <c r="AC327" s="642">
        <v>0</v>
      </c>
      <c r="AD327" s="642">
        <v>26.674568203776872</v>
      </c>
      <c r="AE327" s="642">
        <v>0.51020791921227104</v>
      </c>
      <c r="AF327" s="642">
        <v>0</v>
      </c>
      <c r="AG327" s="642">
        <v>1.300620381405156</v>
      </c>
      <c r="AH327" s="642">
        <v>6.4632626546266092</v>
      </c>
      <c r="AI327" s="642">
        <v>0</v>
      </c>
      <c r="AJ327" s="642">
        <v>0.325155095351289</v>
      </c>
      <c r="AK327" s="650">
        <v>50.347937975862088</v>
      </c>
    </row>
    <row r="328" spans="3:37" ht="13.5">
      <c r="C328" s="648" t="s">
        <v>357</v>
      </c>
      <c r="D328" s="642">
        <v>0</v>
      </c>
      <c r="E328" s="642">
        <v>0</v>
      </c>
      <c r="F328" s="642">
        <v>0</v>
      </c>
      <c r="G328" s="642">
        <v>0</v>
      </c>
      <c r="H328" s="642">
        <v>0</v>
      </c>
      <c r="I328" s="642">
        <v>0</v>
      </c>
      <c r="J328" s="642">
        <v>0</v>
      </c>
      <c r="K328" s="642">
        <v>0</v>
      </c>
      <c r="L328" s="642">
        <v>0</v>
      </c>
      <c r="M328" s="642">
        <v>0</v>
      </c>
      <c r="N328" s="642">
        <v>0</v>
      </c>
      <c r="O328" s="642">
        <v>0</v>
      </c>
      <c r="P328" s="642">
        <v>0.31499999999999995</v>
      </c>
      <c r="Q328" s="642">
        <v>0</v>
      </c>
      <c r="R328" s="642">
        <v>0</v>
      </c>
      <c r="S328" s="650">
        <v>0.31499999999999995</v>
      </c>
      <c r="U328" s="648" t="s">
        <v>357</v>
      </c>
      <c r="V328" s="642">
        <v>0</v>
      </c>
      <c r="W328" s="642">
        <v>0</v>
      </c>
      <c r="X328" s="642">
        <v>0</v>
      </c>
      <c r="Y328" s="642">
        <v>0</v>
      </c>
      <c r="Z328" s="642">
        <v>0</v>
      </c>
      <c r="AA328" s="642">
        <v>0</v>
      </c>
      <c r="AB328" s="642">
        <v>0</v>
      </c>
      <c r="AC328" s="642">
        <v>0</v>
      </c>
      <c r="AD328" s="642">
        <v>0</v>
      </c>
      <c r="AE328" s="642">
        <v>0</v>
      </c>
      <c r="AF328" s="642">
        <v>0</v>
      </c>
      <c r="AG328" s="642">
        <v>0</v>
      </c>
      <c r="AH328" s="642">
        <v>2.4</v>
      </c>
      <c r="AI328" s="642">
        <v>0</v>
      </c>
      <c r="AJ328" s="642">
        <v>0</v>
      </c>
      <c r="AK328" s="650">
        <v>2.4</v>
      </c>
    </row>
    <row r="329" spans="3:37" ht="13.5">
      <c r="C329" s="646" t="s">
        <v>83</v>
      </c>
      <c r="D329" s="647">
        <v>5.4657298257742912</v>
      </c>
      <c r="E329" s="647">
        <v>0</v>
      </c>
      <c r="F329" s="647">
        <v>324.00270757365394</v>
      </c>
      <c r="G329" s="647">
        <v>275.2032812283208</v>
      </c>
      <c r="H329" s="647">
        <v>0</v>
      </c>
      <c r="I329" s="647">
        <v>0</v>
      </c>
      <c r="J329" s="647">
        <v>114.6393068570419</v>
      </c>
      <c r="K329" s="647">
        <v>1.7860154914285227</v>
      </c>
      <c r="L329" s="647">
        <v>28.042343403554419</v>
      </c>
      <c r="M329" s="647">
        <v>5.6349675449245389</v>
      </c>
      <c r="N329" s="647">
        <v>62.897832024028709</v>
      </c>
      <c r="O329" s="647">
        <v>2.8391181780509842</v>
      </c>
      <c r="P329" s="647">
        <v>506.18747931527582</v>
      </c>
      <c r="Q329" s="647">
        <v>35.164036653103793</v>
      </c>
      <c r="R329" s="647">
        <v>2.2805072331853329</v>
      </c>
      <c r="S329" s="647">
        <v>1364.1433253283431</v>
      </c>
      <c r="U329" s="646" t="s">
        <v>83</v>
      </c>
      <c r="V329" s="647">
        <v>1.0762581410403587</v>
      </c>
      <c r="W329" s="647">
        <v>0</v>
      </c>
      <c r="X329" s="647">
        <v>80.988832348911515</v>
      </c>
      <c r="Y329" s="647">
        <v>104.41565000739821</v>
      </c>
      <c r="Z329" s="647">
        <v>0</v>
      </c>
      <c r="AA329" s="647">
        <v>0</v>
      </c>
      <c r="AB329" s="647">
        <v>84.343834393150701</v>
      </c>
      <c r="AC329" s="647">
        <v>5.3117325596805349</v>
      </c>
      <c r="AD329" s="647">
        <v>82.383135240415754</v>
      </c>
      <c r="AE329" s="647">
        <v>44.768138339353968</v>
      </c>
      <c r="AF329" s="647">
        <v>92.901000398225491</v>
      </c>
      <c r="AG329" s="647">
        <v>6.3602365363905022</v>
      </c>
      <c r="AH329" s="647">
        <v>499.61642415532054</v>
      </c>
      <c r="AI329" s="647">
        <v>69.488948539693865</v>
      </c>
      <c r="AJ329" s="647">
        <v>11.793499321701848</v>
      </c>
      <c r="AK329" s="647">
        <v>1083.4476899812832</v>
      </c>
    </row>
    <row r="330" spans="3:37" ht="13.5">
      <c r="C330" s="641" t="s">
        <v>84</v>
      </c>
      <c r="D330" s="642">
        <v>0</v>
      </c>
      <c r="E330" s="642">
        <v>0</v>
      </c>
      <c r="F330" s="642">
        <v>109.69308299672531</v>
      </c>
      <c r="G330" s="642">
        <v>11.766175832538266</v>
      </c>
      <c r="H330" s="642">
        <v>0</v>
      </c>
      <c r="I330" s="642">
        <v>0</v>
      </c>
      <c r="J330" s="642">
        <v>0</v>
      </c>
      <c r="K330" s="642">
        <v>0</v>
      </c>
      <c r="L330" s="642">
        <v>0</v>
      </c>
      <c r="M330" s="642">
        <v>0</v>
      </c>
      <c r="N330" s="642">
        <v>0</v>
      </c>
      <c r="O330" s="642">
        <v>0</v>
      </c>
      <c r="P330" s="642">
        <v>0</v>
      </c>
      <c r="Q330" s="642">
        <v>0</v>
      </c>
      <c r="R330" s="642">
        <v>1.8135973700674786</v>
      </c>
      <c r="S330" s="650">
        <v>123.27285619933106</v>
      </c>
      <c r="U330" s="641" t="s">
        <v>84</v>
      </c>
      <c r="V330" s="642">
        <v>0</v>
      </c>
      <c r="W330" s="642">
        <v>0</v>
      </c>
      <c r="X330" s="642">
        <v>84.298528713313246</v>
      </c>
      <c r="Y330" s="642">
        <v>1.1302347010557652</v>
      </c>
      <c r="Z330" s="642">
        <v>0</v>
      </c>
      <c r="AA330" s="642">
        <v>0</v>
      </c>
      <c r="AB330" s="642">
        <v>0</v>
      </c>
      <c r="AC330" s="642">
        <v>0</v>
      </c>
      <c r="AD330" s="642">
        <v>17.754065118408207</v>
      </c>
      <c r="AE330" s="642">
        <v>0</v>
      </c>
      <c r="AF330" s="642">
        <v>0</v>
      </c>
      <c r="AG330" s="642">
        <v>0</v>
      </c>
      <c r="AH330" s="642">
        <v>0</v>
      </c>
      <c r="AI330" s="642">
        <v>0</v>
      </c>
      <c r="AJ330" s="642">
        <v>11.930622290039064</v>
      </c>
      <c r="AK330" s="650">
        <v>115.11345082281629</v>
      </c>
    </row>
    <row r="331" spans="3:37" ht="13.5">
      <c r="C331" s="646" t="s">
        <v>85</v>
      </c>
      <c r="D331" s="647">
        <v>5.4657298257742912</v>
      </c>
      <c r="E331" s="647">
        <v>0</v>
      </c>
      <c r="F331" s="647">
        <v>433.69579057037924</v>
      </c>
      <c r="G331" s="647">
        <v>286.9694570608591</v>
      </c>
      <c r="H331" s="647">
        <v>0</v>
      </c>
      <c r="I331" s="647">
        <v>0</v>
      </c>
      <c r="J331" s="647">
        <v>114.6393068570419</v>
      </c>
      <c r="K331" s="647">
        <v>1.7860154914285227</v>
      </c>
      <c r="L331" s="647">
        <v>28.042343403554419</v>
      </c>
      <c r="M331" s="647">
        <v>5.6349675449245389</v>
      </c>
      <c r="N331" s="647">
        <v>62.897832024028709</v>
      </c>
      <c r="O331" s="647">
        <v>2.8391181780509842</v>
      </c>
      <c r="P331" s="647">
        <v>506.18747931527582</v>
      </c>
      <c r="Q331" s="647">
        <v>35.164036653103793</v>
      </c>
      <c r="R331" s="647">
        <v>4.094104603252811</v>
      </c>
      <c r="S331" s="647">
        <v>1487.4161815276743</v>
      </c>
      <c r="U331" s="646" t="s">
        <v>85</v>
      </c>
      <c r="V331" s="647">
        <v>1.0762581410403587</v>
      </c>
      <c r="W331" s="647">
        <v>0</v>
      </c>
      <c r="X331" s="647">
        <v>165.28736106222476</v>
      </c>
      <c r="Y331" s="647">
        <v>105.54588470845398</v>
      </c>
      <c r="Z331" s="647">
        <v>0</v>
      </c>
      <c r="AA331" s="647">
        <v>0</v>
      </c>
      <c r="AB331" s="647">
        <v>84.343834393150701</v>
      </c>
      <c r="AC331" s="647">
        <v>5.3117325596805349</v>
      </c>
      <c r="AD331" s="647">
        <v>100.13720035882396</v>
      </c>
      <c r="AE331" s="647">
        <v>44.768138339353968</v>
      </c>
      <c r="AF331" s="647">
        <v>92.901000398225491</v>
      </c>
      <c r="AG331" s="647">
        <v>6.3602365363905022</v>
      </c>
      <c r="AH331" s="647">
        <v>499.61642415532054</v>
      </c>
      <c r="AI331" s="647">
        <v>69.488948539693865</v>
      </c>
      <c r="AJ331" s="647">
        <v>23.724121611740912</v>
      </c>
      <c r="AK331" s="647">
        <v>1198.5611408040995</v>
      </c>
    </row>
    <row r="332" spans="3:37" ht="13">
      <c r="C332" s="636"/>
      <c r="D332" s="636"/>
      <c r="E332" s="636"/>
      <c r="F332" s="636"/>
      <c r="G332" s="636"/>
      <c r="H332" s="636"/>
      <c r="I332" s="636"/>
      <c r="J332" s="636"/>
      <c r="K332" s="636"/>
      <c r="L332" s="636"/>
      <c r="M332" s="636"/>
      <c r="N332" s="636"/>
      <c r="O332" s="636"/>
      <c r="P332" s="636"/>
      <c r="Q332" s="636"/>
      <c r="R332" s="636"/>
      <c r="S332" s="636"/>
      <c r="U332" s="636"/>
      <c r="V332" s="636"/>
      <c r="W332" s="636"/>
      <c r="X332" s="636"/>
      <c r="Y332" s="636"/>
      <c r="Z332" s="636"/>
      <c r="AA332" s="636"/>
      <c r="AB332" s="636"/>
      <c r="AC332" s="636"/>
      <c r="AD332" s="636"/>
      <c r="AE332" s="636"/>
      <c r="AF332" s="636"/>
      <c r="AG332" s="636"/>
      <c r="AH332" s="636"/>
      <c r="AI332" s="636"/>
      <c r="AJ332" s="636"/>
      <c r="AK332" s="636"/>
    </row>
    <row r="333" spans="3:37" ht="22.5">
      <c r="C333" s="699" t="s">
        <v>523</v>
      </c>
      <c r="D333" s="699"/>
      <c r="E333" s="699"/>
      <c r="F333" s="699"/>
      <c r="G333" s="699"/>
      <c r="H333" s="699"/>
      <c r="I333" s="699"/>
      <c r="J333" s="699"/>
      <c r="K333" s="699"/>
      <c r="L333" s="699"/>
      <c r="M333" s="699"/>
      <c r="N333" s="699"/>
      <c r="O333" s="699"/>
      <c r="P333" s="699"/>
      <c r="Q333" s="699"/>
      <c r="R333" s="699"/>
      <c r="S333" s="699"/>
      <c r="U333" s="699" t="s">
        <v>523</v>
      </c>
      <c r="V333" s="699"/>
      <c r="W333" s="699"/>
      <c r="X333" s="699"/>
      <c r="Y333" s="699"/>
      <c r="Z333" s="699"/>
      <c r="AA333" s="699"/>
      <c r="AB333" s="699"/>
      <c r="AC333" s="699"/>
      <c r="AD333" s="699"/>
      <c r="AE333" s="699"/>
      <c r="AF333" s="699"/>
      <c r="AG333" s="699"/>
      <c r="AH333" s="699"/>
      <c r="AI333" s="699"/>
      <c r="AJ333" s="699"/>
      <c r="AK333" s="699"/>
    </row>
    <row r="334" spans="3:37" ht="13">
      <c r="C334" s="636"/>
      <c r="D334" s="636"/>
      <c r="E334" s="636"/>
      <c r="F334" s="636"/>
      <c r="G334" s="636"/>
      <c r="H334" s="636"/>
      <c r="I334" s="636"/>
      <c r="J334" s="636"/>
      <c r="K334" s="636"/>
      <c r="L334" s="636"/>
      <c r="M334" s="636"/>
      <c r="N334" s="636"/>
      <c r="O334" s="636"/>
      <c r="P334" s="636"/>
      <c r="Q334" s="636"/>
      <c r="R334" s="636"/>
      <c r="S334" s="636"/>
      <c r="U334" s="636"/>
      <c r="V334" s="636"/>
      <c r="W334" s="636"/>
      <c r="X334" s="636"/>
      <c r="Y334" s="636"/>
      <c r="Z334" s="636"/>
      <c r="AA334" s="636"/>
      <c r="AB334" s="636"/>
      <c r="AC334" s="636"/>
      <c r="AD334" s="636"/>
      <c r="AE334" s="636"/>
      <c r="AF334" s="636"/>
      <c r="AG334" s="636"/>
      <c r="AH334" s="636"/>
      <c r="AI334" s="636"/>
      <c r="AJ334" s="636"/>
      <c r="AK334" s="636"/>
    </row>
    <row r="335" spans="3:37" ht="13" customHeight="1">
      <c r="C335" s="700" t="s">
        <v>128</v>
      </c>
      <c r="D335" s="701" t="s">
        <v>42</v>
      </c>
      <c r="E335" s="701" t="s">
        <v>52</v>
      </c>
      <c r="F335" s="701" t="s">
        <v>53</v>
      </c>
      <c r="G335" s="701" t="s">
        <v>32</v>
      </c>
      <c r="H335" s="701" t="s">
        <v>20</v>
      </c>
      <c r="I335" s="701" t="s">
        <v>55</v>
      </c>
      <c r="J335" s="701" t="s">
        <v>56</v>
      </c>
      <c r="K335" s="701"/>
      <c r="L335" s="701"/>
      <c r="M335" s="701"/>
      <c r="N335" s="701"/>
      <c r="O335" s="701"/>
      <c r="P335" s="701" t="s">
        <v>57</v>
      </c>
      <c r="Q335" s="701" t="s">
        <v>58</v>
      </c>
      <c r="R335" s="701" t="s">
        <v>31</v>
      </c>
      <c r="S335" s="701" t="s">
        <v>10</v>
      </c>
      <c r="U335" s="700" t="s">
        <v>128</v>
      </c>
      <c r="V335" s="701" t="s">
        <v>42</v>
      </c>
      <c r="W335" s="701" t="s">
        <v>52</v>
      </c>
      <c r="X335" s="701" t="s">
        <v>53</v>
      </c>
      <c r="Y335" s="701" t="s">
        <v>32</v>
      </c>
      <c r="Z335" s="701" t="s">
        <v>20</v>
      </c>
      <c r="AA335" s="701" t="s">
        <v>55</v>
      </c>
      <c r="AB335" s="701" t="s">
        <v>56</v>
      </c>
      <c r="AC335" s="701"/>
      <c r="AD335" s="701"/>
      <c r="AE335" s="701"/>
      <c r="AF335" s="701"/>
      <c r="AG335" s="701"/>
      <c r="AH335" s="701" t="s">
        <v>57</v>
      </c>
      <c r="AI335" s="701" t="s">
        <v>58</v>
      </c>
      <c r="AJ335" s="701" t="s">
        <v>31</v>
      </c>
      <c r="AK335" s="701" t="s">
        <v>10</v>
      </c>
    </row>
    <row r="336" spans="3:37" ht="46">
      <c r="C336" s="700"/>
      <c r="D336" s="701"/>
      <c r="E336" s="701"/>
      <c r="F336" s="701"/>
      <c r="G336" s="701"/>
      <c r="H336" s="701"/>
      <c r="I336" s="701"/>
      <c r="J336" s="640" t="s">
        <v>338</v>
      </c>
      <c r="K336" s="640" t="s">
        <v>40</v>
      </c>
      <c r="L336" s="640" t="s">
        <v>346</v>
      </c>
      <c r="M336" s="640" t="s">
        <v>347</v>
      </c>
      <c r="N336" s="640" t="s">
        <v>348</v>
      </c>
      <c r="O336" s="640" t="s">
        <v>349</v>
      </c>
      <c r="P336" s="701"/>
      <c r="Q336" s="701"/>
      <c r="R336" s="701"/>
      <c r="S336" s="701"/>
      <c r="U336" s="700"/>
      <c r="V336" s="701"/>
      <c r="W336" s="701"/>
      <c r="X336" s="701"/>
      <c r="Y336" s="701"/>
      <c r="Z336" s="701"/>
      <c r="AA336" s="701"/>
      <c r="AB336" s="640" t="s">
        <v>338</v>
      </c>
      <c r="AC336" s="640" t="s">
        <v>40</v>
      </c>
      <c r="AD336" s="640" t="s">
        <v>346</v>
      </c>
      <c r="AE336" s="640" t="s">
        <v>347</v>
      </c>
      <c r="AF336" s="640" t="s">
        <v>348</v>
      </c>
      <c r="AG336" s="640" t="s">
        <v>349</v>
      </c>
      <c r="AH336" s="701"/>
      <c r="AI336" s="701"/>
      <c r="AJ336" s="701"/>
      <c r="AK336" s="701"/>
    </row>
    <row r="337" spans="3:37" ht="13.5">
      <c r="C337" s="641" t="s">
        <v>59</v>
      </c>
      <c r="D337" s="642">
        <v>0</v>
      </c>
      <c r="E337" s="643">
        <v>0</v>
      </c>
      <c r="F337" s="643">
        <v>0</v>
      </c>
      <c r="G337" s="642">
        <v>0</v>
      </c>
      <c r="H337" s="643">
        <v>889.54545454545473</v>
      </c>
      <c r="I337" s="643">
        <v>290.38619522472999</v>
      </c>
      <c r="J337" s="643">
        <v>188.26463769943669</v>
      </c>
      <c r="K337" s="643">
        <v>20.519346122490408</v>
      </c>
      <c r="L337" s="643">
        <v>0.54648995449606019</v>
      </c>
      <c r="M337" s="643">
        <v>0.15914693380563083</v>
      </c>
      <c r="N337" s="643">
        <v>65.898689554178929</v>
      </c>
      <c r="O337" s="643">
        <v>11.930124482632028</v>
      </c>
      <c r="P337" s="644">
        <v>0</v>
      </c>
      <c r="Q337" s="643">
        <v>0</v>
      </c>
      <c r="R337" s="643">
        <v>0</v>
      </c>
      <c r="S337" s="645">
        <v>1467.2500845172242</v>
      </c>
      <c r="U337" s="641" t="s">
        <v>59</v>
      </c>
      <c r="V337" s="642">
        <v>0</v>
      </c>
      <c r="W337" s="643">
        <v>0</v>
      </c>
      <c r="X337" s="643">
        <v>0</v>
      </c>
      <c r="Y337" s="642">
        <v>0</v>
      </c>
      <c r="Z337" s="643">
        <v>873.030303030303</v>
      </c>
      <c r="AA337" s="643">
        <v>337.06619522473</v>
      </c>
      <c r="AB337" s="643">
        <v>206.15489309499102</v>
      </c>
      <c r="AC337" s="643">
        <v>37.137182251794961</v>
      </c>
      <c r="AD337" s="643">
        <v>0.54648995449606019</v>
      </c>
      <c r="AE337" s="643">
        <v>0.15914693380563083</v>
      </c>
      <c r="AF337" s="643">
        <v>103.02458403584798</v>
      </c>
      <c r="AG337" s="643">
        <v>25.833176078824131</v>
      </c>
      <c r="AH337" s="644">
        <v>0</v>
      </c>
      <c r="AI337" s="643">
        <v>0</v>
      </c>
      <c r="AJ337" s="643">
        <v>0</v>
      </c>
      <c r="AK337" s="645">
        <v>1582.9519706047927</v>
      </c>
    </row>
    <row r="338" spans="3:37" ht="13.5">
      <c r="C338" s="641" t="s">
        <v>60</v>
      </c>
      <c r="D338" s="642">
        <v>47.523331421865407</v>
      </c>
      <c r="E338" s="643">
        <v>492.37419513671523</v>
      </c>
      <c r="F338" s="643">
        <v>57.352326080251387</v>
      </c>
      <c r="G338" s="642">
        <v>328.8885225556333</v>
      </c>
      <c r="H338" s="643">
        <v>0</v>
      </c>
      <c r="I338" s="643">
        <v>0</v>
      </c>
      <c r="J338" s="643">
        <v>4.8075322078390377</v>
      </c>
      <c r="K338" s="643">
        <v>0</v>
      </c>
      <c r="L338" s="643">
        <v>2.6229179175778925</v>
      </c>
      <c r="M338" s="643">
        <v>0</v>
      </c>
      <c r="N338" s="643">
        <v>0</v>
      </c>
      <c r="O338" s="643">
        <v>0</v>
      </c>
      <c r="P338" s="644">
        <v>0</v>
      </c>
      <c r="Q338" s="643">
        <v>0</v>
      </c>
      <c r="R338" s="643">
        <v>0</v>
      </c>
      <c r="S338" s="645">
        <v>933.56882531988219</v>
      </c>
      <c r="U338" s="641" t="s">
        <v>60</v>
      </c>
      <c r="V338" s="642">
        <v>6.5260336126681251</v>
      </c>
      <c r="W338" s="643">
        <v>220.47790015098695</v>
      </c>
      <c r="X338" s="643">
        <v>14.513856185365357</v>
      </c>
      <c r="Y338" s="642">
        <v>102.1346675179243</v>
      </c>
      <c r="Z338" s="643">
        <v>0</v>
      </c>
      <c r="AA338" s="643">
        <v>0</v>
      </c>
      <c r="AB338" s="643">
        <v>4.8075322078390377</v>
      </c>
      <c r="AC338" s="643">
        <v>0</v>
      </c>
      <c r="AD338" s="643">
        <v>2.6229179175778925</v>
      </c>
      <c r="AE338" s="643">
        <v>0</v>
      </c>
      <c r="AF338" s="643">
        <v>0</v>
      </c>
      <c r="AG338" s="643">
        <v>0</v>
      </c>
      <c r="AH338" s="644">
        <v>0</v>
      </c>
      <c r="AI338" s="643">
        <v>0</v>
      </c>
      <c r="AJ338" s="643">
        <v>0</v>
      </c>
      <c r="AK338" s="645">
        <v>351.08290759236166</v>
      </c>
    </row>
    <row r="339" spans="3:37" ht="13.5">
      <c r="C339" s="641" t="s">
        <v>61</v>
      </c>
      <c r="D339" s="642">
        <v>0</v>
      </c>
      <c r="E339" s="643">
        <v>0</v>
      </c>
      <c r="F339" s="643">
        <v>0</v>
      </c>
      <c r="G339" s="642">
        <v>0</v>
      </c>
      <c r="H339" s="643">
        <v>0</v>
      </c>
      <c r="I339" s="643">
        <v>0</v>
      </c>
      <c r="J339" s="643">
        <v>0</v>
      </c>
      <c r="K339" s="643">
        <v>0</v>
      </c>
      <c r="L339" s="643">
        <v>0</v>
      </c>
      <c r="M339" s="643">
        <v>0</v>
      </c>
      <c r="N339" s="643">
        <v>0</v>
      </c>
      <c r="O339" s="643">
        <v>0</v>
      </c>
      <c r="P339" s="644">
        <v>-22.391147784534837</v>
      </c>
      <c r="Q339" s="643">
        <v>0</v>
      </c>
      <c r="R339" s="643">
        <v>0</v>
      </c>
      <c r="S339" s="645">
        <v>-22.391147784534837</v>
      </c>
      <c r="U339" s="641" t="s">
        <v>61</v>
      </c>
      <c r="V339" s="642">
        <v>0</v>
      </c>
      <c r="W339" s="643">
        <v>0</v>
      </c>
      <c r="X339" s="643">
        <v>-19.691193817618341</v>
      </c>
      <c r="Y339" s="642">
        <v>0</v>
      </c>
      <c r="Z339" s="643">
        <v>0</v>
      </c>
      <c r="AA339" s="643">
        <v>0</v>
      </c>
      <c r="AB339" s="643">
        <v>0</v>
      </c>
      <c r="AC339" s="643">
        <v>0</v>
      </c>
      <c r="AD339" s="643">
        <v>0</v>
      </c>
      <c r="AE339" s="643">
        <v>0</v>
      </c>
      <c r="AF339" s="643">
        <v>0</v>
      </c>
      <c r="AG339" s="643">
        <v>0</v>
      </c>
      <c r="AH339" s="644">
        <v>-17.389600315785174</v>
      </c>
      <c r="AI339" s="643">
        <v>0</v>
      </c>
      <c r="AJ339" s="643">
        <v>0</v>
      </c>
      <c r="AK339" s="645">
        <v>-37.080794133403515</v>
      </c>
    </row>
    <row r="340" spans="3:37" ht="13.5">
      <c r="C340" s="641" t="s">
        <v>62</v>
      </c>
      <c r="D340" s="642">
        <v>0</v>
      </c>
      <c r="E340" s="643">
        <v>0</v>
      </c>
      <c r="F340" s="643">
        <v>-15.496739011683466</v>
      </c>
      <c r="G340" s="642">
        <v>0</v>
      </c>
      <c r="H340" s="643">
        <v>0</v>
      </c>
      <c r="I340" s="643">
        <v>0</v>
      </c>
      <c r="J340" s="643">
        <v>0</v>
      </c>
      <c r="K340" s="643">
        <v>0</v>
      </c>
      <c r="L340" s="643">
        <v>0</v>
      </c>
      <c r="M340" s="643">
        <v>0</v>
      </c>
      <c r="N340" s="643">
        <v>0</v>
      </c>
      <c r="O340" s="643">
        <v>0</v>
      </c>
      <c r="P340" s="644">
        <v>0</v>
      </c>
      <c r="Q340" s="643">
        <v>0</v>
      </c>
      <c r="R340" s="643">
        <v>0</v>
      </c>
      <c r="S340" s="645">
        <v>-15.496739011683466</v>
      </c>
      <c r="U340" s="641" t="s">
        <v>62</v>
      </c>
      <c r="V340" s="642">
        <v>0</v>
      </c>
      <c r="W340" s="643">
        <v>0</v>
      </c>
      <c r="X340" s="643">
        <v>-8.5387827474702789</v>
      </c>
      <c r="Y340" s="642">
        <v>-2.2272473327152178</v>
      </c>
      <c r="Z340" s="643">
        <v>0</v>
      </c>
      <c r="AA340" s="643">
        <v>0</v>
      </c>
      <c r="AB340" s="643">
        <v>0</v>
      </c>
      <c r="AC340" s="643">
        <v>0</v>
      </c>
      <c r="AD340" s="643">
        <v>0</v>
      </c>
      <c r="AE340" s="643">
        <v>-1.7037211969591732</v>
      </c>
      <c r="AF340" s="643">
        <v>0</v>
      </c>
      <c r="AG340" s="643">
        <v>0</v>
      </c>
      <c r="AH340" s="644">
        <v>0</v>
      </c>
      <c r="AI340" s="643">
        <v>0</v>
      </c>
      <c r="AJ340" s="643">
        <v>0</v>
      </c>
      <c r="AK340" s="645">
        <v>-12.46975127714467</v>
      </c>
    </row>
    <row r="341" spans="3:37" ht="13.5">
      <c r="C341" s="641" t="s">
        <v>63</v>
      </c>
      <c r="D341" s="642">
        <v>0</v>
      </c>
      <c r="E341" s="643">
        <v>0</v>
      </c>
      <c r="F341" s="643">
        <v>-89.42656352071144</v>
      </c>
      <c r="G341" s="642">
        <v>0</v>
      </c>
      <c r="H341" s="643">
        <v>0</v>
      </c>
      <c r="I341" s="643">
        <v>0</v>
      </c>
      <c r="J341" s="643">
        <v>0</v>
      </c>
      <c r="K341" s="643">
        <v>0</v>
      </c>
      <c r="L341" s="643">
        <v>-0.92190198395554845</v>
      </c>
      <c r="M341" s="643">
        <v>0</v>
      </c>
      <c r="N341" s="643">
        <v>0</v>
      </c>
      <c r="O341" s="643">
        <v>0</v>
      </c>
      <c r="P341" s="644">
        <v>0</v>
      </c>
      <c r="Q341" s="643">
        <v>0</v>
      </c>
      <c r="R341" s="643">
        <v>0</v>
      </c>
      <c r="S341" s="645">
        <v>-90.34846550466699</v>
      </c>
      <c r="U341" s="641" t="s">
        <v>63</v>
      </c>
      <c r="V341" s="642">
        <v>0</v>
      </c>
      <c r="W341" s="643">
        <v>0</v>
      </c>
      <c r="X341" s="643">
        <v>-55.486888716289528</v>
      </c>
      <c r="Y341" s="642">
        <v>0</v>
      </c>
      <c r="Z341" s="643">
        <v>0</v>
      </c>
      <c r="AA341" s="643">
        <v>0</v>
      </c>
      <c r="AB341" s="643">
        <v>0</v>
      </c>
      <c r="AC341" s="643">
        <v>0</v>
      </c>
      <c r="AD341" s="643">
        <v>-26.575233608452013</v>
      </c>
      <c r="AE341" s="643">
        <v>0</v>
      </c>
      <c r="AF341" s="643">
        <v>0</v>
      </c>
      <c r="AG341" s="643">
        <v>0</v>
      </c>
      <c r="AH341" s="644">
        <v>0</v>
      </c>
      <c r="AI341" s="643">
        <v>0</v>
      </c>
      <c r="AJ341" s="643">
        <v>0</v>
      </c>
      <c r="AK341" s="645">
        <v>-82.062122324741537</v>
      </c>
    </row>
    <row r="342" spans="3:37" ht="13.5">
      <c r="C342" s="641" t="s">
        <v>64</v>
      </c>
      <c r="D342" s="642">
        <v>0</v>
      </c>
      <c r="E342" s="643">
        <v>0</v>
      </c>
      <c r="F342" s="643">
        <v>0</v>
      </c>
      <c r="G342" s="642">
        <v>0</v>
      </c>
      <c r="H342" s="643">
        <v>0</v>
      </c>
      <c r="I342" s="643">
        <v>0</v>
      </c>
      <c r="J342" s="643">
        <v>0</v>
      </c>
      <c r="K342" s="643">
        <v>0</v>
      </c>
      <c r="L342" s="643">
        <v>0</v>
      </c>
      <c r="M342" s="643">
        <v>0</v>
      </c>
      <c r="N342" s="643">
        <v>0</v>
      </c>
      <c r="O342" s="643">
        <v>0</v>
      </c>
      <c r="P342" s="644">
        <v>0</v>
      </c>
      <c r="Q342" s="643">
        <v>0</v>
      </c>
      <c r="R342" s="643">
        <v>0</v>
      </c>
      <c r="S342" s="645">
        <v>0</v>
      </c>
      <c r="U342" s="641" t="s">
        <v>64</v>
      </c>
      <c r="V342" s="642">
        <v>0</v>
      </c>
      <c r="W342" s="643">
        <v>0</v>
      </c>
      <c r="X342" s="643">
        <v>0</v>
      </c>
      <c r="Y342" s="642">
        <v>0</v>
      </c>
      <c r="Z342" s="643">
        <v>0</v>
      </c>
      <c r="AA342" s="643">
        <v>0</v>
      </c>
      <c r="AB342" s="643">
        <v>0</v>
      </c>
      <c r="AC342" s="643">
        <v>0</v>
      </c>
      <c r="AD342" s="643">
        <v>0</v>
      </c>
      <c r="AE342" s="643">
        <v>0</v>
      </c>
      <c r="AF342" s="643">
        <v>0</v>
      </c>
      <c r="AG342" s="643">
        <v>0</v>
      </c>
      <c r="AH342" s="644">
        <v>0</v>
      </c>
      <c r="AI342" s="643">
        <v>0</v>
      </c>
      <c r="AJ342" s="643">
        <v>0</v>
      </c>
      <c r="AK342" s="645">
        <v>0</v>
      </c>
    </row>
    <row r="343" spans="3:37" ht="13.5">
      <c r="C343" s="646" t="s">
        <v>65</v>
      </c>
      <c r="D343" s="647">
        <v>47.523331421865407</v>
      </c>
      <c r="E343" s="647">
        <v>492.37419513671523</v>
      </c>
      <c r="F343" s="647">
        <v>-47.570976452143519</v>
      </c>
      <c r="G343" s="647">
        <v>328.8885225556333</v>
      </c>
      <c r="H343" s="647">
        <v>889.54545454545473</v>
      </c>
      <c r="I343" s="647">
        <v>290.38619522472999</v>
      </c>
      <c r="J343" s="647">
        <v>193.07216990727574</v>
      </c>
      <c r="K343" s="647">
        <v>20.519346122490408</v>
      </c>
      <c r="L343" s="647">
        <v>2.247505888118404</v>
      </c>
      <c r="M343" s="647">
        <v>0.15914693380563083</v>
      </c>
      <c r="N343" s="647">
        <v>65.898689554178929</v>
      </c>
      <c r="O343" s="647">
        <v>11.930124482632028</v>
      </c>
      <c r="P343" s="647">
        <v>-22.391147784534837</v>
      </c>
      <c r="Q343" s="647">
        <v>0</v>
      </c>
      <c r="R343" s="647">
        <v>0</v>
      </c>
      <c r="S343" s="647">
        <v>2272.5825575362214</v>
      </c>
      <c r="U343" s="646" t="s">
        <v>65</v>
      </c>
      <c r="V343" s="647">
        <v>6.5260336126681251</v>
      </c>
      <c r="W343" s="647">
        <v>220.47790015098695</v>
      </c>
      <c r="X343" s="647">
        <v>-69.203009096012792</v>
      </c>
      <c r="Y343" s="647">
        <v>99.907420185209077</v>
      </c>
      <c r="Z343" s="647">
        <v>873.030303030303</v>
      </c>
      <c r="AA343" s="647">
        <v>337.06619522473</v>
      </c>
      <c r="AB343" s="647">
        <v>210.96242530283007</v>
      </c>
      <c r="AC343" s="647">
        <v>37.137182251794961</v>
      </c>
      <c r="AD343" s="647">
        <v>-23.405825736378059</v>
      </c>
      <c r="AE343" s="647">
        <v>-1.5445742631535424</v>
      </c>
      <c r="AF343" s="647">
        <v>103.02458403584798</v>
      </c>
      <c r="AG343" s="647">
        <v>25.833176078824131</v>
      </c>
      <c r="AH343" s="647">
        <v>-17.389600315785174</v>
      </c>
      <c r="AI343" s="647">
        <v>0</v>
      </c>
      <c r="AJ343" s="647">
        <v>0</v>
      </c>
      <c r="AK343" s="647">
        <v>1802.4222104618648</v>
      </c>
    </row>
    <row r="344" spans="3:37" ht="13">
      <c r="C344" s="636"/>
      <c r="D344" s="636">
        <v>0</v>
      </c>
      <c r="E344" s="636">
        <v>0</v>
      </c>
      <c r="F344" s="636">
        <v>0</v>
      </c>
      <c r="G344" s="636">
        <v>0</v>
      </c>
      <c r="H344" s="636">
        <v>0</v>
      </c>
      <c r="I344" s="636">
        <v>0</v>
      </c>
      <c r="J344" s="636">
        <v>0</v>
      </c>
      <c r="K344" s="636">
        <v>0</v>
      </c>
      <c r="L344" s="636">
        <v>0</v>
      </c>
      <c r="M344" s="636">
        <v>0</v>
      </c>
      <c r="N344" s="636">
        <v>0</v>
      </c>
      <c r="O344" s="636">
        <v>0</v>
      </c>
      <c r="P344" s="636">
        <v>0</v>
      </c>
      <c r="Q344" s="636">
        <v>0</v>
      </c>
      <c r="R344" s="636">
        <v>0</v>
      </c>
      <c r="S344" s="636">
        <v>0</v>
      </c>
      <c r="U344" s="636"/>
      <c r="V344" s="636">
        <v>0</v>
      </c>
      <c r="W344" s="636">
        <v>0</v>
      </c>
      <c r="X344" s="636">
        <v>0</v>
      </c>
      <c r="Y344" s="636">
        <v>0</v>
      </c>
      <c r="Z344" s="636">
        <v>0</v>
      </c>
      <c r="AA344" s="636">
        <v>0</v>
      </c>
      <c r="AB344" s="636">
        <v>0</v>
      </c>
      <c r="AC344" s="636">
        <v>0</v>
      </c>
      <c r="AD344" s="636">
        <v>0</v>
      </c>
      <c r="AE344" s="636">
        <v>0</v>
      </c>
      <c r="AF344" s="636">
        <v>0</v>
      </c>
      <c r="AG344" s="636">
        <v>0</v>
      </c>
      <c r="AH344" s="636">
        <v>0</v>
      </c>
      <c r="AI344" s="636">
        <v>0</v>
      </c>
      <c r="AJ344" s="636">
        <v>0</v>
      </c>
      <c r="AK344" s="636">
        <v>0</v>
      </c>
    </row>
    <row r="345" spans="3:37" ht="13.5">
      <c r="C345" s="648" t="s">
        <v>67</v>
      </c>
      <c r="D345" s="642">
        <v>0</v>
      </c>
      <c r="E345" s="649">
        <v>0</v>
      </c>
      <c r="F345" s="649">
        <v>0</v>
      </c>
      <c r="G345" s="642">
        <v>0</v>
      </c>
      <c r="H345" s="642">
        <v>0</v>
      </c>
      <c r="I345" s="642">
        <v>0</v>
      </c>
      <c r="J345" s="642">
        <v>0</v>
      </c>
      <c r="K345" s="642">
        <v>0</v>
      </c>
      <c r="L345" s="642">
        <v>0</v>
      </c>
      <c r="M345" s="642">
        <v>0</v>
      </c>
      <c r="N345" s="642">
        <v>0</v>
      </c>
      <c r="O345" s="642">
        <v>0</v>
      </c>
      <c r="P345" s="642">
        <v>0</v>
      </c>
      <c r="Q345" s="642">
        <v>0</v>
      </c>
      <c r="R345" s="642">
        <v>0</v>
      </c>
      <c r="S345" s="650">
        <v>0</v>
      </c>
      <c r="U345" s="648" t="s">
        <v>67</v>
      </c>
      <c r="V345" s="642">
        <v>0</v>
      </c>
      <c r="W345" s="649">
        <v>0</v>
      </c>
      <c r="X345" s="649">
        <v>0</v>
      </c>
      <c r="Y345" s="642">
        <v>0</v>
      </c>
      <c r="Z345" s="642">
        <v>0</v>
      </c>
      <c r="AA345" s="642">
        <v>0</v>
      </c>
      <c r="AB345" s="642">
        <v>0</v>
      </c>
      <c r="AC345" s="642">
        <v>0</v>
      </c>
      <c r="AD345" s="642">
        <v>0</v>
      </c>
      <c r="AE345" s="642">
        <v>0</v>
      </c>
      <c r="AF345" s="642">
        <v>0</v>
      </c>
      <c r="AG345" s="642">
        <v>0</v>
      </c>
      <c r="AH345" s="642">
        <v>0</v>
      </c>
      <c r="AI345" s="642">
        <v>0</v>
      </c>
      <c r="AJ345" s="642">
        <v>0</v>
      </c>
      <c r="AK345" s="650">
        <v>0</v>
      </c>
    </row>
    <row r="346" spans="3:37" ht="13.5">
      <c r="C346" s="648" t="s">
        <v>350</v>
      </c>
      <c r="D346" s="642">
        <v>2.8267856410252494</v>
      </c>
      <c r="E346" s="642">
        <v>0</v>
      </c>
      <c r="F346" s="642">
        <v>7.7625293209280457</v>
      </c>
      <c r="G346" s="642">
        <v>16.824034334763951</v>
      </c>
      <c r="H346" s="642">
        <v>889.54545454545473</v>
      </c>
      <c r="I346" s="642">
        <v>290.38619522472999</v>
      </c>
      <c r="J346" s="651">
        <v>29.234857813431841</v>
      </c>
      <c r="K346" s="651">
        <v>6.7467623730381456</v>
      </c>
      <c r="L346" s="651">
        <v>3.1694078720739522</v>
      </c>
      <c r="M346" s="651">
        <v>0.46915285357606595</v>
      </c>
      <c r="N346" s="651">
        <v>0</v>
      </c>
      <c r="O346" s="651">
        <v>6.9727309871777221</v>
      </c>
      <c r="P346" s="642">
        <v>-615.41357369902562</v>
      </c>
      <c r="Q346" s="642">
        <v>0</v>
      </c>
      <c r="R346" s="642">
        <v>0</v>
      </c>
      <c r="S346" s="650">
        <v>638.52433726717402</v>
      </c>
      <c r="U346" s="648" t="s">
        <v>350</v>
      </c>
      <c r="V346" s="642">
        <v>0.62631490545869017</v>
      </c>
      <c r="W346" s="642">
        <v>0</v>
      </c>
      <c r="X346" s="642">
        <v>3.8988929572916824</v>
      </c>
      <c r="Y346" s="642">
        <v>3.6741630901287547</v>
      </c>
      <c r="Z346" s="642">
        <v>873.030303030303</v>
      </c>
      <c r="AA346" s="642">
        <v>337.06619522473</v>
      </c>
      <c r="AB346" s="651">
        <v>23.429523439383615</v>
      </c>
      <c r="AC346" s="651">
        <v>5.4991881500691626</v>
      </c>
      <c r="AD346" s="651">
        <v>3.1694078720739522</v>
      </c>
      <c r="AE346" s="651">
        <v>2.7864060724601858</v>
      </c>
      <c r="AF346" s="651">
        <v>0</v>
      </c>
      <c r="AG346" s="651">
        <v>6.9727309871777221</v>
      </c>
      <c r="AH346" s="642">
        <v>-649.11357369902544</v>
      </c>
      <c r="AI346" s="642">
        <v>0</v>
      </c>
      <c r="AJ346" s="642">
        <v>4.45</v>
      </c>
      <c r="AK346" s="650">
        <v>615.48955203005141</v>
      </c>
    </row>
    <row r="347" spans="3:37" ht="13.5">
      <c r="C347" s="648" t="s">
        <v>351</v>
      </c>
      <c r="D347" s="642">
        <v>0</v>
      </c>
      <c r="E347" s="642">
        <v>0</v>
      </c>
      <c r="F347" s="642">
        <v>0</v>
      </c>
      <c r="G347" s="642">
        <v>14.896462034387394</v>
      </c>
      <c r="H347" s="642">
        <v>0</v>
      </c>
      <c r="I347" s="642">
        <v>0</v>
      </c>
      <c r="J347" s="651">
        <v>12.461036592610267</v>
      </c>
      <c r="K347" s="651">
        <v>11.927183871567582</v>
      </c>
      <c r="L347" s="651">
        <v>0</v>
      </c>
      <c r="M347" s="651">
        <v>0.3188738120209938</v>
      </c>
      <c r="N347" s="651">
        <v>0</v>
      </c>
      <c r="O347" s="651">
        <v>2.1085025260592274</v>
      </c>
      <c r="P347" s="642">
        <v>0</v>
      </c>
      <c r="Q347" s="642">
        <v>-37.934258390495422</v>
      </c>
      <c r="R347" s="642">
        <v>0</v>
      </c>
      <c r="S347" s="650">
        <v>3.7778004461500441</v>
      </c>
      <c r="U347" s="648" t="s">
        <v>351</v>
      </c>
      <c r="V347" s="642">
        <v>0</v>
      </c>
      <c r="W347" s="642">
        <v>0</v>
      </c>
      <c r="X347" s="642">
        <v>0</v>
      </c>
      <c r="Y347" s="642">
        <v>8.218662070491261</v>
      </c>
      <c r="Z347" s="642">
        <v>0</v>
      </c>
      <c r="AA347" s="642">
        <v>0</v>
      </c>
      <c r="AB347" s="651">
        <v>28.560818034272483</v>
      </c>
      <c r="AC347" s="651">
        <v>26.163217208510932</v>
      </c>
      <c r="AD347" s="651">
        <v>0</v>
      </c>
      <c r="AE347" s="651">
        <v>5.9663093303449024</v>
      </c>
      <c r="AF347" s="651">
        <v>0</v>
      </c>
      <c r="AG347" s="651">
        <v>11.832895483778962</v>
      </c>
      <c r="AH347" s="642">
        <v>0</v>
      </c>
      <c r="AI347" s="642">
        <v>-74.578675527513624</v>
      </c>
      <c r="AJ347" s="642">
        <v>0</v>
      </c>
      <c r="AK347" s="650">
        <v>6.1632265998849274</v>
      </c>
    </row>
    <row r="348" spans="3:37" ht="13.5">
      <c r="C348" s="648" t="s">
        <v>352</v>
      </c>
      <c r="D348" s="642">
        <v>0</v>
      </c>
      <c r="E348" s="642">
        <v>0</v>
      </c>
      <c r="F348" s="642">
        <v>0</v>
      </c>
      <c r="G348" s="642">
        <v>0</v>
      </c>
      <c r="H348" s="642">
        <v>0</v>
      </c>
      <c r="I348" s="642">
        <v>0</v>
      </c>
      <c r="J348" s="652">
        <v>6.9979956174374891</v>
      </c>
      <c r="K348" s="652">
        <v>0</v>
      </c>
      <c r="L348" s="652">
        <v>0</v>
      </c>
      <c r="M348" s="652">
        <v>-6.4748954450340372</v>
      </c>
      <c r="N348" s="652">
        <v>0</v>
      </c>
      <c r="O348" s="652">
        <v>0</v>
      </c>
      <c r="P348" s="642">
        <v>0</v>
      </c>
      <c r="Q348" s="642">
        <v>0</v>
      </c>
      <c r="R348" s="642">
        <v>0</v>
      </c>
      <c r="S348" s="650">
        <v>0.52310017240345186</v>
      </c>
      <c r="U348" s="648" t="s">
        <v>352</v>
      </c>
      <c r="V348" s="642">
        <v>0</v>
      </c>
      <c r="W348" s="642">
        <v>0</v>
      </c>
      <c r="X348" s="642">
        <v>0</v>
      </c>
      <c r="Y348" s="642">
        <v>0</v>
      </c>
      <c r="Z348" s="642">
        <v>0</v>
      </c>
      <c r="AA348" s="642">
        <v>0</v>
      </c>
      <c r="AB348" s="652">
        <v>79.198989478899776</v>
      </c>
      <c r="AC348" s="652">
        <v>0</v>
      </c>
      <c r="AD348" s="652">
        <v>0</v>
      </c>
      <c r="AE348" s="652">
        <v>-73.278865015352025</v>
      </c>
      <c r="AF348" s="652">
        <v>0</v>
      </c>
      <c r="AG348" s="652">
        <v>0</v>
      </c>
      <c r="AH348" s="642">
        <v>0</v>
      </c>
      <c r="AI348" s="642">
        <v>0</v>
      </c>
      <c r="AJ348" s="642">
        <v>0</v>
      </c>
      <c r="AK348" s="650">
        <v>5.9201244635477508</v>
      </c>
    </row>
    <row r="349" spans="3:37" ht="13.5">
      <c r="C349" s="648" t="s">
        <v>353</v>
      </c>
      <c r="D349" s="642">
        <v>0</v>
      </c>
      <c r="E349" s="642">
        <v>0</v>
      </c>
      <c r="F349" s="642">
        <v>0</v>
      </c>
      <c r="G349" s="642">
        <v>0</v>
      </c>
      <c r="H349" s="642">
        <v>0</v>
      </c>
      <c r="I349" s="642">
        <v>0</v>
      </c>
      <c r="J349" s="642">
        <v>0</v>
      </c>
      <c r="K349" s="642">
        <v>0</v>
      </c>
      <c r="L349" s="642">
        <v>0</v>
      </c>
      <c r="M349" s="642">
        <v>0</v>
      </c>
      <c r="N349" s="642">
        <v>0</v>
      </c>
      <c r="O349" s="642">
        <v>0</v>
      </c>
      <c r="P349" s="642">
        <v>0</v>
      </c>
      <c r="Q349" s="642">
        <v>0</v>
      </c>
      <c r="R349" s="642">
        <v>0</v>
      </c>
      <c r="S349" s="650">
        <v>0</v>
      </c>
      <c r="U349" s="648" t="s">
        <v>353</v>
      </c>
      <c r="V349" s="642">
        <v>0</v>
      </c>
      <c r="W349" s="642">
        <v>0</v>
      </c>
      <c r="X349" s="642">
        <v>0</v>
      </c>
      <c r="Y349" s="642">
        <v>0</v>
      </c>
      <c r="Z349" s="642">
        <v>0</v>
      </c>
      <c r="AA349" s="642">
        <v>0</v>
      </c>
      <c r="AB349" s="642">
        <v>0</v>
      </c>
      <c r="AC349" s="642">
        <v>0</v>
      </c>
      <c r="AD349" s="642">
        <v>0</v>
      </c>
      <c r="AE349" s="642">
        <v>0</v>
      </c>
      <c r="AF349" s="642">
        <v>0</v>
      </c>
      <c r="AG349" s="642">
        <v>0</v>
      </c>
      <c r="AH349" s="642">
        <v>0</v>
      </c>
      <c r="AI349" s="642">
        <v>0</v>
      </c>
      <c r="AJ349" s="642">
        <v>0</v>
      </c>
      <c r="AK349" s="650">
        <v>0</v>
      </c>
    </row>
    <row r="350" spans="3:37" ht="13.5">
      <c r="C350" s="648" t="s">
        <v>72</v>
      </c>
      <c r="D350" s="642">
        <v>0</v>
      </c>
      <c r="E350" s="642">
        <v>510.04733530503466</v>
      </c>
      <c r="F350" s="642">
        <v>-504.94686195198432</v>
      </c>
      <c r="G350" s="642">
        <v>0</v>
      </c>
      <c r="H350" s="642">
        <v>0</v>
      </c>
      <c r="I350" s="642">
        <v>0</v>
      </c>
      <c r="J350" s="642">
        <v>0</v>
      </c>
      <c r="K350" s="642">
        <v>0</v>
      </c>
      <c r="L350" s="642">
        <v>0</v>
      </c>
      <c r="M350" s="642">
        <v>0</v>
      </c>
      <c r="N350" s="642">
        <v>0</v>
      </c>
      <c r="O350" s="642">
        <v>0</v>
      </c>
      <c r="P350" s="642">
        <v>0</v>
      </c>
      <c r="Q350" s="642">
        <v>0</v>
      </c>
      <c r="R350" s="642">
        <v>0</v>
      </c>
      <c r="S350" s="650">
        <v>5.1004733530503472</v>
      </c>
      <c r="U350" s="648" t="s">
        <v>72</v>
      </c>
      <c r="V350" s="642">
        <v>0</v>
      </c>
      <c r="W350" s="642">
        <v>228.3916715709193</v>
      </c>
      <c r="X350" s="642">
        <v>-226.10775485521012</v>
      </c>
      <c r="Y350" s="642">
        <v>0</v>
      </c>
      <c r="Z350" s="642">
        <v>0</v>
      </c>
      <c r="AA350" s="642">
        <v>0</v>
      </c>
      <c r="AB350" s="642">
        <v>0</v>
      </c>
      <c r="AC350" s="642">
        <v>0</v>
      </c>
      <c r="AD350" s="642">
        <v>0</v>
      </c>
      <c r="AE350" s="642">
        <v>0</v>
      </c>
      <c r="AF350" s="642">
        <v>0</v>
      </c>
      <c r="AG350" s="642">
        <v>0</v>
      </c>
      <c r="AH350" s="642">
        <v>0</v>
      </c>
      <c r="AI350" s="642">
        <v>0</v>
      </c>
      <c r="AJ350" s="642">
        <v>0</v>
      </c>
      <c r="AK350" s="650">
        <v>2.2839167157091822</v>
      </c>
    </row>
    <row r="351" spans="3:37" ht="13.5">
      <c r="C351" s="648" t="s">
        <v>354</v>
      </c>
      <c r="D351" s="642">
        <v>0</v>
      </c>
      <c r="E351" s="642">
        <v>0</v>
      </c>
      <c r="F351" s="642">
        <v>0</v>
      </c>
      <c r="G351" s="642">
        <v>0</v>
      </c>
      <c r="H351" s="642">
        <v>0</v>
      </c>
      <c r="I351" s="642">
        <v>0</v>
      </c>
      <c r="J351" s="642">
        <v>27.710201800923624</v>
      </c>
      <c r="K351" s="642">
        <v>0</v>
      </c>
      <c r="L351" s="642">
        <v>-27.710201800923624</v>
      </c>
      <c r="M351" s="642">
        <v>0</v>
      </c>
      <c r="N351" s="642">
        <v>0</v>
      </c>
      <c r="O351" s="642">
        <v>0</v>
      </c>
      <c r="P351" s="642">
        <v>0</v>
      </c>
      <c r="Q351" s="642">
        <v>0</v>
      </c>
      <c r="R351" s="642">
        <v>0</v>
      </c>
      <c r="S351" s="650">
        <v>0</v>
      </c>
      <c r="U351" s="648" t="s">
        <v>354</v>
      </c>
      <c r="V351" s="642">
        <v>0</v>
      </c>
      <c r="W351" s="642">
        <v>0</v>
      </c>
      <c r="X351" s="642">
        <v>0</v>
      </c>
      <c r="Y351" s="642">
        <v>0</v>
      </c>
      <c r="Z351" s="642">
        <v>0</v>
      </c>
      <c r="AA351" s="642">
        <v>0</v>
      </c>
      <c r="AB351" s="642" t="e">
        <v>#VALUE!</v>
      </c>
      <c r="AC351" s="642">
        <v>0</v>
      </c>
      <c r="AD351" s="642">
        <v>-101.17003146857277</v>
      </c>
      <c r="AE351" s="642">
        <v>0</v>
      </c>
      <c r="AF351" s="642">
        <v>0</v>
      </c>
      <c r="AG351" s="642">
        <v>0</v>
      </c>
      <c r="AH351" s="642">
        <v>0</v>
      </c>
      <c r="AI351" s="642">
        <v>0</v>
      </c>
      <c r="AJ351" s="642">
        <v>0</v>
      </c>
      <c r="AK351" s="650">
        <v>-101.17003146857277</v>
      </c>
    </row>
    <row r="352" spans="3:37" ht="13.5">
      <c r="C352" s="648" t="s">
        <v>355</v>
      </c>
      <c r="D352" s="642">
        <v>0</v>
      </c>
      <c r="E352" s="642">
        <v>0</v>
      </c>
      <c r="F352" s="642">
        <v>0</v>
      </c>
      <c r="G352" s="642">
        <v>0</v>
      </c>
      <c r="H352" s="642">
        <v>0</v>
      </c>
      <c r="I352" s="642">
        <v>0</v>
      </c>
      <c r="J352" s="642">
        <v>0</v>
      </c>
      <c r="K352" s="642">
        <v>0</v>
      </c>
      <c r="L352" s="642">
        <v>0</v>
      </c>
      <c r="M352" s="642">
        <v>0</v>
      </c>
      <c r="N352" s="642">
        <v>0</v>
      </c>
      <c r="O352" s="642">
        <v>0</v>
      </c>
      <c r="P352" s="642">
        <v>0</v>
      </c>
      <c r="Q352" s="642">
        <v>0</v>
      </c>
      <c r="R352" s="642">
        <v>0</v>
      </c>
      <c r="S352" s="650">
        <v>0</v>
      </c>
      <c r="U352" s="648" t="s">
        <v>355</v>
      </c>
      <c r="V352" s="642">
        <v>0</v>
      </c>
      <c r="W352" s="642">
        <v>0</v>
      </c>
      <c r="X352" s="642">
        <v>0</v>
      </c>
      <c r="Y352" s="642">
        <v>0</v>
      </c>
      <c r="Z352" s="642">
        <v>0</v>
      </c>
      <c r="AA352" s="642">
        <v>0</v>
      </c>
      <c r="AB352" s="642">
        <v>0</v>
      </c>
      <c r="AC352" s="642">
        <v>0</v>
      </c>
      <c r="AD352" s="642">
        <v>-18.691082885283098</v>
      </c>
      <c r="AE352" s="642">
        <v>0</v>
      </c>
      <c r="AF352" s="642">
        <v>0</v>
      </c>
      <c r="AG352" s="642">
        <v>0</v>
      </c>
      <c r="AH352" s="642">
        <v>0</v>
      </c>
      <c r="AI352" s="642">
        <v>0</v>
      </c>
      <c r="AJ352" s="642">
        <v>0</v>
      </c>
      <c r="AK352" s="650">
        <v>-18.691082885283098</v>
      </c>
    </row>
    <row r="353" spans="3:37" ht="13.5">
      <c r="C353" s="648" t="s">
        <v>73</v>
      </c>
      <c r="D353" s="642">
        <v>0</v>
      </c>
      <c r="E353" s="642">
        <v>0</v>
      </c>
      <c r="F353" s="642">
        <v>0</v>
      </c>
      <c r="G353" s="642">
        <v>6.2864428714474423</v>
      </c>
      <c r="H353" s="642">
        <v>0</v>
      </c>
      <c r="I353" s="642">
        <v>0</v>
      </c>
      <c r="J353" s="642">
        <v>0</v>
      </c>
      <c r="K353" s="642">
        <v>7.2564905248031233E-2</v>
      </c>
      <c r="L353" s="642">
        <v>0</v>
      </c>
      <c r="M353" s="642">
        <v>0.12829475247851924</v>
      </c>
      <c r="N353" s="642">
        <v>0</v>
      </c>
      <c r="O353" s="642">
        <v>0</v>
      </c>
      <c r="P353" s="642">
        <v>0.77416476914506349</v>
      </c>
      <c r="Q353" s="642">
        <v>0</v>
      </c>
      <c r="R353" s="642">
        <v>-5.0795433673621861</v>
      </c>
      <c r="S353" s="650">
        <v>2.1819239309568701</v>
      </c>
      <c r="U353" s="648" t="s">
        <v>73</v>
      </c>
      <c r="V353" s="642">
        <v>0</v>
      </c>
      <c r="W353" s="642">
        <v>0</v>
      </c>
      <c r="X353" s="642">
        <v>0</v>
      </c>
      <c r="Y353" s="642">
        <v>3.7837340239051791</v>
      </c>
      <c r="Z353" s="642">
        <v>0</v>
      </c>
      <c r="AA353" s="642">
        <v>0</v>
      </c>
      <c r="AB353" s="642">
        <v>0</v>
      </c>
      <c r="AC353" s="642">
        <v>0.46597709654004676</v>
      </c>
      <c r="AD353" s="642">
        <v>0</v>
      </c>
      <c r="AE353" s="642">
        <v>2.7399453276554748</v>
      </c>
      <c r="AF353" s="642">
        <v>0</v>
      </c>
      <c r="AG353" s="642">
        <v>0</v>
      </c>
      <c r="AH353" s="642">
        <v>39.864323859285086</v>
      </c>
      <c r="AI353" s="642">
        <v>0</v>
      </c>
      <c r="AJ353" s="642">
        <v>-32.618396757803268</v>
      </c>
      <c r="AK353" s="650">
        <v>14.235583549582522</v>
      </c>
    </row>
    <row r="354" spans="3:37" ht="13.5">
      <c r="C354" s="648" t="s">
        <v>356</v>
      </c>
      <c r="D354" s="642">
        <v>28.588592812499996</v>
      </c>
      <c r="E354" s="642">
        <v>-17.673140168319453</v>
      </c>
      <c r="F354" s="642">
        <v>23.11542347254851</v>
      </c>
      <c r="G354" s="642">
        <v>0</v>
      </c>
      <c r="H354" s="642">
        <v>0</v>
      </c>
      <c r="I354" s="642">
        <v>0</v>
      </c>
      <c r="J354" s="642">
        <v>0</v>
      </c>
      <c r="K354" s="642">
        <v>0</v>
      </c>
      <c r="L354" s="642">
        <v>0</v>
      </c>
      <c r="M354" s="642">
        <v>0</v>
      </c>
      <c r="N354" s="642">
        <v>0</v>
      </c>
      <c r="O354" s="642">
        <v>0</v>
      </c>
      <c r="P354" s="642">
        <v>0</v>
      </c>
      <c r="Q354" s="642">
        <v>0</v>
      </c>
      <c r="R354" s="642">
        <v>0</v>
      </c>
      <c r="S354" s="650">
        <v>34.030876116729054</v>
      </c>
      <c r="U354" s="648" t="s">
        <v>356</v>
      </c>
      <c r="V354" s="642">
        <v>1.7459712219238281</v>
      </c>
      <c r="W354" s="642">
        <v>-7.9137714199323552</v>
      </c>
      <c r="X354" s="642">
        <v>10.35074558875537</v>
      </c>
      <c r="Y354" s="642">
        <v>0</v>
      </c>
      <c r="Z354" s="642">
        <v>0</v>
      </c>
      <c r="AA354" s="642">
        <v>0</v>
      </c>
      <c r="AB354" s="642">
        <v>0</v>
      </c>
      <c r="AC354" s="642">
        <v>0</v>
      </c>
      <c r="AD354" s="642">
        <v>0</v>
      </c>
      <c r="AE354" s="642">
        <v>0</v>
      </c>
      <c r="AF354" s="642">
        <v>0</v>
      </c>
      <c r="AG354" s="642">
        <v>0</v>
      </c>
      <c r="AH354" s="642">
        <v>0</v>
      </c>
      <c r="AI354" s="642">
        <v>0</v>
      </c>
      <c r="AJ354" s="642">
        <v>0</v>
      </c>
      <c r="AK354" s="650">
        <v>4.182945390746843</v>
      </c>
    </row>
    <row r="355" spans="3:37" ht="13.5">
      <c r="C355" s="648" t="s">
        <v>75</v>
      </c>
      <c r="D355" s="642">
        <v>11.11778609375</v>
      </c>
      <c r="E355" s="642">
        <v>0</v>
      </c>
      <c r="F355" s="642">
        <v>17.34160940037118</v>
      </c>
      <c r="G355" s="642">
        <v>4.9484792471294465</v>
      </c>
      <c r="H355" s="642">
        <v>0</v>
      </c>
      <c r="I355" s="642">
        <v>0</v>
      </c>
      <c r="J355" s="642">
        <v>0</v>
      </c>
      <c r="K355" s="642">
        <v>0</v>
      </c>
      <c r="L355" s="642">
        <v>0</v>
      </c>
      <c r="M355" s="642">
        <v>0.10098937239039688</v>
      </c>
      <c r="N355" s="642">
        <v>0</v>
      </c>
      <c r="O355" s="642">
        <v>0</v>
      </c>
      <c r="P355" s="642">
        <v>29.08691491128284</v>
      </c>
      <c r="Q355" s="642">
        <v>0</v>
      </c>
      <c r="R355" s="642">
        <v>0</v>
      </c>
      <c r="S355" s="650">
        <v>62.595779024923864</v>
      </c>
      <c r="U355" s="648" t="s">
        <v>75</v>
      </c>
      <c r="V355" s="642">
        <v>2.938742431640625</v>
      </c>
      <c r="W355" s="642">
        <v>0</v>
      </c>
      <c r="X355" s="642">
        <v>17.34160940037118</v>
      </c>
      <c r="Y355" s="642">
        <v>2.9286917993215091</v>
      </c>
      <c r="Z355" s="642">
        <v>0</v>
      </c>
      <c r="AA355" s="642">
        <v>0</v>
      </c>
      <c r="AB355" s="642">
        <v>0</v>
      </c>
      <c r="AC355" s="642">
        <v>0</v>
      </c>
      <c r="AD355" s="642">
        <v>0</v>
      </c>
      <c r="AE355" s="642">
        <v>2.1207768201983344</v>
      </c>
      <c r="AF355" s="642">
        <v>0</v>
      </c>
      <c r="AG355" s="642">
        <v>0</v>
      </c>
      <c r="AH355" s="642">
        <v>36.505051274919204</v>
      </c>
      <c r="AI355" s="642">
        <v>0</v>
      </c>
      <c r="AJ355" s="642">
        <v>0</v>
      </c>
      <c r="AK355" s="650">
        <v>61.834871726450849</v>
      </c>
    </row>
    <row r="356" spans="3:37" ht="13.5">
      <c r="C356" s="648" t="s">
        <v>76</v>
      </c>
      <c r="D356" s="642">
        <v>0</v>
      </c>
      <c r="E356" s="642">
        <v>0</v>
      </c>
      <c r="F356" s="642">
        <v>0</v>
      </c>
      <c r="G356" s="642">
        <v>3.7620934008695794</v>
      </c>
      <c r="H356" s="642">
        <v>0</v>
      </c>
      <c r="I356" s="642">
        <v>0</v>
      </c>
      <c r="J356" s="642">
        <v>0</v>
      </c>
      <c r="K356" s="642">
        <v>0</v>
      </c>
      <c r="L356" s="642">
        <v>0</v>
      </c>
      <c r="M356" s="642">
        <v>7.6777416344277136E-2</v>
      </c>
      <c r="N356" s="642">
        <v>0</v>
      </c>
      <c r="O356" s="642">
        <v>0</v>
      </c>
      <c r="P356" s="642">
        <v>45.374638558517056</v>
      </c>
      <c r="Q356" s="642">
        <v>2.9442994019327013</v>
      </c>
      <c r="R356" s="642">
        <v>0</v>
      </c>
      <c r="S356" s="650">
        <v>52.157808777663611</v>
      </c>
      <c r="U356" s="648" t="s">
        <v>76</v>
      </c>
      <c r="V356" s="642">
        <v>0</v>
      </c>
      <c r="W356" s="642">
        <v>0</v>
      </c>
      <c r="X356" s="642">
        <v>0</v>
      </c>
      <c r="Y356" s="642">
        <v>1.1999362424874132</v>
      </c>
      <c r="Z356" s="642">
        <v>0</v>
      </c>
      <c r="AA356" s="642">
        <v>0</v>
      </c>
      <c r="AB356" s="642">
        <v>0</v>
      </c>
      <c r="AC356" s="642">
        <v>0</v>
      </c>
      <c r="AD356" s="642">
        <v>0</v>
      </c>
      <c r="AE356" s="642">
        <v>0.86891934800812698</v>
      </c>
      <c r="AF356" s="642">
        <v>0</v>
      </c>
      <c r="AG356" s="642">
        <v>0</v>
      </c>
      <c r="AH356" s="642">
        <v>48.340685132761017</v>
      </c>
      <c r="AI356" s="642">
        <v>5.7839036819230412</v>
      </c>
      <c r="AJ356" s="642">
        <v>0</v>
      </c>
      <c r="AK356" s="650">
        <v>56.193444405179591</v>
      </c>
    </row>
    <row r="357" spans="3:37" ht="13.5">
      <c r="C357" s="646" t="s">
        <v>77</v>
      </c>
      <c r="D357" s="647">
        <v>42.533164547275248</v>
      </c>
      <c r="E357" s="647">
        <v>492.37419513671523</v>
      </c>
      <c r="F357" s="647">
        <v>-456.72729975813655</v>
      </c>
      <c r="G357" s="647">
        <v>46.717511888597819</v>
      </c>
      <c r="H357" s="647">
        <v>889.54545454545473</v>
      </c>
      <c r="I357" s="647">
        <v>290.38619522472999</v>
      </c>
      <c r="J357" s="647">
        <v>76.404091824403224</v>
      </c>
      <c r="K357" s="647">
        <v>18.74651114985376</v>
      </c>
      <c r="L357" s="647">
        <v>-24.540793928849673</v>
      </c>
      <c r="M357" s="647">
        <v>-5.3808072382237846</v>
      </c>
      <c r="N357" s="647">
        <v>0</v>
      </c>
      <c r="O357" s="647">
        <v>9.0812335132369491</v>
      </c>
      <c r="P357" s="647">
        <v>-540.17785546008065</v>
      </c>
      <c r="Q357" s="647">
        <v>-34.989958988562719</v>
      </c>
      <c r="R357" s="647">
        <v>-5.0795433673621861</v>
      </c>
      <c r="S357" s="647">
        <v>798.89209908905127</v>
      </c>
      <c r="U357" s="646" t="s">
        <v>77</v>
      </c>
      <c r="V357" s="647">
        <v>5.3110285590231427</v>
      </c>
      <c r="W357" s="647">
        <v>220.47790015098695</v>
      </c>
      <c r="X357" s="647">
        <v>-194.51650690879191</v>
      </c>
      <c r="Y357" s="647">
        <v>19.805187226334116</v>
      </c>
      <c r="Z357" s="647">
        <v>873.030303030303</v>
      </c>
      <c r="AA357" s="647">
        <v>337.06619522473</v>
      </c>
      <c r="AB357" s="647">
        <v>131.18933095255588</v>
      </c>
      <c r="AC357" s="647">
        <v>32.128382455120146</v>
      </c>
      <c r="AD357" s="647">
        <v>-116.69170648178192</v>
      </c>
      <c r="AE357" s="647">
        <v>-58.796508116684997</v>
      </c>
      <c r="AF357" s="647">
        <v>0</v>
      </c>
      <c r="AG357" s="647">
        <v>18.805626470956682</v>
      </c>
      <c r="AH357" s="647">
        <v>-524.40351343206009</v>
      </c>
      <c r="AI357" s="647">
        <v>-68.794771845590574</v>
      </c>
      <c r="AJ357" s="647">
        <v>-28.168396757803269</v>
      </c>
      <c r="AK357" s="647">
        <v>646.44255052729716</v>
      </c>
    </row>
    <row r="358" spans="3:37" ht="13">
      <c r="C358" s="636"/>
      <c r="D358" s="636">
        <v>0</v>
      </c>
      <c r="E358" s="636">
        <v>0</v>
      </c>
      <c r="F358" s="636">
        <v>0</v>
      </c>
      <c r="G358" s="636">
        <v>0</v>
      </c>
      <c r="H358" s="636">
        <v>0</v>
      </c>
      <c r="I358" s="636">
        <v>0</v>
      </c>
      <c r="J358" s="636">
        <v>0</v>
      </c>
      <c r="K358" s="636">
        <v>0</v>
      </c>
      <c r="L358" s="636">
        <v>0</v>
      </c>
      <c r="M358" s="636">
        <v>0</v>
      </c>
      <c r="N358" s="636">
        <v>0</v>
      </c>
      <c r="O358" s="636">
        <v>0</v>
      </c>
      <c r="P358" s="636">
        <v>0</v>
      </c>
      <c r="Q358" s="636">
        <v>0</v>
      </c>
      <c r="R358" s="636">
        <v>0</v>
      </c>
      <c r="S358" s="636">
        <v>0</v>
      </c>
      <c r="U358" s="636"/>
      <c r="V358" s="636">
        <v>0</v>
      </c>
      <c r="W358" s="636">
        <v>0</v>
      </c>
      <c r="X358" s="636">
        <v>0</v>
      </c>
      <c r="Y358" s="636">
        <v>0</v>
      </c>
      <c r="Z358" s="636">
        <v>0</v>
      </c>
      <c r="AA358" s="636">
        <v>0</v>
      </c>
      <c r="AB358" s="636">
        <v>0</v>
      </c>
      <c r="AC358" s="636">
        <v>0</v>
      </c>
      <c r="AD358" s="636">
        <v>0</v>
      </c>
      <c r="AE358" s="636">
        <v>0</v>
      </c>
      <c r="AF358" s="636">
        <v>0</v>
      </c>
      <c r="AG358" s="636">
        <v>0</v>
      </c>
      <c r="AH358" s="636">
        <v>0</v>
      </c>
      <c r="AI358" s="636">
        <v>0</v>
      </c>
      <c r="AJ358" s="636">
        <v>0</v>
      </c>
      <c r="AK358" s="636">
        <v>0</v>
      </c>
    </row>
    <row r="359" spans="3:37" ht="13.5">
      <c r="C359" s="648" t="s">
        <v>78</v>
      </c>
      <c r="D359" s="642">
        <v>4.9901668745901624</v>
      </c>
      <c r="E359" s="642">
        <v>0</v>
      </c>
      <c r="F359" s="642">
        <v>21.091530324656198</v>
      </c>
      <c r="G359" s="642">
        <v>96.151700548391091</v>
      </c>
      <c r="H359" s="642">
        <v>0</v>
      </c>
      <c r="I359" s="642">
        <v>0</v>
      </c>
      <c r="J359" s="642">
        <v>21.387862541024852</v>
      </c>
      <c r="K359" s="642">
        <v>1.7476152779545906</v>
      </c>
      <c r="L359" s="642">
        <v>0.94211085156249985</v>
      </c>
      <c r="M359" s="642">
        <v>1.9807569399951515</v>
      </c>
      <c r="N359" s="642">
        <v>0</v>
      </c>
      <c r="O359" s="642">
        <v>3.7669078281368638E-4</v>
      </c>
      <c r="P359" s="642">
        <v>112.73505933145552</v>
      </c>
      <c r="Q359" s="642">
        <v>16.12568637832603</v>
      </c>
      <c r="R359" s="642">
        <v>0.27920700073242188</v>
      </c>
      <c r="S359" s="650">
        <v>277.43207275947128</v>
      </c>
      <c r="U359" s="648" t="s">
        <v>78</v>
      </c>
      <c r="V359" s="642">
        <v>1.2150050536449819</v>
      </c>
      <c r="W359" s="642">
        <v>0</v>
      </c>
      <c r="X359" s="642">
        <v>6.016341039248414</v>
      </c>
      <c r="Y359" s="642">
        <v>39.709503776891196</v>
      </c>
      <c r="Z359" s="642">
        <v>0</v>
      </c>
      <c r="AA359" s="642">
        <v>0</v>
      </c>
      <c r="AB359" s="642">
        <v>15.202189846170386</v>
      </c>
      <c r="AC359" s="642">
        <v>4.9835801019927617</v>
      </c>
      <c r="AD359" s="642">
        <v>5.6103854980468748</v>
      </c>
      <c r="AE359" s="642">
        <v>28.773635244370734</v>
      </c>
      <c r="AF359" s="642">
        <v>0</v>
      </c>
      <c r="AG359" s="642">
        <v>3.7669078281368638E-4</v>
      </c>
      <c r="AH359" s="642">
        <v>146.07653830614987</v>
      </c>
      <c r="AI359" s="642">
        <v>23.647869298816833</v>
      </c>
      <c r="AJ359" s="642">
        <v>7.4826708984375001</v>
      </c>
      <c r="AK359" s="650">
        <v>278.71809575455239</v>
      </c>
    </row>
    <row r="360" spans="3:37" ht="13.5">
      <c r="C360" s="648" t="s">
        <v>79</v>
      </c>
      <c r="D360" s="642">
        <v>0</v>
      </c>
      <c r="E360" s="642">
        <v>0</v>
      </c>
      <c r="F360" s="642">
        <v>235.12748928743429</v>
      </c>
      <c r="G360" s="642">
        <v>31.099379517950805</v>
      </c>
      <c r="H360" s="642">
        <v>0</v>
      </c>
      <c r="I360" s="642">
        <v>0</v>
      </c>
      <c r="J360" s="642">
        <v>0</v>
      </c>
      <c r="K360" s="642">
        <v>0</v>
      </c>
      <c r="L360" s="642">
        <v>22.716725008445675</v>
      </c>
      <c r="M360" s="642">
        <v>0.63468121465205729</v>
      </c>
      <c r="N360" s="642">
        <v>0</v>
      </c>
      <c r="O360" s="642">
        <v>0</v>
      </c>
      <c r="P360" s="642">
        <v>68.565930798083699</v>
      </c>
      <c r="Q360" s="642">
        <v>0</v>
      </c>
      <c r="R360" s="642">
        <v>2.3844112104980786</v>
      </c>
      <c r="S360" s="650">
        <v>360.52861703706463</v>
      </c>
      <c r="U360" s="648" t="s">
        <v>79</v>
      </c>
      <c r="V360" s="642">
        <v>0</v>
      </c>
      <c r="W360" s="642">
        <v>0</v>
      </c>
      <c r="X360" s="642">
        <v>35.128929389637456</v>
      </c>
      <c r="Y360" s="642">
        <v>15.137064293513523</v>
      </c>
      <c r="Z360" s="642">
        <v>0</v>
      </c>
      <c r="AA360" s="642">
        <v>0</v>
      </c>
      <c r="AB360" s="642">
        <v>0</v>
      </c>
      <c r="AC360" s="642">
        <v>0</v>
      </c>
      <c r="AD360" s="642">
        <v>37.187580566982817</v>
      </c>
      <c r="AE360" s="642">
        <v>11.036020535724948</v>
      </c>
      <c r="AF360" s="642">
        <v>0</v>
      </c>
      <c r="AG360" s="642">
        <v>0</v>
      </c>
      <c r="AH360" s="642">
        <v>89.614524523742418</v>
      </c>
      <c r="AI360" s="642">
        <v>0</v>
      </c>
      <c r="AJ360" s="642">
        <v>5.6351763144479268</v>
      </c>
      <c r="AK360" s="650">
        <v>193.73929562404911</v>
      </c>
    </row>
    <row r="361" spans="3:37" ht="13.5">
      <c r="C361" s="648" t="s">
        <v>80</v>
      </c>
      <c r="D361" s="642">
        <v>0</v>
      </c>
      <c r="E361" s="642">
        <v>0</v>
      </c>
      <c r="F361" s="642">
        <v>13.724834206032371</v>
      </c>
      <c r="G361" s="642">
        <v>79.131512261322683</v>
      </c>
      <c r="H361" s="642">
        <v>0</v>
      </c>
      <c r="I361" s="642">
        <v>0</v>
      </c>
      <c r="J361" s="642">
        <v>87.797108848078949</v>
      </c>
      <c r="K361" s="642">
        <v>0</v>
      </c>
      <c r="L361" s="642">
        <v>0</v>
      </c>
      <c r="M361" s="642">
        <v>1.6149288216596467</v>
      </c>
      <c r="N361" s="642">
        <v>57.41835645436403</v>
      </c>
      <c r="O361" s="642">
        <v>2.0533643919476137</v>
      </c>
      <c r="P361" s="642">
        <v>189.45880926265392</v>
      </c>
      <c r="Q361" s="642">
        <v>15.417775800116472</v>
      </c>
      <c r="R361" s="642">
        <v>0</v>
      </c>
      <c r="S361" s="650">
        <v>446.61669004617568</v>
      </c>
      <c r="U361" s="648" t="s">
        <v>80</v>
      </c>
      <c r="V361" s="642">
        <v>0</v>
      </c>
      <c r="W361" s="642">
        <v>0</v>
      </c>
      <c r="X361" s="642">
        <v>1.0209129157283405</v>
      </c>
      <c r="Y361" s="642">
        <v>12.832027751754538</v>
      </c>
      <c r="Z361" s="642">
        <v>0</v>
      </c>
      <c r="AA361" s="642">
        <v>0</v>
      </c>
      <c r="AB361" s="642">
        <v>53.270322236782164</v>
      </c>
      <c r="AC361" s="642">
        <v>0</v>
      </c>
      <c r="AD361" s="642">
        <v>0</v>
      </c>
      <c r="AE361" s="642">
        <v>9.2921580271325972</v>
      </c>
      <c r="AF361" s="642">
        <v>88.292344554902868</v>
      </c>
      <c r="AG361" s="642">
        <v>3.9079432862869607</v>
      </c>
      <c r="AH361" s="642">
        <v>146.88666477766319</v>
      </c>
      <c r="AI361" s="642">
        <v>32.427264426374379</v>
      </c>
      <c r="AJ361" s="642">
        <v>0</v>
      </c>
      <c r="AK361" s="650">
        <v>347.92963797662509</v>
      </c>
    </row>
    <row r="362" spans="3:37" ht="13.5">
      <c r="C362" s="648" t="s">
        <v>81</v>
      </c>
      <c r="D362" s="642">
        <v>0</v>
      </c>
      <c r="E362" s="642">
        <v>0</v>
      </c>
      <c r="F362" s="642">
        <v>3.9083972405176572</v>
      </c>
      <c r="G362" s="642">
        <v>63.089348266301698</v>
      </c>
      <c r="H362" s="642">
        <v>0</v>
      </c>
      <c r="I362" s="642">
        <v>0</v>
      </c>
      <c r="J362" s="642">
        <v>3.1804221278939271</v>
      </c>
      <c r="K362" s="642">
        <v>2.5219694682056978E-2</v>
      </c>
      <c r="L362" s="642">
        <v>0</v>
      </c>
      <c r="M362" s="642">
        <v>1.287537719720443</v>
      </c>
      <c r="N362" s="642">
        <v>8.4803330998149011</v>
      </c>
      <c r="O362" s="642">
        <v>0.72631919579288284</v>
      </c>
      <c r="P362" s="642">
        <v>140.69299872549993</v>
      </c>
      <c r="Q362" s="642">
        <v>3.4464968101202174</v>
      </c>
      <c r="R362" s="642">
        <v>0</v>
      </c>
      <c r="S362" s="650">
        <v>224.8370728803437</v>
      </c>
      <c r="U362" s="648" t="s">
        <v>81</v>
      </c>
      <c r="V362" s="642">
        <v>0</v>
      </c>
      <c r="W362" s="642">
        <v>0</v>
      </c>
      <c r="X362" s="642">
        <v>1.4952361732398858</v>
      </c>
      <c r="Y362" s="642">
        <v>10.610341518374359</v>
      </c>
      <c r="Z362" s="642">
        <v>0</v>
      </c>
      <c r="AA362" s="642">
        <v>0</v>
      </c>
      <c r="AB362" s="642">
        <v>6.9978977014468793</v>
      </c>
      <c r="AC362" s="642">
        <v>2.5219694682056978E-2</v>
      </c>
      <c r="AD362" s="642">
        <v>0</v>
      </c>
      <c r="AE362" s="642">
        <v>7.6833507546848816</v>
      </c>
      <c r="AF362" s="642">
        <v>14.732239480945108</v>
      </c>
      <c r="AG362" s="642">
        <v>1.5525732622869153</v>
      </c>
      <c r="AH362" s="642">
        <v>115.23036268987886</v>
      </c>
      <c r="AI362" s="642">
        <v>12.719638120399363</v>
      </c>
      <c r="AJ362" s="642">
        <v>0</v>
      </c>
      <c r="AK362" s="650">
        <v>171.04685939593833</v>
      </c>
    </row>
    <row r="363" spans="3:37" ht="13.5">
      <c r="C363" s="648" t="s">
        <v>82</v>
      </c>
      <c r="D363" s="642">
        <v>0</v>
      </c>
      <c r="E363" s="642">
        <v>0</v>
      </c>
      <c r="F363" s="642">
        <v>28.471648080197657</v>
      </c>
      <c r="G363" s="642">
        <v>1.0804243241036344</v>
      </c>
      <c r="H363" s="642">
        <v>0</v>
      </c>
      <c r="I363" s="642">
        <v>0</v>
      </c>
      <c r="J363" s="642">
        <v>4.3026845658747828</v>
      </c>
      <c r="K363" s="642">
        <v>0</v>
      </c>
      <c r="L363" s="642">
        <v>3.1299020072385213</v>
      </c>
      <c r="M363" s="642">
        <v>2.2049476002114991E-2</v>
      </c>
      <c r="N363" s="642">
        <v>0</v>
      </c>
      <c r="O363" s="642">
        <v>6.8830690871769351E-2</v>
      </c>
      <c r="P363" s="642">
        <v>5.9739095578527968</v>
      </c>
      <c r="Q363" s="642">
        <v>0</v>
      </c>
      <c r="R363" s="642">
        <v>0</v>
      </c>
      <c r="S363" s="650">
        <v>43.049448702141277</v>
      </c>
      <c r="U363" s="648" t="s">
        <v>82</v>
      </c>
      <c r="V363" s="642">
        <v>0</v>
      </c>
      <c r="W363" s="642">
        <v>0</v>
      </c>
      <c r="X363" s="642">
        <v>5.8604701162543282</v>
      </c>
      <c r="Y363" s="642">
        <v>0.77721189491485598</v>
      </c>
      <c r="Z363" s="642">
        <v>0</v>
      </c>
      <c r="AA363" s="642">
        <v>0</v>
      </c>
      <c r="AB363" s="642">
        <v>4.3026845658747828</v>
      </c>
      <c r="AC363" s="642">
        <v>0</v>
      </c>
      <c r="AD363" s="642">
        <v>30.776202948565647</v>
      </c>
      <c r="AE363" s="642">
        <v>0.56280861355903367</v>
      </c>
      <c r="AF363" s="642">
        <v>0</v>
      </c>
      <c r="AG363" s="642">
        <v>1.5666563685107562</v>
      </c>
      <c r="AH363" s="642">
        <v>6.0858228188406986</v>
      </c>
      <c r="AI363" s="642">
        <v>0</v>
      </c>
      <c r="AJ363" s="642">
        <v>0.36062656029870238</v>
      </c>
      <c r="AK363" s="650">
        <v>50.292483886818808</v>
      </c>
    </row>
    <row r="364" spans="3:37" ht="13.5">
      <c r="C364" s="648" t="s">
        <v>357</v>
      </c>
      <c r="D364" s="642">
        <v>0</v>
      </c>
      <c r="E364" s="642">
        <v>0</v>
      </c>
      <c r="F364" s="642">
        <v>0</v>
      </c>
      <c r="G364" s="642">
        <v>0</v>
      </c>
      <c r="H364" s="642">
        <v>0</v>
      </c>
      <c r="I364" s="642">
        <v>0</v>
      </c>
      <c r="J364" s="642">
        <v>0</v>
      </c>
      <c r="K364" s="642">
        <v>0</v>
      </c>
      <c r="L364" s="642">
        <v>0</v>
      </c>
      <c r="M364" s="642">
        <v>0</v>
      </c>
      <c r="N364" s="642">
        <v>0</v>
      </c>
      <c r="O364" s="642">
        <v>0</v>
      </c>
      <c r="P364" s="642">
        <v>0.36</v>
      </c>
      <c r="Q364" s="642">
        <v>0</v>
      </c>
      <c r="R364" s="642">
        <v>0</v>
      </c>
      <c r="S364" s="650">
        <v>0.36</v>
      </c>
      <c r="U364" s="648" t="s">
        <v>357</v>
      </c>
      <c r="V364" s="642">
        <v>0</v>
      </c>
      <c r="W364" s="642">
        <v>0</v>
      </c>
      <c r="X364" s="642">
        <v>0</v>
      </c>
      <c r="Y364" s="642">
        <v>0</v>
      </c>
      <c r="Z364" s="642">
        <v>0</v>
      </c>
      <c r="AA364" s="642">
        <v>0</v>
      </c>
      <c r="AB364" s="642">
        <v>0</v>
      </c>
      <c r="AC364" s="642">
        <v>0</v>
      </c>
      <c r="AD364" s="642">
        <v>0</v>
      </c>
      <c r="AE364" s="642">
        <v>0</v>
      </c>
      <c r="AF364" s="642">
        <v>0</v>
      </c>
      <c r="AG364" s="642">
        <v>0</v>
      </c>
      <c r="AH364" s="642">
        <v>3.12</v>
      </c>
      <c r="AI364" s="642">
        <v>0</v>
      </c>
      <c r="AJ364" s="642">
        <v>0</v>
      </c>
      <c r="AK364" s="650">
        <v>3.12</v>
      </c>
    </row>
    <row r="365" spans="3:37" ht="13.5">
      <c r="C365" s="646" t="s">
        <v>83</v>
      </c>
      <c r="D365" s="647">
        <v>4.9901668745901624</v>
      </c>
      <c r="E365" s="647">
        <v>0</v>
      </c>
      <c r="F365" s="647">
        <v>302.32389913883821</v>
      </c>
      <c r="G365" s="647">
        <v>270.55236491806994</v>
      </c>
      <c r="H365" s="647">
        <v>0</v>
      </c>
      <c r="I365" s="647">
        <v>0</v>
      </c>
      <c r="J365" s="647">
        <v>116.66807808287251</v>
      </c>
      <c r="K365" s="647">
        <v>1.7728349726366477</v>
      </c>
      <c r="L365" s="647">
        <v>26.788737867246695</v>
      </c>
      <c r="M365" s="647">
        <v>5.5399541720294136</v>
      </c>
      <c r="N365" s="647">
        <v>65.898689554178929</v>
      </c>
      <c r="O365" s="647">
        <v>2.8488909693950797</v>
      </c>
      <c r="P365" s="647">
        <v>517.78670767554593</v>
      </c>
      <c r="Q365" s="647">
        <v>34.989958988562719</v>
      </c>
      <c r="R365" s="647">
        <v>2.6636182112305002</v>
      </c>
      <c r="S365" s="647">
        <v>1352.8239014251965</v>
      </c>
      <c r="U365" s="646" t="s">
        <v>83</v>
      </c>
      <c r="V365" s="647">
        <v>1.2150050536449819</v>
      </c>
      <c r="W365" s="647">
        <v>0</v>
      </c>
      <c r="X365" s="647">
        <v>49.521889634108419</v>
      </c>
      <c r="Y365" s="647">
        <v>79.066149235448464</v>
      </c>
      <c r="Z365" s="647">
        <v>0</v>
      </c>
      <c r="AA365" s="647">
        <v>0</v>
      </c>
      <c r="AB365" s="647">
        <v>79.773094350274206</v>
      </c>
      <c r="AC365" s="647">
        <v>5.0087997966748192</v>
      </c>
      <c r="AD365" s="647">
        <v>73.574169013595338</v>
      </c>
      <c r="AE365" s="647">
        <v>57.347973175472191</v>
      </c>
      <c r="AF365" s="647">
        <v>103.02458403584798</v>
      </c>
      <c r="AG365" s="647">
        <v>7.0275496078674458</v>
      </c>
      <c r="AH365" s="647">
        <v>507.01391311627498</v>
      </c>
      <c r="AI365" s="647">
        <v>68.794771845590574</v>
      </c>
      <c r="AJ365" s="647">
        <v>13.478473773184128</v>
      </c>
      <c r="AK365" s="647">
        <v>1044.8463726379837</v>
      </c>
    </row>
    <row r="366" spans="3:37" ht="13.5">
      <c r="C366" s="641" t="s">
        <v>84</v>
      </c>
      <c r="D366" s="642">
        <v>0</v>
      </c>
      <c r="E366" s="642">
        <v>0</v>
      </c>
      <c r="F366" s="642">
        <v>106.83242416715484</v>
      </c>
      <c r="G366" s="642">
        <v>11.6186457489655</v>
      </c>
      <c r="H366" s="642">
        <v>0</v>
      </c>
      <c r="I366" s="642">
        <v>0</v>
      </c>
      <c r="J366" s="642">
        <v>0</v>
      </c>
      <c r="K366" s="642">
        <v>0</v>
      </c>
      <c r="L366" s="642">
        <v>0</v>
      </c>
      <c r="M366" s="642">
        <v>0</v>
      </c>
      <c r="N366" s="642">
        <v>0</v>
      </c>
      <c r="O366" s="642">
        <v>0</v>
      </c>
      <c r="P366" s="642">
        <v>0</v>
      </c>
      <c r="Q366" s="642">
        <v>0</v>
      </c>
      <c r="R366" s="642">
        <v>2.4159251561316859</v>
      </c>
      <c r="S366" s="650">
        <v>120.86699507225204</v>
      </c>
      <c r="U366" s="641" t="s">
        <v>84</v>
      </c>
      <c r="V366" s="642">
        <v>0</v>
      </c>
      <c r="W366" s="642">
        <v>0</v>
      </c>
      <c r="X366" s="642">
        <v>75.791608178670685</v>
      </c>
      <c r="Y366" s="642">
        <v>0.94004440148578539</v>
      </c>
      <c r="Z366" s="642">
        <v>0</v>
      </c>
      <c r="AA366" s="642">
        <v>0</v>
      </c>
      <c r="AB366" s="642">
        <v>0</v>
      </c>
      <c r="AC366" s="642">
        <v>0</v>
      </c>
      <c r="AD366" s="642">
        <v>21.99170920776367</v>
      </c>
      <c r="AE366" s="642">
        <v>0</v>
      </c>
      <c r="AF366" s="642">
        <v>0</v>
      </c>
      <c r="AG366" s="642">
        <v>0</v>
      </c>
      <c r="AH366" s="642">
        <v>0</v>
      </c>
      <c r="AI366" s="642">
        <v>0</v>
      </c>
      <c r="AJ366" s="642">
        <v>14.689922984619141</v>
      </c>
      <c r="AK366" s="650">
        <v>113.41328477253928</v>
      </c>
    </row>
    <row r="367" spans="3:37" ht="13.5">
      <c r="C367" s="646" t="s">
        <v>85</v>
      </c>
      <c r="D367" s="647">
        <v>4.9901668745901624</v>
      </c>
      <c r="E367" s="647">
        <v>0</v>
      </c>
      <c r="F367" s="647">
        <v>409.15632330599311</v>
      </c>
      <c r="G367" s="647">
        <v>282.17101066703543</v>
      </c>
      <c r="H367" s="647">
        <v>0</v>
      </c>
      <c r="I367" s="647">
        <v>0</v>
      </c>
      <c r="J367" s="647">
        <v>116.66807808287251</v>
      </c>
      <c r="K367" s="647">
        <v>1.7728349726366477</v>
      </c>
      <c r="L367" s="647">
        <v>26.788737867246695</v>
      </c>
      <c r="M367" s="647">
        <v>5.5399541720294136</v>
      </c>
      <c r="N367" s="647">
        <v>65.898689554178929</v>
      </c>
      <c r="O367" s="647">
        <v>2.8488909693950797</v>
      </c>
      <c r="P367" s="647">
        <v>517.78670767554593</v>
      </c>
      <c r="Q367" s="647">
        <v>34.989958988562719</v>
      </c>
      <c r="R367" s="647">
        <v>5.0795433673621861</v>
      </c>
      <c r="S367" s="647">
        <v>1473.6908964974484</v>
      </c>
      <c r="U367" s="646" t="s">
        <v>85</v>
      </c>
      <c r="V367" s="647">
        <v>1.2150050536449819</v>
      </c>
      <c r="W367" s="647">
        <v>0</v>
      </c>
      <c r="X367" s="647">
        <v>125.31349781277912</v>
      </c>
      <c r="Y367" s="647">
        <v>80.006193636934256</v>
      </c>
      <c r="Z367" s="647">
        <v>0</v>
      </c>
      <c r="AA367" s="647">
        <v>0</v>
      </c>
      <c r="AB367" s="647">
        <v>79.773094350274206</v>
      </c>
      <c r="AC367" s="647">
        <v>5.0087997966748192</v>
      </c>
      <c r="AD367" s="647">
        <v>95.565878221359014</v>
      </c>
      <c r="AE367" s="647">
        <v>57.347973175472191</v>
      </c>
      <c r="AF367" s="647">
        <v>103.02458403584798</v>
      </c>
      <c r="AG367" s="647">
        <v>7.0275496078674458</v>
      </c>
      <c r="AH367" s="647">
        <v>507.01391311627498</v>
      </c>
      <c r="AI367" s="647">
        <v>68.794771845590574</v>
      </c>
      <c r="AJ367" s="647">
        <v>28.168396757803269</v>
      </c>
      <c r="AK367" s="647">
        <v>1158.2596574105228</v>
      </c>
    </row>
    <row r="368" spans="3:37" ht="13">
      <c r="C368" s="636"/>
      <c r="D368" s="636"/>
      <c r="E368" s="636"/>
      <c r="F368" s="636"/>
      <c r="G368" s="636"/>
      <c r="H368" s="636"/>
      <c r="I368" s="636"/>
      <c r="J368" s="636"/>
      <c r="K368" s="636"/>
      <c r="L368" s="636"/>
      <c r="M368" s="636"/>
      <c r="N368" s="636"/>
      <c r="O368" s="636"/>
      <c r="P368" s="636"/>
      <c r="Q368" s="636"/>
      <c r="R368" s="636"/>
      <c r="S368" s="636"/>
      <c r="U368" s="636"/>
      <c r="V368" s="636"/>
      <c r="W368" s="636"/>
      <c r="X368" s="636"/>
      <c r="Y368" s="636"/>
      <c r="Z368" s="636"/>
      <c r="AA368" s="636"/>
      <c r="AB368" s="636"/>
      <c r="AC368" s="636"/>
      <c r="AD368" s="636"/>
      <c r="AE368" s="636"/>
      <c r="AF368" s="636"/>
      <c r="AG368" s="636"/>
      <c r="AH368" s="636"/>
      <c r="AI368" s="636"/>
      <c r="AJ368" s="636"/>
      <c r="AK368" s="636"/>
    </row>
    <row r="369" spans="3:37" ht="22.5">
      <c r="C369" s="699" t="s">
        <v>364</v>
      </c>
      <c r="D369" s="699"/>
      <c r="E369" s="699"/>
      <c r="F369" s="699"/>
      <c r="G369" s="699"/>
      <c r="H369" s="699"/>
      <c r="I369" s="699"/>
      <c r="J369" s="699"/>
      <c r="K369" s="699"/>
      <c r="L369" s="699"/>
      <c r="M369" s="699"/>
      <c r="N369" s="699"/>
      <c r="O369" s="699"/>
      <c r="P369" s="699"/>
      <c r="Q369" s="699"/>
      <c r="R369" s="699"/>
      <c r="S369" s="699"/>
      <c r="U369" s="699" t="s">
        <v>364</v>
      </c>
      <c r="V369" s="699"/>
      <c r="W369" s="699"/>
      <c r="X369" s="699"/>
      <c r="Y369" s="699"/>
      <c r="Z369" s="699"/>
      <c r="AA369" s="699"/>
      <c r="AB369" s="699"/>
      <c r="AC369" s="699"/>
      <c r="AD369" s="699"/>
      <c r="AE369" s="699"/>
      <c r="AF369" s="699"/>
      <c r="AG369" s="699"/>
      <c r="AH369" s="699"/>
      <c r="AI369" s="699"/>
      <c r="AJ369" s="699"/>
      <c r="AK369" s="699"/>
    </row>
    <row r="370" spans="3:37" ht="13">
      <c r="C370" s="636"/>
      <c r="D370" s="636"/>
      <c r="E370" s="636"/>
      <c r="F370" s="636"/>
      <c r="G370" s="636"/>
      <c r="H370" s="636"/>
      <c r="I370" s="636"/>
      <c r="J370" s="636"/>
      <c r="K370" s="636"/>
      <c r="L370" s="636"/>
      <c r="M370" s="636"/>
      <c r="N370" s="636"/>
      <c r="O370" s="636"/>
      <c r="P370" s="636"/>
      <c r="Q370" s="636"/>
      <c r="R370" s="636"/>
      <c r="S370" s="636"/>
      <c r="U370" s="636"/>
      <c r="V370" s="636"/>
      <c r="W370" s="636"/>
      <c r="X370" s="636"/>
      <c r="Y370" s="636"/>
      <c r="Z370" s="636"/>
      <c r="AA370" s="636"/>
      <c r="AB370" s="636"/>
      <c r="AC370" s="636"/>
      <c r="AD370" s="636"/>
      <c r="AE370" s="636"/>
      <c r="AF370" s="636"/>
      <c r="AG370" s="636"/>
      <c r="AH370" s="636"/>
      <c r="AI370" s="636"/>
      <c r="AJ370" s="636"/>
      <c r="AK370" s="636"/>
    </row>
    <row r="371" spans="3:37" ht="13" customHeight="1">
      <c r="C371" s="700" t="s">
        <v>128</v>
      </c>
      <c r="D371" s="701" t="s">
        <v>42</v>
      </c>
      <c r="E371" s="701" t="s">
        <v>52</v>
      </c>
      <c r="F371" s="701" t="s">
        <v>53</v>
      </c>
      <c r="G371" s="701" t="s">
        <v>32</v>
      </c>
      <c r="H371" s="701" t="s">
        <v>20</v>
      </c>
      <c r="I371" s="701" t="s">
        <v>55</v>
      </c>
      <c r="J371" s="701" t="s">
        <v>56</v>
      </c>
      <c r="K371" s="701"/>
      <c r="L371" s="701"/>
      <c r="M371" s="701"/>
      <c r="N371" s="701"/>
      <c r="O371" s="701"/>
      <c r="P371" s="701" t="s">
        <v>57</v>
      </c>
      <c r="Q371" s="701" t="s">
        <v>58</v>
      </c>
      <c r="R371" s="701" t="s">
        <v>31</v>
      </c>
      <c r="S371" s="701" t="s">
        <v>10</v>
      </c>
      <c r="U371" s="700" t="s">
        <v>128</v>
      </c>
      <c r="V371" s="701" t="s">
        <v>42</v>
      </c>
      <c r="W371" s="701" t="s">
        <v>52</v>
      </c>
      <c r="X371" s="701" t="s">
        <v>53</v>
      </c>
      <c r="Y371" s="701" t="s">
        <v>32</v>
      </c>
      <c r="Z371" s="701" t="s">
        <v>20</v>
      </c>
      <c r="AA371" s="701" t="s">
        <v>55</v>
      </c>
      <c r="AB371" s="701" t="s">
        <v>56</v>
      </c>
      <c r="AC371" s="701"/>
      <c r="AD371" s="701"/>
      <c r="AE371" s="701"/>
      <c r="AF371" s="701"/>
      <c r="AG371" s="701"/>
      <c r="AH371" s="701" t="s">
        <v>57</v>
      </c>
      <c r="AI371" s="701" t="s">
        <v>58</v>
      </c>
      <c r="AJ371" s="701" t="s">
        <v>31</v>
      </c>
      <c r="AK371" s="701" t="s">
        <v>10</v>
      </c>
    </row>
    <row r="372" spans="3:37" ht="46">
      <c r="C372" s="700"/>
      <c r="D372" s="701"/>
      <c r="E372" s="701"/>
      <c r="F372" s="701"/>
      <c r="G372" s="701"/>
      <c r="H372" s="701"/>
      <c r="I372" s="701"/>
      <c r="J372" s="640" t="s">
        <v>338</v>
      </c>
      <c r="K372" s="640" t="s">
        <v>40</v>
      </c>
      <c r="L372" s="640" t="s">
        <v>346</v>
      </c>
      <c r="M372" s="640" t="s">
        <v>347</v>
      </c>
      <c r="N372" s="640" t="s">
        <v>348</v>
      </c>
      <c r="O372" s="640" t="s">
        <v>349</v>
      </c>
      <c r="P372" s="701"/>
      <c r="Q372" s="701"/>
      <c r="R372" s="701"/>
      <c r="S372" s="701"/>
      <c r="U372" s="700"/>
      <c r="V372" s="701"/>
      <c r="W372" s="701"/>
      <c r="X372" s="701"/>
      <c r="Y372" s="701"/>
      <c r="Z372" s="701"/>
      <c r="AA372" s="701"/>
      <c r="AB372" s="640" t="s">
        <v>338</v>
      </c>
      <c r="AC372" s="640" t="s">
        <v>40</v>
      </c>
      <c r="AD372" s="640" t="s">
        <v>346</v>
      </c>
      <c r="AE372" s="640" t="s">
        <v>347</v>
      </c>
      <c r="AF372" s="640" t="s">
        <v>348</v>
      </c>
      <c r="AG372" s="640" t="s">
        <v>349</v>
      </c>
      <c r="AH372" s="701"/>
      <c r="AI372" s="701"/>
      <c r="AJ372" s="701"/>
      <c r="AK372" s="701"/>
    </row>
    <row r="373" spans="3:37" ht="13.5">
      <c r="C373" s="641" t="s">
        <v>59</v>
      </c>
      <c r="D373" s="642">
        <v>0</v>
      </c>
      <c r="E373" s="643">
        <v>0</v>
      </c>
      <c r="F373" s="643">
        <v>0</v>
      </c>
      <c r="G373" s="642">
        <v>0</v>
      </c>
      <c r="H373" s="643">
        <v>843.18181818181824</v>
      </c>
      <c r="I373" s="643">
        <v>306.94588327561422</v>
      </c>
      <c r="J373" s="643">
        <v>187.92158364867245</v>
      </c>
      <c r="K373" s="643">
        <v>20.316638839186872</v>
      </c>
      <c r="L373" s="643">
        <v>0.58650482505924006</v>
      </c>
      <c r="M373" s="643">
        <v>0.15964026893196048</v>
      </c>
      <c r="N373" s="643">
        <v>67.964408038916218</v>
      </c>
      <c r="O373" s="643">
        <v>11.973026235836867</v>
      </c>
      <c r="P373" s="644">
        <v>0</v>
      </c>
      <c r="Q373" s="643">
        <v>0</v>
      </c>
      <c r="R373" s="643">
        <v>0</v>
      </c>
      <c r="S373" s="645">
        <v>1439.0495033140362</v>
      </c>
      <c r="U373" s="641" t="s">
        <v>59</v>
      </c>
      <c r="V373" s="642">
        <v>0</v>
      </c>
      <c r="W373" s="643">
        <v>0</v>
      </c>
      <c r="X373" s="643">
        <v>0</v>
      </c>
      <c r="Y373" s="642">
        <v>0</v>
      </c>
      <c r="Z373" s="643">
        <v>842.12121212121212</v>
      </c>
      <c r="AA373" s="643">
        <v>361.66588327561419</v>
      </c>
      <c r="AB373" s="643">
        <v>209.7499476733077</v>
      </c>
      <c r="AC373" s="643">
        <v>36.742499370225779</v>
      </c>
      <c r="AD373" s="643">
        <v>0.58650482505924006</v>
      </c>
      <c r="AE373" s="643">
        <v>0.15964026893196048</v>
      </c>
      <c r="AF373" s="643">
        <v>109.8518848230913</v>
      </c>
      <c r="AG373" s="643">
        <v>27.041217028647232</v>
      </c>
      <c r="AH373" s="644">
        <v>0</v>
      </c>
      <c r="AI373" s="643">
        <v>0</v>
      </c>
      <c r="AJ373" s="643">
        <v>0</v>
      </c>
      <c r="AK373" s="645">
        <v>1587.9187893860897</v>
      </c>
    </row>
    <row r="374" spans="3:37" ht="13.5">
      <c r="C374" s="641" t="s">
        <v>60</v>
      </c>
      <c r="D374" s="642">
        <v>47.14481987923083</v>
      </c>
      <c r="E374" s="643">
        <v>484.495467583368</v>
      </c>
      <c r="F374" s="643">
        <v>50.019697053221719</v>
      </c>
      <c r="G374" s="642">
        <v>326.09010493911637</v>
      </c>
      <c r="H374" s="643">
        <v>0</v>
      </c>
      <c r="I374" s="643">
        <v>0</v>
      </c>
      <c r="J374" s="643">
        <v>5.0764589906360387</v>
      </c>
      <c r="K374" s="643">
        <v>0</v>
      </c>
      <c r="L374" s="643">
        <v>2.7571319279134792</v>
      </c>
      <c r="M374" s="643">
        <v>0</v>
      </c>
      <c r="N374" s="643">
        <v>0</v>
      </c>
      <c r="O374" s="643">
        <v>0</v>
      </c>
      <c r="P374" s="644">
        <v>0</v>
      </c>
      <c r="Q374" s="643">
        <v>0</v>
      </c>
      <c r="R374" s="643">
        <v>0</v>
      </c>
      <c r="S374" s="645">
        <v>915.58368037348657</v>
      </c>
      <c r="U374" s="641" t="s">
        <v>60</v>
      </c>
      <c r="V374" s="642">
        <v>5.8768320762591904</v>
      </c>
      <c r="W374" s="643">
        <v>189.94114801549574</v>
      </c>
      <c r="X374" s="643">
        <v>14.41607041492888</v>
      </c>
      <c r="Y374" s="642">
        <v>81.728531694283333</v>
      </c>
      <c r="Z374" s="643">
        <v>0</v>
      </c>
      <c r="AA374" s="643">
        <v>0</v>
      </c>
      <c r="AB374" s="643">
        <v>5.0764589906360387</v>
      </c>
      <c r="AC374" s="643">
        <v>0</v>
      </c>
      <c r="AD374" s="643">
        <v>2.7571319279134792</v>
      </c>
      <c r="AE374" s="643">
        <v>0</v>
      </c>
      <c r="AF374" s="643">
        <v>0</v>
      </c>
      <c r="AG374" s="643">
        <v>0</v>
      </c>
      <c r="AH374" s="644">
        <v>0</v>
      </c>
      <c r="AI374" s="643">
        <v>0</v>
      </c>
      <c r="AJ374" s="643">
        <v>0</v>
      </c>
      <c r="AK374" s="645">
        <v>299.79617311951665</v>
      </c>
    </row>
    <row r="375" spans="3:37" ht="13.5">
      <c r="C375" s="641" t="s">
        <v>61</v>
      </c>
      <c r="D375" s="642">
        <v>0</v>
      </c>
      <c r="E375" s="643">
        <v>0</v>
      </c>
      <c r="F375" s="643">
        <v>0</v>
      </c>
      <c r="G375" s="642">
        <v>0</v>
      </c>
      <c r="H375" s="643">
        <v>0</v>
      </c>
      <c r="I375" s="643">
        <v>0</v>
      </c>
      <c r="J375" s="643">
        <v>0</v>
      </c>
      <c r="K375" s="643">
        <v>0</v>
      </c>
      <c r="L375" s="643">
        <v>0</v>
      </c>
      <c r="M375" s="643">
        <v>0</v>
      </c>
      <c r="N375" s="643">
        <v>0</v>
      </c>
      <c r="O375" s="643">
        <v>0</v>
      </c>
      <c r="P375" s="644">
        <v>-16.706363002811486</v>
      </c>
      <c r="Q375" s="643">
        <v>0</v>
      </c>
      <c r="R375" s="643">
        <v>0</v>
      </c>
      <c r="S375" s="645">
        <v>-16.706363002811486</v>
      </c>
      <c r="U375" s="641" t="s">
        <v>61</v>
      </c>
      <c r="V375" s="642">
        <v>0</v>
      </c>
      <c r="W375" s="643">
        <v>0</v>
      </c>
      <c r="X375" s="643">
        <v>-18.378136852904419</v>
      </c>
      <c r="Y375" s="642">
        <v>0</v>
      </c>
      <c r="Z375" s="643">
        <v>0</v>
      </c>
      <c r="AA375" s="643">
        <v>0</v>
      </c>
      <c r="AB375" s="643">
        <v>0</v>
      </c>
      <c r="AC375" s="643">
        <v>0</v>
      </c>
      <c r="AD375" s="643">
        <v>0</v>
      </c>
      <c r="AE375" s="643">
        <v>0</v>
      </c>
      <c r="AF375" s="643">
        <v>0</v>
      </c>
      <c r="AG375" s="643">
        <v>0</v>
      </c>
      <c r="AH375" s="644">
        <v>-20.522831714543145</v>
      </c>
      <c r="AI375" s="643">
        <v>0</v>
      </c>
      <c r="AJ375" s="643">
        <v>0</v>
      </c>
      <c r="AK375" s="645">
        <v>-38.900968567447563</v>
      </c>
    </row>
    <row r="376" spans="3:37" ht="13.5">
      <c r="C376" s="641" t="s">
        <v>62</v>
      </c>
      <c r="D376" s="642">
        <v>0</v>
      </c>
      <c r="E376" s="643">
        <v>0</v>
      </c>
      <c r="F376" s="643">
        <v>-15.257294848391862</v>
      </c>
      <c r="G376" s="642">
        <v>0</v>
      </c>
      <c r="H376" s="643">
        <v>0</v>
      </c>
      <c r="I376" s="643">
        <v>0</v>
      </c>
      <c r="J376" s="643">
        <v>0</v>
      </c>
      <c r="K376" s="643">
        <v>0</v>
      </c>
      <c r="L376" s="643">
        <v>0</v>
      </c>
      <c r="M376" s="643">
        <v>0</v>
      </c>
      <c r="N376" s="643">
        <v>0</v>
      </c>
      <c r="O376" s="643">
        <v>0</v>
      </c>
      <c r="P376" s="644">
        <v>0</v>
      </c>
      <c r="Q376" s="643">
        <v>0</v>
      </c>
      <c r="R376" s="643">
        <v>0</v>
      </c>
      <c r="S376" s="645">
        <v>-15.257294848391862</v>
      </c>
      <c r="U376" s="641" t="s">
        <v>62</v>
      </c>
      <c r="V376" s="642">
        <v>0</v>
      </c>
      <c r="W376" s="643">
        <v>0</v>
      </c>
      <c r="X376" s="643">
        <v>-7.5188933675233587</v>
      </c>
      <c r="Y376" s="642">
        <v>-2.1851276585702322</v>
      </c>
      <c r="Z376" s="643">
        <v>0</v>
      </c>
      <c r="AA376" s="643">
        <v>0</v>
      </c>
      <c r="AB376" s="643">
        <v>0</v>
      </c>
      <c r="AC376" s="643">
        <v>0</v>
      </c>
      <c r="AD376" s="643">
        <v>0</v>
      </c>
      <c r="AE376" s="643">
        <v>-2.1851276585702322</v>
      </c>
      <c r="AF376" s="643">
        <v>0</v>
      </c>
      <c r="AG376" s="643">
        <v>0</v>
      </c>
      <c r="AH376" s="644">
        <v>0</v>
      </c>
      <c r="AI376" s="643">
        <v>0</v>
      </c>
      <c r="AJ376" s="643">
        <v>0</v>
      </c>
      <c r="AK376" s="645">
        <v>-11.889148684663823</v>
      </c>
    </row>
    <row r="377" spans="3:37" ht="13.5">
      <c r="C377" s="641" t="s">
        <v>63</v>
      </c>
      <c r="D377" s="642">
        <v>0</v>
      </c>
      <c r="E377" s="643">
        <v>0</v>
      </c>
      <c r="F377" s="643">
        <v>-90.982589622358091</v>
      </c>
      <c r="G377" s="642">
        <v>0</v>
      </c>
      <c r="H377" s="643">
        <v>0</v>
      </c>
      <c r="I377" s="643">
        <v>0</v>
      </c>
      <c r="J377" s="643">
        <v>0</v>
      </c>
      <c r="K377" s="643">
        <v>0</v>
      </c>
      <c r="L377" s="643">
        <v>-0.93561585486744514</v>
      </c>
      <c r="M377" s="643">
        <v>0</v>
      </c>
      <c r="N377" s="643">
        <v>0</v>
      </c>
      <c r="O377" s="643">
        <v>0</v>
      </c>
      <c r="P377" s="644">
        <v>0</v>
      </c>
      <c r="Q377" s="643">
        <v>0</v>
      </c>
      <c r="R377" s="643">
        <v>0</v>
      </c>
      <c r="S377" s="645">
        <v>-91.918205477225541</v>
      </c>
      <c r="U377" s="641" t="s">
        <v>63</v>
      </c>
      <c r="V377" s="642">
        <v>0</v>
      </c>
      <c r="W377" s="643">
        <v>0</v>
      </c>
      <c r="X377" s="643">
        <v>-53.656928796434556</v>
      </c>
      <c r="Y377" s="642">
        <v>0</v>
      </c>
      <c r="Z377" s="643">
        <v>0</v>
      </c>
      <c r="AA377" s="643">
        <v>0</v>
      </c>
      <c r="AB377" s="643">
        <v>0</v>
      </c>
      <c r="AC377" s="643">
        <v>0</v>
      </c>
      <c r="AD377" s="643">
        <v>-28.297456853591466</v>
      </c>
      <c r="AE377" s="643">
        <v>0</v>
      </c>
      <c r="AF377" s="643">
        <v>0</v>
      </c>
      <c r="AG377" s="643">
        <v>0</v>
      </c>
      <c r="AH377" s="644">
        <v>0</v>
      </c>
      <c r="AI377" s="643">
        <v>0</v>
      </c>
      <c r="AJ377" s="643">
        <v>0</v>
      </c>
      <c r="AK377" s="645">
        <v>-81.954385650026026</v>
      </c>
    </row>
    <row r="378" spans="3:37" ht="13.5">
      <c r="C378" s="641" t="s">
        <v>64</v>
      </c>
      <c r="D378" s="642">
        <v>0</v>
      </c>
      <c r="E378" s="643">
        <v>0</v>
      </c>
      <c r="F378" s="643">
        <v>0</v>
      </c>
      <c r="G378" s="642">
        <v>0</v>
      </c>
      <c r="H378" s="643">
        <v>0</v>
      </c>
      <c r="I378" s="643">
        <v>0</v>
      </c>
      <c r="J378" s="643">
        <v>0</v>
      </c>
      <c r="K378" s="643">
        <v>0</v>
      </c>
      <c r="L378" s="643">
        <v>0</v>
      </c>
      <c r="M378" s="643">
        <v>0</v>
      </c>
      <c r="N378" s="643">
        <v>0</v>
      </c>
      <c r="O378" s="643">
        <v>0</v>
      </c>
      <c r="P378" s="644">
        <v>0</v>
      </c>
      <c r="Q378" s="643">
        <v>0</v>
      </c>
      <c r="R378" s="643">
        <v>0</v>
      </c>
      <c r="S378" s="645">
        <v>0</v>
      </c>
      <c r="U378" s="641" t="s">
        <v>64</v>
      </c>
      <c r="V378" s="642">
        <v>0</v>
      </c>
      <c r="W378" s="643">
        <v>0</v>
      </c>
      <c r="X378" s="643">
        <v>0</v>
      </c>
      <c r="Y378" s="642">
        <v>0</v>
      </c>
      <c r="Z378" s="643">
        <v>0</v>
      </c>
      <c r="AA378" s="643">
        <v>0</v>
      </c>
      <c r="AB378" s="643">
        <v>0</v>
      </c>
      <c r="AC378" s="643">
        <v>0</v>
      </c>
      <c r="AD378" s="643">
        <v>0</v>
      </c>
      <c r="AE378" s="643">
        <v>0</v>
      </c>
      <c r="AF378" s="643">
        <v>0</v>
      </c>
      <c r="AG378" s="643">
        <v>0</v>
      </c>
      <c r="AH378" s="644">
        <v>0</v>
      </c>
      <c r="AI378" s="643">
        <v>0</v>
      </c>
      <c r="AJ378" s="643">
        <v>0</v>
      </c>
      <c r="AK378" s="645">
        <v>0</v>
      </c>
    </row>
    <row r="379" spans="3:37" ht="13.5">
      <c r="C379" s="646" t="s">
        <v>65</v>
      </c>
      <c r="D379" s="647">
        <v>47.14481987923083</v>
      </c>
      <c r="E379" s="647">
        <v>484.495467583368</v>
      </c>
      <c r="F379" s="647">
        <v>-56.220187417528237</v>
      </c>
      <c r="G379" s="647">
        <v>326.09010493911637</v>
      </c>
      <c r="H379" s="647">
        <v>843.18181818181824</v>
      </c>
      <c r="I379" s="647">
        <v>306.94588327561422</v>
      </c>
      <c r="J379" s="647">
        <v>192.99804263930849</v>
      </c>
      <c r="K379" s="647">
        <v>20.316638839186872</v>
      </c>
      <c r="L379" s="647">
        <v>2.4080208981052738</v>
      </c>
      <c r="M379" s="647">
        <v>0.15964026893196048</v>
      </c>
      <c r="N379" s="647">
        <v>67.964408038916218</v>
      </c>
      <c r="O379" s="647">
        <v>11.973026235836867</v>
      </c>
      <c r="P379" s="647">
        <v>-16.706363002811486</v>
      </c>
      <c r="Q379" s="647">
        <v>0</v>
      </c>
      <c r="R379" s="647">
        <v>0</v>
      </c>
      <c r="S379" s="647">
        <v>2230.7513203590943</v>
      </c>
      <c r="U379" s="646" t="s">
        <v>65</v>
      </c>
      <c r="V379" s="647">
        <v>5.8768320762591904</v>
      </c>
      <c r="W379" s="647">
        <v>189.94114801549574</v>
      </c>
      <c r="X379" s="647">
        <v>-65.137888601933454</v>
      </c>
      <c r="Y379" s="647">
        <v>79.543404035713095</v>
      </c>
      <c r="Z379" s="647">
        <v>842.12121212121212</v>
      </c>
      <c r="AA379" s="647">
        <v>361.66588327561419</v>
      </c>
      <c r="AB379" s="647">
        <v>214.82640666394374</v>
      </c>
      <c r="AC379" s="647">
        <v>36.742499370225779</v>
      </c>
      <c r="AD379" s="647">
        <v>-24.953820100618749</v>
      </c>
      <c r="AE379" s="647">
        <v>-2.0254873896382719</v>
      </c>
      <c r="AF379" s="647">
        <v>109.8518848230913</v>
      </c>
      <c r="AG379" s="647">
        <v>27.041217028647232</v>
      </c>
      <c r="AH379" s="647">
        <v>-20.522831714543145</v>
      </c>
      <c r="AI379" s="647">
        <v>0</v>
      </c>
      <c r="AJ379" s="647">
        <v>0</v>
      </c>
      <c r="AK379" s="647">
        <v>1754.970459603469</v>
      </c>
    </row>
    <row r="380" spans="3:37" ht="13">
      <c r="C380" s="636"/>
      <c r="D380" s="636">
        <v>0</v>
      </c>
      <c r="E380" s="636">
        <v>0</v>
      </c>
      <c r="F380" s="636">
        <v>0</v>
      </c>
      <c r="G380" s="636">
        <v>0</v>
      </c>
      <c r="H380" s="636">
        <v>0</v>
      </c>
      <c r="I380" s="636">
        <v>0</v>
      </c>
      <c r="J380" s="636">
        <v>0</v>
      </c>
      <c r="K380" s="636">
        <v>0</v>
      </c>
      <c r="L380" s="636">
        <v>0</v>
      </c>
      <c r="M380" s="636">
        <v>0</v>
      </c>
      <c r="N380" s="636">
        <v>0</v>
      </c>
      <c r="O380" s="636">
        <v>0</v>
      </c>
      <c r="P380" s="636">
        <v>0</v>
      </c>
      <c r="Q380" s="636">
        <v>0</v>
      </c>
      <c r="R380" s="636">
        <v>0</v>
      </c>
      <c r="S380" s="636">
        <v>0</v>
      </c>
      <c r="U380" s="636"/>
      <c r="V380" s="636">
        <v>0</v>
      </c>
      <c r="W380" s="636">
        <v>0</v>
      </c>
      <c r="X380" s="636">
        <v>0</v>
      </c>
      <c r="Y380" s="636">
        <v>0</v>
      </c>
      <c r="Z380" s="636">
        <v>0</v>
      </c>
      <c r="AA380" s="636">
        <v>0</v>
      </c>
      <c r="AB380" s="636">
        <v>0</v>
      </c>
      <c r="AC380" s="636">
        <v>0</v>
      </c>
      <c r="AD380" s="636">
        <v>0</v>
      </c>
      <c r="AE380" s="636">
        <v>0</v>
      </c>
      <c r="AF380" s="636">
        <v>0</v>
      </c>
      <c r="AG380" s="636">
        <v>0</v>
      </c>
      <c r="AH380" s="636">
        <v>0</v>
      </c>
      <c r="AI380" s="636">
        <v>0</v>
      </c>
      <c r="AJ380" s="636">
        <v>0</v>
      </c>
      <c r="AK380" s="636">
        <v>0</v>
      </c>
    </row>
    <row r="381" spans="3:37" ht="13.5">
      <c r="C381" s="648" t="s">
        <v>67</v>
      </c>
      <c r="D381" s="642">
        <v>0</v>
      </c>
      <c r="E381" s="649">
        <v>0</v>
      </c>
      <c r="F381" s="649">
        <v>0</v>
      </c>
      <c r="G381" s="642">
        <v>0</v>
      </c>
      <c r="H381" s="642">
        <v>0</v>
      </c>
      <c r="I381" s="642">
        <v>0</v>
      </c>
      <c r="J381" s="642">
        <v>0</v>
      </c>
      <c r="K381" s="642">
        <v>0</v>
      </c>
      <c r="L381" s="642">
        <v>0</v>
      </c>
      <c r="M381" s="642">
        <v>0</v>
      </c>
      <c r="N381" s="642">
        <v>0</v>
      </c>
      <c r="O381" s="642">
        <v>0</v>
      </c>
      <c r="P381" s="642">
        <v>0</v>
      </c>
      <c r="Q381" s="642">
        <v>0</v>
      </c>
      <c r="R381" s="642">
        <v>0</v>
      </c>
      <c r="S381" s="650">
        <v>0</v>
      </c>
      <c r="U381" s="648" t="s">
        <v>67</v>
      </c>
      <c r="V381" s="642">
        <v>0</v>
      </c>
      <c r="W381" s="649">
        <v>0</v>
      </c>
      <c r="X381" s="649">
        <v>0</v>
      </c>
      <c r="Y381" s="642">
        <v>0</v>
      </c>
      <c r="Z381" s="642">
        <v>0</v>
      </c>
      <c r="AA381" s="642">
        <v>0</v>
      </c>
      <c r="AB381" s="642">
        <v>0</v>
      </c>
      <c r="AC381" s="642">
        <v>0</v>
      </c>
      <c r="AD381" s="642">
        <v>0</v>
      </c>
      <c r="AE381" s="642">
        <v>0</v>
      </c>
      <c r="AF381" s="642">
        <v>0</v>
      </c>
      <c r="AG381" s="642">
        <v>0</v>
      </c>
      <c r="AH381" s="642">
        <v>0</v>
      </c>
      <c r="AI381" s="642">
        <v>0</v>
      </c>
      <c r="AJ381" s="642">
        <v>0</v>
      </c>
      <c r="AK381" s="650">
        <v>0</v>
      </c>
    </row>
    <row r="382" spans="3:37" ht="13.5">
      <c r="C382" s="648" t="s">
        <v>350</v>
      </c>
      <c r="D382" s="642">
        <v>2.8267856410252494</v>
      </c>
      <c r="E382" s="642">
        <v>0</v>
      </c>
      <c r="F382" s="642">
        <v>7.9230776783294274</v>
      </c>
      <c r="G382" s="642">
        <v>16.680851063829788</v>
      </c>
      <c r="H382" s="642">
        <v>843.18181818181824</v>
      </c>
      <c r="I382" s="642">
        <v>306.94588327561422</v>
      </c>
      <c r="J382" s="651">
        <v>28.98717588629853</v>
      </c>
      <c r="K382" s="651">
        <v>6.5903281241207718</v>
      </c>
      <c r="L382" s="651">
        <v>3.3436367529727189</v>
      </c>
      <c r="M382" s="651">
        <v>0.46654149749263618</v>
      </c>
      <c r="N382" s="651">
        <v>0</v>
      </c>
      <c r="O382" s="651">
        <v>7.0184114557160298</v>
      </c>
      <c r="P382" s="642">
        <v>-616.92993037811448</v>
      </c>
      <c r="Q382" s="642">
        <v>0</v>
      </c>
      <c r="R382" s="642">
        <v>0</v>
      </c>
      <c r="S382" s="650">
        <v>607.03457917910316</v>
      </c>
      <c r="U382" s="648" t="s">
        <v>350</v>
      </c>
      <c r="V382" s="642">
        <v>0.62631490545869017</v>
      </c>
      <c r="W382" s="642">
        <v>0</v>
      </c>
      <c r="X382" s="642">
        <v>4.0594413146930641</v>
      </c>
      <c r="Y382" s="642">
        <v>2.3404255319148937</v>
      </c>
      <c r="Z382" s="642">
        <v>842.12121212121212</v>
      </c>
      <c r="AA382" s="642">
        <v>361.66588327561419</v>
      </c>
      <c r="AB382" s="651">
        <v>23.182357378111952</v>
      </c>
      <c r="AC382" s="651">
        <v>5.3775678130216455</v>
      </c>
      <c r="AD382" s="651">
        <v>3.3436367529727189</v>
      </c>
      <c r="AE382" s="651">
        <v>2.4665414974926363</v>
      </c>
      <c r="AF382" s="651">
        <v>0</v>
      </c>
      <c r="AG382" s="651">
        <v>7.0184114557160298</v>
      </c>
      <c r="AH382" s="642">
        <v>-662.7499303781143</v>
      </c>
      <c r="AI382" s="642">
        <v>0</v>
      </c>
      <c r="AJ382" s="642">
        <v>4.25</v>
      </c>
      <c r="AK382" s="650">
        <v>593.70186166809344</v>
      </c>
    </row>
    <row r="383" spans="3:37" ht="13.5">
      <c r="C383" s="648" t="s">
        <v>351</v>
      </c>
      <c r="D383" s="642">
        <v>0</v>
      </c>
      <c r="E383" s="642">
        <v>0</v>
      </c>
      <c r="F383" s="642">
        <v>0</v>
      </c>
      <c r="G383" s="642">
        <v>14.843815057329421</v>
      </c>
      <c r="H383" s="642">
        <v>0</v>
      </c>
      <c r="I383" s="642">
        <v>0</v>
      </c>
      <c r="J383" s="651">
        <v>12.357161229114668</v>
      </c>
      <c r="K383" s="651">
        <v>11.882304060636951</v>
      </c>
      <c r="L383" s="651">
        <v>0</v>
      </c>
      <c r="M383" s="651">
        <v>0.31804644322561132</v>
      </c>
      <c r="N383" s="651">
        <v>0</v>
      </c>
      <c r="O383" s="651">
        <v>2.0992086164963606</v>
      </c>
      <c r="P383" s="642">
        <v>0</v>
      </c>
      <c r="Q383" s="642">
        <v>-37.805081951347923</v>
      </c>
      <c r="R383" s="642">
        <v>0</v>
      </c>
      <c r="S383" s="650">
        <v>3.6954534554550835</v>
      </c>
      <c r="U383" s="648" t="s">
        <v>351</v>
      </c>
      <c r="V383" s="642">
        <v>0</v>
      </c>
      <c r="W383" s="642">
        <v>0</v>
      </c>
      <c r="X383" s="642">
        <v>0</v>
      </c>
      <c r="Y383" s="642">
        <v>6.4668066457611202</v>
      </c>
      <c r="Z383" s="642">
        <v>0</v>
      </c>
      <c r="AA383" s="642">
        <v>0</v>
      </c>
      <c r="AB383" s="651">
        <v>28.361573193229066</v>
      </c>
      <c r="AC383" s="651">
        <v>26.076316433417247</v>
      </c>
      <c r="AD383" s="651">
        <v>0</v>
      </c>
      <c r="AE383" s="651">
        <v>6.4819180878167435</v>
      </c>
      <c r="AF383" s="651">
        <v>0</v>
      </c>
      <c r="AG383" s="651">
        <v>12.550380584079129</v>
      </c>
      <c r="AH383" s="642">
        <v>0</v>
      </c>
      <c r="AI383" s="642">
        <v>-74.043519390541746</v>
      </c>
      <c r="AJ383" s="642">
        <v>0</v>
      </c>
      <c r="AK383" s="650">
        <v>5.8934755537615651</v>
      </c>
    </row>
    <row r="384" spans="3:37" ht="13.5">
      <c r="C384" s="648" t="s">
        <v>352</v>
      </c>
      <c r="D384" s="642">
        <v>0</v>
      </c>
      <c r="E384" s="642">
        <v>0</v>
      </c>
      <c r="F384" s="642">
        <v>0</v>
      </c>
      <c r="G384" s="642">
        <v>0</v>
      </c>
      <c r="H384" s="642">
        <v>0</v>
      </c>
      <c r="I384" s="642">
        <v>0</v>
      </c>
      <c r="J384" s="652">
        <v>6.8755991242523775</v>
      </c>
      <c r="K384" s="652">
        <v>0</v>
      </c>
      <c r="L384" s="652">
        <v>0</v>
      </c>
      <c r="M384" s="652">
        <v>-6.4200906822706569</v>
      </c>
      <c r="N384" s="652">
        <v>0</v>
      </c>
      <c r="O384" s="652">
        <v>0</v>
      </c>
      <c r="P384" s="642">
        <v>0</v>
      </c>
      <c r="Q384" s="642">
        <v>0</v>
      </c>
      <c r="R384" s="642">
        <v>0</v>
      </c>
      <c r="S384" s="650">
        <v>0.45550844198172058</v>
      </c>
      <c r="U384" s="648" t="s">
        <v>352</v>
      </c>
      <c r="V384" s="642">
        <v>0</v>
      </c>
      <c r="W384" s="642">
        <v>0</v>
      </c>
      <c r="X384" s="642">
        <v>0</v>
      </c>
      <c r="Y384" s="642">
        <v>0</v>
      </c>
      <c r="Z384" s="642">
        <v>0</v>
      </c>
      <c r="AA384" s="642">
        <v>0</v>
      </c>
      <c r="AB384" s="652">
        <v>86.654179241552072</v>
      </c>
      <c r="AC384" s="652">
        <v>0</v>
      </c>
      <c r="AD384" s="652">
        <v>0</v>
      </c>
      <c r="AE384" s="652">
        <v>-80.913339866799248</v>
      </c>
      <c r="AF384" s="652">
        <v>0</v>
      </c>
      <c r="AG384" s="652">
        <v>0</v>
      </c>
      <c r="AH384" s="642">
        <v>0</v>
      </c>
      <c r="AI384" s="642">
        <v>0</v>
      </c>
      <c r="AJ384" s="642">
        <v>0</v>
      </c>
      <c r="AK384" s="650">
        <v>5.7408393747528237</v>
      </c>
    </row>
    <row r="385" spans="3:37" ht="13.5">
      <c r="C385" s="648" t="s">
        <v>353</v>
      </c>
      <c r="D385" s="642">
        <v>0</v>
      </c>
      <c r="E385" s="642">
        <v>0</v>
      </c>
      <c r="F385" s="642">
        <v>0</v>
      </c>
      <c r="G385" s="642">
        <v>0</v>
      </c>
      <c r="H385" s="642">
        <v>0</v>
      </c>
      <c r="I385" s="642">
        <v>0</v>
      </c>
      <c r="J385" s="642">
        <v>0</v>
      </c>
      <c r="K385" s="642">
        <v>0</v>
      </c>
      <c r="L385" s="642">
        <v>0</v>
      </c>
      <c r="M385" s="642">
        <v>0</v>
      </c>
      <c r="N385" s="642">
        <v>0</v>
      </c>
      <c r="O385" s="642">
        <v>0</v>
      </c>
      <c r="P385" s="642">
        <v>0</v>
      </c>
      <c r="Q385" s="642">
        <v>0</v>
      </c>
      <c r="R385" s="642">
        <v>0</v>
      </c>
      <c r="S385" s="650">
        <v>0</v>
      </c>
      <c r="U385" s="648" t="s">
        <v>353</v>
      </c>
      <c r="V385" s="642">
        <v>0</v>
      </c>
      <c r="W385" s="642">
        <v>0</v>
      </c>
      <c r="X385" s="642">
        <v>0</v>
      </c>
      <c r="Y385" s="642">
        <v>0</v>
      </c>
      <c r="Z385" s="642">
        <v>0</v>
      </c>
      <c r="AA385" s="642">
        <v>0</v>
      </c>
      <c r="AB385" s="642">
        <v>0</v>
      </c>
      <c r="AC385" s="642">
        <v>0</v>
      </c>
      <c r="AD385" s="642">
        <v>0</v>
      </c>
      <c r="AE385" s="642">
        <v>0</v>
      </c>
      <c r="AF385" s="642">
        <v>0</v>
      </c>
      <c r="AG385" s="642">
        <v>0</v>
      </c>
      <c r="AH385" s="642">
        <v>0</v>
      </c>
      <c r="AI385" s="642">
        <v>0</v>
      </c>
      <c r="AJ385" s="642">
        <v>0</v>
      </c>
      <c r="AK385" s="650">
        <v>0</v>
      </c>
    </row>
    <row r="386" spans="3:37" ht="13.5">
      <c r="C386" s="648" t="s">
        <v>72</v>
      </c>
      <c r="D386" s="642">
        <v>0</v>
      </c>
      <c r="E386" s="642">
        <v>501.8858109321676</v>
      </c>
      <c r="F386" s="642">
        <v>-496.86695282284592</v>
      </c>
      <c r="G386" s="642">
        <v>0</v>
      </c>
      <c r="H386" s="642">
        <v>0</v>
      </c>
      <c r="I386" s="642">
        <v>0</v>
      </c>
      <c r="J386" s="642">
        <v>0</v>
      </c>
      <c r="K386" s="642">
        <v>0</v>
      </c>
      <c r="L386" s="642">
        <v>0</v>
      </c>
      <c r="M386" s="642">
        <v>0</v>
      </c>
      <c r="N386" s="642">
        <v>0</v>
      </c>
      <c r="O386" s="642">
        <v>0</v>
      </c>
      <c r="P386" s="642">
        <v>0</v>
      </c>
      <c r="Q386" s="642">
        <v>0</v>
      </c>
      <c r="R386" s="642">
        <v>0</v>
      </c>
      <c r="S386" s="650">
        <v>5.018858109321684</v>
      </c>
      <c r="U386" s="648" t="s">
        <v>72</v>
      </c>
      <c r="V386" s="642">
        <v>0</v>
      </c>
      <c r="W386" s="642">
        <v>196.75884188687598</v>
      </c>
      <c r="X386" s="642">
        <v>-194.79125346800723</v>
      </c>
      <c r="Y386" s="642">
        <v>0</v>
      </c>
      <c r="Z386" s="642">
        <v>0</v>
      </c>
      <c r="AA386" s="642">
        <v>0</v>
      </c>
      <c r="AB386" s="642">
        <v>0</v>
      </c>
      <c r="AC386" s="642">
        <v>0</v>
      </c>
      <c r="AD386" s="642">
        <v>0</v>
      </c>
      <c r="AE386" s="642">
        <v>0</v>
      </c>
      <c r="AF386" s="642">
        <v>0</v>
      </c>
      <c r="AG386" s="642">
        <v>0</v>
      </c>
      <c r="AH386" s="642">
        <v>0</v>
      </c>
      <c r="AI386" s="642">
        <v>0</v>
      </c>
      <c r="AJ386" s="642">
        <v>0</v>
      </c>
      <c r="AK386" s="650">
        <v>1.9675884188687576</v>
      </c>
    </row>
    <row r="387" spans="3:37" ht="13.5">
      <c r="C387" s="648" t="s">
        <v>354</v>
      </c>
      <c r="D387" s="642">
        <v>0</v>
      </c>
      <c r="E387" s="642">
        <v>0</v>
      </c>
      <c r="F387" s="642">
        <v>0</v>
      </c>
      <c r="G387" s="642">
        <v>0</v>
      </c>
      <c r="H387" s="642">
        <v>0</v>
      </c>
      <c r="I387" s="642">
        <v>0</v>
      </c>
      <c r="J387" s="642">
        <v>26.867608526350821</v>
      </c>
      <c r="K387" s="642">
        <v>0</v>
      </c>
      <c r="L387" s="642">
        <v>-26.867608526350821</v>
      </c>
      <c r="M387" s="642">
        <v>0</v>
      </c>
      <c r="N387" s="642">
        <v>0</v>
      </c>
      <c r="O387" s="642">
        <v>0</v>
      </c>
      <c r="P387" s="642">
        <v>0</v>
      </c>
      <c r="Q387" s="642">
        <v>0</v>
      </c>
      <c r="R387" s="642">
        <v>0</v>
      </c>
      <c r="S387" s="650">
        <v>0</v>
      </c>
      <c r="U387" s="648" t="s">
        <v>354</v>
      </c>
      <c r="V387" s="642">
        <v>0</v>
      </c>
      <c r="W387" s="642">
        <v>0</v>
      </c>
      <c r="X387" s="642">
        <v>0</v>
      </c>
      <c r="Y387" s="642">
        <v>0</v>
      </c>
      <c r="Z387" s="642">
        <v>0</v>
      </c>
      <c r="AA387" s="642">
        <v>0</v>
      </c>
      <c r="AB387" s="642" t="e">
        <v>#VALUE!</v>
      </c>
      <c r="AC387" s="642">
        <v>0</v>
      </c>
      <c r="AD387" s="642">
        <v>-99.513749603669936</v>
      </c>
      <c r="AE387" s="642">
        <v>0</v>
      </c>
      <c r="AF387" s="642">
        <v>0</v>
      </c>
      <c r="AG387" s="642">
        <v>0</v>
      </c>
      <c r="AH387" s="642">
        <v>0</v>
      </c>
      <c r="AI387" s="642">
        <v>0</v>
      </c>
      <c r="AJ387" s="642">
        <v>0</v>
      </c>
      <c r="AK387" s="650">
        <v>-99.513749603669936</v>
      </c>
    </row>
    <row r="388" spans="3:37" ht="13.5">
      <c r="C388" s="648" t="s">
        <v>355</v>
      </c>
      <c r="D388" s="642">
        <v>0</v>
      </c>
      <c r="E388" s="642">
        <v>0</v>
      </c>
      <c r="F388" s="642">
        <v>0</v>
      </c>
      <c r="G388" s="642">
        <v>0</v>
      </c>
      <c r="H388" s="642">
        <v>0</v>
      </c>
      <c r="I388" s="642">
        <v>0</v>
      </c>
      <c r="J388" s="642">
        <v>0</v>
      </c>
      <c r="K388" s="642">
        <v>0</v>
      </c>
      <c r="L388" s="642">
        <v>0</v>
      </c>
      <c r="M388" s="642">
        <v>0</v>
      </c>
      <c r="N388" s="642">
        <v>0</v>
      </c>
      <c r="O388" s="642">
        <v>0</v>
      </c>
      <c r="P388" s="642">
        <v>0</v>
      </c>
      <c r="Q388" s="642">
        <v>0</v>
      </c>
      <c r="R388" s="642">
        <v>0</v>
      </c>
      <c r="S388" s="650">
        <v>0</v>
      </c>
      <c r="U388" s="648" t="s">
        <v>355</v>
      </c>
      <c r="V388" s="642">
        <v>0</v>
      </c>
      <c r="W388" s="642">
        <v>0</v>
      </c>
      <c r="X388" s="642">
        <v>0</v>
      </c>
      <c r="Y388" s="642">
        <v>0</v>
      </c>
      <c r="Z388" s="642">
        <v>0</v>
      </c>
      <c r="AA388" s="642">
        <v>0</v>
      </c>
      <c r="AB388" s="642">
        <v>0</v>
      </c>
      <c r="AC388" s="642">
        <v>0</v>
      </c>
      <c r="AD388" s="642">
        <v>-17.985934640167208</v>
      </c>
      <c r="AE388" s="642">
        <v>0</v>
      </c>
      <c r="AF388" s="642">
        <v>0</v>
      </c>
      <c r="AG388" s="642">
        <v>0</v>
      </c>
      <c r="AH388" s="642">
        <v>0</v>
      </c>
      <c r="AI388" s="642">
        <v>0</v>
      </c>
      <c r="AJ388" s="642">
        <v>0</v>
      </c>
      <c r="AK388" s="650">
        <v>-17.985934640167208</v>
      </c>
    </row>
    <row r="389" spans="3:37" ht="13.5">
      <c r="C389" s="648" t="s">
        <v>73</v>
      </c>
      <c r="D389" s="642">
        <v>0</v>
      </c>
      <c r="E389" s="642">
        <v>0</v>
      </c>
      <c r="F389" s="642">
        <v>0</v>
      </c>
      <c r="G389" s="642">
        <v>7.0830222331165276</v>
      </c>
      <c r="H389" s="642">
        <v>0</v>
      </c>
      <c r="I389" s="642">
        <v>0</v>
      </c>
      <c r="J389" s="642">
        <v>0</v>
      </c>
      <c r="K389" s="642">
        <v>8.2131519400701847E-2</v>
      </c>
      <c r="L389" s="642">
        <v>0</v>
      </c>
      <c r="M389" s="642">
        <v>0.14455147414523528</v>
      </c>
      <c r="N389" s="642">
        <v>0</v>
      </c>
      <c r="O389" s="642">
        <v>0</v>
      </c>
      <c r="P389" s="642">
        <v>0.90023160054861806</v>
      </c>
      <c r="Q389" s="642">
        <v>0</v>
      </c>
      <c r="R389" s="642">
        <v>-5.7492063580491291</v>
      </c>
      <c r="S389" s="650">
        <v>2.4607304691619536</v>
      </c>
      <c r="U389" s="648" t="s">
        <v>73</v>
      </c>
      <c r="V389" s="642">
        <v>0</v>
      </c>
      <c r="W389" s="642">
        <v>0</v>
      </c>
      <c r="X389" s="642">
        <v>0</v>
      </c>
      <c r="Y389" s="642">
        <v>2.5209228009552263</v>
      </c>
      <c r="Z389" s="642">
        <v>0</v>
      </c>
      <c r="AA389" s="642">
        <v>0</v>
      </c>
      <c r="AB389" s="642">
        <v>0</v>
      </c>
      <c r="AC389" s="642">
        <v>0.50418456019104518</v>
      </c>
      <c r="AD389" s="642">
        <v>0</v>
      </c>
      <c r="AE389" s="642">
        <v>2.5209228009552263</v>
      </c>
      <c r="AF389" s="642">
        <v>0</v>
      </c>
      <c r="AG389" s="642">
        <v>0</v>
      </c>
      <c r="AH389" s="642">
        <v>44.712737508757456</v>
      </c>
      <c r="AI389" s="642">
        <v>0</v>
      </c>
      <c r="AJ389" s="642">
        <v>-35.29291921337316</v>
      </c>
      <c r="AK389" s="650">
        <v>14.965848457485791</v>
      </c>
    </row>
    <row r="390" spans="3:37" ht="13.5">
      <c r="C390" s="648" t="s">
        <v>356</v>
      </c>
      <c r="D390" s="642">
        <v>28.568314687499999</v>
      </c>
      <c r="E390" s="642">
        <v>-17.390343348799608</v>
      </c>
      <c r="F390" s="642">
        <v>22.745541936068136</v>
      </c>
      <c r="G390" s="642">
        <v>0</v>
      </c>
      <c r="H390" s="642">
        <v>0</v>
      </c>
      <c r="I390" s="642">
        <v>0</v>
      </c>
      <c r="J390" s="642">
        <v>0</v>
      </c>
      <c r="K390" s="642">
        <v>0</v>
      </c>
      <c r="L390" s="642">
        <v>0</v>
      </c>
      <c r="M390" s="642">
        <v>0</v>
      </c>
      <c r="N390" s="642">
        <v>0</v>
      </c>
      <c r="O390" s="642">
        <v>0</v>
      </c>
      <c r="P390" s="642">
        <v>0</v>
      </c>
      <c r="Q390" s="642">
        <v>0</v>
      </c>
      <c r="R390" s="642">
        <v>0</v>
      </c>
      <c r="S390" s="650">
        <v>33.923513274768524</v>
      </c>
      <c r="U390" s="648" t="s">
        <v>356</v>
      </c>
      <c r="V390" s="642">
        <v>1.4001075134277343</v>
      </c>
      <c r="W390" s="642">
        <v>-6.8176938713802535</v>
      </c>
      <c r="X390" s="642">
        <v>8.9171408952922331</v>
      </c>
      <c r="Y390" s="642">
        <v>0</v>
      </c>
      <c r="Z390" s="642">
        <v>0</v>
      </c>
      <c r="AA390" s="642">
        <v>0</v>
      </c>
      <c r="AB390" s="642">
        <v>0</v>
      </c>
      <c r="AC390" s="642">
        <v>0</v>
      </c>
      <c r="AD390" s="642">
        <v>0</v>
      </c>
      <c r="AE390" s="642">
        <v>0</v>
      </c>
      <c r="AF390" s="642">
        <v>0</v>
      </c>
      <c r="AG390" s="642">
        <v>0</v>
      </c>
      <c r="AH390" s="642">
        <v>0</v>
      </c>
      <c r="AI390" s="642">
        <v>0</v>
      </c>
      <c r="AJ390" s="642">
        <v>0</v>
      </c>
      <c r="AK390" s="650">
        <v>3.4995545373397139</v>
      </c>
    </row>
    <row r="391" spans="3:37" ht="13.5">
      <c r="C391" s="648" t="s">
        <v>75</v>
      </c>
      <c r="D391" s="642">
        <v>11.109900156250001</v>
      </c>
      <c r="E391" s="642">
        <v>0</v>
      </c>
      <c r="F391" s="642">
        <v>17.0641175716937</v>
      </c>
      <c r="G391" s="642">
        <v>4.8692961376638904</v>
      </c>
      <c r="H391" s="642">
        <v>0</v>
      </c>
      <c r="I391" s="642">
        <v>0</v>
      </c>
      <c r="J391" s="642">
        <v>0</v>
      </c>
      <c r="K391" s="642">
        <v>0</v>
      </c>
      <c r="L391" s="642">
        <v>0</v>
      </c>
      <c r="M391" s="642">
        <v>9.9373390564569189E-2</v>
      </c>
      <c r="N391" s="642">
        <v>0</v>
      </c>
      <c r="O391" s="642">
        <v>0</v>
      </c>
      <c r="P391" s="642">
        <v>27.977940148174714</v>
      </c>
      <c r="Q391" s="642">
        <v>0</v>
      </c>
      <c r="R391" s="642">
        <v>0</v>
      </c>
      <c r="S391" s="650">
        <v>61.12062740434687</v>
      </c>
      <c r="U391" s="648" t="s">
        <v>75</v>
      </c>
      <c r="V391" s="642">
        <v>2.585423095703125</v>
      </c>
      <c r="W391" s="642">
        <v>0</v>
      </c>
      <c r="X391" s="642">
        <v>17.0641175716937</v>
      </c>
      <c r="Y391" s="642">
        <v>2.4843347641142297</v>
      </c>
      <c r="Z391" s="642">
        <v>0</v>
      </c>
      <c r="AA391" s="642">
        <v>0</v>
      </c>
      <c r="AB391" s="642">
        <v>0</v>
      </c>
      <c r="AC391" s="642">
        <v>0</v>
      </c>
      <c r="AD391" s="642">
        <v>0</v>
      </c>
      <c r="AE391" s="642">
        <v>2.4843347641142297</v>
      </c>
      <c r="AF391" s="642">
        <v>0</v>
      </c>
      <c r="AG391" s="642">
        <v>0</v>
      </c>
      <c r="AH391" s="642">
        <v>36.559985602720168</v>
      </c>
      <c r="AI391" s="642">
        <v>0</v>
      </c>
      <c r="AJ391" s="642">
        <v>0</v>
      </c>
      <c r="AK391" s="650">
        <v>61.178195798345449</v>
      </c>
    </row>
    <row r="392" spans="3:37" ht="13.5">
      <c r="C392" s="648" t="s">
        <v>76</v>
      </c>
      <c r="D392" s="642">
        <v>0</v>
      </c>
      <c r="E392" s="642">
        <v>0</v>
      </c>
      <c r="F392" s="642">
        <v>0</v>
      </c>
      <c r="G392" s="642">
        <v>3.7302503173667452</v>
      </c>
      <c r="H392" s="642">
        <v>0</v>
      </c>
      <c r="I392" s="642">
        <v>0</v>
      </c>
      <c r="J392" s="642">
        <v>0</v>
      </c>
      <c r="K392" s="642">
        <v>0</v>
      </c>
      <c r="L392" s="642">
        <v>0</v>
      </c>
      <c r="M392" s="642">
        <v>7.6127557497280507E-2</v>
      </c>
      <c r="N392" s="642">
        <v>0</v>
      </c>
      <c r="O392" s="642">
        <v>0</v>
      </c>
      <c r="P392" s="642">
        <v>45.919010237367587</v>
      </c>
      <c r="Q392" s="642">
        <v>2.9343505562312622</v>
      </c>
      <c r="R392" s="642">
        <v>0</v>
      </c>
      <c r="S392" s="650">
        <v>52.659738668462872</v>
      </c>
      <c r="U392" s="648" t="s">
        <v>76</v>
      </c>
      <c r="V392" s="642">
        <v>0</v>
      </c>
      <c r="W392" s="642">
        <v>0</v>
      </c>
      <c r="X392" s="642">
        <v>0</v>
      </c>
      <c r="Y392" s="642">
        <v>0.95944671778813329</v>
      </c>
      <c r="Z392" s="642">
        <v>0</v>
      </c>
      <c r="AA392" s="642">
        <v>0</v>
      </c>
      <c r="AB392" s="642">
        <v>0</v>
      </c>
      <c r="AC392" s="642">
        <v>0</v>
      </c>
      <c r="AD392" s="642">
        <v>0</v>
      </c>
      <c r="AE392" s="642">
        <v>0.95944671778813329</v>
      </c>
      <c r="AF392" s="642">
        <v>0</v>
      </c>
      <c r="AG392" s="642">
        <v>0</v>
      </c>
      <c r="AH392" s="642">
        <v>49.138117436745475</v>
      </c>
      <c r="AI392" s="642">
        <v>5.7424951548403769</v>
      </c>
      <c r="AJ392" s="642">
        <v>0</v>
      </c>
      <c r="AK392" s="650">
        <v>56.799506027162117</v>
      </c>
    </row>
    <row r="393" spans="3:37" ht="13.5">
      <c r="C393" s="646" t="s">
        <v>77</v>
      </c>
      <c r="D393" s="647">
        <v>42.505000484775252</v>
      </c>
      <c r="E393" s="647">
        <v>484.495467583368</v>
      </c>
      <c r="F393" s="647">
        <v>-449.13421563675462</v>
      </c>
      <c r="G393" s="647">
        <v>47.207234809306371</v>
      </c>
      <c r="H393" s="647">
        <v>843.18181818181824</v>
      </c>
      <c r="I393" s="647">
        <v>306.94588327561422</v>
      </c>
      <c r="J393" s="647">
        <v>75.087544766016393</v>
      </c>
      <c r="K393" s="647">
        <v>18.554763704158422</v>
      </c>
      <c r="L393" s="647">
        <v>-23.523971773378101</v>
      </c>
      <c r="M393" s="647">
        <v>-5.3154503193453246</v>
      </c>
      <c r="N393" s="647">
        <v>0</v>
      </c>
      <c r="O393" s="647">
        <v>9.1176200722123912</v>
      </c>
      <c r="P393" s="647">
        <v>-542.13274839202359</v>
      </c>
      <c r="Q393" s="647">
        <v>-34.870731395116664</v>
      </c>
      <c r="R393" s="647">
        <v>-5.7492063580491291</v>
      </c>
      <c r="S393" s="647">
        <v>766.36900900260184</v>
      </c>
      <c r="U393" s="646" t="s">
        <v>77</v>
      </c>
      <c r="V393" s="647">
        <v>4.6118455145895494</v>
      </c>
      <c r="W393" s="647">
        <v>189.94114801549574</v>
      </c>
      <c r="X393" s="647">
        <v>-164.75055368632826</v>
      </c>
      <c r="Y393" s="647">
        <v>14.771936460533603</v>
      </c>
      <c r="Z393" s="647">
        <v>842.12121212121212</v>
      </c>
      <c r="AA393" s="647">
        <v>361.66588327561419</v>
      </c>
      <c r="AB393" s="647">
        <v>138.19810981289308</v>
      </c>
      <c r="AC393" s="647">
        <v>31.958068806629939</v>
      </c>
      <c r="AD393" s="647">
        <v>-114.15604749086444</v>
      </c>
      <c r="AE393" s="647">
        <v>-66.000175998632287</v>
      </c>
      <c r="AF393" s="647">
        <v>0</v>
      </c>
      <c r="AG393" s="647">
        <v>19.568792039795159</v>
      </c>
      <c r="AH393" s="647">
        <v>-532.33908982989124</v>
      </c>
      <c r="AI393" s="647">
        <v>-68.301024235701377</v>
      </c>
      <c r="AJ393" s="647">
        <v>-31.04291921337316</v>
      </c>
      <c r="AK393" s="647">
        <v>626.24718559197242</v>
      </c>
    </row>
    <row r="394" spans="3:37" ht="13">
      <c r="C394" s="636"/>
      <c r="D394" s="636">
        <v>0</v>
      </c>
      <c r="E394" s="636">
        <v>0</v>
      </c>
      <c r="F394" s="636">
        <v>0</v>
      </c>
      <c r="G394" s="636">
        <v>0</v>
      </c>
      <c r="H394" s="636">
        <v>0</v>
      </c>
      <c r="I394" s="636">
        <v>0</v>
      </c>
      <c r="J394" s="636">
        <v>0</v>
      </c>
      <c r="K394" s="636">
        <v>0</v>
      </c>
      <c r="L394" s="636">
        <v>0</v>
      </c>
      <c r="M394" s="636">
        <v>0</v>
      </c>
      <c r="N394" s="636">
        <v>0</v>
      </c>
      <c r="O394" s="636">
        <v>0</v>
      </c>
      <c r="P394" s="636">
        <v>0</v>
      </c>
      <c r="Q394" s="636">
        <v>0</v>
      </c>
      <c r="R394" s="636">
        <v>0</v>
      </c>
      <c r="S394" s="636">
        <v>0</v>
      </c>
      <c r="U394" s="636"/>
      <c r="V394" s="636">
        <v>0</v>
      </c>
      <c r="W394" s="636">
        <v>0</v>
      </c>
      <c r="X394" s="636">
        <v>0</v>
      </c>
      <c r="Y394" s="636">
        <v>0</v>
      </c>
      <c r="Z394" s="636">
        <v>0</v>
      </c>
      <c r="AA394" s="636">
        <v>0</v>
      </c>
      <c r="AB394" s="636">
        <v>0</v>
      </c>
      <c r="AC394" s="636">
        <v>0</v>
      </c>
      <c r="AD394" s="636">
        <v>0</v>
      </c>
      <c r="AE394" s="636">
        <v>0</v>
      </c>
      <c r="AF394" s="636">
        <v>0</v>
      </c>
      <c r="AG394" s="636">
        <v>0</v>
      </c>
      <c r="AH394" s="636">
        <v>0</v>
      </c>
      <c r="AI394" s="636">
        <v>0</v>
      </c>
      <c r="AJ394" s="636">
        <v>0</v>
      </c>
      <c r="AK394" s="636">
        <v>0</v>
      </c>
    </row>
    <row r="395" spans="3:37" ht="13.5">
      <c r="C395" s="648" t="s">
        <v>78</v>
      </c>
      <c r="D395" s="642">
        <v>4.6398193944555786</v>
      </c>
      <c r="E395" s="642">
        <v>0</v>
      </c>
      <c r="F395" s="642">
        <v>20.598782441852151</v>
      </c>
      <c r="G395" s="642">
        <v>94.839699954986926</v>
      </c>
      <c r="H395" s="642">
        <v>0</v>
      </c>
      <c r="I395" s="642">
        <v>0</v>
      </c>
      <c r="J395" s="642">
        <v>21.821162214793436</v>
      </c>
      <c r="K395" s="642">
        <v>1.7366010173968038</v>
      </c>
      <c r="L395" s="642">
        <v>0.96096945898437491</v>
      </c>
      <c r="M395" s="642">
        <v>1.9539169420126139</v>
      </c>
      <c r="N395" s="642">
        <v>0</v>
      </c>
      <c r="O395" s="642">
        <v>3.7537634069694789E-4</v>
      </c>
      <c r="P395" s="642">
        <v>113.419965125608</v>
      </c>
      <c r="Q395" s="642">
        <v>16.150451210263412</v>
      </c>
      <c r="R395" s="642">
        <v>0.26695886230468752</v>
      </c>
      <c r="S395" s="650">
        <v>276.38870199899873</v>
      </c>
      <c r="U395" s="648" t="s">
        <v>78</v>
      </c>
      <c r="V395" s="642">
        <v>1.264986561669641</v>
      </c>
      <c r="W395" s="642">
        <v>0</v>
      </c>
      <c r="X395" s="642">
        <v>4.4259635061357878</v>
      </c>
      <c r="Y395" s="642">
        <v>33.008089674756327</v>
      </c>
      <c r="Z395" s="642">
        <v>0</v>
      </c>
      <c r="AA395" s="642">
        <v>0</v>
      </c>
      <c r="AB395" s="642">
        <v>14.926911405045434</v>
      </c>
      <c r="AC395" s="642">
        <v>4.7591564459641997</v>
      </c>
      <c r="AD395" s="642">
        <v>6.4130046386718744</v>
      </c>
      <c r="AE395" s="642">
        <v>33.02650253605492</v>
      </c>
      <c r="AF395" s="642">
        <v>0</v>
      </c>
      <c r="AG395" s="642">
        <v>3.7537634069694789E-4</v>
      </c>
      <c r="AH395" s="642">
        <v>148.98135712801343</v>
      </c>
      <c r="AI395" s="642">
        <v>24.187634778338289</v>
      </c>
      <c r="AJ395" s="642">
        <v>7.9027373046875002</v>
      </c>
      <c r="AK395" s="650">
        <v>278.8967193556781</v>
      </c>
    </row>
    <row r="396" spans="3:37" ht="13.5">
      <c r="C396" s="648" t="s">
        <v>79</v>
      </c>
      <c r="D396" s="642">
        <v>0</v>
      </c>
      <c r="E396" s="642">
        <v>0</v>
      </c>
      <c r="F396" s="642">
        <v>225.72324837131151</v>
      </c>
      <c r="G396" s="642">
        <v>31.930807664827714</v>
      </c>
      <c r="H396" s="642">
        <v>0</v>
      </c>
      <c r="I396" s="642">
        <v>0</v>
      </c>
      <c r="J396" s="642">
        <v>0</v>
      </c>
      <c r="K396" s="642">
        <v>0</v>
      </c>
      <c r="L396" s="642">
        <v>21.777356740546686</v>
      </c>
      <c r="M396" s="642">
        <v>0.65164913601689212</v>
      </c>
      <c r="N396" s="642">
        <v>0</v>
      </c>
      <c r="O396" s="642">
        <v>0</v>
      </c>
      <c r="P396" s="642">
        <v>72.885841088882287</v>
      </c>
      <c r="Q396" s="642">
        <v>0</v>
      </c>
      <c r="R396" s="642">
        <v>2.6521266956987635</v>
      </c>
      <c r="S396" s="650">
        <v>355.62102969728386</v>
      </c>
      <c r="U396" s="648" t="s">
        <v>79</v>
      </c>
      <c r="V396" s="642">
        <v>0</v>
      </c>
      <c r="W396" s="642">
        <v>0</v>
      </c>
      <c r="X396" s="642">
        <v>19.003305935487372</v>
      </c>
      <c r="Y396" s="642">
        <v>13.267062862305856</v>
      </c>
      <c r="Z396" s="642">
        <v>0</v>
      </c>
      <c r="AA396" s="642">
        <v>0</v>
      </c>
      <c r="AB396" s="642">
        <v>0</v>
      </c>
      <c r="AC396" s="642">
        <v>0</v>
      </c>
      <c r="AD396" s="642">
        <v>27.757428454399612</v>
      </c>
      <c r="AE396" s="642">
        <v>13.267062862305856</v>
      </c>
      <c r="AF396" s="642">
        <v>0</v>
      </c>
      <c r="AG396" s="642">
        <v>0</v>
      </c>
      <c r="AH396" s="642">
        <v>94.556676700547257</v>
      </c>
      <c r="AI396" s="642">
        <v>0</v>
      </c>
      <c r="AJ396" s="642">
        <v>6.3130917169295051</v>
      </c>
      <c r="AK396" s="650">
        <v>174.16462853197544</v>
      </c>
    </row>
    <row r="397" spans="3:37" ht="13.5">
      <c r="C397" s="648" t="s">
        <v>80</v>
      </c>
      <c r="D397" s="642">
        <v>0</v>
      </c>
      <c r="E397" s="642">
        <v>0</v>
      </c>
      <c r="F397" s="642">
        <v>11.075929176351762</v>
      </c>
      <c r="G397" s="642">
        <v>76.664751333295058</v>
      </c>
      <c r="H397" s="642">
        <v>0</v>
      </c>
      <c r="I397" s="642">
        <v>0</v>
      </c>
      <c r="J397" s="642">
        <v>88.320247059496523</v>
      </c>
      <c r="K397" s="642">
        <v>0</v>
      </c>
      <c r="L397" s="642">
        <v>0</v>
      </c>
      <c r="M397" s="642">
        <v>1.5645867619039808</v>
      </c>
      <c r="N397" s="642">
        <v>59.616390446150973</v>
      </c>
      <c r="O397" s="642">
        <v>2.0734984243972754</v>
      </c>
      <c r="P397" s="642">
        <v>190.93239321884863</v>
      </c>
      <c r="Q397" s="642">
        <v>15.360003531773184</v>
      </c>
      <c r="R397" s="642">
        <v>0</v>
      </c>
      <c r="S397" s="650">
        <v>445.60779995221742</v>
      </c>
      <c r="U397" s="648" t="s">
        <v>80</v>
      </c>
      <c r="V397" s="642">
        <v>0</v>
      </c>
      <c r="W397" s="642">
        <v>0</v>
      </c>
      <c r="X397" s="642">
        <v>0.97925934500211753</v>
      </c>
      <c r="Y397" s="642">
        <v>9.8253088649292142</v>
      </c>
      <c r="Z397" s="642">
        <v>0</v>
      </c>
      <c r="AA397" s="642">
        <v>0</v>
      </c>
      <c r="AB397" s="642">
        <v>50.204880630535357</v>
      </c>
      <c r="AC397" s="642">
        <v>0</v>
      </c>
      <c r="AD397" s="642">
        <v>0</v>
      </c>
      <c r="AE397" s="642">
        <v>9.8253088649292142</v>
      </c>
      <c r="AF397" s="642">
        <v>95.02342184325245</v>
      </c>
      <c r="AG397" s="642">
        <v>4.208312775429496</v>
      </c>
      <c r="AH397" s="642">
        <v>144.38732956018927</v>
      </c>
      <c r="AI397" s="642">
        <v>30.75075127630511</v>
      </c>
      <c r="AJ397" s="642">
        <v>0</v>
      </c>
      <c r="AK397" s="650">
        <v>345.20457316057224</v>
      </c>
    </row>
    <row r="398" spans="3:37" ht="13.5">
      <c r="C398" s="648" t="s">
        <v>81</v>
      </c>
      <c r="D398" s="642">
        <v>0</v>
      </c>
      <c r="E398" s="642">
        <v>0</v>
      </c>
      <c r="F398" s="642">
        <v>2.6743117433405894</v>
      </c>
      <c r="G398" s="642">
        <v>62.987223173923248</v>
      </c>
      <c r="H398" s="642">
        <v>0</v>
      </c>
      <c r="I398" s="642">
        <v>0</v>
      </c>
      <c r="J398" s="642">
        <v>3.1384766478070549</v>
      </c>
      <c r="K398" s="642">
        <v>2.5274117631643136E-2</v>
      </c>
      <c r="L398" s="642">
        <v>0</v>
      </c>
      <c r="M398" s="642">
        <v>1.2854535341616988</v>
      </c>
      <c r="N398" s="642">
        <v>8.34801759276524</v>
      </c>
      <c r="O398" s="642">
        <v>0.71507622546549865</v>
      </c>
      <c r="P398" s="642">
        <v>142.0321146826426</v>
      </c>
      <c r="Q398" s="642">
        <v>3.3602766530800707</v>
      </c>
      <c r="R398" s="642">
        <v>0</v>
      </c>
      <c r="S398" s="650">
        <v>224.56622437081765</v>
      </c>
      <c r="U398" s="648" t="s">
        <v>81</v>
      </c>
      <c r="V398" s="642">
        <v>0</v>
      </c>
      <c r="W398" s="642">
        <v>0</v>
      </c>
      <c r="X398" s="642">
        <v>1.2256055704751125</v>
      </c>
      <c r="Y398" s="642">
        <v>7.2918833253665882</v>
      </c>
      <c r="Z398" s="642">
        <v>0</v>
      </c>
      <c r="AA398" s="642">
        <v>0</v>
      </c>
      <c r="AB398" s="642">
        <v>6.8658928642747856</v>
      </c>
      <c r="AC398" s="642">
        <v>2.5274117631643136E-2</v>
      </c>
      <c r="AD398" s="642">
        <v>0</v>
      </c>
      <c r="AE398" s="642">
        <v>7.2918833253665882</v>
      </c>
      <c r="AF398" s="642">
        <v>14.828462979838848</v>
      </c>
      <c r="AG398" s="642">
        <v>1.5197231438340593</v>
      </c>
      <c r="AH398" s="642">
        <v>114.40426288608282</v>
      </c>
      <c r="AI398" s="642">
        <v>13.362638181057982</v>
      </c>
      <c r="AJ398" s="642">
        <v>0</v>
      </c>
      <c r="AK398" s="650">
        <v>166.8156263939284</v>
      </c>
    </row>
    <row r="399" spans="3:37" ht="13.5">
      <c r="C399" s="648" t="s">
        <v>82</v>
      </c>
      <c r="D399" s="642">
        <v>0</v>
      </c>
      <c r="E399" s="642">
        <v>0</v>
      </c>
      <c r="F399" s="642">
        <v>27.931723909553636</v>
      </c>
      <c r="G399" s="642">
        <v>0.95472649492283324</v>
      </c>
      <c r="H399" s="642">
        <v>0</v>
      </c>
      <c r="I399" s="642">
        <v>0</v>
      </c>
      <c r="J399" s="642">
        <v>4.6306119511950978</v>
      </c>
      <c r="K399" s="642">
        <v>0</v>
      </c>
      <c r="L399" s="642">
        <v>3.1934862443619529</v>
      </c>
      <c r="M399" s="642">
        <v>1.9484214182098638E-2</v>
      </c>
      <c r="N399" s="642">
        <v>0</v>
      </c>
      <c r="O399" s="642">
        <v>6.6456137421005312E-2</v>
      </c>
      <c r="P399" s="642">
        <v>5.7660712732306445</v>
      </c>
      <c r="Q399" s="642">
        <v>0</v>
      </c>
      <c r="R399" s="642">
        <v>0</v>
      </c>
      <c r="S399" s="650">
        <v>42.562560224867276</v>
      </c>
      <c r="U399" s="648" t="s">
        <v>82</v>
      </c>
      <c r="V399" s="642">
        <v>0</v>
      </c>
      <c r="W399" s="642">
        <v>0</v>
      </c>
      <c r="X399" s="642">
        <v>3.5775053425595864</v>
      </c>
      <c r="Y399" s="642">
        <v>0.56393102033742082</v>
      </c>
      <c r="Z399" s="642">
        <v>0</v>
      </c>
      <c r="AA399" s="642">
        <v>0</v>
      </c>
      <c r="AB399" s="642">
        <v>4.6306119511950978</v>
      </c>
      <c r="AC399" s="642">
        <v>0</v>
      </c>
      <c r="AD399" s="642">
        <v>32.861113305842508</v>
      </c>
      <c r="AE399" s="642">
        <v>0.56393102033742082</v>
      </c>
      <c r="AF399" s="642">
        <v>0</v>
      </c>
      <c r="AG399" s="642">
        <v>1.7440136932478227</v>
      </c>
      <c r="AH399" s="642">
        <v>5.8866318405152116</v>
      </c>
      <c r="AI399" s="642">
        <v>0</v>
      </c>
      <c r="AJ399" s="642">
        <v>0.38427420359697795</v>
      </c>
      <c r="AK399" s="650">
        <v>50.21201237763205</v>
      </c>
    </row>
    <row r="400" spans="3:37" ht="13.5">
      <c r="C400" s="648" t="s">
        <v>357</v>
      </c>
      <c r="D400" s="642">
        <v>0</v>
      </c>
      <c r="E400" s="642">
        <v>0</v>
      </c>
      <c r="F400" s="642">
        <v>0</v>
      </c>
      <c r="G400" s="642">
        <v>0</v>
      </c>
      <c r="H400" s="642">
        <v>0</v>
      </c>
      <c r="I400" s="642">
        <v>0</v>
      </c>
      <c r="J400" s="642">
        <v>0</v>
      </c>
      <c r="K400" s="642">
        <v>0</v>
      </c>
      <c r="L400" s="642">
        <v>0</v>
      </c>
      <c r="M400" s="642">
        <v>0</v>
      </c>
      <c r="N400" s="642">
        <v>0</v>
      </c>
      <c r="O400" s="642">
        <v>0</v>
      </c>
      <c r="P400" s="642">
        <v>0.39</v>
      </c>
      <c r="Q400" s="642">
        <v>0</v>
      </c>
      <c r="R400" s="642">
        <v>0</v>
      </c>
      <c r="S400" s="650">
        <v>0.39</v>
      </c>
      <c r="U400" s="648" t="s">
        <v>357</v>
      </c>
      <c r="V400" s="642">
        <v>0</v>
      </c>
      <c r="W400" s="642">
        <v>0</v>
      </c>
      <c r="X400" s="642">
        <v>0</v>
      </c>
      <c r="Y400" s="642">
        <v>0</v>
      </c>
      <c r="Z400" s="642">
        <v>0</v>
      </c>
      <c r="AA400" s="642">
        <v>0</v>
      </c>
      <c r="AB400" s="642">
        <v>0</v>
      </c>
      <c r="AC400" s="642">
        <v>0</v>
      </c>
      <c r="AD400" s="642">
        <v>0</v>
      </c>
      <c r="AE400" s="642">
        <v>0</v>
      </c>
      <c r="AF400" s="642">
        <v>0</v>
      </c>
      <c r="AG400" s="642">
        <v>0</v>
      </c>
      <c r="AH400" s="642">
        <v>3.5999999999999996</v>
      </c>
      <c r="AI400" s="642">
        <v>0</v>
      </c>
      <c r="AJ400" s="642">
        <v>0</v>
      </c>
      <c r="AK400" s="650">
        <v>3.5999999999999996</v>
      </c>
    </row>
    <row r="401" spans="3:37" ht="13.5">
      <c r="C401" s="646" t="s">
        <v>83</v>
      </c>
      <c r="D401" s="647">
        <v>4.6398193944555786</v>
      </c>
      <c r="E401" s="647">
        <v>0</v>
      </c>
      <c r="F401" s="647">
        <v>288.00399564240968</v>
      </c>
      <c r="G401" s="647">
        <v>267.37720862195579</v>
      </c>
      <c r="H401" s="647">
        <v>0</v>
      </c>
      <c r="I401" s="647">
        <v>0</v>
      </c>
      <c r="J401" s="647">
        <v>117.91049787329212</v>
      </c>
      <c r="K401" s="647">
        <v>1.7618751350284469</v>
      </c>
      <c r="L401" s="647">
        <v>25.931812443893016</v>
      </c>
      <c r="M401" s="647">
        <v>5.4750905882772853</v>
      </c>
      <c r="N401" s="647">
        <v>67.964408038916218</v>
      </c>
      <c r="O401" s="647">
        <v>2.8554061636244761</v>
      </c>
      <c r="P401" s="647">
        <v>525.4263853892121</v>
      </c>
      <c r="Q401" s="647">
        <v>34.870731395116664</v>
      </c>
      <c r="R401" s="647">
        <v>2.9190855580034509</v>
      </c>
      <c r="S401" s="647">
        <v>1345.1363162441851</v>
      </c>
      <c r="U401" s="646" t="s">
        <v>83</v>
      </c>
      <c r="V401" s="647">
        <v>1.264986561669641</v>
      </c>
      <c r="W401" s="647">
        <v>0</v>
      </c>
      <c r="X401" s="647">
        <v>29.211639699659976</v>
      </c>
      <c r="Y401" s="647">
        <v>63.956275747695408</v>
      </c>
      <c r="Z401" s="647">
        <v>0</v>
      </c>
      <c r="AA401" s="647">
        <v>0</v>
      </c>
      <c r="AB401" s="647">
        <v>76.628296851050663</v>
      </c>
      <c r="AC401" s="647">
        <v>4.7844305635958433</v>
      </c>
      <c r="AD401" s="647">
        <v>67.031546398914003</v>
      </c>
      <c r="AE401" s="647">
        <v>63.974688608994001</v>
      </c>
      <c r="AF401" s="647">
        <v>109.8518848230913</v>
      </c>
      <c r="AG401" s="647">
        <v>7.4724249888520751</v>
      </c>
      <c r="AH401" s="647">
        <v>511.81625811534803</v>
      </c>
      <c r="AI401" s="647">
        <v>68.301024235701377</v>
      </c>
      <c r="AJ401" s="647">
        <v>14.600103225213982</v>
      </c>
      <c r="AK401" s="647">
        <v>1018.8935598197862</v>
      </c>
    </row>
    <row r="402" spans="3:37" ht="13.5">
      <c r="C402" s="641" t="s">
        <v>84</v>
      </c>
      <c r="D402" s="642">
        <v>0</v>
      </c>
      <c r="E402" s="642">
        <v>0</v>
      </c>
      <c r="F402" s="642">
        <v>104.91003257681685</v>
      </c>
      <c r="G402" s="642">
        <v>11.505661507854215</v>
      </c>
      <c r="H402" s="642">
        <v>0</v>
      </c>
      <c r="I402" s="642">
        <v>0</v>
      </c>
      <c r="J402" s="642">
        <v>0</v>
      </c>
      <c r="K402" s="642">
        <v>0</v>
      </c>
      <c r="L402" s="642">
        <v>0</v>
      </c>
      <c r="M402" s="642">
        <v>0</v>
      </c>
      <c r="N402" s="642">
        <v>0</v>
      </c>
      <c r="O402" s="642">
        <v>0</v>
      </c>
      <c r="P402" s="642">
        <v>0</v>
      </c>
      <c r="Q402" s="642">
        <v>0</v>
      </c>
      <c r="R402" s="642">
        <v>2.8301208000456781</v>
      </c>
      <c r="S402" s="650">
        <v>119.24581488471674</v>
      </c>
      <c r="U402" s="641" t="s">
        <v>84</v>
      </c>
      <c r="V402" s="642">
        <v>0</v>
      </c>
      <c r="W402" s="642">
        <v>0</v>
      </c>
      <c r="X402" s="642">
        <v>70.401025384734808</v>
      </c>
      <c r="Y402" s="642">
        <v>0.81519182748409058</v>
      </c>
      <c r="Z402" s="642">
        <v>0</v>
      </c>
      <c r="AA402" s="642">
        <v>0</v>
      </c>
      <c r="AB402" s="642">
        <v>0</v>
      </c>
      <c r="AC402" s="642">
        <v>0</v>
      </c>
      <c r="AD402" s="642">
        <v>24.563190847778323</v>
      </c>
      <c r="AE402" s="642">
        <v>0</v>
      </c>
      <c r="AF402" s="642">
        <v>0</v>
      </c>
      <c r="AG402" s="642">
        <v>0</v>
      </c>
      <c r="AH402" s="642">
        <v>0</v>
      </c>
      <c r="AI402" s="642">
        <v>0</v>
      </c>
      <c r="AJ402" s="642">
        <v>16.442815988159179</v>
      </c>
      <c r="AK402" s="650">
        <v>112.22222404815641</v>
      </c>
    </row>
    <row r="403" spans="3:37" ht="13.5">
      <c r="C403" s="646" t="s">
        <v>85</v>
      </c>
      <c r="D403" s="647">
        <v>4.6398193944555786</v>
      </c>
      <c r="E403" s="647">
        <v>0</v>
      </c>
      <c r="F403" s="647">
        <v>392.91402821922651</v>
      </c>
      <c r="G403" s="647">
        <v>278.88287012980999</v>
      </c>
      <c r="H403" s="647">
        <v>0</v>
      </c>
      <c r="I403" s="647">
        <v>0</v>
      </c>
      <c r="J403" s="647">
        <v>117.91049787329212</v>
      </c>
      <c r="K403" s="647">
        <v>1.7618751350284469</v>
      </c>
      <c r="L403" s="647">
        <v>25.931812443893016</v>
      </c>
      <c r="M403" s="647">
        <v>5.4750905882772853</v>
      </c>
      <c r="N403" s="647">
        <v>67.964408038916218</v>
      </c>
      <c r="O403" s="647">
        <v>2.8554061636244761</v>
      </c>
      <c r="P403" s="647">
        <v>525.4263853892121</v>
      </c>
      <c r="Q403" s="647">
        <v>34.870731395116664</v>
      </c>
      <c r="R403" s="647">
        <v>5.7492063580491291</v>
      </c>
      <c r="S403" s="647">
        <v>1464.3821311289018</v>
      </c>
      <c r="U403" s="646" t="s">
        <v>85</v>
      </c>
      <c r="V403" s="647">
        <v>1.264986561669641</v>
      </c>
      <c r="W403" s="647">
        <v>0</v>
      </c>
      <c r="X403" s="647">
        <v>99.612665084394791</v>
      </c>
      <c r="Y403" s="647">
        <v>64.7714675751795</v>
      </c>
      <c r="Z403" s="647">
        <v>0</v>
      </c>
      <c r="AA403" s="647">
        <v>0</v>
      </c>
      <c r="AB403" s="647">
        <v>76.628296851050663</v>
      </c>
      <c r="AC403" s="647">
        <v>4.7844305635958433</v>
      </c>
      <c r="AD403" s="647">
        <v>91.594737246692318</v>
      </c>
      <c r="AE403" s="647">
        <v>63.974688608994001</v>
      </c>
      <c r="AF403" s="647">
        <v>109.8518848230913</v>
      </c>
      <c r="AG403" s="647">
        <v>7.4724249888520751</v>
      </c>
      <c r="AH403" s="647">
        <v>511.81625811534803</v>
      </c>
      <c r="AI403" s="647">
        <v>68.301024235701377</v>
      </c>
      <c r="AJ403" s="647">
        <v>31.04291921337316</v>
      </c>
      <c r="AK403" s="647">
        <v>1131.1157838679426</v>
      </c>
    </row>
    <row r="404" spans="3:37" ht="13">
      <c r="C404" s="636"/>
      <c r="D404" s="636"/>
      <c r="E404" s="636"/>
      <c r="F404" s="636"/>
      <c r="G404" s="636"/>
      <c r="H404" s="636"/>
      <c r="I404" s="636"/>
      <c r="J404" s="636"/>
      <c r="K404" s="636"/>
      <c r="L404" s="636"/>
      <c r="M404" s="636"/>
      <c r="N404" s="636"/>
      <c r="O404" s="636"/>
      <c r="P404" s="636"/>
      <c r="Q404" s="636"/>
      <c r="R404" s="636"/>
      <c r="S404" s="636"/>
      <c r="U404" s="636"/>
      <c r="V404" s="636"/>
      <c r="W404" s="636"/>
      <c r="X404" s="636"/>
      <c r="Y404" s="636"/>
      <c r="Z404" s="636"/>
      <c r="AA404" s="636"/>
      <c r="AB404" s="636"/>
      <c r="AC404" s="636"/>
      <c r="AD404" s="636"/>
      <c r="AE404" s="636"/>
      <c r="AF404" s="636"/>
      <c r="AG404" s="636"/>
      <c r="AH404" s="636"/>
      <c r="AI404" s="636"/>
      <c r="AJ404" s="636"/>
      <c r="AK404" s="636"/>
    </row>
    <row r="405" spans="3:37" ht="22.5">
      <c r="C405" s="699" t="s">
        <v>89</v>
      </c>
      <c r="D405" s="699"/>
      <c r="E405" s="699"/>
      <c r="F405" s="699"/>
      <c r="G405" s="699"/>
      <c r="H405" s="699"/>
      <c r="I405" s="699"/>
      <c r="J405" s="699"/>
      <c r="K405" s="699"/>
      <c r="L405" s="699"/>
      <c r="M405" s="699"/>
      <c r="N405" s="699"/>
      <c r="O405" s="699"/>
      <c r="P405" s="699"/>
      <c r="Q405" s="699"/>
      <c r="R405" s="699"/>
      <c r="S405" s="699"/>
      <c r="U405" s="699" t="s">
        <v>89</v>
      </c>
      <c r="V405" s="699"/>
      <c r="W405" s="699"/>
      <c r="X405" s="699"/>
      <c r="Y405" s="699"/>
      <c r="Z405" s="699"/>
      <c r="AA405" s="699"/>
      <c r="AB405" s="699"/>
      <c r="AC405" s="699"/>
      <c r="AD405" s="699"/>
      <c r="AE405" s="699"/>
      <c r="AF405" s="699"/>
      <c r="AG405" s="699"/>
      <c r="AH405" s="699"/>
      <c r="AI405" s="699"/>
      <c r="AJ405" s="699"/>
      <c r="AK405" s="699"/>
    </row>
    <row r="406" spans="3:37" ht="13">
      <c r="C406" s="636"/>
      <c r="D406" s="636"/>
      <c r="E406" s="636"/>
      <c r="F406" s="636"/>
      <c r="G406" s="636"/>
      <c r="H406" s="636"/>
      <c r="I406" s="636"/>
      <c r="J406" s="636"/>
      <c r="K406" s="636"/>
      <c r="L406" s="636"/>
      <c r="M406" s="636"/>
      <c r="N406" s="636"/>
      <c r="O406" s="636"/>
      <c r="P406" s="636"/>
      <c r="Q406" s="636"/>
      <c r="R406" s="636"/>
      <c r="S406" s="636"/>
      <c r="U406" s="636"/>
      <c r="V406" s="636"/>
      <c r="W406" s="636"/>
      <c r="X406" s="636"/>
      <c r="Y406" s="636"/>
      <c r="Z406" s="636"/>
      <c r="AA406" s="636"/>
      <c r="AB406" s="636"/>
      <c r="AC406" s="636"/>
      <c r="AD406" s="636"/>
      <c r="AE406" s="636"/>
      <c r="AF406" s="636"/>
      <c r="AG406" s="636"/>
      <c r="AH406" s="636"/>
      <c r="AI406" s="636"/>
      <c r="AJ406" s="636"/>
      <c r="AK406" s="636"/>
    </row>
    <row r="407" spans="3:37" ht="13" customHeight="1">
      <c r="C407" s="700" t="s">
        <v>128</v>
      </c>
      <c r="D407" s="701" t="s">
        <v>42</v>
      </c>
      <c r="E407" s="701" t="s">
        <v>52</v>
      </c>
      <c r="F407" s="701" t="s">
        <v>53</v>
      </c>
      <c r="G407" s="701" t="s">
        <v>32</v>
      </c>
      <c r="H407" s="701" t="s">
        <v>20</v>
      </c>
      <c r="I407" s="701" t="s">
        <v>55</v>
      </c>
      <c r="J407" s="701" t="s">
        <v>56</v>
      </c>
      <c r="K407" s="701"/>
      <c r="L407" s="701"/>
      <c r="M407" s="701"/>
      <c r="N407" s="701"/>
      <c r="O407" s="701"/>
      <c r="P407" s="701" t="s">
        <v>57</v>
      </c>
      <c r="Q407" s="701" t="s">
        <v>58</v>
      </c>
      <c r="R407" s="701" t="s">
        <v>31</v>
      </c>
      <c r="S407" s="701" t="s">
        <v>10</v>
      </c>
      <c r="U407" s="700" t="s">
        <v>128</v>
      </c>
      <c r="V407" s="701" t="s">
        <v>42</v>
      </c>
      <c r="W407" s="701" t="s">
        <v>52</v>
      </c>
      <c r="X407" s="701" t="s">
        <v>53</v>
      </c>
      <c r="Y407" s="701" t="s">
        <v>32</v>
      </c>
      <c r="Z407" s="701" t="s">
        <v>20</v>
      </c>
      <c r="AA407" s="701" t="s">
        <v>55</v>
      </c>
      <c r="AB407" s="701" t="s">
        <v>56</v>
      </c>
      <c r="AC407" s="701"/>
      <c r="AD407" s="701"/>
      <c r="AE407" s="701"/>
      <c r="AF407" s="701"/>
      <c r="AG407" s="701"/>
      <c r="AH407" s="701" t="s">
        <v>57</v>
      </c>
      <c r="AI407" s="701" t="s">
        <v>58</v>
      </c>
      <c r="AJ407" s="701" t="s">
        <v>31</v>
      </c>
      <c r="AK407" s="701" t="s">
        <v>10</v>
      </c>
    </row>
    <row r="408" spans="3:37" ht="46">
      <c r="C408" s="700"/>
      <c r="D408" s="701"/>
      <c r="E408" s="701"/>
      <c r="F408" s="701"/>
      <c r="G408" s="701"/>
      <c r="H408" s="701"/>
      <c r="I408" s="701"/>
      <c r="J408" s="640" t="s">
        <v>338</v>
      </c>
      <c r="K408" s="640" t="s">
        <v>40</v>
      </c>
      <c r="L408" s="640" t="s">
        <v>346</v>
      </c>
      <c r="M408" s="640" t="s">
        <v>347</v>
      </c>
      <c r="N408" s="640" t="s">
        <v>348</v>
      </c>
      <c r="O408" s="640" t="s">
        <v>349</v>
      </c>
      <c r="P408" s="701"/>
      <c r="Q408" s="701"/>
      <c r="R408" s="701"/>
      <c r="S408" s="701"/>
      <c r="U408" s="700"/>
      <c r="V408" s="701"/>
      <c r="W408" s="701"/>
      <c r="X408" s="701"/>
      <c r="Y408" s="701"/>
      <c r="Z408" s="701"/>
      <c r="AA408" s="701"/>
      <c r="AB408" s="640" t="s">
        <v>338</v>
      </c>
      <c r="AC408" s="640" t="s">
        <v>40</v>
      </c>
      <c r="AD408" s="640" t="s">
        <v>346</v>
      </c>
      <c r="AE408" s="640" t="s">
        <v>347</v>
      </c>
      <c r="AF408" s="640" t="s">
        <v>348</v>
      </c>
      <c r="AG408" s="640" t="s">
        <v>349</v>
      </c>
      <c r="AH408" s="701"/>
      <c r="AI408" s="701"/>
      <c r="AJ408" s="701"/>
      <c r="AK408" s="701"/>
    </row>
    <row r="409" spans="3:37" ht="13.5">
      <c r="C409" s="641" t="s">
        <v>59</v>
      </c>
      <c r="D409" s="642">
        <v>0</v>
      </c>
      <c r="E409" s="643">
        <v>0</v>
      </c>
      <c r="F409" s="643">
        <v>0</v>
      </c>
      <c r="G409" s="642">
        <v>0</v>
      </c>
      <c r="H409" s="643">
        <v>727.27272727272737</v>
      </c>
      <c r="I409" s="643">
        <v>338.37995078139568</v>
      </c>
      <c r="J409" s="643">
        <v>185.12606679296266</v>
      </c>
      <c r="K409" s="643">
        <v>19.887492227897642</v>
      </c>
      <c r="L409" s="643">
        <v>0.67629573379861951</v>
      </c>
      <c r="M409" s="643">
        <v>0.16041590589481752</v>
      </c>
      <c r="N409" s="643">
        <v>75.083762899489528</v>
      </c>
      <c r="O409" s="643">
        <v>12.515766779598991</v>
      </c>
      <c r="P409" s="644">
        <v>0</v>
      </c>
      <c r="Q409" s="643">
        <v>0</v>
      </c>
      <c r="R409" s="643">
        <v>0</v>
      </c>
      <c r="S409" s="645">
        <v>1359.1024783937653</v>
      </c>
      <c r="U409" s="641" t="s">
        <v>59</v>
      </c>
      <c r="V409" s="642">
        <v>0</v>
      </c>
      <c r="W409" s="643">
        <v>0</v>
      </c>
      <c r="X409" s="643">
        <v>0</v>
      </c>
      <c r="Y409" s="642">
        <v>0</v>
      </c>
      <c r="Z409" s="643">
        <v>764.84848484848499</v>
      </c>
      <c r="AA409" s="643">
        <v>423.19995078139567</v>
      </c>
      <c r="AB409" s="643">
        <v>256.09062969225096</v>
      </c>
      <c r="AC409" s="643">
        <v>36.108430969743218</v>
      </c>
      <c r="AD409" s="643">
        <v>0.67629573379861951</v>
      </c>
      <c r="AE409" s="643">
        <v>0.16041590589481752</v>
      </c>
      <c r="AF409" s="643">
        <v>123.16818516374138</v>
      </c>
      <c r="AG409" s="643">
        <v>30.250193334526926</v>
      </c>
      <c r="AH409" s="644">
        <v>0</v>
      </c>
      <c r="AI409" s="643">
        <v>0</v>
      </c>
      <c r="AJ409" s="643">
        <v>0</v>
      </c>
      <c r="AK409" s="645">
        <v>1634.5025864298366</v>
      </c>
    </row>
    <row r="410" spans="3:37" ht="13.5">
      <c r="C410" s="641" t="s">
        <v>60</v>
      </c>
      <c r="D410" s="642">
        <v>46.099891323621534</v>
      </c>
      <c r="E410" s="643">
        <v>464.7986487</v>
      </c>
      <c r="F410" s="643">
        <v>48.534128715927544</v>
      </c>
      <c r="G410" s="642">
        <v>345.55093723566335</v>
      </c>
      <c r="H410" s="643">
        <v>0</v>
      </c>
      <c r="I410" s="643">
        <v>0</v>
      </c>
      <c r="J410" s="643">
        <v>5.7213435879484642</v>
      </c>
      <c r="K410" s="643">
        <v>0</v>
      </c>
      <c r="L410" s="643">
        <v>3.0565993326094723</v>
      </c>
      <c r="M410" s="643">
        <v>0</v>
      </c>
      <c r="N410" s="643">
        <v>0</v>
      </c>
      <c r="O410" s="643">
        <v>0</v>
      </c>
      <c r="P410" s="644">
        <v>0</v>
      </c>
      <c r="Q410" s="643">
        <v>0</v>
      </c>
      <c r="R410" s="643">
        <v>0</v>
      </c>
      <c r="S410" s="645">
        <v>913.76154889577037</v>
      </c>
      <c r="U410" s="641" t="s">
        <v>60</v>
      </c>
      <c r="V410" s="642">
        <v>4.5871215860372576</v>
      </c>
      <c r="W410" s="643">
        <v>113.59926767676768</v>
      </c>
      <c r="X410" s="643">
        <v>20.138935454909394</v>
      </c>
      <c r="Y410" s="642">
        <v>0.51452681198611927</v>
      </c>
      <c r="Z410" s="643">
        <v>0</v>
      </c>
      <c r="AA410" s="643">
        <v>0</v>
      </c>
      <c r="AB410" s="643">
        <v>5.7213435879484642</v>
      </c>
      <c r="AC410" s="643">
        <v>0</v>
      </c>
      <c r="AD410" s="643">
        <v>3.0565993326094723</v>
      </c>
      <c r="AE410" s="643">
        <v>0</v>
      </c>
      <c r="AF410" s="643">
        <v>0</v>
      </c>
      <c r="AG410" s="643">
        <v>0</v>
      </c>
      <c r="AH410" s="644">
        <v>0</v>
      </c>
      <c r="AI410" s="643">
        <v>0</v>
      </c>
      <c r="AJ410" s="643">
        <v>0</v>
      </c>
      <c r="AK410" s="645">
        <v>147.6177944502584</v>
      </c>
    </row>
    <row r="411" spans="3:37" ht="13.5">
      <c r="C411" s="641" t="s">
        <v>61</v>
      </c>
      <c r="D411" s="642">
        <v>0</v>
      </c>
      <c r="E411" s="643">
        <v>0</v>
      </c>
      <c r="F411" s="643">
        <v>0</v>
      </c>
      <c r="G411" s="642">
        <v>0</v>
      </c>
      <c r="H411" s="643">
        <v>0</v>
      </c>
      <c r="I411" s="643">
        <v>0</v>
      </c>
      <c r="J411" s="643">
        <v>0</v>
      </c>
      <c r="K411" s="643">
        <v>0</v>
      </c>
      <c r="L411" s="643">
        <v>0</v>
      </c>
      <c r="M411" s="643">
        <v>0</v>
      </c>
      <c r="N411" s="643">
        <v>0</v>
      </c>
      <c r="O411" s="643">
        <v>0</v>
      </c>
      <c r="P411" s="644">
        <v>-12.7985093299136</v>
      </c>
      <c r="Q411" s="643">
        <v>0</v>
      </c>
      <c r="R411" s="643">
        <v>0</v>
      </c>
      <c r="S411" s="645">
        <v>-12.7985093299136</v>
      </c>
      <c r="U411" s="641" t="s">
        <v>61</v>
      </c>
      <c r="V411" s="642">
        <v>0</v>
      </c>
      <c r="W411" s="643">
        <v>0</v>
      </c>
      <c r="X411" s="643">
        <v>0</v>
      </c>
      <c r="Y411" s="642">
        <v>0</v>
      </c>
      <c r="Z411" s="643">
        <v>0</v>
      </c>
      <c r="AA411" s="643">
        <v>0</v>
      </c>
      <c r="AB411" s="643">
        <v>0</v>
      </c>
      <c r="AC411" s="643">
        <v>0</v>
      </c>
      <c r="AD411" s="643">
        <v>0</v>
      </c>
      <c r="AE411" s="643">
        <v>0</v>
      </c>
      <c r="AF411" s="643">
        <v>0</v>
      </c>
      <c r="AG411" s="643">
        <v>0</v>
      </c>
      <c r="AH411" s="644">
        <v>-41.639986107117011</v>
      </c>
      <c r="AI411" s="643">
        <v>0</v>
      </c>
      <c r="AJ411" s="643">
        <v>0</v>
      </c>
      <c r="AK411" s="645">
        <v>-41.639986107117011</v>
      </c>
    </row>
    <row r="412" spans="3:37" ht="13.5">
      <c r="C412" s="641" t="s">
        <v>62</v>
      </c>
      <c r="D412" s="642">
        <v>0</v>
      </c>
      <c r="E412" s="643">
        <v>0</v>
      </c>
      <c r="F412" s="643">
        <v>-14.431507774067331</v>
      </c>
      <c r="G412" s="642">
        <v>0</v>
      </c>
      <c r="H412" s="643">
        <v>0</v>
      </c>
      <c r="I412" s="643">
        <v>0</v>
      </c>
      <c r="J412" s="643">
        <v>0</v>
      </c>
      <c r="K412" s="643">
        <v>0</v>
      </c>
      <c r="L412" s="643">
        <v>0</v>
      </c>
      <c r="M412" s="643">
        <v>0</v>
      </c>
      <c r="N412" s="643">
        <v>0</v>
      </c>
      <c r="O412" s="643">
        <v>0</v>
      </c>
      <c r="P412" s="644">
        <v>0</v>
      </c>
      <c r="Q412" s="643">
        <v>0</v>
      </c>
      <c r="R412" s="643">
        <v>0</v>
      </c>
      <c r="S412" s="645">
        <v>-14.431507774067331</v>
      </c>
      <c r="U412" s="641" t="s">
        <v>62</v>
      </c>
      <c r="V412" s="642">
        <v>0</v>
      </c>
      <c r="W412" s="643">
        <v>0</v>
      </c>
      <c r="X412" s="643">
        <v>-5.3013702027186111</v>
      </c>
      <c r="Y412" s="642">
        <v>0</v>
      </c>
      <c r="Z412" s="643">
        <v>0</v>
      </c>
      <c r="AA412" s="643">
        <v>0</v>
      </c>
      <c r="AB412" s="643">
        <v>0</v>
      </c>
      <c r="AC412" s="643">
        <v>0</v>
      </c>
      <c r="AD412" s="643">
        <v>0</v>
      </c>
      <c r="AE412" s="643">
        <v>-5.1137296191648005</v>
      </c>
      <c r="AF412" s="643">
        <v>0</v>
      </c>
      <c r="AG412" s="643">
        <v>0</v>
      </c>
      <c r="AH412" s="644">
        <v>0</v>
      </c>
      <c r="AI412" s="643">
        <v>0</v>
      </c>
      <c r="AJ412" s="643">
        <v>0</v>
      </c>
      <c r="AK412" s="645">
        <v>-10.415099821883413</v>
      </c>
    </row>
    <row r="413" spans="3:37" ht="13.5">
      <c r="C413" s="641" t="s">
        <v>63</v>
      </c>
      <c r="D413" s="642">
        <v>0</v>
      </c>
      <c r="E413" s="643">
        <v>0</v>
      </c>
      <c r="F413" s="643">
        <v>-93.443844381495637</v>
      </c>
      <c r="G413" s="642">
        <v>0</v>
      </c>
      <c r="H413" s="643">
        <v>0</v>
      </c>
      <c r="I413" s="643">
        <v>0</v>
      </c>
      <c r="J413" s="643">
        <v>0</v>
      </c>
      <c r="K413" s="643">
        <v>0</v>
      </c>
      <c r="L413" s="643">
        <v>-0.96889726774865159</v>
      </c>
      <c r="M413" s="643">
        <v>0</v>
      </c>
      <c r="N413" s="643">
        <v>0</v>
      </c>
      <c r="O413" s="643">
        <v>0</v>
      </c>
      <c r="P413" s="644">
        <v>0</v>
      </c>
      <c r="Q413" s="643">
        <v>0</v>
      </c>
      <c r="R413" s="643">
        <v>0</v>
      </c>
      <c r="S413" s="645">
        <v>-94.412741649244282</v>
      </c>
      <c r="U413" s="641" t="s">
        <v>63</v>
      </c>
      <c r="V413" s="642">
        <v>0</v>
      </c>
      <c r="W413" s="643">
        <v>0</v>
      </c>
      <c r="X413" s="643">
        <v>-35.841594545498886</v>
      </c>
      <c r="Y413" s="642">
        <v>0</v>
      </c>
      <c r="Z413" s="643">
        <v>0</v>
      </c>
      <c r="AA413" s="643">
        <v>0</v>
      </c>
      <c r="AB413" s="643">
        <v>0</v>
      </c>
      <c r="AC413" s="643">
        <v>0</v>
      </c>
      <c r="AD413" s="643">
        <v>-46.567340427053182</v>
      </c>
      <c r="AE413" s="643">
        <v>0</v>
      </c>
      <c r="AF413" s="643">
        <v>0</v>
      </c>
      <c r="AG413" s="643">
        <v>0</v>
      </c>
      <c r="AH413" s="644">
        <v>0</v>
      </c>
      <c r="AI413" s="643">
        <v>0</v>
      </c>
      <c r="AJ413" s="643">
        <v>0</v>
      </c>
      <c r="AK413" s="645">
        <v>-82.408934972552061</v>
      </c>
    </row>
    <row r="414" spans="3:37" ht="13.5">
      <c r="C414" s="641" t="s">
        <v>64</v>
      </c>
      <c r="D414" s="642">
        <v>0</v>
      </c>
      <c r="E414" s="643">
        <v>0</v>
      </c>
      <c r="F414" s="643">
        <v>0</v>
      </c>
      <c r="G414" s="642">
        <v>0</v>
      </c>
      <c r="H414" s="643">
        <v>0</v>
      </c>
      <c r="I414" s="643">
        <v>0</v>
      </c>
      <c r="J414" s="643">
        <v>0</v>
      </c>
      <c r="K414" s="643">
        <v>0</v>
      </c>
      <c r="L414" s="643">
        <v>0</v>
      </c>
      <c r="M414" s="643">
        <v>0</v>
      </c>
      <c r="N414" s="643">
        <v>0</v>
      </c>
      <c r="O414" s="643">
        <v>0</v>
      </c>
      <c r="P414" s="644">
        <v>0</v>
      </c>
      <c r="Q414" s="643">
        <v>0</v>
      </c>
      <c r="R414" s="643">
        <v>0</v>
      </c>
      <c r="S414" s="645">
        <v>0</v>
      </c>
      <c r="U414" s="641" t="s">
        <v>64</v>
      </c>
      <c r="V414" s="642">
        <v>0</v>
      </c>
      <c r="W414" s="643">
        <v>0</v>
      </c>
      <c r="X414" s="643">
        <v>0</v>
      </c>
      <c r="Y414" s="642">
        <v>0</v>
      </c>
      <c r="Z414" s="643">
        <v>0</v>
      </c>
      <c r="AA414" s="643">
        <v>0</v>
      </c>
      <c r="AB414" s="643">
        <v>0</v>
      </c>
      <c r="AC414" s="643">
        <v>0</v>
      </c>
      <c r="AD414" s="643">
        <v>0</v>
      </c>
      <c r="AE414" s="643">
        <v>0</v>
      </c>
      <c r="AF414" s="643">
        <v>0</v>
      </c>
      <c r="AG414" s="643">
        <v>0</v>
      </c>
      <c r="AH414" s="644">
        <v>0</v>
      </c>
      <c r="AI414" s="643">
        <v>0</v>
      </c>
      <c r="AJ414" s="643">
        <v>0</v>
      </c>
      <c r="AK414" s="645">
        <v>0</v>
      </c>
    </row>
    <row r="415" spans="3:37" ht="13.5">
      <c r="C415" s="646" t="s">
        <v>65</v>
      </c>
      <c r="D415" s="647">
        <v>46.099891323621534</v>
      </c>
      <c r="E415" s="647">
        <v>464.7986487</v>
      </c>
      <c r="F415" s="647">
        <v>-59.341223439635421</v>
      </c>
      <c r="G415" s="647">
        <v>345.55093723566335</v>
      </c>
      <c r="H415" s="647">
        <v>727.27272727272737</v>
      </c>
      <c r="I415" s="647">
        <v>338.37995078139568</v>
      </c>
      <c r="J415" s="647">
        <v>190.84741038091113</v>
      </c>
      <c r="K415" s="647">
        <v>19.887492227897642</v>
      </c>
      <c r="L415" s="647">
        <v>2.7639977986594397</v>
      </c>
      <c r="M415" s="647">
        <v>0.16041590589481752</v>
      </c>
      <c r="N415" s="647">
        <v>75.083762899489528</v>
      </c>
      <c r="O415" s="647">
        <v>12.515766779598991</v>
      </c>
      <c r="P415" s="647">
        <v>-12.7985093299136</v>
      </c>
      <c r="Q415" s="647">
        <v>0</v>
      </c>
      <c r="R415" s="647">
        <v>0</v>
      </c>
      <c r="S415" s="647">
        <v>2151.2212685363102</v>
      </c>
      <c r="U415" s="646" t="s">
        <v>65</v>
      </c>
      <c r="V415" s="647">
        <v>4.5871215860372576</v>
      </c>
      <c r="W415" s="647">
        <v>113.59926767676768</v>
      </c>
      <c r="X415" s="647">
        <v>-21.004029293308101</v>
      </c>
      <c r="Y415" s="647">
        <v>0.51452681198611927</v>
      </c>
      <c r="Z415" s="647">
        <v>764.84848484848499</v>
      </c>
      <c r="AA415" s="647">
        <v>423.19995078139567</v>
      </c>
      <c r="AB415" s="647">
        <v>261.81197328019942</v>
      </c>
      <c r="AC415" s="647">
        <v>36.108430969743218</v>
      </c>
      <c r="AD415" s="647">
        <v>-42.834445360645091</v>
      </c>
      <c r="AE415" s="647">
        <v>-4.9533137132699832</v>
      </c>
      <c r="AF415" s="647">
        <v>123.16818516374138</v>
      </c>
      <c r="AG415" s="647">
        <v>30.250193334526926</v>
      </c>
      <c r="AH415" s="647">
        <v>-41.639986107117011</v>
      </c>
      <c r="AI415" s="647">
        <v>0</v>
      </c>
      <c r="AJ415" s="647">
        <v>0</v>
      </c>
      <c r="AK415" s="647">
        <v>1647.6563599785427</v>
      </c>
    </row>
    <row r="416" spans="3:37" ht="13">
      <c r="C416" s="636"/>
      <c r="D416" s="636">
        <v>0</v>
      </c>
      <c r="E416" s="636">
        <v>0</v>
      </c>
      <c r="F416" s="636">
        <v>0</v>
      </c>
      <c r="G416" s="636">
        <v>0</v>
      </c>
      <c r="H416" s="636">
        <v>0</v>
      </c>
      <c r="I416" s="636">
        <v>0</v>
      </c>
      <c r="J416" s="636">
        <v>0</v>
      </c>
      <c r="K416" s="636">
        <v>0</v>
      </c>
      <c r="L416" s="636">
        <v>0</v>
      </c>
      <c r="M416" s="636">
        <v>0</v>
      </c>
      <c r="N416" s="636">
        <v>0</v>
      </c>
      <c r="O416" s="636">
        <v>0</v>
      </c>
      <c r="P416" s="636">
        <v>0</v>
      </c>
      <c r="Q416" s="636">
        <v>0</v>
      </c>
      <c r="R416" s="636">
        <v>0</v>
      </c>
      <c r="S416" s="636">
        <v>0</v>
      </c>
      <c r="U416" s="636"/>
      <c r="V416" s="636">
        <v>0</v>
      </c>
      <c r="W416" s="636">
        <v>0</v>
      </c>
      <c r="X416" s="636">
        <v>0</v>
      </c>
      <c r="Y416" s="636">
        <v>0</v>
      </c>
      <c r="Z416" s="636">
        <v>0</v>
      </c>
      <c r="AA416" s="636">
        <v>0</v>
      </c>
      <c r="AB416" s="636">
        <v>0</v>
      </c>
      <c r="AC416" s="636">
        <v>0</v>
      </c>
      <c r="AD416" s="636">
        <v>0</v>
      </c>
      <c r="AE416" s="636">
        <v>0</v>
      </c>
      <c r="AF416" s="636">
        <v>0</v>
      </c>
      <c r="AG416" s="636">
        <v>0</v>
      </c>
      <c r="AH416" s="636">
        <v>0</v>
      </c>
      <c r="AI416" s="636">
        <v>0</v>
      </c>
      <c r="AJ416" s="636">
        <v>0</v>
      </c>
      <c r="AK416" s="636">
        <v>0</v>
      </c>
    </row>
    <row r="417" spans="3:37" ht="13.5">
      <c r="C417" s="648" t="s">
        <v>67</v>
      </c>
      <c r="D417" s="642">
        <v>0</v>
      </c>
      <c r="E417" s="649">
        <v>0</v>
      </c>
      <c r="F417" s="649">
        <v>0</v>
      </c>
      <c r="G417" s="642">
        <v>0</v>
      </c>
      <c r="H417" s="642">
        <v>0</v>
      </c>
      <c r="I417" s="642">
        <v>0</v>
      </c>
      <c r="J417" s="642">
        <v>0</v>
      </c>
      <c r="K417" s="642">
        <v>0</v>
      </c>
      <c r="L417" s="642">
        <v>0</v>
      </c>
      <c r="M417" s="642">
        <v>0</v>
      </c>
      <c r="N417" s="642">
        <v>0</v>
      </c>
      <c r="O417" s="642">
        <v>0</v>
      </c>
      <c r="P417" s="642">
        <v>0</v>
      </c>
      <c r="Q417" s="642">
        <v>0</v>
      </c>
      <c r="R417" s="642">
        <v>0</v>
      </c>
      <c r="S417" s="650">
        <v>0</v>
      </c>
      <c r="U417" s="648" t="s">
        <v>67</v>
      </c>
      <c r="V417" s="642">
        <v>0</v>
      </c>
      <c r="W417" s="649">
        <v>0</v>
      </c>
      <c r="X417" s="649">
        <v>0</v>
      </c>
      <c r="Y417" s="642">
        <v>0</v>
      </c>
      <c r="Z417" s="642">
        <v>0</v>
      </c>
      <c r="AA417" s="642">
        <v>0</v>
      </c>
      <c r="AB417" s="642">
        <v>0</v>
      </c>
      <c r="AC417" s="642">
        <v>0</v>
      </c>
      <c r="AD417" s="642">
        <v>0</v>
      </c>
      <c r="AE417" s="642">
        <v>0</v>
      </c>
      <c r="AF417" s="642">
        <v>0</v>
      </c>
      <c r="AG417" s="642">
        <v>0</v>
      </c>
      <c r="AH417" s="642">
        <v>0</v>
      </c>
      <c r="AI417" s="642">
        <v>0</v>
      </c>
      <c r="AJ417" s="642">
        <v>0</v>
      </c>
      <c r="AK417" s="650">
        <v>0</v>
      </c>
    </row>
    <row r="418" spans="3:37" ht="13.5">
      <c r="C418" s="648" t="s">
        <v>350</v>
      </c>
      <c r="D418" s="642">
        <v>2.8267856410252494</v>
      </c>
      <c r="E418" s="642">
        <v>0</v>
      </c>
      <c r="F418" s="642">
        <v>8.0599105831015567</v>
      </c>
      <c r="G418" s="642">
        <v>46.530346198952707</v>
      </c>
      <c r="H418" s="642">
        <v>727.27272727272737</v>
      </c>
      <c r="I418" s="642">
        <v>338.37995078139568</v>
      </c>
      <c r="J418" s="651">
        <v>28.452469116356035</v>
      </c>
      <c r="K418" s="651">
        <v>6.2305848357200952</v>
      </c>
      <c r="L418" s="651">
        <v>3.7328950664080915</v>
      </c>
      <c r="M418" s="651">
        <v>1.0761160081227215</v>
      </c>
      <c r="N418" s="651">
        <v>0</v>
      </c>
      <c r="O418" s="651">
        <v>7.5664382136221358</v>
      </c>
      <c r="P418" s="642">
        <v>-629.14515201417555</v>
      </c>
      <c r="Q418" s="642">
        <v>0</v>
      </c>
      <c r="R418" s="642">
        <v>0</v>
      </c>
      <c r="S418" s="650">
        <v>540.98307170325586</v>
      </c>
      <c r="U418" s="648" t="s">
        <v>350</v>
      </c>
      <c r="V418" s="642">
        <v>0.62631490545869017</v>
      </c>
      <c r="W418" s="642">
        <v>0</v>
      </c>
      <c r="X418" s="642">
        <v>4.1962742194651934</v>
      </c>
      <c r="Y418" s="642">
        <v>0</v>
      </c>
      <c r="Z418" s="642">
        <v>764.84848484848499</v>
      </c>
      <c r="AA418" s="642">
        <v>423.19995078139567</v>
      </c>
      <c r="AB418" s="651">
        <v>22.478183728982629</v>
      </c>
      <c r="AC418" s="651">
        <v>5.0926371917675839</v>
      </c>
      <c r="AD418" s="651">
        <v>3.7328950664080915</v>
      </c>
      <c r="AE418" s="651">
        <v>0.79318377276994545</v>
      </c>
      <c r="AF418" s="651">
        <v>0</v>
      </c>
      <c r="AG418" s="651">
        <v>7.5664382136221358</v>
      </c>
      <c r="AH418" s="642">
        <v>-696.77718495359215</v>
      </c>
      <c r="AI418" s="642">
        <v>0</v>
      </c>
      <c r="AJ418" s="642">
        <v>3.75</v>
      </c>
      <c r="AK418" s="650">
        <v>539.50717777476291</v>
      </c>
    </row>
    <row r="419" spans="3:37" ht="13.5">
      <c r="C419" s="648" t="s">
        <v>351</v>
      </c>
      <c r="D419" s="642">
        <v>0</v>
      </c>
      <c r="E419" s="642">
        <v>0</v>
      </c>
      <c r="F419" s="642">
        <v>0</v>
      </c>
      <c r="G419" s="642">
        <v>14.783508517784153</v>
      </c>
      <c r="H419" s="642">
        <v>0</v>
      </c>
      <c r="I419" s="642">
        <v>0</v>
      </c>
      <c r="J419" s="651">
        <v>12.163067049530284</v>
      </c>
      <c r="K419" s="651">
        <v>11.829214997579474</v>
      </c>
      <c r="L419" s="651">
        <v>0</v>
      </c>
      <c r="M419" s="651">
        <v>0.31740804730172578</v>
      </c>
      <c r="N419" s="651">
        <v>0</v>
      </c>
      <c r="O419" s="651">
        <v>2.086875550337155</v>
      </c>
      <c r="P419" s="642">
        <v>0</v>
      </c>
      <c r="Q419" s="642">
        <v>-37.667878685561853</v>
      </c>
      <c r="R419" s="642">
        <v>0</v>
      </c>
      <c r="S419" s="650">
        <v>3.5121954769709394</v>
      </c>
      <c r="U419" s="648" t="s">
        <v>351</v>
      </c>
      <c r="V419" s="642">
        <v>0</v>
      </c>
      <c r="W419" s="642">
        <v>0</v>
      </c>
      <c r="X419" s="642">
        <v>0</v>
      </c>
      <c r="Y419" s="642">
        <v>0</v>
      </c>
      <c r="Z419" s="642">
        <v>0</v>
      </c>
      <c r="AA419" s="642">
        <v>0</v>
      </c>
      <c r="AB419" s="651">
        <v>28.523630086620891</v>
      </c>
      <c r="AC419" s="651">
        <v>26.288013396118924</v>
      </c>
      <c r="AD419" s="651">
        <v>0</v>
      </c>
      <c r="AE419" s="651">
        <v>10.611192177482708</v>
      </c>
      <c r="AF419" s="651">
        <v>0</v>
      </c>
      <c r="AG419" s="651">
        <v>14.121402979798832</v>
      </c>
      <c r="AH419" s="642">
        <v>0</v>
      </c>
      <c r="AI419" s="642">
        <v>-74.176724382187018</v>
      </c>
      <c r="AJ419" s="642">
        <v>0</v>
      </c>
      <c r="AK419" s="650">
        <v>5.3675142578343316</v>
      </c>
    </row>
    <row r="420" spans="3:37" ht="13.5">
      <c r="C420" s="648" t="s">
        <v>352</v>
      </c>
      <c r="D420" s="642">
        <v>0</v>
      </c>
      <c r="E420" s="642">
        <v>0</v>
      </c>
      <c r="F420" s="642">
        <v>0</v>
      </c>
      <c r="G420" s="642">
        <v>0</v>
      </c>
      <c r="H420" s="642">
        <v>0</v>
      </c>
      <c r="I420" s="642">
        <v>0</v>
      </c>
      <c r="J420" s="652">
        <v>7.1450792385721682</v>
      </c>
      <c r="K420" s="652">
        <v>0</v>
      </c>
      <c r="L420" s="652">
        <v>0</v>
      </c>
      <c r="M420" s="652">
        <v>-6.8235506728364204</v>
      </c>
      <c r="N420" s="652">
        <v>0</v>
      </c>
      <c r="O420" s="652">
        <v>0</v>
      </c>
      <c r="P420" s="642">
        <v>0</v>
      </c>
      <c r="Q420" s="642">
        <v>0</v>
      </c>
      <c r="R420" s="642">
        <v>0</v>
      </c>
      <c r="S420" s="650">
        <v>0.32152856573574784</v>
      </c>
      <c r="U420" s="648" t="s">
        <v>352</v>
      </c>
      <c r="V420" s="642">
        <v>0</v>
      </c>
      <c r="W420" s="642">
        <v>0</v>
      </c>
      <c r="X420" s="642">
        <v>0</v>
      </c>
      <c r="Y420" s="642">
        <v>0</v>
      </c>
      <c r="Z420" s="642">
        <v>0</v>
      </c>
      <c r="AA420" s="642">
        <v>0</v>
      </c>
      <c r="AB420" s="652">
        <v>137.81211213320262</v>
      </c>
      <c r="AC420" s="652">
        <v>0</v>
      </c>
      <c r="AD420" s="652">
        <v>0</v>
      </c>
      <c r="AE420" s="652">
        <v>-131.61056708720849</v>
      </c>
      <c r="AF420" s="652">
        <v>0</v>
      </c>
      <c r="AG420" s="652">
        <v>0</v>
      </c>
      <c r="AH420" s="642">
        <v>0</v>
      </c>
      <c r="AI420" s="642">
        <v>0</v>
      </c>
      <c r="AJ420" s="642">
        <v>0</v>
      </c>
      <c r="AK420" s="650">
        <v>6.2015450459941235</v>
      </c>
    </row>
    <row r="421" spans="3:37" ht="13.5">
      <c r="C421" s="648" t="s">
        <v>353</v>
      </c>
      <c r="D421" s="642">
        <v>0</v>
      </c>
      <c r="E421" s="642">
        <v>0</v>
      </c>
      <c r="F421" s="642">
        <v>0</v>
      </c>
      <c r="G421" s="642">
        <v>0</v>
      </c>
      <c r="H421" s="642">
        <v>0</v>
      </c>
      <c r="I421" s="642">
        <v>0</v>
      </c>
      <c r="J421" s="642">
        <v>0</v>
      </c>
      <c r="K421" s="642">
        <v>0</v>
      </c>
      <c r="L421" s="642">
        <v>0</v>
      </c>
      <c r="M421" s="642">
        <v>0</v>
      </c>
      <c r="N421" s="642">
        <v>0</v>
      </c>
      <c r="O421" s="642">
        <v>0</v>
      </c>
      <c r="P421" s="642">
        <v>0</v>
      </c>
      <c r="Q421" s="642">
        <v>0</v>
      </c>
      <c r="R421" s="642">
        <v>0</v>
      </c>
      <c r="S421" s="650">
        <v>0</v>
      </c>
      <c r="U421" s="648" t="s">
        <v>353</v>
      </c>
      <c r="V421" s="642">
        <v>0</v>
      </c>
      <c r="W421" s="642">
        <v>0</v>
      </c>
      <c r="X421" s="642">
        <v>0</v>
      </c>
      <c r="Y421" s="642">
        <v>0</v>
      </c>
      <c r="Z421" s="642">
        <v>0</v>
      </c>
      <c r="AA421" s="642">
        <v>0</v>
      </c>
      <c r="AB421" s="642">
        <v>0</v>
      </c>
      <c r="AC421" s="642">
        <v>0</v>
      </c>
      <c r="AD421" s="642">
        <v>0</v>
      </c>
      <c r="AE421" s="642">
        <v>0</v>
      </c>
      <c r="AF421" s="642">
        <v>0</v>
      </c>
      <c r="AG421" s="642">
        <v>0</v>
      </c>
      <c r="AH421" s="642">
        <v>0</v>
      </c>
      <c r="AI421" s="642">
        <v>0</v>
      </c>
      <c r="AJ421" s="642">
        <v>0</v>
      </c>
      <c r="AK421" s="650">
        <v>0</v>
      </c>
    </row>
    <row r="422" spans="3:37" ht="13.5">
      <c r="C422" s="648" t="s">
        <v>72</v>
      </c>
      <c r="D422" s="642">
        <v>0</v>
      </c>
      <c r="E422" s="642">
        <v>481.48200000000003</v>
      </c>
      <c r="F422" s="642">
        <v>-476.66718000000003</v>
      </c>
      <c r="G422" s="642">
        <v>0</v>
      </c>
      <c r="H422" s="642">
        <v>0</v>
      </c>
      <c r="I422" s="642">
        <v>0</v>
      </c>
      <c r="J422" s="642">
        <v>0</v>
      </c>
      <c r="K422" s="642">
        <v>0</v>
      </c>
      <c r="L422" s="642">
        <v>0</v>
      </c>
      <c r="M422" s="642">
        <v>0</v>
      </c>
      <c r="N422" s="642">
        <v>0</v>
      </c>
      <c r="O422" s="642">
        <v>0</v>
      </c>
      <c r="P422" s="642">
        <v>0</v>
      </c>
      <c r="Q422" s="642">
        <v>0</v>
      </c>
      <c r="R422" s="642">
        <v>0</v>
      </c>
      <c r="S422" s="650">
        <v>4.8148199999999974</v>
      </c>
      <c r="U422" s="648" t="s">
        <v>72</v>
      </c>
      <c r="V422" s="642">
        <v>0</v>
      </c>
      <c r="W422" s="642">
        <v>117.67676767676768</v>
      </c>
      <c r="X422" s="642">
        <v>-116.5</v>
      </c>
      <c r="Y422" s="642">
        <v>0</v>
      </c>
      <c r="Z422" s="642">
        <v>0</v>
      </c>
      <c r="AA422" s="642">
        <v>0</v>
      </c>
      <c r="AB422" s="642">
        <v>0</v>
      </c>
      <c r="AC422" s="642">
        <v>0</v>
      </c>
      <c r="AD422" s="642">
        <v>0</v>
      </c>
      <c r="AE422" s="642">
        <v>0</v>
      </c>
      <c r="AF422" s="642">
        <v>0</v>
      </c>
      <c r="AG422" s="642">
        <v>0</v>
      </c>
      <c r="AH422" s="642">
        <v>0</v>
      </c>
      <c r="AI422" s="642">
        <v>0</v>
      </c>
      <c r="AJ422" s="642">
        <v>0</v>
      </c>
      <c r="AK422" s="650">
        <v>1.1767676767676818</v>
      </c>
    </row>
    <row r="423" spans="3:37" ht="13.5">
      <c r="C423" s="648" t="s">
        <v>354</v>
      </c>
      <c r="D423" s="642">
        <v>0</v>
      </c>
      <c r="E423" s="642">
        <v>0</v>
      </c>
      <c r="F423" s="642">
        <v>0</v>
      </c>
      <c r="G423" s="642">
        <v>0</v>
      </c>
      <c r="H423" s="642">
        <v>0</v>
      </c>
      <c r="I423" s="642">
        <v>0</v>
      </c>
      <c r="J423" s="642">
        <v>26.125483595276659</v>
      </c>
      <c r="K423" s="642">
        <v>0</v>
      </c>
      <c r="L423" s="642">
        <v>-26.125483595276659</v>
      </c>
      <c r="M423" s="642">
        <v>0</v>
      </c>
      <c r="N423" s="642">
        <v>0</v>
      </c>
      <c r="O423" s="642">
        <v>0</v>
      </c>
      <c r="P423" s="642">
        <v>0</v>
      </c>
      <c r="Q423" s="642">
        <v>0</v>
      </c>
      <c r="R423" s="642">
        <v>0</v>
      </c>
      <c r="S423" s="650">
        <v>0</v>
      </c>
      <c r="U423" s="648" t="s">
        <v>354</v>
      </c>
      <c r="V423" s="642">
        <v>0</v>
      </c>
      <c r="W423" s="642">
        <v>0</v>
      </c>
      <c r="X423" s="642">
        <v>0</v>
      </c>
      <c r="Y423" s="642">
        <v>0</v>
      </c>
      <c r="Z423" s="642">
        <v>0</v>
      </c>
      <c r="AA423" s="642">
        <v>0</v>
      </c>
      <c r="AB423" s="642" t="e">
        <v>#VALUE!</v>
      </c>
      <c r="AC423" s="642">
        <v>0</v>
      </c>
      <c r="AD423" s="642">
        <v>-100.69655001825291</v>
      </c>
      <c r="AE423" s="642">
        <v>0</v>
      </c>
      <c r="AF423" s="642">
        <v>0</v>
      </c>
      <c r="AG423" s="642">
        <v>0</v>
      </c>
      <c r="AH423" s="642">
        <v>0</v>
      </c>
      <c r="AI423" s="642">
        <v>0</v>
      </c>
      <c r="AJ423" s="642">
        <v>0</v>
      </c>
      <c r="AK423" s="650">
        <v>-100.69655001825291</v>
      </c>
    </row>
    <row r="424" spans="3:37" ht="13.5">
      <c r="C424" s="648" t="s">
        <v>355</v>
      </c>
      <c r="D424" s="642">
        <v>0</v>
      </c>
      <c r="E424" s="642">
        <v>0</v>
      </c>
      <c r="F424" s="642">
        <v>0</v>
      </c>
      <c r="G424" s="642">
        <v>0</v>
      </c>
      <c r="H424" s="642">
        <v>0</v>
      </c>
      <c r="I424" s="642">
        <v>0</v>
      </c>
      <c r="J424" s="642">
        <v>0</v>
      </c>
      <c r="K424" s="642">
        <v>0</v>
      </c>
      <c r="L424" s="642">
        <v>0</v>
      </c>
      <c r="M424" s="642">
        <v>0</v>
      </c>
      <c r="N424" s="642">
        <v>0</v>
      </c>
      <c r="O424" s="642">
        <v>0</v>
      </c>
      <c r="P424" s="642">
        <v>0</v>
      </c>
      <c r="Q424" s="642">
        <v>0</v>
      </c>
      <c r="R424" s="642">
        <v>0</v>
      </c>
      <c r="S424" s="650">
        <v>0</v>
      </c>
      <c r="U424" s="648" t="s">
        <v>355</v>
      </c>
      <c r="V424" s="642">
        <v>0</v>
      </c>
      <c r="W424" s="642">
        <v>0</v>
      </c>
      <c r="X424" s="642">
        <v>0</v>
      </c>
      <c r="Y424" s="642">
        <v>0</v>
      </c>
      <c r="Z424" s="642">
        <v>0</v>
      </c>
      <c r="AA424" s="642">
        <v>0</v>
      </c>
      <c r="AB424" s="642">
        <v>0</v>
      </c>
      <c r="AC424" s="642">
        <v>0</v>
      </c>
      <c r="AD424" s="642">
        <v>-28.460377640694865</v>
      </c>
      <c r="AE424" s="642">
        <v>0</v>
      </c>
      <c r="AF424" s="642">
        <v>0</v>
      </c>
      <c r="AG424" s="642">
        <v>0</v>
      </c>
      <c r="AH424" s="642">
        <v>0</v>
      </c>
      <c r="AI424" s="642">
        <v>0</v>
      </c>
      <c r="AJ424" s="642">
        <v>0</v>
      </c>
      <c r="AK424" s="650">
        <v>-28.460377640694865</v>
      </c>
    </row>
    <row r="425" spans="3:37" ht="13.5">
      <c r="C425" s="648" t="s">
        <v>73</v>
      </c>
      <c r="D425" s="642">
        <v>0</v>
      </c>
      <c r="E425" s="642">
        <v>0</v>
      </c>
      <c r="F425" s="642">
        <v>0</v>
      </c>
      <c r="G425" s="642">
        <v>8.6128889644156494</v>
      </c>
      <c r="H425" s="642">
        <v>0</v>
      </c>
      <c r="I425" s="642">
        <v>0</v>
      </c>
      <c r="J425" s="642">
        <v>0</v>
      </c>
      <c r="K425" s="642">
        <v>0.10101910584583218</v>
      </c>
      <c r="L425" s="642">
        <v>0</v>
      </c>
      <c r="M425" s="642">
        <v>0.17577324417174797</v>
      </c>
      <c r="N425" s="642">
        <v>0</v>
      </c>
      <c r="O425" s="642">
        <v>0</v>
      </c>
      <c r="P425" s="642">
        <v>1.1785562348680418</v>
      </c>
      <c r="Q425" s="642">
        <v>0</v>
      </c>
      <c r="R425" s="642">
        <v>-7.071337409208251</v>
      </c>
      <c r="S425" s="650">
        <v>2.99690014009302</v>
      </c>
      <c r="U425" s="648" t="s">
        <v>73</v>
      </c>
      <c r="V425" s="642">
        <v>0</v>
      </c>
      <c r="W425" s="642">
        <v>0</v>
      </c>
      <c r="X425" s="642">
        <v>0</v>
      </c>
      <c r="Y425" s="642">
        <v>0</v>
      </c>
      <c r="Z425" s="642">
        <v>0</v>
      </c>
      <c r="AA425" s="642">
        <v>0</v>
      </c>
      <c r="AB425" s="642">
        <v>0</v>
      </c>
      <c r="AC425" s="642">
        <v>0.58294529496624936</v>
      </c>
      <c r="AD425" s="642">
        <v>0</v>
      </c>
      <c r="AE425" s="642">
        <v>0</v>
      </c>
      <c r="AF425" s="642">
        <v>0</v>
      </c>
      <c r="AG425" s="642">
        <v>0</v>
      </c>
      <c r="AH425" s="642">
        <v>56.108484640501494</v>
      </c>
      <c r="AI425" s="642">
        <v>0</v>
      </c>
      <c r="AJ425" s="642">
        <v>-40.806170647637451</v>
      </c>
      <c r="AK425" s="650">
        <v>15.885259287830294</v>
      </c>
    </row>
    <row r="426" spans="3:37" ht="13.5">
      <c r="C426" s="648" t="s">
        <v>356</v>
      </c>
      <c r="D426" s="642">
        <v>28.51179328125</v>
      </c>
      <c r="E426" s="642">
        <v>-16.683351300000002</v>
      </c>
      <c r="F426" s="642">
        <v>21.820838094867195</v>
      </c>
      <c r="G426" s="642">
        <v>0</v>
      </c>
      <c r="H426" s="642">
        <v>0</v>
      </c>
      <c r="I426" s="642">
        <v>0</v>
      </c>
      <c r="J426" s="642">
        <v>0</v>
      </c>
      <c r="K426" s="642">
        <v>0</v>
      </c>
      <c r="L426" s="642">
        <v>0</v>
      </c>
      <c r="M426" s="642">
        <v>0</v>
      </c>
      <c r="N426" s="642">
        <v>0</v>
      </c>
      <c r="O426" s="642">
        <v>0</v>
      </c>
      <c r="P426" s="642">
        <v>0</v>
      </c>
      <c r="Q426" s="642">
        <v>0</v>
      </c>
      <c r="R426" s="642">
        <v>0</v>
      </c>
      <c r="S426" s="650">
        <v>33.649280076117194</v>
      </c>
      <c r="U426" s="648" t="s">
        <v>356</v>
      </c>
      <c r="V426" s="642">
        <v>0.72303211975097659</v>
      </c>
      <c r="W426" s="642">
        <v>-4.0775000000000006</v>
      </c>
      <c r="X426" s="642">
        <v>5.333129161634389</v>
      </c>
      <c r="Y426" s="642">
        <v>0</v>
      </c>
      <c r="Z426" s="642">
        <v>0</v>
      </c>
      <c r="AA426" s="642">
        <v>0</v>
      </c>
      <c r="AB426" s="642">
        <v>0</v>
      </c>
      <c r="AC426" s="642">
        <v>0</v>
      </c>
      <c r="AD426" s="642">
        <v>0</v>
      </c>
      <c r="AE426" s="642">
        <v>0</v>
      </c>
      <c r="AF426" s="642">
        <v>0</v>
      </c>
      <c r="AG426" s="642">
        <v>0</v>
      </c>
      <c r="AH426" s="642">
        <v>0</v>
      </c>
      <c r="AI426" s="642">
        <v>0</v>
      </c>
      <c r="AJ426" s="642">
        <v>0</v>
      </c>
      <c r="AK426" s="650">
        <v>1.978661281385365</v>
      </c>
    </row>
    <row r="427" spans="3:37" ht="13.5">
      <c r="C427" s="648" t="s">
        <v>75</v>
      </c>
      <c r="D427" s="642">
        <v>11.087919609375001</v>
      </c>
      <c r="E427" s="642">
        <v>0</v>
      </c>
      <c r="F427" s="642">
        <v>16.370388000000002</v>
      </c>
      <c r="G427" s="642">
        <v>4.6713383640000004</v>
      </c>
      <c r="H427" s="642">
        <v>0</v>
      </c>
      <c r="I427" s="642">
        <v>0</v>
      </c>
      <c r="J427" s="642">
        <v>0</v>
      </c>
      <c r="K427" s="642">
        <v>0</v>
      </c>
      <c r="L427" s="642">
        <v>0</v>
      </c>
      <c r="M427" s="642">
        <v>9.5333436000000008E-2</v>
      </c>
      <c r="N427" s="642">
        <v>0</v>
      </c>
      <c r="O427" s="642">
        <v>0</v>
      </c>
      <c r="P427" s="642">
        <v>26.129145836866744</v>
      </c>
      <c r="Q427" s="642">
        <v>0</v>
      </c>
      <c r="R427" s="642">
        <v>0</v>
      </c>
      <c r="S427" s="650">
        <v>58.35412524624175</v>
      </c>
      <c r="U427" s="648" t="s">
        <v>75</v>
      </c>
      <c r="V427" s="642">
        <v>1.73775830078125</v>
      </c>
      <c r="W427" s="642">
        <v>0</v>
      </c>
      <c r="X427" s="642">
        <v>16.370388000000002</v>
      </c>
      <c r="Y427" s="642">
        <v>0</v>
      </c>
      <c r="Z427" s="642">
        <v>0</v>
      </c>
      <c r="AA427" s="642">
        <v>0</v>
      </c>
      <c r="AB427" s="642">
        <v>0</v>
      </c>
      <c r="AC427" s="642">
        <v>0</v>
      </c>
      <c r="AD427" s="642">
        <v>0</v>
      </c>
      <c r="AE427" s="642">
        <v>4.7666718000000001</v>
      </c>
      <c r="AF427" s="642">
        <v>0</v>
      </c>
      <c r="AG427" s="642">
        <v>0</v>
      </c>
      <c r="AH427" s="642">
        <v>36.696565665655768</v>
      </c>
      <c r="AI427" s="642">
        <v>0</v>
      </c>
      <c r="AJ427" s="642">
        <v>0</v>
      </c>
      <c r="AK427" s="650">
        <v>59.571383766437016</v>
      </c>
    </row>
    <row r="428" spans="3:37" ht="13.5">
      <c r="C428" s="648" t="s">
        <v>76</v>
      </c>
      <c r="D428" s="642">
        <v>0</v>
      </c>
      <c r="E428" s="642">
        <v>0</v>
      </c>
      <c r="F428" s="642">
        <v>0</v>
      </c>
      <c r="G428" s="642">
        <v>3.9646717348100942</v>
      </c>
      <c r="H428" s="642">
        <v>0</v>
      </c>
      <c r="I428" s="642">
        <v>0</v>
      </c>
      <c r="J428" s="642">
        <v>0</v>
      </c>
      <c r="K428" s="642">
        <v>0</v>
      </c>
      <c r="L428" s="642">
        <v>0</v>
      </c>
      <c r="M428" s="642">
        <v>8.0911668057348868E-2</v>
      </c>
      <c r="N428" s="642">
        <v>0</v>
      </c>
      <c r="O428" s="642">
        <v>0</v>
      </c>
      <c r="P428" s="642">
        <v>47.131742012269626</v>
      </c>
      <c r="Q428" s="642">
        <v>2.9238621334994321</v>
      </c>
      <c r="R428" s="642">
        <v>0</v>
      </c>
      <c r="S428" s="650">
        <v>54.101187548636503</v>
      </c>
      <c r="U428" s="648" t="s">
        <v>76</v>
      </c>
      <c r="V428" s="642">
        <v>0</v>
      </c>
      <c r="W428" s="642">
        <v>0</v>
      </c>
      <c r="X428" s="642">
        <v>0</v>
      </c>
      <c r="Y428" s="642">
        <v>0</v>
      </c>
      <c r="Z428" s="642">
        <v>0</v>
      </c>
      <c r="AA428" s="642">
        <v>0</v>
      </c>
      <c r="AB428" s="642">
        <v>0</v>
      </c>
      <c r="AC428" s="642">
        <v>0</v>
      </c>
      <c r="AD428" s="642">
        <v>0</v>
      </c>
      <c r="AE428" s="642">
        <v>1.5605996097297452</v>
      </c>
      <c r="AF428" s="642">
        <v>0</v>
      </c>
      <c r="AG428" s="642">
        <v>0</v>
      </c>
      <c r="AH428" s="642">
        <v>50.104610120731024</v>
      </c>
      <c r="AI428" s="642">
        <v>5.7529608775183565</v>
      </c>
      <c r="AJ428" s="642">
        <v>0</v>
      </c>
      <c r="AK428" s="650">
        <v>57.418170607979121</v>
      </c>
    </row>
    <row r="429" spans="3:37" ht="13.5">
      <c r="C429" s="646" t="s">
        <v>77</v>
      </c>
      <c r="D429" s="647">
        <v>42.426498531650253</v>
      </c>
      <c r="E429" s="647">
        <v>464.7986487</v>
      </c>
      <c r="F429" s="647">
        <v>-430.41604332203127</v>
      </c>
      <c r="G429" s="647">
        <v>78.562753779962591</v>
      </c>
      <c r="H429" s="647">
        <v>727.27272727272737</v>
      </c>
      <c r="I429" s="647">
        <v>338.37995078139568</v>
      </c>
      <c r="J429" s="647">
        <v>73.88609899973514</v>
      </c>
      <c r="K429" s="647">
        <v>18.1608189391454</v>
      </c>
      <c r="L429" s="647">
        <v>-22.392588528868568</v>
      </c>
      <c r="M429" s="647">
        <v>-5.0780082691828765</v>
      </c>
      <c r="N429" s="647">
        <v>0</v>
      </c>
      <c r="O429" s="647">
        <v>9.6533137639592894</v>
      </c>
      <c r="P429" s="647">
        <v>-554.70570793017112</v>
      </c>
      <c r="Q429" s="647">
        <v>-34.744016552062419</v>
      </c>
      <c r="R429" s="647">
        <v>-7.071337409208251</v>
      </c>
      <c r="S429" s="647">
        <v>698.73310875705101</v>
      </c>
      <c r="U429" s="646" t="s">
        <v>77</v>
      </c>
      <c r="V429" s="647">
        <v>3.0871053259909167</v>
      </c>
      <c r="W429" s="647">
        <v>113.59926767676768</v>
      </c>
      <c r="X429" s="647">
        <v>-90.60020861890041</v>
      </c>
      <c r="Y429" s="647">
        <v>0</v>
      </c>
      <c r="Z429" s="647">
        <v>764.84848484848499</v>
      </c>
      <c r="AA429" s="647">
        <v>423.19995078139567</v>
      </c>
      <c r="AB429" s="647">
        <v>188.81392594880614</v>
      </c>
      <c r="AC429" s="647">
        <v>31.963595882852758</v>
      </c>
      <c r="AD429" s="647">
        <v>-125.42403259253969</v>
      </c>
      <c r="AE429" s="647">
        <v>-113.87891972722609</v>
      </c>
      <c r="AF429" s="647">
        <v>0</v>
      </c>
      <c r="AG429" s="647">
        <v>21.687841193420969</v>
      </c>
      <c r="AH429" s="647">
        <v>-553.86752452670385</v>
      </c>
      <c r="AI429" s="647">
        <v>-68.423763504668656</v>
      </c>
      <c r="AJ429" s="647">
        <v>-37.056170647637451</v>
      </c>
      <c r="AK429" s="647">
        <v>557.94955204004305</v>
      </c>
    </row>
    <row r="430" spans="3:37" ht="13">
      <c r="C430" s="636"/>
      <c r="D430" s="636">
        <v>0</v>
      </c>
      <c r="E430" s="636">
        <v>0</v>
      </c>
      <c r="F430" s="636">
        <v>0</v>
      </c>
      <c r="G430" s="636">
        <v>0</v>
      </c>
      <c r="H430" s="636">
        <v>0</v>
      </c>
      <c r="I430" s="636">
        <v>0</v>
      </c>
      <c r="J430" s="636">
        <v>0</v>
      </c>
      <c r="K430" s="636">
        <v>0</v>
      </c>
      <c r="L430" s="636">
        <v>0</v>
      </c>
      <c r="M430" s="636">
        <v>0</v>
      </c>
      <c r="N430" s="636">
        <v>0</v>
      </c>
      <c r="O430" s="636">
        <v>0</v>
      </c>
      <c r="P430" s="636">
        <v>0</v>
      </c>
      <c r="Q430" s="636">
        <v>0</v>
      </c>
      <c r="R430" s="636">
        <v>0</v>
      </c>
      <c r="S430" s="636">
        <v>0</v>
      </c>
      <c r="U430" s="636"/>
      <c r="V430" s="636">
        <v>0</v>
      </c>
      <c r="W430" s="636">
        <v>0</v>
      </c>
      <c r="X430" s="636">
        <v>0</v>
      </c>
      <c r="Y430" s="636">
        <v>0</v>
      </c>
      <c r="Z430" s="636">
        <v>0</v>
      </c>
      <c r="AA430" s="636">
        <v>0</v>
      </c>
      <c r="AB430" s="636">
        <v>0</v>
      </c>
      <c r="AC430" s="636">
        <v>0</v>
      </c>
      <c r="AD430" s="636">
        <v>0</v>
      </c>
      <c r="AE430" s="636">
        <v>0</v>
      </c>
      <c r="AF430" s="636">
        <v>0</v>
      </c>
      <c r="AG430" s="636">
        <v>0</v>
      </c>
      <c r="AH430" s="636">
        <v>0</v>
      </c>
      <c r="AI430" s="636">
        <v>0</v>
      </c>
      <c r="AJ430" s="636">
        <v>0</v>
      </c>
      <c r="AK430" s="636">
        <v>0</v>
      </c>
    </row>
    <row r="431" spans="3:37" ht="13.5">
      <c r="C431" s="648" t="s">
        <v>78</v>
      </c>
      <c r="D431" s="642">
        <v>3.6733927919712848</v>
      </c>
      <c r="E431" s="642">
        <v>0</v>
      </c>
      <c r="F431" s="642">
        <v>19.397200033553816</v>
      </c>
      <c r="G431" s="642">
        <v>91.130108310207916</v>
      </c>
      <c r="H431" s="642">
        <v>0</v>
      </c>
      <c r="I431" s="642">
        <v>0</v>
      </c>
      <c r="J431" s="642">
        <v>22.791437377983073</v>
      </c>
      <c r="K431" s="642">
        <v>1.7013098714668424</v>
      </c>
      <c r="L431" s="642">
        <v>1.007010953125</v>
      </c>
      <c r="M431" s="642">
        <v>1.8779931367345493</v>
      </c>
      <c r="N431" s="642">
        <v>0</v>
      </c>
      <c r="O431" s="642">
        <v>3.7093504340600874E-4</v>
      </c>
      <c r="P431" s="642">
        <v>114.54790196708234</v>
      </c>
      <c r="Q431" s="642">
        <v>16.21056036467343</v>
      </c>
      <c r="R431" s="642">
        <v>0.23655174255371095</v>
      </c>
      <c r="S431" s="650">
        <v>272.57383748439537</v>
      </c>
      <c r="U431" s="648" t="s">
        <v>78</v>
      </c>
      <c r="V431" s="642">
        <v>1.5000162600463405</v>
      </c>
      <c r="W431" s="642">
        <v>0</v>
      </c>
      <c r="X431" s="642">
        <v>0.65820239923796242</v>
      </c>
      <c r="Y431" s="642">
        <v>0</v>
      </c>
      <c r="Z431" s="642">
        <v>0</v>
      </c>
      <c r="AA431" s="642">
        <v>0</v>
      </c>
      <c r="AB431" s="642">
        <v>14.22856522114639</v>
      </c>
      <c r="AC431" s="642">
        <v>4.1194716696050602</v>
      </c>
      <c r="AD431" s="642">
        <v>8.3494072265624997</v>
      </c>
      <c r="AE431" s="642">
        <v>60.539358802903692</v>
      </c>
      <c r="AF431" s="642">
        <v>0</v>
      </c>
      <c r="AG431" s="642">
        <v>3.7093504340600874E-4</v>
      </c>
      <c r="AH431" s="642">
        <v>157.01971492382648</v>
      </c>
      <c r="AI431" s="642">
        <v>25.540840498351418</v>
      </c>
      <c r="AJ431" s="642">
        <v>8.9542294921874994</v>
      </c>
      <c r="AK431" s="650">
        <v>280.91017742891074</v>
      </c>
    </row>
    <row r="432" spans="3:37" ht="13.5">
      <c r="C432" s="648" t="s">
        <v>79</v>
      </c>
      <c r="D432" s="642">
        <v>0</v>
      </c>
      <c r="E432" s="642">
        <v>0</v>
      </c>
      <c r="F432" s="642">
        <v>216.8751541495462</v>
      </c>
      <c r="G432" s="642">
        <v>32.745585882615877</v>
      </c>
      <c r="H432" s="642">
        <v>0</v>
      </c>
      <c r="I432" s="642">
        <v>0</v>
      </c>
      <c r="J432" s="642">
        <v>0</v>
      </c>
      <c r="K432" s="642">
        <v>0</v>
      </c>
      <c r="L432" s="642">
        <v>20.896591906701669</v>
      </c>
      <c r="M432" s="642">
        <v>0.66827726291052814</v>
      </c>
      <c r="N432" s="642">
        <v>0</v>
      </c>
      <c r="O432" s="642">
        <v>0</v>
      </c>
      <c r="P432" s="642">
        <v>80.819270278256823</v>
      </c>
      <c r="Q432" s="642">
        <v>0</v>
      </c>
      <c r="R432" s="642">
        <v>2.9193508940431485</v>
      </c>
      <c r="S432" s="650">
        <v>354.92423037407423</v>
      </c>
      <c r="U432" s="648" t="s">
        <v>79</v>
      </c>
      <c r="V432" s="642">
        <v>0</v>
      </c>
      <c r="W432" s="642">
        <v>0</v>
      </c>
      <c r="X432" s="642">
        <v>8.8339079607242379</v>
      </c>
      <c r="Y432" s="642">
        <v>0</v>
      </c>
      <c r="Z432" s="642">
        <v>0</v>
      </c>
      <c r="AA432" s="642">
        <v>0</v>
      </c>
      <c r="AB432" s="642">
        <v>0</v>
      </c>
      <c r="AC432" s="642">
        <v>0</v>
      </c>
      <c r="AD432" s="642">
        <v>12.788272739607951</v>
      </c>
      <c r="AE432" s="642">
        <v>24.887279738493259</v>
      </c>
      <c r="AF432" s="642">
        <v>0</v>
      </c>
      <c r="AG432" s="642">
        <v>0</v>
      </c>
      <c r="AH432" s="642">
        <v>93.844452584108197</v>
      </c>
      <c r="AI432" s="642">
        <v>0</v>
      </c>
      <c r="AJ432" s="642">
        <v>7.1149935986121697</v>
      </c>
      <c r="AK432" s="650">
        <v>147.46890662154581</v>
      </c>
    </row>
    <row r="433" spans="3:37" ht="13.5">
      <c r="C433" s="648" t="s">
        <v>80</v>
      </c>
      <c r="D433" s="642">
        <v>0</v>
      </c>
      <c r="E433" s="642">
        <v>0</v>
      </c>
      <c r="F433" s="642">
        <v>5.2094674308398901</v>
      </c>
      <c r="G433" s="642">
        <v>68.551385920257417</v>
      </c>
      <c r="H433" s="642">
        <v>0</v>
      </c>
      <c r="I433" s="642">
        <v>0</v>
      </c>
      <c r="J433" s="642">
        <v>86.155325304334795</v>
      </c>
      <c r="K433" s="642">
        <v>0</v>
      </c>
      <c r="L433" s="642">
        <v>0</v>
      </c>
      <c r="M433" s="642">
        <v>1.3990078759236206</v>
      </c>
      <c r="N433" s="642">
        <v>66.478227859390046</v>
      </c>
      <c r="O433" s="642">
        <v>2.1206229173139883</v>
      </c>
      <c r="P433" s="642">
        <v>194.47767196350526</v>
      </c>
      <c r="Q433" s="642">
        <v>15.182773802844931</v>
      </c>
      <c r="R433" s="642">
        <v>0</v>
      </c>
      <c r="S433" s="650">
        <v>439.5744830744099</v>
      </c>
      <c r="U433" s="648" t="s">
        <v>80</v>
      </c>
      <c r="V433" s="642">
        <v>0</v>
      </c>
      <c r="W433" s="642">
        <v>0</v>
      </c>
      <c r="X433" s="642">
        <v>0.92826525658471626</v>
      </c>
      <c r="Y433" s="642">
        <v>0</v>
      </c>
      <c r="Z433" s="642">
        <v>0</v>
      </c>
      <c r="AA433" s="642">
        <v>0</v>
      </c>
      <c r="AB433" s="642">
        <v>47.227858114444189</v>
      </c>
      <c r="AC433" s="642">
        <v>0</v>
      </c>
      <c r="AD433" s="642">
        <v>0</v>
      </c>
      <c r="AE433" s="642">
        <v>17.293312779197663</v>
      </c>
      <c r="AF433" s="642">
        <v>108.09916343666818</v>
      </c>
      <c r="AG433" s="642">
        <v>4.9369795689122755</v>
      </c>
      <c r="AH433" s="642">
        <v>137.38519988829395</v>
      </c>
      <c r="AI433" s="642">
        <v>27.91071693101145</v>
      </c>
      <c r="AJ433" s="642">
        <v>0</v>
      </c>
      <c r="AK433" s="650">
        <v>343.78149597511242</v>
      </c>
    </row>
    <row r="434" spans="3:37" ht="13.5">
      <c r="C434" s="648" t="s">
        <v>81</v>
      </c>
      <c r="D434" s="642">
        <v>0</v>
      </c>
      <c r="E434" s="642">
        <v>0</v>
      </c>
      <c r="F434" s="642">
        <v>2.3181271880740835</v>
      </c>
      <c r="G434" s="642">
        <v>62.553452404821357</v>
      </c>
      <c r="H434" s="642">
        <v>0</v>
      </c>
      <c r="I434" s="642">
        <v>0</v>
      </c>
      <c r="J434" s="642">
        <v>3.0090868580403627</v>
      </c>
      <c r="K434" s="642">
        <v>2.5363417285398034E-2</v>
      </c>
      <c r="L434" s="642">
        <v>0</v>
      </c>
      <c r="M434" s="642">
        <v>1.27660106948615</v>
      </c>
      <c r="N434" s="642">
        <v>8.6055350400994808</v>
      </c>
      <c r="O434" s="642">
        <v>0.68093940948821108</v>
      </c>
      <c r="P434" s="642">
        <v>146.08879967332064</v>
      </c>
      <c r="Q434" s="642">
        <v>3.3506823845440552</v>
      </c>
      <c r="R434" s="642">
        <v>0</v>
      </c>
      <c r="S434" s="650">
        <v>227.90858744515972</v>
      </c>
      <c r="U434" s="648" t="s">
        <v>81</v>
      </c>
      <c r="V434" s="642">
        <v>0</v>
      </c>
      <c r="W434" s="642">
        <v>0</v>
      </c>
      <c r="X434" s="642">
        <v>0.55102356567889155</v>
      </c>
      <c r="Y434" s="642">
        <v>0</v>
      </c>
      <c r="Z434" s="642">
        <v>0</v>
      </c>
      <c r="AA434" s="642">
        <v>0</v>
      </c>
      <c r="AB434" s="642">
        <v>6.5361621549849476</v>
      </c>
      <c r="AC434" s="642">
        <v>2.5363417285398034E-2</v>
      </c>
      <c r="AD434" s="642">
        <v>0</v>
      </c>
      <c r="AE434" s="642">
        <v>5.3379988256415478</v>
      </c>
      <c r="AF434" s="642">
        <v>15.069021727073199</v>
      </c>
      <c r="AG434" s="642">
        <v>1.4375946320597892</v>
      </c>
      <c r="AH434" s="642">
        <v>112.31243747223964</v>
      </c>
      <c r="AI434" s="642">
        <v>14.972206075305797</v>
      </c>
      <c r="AJ434" s="642">
        <v>0</v>
      </c>
      <c r="AK434" s="650">
        <v>156.24180787026921</v>
      </c>
    </row>
    <row r="435" spans="3:37" ht="13.5">
      <c r="C435" s="648" t="s">
        <v>82</v>
      </c>
      <c r="D435" s="642">
        <v>0</v>
      </c>
      <c r="E435" s="642">
        <v>0</v>
      </c>
      <c r="F435" s="642">
        <v>27.219719362233906</v>
      </c>
      <c r="G435" s="642">
        <v>0.81069667111944488</v>
      </c>
      <c r="H435" s="642">
        <v>0</v>
      </c>
      <c r="I435" s="642">
        <v>0</v>
      </c>
      <c r="J435" s="642">
        <v>5.0054618408177598</v>
      </c>
      <c r="K435" s="642">
        <v>0</v>
      </c>
      <c r="L435" s="642">
        <v>3.2629555410385191</v>
      </c>
      <c r="M435" s="642">
        <v>1.6544830022845812E-2</v>
      </c>
      <c r="N435" s="642">
        <v>0</v>
      </c>
      <c r="O435" s="642">
        <v>6.051975379409523E-2</v>
      </c>
      <c r="P435" s="642">
        <v>5.5235547180923223</v>
      </c>
      <c r="Q435" s="642">
        <v>0</v>
      </c>
      <c r="R435" s="642">
        <v>0</v>
      </c>
      <c r="S435" s="650">
        <v>41.899452717118898</v>
      </c>
      <c r="U435" s="648" t="s">
        <v>82</v>
      </c>
      <c r="V435" s="642">
        <v>0</v>
      </c>
      <c r="W435" s="642">
        <v>0</v>
      </c>
      <c r="X435" s="642">
        <v>0.67158967449506357</v>
      </c>
      <c r="Y435" s="642">
        <v>0</v>
      </c>
      <c r="Z435" s="642">
        <v>0</v>
      </c>
      <c r="AA435" s="642">
        <v>0</v>
      </c>
      <c r="AB435" s="642">
        <v>5.0054618408177598</v>
      </c>
      <c r="AC435" s="642">
        <v>0</v>
      </c>
      <c r="AD435" s="642">
        <v>35.167200828266267</v>
      </c>
      <c r="AE435" s="642">
        <v>0.86765586771995196</v>
      </c>
      <c r="AF435" s="642">
        <v>0</v>
      </c>
      <c r="AG435" s="642">
        <v>2.1874070050904897</v>
      </c>
      <c r="AH435" s="642">
        <v>5.6657335511185538</v>
      </c>
      <c r="AI435" s="642">
        <v>0</v>
      </c>
      <c r="AJ435" s="642">
        <v>0.44339331184266689</v>
      </c>
      <c r="AK435" s="650">
        <v>50.008442079350758</v>
      </c>
    </row>
    <row r="436" spans="3:37" ht="13.5">
      <c r="C436" s="648" t="s">
        <v>357</v>
      </c>
      <c r="D436" s="642">
        <v>0</v>
      </c>
      <c r="E436" s="642">
        <v>0</v>
      </c>
      <c r="F436" s="642">
        <v>0</v>
      </c>
      <c r="G436" s="642">
        <v>0</v>
      </c>
      <c r="H436" s="642">
        <v>0</v>
      </c>
      <c r="I436" s="642">
        <v>0</v>
      </c>
      <c r="J436" s="642">
        <v>0</v>
      </c>
      <c r="K436" s="642">
        <v>0</v>
      </c>
      <c r="L436" s="642">
        <v>0</v>
      </c>
      <c r="M436" s="642">
        <v>0</v>
      </c>
      <c r="N436" s="642">
        <v>0</v>
      </c>
      <c r="O436" s="642">
        <v>0</v>
      </c>
      <c r="P436" s="642">
        <v>0.44999999999999996</v>
      </c>
      <c r="Q436" s="642">
        <v>0</v>
      </c>
      <c r="R436" s="642">
        <v>0</v>
      </c>
      <c r="S436" s="650">
        <v>0.44999999999999996</v>
      </c>
      <c r="U436" s="648" t="s">
        <v>357</v>
      </c>
      <c r="V436" s="642">
        <v>0</v>
      </c>
      <c r="W436" s="642">
        <v>0</v>
      </c>
      <c r="X436" s="642">
        <v>0</v>
      </c>
      <c r="Y436" s="642">
        <v>0</v>
      </c>
      <c r="Z436" s="642">
        <v>0</v>
      </c>
      <c r="AA436" s="642">
        <v>0</v>
      </c>
      <c r="AB436" s="642">
        <v>0</v>
      </c>
      <c r="AC436" s="642">
        <v>0</v>
      </c>
      <c r="AD436" s="642">
        <v>0</v>
      </c>
      <c r="AE436" s="642">
        <v>0</v>
      </c>
      <c r="AF436" s="642">
        <v>0</v>
      </c>
      <c r="AG436" s="642">
        <v>0</v>
      </c>
      <c r="AH436" s="642">
        <v>6</v>
      </c>
      <c r="AI436" s="642">
        <v>0</v>
      </c>
      <c r="AJ436" s="642">
        <v>0</v>
      </c>
      <c r="AK436" s="650">
        <v>6</v>
      </c>
    </row>
    <row r="437" spans="3:37" ht="13.5">
      <c r="C437" s="646" t="s">
        <v>83</v>
      </c>
      <c r="D437" s="647">
        <v>3.6733927919712848</v>
      </c>
      <c r="E437" s="647">
        <v>0</v>
      </c>
      <c r="F437" s="647">
        <v>271.01966816424783</v>
      </c>
      <c r="G437" s="647">
        <v>255.79122918902203</v>
      </c>
      <c r="H437" s="647">
        <v>0</v>
      </c>
      <c r="I437" s="647">
        <v>0</v>
      </c>
      <c r="J437" s="647">
        <v>116.96131138117599</v>
      </c>
      <c r="K437" s="647">
        <v>1.7266732887522405</v>
      </c>
      <c r="L437" s="647">
        <v>25.166558400865188</v>
      </c>
      <c r="M437" s="647">
        <v>5.238424175077693</v>
      </c>
      <c r="N437" s="647">
        <v>75.083762899489528</v>
      </c>
      <c r="O437" s="647">
        <v>2.8624530156397006</v>
      </c>
      <c r="P437" s="647">
        <v>541.90719860025752</v>
      </c>
      <c r="Q437" s="647">
        <v>34.744016552062419</v>
      </c>
      <c r="R437" s="647">
        <v>3.1559026365968594</v>
      </c>
      <c r="S437" s="647">
        <v>1337.3305910951583</v>
      </c>
      <c r="U437" s="646" t="s">
        <v>83</v>
      </c>
      <c r="V437" s="647">
        <v>1.5000162600463405</v>
      </c>
      <c r="W437" s="647">
        <v>0</v>
      </c>
      <c r="X437" s="647">
        <v>11.642988856720871</v>
      </c>
      <c r="Y437" s="647">
        <v>0</v>
      </c>
      <c r="Z437" s="647">
        <v>0</v>
      </c>
      <c r="AA437" s="647">
        <v>0</v>
      </c>
      <c r="AB437" s="647">
        <v>72.998047331393281</v>
      </c>
      <c r="AC437" s="647">
        <v>4.1448350868904589</v>
      </c>
      <c r="AD437" s="647">
        <v>56.30488079443672</v>
      </c>
      <c r="AE437" s="647">
        <v>108.92560601395611</v>
      </c>
      <c r="AF437" s="647">
        <v>123.16818516374138</v>
      </c>
      <c r="AG437" s="647">
        <v>8.5623521411059595</v>
      </c>
      <c r="AH437" s="647">
        <v>512.22753841958684</v>
      </c>
      <c r="AI437" s="647">
        <v>68.423763504668656</v>
      </c>
      <c r="AJ437" s="647">
        <v>16.512616402642333</v>
      </c>
      <c r="AK437" s="647">
        <v>984.4108299751889</v>
      </c>
    </row>
    <row r="438" spans="3:37" ht="13.5">
      <c r="C438" s="641" t="s">
        <v>84</v>
      </c>
      <c r="D438" s="642">
        <v>0</v>
      </c>
      <c r="E438" s="642">
        <v>0</v>
      </c>
      <c r="F438" s="642">
        <v>100.05515171814793</v>
      </c>
      <c r="G438" s="642">
        <v>11.196954266678716</v>
      </c>
      <c r="H438" s="642">
        <v>0</v>
      </c>
      <c r="I438" s="642">
        <v>0</v>
      </c>
      <c r="J438" s="642">
        <v>0</v>
      </c>
      <c r="K438" s="642">
        <v>0</v>
      </c>
      <c r="L438" s="642">
        <v>0</v>
      </c>
      <c r="M438" s="642">
        <v>0</v>
      </c>
      <c r="N438" s="642">
        <v>0</v>
      </c>
      <c r="O438" s="642">
        <v>0</v>
      </c>
      <c r="P438" s="642">
        <v>0</v>
      </c>
      <c r="Q438" s="642">
        <v>0</v>
      </c>
      <c r="R438" s="642">
        <v>3.9154347726113912</v>
      </c>
      <c r="S438" s="650">
        <v>115.16754075743803</v>
      </c>
      <c r="U438" s="641" t="s">
        <v>84</v>
      </c>
      <c r="V438" s="642">
        <v>0</v>
      </c>
      <c r="W438" s="642">
        <v>0</v>
      </c>
      <c r="X438" s="642">
        <v>57.953190468871433</v>
      </c>
      <c r="Y438" s="642">
        <v>0.51452681198611927</v>
      </c>
      <c r="Z438" s="642">
        <v>0</v>
      </c>
      <c r="AA438" s="642">
        <v>0</v>
      </c>
      <c r="AB438" s="642">
        <v>0</v>
      </c>
      <c r="AC438" s="642">
        <v>0</v>
      </c>
      <c r="AD438" s="642">
        <v>30.108432000732424</v>
      </c>
      <c r="AE438" s="642">
        <v>0</v>
      </c>
      <c r="AF438" s="642">
        <v>0</v>
      </c>
      <c r="AG438" s="642">
        <v>0</v>
      </c>
      <c r="AH438" s="642">
        <v>0</v>
      </c>
      <c r="AI438" s="642">
        <v>0</v>
      </c>
      <c r="AJ438" s="642">
        <v>20.543554244995118</v>
      </c>
      <c r="AK438" s="650">
        <v>109.1197035265851</v>
      </c>
    </row>
    <row r="439" spans="3:37" ht="13.5">
      <c r="C439" s="646" t="s">
        <v>85</v>
      </c>
      <c r="D439" s="647">
        <v>3.6733927919712848</v>
      </c>
      <c r="E439" s="647">
        <v>0</v>
      </c>
      <c r="F439" s="647">
        <v>371.07481988239573</v>
      </c>
      <c r="G439" s="647">
        <v>266.98818345570078</v>
      </c>
      <c r="H439" s="647">
        <v>0</v>
      </c>
      <c r="I439" s="647">
        <v>0</v>
      </c>
      <c r="J439" s="647">
        <v>116.96131138117599</v>
      </c>
      <c r="K439" s="647">
        <v>1.7266732887522405</v>
      </c>
      <c r="L439" s="647">
        <v>25.166558400865188</v>
      </c>
      <c r="M439" s="647">
        <v>5.238424175077693</v>
      </c>
      <c r="N439" s="647">
        <v>75.083762899489528</v>
      </c>
      <c r="O439" s="647">
        <v>2.8624530156397006</v>
      </c>
      <c r="P439" s="647">
        <v>541.90719860025752</v>
      </c>
      <c r="Q439" s="647">
        <v>34.744016552062419</v>
      </c>
      <c r="R439" s="647">
        <v>7.071337409208251</v>
      </c>
      <c r="S439" s="647">
        <v>1452.4981318525963</v>
      </c>
      <c r="U439" s="646" t="s">
        <v>85</v>
      </c>
      <c r="V439" s="647">
        <v>1.5000162600463405</v>
      </c>
      <c r="W439" s="647">
        <v>0</v>
      </c>
      <c r="X439" s="647">
        <v>69.596179325592303</v>
      </c>
      <c r="Y439" s="647">
        <v>0.51452681198611927</v>
      </c>
      <c r="Z439" s="647">
        <v>0</v>
      </c>
      <c r="AA439" s="647">
        <v>0</v>
      </c>
      <c r="AB439" s="647">
        <v>72.998047331393281</v>
      </c>
      <c r="AC439" s="647">
        <v>4.1448350868904589</v>
      </c>
      <c r="AD439" s="647">
        <v>86.413312795169148</v>
      </c>
      <c r="AE439" s="647">
        <v>108.92560601395611</v>
      </c>
      <c r="AF439" s="647">
        <v>123.16818516374138</v>
      </c>
      <c r="AG439" s="647">
        <v>8.5623521411059595</v>
      </c>
      <c r="AH439" s="647">
        <v>512.22753841958684</v>
      </c>
      <c r="AI439" s="647">
        <v>68.423763504668656</v>
      </c>
      <c r="AJ439" s="647">
        <v>37.056170647637451</v>
      </c>
      <c r="AK439" s="647">
        <v>1093.530533501774</v>
      </c>
    </row>
    <row r="440" spans="3:37" ht="13">
      <c r="C440" s="636"/>
      <c r="D440" s="636"/>
      <c r="E440" s="636"/>
      <c r="F440" s="636"/>
      <c r="G440" s="636"/>
      <c r="H440" s="636"/>
      <c r="I440" s="636"/>
      <c r="J440" s="636"/>
      <c r="K440" s="636"/>
      <c r="L440" s="636"/>
      <c r="M440" s="636"/>
      <c r="N440" s="636"/>
      <c r="O440" s="636"/>
      <c r="P440" s="636"/>
      <c r="Q440" s="636"/>
      <c r="R440" s="636"/>
      <c r="S440" s="636"/>
      <c r="U440" s="636"/>
      <c r="V440" s="636"/>
      <c r="W440" s="636"/>
      <c r="X440" s="636"/>
      <c r="Y440" s="636"/>
      <c r="Z440" s="636"/>
      <c r="AA440" s="636"/>
      <c r="AB440" s="636"/>
      <c r="AC440" s="636"/>
      <c r="AD440" s="636"/>
      <c r="AE440" s="636"/>
      <c r="AF440" s="636"/>
      <c r="AG440" s="636"/>
      <c r="AH440" s="636"/>
      <c r="AI440" s="636"/>
      <c r="AJ440" s="636"/>
      <c r="AK440" s="636"/>
    </row>
    <row r="441" spans="3:37" ht="13">
      <c r="C441" s="636"/>
      <c r="D441" s="636"/>
      <c r="E441" s="636"/>
      <c r="F441" s="636"/>
      <c r="G441" s="636"/>
      <c r="H441" s="636"/>
      <c r="I441" s="636"/>
      <c r="J441" s="636"/>
      <c r="K441" s="636"/>
      <c r="L441" s="636"/>
      <c r="M441" s="636"/>
      <c r="N441" s="636"/>
      <c r="O441" s="636"/>
      <c r="P441" s="636"/>
      <c r="Q441" s="636"/>
      <c r="R441" s="636"/>
      <c r="S441" s="636"/>
      <c r="U441" s="636"/>
      <c r="V441" s="636"/>
      <c r="W441" s="636"/>
      <c r="X441" s="636"/>
      <c r="Y441" s="636"/>
      <c r="Z441" s="636"/>
      <c r="AA441" s="636"/>
      <c r="AB441" s="636"/>
      <c r="AC441" s="636"/>
      <c r="AD441" s="636"/>
      <c r="AE441" s="636"/>
      <c r="AF441" s="636"/>
      <c r="AG441" s="636"/>
      <c r="AH441" s="636"/>
      <c r="AI441" s="636"/>
      <c r="AJ441" s="636"/>
      <c r="AK441" s="636"/>
    </row>
  </sheetData>
  <mergeCells count="314">
    <mergeCell ref="AA407:AA408"/>
    <mergeCell ref="AB407:AG407"/>
    <mergeCell ref="AH407:AH408"/>
    <mergeCell ref="AI407:AI408"/>
    <mergeCell ref="AJ407:AJ408"/>
    <mergeCell ref="AK407:AK408"/>
    <mergeCell ref="U407:U408"/>
    <mergeCell ref="V407:V408"/>
    <mergeCell ref="W407:W408"/>
    <mergeCell ref="X407:X408"/>
    <mergeCell ref="Y407:Y408"/>
    <mergeCell ref="Z407:Z408"/>
    <mergeCell ref="I407:I408"/>
    <mergeCell ref="J407:O407"/>
    <mergeCell ref="P407:P408"/>
    <mergeCell ref="Q407:Q408"/>
    <mergeCell ref="R407:R408"/>
    <mergeCell ref="S407:S408"/>
    <mergeCell ref="C407:C408"/>
    <mergeCell ref="D407:D408"/>
    <mergeCell ref="E407:E408"/>
    <mergeCell ref="F407:F408"/>
    <mergeCell ref="G407:G408"/>
    <mergeCell ref="H407:H408"/>
    <mergeCell ref="C405:S405"/>
    <mergeCell ref="U405:AK405"/>
    <mergeCell ref="W371:W372"/>
    <mergeCell ref="X371:X372"/>
    <mergeCell ref="Y371:Y372"/>
    <mergeCell ref="Z371:Z372"/>
    <mergeCell ref="AA371:AA372"/>
    <mergeCell ref="AB371:AG371"/>
    <mergeCell ref="P371:P372"/>
    <mergeCell ref="Q371:Q372"/>
    <mergeCell ref="R371:R372"/>
    <mergeCell ref="S371:S372"/>
    <mergeCell ref="U371:U372"/>
    <mergeCell ref="V371:V372"/>
    <mergeCell ref="C369:S369"/>
    <mergeCell ref="U369:AK369"/>
    <mergeCell ref="C371:C372"/>
    <mergeCell ref="D371:D372"/>
    <mergeCell ref="E371:E372"/>
    <mergeCell ref="F371:F372"/>
    <mergeCell ref="G371:G372"/>
    <mergeCell ref="H371:H372"/>
    <mergeCell ref="I371:I372"/>
    <mergeCell ref="J371:O371"/>
    <mergeCell ref="AH371:AH372"/>
    <mergeCell ref="AI371:AI372"/>
    <mergeCell ref="AJ371:AJ372"/>
    <mergeCell ref="AK371:AK372"/>
    <mergeCell ref="AA335:AA336"/>
    <mergeCell ref="AB335:AG335"/>
    <mergeCell ref="AH335:AH336"/>
    <mergeCell ref="AI335:AI336"/>
    <mergeCell ref="AJ335:AJ336"/>
    <mergeCell ref="AK335:AK336"/>
    <mergeCell ref="U335:U336"/>
    <mergeCell ref="V335:V336"/>
    <mergeCell ref="W335:W336"/>
    <mergeCell ref="X335:X336"/>
    <mergeCell ref="Y335:Y336"/>
    <mergeCell ref="Z335:Z336"/>
    <mergeCell ref="I335:I336"/>
    <mergeCell ref="J335:O335"/>
    <mergeCell ref="P335:P336"/>
    <mergeCell ref="Q335:Q336"/>
    <mergeCell ref="R335:R336"/>
    <mergeCell ref="S335:S336"/>
    <mergeCell ref="C335:C336"/>
    <mergeCell ref="D335:D336"/>
    <mergeCell ref="E335:E336"/>
    <mergeCell ref="F335:F336"/>
    <mergeCell ref="G335:G336"/>
    <mergeCell ref="H335:H336"/>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I263:I264"/>
    <mergeCell ref="J263:O263"/>
    <mergeCell ref="P263:P264"/>
    <mergeCell ref="Q263:Q264"/>
    <mergeCell ref="R263:R264"/>
    <mergeCell ref="S263:S264"/>
    <mergeCell ref="C263:C264"/>
    <mergeCell ref="D263:D264"/>
    <mergeCell ref="E263:E264"/>
    <mergeCell ref="F263:F264"/>
    <mergeCell ref="G263:G264"/>
    <mergeCell ref="H263:H264"/>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I191:I192"/>
    <mergeCell ref="J191:O191"/>
    <mergeCell ref="P191:P192"/>
    <mergeCell ref="Q191:Q192"/>
    <mergeCell ref="R191:R192"/>
    <mergeCell ref="S191:S192"/>
    <mergeCell ref="C191:C192"/>
    <mergeCell ref="D191:D192"/>
    <mergeCell ref="E191:E192"/>
    <mergeCell ref="F191:F192"/>
    <mergeCell ref="G191:G192"/>
    <mergeCell ref="H191:H192"/>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I119:I120"/>
    <mergeCell ref="J119:O119"/>
    <mergeCell ref="P119:P120"/>
    <mergeCell ref="Q119:Q120"/>
    <mergeCell ref="R119:R120"/>
    <mergeCell ref="S119:S120"/>
    <mergeCell ref="C119:C120"/>
    <mergeCell ref="D119:D120"/>
    <mergeCell ref="E119:E120"/>
    <mergeCell ref="F119:F120"/>
    <mergeCell ref="G119:G120"/>
    <mergeCell ref="H119:H120"/>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408">
    <cfRule type="cellIs" dxfId="20517" priority="7" operator="equal">
      <formula>0</formula>
    </cfRule>
  </conditionalFormatting>
  <conditionalFormatting sqref="P15:S17 E15:I17 J15:O16 Q12:S14 G12:G14 D12:D17 D18:S18">
    <cfRule type="cellIs" dxfId="20516" priority="1114" operator="equal">
      <formula>0</formula>
    </cfRule>
  </conditionalFormatting>
  <conditionalFormatting sqref="P12:P17">
    <cfRule type="cellIs" dxfId="20515" priority="1115" operator="equal">
      <formula>0</formula>
    </cfRule>
  </conditionalFormatting>
  <conditionalFormatting sqref="D12:E17 H12:I17">
    <cfRule type="cellIs" dxfId="20514" priority="1116" operator="equal">
      <formula>0</formula>
    </cfRule>
  </conditionalFormatting>
  <conditionalFormatting sqref="F12:F17">
    <cfRule type="cellIs" dxfId="20513" priority="1117" operator="equal">
      <formula>0</formula>
    </cfRule>
  </conditionalFormatting>
  <conditionalFormatting sqref="J15:J17">
    <cfRule type="cellIs" dxfId="20512" priority="1118" operator="equal">
      <formula>0</formula>
    </cfRule>
  </conditionalFormatting>
  <conditionalFormatting sqref="J12:J17 K12:O12">
    <cfRule type="cellIs" dxfId="20511" priority="1119" operator="equal">
      <formula>0</formula>
    </cfRule>
  </conditionalFormatting>
  <conditionalFormatting sqref="K15:K17">
    <cfRule type="cellIs" dxfId="20510" priority="1120" operator="equal">
      <formula>0</formula>
    </cfRule>
  </conditionalFormatting>
  <conditionalFormatting sqref="K12:K17">
    <cfRule type="cellIs" dxfId="20509" priority="1121" operator="equal">
      <formula>0</formula>
    </cfRule>
  </conditionalFormatting>
  <conditionalFormatting sqref="L15:L17">
    <cfRule type="cellIs" dxfId="20508" priority="1122" operator="equal">
      <formula>0</formula>
    </cfRule>
  </conditionalFormatting>
  <conditionalFormatting sqref="L12:L17">
    <cfRule type="cellIs" dxfId="20507" priority="1123" operator="equal">
      <formula>0</formula>
    </cfRule>
  </conditionalFormatting>
  <conditionalFormatting sqref="M15:M17">
    <cfRule type="cellIs" dxfId="20506" priority="1124" operator="equal">
      <formula>0</formula>
    </cfRule>
  </conditionalFormatting>
  <conditionalFormatting sqref="M12:M17">
    <cfRule type="cellIs" dxfId="20505" priority="1125" operator="equal">
      <formula>0</formula>
    </cfRule>
  </conditionalFormatting>
  <conditionalFormatting sqref="N15:N17">
    <cfRule type="cellIs" dxfId="20504" priority="1126" operator="equal">
      <formula>0</formula>
    </cfRule>
  </conditionalFormatting>
  <conditionalFormatting sqref="N12:N17">
    <cfRule type="cellIs" dxfId="20503" priority="1127" operator="equal">
      <formula>0</formula>
    </cfRule>
  </conditionalFormatting>
  <conditionalFormatting sqref="O15:O17">
    <cfRule type="cellIs" dxfId="20502" priority="1128" operator="equal">
      <formula>0</formula>
    </cfRule>
  </conditionalFormatting>
  <conditionalFormatting sqref="O12:O17">
    <cfRule type="cellIs" dxfId="20501" priority="1129" operator="equal">
      <formula>0</formula>
    </cfRule>
  </conditionalFormatting>
  <conditionalFormatting sqref="D12:S18">
    <cfRule type="expression" dxfId="20500" priority="1130">
      <formula>LEN(TRIM(D12))=0</formula>
    </cfRule>
  </conditionalFormatting>
  <conditionalFormatting sqref="L15:L16">
    <cfRule type="cellIs" dxfId="20499" priority="1131" operator="equal">
      <formula>0</formula>
    </cfRule>
  </conditionalFormatting>
  <conditionalFormatting sqref="M15:M16">
    <cfRule type="cellIs" dxfId="20498" priority="1132" operator="equal">
      <formula>0</formula>
    </cfRule>
  </conditionalFormatting>
  <conditionalFormatting sqref="N15:O15">
    <cfRule type="cellIs" dxfId="20497" priority="1133" operator="equal">
      <formula>0</formula>
    </cfRule>
  </conditionalFormatting>
  <conditionalFormatting sqref="N16:O16">
    <cfRule type="cellIs" dxfId="20496" priority="1134" operator="equal">
      <formula>0</formula>
    </cfRule>
  </conditionalFormatting>
  <conditionalFormatting sqref="E29:G29 D30:G31 H29:I31 D25:I28 J25:R31 D20:S20 D32:R32 D21:I22 S21:S32 P21:R22">
    <cfRule type="cellIs" dxfId="20495" priority="1108" operator="equal">
      <formula>0</formula>
    </cfRule>
  </conditionalFormatting>
  <conditionalFormatting sqref="D29">
    <cfRule type="cellIs" dxfId="20494" priority="1109" operator="equal">
      <formula>0</formula>
    </cfRule>
  </conditionalFormatting>
  <conditionalFormatting sqref="D20:S20 D25:R32 D21:I22 S21:S32 P21:R22">
    <cfRule type="expression" dxfId="20493" priority="1110">
      <formula>LEN(TRIM(D20))=0</formula>
    </cfRule>
  </conditionalFormatting>
  <conditionalFormatting sqref="D23:R24">
    <cfRule type="cellIs" dxfId="20492" priority="1111" operator="equal">
      <formula>0</formula>
    </cfRule>
  </conditionalFormatting>
  <conditionalFormatting sqref="P23:P24">
    <cfRule type="cellIs" dxfId="20491" priority="1112" operator="equal">
      <formula>0</formula>
    </cfRule>
  </conditionalFormatting>
  <conditionalFormatting sqref="D23:R24">
    <cfRule type="expression" dxfId="20490" priority="1113">
      <formula>LEN(TRIM(D23))=0</formula>
    </cfRule>
  </conditionalFormatting>
  <conditionalFormatting sqref="J21:O22">
    <cfRule type="cellIs" dxfId="20489" priority="1106" operator="equal">
      <formula>0</formula>
    </cfRule>
  </conditionalFormatting>
  <conditionalFormatting sqref="J21:O22">
    <cfRule type="expression" dxfId="20488" priority="1107">
      <formula>LEN(TRIM(J21))=0</formula>
    </cfRule>
  </conditionalFormatting>
  <conditionalFormatting sqref="D35:R40 S34:S39 S41 D34:I34 P34:R34">
    <cfRule type="cellIs" dxfId="20487" priority="1100" operator="equal">
      <formula>0</formula>
    </cfRule>
  </conditionalFormatting>
  <conditionalFormatting sqref="D41:R41">
    <cfRule type="cellIs" dxfId="20486" priority="1101" operator="equal">
      <formula>0</formula>
    </cfRule>
  </conditionalFormatting>
  <conditionalFormatting sqref="D35:S39 D41:S41 D40:R40 D34:I34 P34:S34">
    <cfRule type="expression" dxfId="20485" priority="1102">
      <formula>LEN(TRIM(D34))=0</formula>
    </cfRule>
  </conditionalFormatting>
  <conditionalFormatting sqref="D41:R41">
    <cfRule type="cellIs" dxfId="20484" priority="1103" operator="equal">
      <formula>0</formula>
    </cfRule>
  </conditionalFormatting>
  <conditionalFormatting sqref="D42:R42">
    <cfRule type="cellIs" dxfId="20483" priority="1104" operator="equal">
      <formula>0</formula>
    </cfRule>
  </conditionalFormatting>
  <conditionalFormatting sqref="D42:R42">
    <cfRule type="expression" dxfId="20482" priority="1105">
      <formula>LEN(TRIM(D42))=0</formula>
    </cfRule>
  </conditionalFormatting>
  <conditionalFormatting sqref="S42">
    <cfRule type="cellIs" dxfId="20481" priority="1098" operator="equal">
      <formula>0</formula>
    </cfRule>
  </conditionalFormatting>
  <conditionalFormatting sqref="S42">
    <cfRule type="expression" dxfId="20480" priority="1099">
      <formula>LEN(TRIM(S42))=0</formula>
    </cfRule>
  </conditionalFormatting>
  <conditionalFormatting sqref="S40">
    <cfRule type="cellIs" dxfId="20479" priority="1096" operator="equal">
      <formula>0</formula>
    </cfRule>
  </conditionalFormatting>
  <conditionalFormatting sqref="S40">
    <cfRule type="expression" dxfId="20478" priority="1097">
      <formula>LEN(TRIM(S40))=0</formula>
    </cfRule>
  </conditionalFormatting>
  <conditionalFormatting sqref="J34:O34">
    <cfRule type="cellIs" dxfId="20477" priority="1094" operator="equal">
      <formula>0</formula>
    </cfRule>
  </conditionalFormatting>
  <conditionalFormatting sqref="J34:O34">
    <cfRule type="expression" dxfId="20476" priority="1095">
      <formula>LEN(TRIM(J34))=0</formula>
    </cfRule>
  </conditionalFormatting>
  <conditionalFormatting sqref="P51:S53 E51:I53 J51:O52 Q48:S50 G48:G50 D48:D53 D54:S54">
    <cfRule type="cellIs" dxfId="20475" priority="1073" operator="equal">
      <formula>0</formula>
    </cfRule>
  </conditionalFormatting>
  <conditionalFormatting sqref="P48:P53">
    <cfRule type="cellIs" dxfId="20474" priority="1074" operator="equal">
      <formula>0</formula>
    </cfRule>
  </conditionalFormatting>
  <conditionalFormatting sqref="D48:E53 H48:I53">
    <cfRule type="cellIs" dxfId="20473" priority="1075" operator="equal">
      <formula>0</formula>
    </cfRule>
  </conditionalFormatting>
  <conditionalFormatting sqref="F48:F53">
    <cfRule type="cellIs" dxfId="20472" priority="1076" operator="equal">
      <formula>0</formula>
    </cfRule>
  </conditionalFormatting>
  <conditionalFormatting sqref="J51:J53">
    <cfRule type="cellIs" dxfId="20471" priority="1077" operator="equal">
      <formula>0</formula>
    </cfRule>
  </conditionalFormatting>
  <conditionalFormatting sqref="J48:J53 K48:O48">
    <cfRule type="cellIs" dxfId="20470" priority="1078" operator="equal">
      <formula>0</formula>
    </cfRule>
  </conditionalFormatting>
  <conditionalFormatting sqref="K51:K53">
    <cfRule type="cellIs" dxfId="20469" priority="1079" operator="equal">
      <formula>0</formula>
    </cfRule>
  </conditionalFormatting>
  <conditionalFormatting sqref="K48:K53">
    <cfRule type="cellIs" dxfId="20468" priority="1080" operator="equal">
      <formula>0</formula>
    </cfRule>
  </conditionalFormatting>
  <conditionalFormatting sqref="L51:L53">
    <cfRule type="cellIs" dxfId="20467" priority="1081" operator="equal">
      <formula>0</formula>
    </cfRule>
  </conditionalFormatting>
  <conditionalFormatting sqref="L48:L53">
    <cfRule type="cellIs" dxfId="20466" priority="1082" operator="equal">
      <formula>0</formula>
    </cfRule>
  </conditionalFormatting>
  <conditionalFormatting sqref="M51:M53">
    <cfRule type="cellIs" dxfId="20465" priority="1083" operator="equal">
      <formula>0</formula>
    </cfRule>
  </conditionalFormatting>
  <conditionalFormatting sqref="M48:M53">
    <cfRule type="cellIs" dxfId="20464" priority="1084" operator="equal">
      <formula>0</formula>
    </cfRule>
  </conditionalFormatting>
  <conditionalFormatting sqref="N51:N53">
    <cfRule type="cellIs" dxfId="20463" priority="1085" operator="equal">
      <formula>0</formula>
    </cfRule>
  </conditionalFormatting>
  <conditionalFormatting sqref="N48:N53">
    <cfRule type="cellIs" dxfId="20462" priority="1086" operator="equal">
      <formula>0</formula>
    </cfRule>
  </conditionalFormatting>
  <conditionalFormatting sqref="O51:O53">
    <cfRule type="cellIs" dxfId="20461" priority="1087" operator="equal">
      <formula>0</formula>
    </cfRule>
  </conditionalFormatting>
  <conditionalFormatting sqref="O48:O53">
    <cfRule type="cellIs" dxfId="20460" priority="1088" operator="equal">
      <formula>0</formula>
    </cfRule>
  </conditionalFormatting>
  <conditionalFormatting sqref="D48:S54">
    <cfRule type="expression" dxfId="20459" priority="1089">
      <formula>LEN(TRIM(D48))=0</formula>
    </cfRule>
  </conditionalFormatting>
  <conditionalFormatting sqref="L51:L52">
    <cfRule type="cellIs" dxfId="20458" priority="1090" operator="equal">
      <formula>0</formula>
    </cfRule>
  </conditionalFormatting>
  <conditionalFormatting sqref="M51:M52">
    <cfRule type="cellIs" dxfId="20457" priority="1091" operator="equal">
      <formula>0</formula>
    </cfRule>
  </conditionalFormatting>
  <conditionalFormatting sqref="N51:O51">
    <cfRule type="cellIs" dxfId="20456" priority="1092" operator="equal">
      <formula>0</formula>
    </cfRule>
  </conditionalFormatting>
  <conditionalFormatting sqref="N52:O52">
    <cfRule type="cellIs" dxfId="20455" priority="1093" operator="equal">
      <formula>0</formula>
    </cfRule>
  </conditionalFormatting>
  <conditionalFormatting sqref="E65:G65 D66:G67 H65:I67 D61:I64 J61:R67 D56:S56 D68:R68 D57:I58 S57:S68 P57:R58">
    <cfRule type="cellIs" dxfId="20454" priority="1067" operator="equal">
      <formula>0</formula>
    </cfRule>
  </conditionalFormatting>
  <conditionalFormatting sqref="D65">
    <cfRule type="cellIs" dxfId="20453" priority="1068" operator="equal">
      <formula>0</formula>
    </cfRule>
  </conditionalFormatting>
  <conditionalFormatting sqref="D56:S56 D61:R68 D57:I58 S57:S68 P57:R58">
    <cfRule type="expression" dxfId="20452" priority="1069">
      <formula>LEN(TRIM(D56))=0</formula>
    </cfRule>
  </conditionalFormatting>
  <conditionalFormatting sqref="D59:R60">
    <cfRule type="cellIs" dxfId="20451" priority="1070" operator="equal">
      <formula>0</formula>
    </cfRule>
  </conditionalFormatting>
  <conditionalFormatting sqref="P59:P60">
    <cfRule type="cellIs" dxfId="20450" priority="1071" operator="equal">
      <formula>0</formula>
    </cfRule>
  </conditionalFormatting>
  <conditionalFormatting sqref="D59:R60">
    <cfRule type="expression" dxfId="20449" priority="1072">
      <formula>LEN(TRIM(D59))=0</formula>
    </cfRule>
  </conditionalFormatting>
  <conditionalFormatting sqref="J57:O58">
    <cfRule type="cellIs" dxfId="20448" priority="1065" operator="equal">
      <formula>0</formula>
    </cfRule>
  </conditionalFormatting>
  <conditionalFormatting sqref="J57:O58">
    <cfRule type="expression" dxfId="20447" priority="1066">
      <formula>LEN(TRIM(J57))=0</formula>
    </cfRule>
  </conditionalFormatting>
  <conditionalFormatting sqref="D71:R76 S70:S75 S77 D70:I70 P70:R70">
    <cfRule type="cellIs" dxfId="20446" priority="1059" operator="equal">
      <formula>0</formula>
    </cfRule>
  </conditionalFormatting>
  <conditionalFormatting sqref="D77:R77">
    <cfRule type="cellIs" dxfId="20445" priority="1060" operator="equal">
      <formula>0</formula>
    </cfRule>
  </conditionalFormatting>
  <conditionalFormatting sqref="D71:S75 D77:S77 D76:R76 D70:I70 P70:S70">
    <cfRule type="expression" dxfId="20444" priority="1061">
      <formula>LEN(TRIM(D70))=0</formula>
    </cfRule>
  </conditionalFormatting>
  <conditionalFormatting sqref="D77:R77">
    <cfRule type="cellIs" dxfId="20443" priority="1062" operator="equal">
      <formula>0</formula>
    </cfRule>
  </conditionalFormatting>
  <conditionalFormatting sqref="D78:R78">
    <cfRule type="cellIs" dxfId="20442" priority="1063" operator="equal">
      <formula>0</formula>
    </cfRule>
  </conditionalFormatting>
  <conditionalFormatting sqref="D78:R78">
    <cfRule type="expression" dxfId="20441" priority="1064">
      <formula>LEN(TRIM(D78))=0</formula>
    </cfRule>
  </conditionalFormatting>
  <conditionalFormatting sqref="S78">
    <cfRule type="cellIs" dxfId="20440" priority="1057" operator="equal">
      <formula>0</formula>
    </cfRule>
  </conditionalFormatting>
  <conditionalFormatting sqref="S78">
    <cfRule type="expression" dxfId="20439" priority="1058">
      <formula>LEN(TRIM(S78))=0</formula>
    </cfRule>
  </conditionalFormatting>
  <conditionalFormatting sqref="S76">
    <cfRule type="cellIs" dxfId="20438" priority="1055" operator="equal">
      <formula>0</formula>
    </cfRule>
  </conditionalFormatting>
  <conditionalFormatting sqref="S76">
    <cfRule type="expression" dxfId="20437" priority="1056">
      <formula>LEN(TRIM(S76))=0</formula>
    </cfRule>
  </conditionalFormatting>
  <conditionalFormatting sqref="J70:O70">
    <cfRule type="cellIs" dxfId="20436" priority="1053" operator="equal">
      <formula>0</formula>
    </cfRule>
  </conditionalFormatting>
  <conditionalFormatting sqref="J70:O70">
    <cfRule type="expression" dxfId="20435" priority="1054">
      <formula>LEN(TRIM(J70))=0</formula>
    </cfRule>
  </conditionalFormatting>
  <conditionalFormatting sqref="P88:S90 E88:I90 J88:O89 Q85:S87 G85:G87 D85:D90 D91:S91">
    <cfRule type="cellIs" dxfId="20434" priority="1032" operator="equal">
      <formula>0</formula>
    </cfRule>
  </conditionalFormatting>
  <conditionalFormatting sqref="P85:P90">
    <cfRule type="cellIs" dxfId="20433" priority="1033" operator="equal">
      <formula>0</formula>
    </cfRule>
  </conditionalFormatting>
  <conditionalFormatting sqref="D85:E90 H85:I90">
    <cfRule type="cellIs" dxfId="20432" priority="1034" operator="equal">
      <formula>0</formula>
    </cfRule>
  </conditionalFormatting>
  <conditionalFormatting sqref="F85:F90">
    <cfRule type="cellIs" dxfId="20431" priority="1035" operator="equal">
      <formula>0</formula>
    </cfRule>
  </conditionalFormatting>
  <conditionalFormatting sqref="J88:J90">
    <cfRule type="cellIs" dxfId="20430" priority="1036" operator="equal">
      <formula>0</formula>
    </cfRule>
  </conditionalFormatting>
  <conditionalFormatting sqref="J85:J90 K85:O85">
    <cfRule type="cellIs" dxfId="20429" priority="1037" operator="equal">
      <formula>0</formula>
    </cfRule>
  </conditionalFormatting>
  <conditionalFormatting sqref="K88:K90">
    <cfRule type="cellIs" dxfId="20428" priority="1038" operator="equal">
      <formula>0</formula>
    </cfRule>
  </conditionalFormatting>
  <conditionalFormatting sqref="K85:K90">
    <cfRule type="cellIs" dxfId="20427" priority="1039" operator="equal">
      <formula>0</formula>
    </cfRule>
  </conditionalFormatting>
  <conditionalFormatting sqref="L88:L90">
    <cfRule type="cellIs" dxfId="20426" priority="1040" operator="equal">
      <formula>0</formula>
    </cfRule>
  </conditionalFormatting>
  <conditionalFormatting sqref="L85:L90">
    <cfRule type="cellIs" dxfId="20425" priority="1041" operator="equal">
      <formula>0</formula>
    </cfRule>
  </conditionalFormatting>
  <conditionalFormatting sqref="M88:M90">
    <cfRule type="cellIs" dxfId="20424" priority="1042" operator="equal">
      <formula>0</formula>
    </cfRule>
  </conditionalFormatting>
  <conditionalFormatting sqref="M85:M90">
    <cfRule type="cellIs" dxfId="20423" priority="1043" operator="equal">
      <formula>0</formula>
    </cfRule>
  </conditionalFormatting>
  <conditionalFormatting sqref="N88:N90">
    <cfRule type="cellIs" dxfId="20422" priority="1044" operator="equal">
      <formula>0</formula>
    </cfRule>
  </conditionalFormatting>
  <conditionalFormatting sqref="N85:N90">
    <cfRule type="cellIs" dxfId="20421" priority="1045" operator="equal">
      <formula>0</formula>
    </cfRule>
  </conditionalFormatting>
  <conditionalFormatting sqref="O88:O90">
    <cfRule type="cellIs" dxfId="20420" priority="1046" operator="equal">
      <formula>0</formula>
    </cfRule>
  </conditionalFormatting>
  <conditionalFormatting sqref="O85:O90">
    <cfRule type="cellIs" dxfId="20419" priority="1047" operator="equal">
      <formula>0</formula>
    </cfRule>
  </conditionalFormatting>
  <conditionalFormatting sqref="D85:S91">
    <cfRule type="expression" dxfId="20418" priority="1048">
      <formula>LEN(TRIM(D85))=0</formula>
    </cfRule>
  </conditionalFormatting>
  <conditionalFormatting sqref="L88:L89">
    <cfRule type="cellIs" dxfId="20417" priority="1049" operator="equal">
      <formula>0</formula>
    </cfRule>
  </conditionalFormatting>
  <conditionalFormatting sqref="M88:M89">
    <cfRule type="cellIs" dxfId="20416" priority="1050" operator="equal">
      <formula>0</formula>
    </cfRule>
  </conditionalFormatting>
  <conditionalFormatting sqref="N88:O88">
    <cfRule type="cellIs" dxfId="20415" priority="1051" operator="equal">
      <formula>0</formula>
    </cfRule>
  </conditionalFormatting>
  <conditionalFormatting sqref="N89:O89">
    <cfRule type="cellIs" dxfId="20414" priority="1052" operator="equal">
      <formula>0</formula>
    </cfRule>
  </conditionalFormatting>
  <conditionalFormatting sqref="E102:G102 D103:G104 H102:I104 D98:I101 J98:R104 D93:S93 D105:R105 D94:I95 S94:S105 P94:R95">
    <cfRule type="cellIs" dxfId="20413" priority="1026" operator="equal">
      <formula>0</formula>
    </cfRule>
  </conditionalFormatting>
  <conditionalFormatting sqref="D102">
    <cfRule type="cellIs" dxfId="20412" priority="1027" operator="equal">
      <formula>0</formula>
    </cfRule>
  </conditionalFormatting>
  <conditionalFormatting sqref="D93:S93 D98:R105 D94:I95 S94:S105 P94:R95">
    <cfRule type="expression" dxfId="20411" priority="1028">
      <formula>LEN(TRIM(D93))=0</formula>
    </cfRule>
  </conditionalFormatting>
  <conditionalFormatting sqref="D96:R97">
    <cfRule type="cellIs" dxfId="20410" priority="1029" operator="equal">
      <formula>0</formula>
    </cfRule>
  </conditionalFormatting>
  <conditionalFormatting sqref="P96:P97">
    <cfRule type="cellIs" dxfId="20409" priority="1030" operator="equal">
      <formula>0</formula>
    </cfRule>
  </conditionalFormatting>
  <conditionalFormatting sqref="D96:R97">
    <cfRule type="expression" dxfId="20408" priority="1031">
      <formula>LEN(TRIM(D96))=0</formula>
    </cfRule>
  </conditionalFormatting>
  <conditionalFormatting sqref="J94:O95">
    <cfRule type="cellIs" dxfId="20407" priority="1024" operator="equal">
      <formula>0</formula>
    </cfRule>
  </conditionalFormatting>
  <conditionalFormatting sqref="J94:O95">
    <cfRule type="expression" dxfId="20406" priority="1025">
      <formula>LEN(TRIM(J94))=0</formula>
    </cfRule>
  </conditionalFormatting>
  <conditionalFormatting sqref="D108:R113 S107:S112 S114 D107:I107 P107:R107">
    <cfRule type="cellIs" dxfId="20405" priority="1018" operator="equal">
      <formula>0</formula>
    </cfRule>
  </conditionalFormatting>
  <conditionalFormatting sqref="D114:R114">
    <cfRule type="cellIs" dxfId="20404" priority="1019" operator="equal">
      <formula>0</formula>
    </cfRule>
  </conditionalFormatting>
  <conditionalFormatting sqref="D108:S112 D114:S114 D113:R113 D107:I107 P107:S107">
    <cfRule type="expression" dxfId="20403" priority="1020">
      <formula>LEN(TRIM(D107))=0</formula>
    </cfRule>
  </conditionalFormatting>
  <conditionalFormatting sqref="D114:R114">
    <cfRule type="cellIs" dxfId="20402" priority="1021" operator="equal">
      <formula>0</formula>
    </cfRule>
  </conditionalFormatting>
  <conditionalFormatting sqref="D115:R115">
    <cfRule type="cellIs" dxfId="20401" priority="1022" operator="equal">
      <formula>0</formula>
    </cfRule>
  </conditionalFormatting>
  <conditionalFormatting sqref="D115:R115">
    <cfRule type="expression" dxfId="20400" priority="1023">
      <formula>LEN(TRIM(D115))=0</formula>
    </cfRule>
  </conditionalFormatting>
  <conditionalFormatting sqref="S115">
    <cfRule type="cellIs" dxfId="20399" priority="1016" operator="equal">
      <formula>0</formula>
    </cfRule>
  </conditionalFormatting>
  <conditionalFormatting sqref="S115">
    <cfRule type="expression" dxfId="20398" priority="1017">
      <formula>LEN(TRIM(S115))=0</formula>
    </cfRule>
  </conditionalFormatting>
  <conditionalFormatting sqref="S113">
    <cfRule type="cellIs" dxfId="20397" priority="1014" operator="equal">
      <formula>0</formula>
    </cfRule>
  </conditionalFormatting>
  <conditionalFormatting sqref="S113">
    <cfRule type="expression" dxfId="20396" priority="1015">
      <formula>LEN(TRIM(S113))=0</formula>
    </cfRule>
  </conditionalFormatting>
  <conditionalFormatting sqref="J107:O107">
    <cfRule type="cellIs" dxfId="20395" priority="1012" operator="equal">
      <formula>0</formula>
    </cfRule>
  </conditionalFormatting>
  <conditionalFormatting sqref="J107:O107">
    <cfRule type="expression" dxfId="20394" priority="1013">
      <formula>LEN(TRIM(J107))=0</formula>
    </cfRule>
  </conditionalFormatting>
  <conditionalFormatting sqref="P124:S126 E124:I126 J124:O125 Q121:S123 G121:G123 D121:D126 D127:S127">
    <cfRule type="cellIs" dxfId="20393" priority="991" operator="equal">
      <formula>0</formula>
    </cfRule>
  </conditionalFormatting>
  <conditionalFormatting sqref="P121:P126">
    <cfRule type="cellIs" dxfId="20392" priority="992" operator="equal">
      <formula>0</formula>
    </cfRule>
  </conditionalFormatting>
  <conditionalFormatting sqref="D121:E126 H121:I126">
    <cfRule type="cellIs" dxfId="20391" priority="993" operator="equal">
      <formula>0</formula>
    </cfRule>
  </conditionalFormatting>
  <conditionalFormatting sqref="F121:F126">
    <cfRule type="cellIs" dxfId="20390" priority="994" operator="equal">
      <formula>0</formula>
    </cfRule>
  </conditionalFormatting>
  <conditionalFormatting sqref="J124:J126">
    <cfRule type="cellIs" dxfId="20389" priority="995" operator="equal">
      <formula>0</formula>
    </cfRule>
  </conditionalFormatting>
  <conditionalFormatting sqref="J121:J126 K121:O121">
    <cfRule type="cellIs" dxfId="20388" priority="996" operator="equal">
      <formula>0</formula>
    </cfRule>
  </conditionalFormatting>
  <conditionalFormatting sqref="K124:K126">
    <cfRule type="cellIs" dxfId="20387" priority="997" operator="equal">
      <formula>0</formula>
    </cfRule>
  </conditionalFormatting>
  <conditionalFormatting sqref="K121:K126">
    <cfRule type="cellIs" dxfId="20386" priority="998" operator="equal">
      <formula>0</formula>
    </cfRule>
  </conditionalFormatting>
  <conditionalFormatting sqref="L124:L126">
    <cfRule type="cellIs" dxfId="20385" priority="999" operator="equal">
      <formula>0</formula>
    </cfRule>
  </conditionalFormatting>
  <conditionalFormatting sqref="L121:L126">
    <cfRule type="cellIs" dxfId="20384" priority="1000" operator="equal">
      <formula>0</formula>
    </cfRule>
  </conditionalFormatting>
  <conditionalFormatting sqref="M124:M126">
    <cfRule type="cellIs" dxfId="20383" priority="1001" operator="equal">
      <formula>0</formula>
    </cfRule>
  </conditionalFormatting>
  <conditionalFormatting sqref="M121:M126">
    <cfRule type="cellIs" dxfId="20382" priority="1002" operator="equal">
      <formula>0</formula>
    </cfRule>
  </conditionalFormatting>
  <conditionalFormatting sqref="N124:N126">
    <cfRule type="cellIs" dxfId="20381" priority="1003" operator="equal">
      <formula>0</formula>
    </cfRule>
  </conditionalFormatting>
  <conditionalFormatting sqref="N121:N126">
    <cfRule type="cellIs" dxfId="20380" priority="1004" operator="equal">
      <formula>0</formula>
    </cfRule>
  </conditionalFormatting>
  <conditionalFormatting sqref="O124:O126">
    <cfRule type="cellIs" dxfId="20379" priority="1005" operator="equal">
      <formula>0</formula>
    </cfRule>
  </conditionalFormatting>
  <conditionalFormatting sqref="O121:O126">
    <cfRule type="cellIs" dxfId="20378" priority="1006" operator="equal">
      <formula>0</formula>
    </cfRule>
  </conditionalFormatting>
  <conditionalFormatting sqref="D121:S127">
    <cfRule type="expression" dxfId="20377" priority="1007">
      <formula>LEN(TRIM(D121))=0</formula>
    </cfRule>
  </conditionalFormatting>
  <conditionalFormatting sqref="L124:L125">
    <cfRule type="cellIs" dxfId="20376" priority="1008" operator="equal">
      <formula>0</formula>
    </cfRule>
  </conditionalFormatting>
  <conditionalFormatting sqref="M124:M125">
    <cfRule type="cellIs" dxfId="20375" priority="1009" operator="equal">
      <formula>0</formula>
    </cfRule>
  </conditionalFormatting>
  <conditionalFormatting sqref="N124:O124">
    <cfRule type="cellIs" dxfId="20374" priority="1010" operator="equal">
      <formula>0</formula>
    </cfRule>
  </conditionalFormatting>
  <conditionalFormatting sqref="N125:O125">
    <cfRule type="cellIs" dxfId="20373" priority="1011" operator="equal">
      <formula>0</formula>
    </cfRule>
  </conditionalFormatting>
  <conditionalFormatting sqref="E138:G138 D139:G140 H138:I140 D134:I137 J134:R140 D129:S129 D141:R141 D130:I131 S130:S141 P130:R131">
    <cfRule type="cellIs" dxfId="20372" priority="985" operator="equal">
      <formula>0</formula>
    </cfRule>
  </conditionalFormatting>
  <conditionalFormatting sqref="D138">
    <cfRule type="cellIs" dxfId="20371" priority="986" operator="equal">
      <formula>0</formula>
    </cfRule>
  </conditionalFormatting>
  <conditionalFormatting sqref="D129:S129 D134:R141 D130:I131 S130:S141 P130:R131">
    <cfRule type="expression" dxfId="20370" priority="987">
      <formula>LEN(TRIM(D129))=0</formula>
    </cfRule>
  </conditionalFormatting>
  <conditionalFormatting sqref="D132:R133">
    <cfRule type="cellIs" dxfId="20369" priority="988" operator="equal">
      <formula>0</formula>
    </cfRule>
  </conditionalFormatting>
  <conditionalFormatting sqref="P132:P133">
    <cfRule type="cellIs" dxfId="20368" priority="989" operator="equal">
      <formula>0</formula>
    </cfRule>
  </conditionalFormatting>
  <conditionalFormatting sqref="D132:R133">
    <cfRule type="expression" dxfId="20367" priority="990">
      <formula>LEN(TRIM(D132))=0</formula>
    </cfRule>
  </conditionalFormatting>
  <conditionalFormatting sqref="J130:O131">
    <cfRule type="cellIs" dxfId="20366" priority="983" operator="equal">
      <formula>0</formula>
    </cfRule>
  </conditionalFormatting>
  <conditionalFormatting sqref="J130:O131">
    <cfRule type="expression" dxfId="20365" priority="984">
      <formula>LEN(TRIM(J130))=0</formula>
    </cfRule>
  </conditionalFormatting>
  <conditionalFormatting sqref="D144:R149 S143:S148 S150 D143:I143 P143:R143">
    <cfRule type="cellIs" dxfId="20364" priority="977" operator="equal">
      <formula>0</formula>
    </cfRule>
  </conditionalFormatting>
  <conditionalFormatting sqref="D150:R150">
    <cfRule type="cellIs" dxfId="20363" priority="978" operator="equal">
      <formula>0</formula>
    </cfRule>
  </conditionalFormatting>
  <conditionalFormatting sqref="D144:S148 D150:S150 D149:R149 D143:I143 P143:S143">
    <cfRule type="expression" dxfId="20362" priority="979">
      <formula>LEN(TRIM(D143))=0</formula>
    </cfRule>
  </conditionalFormatting>
  <conditionalFormatting sqref="D150:R150">
    <cfRule type="cellIs" dxfId="20361" priority="980" operator="equal">
      <formula>0</formula>
    </cfRule>
  </conditionalFormatting>
  <conditionalFormatting sqref="D151:R151">
    <cfRule type="cellIs" dxfId="20360" priority="981" operator="equal">
      <formula>0</formula>
    </cfRule>
  </conditionalFormatting>
  <conditionalFormatting sqref="D151:R151">
    <cfRule type="expression" dxfId="20359" priority="982">
      <formula>LEN(TRIM(D151))=0</formula>
    </cfRule>
  </conditionalFormatting>
  <conditionalFormatting sqref="S151">
    <cfRule type="cellIs" dxfId="20358" priority="975" operator="equal">
      <formula>0</formula>
    </cfRule>
  </conditionalFormatting>
  <conditionalFormatting sqref="S151">
    <cfRule type="expression" dxfId="20357" priority="976">
      <formula>LEN(TRIM(S151))=0</formula>
    </cfRule>
  </conditionalFormatting>
  <conditionalFormatting sqref="S149">
    <cfRule type="cellIs" dxfId="20356" priority="973" operator="equal">
      <formula>0</formula>
    </cfRule>
  </conditionalFormatting>
  <conditionalFormatting sqref="S149">
    <cfRule type="expression" dxfId="20355" priority="974">
      <formula>LEN(TRIM(S149))=0</formula>
    </cfRule>
  </conditionalFormatting>
  <conditionalFormatting sqref="J143:O143">
    <cfRule type="cellIs" dxfId="20354" priority="971" operator="equal">
      <formula>0</formula>
    </cfRule>
  </conditionalFormatting>
  <conditionalFormatting sqref="J143:O143">
    <cfRule type="expression" dxfId="20353" priority="972">
      <formula>LEN(TRIM(J143))=0</formula>
    </cfRule>
  </conditionalFormatting>
  <conditionalFormatting sqref="P160:S162 E160:I162 J160:O161 Q157:S159 G157:G159 D157:D162 D163:S163">
    <cfRule type="cellIs" dxfId="20352" priority="950" operator="equal">
      <formula>0</formula>
    </cfRule>
  </conditionalFormatting>
  <conditionalFormatting sqref="P157:P162">
    <cfRule type="cellIs" dxfId="20351" priority="951" operator="equal">
      <formula>0</formula>
    </cfRule>
  </conditionalFormatting>
  <conditionalFormatting sqref="D157:E162 H157:I162">
    <cfRule type="cellIs" dxfId="20350" priority="952" operator="equal">
      <formula>0</formula>
    </cfRule>
  </conditionalFormatting>
  <conditionalFormatting sqref="F157:F162">
    <cfRule type="cellIs" dxfId="20349" priority="953" operator="equal">
      <formula>0</formula>
    </cfRule>
  </conditionalFormatting>
  <conditionalFormatting sqref="J160:J162">
    <cfRule type="cellIs" dxfId="20348" priority="954" operator="equal">
      <formula>0</formula>
    </cfRule>
  </conditionalFormatting>
  <conditionalFormatting sqref="J157:J162 K157:O157">
    <cfRule type="cellIs" dxfId="20347" priority="955" operator="equal">
      <formula>0</formula>
    </cfRule>
  </conditionalFormatting>
  <conditionalFormatting sqref="K160:K162">
    <cfRule type="cellIs" dxfId="20346" priority="956" operator="equal">
      <formula>0</formula>
    </cfRule>
  </conditionalFormatting>
  <conditionalFormatting sqref="K157:K162">
    <cfRule type="cellIs" dxfId="20345" priority="957" operator="equal">
      <formula>0</formula>
    </cfRule>
  </conditionalFormatting>
  <conditionalFormatting sqref="L160:L162">
    <cfRule type="cellIs" dxfId="20344" priority="958" operator="equal">
      <formula>0</formula>
    </cfRule>
  </conditionalFormatting>
  <conditionalFormatting sqref="L157:L162">
    <cfRule type="cellIs" dxfId="20343" priority="959" operator="equal">
      <formula>0</formula>
    </cfRule>
  </conditionalFormatting>
  <conditionalFormatting sqref="M160:M162">
    <cfRule type="cellIs" dxfId="20342" priority="960" operator="equal">
      <formula>0</formula>
    </cfRule>
  </conditionalFormatting>
  <conditionalFormatting sqref="M157:M162">
    <cfRule type="cellIs" dxfId="20341" priority="961" operator="equal">
      <formula>0</formula>
    </cfRule>
  </conditionalFormatting>
  <conditionalFormatting sqref="N160:N162">
    <cfRule type="cellIs" dxfId="20340" priority="962" operator="equal">
      <formula>0</formula>
    </cfRule>
  </conditionalFormatting>
  <conditionalFormatting sqref="N157:N162">
    <cfRule type="cellIs" dxfId="20339" priority="963" operator="equal">
      <formula>0</formula>
    </cfRule>
  </conditionalFormatting>
  <conditionalFormatting sqref="O160:O162">
    <cfRule type="cellIs" dxfId="20338" priority="964" operator="equal">
      <formula>0</formula>
    </cfRule>
  </conditionalFormatting>
  <conditionalFormatting sqref="O157:O162">
    <cfRule type="cellIs" dxfId="20337" priority="965" operator="equal">
      <formula>0</formula>
    </cfRule>
  </conditionalFormatting>
  <conditionalFormatting sqref="D157:S163">
    <cfRule type="expression" dxfId="20336" priority="966">
      <formula>LEN(TRIM(D157))=0</formula>
    </cfRule>
  </conditionalFormatting>
  <conditionalFormatting sqref="L160:L161">
    <cfRule type="cellIs" dxfId="20335" priority="967" operator="equal">
      <formula>0</formula>
    </cfRule>
  </conditionalFormatting>
  <conditionalFormatting sqref="M160:M161">
    <cfRule type="cellIs" dxfId="20334" priority="968" operator="equal">
      <formula>0</formula>
    </cfRule>
  </conditionalFormatting>
  <conditionalFormatting sqref="N160:O160">
    <cfRule type="cellIs" dxfId="20333" priority="969" operator="equal">
      <formula>0</formula>
    </cfRule>
  </conditionalFormatting>
  <conditionalFormatting sqref="N161:O161">
    <cfRule type="cellIs" dxfId="20332" priority="970" operator="equal">
      <formula>0</formula>
    </cfRule>
  </conditionalFormatting>
  <conditionalFormatting sqref="E174:G174 D175:G176 H174:I176 D170:I173 J170:R176 D165:S165 D177:R177 D166:I167 S166:S177 P166:R167">
    <cfRule type="cellIs" dxfId="20331" priority="944" operator="equal">
      <formula>0</formula>
    </cfRule>
  </conditionalFormatting>
  <conditionalFormatting sqref="D174">
    <cfRule type="cellIs" dxfId="20330" priority="945" operator="equal">
      <formula>0</formula>
    </cfRule>
  </conditionalFormatting>
  <conditionalFormatting sqref="D165:S165 D170:R177 D166:I167 S166:S177 P166:R167">
    <cfRule type="expression" dxfId="20329" priority="946">
      <formula>LEN(TRIM(D165))=0</formula>
    </cfRule>
  </conditionalFormatting>
  <conditionalFormatting sqref="D168:R169">
    <cfRule type="cellIs" dxfId="20328" priority="947" operator="equal">
      <formula>0</formula>
    </cfRule>
  </conditionalFormatting>
  <conditionalFormatting sqref="P168:P169">
    <cfRule type="cellIs" dxfId="20327" priority="948" operator="equal">
      <formula>0</formula>
    </cfRule>
  </conditionalFormatting>
  <conditionalFormatting sqref="D168:R169">
    <cfRule type="expression" dxfId="20326" priority="949">
      <formula>LEN(TRIM(D168))=0</formula>
    </cfRule>
  </conditionalFormatting>
  <conditionalFormatting sqref="J166:O167">
    <cfRule type="cellIs" dxfId="20325" priority="942" operator="equal">
      <formula>0</formula>
    </cfRule>
  </conditionalFormatting>
  <conditionalFormatting sqref="J166:O167">
    <cfRule type="expression" dxfId="20324" priority="943">
      <formula>LEN(TRIM(J166))=0</formula>
    </cfRule>
  </conditionalFormatting>
  <conditionalFormatting sqref="D180:R185 S179:S184 S186 D179:I179 P179:R179">
    <cfRule type="cellIs" dxfId="20323" priority="936" operator="equal">
      <formula>0</formula>
    </cfRule>
  </conditionalFormatting>
  <conditionalFormatting sqref="D186:R186">
    <cfRule type="cellIs" dxfId="20322" priority="937" operator="equal">
      <formula>0</formula>
    </cfRule>
  </conditionalFormatting>
  <conditionalFormatting sqref="D180:S184 D186:S186 D185:R185 D179:I179 P179:S179">
    <cfRule type="expression" dxfId="20321" priority="938">
      <formula>LEN(TRIM(D179))=0</formula>
    </cfRule>
  </conditionalFormatting>
  <conditionalFormatting sqref="D186:R186">
    <cfRule type="cellIs" dxfId="20320" priority="939" operator="equal">
      <formula>0</formula>
    </cfRule>
  </conditionalFormatting>
  <conditionalFormatting sqref="D187:R187">
    <cfRule type="cellIs" dxfId="20319" priority="940" operator="equal">
      <formula>0</formula>
    </cfRule>
  </conditionalFormatting>
  <conditionalFormatting sqref="D187:R187">
    <cfRule type="expression" dxfId="20318" priority="941">
      <formula>LEN(TRIM(D187))=0</formula>
    </cfRule>
  </conditionalFormatting>
  <conditionalFormatting sqref="S187">
    <cfRule type="cellIs" dxfId="20317" priority="934" operator="equal">
      <formula>0</formula>
    </cfRule>
  </conditionalFormatting>
  <conditionalFormatting sqref="S187">
    <cfRule type="expression" dxfId="20316" priority="935">
      <formula>LEN(TRIM(S187))=0</formula>
    </cfRule>
  </conditionalFormatting>
  <conditionalFormatting sqref="S185">
    <cfRule type="cellIs" dxfId="20315" priority="932" operator="equal">
      <formula>0</formula>
    </cfRule>
  </conditionalFormatting>
  <conditionalFormatting sqref="S185">
    <cfRule type="expression" dxfId="20314" priority="933">
      <formula>LEN(TRIM(S185))=0</formula>
    </cfRule>
  </conditionalFormatting>
  <conditionalFormatting sqref="J179:O179">
    <cfRule type="cellIs" dxfId="20313" priority="930" operator="equal">
      <formula>0</formula>
    </cfRule>
  </conditionalFormatting>
  <conditionalFormatting sqref="J179:O179">
    <cfRule type="expression" dxfId="20312" priority="931">
      <formula>LEN(TRIM(J179))=0</formula>
    </cfRule>
  </conditionalFormatting>
  <conditionalFormatting sqref="P196:S198 E196:I198 J196:O197 Q193:S195 G193:G195 D193:D198 D199:S199">
    <cfRule type="cellIs" dxfId="20311" priority="909" operator="equal">
      <formula>0</formula>
    </cfRule>
  </conditionalFormatting>
  <conditionalFormatting sqref="P193:P198">
    <cfRule type="cellIs" dxfId="20310" priority="910" operator="equal">
      <formula>0</formula>
    </cfRule>
  </conditionalFormatting>
  <conditionalFormatting sqref="D193:E198 H193:I198">
    <cfRule type="cellIs" dxfId="20309" priority="911" operator="equal">
      <formula>0</formula>
    </cfRule>
  </conditionalFormatting>
  <conditionalFormatting sqref="F193:F198">
    <cfRule type="cellIs" dxfId="20308" priority="912" operator="equal">
      <formula>0</formula>
    </cfRule>
  </conditionalFormatting>
  <conditionalFormatting sqref="J196:J198">
    <cfRule type="cellIs" dxfId="20307" priority="913" operator="equal">
      <formula>0</formula>
    </cfRule>
  </conditionalFormatting>
  <conditionalFormatting sqref="J193:J198 K193:O193">
    <cfRule type="cellIs" dxfId="20306" priority="914" operator="equal">
      <formula>0</formula>
    </cfRule>
  </conditionalFormatting>
  <conditionalFormatting sqref="K196:K198">
    <cfRule type="cellIs" dxfId="20305" priority="915" operator="equal">
      <formula>0</formula>
    </cfRule>
  </conditionalFormatting>
  <conditionalFormatting sqref="K193:K198">
    <cfRule type="cellIs" dxfId="20304" priority="916" operator="equal">
      <formula>0</formula>
    </cfRule>
  </conditionalFormatting>
  <conditionalFormatting sqref="L196:L198">
    <cfRule type="cellIs" dxfId="20303" priority="917" operator="equal">
      <formula>0</formula>
    </cfRule>
  </conditionalFormatting>
  <conditionalFormatting sqref="L193:L198">
    <cfRule type="cellIs" dxfId="20302" priority="918" operator="equal">
      <formula>0</formula>
    </cfRule>
  </conditionalFormatting>
  <conditionalFormatting sqref="M196:M198">
    <cfRule type="cellIs" dxfId="20301" priority="919" operator="equal">
      <formula>0</formula>
    </cfRule>
  </conditionalFormatting>
  <conditionalFormatting sqref="M193:M198">
    <cfRule type="cellIs" dxfId="20300" priority="920" operator="equal">
      <formula>0</formula>
    </cfRule>
  </conditionalFormatting>
  <conditionalFormatting sqref="N196:N198">
    <cfRule type="cellIs" dxfId="20299" priority="921" operator="equal">
      <formula>0</formula>
    </cfRule>
  </conditionalFormatting>
  <conditionalFormatting sqref="N193:N198">
    <cfRule type="cellIs" dxfId="20298" priority="922" operator="equal">
      <formula>0</formula>
    </cfRule>
  </conditionalFormatting>
  <conditionalFormatting sqref="O196:O198">
    <cfRule type="cellIs" dxfId="20297" priority="923" operator="equal">
      <formula>0</formula>
    </cfRule>
  </conditionalFormatting>
  <conditionalFormatting sqref="O193:O198">
    <cfRule type="cellIs" dxfId="20296" priority="924" operator="equal">
      <formula>0</formula>
    </cfRule>
  </conditionalFormatting>
  <conditionalFormatting sqref="D193:S199">
    <cfRule type="expression" dxfId="20295" priority="925">
      <formula>LEN(TRIM(D193))=0</formula>
    </cfRule>
  </conditionalFormatting>
  <conditionalFormatting sqref="L196:L197">
    <cfRule type="cellIs" dxfId="20294" priority="926" operator="equal">
      <formula>0</formula>
    </cfRule>
  </conditionalFormatting>
  <conditionalFormatting sqref="M196:M197">
    <cfRule type="cellIs" dxfId="20293" priority="927" operator="equal">
      <formula>0</formula>
    </cfRule>
  </conditionalFormatting>
  <conditionalFormatting sqref="N196:O196">
    <cfRule type="cellIs" dxfId="20292" priority="928" operator="equal">
      <formula>0</formula>
    </cfRule>
  </conditionalFormatting>
  <conditionalFormatting sqref="N197:O197">
    <cfRule type="cellIs" dxfId="20291" priority="929" operator="equal">
      <formula>0</formula>
    </cfRule>
  </conditionalFormatting>
  <conditionalFormatting sqref="E210:G210 D211:G212 H210:I212 D206:I209 J206:R212 D201:S201 D213:R213 D202:I203 S202:S213 P202:R203">
    <cfRule type="cellIs" dxfId="20290" priority="903" operator="equal">
      <formula>0</formula>
    </cfRule>
  </conditionalFormatting>
  <conditionalFormatting sqref="D210">
    <cfRule type="cellIs" dxfId="20289" priority="904" operator="equal">
      <formula>0</formula>
    </cfRule>
  </conditionalFormatting>
  <conditionalFormatting sqref="D201:S201 D206:R213 D202:I203 S202:S213 P202:R203">
    <cfRule type="expression" dxfId="20288" priority="905">
      <formula>LEN(TRIM(D201))=0</formula>
    </cfRule>
  </conditionalFormatting>
  <conditionalFormatting sqref="D204:R205">
    <cfRule type="cellIs" dxfId="20287" priority="906" operator="equal">
      <formula>0</formula>
    </cfRule>
  </conditionalFormatting>
  <conditionalFormatting sqref="P204:P205">
    <cfRule type="cellIs" dxfId="20286" priority="907" operator="equal">
      <formula>0</formula>
    </cfRule>
  </conditionalFormatting>
  <conditionalFormatting sqref="D204:R205">
    <cfRule type="expression" dxfId="20285" priority="908">
      <formula>LEN(TRIM(D204))=0</formula>
    </cfRule>
  </conditionalFormatting>
  <conditionalFormatting sqref="J202:O203">
    <cfRule type="cellIs" dxfId="20284" priority="901" operator="equal">
      <formula>0</formula>
    </cfRule>
  </conditionalFormatting>
  <conditionalFormatting sqref="J202:O203">
    <cfRule type="expression" dxfId="20283" priority="902">
      <formula>LEN(TRIM(J202))=0</formula>
    </cfRule>
  </conditionalFormatting>
  <conditionalFormatting sqref="D216:R221 S215:S220 S222 D215:I215 P215:R215">
    <cfRule type="cellIs" dxfId="20282" priority="895" operator="equal">
      <formula>0</formula>
    </cfRule>
  </conditionalFormatting>
  <conditionalFormatting sqref="D222:R222">
    <cfRule type="cellIs" dxfId="20281" priority="896" operator="equal">
      <formula>0</formula>
    </cfRule>
  </conditionalFormatting>
  <conditionalFormatting sqref="D216:S220 D222:S222 D221:R221 D215:I215 P215:S215">
    <cfRule type="expression" dxfId="20280" priority="897">
      <formula>LEN(TRIM(D215))=0</formula>
    </cfRule>
  </conditionalFormatting>
  <conditionalFormatting sqref="D222:R222">
    <cfRule type="cellIs" dxfId="20279" priority="898" operator="equal">
      <formula>0</formula>
    </cfRule>
  </conditionalFormatting>
  <conditionalFormatting sqref="D223:R223">
    <cfRule type="cellIs" dxfId="20278" priority="899" operator="equal">
      <formula>0</formula>
    </cfRule>
  </conditionalFormatting>
  <conditionalFormatting sqref="D223:R223">
    <cfRule type="expression" dxfId="20277" priority="900">
      <formula>LEN(TRIM(D223))=0</formula>
    </cfRule>
  </conditionalFormatting>
  <conditionalFormatting sqref="S223">
    <cfRule type="cellIs" dxfId="20276" priority="893" operator="equal">
      <formula>0</formula>
    </cfRule>
  </conditionalFormatting>
  <conditionalFormatting sqref="S223">
    <cfRule type="expression" dxfId="20275" priority="894">
      <formula>LEN(TRIM(S223))=0</formula>
    </cfRule>
  </conditionalFormatting>
  <conditionalFormatting sqref="S221">
    <cfRule type="cellIs" dxfId="20274" priority="891" operator="equal">
      <formula>0</formula>
    </cfRule>
  </conditionalFormatting>
  <conditionalFormatting sqref="S221">
    <cfRule type="expression" dxfId="20273" priority="892">
      <formula>LEN(TRIM(S221))=0</formula>
    </cfRule>
  </conditionalFormatting>
  <conditionalFormatting sqref="J215:O215">
    <cfRule type="cellIs" dxfId="20272" priority="889" operator="equal">
      <formula>0</formula>
    </cfRule>
  </conditionalFormatting>
  <conditionalFormatting sqref="J215:O215">
    <cfRule type="expression" dxfId="20271" priority="890">
      <formula>LEN(TRIM(J215))=0</formula>
    </cfRule>
  </conditionalFormatting>
  <conditionalFormatting sqref="P232:S234 E232:I234 J232:O233 Q229:S231 G229:G231 D229:D234 D235:S235">
    <cfRule type="cellIs" dxfId="20270" priority="868" operator="equal">
      <formula>0</formula>
    </cfRule>
  </conditionalFormatting>
  <conditionalFormatting sqref="P229:P234">
    <cfRule type="cellIs" dxfId="20269" priority="869" operator="equal">
      <formula>0</formula>
    </cfRule>
  </conditionalFormatting>
  <conditionalFormatting sqref="D229:E234 H229:I234">
    <cfRule type="cellIs" dxfId="20268" priority="870" operator="equal">
      <formula>0</formula>
    </cfRule>
  </conditionalFormatting>
  <conditionalFormatting sqref="F229:F234">
    <cfRule type="cellIs" dxfId="20267" priority="871" operator="equal">
      <formula>0</formula>
    </cfRule>
  </conditionalFormatting>
  <conditionalFormatting sqref="J232:J234">
    <cfRule type="cellIs" dxfId="20266" priority="872" operator="equal">
      <formula>0</formula>
    </cfRule>
  </conditionalFormatting>
  <conditionalFormatting sqref="J229:J234 K229:O229">
    <cfRule type="cellIs" dxfId="20265" priority="873" operator="equal">
      <formula>0</formula>
    </cfRule>
  </conditionalFormatting>
  <conditionalFormatting sqref="K232:K234">
    <cfRule type="cellIs" dxfId="20264" priority="874" operator="equal">
      <formula>0</formula>
    </cfRule>
  </conditionalFormatting>
  <conditionalFormatting sqref="K229:K234">
    <cfRule type="cellIs" dxfId="20263" priority="875" operator="equal">
      <formula>0</formula>
    </cfRule>
  </conditionalFormatting>
  <conditionalFormatting sqref="L232:L234">
    <cfRule type="cellIs" dxfId="20262" priority="876" operator="equal">
      <formula>0</formula>
    </cfRule>
  </conditionalFormatting>
  <conditionalFormatting sqref="L229:L234">
    <cfRule type="cellIs" dxfId="20261" priority="877" operator="equal">
      <formula>0</formula>
    </cfRule>
  </conditionalFormatting>
  <conditionalFormatting sqref="M232:M234">
    <cfRule type="cellIs" dxfId="20260" priority="878" operator="equal">
      <formula>0</formula>
    </cfRule>
  </conditionalFormatting>
  <conditionalFormatting sqref="M229:M234">
    <cfRule type="cellIs" dxfId="20259" priority="879" operator="equal">
      <formula>0</formula>
    </cfRule>
  </conditionalFormatting>
  <conditionalFormatting sqref="N232:N234">
    <cfRule type="cellIs" dxfId="20258" priority="880" operator="equal">
      <formula>0</formula>
    </cfRule>
  </conditionalFormatting>
  <conditionalFormatting sqref="N229:N234">
    <cfRule type="cellIs" dxfId="20257" priority="881" operator="equal">
      <formula>0</formula>
    </cfRule>
  </conditionalFormatting>
  <conditionalFormatting sqref="O232:O234">
    <cfRule type="cellIs" dxfId="20256" priority="882" operator="equal">
      <formula>0</formula>
    </cfRule>
  </conditionalFormatting>
  <conditionalFormatting sqref="O229:O234">
    <cfRule type="cellIs" dxfId="20255" priority="883" operator="equal">
      <formula>0</formula>
    </cfRule>
  </conditionalFormatting>
  <conditionalFormatting sqref="D229:S235">
    <cfRule type="expression" dxfId="20254" priority="884">
      <formula>LEN(TRIM(D229))=0</formula>
    </cfRule>
  </conditionalFormatting>
  <conditionalFormatting sqref="L232:L233">
    <cfRule type="cellIs" dxfId="20253" priority="885" operator="equal">
      <formula>0</formula>
    </cfRule>
  </conditionalFormatting>
  <conditionalFormatting sqref="M232:M233">
    <cfRule type="cellIs" dxfId="20252" priority="886" operator="equal">
      <formula>0</formula>
    </cfRule>
  </conditionalFormatting>
  <conditionalFormatting sqref="N232:O232">
    <cfRule type="cellIs" dxfId="20251" priority="887" operator="equal">
      <formula>0</formula>
    </cfRule>
  </conditionalFormatting>
  <conditionalFormatting sqref="N233:O233">
    <cfRule type="cellIs" dxfId="20250" priority="888" operator="equal">
      <formula>0</formula>
    </cfRule>
  </conditionalFormatting>
  <conditionalFormatting sqref="E246:G246 D247:G248 H246:I248 D242:I245 J242:R248 D237:S237 D249:R249 D238:I239 S238:S249 P238:R239">
    <cfRule type="cellIs" dxfId="20249" priority="862" operator="equal">
      <formula>0</formula>
    </cfRule>
  </conditionalFormatting>
  <conditionalFormatting sqref="D246">
    <cfRule type="cellIs" dxfId="20248" priority="863" operator="equal">
      <formula>0</formula>
    </cfRule>
  </conditionalFormatting>
  <conditionalFormatting sqref="D237:S237 D242:R249 D238:I239 S238:S249 P238:R239">
    <cfRule type="expression" dxfId="20247" priority="864">
      <formula>LEN(TRIM(D237))=0</formula>
    </cfRule>
  </conditionalFormatting>
  <conditionalFormatting sqref="D240:R241">
    <cfRule type="cellIs" dxfId="20246" priority="865" operator="equal">
      <formula>0</formula>
    </cfRule>
  </conditionalFormatting>
  <conditionalFormatting sqref="P240:P241">
    <cfRule type="cellIs" dxfId="20245" priority="866" operator="equal">
      <formula>0</formula>
    </cfRule>
  </conditionalFormatting>
  <conditionalFormatting sqref="D240:R241">
    <cfRule type="expression" dxfId="20244" priority="867">
      <formula>LEN(TRIM(D240))=0</formula>
    </cfRule>
  </conditionalFormatting>
  <conditionalFormatting sqref="J238:O239">
    <cfRule type="cellIs" dxfId="20243" priority="860" operator="equal">
      <formula>0</formula>
    </cfRule>
  </conditionalFormatting>
  <conditionalFormatting sqref="J238:O239">
    <cfRule type="expression" dxfId="20242" priority="861">
      <formula>LEN(TRIM(J238))=0</formula>
    </cfRule>
  </conditionalFormatting>
  <conditionalFormatting sqref="D252:R257 S251:S256 S258 D251:I251 P251:R251">
    <cfRule type="cellIs" dxfId="20241" priority="854" operator="equal">
      <formula>0</formula>
    </cfRule>
  </conditionalFormatting>
  <conditionalFormatting sqref="D258:R258">
    <cfRule type="cellIs" dxfId="20240" priority="855" operator="equal">
      <formula>0</formula>
    </cfRule>
  </conditionalFormatting>
  <conditionalFormatting sqref="D252:S256 D258:S258 D257:R257 D251:I251 P251:S251">
    <cfRule type="expression" dxfId="20239" priority="856">
      <formula>LEN(TRIM(D251))=0</formula>
    </cfRule>
  </conditionalFormatting>
  <conditionalFormatting sqref="D258:R258">
    <cfRule type="cellIs" dxfId="20238" priority="857" operator="equal">
      <formula>0</formula>
    </cfRule>
  </conditionalFormatting>
  <conditionalFormatting sqref="D259:R259">
    <cfRule type="cellIs" dxfId="20237" priority="858" operator="equal">
      <formula>0</formula>
    </cfRule>
  </conditionalFormatting>
  <conditionalFormatting sqref="D259:R259">
    <cfRule type="expression" dxfId="20236" priority="859">
      <formula>LEN(TRIM(D259))=0</formula>
    </cfRule>
  </conditionalFormatting>
  <conditionalFormatting sqref="S259">
    <cfRule type="cellIs" dxfId="20235" priority="852" operator="equal">
      <formula>0</formula>
    </cfRule>
  </conditionalFormatting>
  <conditionalFormatting sqref="S259">
    <cfRule type="expression" dxfId="20234" priority="853">
      <formula>LEN(TRIM(S259))=0</formula>
    </cfRule>
  </conditionalFormatting>
  <conditionalFormatting sqref="S257">
    <cfRule type="cellIs" dxfId="20233" priority="850" operator="equal">
      <formula>0</formula>
    </cfRule>
  </conditionalFormatting>
  <conditionalFormatting sqref="S257">
    <cfRule type="expression" dxfId="20232" priority="851">
      <formula>LEN(TRIM(S257))=0</formula>
    </cfRule>
  </conditionalFormatting>
  <conditionalFormatting sqref="J251:O251">
    <cfRule type="cellIs" dxfId="20231" priority="848" operator="equal">
      <formula>0</formula>
    </cfRule>
  </conditionalFormatting>
  <conditionalFormatting sqref="J251:O251">
    <cfRule type="expression" dxfId="20230" priority="849">
      <formula>LEN(TRIM(J251))=0</formula>
    </cfRule>
  </conditionalFormatting>
  <conditionalFormatting sqref="P268:S270 E268:I270 J268:O269 Q265:S267 G265:G267 D265:D270 D271:S271">
    <cfRule type="cellIs" dxfId="20229" priority="827" operator="equal">
      <formula>0</formula>
    </cfRule>
  </conditionalFormatting>
  <conditionalFormatting sqref="P265:P270">
    <cfRule type="cellIs" dxfId="20228" priority="828" operator="equal">
      <formula>0</formula>
    </cfRule>
  </conditionalFormatting>
  <conditionalFormatting sqref="D265:E270 H265:I270">
    <cfRule type="cellIs" dxfId="20227" priority="829" operator="equal">
      <formula>0</formula>
    </cfRule>
  </conditionalFormatting>
  <conditionalFormatting sqref="F265:F270">
    <cfRule type="cellIs" dxfId="20226" priority="830" operator="equal">
      <formula>0</formula>
    </cfRule>
  </conditionalFormatting>
  <conditionalFormatting sqref="J268:J270">
    <cfRule type="cellIs" dxfId="20225" priority="831" operator="equal">
      <formula>0</formula>
    </cfRule>
  </conditionalFormatting>
  <conditionalFormatting sqref="J265:J270 K265:O265">
    <cfRule type="cellIs" dxfId="20224" priority="832" operator="equal">
      <formula>0</formula>
    </cfRule>
  </conditionalFormatting>
  <conditionalFormatting sqref="K268:K270">
    <cfRule type="cellIs" dxfId="20223" priority="833" operator="equal">
      <formula>0</formula>
    </cfRule>
  </conditionalFormatting>
  <conditionalFormatting sqref="K265:K270">
    <cfRule type="cellIs" dxfId="20222" priority="834" operator="equal">
      <formula>0</formula>
    </cfRule>
  </conditionalFormatting>
  <conditionalFormatting sqref="L268:L270">
    <cfRule type="cellIs" dxfId="20221" priority="835" operator="equal">
      <formula>0</formula>
    </cfRule>
  </conditionalFormatting>
  <conditionalFormatting sqref="L265:L270">
    <cfRule type="cellIs" dxfId="20220" priority="836" operator="equal">
      <formula>0</formula>
    </cfRule>
  </conditionalFormatting>
  <conditionalFormatting sqref="M268:M270">
    <cfRule type="cellIs" dxfId="20219" priority="837" operator="equal">
      <formula>0</formula>
    </cfRule>
  </conditionalFormatting>
  <conditionalFormatting sqref="M265:M270">
    <cfRule type="cellIs" dxfId="20218" priority="838" operator="equal">
      <formula>0</formula>
    </cfRule>
  </conditionalFormatting>
  <conditionalFormatting sqref="N268:N270">
    <cfRule type="cellIs" dxfId="20217" priority="839" operator="equal">
      <formula>0</formula>
    </cfRule>
  </conditionalFormatting>
  <conditionalFormatting sqref="N265:N270">
    <cfRule type="cellIs" dxfId="20216" priority="840" operator="equal">
      <formula>0</formula>
    </cfRule>
  </conditionalFormatting>
  <conditionalFormatting sqref="O268:O270">
    <cfRule type="cellIs" dxfId="20215" priority="841" operator="equal">
      <formula>0</formula>
    </cfRule>
  </conditionalFormatting>
  <conditionalFormatting sqref="O265:O270">
    <cfRule type="cellIs" dxfId="20214" priority="842" operator="equal">
      <formula>0</formula>
    </cfRule>
  </conditionalFormatting>
  <conditionalFormatting sqref="D265:S271">
    <cfRule type="expression" dxfId="20213" priority="843">
      <formula>LEN(TRIM(D265))=0</formula>
    </cfRule>
  </conditionalFormatting>
  <conditionalFormatting sqref="L268:L269">
    <cfRule type="cellIs" dxfId="20212" priority="844" operator="equal">
      <formula>0</formula>
    </cfRule>
  </conditionalFormatting>
  <conditionalFormatting sqref="M268:M269">
    <cfRule type="cellIs" dxfId="20211" priority="845" operator="equal">
      <formula>0</formula>
    </cfRule>
  </conditionalFormatting>
  <conditionalFormatting sqref="N268:O268">
    <cfRule type="cellIs" dxfId="20210" priority="846" operator="equal">
      <formula>0</formula>
    </cfRule>
  </conditionalFormatting>
  <conditionalFormatting sqref="N269:O269">
    <cfRule type="cellIs" dxfId="20209" priority="847" operator="equal">
      <formula>0</formula>
    </cfRule>
  </conditionalFormatting>
  <conditionalFormatting sqref="E282:G282 D283:G284 H282:I284 D278:I281 J278:R284 D273:S273 D285:R285 D274:I275 S274:S285 P274:R275">
    <cfRule type="cellIs" dxfId="20208" priority="821" operator="equal">
      <formula>0</formula>
    </cfRule>
  </conditionalFormatting>
  <conditionalFormatting sqref="D282">
    <cfRule type="cellIs" dxfId="20207" priority="822" operator="equal">
      <formula>0</formula>
    </cfRule>
  </conditionalFormatting>
  <conditionalFormatting sqref="D273:S273 D278:R285 D274:I275 S274:S285 P274:R275">
    <cfRule type="expression" dxfId="20206" priority="823">
      <formula>LEN(TRIM(D273))=0</formula>
    </cfRule>
  </conditionalFormatting>
  <conditionalFormatting sqref="D276:R277">
    <cfRule type="cellIs" dxfId="20205" priority="824" operator="equal">
      <formula>0</formula>
    </cfRule>
  </conditionalFormatting>
  <conditionalFormatting sqref="P276:P277">
    <cfRule type="cellIs" dxfId="20204" priority="825" operator="equal">
      <formula>0</formula>
    </cfRule>
  </conditionalFormatting>
  <conditionalFormatting sqref="D276:R277">
    <cfRule type="expression" dxfId="20203" priority="826">
      <formula>LEN(TRIM(D276))=0</formula>
    </cfRule>
  </conditionalFormatting>
  <conditionalFormatting sqref="J274:O275">
    <cfRule type="cellIs" dxfId="20202" priority="819" operator="equal">
      <formula>0</formula>
    </cfRule>
  </conditionalFormatting>
  <conditionalFormatting sqref="J274:O275">
    <cfRule type="expression" dxfId="20201" priority="820">
      <formula>LEN(TRIM(J274))=0</formula>
    </cfRule>
  </conditionalFormatting>
  <conditionalFormatting sqref="D288:R293 S287:S292 S294 D287:I287 P287:R287">
    <cfRule type="cellIs" dxfId="20200" priority="813" operator="equal">
      <formula>0</formula>
    </cfRule>
  </conditionalFormatting>
  <conditionalFormatting sqref="D294:R294">
    <cfRule type="cellIs" dxfId="20199" priority="814" operator="equal">
      <formula>0</formula>
    </cfRule>
  </conditionalFormatting>
  <conditionalFormatting sqref="D288:S292 D294:S294 D293:R293 D287:I287 P287:S287">
    <cfRule type="expression" dxfId="20198" priority="815">
      <formula>LEN(TRIM(D287))=0</formula>
    </cfRule>
  </conditionalFormatting>
  <conditionalFormatting sqref="D294:R294">
    <cfRule type="cellIs" dxfId="20197" priority="816" operator="equal">
      <formula>0</formula>
    </cfRule>
  </conditionalFormatting>
  <conditionalFormatting sqref="D295:R295">
    <cfRule type="cellIs" dxfId="20196" priority="817" operator="equal">
      <formula>0</formula>
    </cfRule>
  </conditionalFormatting>
  <conditionalFormatting sqref="D295:R295">
    <cfRule type="expression" dxfId="20195" priority="818">
      <formula>LEN(TRIM(D295))=0</formula>
    </cfRule>
  </conditionalFormatting>
  <conditionalFormatting sqref="S295">
    <cfRule type="cellIs" dxfId="20194" priority="811" operator="equal">
      <formula>0</formula>
    </cfRule>
  </conditionalFormatting>
  <conditionalFormatting sqref="S295">
    <cfRule type="expression" dxfId="20193" priority="812">
      <formula>LEN(TRIM(S295))=0</formula>
    </cfRule>
  </conditionalFormatting>
  <conditionalFormatting sqref="S293">
    <cfRule type="cellIs" dxfId="20192" priority="809" operator="equal">
      <formula>0</formula>
    </cfRule>
  </conditionalFormatting>
  <conditionalFormatting sqref="S293">
    <cfRule type="expression" dxfId="20191" priority="810">
      <formula>LEN(TRIM(S293))=0</formula>
    </cfRule>
  </conditionalFormatting>
  <conditionalFormatting sqref="J287:O287">
    <cfRule type="cellIs" dxfId="20190" priority="807" operator="equal">
      <formula>0</formula>
    </cfRule>
  </conditionalFormatting>
  <conditionalFormatting sqref="J287:O287">
    <cfRule type="expression" dxfId="20189" priority="808">
      <formula>LEN(TRIM(J287))=0</formula>
    </cfRule>
  </conditionalFormatting>
  <conditionalFormatting sqref="P304:S306 E304:I306 J304:O305 Q301:S303 G301:G303 D301:D306 D307:S307">
    <cfRule type="cellIs" dxfId="20188" priority="786" operator="equal">
      <formula>0</formula>
    </cfRule>
  </conditionalFormatting>
  <conditionalFormatting sqref="P301:P306">
    <cfRule type="cellIs" dxfId="20187" priority="787" operator="equal">
      <formula>0</formula>
    </cfRule>
  </conditionalFormatting>
  <conditionalFormatting sqref="D301:E306 H301:I306">
    <cfRule type="cellIs" dxfId="20186" priority="788" operator="equal">
      <formula>0</formula>
    </cfRule>
  </conditionalFormatting>
  <conditionalFormatting sqref="F301:F306">
    <cfRule type="cellIs" dxfId="20185" priority="789" operator="equal">
      <formula>0</formula>
    </cfRule>
  </conditionalFormatting>
  <conditionalFormatting sqref="J304:J306">
    <cfRule type="cellIs" dxfId="20184" priority="790" operator="equal">
      <formula>0</formula>
    </cfRule>
  </conditionalFormatting>
  <conditionalFormatting sqref="J301:J306 K301:O301">
    <cfRule type="cellIs" dxfId="20183" priority="791" operator="equal">
      <formula>0</formula>
    </cfRule>
  </conditionalFormatting>
  <conditionalFormatting sqref="K304:K306">
    <cfRule type="cellIs" dxfId="20182" priority="792" operator="equal">
      <formula>0</formula>
    </cfRule>
  </conditionalFormatting>
  <conditionalFormatting sqref="K301:K306">
    <cfRule type="cellIs" dxfId="20181" priority="793" operator="equal">
      <formula>0</formula>
    </cfRule>
  </conditionalFormatting>
  <conditionalFormatting sqref="L304:L306">
    <cfRule type="cellIs" dxfId="20180" priority="794" operator="equal">
      <formula>0</formula>
    </cfRule>
  </conditionalFormatting>
  <conditionalFormatting sqref="L301:L306">
    <cfRule type="cellIs" dxfId="20179" priority="795" operator="equal">
      <formula>0</formula>
    </cfRule>
  </conditionalFormatting>
  <conditionalFormatting sqref="M304:M306">
    <cfRule type="cellIs" dxfId="20178" priority="796" operator="equal">
      <formula>0</formula>
    </cfRule>
  </conditionalFormatting>
  <conditionalFormatting sqref="M301:M306">
    <cfRule type="cellIs" dxfId="20177" priority="797" operator="equal">
      <formula>0</formula>
    </cfRule>
  </conditionalFormatting>
  <conditionalFormatting sqref="N304:N306">
    <cfRule type="cellIs" dxfId="20176" priority="798" operator="equal">
      <formula>0</formula>
    </cfRule>
  </conditionalFormatting>
  <conditionalFormatting sqref="N301:N306">
    <cfRule type="cellIs" dxfId="20175" priority="799" operator="equal">
      <formula>0</formula>
    </cfRule>
  </conditionalFormatting>
  <conditionalFormatting sqref="O304:O306">
    <cfRule type="cellIs" dxfId="20174" priority="800" operator="equal">
      <formula>0</formula>
    </cfRule>
  </conditionalFormatting>
  <conditionalFormatting sqref="O301:O306">
    <cfRule type="cellIs" dxfId="20173" priority="801" operator="equal">
      <formula>0</formula>
    </cfRule>
  </conditionalFormatting>
  <conditionalFormatting sqref="D301:S307">
    <cfRule type="expression" dxfId="20172" priority="802">
      <formula>LEN(TRIM(D301))=0</formula>
    </cfRule>
  </conditionalFormatting>
  <conditionalFormatting sqref="L304:L305">
    <cfRule type="cellIs" dxfId="20171" priority="803" operator="equal">
      <formula>0</formula>
    </cfRule>
  </conditionalFormatting>
  <conditionalFormatting sqref="M304:M305">
    <cfRule type="cellIs" dxfId="20170" priority="804" operator="equal">
      <formula>0</formula>
    </cfRule>
  </conditionalFormatting>
  <conditionalFormatting sqref="N304:O304">
    <cfRule type="cellIs" dxfId="20169" priority="805" operator="equal">
      <formula>0</formula>
    </cfRule>
  </conditionalFormatting>
  <conditionalFormatting sqref="N305:O305">
    <cfRule type="cellIs" dxfId="20168" priority="806" operator="equal">
      <formula>0</formula>
    </cfRule>
  </conditionalFormatting>
  <conditionalFormatting sqref="E318:G318 D319:G320 H318:I320 D314:I317 J314:R320 D309:S309 D321:R321 D310:I311 S310:S321 P310:R311">
    <cfRule type="cellIs" dxfId="20167" priority="780" operator="equal">
      <formula>0</formula>
    </cfRule>
  </conditionalFormatting>
  <conditionalFormatting sqref="D318">
    <cfRule type="cellIs" dxfId="20166" priority="781" operator="equal">
      <formula>0</formula>
    </cfRule>
  </conditionalFormatting>
  <conditionalFormatting sqref="D309:S309 D314:R321 D310:I311 S310:S321 P310:R311">
    <cfRule type="expression" dxfId="20165" priority="782">
      <formula>LEN(TRIM(D309))=0</formula>
    </cfRule>
  </conditionalFormatting>
  <conditionalFormatting sqref="D312:R313">
    <cfRule type="cellIs" dxfId="20164" priority="783" operator="equal">
      <formula>0</formula>
    </cfRule>
  </conditionalFormatting>
  <conditionalFormatting sqref="P312:P313">
    <cfRule type="cellIs" dxfId="20163" priority="784" operator="equal">
      <formula>0</formula>
    </cfRule>
  </conditionalFormatting>
  <conditionalFormatting sqref="D312:R313">
    <cfRule type="expression" dxfId="20162" priority="785">
      <formula>LEN(TRIM(D312))=0</formula>
    </cfRule>
  </conditionalFormatting>
  <conditionalFormatting sqref="J310:O311">
    <cfRule type="cellIs" dxfId="20161" priority="778" operator="equal">
      <formula>0</formula>
    </cfRule>
  </conditionalFormatting>
  <conditionalFormatting sqref="J310:O311">
    <cfRule type="expression" dxfId="20160" priority="779">
      <formula>LEN(TRIM(J310))=0</formula>
    </cfRule>
  </conditionalFormatting>
  <conditionalFormatting sqref="D324:R329 S323:S328 S330 D323:I323 P323:R323">
    <cfRule type="cellIs" dxfId="20159" priority="772" operator="equal">
      <formula>0</formula>
    </cfRule>
  </conditionalFormatting>
  <conditionalFormatting sqref="D330:R330">
    <cfRule type="cellIs" dxfId="20158" priority="773" operator="equal">
      <formula>0</formula>
    </cfRule>
  </conditionalFormatting>
  <conditionalFormatting sqref="D324:S328 D330:S330 D329:R329 D323:I323 P323:S323">
    <cfRule type="expression" dxfId="20157" priority="774">
      <formula>LEN(TRIM(D323))=0</formula>
    </cfRule>
  </conditionalFormatting>
  <conditionalFormatting sqref="D330:R330">
    <cfRule type="cellIs" dxfId="20156" priority="775" operator="equal">
      <formula>0</formula>
    </cfRule>
  </conditionalFormatting>
  <conditionalFormatting sqref="D331:R331">
    <cfRule type="cellIs" dxfId="20155" priority="776" operator="equal">
      <formula>0</formula>
    </cfRule>
  </conditionalFormatting>
  <conditionalFormatting sqref="D331:R331">
    <cfRule type="expression" dxfId="20154" priority="777">
      <formula>LEN(TRIM(D331))=0</formula>
    </cfRule>
  </conditionalFormatting>
  <conditionalFormatting sqref="S331">
    <cfRule type="cellIs" dxfId="20153" priority="770" operator="equal">
      <formula>0</formula>
    </cfRule>
  </conditionalFormatting>
  <conditionalFormatting sqref="S331">
    <cfRule type="expression" dxfId="20152" priority="771">
      <formula>LEN(TRIM(S331))=0</formula>
    </cfRule>
  </conditionalFormatting>
  <conditionalFormatting sqref="S329">
    <cfRule type="cellIs" dxfId="20151" priority="768" operator="equal">
      <formula>0</formula>
    </cfRule>
  </conditionalFormatting>
  <conditionalFormatting sqref="S329">
    <cfRule type="expression" dxfId="20150" priority="769">
      <formula>LEN(TRIM(S329))=0</formula>
    </cfRule>
  </conditionalFormatting>
  <conditionalFormatting sqref="J323:O323">
    <cfRule type="cellIs" dxfId="20149" priority="766" operator="equal">
      <formula>0</formula>
    </cfRule>
  </conditionalFormatting>
  <conditionalFormatting sqref="J323:O323">
    <cfRule type="expression" dxfId="20148" priority="767">
      <formula>LEN(TRIM(J323))=0</formula>
    </cfRule>
  </conditionalFormatting>
  <conditionalFormatting sqref="P340:S342 E340:I342 J340:O341 Q337:S339 G337:G339 D337:D342 D343:S343">
    <cfRule type="cellIs" dxfId="20147" priority="745" operator="equal">
      <formula>0</formula>
    </cfRule>
  </conditionalFormatting>
  <conditionalFormatting sqref="P337:P342">
    <cfRule type="cellIs" dxfId="20146" priority="746" operator="equal">
      <formula>0</formula>
    </cfRule>
  </conditionalFormatting>
  <conditionalFormatting sqref="D337:E342 H337:I342">
    <cfRule type="cellIs" dxfId="20145" priority="747" operator="equal">
      <formula>0</formula>
    </cfRule>
  </conditionalFormatting>
  <conditionalFormatting sqref="F337:F342">
    <cfRule type="cellIs" dxfId="20144" priority="748" operator="equal">
      <formula>0</formula>
    </cfRule>
  </conditionalFormatting>
  <conditionalFormatting sqref="J340:J342">
    <cfRule type="cellIs" dxfId="20143" priority="749" operator="equal">
      <formula>0</formula>
    </cfRule>
  </conditionalFormatting>
  <conditionalFormatting sqref="J337:J342 K337:O337">
    <cfRule type="cellIs" dxfId="20142" priority="750" operator="equal">
      <formula>0</formula>
    </cfRule>
  </conditionalFormatting>
  <conditionalFormatting sqref="K340:K342">
    <cfRule type="cellIs" dxfId="20141" priority="751" operator="equal">
      <formula>0</formula>
    </cfRule>
  </conditionalFormatting>
  <conditionalFormatting sqref="K337:K342">
    <cfRule type="cellIs" dxfId="20140" priority="752" operator="equal">
      <formula>0</formula>
    </cfRule>
  </conditionalFormatting>
  <conditionalFormatting sqref="L340:L342">
    <cfRule type="cellIs" dxfId="20139" priority="753" operator="equal">
      <formula>0</formula>
    </cfRule>
  </conditionalFormatting>
  <conditionalFormatting sqref="L337:L342">
    <cfRule type="cellIs" dxfId="20138" priority="754" operator="equal">
      <formula>0</formula>
    </cfRule>
  </conditionalFormatting>
  <conditionalFormatting sqref="M340:M342">
    <cfRule type="cellIs" dxfId="20137" priority="755" operator="equal">
      <formula>0</formula>
    </cfRule>
  </conditionalFormatting>
  <conditionalFormatting sqref="M337:M342">
    <cfRule type="cellIs" dxfId="20136" priority="756" operator="equal">
      <formula>0</formula>
    </cfRule>
  </conditionalFormatting>
  <conditionalFormatting sqref="N340:N342">
    <cfRule type="cellIs" dxfId="20135" priority="757" operator="equal">
      <formula>0</formula>
    </cfRule>
  </conditionalFormatting>
  <conditionalFormatting sqref="N337:N342">
    <cfRule type="cellIs" dxfId="20134" priority="758" operator="equal">
      <formula>0</formula>
    </cfRule>
  </conditionalFormatting>
  <conditionalFormatting sqref="O340:O342">
    <cfRule type="cellIs" dxfId="20133" priority="759" operator="equal">
      <formula>0</formula>
    </cfRule>
  </conditionalFormatting>
  <conditionalFormatting sqref="O337:O342">
    <cfRule type="cellIs" dxfId="20132" priority="760" operator="equal">
      <formula>0</formula>
    </cfRule>
  </conditionalFormatting>
  <conditionalFormatting sqref="D337:S343">
    <cfRule type="expression" dxfId="20131" priority="761">
      <formula>LEN(TRIM(D337))=0</formula>
    </cfRule>
  </conditionalFormatting>
  <conditionalFormatting sqref="L340:L341">
    <cfRule type="cellIs" dxfId="20130" priority="762" operator="equal">
      <formula>0</formula>
    </cfRule>
  </conditionalFormatting>
  <conditionalFormatting sqref="M340:M341">
    <cfRule type="cellIs" dxfId="20129" priority="763" operator="equal">
      <formula>0</formula>
    </cfRule>
  </conditionalFormatting>
  <conditionalFormatting sqref="N340:O340">
    <cfRule type="cellIs" dxfId="20128" priority="764" operator="equal">
      <formula>0</formula>
    </cfRule>
  </conditionalFormatting>
  <conditionalFormatting sqref="N341:O341">
    <cfRule type="cellIs" dxfId="20127" priority="765" operator="equal">
      <formula>0</formula>
    </cfRule>
  </conditionalFormatting>
  <conditionalFormatting sqref="E354:G354 D355:G356 H354:I356 D350:I353 J350:R356 D345:S345 D357:R357 D346:I347 S346:S357 P346:R347">
    <cfRule type="cellIs" dxfId="20126" priority="739" operator="equal">
      <formula>0</formula>
    </cfRule>
  </conditionalFormatting>
  <conditionalFormatting sqref="D354">
    <cfRule type="cellIs" dxfId="20125" priority="740" operator="equal">
      <formula>0</formula>
    </cfRule>
  </conditionalFormatting>
  <conditionalFormatting sqref="D345:S345 D350:R357 D346:I347 S346:S357 P346:R347">
    <cfRule type="expression" dxfId="20124" priority="741">
      <formula>LEN(TRIM(D345))=0</formula>
    </cfRule>
  </conditionalFormatting>
  <conditionalFormatting sqref="D348:R349">
    <cfRule type="cellIs" dxfId="20123" priority="742" operator="equal">
      <formula>0</formula>
    </cfRule>
  </conditionalFormatting>
  <conditionalFormatting sqref="P348:P349">
    <cfRule type="cellIs" dxfId="20122" priority="743" operator="equal">
      <formula>0</formula>
    </cfRule>
  </conditionalFormatting>
  <conditionalFormatting sqref="D348:R349">
    <cfRule type="expression" dxfId="20121" priority="744">
      <formula>LEN(TRIM(D348))=0</formula>
    </cfRule>
  </conditionalFormatting>
  <conditionalFormatting sqref="J346:O347">
    <cfRule type="cellIs" dxfId="20120" priority="737" operator="equal">
      <formula>0</formula>
    </cfRule>
  </conditionalFormatting>
  <conditionalFormatting sqref="J346:O347">
    <cfRule type="expression" dxfId="20119" priority="738">
      <formula>LEN(TRIM(J346))=0</formula>
    </cfRule>
  </conditionalFormatting>
  <conditionalFormatting sqref="D360:R365 S359:S364 S366 D359:I359 P359:R359">
    <cfRule type="cellIs" dxfId="20118" priority="731" operator="equal">
      <formula>0</formula>
    </cfRule>
  </conditionalFormatting>
  <conditionalFormatting sqref="D366:R366">
    <cfRule type="cellIs" dxfId="20117" priority="732" operator="equal">
      <formula>0</formula>
    </cfRule>
  </conditionalFormatting>
  <conditionalFormatting sqref="D360:S364 D366:S366 D365:R365 D359:I359 P359:S359">
    <cfRule type="expression" dxfId="20116" priority="733">
      <formula>LEN(TRIM(D359))=0</formula>
    </cfRule>
  </conditionalFormatting>
  <conditionalFormatting sqref="D366:R366">
    <cfRule type="cellIs" dxfId="20115" priority="734" operator="equal">
      <formula>0</formula>
    </cfRule>
  </conditionalFormatting>
  <conditionalFormatting sqref="D367:R367">
    <cfRule type="cellIs" dxfId="20114" priority="735" operator="equal">
      <formula>0</formula>
    </cfRule>
  </conditionalFormatting>
  <conditionalFormatting sqref="D367:R367">
    <cfRule type="expression" dxfId="20113" priority="736">
      <formula>LEN(TRIM(D367))=0</formula>
    </cfRule>
  </conditionalFormatting>
  <conditionalFormatting sqref="S367">
    <cfRule type="cellIs" dxfId="20112" priority="729" operator="equal">
      <formula>0</formula>
    </cfRule>
  </conditionalFormatting>
  <conditionalFormatting sqref="S367">
    <cfRule type="expression" dxfId="20111" priority="730">
      <formula>LEN(TRIM(S367))=0</formula>
    </cfRule>
  </conditionalFormatting>
  <conditionalFormatting sqref="S365">
    <cfRule type="cellIs" dxfId="20110" priority="727" operator="equal">
      <formula>0</formula>
    </cfRule>
  </conditionalFormatting>
  <conditionalFormatting sqref="S365">
    <cfRule type="expression" dxfId="20109" priority="728">
      <formula>LEN(TRIM(S365))=0</formula>
    </cfRule>
  </conditionalFormatting>
  <conditionalFormatting sqref="J359:O359">
    <cfRule type="cellIs" dxfId="20108" priority="725" operator="equal">
      <formula>0</formula>
    </cfRule>
  </conditionalFormatting>
  <conditionalFormatting sqref="J359:O359">
    <cfRule type="expression" dxfId="20107" priority="726">
      <formula>LEN(TRIM(J359))=0</formula>
    </cfRule>
  </conditionalFormatting>
  <conditionalFormatting sqref="P376:S378 E376:I378 J376:O377 Q373:S375 G373:G375 D373:D378 D379:S379">
    <cfRule type="cellIs" dxfId="20106" priority="704" operator="equal">
      <formula>0</formula>
    </cfRule>
  </conditionalFormatting>
  <conditionalFormatting sqref="P373:P378">
    <cfRule type="cellIs" dxfId="20105" priority="705" operator="equal">
      <formula>0</formula>
    </cfRule>
  </conditionalFormatting>
  <conditionalFormatting sqref="D373:E378 H373:I378">
    <cfRule type="cellIs" dxfId="20104" priority="706" operator="equal">
      <formula>0</formula>
    </cfRule>
  </conditionalFormatting>
  <conditionalFormatting sqref="F373:F378">
    <cfRule type="cellIs" dxfId="20103" priority="707" operator="equal">
      <formula>0</formula>
    </cfRule>
  </conditionalFormatting>
  <conditionalFormatting sqref="J376:J378">
    <cfRule type="cellIs" dxfId="20102" priority="708" operator="equal">
      <formula>0</formula>
    </cfRule>
  </conditionalFormatting>
  <conditionalFormatting sqref="J373:J378 K373:O373">
    <cfRule type="cellIs" dxfId="20101" priority="709" operator="equal">
      <formula>0</formula>
    </cfRule>
  </conditionalFormatting>
  <conditionalFormatting sqref="K376:K378">
    <cfRule type="cellIs" dxfId="20100" priority="710" operator="equal">
      <formula>0</formula>
    </cfRule>
  </conditionalFormatting>
  <conditionalFormatting sqref="K373:K378">
    <cfRule type="cellIs" dxfId="20099" priority="711" operator="equal">
      <formula>0</formula>
    </cfRule>
  </conditionalFormatting>
  <conditionalFormatting sqref="L376:L378">
    <cfRule type="cellIs" dxfId="20098" priority="712" operator="equal">
      <formula>0</formula>
    </cfRule>
  </conditionalFormatting>
  <conditionalFormatting sqref="L373:L378">
    <cfRule type="cellIs" dxfId="20097" priority="713" operator="equal">
      <formula>0</formula>
    </cfRule>
  </conditionalFormatting>
  <conditionalFormatting sqref="M376:M378">
    <cfRule type="cellIs" dxfId="20096" priority="714" operator="equal">
      <formula>0</formula>
    </cfRule>
  </conditionalFormatting>
  <conditionalFormatting sqref="M373:M378">
    <cfRule type="cellIs" dxfId="20095" priority="715" operator="equal">
      <formula>0</formula>
    </cfRule>
  </conditionalFormatting>
  <conditionalFormatting sqref="N376:N378">
    <cfRule type="cellIs" dxfId="20094" priority="716" operator="equal">
      <formula>0</formula>
    </cfRule>
  </conditionalFormatting>
  <conditionalFormatting sqref="N373:N378">
    <cfRule type="cellIs" dxfId="20093" priority="717" operator="equal">
      <formula>0</formula>
    </cfRule>
  </conditionalFormatting>
  <conditionalFormatting sqref="O376:O378">
    <cfRule type="cellIs" dxfId="20092" priority="718" operator="equal">
      <formula>0</formula>
    </cfRule>
  </conditionalFormatting>
  <conditionalFormatting sqref="O373:O378">
    <cfRule type="cellIs" dxfId="20091" priority="719" operator="equal">
      <formula>0</formula>
    </cfRule>
  </conditionalFormatting>
  <conditionalFormatting sqref="D373:S379">
    <cfRule type="expression" dxfId="20090" priority="720">
      <formula>LEN(TRIM(D373))=0</formula>
    </cfRule>
  </conditionalFormatting>
  <conditionalFormatting sqref="L376:L377">
    <cfRule type="cellIs" dxfId="20089" priority="721" operator="equal">
      <formula>0</formula>
    </cfRule>
  </conditionalFormatting>
  <conditionalFormatting sqref="M376:M377">
    <cfRule type="cellIs" dxfId="20088" priority="722" operator="equal">
      <formula>0</formula>
    </cfRule>
  </conditionalFormatting>
  <conditionalFormatting sqref="N376:O376">
    <cfRule type="cellIs" dxfId="20087" priority="723" operator="equal">
      <formula>0</formula>
    </cfRule>
  </conditionalFormatting>
  <conditionalFormatting sqref="N377:O377">
    <cfRule type="cellIs" dxfId="20086" priority="724" operator="equal">
      <formula>0</formula>
    </cfRule>
  </conditionalFormatting>
  <conditionalFormatting sqref="E390:G390 D391:G392 H390:I392 D386:I389 J386:R392 D381:S381 D393:R393 D382:I383 S382:S393 P382:R383">
    <cfRule type="cellIs" dxfId="20085" priority="698" operator="equal">
      <formula>0</formula>
    </cfRule>
  </conditionalFormatting>
  <conditionalFormatting sqref="D390">
    <cfRule type="cellIs" dxfId="20084" priority="699" operator="equal">
      <formula>0</formula>
    </cfRule>
  </conditionalFormatting>
  <conditionalFormatting sqref="D381:S381 D386:R393 D382:I383 S382:S393 P382:R383">
    <cfRule type="expression" dxfId="20083" priority="700">
      <formula>LEN(TRIM(D381))=0</formula>
    </cfRule>
  </conditionalFormatting>
  <conditionalFormatting sqref="D384:R385">
    <cfRule type="cellIs" dxfId="20082" priority="701" operator="equal">
      <formula>0</formula>
    </cfRule>
  </conditionalFormatting>
  <conditionalFormatting sqref="P384:P385">
    <cfRule type="cellIs" dxfId="20081" priority="702" operator="equal">
      <formula>0</formula>
    </cfRule>
  </conditionalFormatting>
  <conditionalFormatting sqref="D384:R385">
    <cfRule type="expression" dxfId="20080" priority="703">
      <formula>LEN(TRIM(D384))=0</formula>
    </cfRule>
  </conditionalFormatting>
  <conditionalFormatting sqref="J382:O383">
    <cfRule type="cellIs" dxfId="20079" priority="696" operator="equal">
      <formula>0</formula>
    </cfRule>
  </conditionalFormatting>
  <conditionalFormatting sqref="J382:O383">
    <cfRule type="expression" dxfId="20078" priority="697">
      <formula>LEN(TRIM(J382))=0</formula>
    </cfRule>
  </conditionalFormatting>
  <conditionalFormatting sqref="D396:R401 S395:S400 S402 D395:I395 P395:R395">
    <cfRule type="cellIs" dxfId="20077" priority="690" operator="equal">
      <formula>0</formula>
    </cfRule>
  </conditionalFormatting>
  <conditionalFormatting sqref="D402:R402">
    <cfRule type="cellIs" dxfId="20076" priority="691" operator="equal">
      <formula>0</formula>
    </cfRule>
  </conditionalFormatting>
  <conditionalFormatting sqref="D396:S400 D402:S402 D401:R401 D395:I395 P395:S395">
    <cfRule type="expression" dxfId="20075" priority="692">
      <formula>LEN(TRIM(D395))=0</formula>
    </cfRule>
  </conditionalFormatting>
  <conditionalFormatting sqref="D402:R402">
    <cfRule type="cellIs" dxfId="20074" priority="693" operator="equal">
      <formula>0</formula>
    </cfRule>
  </conditionalFormatting>
  <conditionalFormatting sqref="D403:R403">
    <cfRule type="cellIs" dxfId="20073" priority="694" operator="equal">
      <formula>0</formula>
    </cfRule>
  </conditionalFormatting>
  <conditionalFormatting sqref="D403:R403">
    <cfRule type="expression" dxfId="20072" priority="695">
      <formula>LEN(TRIM(D403))=0</formula>
    </cfRule>
  </conditionalFormatting>
  <conditionalFormatting sqref="S403">
    <cfRule type="cellIs" dxfId="20071" priority="688" operator="equal">
      <formula>0</formula>
    </cfRule>
  </conditionalFormatting>
  <conditionalFormatting sqref="S403">
    <cfRule type="expression" dxfId="20070" priority="689">
      <formula>LEN(TRIM(S403))=0</formula>
    </cfRule>
  </conditionalFormatting>
  <conditionalFormatting sqref="S401">
    <cfRule type="cellIs" dxfId="20069" priority="686" operator="equal">
      <formula>0</formula>
    </cfRule>
  </conditionalFormatting>
  <conditionalFormatting sqref="S401">
    <cfRule type="expression" dxfId="20068" priority="687">
      <formula>LEN(TRIM(S401))=0</formula>
    </cfRule>
  </conditionalFormatting>
  <conditionalFormatting sqref="J395:O395">
    <cfRule type="cellIs" dxfId="20067" priority="684" operator="equal">
      <formula>0</formula>
    </cfRule>
  </conditionalFormatting>
  <conditionalFormatting sqref="J395:O395">
    <cfRule type="expression" dxfId="20066" priority="685">
      <formula>LEN(TRIM(J395))=0</formula>
    </cfRule>
  </conditionalFormatting>
  <conditionalFormatting sqref="P412:S414 E412:I414 J412:O413 Q409:S411 G409:G411 D409:D414 D415:S415">
    <cfRule type="cellIs" dxfId="20065" priority="663" operator="equal">
      <formula>0</formula>
    </cfRule>
  </conditionalFormatting>
  <conditionalFormatting sqref="P409:P414">
    <cfRule type="cellIs" dxfId="20064" priority="664" operator="equal">
      <formula>0</formula>
    </cfRule>
  </conditionalFormatting>
  <conditionalFormatting sqref="D409:E414 H409:I414">
    <cfRule type="cellIs" dxfId="20063" priority="665" operator="equal">
      <formula>0</formula>
    </cfRule>
  </conditionalFormatting>
  <conditionalFormatting sqref="F409:F414">
    <cfRule type="cellIs" dxfId="20062" priority="666" operator="equal">
      <formula>0</formula>
    </cfRule>
  </conditionalFormatting>
  <conditionalFormatting sqref="J412:J414">
    <cfRule type="cellIs" dxfId="20061" priority="667" operator="equal">
      <formula>0</formula>
    </cfRule>
  </conditionalFormatting>
  <conditionalFormatting sqref="J409:J414 K409:O409">
    <cfRule type="cellIs" dxfId="20060" priority="668" operator="equal">
      <formula>0</formula>
    </cfRule>
  </conditionalFormatting>
  <conditionalFormatting sqref="K412:K414">
    <cfRule type="cellIs" dxfId="20059" priority="669" operator="equal">
      <formula>0</formula>
    </cfRule>
  </conditionalFormatting>
  <conditionalFormatting sqref="K409:K414">
    <cfRule type="cellIs" dxfId="20058" priority="670" operator="equal">
      <formula>0</formula>
    </cfRule>
  </conditionalFormatting>
  <conditionalFormatting sqref="L412:L414">
    <cfRule type="cellIs" dxfId="20057" priority="671" operator="equal">
      <formula>0</formula>
    </cfRule>
  </conditionalFormatting>
  <conditionalFormatting sqref="L409:L414">
    <cfRule type="cellIs" dxfId="20056" priority="672" operator="equal">
      <formula>0</formula>
    </cfRule>
  </conditionalFormatting>
  <conditionalFormatting sqref="M412:M414">
    <cfRule type="cellIs" dxfId="20055" priority="673" operator="equal">
      <formula>0</formula>
    </cfRule>
  </conditionalFormatting>
  <conditionalFormatting sqref="M409:M414">
    <cfRule type="cellIs" dxfId="20054" priority="674" operator="equal">
      <formula>0</formula>
    </cfRule>
  </conditionalFormatting>
  <conditionalFormatting sqref="N412:N414">
    <cfRule type="cellIs" dxfId="20053" priority="675" operator="equal">
      <formula>0</formula>
    </cfRule>
  </conditionalFormatting>
  <conditionalFormatting sqref="N409:N414">
    <cfRule type="cellIs" dxfId="20052" priority="676" operator="equal">
      <formula>0</formula>
    </cfRule>
  </conditionalFormatting>
  <conditionalFormatting sqref="O412:O414">
    <cfRule type="cellIs" dxfId="20051" priority="677" operator="equal">
      <formula>0</formula>
    </cfRule>
  </conditionalFormatting>
  <conditionalFormatting sqref="O409:O414">
    <cfRule type="cellIs" dxfId="20050" priority="678" operator="equal">
      <formula>0</formula>
    </cfRule>
  </conditionalFormatting>
  <conditionalFormatting sqref="D409:S415">
    <cfRule type="expression" dxfId="20049" priority="679">
      <formula>LEN(TRIM(D409))=0</formula>
    </cfRule>
  </conditionalFormatting>
  <conditionalFormatting sqref="L412:L413">
    <cfRule type="cellIs" dxfId="20048" priority="680" operator="equal">
      <formula>0</formula>
    </cfRule>
  </conditionalFormatting>
  <conditionalFormatting sqref="M412:M413">
    <cfRule type="cellIs" dxfId="20047" priority="681" operator="equal">
      <formula>0</formula>
    </cfRule>
  </conditionalFormatting>
  <conditionalFormatting sqref="N412:O412">
    <cfRule type="cellIs" dxfId="20046" priority="682" operator="equal">
      <formula>0</formula>
    </cfRule>
  </conditionalFormatting>
  <conditionalFormatting sqref="N413:O413">
    <cfRule type="cellIs" dxfId="20045" priority="683" operator="equal">
      <formula>0</formula>
    </cfRule>
  </conditionalFormatting>
  <conditionalFormatting sqref="E426:G426 D427:G428 H426:I428 D422:I425 J422:R428 D417:S417 D429:R429 D418:I419 S418:S429 P418:R419">
    <cfRule type="cellIs" dxfId="20044" priority="657" operator="equal">
      <formula>0</formula>
    </cfRule>
  </conditionalFormatting>
  <conditionalFormatting sqref="D426">
    <cfRule type="cellIs" dxfId="20043" priority="658" operator="equal">
      <formula>0</formula>
    </cfRule>
  </conditionalFormatting>
  <conditionalFormatting sqref="D417:S417 D422:R429 D418:I419 S418:S429 P418:R419">
    <cfRule type="expression" dxfId="20042" priority="659">
      <formula>LEN(TRIM(D417))=0</formula>
    </cfRule>
  </conditionalFormatting>
  <conditionalFormatting sqref="D420:R421">
    <cfRule type="cellIs" dxfId="20041" priority="660" operator="equal">
      <formula>0</formula>
    </cfRule>
  </conditionalFormatting>
  <conditionalFormatting sqref="P420:P421">
    <cfRule type="cellIs" dxfId="20040" priority="661" operator="equal">
      <formula>0</formula>
    </cfRule>
  </conditionalFormatting>
  <conditionalFormatting sqref="D420:R421">
    <cfRule type="expression" dxfId="20039" priority="662">
      <formula>LEN(TRIM(D420))=0</formula>
    </cfRule>
  </conditionalFormatting>
  <conditionalFormatting sqref="J418:O419">
    <cfRule type="cellIs" dxfId="20038" priority="655" operator="equal">
      <formula>0</formula>
    </cfRule>
  </conditionalFormatting>
  <conditionalFormatting sqref="J418:O419">
    <cfRule type="expression" dxfId="20037" priority="656">
      <formula>LEN(TRIM(J418))=0</formula>
    </cfRule>
  </conditionalFormatting>
  <conditionalFormatting sqref="D432:R437 S431:S436 S438 D431:I431 P431:R431">
    <cfRule type="cellIs" dxfId="20036" priority="649" operator="equal">
      <formula>0</formula>
    </cfRule>
  </conditionalFormatting>
  <conditionalFormatting sqref="D438:R438">
    <cfRule type="cellIs" dxfId="20035" priority="650" operator="equal">
      <formula>0</formula>
    </cfRule>
  </conditionalFormatting>
  <conditionalFormatting sqref="D432:S436 D438:S438 D437:R437 D431:I431 P431:S431">
    <cfRule type="expression" dxfId="20034" priority="651">
      <formula>LEN(TRIM(D431))=0</formula>
    </cfRule>
  </conditionalFormatting>
  <conditionalFormatting sqref="D438:R438">
    <cfRule type="cellIs" dxfId="20033" priority="652" operator="equal">
      <formula>0</formula>
    </cfRule>
  </conditionalFormatting>
  <conditionalFormatting sqref="D439:R439">
    <cfRule type="cellIs" dxfId="20032" priority="653" operator="equal">
      <formula>0</formula>
    </cfRule>
  </conditionalFormatting>
  <conditionalFormatting sqref="D439:R439">
    <cfRule type="expression" dxfId="20031" priority="654">
      <formula>LEN(TRIM(D439))=0</formula>
    </cfRule>
  </conditionalFormatting>
  <conditionalFormatting sqref="S439">
    <cfRule type="cellIs" dxfId="20030" priority="647" operator="equal">
      <formula>0</formula>
    </cfRule>
  </conditionalFormatting>
  <conditionalFormatting sqref="S439">
    <cfRule type="expression" dxfId="20029" priority="648">
      <formula>LEN(TRIM(S439))=0</formula>
    </cfRule>
  </conditionalFormatting>
  <conditionalFormatting sqref="S437">
    <cfRule type="cellIs" dxfId="20028" priority="645" operator="equal">
      <formula>0</formula>
    </cfRule>
  </conditionalFormatting>
  <conditionalFormatting sqref="S437">
    <cfRule type="expression" dxfId="20027" priority="646">
      <formula>LEN(TRIM(S437))=0</formula>
    </cfRule>
  </conditionalFormatting>
  <conditionalFormatting sqref="J431:O431">
    <cfRule type="cellIs" dxfId="20026" priority="643" operator="equal">
      <formula>0</formula>
    </cfRule>
  </conditionalFormatting>
  <conditionalFormatting sqref="J431:O431">
    <cfRule type="expression" dxfId="20025" priority="644">
      <formula>LEN(TRIM(J431))=0</formula>
    </cfRule>
  </conditionalFormatting>
  <conditionalFormatting sqref="AH15:AK17 W15:AA17 AB15:AG16 AI12:AK14 Y12:Y14 V12:V17 V18:AK18">
    <cfRule type="cellIs" dxfId="20024" priority="622" operator="equal">
      <formula>0</formula>
    </cfRule>
  </conditionalFormatting>
  <conditionalFormatting sqref="AH12:AH17">
    <cfRule type="cellIs" dxfId="20023" priority="623" operator="equal">
      <formula>0</formula>
    </cfRule>
  </conditionalFormatting>
  <conditionalFormatting sqref="V12:W17 Z12:AA17">
    <cfRule type="cellIs" dxfId="20022" priority="624" operator="equal">
      <formula>0</formula>
    </cfRule>
  </conditionalFormatting>
  <conditionalFormatting sqref="X12:X17">
    <cfRule type="cellIs" dxfId="20021" priority="625" operator="equal">
      <formula>0</formula>
    </cfRule>
  </conditionalFormatting>
  <conditionalFormatting sqref="AB15:AB17">
    <cfRule type="cellIs" dxfId="20020" priority="626" operator="equal">
      <formula>0</formula>
    </cfRule>
  </conditionalFormatting>
  <conditionalFormatting sqref="AB12:AB17 AC12:AG12">
    <cfRule type="cellIs" dxfId="20019" priority="627" operator="equal">
      <formula>0</formula>
    </cfRule>
  </conditionalFormatting>
  <conditionalFormatting sqref="AC15:AC17">
    <cfRule type="cellIs" dxfId="20018" priority="628" operator="equal">
      <formula>0</formula>
    </cfRule>
  </conditionalFormatting>
  <conditionalFormatting sqref="AC12:AC17">
    <cfRule type="cellIs" dxfId="20017" priority="629" operator="equal">
      <formula>0</formula>
    </cfRule>
  </conditionalFormatting>
  <conditionalFormatting sqref="AD15:AD17">
    <cfRule type="cellIs" dxfId="20016" priority="630" operator="equal">
      <formula>0</formula>
    </cfRule>
  </conditionalFormatting>
  <conditionalFormatting sqref="AD12:AD17">
    <cfRule type="cellIs" dxfId="20015" priority="631" operator="equal">
      <formula>0</formula>
    </cfRule>
  </conditionalFormatting>
  <conditionalFormatting sqref="AE15:AE17">
    <cfRule type="cellIs" dxfId="20014" priority="632" operator="equal">
      <formula>0</formula>
    </cfRule>
  </conditionalFormatting>
  <conditionalFormatting sqref="AE12:AE17">
    <cfRule type="cellIs" dxfId="20013" priority="633" operator="equal">
      <formula>0</formula>
    </cfRule>
  </conditionalFormatting>
  <conditionalFormatting sqref="AF15:AF17">
    <cfRule type="cellIs" dxfId="20012" priority="634" operator="equal">
      <formula>0</formula>
    </cfRule>
  </conditionalFormatting>
  <conditionalFormatting sqref="AF12:AF17">
    <cfRule type="cellIs" dxfId="20011" priority="635" operator="equal">
      <formula>0</formula>
    </cfRule>
  </conditionalFormatting>
  <conditionalFormatting sqref="AG15:AG17">
    <cfRule type="cellIs" dxfId="20010" priority="636" operator="equal">
      <formula>0</formula>
    </cfRule>
  </conditionalFormatting>
  <conditionalFormatting sqref="AG12:AG17">
    <cfRule type="cellIs" dxfId="20009" priority="637" operator="equal">
      <formula>0</formula>
    </cfRule>
  </conditionalFormatting>
  <conditionalFormatting sqref="V12:AK18">
    <cfRule type="expression" dxfId="20008" priority="638">
      <formula>LEN(TRIM(V12))=0</formula>
    </cfRule>
  </conditionalFormatting>
  <conditionalFormatting sqref="AD15:AD16">
    <cfRule type="cellIs" dxfId="20007" priority="639" operator="equal">
      <formula>0</formula>
    </cfRule>
  </conditionalFormatting>
  <conditionalFormatting sqref="AE15:AE16">
    <cfRule type="cellIs" dxfId="20006" priority="640" operator="equal">
      <formula>0</formula>
    </cfRule>
  </conditionalFormatting>
  <conditionalFormatting sqref="AF15:AG15">
    <cfRule type="cellIs" dxfId="20005" priority="641" operator="equal">
      <formula>0</formula>
    </cfRule>
  </conditionalFormatting>
  <conditionalFormatting sqref="AF16:AG16">
    <cfRule type="cellIs" dxfId="20004" priority="642" operator="equal">
      <formula>0</formula>
    </cfRule>
  </conditionalFormatting>
  <conditionalFormatting sqref="W29:Y29 V30:Y31 Z29:AA31 V25:AA28 AB25:AJ31 V20:AK20 V32:AJ32 V21:AA22 AK21:AK32 AH21:AJ22">
    <cfRule type="cellIs" dxfId="20003" priority="616" operator="equal">
      <formula>0</formula>
    </cfRule>
  </conditionalFormatting>
  <conditionalFormatting sqref="V29">
    <cfRule type="cellIs" dxfId="20002" priority="617" operator="equal">
      <formula>0</formula>
    </cfRule>
  </conditionalFormatting>
  <conditionalFormatting sqref="V20:AK20 V25:AJ32 V21:AA22 AK21:AK32 AH21:AJ22">
    <cfRule type="expression" dxfId="20001" priority="618">
      <formula>LEN(TRIM(V20))=0</formula>
    </cfRule>
  </conditionalFormatting>
  <conditionalFormatting sqref="V23:AJ24">
    <cfRule type="cellIs" dxfId="20000" priority="619" operator="equal">
      <formula>0</formula>
    </cfRule>
  </conditionalFormatting>
  <conditionalFormatting sqref="AH23:AH24">
    <cfRule type="cellIs" dxfId="19999" priority="620" operator="equal">
      <formula>0</formula>
    </cfRule>
  </conditionalFormatting>
  <conditionalFormatting sqref="V23:AJ24">
    <cfRule type="expression" dxfId="19998" priority="621">
      <formula>LEN(TRIM(V23))=0</formula>
    </cfRule>
  </conditionalFormatting>
  <conditionalFormatting sqref="AB21:AG22">
    <cfRule type="cellIs" dxfId="19997" priority="614" operator="equal">
      <formula>0</formula>
    </cfRule>
  </conditionalFormatting>
  <conditionalFormatting sqref="AB21:AG22">
    <cfRule type="expression" dxfId="19996" priority="615">
      <formula>LEN(TRIM(AB21))=0</formula>
    </cfRule>
  </conditionalFormatting>
  <conditionalFormatting sqref="V35:AJ40 AK34:AK39 AK41 V34:AA34 AH34:AJ34">
    <cfRule type="cellIs" dxfId="19995" priority="608" operator="equal">
      <formula>0</formula>
    </cfRule>
  </conditionalFormatting>
  <conditionalFormatting sqref="V41:AJ41">
    <cfRule type="cellIs" dxfId="19994" priority="609" operator="equal">
      <formula>0</formula>
    </cfRule>
  </conditionalFormatting>
  <conditionalFormatting sqref="V35:AK39 V41:AK41 V40:AJ40 V34:AA34 AH34:AK34">
    <cfRule type="expression" dxfId="19993" priority="610">
      <formula>LEN(TRIM(V34))=0</formula>
    </cfRule>
  </conditionalFormatting>
  <conditionalFormatting sqref="V41:AJ41">
    <cfRule type="cellIs" dxfId="19992" priority="611" operator="equal">
      <formula>0</formula>
    </cfRule>
  </conditionalFormatting>
  <conditionalFormatting sqref="V42:AJ42">
    <cfRule type="cellIs" dxfId="19991" priority="612" operator="equal">
      <formula>0</formula>
    </cfRule>
  </conditionalFormatting>
  <conditionalFormatting sqref="V42:AJ42">
    <cfRule type="expression" dxfId="19990" priority="613">
      <formula>LEN(TRIM(V42))=0</formula>
    </cfRule>
  </conditionalFormatting>
  <conditionalFormatting sqref="AK42">
    <cfRule type="cellIs" dxfId="19989" priority="606" operator="equal">
      <formula>0</formula>
    </cfRule>
  </conditionalFormatting>
  <conditionalFormatting sqref="AK42">
    <cfRule type="expression" dxfId="19988" priority="607">
      <formula>LEN(TRIM(AK42))=0</formula>
    </cfRule>
  </conditionalFormatting>
  <conditionalFormatting sqref="AK40">
    <cfRule type="cellIs" dxfId="19987" priority="604" operator="equal">
      <formula>0</formula>
    </cfRule>
  </conditionalFormatting>
  <conditionalFormatting sqref="AK40">
    <cfRule type="expression" dxfId="19986" priority="605">
      <formula>LEN(TRIM(AK40))=0</formula>
    </cfRule>
  </conditionalFormatting>
  <conditionalFormatting sqref="AB34:AG34">
    <cfRule type="cellIs" dxfId="19985" priority="602" operator="equal">
      <formula>0</formula>
    </cfRule>
  </conditionalFormatting>
  <conditionalFormatting sqref="AB34:AG34">
    <cfRule type="expression" dxfId="19984" priority="603">
      <formula>LEN(TRIM(AB34))=0</formula>
    </cfRule>
  </conditionalFormatting>
  <conditionalFormatting sqref="AH51:AK53 W51:AA53 AB51:AG52 AI48:AK50 Y48:Y50 V48:V53 V54:AK54">
    <cfRule type="cellIs" dxfId="19983" priority="581" operator="equal">
      <formula>0</formula>
    </cfRule>
  </conditionalFormatting>
  <conditionalFormatting sqref="AH48:AH53">
    <cfRule type="cellIs" dxfId="19982" priority="582" operator="equal">
      <formula>0</formula>
    </cfRule>
  </conditionalFormatting>
  <conditionalFormatting sqref="V48:W53 Z48:AA53">
    <cfRule type="cellIs" dxfId="19981" priority="583" operator="equal">
      <formula>0</formula>
    </cfRule>
  </conditionalFormatting>
  <conditionalFormatting sqref="X48:X53">
    <cfRule type="cellIs" dxfId="19980" priority="584" operator="equal">
      <formula>0</formula>
    </cfRule>
  </conditionalFormatting>
  <conditionalFormatting sqref="AB51:AB53">
    <cfRule type="cellIs" dxfId="19979" priority="585" operator="equal">
      <formula>0</formula>
    </cfRule>
  </conditionalFormatting>
  <conditionalFormatting sqref="AB48:AB53 AC48:AG48">
    <cfRule type="cellIs" dxfId="19978" priority="586" operator="equal">
      <formula>0</formula>
    </cfRule>
  </conditionalFormatting>
  <conditionalFormatting sqref="AC51:AC53">
    <cfRule type="cellIs" dxfId="19977" priority="587" operator="equal">
      <formula>0</formula>
    </cfRule>
  </conditionalFormatting>
  <conditionalFormatting sqref="AC48:AC53">
    <cfRule type="cellIs" dxfId="19976" priority="588" operator="equal">
      <formula>0</formula>
    </cfRule>
  </conditionalFormatting>
  <conditionalFormatting sqref="AD51:AD53">
    <cfRule type="cellIs" dxfId="19975" priority="589" operator="equal">
      <formula>0</formula>
    </cfRule>
  </conditionalFormatting>
  <conditionalFormatting sqref="AD48:AD53">
    <cfRule type="cellIs" dxfId="19974" priority="590" operator="equal">
      <formula>0</formula>
    </cfRule>
  </conditionalFormatting>
  <conditionalFormatting sqref="AE51:AE53">
    <cfRule type="cellIs" dxfId="19973" priority="591" operator="equal">
      <formula>0</formula>
    </cfRule>
  </conditionalFormatting>
  <conditionalFormatting sqref="AE48:AE53">
    <cfRule type="cellIs" dxfId="19972" priority="592" operator="equal">
      <formula>0</formula>
    </cfRule>
  </conditionalFormatting>
  <conditionalFormatting sqref="AF51:AF53">
    <cfRule type="cellIs" dxfId="19971" priority="593" operator="equal">
      <formula>0</formula>
    </cfRule>
  </conditionalFormatting>
  <conditionalFormatting sqref="AF48:AF53">
    <cfRule type="cellIs" dxfId="19970" priority="594" operator="equal">
      <formula>0</formula>
    </cfRule>
  </conditionalFormatting>
  <conditionalFormatting sqref="AG51:AG53">
    <cfRule type="cellIs" dxfId="19969" priority="595" operator="equal">
      <formula>0</formula>
    </cfRule>
  </conditionalFormatting>
  <conditionalFormatting sqref="AG48:AG53">
    <cfRule type="cellIs" dxfId="19968" priority="596" operator="equal">
      <formula>0</formula>
    </cfRule>
  </conditionalFormatting>
  <conditionalFormatting sqref="V48:AK54">
    <cfRule type="expression" dxfId="19967" priority="597">
      <formula>LEN(TRIM(V48))=0</formula>
    </cfRule>
  </conditionalFormatting>
  <conditionalFormatting sqref="AD51:AD52">
    <cfRule type="cellIs" dxfId="19966" priority="598" operator="equal">
      <formula>0</formula>
    </cfRule>
  </conditionalFormatting>
  <conditionalFormatting sqref="AE51:AE52">
    <cfRule type="cellIs" dxfId="19965" priority="599" operator="equal">
      <formula>0</formula>
    </cfRule>
  </conditionalFormatting>
  <conditionalFormatting sqref="AF51:AG51">
    <cfRule type="cellIs" dxfId="19964" priority="600" operator="equal">
      <formula>0</formula>
    </cfRule>
  </conditionalFormatting>
  <conditionalFormatting sqref="AF52:AG52">
    <cfRule type="cellIs" dxfId="19963" priority="601" operator="equal">
      <formula>0</formula>
    </cfRule>
  </conditionalFormatting>
  <conditionalFormatting sqref="W65:Y65 V66:Y67 Z65:AA67 V61:AA64 AB61:AJ67 V56:AK56 V68:AJ68 V57:AA58 AK57:AK68 AH57:AJ58">
    <cfRule type="cellIs" dxfId="19962" priority="575" operator="equal">
      <formula>0</formula>
    </cfRule>
  </conditionalFormatting>
  <conditionalFormatting sqref="V65">
    <cfRule type="cellIs" dxfId="19961" priority="576" operator="equal">
      <formula>0</formula>
    </cfRule>
  </conditionalFormatting>
  <conditionalFormatting sqref="V56:AK56 V61:AJ68 V57:AA58 AK57:AK68 AH57:AJ58">
    <cfRule type="expression" dxfId="19960" priority="577">
      <formula>LEN(TRIM(V56))=0</formula>
    </cfRule>
  </conditionalFormatting>
  <conditionalFormatting sqref="V59:AJ60">
    <cfRule type="cellIs" dxfId="19959" priority="578" operator="equal">
      <formula>0</formula>
    </cfRule>
  </conditionalFormatting>
  <conditionalFormatting sqref="AH59:AH60">
    <cfRule type="cellIs" dxfId="19958" priority="579" operator="equal">
      <formula>0</formula>
    </cfRule>
  </conditionalFormatting>
  <conditionalFormatting sqref="V59:AJ60">
    <cfRule type="expression" dxfId="19957" priority="580">
      <formula>LEN(TRIM(V59))=0</formula>
    </cfRule>
  </conditionalFormatting>
  <conditionalFormatting sqref="AB57:AG58">
    <cfRule type="cellIs" dxfId="19956" priority="573" operator="equal">
      <formula>0</formula>
    </cfRule>
  </conditionalFormatting>
  <conditionalFormatting sqref="AB57:AG58">
    <cfRule type="expression" dxfId="19955" priority="574">
      <formula>LEN(TRIM(AB57))=0</formula>
    </cfRule>
  </conditionalFormatting>
  <conditionalFormatting sqref="V71:AJ76 AK70:AK75 AK77 V70:AA70 AH70:AJ70">
    <cfRule type="cellIs" dxfId="19954" priority="567" operator="equal">
      <formula>0</formula>
    </cfRule>
  </conditionalFormatting>
  <conditionalFormatting sqref="V77:AJ77">
    <cfRule type="cellIs" dxfId="19953" priority="568" operator="equal">
      <formula>0</formula>
    </cfRule>
  </conditionalFormatting>
  <conditionalFormatting sqref="V71:AK75 V77:AK77 V76:AJ76 V70:AA70 AH70:AK70">
    <cfRule type="expression" dxfId="19952" priority="569">
      <formula>LEN(TRIM(V70))=0</formula>
    </cfRule>
  </conditionalFormatting>
  <conditionalFormatting sqref="V77:AJ77">
    <cfRule type="cellIs" dxfId="19951" priority="570" operator="equal">
      <formula>0</formula>
    </cfRule>
  </conditionalFormatting>
  <conditionalFormatting sqref="V78:AJ78">
    <cfRule type="cellIs" dxfId="19950" priority="571" operator="equal">
      <formula>0</formula>
    </cfRule>
  </conditionalFormatting>
  <conditionalFormatting sqref="V78:AJ78">
    <cfRule type="expression" dxfId="19949" priority="572">
      <formula>LEN(TRIM(V78))=0</formula>
    </cfRule>
  </conditionalFormatting>
  <conditionalFormatting sqref="AK78">
    <cfRule type="cellIs" dxfId="19948" priority="565" operator="equal">
      <formula>0</formula>
    </cfRule>
  </conditionalFormatting>
  <conditionalFormatting sqref="AK78">
    <cfRule type="expression" dxfId="19947" priority="566">
      <formula>LEN(TRIM(AK78))=0</formula>
    </cfRule>
  </conditionalFormatting>
  <conditionalFormatting sqref="AK76">
    <cfRule type="cellIs" dxfId="19946" priority="563" operator="equal">
      <formula>0</formula>
    </cfRule>
  </conditionalFormatting>
  <conditionalFormatting sqref="AK76">
    <cfRule type="expression" dxfId="19945" priority="564">
      <formula>LEN(TRIM(AK76))=0</formula>
    </cfRule>
  </conditionalFormatting>
  <conditionalFormatting sqref="AB70:AG70">
    <cfRule type="cellIs" dxfId="19944" priority="561" operator="equal">
      <formula>0</formula>
    </cfRule>
  </conditionalFormatting>
  <conditionalFormatting sqref="AB70:AG70">
    <cfRule type="expression" dxfId="19943" priority="562">
      <formula>LEN(TRIM(AB70))=0</formula>
    </cfRule>
  </conditionalFormatting>
  <conditionalFormatting sqref="AH88:AK90 W88:AA90 AB88:AG89 AI85:AK87 Y85:Y87 V85:V90 V91:AK91">
    <cfRule type="cellIs" dxfId="19942" priority="540" operator="equal">
      <formula>0</formula>
    </cfRule>
  </conditionalFormatting>
  <conditionalFormatting sqref="AH85:AH90">
    <cfRule type="cellIs" dxfId="19941" priority="541" operator="equal">
      <formula>0</formula>
    </cfRule>
  </conditionalFormatting>
  <conditionalFormatting sqref="V85:W90 Z85:AA90">
    <cfRule type="cellIs" dxfId="19940" priority="542" operator="equal">
      <formula>0</formula>
    </cfRule>
  </conditionalFormatting>
  <conditionalFormatting sqref="X85:X90">
    <cfRule type="cellIs" dxfId="19939" priority="543" operator="equal">
      <formula>0</formula>
    </cfRule>
  </conditionalFormatting>
  <conditionalFormatting sqref="AB88:AB90">
    <cfRule type="cellIs" dxfId="19938" priority="544" operator="equal">
      <formula>0</formula>
    </cfRule>
  </conditionalFormatting>
  <conditionalFormatting sqref="AB85:AB90 AC85:AG85">
    <cfRule type="cellIs" dxfId="19937" priority="545" operator="equal">
      <formula>0</formula>
    </cfRule>
  </conditionalFormatting>
  <conditionalFormatting sqref="AC88:AC90">
    <cfRule type="cellIs" dxfId="19936" priority="546" operator="equal">
      <formula>0</formula>
    </cfRule>
  </conditionalFormatting>
  <conditionalFormatting sqref="AC85:AC90">
    <cfRule type="cellIs" dxfId="19935" priority="547" operator="equal">
      <formula>0</formula>
    </cfRule>
  </conditionalFormatting>
  <conditionalFormatting sqref="AD88:AD90">
    <cfRule type="cellIs" dxfId="19934" priority="548" operator="equal">
      <formula>0</formula>
    </cfRule>
  </conditionalFormatting>
  <conditionalFormatting sqref="AD85:AD90">
    <cfRule type="cellIs" dxfId="19933" priority="549" operator="equal">
      <formula>0</formula>
    </cfRule>
  </conditionalFormatting>
  <conditionalFormatting sqref="AE88:AE90">
    <cfRule type="cellIs" dxfId="19932" priority="550" operator="equal">
      <formula>0</formula>
    </cfRule>
  </conditionalFormatting>
  <conditionalFormatting sqref="AE85:AE90">
    <cfRule type="cellIs" dxfId="19931" priority="551" operator="equal">
      <formula>0</formula>
    </cfRule>
  </conditionalFormatting>
  <conditionalFormatting sqref="AF88:AF90">
    <cfRule type="cellIs" dxfId="19930" priority="552" operator="equal">
      <formula>0</formula>
    </cfRule>
  </conditionalFormatting>
  <conditionalFormatting sqref="AF85:AF90">
    <cfRule type="cellIs" dxfId="19929" priority="553" operator="equal">
      <formula>0</formula>
    </cfRule>
  </conditionalFormatting>
  <conditionalFormatting sqref="AG88:AG90">
    <cfRule type="cellIs" dxfId="19928" priority="554" operator="equal">
      <formula>0</formula>
    </cfRule>
  </conditionalFormatting>
  <conditionalFormatting sqref="AG85:AG90">
    <cfRule type="cellIs" dxfId="19927" priority="555" operator="equal">
      <formula>0</formula>
    </cfRule>
  </conditionalFormatting>
  <conditionalFormatting sqref="V85:AK91">
    <cfRule type="expression" dxfId="19926" priority="556">
      <formula>LEN(TRIM(V85))=0</formula>
    </cfRule>
  </conditionalFormatting>
  <conditionalFormatting sqref="AD88:AD89">
    <cfRule type="cellIs" dxfId="19925" priority="557" operator="equal">
      <formula>0</formula>
    </cfRule>
  </conditionalFormatting>
  <conditionalFormatting sqref="AE88:AE89">
    <cfRule type="cellIs" dxfId="19924" priority="558" operator="equal">
      <formula>0</formula>
    </cfRule>
  </conditionalFormatting>
  <conditionalFormatting sqref="AF88:AG88">
    <cfRule type="cellIs" dxfId="19923" priority="559" operator="equal">
      <formula>0</formula>
    </cfRule>
  </conditionalFormatting>
  <conditionalFormatting sqref="AF89:AG89">
    <cfRule type="cellIs" dxfId="19922" priority="560" operator="equal">
      <formula>0</formula>
    </cfRule>
  </conditionalFormatting>
  <conditionalFormatting sqref="W102:Y102 V103:Y104 Z102:AA104 V98:AA101 AB98:AJ104 V93:AK93 V105:AJ105 V94:AA95 AK94:AK105 AH94:AJ95">
    <cfRule type="cellIs" dxfId="19921" priority="534" operator="equal">
      <formula>0</formula>
    </cfRule>
  </conditionalFormatting>
  <conditionalFormatting sqref="V102">
    <cfRule type="cellIs" dxfId="19920" priority="535" operator="equal">
      <formula>0</formula>
    </cfRule>
  </conditionalFormatting>
  <conditionalFormatting sqref="V93:AK93 V98:AJ105 V94:AA95 AK94:AK105 AH94:AJ95">
    <cfRule type="expression" dxfId="19919" priority="536">
      <formula>LEN(TRIM(V93))=0</formula>
    </cfRule>
  </conditionalFormatting>
  <conditionalFormatting sqref="V96:AJ97">
    <cfRule type="cellIs" dxfId="19918" priority="537" operator="equal">
      <formula>0</formula>
    </cfRule>
  </conditionalFormatting>
  <conditionalFormatting sqref="AH96:AH97">
    <cfRule type="cellIs" dxfId="19917" priority="538" operator="equal">
      <formula>0</formula>
    </cfRule>
  </conditionalFormatting>
  <conditionalFormatting sqref="V96:AJ97">
    <cfRule type="expression" dxfId="19916" priority="539">
      <formula>LEN(TRIM(V96))=0</formula>
    </cfRule>
  </conditionalFormatting>
  <conditionalFormatting sqref="AB94:AG95">
    <cfRule type="cellIs" dxfId="19915" priority="532" operator="equal">
      <formula>0</formula>
    </cfRule>
  </conditionalFormatting>
  <conditionalFormatting sqref="AB94:AG95">
    <cfRule type="expression" dxfId="19914" priority="533">
      <formula>LEN(TRIM(AB94))=0</formula>
    </cfRule>
  </conditionalFormatting>
  <conditionalFormatting sqref="V108:AJ113 AK107:AK112 AK114 V107:AA107 AH107:AJ107">
    <cfRule type="cellIs" dxfId="19913" priority="526" operator="equal">
      <formula>0</formula>
    </cfRule>
  </conditionalFormatting>
  <conditionalFormatting sqref="V114:AJ114">
    <cfRule type="cellIs" dxfId="19912" priority="527" operator="equal">
      <formula>0</formula>
    </cfRule>
  </conditionalFormatting>
  <conditionalFormatting sqref="V108:AK112 V114:AK114 V113:AJ113 V107:AA107 AH107:AK107">
    <cfRule type="expression" dxfId="19911" priority="528">
      <formula>LEN(TRIM(V107))=0</formula>
    </cfRule>
  </conditionalFormatting>
  <conditionalFormatting sqref="V114:AJ114">
    <cfRule type="cellIs" dxfId="19910" priority="529" operator="equal">
      <formula>0</formula>
    </cfRule>
  </conditionalFormatting>
  <conditionalFormatting sqref="V115:AJ115">
    <cfRule type="cellIs" dxfId="19909" priority="530" operator="equal">
      <formula>0</formula>
    </cfRule>
  </conditionalFormatting>
  <conditionalFormatting sqref="V115:AJ115">
    <cfRule type="expression" dxfId="19908" priority="531">
      <formula>LEN(TRIM(V115))=0</formula>
    </cfRule>
  </conditionalFormatting>
  <conditionalFormatting sqref="AK115">
    <cfRule type="cellIs" dxfId="19907" priority="524" operator="equal">
      <formula>0</formula>
    </cfRule>
  </conditionalFormatting>
  <conditionalFormatting sqref="AK115">
    <cfRule type="expression" dxfId="19906" priority="525">
      <formula>LEN(TRIM(AK115))=0</formula>
    </cfRule>
  </conditionalFormatting>
  <conditionalFormatting sqref="AK113">
    <cfRule type="cellIs" dxfId="19905" priority="522" operator="equal">
      <formula>0</formula>
    </cfRule>
  </conditionalFormatting>
  <conditionalFormatting sqref="AK113">
    <cfRule type="expression" dxfId="19904" priority="523">
      <formula>LEN(TRIM(AK113))=0</formula>
    </cfRule>
  </conditionalFormatting>
  <conditionalFormatting sqref="AB107:AG107">
    <cfRule type="cellIs" dxfId="19903" priority="520" operator="equal">
      <formula>0</formula>
    </cfRule>
  </conditionalFormatting>
  <conditionalFormatting sqref="AB107:AG107">
    <cfRule type="expression" dxfId="19902" priority="521">
      <formula>LEN(TRIM(AB107))=0</formula>
    </cfRule>
  </conditionalFormatting>
  <conditionalFormatting sqref="AH124:AK126 W124:AA126 AB124:AG125 AI121:AK123 Y121:Y123 V121:V126 V127:AK127">
    <cfRule type="cellIs" dxfId="19901" priority="499" operator="equal">
      <formula>0</formula>
    </cfRule>
  </conditionalFormatting>
  <conditionalFormatting sqref="AH121:AH126">
    <cfRule type="cellIs" dxfId="19900" priority="500" operator="equal">
      <formula>0</formula>
    </cfRule>
  </conditionalFormatting>
  <conditionalFormatting sqref="V121:W126 Z121:AA126">
    <cfRule type="cellIs" dxfId="19899" priority="501" operator="equal">
      <formula>0</formula>
    </cfRule>
  </conditionalFormatting>
  <conditionalFormatting sqref="X121:X126">
    <cfRule type="cellIs" dxfId="19898" priority="502" operator="equal">
      <formula>0</formula>
    </cfRule>
  </conditionalFormatting>
  <conditionalFormatting sqref="AB124:AB126">
    <cfRule type="cellIs" dxfId="19897" priority="503" operator="equal">
      <formula>0</formula>
    </cfRule>
  </conditionalFormatting>
  <conditionalFormatting sqref="AB121:AB126 AC121:AG121">
    <cfRule type="cellIs" dxfId="19896" priority="504" operator="equal">
      <formula>0</formula>
    </cfRule>
  </conditionalFormatting>
  <conditionalFormatting sqref="AC124:AC126">
    <cfRule type="cellIs" dxfId="19895" priority="505" operator="equal">
      <formula>0</formula>
    </cfRule>
  </conditionalFormatting>
  <conditionalFormatting sqref="AC121:AC126">
    <cfRule type="cellIs" dxfId="19894" priority="506" operator="equal">
      <formula>0</formula>
    </cfRule>
  </conditionalFormatting>
  <conditionalFormatting sqref="AD124:AD126">
    <cfRule type="cellIs" dxfId="19893" priority="507" operator="equal">
      <formula>0</formula>
    </cfRule>
  </conditionalFormatting>
  <conditionalFormatting sqref="AD121:AD126">
    <cfRule type="cellIs" dxfId="19892" priority="508" operator="equal">
      <formula>0</formula>
    </cfRule>
  </conditionalFormatting>
  <conditionalFormatting sqref="AE124:AE126">
    <cfRule type="cellIs" dxfId="19891" priority="509" operator="equal">
      <formula>0</formula>
    </cfRule>
  </conditionalFormatting>
  <conditionalFormatting sqref="AE121:AE126">
    <cfRule type="cellIs" dxfId="19890" priority="510" operator="equal">
      <formula>0</formula>
    </cfRule>
  </conditionalFormatting>
  <conditionalFormatting sqref="AF124:AF126">
    <cfRule type="cellIs" dxfId="19889" priority="511" operator="equal">
      <formula>0</formula>
    </cfRule>
  </conditionalFormatting>
  <conditionalFormatting sqref="AF121:AF126">
    <cfRule type="cellIs" dxfId="19888" priority="512" operator="equal">
      <formula>0</formula>
    </cfRule>
  </conditionalFormatting>
  <conditionalFormatting sqref="AG124:AG126">
    <cfRule type="cellIs" dxfId="19887" priority="513" operator="equal">
      <formula>0</formula>
    </cfRule>
  </conditionalFormatting>
  <conditionalFormatting sqref="AG121:AG126">
    <cfRule type="cellIs" dxfId="19886" priority="514" operator="equal">
      <formula>0</formula>
    </cfRule>
  </conditionalFormatting>
  <conditionalFormatting sqref="V121:AK127">
    <cfRule type="expression" dxfId="19885" priority="515">
      <formula>LEN(TRIM(V121))=0</formula>
    </cfRule>
  </conditionalFormatting>
  <conditionalFormatting sqref="AD124:AD125">
    <cfRule type="cellIs" dxfId="19884" priority="516" operator="equal">
      <formula>0</formula>
    </cfRule>
  </conditionalFormatting>
  <conditionalFormatting sqref="AE124:AE125">
    <cfRule type="cellIs" dxfId="19883" priority="517" operator="equal">
      <formula>0</formula>
    </cfRule>
  </conditionalFormatting>
  <conditionalFormatting sqref="AF124:AG124">
    <cfRule type="cellIs" dxfId="19882" priority="518" operator="equal">
      <formula>0</formula>
    </cfRule>
  </conditionalFormatting>
  <conditionalFormatting sqref="AF125:AG125">
    <cfRule type="cellIs" dxfId="19881" priority="519" operator="equal">
      <formula>0</formula>
    </cfRule>
  </conditionalFormatting>
  <conditionalFormatting sqref="W138:Y138 V139:Y140 Z138:AA140 V134:AA137 AB134:AJ140 V129:AK129 V141:AJ141 V130:AA131 AK130:AK141 AH130:AJ131">
    <cfRule type="cellIs" dxfId="19880" priority="493" operator="equal">
      <formula>0</formula>
    </cfRule>
  </conditionalFormatting>
  <conditionalFormatting sqref="V138">
    <cfRule type="cellIs" dxfId="19879" priority="494" operator="equal">
      <formula>0</formula>
    </cfRule>
  </conditionalFormatting>
  <conditionalFormatting sqref="V129:AK129 V134:AJ141 V130:AA131 AK130:AK141 AH130:AJ131">
    <cfRule type="expression" dxfId="19878" priority="495">
      <formula>LEN(TRIM(V129))=0</formula>
    </cfRule>
  </conditionalFormatting>
  <conditionalFormatting sqref="V132:AJ133">
    <cfRule type="cellIs" dxfId="19877" priority="496" operator="equal">
      <formula>0</formula>
    </cfRule>
  </conditionalFormatting>
  <conditionalFormatting sqref="AH132:AH133">
    <cfRule type="cellIs" dxfId="19876" priority="497" operator="equal">
      <formula>0</formula>
    </cfRule>
  </conditionalFormatting>
  <conditionalFormatting sqref="V132:AJ133">
    <cfRule type="expression" dxfId="19875" priority="498">
      <formula>LEN(TRIM(V132))=0</formula>
    </cfRule>
  </conditionalFormatting>
  <conditionalFormatting sqref="AB130:AG131">
    <cfRule type="cellIs" dxfId="19874" priority="491" operator="equal">
      <formula>0</formula>
    </cfRule>
  </conditionalFormatting>
  <conditionalFormatting sqref="AB130:AG131">
    <cfRule type="expression" dxfId="19873" priority="492">
      <formula>LEN(TRIM(AB130))=0</formula>
    </cfRule>
  </conditionalFormatting>
  <conditionalFormatting sqref="V144:AJ149 AK143:AK148 AK150 V143:AA143 AH143:AJ143">
    <cfRule type="cellIs" dxfId="19872" priority="485" operator="equal">
      <formula>0</formula>
    </cfRule>
  </conditionalFormatting>
  <conditionalFormatting sqref="V150:AJ150">
    <cfRule type="cellIs" dxfId="19871" priority="486" operator="equal">
      <formula>0</formula>
    </cfRule>
  </conditionalFormatting>
  <conditionalFormatting sqref="V144:AK148 V150:AK150 V149:AJ149 V143:AA143 AH143:AK143">
    <cfRule type="expression" dxfId="19870" priority="487">
      <formula>LEN(TRIM(V143))=0</formula>
    </cfRule>
  </conditionalFormatting>
  <conditionalFormatting sqref="V150:AJ150">
    <cfRule type="cellIs" dxfId="19869" priority="488" operator="equal">
      <formula>0</formula>
    </cfRule>
  </conditionalFormatting>
  <conditionalFormatting sqref="V151:AJ151">
    <cfRule type="cellIs" dxfId="19868" priority="489" operator="equal">
      <formula>0</formula>
    </cfRule>
  </conditionalFormatting>
  <conditionalFormatting sqref="V151:AJ151">
    <cfRule type="expression" dxfId="19867" priority="490">
      <formula>LEN(TRIM(V151))=0</formula>
    </cfRule>
  </conditionalFormatting>
  <conditionalFormatting sqref="AK151">
    <cfRule type="cellIs" dxfId="19866" priority="483" operator="equal">
      <formula>0</formula>
    </cfRule>
  </conditionalFormatting>
  <conditionalFormatting sqref="AK151">
    <cfRule type="expression" dxfId="19865" priority="484">
      <formula>LEN(TRIM(AK151))=0</formula>
    </cfRule>
  </conditionalFormatting>
  <conditionalFormatting sqref="AK149">
    <cfRule type="cellIs" dxfId="19864" priority="481" operator="equal">
      <formula>0</formula>
    </cfRule>
  </conditionalFormatting>
  <conditionalFormatting sqref="AK149">
    <cfRule type="expression" dxfId="19863" priority="482">
      <formula>LEN(TRIM(AK149))=0</formula>
    </cfRule>
  </conditionalFormatting>
  <conditionalFormatting sqref="AB143:AG143">
    <cfRule type="cellIs" dxfId="19862" priority="479" operator="equal">
      <formula>0</formula>
    </cfRule>
  </conditionalFormatting>
  <conditionalFormatting sqref="AB143:AG143">
    <cfRule type="expression" dxfId="19861" priority="480">
      <formula>LEN(TRIM(AB143))=0</formula>
    </cfRule>
  </conditionalFormatting>
  <conditionalFormatting sqref="AH160:AK162 W160:AA162 AB160:AG161 AI157:AK159 Y157:Y159 V157:V162 V163:AK163">
    <cfRule type="cellIs" dxfId="19860" priority="458" operator="equal">
      <formula>0</formula>
    </cfRule>
  </conditionalFormatting>
  <conditionalFormatting sqref="AH157:AH162">
    <cfRule type="cellIs" dxfId="19859" priority="459" operator="equal">
      <formula>0</formula>
    </cfRule>
  </conditionalFormatting>
  <conditionalFormatting sqref="V157:W162 Z157:AA162">
    <cfRule type="cellIs" dxfId="19858" priority="460" operator="equal">
      <formula>0</formula>
    </cfRule>
  </conditionalFormatting>
  <conditionalFormatting sqref="X157:X162">
    <cfRule type="cellIs" dxfId="19857" priority="461" operator="equal">
      <formula>0</formula>
    </cfRule>
  </conditionalFormatting>
  <conditionalFormatting sqref="AB160:AB162">
    <cfRule type="cellIs" dxfId="19856" priority="462" operator="equal">
      <formula>0</formula>
    </cfRule>
  </conditionalFormatting>
  <conditionalFormatting sqref="AB157:AB162 AC157:AG157">
    <cfRule type="cellIs" dxfId="19855" priority="463" operator="equal">
      <formula>0</formula>
    </cfRule>
  </conditionalFormatting>
  <conditionalFormatting sqref="AC160:AC162">
    <cfRule type="cellIs" dxfId="19854" priority="464" operator="equal">
      <formula>0</formula>
    </cfRule>
  </conditionalFormatting>
  <conditionalFormatting sqref="AC157:AC162">
    <cfRule type="cellIs" dxfId="19853" priority="465" operator="equal">
      <formula>0</formula>
    </cfRule>
  </conditionalFormatting>
  <conditionalFormatting sqref="AD160:AD162">
    <cfRule type="cellIs" dxfId="19852" priority="466" operator="equal">
      <formula>0</formula>
    </cfRule>
  </conditionalFormatting>
  <conditionalFormatting sqref="AD157:AD162">
    <cfRule type="cellIs" dxfId="19851" priority="467" operator="equal">
      <formula>0</formula>
    </cfRule>
  </conditionalFormatting>
  <conditionalFormatting sqref="AE160:AE162">
    <cfRule type="cellIs" dxfId="19850" priority="468" operator="equal">
      <formula>0</formula>
    </cfRule>
  </conditionalFormatting>
  <conditionalFormatting sqref="AE157:AE162">
    <cfRule type="cellIs" dxfId="19849" priority="469" operator="equal">
      <formula>0</formula>
    </cfRule>
  </conditionalFormatting>
  <conditionalFormatting sqref="AF160:AF162">
    <cfRule type="cellIs" dxfId="19848" priority="470" operator="equal">
      <formula>0</formula>
    </cfRule>
  </conditionalFormatting>
  <conditionalFormatting sqref="AF157:AF162">
    <cfRule type="cellIs" dxfId="19847" priority="471" operator="equal">
      <formula>0</formula>
    </cfRule>
  </conditionalFormatting>
  <conditionalFormatting sqref="AG160:AG162">
    <cfRule type="cellIs" dxfId="19846" priority="472" operator="equal">
      <formula>0</formula>
    </cfRule>
  </conditionalFormatting>
  <conditionalFormatting sqref="AG157:AG162">
    <cfRule type="cellIs" dxfId="19845" priority="473" operator="equal">
      <formula>0</formula>
    </cfRule>
  </conditionalFormatting>
  <conditionalFormatting sqref="V157:AK163">
    <cfRule type="expression" dxfId="19844" priority="474">
      <formula>LEN(TRIM(V157))=0</formula>
    </cfRule>
  </conditionalFormatting>
  <conditionalFormatting sqref="AD160:AD161">
    <cfRule type="cellIs" dxfId="19843" priority="475" operator="equal">
      <formula>0</formula>
    </cfRule>
  </conditionalFormatting>
  <conditionalFormatting sqref="AE160:AE161">
    <cfRule type="cellIs" dxfId="19842" priority="476" operator="equal">
      <formula>0</formula>
    </cfRule>
  </conditionalFormatting>
  <conditionalFormatting sqref="AF160:AG160">
    <cfRule type="cellIs" dxfId="19841" priority="477" operator="equal">
      <formula>0</formula>
    </cfRule>
  </conditionalFormatting>
  <conditionalFormatting sqref="AF161:AG161">
    <cfRule type="cellIs" dxfId="19840" priority="478" operator="equal">
      <formula>0</formula>
    </cfRule>
  </conditionalFormatting>
  <conditionalFormatting sqref="W174:Y174 V175:Y176 Z174:AA176 V170:AA173 AB170:AJ176 V165:AK165 V177:AJ177 V166:AA167 AK166:AK177 AH166:AJ167">
    <cfRule type="cellIs" dxfId="19839" priority="452" operator="equal">
      <formula>0</formula>
    </cfRule>
  </conditionalFormatting>
  <conditionalFormatting sqref="V174">
    <cfRule type="cellIs" dxfId="19838" priority="453" operator="equal">
      <formula>0</formula>
    </cfRule>
  </conditionalFormatting>
  <conditionalFormatting sqref="V165:AK165 V170:AJ177 V166:AA167 AK166:AK177 AH166:AJ167">
    <cfRule type="expression" dxfId="19837" priority="454">
      <formula>LEN(TRIM(V165))=0</formula>
    </cfRule>
  </conditionalFormatting>
  <conditionalFormatting sqref="V168:AJ169">
    <cfRule type="cellIs" dxfId="19836" priority="455" operator="equal">
      <formula>0</formula>
    </cfRule>
  </conditionalFormatting>
  <conditionalFormatting sqref="AH168:AH169">
    <cfRule type="cellIs" dxfId="19835" priority="456" operator="equal">
      <formula>0</formula>
    </cfRule>
  </conditionalFormatting>
  <conditionalFormatting sqref="V168:AJ169">
    <cfRule type="expression" dxfId="19834" priority="457">
      <formula>LEN(TRIM(V168))=0</formula>
    </cfRule>
  </conditionalFormatting>
  <conditionalFormatting sqref="AB166:AG167">
    <cfRule type="cellIs" dxfId="19833" priority="450" operator="equal">
      <formula>0</formula>
    </cfRule>
  </conditionalFormatting>
  <conditionalFormatting sqref="AB166:AG167">
    <cfRule type="expression" dxfId="19832" priority="451">
      <formula>LEN(TRIM(AB166))=0</formula>
    </cfRule>
  </conditionalFormatting>
  <conditionalFormatting sqref="V180:AJ185 AK179:AK184 AK186 V179:AA179 AH179:AJ179">
    <cfRule type="cellIs" dxfId="19831" priority="444" operator="equal">
      <formula>0</formula>
    </cfRule>
  </conditionalFormatting>
  <conditionalFormatting sqref="V186:AJ186">
    <cfRule type="cellIs" dxfId="19830" priority="445" operator="equal">
      <formula>0</formula>
    </cfRule>
  </conditionalFormatting>
  <conditionalFormatting sqref="V180:AK184 V186:AK186 V185:AJ185 V179:AA179 AH179:AK179">
    <cfRule type="expression" dxfId="19829" priority="446">
      <formula>LEN(TRIM(V179))=0</formula>
    </cfRule>
  </conditionalFormatting>
  <conditionalFormatting sqref="V186:AJ186">
    <cfRule type="cellIs" dxfId="19828" priority="447" operator="equal">
      <formula>0</formula>
    </cfRule>
  </conditionalFormatting>
  <conditionalFormatting sqref="V187:AJ187">
    <cfRule type="cellIs" dxfId="19827" priority="448" operator="equal">
      <formula>0</formula>
    </cfRule>
  </conditionalFormatting>
  <conditionalFormatting sqref="V187:AJ187">
    <cfRule type="expression" dxfId="19826" priority="449">
      <formula>LEN(TRIM(V187))=0</formula>
    </cfRule>
  </conditionalFormatting>
  <conditionalFormatting sqref="AK187">
    <cfRule type="cellIs" dxfId="19825" priority="442" operator="equal">
      <formula>0</formula>
    </cfRule>
  </conditionalFormatting>
  <conditionalFormatting sqref="AK187">
    <cfRule type="expression" dxfId="19824" priority="443">
      <formula>LEN(TRIM(AK187))=0</formula>
    </cfRule>
  </conditionalFormatting>
  <conditionalFormatting sqref="AK185">
    <cfRule type="cellIs" dxfId="19823" priority="440" operator="equal">
      <formula>0</formula>
    </cfRule>
  </conditionalFormatting>
  <conditionalFormatting sqref="AK185">
    <cfRule type="expression" dxfId="19822" priority="441">
      <formula>LEN(TRIM(AK185))=0</formula>
    </cfRule>
  </conditionalFormatting>
  <conditionalFormatting sqref="AB179:AG179">
    <cfRule type="cellIs" dxfId="19821" priority="438" operator="equal">
      <formula>0</formula>
    </cfRule>
  </conditionalFormatting>
  <conditionalFormatting sqref="AB179:AG179">
    <cfRule type="expression" dxfId="19820" priority="439">
      <formula>LEN(TRIM(AB179))=0</formula>
    </cfRule>
  </conditionalFormatting>
  <conditionalFormatting sqref="AH196:AK198 W196:AA198 AB196:AG197 AI193:AK195 Y193:Y195 V193:V198 V199:AK199">
    <cfRule type="cellIs" dxfId="19819" priority="417" operator="equal">
      <formula>0</formula>
    </cfRule>
  </conditionalFormatting>
  <conditionalFormatting sqref="AH193:AH198">
    <cfRule type="cellIs" dxfId="19818" priority="418" operator="equal">
      <formula>0</formula>
    </cfRule>
  </conditionalFormatting>
  <conditionalFormatting sqref="V193:W198 Z193:AA198">
    <cfRule type="cellIs" dxfId="19817" priority="419" operator="equal">
      <formula>0</formula>
    </cfRule>
  </conditionalFormatting>
  <conditionalFormatting sqref="X193:X198">
    <cfRule type="cellIs" dxfId="19816" priority="420" operator="equal">
      <formula>0</formula>
    </cfRule>
  </conditionalFormatting>
  <conditionalFormatting sqref="AB196:AB198">
    <cfRule type="cellIs" dxfId="19815" priority="421" operator="equal">
      <formula>0</formula>
    </cfRule>
  </conditionalFormatting>
  <conditionalFormatting sqref="AB193:AB198 AC193:AG193">
    <cfRule type="cellIs" dxfId="19814" priority="422" operator="equal">
      <formula>0</formula>
    </cfRule>
  </conditionalFormatting>
  <conditionalFormatting sqref="AC196:AC198">
    <cfRule type="cellIs" dxfId="19813" priority="423" operator="equal">
      <formula>0</formula>
    </cfRule>
  </conditionalFormatting>
  <conditionalFormatting sqref="AC193:AC198">
    <cfRule type="cellIs" dxfId="19812" priority="424" operator="equal">
      <formula>0</formula>
    </cfRule>
  </conditionalFormatting>
  <conditionalFormatting sqref="AD196:AD198">
    <cfRule type="cellIs" dxfId="19811" priority="425" operator="equal">
      <formula>0</formula>
    </cfRule>
  </conditionalFormatting>
  <conditionalFormatting sqref="AD193:AD198">
    <cfRule type="cellIs" dxfId="19810" priority="426" operator="equal">
      <formula>0</formula>
    </cfRule>
  </conditionalFormatting>
  <conditionalFormatting sqref="AE196:AE198">
    <cfRule type="cellIs" dxfId="19809" priority="427" operator="equal">
      <formula>0</formula>
    </cfRule>
  </conditionalFormatting>
  <conditionalFormatting sqref="AE193:AE198">
    <cfRule type="cellIs" dxfId="19808" priority="428" operator="equal">
      <formula>0</formula>
    </cfRule>
  </conditionalFormatting>
  <conditionalFormatting sqref="AF196:AF198">
    <cfRule type="cellIs" dxfId="19807" priority="429" operator="equal">
      <formula>0</formula>
    </cfRule>
  </conditionalFormatting>
  <conditionalFormatting sqref="AF193:AF198">
    <cfRule type="cellIs" dxfId="19806" priority="430" operator="equal">
      <formula>0</formula>
    </cfRule>
  </conditionalFormatting>
  <conditionalFormatting sqref="AG196:AG198">
    <cfRule type="cellIs" dxfId="19805" priority="431" operator="equal">
      <formula>0</formula>
    </cfRule>
  </conditionalFormatting>
  <conditionalFormatting sqref="AG193:AG198">
    <cfRule type="cellIs" dxfId="19804" priority="432" operator="equal">
      <formula>0</formula>
    </cfRule>
  </conditionalFormatting>
  <conditionalFormatting sqref="V193:AK199">
    <cfRule type="expression" dxfId="19803" priority="433">
      <formula>LEN(TRIM(V193))=0</formula>
    </cfRule>
  </conditionalFormatting>
  <conditionalFormatting sqref="AD196:AD197">
    <cfRule type="cellIs" dxfId="19802" priority="434" operator="equal">
      <formula>0</formula>
    </cfRule>
  </conditionalFormatting>
  <conditionalFormatting sqref="AE196:AE197">
    <cfRule type="cellIs" dxfId="19801" priority="435" operator="equal">
      <formula>0</formula>
    </cfRule>
  </conditionalFormatting>
  <conditionalFormatting sqref="AF196:AG196">
    <cfRule type="cellIs" dxfId="19800" priority="436" operator="equal">
      <formula>0</formula>
    </cfRule>
  </conditionalFormatting>
  <conditionalFormatting sqref="AF197:AG197">
    <cfRule type="cellIs" dxfId="19799" priority="437" operator="equal">
      <formula>0</formula>
    </cfRule>
  </conditionalFormatting>
  <conditionalFormatting sqref="W210:Y210 V211:Y212 Z210:AA212 V206:AA209 AB206:AJ212 V201:AK201 V213:AJ213 V202:AA203 AK202:AK213 AH202:AJ203">
    <cfRule type="cellIs" dxfId="19798" priority="411" operator="equal">
      <formula>0</formula>
    </cfRule>
  </conditionalFormatting>
  <conditionalFormatting sqref="V210">
    <cfRule type="cellIs" dxfId="19797" priority="412" operator="equal">
      <formula>0</formula>
    </cfRule>
  </conditionalFormatting>
  <conditionalFormatting sqref="V201:AK201 V206:AJ213 V202:AA203 AK202:AK213 AH202:AJ203">
    <cfRule type="expression" dxfId="19796" priority="413">
      <formula>LEN(TRIM(V201))=0</formula>
    </cfRule>
  </conditionalFormatting>
  <conditionalFormatting sqref="V204:AJ205">
    <cfRule type="cellIs" dxfId="19795" priority="414" operator="equal">
      <formula>0</formula>
    </cfRule>
  </conditionalFormatting>
  <conditionalFormatting sqref="AH204:AH205">
    <cfRule type="cellIs" dxfId="19794" priority="415" operator="equal">
      <formula>0</formula>
    </cfRule>
  </conditionalFormatting>
  <conditionalFormatting sqref="V204:AJ205">
    <cfRule type="expression" dxfId="19793" priority="416">
      <formula>LEN(TRIM(V204))=0</formula>
    </cfRule>
  </conditionalFormatting>
  <conditionalFormatting sqref="AB202:AG203">
    <cfRule type="cellIs" dxfId="19792" priority="409" operator="equal">
      <formula>0</formula>
    </cfRule>
  </conditionalFormatting>
  <conditionalFormatting sqref="AB202:AG203">
    <cfRule type="expression" dxfId="19791" priority="410">
      <formula>LEN(TRIM(AB202))=0</formula>
    </cfRule>
  </conditionalFormatting>
  <conditionalFormatting sqref="V216:AJ221 AK215:AK220 AK222 V215:AA215 AH215:AJ215">
    <cfRule type="cellIs" dxfId="19790" priority="403" operator="equal">
      <formula>0</formula>
    </cfRule>
  </conditionalFormatting>
  <conditionalFormatting sqref="V222:AJ222">
    <cfRule type="cellIs" dxfId="19789" priority="404" operator="equal">
      <formula>0</formula>
    </cfRule>
  </conditionalFormatting>
  <conditionalFormatting sqref="V216:AK220 V222:AK222 V221:AJ221 V215:AA215 AH215:AK215">
    <cfRule type="expression" dxfId="19788" priority="405">
      <formula>LEN(TRIM(V215))=0</formula>
    </cfRule>
  </conditionalFormatting>
  <conditionalFormatting sqref="V222:AJ222">
    <cfRule type="cellIs" dxfId="19787" priority="406" operator="equal">
      <formula>0</formula>
    </cfRule>
  </conditionalFormatting>
  <conditionalFormatting sqref="V223:AJ223">
    <cfRule type="cellIs" dxfId="19786" priority="407" operator="equal">
      <formula>0</formula>
    </cfRule>
  </conditionalFormatting>
  <conditionalFormatting sqref="V223:AJ223">
    <cfRule type="expression" dxfId="19785" priority="408">
      <formula>LEN(TRIM(V223))=0</formula>
    </cfRule>
  </conditionalFormatting>
  <conditionalFormatting sqref="AK223">
    <cfRule type="cellIs" dxfId="19784" priority="401" operator="equal">
      <formula>0</formula>
    </cfRule>
  </conditionalFormatting>
  <conditionalFormatting sqref="AK223">
    <cfRule type="expression" dxfId="19783" priority="402">
      <formula>LEN(TRIM(AK223))=0</formula>
    </cfRule>
  </conditionalFormatting>
  <conditionalFormatting sqref="AK221">
    <cfRule type="cellIs" dxfId="19782" priority="399" operator="equal">
      <formula>0</formula>
    </cfRule>
  </conditionalFormatting>
  <conditionalFormatting sqref="AK221">
    <cfRule type="expression" dxfId="19781" priority="400">
      <formula>LEN(TRIM(AK221))=0</formula>
    </cfRule>
  </conditionalFormatting>
  <conditionalFormatting sqref="AB215:AG215">
    <cfRule type="cellIs" dxfId="19780" priority="397" operator="equal">
      <formula>0</formula>
    </cfRule>
  </conditionalFormatting>
  <conditionalFormatting sqref="AB215:AG215">
    <cfRule type="expression" dxfId="19779" priority="398">
      <formula>LEN(TRIM(AB215))=0</formula>
    </cfRule>
  </conditionalFormatting>
  <conditionalFormatting sqref="AH232:AK234 W232:AA234 AB232:AG233 AI229:AK231 Y229:Y231 V229:V234 V235:AK235">
    <cfRule type="cellIs" dxfId="19778" priority="376" operator="equal">
      <formula>0</formula>
    </cfRule>
  </conditionalFormatting>
  <conditionalFormatting sqref="AH229:AH234">
    <cfRule type="cellIs" dxfId="19777" priority="377" operator="equal">
      <formula>0</formula>
    </cfRule>
  </conditionalFormatting>
  <conditionalFormatting sqref="V229:W234 Z229:AA234">
    <cfRule type="cellIs" dxfId="19776" priority="378" operator="equal">
      <formula>0</formula>
    </cfRule>
  </conditionalFormatting>
  <conditionalFormatting sqref="X229:X234">
    <cfRule type="cellIs" dxfId="19775" priority="379" operator="equal">
      <formula>0</formula>
    </cfRule>
  </conditionalFormatting>
  <conditionalFormatting sqref="AB232:AB234">
    <cfRule type="cellIs" dxfId="19774" priority="380" operator="equal">
      <formula>0</formula>
    </cfRule>
  </conditionalFormatting>
  <conditionalFormatting sqref="AB229:AB234 AC229:AG229">
    <cfRule type="cellIs" dxfId="19773" priority="381" operator="equal">
      <formula>0</formula>
    </cfRule>
  </conditionalFormatting>
  <conditionalFormatting sqref="AC232:AC234">
    <cfRule type="cellIs" dxfId="19772" priority="382" operator="equal">
      <formula>0</formula>
    </cfRule>
  </conditionalFormatting>
  <conditionalFormatting sqref="AC229:AC234">
    <cfRule type="cellIs" dxfId="19771" priority="383" operator="equal">
      <formula>0</formula>
    </cfRule>
  </conditionalFormatting>
  <conditionalFormatting sqref="AD232:AD234">
    <cfRule type="cellIs" dxfId="19770" priority="384" operator="equal">
      <formula>0</formula>
    </cfRule>
  </conditionalFormatting>
  <conditionalFormatting sqref="AD229:AD234">
    <cfRule type="cellIs" dxfId="19769" priority="385" operator="equal">
      <formula>0</formula>
    </cfRule>
  </conditionalFormatting>
  <conditionalFormatting sqref="AE232:AE234">
    <cfRule type="cellIs" dxfId="19768" priority="386" operator="equal">
      <formula>0</formula>
    </cfRule>
  </conditionalFormatting>
  <conditionalFormatting sqref="AE229:AE234">
    <cfRule type="cellIs" dxfId="19767" priority="387" operator="equal">
      <formula>0</formula>
    </cfRule>
  </conditionalFormatting>
  <conditionalFormatting sqref="AF232:AF234">
    <cfRule type="cellIs" dxfId="19766" priority="388" operator="equal">
      <formula>0</formula>
    </cfRule>
  </conditionalFormatting>
  <conditionalFormatting sqref="AF229:AF234">
    <cfRule type="cellIs" dxfId="19765" priority="389" operator="equal">
      <formula>0</formula>
    </cfRule>
  </conditionalFormatting>
  <conditionalFormatting sqref="AG232:AG234">
    <cfRule type="cellIs" dxfId="19764" priority="390" operator="equal">
      <formula>0</formula>
    </cfRule>
  </conditionalFormatting>
  <conditionalFormatting sqref="AG229:AG234">
    <cfRule type="cellIs" dxfId="19763" priority="391" operator="equal">
      <formula>0</formula>
    </cfRule>
  </conditionalFormatting>
  <conditionalFormatting sqref="V229:AK235">
    <cfRule type="expression" dxfId="19762" priority="392">
      <formula>LEN(TRIM(V229))=0</formula>
    </cfRule>
  </conditionalFormatting>
  <conditionalFormatting sqref="AD232:AD233">
    <cfRule type="cellIs" dxfId="19761" priority="393" operator="equal">
      <formula>0</formula>
    </cfRule>
  </conditionalFormatting>
  <conditionalFormatting sqref="AE232:AE233">
    <cfRule type="cellIs" dxfId="19760" priority="394" operator="equal">
      <formula>0</formula>
    </cfRule>
  </conditionalFormatting>
  <conditionalFormatting sqref="AF232:AG232">
    <cfRule type="cellIs" dxfId="19759" priority="395" operator="equal">
      <formula>0</formula>
    </cfRule>
  </conditionalFormatting>
  <conditionalFormatting sqref="AF233:AG233">
    <cfRule type="cellIs" dxfId="19758" priority="396" operator="equal">
      <formula>0</formula>
    </cfRule>
  </conditionalFormatting>
  <conditionalFormatting sqref="W246:Y246 V247:Y248 Z246:AA248 V242:AA245 AB242:AJ248 V237:AK237 V249:AJ249 V238:AA239 AK238:AK249 AH238:AJ239">
    <cfRule type="cellIs" dxfId="19757" priority="370" operator="equal">
      <formula>0</formula>
    </cfRule>
  </conditionalFormatting>
  <conditionalFormatting sqref="V246">
    <cfRule type="cellIs" dxfId="19756" priority="371" operator="equal">
      <formula>0</formula>
    </cfRule>
  </conditionalFormatting>
  <conditionalFormatting sqref="V237:AK237 V242:AJ249 V238:AA239 AK238:AK249 AH238:AJ239">
    <cfRule type="expression" dxfId="19755" priority="372">
      <formula>LEN(TRIM(V237))=0</formula>
    </cfRule>
  </conditionalFormatting>
  <conditionalFormatting sqref="V240:AJ241">
    <cfRule type="cellIs" dxfId="19754" priority="373" operator="equal">
      <formula>0</formula>
    </cfRule>
  </conditionalFormatting>
  <conditionalFormatting sqref="AH240:AH241">
    <cfRule type="cellIs" dxfId="19753" priority="374" operator="equal">
      <formula>0</formula>
    </cfRule>
  </conditionalFormatting>
  <conditionalFormatting sqref="V240:AJ241">
    <cfRule type="expression" dxfId="19752" priority="375">
      <formula>LEN(TRIM(V240))=0</formula>
    </cfRule>
  </conditionalFormatting>
  <conditionalFormatting sqref="AB238:AG239">
    <cfRule type="cellIs" dxfId="19751" priority="368" operator="equal">
      <formula>0</formula>
    </cfRule>
  </conditionalFormatting>
  <conditionalFormatting sqref="AB238:AG239">
    <cfRule type="expression" dxfId="19750" priority="369">
      <formula>LEN(TRIM(AB238))=0</formula>
    </cfRule>
  </conditionalFormatting>
  <conditionalFormatting sqref="V252:AJ257 AK251:AK256 AK258 V251:AA251 AH251:AJ251">
    <cfRule type="cellIs" dxfId="19749" priority="362" operator="equal">
      <formula>0</formula>
    </cfRule>
  </conditionalFormatting>
  <conditionalFormatting sqref="V258:AJ258">
    <cfRule type="cellIs" dxfId="19748" priority="363" operator="equal">
      <formula>0</formula>
    </cfRule>
  </conditionalFormatting>
  <conditionalFormatting sqref="V252:AK256 V258:AK258 V257:AJ257 V251:AA251 AH251:AK251">
    <cfRule type="expression" dxfId="19747" priority="364">
      <formula>LEN(TRIM(V251))=0</formula>
    </cfRule>
  </conditionalFormatting>
  <conditionalFormatting sqref="V258:AJ258">
    <cfRule type="cellIs" dxfId="19746" priority="365" operator="equal">
      <formula>0</formula>
    </cfRule>
  </conditionalFormatting>
  <conditionalFormatting sqref="V259:AJ259">
    <cfRule type="cellIs" dxfId="19745" priority="366" operator="equal">
      <formula>0</formula>
    </cfRule>
  </conditionalFormatting>
  <conditionalFormatting sqref="V259:AJ259">
    <cfRule type="expression" dxfId="19744" priority="367">
      <formula>LEN(TRIM(V259))=0</formula>
    </cfRule>
  </conditionalFormatting>
  <conditionalFormatting sqref="AK259">
    <cfRule type="cellIs" dxfId="19743" priority="360" operator="equal">
      <formula>0</formula>
    </cfRule>
  </conditionalFormatting>
  <conditionalFormatting sqref="AK259">
    <cfRule type="expression" dxfId="19742" priority="361">
      <formula>LEN(TRIM(AK259))=0</formula>
    </cfRule>
  </conditionalFormatting>
  <conditionalFormatting sqref="AK257">
    <cfRule type="cellIs" dxfId="19741" priority="358" operator="equal">
      <formula>0</formula>
    </cfRule>
  </conditionalFormatting>
  <conditionalFormatting sqref="AK257">
    <cfRule type="expression" dxfId="19740" priority="359">
      <formula>LEN(TRIM(AK257))=0</formula>
    </cfRule>
  </conditionalFormatting>
  <conditionalFormatting sqref="AB251:AG251">
    <cfRule type="cellIs" dxfId="19739" priority="356" operator="equal">
      <formula>0</formula>
    </cfRule>
  </conditionalFormatting>
  <conditionalFormatting sqref="AB251:AG251">
    <cfRule type="expression" dxfId="19738" priority="357">
      <formula>LEN(TRIM(AB251))=0</formula>
    </cfRule>
  </conditionalFormatting>
  <conditionalFormatting sqref="AH268:AK270 W268:AA270 AB268:AG269 AI265:AK267 Y265:Y267 V265:V270 V271:AK271">
    <cfRule type="cellIs" dxfId="19737" priority="335" operator="equal">
      <formula>0</formula>
    </cfRule>
  </conditionalFormatting>
  <conditionalFormatting sqref="AH265:AH270">
    <cfRule type="cellIs" dxfId="19736" priority="336" operator="equal">
      <formula>0</formula>
    </cfRule>
  </conditionalFormatting>
  <conditionalFormatting sqref="V265:W270 Z265:AA270">
    <cfRule type="cellIs" dxfId="19735" priority="337" operator="equal">
      <formula>0</formula>
    </cfRule>
  </conditionalFormatting>
  <conditionalFormatting sqref="X265:X270">
    <cfRule type="cellIs" dxfId="19734" priority="338" operator="equal">
      <formula>0</formula>
    </cfRule>
  </conditionalFormatting>
  <conditionalFormatting sqref="AB268:AB270">
    <cfRule type="cellIs" dxfId="19733" priority="339" operator="equal">
      <formula>0</formula>
    </cfRule>
  </conditionalFormatting>
  <conditionalFormatting sqref="AB265:AB270 AC265:AG265">
    <cfRule type="cellIs" dxfId="19732" priority="340" operator="equal">
      <formula>0</formula>
    </cfRule>
  </conditionalFormatting>
  <conditionalFormatting sqref="AC268:AC270">
    <cfRule type="cellIs" dxfId="19731" priority="341" operator="equal">
      <formula>0</formula>
    </cfRule>
  </conditionalFormatting>
  <conditionalFormatting sqref="AC265:AC270">
    <cfRule type="cellIs" dxfId="19730" priority="342" operator="equal">
      <formula>0</formula>
    </cfRule>
  </conditionalFormatting>
  <conditionalFormatting sqref="AD268:AD270">
    <cfRule type="cellIs" dxfId="19729" priority="343" operator="equal">
      <formula>0</formula>
    </cfRule>
  </conditionalFormatting>
  <conditionalFormatting sqref="AD265:AD270">
    <cfRule type="cellIs" dxfId="19728" priority="344" operator="equal">
      <formula>0</formula>
    </cfRule>
  </conditionalFormatting>
  <conditionalFormatting sqref="AE268:AE270">
    <cfRule type="cellIs" dxfId="19727" priority="345" operator="equal">
      <formula>0</formula>
    </cfRule>
  </conditionalFormatting>
  <conditionalFormatting sqref="AE265:AE270">
    <cfRule type="cellIs" dxfId="19726" priority="346" operator="equal">
      <formula>0</formula>
    </cfRule>
  </conditionalFormatting>
  <conditionalFormatting sqref="AF268:AF270">
    <cfRule type="cellIs" dxfId="19725" priority="347" operator="equal">
      <formula>0</formula>
    </cfRule>
  </conditionalFormatting>
  <conditionalFormatting sqref="AF265:AF270">
    <cfRule type="cellIs" dxfId="19724" priority="348" operator="equal">
      <formula>0</formula>
    </cfRule>
  </conditionalFormatting>
  <conditionalFormatting sqref="AG268:AG270">
    <cfRule type="cellIs" dxfId="19723" priority="349" operator="equal">
      <formula>0</formula>
    </cfRule>
  </conditionalFormatting>
  <conditionalFormatting sqref="AG265:AG270">
    <cfRule type="cellIs" dxfId="19722" priority="350" operator="equal">
      <formula>0</formula>
    </cfRule>
  </conditionalFormatting>
  <conditionalFormatting sqref="V265:AK271">
    <cfRule type="expression" dxfId="19721" priority="351">
      <formula>LEN(TRIM(V265))=0</formula>
    </cfRule>
  </conditionalFormatting>
  <conditionalFormatting sqref="AD268:AD269">
    <cfRule type="cellIs" dxfId="19720" priority="352" operator="equal">
      <formula>0</formula>
    </cfRule>
  </conditionalFormatting>
  <conditionalFormatting sqref="AE268:AE269">
    <cfRule type="cellIs" dxfId="19719" priority="353" operator="equal">
      <formula>0</formula>
    </cfRule>
  </conditionalFormatting>
  <conditionalFormatting sqref="AF268:AG268">
    <cfRule type="cellIs" dxfId="19718" priority="354" operator="equal">
      <formula>0</formula>
    </cfRule>
  </conditionalFormatting>
  <conditionalFormatting sqref="AF269:AG269">
    <cfRule type="cellIs" dxfId="19717" priority="355" operator="equal">
      <formula>0</formula>
    </cfRule>
  </conditionalFormatting>
  <conditionalFormatting sqref="W282:Y282 V283:Y284 Z282:AA284 V278:AA281 AB278:AJ284 V273:AK273 V285:AJ285 V274:AA275 AK274:AK285 AH274:AJ275">
    <cfRule type="cellIs" dxfId="19716" priority="329" operator="equal">
      <formula>0</formula>
    </cfRule>
  </conditionalFormatting>
  <conditionalFormatting sqref="V282">
    <cfRule type="cellIs" dxfId="19715" priority="330" operator="equal">
      <formula>0</formula>
    </cfRule>
  </conditionalFormatting>
  <conditionalFormatting sqref="V273:AK273 V278:AJ285 V274:AA275 AK274:AK285 AH274:AJ275">
    <cfRule type="expression" dxfId="19714" priority="331">
      <formula>LEN(TRIM(V273))=0</formula>
    </cfRule>
  </conditionalFormatting>
  <conditionalFormatting sqref="V276:AJ277">
    <cfRule type="cellIs" dxfId="19713" priority="332" operator="equal">
      <formula>0</formula>
    </cfRule>
  </conditionalFormatting>
  <conditionalFormatting sqref="AH276:AH277">
    <cfRule type="cellIs" dxfId="19712" priority="333" operator="equal">
      <formula>0</formula>
    </cfRule>
  </conditionalFormatting>
  <conditionalFormatting sqref="V276:AJ277">
    <cfRule type="expression" dxfId="19711" priority="334">
      <formula>LEN(TRIM(V276))=0</formula>
    </cfRule>
  </conditionalFormatting>
  <conditionalFormatting sqref="AB274:AG275">
    <cfRule type="cellIs" dxfId="19710" priority="327" operator="equal">
      <formula>0</formula>
    </cfRule>
  </conditionalFormatting>
  <conditionalFormatting sqref="AB274:AG275">
    <cfRule type="expression" dxfId="19709" priority="328">
      <formula>LEN(TRIM(AB274))=0</formula>
    </cfRule>
  </conditionalFormatting>
  <conditionalFormatting sqref="V288:AJ293 AK287:AK292 AK294 V287:AA287 AH287:AJ287">
    <cfRule type="cellIs" dxfId="19708" priority="321" operator="equal">
      <formula>0</formula>
    </cfRule>
  </conditionalFormatting>
  <conditionalFormatting sqref="V294:AJ294">
    <cfRule type="cellIs" dxfId="19707" priority="322" operator="equal">
      <formula>0</formula>
    </cfRule>
  </conditionalFormatting>
  <conditionalFormatting sqref="V288:AK292 V294:AK294 V293:AJ293 V287:AA287 AH287:AK287">
    <cfRule type="expression" dxfId="19706" priority="323">
      <formula>LEN(TRIM(V287))=0</formula>
    </cfRule>
  </conditionalFormatting>
  <conditionalFormatting sqref="V294:AJ294">
    <cfRule type="cellIs" dxfId="19705" priority="324" operator="equal">
      <formula>0</formula>
    </cfRule>
  </conditionalFormatting>
  <conditionalFormatting sqref="V295:AJ295">
    <cfRule type="cellIs" dxfId="19704" priority="325" operator="equal">
      <formula>0</formula>
    </cfRule>
  </conditionalFormatting>
  <conditionalFormatting sqref="V295:AJ295">
    <cfRule type="expression" dxfId="19703" priority="326">
      <formula>LEN(TRIM(V295))=0</formula>
    </cfRule>
  </conditionalFormatting>
  <conditionalFormatting sqref="AK295">
    <cfRule type="cellIs" dxfId="19702" priority="319" operator="equal">
      <formula>0</formula>
    </cfRule>
  </conditionalFormatting>
  <conditionalFormatting sqref="AK295">
    <cfRule type="expression" dxfId="19701" priority="320">
      <formula>LEN(TRIM(AK295))=0</formula>
    </cfRule>
  </conditionalFormatting>
  <conditionalFormatting sqref="AK293">
    <cfRule type="cellIs" dxfId="19700" priority="317" operator="equal">
      <formula>0</formula>
    </cfRule>
  </conditionalFormatting>
  <conditionalFormatting sqref="AK293">
    <cfRule type="expression" dxfId="19699" priority="318">
      <formula>LEN(TRIM(AK293))=0</formula>
    </cfRule>
  </conditionalFormatting>
  <conditionalFormatting sqref="AB287:AG287">
    <cfRule type="cellIs" dxfId="19698" priority="315" operator="equal">
      <formula>0</formula>
    </cfRule>
  </conditionalFormatting>
  <conditionalFormatting sqref="AB287:AG287">
    <cfRule type="expression" dxfId="19697" priority="316">
      <formula>LEN(TRIM(AB287))=0</formula>
    </cfRule>
  </conditionalFormatting>
  <conditionalFormatting sqref="AH304:AK306 W304:AA306 AB304:AG305 AI301:AK303 Y301:Y303 V301:V306 V307:AK307">
    <cfRule type="cellIs" dxfId="19696" priority="294" operator="equal">
      <formula>0</formula>
    </cfRule>
  </conditionalFormatting>
  <conditionalFormatting sqref="AH301:AH306">
    <cfRule type="cellIs" dxfId="19695" priority="295" operator="equal">
      <formula>0</formula>
    </cfRule>
  </conditionalFormatting>
  <conditionalFormatting sqref="V301:W306 Z301:AA306">
    <cfRule type="cellIs" dxfId="19694" priority="296" operator="equal">
      <formula>0</formula>
    </cfRule>
  </conditionalFormatting>
  <conditionalFormatting sqref="X301:X306">
    <cfRule type="cellIs" dxfId="19693" priority="297" operator="equal">
      <formula>0</formula>
    </cfRule>
  </conditionalFormatting>
  <conditionalFormatting sqref="AB304:AB306">
    <cfRule type="cellIs" dxfId="19692" priority="298" operator="equal">
      <formula>0</formula>
    </cfRule>
  </conditionalFormatting>
  <conditionalFormatting sqref="AB301:AB306 AC301:AG301">
    <cfRule type="cellIs" dxfId="19691" priority="299" operator="equal">
      <formula>0</formula>
    </cfRule>
  </conditionalFormatting>
  <conditionalFormatting sqref="AC304:AC306">
    <cfRule type="cellIs" dxfId="19690" priority="300" operator="equal">
      <formula>0</formula>
    </cfRule>
  </conditionalFormatting>
  <conditionalFormatting sqref="AC301:AC306">
    <cfRule type="cellIs" dxfId="19689" priority="301" operator="equal">
      <formula>0</formula>
    </cfRule>
  </conditionalFormatting>
  <conditionalFormatting sqref="AD304:AD306">
    <cfRule type="cellIs" dxfId="19688" priority="302" operator="equal">
      <formula>0</formula>
    </cfRule>
  </conditionalFormatting>
  <conditionalFormatting sqref="AD301:AD306">
    <cfRule type="cellIs" dxfId="19687" priority="303" operator="equal">
      <formula>0</formula>
    </cfRule>
  </conditionalFormatting>
  <conditionalFormatting sqref="AE304:AE306">
    <cfRule type="cellIs" dxfId="19686" priority="304" operator="equal">
      <formula>0</formula>
    </cfRule>
  </conditionalFormatting>
  <conditionalFormatting sqref="AE301:AE306">
    <cfRule type="cellIs" dxfId="19685" priority="305" operator="equal">
      <formula>0</formula>
    </cfRule>
  </conditionalFormatting>
  <conditionalFormatting sqref="AF304:AF306">
    <cfRule type="cellIs" dxfId="19684" priority="306" operator="equal">
      <formula>0</formula>
    </cfRule>
  </conditionalFormatting>
  <conditionalFormatting sqref="AF301:AF306">
    <cfRule type="cellIs" dxfId="19683" priority="307" operator="equal">
      <formula>0</formula>
    </cfRule>
  </conditionalFormatting>
  <conditionalFormatting sqref="AG304:AG306">
    <cfRule type="cellIs" dxfId="19682" priority="308" operator="equal">
      <formula>0</formula>
    </cfRule>
  </conditionalFormatting>
  <conditionalFormatting sqref="AG301:AG306">
    <cfRule type="cellIs" dxfId="19681" priority="309" operator="equal">
      <formula>0</formula>
    </cfRule>
  </conditionalFormatting>
  <conditionalFormatting sqref="V301:AK307">
    <cfRule type="expression" dxfId="19680" priority="310">
      <formula>LEN(TRIM(V301))=0</formula>
    </cfRule>
  </conditionalFormatting>
  <conditionalFormatting sqref="AD304:AD305">
    <cfRule type="cellIs" dxfId="19679" priority="311" operator="equal">
      <formula>0</formula>
    </cfRule>
  </conditionalFormatting>
  <conditionalFormatting sqref="AE304:AE305">
    <cfRule type="cellIs" dxfId="19678" priority="312" operator="equal">
      <formula>0</formula>
    </cfRule>
  </conditionalFormatting>
  <conditionalFormatting sqref="AF304:AG304">
    <cfRule type="cellIs" dxfId="19677" priority="313" operator="equal">
      <formula>0</formula>
    </cfRule>
  </conditionalFormatting>
  <conditionalFormatting sqref="AF305:AG305">
    <cfRule type="cellIs" dxfId="19676" priority="314" operator="equal">
      <formula>0</formula>
    </cfRule>
  </conditionalFormatting>
  <conditionalFormatting sqref="W318:Y318 V319:Y320 Z318:AA320 V314:AA317 AB314:AJ320 V309:AK309 V321:AJ321 V310:AA311 AK310:AK321 AH310:AJ311">
    <cfRule type="cellIs" dxfId="19675" priority="288" operator="equal">
      <formula>0</formula>
    </cfRule>
  </conditionalFormatting>
  <conditionalFormatting sqref="V318">
    <cfRule type="cellIs" dxfId="19674" priority="289" operator="equal">
      <formula>0</formula>
    </cfRule>
  </conditionalFormatting>
  <conditionalFormatting sqref="V309:AK309 V314:AJ321 V310:AA311 AK310:AK321 AH310:AJ311">
    <cfRule type="expression" dxfId="19673" priority="290">
      <formula>LEN(TRIM(V309))=0</formula>
    </cfRule>
  </conditionalFormatting>
  <conditionalFormatting sqref="V312:AJ313">
    <cfRule type="cellIs" dxfId="19672" priority="291" operator="equal">
      <formula>0</formula>
    </cfRule>
  </conditionalFormatting>
  <conditionalFormatting sqref="AH312:AH313">
    <cfRule type="cellIs" dxfId="19671" priority="292" operator="equal">
      <formula>0</formula>
    </cfRule>
  </conditionalFormatting>
  <conditionalFormatting sqref="V312:AJ313">
    <cfRule type="expression" dxfId="19670" priority="293">
      <formula>LEN(TRIM(V312))=0</formula>
    </cfRule>
  </conditionalFormatting>
  <conditionalFormatting sqref="AB310:AG311">
    <cfRule type="cellIs" dxfId="19669" priority="286" operator="equal">
      <formula>0</formula>
    </cfRule>
  </conditionalFormatting>
  <conditionalFormatting sqref="AB310:AG311">
    <cfRule type="expression" dxfId="19668" priority="287">
      <formula>LEN(TRIM(AB310))=0</formula>
    </cfRule>
  </conditionalFormatting>
  <conditionalFormatting sqref="V324:AJ329 AK323:AK328 AK330 V323:AA323 AH323:AJ323">
    <cfRule type="cellIs" dxfId="19667" priority="280" operator="equal">
      <formula>0</formula>
    </cfRule>
  </conditionalFormatting>
  <conditionalFormatting sqref="V330:AJ330">
    <cfRule type="cellIs" dxfId="19666" priority="281" operator="equal">
      <formula>0</formula>
    </cfRule>
  </conditionalFormatting>
  <conditionalFormatting sqref="V324:AK328 V330:AK330 V329:AJ329 V323:AA323 AH323:AK323">
    <cfRule type="expression" dxfId="19665" priority="282">
      <formula>LEN(TRIM(V323))=0</formula>
    </cfRule>
  </conditionalFormatting>
  <conditionalFormatting sqref="V330:AJ330">
    <cfRule type="cellIs" dxfId="19664" priority="283" operator="equal">
      <formula>0</formula>
    </cfRule>
  </conditionalFormatting>
  <conditionalFormatting sqref="V331:AJ331">
    <cfRule type="cellIs" dxfId="19663" priority="284" operator="equal">
      <formula>0</formula>
    </cfRule>
  </conditionalFormatting>
  <conditionalFormatting sqref="V331:AJ331">
    <cfRule type="expression" dxfId="19662" priority="285">
      <formula>LEN(TRIM(V331))=0</formula>
    </cfRule>
  </conditionalFormatting>
  <conditionalFormatting sqref="AK331">
    <cfRule type="cellIs" dxfId="19661" priority="278" operator="equal">
      <formula>0</formula>
    </cfRule>
  </conditionalFormatting>
  <conditionalFormatting sqref="AK331">
    <cfRule type="expression" dxfId="19660" priority="279">
      <formula>LEN(TRIM(AK331))=0</formula>
    </cfRule>
  </conditionalFormatting>
  <conditionalFormatting sqref="AK329">
    <cfRule type="cellIs" dxfId="19659" priority="276" operator="equal">
      <formula>0</formula>
    </cfRule>
  </conditionalFormatting>
  <conditionalFormatting sqref="AK329">
    <cfRule type="expression" dxfId="19658" priority="277">
      <formula>LEN(TRIM(AK329))=0</formula>
    </cfRule>
  </conditionalFormatting>
  <conditionalFormatting sqref="AB323:AG323">
    <cfRule type="cellIs" dxfId="19657" priority="274" operator="equal">
      <formula>0</formula>
    </cfRule>
  </conditionalFormatting>
  <conditionalFormatting sqref="AB323:AG323">
    <cfRule type="expression" dxfId="19656" priority="275">
      <formula>LEN(TRIM(AB323))=0</formula>
    </cfRule>
  </conditionalFormatting>
  <conditionalFormatting sqref="AH340:AK342 W340:AA342 AB340:AG341 AI337:AK339 Y337:Y339 V337:V342 V343:AK343">
    <cfRule type="cellIs" dxfId="19655" priority="253" operator="equal">
      <formula>0</formula>
    </cfRule>
  </conditionalFormatting>
  <conditionalFormatting sqref="AH337:AH342">
    <cfRule type="cellIs" dxfId="19654" priority="254" operator="equal">
      <formula>0</formula>
    </cfRule>
  </conditionalFormatting>
  <conditionalFormatting sqref="V337:W342 Z337:AA342">
    <cfRule type="cellIs" dxfId="19653" priority="255" operator="equal">
      <formula>0</formula>
    </cfRule>
  </conditionalFormatting>
  <conditionalFormatting sqref="X337:X342">
    <cfRule type="cellIs" dxfId="19652" priority="256" operator="equal">
      <formula>0</formula>
    </cfRule>
  </conditionalFormatting>
  <conditionalFormatting sqref="AB340:AB342">
    <cfRule type="cellIs" dxfId="19651" priority="257" operator="equal">
      <formula>0</formula>
    </cfRule>
  </conditionalFormatting>
  <conditionalFormatting sqref="AB337:AB342 AC337:AG337">
    <cfRule type="cellIs" dxfId="19650" priority="258" operator="equal">
      <formula>0</formula>
    </cfRule>
  </conditionalFormatting>
  <conditionalFormatting sqref="AC340:AC342">
    <cfRule type="cellIs" dxfId="19649" priority="259" operator="equal">
      <formula>0</formula>
    </cfRule>
  </conditionalFormatting>
  <conditionalFormatting sqref="AC337:AC342">
    <cfRule type="cellIs" dxfId="19648" priority="260" operator="equal">
      <formula>0</formula>
    </cfRule>
  </conditionalFormatting>
  <conditionalFormatting sqref="AD340:AD342">
    <cfRule type="cellIs" dxfId="19647" priority="261" operator="equal">
      <formula>0</formula>
    </cfRule>
  </conditionalFormatting>
  <conditionalFormatting sqref="AD337:AD342">
    <cfRule type="cellIs" dxfId="19646" priority="262" operator="equal">
      <formula>0</formula>
    </cfRule>
  </conditionalFormatting>
  <conditionalFormatting sqref="AE340:AE342">
    <cfRule type="cellIs" dxfId="19645" priority="263" operator="equal">
      <formula>0</formula>
    </cfRule>
  </conditionalFormatting>
  <conditionalFormatting sqref="AE337:AE342">
    <cfRule type="cellIs" dxfId="19644" priority="264" operator="equal">
      <formula>0</formula>
    </cfRule>
  </conditionalFormatting>
  <conditionalFormatting sqref="AF340:AF342">
    <cfRule type="cellIs" dxfId="19643" priority="265" operator="equal">
      <formula>0</formula>
    </cfRule>
  </conditionalFormatting>
  <conditionalFormatting sqref="AF337:AF342">
    <cfRule type="cellIs" dxfId="19642" priority="266" operator="equal">
      <formula>0</formula>
    </cfRule>
  </conditionalFormatting>
  <conditionalFormatting sqref="AG340:AG342">
    <cfRule type="cellIs" dxfId="19641" priority="267" operator="equal">
      <formula>0</formula>
    </cfRule>
  </conditionalFormatting>
  <conditionalFormatting sqref="AG337:AG342">
    <cfRule type="cellIs" dxfId="19640" priority="268" operator="equal">
      <formula>0</formula>
    </cfRule>
  </conditionalFormatting>
  <conditionalFormatting sqref="V337:AK343">
    <cfRule type="expression" dxfId="19639" priority="269">
      <formula>LEN(TRIM(V337))=0</formula>
    </cfRule>
  </conditionalFormatting>
  <conditionalFormatting sqref="AD340:AD341">
    <cfRule type="cellIs" dxfId="19638" priority="270" operator="equal">
      <formula>0</formula>
    </cfRule>
  </conditionalFormatting>
  <conditionalFormatting sqref="AE340:AE341">
    <cfRule type="cellIs" dxfId="19637" priority="271" operator="equal">
      <formula>0</formula>
    </cfRule>
  </conditionalFormatting>
  <conditionalFormatting sqref="AF340:AG340">
    <cfRule type="cellIs" dxfId="19636" priority="272" operator="equal">
      <formula>0</formula>
    </cfRule>
  </conditionalFormatting>
  <conditionalFormatting sqref="AF341:AG341">
    <cfRule type="cellIs" dxfId="19635" priority="273" operator="equal">
      <formula>0</formula>
    </cfRule>
  </conditionalFormatting>
  <conditionalFormatting sqref="W354:Y354 V355:Y356 Z354:AA356 V350:AA353 AB350:AJ356 V345:AK345 V357:AJ357 V346:AA347 AK346:AK357 AH346:AJ347">
    <cfRule type="cellIs" dxfId="19634" priority="247" operator="equal">
      <formula>0</formula>
    </cfRule>
  </conditionalFormatting>
  <conditionalFormatting sqref="V354">
    <cfRule type="cellIs" dxfId="19633" priority="248" operator="equal">
      <formula>0</formula>
    </cfRule>
  </conditionalFormatting>
  <conditionalFormatting sqref="V345:AK345 V350:AJ357 V346:AA347 AK346:AK357 AH346:AJ347">
    <cfRule type="expression" dxfId="19632" priority="249">
      <formula>LEN(TRIM(V345))=0</formula>
    </cfRule>
  </conditionalFormatting>
  <conditionalFormatting sqref="V348:AJ349">
    <cfRule type="cellIs" dxfId="19631" priority="250" operator="equal">
      <formula>0</formula>
    </cfRule>
  </conditionalFormatting>
  <conditionalFormatting sqref="AH348:AH349">
    <cfRule type="cellIs" dxfId="19630" priority="251" operator="equal">
      <formula>0</formula>
    </cfRule>
  </conditionalFormatting>
  <conditionalFormatting sqref="V348:AJ349">
    <cfRule type="expression" dxfId="19629" priority="252">
      <formula>LEN(TRIM(V348))=0</formula>
    </cfRule>
  </conditionalFormatting>
  <conditionalFormatting sqref="AB346:AG347">
    <cfRule type="cellIs" dxfId="19628" priority="245" operator="equal">
      <formula>0</formula>
    </cfRule>
  </conditionalFormatting>
  <conditionalFormatting sqref="AB346:AG347">
    <cfRule type="expression" dxfId="19627" priority="246">
      <formula>LEN(TRIM(AB346))=0</formula>
    </cfRule>
  </conditionalFormatting>
  <conditionalFormatting sqref="V360:AJ365 AK359:AK364 AK366 V359:AA359 AH359:AJ359">
    <cfRule type="cellIs" dxfId="19626" priority="239" operator="equal">
      <formula>0</formula>
    </cfRule>
  </conditionalFormatting>
  <conditionalFormatting sqref="V366:AJ366">
    <cfRule type="cellIs" dxfId="19625" priority="240" operator="equal">
      <formula>0</formula>
    </cfRule>
  </conditionalFormatting>
  <conditionalFormatting sqref="V360:AK364 V366:AK366 V365:AJ365 V359:AA359 AH359:AK359">
    <cfRule type="expression" dxfId="19624" priority="241">
      <formula>LEN(TRIM(V359))=0</formula>
    </cfRule>
  </conditionalFormatting>
  <conditionalFormatting sqref="V366:AJ366">
    <cfRule type="cellIs" dxfId="19623" priority="242" operator="equal">
      <formula>0</formula>
    </cfRule>
  </conditionalFormatting>
  <conditionalFormatting sqref="V367:AJ367">
    <cfRule type="cellIs" dxfId="19622" priority="243" operator="equal">
      <formula>0</formula>
    </cfRule>
  </conditionalFormatting>
  <conditionalFormatting sqref="V367:AJ367">
    <cfRule type="expression" dxfId="19621" priority="244">
      <formula>LEN(TRIM(V367))=0</formula>
    </cfRule>
  </conditionalFormatting>
  <conditionalFormatting sqref="AK367">
    <cfRule type="cellIs" dxfId="19620" priority="237" operator="equal">
      <formula>0</formula>
    </cfRule>
  </conditionalFormatting>
  <conditionalFormatting sqref="AK367">
    <cfRule type="expression" dxfId="19619" priority="238">
      <formula>LEN(TRIM(AK367))=0</formula>
    </cfRule>
  </conditionalFormatting>
  <conditionalFormatting sqref="AK365">
    <cfRule type="cellIs" dxfId="19618" priority="235" operator="equal">
      <formula>0</formula>
    </cfRule>
  </conditionalFormatting>
  <conditionalFormatting sqref="AK365">
    <cfRule type="expression" dxfId="19617" priority="236">
      <formula>LEN(TRIM(AK365))=0</formula>
    </cfRule>
  </conditionalFormatting>
  <conditionalFormatting sqref="AB359:AG359">
    <cfRule type="cellIs" dxfId="19616" priority="233" operator="equal">
      <formula>0</formula>
    </cfRule>
  </conditionalFormatting>
  <conditionalFormatting sqref="AB359:AG359">
    <cfRule type="expression" dxfId="19615" priority="234">
      <formula>LEN(TRIM(AB359))=0</formula>
    </cfRule>
  </conditionalFormatting>
  <conditionalFormatting sqref="AH376:AK378 W376:AA378 AB376:AG377 AI373:AK375 Y373:Y375 V373:V378 V379:AK379">
    <cfRule type="cellIs" dxfId="19614" priority="212" operator="equal">
      <formula>0</formula>
    </cfRule>
  </conditionalFormatting>
  <conditionalFormatting sqref="AH373:AH378">
    <cfRule type="cellIs" dxfId="19613" priority="213" operator="equal">
      <formula>0</formula>
    </cfRule>
  </conditionalFormatting>
  <conditionalFormatting sqref="V373:W378 Z373:AA378">
    <cfRule type="cellIs" dxfId="19612" priority="214" operator="equal">
      <formula>0</formula>
    </cfRule>
  </conditionalFormatting>
  <conditionalFormatting sqref="X373:X378">
    <cfRule type="cellIs" dxfId="19611" priority="215" operator="equal">
      <formula>0</formula>
    </cfRule>
  </conditionalFormatting>
  <conditionalFormatting sqref="AB376:AB378">
    <cfRule type="cellIs" dxfId="19610" priority="216" operator="equal">
      <formula>0</formula>
    </cfRule>
  </conditionalFormatting>
  <conditionalFormatting sqref="AB373:AB378 AC373:AG373">
    <cfRule type="cellIs" dxfId="19609" priority="217" operator="equal">
      <formula>0</formula>
    </cfRule>
  </conditionalFormatting>
  <conditionalFormatting sqref="AC376:AC378">
    <cfRule type="cellIs" dxfId="19608" priority="218" operator="equal">
      <formula>0</formula>
    </cfRule>
  </conditionalFormatting>
  <conditionalFormatting sqref="AC373:AC378">
    <cfRule type="cellIs" dxfId="19607" priority="219" operator="equal">
      <formula>0</formula>
    </cfRule>
  </conditionalFormatting>
  <conditionalFormatting sqref="AD376:AD378">
    <cfRule type="cellIs" dxfId="19606" priority="220" operator="equal">
      <formula>0</formula>
    </cfRule>
  </conditionalFormatting>
  <conditionalFormatting sqref="AD373:AD378">
    <cfRule type="cellIs" dxfId="19605" priority="221" operator="equal">
      <formula>0</formula>
    </cfRule>
  </conditionalFormatting>
  <conditionalFormatting sqref="AE376:AE378">
    <cfRule type="cellIs" dxfId="19604" priority="222" operator="equal">
      <formula>0</formula>
    </cfRule>
  </conditionalFormatting>
  <conditionalFormatting sqref="AE373:AE378">
    <cfRule type="cellIs" dxfId="19603" priority="223" operator="equal">
      <formula>0</formula>
    </cfRule>
  </conditionalFormatting>
  <conditionalFormatting sqref="AF376:AF378">
    <cfRule type="cellIs" dxfId="19602" priority="224" operator="equal">
      <formula>0</formula>
    </cfRule>
  </conditionalFormatting>
  <conditionalFormatting sqref="AF373:AF378">
    <cfRule type="cellIs" dxfId="19601" priority="225" operator="equal">
      <formula>0</formula>
    </cfRule>
  </conditionalFormatting>
  <conditionalFormatting sqref="AG376:AG378">
    <cfRule type="cellIs" dxfId="19600" priority="226" operator="equal">
      <formula>0</formula>
    </cfRule>
  </conditionalFormatting>
  <conditionalFormatting sqref="AG373:AG378">
    <cfRule type="cellIs" dxfId="19599" priority="227" operator="equal">
      <formula>0</formula>
    </cfRule>
  </conditionalFormatting>
  <conditionalFormatting sqref="V373:AK379">
    <cfRule type="expression" dxfId="19598" priority="228">
      <formula>LEN(TRIM(V373))=0</formula>
    </cfRule>
  </conditionalFormatting>
  <conditionalFormatting sqref="AD376:AD377">
    <cfRule type="cellIs" dxfId="19597" priority="229" operator="equal">
      <formula>0</formula>
    </cfRule>
  </conditionalFormatting>
  <conditionalFormatting sqref="AE376:AE377">
    <cfRule type="cellIs" dxfId="19596" priority="230" operator="equal">
      <formula>0</formula>
    </cfRule>
  </conditionalFormatting>
  <conditionalFormatting sqref="AF376:AG376">
    <cfRule type="cellIs" dxfId="19595" priority="231" operator="equal">
      <formula>0</formula>
    </cfRule>
  </conditionalFormatting>
  <conditionalFormatting sqref="AF377:AG377">
    <cfRule type="cellIs" dxfId="19594" priority="232" operator="equal">
      <formula>0</formula>
    </cfRule>
  </conditionalFormatting>
  <conditionalFormatting sqref="W390:Y390 V391:Y392 Z390:AA392 V386:AA389 AB386:AJ392 V381:AK381 V393:AJ393 V382:AA383 AK382:AK393 AH382:AJ383">
    <cfRule type="cellIs" dxfId="19593" priority="206" operator="equal">
      <formula>0</formula>
    </cfRule>
  </conditionalFormatting>
  <conditionalFormatting sqref="V390">
    <cfRule type="cellIs" dxfId="19592" priority="207" operator="equal">
      <formula>0</formula>
    </cfRule>
  </conditionalFormatting>
  <conditionalFormatting sqref="V381:AK381 V386:AJ393 V382:AA383 AK382:AK393 AH382:AJ383">
    <cfRule type="expression" dxfId="19591" priority="208">
      <formula>LEN(TRIM(V381))=0</formula>
    </cfRule>
  </conditionalFormatting>
  <conditionalFormatting sqref="V384:AJ385">
    <cfRule type="cellIs" dxfId="19590" priority="209" operator="equal">
      <formula>0</formula>
    </cfRule>
  </conditionalFormatting>
  <conditionalFormatting sqref="AH384:AH385">
    <cfRule type="cellIs" dxfId="19589" priority="210" operator="equal">
      <formula>0</formula>
    </cfRule>
  </conditionalFormatting>
  <conditionalFormatting sqref="V384:AJ385">
    <cfRule type="expression" dxfId="19588" priority="211">
      <formula>LEN(TRIM(V384))=0</formula>
    </cfRule>
  </conditionalFormatting>
  <conditionalFormatting sqref="AB382:AG383">
    <cfRule type="cellIs" dxfId="19587" priority="204" operator="equal">
      <formula>0</formula>
    </cfRule>
  </conditionalFormatting>
  <conditionalFormatting sqref="AB382:AG383">
    <cfRule type="expression" dxfId="19586" priority="205">
      <formula>LEN(TRIM(AB382))=0</formula>
    </cfRule>
  </conditionalFormatting>
  <conditionalFormatting sqref="V396:AJ401 AK395:AK400 AK402 V395:AA395 AH395:AJ395">
    <cfRule type="cellIs" dxfId="19585" priority="198" operator="equal">
      <formula>0</formula>
    </cfRule>
  </conditionalFormatting>
  <conditionalFormatting sqref="V402:AJ402">
    <cfRule type="cellIs" dxfId="19584" priority="199" operator="equal">
      <formula>0</formula>
    </cfRule>
  </conditionalFormatting>
  <conditionalFormatting sqref="V396:AK400 V402:AK402 V401:AJ401 V395:AA395 AH395:AK395">
    <cfRule type="expression" dxfId="19583" priority="200">
      <formula>LEN(TRIM(V395))=0</formula>
    </cfRule>
  </conditionalFormatting>
  <conditionalFormatting sqref="V402:AJ402">
    <cfRule type="cellIs" dxfId="19582" priority="201" operator="equal">
      <formula>0</formula>
    </cfRule>
  </conditionalFormatting>
  <conditionalFormatting sqref="V403:AJ403">
    <cfRule type="cellIs" dxfId="19581" priority="202" operator="equal">
      <formula>0</formula>
    </cfRule>
  </conditionalFormatting>
  <conditionalFormatting sqref="V403:AJ403">
    <cfRule type="expression" dxfId="19580" priority="203">
      <formula>LEN(TRIM(V403))=0</formula>
    </cfRule>
  </conditionalFormatting>
  <conditionalFormatting sqref="AK403">
    <cfRule type="cellIs" dxfId="19579" priority="196" operator="equal">
      <formula>0</formula>
    </cfRule>
  </conditionalFormatting>
  <conditionalFormatting sqref="AK403">
    <cfRule type="expression" dxfId="19578" priority="197">
      <formula>LEN(TRIM(AK403))=0</formula>
    </cfRule>
  </conditionalFormatting>
  <conditionalFormatting sqref="AK401">
    <cfRule type="cellIs" dxfId="19577" priority="194" operator="equal">
      <formula>0</formula>
    </cfRule>
  </conditionalFormatting>
  <conditionalFormatting sqref="AK401">
    <cfRule type="expression" dxfId="19576" priority="195">
      <formula>LEN(TRIM(AK401))=0</formula>
    </cfRule>
  </conditionalFormatting>
  <conditionalFormatting sqref="AB395:AG395">
    <cfRule type="cellIs" dxfId="19575" priority="192" operator="equal">
      <formula>0</formula>
    </cfRule>
  </conditionalFormatting>
  <conditionalFormatting sqref="AB395:AG395">
    <cfRule type="expression" dxfId="19574" priority="193">
      <formula>LEN(TRIM(AB395))=0</formula>
    </cfRule>
  </conditionalFormatting>
  <conditionalFormatting sqref="AH412:AK414 W412:AA414 AB412:AG413 AI409:AK411 Y409:Y411 V409:V414 V415:AK415">
    <cfRule type="cellIs" dxfId="19573" priority="171" operator="equal">
      <formula>0</formula>
    </cfRule>
  </conditionalFormatting>
  <conditionalFormatting sqref="AH409:AH414">
    <cfRule type="cellIs" dxfId="19572" priority="172" operator="equal">
      <formula>0</formula>
    </cfRule>
  </conditionalFormatting>
  <conditionalFormatting sqref="V409:W414 Z409:AA414">
    <cfRule type="cellIs" dxfId="19571" priority="173" operator="equal">
      <formula>0</formula>
    </cfRule>
  </conditionalFormatting>
  <conditionalFormatting sqref="X409:X414">
    <cfRule type="cellIs" dxfId="19570" priority="174" operator="equal">
      <formula>0</formula>
    </cfRule>
  </conditionalFormatting>
  <conditionalFormatting sqref="AB412:AB414">
    <cfRule type="cellIs" dxfId="19569" priority="175" operator="equal">
      <formula>0</formula>
    </cfRule>
  </conditionalFormatting>
  <conditionalFormatting sqref="AB409:AB414 AC409:AG409">
    <cfRule type="cellIs" dxfId="19568" priority="176" operator="equal">
      <formula>0</formula>
    </cfRule>
  </conditionalFormatting>
  <conditionalFormatting sqref="AC412:AC414">
    <cfRule type="cellIs" dxfId="19567" priority="177" operator="equal">
      <formula>0</formula>
    </cfRule>
  </conditionalFormatting>
  <conditionalFormatting sqref="AC409:AC414">
    <cfRule type="cellIs" dxfId="19566" priority="178" operator="equal">
      <formula>0</formula>
    </cfRule>
  </conditionalFormatting>
  <conditionalFormatting sqref="AD412:AD414">
    <cfRule type="cellIs" dxfId="19565" priority="179" operator="equal">
      <formula>0</formula>
    </cfRule>
  </conditionalFormatting>
  <conditionalFormatting sqref="AD409:AD414">
    <cfRule type="cellIs" dxfId="19564" priority="180" operator="equal">
      <formula>0</formula>
    </cfRule>
  </conditionalFormatting>
  <conditionalFormatting sqref="AE412:AE414">
    <cfRule type="cellIs" dxfId="19563" priority="181" operator="equal">
      <formula>0</formula>
    </cfRule>
  </conditionalFormatting>
  <conditionalFormatting sqref="AE409:AE414">
    <cfRule type="cellIs" dxfId="19562" priority="182" operator="equal">
      <formula>0</formula>
    </cfRule>
  </conditionalFormatting>
  <conditionalFormatting sqref="AF412:AF414">
    <cfRule type="cellIs" dxfId="19561" priority="183" operator="equal">
      <formula>0</formula>
    </cfRule>
  </conditionalFormatting>
  <conditionalFormatting sqref="AF409:AF414">
    <cfRule type="cellIs" dxfId="19560" priority="184" operator="equal">
      <formula>0</formula>
    </cfRule>
  </conditionalFormatting>
  <conditionalFormatting sqref="AG412:AG414">
    <cfRule type="cellIs" dxfId="19559" priority="185" operator="equal">
      <formula>0</formula>
    </cfRule>
  </conditionalFormatting>
  <conditionalFormatting sqref="AG409:AG414">
    <cfRule type="cellIs" dxfId="19558" priority="186" operator="equal">
      <formula>0</formula>
    </cfRule>
  </conditionalFormatting>
  <conditionalFormatting sqref="V409:AK415">
    <cfRule type="expression" dxfId="19557" priority="187">
      <formula>LEN(TRIM(V409))=0</formula>
    </cfRule>
  </conditionalFormatting>
  <conditionalFormatting sqref="AD412:AD413">
    <cfRule type="cellIs" dxfId="19556" priority="188" operator="equal">
      <formula>0</formula>
    </cfRule>
  </conditionalFormatting>
  <conditionalFormatting sqref="AE412:AE413">
    <cfRule type="cellIs" dxfId="19555" priority="189" operator="equal">
      <formula>0</formula>
    </cfRule>
  </conditionalFormatting>
  <conditionalFormatting sqref="AF412:AG412">
    <cfRule type="cellIs" dxfId="19554" priority="190" operator="equal">
      <formula>0</formula>
    </cfRule>
  </conditionalFormatting>
  <conditionalFormatting sqref="AF413:AG413">
    <cfRule type="cellIs" dxfId="19553" priority="191" operator="equal">
      <formula>0</formula>
    </cfRule>
  </conditionalFormatting>
  <conditionalFormatting sqref="W426:Y426 V427:Y428 Z426:AA428 V422:AA425 AB422:AJ428 V417:AK417 V429:AJ429 V418:AA419 AK418:AK429 AH418:AJ419">
    <cfRule type="cellIs" dxfId="19552" priority="165" operator="equal">
      <formula>0</formula>
    </cfRule>
  </conditionalFormatting>
  <conditionalFormatting sqref="V426">
    <cfRule type="cellIs" dxfId="19551" priority="166" operator="equal">
      <formula>0</formula>
    </cfRule>
  </conditionalFormatting>
  <conditionalFormatting sqref="V417:AK417 V422:AJ429 V418:AA419 AK418:AK429 AH418:AJ419">
    <cfRule type="expression" dxfId="19550" priority="167">
      <formula>LEN(TRIM(V417))=0</formula>
    </cfRule>
  </conditionalFormatting>
  <conditionalFormatting sqref="V420:AJ421">
    <cfRule type="cellIs" dxfId="19549" priority="168" operator="equal">
      <formula>0</formula>
    </cfRule>
  </conditionalFormatting>
  <conditionalFormatting sqref="AH420:AH421">
    <cfRule type="cellIs" dxfId="19548" priority="169" operator="equal">
      <formula>0</formula>
    </cfRule>
  </conditionalFormatting>
  <conditionalFormatting sqref="V420:AJ421">
    <cfRule type="expression" dxfId="19547" priority="170">
      <formula>LEN(TRIM(V420))=0</formula>
    </cfRule>
  </conditionalFormatting>
  <conditionalFormatting sqref="AB418:AG419">
    <cfRule type="cellIs" dxfId="19546" priority="163" operator="equal">
      <formula>0</formula>
    </cfRule>
  </conditionalFormatting>
  <conditionalFormatting sqref="AB418:AG419">
    <cfRule type="expression" dxfId="19545" priority="164">
      <formula>LEN(TRIM(AB418))=0</formula>
    </cfRule>
  </conditionalFormatting>
  <conditionalFormatting sqref="V432:AJ437 AK431:AK436 AK438 V431:AA431 AH431:AJ431">
    <cfRule type="cellIs" dxfId="19544" priority="157" operator="equal">
      <formula>0</formula>
    </cfRule>
  </conditionalFormatting>
  <conditionalFormatting sqref="V438:AJ438">
    <cfRule type="cellIs" dxfId="19543" priority="158" operator="equal">
      <formula>0</formula>
    </cfRule>
  </conditionalFormatting>
  <conditionalFormatting sqref="V432:AK436 V438:AK438 V437:AJ437 V431:AA431 AH431:AK431">
    <cfRule type="expression" dxfId="19542" priority="159">
      <formula>LEN(TRIM(V431))=0</formula>
    </cfRule>
  </conditionalFormatting>
  <conditionalFormatting sqref="V438:AJ438">
    <cfRule type="cellIs" dxfId="19541" priority="160" operator="equal">
      <formula>0</formula>
    </cfRule>
  </conditionalFormatting>
  <conditionalFormatting sqref="V439:AJ439">
    <cfRule type="cellIs" dxfId="19540" priority="161" operator="equal">
      <formula>0</formula>
    </cfRule>
  </conditionalFormatting>
  <conditionalFormatting sqref="V439:AJ439">
    <cfRule type="expression" dxfId="19539" priority="162">
      <formula>LEN(TRIM(V439))=0</formula>
    </cfRule>
  </conditionalFormatting>
  <conditionalFormatting sqref="AK439">
    <cfRule type="cellIs" dxfId="19538" priority="155" operator="equal">
      <formula>0</formula>
    </cfRule>
  </conditionalFormatting>
  <conditionalFormatting sqref="AK439">
    <cfRule type="expression" dxfId="19537" priority="156">
      <formula>LEN(TRIM(AK439))=0</formula>
    </cfRule>
  </conditionalFormatting>
  <conditionalFormatting sqref="AK437">
    <cfRule type="cellIs" dxfId="19536" priority="153" operator="equal">
      <formula>0</formula>
    </cfRule>
  </conditionalFormatting>
  <conditionalFormatting sqref="AK437">
    <cfRule type="expression" dxfId="19535" priority="154">
      <formula>LEN(TRIM(AK437))=0</formula>
    </cfRule>
  </conditionalFormatting>
  <conditionalFormatting sqref="AB431:AG431">
    <cfRule type="cellIs" dxfId="19534" priority="151" operator="equal">
      <formula>0</formula>
    </cfRule>
  </conditionalFormatting>
  <conditionalFormatting sqref="AB431:AG431">
    <cfRule type="expression" dxfId="19533" priority="152">
      <formula>LEN(TRIM(AB431))=0</formula>
    </cfRule>
  </conditionalFormatting>
  <conditionalFormatting sqref="J11">
    <cfRule type="cellIs" dxfId="19532" priority="150" operator="equal">
      <formula>0</formula>
    </cfRule>
  </conditionalFormatting>
  <conditionalFormatting sqref="K11">
    <cfRule type="cellIs" dxfId="19531" priority="149" operator="equal">
      <formula>0</formula>
    </cfRule>
  </conditionalFormatting>
  <conditionalFormatting sqref="L11">
    <cfRule type="cellIs" dxfId="19530" priority="148" operator="equal">
      <formula>0</formula>
    </cfRule>
  </conditionalFormatting>
  <conditionalFormatting sqref="M11">
    <cfRule type="cellIs" dxfId="19529" priority="147" operator="equal">
      <formula>0</formula>
    </cfRule>
  </conditionalFormatting>
  <conditionalFormatting sqref="N11">
    <cfRule type="cellIs" dxfId="19528" priority="146" operator="equal">
      <formula>0</formula>
    </cfRule>
  </conditionalFormatting>
  <conditionalFormatting sqref="O11">
    <cfRule type="cellIs" dxfId="19527" priority="145" operator="equal">
      <formula>0</formula>
    </cfRule>
  </conditionalFormatting>
  <conditionalFormatting sqref="AB11">
    <cfRule type="cellIs" dxfId="19526" priority="144" operator="equal">
      <formula>0</formula>
    </cfRule>
  </conditionalFormatting>
  <conditionalFormatting sqref="AC11">
    <cfRule type="cellIs" dxfId="19525" priority="143" operator="equal">
      <formula>0</formula>
    </cfRule>
  </conditionalFormatting>
  <conditionalFormatting sqref="AD11">
    <cfRule type="cellIs" dxfId="19524" priority="142" operator="equal">
      <formula>0</formula>
    </cfRule>
  </conditionalFormatting>
  <conditionalFormatting sqref="AE11">
    <cfRule type="cellIs" dxfId="19523" priority="141" operator="equal">
      <formula>0</formula>
    </cfRule>
  </conditionalFormatting>
  <conditionalFormatting sqref="AF11">
    <cfRule type="cellIs" dxfId="19522" priority="140" operator="equal">
      <formula>0</formula>
    </cfRule>
  </conditionalFormatting>
  <conditionalFormatting sqref="AG11">
    <cfRule type="cellIs" dxfId="19521" priority="139" operator="equal">
      <formula>0</formula>
    </cfRule>
  </conditionalFormatting>
  <conditionalFormatting sqref="J47">
    <cfRule type="cellIs" dxfId="19520" priority="138" operator="equal">
      <formula>0</formula>
    </cfRule>
  </conditionalFormatting>
  <conditionalFormatting sqref="K47">
    <cfRule type="cellIs" dxfId="19519" priority="137" operator="equal">
      <formula>0</formula>
    </cfRule>
  </conditionalFormatting>
  <conditionalFormatting sqref="L47">
    <cfRule type="cellIs" dxfId="19518" priority="136" operator="equal">
      <formula>0</formula>
    </cfRule>
  </conditionalFormatting>
  <conditionalFormatting sqref="M47">
    <cfRule type="cellIs" dxfId="19517" priority="135" operator="equal">
      <formula>0</formula>
    </cfRule>
  </conditionalFormatting>
  <conditionalFormatting sqref="N47">
    <cfRule type="cellIs" dxfId="19516" priority="134" operator="equal">
      <formula>0</formula>
    </cfRule>
  </conditionalFormatting>
  <conditionalFormatting sqref="O47">
    <cfRule type="cellIs" dxfId="19515" priority="133" operator="equal">
      <formula>0</formula>
    </cfRule>
  </conditionalFormatting>
  <conditionalFormatting sqref="AB47">
    <cfRule type="cellIs" dxfId="19514" priority="132" operator="equal">
      <formula>0</formula>
    </cfRule>
  </conditionalFormatting>
  <conditionalFormatting sqref="AC47">
    <cfRule type="cellIs" dxfId="19513" priority="131" operator="equal">
      <formula>0</formula>
    </cfRule>
  </conditionalFormatting>
  <conditionalFormatting sqref="AD47">
    <cfRule type="cellIs" dxfId="19512" priority="130" operator="equal">
      <formula>0</formula>
    </cfRule>
  </conditionalFormatting>
  <conditionalFormatting sqref="AE47">
    <cfRule type="cellIs" dxfId="19511" priority="129" operator="equal">
      <formula>0</formula>
    </cfRule>
  </conditionalFormatting>
  <conditionalFormatting sqref="AF47">
    <cfRule type="cellIs" dxfId="19510" priority="128" operator="equal">
      <formula>0</formula>
    </cfRule>
  </conditionalFormatting>
  <conditionalFormatting sqref="AG47">
    <cfRule type="cellIs" dxfId="19509" priority="127" operator="equal">
      <formula>0</formula>
    </cfRule>
  </conditionalFormatting>
  <conditionalFormatting sqref="J84">
    <cfRule type="cellIs" dxfId="19508" priority="126" operator="equal">
      <formula>0</formula>
    </cfRule>
  </conditionalFormatting>
  <conditionalFormatting sqref="K84">
    <cfRule type="cellIs" dxfId="19507" priority="125" operator="equal">
      <formula>0</formula>
    </cfRule>
  </conditionalFormatting>
  <conditionalFormatting sqref="L84">
    <cfRule type="cellIs" dxfId="19506" priority="124" operator="equal">
      <formula>0</formula>
    </cfRule>
  </conditionalFormatting>
  <conditionalFormatting sqref="M84">
    <cfRule type="cellIs" dxfId="19505" priority="123" operator="equal">
      <formula>0</formula>
    </cfRule>
  </conditionalFormatting>
  <conditionalFormatting sqref="N84">
    <cfRule type="cellIs" dxfId="19504" priority="122" operator="equal">
      <formula>0</formula>
    </cfRule>
  </conditionalFormatting>
  <conditionalFormatting sqref="O84">
    <cfRule type="cellIs" dxfId="19503" priority="121" operator="equal">
      <formula>0</formula>
    </cfRule>
  </conditionalFormatting>
  <conditionalFormatting sqref="AB84">
    <cfRule type="cellIs" dxfId="19502" priority="120" operator="equal">
      <formula>0</formula>
    </cfRule>
  </conditionalFormatting>
  <conditionalFormatting sqref="AC84">
    <cfRule type="cellIs" dxfId="19501" priority="119" operator="equal">
      <formula>0</formula>
    </cfRule>
  </conditionalFormatting>
  <conditionalFormatting sqref="AD84">
    <cfRule type="cellIs" dxfId="19500" priority="118" operator="equal">
      <formula>0</formula>
    </cfRule>
  </conditionalFormatting>
  <conditionalFormatting sqref="AE84">
    <cfRule type="cellIs" dxfId="19499" priority="117" operator="equal">
      <formula>0</formula>
    </cfRule>
  </conditionalFormatting>
  <conditionalFormatting sqref="AF84">
    <cfRule type="cellIs" dxfId="19498" priority="116" operator="equal">
      <formula>0</formula>
    </cfRule>
  </conditionalFormatting>
  <conditionalFormatting sqref="AG84">
    <cfRule type="cellIs" dxfId="19497" priority="115" operator="equal">
      <formula>0</formula>
    </cfRule>
  </conditionalFormatting>
  <conditionalFormatting sqref="J120">
    <cfRule type="cellIs" dxfId="19496" priority="114" operator="equal">
      <formula>0</formula>
    </cfRule>
  </conditionalFormatting>
  <conditionalFormatting sqref="K120">
    <cfRule type="cellIs" dxfId="19495" priority="113" operator="equal">
      <formula>0</formula>
    </cfRule>
  </conditionalFormatting>
  <conditionalFormatting sqref="L120">
    <cfRule type="cellIs" dxfId="19494" priority="112" operator="equal">
      <formula>0</formula>
    </cfRule>
  </conditionalFormatting>
  <conditionalFormatting sqref="M120">
    <cfRule type="cellIs" dxfId="19493" priority="111" operator="equal">
      <formula>0</formula>
    </cfRule>
  </conditionalFormatting>
  <conditionalFormatting sqref="N120">
    <cfRule type="cellIs" dxfId="19492" priority="110" operator="equal">
      <formula>0</formula>
    </cfRule>
  </conditionalFormatting>
  <conditionalFormatting sqref="O120">
    <cfRule type="cellIs" dxfId="19491" priority="109" operator="equal">
      <formula>0</formula>
    </cfRule>
  </conditionalFormatting>
  <conditionalFormatting sqref="AB120">
    <cfRule type="cellIs" dxfId="19490" priority="108" operator="equal">
      <formula>0</formula>
    </cfRule>
  </conditionalFormatting>
  <conditionalFormatting sqref="AC120">
    <cfRule type="cellIs" dxfId="19489" priority="107" operator="equal">
      <formula>0</formula>
    </cfRule>
  </conditionalFormatting>
  <conditionalFormatting sqref="AD120">
    <cfRule type="cellIs" dxfId="19488" priority="106" operator="equal">
      <formula>0</formula>
    </cfRule>
  </conditionalFormatting>
  <conditionalFormatting sqref="AE120">
    <cfRule type="cellIs" dxfId="19487" priority="105" operator="equal">
      <formula>0</formula>
    </cfRule>
  </conditionalFormatting>
  <conditionalFormatting sqref="AF120">
    <cfRule type="cellIs" dxfId="19486" priority="104" operator="equal">
      <formula>0</formula>
    </cfRule>
  </conditionalFormatting>
  <conditionalFormatting sqref="AG120">
    <cfRule type="cellIs" dxfId="19485" priority="103" operator="equal">
      <formula>0</formula>
    </cfRule>
  </conditionalFormatting>
  <conditionalFormatting sqref="J156">
    <cfRule type="cellIs" dxfId="19484" priority="102" operator="equal">
      <formula>0</formula>
    </cfRule>
  </conditionalFormatting>
  <conditionalFormatting sqref="K156">
    <cfRule type="cellIs" dxfId="19483" priority="101" operator="equal">
      <formula>0</formula>
    </cfRule>
  </conditionalFormatting>
  <conditionalFormatting sqref="L156">
    <cfRule type="cellIs" dxfId="19482" priority="100" operator="equal">
      <formula>0</formula>
    </cfRule>
  </conditionalFormatting>
  <conditionalFormatting sqref="M156">
    <cfRule type="cellIs" dxfId="19481" priority="99" operator="equal">
      <formula>0</formula>
    </cfRule>
  </conditionalFormatting>
  <conditionalFormatting sqref="N156">
    <cfRule type="cellIs" dxfId="19480" priority="98" operator="equal">
      <formula>0</formula>
    </cfRule>
  </conditionalFormatting>
  <conditionalFormatting sqref="O156">
    <cfRule type="cellIs" dxfId="19479" priority="97" operator="equal">
      <formula>0</formula>
    </cfRule>
  </conditionalFormatting>
  <conditionalFormatting sqref="AB156">
    <cfRule type="cellIs" dxfId="19478" priority="96" operator="equal">
      <formula>0</formula>
    </cfRule>
  </conditionalFormatting>
  <conditionalFormatting sqref="AC156">
    <cfRule type="cellIs" dxfId="19477" priority="95" operator="equal">
      <formula>0</formula>
    </cfRule>
  </conditionalFormatting>
  <conditionalFormatting sqref="AD156">
    <cfRule type="cellIs" dxfId="19476" priority="94" operator="equal">
      <formula>0</formula>
    </cfRule>
  </conditionalFormatting>
  <conditionalFormatting sqref="AE156">
    <cfRule type="cellIs" dxfId="19475" priority="93" operator="equal">
      <formula>0</formula>
    </cfRule>
  </conditionalFormatting>
  <conditionalFormatting sqref="AF156">
    <cfRule type="cellIs" dxfId="19474" priority="92" operator="equal">
      <formula>0</formula>
    </cfRule>
  </conditionalFormatting>
  <conditionalFormatting sqref="AG156">
    <cfRule type="cellIs" dxfId="19473" priority="91" operator="equal">
      <formula>0</formula>
    </cfRule>
  </conditionalFormatting>
  <conditionalFormatting sqref="J192">
    <cfRule type="cellIs" dxfId="19472" priority="90" operator="equal">
      <formula>0</formula>
    </cfRule>
  </conditionalFormatting>
  <conditionalFormatting sqref="K192">
    <cfRule type="cellIs" dxfId="19471" priority="89" operator="equal">
      <formula>0</formula>
    </cfRule>
  </conditionalFormatting>
  <conditionalFormatting sqref="L192">
    <cfRule type="cellIs" dxfId="19470" priority="88" operator="equal">
      <formula>0</formula>
    </cfRule>
  </conditionalFormatting>
  <conditionalFormatting sqref="M192">
    <cfRule type="cellIs" dxfId="19469" priority="87" operator="equal">
      <formula>0</formula>
    </cfRule>
  </conditionalFormatting>
  <conditionalFormatting sqref="N192">
    <cfRule type="cellIs" dxfId="19468" priority="86" operator="equal">
      <formula>0</formula>
    </cfRule>
  </conditionalFormatting>
  <conditionalFormatting sqref="O192">
    <cfRule type="cellIs" dxfId="19467" priority="85" operator="equal">
      <formula>0</formula>
    </cfRule>
  </conditionalFormatting>
  <conditionalFormatting sqref="AB192">
    <cfRule type="cellIs" dxfId="19466" priority="84" operator="equal">
      <formula>0</formula>
    </cfRule>
  </conditionalFormatting>
  <conditionalFormatting sqref="AC192">
    <cfRule type="cellIs" dxfId="19465" priority="83" operator="equal">
      <formula>0</formula>
    </cfRule>
  </conditionalFormatting>
  <conditionalFormatting sqref="AD192">
    <cfRule type="cellIs" dxfId="19464" priority="82" operator="equal">
      <formula>0</formula>
    </cfRule>
  </conditionalFormatting>
  <conditionalFormatting sqref="AE192">
    <cfRule type="cellIs" dxfId="19463" priority="81" operator="equal">
      <formula>0</formula>
    </cfRule>
  </conditionalFormatting>
  <conditionalFormatting sqref="AF192">
    <cfRule type="cellIs" dxfId="19462" priority="80" operator="equal">
      <formula>0</formula>
    </cfRule>
  </conditionalFormatting>
  <conditionalFormatting sqref="AG192">
    <cfRule type="cellIs" dxfId="19461" priority="79" operator="equal">
      <formula>0</formula>
    </cfRule>
  </conditionalFormatting>
  <conditionalFormatting sqref="J228">
    <cfRule type="cellIs" dxfId="19460" priority="78" operator="equal">
      <formula>0</formula>
    </cfRule>
  </conditionalFormatting>
  <conditionalFormatting sqref="K228">
    <cfRule type="cellIs" dxfId="19459" priority="77" operator="equal">
      <formula>0</formula>
    </cfRule>
  </conditionalFormatting>
  <conditionalFormatting sqref="L228">
    <cfRule type="cellIs" dxfId="19458" priority="76" operator="equal">
      <formula>0</formula>
    </cfRule>
  </conditionalFormatting>
  <conditionalFormatting sqref="M228">
    <cfRule type="cellIs" dxfId="19457" priority="75" operator="equal">
      <formula>0</formula>
    </cfRule>
  </conditionalFormatting>
  <conditionalFormatting sqref="N228">
    <cfRule type="cellIs" dxfId="19456" priority="74" operator="equal">
      <formula>0</formula>
    </cfRule>
  </conditionalFormatting>
  <conditionalFormatting sqref="O228">
    <cfRule type="cellIs" dxfId="19455" priority="73" operator="equal">
      <formula>0</formula>
    </cfRule>
  </conditionalFormatting>
  <conditionalFormatting sqref="AB228">
    <cfRule type="cellIs" dxfId="19454" priority="72" operator="equal">
      <formula>0</formula>
    </cfRule>
  </conditionalFormatting>
  <conditionalFormatting sqref="AC228">
    <cfRule type="cellIs" dxfId="19453" priority="71" operator="equal">
      <formula>0</formula>
    </cfRule>
  </conditionalFormatting>
  <conditionalFormatting sqref="AD228">
    <cfRule type="cellIs" dxfId="19452" priority="70" operator="equal">
      <formula>0</formula>
    </cfRule>
  </conditionalFormatting>
  <conditionalFormatting sqref="AE228">
    <cfRule type="cellIs" dxfId="19451" priority="69" operator="equal">
      <formula>0</formula>
    </cfRule>
  </conditionalFormatting>
  <conditionalFormatting sqref="AF228">
    <cfRule type="cellIs" dxfId="19450" priority="68" operator="equal">
      <formula>0</formula>
    </cfRule>
  </conditionalFormatting>
  <conditionalFormatting sqref="AG228">
    <cfRule type="cellIs" dxfId="19449" priority="67" operator="equal">
      <formula>0</formula>
    </cfRule>
  </conditionalFormatting>
  <conditionalFormatting sqref="J264">
    <cfRule type="cellIs" dxfId="19448" priority="66" operator="equal">
      <formula>0</formula>
    </cfRule>
  </conditionalFormatting>
  <conditionalFormatting sqref="K264">
    <cfRule type="cellIs" dxfId="19447" priority="65" operator="equal">
      <formula>0</formula>
    </cfRule>
  </conditionalFormatting>
  <conditionalFormatting sqref="L264">
    <cfRule type="cellIs" dxfId="19446" priority="64" operator="equal">
      <formula>0</formula>
    </cfRule>
  </conditionalFormatting>
  <conditionalFormatting sqref="M264">
    <cfRule type="cellIs" dxfId="19445" priority="63" operator="equal">
      <formula>0</formula>
    </cfRule>
  </conditionalFormatting>
  <conditionalFormatting sqref="N264">
    <cfRule type="cellIs" dxfId="19444" priority="62" operator="equal">
      <formula>0</formula>
    </cfRule>
  </conditionalFormatting>
  <conditionalFormatting sqref="O264">
    <cfRule type="cellIs" dxfId="19443" priority="61" operator="equal">
      <formula>0</formula>
    </cfRule>
  </conditionalFormatting>
  <conditionalFormatting sqref="AB264">
    <cfRule type="cellIs" dxfId="19442" priority="60" operator="equal">
      <formula>0</formula>
    </cfRule>
  </conditionalFormatting>
  <conditionalFormatting sqref="AC264">
    <cfRule type="cellIs" dxfId="19441" priority="59" operator="equal">
      <formula>0</formula>
    </cfRule>
  </conditionalFormatting>
  <conditionalFormatting sqref="AD264">
    <cfRule type="cellIs" dxfId="19440" priority="58" operator="equal">
      <formula>0</formula>
    </cfRule>
  </conditionalFormatting>
  <conditionalFormatting sqref="AE264">
    <cfRule type="cellIs" dxfId="19439" priority="57" operator="equal">
      <formula>0</formula>
    </cfRule>
  </conditionalFormatting>
  <conditionalFormatting sqref="AF264">
    <cfRule type="cellIs" dxfId="19438" priority="56" operator="equal">
      <formula>0</formula>
    </cfRule>
  </conditionalFormatting>
  <conditionalFormatting sqref="AG264">
    <cfRule type="cellIs" dxfId="19437" priority="55" operator="equal">
      <formula>0</formula>
    </cfRule>
  </conditionalFormatting>
  <conditionalFormatting sqref="J300">
    <cfRule type="cellIs" dxfId="19436" priority="54" operator="equal">
      <formula>0</formula>
    </cfRule>
  </conditionalFormatting>
  <conditionalFormatting sqref="K300">
    <cfRule type="cellIs" dxfId="19435" priority="53" operator="equal">
      <formula>0</formula>
    </cfRule>
  </conditionalFormatting>
  <conditionalFormatting sqref="L300">
    <cfRule type="cellIs" dxfId="19434" priority="52" operator="equal">
      <formula>0</formula>
    </cfRule>
  </conditionalFormatting>
  <conditionalFormatting sqref="M300">
    <cfRule type="cellIs" dxfId="19433" priority="51" operator="equal">
      <formula>0</formula>
    </cfRule>
  </conditionalFormatting>
  <conditionalFormatting sqref="N300">
    <cfRule type="cellIs" dxfId="19432" priority="50" operator="equal">
      <formula>0</formula>
    </cfRule>
  </conditionalFormatting>
  <conditionalFormatting sqref="O300">
    <cfRule type="cellIs" dxfId="19431" priority="49" operator="equal">
      <formula>0</formula>
    </cfRule>
  </conditionalFormatting>
  <conditionalFormatting sqref="AB300">
    <cfRule type="cellIs" dxfId="19430" priority="48" operator="equal">
      <formula>0</formula>
    </cfRule>
  </conditionalFormatting>
  <conditionalFormatting sqref="AC300">
    <cfRule type="cellIs" dxfId="19429" priority="47" operator="equal">
      <formula>0</formula>
    </cfRule>
  </conditionalFormatting>
  <conditionalFormatting sqref="AD300">
    <cfRule type="cellIs" dxfId="19428" priority="46" operator="equal">
      <formula>0</formula>
    </cfRule>
  </conditionalFormatting>
  <conditionalFormatting sqref="AE300">
    <cfRule type="cellIs" dxfId="19427" priority="45" operator="equal">
      <formula>0</formula>
    </cfRule>
  </conditionalFormatting>
  <conditionalFormatting sqref="AF300">
    <cfRule type="cellIs" dxfId="19426" priority="44" operator="equal">
      <formula>0</formula>
    </cfRule>
  </conditionalFormatting>
  <conditionalFormatting sqref="AG300">
    <cfRule type="cellIs" dxfId="19425" priority="43" operator="equal">
      <formula>0</formula>
    </cfRule>
  </conditionalFormatting>
  <conditionalFormatting sqref="J336">
    <cfRule type="cellIs" dxfId="19424" priority="42" operator="equal">
      <formula>0</formula>
    </cfRule>
  </conditionalFormatting>
  <conditionalFormatting sqref="K336">
    <cfRule type="cellIs" dxfId="19423" priority="41" operator="equal">
      <formula>0</formula>
    </cfRule>
  </conditionalFormatting>
  <conditionalFormatting sqref="L336">
    <cfRule type="cellIs" dxfId="19422" priority="40" operator="equal">
      <formula>0</formula>
    </cfRule>
  </conditionalFormatting>
  <conditionalFormatting sqref="M336">
    <cfRule type="cellIs" dxfId="19421" priority="39" operator="equal">
      <formula>0</formula>
    </cfRule>
  </conditionalFormatting>
  <conditionalFormatting sqref="N336">
    <cfRule type="cellIs" dxfId="19420" priority="38" operator="equal">
      <formula>0</formula>
    </cfRule>
  </conditionalFormatting>
  <conditionalFormatting sqref="O336">
    <cfRule type="cellIs" dxfId="19419" priority="37" operator="equal">
      <formula>0</formula>
    </cfRule>
  </conditionalFormatting>
  <conditionalFormatting sqref="AB336">
    <cfRule type="cellIs" dxfId="19418" priority="36" operator="equal">
      <formula>0</formula>
    </cfRule>
  </conditionalFormatting>
  <conditionalFormatting sqref="AC336">
    <cfRule type="cellIs" dxfId="19417" priority="35" operator="equal">
      <formula>0</formula>
    </cfRule>
  </conditionalFormatting>
  <conditionalFormatting sqref="AD336">
    <cfRule type="cellIs" dxfId="19416" priority="34" operator="equal">
      <formula>0</formula>
    </cfRule>
  </conditionalFormatting>
  <conditionalFormatting sqref="AE336">
    <cfRule type="cellIs" dxfId="19415" priority="33" operator="equal">
      <formula>0</formula>
    </cfRule>
  </conditionalFormatting>
  <conditionalFormatting sqref="AF336">
    <cfRule type="cellIs" dxfId="19414" priority="32" operator="equal">
      <formula>0</formula>
    </cfRule>
  </conditionalFormatting>
  <conditionalFormatting sqref="AG336">
    <cfRule type="cellIs" dxfId="19413" priority="31" operator="equal">
      <formula>0</formula>
    </cfRule>
  </conditionalFormatting>
  <conditionalFormatting sqref="J372">
    <cfRule type="cellIs" dxfId="19412" priority="30" operator="equal">
      <formula>0</formula>
    </cfRule>
  </conditionalFormatting>
  <conditionalFormatting sqref="K372">
    <cfRule type="cellIs" dxfId="19411" priority="29" operator="equal">
      <formula>0</formula>
    </cfRule>
  </conditionalFormatting>
  <conditionalFormatting sqref="L372">
    <cfRule type="cellIs" dxfId="19410" priority="28" operator="equal">
      <formula>0</formula>
    </cfRule>
  </conditionalFormatting>
  <conditionalFormatting sqref="M372">
    <cfRule type="cellIs" dxfId="19409" priority="27" operator="equal">
      <formula>0</formula>
    </cfRule>
  </conditionalFormatting>
  <conditionalFormatting sqref="N372">
    <cfRule type="cellIs" dxfId="19408" priority="26" operator="equal">
      <formula>0</formula>
    </cfRule>
  </conditionalFormatting>
  <conditionalFormatting sqref="O372">
    <cfRule type="cellIs" dxfId="19407" priority="25" operator="equal">
      <formula>0</formula>
    </cfRule>
  </conditionalFormatting>
  <conditionalFormatting sqref="AB372">
    <cfRule type="cellIs" dxfId="19406" priority="24" operator="equal">
      <formula>0</formula>
    </cfRule>
  </conditionalFormatting>
  <conditionalFormatting sqref="AC372">
    <cfRule type="cellIs" dxfId="19405" priority="23" operator="equal">
      <formula>0</formula>
    </cfRule>
  </conditionalFormatting>
  <conditionalFormatting sqref="AD372">
    <cfRule type="cellIs" dxfId="19404" priority="22" operator="equal">
      <formula>0</formula>
    </cfRule>
  </conditionalFormatting>
  <conditionalFormatting sqref="AE372">
    <cfRule type="cellIs" dxfId="19403" priority="21" operator="equal">
      <formula>0</formula>
    </cfRule>
  </conditionalFormatting>
  <conditionalFormatting sqref="AF372">
    <cfRule type="cellIs" dxfId="19402" priority="20" operator="equal">
      <formula>0</formula>
    </cfRule>
  </conditionalFormatting>
  <conditionalFormatting sqref="AG372">
    <cfRule type="cellIs" dxfId="19401" priority="19" operator="equal">
      <formula>0</formula>
    </cfRule>
  </conditionalFormatting>
  <conditionalFormatting sqref="J408">
    <cfRule type="cellIs" dxfId="19400" priority="18" operator="equal">
      <formula>0</formula>
    </cfRule>
  </conditionalFormatting>
  <conditionalFormatting sqref="K408">
    <cfRule type="cellIs" dxfId="19399" priority="17" operator="equal">
      <formula>0</formula>
    </cfRule>
  </conditionalFormatting>
  <conditionalFormatting sqref="L408">
    <cfRule type="cellIs" dxfId="19398" priority="16" operator="equal">
      <formula>0</formula>
    </cfRule>
  </conditionalFormatting>
  <conditionalFormatting sqref="M408">
    <cfRule type="cellIs" dxfId="19397" priority="15" operator="equal">
      <formula>0</formula>
    </cfRule>
  </conditionalFormatting>
  <conditionalFormatting sqref="N408">
    <cfRule type="cellIs" dxfId="19396" priority="14" operator="equal">
      <formula>0</formula>
    </cfRule>
  </conditionalFormatting>
  <conditionalFormatting sqref="O408">
    <cfRule type="cellIs" dxfId="19395" priority="13" operator="equal">
      <formula>0</formula>
    </cfRule>
  </conditionalFormatting>
  <conditionalFormatting sqref="AB408">
    <cfRule type="cellIs" dxfId="19394" priority="12" operator="equal">
      <formula>0</formula>
    </cfRule>
  </conditionalFormatting>
  <conditionalFormatting sqref="AC408">
    <cfRule type="cellIs" dxfId="19393" priority="11" operator="equal">
      <formula>0</formula>
    </cfRule>
  </conditionalFormatting>
  <conditionalFormatting sqref="AD408">
    <cfRule type="cellIs" dxfId="19392" priority="10" operator="equal">
      <formula>0</formula>
    </cfRule>
  </conditionalFormatting>
  <conditionalFormatting sqref="AE408">
    <cfRule type="cellIs" dxfId="19391" priority="9" operator="equal">
      <formula>0</formula>
    </cfRule>
  </conditionalFormatting>
  <conditionalFormatting sqref="AF408">
    <cfRule type="cellIs" dxfId="19390" priority="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8045F-9296-45D7-9585-68CC3AC80FCD}">
  <dimension ref="C2:AK405"/>
  <sheetViews>
    <sheetView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358</v>
      </c>
      <c r="D8" s="699"/>
      <c r="E8" s="699"/>
      <c r="F8" s="699"/>
      <c r="G8" s="699"/>
      <c r="H8" s="699"/>
      <c r="I8" s="699"/>
      <c r="J8" s="699"/>
      <c r="K8" s="699"/>
      <c r="L8" s="699"/>
      <c r="M8" s="699"/>
      <c r="N8" s="699"/>
      <c r="O8" s="699"/>
      <c r="P8" s="699"/>
      <c r="Q8" s="699"/>
      <c r="R8" s="699"/>
      <c r="S8" s="699"/>
      <c r="U8" s="699" t="s">
        <v>358</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9.7691999999999997</v>
      </c>
      <c r="F12" s="643">
        <v>0</v>
      </c>
      <c r="G12" s="642">
        <v>0.18608000000000002</v>
      </c>
      <c r="H12" s="643">
        <v>1100.0000000000002</v>
      </c>
      <c r="I12" s="643">
        <v>135.04231425541462</v>
      </c>
      <c r="J12" s="643">
        <v>189.86826025669441</v>
      </c>
      <c r="K12" s="643">
        <v>24.170186950164744</v>
      </c>
      <c r="L12" s="643">
        <v>0.17473616288186822</v>
      </c>
      <c r="M12" s="643">
        <v>0.14724141092299528</v>
      </c>
      <c r="N12" s="643">
        <v>36.514651680131124</v>
      </c>
      <c r="O12" s="643">
        <v>5.8993526953350273</v>
      </c>
      <c r="P12" s="644">
        <v>0</v>
      </c>
      <c r="Q12" s="643">
        <v>0</v>
      </c>
      <c r="R12" s="643">
        <v>0</v>
      </c>
      <c r="S12" s="645">
        <v>1501.7720234115452</v>
      </c>
      <c r="U12" s="641" t="s">
        <v>59</v>
      </c>
      <c r="V12" s="642">
        <v>0</v>
      </c>
      <c r="W12" s="643">
        <v>9.7691999999999997</v>
      </c>
      <c r="X12" s="643">
        <v>0</v>
      </c>
      <c r="Y12" s="642">
        <v>0.18608000000000002</v>
      </c>
      <c r="Z12" s="643">
        <v>1119.7245179063361</v>
      </c>
      <c r="AA12" s="643">
        <v>139.7041324372328</v>
      </c>
      <c r="AB12" s="643">
        <v>163.20539166181254</v>
      </c>
      <c r="AC12" s="643">
        <v>30.468703460147175</v>
      </c>
      <c r="AD12" s="643">
        <v>0.17473616288186822</v>
      </c>
      <c r="AE12" s="643">
        <v>0.14724141092299528</v>
      </c>
      <c r="AF12" s="643">
        <v>40.964336574173757</v>
      </c>
      <c r="AG12" s="643">
        <v>7.1518943001451731</v>
      </c>
      <c r="AH12" s="644">
        <v>0</v>
      </c>
      <c r="AI12" s="643">
        <v>0</v>
      </c>
      <c r="AJ12" s="643">
        <v>0</v>
      </c>
      <c r="AK12" s="645">
        <v>1511.4962339136523</v>
      </c>
    </row>
    <row r="13" spans="3:37" ht="13.5">
      <c r="C13" s="641" t="s">
        <v>60</v>
      </c>
      <c r="D13" s="642">
        <v>55.101902053292484</v>
      </c>
      <c r="E13" s="643">
        <v>500.10836609636777</v>
      </c>
      <c r="F13" s="643">
        <v>279.29112148859122</v>
      </c>
      <c r="G13" s="642">
        <v>374.80910242212775</v>
      </c>
      <c r="H13" s="643">
        <v>0</v>
      </c>
      <c r="I13" s="643">
        <v>0</v>
      </c>
      <c r="J13" s="643">
        <v>1.5889557346935721</v>
      </c>
      <c r="K13" s="643">
        <v>0</v>
      </c>
      <c r="L13" s="643">
        <v>1.5000078530419791</v>
      </c>
      <c r="M13" s="643">
        <v>0</v>
      </c>
      <c r="N13" s="643">
        <v>0</v>
      </c>
      <c r="O13" s="643">
        <v>0</v>
      </c>
      <c r="P13" s="644">
        <v>0</v>
      </c>
      <c r="Q13" s="643">
        <v>0</v>
      </c>
      <c r="R13" s="643">
        <v>0</v>
      </c>
      <c r="S13" s="645">
        <v>1212.3994556481148</v>
      </c>
      <c r="U13" s="641" t="s">
        <v>60</v>
      </c>
      <c r="V13" s="642">
        <v>44.533896750987545</v>
      </c>
      <c r="W13" s="643">
        <v>459.32392184850846</v>
      </c>
      <c r="X13" s="643">
        <v>277.24182021025467</v>
      </c>
      <c r="Y13" s="642">
        <v>383.77086405289117</v>
      </c>
      <c r="Z13" s="643">
        <v>0</v>
      </c>
      <c r="AA13" s="643">
        <v>0</v>
      </c>
      <c r="AB13" s="643">
        <v>1.5889557346935721</v>
      </c>
      <c r="AC13" s="643">
        <v>0</v>
      </c>
      <c r="AD13" s="643">
        <v>1.5000078530419791</v>
      </c>
      <c r="AE13" s="643">
        <v>0</v>
      </c>
      <c r="AF13" s="643">
        <v>0</v>
      </c>
      <c r="AG13" s="643">
        <v>0</v>
      </c>
      <c r="AH13" s="644">
        <v>0</v>
      </c>
      <c r="AI13" s="643">
        <v>0</v>
      </c>
      <c r="AJ13" s="643">
        <v>0</v>
      </c>
      <c r="AK13" s="645">
        <v>1167.9594664503775</v>
      </c>
    </row>
    <row r="14" spans="3:37" ht="13.5">
      <c r="C14" s="641" t="s">
        <v>61</v>
      </c>
      <c r="D14" s="642">
        <v>0</v>
      </c>
      <c r="E14" s="643">
        <v>0</v>
      </c>
      <c r="F14" s="643">
        <v>-1.2153350000000001</v>
      </c>
      <c r="G14" s="642">
        <v>0</v>
      </c>
      <c r="H14" s="643">
        <v>0</v>
      </c>
      <c r="I14" s="643">
        <v>0</v>
      </c>
      <c r="J14" s="643">
        <v>0</v>
      </c>
      <c r="K14" s="643">
        <v>0</v>
      </c>
      <c r="L14" s="643">
        <v>0</v>
      </c>
      <c r="M14" s="643">
        <v>0</v>
      </c>
      <c r="N14" s="643">
        <v>0</v>
      </c>
      <c r="O14" s="643">
        <v>0</v>
      </c>
      <c r="P14" s="644">
        <v>-24.298097404469559</v>
      </c>
      <c r="Q14" s="643">
        <v>0</v>
      </c>
      <c r="R14" s="643">
        <v>0</v>
      </c>
      <c r="S14" s="645">
        <v>-25.513432404469558</v>
      </c>
      <c r="U14" s="641" t="s">
        <v>61</v>
      </c>
      <c r="V14" s="642">
        <v>0</v>
      </c>
      <c r="W14" s="643">
        <v>0</v>
      </c>
      <c r="X14" s="643">
        <v>-1.2153350000000001</v>
      </c>
      <c r="Y14" s="642">
        <v>0</v>
      </c>
      <c r="Z14" s="643">
        <v>0</v>
      </c>
      <c r="AA14" s="643">
        <v>0</v>
      </c>
      <c r="AB14" s="643">
        <v>0</v>
      </c>
      <c r="AC14" s="643">
        <v>0</v>
      </c>
      <c r="AD14" s="643">
        <v>0</v>
      </c>
      <c r="AE14" s="643">
        <v>0</v>
      </c>
      <c r="AF14" s="643">
        <v>0</v>
      </c>
      <c r="AG14" s="643">
        <v>0</v>
      </c>
      <c r="AH14" s="644">
        <v>-55.679944149892151</v>
      </c>
      <c r="AI14" s="643">
        <v>0</v>
      </c>
      <c r="AJ14" s="643">
        <v>0</v>
      </c>
      <c r="AK14" s="645">
        <v>-56.895279149892154</v>
      </c>
    </row>
    <row r="15" spans="3:37" ht="13.5">
      <c r="C15" s="641" t="s">
        <v>62</v>
      </c>
      <c r="D15" s="642">
        <v>0</v>
      </c>
      <c r="E15" s="643">
        <v>0</v>
      </c>
      <c r="F15" s="643">
        <v>-18.810185715850007</v>
      </c>
      <c r="G15" s="642">
        <v>0</v>
      </c>
      <c r="H15" s="643">
        <v>0</v>
      </c>
      <c r="I15" s="643">
        <v>0</v>
      </c>
      <c r="J15" s="643">
        <v>0</v>
      </c>
      <c r="K15" s="643">
        <v>0</v>
      </c>
      <c r="L15" s="643">
        <v>0</v>
      </c>
      <c r="M15" s="643">
        <v>0</v>
      </c>
      <c r="N15" s="643">
        <v>0</v>
      </c>
      <c r="O15" s="643">
        <v>0</v>
      </c>
      <c r="P15" s="644">
        <v>0</v>
      </c>
      <c r="Q15" s="643">
        <v>0</v>
      </c>
      <c r="R15" s="643">
        <v>0</v>
      </c>
      <c r="S15" s="645">
        <v>-18.810185715850007</v>
      </c>
      <c r="U15" s="641" t="s">
        <v>62</v>
      </c>
      <c r="V15" s="642">
        <v>0</v>
      </c>
      <c r="W15" s="643">
        <v>0</v>
      </c>
      <c r="X15" s="643">
        <v>-18.660224222059444</v>
      </c>
      <c r="Y15" s="642">
        <v>0</v>
      </c>
      <c r="Z15" s="643">
        <v>0</v>
      </c>
      <c r="AA15" s="643">
        <v>0</v>
      </c>
      <c r="AB15" s="643">
        <v>0</v>
      </c>
      <c r="AC15" s="643">
        <v>0</v>
      </c>
      <c r="AD15" s="643">
        <v>0</v>
      </c>
      <c r="AE15" s="643">
        <v>0</v>
      </c>
      <c r="AF15" s="643">
        <v>0</v>
      </c>
      <c r="AG15" s="643">
        <v>0</v>
      </c>
      <c r="AH15" s="644">
        <v>0</v>
      </c>
      <c r="AI15" s="643">
        <v>0</v>
      </c>
      <c r="AJ15" s="643">
        <v>0</v>
      </c>
      <c r="AK15" s="645">
        <v>-18.660224222059444</v>
      </c>
    </row>
    <row r="16" spans="3:37" ht="13.5">
      <c r="C16" s="641" t="s">
        <v>63</v>
      </c>
      <c r="D16" s="642">
        <v>0</v>
      </c>
      <c r="E16" s="643">
        <v>0</v>
      </c>
      <c r="F16" s="643">
        <v>-62.925116345665856</v>
      </c>
      <c r="G16" s="642">
        <v>0</v>
      </c>
      <c r="H16" s="643">
        <v>0</v>
      </c>
      <c r="I16" s="643">
        <v>0</v>
      </c>
      <c r="J16" s="643">
        <v>0</v>
      </c>
      <c r="K16" s="643">
        <v>0</v>
      </c>
      <c r="L16" s="643">
        <v>-0.48762923007264619</v>
      </c>
      <c r="M16" s="643">
        <v>0</v>
      </c>
      <c r="N16" s="643">
        <v>0</v>
      </c>
      <c r="O16" s="643">
        <v>0</v>
      </c>
      <c r="P16" s="644">
        <v>0</v>
      </c>
      <c r="Q16" s="643">
        <v>0</v>
      </c>
      <c r="R16" s="643">
        <v>0</v>
      </c>
      <c r="S16" s="645">
        <v>-63.412745575738505</v>
      </c>
      <c r="U16" s="641" t="s">
        <v>63</v>
      </c>
      <c r="V16" s="642">
        <v>0</v>
      </c>
      <c r="W16" s="643">
        <v>0</v>
      </c>
      <c r="X16" s="643">
        <v>-57.939384373642596</v>
      </c>
      <c r="Y16" s="642">
        <v>0</v>
      </c>
      <c r="Z16" s="643">
        <v>0</v>
      </c>
      <c r="AA16" s="643">
        <v>0</v>
      </c>
      <c r="AB16" s="643">
        <v>0</v>
      </c>
      <c r="AC16" s="643">
        <v>0</v>
      </c>
      <c r="AD16" s="643">
        <v>-0.93673862712011491</v>
      </c>
      <c r="AE16" s="643">
        <v>0</v>
      </c>
      <c r="AF16" s="643">
        <v>0</v>
      </c>
      <c r="AG16" s="643">
        <v>0</v>
      </c>
      <c r="AH16" s="644">
        <v>0</v>
      </c>
      <c r="AI16" s="643">
        <v>0</v>
      </c>
      <c r="AJ16" s="643">
        <v>0</v>
      </c>
      <c r="AK16" s="645">
        <v>-58.876123000762711</v>
      </c>
    </row>
    <row r="17" spans="3:37" ht="13.5">
      <c r="C17" s="641" t="s">
        <v>64</v>
      </c>
      <c r="D17" s="642">
        <v>9.7684723496666986E-2</v>
      </c>
      <c r="E17" s="643">
        <v>-5.9567697000000003E-2</v>
      </c>
      <c r="F17" s="643">
        <v>3.8766666666666671E-2</v>
      </c>
      <c r="G17" s="642">
        <v>0</v>
      </c>
      <c r="H17" s="643">
        <v>0</v>
      </c>
      <c r="I17" s="643">
        <v>0</v>
      </c>
      <c r="J17" s="643">
        <v>0</v>
      </c>
      <c r="K17" s="643">
        <v>0</v>
      </c>
      <c r="L17" s="643">
        <v>0</v>
      </c>
      <c r="M17" s="643">
        <v>0</v>
      </c>
      <c r="N17" s="643">
        <v>0</v>
      </c>
      <c r="O17" s="643">
        <v>0</v>
      </c>
      <c r="P17" s="644">
        <v>0</v>
      </c>
      <c r="Q17" s="643">
        <v>0</v>
      </c>
      <c r="R17" s="643">
        <v>0</v>
      </c>
      <c r="S17" s="645">
        <v>7.6883693163333655E-2</v>
      </c>
      <c r="U17" s="641" t="s">
        <v>64</v>
      </c>
      <c r="V17" s="642">
        <v>9.7684723496666986E-2</v>
      </c>
      <c r="W17" s="643">
        <v>-5.9567697000000003E-2</v>
      </c>
      <c r="X17" s="643">
        <v>3.8766666666666671E-2</v>
      </c>
      <c r="Y17" s="642">
        <v>0</v>
      </c>
      <c r="Z17" s="643">
        <v>0</v>
      </c>
      <c r="AA17" s="643">
        <v>0</v>
      </c>
      <c r="AB17" s="643">
        <v>0</v>
      </c>
      <c r="AC17" s="643">
        <v>0</v>
      </c>
      <c r="AD17" s="643">
        <v>0</v>
      </c>
      <c r="AE17" s="643">
        <v>0</v>
      </c>
      <c r="AF17" s="643">
        <v>0</v>
      </c>
      <c r="AG17" s="643">
        <v>0</v>
      </c>
      <c r="AH17" s="644">
        <v>0</v>
      </c>
      <c r="AI17" s="643">
        <v>0</v>
      </c>
      <c r="AJ17" s="643">
        <v>0</v>
      </c>
      <c r="AK17" s="645">
        <v>7.6883693163333655E-2</v>
      </c>
    </row>
    <row r="18" spans="3:37" ht="13.5">
      <c r="C18" s="646" t="s">
        <v>65</v>
      </c>
      <c r="D18" s="647">
        <v>55.199586776789154</v>
      </c>
      <c r="E18" s="647">
        <v>509.81799839936781</v>
      </c>
      <c r="F18" s="647">
        <v>196.37925109374203</v>
      </c>
      <c r="G18" s="647">
        <v>374.99518242212775</v>
      </c>
      <c r="H18" s="647">
        <v>1100.0000000000002</v>
      </c>
      <c r="I18" s="647">
        <v>135.04231425541462</v>
      </c>
      <c r="J18" s="647">
        <v>191.45721599138798</v>
      </c>
      <c r="K18" s="647">
        <v>24.170186950164744</v>
      </c>
      <c r="L18" s="647">
        <v>1.1871147858512012</v>
      </c>
      <c r="M18" s="647">
        <v>0.14724141092299528</v>
      </c>
      <c r="N18" s="647">
        <v>36.514651680131124</v>
      </c>
      <c r="O18" s="647">
        <v>5.8993526953350273</v>
      </c>
      <c r="P18" s="647">
        <v>-24.298097404469559</v>
      </c>
      <c r="Q18" s="647">
        <v>0</v>
      </c>
      <c r="R18" s="647">
        <v>0</v>
      </c>
      <c r="S18" s="647">
        <v>2606.5119990567659</v>
      </c>
      <c r="U18" s="646" t="s">
        <v>65</v>
      </c>
      <c r="V18" s="647">
        <v>44.631581474484214</v>
      </c>
      <c r="W18" s="647">
        <v>469.0335541515085</v>
      </c>
      <c r="X18" s="647">
        <v>199.46564328121934</v>
      </c>
      <c r="Y18" s="647">
        <v>383.95694405289117</v>
      </c>
      <c r="Z18" s="647">
        <v>1119.7245179063361</v>
      </c>
      <c r="AA18" s="647">
        <v>139.7041324372328</v>
      </c>
      <c r="AB18" s="647">
        <v>164.79434739650611</v>
      </c>
      <c r="AC18" s="647">
        <v>30.468703460147175</v>
      </c>
      <c r="AD18" s="647">
        <v>0.73800538880373245</v>
      </c>
      <c r="AE18" s="647">
        <v>0.14724141092299528</v>
      </c>
      <c r="AF18" s="647">
        <v>40.964336574173757</v>
      </c>
      <c r="AG18" s="647">
        <v>7.1518943001451731</v>
      </c>
      <c r="AH18" s="647">
        <v>-55.679944149892151</v>
      </c>
      <c r="AI18" s="647">
        <v>0</v>
      </c>
      <c r="AJ18" s="647">
        <v>0</v>
      </c>
      <c r="AK18" s="647">
        <v>2545.100957684479</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4.3623690669338813E-2</v>
      </c>
      <c r="F20" s="649">
        <v>-0.43976848620269193</v>
      </c>
      <c r="G20" s="642">
        <v>0</v>
      </c>
      <c r="H20" s="642">
        <v>0</v>
      </c>
      <c r="I20" s="642">
        <v>0</v>
      </c>
      <c r="J20" s="642">
        <v>0</v>
      </c>
      <c r="K20" s="642">
        <v>0</v>
      </c>
      <c r="L20" s="642">
        <v>0</v>
      </c>
      <c r="M20" s="642">
        <v>0</v>
      </c>
      <c r="N20" s="642">
        <v>0</v>
      </c>
      <c r="O20" s="642">
        <v>0</v>
      </c>
      <c r="P20" s="642">
        <v>0.19176325930063415</v>
      </c>
      <c r="Q20" s="642">
        <v>0</v>
      </c>
      <c r="R20" s="642">
        <v>0</v>
      </c>
      <c r="S20" s="650">
        <v>-0.20438153623271899</v>
      </c>
      <c r="U20" s="648" t="s">
        <v>67</v>
      </c>
      <c r="V20" s="642">
        <v>0</v>
      </c>
      <c r="W20" s="649">
        <v>4.3623690669338813E-2</v>
      </c>
      <c r="X20" s="649">
        <v>-0.43976848620269193</v>
      </c>
      <c r="Y20" s="642">
        <v>0</v>
      </c>
      <c r="Z20" s="642">
        <v>0</v>
      </c>
      <c r="AA20" s="642">
        <v>0</v>
      </c>
      <c r="AB20" s="642">
        <v>0</v>
      </c>
      <c r="AC20" s="642">
        <v>0</v>
      </c>
      <c r="AD20" s="642">
        <v>0</v>
      </c>
      <c r="AE20" s="642">
        <v>0</v>
      </c>
      <c r="AF20" s="642">
        <v>0</v>
      </c>
      <c r="AG20" s="642">
        <v>0</v>
      </c>
      <c r="AH20" s="642">
        <v>0.19176325930063415</v>
      </c>
      <c r="AI20" s="642">
        <v>0</v>
      </c>
      <c r="AJ20" s="642">
        <v>0</v>
      </c>
      <c r="AK20" s="650">
        <v>-0.20438153623271899</v>
      </c>
    </row>
    <row r="21" spans="3:37" ht="13.5">
      <c r="C21" s="648" t="s">
        <v>350</v>
      </c>
      <c r="D21" s="642">
        <v>4.5103805765333682</v>
      </c>
      <c r="E21" s="642">
        <v>0</v>
      </c>
      <c r="F21" s="642">
        <v>9.8157441879701768</v>
      </c>
      <c r="G21" s="642">
        <v>18.775665399239546</v>
      </c>
      <c r="H21" s="642">
        <v>1100.0000000000002</v>
      </c>
      <c r="I21" s="642">
        <v>135.04231425541462</v>
      </c>
      <c r="J21" s="651">
        <v>34.496026032636451</v>
      </c>
      <c r="K21" s="651">
        <v>9.8540491520373141</v>
      </c>
      <c r="L21" s="651">
        <v>1.6747440159238469</v>
      </c>
      <c r="M21" s="651">
        <v>0.35186004718702235</v>
      </c>
      <c r="N21" s="651">
        <v>0</v>
      </c>
      <c r="O21" s="651">
        <v>1.0949510903328832</v>
      </c>
      <c r="P21" s="642">
        <v>-528.16324498212941</v>
      </c>
      <c r="Q21" s="642">
        <v>0</v>
      </c>
      <c r="R21" s="642">
        <v>0</v>
      </c>
      <c r="S21" s="650">
        <v>787.45248977514632</v>
      </c>
      <c r="U21" s="648" t="s">
        <v>350</v>
      </c>
      <c r="V21" s="642">
        <v>5.5105945472454412</v>
      </c>
      <c r="W21" s="642">
        <v>0</v>
      </c>
      <c r="X21" s="642">
        <v>9.2785541053255489</v>
      </c>
      <c r="Y21" s="642">
        <v>63.913833390943651</v>
      </c>
      <c r="Z21" s="642">
        <v>1119.7245179063361</v>
      </c>
      <c r="AA21" s="642">
        <v>139.7041324372328</v>
      </c>
      <c r="AB21" s="651">
        <v>30.922255006102869</v>
      </c>
      <c r="AC21" s="651">
        <v>9.8129258074353114</v>
      </c>
      <c r="AD21" s="651">
        <v>1.6747440159238469</v>
      </c>
      <c r="AE21" s="651">
        <v>2.1200176690328574</v>
      </c>
      <c r="AF21" s="651">
        <v>0</v>
      </c>
      <c r="AG21" s="651">
        <v>1.0949510903328832</v>
      </c>
      <c r="AH21" s="642">
        <v>-563.75233589122035</v>
      </c>
      <c r="AI21" s="642">
        <v>0</v>
      </c>
      <c r="AJ21" s="642">
        <v>0</v>
      </c>
      <c r="AK21" s="650">
        <v>820.00419008469089</v>
      </c>
    </row>
    <row r="22" spans="3:37" ht="13.5">
      <c r="C22" s="648" t="s">
        <v>351</v>
      </c>
      <c r="D22" s="642">
        <v>0.6999963952131163</v>
      </c>
      <c r="E22" s="642">
        <v>0</v>
      </c>
      <c r="F22" s="642">
        <v>9.7194502166343774E-2</v>
      </c>
      <c r="G22" s="642">
        <v>17.132629973754788</v>
      </c>
      <c r="H22" s="642">
        <v>0</v>
      </c>
      <c r="I22" s="642">
        <v>0</v>
      </c>
      <c r="J22" s="651">
        <v>14.734948238156928</v>
      </c>
      <c r="K22" s="651">
        <v>12.603624013464524</v>
      </c>
      <c r="L22" s="651">
        <v>0</v>
      </c>
      <c r="M22" s="651">
        <v>0.22730502357401322</v>
      </c>
      <c r="N22" s="651">
        <v>0</v>
      </c>
      <c r="O22" s="651">
        <v>2.3801724763059897</v>
      </c>
      <c r="P22" s="642">
        <v>0</v>
      </c>
      <c r="Q22" s="642">
        <v>-42.214668535116644</v>
      </c>
      <c r="R22" s="642">
        <v>0</v>
      </c>
      <c r="S22" s="650">
        <v>5.6612020875190572</v>
      </c>
      <c r="U22" s="648" t="s">
        <v>351</v>
      </c>
      <c r="V22" s="642">
        <v>0.57556847895375396</v>
      </c>
      <c r="W22" s="642">
        <v>0</v>
      </c>
      <c r="X22" s="642">
        <v>9.6807273074047573E-2</v>
      </c>
      <c r="Y22" s="642">
        <v>19.098436526179597</v>
      </c>
      <c r="Z22" s="642">
        <v>0</v>
      </c>
      <c r="AA22" s="642">
        <v>0</v>
      </c>
      <c r="AB22" s="651">
        <v>18.536093620572945</v>
      </c>
      <c r="AC22" s="651">
        <v>15.896426642523334</v>
      </c>
      <c r="AD22" s="651">
        <v>0</v>
      </c>
      <c r="AE22" s="651">
        <v>0.61098888777569416</v>
      </c>
      <c r="AF22" s="651">
        <v>0</v>
      </c>
      <c r="AG22" s="651">
        <v>3.2143759234787459</v>
      </c>
      <c r="AH22" s="642">
        <v>0</v>
      </c>
      <c r="AI22" s="642">
        <v>-51.338123400700034</v>
      </c>
      <c r="AJ22" s="642">
        <v>0</v>
      </c>
      <c r="AK22" s="650">
        <v>6.6905739518580836</v>
      </c>
    </row>
    <row r="23" spans="3:37" ht="13.5">
      <c r="C23" s="648" t="s">
        <v>352</v>
      </c>
      <c r="D23" s="642">
        <v>0</v>
      </c>
      <c r="E23" s="642">
        <v>0</v>
      </c>
      <c r="F23" s="642">
        <v>0</v>
      </c>
      <c r="G23" s="642">
        <v>0</v>
      </c>
      <c r="H23" s="642">
        <v>0</v>
      </c>
      <c r="I23" s="642">
        <v>0</v>
      </c>
      <c r="J23" s="652">
        <v>5.238502832319341</v>
      </c>
      <c r="K23" s="652">
        <v>0</v>
      </c>
      <c r="L23" s="652">
        <v>0</v>
      </c>
      <c r="M23" s="652">
        <v>-4.5574974641178265</v>
      </c>
      <c r="N23" s="652">
        <v>0</v>
      </c>
      <c r="O23" s="652">
        <v>0</v>
      </c>
      <c r="P23" s="642">
        <v>0</v>
      </c>
      <c r="Q23" s="642">
        <v>0</v>
      </c>
      <c r="R23" s="642">
        <v>0</v>
      </c>
      <c r="S23" s="650">
        <v>0.68100536820151447</v>
      </c>
      <c r="U23" s="648" t="s">
        <v>352</v>
      </c>
      <c r="V23" s="642">
        <v>0</v>
      </c>
      <c r="W23" s="642">
        <v>0</v>
      </c>
      <c r="X23" s="642">
        <v>0</v>
      </c>
      <c r="Y23" s="642">
        <v>0</v>
      </c>
      <c r="Z23" s="642">
        <v>0</v>
      </c>
      <c r="AA23" s="642">
        <v>0</v>
      </c>
      <c r="AB23" s="652">
        <v>13.772235368900052</v>
      </c>
      <c r="AC23" s="652">
        <v>0</v>
      </c>
      <c r="AD23" s="652">
        <v>0</v>
      </c>
      <c r="AE23" s="652">
        <v>-11.981844770943045</v>
      </c>
      <c r="AF23" s="652">
        <v>0</v>
      </c>
      <c r="AG23" s="652">
        <v>0</v>
      </c>
      <c r="AH23" s="642">
        <v>0</v>
      </c>
      <c r="AI23" s="642">
        <v>0</v>
      </c>
      <c r="AJ23" s="642">
        <v>0</v>
      </c>
      <c r="AK23" s="650">
        <v>1.7903905979570069</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528.18160482950532</v>
      </c>
      <c r="F25" s="642">
        <v>-522.91035312734175</v>
      </c>
      <c r="G25" s="642">
        <v>0</v>
      </c>
      <c r="H25" s="642">
        <v>0</v>
      </c>
      <c r="I25" s="642">
        <v>0</v>
      </c>
      <c r="J25" s="642">
        <v>0</v>
      </c>
      <c r="K25" s="642">
        <v>0</v>
      </c>
      <c r="L25" s="642">
        <v>0</v>
      </c>
      <c r="M25" s="642">
        <v>0</v>
      </c>
      <c r="N25" s="642">
        <v>0</v>
      </c>
      <c r="O25" s="642">
        <v>0</v>
      </c>
      <c r="P25" s="642">
        <v>0</v>
      </c>
      <c r="Q25" s="642">
        <v>0</v>
      </c>
      <c r="R25" s="642">
        <v>0</v>
      </c>
      <c r="S25" s="650">
        <v>5.2712517021635534</v>
      </c>
      <c r="U25" s="648" t="s">
        <v>72</v>
      </c>
      <c r="V25" s="642">
        <v>0</v>
      </c>
      <c r="W25" s="642">
        <v>485.93325526938804</v>
      </c>
      <c r="X25" s="642">
        <v>-481.0844870628257</v>
      </c>
      <c r="Y25" s="642">
        <v>0</v>
      </c>
      <c r="Z25" s="642">
        <v>0</v>
      </c>
      <c r="AA25" s="642">
        <v>0</v>
      </c>
      <c r="AB25" s="642">
        <v>0</v>
      </c>
      <c r="AC25" s="642">
        <v>0</v>
      </c>
      <c r="AD25" s="642">
        <v>0</v>
      </c>
      <c r="AE25" s="642">
        <v>0</v>
      </c>
      <c r="AF25" s="642">
        <v>0</v>
      </c>
      <c r="AG25" s="642">
        <v>0</v>
      </c>
      <c r="AH25" s="642">
        <v>0</v>
      </c>
      <c r="AI25" s="642">
        <v>0</v>
      </c>
      <c r="AJ25" s="642">
        <v>0</v>
      </c>
      <c r="AK25" s="650">
        <v>4.8487682065623261</v>
      </c>
    </row>
    <row r="26" spans="3:37" ht="13.5">
      <c r="C26" s="648" t="s">
        <v>354</v>
      </c>
      <c r="D26" s="642">
        <v>0</v>
      </c>
      <c r="E26" s="642">
        <v>0</v>
      </c>
      <c r="F26" s="642">
        <v>0</v>
      </c>
      <c r="G26" s="642">
        <v>0</v>
      </c>
      <c r="H26" s="642">
        <v>0</v>
      </c>
      <c r="I26" s="642">
        <v>0</v>
      </c>
      <c r="J26" s="642">
        <v>41.023636384681005</v>
      </c>
      <c r="K26" s="642">
        <v>0</v>
      </c>
      <c r="L26" s="642">
        <v>-41.023636384681005</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-41.390538118321977</v>
      </c>
      <c r="AE26" s="642">
        <v>0</v>
      </c>
      <c r="AF26" s="642">
        <v>0</v>
      </c>
      <c r="AG26" s="642">
        <v>0</v>
      </c>
      <c r="AH26" s="642">
        <v>0</v>
      </c>
      <c r="AI26" s="642">
        <v>0</v>
      </c>
      <c r="AJ26" s="642">
        <v>0</v>
      </c>
      <c r="AK26" s="650">
        <v>-41.390538118321977</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0</v>
      </c>
      <c r="AE27" s="642">
        <v>0</v>
      </c>
      <c r="AF27" s="642">
        <v>0</v>
      </c>
      <c r="AG27" s="642">
        <v>0</v>
      </c>
      <c r="AH27" s="642">
        <v>0</v>
      </c>
      <c r="AI27" s="642">
        <v>0</v>
      </c>
      <c r="AJ27" s="642">
        <v>0</v>
      </c>
      <c r="AK27" s="650">
        <v>0</v>
      </c>
    </row>
    <row r="28" spans="3:37" ht="13.5">
      <c r="C28" s="648" t="s">
        <v>73</v>
      </c>
      <c r="D28" s="642">
        <v>0</v>
      </c>
      <c r="E28" s="642">
        <v>0</v>
      </c>
      <c r="F28" s="642">
        <v>0</v>
      </c>
      <c r="G28" s="642">
        <v>0.3688106228045655</v>
      </c>
      <c r="H28" s="642">
        <v>0</v>
      </c>
      <c r="I28" s="642">
        <v>0</v>
      </c>
      <c r="J28" s="642">
        <v>0</v>
      </c>
      <c r="K28" s="642">
        <v>4.0111846923828126E-3</v>
      </c>
      <c r="L28" s="642">
        <v>0</v>
      </c>
      <c r="M28" s="642">
        <v>4.6306720562744137E-3</v>
      </c>
      <c r="N28" s="642">
        <v>0</v>
      </c>
      <c r="O28" s="642">
        <v>0</v>
      </c>
      <c r="P28" s="642">
        <v>2.54864504300631E-2</v>
      </c>
      <c r="Q28" s="642">
        <v>0</v>
      </c>
      <c r="R28" s="642">
        <v>-0.28078292846679692</v>
      </c>
      <c r="S28" s="650">
        <v>0.12215600151648892</v>
      </c>
      <c r="U28" s="648" t="s">
        <v>73</v>
      </c>
      <c r="V28" s="642">
        <v>0</v>
      </c>
      <c r="W28" s="642">
        <v>0</v>
      </c>
      <c r="X28" s="642">
        <v>0</v>
      </c>
      <c r="Y28" s="642">
        <v>1.2251451363860373</v>
      </c>
      <c r="Z28" s="642">
        <v>0</v>
      </c>
      <c r="AA28" s="642">
        <v>0</v>
      </c>
      <c r="AB28" s="642">
        <v>0</v>
      </c>
      <c r="AC28" s="642">
        <v>1.6303964872591784E-2</v>
      </c>
      <c r="AD28" s="642">
        <v>0</v>
      </c>
      <c r="AE28" s="642">
        <v>3.8412141239826253E-2</v>
      </c>
      <c r="AF28" s="642">
        <v>0</v>
      </c>
      <c r="AG28" s="642">
        <v>0</v>
      </c>
      <c r="AH28" s="642">
        <v>0.37749949435770208</v>
      </c>
      <c r="AI28" s="642">
        <v>0</v>
      </c>
      <c r="AJ28" s="642">
        <v>-1.1412775410814249</v>
      </c>
      <c r="AK28" s="650">
        <v>0.51608319577473249</v>
      </c>
    </row>
    <row r="29" spans="3:37" ht="13.5">
      <c r="C29" s="648" t="s">
        <v>356</v>
      </c>
      <c r="D29" s="642">
        <v>30.422460937499999</v>
      </c>
      <c r="E29" s="642">
        <v>-18.4071872151276</v>
      </c>
      <c r="F29" s="642">
        <v>24.023113751560182</v>
      </c>
      <c r="G29" s="642">
        <v>0</v>
      </c>
      <c r="H29" s="642">
        <v>0</v>
      </c>
      <c r="I29" s="642">
        <v>0</v>
      </c>
      <c r="J29" s="642">
        <v>0</v>
      </c>
      <c r="K29" s="642">
        <v>0</v>
      </c>
      <c r="L29" s="642">
        <v>0</v>
      </c>
      <c r="M29" s="642">
        <v>0</v>
      </c>
      <c r="N29" s="642">
        <v>0</v>
      </c>
      <c r="O29" s="642">
        <v>0</v>
      </c>
      <c r="P29" s="642">
        <v>0</v>
      </c>
      <c r="Q29" s="642">
        <v>0</v>
      </c>
      <c r="R29" s="642">
        <v>0</v>
      </c>
      <c r="S29" s="650">
        <v>36.03838747393258</v>
      </c>
      <c r="U29" s="648" t="s">
        <v>356</v>
      </c>
      <c r="V29" s="642">
        <v>19.459654296874998</v>
      </c>
      <c r="W29" s="642">
        <v>-16.94328190286954</v>
      </c>
      <c r="X29" s="642">
        <v>22.108412068991214</v>
      </c>
      <c r="Y29" s="642">
        <v>0</v>
      </c>
      <c r="Z29" s="642">
        <v>0</v>
      </c>
      <c r="AA29" s="642">
        <v>0</v>
      </c>
      <c r="AB29" s="642">
        <v>0</v>
      </c>
      <c r="AC29" s="642">
        <v>0</v>
      </c>
      <c r="AD29" s="642">
        <v>0</v>
      </c>
      <c r="AE29" s="642">
        <v>0</v>
      </c>
      <c r="AF29" s="642">
        <v>0</v>
      </c>
      <c r="AG29" s="642">
        <v>0</v>
      </c>
      <c r="AH29" s="642">
        <v>0</v>
      </c>
      <c r="AI29" s="642">
        <v>0</v>
      </c>
      <c r="AJ29" s="642">
        <v>0</v>
      </c>
      <c r="AK29" s="650">
        <v>24.624784462996672</v>
      </c>
    </row>
    <row r="30" spans="3:37" ht="13.5">
      <c r="C30" s="648" t="s">
        <v>75</v>
      </c>
      <c r="D30" s="642">
        <v>11.830957031250001</v>
      </c>
      <c r="E30" s="642">
        <v>0</v>
      </c>
      <c r="F30" s="642">
        <v>18.055588008572965</v>
      </c>
      <c r="G30" s="642">
        <v>5.1459674063225336</v>
      </c>
      <c r="H30" s="642">
        <v>0</v>
      </c>
      <c r="I30" s="642">
        <v>0</v>
      </c>
      <c r="J30" s="642">
        <v>0</v>
      </c>
      <c r="K30" s="642">
        <v>0</v>
      </c>
      <c r="L30" s="642">
        <v>0</v>
      </c>
      <c r="M30" s="642">
        <v>6.4611174400971444E-2</v>
      </c>
      <c r="N30" s="642">
        <v>0</v>
      </c>
      <c r="O30" s="642">
        <v>0</v>
      </c>
      <c r="P30" s="642">
        <v>34.108085964069424</v>
      </c>
      <c r="Q30" s="642">
        <v>0</v>
      </c>
      <c r="R30" s="642">
        <v>0</v>
      </c>
      <c r="S30" s="650">
        <v>69.205209584615886</v>
      </c>
      <c r="U30" s="648" t="s">
        <v>75</v>
      </c>
      <c r="V30" s="642">
        <v>13.970490234374999</v>
      </c>
      <c r="W30" s="642">
        <v>0</v>
      </c>
      <c r="X30" s="642">
        <v>18.055588008572965</v>
      </c>
      <c r="Y30" s="642">
        <v>5.0521769918695103</v>
      </c>
      <c r="Z30" s="642">
        <v>0</v>
      </c>
      <c r="AA30" s="642">
        <v>0</v>
      </c>
      <c r="AB30" s="642">
        <v>0</v>
      </c>
      <c r="AC30" s="642">
        <v>0</v>
      </c>
      <c r="AD30" s="642">
        <v>0</v>
      </c>
      <c r="AE30" s="642">
        <v>0.15840158885399455</v>
      </c>
      <c r="AF30" s="642">
        <v>0</v>
      </c>
      <c r="AG30" s="642">
        <v>0</v>
      </c>
      <c r="AH30" s="642">
        <v>34.71147439382149</v>
      </c>
      <c r="AI30" s="642">
        <v>0</v>
      </c>
      <c r="AJ30" s="642">
        <v>0</v>
      </c>
      <c r="AK30" s="650">
        <v>71.948131217492957</v>
      </c>
    </row>
    <row r="31" spans="3:37" ht="13.5">
      <c r="C31" s="648" t="s">
        <v>76</v>
      </c>
      <c r="D31" s="642">
        <v>0</v>
      </c>
      <c r="E31" s="642">
        <v>0</v>
      </c>
      <c r="F31" s="642">
        <v>0</v>
      </c>
      <c r="G31" s="642">
        <v>4.3041417463624567</v>
      </c>
      <c r="H31" s="642">
        <v>0</v>
      </c>
      <c r="I31" s="642">
        <v>0</v>
      </c>
      <c r="J31" s="642">
        <v>0</v>
      </c>
      <c r="K31" s="642">
        <v>0</v>
      </c>
      <c r="L31" s="642">
        <v>0</v>
      </c>
      <c r="M31" s="642">
        <v>5.4041471906535486E-2</v>
      </c>
      <c r="N31" s="642">
        <v>0</v>
      </c>
      <c r="O31" s="642">
        <v>0</v>
      </c>
      <c r="P31" s="642">
        <v>38.59518094579407</v>
      </c>
      <c r="Q31" s="642">
        <v>3.2740395369373112</v>
      </c>
      <c r="R31" s="642">
        <v>0</v>
      </c>
      <c r="S31" s="650">
        <v>46.227403701000377</v>
      </c>
      <c r="U31" s="648" t="s">
        <v>76</v>
      </c>
      <c r="V31" s="642">
        <v>0</v>
      </c>
      <c r="W31" s="642">
        <v>0</v>
      </c>
      <c r="X31" s="642">
        <v>0</v>
      </c>
      <c r="Y31" s="642">
        <v>4.5315152472590912</v>
      </c>
      <c r="Z31" s="642">
        <v>0</v>
      </c>
      <c r="AA31" s="642">
        <v>0</v>
      </c>
      <c r="AB31" s="642">
        <v>0</v>
      </c>
      <c r="AC31" s="642">
        <v>0</v>
      </c>
      <c r="AD31" s="642">
        <v>0</v>
      </c>
      <c r="AE31" s="642">
        <v>0.14207721072264479</v>
      </c>
      <c r="AF31" s="642">
        <v>0</v>
      </c>
      <c r="AG31" s="642">
        <v>0</v>
      </c>
      <c r="AH31" s="642">
        <v>38.917619787515648</v>
      </c>
      <c r="AI31" s="642">
        <v>3.9810231243072418</v>
      </c>
      <c r="AJ31" s="642">
        <v>0</v>
      </c>
      <c r="AK31" s="650">
        <v>47.572235369804623</v>
      </c>
    </row>
    <row r="32" spans="3:37" ht="13.5">
      <c r="C32" s="646" t="s">
        <v>77</v>
      </c>
      <c r="D32" s="647">
        <v>47.463794940496484</v>
      </c>
      <c r="E32" s="647">
        <v>509.81804130504707</v>
      </c>
      <c r="F32" s="647">
        <v>-471.3584811632748</v>
      </c>
      <c r="G32" s="647">
        <v>45.727215148483886</v>
      </c>
      <c r="H32" s="647">
        <v>1100.0000000000002</v>
      </c>
      <c r="I32" s="647">
        <v>135.04231425541462</v>
      </c>
      <c r="J32" s="647">
        <v>95.493113487793721</v>
      </c>
      <c r="K32" s="647">
        <v>22.461684350194222</v>
      </c>
      <c r="L32" s="647">
        <v>-39.348892368757156</v>
      </c>
      <c r="M32" s="647">
        <v>-3.8550490749930102</v>
      </c>
      <c r="N32" s="647">
        <v>0</v>
      </c>
      <c r="O32" s="647">
        <v>3.4751235666388727</v>
      </c>
      <c r="P32" s="647">
        <v>-455.24272836253516</v>
      </c>
      <c r="Q32" s="647">
        <v>-38.940628998179335</v>
      </c>
      <c r="R32" s="647">
        <v>-0.28078292846679692</v>
      </c>
      <c r="S32" s="647">
        <v>950.45472415786298</v>
      </c>
      <c r="U32" s="646" t="s">
        <v>77</v>
      </c>
      <c r="V32" s="647">
        <v>39.516307557449196</v>
      </c>
      <c r="W32" s="647">
        <v>469.03359705718782</v>
      </c>
      <c r="X32" s="647">
        <v>-431.98489409306461</v>
      </c>
      <c r="Y32" s="647">
        <v>93.82110729263789</v>
      </c>
      <c r="Z32" s="647">
        <v>1119.7245179063361</v>
      </c>
      <c r="AA32" s="647">
        <v>139.7041324372328</v>
      </c>
      <c r="AB32" s="647">
        <v>63.23058399557587</v>
      </c>
      <c r="AC32" s="647">
        <v>25.725656414831235</v>
      </c>
      <c r="AD32" s="647">
        <v>-39.715794102398128</v>
      </c>
      <c r="AE32" s="647">
        <v>-8.9119472733180274</v>
      </c>
      <c r="AF32" s="647">
        <v>0</v>
      </c>
      <c r="AG32" s="647">
        <v>4.3093270138116289</v>
      </c>
      <c r="AH32" s="647">
        <v>-489.55397895622485</v>
      </c>
      <c r="AI32" s="647">
        <v>-47.357100276392799</v>
      </c>
      <c r="AJ32" s="647">
        <v>-1.1412775410814249</v>
      </c>
      <c r="AK32" s="647">
        <v>936.40023743258246</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7.7357918362926714</v>
      </c>
      <c r="E34" s="642">
        <v>0</v>
      </c>
      <c r="F34" s="642">
        <v>28.289566768434444</v>
      </c>
      <c r="G34" s="642">
        <v>114.22190114423505</v>
      </c>
      <c r="H34" s="642">
        <v>0</v>
      </c>
      <c r="I34" s="642">
        <v>0</v>
      </c>
      <c r="J34" s="642">
        <v>17.070500200938145</v>
      </c>
      <c r="K34" s="642">
        <v>1.6812193044902295</v>
      </c>
      <c r="L34" s="642">
        <v>0.86581751367187498</v>
      </c>
      <c r="M34" s="642">
        <v>1.4530646317918139</v>
      </c>
      <c r="N34" s="642">
        <v>0</v>
      </c>
      <c r="O34" s="642">
        <v>3.8591468753626534E-4</v>
      </c>
      <c r="P34" s="642">
        <v>111.09265177846828</v>
      </c>
      <c r="Q34" s="642">
        <v>17.201720519477085</v>
      </c>
      <c r="R34" s="642">
        <v>0.28078292846679687</v>
      </c>
      <c r="S34" s="650">
        <v>299.89340254095396</v>
      </c>
      <c r="U34" s="648" t="s">
        <v>78</v>
      </c>
      <c r="V34" s="642">
        <v>5.1152739170350241</v>
      </c>
      <c r="W34" s="642">
        <v>0</v>
      </c>
      <c r="X34" s="642">
        <v>25.534648950011739</v>
      </c>
      <c r="Y34" s="642">
        <v>99.93968438859396</v>
      </c>
      <c r="Z34" s="642">
        <v>0</v>
      </c>
      <c r="AA34" s="642">
        <v>0</v>
      </c>
      <c r="AB34" s="642">
        <v>17.52580931876382</v>
      </c>
      <c r="AC34" s="642">
        <v>4.7157637498356459</v>
      </c>
      <c r="AD34" s="642">
        <v>0.87185221093750009</v>
      </c>
      <c r="AE34" s="642">
        <v>3.1523522333366012</v>
      </c>
      <c r="AF34" s="642">
        <v>0</v>
      </c>
      <c r="AG34" s="642">
        <v>3.8591468753626534E-4</v>
      </c>
      <c r="AH34" s="642">
        <v>120.66054558326853</v>
      </c>
      <c r="AI34" s="642">
        <v>18.606282657435788</v>
      </c>
      <c r="AJ34" s="642">
        <v>0.25516677856445313</v>
      </c>
      <c r="AK34" s="650">
        <v>296.37776570247064</v>
      </c>
    </row>
    <row r="35" spans="3:37" ht="13.5">
      <c r="C35" s="648" t="s">
        <v>79</v>
      </c>
      <c r="D35" s="642">
        <v>0</v>
      </c>
      <c r="E35" s="642">
        <v>0</v>
      </c>
      <c r="F35" s="642">
        <v>401.66314273909671</v>
      </c>
      <c r="G35" s="642">
        <v>4.8257671396463779</v>
      </c>
      <c r="H35" s="642">
        <v>0</v>
      </c>
      <c r="I35" s="642">
        <v>0</v>
      </c>
      <c r="J35" s="642">
        <v>0</v>
      </c>
      <c r="K35" s="642">
        <v>0</v>
      </c>
      <c r="L35" s="642">
        <v>37.460895129674924</v>
      </c>
      <c r="M35" s="642">
        <v>8.2247250592570986E-2</v>
      </c>
      <c r="N35" s="642">
        <v>0</v>
      </c>
      <c r="O35" s="642">
        <v>0</v>
      </c>
      <c r="P35" s="642">
        <v>14.197032789637335</v>
      </c>
      <c r="Q35" s="642">
        <v>0</v>
      </c>
      <c r="R35" s="642">
        <v>0</v>
      </c>
      <c r="S35" s="650">
        <v>458.2290850486479</v>
      </c>
      <c r="U35" s="648" t="s">
        <v>79</v>
      </c>
      <c r="V35" s="642">
        <v>0</v>
      </c>
      <c r="W35" s="642">
        <v>0</v>
      </c>
      <c r="X35" s="642">
        <v>381.87925300829363</v>
      </c>
      <c r="Y35" s="642">
        <v>4.8754277636803574</v>
      </c>
      <c r="Z35" s="642">
        <v>0</v>
      </c>
      <c r="AA35" s="642">
        <v>0</v>
      </c>
      <c r="AB35" s="642">
        <v>0</v>
      </c>
      <c r="AC35" s="642">
        <v>0</v>
      </c>
      <c r="AD35" s="642">
        <v>37.352195820661073</v>
      </c>
      <c r="AE35" s="642">
        <v>0.21416436386199153</v>
      </c>
      <c r="AF35" s="642">
        <v>0</v>
      </c>
      <c r="AG35" s="642">
        <v>0</v>
      </c>
      <c r="AH35" s="642">
        <v>13.917722567256266</v>
      </c>
      <c r="AI35" s="642">
        <v>0</v>
      </c>
      <c r="AJ35" s="642">
        <v>1.4045889662865447E-5</v>
      </c>
      <c r="AK35" s="650">
        <v>438.23877756964299</v>
      </c>
    </row>
    <row r="36" spans="3:37" ht="13.5">
      <c r="C36" s="648" t="s">
        <v>80</v>
      </c>
      <c r="D36" s="642">
        <v>0</v>
      </c>
      <c r="E36" s="642">
        <v>0</v>
      </c>
      <c r="F36" s="642">
        <v>44.949327937265863</v>
      </c>
      <c r="G36" s="642">
        <v>126.45597876373861</v>
      </c>
      <c r="H36" s="642">
        <v>0</v>
      </c>
      <c r="I36" s="642">
        <v>0</v>
      </c>
      <c r="J36" s="642">
        <v>74.162865758963164</v>
      </c>
      <c r="K36" s="642">
        <v>0</v>
      </c>
      <c r="L36" s="642">
        <v>0</v>
      </c>
      <c r="M36" s="642">
        <v>1.5877421391963937</v>
      </c>
      <c r="N36" s="642">
        <v>30.690291714133512</v>
      </c>
      <c r="O36" s="642">
        <v>1.3360751473174615</v>
      </c>
      <c r="P36" s="642">
        <v>167.04585454887541</v>
      </c>
      <c r="Q36" s="642">
        <v>15.952552032300854</v>
      </c>
      <c r="R36" s="642">
        <v>0</v>
      </c>
      <c r="S36" s="650">
        <v>462.18068804179131</v>
      </c>
      <c r="U36" s="648" t="s">
        <v>80</v>
      </c>
      <c r="V36" s="642">
        <v>0</v>
      </c>
      <c r="W36" s="642">
        <v>0</v>
      </c>
      <c r="X36" s="642">
        <v>41.162395061542448</v>
      </c>
      <c r="Y36" s="642">
        <v>118.23647816170383</v>
      </c>
      <c r="Z36" s="642">
        <v>0</v>
      </c>
      <c r="AA36" s="642">
        <v>0</v>
      </c>
      <c r="AB36" s="642">
        <v>77.948130735821934</v>
      </c>
      <c r="AC36" s="642">
        <v>0</v>
      </c>
      <c r="AD36" s="642">
        <v>0</v>
      </c>
      <c r="AE36" s="642">
        <v>3.7070842987992951</v>
      </c>
      <c r="AF36" s="642">
        <v>32.239034361458778</v>
      </c>
      <c r="AG36" s="642">
        <v>1.2931636502499975</v>
      </c>
      <c r="AH36" s="642">
        <v>162.51262140820876</v>
      </c>
      <c r="AI36" s="642">
        <v>21.915030230615571</v>
      </c>
      <c r="AJ36" s="642">
        <v>0</v>
      </c>
      <c r="AK36" s="650">
        <v>459.01393790840058</v>
      </c>
    </row>
    <row r="37" spans="3:37" ht="13.5">
      <c r="C37" s="648" t="s">
        <v>81</v>
      </c>
      <c r="D37" s="642">
        <v>0</v>
      </c>
      <c r="E37" s="642">
        <v>0</v>
      </c>
      <c r="F37" s="642">
        <v>24.870514058003725</v>
      </c>
      <c r="G37" s="642">
        <v>69.200500866366369</v>
      </c>
      <c r="H37" s="642">
        <v>0</v>
      </c>
      <c r="I37" s="642">
        <v>0</v>
      </c>
      <c r="J37" s="642">
        <v>4.1929555904242415</v>
      </c>
      <c r="K37" s="642">
        <v>2.7283295480293974E-2</v>
      </c>
      <c r="L37" s="642">
        <v>0</v>
      </c>
      <c r="M37" s="642">
        <v>0.86886007568139212</v>
      </c>
      <c r="N37" s="642">
        <v>5.8243599659976146</v>
      </c>
      <c r="O37" s="642">
        <v>0.99519184131174698</v>
      </c>
      <c r="P37" s="642">
        <v>130.24280942426404</v>
      </c>
      <c r="Q37" s="642">
        <v>5.7863564464014026</v>
      </c>
      <c r="R37" s="642">
        <v>0</v>
      </c>
      <c r="S37" s="650">
        <v>242.00883156393087</v>
      </c>
      <c r="U37" s="648" t="s">
        <v>81</v>
      </c>
      <c r="V37" s="642">
        <v>0</v>
      </c>
      <c r="W37" s="642">
        <v>0</v>
      </c>
      <c r="X37" s="642">
        <v>21.247497718121448</v>
      </c>
      <c r="Y37" s="642">
        <v>62.565763699850315</v>
      </c>
      <c r="Z37" s="642">
        <v>0</v>
      </c>
      <c r="AA37" s="642">
        <v>0</v>
      </c>
      <c r="AB37" s="642">
        <v>5.5520423930757747</v>
      </c>
      <c r="AC37" s="642">
        <v>2.7283295480293974E-2</v>
      </c>
      <c r="AD37" s="642">
        <v>0</v>
      </c>
      <c r="AE37" s="642">
        <v>1.9616328552758351</v>
      </c>
      <c r="AF37" s="642">
        <v>8.7253022127149791</v>
      </c>
      <c r="AG37" s="642">
        <v>1.2941657115976744</v>
      </c>
      <c r="AH37" s="642">
        <v>128.40391717018849</v>
      </c>
      <c r="AI37" s="642">
        <v>6.8357873883414371</v>
      </c>
      <c r="AJ37" s="642">
        <v>0</v>
      </c>
      <c r="AK37" s="650">
        <v>236.61339244464625</v>
      </c>
    </row>
    <row r="38" spans="3:37" ht="13.5">
      <c r="C38" s="648" t="s">
        <v>82</v>
      </c>
      <c r="D38" s="642">
        <v>0</v>
      </c>
      <c r="E38" s="642">
        <v>0</v>
      </c>
      <c r="F38" s="642">
        <v>34.857709492285672</v>
      </c>
      <c r="G38" s="642">
        <v>2.5298696752764673</v>
      </c>
      <c r="H38" s="642">
        <v>0</v>
      </c>
      <c r="I38" s="642">
        <v>0</v>
      </c>
      <c r="J38" s="642">
        <v>0.53778095326873299</v>
      </c>
      <c r="K38" s="642">
        <v>0</v>
      </c>
      <c r="L38" s="642">
        <v>2.2064360979425728</v>
      </c>
      <c r="M38" s="642">
        <v>3.176426080744045E-2</v>
      </c>
      <c r="N38" s="642">
        <v>0</v>
      </c>
      <c r="O38" s="642">
        <v>9.2576225379409571E-2</v>
      </c>
      <c r="P38" s="642">
        <v>8.3662824168205496</v>
      </c>
      <c r="Q38" s="642">
        <v>0</v>
      </c>
      <c r="R38" s="642">
        <v>0</v>
      </c>
      <c r="S38" s="650">
        <v>48.622419121780844</v>
      </c>
      <c r="U38" s="648" t="s">
        <v>82</v>
      </c>
      <c r="V38" s="642">
        <v>0</v>
      </c>
      <c r="W38" s="642">
        <v>0</v>
      </c>
      <c r="X38" s="642">
        <v>34.89814208484043</v>
      </c>
      <c r="Y38" s="642">
        <v>2.6598837825323027</v>
      </c>
      <c r="Z38" s="642">
        <v>0</v>
      </c>
      <c r="AA38" s="642">
        <v>0</v>
      </c>
      <c r="AB38" s="642">
        <v>0.53778095326873299</v>
      </c>
      <c r="AC38" s="642">
        <v>0</v>
      </c>
      <c r="AD38" s="642">
        <v>2.161994219425559</v>
      </c>
      <c r="AE38" s="642">
        <v>8.3395696152002902E-2</v>
      </c>
      <c r="AF38" s="642">
        <v>0</v>
      </c>
      <c r="AG38" s="642">
        <v>0.25485200979833694</v>
      </c>
      <c r="AH38" s="642">
        <v>8.3792280774105983</v>
      </c>
      <c r="AI38" s="642">
        <v>0</v>
      </c>
      <c r="AJ38" s="642">
        <v>5.2098714141513347E-2</v>
      </c>
      <c r="AK38" s="650">
        <v>49.027375537569476</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v>
      </c>
      <c r="Q39" s="642">
        <v>0</v>
      </c>
      <c r="R39" s="642">
        <v>0</v>
      </c>
      <c r="S39" s="650">
        <v>0</v>
      </c>
      <c r="U39" s="648" t="s">
        <v>357</v>
      </c>
      <c r="V39" s="642">
        <v>0</v>
      </c>
      <c r="W39" s="642">
        <v>0</v>
      </c>
      <c r="X39" s="642">
        <v>0</v>
      </c>
      <c r="Y39" s="642">
        <v>0</v>
      </c>
      <c r="Z39" s="642">
        <v>0</v>
      </c>
      <c r="AA39" s="642">
        <v>0</v>
      </c>
      <c r="AB39" s="642">
        <v>0</v>
      </c>
      <c r="AC39" s="642">
        <v>0</v>
      </c>
      <c r="AD39" s="642">
        <v>0</v>
      </c>
      <c r="AE39" s="642">
        <v>0</v>
      </c>
      <c r="AF39" s="642">
        <v>0</v>
      </c>
      <c r="AG39" s="642">
        <v>0</v>
      </c>
      <c r="AH39" s="642">
        <v>0</v>
      </c>
      <c r="AI39" s="642">
        <v>0</v>
      </c>
      <c r="AJ39" s="642">
        <v>0</v>
      </c>
      <c r="AK39" s="650">
        <v>0</v>
      </c>
    </row>
    <row r="40" spans="3:37" ht="13.5">
      <c r="C40" s="646" t="s">
        <v>83</v>
      </c>
      <c r="D40" s="647">
        <v>7.7357918362926714</v>
      </c>
      <c r="E40" s="647">
        <v>0</v>
      </c>
      <c r="F40" s="647">
        <v>534.63026099508636</v>
      </c>
      <c r="G40" s="647">
        <v>317.23401758926286</v>
      </c>
      <c r="H40" s="647">
        <v>0</v>
      </c>
      <c r="I40" s="647">
        <v>0</v>
      </c>
      <c r="J40" s="647">
        <v>95.96410250359429</v>
      </c>
      <c r="K40" s="647">
        <v>1.7085025999705235</v>
      </c>
      <c r="L40" s="647">
        <v>40.533148741289374</v>
      </c>
      <c r="M40" s="647">
        <v>4.0236783580696116</v>
      </c>
      <c r="N40" s="647">
        <v>36.514651680131124</v>
      </c>
      <c r="O40" s="647">
        <v>2.4242291286961546</v>
      </c>
      <c r="P40" s="647">
        <v>430.9446309580656</v>
      </c>
      <c r="Q40" s="647">
        <v>38.940628998179342</v>
      </c>
      <c r="R40" s="647">
        <v>0.28078292846679687</v>
      </c>
      <c r="S40" s="647">
        <v>1510.9344263171047</v>
      </c>
      <c r="U40" s="646" t="s">
        <v>83</v>
      </c>
      <c r="V40" s="647">
        <v>5.1152739170350241</v>
      </c>
      <c r="W40" s="647">
        <v>0</v>
      </c>
      <c r="X40" s="647">
        <v>504.72193682280971</v>
      </c>
      <c r="Y40" s="647">
        <v>288.27723779636074</v>
      </c>
      <c r="Z40" s="647">
        <v>0</v>
      </c>
      <c r="AA40" s="647">
        <v>0</v>
      </c>
      <c r="AB40" s="647">
        <v>101.56376340093026</v>
      </c>
      <c r="AC40" s="647">
        <v>4.7430470453159401</v>
      </c>
      <c r="AD40" s="647">
        <v>40.386042251024129</v>
      </c>
      <c r="AE40" s="647">
        <v>9.118629447425727</v>
      </c>
      <c r="AF40" s="647">
        <v>40.964336574173757</v>
      </c>
      <c r="AG40" s="647">
        <v>2.8425672863335452</v>
      </c>
      <c r="AH40" s="647">
        <v>433.87403480633265</v>
      </c>
      <c r="AI40" s="647">
        <v>47.357100276392799</v>
      </c>
      <c r="AJ40" s="647">
        <v>0.30727953859562934</v>
      </c>
      <c r="AK40" s="647">
        <v>1479.2712491627301</v>
      </c>
    </row>
    <row r="41" spans="3:37" ht="13.5">
      <c r="C41" s="641" t="s">
        <v>84</v>
      </c>
      <c r="D41" s="642">
        <v>0</v>
      </c>
      <c r="E41" s="642">
        <v>0</v>
      </c>
      <c r="F41" s="642">
        <v>133.10744763246728</v>
      </c>
      <c r="G41" s="642">
        <v>12.012561812227283</v>
      </c>
      <c r="H41" s="642">
        <v>0</v>
      </c>
      <c r="I41" s="642">
        <v>0</v>
      </c>
      <c r="J41" s="642">
        <v>0</v>
      </c>
      <c r="K41" s="642">
        <v>0</v>
      </c>
      <c r="L41" s="642">
        <v>0</v>
      </c>
      <c r="M41" s="642">
        <v>0</v>
      </c>
      <c r="N41" s="642">
        <v>0</v>
      </c>
      <c r="O41" s="642">
        <v>0</v>
      </c>
      <c r="P41" s="642">
        <v>0</v>
      </c>
      <c r="Q41" s="642">
        <v>0</v>
      </c>
      <c r="R41" s="642">
        <v>0</v>
      </c>
      <c r="S41" s="650">
        <v>145.12000944469457</v>
      </c>
      <c r="U41" s="641" t="s">
        <v>84</v>
      </c>
      <c r="V41" s="642">
        <v>0</v>
      </c>
      <c r="W41" s="642">
        <v>0</v>
      </c>
      <c r="X41" s="642">
        <v>126.72857692201117</v>
      </c>
      <c r="Y41" s="642">
        <v>1.7991582007077653</v>
      </c>
      <c r="Z41" s="642">
        <v>0</v>
      </c>
      <c r="AA41" s="642">
        <v>0</v>
      </c>
      <c r="AB41" s="642">
        <v>0</v>
      </c>
      <c r="AC41" s="642">
        <v>0</v>
      </c>
      <c r="AD41" s="642">
        <v>0.12920617897727274</v>
      </c>
      <c r="AE41" s="642">
        <v>0</v>
      </c>
      <c r="AF41" s="642">
        <v>0</v>
      </c>
      <c r="AG41" s="642">
        <v>0</v>
      </c>
      <c r="AH41" s="642">
        <v>0</v>
      </c>
      <c r="AI41" s="642">
        <v>0</v>
      </c>
      <c r="AJ41" s="642">
        <v>0.83399800248579548</v>
      </c>
      <c r="AK41" s="650">
        <v>129.49093930418201</v>
      </c>
    </row>
    <row r="42" spans="3:37" ht="13.5">
      <c r="C42" s="646" t="s">
        <v>85</v>
      </c>
      <c r="D42" s="647">
        <v>7.7357918362926714</v>
      </c>
      <c r="E42" s="647">
        <v>0</v>
      </c>
      <c r="F42" s="647">
        <v>667.73770862755362</v>
      </c>
      <c r="G42" s="647">
        <v>329.24657940149012</v>
      </c>
      <c r="H42" s="647">
        <v>0</v>
      </c>
      <c r="I42" s="647">
        <v>0</v>
      </c>
      <c r="J42" s="647">
        <v>95.96410250359429</v>
      </c>
      <c r="K42" s="647">
        <v>1.7085025999705235</v>
      </c>
      <c r="L42" s="647">
        <v>40.533148741289374</v>
      </c>
      <c r="M42" s="647">
        <v>4.0236783580696116</v>
      </c>
      <c r="N42" s="647">
        <v>36.514651680131124</v>
      </c>
      <c r="O42" s="647">
        <v>2.4242291286961546</v>
      </c>
      <c r="P42" s="647">
        <v>430.9446309580656</v>
      </c>
      <c r="Q42" s="647">
        <v>38.940628998179342</v>
      </c>
      <c r="R42" s="647">
        <v>0.28078292846679687</v>
      </c>
      <c r="S42" s="647">
        <v>1656.0544357617991</v>
      </c>
      <c r="U42" s="646" t="s">
        <v>85</v>
      </c>
      <c r="V42" s="647">
        <v>5.1152739170350241</v>
      </c>
      <c r="W42" s="647">
        <v>0</v>
      </c>
      <c r="X42" s="647">
        <v>631.45051374482091</v>
      </c>
      <c r="Y42" s="647">
        <v>290.07639599706852</v>
      </c>
      <c r="Z42" s="647">
        <v>0</v>
      </c>
      <c r="AA42" s="647">
        <v>0</v>
      </c>
      <c r="AB42" s="647">
        <v>101.56376340093026</v>
      </c>
      <c r="AC42" s="647">
        <v>4.7430470453159401</v>
      </c>
      <c r="AD42" s="647">
        <v>40.5152484300014</v>
      </c>
      <c r="AE42" s="647">
        <v>9.118629447425727</v>
      </c>
      <c r="AF42" s="647">
        <v>40.964336574173757</v>
      </c>
      <c r="AG42" s="647">
        <v>2.8425672863335452</v>
      </c>
      <c r="AH42" s="647">
        <v>433.87403480633265</v>
      </c>
      <c r="AI42" s="647">
        <v>47.357100276392799</v>
      </c>
      <c r="AJ42" s="647">
        <v>1.1412775410814249</v>
      </c>
      <c r="AK42" s="647">
        <v>1608.762188466912</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13">
      <c r="C44" s="636"/>
      <c r="D44" s="636"/>
      <c r="E44" s="636"/>
      <c r="F44" s="636"/>
      <c r="G44" s="636"/>
      <c r="H44" s="636"/>
      <c r="I44" s="636"/>
      <c r="J44" s="636"/>
      <c r="K44" s="636"/>
      <c r="L44" s="636"/>
      <c r="M44" s="636"/>
      <c r="N44" s="636"/>
      <c r="O44" s="636"/>
      <c r="P44" s="636"/>
      <c r="Q44" s="636"/>
      <c r="R44" s="636"/>
      <c r="S44" s="636"/>
      <c r="U44" s="636"/>
      <c r="V44" s="636"/>
      <c r="W44" s="636"/>
      <c r="X44" s="636"/>
      <c r="Y44" s="636"/>
      <c r="Z44" s="636"/>
      <c r="AA44" s="636"/>
      <c r="AB44" s="636"/>
      <c r="AC44" s="636"/>
      <c r="AD44" s="636"/>
      <c r="AE44" s="636"/>
      <c r="AF44" s="636"/>
      <c r="AG44" s="636"/>
      <c r="AH44" s="636"/>
      <c r="AI44" s="636"/>
      <c r="AJ44" s="636"/>
      <c r="AK44" s="636"/>
    </row>
    <row r="45" spans="3:37" ht="22.5">
      <c r="C45" s="699" t="s">
        <v>87</v>
      </c>
      <c r="D45" s="699"/>
      <c r="E45" s="699"/>
      <c r="F45" s="699"/>
      <c r="G45" s="699"/>
      <c r="H45" s="699"/>
      <c r="I45" s="699"/>
      <c r="J45" s="699"/>
      <c r="K45" s="699"/>
      <c r="L45" s="699"/>
      <c r="M45" s="699"/>
      <c r="N45" s="699"/>
      <c r="O45" s="699"/>
      <c r="P45" s="699"/>
      <c r="Q45" s="699"/>
      <c r="R45" s="699"/>
      <c r="S45" s="699"/>
      <c r="U45" s="699" t="s">
        <v>87</v>
      </c>
      <c r="V45" s="699"/>
      <c r="W45" s="699"/>
      <c r="X45" s="699"/>
      <c r="Y45" s="699"/>
      <c r="Z45" s="699"/>
      <c r="AA45" s="699"/>
      <c r="AB45" s="699"/>
      <c r="AC45" s="699"/>
      <c r="AD45" s="699"/>
      <c r="AE45" s="699"/>
      <c r="AF45" s="699"/>
      <c r="AG45" s="699"/>
      <c r="AH45" s="699"/>
      <c r="AI45" s="699"/>
      <c r="AJ45" s="699"/>
      <c r="AK45" s="699"/>
    </row>
    <row r="46" spans="3:37" ht="13">
      <c r="C46" s="636"/>
      <c r="D46" s="636"/>
      <c r="E46" s="636"/>
      <c r="F46" s="636"/>
      <c r="G46" s="636"/>
      <c r="H46" s="636"/>
      <c r="I46" s="636"/>
      <c r="J46" s="636"/>
      <c r="K46" s="636"/>
      <c r="L46" s="636"/>
      <c r="M46" s="636"/>
      <c r="N46" s="636"/>
      <c r="O46" s="636"/>
      <c r="P46" s="636"/>
      <c r="Q46" s="636"/>
      <c r="R46" s="636"/>
      <c r="S46" s="636"/>
      <c r="U46" s="636"/>
      <c r="V46" s="636"/>
      <c r="W46" s="636"/>
      <c r="X46" s="636"/>
      <c r="Y46" s="636"/>
      <c r="Z46" s="636"/>
      <c r="AA46" s="636"/>
      <c r="AB46" s="636"/>
      <c r="AC46" s="636"/>
      <c r="AD46" s="636"/>
      <c r="AE46" s="636"/>
      <c r="AF46" s="636"/>
      <c r="AG46" s="636"/>
      <c r="AH46" s="636"/>
      <c r="AI46" s="636"/>
      <c r="AJ46" s="636"/>
      <c r="AK46" s="636"/>
    </row>
    <row r="47" spans="3:37" ht="13" customHeight="1">
      <c r="C47" s="700" t="s">
        <v>128</v>
      </c>
      <c r="D47" s="701" t="s">
        <v>42</v>
      </c>
      <c r="E47" s="701" t="s">
        <v>52</v>
      </c>
      <c r="F47" s="701" t="s">
        <v>53</v>
      </c>
      <c r="G47" s="701" t="s">
        <v>32</v>
      </c>
      <c r="H47" s="701" t="s">
        <v>20</v>
      </c>
      <c r="I47" s="701" t="s">
        <v>55</v>
      </c>
      <c r="J47" s="701" t="s">
        <v>56</v>
      </c>
      <c r="K47" s="701"/>
      <c r="L47" s="701"/>
      <c r="M47" s="701"/>
      <c r="N47" s="701"/>
      <c r="O47" s="701"/>
      <c r="P47" s="701" t="s">
        <v>57</v>
      </c>
      <c r="Q47" s="701" t="s">
        <v>58</v>
      </c>
      <c r="R47" s="701" t="s">
        <v>31</v>
      </c>
      <c r="S47" s="701" t="s">
        <v>10</v>
      </c>
      <c r="U47" s="700" t="s">
        <v>128</v>
      </c>
      <c r="V47" s="701" t="s">
        <v>42</v>
      </c>
      <c r="W47" s="701" t="s">
        <v>52</v>
      </c>
      <c r="X47" s="701" t="s">
        <v>53</v>
      </c>
      <c r="Y47" s="701" t="s">
        <v>32</v>
      </c>
      <c r="Z47" s="701" t="s">
        <v>20</v>
      </c>
      <c r="AA47" s="701" t="s">
        <v>55</v>
      </c>
      <c r="AB47" s="701" t="s">
        <v>56</v>
      </c>
      <c r="AC47" s="701"/>
      <c r="AD47" s="701"/>
      <c r="AE47" s="701"/>
      <c r="AF47" s="701"/>
      <c r="AG47" s="701"/>
      <c r="AH47" s="701" t="s">
        <v>57</v>
      </c>
      <c r="AI47" s="701" t="s">
        <v>58</v>
      </c>
      <c r="AJ47" s="701" t="s">
        <v>31</v>
      </c>
      <c r="AK47" s="701" t="s">
        <v>10</v>
      </c>
    </row>
    <row r="48" spans="3:37" ht="46">
      <c r="C48" s="700"/>
      <c r="D48" s="701"/>
      <c r="E48" s="701"/>
      <c r="F48" s="701"/>
      <c r="G48" s="701"/>
      <c r="H48" s="701"/>
      <c r="I48" s="701"/>
      <c r="J48" s="640" t="s">
        <v>338</v>
      </c>
      <c r="K48" s="640" t="s">
        <v>40</v>
      </c>
      <c r="L48" s="640" t="s">
        <v>346</v>
      </c>
      <c r="M48" s="640" t="s">
        <v>347</v>
      </c>
      <c r="N48" s="640" t="s">
        <v>348</v>
      </c>
      <c r="O48" s="640" t="s">
        <v>349</v>
      </c>
      <c r="P48" s="701"/>
      <c r="Q48" s="701"/>
      <c r="R48" s="701"/>
      <c r="S48" s="701"/>
      <c r="U48" s="700"/>
      <c r="V48" s="701"/>
      <c r="W48" s="701"/>
      <c r="X48" s="701"/>
      <c r="Y48" s="701"/>
      <c r="Z48" s="701"/>
      <c r="AA48" s="701"/>
      <c r="AB48" s="640" t="s">
        <v>338</v>
      </c>
      <c r="AC48" s="640" t="s">
        <v>40</v>
      </c>
      <c r="AD48" s="640" t="s">
        <v>346</v>
      </c>
      <c r="AE48" s="640" t="s">
        <v>347</v>
      </c>
      <c r="AF48" s="640" t="s">
        <v>348</v>
      </c>
      <c r="AG48" s="640" t="s">
        <v>349</v>
      </c>
      <c r="AH48" s="701"/>
      <c r="AI48" s="701"/>
      <c r="AJ48" s="701"/>
      <c r="AK48" s="701"/>
    </row>
    <row r="49" spans="3:37" ht="13.5">
      <c r="C49" s="641" t="s">
        <v>59</v>
      </c>
      <c r="D49" s="642">
        <v>0</v>
      </c>
      <c r="E49" s="643">
        <v>9.7691999999999997</v>
      </c>
      <c r="F49" s="643">
        <v>0</v>
      </c>
      <c r="G49" s="642">
        <v>0.18608000000000002</v>
      </c>
      <c r="H49" s="643">
        <v>1190.909090909091</v>
      </c>
      <c r="I49" s="643">
        <v>153.14171554603519</v>
      </c>
      <c r="J49" s="643">
        <v>193.32113368570609</v>
      </c>
      <c r="K49" s="643">
        <v>23.895443221314743</v>
      </c>
      <c r="L49" s="643">
        <v>0.26210424432280233</v>
      </c>
      <c r="M49" s="643">
        <v>0.1322850330511596</v>
      </c>
      <c r="N49" s="643">
        <v>39.319241851069634</v>
      </c>
      <c r="O49" s="643">
        <v>5.962830498028703</v>
      </c>
      <c r="P49" s="644">
        <v>0</v>
      </c>
      <c r="Q49" s="643">
        <v>0</v>
      </c>
      <c r="R49" s="643">
        <v>0</v>
      </c>
      <c r="S49" s="645">
        <v>1616.8991249886192</v>
      </c>
      <c r="U49" s="641" t="s">
        <v>59</v>
      </c>
      <c r="V49" s="642">
        <v>0</v>
      </c>
      <c r="W49" s="643">
        <v>9.7691999999999997</v>
      </c>
      <c r="X49" s="643">
        <v>0</v>
      </c>
      <c r="Y49" s="642">
        <v>0.18608000000000002</v>
      </c>
      <c r="Z49" s="643">
        <v>1105.3443526170799</v>
      </c>
      <c r="AA49" s="643">
        <v>156.32644281876244</v>
      </c>
      <c r="AB49" s="643">
        <v>174.95767859419479</v>
      </c>
      <c r="AC49" s="643">
        <v>32.977912048889756</v>
      </c>
      <c r="AD49" s="643">
        <v>0.26210424432280233</v>
      </c>
      <c r="AE49" s="643">
        <v>0.1322850330511596</v>
      </c>
      <c r="AF49" s="643">
        <v>46.941675984424649</v>
      </c>
      <c r="AG49" s="643">
        <v>8.3026764246808291</v>
      </c>
      <c r="AH49" s="644">
        <v>0</v>
      </c>
      <c r="AI49" s="643">
        <v>0</v>
      </c>
      <c r="AJ49" s="643">
        <v>0</v>
      </c>
      <c r="AK49" s="645">
        <v>1535.200407765406</v>
      </c>
    </row>
    <row r="50" spans="3:37" ht="13.5">
      <c r="C50" s="641" t="s">
        <v>60</v>
      </c>
      <c r="D50" s="642">
        <v>51.93943876444407</v>
      </c>
      <c r="E50" s="643">
        <v>553.51354311683986</v>
      </c>
      <c r="F50" s="643">
        <v>233.05215902128853</v>
      </c>
      <c r="G50" s="642">
        <v>363.27460186951828</v>
      </c>
      <c r="H50" s="643">
        <v>0</v>
      </c>
      <c r="I50" s="643">
        <v>0</v>
      </c>
      <c r="J50" s="643">
        <v>2.3834336020403581</v>
      </c>
      <c r="K50" s="643">
        <v>0</v>
      </c>
      <c r="L50" s="643">
        <v>2.2500117795629686</v>
      </c>
      <c r="M50" s="643">
        <v>0</v>
      </c>
      <c r="N50" s="643">
        <v>0</v>
      </c>
      <c r="O50" s="643">
        <v>0</v>
      </c>
      <c r="P50" s="644">
        <v>0</v>
      </c>
      <c r="Q50" s="643">
        <v>0</v>
      </c>
      <c r="R50" s="643">
        <v>0</v>
      </c>
      <c r="S50" s="645">
        <v>1206.4131881536939</v>
      </c>
      <c r="U50" s="641" t="s">
        <v>60</v>
      </c>
      <c r="V50" s="642">
        <v>30.366070381082046</v>
      </c>
      <c r="W50" s="643">
        <v>485.53946937040786</v>
      </c>
      <c r="X50" s="643">
        <v>248.69079495957973</v>
      </c>
      <c r="Y50" s="642">
        <v>359.41495054347945</v>
      </c>
      <c r="Z50" s="643">
        <v>0</v>
      </c>
      <c r="AA50" s="643">
        <v>0</v>
      </c>
      <c r="AB50" s="643">
        <v>2.3834336020403581</v>
      </c>
      <c r="AC50" s="643">
        <v>0</v>
      </c>
      <c r="AD50" s="643">
        <v>2.2500117795629686</v>
      </c>
      <c r="AE50" s="643">
        <v>0</v>
      </c>
      <c r="AF50" s="643">
        <v>0</v>
      </c>
      <c r="AG50" s="643">
        <v>0</v>
      </c>
      <c r="AH50" s="644">
        <v>0</v>
      </c>
      <c r="AI50" s="643">
        <v>0</v>
      </c>
      <c r="AJ50" s="643">
        <v>0</v>
      </c>
      <c r="AK50" s="645">
        <v>1128.6447306361524</v>
      </c>
    </row>
    <row r="51" spans="3:37" ht="13.5">
      <c r="C51" s="641" t="s">
        <v>61</v>
      </c>
      <c r="D51" s="642">
        <v>0</v>
      </c>
      <c r="E51" s="643">
        <v>0</v>
      </c>
      <c r="F51" s="643">
        <v>0</v>
      </c>
      <c r="G51" s="642">
        <v>0</v>
      </c>
      <c r="H51" s="643">
        <v>0</v>
      </c>
      <c r="I51" s="643">
        <v>0</v>
      </c>
      <c r="J51" s="643">
        <v>0</v>
      </c>
      <c r="K51" s="643">
        <v>0</v>
      </c>
      <c r="L51" s="643">
        <v>0</v>
      </c>
      <c r="M51" s="643">
        <v>0</v>
      </c>
      <c r="N51" s="643">
        <v>0</v>
      </c>
      <c r="O51" s="643">
        <v>0</v>
      </c>
      <c r="P51" s="644">
        <v>-64.055272794649682</v>
      </c>
      <c r="Q51" s="643">
        <v>0</v>
      </c>
      <c r="R51" s="643">
        <v>0</v>
      </c>
      <c r="S51" s="645">
        <v>-64.055272794649682</v>
      </c>
      <c r="U51" s="641" t="s">
        <v>61</v>
      </c>
      <c r="V51" s="642">
        <v>0</v>
      </c>
      <c r="W51" s="643">
        <v>0</v>
      </c>
      <c r="X51" s="643">
        <v>0</v>
      </c>
      <c r="Y51" s="642">
        <v>0</v>
      </c>
      <c r="Z51" s="643">
        <v>0</v>
      </c>
      <c r="AA51" s="643">
        <v>0</v>
      </c>
      <c r="AB51" s="643">
        <v>0</v>
      </c>
      <c r="AC51" s="643">
        <v>0</v>
      </c>
      <c r="AD51" s="643">
        <v>0</v>
      </c>
      <c r="AE51" s="643">
        <v>0</v>
      </c>
      <c r="AF51" s="643">
        <v>0</v>
      </c>
      <c r="AG51" s="643">
        <v>0</v>
      </c>
      <c r="AH51" s="644">
        <v>-60.354291441125554</v>
      </c>
      <c r="AI51" s="643">
        <v>0</v>
      </c>
      <c r="AJ51" s="643">
        <v>0</v>
      </c>
      <c r="AK51" s="645">
        <v>-60.354291441125554</v>
      </c>
    </row>
    <row r="52" spans="3:37" ht="13.5">
      <c r="C52" s="641" t="s">
        <v>62</v>
      </c>
      <c r="D52" s="642">
        <v>0</v>
      </c>
      <c r="E52" s="643">
        <v>0</v>
      </c>
      <c r="F52" s="643">
        <v>-17.936302519197969</v>
      </c>
      <c r="G52" s="642">
        <v>0</v>
      </c>
      <c r="H52" s="643">
        <v>0</v>
      </c>
      <c r="I52" s="643">
        <v>0</v>
      </c>
      <c r="J52" s="643">
        <v>0</v>
      </c>
      <c r="K52" s="643">
        <v>0</v>
      </c>
      <c r="L52" s="643">
        <v>0</v>
      </c>
      <c r="M52" s="643">
        <v>0</v>
      </c>
      <c r="N52" s="643">
        <v>0</v>
      </c>
      <c r="O52" s="643">
        <v>0</v>
      </c>
      <c r="P52" s="644">
        <v>0</v>
      </c>
      <c r="Q52" s="643">
        <v>0</v>
      </c>
      <c r="R52" s="643">
        <v>0</v>
      </c>
      <c r="S52" s="645">
        <v>-17.936302519197969</v>
      </c>
      <c r="U52" s="641" t="s">
        <v>62</v>
      </c>
      <c r="V52" s="642">
        <v>0</v>
      </c>
      <c r="W52" s="643">
        <v>0</v>
      </c>
      <c r="X52" s="643">
        <v>-17.936302519197969</v>
      </c>
      <c r="Y52" s="642">
        <v>0</v>
      </c>
      <c r="Z52" s="643">
        <v>0</v>
      </c>
      <c r="AA52" s="643">
        <v>0</v>
      </c>
      <c r="AB52" s="643">
        <v>0</v>
      </c>
      <c r="AC52" s="643">
        <v>0</v>
      </c>
      <c r="AD52" s="643">
        <v>0</v>
      </c>
      <c r="AE52" s="643">
        <v>0</v>
      </c>
      <c r="AF52" s="643">
        <v>0</v>
      </c>
      <c r="AG52" s="643">
        <v>0</v>
      </c>
      <c r="AH52" s="644">
        <v>0</v>
      </c>
      <c r="AI52" s="643">
        <v>0</v>
      </c>
      <c r="AJ52" s="643">
        <v>0</v>
      </c>
      <c r="AK52" s="645">
        <v>-17.936302519197969</v>
      </c>
    </row>
    <row r="53" spans="3:37" ht="13.5">
      <c r="C53" s="641" t="s">
        <v>63</v>
      </c>
      <c r="D53" s="642">
        <v>0</v>
      </c>
      <c r="E53" s="643">
        <v>0</v>
      </c>
      <c r="F53" s="643">
        <v>-78.830324971165851</v>
      </c>
      <c r="G53" s="642">
        <v>0</v>
      </c>
      <c r="H53" s="643">
        <v>0</v>
      </c>
      <c r="I53" s="643">
        <v>0</v>
      </c>
      <c r="J53" s="643">
        <v>0</v>
      </c>
      <c r="K53" s="643">
        <v>0</v>
      </c>
      <c r="L53" s="643">
        <v>-0.81271538345441041</v>
      </c>
      <c r="M53" s="643">
        <v>0</v>
      </c>
      <c r="N53" s="643">
        <v>0</v>
      </c>
      <c r="O53" s="643">
        <v>0</v>
      </c>
      <c r="P53" s="644">
        <v>0</v>
      </c>
      <c r="Q53" s="643">
        <v>0</v>
      </c>
      <c r="R53" s="643">
        <v>0</v>
      </c>
      <c r="S53" s="645">
        <v>-79.643040354620268</v>
      </c>
      <c r="U53" s="641" t="s">
        <v>63</v>
      </c>
      <c r="V53" s="642">
        <v>0</v>
      </c>
      <c r="W53" s="643">
        <v>0</v>
      </c>
      <c r="X53" s="643">
        <v>-78.197230139294632</v>
      </c>
      <c r="Y53" s="642">
        <v>0</v>
      </c>
      <c r="Z53" s="643">
        <v>0</v>
      </c>
      <c r="AA53" s="643">
        <v>0</v>
      </c>
      <c r="AB53" s="643">
        <v>0</v>
      </c>
      <c r="AC53" s="643">
        <v>0</v>
      </c>
      <c r="AD53" s="643">
        <v>-1.5612310452001914</v>
      </c>
      <c r="AE53" s="643">
        <v>0</v>
      </c>
      <c r="AF53" s="643">
        <v>0</v>
      </c>
      <c r="AG53" s="643">
        <v>0</v>
      </c>
      <c r="AH53" s="644">
        <v>0</v>
      </c>
      <c r="AI53" s="643">
        <v>0</v>
      </c>
      <c r="AJ53" s="643">
        <v>0</v>
      </c>
      <c r="AK53" s="645">
        <v>-79.75846118449482</v>
      </c>
    </row>
    <row r="54" spans="3:37" ht="13.5">
      <c r="C54" s="641" t="s">
        <v>64</v>
      </c>
      <c r="D54" s="642">
        <v>0</v>
      </c>
      <c r="E54" s="643">
        <v>0</v>
      </c>
      <c r="F54" s="643">
        <v>0</v>
      </c>
      <c r="G54" s="642">
        <v>0</v>
      </c>
      <c r="H54" s="643">
        <v>0</v>
      </c>
      <c r="I54" s="643">
        <v>0</v>
      </c>
      <c r="J54" s="643">
        <v>0</v>
      </c>
      <c r="K54" s="643">
        <v>0</v>
      </c>
      <c r="L54" s="643">
        <v>0</v>
      </c>
      <c r="M54" s="643">
        <v>0</v>
      </c>
      <c r="N54" s="643">
        <v>0</v>
      </c>
      <c r="O54" s="643">
        <v>0</v>
      </c>
      <c r="P54" s="644">
        <v>0</v>
      </c>
      <c r="Q54" s="643">
        <v>0</v>
      </c>
      <c r="R54" s="643">
        <v>0</v>
      </c>
      <c r="S54" s="645">
        <v>0</v>
      </c>
      <c r="U54" s="641" t="s">
        <v>64</v>
      </c>
      <c r="V54" s="642">
        <v>0</v>
      </c>
      <c r="W54" s="643">
        <v>0</v>
      </c>
      <c r="X54" s="643">
        <v>0</v>
      </c>
      <c r="Y54" s="642">
        <v>0</v>
      </c>
      <c r="Z54" s="643">
        <v>0</v>
      </c>
      <c r="AA54" s="643">
        <v>0</v>
      </c>
      <c r="AB54" s="643">
        <v>0</v>
      </c>
      <c r="AC54" s="643">
        <v>0</v>
      </c>
      <c r="AD54" s="643">
        <v>0</v>
      </c>
      <c r="AE54" s="643">
        <v>0</v>
      </c>
      <c r="AF54" s="643">
        <v>0</v>
      </c>
      <c r="AG54" s="643">
        <v>0</v>
      </c>
      <c r="AH54" s="644">
        <v>0</v>
      </c>
      <c r="AI54" s="643">
        <v>0</v>
      </c>
      <c r="AJ54" s="643">
        <v>0</v>
      </c>
      <c r="AK54" s="645">
        <v>0</v>
      </c>
    </row>
    <row r="55" spans="3:37" ht="13.5">
      <c r="C55" s="646" t="s">
        <v>65</v>
      </c>
      <c r="D55" s="647">
        <v>51.93943876444407</v>
      </c>
      <c r="E55" s="647">
        <v>563.28274311683981</v>
      </c>
      <c r="F55" s="647">
        <v>136.28553153092471</v>
      </c>
      <c r="G55" s="647">
        <v>363.46068186951828</v>
      </c>
      <c r="H55" s="647">
        <v>1190.909090909091</v>
      </c>
      <c r="I55" s="647">
        <v>153.14171554603519</v>
      </c>
      <c r="J55" s="647">
        <v>195.70456728774644</v>
      </c>
      <c r="K55" s="647">
        <v>23.895443221314743</v>
      </c>
      <c r="L55" s="647">
        <v>1.6994006404313602</v>
      </c>
      <c r="M55" s="647">
        <v>0.1322850330511596</v>
      </c>
      <c r="N55" s="647">
        <v>39.319241851069634</v>
      </c>
      <c r="O55" s="647">
        <v>5.962830498028703</v>
      </c>
      <c r="P55" s="647">
        <v>-64.055272794649682</v>
      </c>
      <c r="Q55" s="647">
        <v>0</v>
      </c>
      <c r="R55" s="647">
        <v>0</v>
      </c>
      <c r="S55" s="647">
        <v>2661.6776974738459</v>
      </c>
      <c r="U55" s="646" t="s">
        <v>65</v>
      </c>
      <c r="V55" s="647">
        <v>30.366070381082046</v>
      </c>
      <c r="W55" s="647">
        <v>495.30866937040787</v>
      </c>
      <c r="X55" s="647">
        <v>152.55726230108715</v>
      </c>
      <c r="Y55" s="647">
        <v>359.60103054347945</v>
      </c>
      <c r="Z55" s="647">
        <v>1105.3443526170799</v>
      </c>
      <c r="AA55" s="647">
        <v>156.32644281876244</v>
      </c>
      <c r="AB55" s="647">
        <v>177.34111219623514</v>
      </c>
      <c r="AC55" s="647">
        <v>32.977912048889756</v>
      </c>
      <c r="AD55" s="647">
        <v>0.95088497868557909</v>
      </c>
      <c r="AE55" s="647">
        <v>0.1322850330511596</v>
      </c>
      <c r="AF55" s="647">
        <v>46.941675984424649</v>
      </c>
      <c r="AG55" s="647">
        <v>8.3026764246808291</v>
      </c>
      <c r="AH55" s="647">
        <v>-60.354291441125554</v>
      </c>
      <c r="AI55" s="647">
        <v>0</v>
      </c>
      <c r="AJ55" s="647">
        <v>0</v>
      </c>
      <c r="AK55" s="647">
        <v>2505.7960832567405</v>
      </c>
    </row>
    <row r="56" spans="3:37" ht="13">
      <c r="C56" s="636"/>
      <c r="D56" s="636">
        <v>0</v>
      </c>
      <c r="E56" s="636">
        <v>0</v>
      </c>
      <c r="F56" s="636">
        <v>0</v>
      </c>
      <c r="G56" s="636">
        <v>0</v>
      </c>
      <c r="H56" s="636">
        <v>0</v>
      </c>
      <c r="I56" s="636">
        <v>0</v>
      </c>
      <c r="J56" s="636">
        <v>0</v>
      </c>
      <c r="K56" s="636">
        <v>0</v>
      </c>
      <c r="L56" s="636">
        <v>0</v>
      </c>
      <c r="M56" s="636">
        <v>0</v>
      </c>
      <c r="N56" s="636">
        <v>0</v>
      </c>
      <c r="O56" s="636">
        <v>0</v>
      </c>
      <c r="P56" s="636">
        <v>0</v>
      </c>
      <c r="Q56" s="636">
        <v>0</v>
      </c>
      <c r="R56" s="636">
        <v>0</v>
      </c>
      <c r="S56" s="636">
        <v>0</v>
      </c>
      <c r="U56" s="636"/>
      <c r="V56" s="636">
        <v>0</v>
      </c>
      <c r="W56" s="636">
        <v>0</v>
      </c>
      <c r="X56" s="636">
        <v>0</v>
      </c>
      <c r="Y56" s="636">
        <v>0</v>
      </c>
      <c r="Z56" s="636">
        <v>0</v>
      </c>
      <c r="AA56" s="636">
        <v>0</v>
      </c>
      <c r="AB56" s="636">
        <v>0</v>
      </c>
      <c r="AC56" s="636">
        <v>0</v>
      </c>
      <c r="AD56" s="636">
        <v>0</v>
      </c>
      <c r="AE56" s="636">
        <v>0</v>
      </c>
      <c r="AF56" s="636">
        <v>0</v>
      </c>
      <c r="AG56" s="636">
        <v>0</v>
      </c>
      <c r="AH56" s="636">
        <v>0</v>
      </c>
      <c r="AI56" s="636">
        <v>0</v>
      </c>
      <c r="AJ56" s="636">
        <v>0</v>
      </c>
      <c r="AK56" s="636">
        <v>0</v>
      </c>
    </row>
    <row r="57" spans="3:37" ht="13.5">
      <c r="C57" s="648" t="s">
        <v>67</v>
      </c>
      <c r="D57" s="642">
        <v>0</v>
      </c>
      <c r="E57" s="649">
        <v>0</v>
      </c>
      <c r="F57" s="649">
        <v>0</v>
      </c>
      <c r="G57" s="642">
        <v>0</v>
      </c>
      <c r="H57" s="642">
        <v>0</v>
      </c>
      <c r="I57" s="642">
        <v>0</v>
      </c>
      <c r="J57" s="642">
        <v>0</v>
      </c>
      <c r="K57" s="642">
        <v>0</v>
      </c>
      <c r="L57" s="642">
        <v>0</v>
      </c>
      <c r="M57" s="642">
        <v>0</v>
      </c>
      <c r="N57" s="642">
        <v>0</v>
      </c>
      <c r="O57" s="642">
        <v>0</v>
      </c>
      <c r="P57" s="642">
        <v>0</v>
      </c>
      <c r="Q57" s="642">
        <v>0</v>
      </c>
      <c r="R57" s="642">
        <v>0</v>
      </c>
      <c r="S57" s="650">
        <v>0</v>
      </c>
      <c r="U57" s="648" t="s">
        <v>67</v>
      </c>
      <c r="V57" s="642">
        <v>0</v>
      </c>
      <c r="W57" s="649">
        <v>0</v>
      </c>
      <c r="X57" s="649">
        <v>0</v>
      </c>
      <c r="Y57" s="642">
        <v>0</v>
      </c>
      <c r="Z57" s="642">
        <v>0</v>
      </c>
      <c r="AA57" s="642">
        <v>0</v>
      </c>
      <c r="AB57" s="642">
        <v>0</v>
      </c>
      <c r="AC57" s="642">
        <v>0</v>
      </c>
      <c r="AD57" s="642">
        <v>0</v>
      </c>
      <c r="AE57" s="642">
        <v>0</v>
      </c>
      <c r="AF57" s="642">
        <v>0</v>
      </c>
      <c r="AG57" s="642">
        <v>0</v>
      </c>
      <c r="AH57" s="642">
        <v>0</v>
      </c>
      <c r="AI57" s="642">
        <v>0</v>
      </c>
      <c r="AJ57" s="642">
        <v>0</v>
      </c>
      <c r="AK57" s="650">
        <v>0</v>
      </c>
    </row>
    <row r="58" spans="3:37" ht="13.5">
      <c r="C58" s="648" t="s">
        <v>350</v>
      </c>
      <c r="D58" s="642">
        <v>2.8307670060467731</v>
      </c>
      <c r="E58" s="642">
        <v>0</v>
      </c>
      <c r="F58" s="642">
        <v>7.8209554225929372</v>
      </c>
      <c r="G58" s="642">
        <v>18.490566037735849</v>
      </c>
      <c r="H58" s="642">
        <v>1190.909090909091</v>
      </c>
      <c r="I58" s="642">
        <v>153.14171554603519</v>
      </c>
      <c r="J58" s="651">
        <v>34.217577807887082</v>
      </c>
      <c r="K58" s="651">
        <v>9.4182266439786773</v>
      </c>
      <c r="L58" s="651">
        <v>2.5121160238857705</v>
      </c>
      <c r="M58" s="651">
        <v>0.47838708849063555</v>
      </c>
      <c r="N58" s="651">
        <v>0</v>
      </c>
      <c r="O58" s="651">
        <v>1.0860489583659068</v>
      </c>
      <c r="P58" s="642">
        <v>-575.7599665483873</v>
      </c>
      <c r="Q58" s="642">
        <v>0</v>
      </c>
      <c r="R58" s="642">
        <v>0</v>
      </c>
      <c r="S58" s="650">
        <v>845.14548489572212</v>
      </c>
      <c r="U58" s="648" t="s">
        <v>350</v>
      </c>
      <c r="V58" s="642">
        <v>2.9164996321078078</v>
      </c>
      <c r="W58" s="642">
        <v>0</v>
      </c>
      <c r="X58" s="642">
        <v>6.3333521168078128</v>
      </c>
      <c r="Y58" s="642">
        <v>58.629502572898801</v>
      </c>
      <c r="Z58" s="642">
        <v>1105.3443526170799</v>
      </c>
      <c r="AA58" s="642">
        <v>156.32644281876244</v>
      </c>
      <c r="AB58" s="651">
        <v>29.491752812436719</v>
      </c>
      <c r="AC58" s="651">
        <v>9.3450725233746681</v>
      </c>
      <c r="AD58" s="651">
        <v>2.5121160238857705</v>
      </c>
      <c r="AE58" s="651">
        <v>3.1867918912350612</v>
      </c>
      <c r="AF58" s="651">
        <v>0</v>
      </c>
      <c r="AG58" s="651">
        <v>1.0860489583659068</v>
      </c>
      <c r="AH58" s="642">
        <v>-572.43560291202368</v>
      </c>
      <c r="AI58" s="642">
        <v>0</v>
      </c>
      <c r="AJ58" s="642">
        <v>0</v>
      </c>
      <c r="AK58" s="650">
        <v>802.73632905493105</v>
      </c>
    </row>
    <row r="59" spans="3:37" ht="13.5">
      <c r="C59" s="648" t="s">
        <v>351</v>
      </c>
      <c r="D59" s="642">
        <v>0.12349118736872708</v>
      </c>
      <c r="E59" s="642">
        <v>0</v>
      </c>
      <c r="F59" s="642">
        <v>0</v>
      </c>
      <c r="G59" s="642">
        <v>16.768067922739682</v>
      </c>
      <c r="H59" s="642">
        <v>0</v>
      </c>
      <c r="I59" s="642">
        <v>0</v>
      </c>
      <c r="J59" s="651">
        <v>14.511462263372906</v>
      </c>
      <c r="K59" s="651">
        <v>12.721360709604678</v>
      </c>
      <c r="L59" s="651">
        <v>0</v>
      </c>
      <c r="M59" s="651">
        <v>0.35468000245125708</v>
      </c>
      <c r="N59" s="651">
        <v>0</v>
      </c>
      <c r="O59" s="651">
        <v>2.3429154336529705</v>
      </c>
      <c r="P59" s="642">
        <v>0</v>
      </c>
      <c r="Q59" s="642">
        <v>-41.535443372761243</v>
      </c>
      <c r="R59" s="642">
        <v>0</v>
      </c>
      <c r="S59" s="650">
        <v>5.2865341464289735</v>
      </c>
      <c r="U59" s="648" t="s">
        <v>351</v>
      </c>
      <c r="V59" s="642">
        <v>0.24574746286376692</v>
      </c>
      <c r="W59" s="642">
        <v>0</v>
      </c>
      <c r="X59" s="642">
        <v>0</v>
      </c>
      <c r="Y59" s="642">
        <v>18.639904753059838</v>
      </c>
      <c r="Z59" s="642">
        <v>0</v>
      </c>
      <c r="AA59" s="642">
        <v>0</v>
      </c>
      <c r="AB59" s="651">
        <v>22.139054647682539</v>
      </c>
      <c r="AC59" s="651">
        <v>18.333827420527065</v>
      </c>
      <c r="AD59" s="651">
        <v>0</v>
      </c>
      <c r="AE59" s="651">
        <v>0.99352215322234005</v>
      </c>
      <c r="AF59" s="651">
        <v>0</v>
      </c>
      <c r="AG59" s="651">
        <v>3.9855789938168567</v>
      </c>
      <c r="AH59" s="642">
        <v>0</v>
      </c>
      <c r="AI59" s="642">
        <v>-57.31222867632534</v>
      </c>
      <c r="AJ59" s="642">
        <v>0</v>
      </c>
      <c r="AK59" s="650">
        <v>7.0254067548470651</v>
      </c>
    </row>
    <row r="60" spans="3:37" ht="13.5">
      <c r="C60" s="648" t="s">
        <v>352</v>
      </c>
      <c r="D60" s="642">
        <v>0</v>
      </c>
      <c r="E60" s="642">
        <v>0</v>
      </c>
      <c r="F60" s="642">
        <v>0</v>
      </c>
      <c r="G60" s="642">
        <v>0</v>
      </c>
      <c r="H60" s="642">
        <v>0</v>
      </c>
      <c r="I60" s="642">
        <v>0</v>
      </c>
      <c r="J60" s="652">
        <v>8.112913583549977</v>
      </c>
      <c r="K60" s="652">
        <v>0</v>
      </c>
      <c r="L60" s="652">
        <v>0</v>
      </c>
      <c r="M60" s="652">
        <v>-7.1616744658787432</v>
      </c>
      <c r="N60" s="652">
        <v>0</v>
      </c>
      <c r="O60" s="652">
        <v>0</v>
      </c>
      <c r="P60" s="642">
        <v>0</v>
      </c>
      <c r="Q60" s="642">
        <v>0</v>
      </c>
      <c r="R60" s="642">
        <v>0</v>
      </c>
      <c r="S60" s="650">
        <v>0.95123911767123381</v>
      </c>
      <c r="U60" s="648" t="s">
        <v>352</v>
      </c>
      <c r="V60" s="642">
        <v>0</v>
      </c>
      <c r="W60" s="642">
        <v>0</v>
      </c>
      <c r="X60" s="642">
        <v>0</v>
      </c>
      <c r="Y60" s="642">
        <v>0</v>
      </c>
      <c r="Z60" s="642">
        <v>0</v>
      </c>
      <c r="AA60" s="642">
        <v>0</v>
      </c>
      <c r="AB60" s="652">
        <v>21.330356361778993</v>
      </c>
      <c r="AC60" s="652">
        <v>0</v>
      </c>
      <c r="AD60" s="652">
        <v>0</v>
      </c>
      <c r="AE60" s="652">
        <v>-18.829372078360407</v>
      </c>
      <c r="AF60" s="652">
        <v>0</v>
      </c>
      <c r="AG60" s="652">
        <v>0</v>
      </c>
      <c r="AH60" s="642">
        <v>0</v>
      </c>
      <c r="AI60" s="642">
        <v>0</v>
      </c>
      <c r="AJ60" s="642">
        <v>0</v>
      </c>
      <c r="AK60" s="650">
        <v>2.5009842834185854</v>
      </c>
    </row>
    <row r="61" spans="3:37" ht="13.5">
      <c r="C61" s="648" t="s">
        <v>353</v>
      </c>
      <c r="D61" s="642">
        <v>0</v>
      </c>
      <c r="E61" s="642">
        <v>0</v>
      </c>
      <c r="F61" s="642">
        <v>0</v>
      </c>
      <c r="G61" s="642">
        <v>0</v>
      </c>
      <c r="H61" s="642">
        <v>0</v>
      </c>
      <c r="I61" s="642">
        <v>0</v>
      </c>
      <c r="J61" s="642">
        <v>0</v>
      </c>
      <c r="K61" s="642">
        <v>0</v>
      </c>
      <c r="L61" s="642">
        <v>0</v>
      </c>
      <c r="M61" s="642">
        <v>0</v>
      </c>
      <c r="N61" s="642">
        <v>0</v>
      </c>
      <c r="O61" s="642">
        <v>0</v>
      </c>
      <c r="P61" s="642">
        <v>0</v>
      </c>
      <c r="Q61" s="642">
        <v>0</v>
      </c>
      <c r="R61" s="642">
        <v>0</v>
      </c>
      <c r="S61" s="650">
        <v>0</v>
      </c>
      <c r="U61" s="648" t="s">
        <v>353</v>
      </c>
      <c r="V61" s="642">
        <v>0</v>
      </c>
      <c r="W61" s="642">
        <v>0</v>
      </c>
      <c r="X61" s="642">
        <v>0</v>
      </c>
      <c r="Y61" s="642">
        <v>0</v>
      </c>
      <c r="Z61" s="642">
        <v>0</v>
      </c>
      <c r="AA61" s="642">
        <v>0</v>
      </c>
      <c r="AB61" s="642">
        <v>0</v>
      </c>
      <c r="AC61" s="642">
        <v>0</v>
      </c>
      <c r="AD61" s="642">
        <v>0</v>
      </c>
      <c r="AE61" s="642">
        <v>0</v>
      </c>
      <c r="AF61" s="642">
        <v>0</v>
      </c>
      <c r="AG61" s="642">
        <v>0</v>
      </c>
      <c r="AH61" s="642">
        <v>0</v>
      </c>
      <c r="AI61" s="642">
        <v>0</v>
      </c>
      <c r="AJ61" s="642">
        <v>0</v>
      </c>
      <c r="AK61" s="650">
        <v>0</v>
      </c>
    </row>
    <row r="62" spans="3:37" ht="13.5">
      <c r="C62" s="648" t="s">
        <v>72</v>
      </c>
      <c r="D62" s="642">
        <v>0</v>
      </c>
      <c r="E62" s="642">
        <v>583.50105466083789</v>
      </c>
      <c r="F62" s="642">
        <v>-577.66604411422952</v>
      </c>
      <c r="G62" s="642">
        <v>0</v>
      </c>
      <c r="H62" s="642">
        <v>0</v>
      </c>
      <c r="I62" s="642">
        <v>0</v>
      </c>
      <c r="J62" s="642">
        <v>0</v>
      </c>
      <c r="K62" s="642">
        <v>0</v>
      </c>
      <c r="L62" s="642">
        <v>0</v>
      </c>
      <c r="M62" s="642">
        <v>0</v>
      </c>
      <c r="N62" s="642">
        <v>0</v>
      </c>
      <c r="O62" s="642">
        <v>0</v>
      </c>
      <c r="P62" s="642">
        <v>0</v>
      </c>
      <c r="Q62" s="642">
        <v>0</v>
      </c>
      <c r="R62" s="642">
        <v>0</v>
      </c>
      <c r="S62" s="650">
        <v>5.8350105466083733</v>
      </c>
      <c r="U62" s="648" t="s">
        <v>72</v>
      </c>
      <c r="V62" s="642">
        <v>0</v>
      </c>
      <c r="W62" s="642">
        <v>513.08713872730914</v>
      </c>
      <c r="X62" s="642">
        <v>-507.95626734003605</v>
      </c>
      <c r="Y62" s="642">
        <v>0</v>
      </c>
      <c r="Z62" s="642">
        <v>0</v>
      </c>
      <c r="AA62" s="642">
        <v>0</v>
      </c>
      <c r="AB62" s="642">
        <v>0</v>
      </c>
      <c r="AC62" s="642">
        <v>0</v>
      </c>
      <c r="AD62" s="642">
        <v>0</v>
      </c>
      <c r="AE62" s="642">
        <v>0</v>
      </c>
      <c r="AF62" s="642">
        <v>0</v>
      </c>
      <c r="AG62" s="642">
        <v>0</v>
      </c>
      <c r="AH62" s="642">
        <v>0</v>
      </c>
      <c r="AI62" s="642">
        <v>0</v>
      </c>
      <c r="AJ62" s="642">
        <v>0</v>
      </c>
      <c r="AK62" s="650">
        <v>5.1308713872730891</v>
      </c>
    </row>
    <row r="63" spans="3:37" ht="13.5">
      <c r="C63" s="648" t="s">
        <v>354</v>
      </c>
      <c r="D63" s="642">
        <v>0</v>
      </c>
      <c r="E63" s="642">
        <v>0</v>
      </c>
      <c r="F63" s="642">
        <v>0</v>
      </c>
      <c r="G63" s="642">
        <v>0</v>
      </c>
      <c r="H63" s="642">
        <v>0</v>
      </c>
      <c r="I63" s="642">
        <v>0</v>
      </c>
      <c r="J63" s="642">
        <v>43.567433114887073</v>
      </c>
      <c r="K63" s="642">
        <v>0</v>
      </c>
      <c r="L63" s="642">
        <v>-43.567433114887073</v>
      </c>
      <c r="M63" s="642">
        <v>0</v>
      </c>
      <c r="N63" s="642">
        <v>0</v>
      </c>
      <c r="O63" s="642">
        <v>0</v>
      </c>
      <c r="P63" s="642">
        <v>0</v>
      </c>
      <c r="Q63" s="642">
        <v>0</v>
      </c>
      <c r="R63" s="642">
        <v>0</v>
      </c>
      <c r="S63" s="650">
        <v>0</v>
      </c>
      <c r="U63" s="648" t="s">
        <v>354</v>
      </c>
      <c r="V63" s="642">
        <v>0</v>
      </c>
      <c r="W63" s="642">
        <v>0</v>
      </c>
      <c r="X63" s="642">
        <v>0</v>
      </c>
      <c r="Y63" s="642">
        <v>0</v>
      </c>
      <c r="Z63" s="642">
        <v>0</v>
      </c>
      <c r="AA63" s="642">
        <v>0</v>
      </c>
      <c r="AB63" s="642" t="e">
        <v>#VALUE!</v>
      </c>
      <c r="AC63" s="642">
        <v>0</v>
      </c>
      <c r="AD63" s="642">
        <v>-45.82837485909166</v>
      </c>
      <c r="AE63" s="642">
        <v>0</v>
      </c>
      <c r="AF63" s="642">
        <v>0</v>
      </c>
      <c r="AG63" s="642">
        <v>0</v>
      </c>
      <c r="AH63" s="642">
        <v>0</v>
      </c>
      <c r="AI63" s="642">
        <v>0</v>
      </c>
      <c r="AJ63" s="642">
        <v>0</v>
      </c>
      <c r="AK63" s="650">
        <v>-45.82837485909166</v>
      </c>
    </row>
    <row r="64" spans="3:37" ht="13.5">
      <c r="C64" s="648" t="s">
        <v>355</v>
      </c>
      <c r="D64" s="642">
        <v>0</v>
      </c>
      <c r="E64" s="642">
        <v>0</v>
      </c>
      <c r="F64" s="642">
        <v>0</v>
      </c>
      <c r="G64" s="642">
        <v>0</v>
      </c>
      <c r="H64" s="642">
        <v>0</v>
      </c>
      <c r="I64" s="642">
        <v>0</v>
      </c>
      <c r="J64" s="642">
        <v>0</v>
      </c>
      <c r="K64" s="642">
        <v>0</v>
      </c>
      <c r="L64" s="642">
        <v>0</v>
      </c>
      <c r="M64" s="642">
        <v>0</v>
      </c>
      <c r="N64" s="642">
        <v>0</v>
      </c>
      <c r="O64" s="642">
        <v>0</v>
      </c>
      <c r="P64" s="642">
        <v>0</v>
      </c>
      <c r="Q64" s="642">
        <v>0</v>
      </c>
      <c r="R64" s="642">
        <v>0</v>
      </c>
      <c r="S64" s="650">
        <v>0</v>
      </c>
      <c r="U64" s="648" t="s">
        <v>355</v>
      </c>
      <c r="V64" s="642">
        <v>0</v>
      </c>
      <c r="W64" s="642">
        <v>0</v>
      </c>
      <c r="X64" s="642">
        <v>0</v>
      </c>
      <c r="Y64" s="642">
        <v>0</v>
      </c>
      <c r="Z64" s="642">
        <v>0</v>
      </c>
      <c r="AA64" s="642">
        <v>0</v>
      </c>
      <c r="AB64" s="642">
        <v>0</v>
      </c>
      <c r="AC64" s="642">
        <v>0</v>
      </c>
      <c r="AD64" s="642">
        <v>0</v>
      </c>
      <c r="AE64" s="642">
        <v>0</v>
      </c>
      <c r="AF64" s="642">
        <v>0</v>
      </c>
      <c r="AG64" s="642">
        <v>0</v>
      </c>
      <c r="AH64" s="642">
        <v>0</v>
      </c>
      <c r="AI64" s="642">
        <v>0</v>
      </c>
      <c r="AJ64" s="642">
        <v>0</v>
      </c>
      <c r="AK64" s="650">
        <v>0</v>
      </c>
    </row>
    <row r="65" spans="3:37" ht="13.5">
      <c r="C65" s="648" t="s">
        <v>73</v>
      </c>
      <c r="D65" s="642">
        <v>0</v>
      </c>
      <c r="E65" s="642">
        <v>0</v>
      </c>
      <c r="F65" s="642">
        <v>0</v>
      </c>
      <c r="G65" s="642">
        <v>0.51300159561157233</v>
      </c>
      <c r="H65" s="642">
        <v>0</v>
      </c>
      <c r="I65" s="642">
        <v>0</v>
      </c>
      <c r="J65" s="642">
        <v>0</v>
      </c>
      <c r="K65" s="642">
        <v>5.6591461181640631E-3</v>
      </c>
      <c r="L65" s="642">
        <v>0</v>
      </c>
      <c r="M65" s="642">
        <v>1.0469420318603517E-2</v>
      </c>
      <c r="N65" s="642">
        <v>0</v>
      </c>
      <c r="O65" s="642">
        <v>0</v>
      </c>
      <c r="P65" s="642">
        <v>3.9614022827148432E-2</v>
      </c>
      <c r="Q65" s="642">
        <v>0</v>
      </c>
      <c r="R65" s="642">
        <v>-0.39614022827148437</v>
      </c>
      <c r="S65" s="650">
        <v>0.17260395660400402</v>
      </c>
      <c r="U65" s="648" t="s">
        <v>73</v>
      </c>
      <c r="V65" s="642">
        <v>0</v>
      </c>
      <c r="W65" s="642">
        <v>0</v>
      </c>
      <c r="X65" s="642">
        <v>0</v>
      </c>
      <c r="Y65" s="642">
        <v>2.0927767434982734</v>
      </c>
      <c r="Z65" s="642">
        <v>0</v>
      </c>
      <c r="AA65" s="642">
        <v>0</v>
      </c>
      <c r="AB65" s="642">
        <v>0</v>
      </c>
      <c r="AC65" s="642">
        <v>3.312665996831457E-2</v>
      </c>
      <c r="AD65" s="642">
        <v>0</v>
      </c>
      <c r="AE65" s="642">
        <v>0.11014614439464597</v>
      </c>
      <c r="AF65" s="642">
        <v>0</v>
      </c>
      <c r="AG65" s="642">
        <v>0</v>
      </c>
      <c r="AH65" s="642">
        <v>1.15943309889101</v>
      </c>
      <c r="AI65" s="642">
        <v>0</v>
      </c>
      <c r="AJ65" s="642">
        <v>-2.31886619778202</v>
      </c>
      <c r="AK65" s="650">
        <v>1.0766164489702237</v>
      </c>
    </row>
    <row r="66" spans="3:37" ht="13.5">
      <c r="C66" s="648" t="s">
        <v>356</v>
      </c>
      <c r="D66" s="642">
        <v>30.168562499999993</v>
      </c>
      <c r="E66" s="642">
        <v>-20.218311543998034</v>
      </c>
      <c r="F66" s="642">
        <v>26.444357300871886</v>
      </c>
      <c r="G66" s="642">
        <v>0</v>
      </c>
      <c r="H66" s="642">
        <v>0</v>
      </c>
      <c r="I66" s="642">
        <v>0</v>
      </c>
      <c r="J66" s="642">
        <v>0</v>
      </c>
      <c r="K66" s="642">
        <v>0</v>
      </c>
      <c r="L66" s="642">
        <v>0</v>
      </c>
      <c r="M66" s="642">
        <v>0</v>
      </c>
      <c r="N66" s="642">
        <v>0</v>
      </c>
      <c r="O66" s="642">
        <v>0</v>
      </c>
      <c r="P66" s="642">
        <v>0</v>
      </c>
      <c r="Q66" s="642">
        <v>0</v>
      </c>
      <c r="R66" s="642">
        <v>0</v>
      </c>
      <c r="S66" s="650">
        <v>36.394608256873845</v>
      </c>
      <c r="U66" s="648" t="s">
        <v>356</v>
      </c>
      <c r="V66" s="642">
        <v>13.02096923828125</v>
      </c>
      <c r="W66" s="642">
        <v>-17.778469356901262</v>
      </c>
      <c r="X66" s="642">
        <v>23.253187829923604</v>
      </c>
      <c r="Y66" s="642">
        <v>0</v>
      </c>
      <c r="Z66" s="642">
        <v>0</v>
      </c>
      <c r="AA66" s="642">
        <v>0</v>
      </c>
      <c r="AB66" s="642">
        <v>0</v>
      </c>
      <c r="AC66" s="642">
        <v>0</v>
      </c>
      <c r="AD66" s="642">
        <v>0</v>
      </c>
      <c r="AE66" s="642">
        <v>0</v>
      </c>
      <c r="AF66" s="642">
        <v>0</v>
      </c>
      <c r="AG66" s="642">
        <v>0</v>
      </c>
      <c r="AH66" s="642">
        <v>0</v>
      </c>
      <c r="AI66" s="642">
        <v>0</v>
      </c>
      <c r="AJ66" s="642">
        <v>0</v>
      </c>
      <c r="AK66" s="650">
        <v>18.495687711303592</v>
      </c>
    </row>
    <row r="67" spans="3:37" ht="13.5">
      <c r="C67" s="648" t="s">
        <v>75</v>
      </c>
      <c r="D67" s="642">
        <v>11.732218749999999</v>
      </c>
      <c r="E67" s="642">
        <v>0</v>
      </c>
      <c r="F67" s="642">
        <v>19.839035858468488</v>
      </c>
      <c r="G67" s="642">
        <v>5.6611272323194495</v>
      </c>
      <c r="H67" s="642">
        <v>0</v>
      </c>
      <c r="I67" s="642">
        <v>0</v>
      </c>
      <c r="J67" s="642">
        <v>0</v>
      </c>
      <c r="K67" s="642">
        <v>0</v>
      </c>
      <c r="L67" s="642">
        <v>0</v>
      </c>
      <c r="M67" s="642">
        <v>0.11553320882284591</v>
      </c>
      <c r="N67" s="642">
        <v>0</v>
      </c>
      <c r="O67" s="642">
        <v>0</v>
      </c>
      <c r="P67" s="642">
        <v>36.290441897725728</v>
      </c>
      <c r="Q67" s="642">
        <v>0</v>
      </c>
      <c r="R67" s="642">
        <v>0</v>
      </c>
      <c r="S67" s="650">
        <v>73.638356947336518</v>
      </c>
      <c r="U67" s="648" t="s">
        <v>75</v>
      </c>
      <c r="V67" s="642">
        <v>10.2975283203125</v>
      </c>
      <c r="W67" s="642">
        <v>0</v>
      </c>
      <c r="X67" s="642">
        <v>19.839035858468488</v>
      </c>
      <c r="Y67" s="642">
        <v>5.487827419085181</v>
      </c>
      <c r="Z67" s="642">
        <v>0</v>
      </c>
      <c r="AA67" s="642">
        <v>0</v>
      </c>
      <c r="AB67" s="642">
        <v>0</v>
      </c>
      <c r="AC67" s="642">
        <v>0</v>
      </c>
      <c r="AD67" s="642">
        <v>0</v>
      </c>
      <c r="AE67" s="642">
        <v>0.28883302205711481</v>
      </c>
      <c r="AF67" s="642">
        <v>0</v>
      </c>
      <c r="AG67" s="642">
        <v>0</v>
      </c>
      <c r="AH67" s="642">
        <v>33.686888178717467</v>
      </c>
      <c r="AI67" s="642">
        <v>0</v>
      </c>
      <c r="AJ67" s="642">
        <v>0</v>
      </c>
      <c r="AK67" s="650">
        <v>69.600112798640737</v>
      </c>
    </row>
    <row r="68" spans="3:37" ht="13.5">
      <c r="C68" s="648" t="s">
        <v>76</v>
      </c>
      <c r="D68" s="642">
        <v>0</v>
      </c>
      <c r="E68" s="642">
        <v>0</v>
      </c>
      <c r="F68" s="642">
        <v>0</v>
      </c>
      <c r="G68" s="642">
        <v>4.1611310137714437</v>
      </c>
      <c r="H68" s="642">
        <v>0</v>
      </c>
      <c r="I68" s="642">
        <v>0</v>
      </c>
      <c r="J68" s="642">
        <v>0</v>
      </c>
      <c r="K68" s="642">
        <v>0</v>
      </c>
      <c r="L68" s="642">
        <v>0</v>
      </c>
      <c r="M68" s="642">
        <v>8.4921041097376401E-2</v>
      </c>
      <c r="N68" s="642">
        <v>0</v>
      </c>
      <c r="O68" s="642">
        <v>0</v>
      </c>
      <c r="P68" s="642">
        <v>39.192716927085932</v>
      </c>
      <c r="Q68" s="642">
        <v>3.2227514144892391</v>
      </c>
      <c r="R68" s="642">
        <v>0</v>
      </c>
      <c r="S68" s="650">
        <v>46.66152039644399</v>
      </c>
      <c r="U68" s="648" t="s">
        <v>76</v>
      </c>
      <c r="V68" s="642">
        <v>0</v>
      </c>
      <c r="W68" s="642">
        <v>0</v>
      </c>
      <c r="X68" s="642">
        <v>0</v>
      </c>
      <c r="Y68" s="642">
        <v>4.2421905472985904</v>
      </c>
      <c r="Z68" s="642">
        <v>0</v>
      </c>
      <c r="AA68" s="642">
        <v>0</v>
      </c>
      <c r="AB68" s="642">
        <v>0</v>
      </c>
      <c r="AC68" s="642">
        <v>0</v>
      </c>
      <c r="AD68" s="642">
        <v>0</v>
      </c>
      <c r="AE68" s="642">
        <v>0.2232731866999258</v>
      </c>
      <c r="AF68" s="642">
        <v>0</v>
      </c>
      <c r="AG68" s="642">
        <v>0</v>
      </c>
      <c r="AH68" s="642">
        <v>39.221580519444494</v>
      </c>
      <c r="AI68" s="642">
        <v>4.4453067332156078</v>
      </c>
      <c r="AJ68" s="642">
        <v>0</v>
      </c>
      <c r="AK68" s="650">
        <v>48.132350986658622</v>
      </c>
    </row>
    <row r="69" spans="3:37" ht="13.5">
      <c r="C69" s="646" t="s">
        <v>77</v>
      </c>
      <c r="D69" s="647">
        <v>44.8550394434155</v>
      </c>
      <c r="E69" s="647">
        <v>563.28274311683981</v>
      </c>
      <c r="F69" s="647">
        <v>-523.5616955322962</v>
      </c>
      <c r="G69" s="647">
        <v>45.593893802178002</v>
      </c>
      <c r="H69" s="647">
        <v>1190.909090909091</v>
      </c>
      <c r="I69" s="647">
        <v>153.14171554603519</v>
      </c>
      <c r="J69" s="647">
        <v>100.40938676969702</v>
      </c>
      <c r="K69" s="647">
        <v>22.145246499701521</v>
      </c>
      <c r="L69" s="647">
        <v>-41.055317091001299</v>
      </c>
      <c r="M69" s="647">
        <v>-6.1176837046980248</v>
      </c>
      <c r="N69" s="647">
        <v>0</v>
      </c>
      <c r="O69" s="647">
        <v>3.4289643920188775</v>
      </c>
      <c r="P69" s="647">
        <v>-500.23719370074849</v>
      </c>
      <c r="Q69" s="647">
        <v>-38.312691958272012</v>
      </c>
      <c r="R69" s="647">
        <v>-0.39614022827148437</v>
      </c>
      <c r="S69" s="647">
        <v>1014.085358263689</v>
      </c>
      <c r="U69" s="646" t="s">
        <v>77</v>
      </c>
      <c r="V69" s="647">
        <v>26.480744653565324</v>
      </c>
      <c r="W69" s="647">
        <v>495.30866937040787</v>
      </c>
      <c r="X69" s="647">
        <v>-458.53069153483614</v>
      </c>
      <c r="Y69" s="647">
        <v>89.092202035840685</v>
      </c>
      <c r="Z69" s="647">
        <v>1105.3443526170799</v>
      </c>
      <c r="AA69" s="647">
        <v>156.32644281876244</v>
      </c>
      <c r="AB69" s="647">
        <v>72.961163821898253</v>
      </c>
      <c r="AC69" s="647">
        <v>27.712026603870047</v>
      </c>
      <c r="AD69" s="647">
        <v>-43.316258835205886</v>
      </c>
      <c r="AE69" s="647">
        <v>-14.02680568075132</v>
      </c>
      <c r="AF69" s="647">
        <v>0</v>
      </c>
      <c r="AG69" s="647">
        <v>5.0716279521827641</v>
      </c>
      <c r="AH69" s="647">
        <v>-498.36770111497077</v>
      </c>
      <c r="AI69" s="647">
        <v>-52.866921943109737</v>
      </c>
      <c r="AJ69" s="647">
        <v>-2.31886619778202</v>
      </c>
      <c r="AK69" s="647">
        <v>908.86998456695119</v>
      </c>
    </row>
    <row r="70" spans="3:37" ht="13">
      <c r="C70" s="636"/>
      <c r="D70" s="636">
        <v>0</v>
      </c>
      <c r="E70" s="636">
        <v>0</v>
      </c>
      <c r="F70" s="636">
        <v>0</v>
      </c>
      <c r="G70" s="636">
        <v>0</v>
      </c>
      <c r="H70" s="636">
        <v>0</v>
      </c>
      <c r="I70" s="636">
        <v>0</v>
      </c>
      <c r="J70" s="636">
        <v>0</v>
      </c>
      <c r="K70" s="636">
        <v>0</v>
      </c>
      <c r="L70" s="636">
        <v>0</v>
      </c>
      <c r="M70" s="636">
        <v>0</v>
      </c>
      <c r="N70" s="636">
        <v>0</v>
      </c>
      <c r="O70" s="636">
        <v>0</v>
      </c>
      <c r="P70" s="636">
        <v>0</v>
      </c>
      <c r="Q70" s="636">
        <v>0</v>
      </c>
      <c r="R70" s="636">
        <v>0</v>
      </c>
      <c r="S70" s="636">
        <v>0</v>
      </c>
      <c r="U70" s="636"/>
      <c r="V70" s="636">
        <v>0</v>
      </c>
      <c r="W70" s="636">
        <v>0</v>
      </c>
      <c r="X70" s="636">
        <v>0</v>
      </c>
      <c r="Y70" s="636">
        <v>0</v>
      </c>
      <c r="Z70" s="636">
        <v>0</v>
      </c>
      <c r="AA70" s="636">
        <v>0</v>
      </c>
      <c r="AB70" s="636">
        <v>0</v>
      </c>
      <c r="AC70" s="636">
        <v>0</v>
      </c>
      <c r="AD70" s="636">
        <v>0</v>
      </c>
      <c r="AE70" s="636">
        <v>0</v>
      </c>
      <c r="AF70" s="636">
        <v>0</v>
      </c>
      <c r="AG70" s="636">
        <v>0</v>
      </c>
      <c r="AH70" s="636">
        <v>0</v>
      </c>
      <c r="AI70" s="636">
        <v>0</v>
      </c>
      <c r="AJ70" s="636">
        <v>0</v>
      </c>
      <c r="AK70" s="636">
        <v>0</v>
      </c>
    </row>
    <row r="71" spans="3:37" ht="13.5">
      <c r="C71" s="648" t="s">
        <v>78</v>
      </c>
      <c r="D71" s="642">
        <v>7.0843993210285721</v>
      </c>
      <c r="E71" s="642">
        <v>0</v>
      </c>
      <c r="F71" s="642">
        <v>27.107499244386606</v>
      </c>
      <c r="G71" s="642">
        <v>109.63750187259986</v>
      </c>
      <c r="H71" s="642">
        <v>0</v>
      </c>
      <c r="I71" s="642">
        <v>0</v>
      </c>
      <c r="J71" s="642">
        <v>17.593885172405454</v>
      </c>
      <c r="K71" s="642">
        <v>1.7237647195692531</v>
      </c>
      <c r="L71" s="642">
        <v>0.83302892187499988</v>
      </c>
      <c r="M71" s="642">
        <v>2.2562819387026423</v>
      </c>
      <c r="N71" s="642">
        <v>0</v>
      </c>
      <c r="O71" s="642">
        <v>3.8289980908217579E-4</v>
      </c>
      <c r="P71" s="642">
        <v>110.31623789955354</v>
      </c>
      <c r="Q71" s="642">
        <v>16.994133911313323</v>
      </c>
      <c r="R71" s="642">
        <v>0.39614022827148437</v>
      </c>
      <c r="S71" s="650">
        <v>293.94325612951479</v>
      </c>
      <c r="U71" s="648" t="s">
        <v>78</v>
      </c>
      <c r="V71" s="642">
        <v>3.885325727516717</v>
      </c>
      <c r="W71" s="642">
        <v>0</v>
      </c>
      <c r="X71" s="642">
        <v>23.321309480837726</v>
      </c>
      <c r="Y71" s="642">
        <v>96.699296914521057</v>
      </c>
      <c r="Z71" s="642">
        <v>0</v>
      </c>
      <c r="AA71" s="642">
        <v>0</v>
      </c>
      <c r="AB71" s="642">
        <v>18.074671536539281</v>
      </c>
      <c r="AC71" s="642">
        <v>5.2394534429757353</v>
      </c>
      <c r="AD71" s="642">
        <v>0.94215535644531256</v>
      </c>
      <c r="AE71" s="642">
        <v>5.1082185801979545</v>
      </c>
      <c r="AF71" s="642">
        <v>0</v>
      </c>
      <c r="AG71" s="642">
        <v>3.8289980908217579E-4</v>
      </c>
      <c r="AH71" s="642">
        <v>125.74204552909232</v>
      </c>
      <c r="AI71" s="642">
        <v>19.862626301688149</v>
      </c>
      <c r="AJ71" s="642">
        <v>1.1177628173828125</v>
      </c>
      <c r="AK71" s="650">
        <v>299.99324858700612</v>
      </c>
    </row>
    <row r="72" spans="3:37" ht="13.5">
      <c r="C72" s="648" t="s">
        <v>79</v>
      </c>
      <c r="D72" s="642">
        <v>0</v>
      </c>
      <c r="E72" s="642">
        <v>0</v>
      </c>
      <c r="F72" s="642">
        <v>408.63289173322238</v>
      </c>
      <c r="G72" s="642">
        <v>6.6484606559899468</v>
      </c>
      <c r="H72" s="642">
        <v>0</v>
      </c>
      <c r="I72" s="642">
        <v>0</v>
      </c>
      <c r="J72" s="642">
        <v>0</v>
      </c>
      <c r="K72" s="642">
        <v>0</v>
      </c>
      <c r="L72" s="642">
        <v>39.656272012198485</v>
      </c>
      <c r="M72" s="642">
        <v>0.13568287053040709</v>
      </c>
      <c r="N72" s="642">
        <v>0</v>
      </c>
      <c r="O72" s="642">
        <v>0</v>
      </c>
      <c r="P72" s="642">
        <v>17.908429224736064</v>
      </c>
      <c r="Q72" s="642">
        <v>0</v>
      </c>
      <c r="R72" s="642">
        <v>0</v>
      </c>
      <c r="S72" s="650">
        <v>472.98173649667723</v>
      </c>
      <c r="U72" s="648" t="s">
        <v>79</v>
      </c>
      <c r="V72" s="642">
        <v>0</v>
      </c>
      <c r="W72" s="642">
        <v>0</v>
      </c>
      <c r="X72" s="642">
        <v>375.77190763394009</v>
      </c>
      <c r="Y72" s="642">
        <v>6.755817454004311</v>
      </c>
      <c r="Z72" s="642">
        <v>0</v>
      </c>
      <c r="AA72" s="642">
        <v>0</v>
      </c>
      <c r="AB72" s="642">
        <v>0</v>
      </c>
      <c r="AC72" s="642">
        <v>0</v>
      </c>
      <c r="AD72" s="642">
        <v>39.472711320953763</v>
      </c>
      <c r="AE72" s="642">
        <v>0.35556933968443744</v>
      </c>
      <c r="AF72" s="642">
        <v>0</v>
      </c>
      <c r="AG72" s="642">
        <v>0</v>
      </c>
      <c r="AH72" s="642">
        <v>17.446496979828503</v>
      </c>
      <c r="AI72" s="642">
        <v>0</v>
      </c>
      <c r="AJ72" s="642">
        <v>0</v>
      </c>
      <c r="AK72" s="650">
        <v>439.80250272841107</v>
      </c>
    </row>
    <row r="73" spans="3:37" ht="13.5">
      <c r="C73" s="648" t="s">
        <v>80</v>
      </c>
      <c r="D73" s="642">
        <v>0</v>
      </c>
      <c r="E73" s="642">
        <v>0</v>
      </c>
      <c r="F73" s="642">
        <v>41.084750674599483</v>
      </c>
      <c r="G73" s="642">
        <v>119.79409980429404</v>
      </c>
      <c r="H73" s="642">
        <v>0</v>
      </c>
      <c r="I73" s="642">
        <v>0</v>
      </c>
      <c r="J73" s="642">
        <v>72.996556103181632</v>
      </c>
      <c r="K73" s="642">
        <v>0</v>
      </c>
      <c r="L73" s="642">
        <v>0</v>
      </c>
      <c r="M73" s="642">
        <v>2.4447775470264088</v>
      </c>
      <c r="N73" s="642">
        <v>32.811205728954405</v>
      </c>
      <c r="O73" s="642">
        <v>1.4994987295121316</v>
      </c>
      <c r="P73" s="642">
        <v>168.17343522041736</v>
      </c>
      <c r="Q73" s="642">
        <v>15.992572069761611</v>
      </c>
      <c r="R73" s="642">
        <v>0</v>
      </c>
      <c r="S73" s="650">
        <v>454.79689587774703</v>
      </c>
      <c r="U73" s="648" t="s">
        <v>80</v>
      </c>
      <c r="V73" s="642">
        <v>0</v>
      </c>
      <c r="W73" s="642">
        <v>0</v>
      </c>
      <c r="X73" s="642">
        <v>34.76631066711105</v>
      </c>
      <c r="Y73" s="642">
        <v>106.63972230210601</v>
      </c>
      <c r="Z73" s="642">
        <v>0</v>
      </c>
      <c r="AA73" s="642">
        <v>0</v>
      </c>
      <c r="AB73" s="642">
        <v>79.335392755141783</v>
      </c>
      <c r="AC73" s="642">
        <v>0</v>
      </c>
      <c r="AD73" s="642">
        <v>0</v>
      </c>
      <c r="AE73" s="642">
        <v>5.6126169632687386</v>
      </c>
      <c r="AF73" s="642">
        <v>35.519956519553347</v>
      </c>
      <c r="AG73" s="642">
        <v>1.427931671492281</v>
      </c>
      <c r="AH73" s="642">
        <v>160.67228544284913</v>
      </c>
      <c r="AI73" s="642">
        <v>25.929258094327544</v>
      </c>
      <c r="AJ73" s="642">
        <v>0</v>
      </c>
      <c r="AK73" s="650">
        <v>449.90347441584998</v>
      </c>
    </row>
    <row r="74" spans="3:37" ht="13.5">
      <c r="C74" s="648" t="s">
        <v>81</v>
      </c>
      <c r="D74" s="642">
        <v>0</v>
      </c>
      <c r="E74" s="642">
        <v>0</v>
      </c>
      <c r="F74" s="642">
        <v>21.278250753083572</v>
      </c>
      <c r="G74" s="642">
        <v>66.807967366338673</v>
      </c>
      <c r="H74" s="642">
        <v>0</v>
      </c>
      <c r="I74" s="642">
        <v>0</v>
      </c>
      <c r="J74" s="642">
        <v>3.9976752731894716</v>
      </c>
      <c r="K74" s="642">
        <v>2.6432002043970358E-2</v>
      </c>
      <c r="L74" s="642">
        <v>0</v>
      </c>
      <c r="M74" s="642">
        <v>1.3634279054354832</v>
      </c>
      <c r="N74" s="642">
        <v>6.5080361221152287</v>
      </c>
      <c r="O74" s="642">
        <v>0.94378280475996701</v>
      </c>
      <c r="P74" s="642">
        <v>131.53831129097264</v>
      </c>
      <c r="Q74" s="642">
        <v>5.3259859771970728</v>
      </c>
      <c r="R74" s="642">
        <v>0</v>
      </c>
      <c r="S74" s="650">
        <v>237.78986949513609</v>
      </c>
      <c r="U74" s="648" t="s">
        <v>81</v>
      </c>
      <c r="V74" s="642">
        <v>0</v>
      </c>
      <c r="W74" s="642">
        <v>0</v>
      </c>
      <c r="X74" s="642">
        <v>15.239894940926636</v>
      </c>
      <c r="Y74" s="642">
        <v>55.988063388934151</v>
      </c>
      <c r="Z74" s="642">
        <v>0</v>
      </c>
      <c r="AA74" s="642">
        <v>0</v>
      </c>
      <c r="AB74" s="642">
        <v>6.2628201133829862</v>
      </c>
      <c r="AC74" s="642">
        <v>2.6432002043970358E-2</v>
      </c>
      <c r="AD74" s="642">
        <v>0</v>
      </c>
      <c r="AE74" s="642">
        <v>2.9467401783649554</v>
      </c>
      <c r="AF74" s="642">
        <v>11.4217194648713</v>
      </c>
      <c r="AG74" s="642">
        <v>1.4420725885698453</v>
      </c>
      <c r="AH74" s="642">
        <v>125.88549835067262</v>
      </c>
      <c r="AI74" s="642">
        <v>7.0750375470940394</v>
      </c>
      <c r="AJ74" s="642">
        <v>0</v>
      </c>
      <c r="AK74" s="650">
        <v>226.28827857486053</v>
      </c>
    </row>
    <row r="75" spans="3:37" ht="13.5">
      <c r="C75" s="648" t="s">
        <v>82</v>
      </c>
      <c r="D75" s="642">
        <v>0</v>
      </c>
      <c r="E75" s="642">
        <v>0</v>
      </c>
      <c r="F75" s="642">
        <v>34.492480565946664</v>
      </c>
      <c r="G75" s="642">
        <v>2.4401253266579648</v>
      </c>
      <c r="H75" s="642">
        <v>0</v>
      </c>
      <c r="I75" s="642">
        <v>0</v>
      </c>
      <c r="J75" s="642">
        <v>0.70706396927287185</v>
      </c>
      <c r="K75" s="642">
        <v>0</v>
      </c>
      <c r="L75" s="642">
        <v>2.2606527751608563</v>
      </c>
      <c r="M75" s="642">
        <v>4.979847605424418E-2</v>
      </c>
      <c r="N75" s="642">
        <v>0</v>
      </c>
      <c r="O75" s="642">
        <v>9.0201671928645533E-2</v>
      </c>
      <c r="P75" s="642">
        <v>8.2455072704191767</v>
      </c>
      <c r="Q75" s="642">
        <v>0</v>
      </c>
      <c r="R75" s="642">
        <v>0</v>
      </c>
      <c r="S75" s="650">
        <v>48.285830055440421</v>
      </c>
      <c r="U75" s="648" t="s">
        <v>82</v>
      </c>
      <c r="V75" s="642">
        <v>0</v>
      </c>
      <c r="W75" s="642">
        <v>0</v>
      </c>
      <c r="X75" s="642">
        <v>33.216742540132081</v>
      </c>
      <c r="Y75" s="642">
        <v>2.5829673934416131</v>
      </c>
      <c r="Z75" s="642">
        <v>0</v>
      </c>
      <c r="AA75" s="642">
        <v>0</v>
      </c>
      <c r="AB75" s="642">
        <v>0.70706396927287185</v>
      </c>
      <c r="AC75" s="642">
        <v>0</v>
      </c>
      <c r="AD75" s="642">
        <v>3.7843312923041141</v>
      </c>
      <c r="AE75" s="642">
        <v>0.13594565228640071</v>
      </c>
      <c r="AF75" s="642">
        <v>0</v>
      </c>
      <c r="AG75" s="642">
        <v>0.36066131262685786</v>
      </c>
      <c r="AH75" s="642">
        <v>8.2670833714025918</v>
      </c>
      <c r="AI75" s="642">
        <v>0</v>
      </c>
      <c r="AJ75" s="642">
        <v>8.6831190235855574E-2</v>
      </c>
      <c r="AK75" s="650">
        <v>49.141626721702394</v>
      </c>
    </row>
    <row r="76" spans="3:37" ht="13.5">
      <c r="C76" s="648" t="s">
        <v>357</v>
      </c>
      <c r="D76" s="642">
        <v>0</v>
      </c>
      <c r="E76" s="642">
        <v>0</v>
      </c>
      <c r="F76" s="642">
        <v>0</v>
      </c>
      <c r="G76" s="642">
        <v>0</v>
      </c>
      <c r="H76" s="642">
        <v>0</v>
      </c>
      <c r="I76" s="642">
        <v>0</v>
      </c>
      <c r="J76" s="642">
        <v>0</v>
      </c>
      <c r="K76" s="642">
        <v>0</v>
      </c>
      <c r="L76" s="642">
        <v>0</v>
      </c>
      <c r="M76" s="642">
        <v>0</v>
      </c>
      <c r="N76" s="642">
        <v>0</v>
      </c>
      <c r="O76" s="642">
        <v>0</v>
      </c>
      <c r="P76" s="642">
        <v>0</v>
      </c>
      <c r="Q76" s="642">
        <v>0</v>
      </c>
      <c r="R76" s="642">
        <v>0</v>
      </c>
      <c r="S76" s="650">
        <v>0</v>
      </c>
      <c r="U76" s="648" t="s">
        <v>357</v>
      </c>
      <c r="V76" s="642">
        <v>0</v>
      </c>
      <c r="W76" s="642">
        <v>0</v>
      </c>
      <c r="X76" s="642">
        <v>0</v>
      </c>
      <c r="Y76" s="642">
        <v>0</v>
      </c>
      <c r="Z76" s="642">
        <v>0</v>
      </c>
      <c r="AA76" s="642">
        <v>0</v>
      </c>
      <c r="AB76" s="642">
        <v>0</v>
      </c>
      <c r="AC76" s="642">
        <v>0</v>
      </c>
      <c r="AD76" s="642">
        <v>0</v>
      </c>
      <c r="AE76" s="642">
        <v>0</v>
      </c>
      <c r="AF76" s="642">
        <v>0</v>
      </c>
      <c r="AG76" s="642">
        <v>0</v>
      </c>
      <c r="AH76" s="642">
        <v>0</v>
      </c>
      <c r="AI76" s="642">
        <v>0</v>
      </c>
      <c r="AJ76" s="642">
        <v>0</v>
      </c>
      <c r="AK76" s="650">
        <v>0</v>
      </c>
    </row>
    <row r="77" spans="3:37" ht="13.5">
      <c r="C77" s="646" t="s">
        <v>83</v>
      </c>
      <c r="D77" s="647">
        <v>7.0843993210285721</v>
      </c>
      <c r="E77" s="647">
        <v>0</v>
      </c>
      <c r="F77" s="647">
        <v>532.59587297123869</v>
      </c>
      <c r="G77" s="647">
        <v>305.32815502588045</v>
      </c>
      <c r="H77" s="647">
        <v>0</v>
      </c>
      <c r="I77" s="647">
        <v>0</v>
      </c>
      <c r="J77" s="647">
        <v>95.295180518049435</v>
      </c>
      <c r="K77" s="647">
        <v>1.7501967216132235</v>
      </c>
      <c r="L77" s="647">
        <v>42.74995370923434</v>
      </c>
      <c r="M77" s="647">
        <v>6.2499687377491853</v>
      </c>
      <c r="N77" s="647">
        <v>39.319241851069634</v>
      </c>
      <c r="O77" s="647">
        <v>2.5338661060098264</v>
      </c>
      <c r="P77" s="647">
        <v>436.18192090609881</v>
      </c>
      <c r="Q77" s="647">
        <v>38.312691958272005</v>
      </c>
      <c r="R77" s="647">
        <v>0.39614022827148437</v>
      </c>
      <c r="S77" s="647">
        <v>1507.7975880545155</v>
      </c>
      <c r="U77" s="646" t="s">
        <v>83</v>
      </c>
      <c r="V77" s="647">
        <v>3.885325727516717</v>
      </c>
      <c r="W77" s="647">
        <v>0</v>
      </c>
      <c r="X77" s="647">
        <v>482.31616526294755</v>
      </c>
      <c r="Y77" s="647">
        <v>268.66586745300714</v>
      </c>
      <c r="Z77" s="647">
        <v>0</v>
      </c>
      <c r="AA77" s="647">
        <v>0</v>
      </c>
      <c r="AB77" s="647">
        <v>104.37994837433692</v>
      </c>
      <c r="AC77" s="647">
        <v>5.2658854450197055</v>
      </c>
      <c r="AD77" s="647">
        <v>44.199197969703192</v>
      </c>
      <c r="AE77" s="647">
        <v>14.159090713802485</v>
      </c>
      <c r="AF77" s="647">
        <v>46.941675984424649</v>
      </c>
      <c r="AG77" s="647">
        <v>3.2310484724980664</v>
      </c>
      <c r="AH77" s="647">
        <v>438.0134096738451</v>
      </c>
      <c r="AI77" s="647">
        <v>52.866921943109737</v>
      </c>
      <c r="AJ77" s="647">
        <v>1.2045940076186681</v>
      </c>
      <c r="AK77" s="647">
        <v>1465.1291310278302</v>
      </c>
    </row>
    <row r="78" spans="3:37" ht="13.5">
      <c r="C78" s="641" t="s">
        <v>84</v>
      </c>
      <c r="D78" s="642">
        <v>0</v>
      </c>
      <c r="E78" s="642">
        <v>0</v>
      </c>
      <c r="F78" s="642">
        <v>127.25135409198229</v>
      </c>
      <c r="G78" s="642">
        <v>12.538633041459809</v>
      </c>
      <c r="H78" s="642">
        <v>0</v>
      </c>
      <c r="I78" s="642">
        <v>0</v>
      </c>
      <c r="J78" s="642">
        <v>0</v>
      </c>
      <c r="K78" s="642">
        <v>0</v>
      </c>
      <c r="L78" s="642">
        <v>0</v>
      </c>
      <c r="M78" s="642">
        <v>0</v>
      </c>
      <c r="N78" s="642">
        <v>0</v>
      </c>
      <c r="O78" s="642">
        <v>0</v>
      </c>
      <c r="P78" s="642">
        <v>0</v>
      </c>
      <c r="Q78" s="642">
        <v>0</v>
      </c>
      <c r="R78" s="642">
        <v>0</v>
      </c>
      <c r="S78" s="650">
        <v>139.78998713344208</v>
      </c>
      <c r="U78" s="641" t="s">
        <v>84</v>
      </c>
      <c r="V78" s="642">
        <v>0</v>
      </c>
      <c r="W78" s="642">
        <v>0</v>
      </c>
      <c r="X78" s="642">
        <v>128.77178857297574</v>
      </c>
      <c r="Y78" s="642">
        <v>1.8429610546316848</v>
      </c>
      <c r="Z78" s="642">
        <v>0</v>
      </c>
      <c r="AA78" s="642">
        <v>0</v>
      </c>
      <c r="AB78" s="642">
        <v>0</v>
      </c>
      <c r="AC78" s="642">
        <v>0</v>
      </c>
      <c r="AD78" s="642">
        <v>0.17036074218750002</v>
      </c>
      <c r="AE78" s="642">
        <v>0</v>
      </c>
      <c r="AF78" s="642">
        <v>0</v>
      </c>
      <c r="AG78" s="642">
        <v>0</v>
      </c>
      <c r="AH78" s="642">
        <v>0</v>
      </c>
      <c r="AI78" s="642">
        <v>0</v>
      </c>
      <c r="AJ78" s="642">
        <v>1.1142721901633521</v>
      </c>
      <c r="AK78" s="650">
        <v>131.89938255995827</v>
      </c>
    </row>
    <row r="79" spans="3:37" ht="13.5">
      <c r="C79" s="646" t="s">
        <v>85</v>
      </c>
      <c r="D79" s="647">
        <v>7.0843993210285721</v>
      </c>
      <c r="E79" s="647">
        <v>0</v>
      </c>
      <c r="F79" s="647">
        <v>659.847227063221</v>
      </c>
      <c r="G79" s="647">
        <v>317.86678806734028</v>
      </c>
      <c r="H79" s="647">
        <v>0</v>
      </c>
      <c r="I79" s="647">
        <v>0</v>
      </c>
      <c r="J79" s="647">
        <v>95.295180518049435</v>
      </c>
      <c r="K79" s="647">
        <v>1.7501967216132235</v>
      </c>
      <c r="L79" s="647">
        <v>42.74995370923434</v>
      </c>
      <c r="M79" s="647">
        <v>6.2499687377491853</v>
      </c>
      <c r="N79" s="647">
        <v>39.319241851069634</v>
      </c>
      <c r="O79" s="647">
        <v>2.5338661060098264</v>
      </c>
      <c r="P79" s="647">
        <v>436.18192090609881</v>
      </c>
      <c r="Q79" s="647">
        <v>38.312691958272005</v>
      </c>
      <c r="R79" s="647">
        <v>0.39614022827148437</v>
      </c>
      <c r="S79" s="647">
        <v>1647.5875751879578</v>
      </c>
      <c r="U79" s="646" t="s">
        <v>85</v>
      </c>
      <c r="V79" s="647">
        <v>3.885325727516717</v>
      </c>
      <c r="W79" s="647">
        <v>0</v>
      </c>
      <c r="X79" s="647">
        <v>611.08795383592337</v>
      </c>
      <c r="Y79" s="647">
        <v>270.50882850763884</v>
      </c>
      <c r="Z79" s="647">
        <v>0</v>
      </c>
      <c r="AA79" s="647">
        <v>0</v>
      </c>
      <c r="AB79" s="647">
        <v>104.37994837433692</v>
      </c>
      <c r="AC79" s="647">
        <v>5.2658854450197055</v>
      </c>
      <c r="AD79" s="647">
        <v>44.36955871189069</v>
      </c>
      <c r="AE79" s="647">
        <v>14.159090713802485</v>
      </c>
      <c r="AF79" s="647">
        <v>46.941675984424649</v>
      </c>
      <c r="AG79" s="647">
        <v>3.2310484724980664</v>
      </c>
      <c r="AH79" s="647">
        <v>438.0134096738451</v>
      </c>
      <c r="AI79" s="647">
        <v>52.866921943109737</v>
      </c>
      <c r="AJ79" s="647">
        <v>2.31886619778202</v>
      </c>
      <c r="AK79" s="647">
        <v>1597.0285135877887</v>
      </c>
    </row>
    <row r="80" spans="3:37" ht="13">
      <c r="C80" s="636"/>
      <c r="D80" s="636"/>
      <c r="E80" s="636"/>
      <c r="F80" s="636"/>
      <c r="G80" s="636"/>
      <c r="H80" s="636"/>
      <c r="I80" s="636"/>
      <c r="J80" s="636"/>
      <c r="K80" s="636"/>
      <c r="L80" s="636"/>
      <c r="M80" s="636"/>
      <c r="N80" s="636"/>
      <c r="O80" s="636"/>
      <c r="P80" s="636"/>
      <c r="Q80" s="636"/>
      <c r="R80" s="636"/>
      <c r="S80" s="636"/>
      <c r="U80" s="636"/>
      <c r="V80" s="636"/>
      <c r="W80" s="636"/>
      <c r="X80" s="636"/>
      <c r="Y80" s="636"/>
      <c r="Z80" s="636"/>
      <c r="AA80" s="636"/>
      <c r="AB80" s="636"/>
      <c r="AC80" s="636"/>
      <c r="AD80" s="636"/>
      <c r="AE80" s="636"/>
      <c r="AF80" s="636"/>
      <c r="AG80" s="636"/>
      <c r="AH80" s="636"/>
      <c r="AI80" s="636"/>
      <c r="AJ80" s="636"/>
      <c r="AK80" s="636"/>
    </row>
    <row r="81" spans="3:37" ht="22.5">
      <c r="C81" s="699" t="s">
        <v>359</v>
      </c>
      <c r="D81" s="699"/>
      <c r="E81" s="699"/>
      <c r="F81" s="699"/>
      <c r="G81" s="699"/>
      <c r="H81" s="699"/>
      <c r="I81" s="699"/>
      <c r="J81" s="699"/>
      <c r="K81" s="699"/>
      <c r="L81" s="699"/>
      <c r="M81" s="699"/>
      <c r="N81" s="699"/>
      <c r="O81" s="699"/>
      <c r="P81" s="699"/>
      <c r="Q81" s="699"/>
      <c r="R81" s="699"/>
      <c r="S81" s="699"/>
      <c r="U81" s="699" t="s">
        <v>359</v>
      </c>
      <c r="V81" s="699"/>
      <c r="W81" s="699"/>
      <c r="X81" s="699"/>
      <c r="Y81" s="699"/>
      <c r="Z81" s="699"/>
      <c r="AA81" s="699"/>
      <c r="AB81" s="699"/>
      <c r="AC81" s="699"/>
      <c r="AD81" s="699"/>
      <c r="AE81" s="699"/>
      <c r="AF81" s="699"/>
      <c r="AG81" s="699"/>
      <c r="AH81" s="699"/>
      <c r="AI81" s="699"/>
      <c r="AJ81" s="699"/>
      <c r="AK81" s="699"/>
    </row>
    <row r="82" spans="3:37" ht="13">
      <c r="C82" s="636"/>
      <c r="D82" s="636"/>
      <c r="E82" s="636"/>
      <c r="F82" s="636"/>
      <c r="G82" s="636"/>
      <c r="H82" s="636"/>
      <c r="I82" s="636"/>
      <c r="J82" s="636"/>
      <c r="K82" s="636"/>
      <c r="L82" s="636"/>
      <c r="M82" s="636"/>
      <c r="N82" s="636"/>
      <c r="O82" s="636"/>
      <c r="P82" s="636"/>
      <c r="Q82" s="636"/>
      <c r="R82" s="636"/>
      <c r="S82" s="636"/>
      <c r="U82" s="636"/>
      <c r="V82" s="636"/>
      <c r="W82" s="636"/>
      <c r="X82" s="636"/>
      <c r="Y82" s="636"/>
      <c r="Z82" s="636"/>
      <c r="AA82" s="636"/>
      <c r="AB82" s="636"/>
      <c r="AC82" s="636"/>
      <c r="AD82" s="636"/>
      <c r="AE82" s="636"/>
      <c r="AF82" s="636"/>
      <c r="AG82" s="636"/>
      <c r="AH82" s="636"/>
      <c r="AI82" s="636"/>
      <c r="AJ82" s="636"/>
      <c r="AK82" s="636"/>
    </row>
    <row r="83" spans="3:37" ht="13" customHeight="1">
      <c r="C83" s="700" t="s">
        <v>128</v>
      </c>
      <c r="D83" s="701" t="s">
        <v>42</v>
      </c>
      <c r="E83" s="701" t="s">
        <v>52</v>
      </c>
      <c r="F83" s="701" t="s">
        <v>53</v>
      </c>
      <c r="G83" s="701" t="s">
        <v>32</v>
      </c>
      <c r="H83" s="701" t="s">
        <v>20</v>
      </c>
      <c r="I83" s="701" t="s">
        <v>55</v>
      </c>
      <c r="J83" s="701" t="s">
        <v>56</v>
      </c>
      <c r="K83" s="701"/>
      <c r="L83" s="701"/>
      <c r="M83" s="701"/>
      <c r="N83" s="701"/>
      <c r="O83" s="701"/>
      <c r="P83" s="701" t="s">
        <v>57</v>
      </c>
      <c r="Q83" s="701" t="s">
        <v>58</v>
      </c>
      <c r="R83" s="701" t="s">
        <v>31</v>
      </c>
      <c r="S83" s="701" t="s">
        <v>10</v>
      </c>
      <c r="U83" s="700" t="s">
        <v>128</v>
      </c>
      <c r="V83" s="701" t="s">
        <v>42</v>
      </c>
      <c r="W83" s="701" t="s">
        <v>52</v>
      </c>
      <c r="X83" s="701" t="s">
        <v>53</v>
      </c>
      <c r="Y83" s="701" t="s">
        <v>32</v>
      </c>
      <c r="Z83" s="701" t="s">
        <v>20</v>
      </c>
      <c r="AA83" s="701" t="s">
        <v>55</v>
      </c>
      <c r="AB83" s="701" t="s">
        <v>56</v>
      </c>
      <c r="AC83" s="701"/>
      <c r="AD83" s="701"/>
      <c r="AE83" s="701"/>
      <c r="AF83" s="701"/>
      <c r="AG83" s="701"/>
      <c r="AH83" s="701" t="s">
        <v>57</v>
      </c>
      <c r="AI83" s="701" t="s">
        <v>58</v>
      </c>
      <c r="AJ83" s="701" t="s">
        <v>31</v>
      </c>
      <c r="AK83" s="701" t="s">
        <v>10</v>
      </c>
    </row>
    <row r="84" spans="3:37" ht="46">
      <c r="C84" s="700"/>
      <c r="D84" s="701"/>
      <c r="E84" s="701"/>
      <c r="F84" s="701"/>
      <c r="G84" s="701"/>
      <c r="H84" s="701"/>
      <c r="I84" s="701"/>
      <c r="J84" s="640" t="s">
        <v>338</v>
      </c>
      <c r="K84" s="640" t="s">
        <v>40</v>
      </c>
      <c r="L84" s="640" t="s">
        <v>346</v>
      </c>
      <c r="M84" s="640" t="s">
        <v>347</v>
      </c>
      <c r="N84" s="640" t="s">
        <v>348</v>
      </c>
      <c r="O84" s="640" t="s">
        <v>349</v>
      </c>
      <c r="P84" s="701"/>
      <c r="Q84" s="701"/>
      <c r="R84" s="701"/>
      <c r="S84" s="701"/>
      <c r="U84" s="700"/>
      <c r="V84" s="701"/>
      <c r="W84" s="701"/>
      <c r="X84" s="701"/>
      <c r="Y84" s="701"/>
      <c r="Z84" s="701"/>
      <c r="AA84" s="701"/>
      <c r="AB84" s="640" t="s">
        <v>338</v>
      </c>
      <c r="AC84" s="640" t="s">
        <v>40</v>
      </c>
      <c r="AD84" s="640" t="s">
        <v>346</v>
      </c>
      <c r="AE84" s="640" t="s">
        <v>347</v>
      </c>
      <c r="AF84" s="640" t="s">
        <v>348</v>
      </c>
      <c r="AG84" s="640" t="s">
        <v>349</v>
      </c>
      <c r="AH84" s="701"/>
      <c r="AI84" s="701"/>
      <c r="AJ84" s="701"/>
      <c r="AK84" s="701"/>
    </row>
    <row r="85" spans="3:37" ht="13.5">
      <c r="C85" s="641" t="s">
        <v>59</v>
      </c>
      <c r="D85" s="642">
        <v>0</v>
      </c>
      <c r="E85" s="643">
        <v>9.7691999999999997</v>
      </c>
      <c r="F85" s="643">
        <v>0</v>
      </c>
      <c r="G85" s="642">
        <v>0.18608000000000002</v>
      </c>
      <c r="H85" s="643">
        <v>1190.909090909091</v>
      </c>
      <c r="I85" s="643">
        <v>172.65095069399246</v>
      </c>
      <c r="J85" s="643">
        <v>190.83629555260256</v>
      </c>
      <c r="K85" s="643">
        <v>22.859954043709436</v>
      </c>
      <c r="L85" s="643">
        <v>0.28638238403450345</v>
      </c>
      <c r="M85" s="643">
        <v>0.13461365170799597</v>
      </c>
      <c r="N85" s="643">
        <v>45.31680426782367</v>
      </c>
      <c r="O85" s="643">
        <v>7.2729377495964416</v>
      </c>
      <c r="P85" s="644">
        <v>0</v>
      </c>
      <c r="Q85" s="643">
        <v>0</v>
      </c>
      <c r="R85" s="643">
        <v>0</v>
      </c>
      <c r="S85" s="645">
        <v>1640.222309252558</v>
      </c>
      <c r="U85" s="641" t="s">
        <v>59</v>
      </c>
      <c r="V85" s="642">
        <v>0</v>
      </c>
      <c r="W85" s="643">
        <v>9.7691999999999997</v>
      </c>
      <c r="X85" s="643">
        <v>0</v>
      </c>
      <c r="Y85" s="642">
        <v>0.18608000000000002</v>
      </c>
      <c r="Z85" s="643">
        <v>1083.7741046831957</v>
      </c>
      <c r="AA85" s="643">
        <v>180.88004160308333</v>
      </c>
      <c r="AB85" s="643">
        <v>179.66191601295682</v>
      </c>
      <c r="AC85" s="643">
        <v>35.233025744634077</v>
      </c>
      <c r="AD85" s="643">
        <v>0.28638238403450345</v>
      </c>
      <c r="AE85" s="643">
        <v>0.13461365170799597</v>
      </c>
      <c r="AF85" s="643">
        <v>55.315214066923446</v>
      </c>
      <c r="AG85" s="643">
        <v>11.104217144375802</v>
      </c>
      <c r="AH85" s="644">
        <v>0</v>
      </c>
      <c r="AI85" s="643">
        <v>0</v>
      </c>
      <c r="AJ85" s="643">
        <v>0</v>
      </c>
      <c r="AK85" s="645">
        <v>1556.3447952909116</v>
      </c>
    </row>
    <row r="86" spans="3:37" ht="13.5">
      <c r="C86" s="641" t="s">
        <v>60</v>
      </c>
      <c r="D86" s="642">
        <v>50.272309821560647</v>
      </c>
      <c r="E86" s="643">
        <v>541.69545178681915</v>
      </c>
      <c r="F86" s="643">
        <v>188.86081515186203</v>
      </c>
      <c r="G86" s="642">
        <v>351.61513464214681</v>
      </c>
      <c r="H86" s="643">
        <v>0</v>
      </c>
      <c r="I86" s="643">
        <v>0</v>
      </c>
      <c r="J86" s="643">
        <v>2.7986686910966072</v>
      </c>
      <c r="K86" s="643">
        <v>0</v>
      </c>
      <c r="L86" s="643">
        <v>1.9601939880201746</v>
      </c>
      <c r="M86" s="643">
        <v>0</v>
      </c>
      <c r="N86" s="643">
        <v>0</v>
      </c>
      <c r="O86" s="643">
        <v>0</v>
      </c>
      <c r="P86" s="644">
        <v>0</v>
      </c>
      <c r="Q86" s="643">
        <v>0</v>
      </c>
      <c r="R86" s="643">
        <v>0</v>
      </c>
      <c r="S86" s="645">
        <v>1137.2025740815054</v>
      </c>
      <c r="U86" s="641" t="s">
        <v>60</v>
      </c>
      <c r="V86" s="642">
        <v>19.313313128242111</v>
      </c>
      <c r="W86" s="643">
        <v>439.73434116717101</v>
      </c>
      <c r="X86" s="643">
        <v>187.81160121991923</v>
      </c>
      <c r="Y86" s="642">
        <v>309.5644193276562</v>
      </c>
      <c r="Z86" s="643">
        <v>0</v>
      </c>
      <c r="AA86" s="643">
        <v>0</v>
      </c>
      <c r="AB86" s="643">
        <v>2.7986686910966072</v>
      </c>
      <c r="AC86" s="643">
        <v>0</v>
      </c>
      <c r="AD86" s="643">
        <v>1.9601939880201746</v>
      </c>
      <c r="AE86" s="643">
        <v>0</v>
      </c>
      <c r="AF86" s="643">
        <v>0</v>
      </c>
      <c r="AG86" s="643">
        <v>0</v>
      </c>
      <c r="AH86" s="644">
        <v>0</v>
      </c>
      <c r="AI86" s="643">
        <v>0</v>
      </c>
      <c r="AJ86" s="643">
        <v>0</v>
      </c>
      <c r="AK86" s="645">
        <v>961.18253752210535</v>
      </c>
    </row>
    <row r="87" spans="3:37" ht="13.5">
      <c r="C87" s="641" t="s">
        <v>61</v>
      </c>
      <c r="D87" s="642">
        <v>0</v>
      </c>
      <c r="E87" s="643">
        <v>0</v>
      </c>
      <c r="F87" s="643">
        <v>0</v>
      </c>
      <c r="G87" s="642">
        <v>0</v>
      </c>
      <c r="H87" s="643">
        <v>0</v>
      </c>
      <c r="I87" s="643">
        <v>0</v>
      </c>
      <c r="J87" s="643">
        <v>0</v>
      </c>
      <c r="K87" s="643">
        <v>0</v>
      </c>
      <c r="L87" s="643">
        <v>0</v>
      </c>
      <c r="M87" s="643">
        <v>0</v>
      </c>
      <c r="N87" s="643">
        <v>0</v>
      </c>
      <c r="O87" s="643">
        <v>0</v>
      </c>
      <c r="P87" s="644">
        <v>-71.534753758802367</v>
      </c>
      <c r="Q87" s="643">
        <v>0</v>
      </c>
      <c r="R87" s="643">
        <v>0</v>
      </c>
      <c r="S87" s="645">
        <v>-71.534753758802367</v>
      </c>
      <c r="U87" s="641" t="s">
        <v>61</v>
      </c>
      <c r="V87" s="642">
        <v>0</v>
      </c>
      <c r="W87" s="643">
        <v>0</v>
      </c>
      <c r="X87" s="643">
        <v>0</v>
      </c>
      <c r="Y87" s="642">
        <v>0</v>
      </c>
      <c r="Z87" s="643">
        <v>0</v>
      </c>
      <c r="AA87" s="643">
        <v>0</v>
      </c>
      <c r="AB87" s="643">
        <v>0</v>
      </c>
      <c r="AC87" s="643">
        <v>0</v>
      </c>
      <c r="AD87" s="643">
        <v>0</v>
      </c>
      <c r="AE87" s="643">
        <v>0</v>
      </c>
      <c r="AF87" s="643">
        <v>0</v>
      </c>
      <c r="AG87" s="643">
        <v>0</v>
      </c>
      <c r="AH87" s="644">
        <v>-59.869044369838548</v>
      </c>
      <c r="AI87" s="643">
        <v>0</v>
      </c>
      <c r="AJ87" s="643">
        <v>0</v>
      </c>
      <c r="AK87" s="645">
        <v>-59.869044369838548</v>
      </c>
    </row>
    <row r="88" spans="3:37" ht="13.5">
      <c r="C88" s="641" t="s">
        <v>62</v>
      </c>
      <c r="D88" s="642">
        <v>0</v>
      </c>
      <c r="E88" s="643">
        <v>0</v>
      </c>
      <c r="F88" s="643">
        <v>-17.07041205275393</v>
      </c>
      <c r="G88" s="642">
        <v>0</v>
      </c>
      <c r="H88" s="643">
        <v>0</v>
      </c>
      <c r="I88" s="643">
        <v>0</v>
      </c>
      <c r="J88" s="643">
        <v>0</v>
      </c>
      <c r="K88" s="643">
        <v>0</v>
      </c>
      <c r="L88" s="643">
        <v>0</v>
      </c>
      <c r="M88" s="643">
        <v>0</v>
      </c>
      <c r="N88" s="643">
        <v>0</v>
      </c>
      <c r="O88" s="643">
        <v>0</v>
      </c>
      <c r="P88" s="644">
        <v>0</v>
      </c>
      <c r="Q88" s="643">
        <v>0</v>
      </c>
      <c r="R88" s="643">
        <v>0</v>
      </c>
      <c r="S88" s="645">
        <v>-17.07041205275393</v>
      </c>
      <c r="U88" s="641" t="s">
        <v>62</v>
      </c>
      <c r="V88" s="642">
        <v>0</v>
      </c>
      <c r="W88" s="643">
        <v>0</v>
      </c>
      <c r="X88" s="643">
        <v>-16.843089298461354</v>
      </c>
      <c r="Y88" s="642">
        <v>-3.370970564953437E-2</v>
      </c>
      <c r="Z88" s="643">
        <v>0</v>
      </c>
      <c r="AA88" s="643">
        <v>0</v>
      </c>
      <c r="AB88" s="643">
        <v>0</v>
      </c>
      <c r="AC88" s="643">
        <v>0</v>
      </c>
      <c r="AD88" s="643">
        <v>0</v>
      </c>
      <c r="AE88" s="643">
        <v>-3.7455228499482631E-3</v>
      </c>
      <c r="AF88" s="643">
        <v>0</v>
      </c>
      <c r="AG88" s="643">
        <v>0</v>
      </c>
      <c r="AH88" s="644">
        <v>0</v>
      </c>
      <c r="AI88" s="643">
        <v>0</v>
      </c>
      <c r="AJ88" s="643">
        <v>0</v>
      </c>
      <c r="AK88" s="645">
        <v>-16.880544526960836</v>
      </c>
    </row>
    <row r="89" spans="3:37" ht="13.5">
      <c r="C89" s="641" t="s">
        <v>63</v>
      </c>
      <c r="D89" s="642">
        <v>0</v>
      </c>
      <c r="E89" s="643">
        <v>0</v>
      </c>
      <c r="F89" s="643">
        <v>-79.881990921256516</v>
      </c>
      <c r="G89" s="642">
        <v>0</v>
      </c>
      <c r="H89" s="643">
        <v>0</v>
      </c>
      <c r="I89" s="643">
        <v>0</v>
      </c>
      <c r="J89" s="643">
        <v>0</v>
      </c>
      <c r="K89" s="643">
        <v>0</v>
      </c>
      <c r="L89" s="643">
        <v>-0.82615205603276265</v>
      </c>
      <c r="M89" s="643">
        <v>0</v>
      </c>
      <c r="N89" s="643">
        <v>0</v>
      </c>
      <c r="O89" s="643">
        <v>0</v>
      </c>
      <c r="P89" s="644">
        <v>0</v>
      </c>
      <c r="Q89" s="643">
        <v>0</v>
      </c>
      <c r="R89" s="643">
        <v>0</v>
      </c>
      <c r="S89" s="645">
        <v>-80.708142977289285</v>
      </c>
      <c r="U89" s="641" t="s">
        <v>63</v>
      </c>
      <c r="V89" s="642">
        <v>0</v>
      </c>
      <c r="W89" s="643">
        <v>0</v>
      </c>
      <c r="X89" s="643">
        <v>-78.255878538705957</v>
      </c>
      <c r="Y89" s="642">
        <v>0</v>
      </c>
      <c r="Z89" s="643">
        <v>0</v>
      </c>
      <c r="AA89" s="643">
        <v>0</v>
      </c>
      <c r="AB89" s="643">
        <v>0</v>
      </c>
      <c r="AC89" s="643">
        <v>0</v>
      </c>
      <c r="AD89" s="643">
        <v>-2.9528968014026442</v>
      </c>
      <c r="AE89" s="643">
        <v>0</v>
      </c>
      <c r="AF89" s="643">
        <v>0</v>
      </c>
      <c r="AG89" s="643">
        <v>0</v>
      </c>
      <c r="AH89" s="644">
        <v>0</v>
      </c>
      <c r="AI89" s="643">
        <v>0</v>
      </c>
      <c r="AJ89" s="643">
        <v>0</v>
      </c>
      <c r="AK89" s="645">
        <v>-81.208775340108602</v>
      </c>
    </row>
    <row r="90" spans="3:37" ht="13.5">
      <c r="C90" s="641" t="s">
        <v>64</v>
      </c>
      <c r="D90" s="642">
        <v>0</v>
      </c>
      <c r="E90" s="643">
        <v>0</v>
      </c>
      <c r="F90" s="643">
        <v>0</v>
      </c>
      <c r="G90" s="642">
        <v>0</v>
      </c>
      <c r="H90" s="643">
        <v>0</v>
      </c>
      <c r="I90" s="643">
        <v>0</v>
      </c>
      <c r="J90" s="643">
        <v>0</v>
      </c>
      <c r="K90" s="643">
        <v>0</v>
      </c>
      <c r="L90" s="643">
        <v>0</v>
      </c>
      <c r="M90" s="643">
        <v>0</v>
      </c>
      <c r="N90" s="643">
        <v>0</v>
      </c>
      <c r="O90" s="643">
        <v>0</v>
      </c>
      <c r="P90" s="644">
        <v>0</v>
      </c>
      <c r="Q90" s="643">
        <v>0</v>
      </c>
      <c r="R90" s="643">
        <v>0</v>
      </c>
      <c r="S90" s="645">
        <v>0</v>
      </c>
      <c r="U90" s="641" t="s">
        <v>64</v>
      </c>
      <c r="V90" s="642">
        <v>0</v>
      </c>
      <c r="W90" s="643">
        <v>0</v>
      </c>
      <c r="X90" s="643">
        <v>0</v>
      </c>
      <c r="Y90" s="642">
        <v>0</v>
      </c>
      <c r="Z90" s="643">
        <v>0</v>
      </c>
      <c r="AA90" s="643">
        <v>0</v>
      </c>
      <c r="AB90" s="643">
        <v>0</v>
      </c>
      <c r="AC90" s="643">
        <v>0</v>
      </c>
      <c r="AD90" s="643">
        <v>0</v>
      </c>
      <c r="AE90" s="643">
        <v>0</v>
      </c>
      <c r="AF90" s="643">
        <v>0</v>
      </c>
      <c r="AG90" s="643">
        <v>0</v>
      </c>
      <c r="AH90" s="644">
        <v>0</v>
      </c>
      <c r="AI90" s="643">
        <v>0</v>
      </c>
      <c r="AJ90" s="643">
        <v>0</v>
      </c>
      <c r="AK90" s="645">
        <v>0</v>
      </c>
    </row>
    <row r="91" spans="3:37" ht="13.5">
      <c r="C91" s="646" t="s">
        <v>65</v>
      </c>
      <c r="D91" s="647">
        <v>50.272309821560647</v>
      </c>
      <c r="E91" s="647">
        <v>551.4646517868191</v>
      </c>
      <c r="F91" s="647">
        <v>91.908412177851574</v>
      </c>
      <c r="G91" s="647">
        <v>351.80121464214682</v>
      </c>
      <c r="H91" s="647">
        <v>1190.909090909091</v>
      </c>
      <c r="I91" s="647">
        <v>172.65095069399246</v>
      </c>
      <c r="J91" s="647">
        <v>193.63496424369919</v>
      </c>
      <c r="K91" s="647">
        <v>22.859954043709436</v>
      </c>
      <c r="L91" s="647">
        <v>1.4204243160219152</v>
      </c>
      <c r="M91" s="647">
        <v>0.13461365170799597</v>
      </c>
      <c r="N91" s="647">
        <v>45.31680426782367</v>
      </c>
      <c r="O91" s="647">
        <v>7.2729377495964416</v>
      </c>
      <c r="P91" s="647">
        <v>-71.534753758802367</v>
      </c>
      <c r="Q91" s="647">
        <v>0</v>
      </c>
      <c r="R91" s="647">
        <v>0</v>
      </c>
      <c r="S91" s="647">
        <v>2608.111574545218</v>
      </c>
      <c r="U91" s="646" t="s">
        <v>65</v>
      </c>
      <c r="V91" s="647">
        <v>19.313313128242111</v>
      </c>
      <c r="W91" s="647">
        <v>449.50354116717102</v>
      </c>
      <c r="X91" s="647">
        <v>92.712633382751903</v>
      </c>
      <c r="Y91" s="647">
        <v>309.71678962200667</v>
      </c>
      <c r="Z91" s="647">
        <v>1083.7741046831957</v>
      </c>
      <c r="AA91" s="647">
        <v>180.88004160308333</v>
      </c>
      <c r="AB91" s="647">
        <v>182.46058470405345</v>
      </c>
      <c r="AC91" s="647">
        <v>35.233025744634077</v>
      </c>
      <c r="AD91" s="647">
        <v>-0.70632042934796635</v>
      </c>
      <c r="AE91" s="647">
        <v>0.13086812885804772</v>
      </c>
      <c r="AF91" s="647">
        <v>55.315214066923446</v>
      </c>
      <c r="AG91" s="647">
        <v>11.104217144375802</v>
      </c>
      <c r="AH91" s="647">
        <v>-59.869044369838548</v>
      </c>
      <c r="AI91" s="647">
        <v>0</v>
      </c>
      <c r="AJ91" s="647">
        <v>0</v>
      </c>
      <c r="AK91" s="647">
        <v>2359.5689685761085</v>
      </c>
    </row>
    <row r="92" spans="3:37" ht="13">
      <c r="C92" s="636"/>
      <c r="D92" s="636">
        <v>0</v>
      </c>
      <c r="E92" s="636">
        <v>0</v>
      </c>
      <c r="F92" s="636">
        <v>0</v>
      </c>
      <c r="G92" s="636">
        <v>0</v>
      </c>
      <c r="H92" s="636">
        <v>0</v>
      </c>
      <c r="I92" s="636">
        <v>0</v>
      </c>
      <c r="J92" s="636">
        <v>0</v>
      </c>
      <c r="K92" s="636">
        <v>0</v>
      </c>
      <c r="L92" s="636">
        <v>0</v>
      </c>
      <c r="M92" s="636">
        <v>0</v>
      </c>
      <c r="N92" s="636">
        <v>0</v>
      </c>
      <c r="O92" s="636">
        <v>0</v>
      </c>
      <c r="P92" s="636">
        <v>0</v>
      </c>
      <c r="Q92" s="636">
        <v>0</v>
      </c>
      <c r="R92" s="636">
        <v>0</v>
      </c>
      <c r="S92" s="636">
        <v>0</v>
      </c>
      <c r="U92" s="636"/>
      <c r="V92" s="636">
        <v>0</v>
      </c>
      <c r="W92" s="636">
        <v>0</v>
      </c>
      <c r="X92" s="636">
        <v>0</v>
      </c>
      <c r="Y92" s="636">
        <v>0</v>
      </c>
      <c r="Z92" s="636">
        <v>0</v>
      </c>
      <c r="AA92" s="636">
        <v>0</v>
      </c>
      <c r="AB92" s="636">
        <v>0</v>
      </c>
      <c r="AC92" s="636">
        <v>0</v>
      </c>
      <c r="AD92" s="636">
        <v>0</v>
      </c>
      <c r="AE92" s="636">
        <v>0</v>
      </c>
      <c r="AF92" s="636">
        <v>0</v>
      </c>
      <c r="AG92" s="636">
        <v>0</v>
      </c>
      <c r="AH92" s="636">
        <v>0</v>
      </c>
      <c r="AI92" s="636">
        <v>0</v>
      </c>
      <c r="AJ92" s="636">
        <v>0</v>
      </c>
      <c r="AK92" s="636">
        <v>0</v>
      </c>
    </row>
    <row r="93" spans="3:37" ht="13.5">
      <c r="C93" s="648" t="s">
        <v>67</v>
      </c>
      <c r="D93" s="642">
        <v>0</v>
      </c>
      <c r="E93" s="649">
        <v>0</v>
      </c>
      <c r="F93" s="649">
        <v>0</v>
      </c>
      <c r="G93" s="642">
        <v>0</v>
      </c>
      <c r="H93" s="642">
        <v>0</v>
      </c>
      <c r="I93" s="642">
        <v>0</v>
      </c>
      <c r="J93" s="642">
        <v>0</v>
      </c>
      <c r="K93" s="642">
        <v>0</v>
      </c>
      <c r="L93" s="642">
        <v>0</v>
      </c>
      <c r="M93" s="642">
        <v>0</v>
      </c>
      <c r="N93" s="642">
        <v>0</v>
      </c>
      <c r="O93" s="642">
        <v>0</v>
      </c>
      <c r="P93" s="642">
        <v>0</v>
      </c>
      <c r="Q93" s="642">
        <v>0</v>
      </c>
      <c r="R93" s="642">
        <v>0</v>
      </c>
      <c r="S93" s="650">
        <v>0</v>
      </c>
      <c r="U93" s="648" t="s">
        <v>67</v>
      </c>
      <c r="V93" s="642">
        <v>0</v>
      </c>
      <c r="W93" s="649">
        <v>0</v>
      </c>
      <c r="X93" s="649">
        <v>0</v>
      </c>
      <c r="Y93" s="642">
        <v>0</v>
      </c>
      <c r="Z93" s="642">
        <v>0</v>
      </c>
      <c r="AA93" s="642">
        <v>0</v>
      </c>
      <c r="AB93" s="642">
        <v>0</v>
      </c>
      <c r="AC93" s="642">
        <v>0</v>
      </c>
      <c r="AD93" s="642">
        <v>0</v>
      </c>
      <c r="AE93" s="642">
        <v>0</v>
      </c>
      <c r="AF93" s="642">
        <v>0</v>
      </c>
      <c r="AG93" s="642">
        <v>0</v>
      </c>
      <c r="AH93" s="642">
        <v>0</v>
      </c>
      <c r="AI93" s="642">
        <v>0</v>
      </c>
      <c r="AJ93" s="642">
        <v>0</v>
      </c>
      <c r="AK93" s="650">
        <v>0</v>
      </c>
    </row>
    <row r="94" spans="3:37" ht="13.5">
      <c r="C94" s="648" t="s">
        <v>350</v>
      </c>
      <c r="D94" s="642">
        <v>2.8283781870338589</v>
      </c>
      <c r="E94" s="642">
        <v>0</v>
      </c>
      <c r="F94" s="642">
        <v>7.6468438736280877</v>
      </c>
      <c r="G94" s="642">
        <v>18.081180811808117</v>
      </c>
      <c r="H94" s="642">
        <v>1190.909090909091</v>
      </c>
      <c r="I94" s="642">
        <v>172.65095069399246</v>
      </c>
      <c r="J94" s="651">
        <v>32.565743560582284</v>
      </c>
      <c r="K94" s="651">
        <v>8.5008344637363535</v>
      </c>
      <c r="L94" s="651">
        <v>2.2465763720546779</v>
      </c>
      <c r="M94" s="651">
        <v>0.47195886872926307</v>
      </c>
      <c r="N94" s="651">
        <v>0</v>
      </c>
      <c r="O94" s="651">
        <v>2.2844574579320316</v>
      </c>
      <c r="P94" s="642">
        <v>-595.37716565950768</v>
      </c>
      <c r="Q94" s="642">
        <v>0</v>
      </c>
      <c r="R94" s="642">
        <v>0</v>
      </c>
      <c r="S94" s="650">
        <v>842.80884953908037</v>
      </c>
      <c r="U94" s="648" t="s">
        <v>350</v>
      </c>
      <c r="V94" s="642">
        <v>1.5423887961183378</v>
      </c>
      <c r="W94" s="642">
        <v>0</v>
      </c>
      <c r="X94" s="642">
        <v>4.7336207331322191</v>
      </c>
      <c r="Y94" s="642">
        <v>50.521301576652128</v>
      </c>
      <c r="Z94" s="642">
        <v>1083.7741046831957</v>
      </c>
      <c r="AA94" s="642">
        <v>180.88004160308333</v>
      </c>
      <c r="AB94" s="651">
        <v>27.309071851402241</v>
      </c>
      <c r="AC94" s="651">
        <v>8.3886793509275197</v>
      </c>
      <c r="AD94" s="651">
        <v>2.2465763720546779</v>
      </c>
      <c r="AE94" s="651">
        <v>4.4961118375316795</v>
      </c>
      <c r="AF94" s="651">
        <v>0</v>
      </c>
      <c r="AG94" s="651">
        <v>2.2844574579320316</v>
      </c>
      <c r="AH94" s="642">
        <v>-585.94262020496217</v>
      </c>
      <c r="AI94" s="642">
        <v>0</v>
      </c>
      <c r="AJ94" s="642">
        <v>0</v>
      </c>
      <c r="AK94" s="650">
        <v>780.23373405706764</v>
      </c>
    </row>
    <row r="95" spans="3:37" ht="13.5">
      <c r="C95" s="648" t="s">
        <v>351</v>
      </c>
      <c r="D95" s="642">
        <v>4.9396474947490832E-2</v>
      </c>
      <c r="E95" s="642">
        <v>0</v>
      </c>
      <c r="F95" s="642">
        <v>0</v>
      </c>
      <c r="G95" s="642">
        <v>16.012530383781044</v>
      </c>
      <c r="H95" s="642">
        <v>0</v>
      </c>
      <c r="I95" s="642">
        <v>0</v>
      </c>
      <c r="J95" s="651">
        <v>13.847709445189022</v>
      </c>
      <c r="K95" s="651">
        <v>12.568399079785937</v>
      </c>
      <c r="L95" s="651">
        <v>0</v>
      </c>
      <c r="M95" s="651">
        <v>0.33966953640978992</v>
      </c>
      <c r="N95" s="651">
        <v>0</v>
      </c>
      <c r="O95" s="651">
        <v>2.2653429264336893</v>
      </c>
      <c r="P95" s="642">
        <v>0</v>
      </c>
      <c r="Q95" s="642">
        <v>-40.328896494092007</v>
      </c>
      <c r="R95" s="642">
        <v>0</v>
      </c>
      <c r="S95" s="650">
        <v>4.7541513524549677</v>
      </c>
      <c r="U95" s="648" t="s">
        <v>351</v>
      </c>
      <c r="V95" s="642">
        <v>9.8298985145506765E-2</v>
      </c>
      <c r="W95" s="642">
        <v>0</v>
      </c>
      <c r="X95" s="642">
        <v>0</v>
      </c>
      <c r="Y95" s="642">
        <v>18.159328264867909</v>
      </c>
      <c r="Z95" s="642">
        <v>0</v>
      </c>
      <c r="AA95" s="642">
        <v>0</v>
      </c>
      <c r="AB95" s="651">
        <v>24.238794590159831</v>
      </c>
      <c r="AC95" s="651">
        <v>21.035165918687227</v>
      </c>
      <c r="AD95" s="651">
        <v>0</v>
      </c>
      <c r="AE95" s="651">
        <v>1.5919552250789037</v>
      </c>
      <c r="AF95" s="651">
        <v>0</v>
      </c>
      <c r="AG95" s="651">
        <v>4.9326813925495161</v>
      </c>
      <c r="AH95" s="642">
        <v>0</v>
      </c>
      <c r="AI95" s="642">
        <v>-63.058158381408973</v>
      </c>
      <c r="AJ95" s="642">
        <v>0</v>
      </c>
      <c r="AK95" s="650">
        <v>6.9980659950799184</v>
      </c>
    </row>
    <row r="96" spans="3:37" ht="13.5">
      <c r="C96" s="648" t="s">
        <v>352</v>
      </c>
      <c r="D96" s="642">
        <v>0</v>
      </c>
      <c r="E96" s="642">
        <v>0</v>
      </c>
      <c r="F96" s="642">
        <v>0</v>
      </c>
      <c r="G96" s="642">
        <v>0</v>
      </c>
      <c r="H96" s="642">
        <v>0</v>
      </c>
      <c r="I96" s="642">
        <v>0</v>
      </c>
      <c r="J96" s="652">
        <v>7.7702715936307092</v>
      </c>
      <c r="K96" s="652">
        <v>0</v>
      </c>
      <c r="L96" s="652">
        <v>0</v>
      </c>
      <c r="M96" s="652">
        <v>-6.9252545578233695</v>
      </c>
      <c r="N96" s="652">
        <v>0</v>
      </c>
      <c r="O96" s="652">
        <v>0</v>
      </c>
      <c r="P96" s="642">
        <v>0</v>
      </c>
      <c r="Q96" s="642">
        <v>0</v>
      </c>
      <c r="R96" s="642">
        <v>0</v>
      </c>
      <c r="S96" s="650">
        <v>0.84501703580733967</v>
      </c>
      <c r="U96" s="648" t="s">
        <v>352</v>
      </c>
      <c r="V96" s="642">
        <v>0</v>
      </c>
      <c r="W96" s="642">
        <v>0</v>
      </c>
      <c r="X96" s="642">
        <v>0</v>
      </c>
      <c r="Y96" s="642">
        <v>0</v>
      </c>
      <c r="Z96" s="642">
        <v>0</v>
      </c>
      <c r="AA96" s="642">
        <v>0</v>
      </c>
      <c r="AB96" s="652">
        <v>30.043092797136723</v>
      </c>
      <c r="AC96" s="652">
        <v>0</v>
      </c>
      <c r="AD96" s="652">
        <v>0</v>
      </c>
      <c r="AE96" s="652">
        <v>-26.775906455448105</v>
      </c>
      <c r="AF96" s="652">
        <v>0</v>
      </c>
      <c r="AG96" s="652">
        <v>0</v>
      </c>
      <c r="AH96" s="642">
        <v>0</v>
      </c>
      <c r="AI96" s="642">
        <v>0</v>
      </c>
      <c r="AJ96" s="642">
        <v>0</v>
      </c>
      <c r="AK96" s="650">
        <v>3.2671863416886175</v>
      </c>
    </row>
    <row r="97" spans="3:37" ht="13.5">
      <c r="C97" s="648" t="s">
        <v>353</v>
      </c>
      <c r="D97" s="642">
        <v>0</v>
      </c>
      <c r="E97" s="642">
        <v>0</v>
      </c>
      <c r="F97" s="642">
        <v>0</v>
      </c>
      <c r="G97" s="642">
        <v>0</v>
      </c>
      <c r="H97" s="642">
        <v>0</v>
      </c>
      <c r="I97" s="642">
        <v>0</v>
      </c>
      <c r="J97" s="642">
        <v>0</v>
      </c>
      <c r="K97" s="642">
        <v>0</v>
      </c>
      <c r="L97" s="642">
        <v>0</v>
      </c>
      <c r="M97" s="642">
        <v>0</v>
      </c>
      <c r="N97" s="642">
        <v>0</v>
      </c>
      <c r="O97" s="642">
        <v>0</v>
      </c>
      <c r="P97" s="642">
        <v>0</v>
      </c>
      <c r="Q97" s="642">
        <v>0</v>
      </c>
      <c r="R97" s="642">
        <v>0</v>
      </c>
      <c r="S97" s="650">
        <v>0</v>
      </c>
      <c r="U97" s="648" t="s">
        <v>353</v>
      </c>
      <c r="V97" s="642">
        <v>0</v>
      </c>
      <c r="W97" s="642">
        <v>0</v>
      </c>
      <c r="X97" s="642">
        <v>0</v>
      </c>
      <c r="Y97" s="642">
        <v>0</v>
      </c>
      <c r="Z97" s="642">
        <v>0</v>
      </c>
      <c r="AA97" s="642">
        <v>0</v>
      </c>
      <c r="AB97" s="642">
        <v>0</v>
      </c>
      <c r="AC97" s="642">
        <v>0</v>
      </c>
      <c r="AD97" s="642">
        <v>0</v>
      </c>
      <c r="AE97" s="642">
        <v>0</v>
      </c>
      <c r="AF97" s="642">
        <v>0</v>
      </c>
      <c r="AG97" s="642">
        <v>0</v>
      </c>
      <c r="AH97" s="642">
        <v>0</v>
      </c>
      <c r="AI97" s="642">
        <v>0</v>
      </c>
      <c r="AJ97" s="642">
        <v>0</v>
      </c>
      <c r="AK97" s="650">
        <v>0</v>
      </c>
    </row>
    <row r="98" spans="3:37" ht="13.5">
      <c r="C98" s="648" t="s">
        <v>72</v>
      </c>
      <c r="D98" s="642">
        <v>0</v>
      </c>
      <c r="E98" s="642">
        <v>571.25876810153738</v>
      </c>
      <c r="F98" s="642">
        <v>-565.54618042052198</v>
      </c>
      <c r="G98" s="642">
        <v>0</v>
      </c>
      <c r="H98" s="642">
        <v>0</v>
      </c>
      <c r="I98" s="642">
        <v>0</v>
      </c>
      <c r="J98" s="642">
        <v>0</v>
      </c>
      <c r="K98" s="642">
        <v>0</v>
      </c>
      <c r="L98" s="642">
        <v>0</v>
      </c>
      <c r="M98" s="642">
        <v>0</v>
      </c>
      <c r="N98" s="642">
        <v>0</v>
      </c>
      <c r="O98" s="642">
        <v>0</v>
      </c>
      <c r="P98" s="642">
        <v>0</v>
      </c>
      <c r="Q98" s="642">
        <v>0</v>
      </c>
      <c r="R98" s="642">
        <v>0</v>
      </c>
      <c r="S98" s="650">
        <v>5.7125876810154068</v>
      </c>
      <c r="U98" s="648" t="s">
        <v>72</v>
      </c>
      <c r="V98" s="642">
        <v>0</v>
      </c>
      <c r="W98" s="642">
        <v>465.63789420124414</v>
      </c>
      <c r="X98" s="642">
        <v>-460.98151525923168</v>
      </c>
      <c r="Y98" s="642">
        <v>0</v>
      </c>
      <c r="Z98" s="642">
        <v>0</v>
      </c>
      <c r="AA98" s="642">
        <v>0</v>
      </c>
      <c r="AB98" s="642">
        <v>0</v>
      </c>
      <c r="AC98" s="642">
        <v>0</v>
      </c>
      <c r="AD98" s="642">
        <v>0</v>
      </c>
      <c r="AE98" s="642">
        <v>0</v>
      </c>
      <c r="AF98" s="642">
        <v>0</v>
      </c>
      <c r="AG98" s="642">
        <v>0</v>
      </c>
      <c r="AH98" s="642">
        <v>0</v>
      </c>
      <c r="AI98" s="642">
        <v>0</v>
      </c>
      <c r="AJ98" s="642">
        <v>0</v>
      </c>
      <c r="AK98" s="650">
        <v>4.6563789420124522</v>
      </c>
    </row>
    <row r="99" spans="3:37" ht="13.5">
      <c r="C99" s="648" t="s">
        <v>354</v>
      </c>
      <c r="D99" s="642">
        <v>0</v>
      </c>
      <c r="E99" s="642">
        <v>0</v>
      </c>
      <c r="F99" s="642">
        <v>0</v>
      </c>
      <c r="G99" s="642">
        <v>0</v>
      </c>
      <c r="H99" s="642">
        <v>0</v>
      </c>
      <c r="I99" s="642">
        <v>0</v>
      </c>
      <c r="J99" s="642">
        <v>39.987714904046477</v>
      </c>
      <c r="K99" s="642">
        <v>0</v>
      </c>
      <c r="L99" s="642">
        <v>-39.987714904046477</v>
      </c>
      <c r="M99" s="642">
        <v>0</v>
      </c>
      <c r="N99" s="642">
        <v>0</v>
      </c>
      <c r="O99" s="642">
        <v>0</v>
      </c>
      <c r="P99" s="642">
        <v>0</v>
      </c>
      <c r="Q99" s="642">
        <v>0</v>
      </c>
      <c r="R99" s="642">
        <v>0</v>
      </c>
      <c r="S99" s="650">
        <v>0</v>
      </c>
      <c r="U99" s="648" t="s">
        <v>354</v>
      </c>
      <c r="V99" s="642">
        <v>0</v>
      </c>
      <c r="W99" s="642">
        <v>0</v>
      </c>
      <c r="X99" s="642">
        <v>0</v>
      </c>
      <c r="Y99" s="642">
        <v>0</v>
      </c>
      <c r="Z99" s="642">
        <v>0</v>
      </c>
      <c r="AA99" s="642">
        <v>0</v>
      </c>
      <c r="AB99" s="642" t="e">
        <v>#VALUE!</v>
      </c>
      <c r="AC99" s="642">
        <v>0</v>
      </c>
      <c r="AD99" s="642">
        <v>-45.567606807542596</v>
      </c>
      <c r="AE99" s="642">
        <v>0</v>
      </c>
      <c r="AF99" s="642">
        <v>0</v>
      </c>
      <c r="AG99" s="642">
        <v>0</v>
      </c>
      <c r="AH99" s="642">
        <v>0</v>
      </c>
      <c r="AI99" s="642">
        <v>0</v>
      </c>
      <c r="AJ99" s="642">
        <v>0</v>
      </c>
      <c r="AK99" s="650">
        <v>-45.567606807542596</v>
      </c>
    </row>
    <row r="100" spans="3:37" ht="13.5">
      <c r="C100" s="648" t="s">
        <v>355</v>
      </c>
      <c r="D100" s="642">
        <v>0</v>
      </c>
      <c r="E100" s="642">
        <v>0</v>
      </c>
      <c r="F100" s="642">
        <v>0</v>
      </c>
      <c r="G100" s="642">
        <v>0</v>
      </c>
      <c r="H100" s="642">
        <v>0</v>
      </c>
      <c r="I100" s="642">
        <v>0</v>
      </c>
      <c r="J100" s="642">
        <v>0</v>
      </c>
      <c r="K100" s="642">
        <v>0</v>
      </c>
      <c r="L100" s="642">
        <v>0</v>
      </c>
      <c r="M100" s="642">
        <v>0</v>
      </c>
      <c r="N100" s="642">
        <v>0</v>
      </c>
      <c r="O100" s="642">
        <v>0</v>
      </c>
      <c r="P100" s="642">
        <v>0</v>
      </c>
      <c r="Q100" s="642">
        <v>0</v>
      </c>
      <c r="R100" s="642">
        <v>0</v>
      </c>
      <c r="S100" s="650">
        <v>0</v>
      </c>
      <c r="U100" s="648" t="s">
        <v>355</v>
      </c>
      <c r="V100" s="642">
        <v>0</v>
      </c>
      <c r="W100" s="642">
        <v>0</v>
      </c>
      <c r="X100" s="642">
        <v>0</v>
      </c>
      <c r="Y100" s="642">
        <v>0</v>
      </c>
      <c r="Z100" s="642">
        <v>0</v>
      </c>
      <c r="AA100" s="642">
        <v>0</v>
      </c>
      <c r="AB100" s="642">
        <v>0</v>
      </c>
      <c r="AC100" s="642">
        <v>0</v>
      </c>
      <c r="AD100" s="642">
        <v>-3.4570377590144092</v>
      </c>
      <c r="AE100" s="642">
        <v>0</v>
      </c>
      <c r="AF100" s="642">
        <v>0</v>
      </c>
      <c r="AG100" s="642">
        <v>0</v>
      </c>
      <c r="AH100" s="642">
        <v>0</v>
      </c>
      <c r="AI100" s="642">
        <v>0</v>
      </c>
      <c r="AJ100" s="642">
        <v>0</v>
      </c>
      <c r="AK100" s="650">
        <v>-3.4570377590144092</v>
      </c>
    </row>
    <row r="101" spans="3:37" ht="13.5">
      <c r="C101" s="648" t="s">
        <v>73</v>
      </c>
      <c r="D101" s="642">
        <v>0</v>
      </c>
      <c r="E101" s="642">
        <v>0</v>
      </c>
      <c r="F101" s="642">
        <v>0</v>
      </c>
      <c r="G101" s="642">
        <v>0.75220280486673308</v>
      </c>
      <c r="H101" s="642">
        <v>0</v>
      </c>
      <c r="I101" s="642">
        <v>0</v>
      </c>
      <c r="J101" s="642">
        <v>0</v>
      </c>
      <c r="K101" s="642">
        <v>8.3794091977846576E-3</v>
      </c>
      <c r="L101" s="642">
        <v>0</v>
      </c>
      <c r="M101" s="642">
        <v>1.5351077650341492E-2</v>
      </c>
      <c r="N101" s="642">
        <v>0</v>
      </c>
      <c r="O101" s="642">
        <v>0</v>
      </c>
      <c r="P101" s="642">
        <v>6.6777445606960792E-2</v>
      </c>
      <c r="Q101" s="642">
        <v>0</v>
      </c>
      <c r="R101" s="642">
        <v>-0.58655864384492595</v>
      </c>
      <c r="S101" s="650">
        <v>0.25615209347689405</v>
      </c>
      <c r="U101" s="648" t="s">
        <v>73</v>
      </c>
      <c r="V101" s="642">
        <v>0</v>
      </c>
      <c r="W101" s="642">
        <v>0</v>
      </c>
      <c r="X101" s="642">
        <v>0</v>
      </c>
      <c r="Y101" s="642">
        <v>3.5795956147675603</v>
      </c>
      <c r="Z101" s="642">
        <v>0</v>
      </c>
      <c r="AA101" s="642">
        <v>0</v>
      </c>
      <c r="AB101" s="642">
        <v>0</v>
      </c>
      <c r="AC101" s="642">
        <v>7.7817295973207842E-2</v>
      </c>
      <c r="AD101" s="642">
        <v>0</v>
      </c>
      <c r="AE101" s="642">
        <v>0.31126918389283142</v>
      </c>
      <c r="AF101" s="642">
        <v>0</v>
      </c>
      <c r="AG101" s="642">
        <v>0</v>
      </c>
      <c r="AH101" s="642">
        <v>4.1063588490477363</v>
      </c>
      <c r="AI101" s="642">
        <v>0</v>
      </c>
      <c r="AJ101" s="642">
        <v>-5.4472107181245484</v>
      </c>
      <c r="AK101" s="650">
        <v>2.6278302255567869</v>
      </c>
    </row>
    <row r="102" spans="3:37" ht="13.5">
      <c r="C102" s="648" t="s">
        <v>356</v>
      </c>
      <c r="D102" s="642">
        <v>29.279348437500001</v>
      </c>
      <c r="E102" s="642">
        <v>-19.79411631471827</v>
      </c>
      <c r="F102" s="642">
        <v>25.889534996151326</v>
      </c>
      <c r="G102" s="642">
        <v>0</v>
      </c>
      <c r="H102" s="642">
        <v>0</v>
      </c>
      <c r="I102" s="642">
        <v>0</v>
      </c>
      <c r="J102" s="642">
        <v>0</v>
      </c>
      <c r="K102" s="642">
        <v>0</v>
      </c>
      <c r="L102" s="642">
        <v>0</v>
      </c>
      <c r="M102" s="642">
        <v>0</v>
      </c>
      <c r="N102" s="642">
        <v>0</v>
      </c>
      <c r="O102" s="642">
        <v>0</v>
      </c>
      <c r="P102" s="642">
        <v>0</v>
      </c>
      <c r="Q102" s="642">
        <v>0</v>
      </c>
      <c r="R102" s="642">
        <v>0</v>
      </c>
      <c r="S102" s="650">
        <v>35.374767118933057</v>
      </c>
      <c r="U102" s="648" t="s">
        <v>356</v>
      </c>
      <c r="V102" s="642">
        <v>8.1420534667968738</v>
      </c>
      <c r="W102" s="642">
        <v>-16.134353034073111</v>
      </c>
      <c r="X102" s="642">
        <v>21.102780789728897</v>
      </c>
      <c r="Y102" s="642">
        <v>0</v>
      </c>
      <c r="Z102" s="642">
        <v>0</v>
      </c>
      <c r="AA102" s="642">
        <v>0</v>
      </c>
      <c r="AB102" s="642">
        <v>0</v>
      </c>
      <c r="AC102" s="642">
        <v>0</v>
      </c>
      <c r="AD102" s="642">
        <v>0</v>
      </c>
      <c r="AE102" s="642">
        <v>0</v>
      </c>
      <c r="AF102" s="642">
        <v>0</v>
      </c>
      <c r="AG102" s="642">
        <v>0</v>
      </c>
      <c r="AH102" s="642">
        <v>0</v>
      </c>
      <c r="AI102" s="642">
        <v>0</v>
      </c>
      <c r="AJ102" s="642">
        <v>0</v>
      </c>
      <c r="AK102" s="650">
        <v>13.110481222452659</v>
      </c>
    </row>
    <row r="103" spans="3:37" ht="13.5">
      <c r="C103" s="648" t="s">
        <v>75</v>
      </c>
      <c r="D103" s="642">
        <v>11.386413281250002</v>
      </c>
      <c r="E103" s="642">
        <v>0</v>
      </c>
      <c r="F103" s="642">
        <v>19.422798115452274</v>
      </c>
      <c r="G103" s="642">
        <v>5.5423525681211148</v>
      </c>
      <c r="H103" s="642">
        <v>0</v>
      </c>
      <c r="I103" s="642">
        <v>0</v>
      </c>
      <c r="J103" s="642">
        <v>0</v>
      </c>
      <c r="K103" s="642">
        <v>0</v>
      </c>
      <c r="L103" s="642">
        <v>0</v>
      </c>
      <c r="M103" s="642">
        <v>0.11310923608410439</v>
      </c>
      <c r="N103" s="642">
        <v>0</v>
      </c>
      <c r="O103" s="642">
        <v>0</v>
      </c>
      <c r="P103" s="642">
        <v>36.293113930785914</v>
      </c>
      <c r="Q103" s="642">
        <v>0</v>
      </c>
      <c r="R103" s="642">
        <v>0</v>
      </c>
      <c r="S103" s="650">
        <v>72.757787131693405</v>
      </c>
      <c r="U103" s="648" t="s">
        <v>75</v>
      </c>
      <c r="V103" s="642">
        <v>7.5011909179687501</v>
      </c>
      <c r="W103" s="642">
        <v>0</v>
      </c>
      <c r="X103" s="642">
        <v>19.422798115452274</v>
      </c>
      <c r="Y103" s="642">
        <v>5.203024859868802</v>
      </c>
      <c r="Z103" s="642">
        <v>0</v>
      </c>
      <c r="AA103" s="642">
        <v>0</v>
      </c>
      <c r="AB103" s="642">
        <v>0</v>
      </c>
      <c r="AC103" s="642">
        <v>0</v>
      </c>
      <c r="AD103" s="642">
        <v>0</v>
      </c>
      <c r="AE103" s="642">
        <v>0.45243694433641768</v>
      </c>
      <c r="AF103" s="642">
        <v>0</v>
      </c>
      <c r="AG103" s="642">
        <v>0</v>
      </c>
      <c r="AH103" s="642">
        <v>32.151874261364433</v>
      </c>
      <c r="AI103" s="642">
        <v>0</v>
      </c>
      <c r="AJ103" s="642">
        <v>0</v>
      </c>
      <c r="AK103" s="650">
        <v>64.731325098990681</v>
      </c>
    </row>
    <row r="104" spans="3:37" ht="13.5">
      <c r="C104" s="648" t="s">
        <v>76</v>
      </c>
      <c r="D104" s="642">
        <v>0</v>
      </c>
      <c r="E104" s="642">
        <v>0</v>
      </c>
      <c r="F104" s="642">
        <v>0</v>
      </c>
      <c r="G104" s="642">
        <v>4.0237645059289928</v>
      </c>
      <c r="H104" s="642">
        <v>0</v>
      </c>
      <c r="I104" s="642">
        <v>0</v>
      </c>
      <c r="J104" s="642">
        <v>0</v>
      </c>
      <c r="K104" s="642">
        <v>0</v>
      </c>
      <c r="L104" s="642">
        <v>0</v>
      </c>
      <c r="M104" s="642">
        <v>8.211764297814271E-2</v>
      </c>
      <c r="N104" s="642">
        <v>0</v>
      </c>
      <c r="O104" s="642">
        <v>0</v>
      </c>
      <c r="P104" s="642">
        <v>40.115929077638647</v>
      </c>
      <c r="Q104" s="642">
        <v>3.1293610589936001</v>
      </c>
      <c r="R104" s="642">
        <v>0</v>
      </c>
      <c r="S104" s="650">
        <v>47.351172285539384</v>
      </c>
      <c r="U104" s="648" t="s">
        <v>76</v>
      </c>
      <c r="V104" s="642">
        <v>0</v>
      </c>
      <c r="W104" s="642">
        <v>0</v>
      </c>
      <c r="X104" s="642">
        <v>0</v>
      </c>
      <c r="Y104" s="642">
        <v>3.6512599711974678</v>
      </c>
      <c r="Z104" s="642">
        <v>0</v>
      </c>
      <c r="AA104" s="642">
        <v>0</v>
      </c>
      <c r="AB104" s="642">
        <v>0</v>
      </c>
      <c r="AC104" s="642">
        <v>0</v>
      </c>
      <c r="AD104" s="642">
        <v>0</v>
      </c>
      <c r="AE104" s="642">
        <v>0.31750086706064945</v>
      </c>
      <c r="AF104" s="642">
        <v>0</v>
      </c>
      <c r="AG104" s="642">
        <v>0</v>
      </c>
      <c r="AH104" s="642">
        <v>40.286923174182249</v>
      </c>
      <c r="AI104" s="642">
        <v>4.8906691757229597</v>
      </c>
      <c r="AJ104" s="642">
        <v>0</v>
      </c>
      <c r="AK104" s="650">
        <v>49.146353188163332</v>
      </c>
    </row>
    <row r="105" spans="3:37" ht="13.5">
      <c r="C105" s="646" t="s">
        <v>77</v>
      </c>
      <c r="D105" s="647">
        <v>43.543536380731354</v>
      </c>
      <c r="E105" s="647">
        <v>551.4646517868191</v>
      </c>
      <c r="F105" s="647">
        <v>-512.58700343529028</v>
      </c>
      <c r="G105" s="647">
        <v>44.412031074506011</v>
      </c>
      <c r="H105" s="647">
        <v>1190.909090909091</v>
      </c>
      <c r="I105" s="647">
        <v>172.65095069399246</v>
      </c>
      <c r="J105" s="647">
        <v>94.171439503448497</v>
      </c>
      <c r="K105" s="647">
        <v>21.077612952720074</v>
      </c>
      <c r="L105" s="647">
        <v>-37.741138531991801</v>
      </c>
      <c r="M105" s="647">
        <v>-5.9030481959717278</v>
      </c>
      <c r="N105" s="647">
        <v>0</v>
      </c>
      <c r="O105" s="647">
        <v>4.5498003843657209</v>
      </c>
      <c r="P105" s="647">
        <v>-518.9013452054761</v>
      </c>
      <c r="Q105" s="647">
        <v>-37.199535435098404</v>
      </c>
      <c r="R105" s="647">
        <v>-0.58655864384492595</v>
      </c>
      <c r="S105" s="647">
        <v>1009.8604842380009</v>
      </c>
      <c r="U105" s="646" t="s">
        <v>77</v>
      </c>
      <c r="V105" s="647">
        <v>17.283932166029469</v>
      </c>
      <c r="W105" s="647">
        <v>449.50354116717102</v>
      </c>
      <c r="X105" s="647">
        <v>-415.72231562091827</v>
      </c>
      <c r="Y105" s="647">
        <v>81.114510287353866</v>
      </c>
      <c r="Z105" s="647">
        <v>1083.7741046831957</v>
      </c>
      <c r="AA105" s="647">
        <v>180.88004160308333</v>
      </c>
      <c r="AB105" s="647">
        <v>81.590959238698787</v>
      </c>
      <c r="AC105" s="647">
        <v>29.501662565587953</v>
      </c>
      <c r="AD105" s="647">
        <v>-46.778068194502332</v>
      </c>
      <c r="AE105" s="647">
        <v>-19.606632397547621</v>
      </c>
      <c r="AF105" s="647">
        <v>0</v>
      </c>
      <c r="AG105" s="647">
        <v>7.2171388504815477</v>
      </c>
      <c r="AH105" s="647">
        <v>-509.39746392036778</v>
      </c>
      <c r="AI105" s="647">
        <v>-58.16748920568601</v>
      </c>
      <c r="AJ105" s="647">
        <v>-5.4472107181245484</v>
      </c>
      <c r="AK105" s="647">
        <v>875.74671050445522</v>
      </c>
    </row>
    <row r="106" spans="3:37" ht="13">
      <c r="C106" s="636"/>
      <c r="D106" s="636">
        <v>0</v>
      </c>
      <c r="E106" s="636">
        <v>0</v>
      </c>
      <c r="F106" s="636">
        <v>0</v>
      </c>
      <c r="G106" s="636">
        <v>0</v>
      </c>
      <c r="H106" s="636">
        <v>0</v>
      </c>
      <c r="I106" s="636">
        <v>0</v>
      </c>
      <c r="J106" s="636">
        <v>0</v>
      </c>
      <c r="K106" s="636">
        <v>0</v>
      </c>
      <c r="L106" s="636">
        <v>0</v>
      </c>
      <c r="M106" s="636">
        <v>0</v>
      </c>
      <c r="N106" s="636">
        <v>0</v>
      </c>
      <c r="O106" s="636">
        <v>0</v>
      </c>
      <c r="P106" s="636">
        <v>0</v>
      </c>
      <c r="Q106" s="636">
        <v>0</v>
      </c>
      <c r="R106" s="636">
        <v>0</v>
      </c>
      <c r="S106" s="636">
        <v>0</v>
      </c>
      <c r="U106" s="636"/>
      <c r="V106" s="636">
        <v>0</v>
      </c>
      <c r="W106" s="636">
        <v>0</v>
      </c>
      <c r="X106" s="636">
        <v>0</v>
      </c>
      <c r="Y106" s="636">
        <v>0</v>
      </c>
      <c r="Z106" s="636">
        <v>0</v>
      </c>
      <c r="AA106" s="636">
        <v>0</v>
      </c>
      <c r="AB106" s="636">
        <v>0</v>
      </c>
      <c r="AC106" s="636">
        <v>0</v>
      </c>
      <c r="AD106" s="636">
        <v>0</v>
      </c>
      <c r="AE106" s="636">
        <v>0</v>
      </c>
      <c r="AF106" s="636">
        <v>0</v>
      </c>
      <c r="AG106" s="636">
        <v>0</v>
      </c>
      <c r="AH106" s="636">
        <v>0</v>
      </c>
      <c r="AI106" s="636">
        <v>0</v>
      </c>
      <c r="AJ106" s="636">
        <v>0</v>
      </c>
      <c r="AK106" s="636">
        <v>0</v>
      </c>
    </row>
    <row r="107" spans="3:37" ht="13.5">
      <c r="C107" s="648" t="s">
        <v>78</v>
      </c>
      <c r="D107" s="642">
        <v>6.728773440829297</v>
      </c>
      <c r="E107" s="642">
        <v>0</v>
      </c>
      <c r="F107" s="642">
        <v>25.863549799477383</v>
      </c>
      <c r="G107" s="642">
        <v>106.8903340661312</v>
      </c>
      <c r="H107" s="642">
        <v>0</v>
      </c>
      <c r="I107" s="642">
        <v>0</v>
      </c>
      <c r="J107" s="642">
        <v>18.169859613838756</v>
      </c>
      <c r="K107" s="642">
        <v>1.7567698743130979</v>
      </c>
      <c r="L107" s="642">
        <v>0.84376959960937503</v>
      </c>
      <c r="M107" s="642">
        <v>2.2002106600734406</v>
      </c>
      <c r="N107" s="642">
        <v>0</v>
      </c>
      <c r="O107" s="642">
        <v>3.8276465550578692E-4</v>
      </c>
      <c r="P107" s="642">
        <v>109.87696924977793</v>
      </c>
      <c r="Q107" s="642">
        <v>16.590503969858354</v>
      </c>
      <c r="R107" s="642">
        <v>0.37438674926757814</v>
      </c>
      <c r="S107" s="650">
        <v>289.29550978783192</v>
      </c>
      <c r="U107" s="648" t="s">
        <v>78</v>
      </c>
      <c r="V107" s="642">
        <v>2.0293809622126395</v>
      </c>
      <c r="W107" s="642">
        <v>0</v>
      </c>
      <c r="X107" s="642">
        <v>19.296192618187902</v>
      </c>
      <c r="Y107" s="642">
        <v>85.841195035715842</v>
      </c>
      <c r="Z107" s="642">
        <v>0</v>
      </c>
      <c r="AA107" s="642">
        <v>0</v>
      </c>
      <c r="AB107" s="642">
        <v>17.65205880284368</v>
      </c>
      <c r="AC107" s="642">
        <v>5.7057919623698545</v>
      </c>
      <c r="AD107" s="642">
        <v>1.0576742773437502</v>
      </c>
      <c r="AE107" s="642">
        <v>7.4832270132048837</v>
      </c>
      <c r="AF107" s="642">
        <v>0</v>
      </c>
      <c r="AG107" s="642">
        <v>3.8276465550578692E-4</v>
      </c>
      <c r="AH107" s="642">
        <v>128.8590842242281</v>
      </c>
      <c r="AI107" s="642">
        <v>20.165819518520905</v>
      </c>
      <c r="AJ107" s="642">
        <v>3.3051525878906252</v>
      </c>
      <c r="AK107" s="650">
        <v>291.39595976717368</v>
      </c>
    </row>
    <row r="108" spans="3:37" ht="13.5">
      <c r="C108" s="648" t="s">
        <v>79</v>
      </c>
      <c r="D108" s="642">
        <v>0</v>
      </c>
      <c r="E108" s="642">
        <v>0</v>
      </c>
      <c r="F108" s="642">
        <v>369.9552310331793</v>
      </c>
      <c r="G108" s="642">
        <v>11.471553092100274</v>
      </c>
      <c r="H108" s="642">
        <v>0</v>
      </c>
      <c r="I108" s="642">
        <v>0</v>
      </c>
      <c r="J108" s="642">
        <v>0</v>
      </c>
      <c r="K108" s="642">
        <v>0</v>
      </c>
      <c r="L108" s="642">
        <v>35.942658929765898</v>
      </c>
      <c r="M108" s="642">
        <v>0.23411332841020971</v>
      </c>
      <c r="N108" s="642">
        <v>0</v>
      </c>
      <c r="O108" s="642">
        <v>0</v>
      </c>
      <c r="P108" s="642">
        <v>25.304787135555738</v>
      </c>
      <c r="Q108" s="642">
        <v>0</v>
      </c>
      <c r="R108" s="642">
        <v>0.21217189457734786</v>
      </c>
      <c r="S108" s="650">
        <v>443.12051541358881</v>
      </c>
      <c r="U108" s="648" t="s">
        <v>79</v>
      </c>
      <c r="V108" s="642">
        <v>0</v>
      </c>
      <c r="W108" s="642">
        <v>0</v>
      </c>
      <c r="X108" s="642">
        <v>313.43701377185255</v>
      </c>
      <c r="Y108" s="642">
        <v>10.638728179836399</v>
      </c>
      <c r="Z108" s="642">
        <v>0</v>
      </c>
      <c r="AA108" s="642">
        <v>0</v>
      </c>
      <c r="AB108" s="642">
        <v>0</v>
      </c>
      <c r="AC108" s="642">
        <v>0</v>
      </c>
      <c r="AD108" s="642">
        <v>37.80600606344305</v>
      </c>
      <c r="AE108" s="642">
        <v>1.0240500912331831</v>
      </c>
      <c r="AF108" s="642">
        <v>0</v>
      </c>
      <c r="AG108" s="642">
        <v>0</v>
      </c>
      <c r="AH108" s="642">
        <v>27.763643315903455</v>
      </c>
      <c r="AI108" s="642">
        <v>0</v>
      </c>
      <c r="AJ108" s="642">
        <v>0.49126373722019012</v>
      </c>
      <c r="AK108" s="650">
        <v>391.16070515948877</v>
      </c>
    </row>
    <row r="109" spans="3:37" ht="13.5">
      <c r="C109" s="648" t="s">
        <v>80</v>
      </c>
      <c r="D109" s="642">
        <v>0</v>
      </c>
      <c r="E109" s="642">
        <v>0</v>
      </c>
      <c r="F109" s="642">
        <v>35.339410591812062</v>
      </c>
      <c r="G109" s="642">
        <v>110.15178599375342</v>
      </c>
      <c r="H109" s="642">
        <v>0</v>
      </c>
      <c r="I109" s="642">
        <v>0</v>
      </c>
      <c r="J109" s="642">
        <v>76.439784825488388</v>
      </c>
      <c r="K109" s="642">
        <v>0</v>
      </c>
      <c r="L109" s="642">
        <v>0</v>
      </c>
      <c r="M109" s="642">
        <v>2.2479956325255803</v>
      </c>
      <c r="N109" s="642">
        <v>37.868836361528707</v>
      </c>
      <c r="O109" s="642">
        <v>1.7588356807089602</v>
      </c>
      <c r="P109" s="642">
        <v>172.83410671700432</v>
      </c>
      <c r="Q109" s="642">
        <v>15.866907360541454</v>
      </c>
      <c r="R109" s="642">
        <v>0</v>
      </c>
      <c r="S109" s="650">
        <v>452.50766316336285</v>
      </c>
      <c r="U109" s="648" t="s">
        <v>80</v>
      </c>
      <c r="V109" s="642">
        <v>0</v>
      </c>
      <c r="W109" s="642">
        <v>0</v>
      </c>
      <c r="X109" s="642">
        <v>15.561012749366258</v>
      </c>
      <c r="Y109" s="642">
        <v>82.553801475145548</v>
      </c>
      <c r="Z109" s="642">
        <v>0</v>
      </c>
      <c r="AA109" s="642">
        <v>0</v>
      </c>
      <c r="AB109" s="642">
        <v>74.889683173020046</v>
      </c>
      <c r="AC109" s="642">
        <v>0</v>
      </c>
      <c r="AD109" s="642">
        <v>0</v>
      </c>
      <c r="AE109" s="642">
        <v>7.1785914326213538</v>
      </c>
      <c r="AF109" s="642">
        <v>42.28245423809345</v>
      </c>
      <c r="AG109" s="642">
        <v>1.7308148603825539</v>
      </c>
      <c r="AH109" s="642">
        <v>160.19147139934566</v>
      </c>
      <c r="AI109" s="642">
        <v>30.044387556600874</v>
      </c>
      <c r="AJ109" s="642">
        <v>0</v>
      </c>
      <c r="AK109" s="650">
        <v>414.43221688457572</v>
      </c>
    </row>
    <row r="110" spans="3:37" ht="13.5">
      <c r="C110" s="648" t="s">
        <v>81</v>
      </c>
      <c r="D110" s="642">
        <v>0</v>
      </c>
      <c r="E110" s="642">
        <v>0</v>
      </c>
      <c r="F110" s="642">
        <v>16.364991401651867</v>
      </c>
      <c r="G110" s="642">
        <v>64.121059154218784</v>
      </c>
      <c r="H110" s="642">
        <v>0</v>
      </c>
      <c r="I110" s="642">
        <v>0</v>
      </c>
      <c r="J110" s="642">
        <v>3.7472623320410015</v>
      </c>
      <c r="K110" s="642">
        <v>2.5571216676264549E-2</v>
      </c>
      <c r="L110" s="642">
        <v>0</v>
      </c>
      <c r="M110" s="642">
        <v>1.3085930439636488</v>
      </c>
      <c r="N110" s="642">
        <v>7.447967906294962</v>
      </c>
      <c r="O110" s="642">
        <v>0.8772790781137545</v>
      </c>
      <c r="P110" s="642">
        <v>131.35942241830159</v>
      </c>
      <c r="Q110" s="642">
        <v>4.7421241046985951</v>
      </c>
      <c r="R110" s="642">
        <v>0</v>
      </c>
      <c r="S110" s="650">
        <v>229.99427065596046</v>
      </c>
      <c r="U110" s="648" t="s">
        <v>81</v>
      </c>
      <c r="V110" s="642">
        <v>0</v>
      </c>
      <c r="W110" s="642">
        <v>0</v>
      </c>
      <c r="X110" s="642">
        <v>8.4431338424639417</v>
      </c>
      <c r="Y110" s="642">
        <v>45.209877020113709</v>
      </c>
      <c r="Z110" s="642">
        <v>0</v>
      </c>
      <c r="AA110" s="642">
        <v>0</v>
      </c>
      <c r="AB110" s="642">
        <v>7.2212655206083989</v>
      </c>
      <c r="AC110" s="642">
        <v>2.5571216676264549E-2</v>
      </c>
      <c r="AD110" s="642">
        <v>0</v>
      </c>
      <c r="AE110" s="642">
        <v>3.9312936539229324</v>
      </c>
      <c r="AF110" s="642">
        <v>13.032759828829999</v>
      </c>
      <c r="AG110" s="642">
        <v>1.6365054019865546</v>
      </c>
      <c r="AH110" s="642">
        <v>124.3283929234443</v>
      </c>
      <c r="AI110" s="642">
        <v>7.9572821305642334</v>
      </c>
      <c r="AJ110" s="642">
        <v>0</v>
      </c>
      <c r="AK110" s="650">
        <v>211.78608153861032</v>
      </c>
    </row>
    <row r="111" spans="3:37" ht="13.5">
      <c r="C111" s="648" t="s">
        <v>82</v>
      </c>
      <c r="D111" s="642">
        <v>0</v>
      </c>
      <c r="E111" s="642">
        <v>0</v>
      </c>
      <c r="F111" s="642">
        <v>33.765533014074606</v>
      </c>
      <c r="G111" s="642">
        <v>2.2907099526353965</v>
      </c>
      <c r="H111" s="642">
        <v>0</v>
      </c>
      <c r="I111" s="642">
        <v>0</v>
      </c>
      <c r="J111" s="642">
        <v>1.1066179688825246</v>
      </c>
      <c r="K111" s="642">
        <v>0</v>
      </c>
      <c r="L111" s="642">
        <v>2.3728212231152073</v>
      </c>
      <c r="M111" s="642">
        <v>4.6749182706844826E-2</v>
      </c>
      <c r="N111" s="642">
        <v>0</v>
      </c>
      <c r="O111" s="642">
        <v>8.6639841752499475E-2</v>
      </c>
      <c r="P111" s="642">
        <v>7.9913059260342072</v>
      </c>
      <c r="Q111" s="642">
        <v>0</v>
      </c>
      <c r="R111" s="642">
        <v>0</v>
      </c>
      <c r="S111" s="650">
        <v>47.660377109201292</v>
      </c>
      <c r="U111" s="648" t="s">
        <v>82</v>
      </c>
      <c r="V111" s="642">
        <v>0</v>
      </c>
      <c r="W111" s="642">
        <v>0</v>
      </c>
      <c r="X111" s="642">
        <v>29.817412370685851</v>
      </c>
      <c r="Y111" s="642">
        <v>2.4393255997206347</v>
      </c>
      <c r="Z111" s="642">
        <v>0</v>
      </c>
      <c r="AA111" s="642">
        <v>0</v>
      </c>
      <c r="AB111" s="642">
        <v>1.1066179688825246</v>
      </c>
      <c r="AC111" s="642">
        <v>0</v>
      </c>
      <c r="AD111" s="642">
        <v>7.1577097724425283</v>
      </c>
      <c r="AE111" s="642">
        <v>0.2121152695409248</v>
      </c>
      <c r="AF111" s="642">
        <v>0</v>
      </c>
      <c r="AG111" s="642">
        <v>0.5193752668696392</v>
      </c>
      <c r="AH111" s="642">
        <v>8.0258276876076717</v>
      </c>
      <c r="AI111" s="642">
        <v>0</v>
      </c>
      <c r="AJ111" s="642">
        <v>0.13892990437736891</v>
      </c>
      <c r="AK111" s="650">
        <v>49.417313840127143</v>
      </c>
    </row>
    <row r="112" spans="3:37" ht="13.5">
      <c r="C112" s="648" t="s">
        <v>357</v>
      </c>
      <c r="D112" s="642">
        <v>0</v>
      </c>
      <c r="E112" s="642">
        <v>0</v>
      </c>
      <c r="F112" s="642">
        <v>0</v>
      </c>
      <c r="G112" s="642">
        <v>0</v>
      </c>
      <c r="H112" s="642">
        <v>0</v>
      </c>
      <c r="I112" s="642">
        <v>0</v>
      </c>
      <c r="J112" s="642">
        <v>0</v>
      </c>
      <c r="K112" s="642">
        <v>0</v>
      </c>
      <c r="L112" s="642">
        <v>0</v>
      </c>
      <c r="M112" s="642">
        <v>0</v>
      </c>
      <c r="N112" s="642">
        <v>0</v>
      </c>
      <c r="O112" s="642">
        <v>0</v>
      </c>
      <c r="P112" s="642">
        <v>0</v>
      </c>
      <c r="Q112" s="642">
        <v>0</v>
      </c>
      <c r="R112" s="642">
        <v>0</v>
      </c>
      <c r="S112" s="650">
        <v>0</v>
      </c>
      <c r="U112" s="648" t="s">
        <v>357</v>
      </c>
      <c r="V112" s="642">
        <v>0</v>
      </c>
      <c r="W112" s="642">
        <v>0</v>
      </c>
      <c r="X112" s="642">
        <v>0</v>
      </c>
      <c r="Y112" s="642">
        <v>0</v>
      </c>
      <c r="Z112" s="642">
        <v>0</v>
      </c>
      <c r="AA112" s="642">
        <v>0</v>
      </c>
      <c r="AB112" s="642">
        <v>0</v>
      </c>
      <c r="AC112" s="642">
        <v>0</v>
      </c>
      <c r="AD112" s="642">
        <v>0</v>
      </c>
      <c r="AE112" s="642">
        <v>0</v>
      </c>
      <c r="AF112" s="642">
        <v>0</v>
      </c>
      <c r="AG112" s="642">
        <v>0</v>
      </c>
      <c r="AH112" s="642">
        <v>0.36</v>
      </c>
      <c r="AI112" s="642">
        <v>0</v>
      </c>
      <c r="AJ112" s="642">
        <v>0</v>
      </c>
      <c r="AK112" s="650">
        <v>0.36</v>
      </c>
    </row>
    <row r="113" spans="3:37" ht="13.5">
      <c r="C113" s="646" t="s">
        <v>83</v>
      </c>
      <c r="D113" s="647">
        <v>6.728773440829297</v>
      </c>
      <c r="E113" s="647">
        <v>0</v>
      </c>
      <c r="F113" s="647">
        <v>481.28871584019521</v>
      </c>
      <c r="G113" s="647">
        <v>294.92544225883904</v>
      </c>
      <c r="H113" s="647">
        <v>0</v>
      </c>
      <c r="I113" s="647">
        <v>0</v>
      </c>
      <c r="J113" s="647">
        <v>99.463524740250691</v>
      </c>
      <c r="K113" s="647">
        <v>1.7823410909893624</v>
      </c>
      <c r="L113" s="647">
        <v>39.159249752490481</v>
      </c>
      <c r="M113" s="647">
        <v>6.0376618476797237</v>
      </c>
      <c r="N113" s="647">
        <v>45.31680426782367</v>
      </c>
      <c r="O113" s="647">
        <v>2.7231373652307198</v>
      </c>
      <c r="P113" s="647">
        <v>447.36659144667379</v>
      </c>
      <c r="Q113" s="647">
        <v>37.199535435098404</v>
      </c>
      <c r="R113" s="647">
        <v>0.58655864384492595</v>
      </c>
      <c r="S113" s="647">
        <v>1462.5783361299455</v>
      </c>
      <c r="U113" s="646" t="s">
        <v>83</v>
      </c>
      <c r="V113" s="647">
        <v>2.0293809622126395</v>
      </c>
      <c r="W113" s="647">
        <v>0</v>
      </c>
      <c r="X113" s="647">
        <v>386.5547653525565</v>
      </c>
      <c r="Y113" s="647">
        <v>226.68292731053214</v>
      </c>
      <c r="Z113" s="647">
        <v>0</v>
      </c>
      <c r="AA113" s="647">
        <v>0</v>
      </c>
      <c r="AB113" s="647">
        <v>100.86962546535466</v>
      </c>
      <c r="AC113" s="647">
        <v>5.7313631790461192</v>
      </c>
      <c r="AD113" s="647">
        <v>46.02139011322933</v>
      </c>
      <c r="AE113" s="647">
        <v>19.829277460523276</v>
      </c>
      <c r="AF113" s="647">
        <v>55.315214066923446</v>
      </c>
      <c r="AG113" s="647">
        <v>3.8870782938942541</v>
      </c>
      <c r="AH113" s="647">
        <v>449.52841955052912</v>
      </c>
      <c r="AI113" s="647">
        <v>58.16748920568601</v>
      </c>
      <c r="AJ113" s="647">
        <v>3.9353462294881845</v>
      </c>
      <c r="AK113" s="647">
        <v>1358.5522771899757</v>
      </c>
    </row>
    <row r="114" spans="3:37" ht="13.5">
      <c r="C114" s="641" t="s">
        <v>84</v>
      </c>
      <c r="D114" s="642">
        <v>0</v>
      </c>
      <c r="E114" s="642">
        <v>0</v>
      </c>
      <c r="F114" s="642">
        <v>123.20669977294675</v>
      </c>
      <c r="G114" s="642">
        <v>12.463741308801668</v>
      </c>
      <c r="H114" s="642">
        <v>0</v>
      </c>
      <c r="I114" s="642">
        <v>0</v>
      </c>
      <c r="J114" s="642">
        <v>0</v>
      </c>
      <c r="K114" s="642">
        <v>0</v>
      </c>
      <c r="L114" s="642">
        <v>0</v>
      </c>
      <c r="M114" s="642">
        <v>0</v>
      </c>
      <c r="N114" s="642">
        <v>0</v>
      </c>
      <c r="O114" s="642">
        <v>0</v>
      </c>
      <c r="P114" s="642">
        <v>0</v>
      </c>
      <c r="Q114" s="642">
        <v>0</v>
      </c>
      <c r="R114" s="642">
        <v>0</v>
      </c>
      <c r="S114" s="650">
        <v>135.67044108174841</v>
      </c>
      <c r="U114" s="641" t="s">
        <v>84</v>
      </c>
      <c r="V114" s="642">
        <v>0</v>
      </c>
      <c r="W114" s="642">
        <v>0</v>
      </c>
      <c r="X114" s="642">
        <v>121.88018365111382</v>
      </c>
      <c r="Y114" s="642">
        <v>1.8275750900030534</v>
      </c>
      <c r="Z114" s="642">
        <v>0</v>
      </c>
      <c r="AA114" s="642">
        <v>0</v>
      </c>
      <c r="AB114" s="642">
        <v>0</v>
      </c>
      <c r="AC114" s="642">
        <v>0</v>
      </c>
      <c r="AD114" s="642">
        <v>0.27491428444602273</v>
      </c>
      <c r="AE114" s="642">
        <v>0</v>
      </c>
      <c r="AF114" s="642">
        <v>0</v>
      </c>
      <c r="AG114" s="642">
        <v>0</v>
      </c>
      <c r="AH114" s="642">
        <v>0</v>
      </c>
      <c r="AI114" s="642">
        <v>0</v>
      </c>
      <c r="AJ114" s="642">
        <v>1.5118644886363639</v>
      </c>
      <c r="AK114" s="650">
        <v>125.49453751419927</v>
      </c>
    </row>
    <row r="115" spans="3:37" ht="13.5">
      <c r="C115" s="646" t="s">
        <v>85</v>
      </c>
      <c r="D115" s="647">
        <v>6.728773440829297</v>
      </c>
      <c r="E115" s="647">
        <v>0</v>
      </c>
      <c r="F115" s="647">
        <v>604.49541561314186</v>
      </c>
      <c r="G115" s="647">
        <v>307.38918356764071</v>
      </c>
      <c r="H115" s="647">
        <v>0</v>
      </c>
      <c r="I115" s="647">
        <v>0</v>
      </c>
      <c r="J115" s="647">
        <v>99.463524740250691</v>
      </c>
      <c r="K115" s="647">
        <v>1.7823410909893624</v>
      </c>
      <c r="L115" s="647">
        <v>39.159249752490481</v>
      </c>
      <c r="M115" s="647">
        <v>6.0376618476797237</v>
      </c>
      <c r="N115" s="647">
        <v>45.31680426782367</v>
      </c>
      <c r="O115" s="647">
        <v>2.7231373652307198</v>
      </c>
      <c r="P115" s="647">
        <v>447.36659144667379</v>
      </c>
      <c r="Q115" s="647">
        <v>37.199535435098404</v>
      </c>
      <c r="R115" s="647">
        <v>0.58655864384492595</v>
      </c>
      <c r="S115" s="647">
        <v>1598.2487772116938</v>
      </c>
      <c r="U115" s="646" t="s">
        <v>85</v>
      </c>
      <c r="V115" s="647">
        <v>2.0293809622126395</v>
      </c>
      <c r="W115" s="647">
        <v>0</v>
      </c>
      <c r="X115" s="647">
        <v>508.43494900367028</v>
      </c>
      <c r="Y115" s="647">
        <v>228.51050240053519</v>
      </c>
      <c r="Z115" s="647">
        <v>0</v>
      </c>
      <c r="AA115" s="647">
        <v>0</v>
      </c>
      <c r="AB115" s="647">
        <v>100.86962546535466</v>
      </c>
      <c r="AC115" s="647">
        <v>5.7313631790461192</v>
      </c>
      <c r="AD115" s="647">
        <v>46.29630439767535</v>
      </c>
      <c r="AE115" s="647">
        <v>19.829277460523276</v>
      </c>
      <c r="AF115" s="647">
        <v>55.315214066923446</v>
      </c>
      <c r="AG115" s="647">
        <v>3.8870782938942541</v>
      </c>
      <c r="AH115" s="647">
        <v>449.52841955052912</v>
      </c>
      <c r="AI115" s="647">
        <v>58.16748920568601</v>
      </c>
      <c r="AJ115" s="647">
        <v>5.4472107181245484</v>
      </c>
      <c r="AK115" s="647">
        <v>1484.0468147041749</v>
      </c>
    </row>
    <row r="116" spans="3:37" ht="13">
      <c r="C116" s="636"/>
      <c r="D116" s="636"/>
      <c r="E116" s="636"/>
      <c r="F116" s="636"/>
      <c r="G116" s="636"/>
      <c r="H116" s="636"/>
      <c r="I116" s="636"/>
      <c r="J116" s="636"/>
      <c r="K116" s="636"/>
      <c r="L116" s="636"/>
      <c r="M116" s="636"/>
      <c r="N116" s="636"/>
      <c r="O116" s="636"/>
      <c r="P116" s="636"/>
      <c r="Q116" s="636"/>
      <c r="R116" s="636"/>
      <c r="S116" s="636"/>
      <c r="U116" s="636"/>
      <c r="V116" s="636"/>
      <c r="W116" s="636"/>
      <c r="X116" s="636"/>
      <c r="Y116" s="636"/>
      <c r="Z116" s="636"/>
      <c r="AA116" s="636"/>
      <c r="AB116" s="636"/>
      <c r="AC116" s="636"/>
      <c r="AD116" s="636"/>
      <c r="AE116" s="636"/>
      <c r="AF116" s="636"/>
      <c r="AG116" s="636"/>
      <c r="AH116" s="636"/>
      <c r="AI116" s="636"/>
      <c r="AJ116" s="636"/>
      <c r="AK116" s="636"/>
    </row>
    <row r="117" spans="3:37" ht="22.5">
      <c r="C117" s="699" t="s">
        <v>88</v>
      </c>
      <c r="D117" s="699"/>
      <c r="E117" s="699"/>
      <c r="F117" s="699"/>
      <c r="G117" s="699"/>
      <c r="H117" s="699"/>
      <c r="I117" s="699"/>
      <c r="J117" s="699"/>
      <c r="K117" s="699"/>
      <c r="L117" s="699"/>
      <c r="M117" s="699"/>
      <c r="N117" s="699"/>
      <c r="O117" s="699"/>
      <c r="P117" s="699"/>
      <c r="Q117" s="699"/>
      <c r="R117" s="699"/>
      <c r="S117" s="699"/>
      <c r="U117" s="699" t="s">
        <v>88</v>
      </c>
      <c r="V117" s="699"/>
      <c r="W117" s="699"/>
      <c r="X117" s="699"/>
      <c r="Y117" s="699"/>
      <c r="Z117" s="699"/>
      <c r="AA117" s="699"/>
      <c r="AB117" s="699"/>
      <c r="AC117" s="699"/>
      <c r="AD117" s="699"/>
      <c r="AE117" s="699"/>
      <c r="AF117" s="699"/>
      <c r="AG117" s="699"/>
      <c r="AH117" s="699"/>
      <c r="AI117" s="699"/>
      <c r="AJ117" s="699"/>
      <c r="AK117" s="699"/>
    </row>
    <row r="118" spans="3:37" ht="13">
      <c r="C118" s="636"/>
      <c r="D118" s="636"/>
      <c r="E118" s="636"/>
      <c r="F118" s="636"/>
      <c r="G118" s="636"/>
      <c r="H118" s="636"/>
      <c r="I118" s="636"/>
      <c r="J118" s="636"/>
      <c r="K118" s="636"/>
      <c r="L118" s="636"/>
      <c r="M118" s="636"/>
      <c r="N118" s="636"/>
      <c r="O118" s="636"/>
      <c r="P118" s="636"/>
      <c r="Q118" s="636"/>
      <c r="R118" s="636"/>
      <c r="S118" s="636"/>
      <c r="U118" s="636"/>
      <c r="V118" s="636"/>
      <c r="W118" s="636"/>
      <c r="X118" s="636"/>
      <c r="Y118" s="636"/>
      <c r="Z118" s="636"/>
      <c r="AA118" s="636"/>
      <c r="AB118" s="636"/>
      <c r="AC118" s="636"/>
      <c r="AD118" s="636"/>
      <c r="AE118" s="636"/>
      <c r="AF118" s="636"/>
      <c r="AG118" s="636"/>
      <c r="AH118" s="636"/>
      <c r="AI118" s="636"/>
      <c r="AJ118" s="636"/>
      <c r="AK118" s="636"/>
    </row>
    <row r="119" spans="3:37" ht="13" customHeight="1">
      <c r="C119" s="700" t="s">
        <v>128</v>
      </c>
      <c r="D119" s="701" t="s">
        <v>42</v>
      </c>
      <c r="E119" s="701" t="s">
        <v>52</v>
      </c>
      <c r="F119" s="701" t="s">
        <v>53</v>
      </c>
      <c r="G119" s="701" t="s">
        <v>32</v>
      </c>
      <c r="H119" s="701" t="s">
        <v>20</v>
      </c>
      <c r="I119" s="701" t="s">
        <v>55</v>
      </c>
      <c r="J119" s="701" t="s">
        <v>56</v>
      </c>
      <c r="K119" s="701"/>
      <c r="L119" s="701"/>
      <c r="M119" s="701"/>
      <c r="N119" s="701"/>
      <c r="O119" s="701"/>
      <c r="P119" s="701" t="s">
        <v>57</v>
      </c>
      <c r="Q119" s="701" t="s">
        <v>58</v>
      </c>
      <c r="R119" s="701" t="s">
        <v>31</v>
      </c>
      <c r="S119" s="701" t="s">
        <v>10</v>
      </c>
      <c r="U119" s="700" t="s">
        <v>128</v>
      </c>
      <c r="V119" s="701" t="s">
        <v>42</v>
      </c>
      <c r="W119" s="701" t="s">
        <v>52</v>
      </c>
      <c r="X119" s="701" t="s">
        <v>53</v>
      </c>
      <c r="Y119" s="701" t="s">
        <v>32</v>
      </c>
      <c r="Z119" s="701" t="s">
        <v>20</v>
      </c>
      <c r="AA119" s="701" t="s">
        <v>55</v>
      </c>
      <c r="AB119" s="701" t="s">
        <v>56</v>
      </c>
      <c r="AC119" s="701"/>
      <c r="AD119" s="701"/>
      <c r="AE119" s="701"/>
      <c r="AF119" s="701"/>
      <c r="AG119" s="701"/>
      <c r="AH119" s="701" t="s">
        <v>57</v>
      </c>
      <c r="AI119" s="701" t="s">
        <v>58</v>
      </c>
      <c r="AJ119" s="701" t="s">
        <v>31</v>
      </c>
      <c r="AK119" s="701" t="s">
        <v>10</v>
      </c>
    </row>
    <row r="120" spans="3:37" ht="46">
      <c r="C120" s="700"/>
      <c r="D120" s="701"/>
      <c r="E120" s="701"/>
      <c r="F120" s="701"/>
      <c r="G120" s="701"/>
      <c r="H120" s="701"/>
      <c r="I120" s="701"/>
      <c r="J120" s="640" t="s">
        <v>338</v>
      </c>
      <c r="K120" s="640" t="s">
        <v>40</v>
      </c>
      <c r="L120" s="640" t="s">
        <v>346</v>
      </c>
      <c r="M120" s="640" t="s">
        <v>347</v>
      </c>
      <c r="N120" s="640" t="s">
        <v>348</v>
      </c>
      <c r="O120" s="640" t="s">
        <v>349</v>
      </c>
      <c r="P120" s="701"/>
      <c r="Q120" s="701"/>
      <c r="R120" s="701"/>
      <c r="S120" s="701"/>
      <c r="U120" s="700"/>
      <c r="V120" s="701"/>
      <c r="W120" s="701"/>
      <c r="X120" s="701"/>
      <c r="Y120" s="701"/>
      <c r="Z120" s="701"/>
      <c r="AA120" s="701"/>
      <c r="AB120" s="640" t="s">
        <v>338</v>
      </c>
      <c r="AC120" s="640" t="s">
        <v>40</v>
      </c>
      <c r="AD120" s="640" t="s">
        <v>346</v>
      </c>
      <c r="AE120" s="640" t="s">
        <v>347</v>
      </c>
      <c r="AF120" s="640" t="s">
        <v>348</v>
      </c>
      <c r="AG120" s="640" t="s">
        <v>349</v>
      </c>
      <c r="AH120" s="701"/>
      <c r="AI120" s="701"/>
      <c r="AJ120" s="701"/>
      <c r="AK120" s="701"/>
    </row>
    <row r="121" spans="3:37" ht="13.5">
      <c r="C121" s="641" t="s">
        <v>59</v>
      </c>
      <c r="D121" s="642">
        <v>0</v>
      </c>
      <c r="E121" s="643">
        <v>9.7691999999999997</v>
      </c>
      <c r="F121" s="643">
        <v>0</v>
      </c>
      <c r="G121" s="642">
        <v>0.18608000000000002</v>
      </c>
      <c r="H121" s="643">
        <v>1190.909090909091</v>
      </c>
      <c r="I121" s="643">
        <v>182.7291074592973</v>
      </c>
      <c r="J121" s="643">
        <v>189.61507961766128</v>
      </c>
      <c r="K121" s="643">
        <v>22.268083551618652</v>
      </c>
      <c r="L121" s="643">
        <v>0.30256781050897086</v>
      </c>
      <c r="M121" s="643">
        <v>0.13616606414588689</v>
      </c>
      <c r="N121" s="643">
        <v>49.514351265721807</v>
      </c>
      <c r="O121" s="643">
        <v>8.1467195883110648</v>
      </c>
      <c r="P121" s="644">
        <v>0</v>
      </c>
      <c r="Q121" s="643">
        <v>0</v>
      </c>
      <c r="R121" s="643">
        <v>0</v>
      </c>
      <c r="S121" s="645">
        <v>1653.5764462663558</v>
      </c>
      <c r="U121" s="641" t="s">
        <v>59</v>
      </c>
      <c r="V121" s="642">
        <v>0</v>
      </c>
      <c r="W121" s="643">
        <v>9.7691999999999997</v>
      </c>
      <c r="X121" s="643">
        <v>0</v>
      </c>
      <c r="Y121" s="642">
        <v>0.18608000000000002</v>
      </c>
      <c r="Z121" s="643">
        <v>1069.3939393939395</v>
      </c>
      <c r="AA121" s="643">
        <v>197.24910745929728</v>
      </c>
      <c r="AB121" s="643">
        <v>182.13163745220285</v>
      </c>
      <c r="AC121" s="643">
        <v>36.932838973655407</v>
      </c>
      <c r="AD121" s="643">
        <v>0.30256781050897086</v>
      </c>
      <c r="AE121" s="643">
        <v>0.13616606414588689</v>
      </c>
      <c r="AF121" s="643">
        <v>61.091225724919909</v>
      </c>
      <c r="AG121" s="643">
        <v>13.043980364734779</v>
      </c>
      <c r="AH121" s="644">
        <v>0</v>
      </c>
      <c r="AI121" s="643">
        <v>0</v>
      </c>
      <c r="AJ121" s="643">
        <v>0</v>
      </c>
      <c r="AK121" s="645">
        <v>1570.2367432434044</v>
      </c>
    </row>
    <row r="122" spans="3:37" ht="13.5">
      <c r="C122" s="641" t="s">
        <v>60</v>
      </c>
      <c r="D122" s="642">
        <v>49.173561762123036</v>
      </c>
      <c r="E122" s="643">
        <v>533.81672423347197</v>
      </c>
      <c r="F122" s="643">
        <v>159.30055959731865</v>
      </c>
      <c r="G122" s="642">
        <v>343.82692763471942</v>
      </c>
      <c r="H122" s="643">
        <v>0</v>
      </c>
      <c r="I122" s="643">
        <v>0</v>
      </c>
      <c r="J122" s="643">
        <v>3.0754920838007731</v>
      </c>
      <c r="K122" s="643">
        <v>0</v>
      </c>
      <c r="L122" s="643">
        <v>1.7669821269916453</v>
      </c>
      <c r="M122" s="643">
        <v>0</v>
      </c>
      <c r="N122" s="643">
        <v>0</v>
      </c>
      <c r="O122" s="643">
        <v>0</v>
      </c>
      <c r="P122" s="644">
        <v>0</v>
      </c>
      <c r="Q122" s="643">
        <v>0</v>
      </c>
      <c r="R122" s="643">
        <v>0</v>
      </c>
      <c r="S122" s="645">
        <v>1090.9602474384255</v>
      </c>
      <c r="U122" s="641" t="s">
        <v>60</v>
      </c>
      <c r="V122" s="642">
        <v>12.56447967339157</v>
      </c>
      <c r="W122" s="643">
        <v>409.1975890316798</v>
      </c>
      <c r="X122" s="643">
        <v>146.83839951059079</v>
      </c>
      <c r="Y122" s="642">
        <v>277.07529977218445</v>
      </c>
      <c r="Z122" s="643">
        <v>0</v>
      </c>
      <c r="AA122" s="643">
        <v>0</v>
      </c>
      <c r="AB122" s="643">
        <v>3.0754920838007731</v>
      </c>
      <c r="AC122" s="643">
        <v>0</v>
      </c>
      <c r="AD122" s="643">
        <v>1.7669821269916453</v>
      </c>
      <c r="AE122" s="643">
        <v>0</v>
      </c>
      <c r="AF122" s="643">
        <v>0</v>
      </c>
      <c r="AG122" s="643">
        <v>0</v>
      </c>
      <c r="AH122" s="644">
        <v>0</v>
      </c>
      <c r="AI122" s="643">
        <v>0</v>
      </c>
      <c r="AJ122" s="643">
        <v>0</v>
      </c>
      <c r="AK122" s="645">
        <v>850.51824219863909</v>
      </c>
    </row>
    <row r="123" spans="3:37" ht="13.5">
      <c r="C123" s="641" t="s">
        <v>61</v>
      </c>
      <c r="D123" s="642">
        <v>0</v>
      </c>
      <c r="E123" s="643">
        <v>0</v>
      </c>
      <c r="F123" s="643">
        <v>0</v>
      </c>
      <c r="G123" s="642">
        <v>0</v>
      </c>
      <c r="H123" s="643">
        <v>0</v>
      </c>
      <c r="I123" s="643">
        <v>0</v>
      </c>
      <c r="J123" s="643">
        <v>0</v>
      </c>
      <c r="K123" s="643">
        <v>0</v>
      </c>
      <c r="L123" s="643">
        <v>0</v>
      </c>
      <c r="M123" s="643">
        <v>0</v>
      </c>
      <c r="N123" s="643">
        <v>0</v>
      </c>
      <c r="O123" s="643">
        <v>0</v>
      </c>
      <c r="P123" s="644">
        <v>-73.711460432822037</v>
      </c>
      <c r="Q123" s="643">
        <v>0</v>
      </c>
      <c r="R123" s="643">
        <v>0</v>
      </c>
      <c r="S123" s="645">
        <v>-73.711460432822037</v>
      </c>
      <c r="U123" s="641" t="s">
        <v>61</v>
      </c>
      <c r="V123" s="642">
        <v>0</v>
      </c>
      <c r="W123" s="643">
        <v>0</v>
      </c>
      <c r="X123" s="643">
        <v>0</v>
      </c>
      <c r="Y123" s="642">
        <v>0</v>
      </c>
      <c r="Z123" s="643">
        <v>0</v>
      </c>
      <c r="AA123" s="643">
        <v>0</v>
      </c>
      <c r="AB123" s="643">
        <v>0</v>
      </c>
      <c r="AC123" s="643">
        <v>0</v>
      </c>
      <c r="AD123" s="643">
        <v>0</v>
      </c>
      <c r="AE123" s="643">
        <v>0</v>
      </c>
      <c r="AF123" s="643">
        <v>0</v>
      </c>
      <c r="AG123" s="643">
        <v>0</v>
      </c>
      <c r="AH123" s="644">
        <v>-59.233927293838519</v>
      </c>
      <c r="AI123" s="643">
        <v>0</v>
      </c>
      <c r="AJ123" s="643">
        <v>0</v>
      </c>
      <c r="AK123" s="645">
        <v>-59.233927293838519</v>
      </c>
    </row>
    <row r="124" spans="3:37" ht="13.5">
      <c r="C124" s="641" t="s">
        <v>62</v>
      </c>
      <c r="D124" s="642">
        <v>0</v>
      </c>
      <c r="E124" s="643">
        <v>0</v>
      </c>
      <c r="F124" s="643">
        <v>-16.493151741791234</v>
      </c>
      <c r="G124" s="642">
        <v>0</v>
      </c>
      <c r="H124" s="643">
        <v>0</v>
      </c>
      <c r="I124" s="643">
        <v>0</v>
      </c>
      <c r="J124" s="643">
        <v>0</v>
      </c>
      <c r="K124" s="643">
        <v>0</v>
      </c>
      <c r="L124" s="643">
        <v>0</v>
      </c>
      <c r="M124" s="643">
        <v>0</v>
      </c>
      <c r="N124" s="643">
        <v>0</v>
      </c>
      <c r="O124" s="643">
        <v>0</v>
      </c>
      <c r="P124" s="644">
        <v>0</v>
      </c>
      <c r="Q124" s="643">
        <v>0</v>
      </c>
      <c r="R124" s="643">
        <v>0</v>
      </c>
      <c r="S124" s="645">
        <v>-16.493151741791234</v>
      </c>
      <c r="U124" s="641" t="s">
        <v>62</v>
      </c>
      <c r="V124" s="642">
        <v>0</v>
      </c>
      <c r="W124" s="643">
        <v>0</v>
      </c>
      <c r="X124" s="643">
        <v>-16.114280484636947</v>
      </c>
      <c r="Y124" s="642">
        <v>-5.618284274922395E-2</v>
      </c>
      <c r="Z124" s="643">
        <v>0</v>
      </c>
      <c r="AA124" s="643">
        <v>0</v>
      </c>
      <c r="AB124" s="643">
        <v>0</v>
      </c>
      <c r="AC124" s="643">
        <v>0</v>
      </c>
      <c r="AD124" s="643">
        <v>0</v>
      </c>
      <c r="AE124" s="643">
        <v>-6.2425380832471051E-3</v>
      </c>
      <c r="AF124" s="643">
        <v>0</v>
      </c>
      <c r="AG124" s="643">
        <v>0</v>
      </c>
      <c r="AH124" s="644">
        <v>0</v>
      </c>
      <c r="AI124" s="643">
        <v>0</v>
      </c>
      <c r="AJ124" s="643">
        <v>0</v>
      </c>
      <c r="AK124" s="645">
        <v>-16.176705865469415</v>
      </c>
    </row>
    <row r="125" spans="3:37" ht="13.5">
      <c r="C125" s="641" t="s">
        <v>63</v>
      </c>
      <c r="D125" s="642">
        <v>0</v>
      </c>
      <c r="E125" s="643">
        <v>0</v>
      </c>
      <c r="F125" s="643">
        <v>-80.583101554650298</v>
      </c>
      <c r="G125" s="642">
        <v>0</v>
      </c>
      <c r="H125" s="643">
        <v>0</v>
      </c>
      <c r="I125" s="643">
        <v>0</v>
      </c>
      <c r="J125" s="643">
        <v>0</v>
      </c>
      <c r="K125" s="643">
        <v>0</v>
      </c>
      <c r="L125" s="643">
        <v>-0.83510983775166403</v>
      </c>
      <c r="M125" s="643">
        <v>0</v>
      </c>
      <c r="N125" s="643">
        <v>0</v>
      </c>
      <c r="O125" s="643">
        <v>0</v>
      </c>
      <c r="P125" s="644">
        <v>0</v>
      </c>
      <c r="Q125" s="643">
        <v>0</v>
      </c>
      <c r="R125" s="643">
        <v>0</v>
      </c>
      <c r="S125" s="645">
        <v>-81.418211392401957</v>
      </c>
      <c r="U125" s="641" t="s">
        <v>63</v>
      </c>
      <c r="V125" s="642">
        <v>0</v>
      </c>
      <c r="W125" s="643">
        <v>0</v>
      </c>
      <c r="X125" s="643">
        <v>-78.29497747164686</v>
      </c>
      <c r="Y125" s="642">
        <v>0</v>
      </c>
      <c r="Z125" s="643">
        <v>0</v>
      </c>
      <c r="AA125" s="643">
        <v>0</v>
      </c>
      <c r="AB125" s="643">
        <v>0</v>
      </c>
      <c r="AC125" s="643">
        <v>0</v>
      </c>
      <c r="AD125" s="643">
        <v>-3.8806739722042796</v>
      </c>
      <c r="AE125" s="643">
        <v>0</v>
      </c>
      <c r="AF125" s="643">
        <v>0</v>
      </c>
      <c r="AG125" s="643">
        <v>0</v>
      </c>
      <c r="AH125" s="644">
        <v>0</v>
      </c>
      <c r="AI125" s="643">
        <v>0</v>
      </c>
      <c r="AJ125" s="643">
        <v>0</v>
      </c>
      <c r="AK125" s="645">
        <v>-82.175651443851137</v>
      </c>
    </row>
    <row r="126" spans="3:37" ht="13.5">
      <c r="C126" s="641" t="s">
        <v>64</v>
      </c>
      <c r="D126" s="642">
        <v>0</v>
      </c>
      <c r="E126" s="643">
        <v>0</v>
      </c>
      <c r="F126" s="643">
        <v>0</v>
      </c>
      <c r="G126" s="642">
        <v>0</v>
      </c>
      <c r="H126" s="643">
        <v>0</v>
      </c>
      <c r="I126" s="643">
        <v>0</v>
      </c>
      <c r="J126" s="643">
        <v>0</v>
      </c>
      <c r="K126" s="643">
        <v>0</v>
      </c>
      <c r="L126" s="643">
        <v>0</v>
      </c>
      <c r="M126" s="643">
        <v>0</v>
      </c>
      <c r="N126" s="643">
        <v>0</v>
      </c>
      <c r="O126" s="643">
        <v>0</v>
      </c>
      <c r="P126" s="644">
        <v>0</v>
      </c>
      <c r="Q126" s="643">
        <v>0</v>
      </c>
      <c r="R126" s="643">
        <v>0</v>
      </c>
      <c r="S126" s="645">
        <v>0</v>
      </c>
      <c r="U126" s="641" t="s">
        <v>64</v>
      </c>
      <c r="V126" s="642">
        <v>0</v>
      </c>
      <c r="W126" s="643">
        <v>0</v>
      </c>
      <c r="X126" s="643">
        <v>0</v>
      </c>
      <c r="Y126" s="642">
        <v>0</v>
      </c>
      <c r="Z126" s="643">
        <v>0</v>
      </c>
      <c r="AA126" s="643">
        <v>0</v>
      </c>
      <c r="AB126" s="643">
        <v>0</v>
      </c>
      <c r="AC126" s="643">
        <v>0</v>
      </c>
      <c r="AD126" s="643">
        <v>0</v>
      </c>
      <c r="AE126" s="643">
        <v>0</v>
      </c>
      <c r="AF126" s="643">
        <v>0</v>
      </c>
      <c r="AG126" s="643">
        <v>0</v>
      </c>
      <c r="AH126" s="644">
        <v>0</v>
      </c>
      <c r="AI126" s="643">
        <v>0</v>
      </c>
      <c r="AJ126" s="643">
        <v>0</v>
      </c>
      <c r="AK126" s="645">
        <v>0</v>
      </c>
    </row>
    <row r="127" spans="3:37" ht="13.5">
      <c r="C127" s="646" t="s">
        <v>65</v>
      </c>
      <c r="D127" s="647">
        <v>49.173561762123036</v>
      </c>
      <c r="E127" s="647">
        <v>543.58592423347193</v>
      </c>
      <c r="F127" s="647">
        <v>62.224306300877117</v>
      </c>
      <c r="G127" s="647">
        <v>344.01300763471943</v>
      </c>
      <c r="H127" s="647">
        <v>1190.909090909091</v>
      </c>
      <c r="I127" s="647">
        <v>182.7291074592973</v>
      </c>
      <c r="J127" s="647">
        <v>192.69057170146206</v>
      </c>
      <c r="K127" s="647">
        <v>22.268083551618652</v>
      </c>
      <c r="L127" s="647">
        <v>1.234440099748952</v>
      </c>
      <c r="M127" s="647">
        <v>0.13616606414588689</v>
      </c>
      <c r="N127" s="647">
        <v>49.514351265721807</v>
      </c>
      <c r="O127" s="647">
        <v>8.1467195883110648</v>
      </c>
      <c r="P127" s="647">
        <v>-73.711460432822037</v>
      </c>
      <c r="Q127" s="647">
        <v>0</v>
      </c>
      <c r="R127" s="647">
        <v>0</v>
      </c>
      <c r="S127" s="647">
        <v>2572.9138701377656</v>
      </c>
      <c r="U127" s="646" t="s">
        <v>65</v>
      </c>
      <c r="V127" s="647">
        <v>12.56447967339157</v>
      </c>
      <c r="W127" s="647">
        <v>418.96678903167981</v>
      </c>
      <c r="X127" s="647">
        <v>52.42914155430698</v>
      </c>
      <c r="Y127" s="647">
        <v>277.2051969294352</v>
      </c>
      <c r="Z127" s="647">
        <v>1069.3939393939395</v>
      </c>
      <c r="AA127" s="647">
        <v>197.24910745929728</v>
      </c>
      <c r="AB127" s="647">
        <v>185.20712953600363</v>
      </c>
      <c r="AC127" s="647">
        <v>36.932838973655407</v>
      </c>
      <c r="AD127" s="647">
        <v>-1.8111240347036635</v>
      </c>
      <c r="AE127" s="647">
        <v>0.12992352606263979</v>
      </c>
      <c r="AF127" s="647">
        <v>61.091225724919909</v>
      </c>
      <c r="AG127" s="647">
        <v>13.043980364734779</v>
      </c>
      <c r="AH127" s="647">
        <v>-59.233927293838519</v>
      </c>
      <c r="AI127" s="647">
        <v>0</v>
      </c>
      <c r="AJ127" s="647">
        <v>0</v>
      </c>
      <c r="AK127" s="647">
        <v>2263.168700838884</v>
      </c>
    </row>
    <row r="128" spans="3:37" ht="13">
      <c r="C128" s="636"/>
      <c r="D128" s="636">
        <v>0</v>
      </c>
      <c r="E128" s="636">
        <v>0</v>
      </c>
      <c r="F128" s="636">
        <v>0</v>
      </c>
      <c r="G128" s="636">
        <v>0</v>
      </c>
      <c r="H128" s="636">
        <v>0</v>
      </c>
      <c r="I128" s="636">
        <v>0</v>
      </c>
      <c r="J128" s="636">
        <v>0</v>
      </c>
      <c r="K128" s="636">
        <v>0</v>
      </c>
      <c r="L128" s="636">
        <v>0</v>
      </c>
      <c r="M128" s="636">
        <v>0</v>
      </c>
      <c r="N128" s="636">
        <v>0</v>
      </c>
      <c r="O128" s="636">
        <v>0</v>
      </c>
      <c r="P128" s="636">
        <v>0</v>
      </c>
      <c r="Q128" s="636">
        <v>0</v>
      </c>
      <c r="R128" s="636">
        <v>0</v>
      </c>
      <c r="S128" s="636">
        <v>0</v>
      </c>
      <c r="U128" s="636"/>
      <c r="V128" s="636">
        <v>0</v>
      </c>
      <c r="W128" s="636">
        <v>0</v>
      </c>
      <c r="X128" s="636">
        <v>0</v>
      </c>
      <c r="Y128" s="636">
        <v>0</v>
      </c>
      <c r="Z128" s="636">
        <v>0</v>
      </c>
      <c r="AA128" s="636">
        <v>0</v>
      </c>
      <c r="AB128" s="636">
        <v>0</v>
      </c>
      <c r="AC128" s="636">
        <v>0</v>
      </c>
      <c r="AD128" s="636">
        <v>0</v>
      </c>
      <c r="AE128" s="636">
        <v>0</v>
      </c>
      <c r="AF128" s="636">
        <v>0</v>
      </c>
      <c r="AG128" s="636">
        <v>0</v>
      </c>
      <c r="AH128" s="636">
        <v>0</v>
      </c>
      <c r="AI128" s="636">
        <v>0</v>
      </c>
      <c r="AJ128" s="636">
        <v>0</v>
      </c>
      <c r="AK128" s="636">
        <v>0</v>
      </c>
    </row>
    <row r="129" spans="3:37" ht="13.5">
      <c r="C129" s="648" t="s">
        <v>67</v>
      </c>
      <c r="D129" s="642">
        <v>0</v>
      </c>
      <c r="E129" s="649">
        <v>0</v>
      </c>
      <c r="F129" s="649">
        <v>0</v>
      </c>
      <c r="G129" s="642">
        <v>0</v>
      </c>
      <c r="H129" s="642">
        <v>0</v>
      </c>
      <c r="I129" s="642">
        <v>0</v>
      </c>
      <c r="J129" s="642">
        <v>0</v>
      </c>
      <c r="K129" s="642">
        <v>0</v>
      </c>
      <c r="L129" s="642">
        <v>0</v>
      </c>
      <c r="M129" s="642">
        <v>0</v>
      </c>
      <c r="N129" s="642">
        <v>0</v>
      </c>
      <c r="O129" s="642">
        <v>0</v>
      </c>
      <c r="P129" s="642">
        <v>0</v>
      </c>
      <c r="Q129" s="642">
        <v>0</v>
      </c>
      <c r="R129" s="642">
        <v>0</v>
      </c>
      <c r="S129" s="650">
        <v>0</v>
      </c>
      <c r="U129" s="648" t="s">
        <v>67</v>
      </c>
      <c r="V129" s="642">
        <v>0</v>
      </c>
      <c r="W129" s="649">
        <v>0</v>
      </c>
      <c r="X129" s="649">
        <v>0</v>
      </c>
      <c r="Y129" s="642">
        <v>0</v>
      </c>
      <c r="Z129" s="642">
        <v>0</v>
      </c>
      <c r="AA129" s="642">
        <v>0</v>
      </c>
      <c r="AB129" s="642">
        <v>0</v>
      </c>
      <c r="AC129" s="642">
        <v>0</v>
      </c>
      <c r="AD129" s="642">
        <v>0</v>
      </c>
      <c r="AE129" s="642">
        <v>0</v>
      </c>
      <c r="AF129" s="642">
        <v>0</v>
      </c>
      <c r="AG129" s="642">
        <v>0</v>
      </c>
      <c r="AH129" s="642">
        <v>0</v>
      </c>
      <c r="AI129" s="642">
        <v>0</v>
      </c>
      <c r="AJ129" s="642">
        <v>0</v>
      </c>
      <c r="AK129" s="650">
        <v>0</v>
      </c>
    </row>
    <row r="130" spans="3:37" ht="13.5">
      <c r="C130" s="648" t="s">
        <v>350</v>
      </c>
      <c r="D130" s="642">
        <v>2.8267856410252494</v>
      </c>
      <c r="E130" s="642">
        <v>0</v>
      </c>
      <c r="F130" s="642">
        <v>7.5307695076515202</v>
      </c>
      <c r="G130" s="642">
        <v>17.818181818181817</v>
      </c>
      <c r="H130" s="642">
        <v>1190.909090909091</v>
      </c>
      <c r="I130" s="642">
        <v>182.7291074592973</v>
      </c>
      <c r="J130" s="651">
        <v>31.567770517320518</v>
      </c>
      <c r="K130" s="651">
        <v>7.9944017148664477</v>
      </c>
      <c r="L130" s="651">
        <v>2.0695499375006161</v>
      </c>
      <c r="M130" s="651">
        <v>0.46787592950723628</v>
      </c>
      <c r="N130" s="651">
        <v>0</v>
      </c>
      <c r="O130" s="651">
        <v>3.0833964576427819</v>
      </c>
      <c r="P130" s="642">
        <v>-605.52729840025461</v>
      </c>
      <c r="Q130" s="642">
        <v>0</v>
      </c>
      <c r="R130" s="642">
        <v>0</v>
      </c>
      <c r="S130" s="650">
        <v>841.46963149182989</v>
      </c>
      <c r="U130" s="648" t="s">
        <v>350</v>
      </c>
      <c r="V130" s="642">
        <v>0.62631490545869017</v>
      </c>
      <c r="W130" s="642">
        <v>0</v>
      </c>
      <c r="X130" s="642">
        <v>3.6671331440151573</v>
      </c>
      <c r="Y130" s="642">
        <v>45.490909090909085</v>
      </c>
      <c r="Z130" s="642">
        <v>1069.3939393939395</v>
      </c>
      <c r="AA130" s="642">
        <v>197.24910745929728</v>
      </c>
      <c r="AB130" s="651">
        <v>26.112388272824305</v>
      </c>
      <c r="AC130" s="651">
        <v>7.8557568383975527</v>
      </c>
      <c r="AD130" s="651">
        <v>2.0695499375006161</v>
      </c>
      <c r="AE130" s="651">
        <v>5.1587850204163272</v>
      </c>
      <c r="AF130" s="651">
        <v>0</v>
      </c>
      <c r="AG130" s="651">
        <v>3.0833964576427819</v>
      </c>
      <c r="AH130" s="642">
        <v>-594.94729840025457</v>
      </c>
      <c r="AI130" s="642">
        <v>0</v>
      </c>
      <c r="AJ130" s="642">
        <v>0</v>
      </c>
      <c r="AK130" s="650">
        <v>765.75998212014645</v>
      </c>
    </row>
    <row r="131" spans="3:37" ht="13.5">
      <c r="C131" s="648" t="s">
        <v>351</v>
      </c>
      <c r="D131" s="642">
        <v>0</v>
      </c>
      <c r="E131" s="642">
        <v>0</v>
      </c>
      <c r="F131" s="642">
        <v>0</v>
      </c>
      <c r="G131" s="642">
        <v>15.528976420917793</v>
      </c>
      <c r="H131" s="642">
        <v>0</v>
      </c>
      <c r="I131" s="642">
        <v>0</v>
      </c>
      <c r="J131" s="651">
        <v>13.425934567091144</v>
      </c>
      <c r="K131" s="651">
        <v>12.460813842705811</v>
      </c>
      <c r="L131" s="651">
        <v>0</v>
      </c>
      <c r="M131" s="651">
        <v>0.33007353312586968</v>
      </c>
      <c r="N131" s="651">
        <v>0</v>
      </c>
      <c r="O131" s="651">
        <v>2.2140049259569654</v>
      </c>
      <c r="P131" s="642">
        <v>0</v>
      </c>
      <c r="Q131" s="642">
        <v>-39.530815313914701</v>
      </c>
      <c r="R131" s="642">
        <v>0</v>
      </c>
      <c r="S131" s="650">
        <v>4.4289879758828699</v>
      </c>
      <c r="U131" s="648" t="s">
        <v>351</v>
      </c>
      <c r="V131" s="642">
        <v>0</v>
      </c>
      <c r="W131" s="642">
        <v>0</v>
      </c>
      <c r="X131" s="642">
        <v>0</v>
      </c>
      <c r="Y131" s="642">
        <v>17.633177295554518</v>
      </c>
      <c r="Z131" s="642">
        <v>0</v>
      </c>
      <c r="AA131" s="642">
        <v>0</v>
      </c>
      <c r="AB131" s="651">
        <v>25.59264276124566</v>
      </c>
      <c r="AC131" s="651">
        <v>22.938494140017696</v>
      </c>
      <c r="AD131" s="651">
        <v>0</v>
      </c>
      <c r="AE131" s="651">
        <v>1.9723975687129698</v>
      </c>
      <c r="AF131" s="651">
        <v>0</v>
      </c>
      <c r="AG131" s="651">
        <v>5.6361523989336151</v>
      </c>
      <c r="AH131" s="642">
        <v>0</v>
      </c>
      <c r="AI131" s="642">
        <v>-66.845421794322675</v>
      </c>
      <c r="AJ131" s="642">
        <v>0</v>
      </c>
      <c r="AK131" s="650">
        <v>6.927442370141784</v>
      </c>
    </row>
    <row r="132" spans="3:37" ht="13.5">
      <c r="C132" s="648" t="s">
        <v>352</v>
      </c>
      <c r="D132" s="642">
        <v>0</v>
      </c>
      <c r="E132" s="642">
        <v>0</v>
      </c>
      <c r="F132" s="642">
        <v>0</v>
      </c>
      <c r="G132" s="642">
        <v>0</v>
      </c>
      <c r="H132" s="642">
        <v>0</v>
      </c>
      <c r="I132" s="642">
        <v>0</v>
      </c>
      <c r="J132" s="652">
        <v>7.7785999169814284</v>
      </c>
      <c r="K132" s="652">
        <v>0</v>
      </c>
      <c r="L132" s="652">
        <v>0</v>
      </c>
      <c r="M132" s="652">
        <v>-6.767381927773843</v>
      </c>
      <c r="N132" s="652">
        <v>0</v>
      </c>
      <c r="O132" s="652">
        <v>0</v>
      </c>
      <c r="P132" s="642">
        <v>0</v>
      </c>
      <c r="Q132" s="642">
        <v>0</v>
      </c>
      <c r="R132" s="642">
        <v>0</v>
      </c>
      <c r="S132" s="650">
        <v>1.0112179892075854</v>
      </c>
      <c r="U132" s="648" t="s">
        <v>352</v>
      </c>
      <c r="V132" s="642">
        <v>0</v>
      </c>
      <c r="W132" s="642">
        <v>0</v>
      </c>
      <c r="X132" s="642">
        <v>0</v>
      </c>
      <c r="Y132" s="642">
        <v>0</v>
      </c>
      <c r="Z132" s="642">
        <v>0</v>
      </c>
      <c r="AA132" s="642">
        <v>0</v>
      </c>
      <c r="AB132" s="652">
        <v>35.178099528176176</v>
      </c>
      <c r="AC132" s="652">
        <v>0</v>
      </c>
      <c r="AD132" s="652">
        <v>0</v>
      </c>
      <c r="AE132" s="652">
        <v>-30.604946589513276</v>
      </c>
      <c r="AF132" s="652">
        <v>0</v>
      </c>
      <c r="AG132" s="652">
        <v>0</v>
      </c>
      <c r="AH132" s="642">
        <v>0</v>
      </c>
      <c r="AI132" s="642">
        <v>0</v>
      </c>
      <c r="AJ132" s="642">
        <v>0</v>
      </c>
      <c r="AK132" s="650">
        <v>4.5731529386629006</v>
      </c>
    </row>
    <row r="133" spans="3:37" ht="13.5">
      <c r="C133" s="648" t="s">
        <v>353</v>
      </c>
      <c r="D133" s="642">
        <v>0</v>
      </c>
      <c r="E133" s="642">
        <v>0</v>
      </c>
      <c r="F133" s="642">
        <v>0</v>
      </c>
      <c r="G133" s="642">
        <v>0</v>
      </c>
      <c r="H133" s="642">
        <v>0</v>
      </c>
      <c r="I133" s="642">
        <v>0</v>
      </c>
      <c r="J133" s="642">
        <v>0</v>
      </c>
      <c r="K133" s="642">
        <v>0</v>
      </c>
      <c r="L133" s="642">
        <v>0</v>
      </c>
      <c r="M133" s="642">
        <v>0</v>
      </c>
      <c r="N133" s="642">
        <v>0</v>
      </c>
      <c r="O133" s="642">
        <v>0</v>
      </c>
      <c r="P133" s="642">
        <v>0</v>
      </c>
      <c r="Q133" s="642">
        <v>0</v>
      </c>
      <c r="R133" s="642">
        <v>0</v>
      </c>
      <c r="S133" s="650">
        <v>0</v>
      </c>
      <c r="U133" s="648" t="s">
        <v>353</v>
      </c>
      <c r="V133" s="642">
        <v>0</v>
      </c>
      <c r="W133" s="642">
        <v>0</v>
      </c>
      <c r="X133" s="642">
        <v>0</v>
      </c>
      <c r="Y133" s="642">
        <v>0</v>
      </c>
      <c r="Z133" s="642">
        <v>0</v>
      </c>
      <c r="AA133" s="642">
        <v>0</v>
      </c>
      <c r="AB133" s="642">
        <v>0</v>
      </c>
      <c r="AC133" s="642">
        <v>0</v>
      </c>
      <c r="AD133" s="642">
        <v>0</v>
      </c>
      <c r="AE133" s="642">
        <v>0</v>
      </c>
      <c r="AF133" s="642">
        <v>0</v>
      </c>
      <c r="AG133" s="642">
        <v>0</v>
      </c>
      <c r="AH133" s="642">
        <v>0</v>
      </c>
      <c r="AI133" s="642">
        <v>0</v>
      </c>
      <c r="AJ133" s="642">
        <v>0</v>
      </c>
      <c r="AK133" s="650">
        <v>0</v>
      </c>
    </row>
    <row r="134" spans="3:37" ht="13.5">
      <c r="C134" s="648" t="s">
        <v>72</v>
      </c>
      <c r="D134" s="642">
        <v>0</v>
      </c>
      <c r="E134" s="642">
        <v>563.09724372867038</v>
      </c>
      <c r="F134" s="642">
        <v>-557.46627129138369</v>
      </c>
      <c r="G134" s="642">
        <v>0</v>
      </c>
      <c r="H134" s="642">
        <v>0</v>
      </c>
      <c r="I134" s="642">
        <v>0</v>
      </c>
      <c r="J134" s="642">
        <v>0</v>
      </c>
      <c r="K134" s="642">
        <v>0</v>
      </c>
      <c r="L134" s="642">
        <v>0</v>
      </c>
      <c r="M134" s="642">
        <v>0</v>
      </c>
      <c r="N134" s="642">
        <v>0</v>
      </c>
      <c r="O134" s="642">
        <v>0</v>
      </c>
      <c r="P134" s="642">
        <v>0</v>
      </c>
      <c r="Q134" s="642">
        <v>0</v>
      </c>
      <c r="R134" s="642">
        <v>0</v>
      </c>
      <c r="S134" s="650">
        <v>5.6309724372866867</v>
      </c>
      <c r="U134" s="648" t="s">
        <v>72</v>
      </c>
      <c r="V134" s="642">
        <v>0</v>
      </c>
      <c r="W134" s="642">
        <v>434.00506451720082</v>
      </c>
      <c r="X134" s="642">
        <v>-429.66501387202879</v>
      </c>
      <c r="Y134" s="642">
        <v>0</v>
      </c>
      <c r="Z134" s="642">
        <v>0</v>
      </c>
      <c r="AA134" s="642">
        <v>0</v>
      </c>
      <c r="AB134" s="642">
        <v>0</v>
      </c>
      <c r="AC134" s="642">
        <v>0</v>
      </c>
      <c r="AD134" s="642">
        <v>0</v>
      </c>
      <c r="AE134" s="642">
        <v>0</v>
      </c>
      <c r="AF134" s="642">
        <v>0</v>
      </c>
      <c r="AG134" s="642">
        <v>0</v>
      </c>
      <c r="AH134" s="642">
        <v>0</v>
      </c>
      <c r="AI134" s="642">
        <v>0</v>
      </c>
      <c r="AJ134" s="642">
        <v>0</v>
      </c>
      <c r="AK134" s="650">
        <v>4.3400506451720275</v>
      </c>
    </row>
    <row r="135" spans="3:37" ht="13.5">
      <c r="C135" s="648" t="s">
        <v>354</v>
      </c>
      <c r="D135" s="642">
        <v>0</v>
      </c>
      <c r="E135" s="642">
        <v>0</v>
      </c>
      <c r="F135" s="642">
        <v>0</v>
      </c>
      <c r="G135" s="642">
        <v>0</v>
      </c>
      <c r="H135" s="642">
        <v>0</v>
      </c>
      <c r="I135" s="642">
        <v>0</v>
      </c>
      <c r="J135" s="642">
        <v>37.619415842848596</v>
      </c>
      <c r="K135" s="642">
        <v>0</v>
      </c>
      <c r="L135" s="642">
        <v>-37.619415842848596</v>
      </c>
      <c r="M135" s="642">
        <v>0</v>
      </c>
      <c r="N135" s="642">
        <v>0</v>
      </c>
      <c r="O135" s="642">
        <v>0</v>
      </c>
      <c r="P135" s="642">
        <v>0</v>
      </c>
      <c r="Q135" s="642">
        <v>0</v>
      </c>
      <c r="R135" s="642">
        <v>0</v>
      </c>
      <c r="S135" s="650">
        <v>0</v>
      </c>
      <c r="U135" s="648" t="s">
        <v>354</v>
      </c>
      <c r="V135" s="642">
        <v>0</v>
      </c>
      <c r="W135" s="642">
        <v>0</v>
      </c>
      <c r="X135" s="642">
        <v>0</v>
      </c>
      <c r="Y135" s="642">
        <v>0</v>
      </c>
      <c r="Z135" s="642">
        <v>0</v>
      </c>
      <c r="AA135" s="642">
        <v>0</v>
      </c>
      <c r="AB135" s="642" t="e">
        <v>#VALUE!</v>
      </c>
      <c r="AC135" s="642">
        <v>0</v>
      </c>
      <c r="AD135" s="642">
        <v>-46.213611225378862</v>
      </c>
      <c r="AE135" s="642">
        <v>0</v>
      </c>
      <c r="AF135" s="642">
        <v>0</v>
      </c>
      <c r="AG135" s="642">
        <v>0</v>
      </c>
      <c r="AH135" s="642">
        <v>0</v>
      </c>
      <c r="AI135" s="642">
        <v>0</v>
      </c>
      <c r="AJ135" s="642">
        <v>0</v>
      </c>
      <c r="AK135" s="650">
        <v>-46.213611225378862</v>
      </c>
    </row>
    <row r="136" spans="3:37" ht="13.5">
      <c r="C136" s="648" t="s">
        <v>355</v>
      </c>
      <c r="D136" s="642">
        <v>0</v>
      </c>
      <c r="E136" s="642">
        <v>0</v>
      </c>
      <c r="F136" s="642">
        <v>0</v>
      </c>
      <c r="G136" s="642">
        <v>0</v>
      </c>
      <c r="H136" s="642">
        <v>0</v>
      </c>
      <c r="I136" s="642">
        <v>0</v>
      </c>
      <c r="J136" s="642">
        <v>0</v>
      </c>
      <c r="K136" s="642">
        <v>0</v>
      </c>
      <c r="L136" s="642">
        <v>0</v>
      </c>
      <c r="M136" s="642">
        <v>0</v>
      </c>
      <c r="N136" s="642">
        <v>0</v>
      </c>
      <c r="O136" s="642">
        <v>0</v>
      </c>
      <c r="P136" s="642">
        <v>0</v>
      </c>
      <c r="Q136" s="642">
        <v>0</v>
      </c>
      <c r="R136" s="642">
        <v>0</v>
      </c>
      <c r="S136" s="650">
        <v>0</v>
      </c>
      <c r="U136" s="648" t="s">
        <v>355</v>
      </c>
      <c r="V136" s="642">
        <v>0</v>
      </c>
      <c r="W136" s="642">
        <v>0</v>
      </c>
      <c r="X136" s="642">
        <v>0</v>
      </c>
      <c r="Y136" s="642">
        <v>0</v>
      </c>
      <c r="Z136" s="642">
        <v>0</v>
      </c>
      <c r="AA136" s="642">
        <v>0</v>
      </c>
      <c r="AB136" s="642">
        <v>0</v>
      </c>
      <c r="AC136" s="642">
        <v>0</v>
      </c>
      <c r="AD136" s="642">
        <v>-5.5104572320471013</v>
      </c>
      <c r="AE136" s="642">
        <v>0</v>
      </c>
      <c r="AF136" s="642">
        <v>0</v>
      </c>
      <c r="AG136" s="642">
        <v>0</v>
      </c>
      <c r="AH136" s="642">
        <v>0</v>
      </c>
      <c r="AI136" s="642">
        <v>0</v>
      </c>
      <c r="AJ136" s="642">
        <v>0</v>
      </c>
      <c r="AK136" s="650">
        <v>-5.5104572320471013</v>
      </c>
    </row>
    <row r="137" spans="3:37" ht="13.5">
      <c r="C137" s="648" t="s">
        <v>73</v>
      </c>
      <c r="D137" s="642">
        <v>0</v>
      </c>
      <c r="E137" s="642">
        <v>0</v>
      </c>
      <c r="F137" s="642">
        <v>0</v>
      </c>
      <c r="G137" s="642">
        <v>0.90917311757834995</v>
      </c>
      <c r="H137" s="642">
        <v>0</v>
      </c>
      <c r="I137" s="642">
        <v>0</v>
      </c>
      <c r="J137" s="642">
        <v>0</v>
      </c>
      <c r="K137" s="642">
        <v>1.0194809571410069E-2</v>
      </c>
      <c r="L137" s="642">
        <v>0</v>
      </c>
      <c r="M137" s="642">
        <v>1.8554553419966327E-2</v>
      </c>
      <c r="N137" s="642">
        <v>0</v>
      </c>
      <c r="O137" s="642">
        <v>0</v>
      </c>
      <c r="P137" s="642">
        <v>8.7832205538302136E-2</v>
      </c>
      <c r="Q137" s="642">
        <v>0</v>
      </c>
      <c r="R137" s="642">
        <v>-0.71363666999870479</v>
      </c>
      <c r="S137" s="650">
        <v>0.31211801610932366</v>
      </c>
      <c r="U137" s="648" t="s">
        <v>73</v>
      </c>
      <c r="V137" s="642">
        <v>0</v>
      </c>
      <c r="W137" s="642">
        <v>0</v>
      </c>
      <c r="X137" s="642">
        <v>0</v>
      </c>
      <c r="Y137" s="642">
        <v>3.7406895887912213</v>
      </c>
      <c r="Z137" s="642">
        <v>0</v>
      </c>
      <c r="AA137" s="642">
        <v>0</v>
      </c>
      <c r="AB137" s="642">
        <v>0</v>
      </c>
      <c r="AC137" s="642">
        <v>0.10657235295701485</v>
      </c>
      <c r="AD137" s="642">
        <v>0</v>
      </c>
      <c r="AE137" s="642">
        <v>0.4156321765323579</v>
      </c>
      <c r="AF137" s="642">
        <v>0</v>
      </c>
      <c r="AG137" s="642">
        <v>0</v>
      </c>
      <c r="AH137" s="642">
        <v>6.8862135756840344</v>
      </c>
      <c r="AI137" s="642">
        <v>0</v>
      </c>
      <c r="AJ137" s="642">
        <v>-7.4600647069910382</v>
      </c>
      <c r="AK137" s="650">
        <v>3.6890429869735906</v>
      </c>
    </row>
    <row r="138" spans="3:37" ht="13.5">
      <c r="C138" s="648" t="s">
        <v>356</v>
      </c>
      <c r="D138" s="642">
        <v>28.68732140625</v>
      </c>
      <c r="E138" s="642">
        <v>-19.511319495198432</v>
      </c>
      <c r="F138" s="642">
        <v>25.519653459670948</v>
      </c>
      <c r="G138" s="642">
        <v>0</v>
      </c>
      <c r="H138" s="642">
        <v>0</v>
      </c>
      <c r="I138" s="642">
        <v>0</v>
      </c>
      <c r="J138" s="642">
        <v>0</v>
      </c>
      <c r="K138" s="642">
        <v>0</v>
      </c>
      <c r="L138" s="642">
        <v>0</v>
      </c>
      <c r="M138" s="642">
        <v>0</v>
      </c>
      <c r="N138" s="642">
        <v>0</v>
      </c>
      <c r="O138" s="642">
        <v>0</v>
      </c>
      <c r="P138" s="642">
        <v>0</v>
      </c>
      <c r="Q138" s="642">
        <v>0</v>
      </c>
      <c r="R138" s="642">
        <v>0</v>
      </c>
      <c r="S138" s="650">
        <v>34.69565537072252</v>
      </c>
      <c r="U138" s="648" t="s">
        <v>356</v>
      </c>
      <c r="V138" s="642">
        <v>5.4641713867187498</v>
      </c>
      <c r="W138" s="642">
        <v>-15.038275485521009</v>
      </c>
      <c r="X138" s="642">
        <v>19.669176096265762</v>
      </c>
      <c r="Y138" s="642">
        <v>0</v>
      </c>
      <c r="Z138" s="642">
        <v>0</v>
      </c>
      <c r="AA138" s="642">
        <v>0</v>
      </c>
      <c r="AB138" s="642">
        <v>0</v>
      </c>
      <c r="AC138" s="642">
        <v>0</v>
      </c>
      <c r="AD138" s="642">
        <v>0</v>
      </c>
      <c r="AE138" s="642">
        <v>0</v>
      </c>
      <c r="AF138" s="642">
        <v>0</v>
      </c>
      <c r="AG138" s="642">
        <v>0</v>
      </c>
      <c r="AH138" s="642">
        <v>0</v>
      </c>
      <c r="AI138" s="642">
        <v>0</v>
      </c>
      <c r="AJ138" s="642">
        <v>0</v>
      </c>
      <c r="AK138" s="650">
        <v>10.095071997463503</v>
      </c>
    </row>
    <row r="139" spans="3:37" ht="13.5">
      <c r="C139" s="648" t="s">
        <v>75</v>
      </c>
      <c r="D139" s="642">
        <v>11.156180546875001</v>
      </c>
      <c r="E139" s="642">
        <v>0</v>
      </c>
      <c r="F139" s="642">
        <v>19.145306286774794</v>
      </c>
      <c r="G139" s="642">
        <v>5.4631694586555604</v>
      </c>
      <c r="H139" s="642">
        <v>0</v>
      </c>
      <c r="I139" s="642">
        <v>0</v>
      </c>
      <c r="J139" s="642">
        <v>0</v>
      </c>
      <c r="K139" s="642">
        <v>0</v>
      </c>
      <c r="L139" s="642">
        <v>0</v>
      </c>
      <c r="M139" s="642">
        <v>0.11149325425827675</v>
      </c>
      <c r="N139" s="642">
        <v>0</v>
      </c>
      <c r="O139" s="642">
        <v>0</v>
      </c>
      <c r="P139" s="642">
        <v>36.294895286159367</v>
      </c>
      <c r="Q139" s="642">
        <v>0</v>
      </c>
      <c r="R139" s="642">
        <v>0</v>
      </c>
      <c r="S139" s="650">
        <v>72.171044832722998</v>
      </c>
      <c r="U139" s="648" t="s">
        <v>75</v>
      </c>
      <c r="V139" s="642">
        <v>5.6084375</v>
      </c>
      <c r="W139" s="642">
        <v>0</v>
      </c>
      <c r="X139" s="642">
        <v>19.145306286774794</v>
      </c>
      <c r="Y139" s="642">
        <v>5.0171964416224535</v>
      </c>
      <c r="Z139" s="642">
        <v>0</v>
      </c>
      <c r="AA139" s="642">
        <v>0</v>
      </c>
      <c r="AB139" s="642">
        <v>0</v>
      </c>
      <c r="AC139" s="642">
        <v>0</v>
      </c>
      <c r="AD139" s="642">
        <v>0</v>
      </c>
      <c r="AE139" s="642">
        <v>0.55746627129138371</v>
      </c>
      <c r="AF139" s="642">
        <v>0</v>
      </c>
      <c r="AG139" s="642">
        <v>0</v>
      </c>
      <c r="AH139" s="642">
        <v>31.128531649795733</v>
      </c>
      <c r="AI139" s="642">
        <v>0</v>
      </c>
      <c r="AJ139" s="642">
        <v>0</v>
      </c>
      <c r="AK139" s="650">
        <v>61.456938149484365</v>
      </c>
    </row>
    <row r="140" spans="3:37" ht="13.5">
      <c r="C140" s="648" t="s">
        <v>76</v>
      </c>
      <c r="D140" s="642">
        <v>0</v>
      </c>
      <c r="E140" s="642">
        <v>0</v>
      </c>
      <c r="F140" s="642">
        <v>0</v>
      </c>
      <c r="G140" s="642">
        <v>3.9320361398527859</v>
      </c>
      <c r="H140" s="642">
        <v>0</v>
      </c>
      <c r="I140" s="642">
        <v>0</v>
      </c>
      <c r="J140" s="642">
        <v>0</v>
      </c>
      <c r="K140" s="642">
        <v>0</v>
      </c>
      <c r="L140" s="642">
        <v>0</v>
      </c>
      <c r="M140" s="642">
        <v>8.0245635507199722E-2</v>
      </c>
      <c r="N140" s="642">
        <v>0</v>
      </c>
      <c r="O140" s="642">
        <v>0</v>
      </c>
      <c r="P140" s="642">
        <v>40.722330861669313</v>
      </c>
      <c r="Q140" s="642">
        <v>3.067587727965682</v>
      </c>
      <c r="R140" s="642">
        <v>0</v>
      </c>
      <c r="S140" s="650">
        <v>47.802200364994981</v>
      </c>
      <c r="U140" s="648" t="s">
        <v>76</v>
      </c>
      <c r="V140" s="642">
        <v>0</v>
      </c>
      <c r="W140" s="642">
        <v>0</v>
      </c>
      <c r="X140" s="642">
        <v>0</v>
      </c>
      <c r="Y140" s="642">
        <v>3.2661405451259231</v>
      </c>
      <c r="Z140" s="642">
        <v>0</v>
      </c>
      <c r="AA140" s="642">
        <v>0</v>
      </c>
      <c r="AB140" s="642">
        <v>0</v>
      </c>
      <c r="AC140" s="642">
        <v>0</v>
      </c>
      <c r="AD140" s="642">
        <v>0</v>
      </c>
      <c r="AE140" s="642">
        <v>0.36290450501399146</v>
      </c>
      <c r="AF140" s="642">
        <v>0</v>
      </c>
      <c r="AG140" s="642">
        <v>0</v>
      </c>
      <c r="AH140" s="642">
        <v>41.021033770751153</v>
      </c>
      <c r="AI140" s="642">
        <v>5.1842177504327198</v>
      </c>
      <c r="AJ140" s="642">
        <v>0</v>
      </c>
      <c r="AK140" s="650">
        <v>49.83429657132379</v>
      </c>
    </row>
    <row r="141" spans="3:37" ht="13.5">
      <c r="C141" s="646" t="s">
        <v>77</v>
      </c>
      <c r="D141" s="647">
        <v>42.670287594150253</v>
      </c>
      <c r="E141" s="647">
        <v>543.58592423347193</v>
      </c>
      <c r="F141" s="647">
        <v>-505.27054203728642</v>
      </c>
      <c r="G141" s="647">
        <v>43.651536955186302</v>
      </c>
      <c r="H141" s="647">
        <v>1190.909090909091</v>
      </c>
      <c r="I141" s="647">
        <v>182.7291074592973</v>
      </c>
      <c r="J141" s="647">
        <v>90.391720844241689</v>
      </c>
      <c r="K141" s="647">
        <v>20.465410367143665</v>
      </c>
      <c r="L141" s="647">
        <v>-35.549865905347978</v>
      </c>
      <c r="M141" s="647">
        <v>-5.7591390219552938</v>
      </c>
      <c r="N141" s="647">
        <v>0</v>
      </c>
      <c r="O141" s="647">
        <v>5.2974013835997482</v>
      </c>
      <c r="P141" s="647">
        <v>-528.42224004688751</v>
      </c>
      <c r="Q141" s="647">
        <v>-36.463227585949021</v>
      </c>
      <c r="R141" s="647">
        <v>-0.71363666999870479</v>
      </c>
      <c r="S141" s="647">
        <v>1007.5218284787569</v>
      </c>
      <c r="U141" s="646" t="s">
        <v>77</v>
      </c>
      <c r="V141" s="647">
        <v>11.698923792177441</v>
      </c>
      <c r="W141" s="647">
        <v>418.96678903167981</v>
      </c>
      <c r="X141" s="647">
        <v>-387.18339834497311</v>
      </c>
      <c r="Y141" s="647">
        <v>75.148112962003211</v>
      </c>
      <c r="Z141" s="647">
        <v>1069.3939393939395</v>
      </c>
      <c r="AA141" s="647">
        <v>197.24910745929728</v>
      </c>
      <c r="AB141" s="647">
        <v>86.883130562246151</v>
      </c>
      <c r="AC141" s="647">
        <v>30.900823331372262</v>
      </c>
      <c r="AD141" s="647">
        <v>-49.654518519925347</v>
      </c>
      <c r="AE141" s="647">
        <v>-22.137761047546249</v>
      </c>
      <c r="AF141" s="647">
        <v>0</v>
      </c>
      <c r="AG141" s="647">
        <v>8.719548856576397</v>
      </c>
      <c r="AH141" s="647">
        <v>-515.91151940402369</v>
      </c>
      <c r="AI141" s="647">
        <v>-61.66120404388996</v>
      </c>
      <c r="AJ141" s="647">
        <v>-7.4600647069910382</v>
      </c>
      <c r="AK141" s="647">
        <v>854.95190932194248</v>
      </c>
    </row>
    <row r="142" spans="3:37" ht="13">
      <c r="C142" s="636"/>
      <c r="D142" s="636">
        <v>0</v>
      </c>
      <c r="E142" s="636">
        <v>0</v>
      </c>
      <c r="F142" s="636">
        <v>0</v>
      </c>
      <c r="G142" s="636">
        <v>0</v>
      </c>
      <c r="H142" s="636">
        <v>0</v>
      </c>
      <c r="I142" s="636">
        <v>0</v>
      </c>
      <c r="J142" s="636">
        <v>0</v>
      </c>
      <c r="K142" s="636">
        <v>0</v>
      </c>
      <c r="L142" s="636">
        <v>0</v>
      </c>
      <c r="M142" s="636">
        <v>0</v>
      </c>
      <c r="N142" s="636">
        <v>0</v>
      </c>
      <c r="O142" s="636">
        <v>0</v>
      </c>
      <c r="P142" s="636">
        <v>0</v>
      </c>
      <c r="Q142" s="636">
        <v>0</v>
      </c>
      <c r="R142" s="636">
        <v>0</v>
      </c>
      <c r="S142" s="636">
        <v>0</v>
      </c>
      <c r="U142" s="636"/>
      <c r="V142" s="636">
        <v>0</v>
      </c>
      <c r="W142" s="636">
        <v>0</v>
      </c>
      <c r="X142" s="636">
        <v>0</v>
      </c>
      <c r="Y142" s="636">
        <v>0</v>
      </c>
      <c r="Z142" s="636">
        <v>0</v>
      </c>
      <c r="AA142" s="636">
        <v>0</v>
      </c>
      <c r="AB142" s="636">
        <v>0</v>
      </c>
      <c r="AC142" s="636">
        <v>0</v>
      </c>
      <c r="AD142" s="636">
        <v>0</v>
      </c>
      <c r="AE142" s="636">
        <v>0</v>
      </c>
      <c r="AF142" s="636">
        <v>0</v>
      </c>
      <c r="AG142" s="636">
        <v>0</v>
      </c>
      <c r="AH142" s="636">
        <v>0</v>
      </c>
      <c r="AI142" s="636">
        <v>0</v>
      </c>
      <c r="AJ142" s="636">
        <v>0</v>
      </c>
      <c r="AK142" s="636">
        <v>0</v>
      </c>
    </row>
    <row r="143" spans="3:37" ht="13.5">
      <c r="C143" s="648" t="s">
        <v>78</v>
      </c>
      <c r="D143" s="642">
        <v>6.5032741679727843</v>
      </c>
      <c r="E143" s="642">
        <v>0</v>
      </c>
      <c r="F143" s="642">
        <v>25.052429385041094</v>
      </c>
      <c r="G143" s="642">
        <v>105.0474497029609</v>
      </c>
      <c r="H143" s="642">
        <v>0</v>
      </c>
      <c r="I143" s="642">
        <v>0</v>
      </c>
      <c r="J143" s="642">
        <v>18.534460646102772</v>
      </c>
      <c r="K143" s="642">
        <v>1.777675824710524</v>
      </c>
      <c r="L143" s="642">
        <v>0.85092246484375</v>
      </c>
      <c r="M143" s="642">
        <v>2.1625963554323833</v>
      </c>
      <c r="N143" s="642">
        <v>0</v>
      </c>
      <c r="O143" s="642">
        <v>3.8267455312152764E-4</v>
      </c>
      <c r="P143" s="642">
        <v>109.51907717242362</v>
      </c>
      <c r="Q143" s="642">
        <v>16.327213841854732</v>
      </c>
      <c r="R143" s="642">
        <v>0.36001684570312498</v>
      </c>
      <c r="S143" s="650">
        <v>286.13549908159882</v>
      </c>
      <c r="U143" s="648" t="s">
        <v>78</v>
      </c>
      <c r="V143" s="642">
        <v>0.86555588121413052</v>
      </c>
      <c r="W143" s="642">
        <v>0</v>
      </c>
      <c r="X143" s="642">
        <v>16.762295336222397</v>
      </c>
      <c r="Y143" s="642">
        <v>79.095876477460209</v>
      </c>
      <c r="Z143" s="642">
        <v>0</v>
      </c>
      <c r="AA143" s="642">
        <v>0</v>
      </c>
      <c r="AB143" s="642">
        <v>17.089093863910584</v>
      </c>
      <c r="AC143" s="642">
        <v>6.0070182825186862</v>
      </c>
      <c r="AD143" s="642">
        <v>1.13006109375</v>
      </c>
      <c r="AE143" s="642">
        <v>8.8072015710081235</v>
      </c>
      <c r="AF143" s="642">
        <v>0</v>
      </c>
      <c r="AG143" s="642">
        <v>3.8267455312152764E-4</v>
      </c>
      <c r="AH143" s="642">
        <v>130.4568218783393</v>
      </c>
      <c r="AI143" s="642">
        <v>20.327951659562498</v>
      </c>
      <c r="AJ143" s="642">
        <v>4.7486479492187499</v>
      </c>
      <c r="AK143" s="650">
        <v>285.29090666775784</v>
      </c>
    </row>
    <row r="144" spans="3:37" ht="13.5">
      <c r="C144" s="648" t="s">
        <v>79</v>
      </c>
      <c r="D144" s="642">
        <v>0</v>
      </c>
      <c r="E144" s="642">
        <v>0</v>
      </c>
      <c r="F144" s="642">
        <v>344.1701238998171</v>
      </c>
      <c r="G144" s="642">
        <v>14.686948049507158</v>
      </c>
      <c r="H144" s="642">
        <v>0</v>
      </c>
      <c r="I144" s="642">
        <v>0</v>
      </c>
      <c r="J144" s="642">
        <v>0</v>
      </c>
      <c r="K144" s="642">
        <v>0</v>
      </c>
      <c r="L144" s="642">
        <v>33.466916874810835</v>
      </c>
      <c r="M144" s="642">
        <v>0.29973363366341144</v>
      </c>
      <c r="N144" s="642">
        <v>0</v>
      </c>
      <c r="O144" s="642">
        <v>0</v>
      </c>
      <c r="P144" s="642">
        <v>30.235692409435519</v>
      </c>
      <c r="Q144" s="642">
        <v>0</v>
      </c>
      <c r="R144" s="642">
        <v>0.35361982429557981</v>
      </c>
      <c r="S144" s="650">
        <v>423.21303469152963</v>
      </c>
      <c r="U144" s="648" t="s">
        <v>79</v>
      </c>
      <c r="V144" s="642">
        <v>0</v>
      </c>
      <c r="W144" s="642">
        <v>0</v>
      </c>
      <c r="X144" s="642">
        <v>271.88041786379415</v>
      </c>
      <c r="Y144" s="642">
        <v>13.227335330391124</v>
      </c>
      <c r="Z144" s="642">
        <v>0</v>
      </c>
      <c r="AA144" s="642">
        <v>0</v>
      </c>
      <c r="AB144" s="642">
        <v>0</v>
      </c>
      <c r="AC144" s="642">
        <v>0</v>
      </c>
      <c r="AD144" s="642">
        <v>36.694869225102572</v>
      </c>
      <c r="AE144" s="642">
        <v>1.4697039255990136</v>
      </c>
      <c r="AF144" s="642">
        <v>0</v>
      </c>
      <c r="AG144" s="642">
        <v>0</v>
      </c>
      <c r="AH144" s="642">
        <v>34.641740873286757</v>
      </c>
      <c r="AI144" s="642">
        <v>0</v>
      </c>
      <c r="AJ144" s="642">
        <v>0.81877289536698361</v>
      </c>
      <c r="AK144" s="650">
        <v>358.73284011354053</v>
      </c>
    </row>
    <row r="145" spans="3:37" ht="13.5">
      <c r="C145" s="648" t="s">
        <v>80</v>
      </c>
      <c r="D145" s="642">
        <v>0</v>
      </c>
      <c r="E145" s="642">
        <v>0</v>
      </c>
      <c r="F145" s="642">
        <v>31.509183869953784</v>
      </c>
      <c r="G145" s="642">
        <v>103.72357678672635</v>
      </c>
      <c r="H145" s="642">
        <v>0</v>
      </c>
      <c r="I145" s="642">
        <v>0</v>
      </c>
      <c r="J145" s="642">
        <v>78.735270640359559</v>
      </c>
      <c r="K145" s="642">
        <v>0</v>
      </c>
      <c r="L145" s="642">
        <v>0</v>
      </c>
      <c r="M145" s="642">
        <v>2.1168076895250278</v>
      </c>
      <c r="N145" s="642">
        <v>41.43976216997369</v>
      </c>
      <c r="O145" s="642">
        <v>1.9317269815068459</v>
      </c>
      <c r="P145" s="642">
        <v>175.94122104806229</v>
      </c>
      <c r="Q145" s="642">
        <v>15.783130887728015</v>
      </c>
      <c r="R145" s="642">
        <v>0</v>
      </c>
      <c r="S145" s="650">
        <v>451.18068007383562</v>
      </c>
      <c r="U145" s="648" t="s">
        <v>80</v>
      </c>
      <c r="V145" s="642">
        <v>0</v>
      </c>
      <c r="W145" s="642">
        <v>0</v>
      </c>
      <c r="X145" s="642">
        <v>2.7574808042030705</v>
      </c>
      <c r="Y145" s="642">
        <v>67.24718580242552</v>
      </c>
      <c r="Z145" s="642">
        <v>0</v>
      </c>
      <c r="AA145" s="642">
        <v>0</v>
      </c>
      <c r="AB145" s="642">
        <v>71.925876784938879</v>
      </c>
      <c r="AC145" s="642">
        <v>0</v>
      </c>
      <c r="AD145" s="642">
        <v>0</v>
      </c>
      <c r="AE145" s="642">
        <v>7.4719095336028349</v>
      </c>
      <c r="AF145" s="642">
        <v>46.984438986784113</v>
      </c>
      <c r="AG145" s="642">
        <v>1.9327369863094026</v>
      </c>
      <c r="AH145" s="642">
        <v>159.87092870367675</v>
      </c>
      <c r="AI145" s="642">
        <v>32.787807198116425</v>
      </c>
      <c r="AJ145" s="642">
        <v>0</v>
      </c>
      <c r="AK145" s="650">
        <v>390.97836480005702</v>
      </c>
    </row>
    <row r="146" spans="3:37" ht="13.5">
      <c r="C146" s="648" t="s">
        <v>81</v>
      </c>
      <c r="D146" s="642">
        <v>0</v>
      </c>
      <c r="E146" s="642">
        <v>0</v>
      </c>
      <c r="F146" s="642">
        <v>13.089485167364064</v>
      </c>
      <c r="G146" s="642">
        <v>62.329787012805554</v>
      </c>
      <c r="H146" s="642">
        <v>0</v>
      </c>
      <c r="I146" s="642">
        <v>0</v>
      </c>
      <c r="J146" s="642">
        <v>3.5803203712753549</v>
      </c>
      <c r="K146" s="642">
        <v>2.4997359764460676E-2</v>
      </c>
      <c r="L146" s="642">
        <v>0</v>
      </c>
      <c r="M146" s="642">
        <v>1.2720364696490929</v>
      </c>
      <c r="N146" s="642">
        <v>8.0745890957481183</v>
      </c>
      <c r="O146" s="642">
        <v>0.83294326034961275</v>
      </c>
      <c r="P146" s="642">
        <v>131.24016316985416</v>
      </c>
      <c r="Q146" s="642">
        <v>4.3528828563662758</v>
      </c>
      <c r="R146" s="642">
        <v>0</v>
      </c>
      <c r="S146" s="650">
        <v>224.79720476317669</v>
      </c>
      <c r="U146" s="648" t="s">
        <v>81</v>
      </c>
      <c r="V146" s="642">
        <v>0</v>
      </c>
      <c r="W146" s="642">
        <v>0</v>
      </c>
      <c r="X146" s="642">
        <v>3.9119597768221439</v>
      </c>
      <c r="Y146" s="642">
        <v>38.3508738706755</v>
      </c>
      <c r="Z146" s="642">
        <v>0</v>
      </c>
      <c r="AA146" s="642">
        <v>0</v>
      </c>
      <c r="AB146" s="642">
        <v>7.8602291254253389</v>
      </c>
      <c r="AC146" s="642">
        <v>2.4997359764460676E-2</v>
      </c>
      <c r="AD146" s="642">
        <v>0</v>
      </c>
      <c r="AE146" s="642">
        <v>4.2612082078528335</v>
      </c>
      <c r="AF146" s="642">
        <v>14.106786738135797</v>
      </c>
      <c r="AG146" s="642">
        <v>1.7661272775976942</v>
      </c>
      <c r="AH146" s="642">
        <v>123.29032263862543</v>
      </c>
      <c r="AI146" s="642">
        <v>8.5454451862110297</v>
      </c>
      <c r="AJ146" s="642">
        <v>0</v>
      </c>
      <c r="AK146" s="650">
        <v>202.11795018111022</v>
      </c>
    </row>
    <row r="147" spans="3:37" ht="13.5">
      <c r="C147" s="648" t="s">
        <v>82</v>
      </c>
      <c r="D147" s="642">
        <v>0</v>
      </c>
      <c r="E147" s="642">
        <v>0</v>
      </c>
      <c r="F147" s="642">
        <v>33.167847610565538</v>
      </c>
      <c r="G147" s="642">
        <v>2.1624159537319825</v>
      </c>
      <c r="H147" s="642">
        <v>0</v>
      </c>
      <c r="I147" s="642">
        <v>0</v>
      </c>
      <c r="J147" s="642">
        <v>1.4487991994826963</v>
      </c>
      <c r="K147" s="642">
        <v>0</v>
      </c>
      <c r="L147" s="642">
        <v>2.4657875210358444</v>
      </c>
      <c r="M147" s="642">
        <v>4.4130937831264955E-2</v>
      </c>
      <c r="N147" s="642">
        <v>0</v>
      </c>
      <c r="O147" s="642">
        <v>8.4265288301735436E-2</v>
      </c>
      <c r="P147" s="642">
        <v>7.7746258142900144</v>
      </c>
      <c r="Q147" s="642">
        <v>0</v>
      </c>
      <c r="R147" s="642">
        <v>0</v>
      </c>
      <c r="S147" s="650">
        <v>47.147872325239064</v>
      </c>
      <c r="U147" s="648" t="s">
        <v>82</v>
      </c>
      <c r="V147" s="642">
        <v>0</v>
      </c>
      <c r="W147" s="642">
        <v>0</v>
      </c>
      <c r="X147" s="642">
        <v>27.0175910939627</v>
      </c>
      <c r="Y147" s="642">
        <v>2.3189520199147382</v>
      </c>
      <c r="Z147" s="642">
        <v>0</v>
      </c>
      <c r="AA147" s="642">
        <v>0</v>
      </c>
      <c r="AB147" s="642">
        <v>1.4487991994826963</v>
      </c>
      <c r="AC147" s="642">
        <v>0</v>
      </c>
      <c r="AD147" s="642">
        <v>9.9723689588186737</v>
      </c>
      <c r="AE147" s="642">
        <v>0.257661335546082</v>
      </c>
      <c r="AF147" s="642">
        <v>0</v>
      </c>
      <c r="AG147" s="642">
        <v>0.62518456969816016</v>
      </c>
      <c r="AH147" s="642">
        <v>7.8177780162568453</v>
      </c>
      <c r="AI147" s="642">
        <v>0</v>
      </c>
      <c r="AJ147" s="642">
        <v>0.17366238047171115</v>
      </c>
      <c r="AK147" s="650">
        <v>49.631997574151612</v>
      </c>
    </row>
    <row r="148" spans="3:37" ht="13.5">
      <c r="C148" s="648" t="s">
        <v>357</v>
      </c>
      <c r="D148" s="642">
        <v>0</v>
      </c>
      <c r="E148" s="642">
        <v>0</v>
      </c>
      <c r="F148" s="642">
        <v>0</v>
      </c>
      <c r="G148" s="642">
        <v>0</v>
      </c>
      <c r="H148" s="642">
        <v>0</v>
      </c>
      <c r="I148" s="642">
        <v>0</v>
      </c>
      <c r="J148" s="642">
        <v>0</v>
      </c>
      <c r="K148" s="642">
        <v>0</v>
      </c>
      <c r="L148" s="642">
        <v>0</v>
      </c>
      <c r="M148" s="642">
        <v>0</v>
      </c>
      <c r="N148" s="642">
        <v>0</v>
      </c>
      <c r="O148" s="642">
        <v>0</v>
      </c>
      <c r="P148" s="642">
        <v>0</v>
      </c>
      <c r="Q148" s="642">
        <v>0</v>
      </c>
      <c r="R148" s="642">
        <v>0</v>
      </c>
      <c r="S148" s="650">
        <v>0</v>
      </c>
      <c r="U148" s="648" t="s">
        <v>357</v>
      </c>
      <c r="V148" s="642">
        <v>0</v>
      </c>
      <c r="W148" s="642">
        <v>0</v>
      </c>
      <c r="X148" s="642">
        <v>0</v>
      </c>
      <c r="Y148" s="642">
        <v>0</v>
      </c>
      <c r="Z148" s="642">
        <v>0</v>
      </c>
      <c r="AA148" s="642">
        <v>0</v>
      </c>
      <c r="AB148" s="642">
        <v>0</v>
      </c>
      <c r="AC148" s="642">
        <v>0</v>
      </c>
      <c r="AD148" s="642">
        <v>0</v>
      </c>
      <c r="AE148" s="642">
        <v>0</v>
      </c>
      <c r="AF148" s="642">
        <v>0</v>
      </c>
      <c r="AG148" s="642">
        <v>0</v>
      </c>
      <c r="AH148" s="642">
        <v>0.6</v>
      </c>
      <c r="AI148" s="642">
        <v>0</v>
      </c>
      <c r="AJ148" s="642">
        <v>0</v>
      </c>
      <c r="AK148" s="650">
        <v>0.6</v>
      </c>
    </row>
    <row r="149" spans="3:37" ht="13.5">
      <c r="C149" s="646" t="s">
        <v>83</v>
      </c>
      <c r="D149" s="647">
        <v>6.5032741679727843</v>
      </c>
      <c r="E149" s="647">
        <v>0</v>
      </c>
      <c r="F149" s="647">
        <v>446.98906993274153</v>
      </c>
      <c r="G149" s="647">
        <v>287.95017750573197</v>
      </c>
      <c r="H149" s="647">
        <v>0</v>
      </c>
      <c r="I149" s="647">
        <v>0</v>
      </c>
      <c r="J149" s="647">
        <v>102.29885085722037</v>
      </c>
      <c r="K149" s="647">
        <v>1.8026731844749846</v>
      </c>
      <c r="L149" s="647">
        <v>36.783626860690426</v>
      </c>
      <c r="M149" s="647">
        <v>5.8953050861011809</v>
      </c>
      <c r="N149" s="647">
        <v>49.514351265721807</v>
      </c>
      <c r="O149" s="647">
        <v>2.8493182047113157</v>
      </c>
      <c r="P149" s="647">
        <v>454.71077961406559</v>
      </c>
      <c r="Q149" s="647">
        <v>36.463227585949028</v>
      </c>
      <c r="R149" s="647">
        <v>0.71363666999870479</v>
      </c>
      <c r="S149" s="647">
        <v>1432.4742909353797</v>
      </c>
      <c r="U149" s="646" t="s">
        <v>83</v>
      </c>
      <c r="V149" s="647">
        <v>0.86555588121413052</v>
      </c>
      <c r="W149" s="647">
        <v>0</v>
      </c>
      <c r="X149" s="647">
        <v>322.32974487500439</v>
      </c>
      <c r="Y149" s="647">
        <v>200.24022350086713</v>
      </c>
      <c r="Z149" s="647">
        <v>0</v>
      </c>
      <c r="AA149" s="647">
        <v>0</v>
      </c>
      <c r="AB149" s="647">
        <v>98.323998973757497</v>
      </c>
      <c r="AC149" s="647">
        <v>6.032015642283147</v>
      </c>
      <c r="AD149" s="647">
        <v>47.797299277671243</v>
      </c>
      <c r="AE149" s="647">
        <v>22.267684573608886</v>
      </c>
      <c r="AF149" s="647">
        <v>61.091225724919909</v>
      </c>
      <c r="AG149" s="647">
        <v>4.3244315081583782</v>
      </c>
      <c r="AH149" s="647">
        <v>456.67759211018512</v>
      </c>
      <c r="AI149" s="647">
        <v>61.66120404388996</v>
      </c>
      <c r="AJ149" s="647">
        <v>5.7410832250574444</v>
      </c>
      <c r="AK149" s="647">
        <v>1287.352059336617</v>
      </c>
    </row>
    <row r="150" spans="3:37" ht="13.5">
      <c r="C150" s="641" t="s">
        <v>84</v>
      </c>
      <c r="D150" s="642">
        <v>0</v>
      </c>
      <c r="E150" s="642">
        <v>0</v>
      </c>
      <c r="F150" s="642">
        <v>120.50577840542185</v>
      </c>
      <c r="G150" s="642">
        <v>12.411293173801123</v>
      </c>
      <c r="H150" s="642">
        <v>0</v>
      </c>
      <c r="I150" s="642">
        <v>0</v>
      </c>
      <c r="J150" s="642">
        <v>0</v>
      </c>
      <c r="K150" s="642">
        <v>0</v>
      </c>
      <c r="L150" s="642">
        <v>0</v>
      </c>
      <c r="M150" s="642">
        <v>0</v>
      </c>
      <c r="N150" s="642">
        <v>0</v>
      </c>
      <c r="O150" s="642">
        <v>0</v>
      </c>
      <c r="P150" s="642">
        <v>0</v>
      </c>
      <c r="Q150" s="642">
        <v>0</v>
      </c>
      <c r="R150" s="642">
        <v>0</v>
      </c>
      <c r="S150" s="650">
        <v>132.91707157922298</v>
      </c>
      <c r="U150" s="641" t="s">
        <v>84</v>
      </c>
      <c r="V150" s="642">
        <v>0</v>
      </c>
      <c r="W150" s="642">
        <v>0</v>
      </c>
      <c r="X150" s="642">
        <v>117.28279502427566</v>
      </c>
      <c r="Y150" s="642">
        <v>1.8168604665649504</v>
      </c>
      <c r="Z150" s="642">
        <v>0</v>
      </c>
      <c r="AA150" s="642">
        <v>0</v>
      </c>
      <c r="AB150" s="642">
        <v>0</v>
      </c>
      <c r="AC150" s="642">
        <v>0</v>
      </c>
      <c r="AD150" s="642">
        <v>0.35207966308593752</v>
      </c>
      <c r="AE150" s="642">
        <v>0</v>
      </c>
      <c r="AF150" s="642">
        <v>0</v>
      </c>
      <c r="AG150" s="642">
        <v>0</v>
      </c>
      <c r="AH150" s="642">
        <v>0</v>
      </c>
      <c r="AI150" s="642">
        <v>0</v>
      </c>
      <c r="AJ150" s="642">
        <v>1.7189814819335938</v>
      </c>
      <c r="AK150" s="650">
        <v>121.17071663586013</v>
      </c>
    </row>
    <row r="151" spans="3:37" ht="13.5">
      <c r="C151" s="646" t="s">
        <v>85</v>
      </c>
      <c r="D151" s="647">
        <v>6.5032741679727843</v>
      </c>
      <c r="E151" s="647">
        <v>0</v>
      </c>
      <c r="F151" s="647">
        <v>567.49484833816337</v>
      </c>
      <c r="G151" s="647">
        <v>300.36147067953311</v>
      </c>
      <c r="H151" s="647">
        <v>0</v>
      </c>
      <c r="I151" s="647">
        <v>0</v>
      </c>
      <c r="J151" s="647">
        <v>102.29885085722037</v>
      </c>
      <c r="K151" s="647">
        <v>1.8026731844749846</v>
      </c>
      <c r="L151" s="647">
        <v>36.783626860690426</v>
      </c>
      <c r="M151" s="647">
        <v>5.8953050861011809</v>
      </c>
      <c r="N151" s="647">
        <v>49.514351265721807</v>
      </c>
      <c r="O151" s="647">
        <v>2.8493182047113157</v>
      </c>
      <c r="P151" s="647">
        <v>454.71077961406559</v>
      </c>
      <c r="Q151" s="647">
        <v>36.463227585949028</v>
      </c>
      <c r="R151" s="647">
        <v>0.71363666999870479</v>
      </c>
      <c r="S151" s="647">
        <v>1565.3913625146026</v>
      </c>
      <c r="U151" s="646" t="s">
        <v>85</v>
      </c>
      <c r="V151" s="647">
        <v>0.86555588121413052</v>
      </c>
      <c r="W151" s="647">
        <v>0</v>
      </c>
      <c r="X151" s="647">
        <v>439.61253989928008</v>
      </c>
      <c r="Y151" s="647">
        <v>202.05708396743208</v>
      </c>
      <c r="Z151" s="647">
        <v>0</v>
      </c>
      <c r="AA151" s="647">
        <v>0</v>
      </c>
      <c r="AB151" s="647">
        <v>98.323998973757497</v>
      </c>
      <c r="AC151" s="647">
        <v>6.032015642283147</v>
      </c>
      <c r="AD151" s="647">
        <v>48.149378940757181</v>
      </c>
      <c r="AE151" s="647">
        <v>22.267684573608886</v>
      </c>
      <c r="AF151" s="647">
        <v>61.091225724919909</v>
      </c>
      <c r="AG151" s="647">
        <v>4.3244315081583782</v>
      </c>
      <c r="AH151" s="647">
        <v>456.67759211018512</v>
      </c>
      <c r="AI151" s="647">
        <v>61.66120404388996</v>
      </c>
      <c r="AJ151" s="647">
        <v>7.4600647069910382</v>
      </c>
      <c r="AK151" s="647">
        <v>1408.5227759724771</v>
      </c>
    </row>
    <row r="152" spans="3:37" ht="13">
      <c r="C152" s="636"/>
      <c r="D152" s="636"/>
      <c r="E152" s="636"/>
      <c r="F152" s="636"/>
      <c r="G152" s="636"/>
      <c r="H152" s="636"/>
      <c r="I152" s="636"/>
      <c r="J152" s="636"/>
      <c r="K152" s="636"/>
      <c r="L152" s="636"/>
      <c r="M152" s="636"/>
      <c r="N152" s="636"/>
      <c r="O152" s="636"/>
      <c r="P152" s="636"/>
      <c r="Q152" s="636"/>
      <c r="R152" s="636"/>
      <c r="S152" s="636"/>
      <c r="U152" s="636"/>
      <c r="V152" s="636"/>
      <c r="W152" s="636"/>
      <c r="X152" s="636"/>
      <c r="Y152" s="636"/>
      <c r="Z152" s="636"/>
      <c r="AA152" s="636"/>
      <c r="AB152" s="636"/>
      <c r="AC152" s="636"/>
      <c r="AD152" s="636"/>
      <c r="AE152" s="636"/>
      <c r="AF152" s="636"/>
      <c r="AG152" s="636"/>
      <c r="AH152" s="636"/>
      <c r="AI152" s="636"/>
      <c r="AJ152" s="636"/>
      <c r="AK152" s="636"/>
    </row>
    <row r="153" spans="3:37" ht="22.5">
      <c r="C153" s="699" t="s">
        <v>360</v>
      </c>
      <c r="D153" s="699"/>
      <c r="E153" s="699"/>
      <c r="F153" s="699"/>
      <c r="G153" s="699"/>
      <c r="H153" s="699"/>
      <c r="I153" s="699"/>
      <c r="J153" s="699"/>
      <c r="K153" s="699"/>
      <c r="L153" s="699"/>
      <c r="M153" s="699"/>
      <c r="N153" s="699"/>
      <c r="O153" s="699"/>
      <c r="P153" s="699"/>
      <c r="Q153" s="699"/>
      <c r="R153" s="699"/>
      <c r="S153" s="699"/>
      <c r="U153" s="699" t="s">
        <v>360</v>
      </c>
      <c r="V153" s="699"/>
      <c r="W153" s="699"/>
      <c r="X153" s="699"/>
      <c r="Y153" s="699"/>
      <c r="Z153" s="699"/>
      <c r="AA153" s="699"/>
      <c r="AB153" s="699"/>
      <c r="AC153" s="699"/>
      <c r="AD153" s="699"/>
      <c r="AE153" s="699"/>
      <c r="AF153" s="699"/>
      <c r="AG153" s="699"/>
      <c r="AH153" s="699"/>
      <c r="AI153" s="699"/>
      <c r="AJ153" s="699"/>
      <c r="AK153" s="699"/>
    </row>
    <row r="154" spans="3:37" ht="13">
      <c r="C154" s="636"/>
      <c r="D154" s="636"/>
      <c r="E154" s="636"/>
      <c r="F154" s="636"/>
      <c r="G154" s="636"/>
      <c r="H154" s="636"/>
      <c r="I154" s="636"/>
      <c r="J154" s="636"/>
      <c r="K154" s="636"/>
      <c r="L154" s="636"/>
      <c r="M154" s="636"/>
      <c r="N154" s="636"/>
      <c r="O154" s="636"/>
      <c r="P154" s="636"/>
      <c r="Q154" s="636"/>
      <c r="R154" s="636"/>
      <c r="S154" s="636"/>
      <c r="U154" s="636"/>
      <c r="V154" s="636"/>
      <c r="W154" s="636"/>
      <c r="X154" s="636"/>
      <c r="Y154" s="636"/>
      <c r="Z154" s="636"/>
      <c r="AA154" s="636"/>
      <c r="AB154" s="636"/>
      <c r="AC154" s="636"/>
      <c r="AD154" s="636"/>
      <c r="AE154" s="636"/>
      <c r="AF154" s="636"/>
      <c r="AG154" s="636"/>
      <c r="AH154" s="636"/>
      <c r="AI154" s="636"/>
      <c r="AJ154" s="636"/>
      <c r="AK154" s="636"/>
    </row>
    <row r="155" spans="3:37" ht="13" customHeight="1">
      <c r="C155" s="700" t="s">
        <v>128</v>
      </c>
      <c r="D155" s="701" t="s">
        <v>42</v>
      </c>
      <c r="E155" s="701" t="s">
        <v>52</v>
      </c>
      <c r="F155" s="701" t="s">
        <v>53</v>
      </c>
      <c r="G155" s="701" t="s">
        <v>32</v>
      </c>
      <c r="H155" s="701" t="s">
        <v>20</v>
      </c>
      <c r="I155" s="701" t="s">
        <v>55</v>
      </c>
      <c r="J155" s="701" t="s">
        <v>56</v>
      </c>
      <c r="K155" s="701"/>
      <c r="L155" s="701"/>
      <c r="M155" s="701"/>
      <c r="N155" s="701"/>
      <c r="O155" s="701"/>
      <c r="P155" s="701" t="s">
        <v>57</v>
      </c>
      <c r="Q155" s="701" t="s">
        <v>58</v>
      </c>
      <c r="R155" s="701" t="s">
        <v>31</v>
      </c>
      <c r="S155" s="701" t="s">
        <v>10</v>
      </c>
      <c r="U155" s="700" t="s">
        <v>128</v>
      </c>
      <c r="V155" s="701" t="s">
        <v>42</v>
      </c>
      <c r="W155" s="701" t="s">
        <v>52</v>
      </c>
      <c r="X155" s="701" t="s">
        <v>53</v>
      </c>
      <c r="Y155" s="701" t="s">
        <v>32</v>
      </c>
      <c r="Z155" s="701" t="s">
        <v>20</v>
      </c>
      <c r="AA155" s="701" t="s">
        <v>55</v>
      </c>
      <c r="AB155" s="701" t="s">
        <v>56</v>
      </c>
      <c r="AC155" s="701"/>
      <c r="AD155" s="701"/>
      <c r="AE155" s="701"/>
      <c r="AF155" s="701"/>
      <c r="AG155" s="701"/>
      <c r="AH155" s="701" t="s">
        <v>57</v>
      </c>
      <c r="AI155" s="701" t="s">
        <v>58</v>
      </c>
      <c r="AJ155" s="701" t="s">
        <v>31</v>
      </c>
      <c r="AK155" s="701" t="s">
        <v>10</v>
      </c>
    </row>
    <row r="156" spans="3:37" ht="46">
      <c r="C156" s="700"/>
      <c r="D156" s="701"/>
      <c r="E156" s="701"/>
      <c r="F156" s="701"/>
      <c r="G156" s="701"/>
      <c r="H156" s="701"/>
      <c r="I156" s="701"/>
      <c r="J156" s="640" t="s">
        <v>338</v>
      </c>
      <c r="K156" s="640" t="s">
        <v>40</v>
      </c>
      <c r="L156" s="640" t="s">
        <v>346</v>
      </c>
      <c r="M156" s="640" t="s">
        <v>347</v>
      </c>
      <c r="N156" s="640" t="s">
        <v>348</v>
      </c>
      <c r="O156" s="640" t="s">
        <v>349</v>
      </c>
      <c r="P156" s="701"/>
      <c r="Q156" s="701"/>
      <c r="R156" s="701"/>
      <c r="S156" s="701"/>
      <c r="U156" s="700"/>
      <c r="V156" s="701"/>
      <c r="W156" s="701"/>
      <c r="X156" s="701"/>
      <c r="Y156" s="701"/>
      <c r="Z156" s="701"/>
      <c r="AA156" s="701"/>
      <c r="AB156" s="640" t="s">
        <v>338</v>
      </c>
      <c r="AC156" s="640" t="s">
        <v>40</v>
      </c>
      <c r="AD156" s="640" t="s">
        <v>346</v>
      </c>
      <c r="AE156" s="640" t="s">
        <v>347</v>
      </c>
      <c r="AF156" s="640" t="s">
        <v>348</v>
      </c>
      <c r="AG156" s="640" t="s">
        <v>349</v>
      </c>
      <c r="AH156" s="701"/>
      <c r="AI156" s="701"/>
      <c r="AJ156" s="701"/>
      <c r="AK156" s="701"/>
    </row>
    <row r="157" spans="3:37" ht="13.5">
      <c r="C157" s="641" t="s">
        <v>59</v>
      </c>
      <c r="D157" s="642">
        <v>0</v>
      </c>
      <c r="E157" s="643">
        <v>7.3966799999999999</v>
      </c>
      <c r="F157" s="643">
        <v>0</v>
      </c>
      <c r="G157" s="642">
        <v>0.13025600000000001</v>
      </c>
      <c r="H157" s="643">
        <v>1121.3636363636365</v>
      </c>
      <c r="I157" s="643">
        <v>207.57369132422022</v>
      </c>
      <c r="J157" s="643">
        <v>190.75115787672021</v>
      </c>
      <c r="K157" s="643">
        <v>21.756321957796004</v>
      </c>
      <c r="L157" s="643">
        <v>0.34997737871272444</v>
      </c>
      <c r="M157" s="643">
        <v>0.14846473955328648</v>
      </c>
      <c r="N157" s="643">
        <v>54.409714472774652</v>
      </c>
      <c r="O157" s="643">
        <v>8.1015620286034657</v>
      </c>
      <c r="P157" s="644">
        <v>0</v>
      </c>
      <c r="Q157" s="643">
        <v>0</v>
      </c>
      <c r="R157" s="643">
        <v>0</v>
      </c>
      <c r="S157" s="645">
        <v>1611.9814621420169</v>
      </c>
      <c r="U157" s="641" t="s">
        <v>59</v>
      </c>
      <c r="V157" s="642">
        <v>0</v>
      </c>
      <c r="W157" s="643">
        <v>7.3966799999999999</v>
      </c>
      <c r="X157" s="643">
        <v>0</v>
      </c>
      <c r="Y157" s="642">
        <v>0.13025600000000001</v>
      </c>
      <c r="Z157" s="643">
        <v>1024.3939393939395</v>
      </c>
      <c r="AA157" s="643">
        <v>228.1236913242202</v>
      </c>
      <c r="AB157" s="643">
        <v>188.80425896422437</v>
      </c>
      <c r="AC157" s="643">
        <v>37.588366510920622</v>
      </c>
      <c r="AD157" s="643">
        <v>0.34997737871272444</v>
      </c>
      <c r="AE157" s="643">
        <v>0.14846473955328648</v>
      </c>
      <c r="AF157" s="643">
        <v>70.498567758341522</v>
      </c>
      <c r="AG157" s="643">
        <v>15.201618538088493</v>
      </c>
      <c r="AH157" s="644">
        <v>0</v>
      </c>
      <c r="AI157" s="643">
        <v>0</v>
      </c>
      <c r="AJ157" s="643">
        <v>0</v>
      </c>
      <c r="AK157" s="645">
        <v>1572.6358206080006</v>
      </c>
    </row>
    <row r="158" spans="3:37" ht="13.5">
      <c r="C158" s="641" t="s">
        <v>60</v>
      </c>
      <c r="D158" s="642">
        <v>48.993463204278932</v>
      </c>
      <c r="E158" s="643">
        <v>524.37115290345116</v>
      </c>
      <c r="F158" s="643">
        <v>128.47715148642752</v>
      </c>
      <c r="G158" s="642">
        <v>338.60190682175607</v>
      </c>
      <c r="H158" s="643">
        <v>0</v>
      </c>
      <c r="I158" s="643">
        <v>0</v>
      </c>
      <c r="J158" s="643">
        <v>3.4492102766833175</v>
      </c>
      <c r="K158" s="643">
        <v>0</v>
      </c>
      <c r="L158" s="643">
        <v>1.9497058389942057</v>
      </c>
      <c r="M158" s="643">
        <v>0</v>
      </c>
      <c r="N158" s="643">
        <v>0</v>
      </c>
      <c r="O158" s="643">
        <v>0</v>
      </c>
      <c r="P158" s="644">
        <v>0</v>
      </c>
      <c r="Q158" s="643">
        <v>0</v>
      </c>
      <c r="R158" s="643">
        <v>0</v>
      </c>
      <c r="S158" s="645">
        <v>1045.8425905315912</v>
      </c>
      <c r="U158" s="641" t="s">
        <v>60</v>
      </c>
      <c r="V158" s="642">
        <v>10.847134235204434</v>
      </c>
      <c r="W158" s="643">
        <v>365.76498082844296</v>
      </c>
      <c r="X158" s="643">
        <v>91.958139733680838</v>
      </c>
      <c r="Y158" s="642">
        <v>234.76100914366791</v>
      </c>
      <c r="Z158" s="643">
        <v>0</v>
      </c>
      <c r="AA158" s="643">
        <v>0</v>
      </c>
      <c r="AB158" s="643">
        <v>3.4492102766833175</v>
      </c>
      <c r="AC158" s="643">
        <v>0</v>
      </c>
      <c r="AD158" s="643">
        <v>1.9497058389942057</v>
      </c>
      <c r="AE158" s="643">
        <v>0</v>
      </c>
      <c r="AF158" s="643">
        <v>0</v>
      </c>
      <c r="AG158" s="643">
        <v>0</v>
      </c>
      <c r="AH158" s="644">
        <v>0</v>
      </c>
      <c r="AI158" s="643">
        <v>0</v>
      </c>
      <c r="AJ158" s="643">
        <v>0</v>
      </c>
      <c r="AK158" s="645">
        <v>708.7301800566737</v>
      </c>
    </row>
    <row r="159" spans="3:37" ht="13.5">
      <c r="C159" s="641" t="s">
        <v>61</v>
      </c>
      <c r="D159" s="642">
        <v>0</v>
      </c>
      <c r="E159" s="643">
        <v>0</v>
      </c>
      <c r="F159" s="643">
        <v>0</v>
      </c>
      <c r="G159" s="642">
        <v>0</v>
      </c>
      <c r="H159" s="643">
        <v>0</v>
      </c>
      <c r="I159" s="643">
        <v>0</v>
      </c>
      <c r="J159" s="643">
        <v>0</v>
      </c>
      <c r="K159" s="643">
        <v>0</v>
      </c>
      <c r="L159" s="643">
        <v>0</v>
      </c>
      <c r="M159" s="643">
        <v>0</v>
      </c>
      <c r="N159" s="643">
        <v>0</v>
      </c>
      <c r="O159" s="643">
        <v>0</v>
      </c>
      <c r="P159" s="644">
        <v>-60.003896317889257</v>
      </c>
      <c r="Q159" s="643">
        <v>0</v>
      </c>
      <c r="R159" s="643">
        <v>0</v>
      </c>
      <c r="S159" s="645">
        <v>-60.003896317889257</v>
      </c>
      <c r="U159" s="641" t="s">
        <v>61</v>
      </c>
      <c r="V159" s="642">
        <v>0</v>
      </c>
      <c r="W159" s="643">
        <v>0</v>
      </c>
      <c r="X159" s="643">
        <v>0</v>
      </c>
      <c r="Y159" s="642">
        <v>0</v>
      </c>
      <c r="Z159" s="643">
        <v>0</v>
      </c>
      <c r="AA159" s="643">
        <v>0</v>
      </c>
      <c r="AB159" s="643">
        <v>0</v>
      </c>
      <c r="AC159" s="643">
        <v>0</v>
      </c>
      <c r="AD159" s="643">
        <v>0</v>
      </c>
      <c r="AE159" s="643">
        <v>0</v>
      </c>
      <c r="AF159" s="643">
        <v>0</v>
      </c>
      <c r="AG159" s="643">
        <v>0</v>
      </c>
      <c r="AH159" s="644">
        <v>-43.289743938015249</v>
      </c>
      <c r="AI159" s="643">
        <v>0</v>
      </c>
      <c r="AJ159" s="643">
        <v>0</v>
      </c>
      <c r="AK159" s="645">
        <v>-43.289743938015249</v>
      </c>
    </row>
    <row r="160" spans="3:37" ht="13.5">
      <c r="C160" s="641" t="s">
        <v>62</v>
      </c>
      <c r="D160" s="642">
        <v>0</v>
      </c>
      <c r="E160" s="643">
        <v>0</v>
      </c>
      <c r="F160" s="643">
        <v>-16.352432750095883</v>
      </c>
      <c r="G160" s="642">
        <v>0</v>
      </c>
      <c r="H160" s="643">
        <v>0</v>
      </c>
      <c r="I160" s="643">
        <v>0</v>
      </c>
      <c r="J160" s="643">
        <v>0</v>
      </c>
      <c r="K160" s="643">
        <v>0</v>
      </c>
      <c r="L160" s="643">
        <v>0</v>
      </c>
      <c r="M160" s="643">
        <v>0</v>
      </c>
      <c r="N160" s="643">
        <v>0</v>
      </c>
      <c r="O160" s="643">
        <v>0</v>
      </c>
      <c r="P160" s="644">
        <v>0</v>
      </c>
      <c r="Q160" s="643">
        <v>0</v>
      </c>
      <c r="R160" s="643">
        <v>0</v>
      </c>
      <c r="S160" s="645">
        <v>-16.352432750095883</v>
      </c>
      <c r="U160" s="641" t="s">
        <v>62</v>
      </c>
      <c r="V160" s="642">
        <v>0</v>
      </c>
      <c r="W160" s="643">
        <v>0</v>
      </c>
      <c r="X160" s="643">
        <v>-14.208433022133823</v>
      </c>
      <c r="Y160" s="642">
        <v>-0.95675088928507923</v>
      </c>
      <c r="Z160" s="643">
        <v>0</v>
      </c>
      <c r="AA160" s="643">
        <v>0</v>
      </c>
      <c r="AB160" s="643">
        <v>0</v>
      </c>
      <c r="AC160" s="643">
        <v>0</v>
      </c>
      <c r="AD160" s="643">
        <v>0</v>
      </c>
      <c r="AE160" s="643">
        <v>-0.16736955973660289</v>
      </c>
      <c r="AF160" s="643">
        <v>0</v>
      </c>
      <c r="AG160" s="643">
        <v>0</v>
      </c>
      <c r="AH160" s="644">
        <v>0</v>
      </c>
      <c r="AI160" s="643">
        <v>0</v>
      </c>
      <c r="AJ160" s="643">
        <v>0</v>
      </c>
      <c r="AK160" s="645">
        <v>-15.332553471155505</v>
      </c>
    </row>
    <row r="161" spans="3:37" ht="13.5">
      <c r="C161" s="641" t="s">
        <v>63</v>
      </c>
      <c r="D161" s="642">
        <v>0</v>
      </c>
      <c r="E161" s="643">
        <v>0</v>
      </c>
      <c r="F161" s="643">
        <v>-82.364123594751035</v>
      </c>
      <c r="G161" s="642">
        <v>0</v>
      </c>
      <c r="H161" s="643">
        <v>0</v>
      </c>
      <c r="I161" s="643">
        <v>0</v>
      </c>
      <c r="J161" s="643">
        <v>0</v>
      </c>
      <c r="K161" s="643">
        <v>0</v>
      </c>
      <c r="L161" s="643">
        <v>-0.84952974503182688</v>
      </c>
      <c r="M161" s="643">
        <v>0</v>
      </c>
      <c r="N161" s="643">
        <v>0</v>
      </c>
      <c r="O161" s="643">
        <v>0</v>
      </c>
      <c r="P161" s="644">
        <v>0</v>
      </c>
      <c r="Q161" s="643">
        <v>0</v>
      </c>
      <c r="R161" s="643">
        <v>0</v>
      </c>
      <c r="S161" s="645">
        <v>-83.213653339782866</v>
      </c>
      <c r="U161" s="641" t="s">
        <v>63</v>
      </c>
      <c r="V161" s="642">
        <v>0</v>
      </c>
      <c r="W161" s="643">
        <v>0</v>
      </c>
      <c r="X161" s="643">
        <v>-71.599112277853877</v>
      </c>
      <c r="Y161" s="642">
        <v>0</v>
      </c>
      <c r="Z161" s="643">
        <v>0</v>
      </c>
      <c r="AA161" s="643">
        <v>0</v>
      </c>
      <c r="AB161" s="643">
        <v>0</v>
      </c>
      <c r="AC161" s="643">
        <v>0</v>
      </c>
      <c r="AD161" s="643">
        <v>-10.622786066784549</v>
      </c>
      <c r="AE161" s="643">
        <v>0</v>
      </c>
      <c r="AF161" s="643">
        <v>0</v>
      </c>
      <c r="AG161" s="643">
        <v>0</v>
      </c>
      <c r="AH161" s="644">
        <v>0</v>
      </c>
      <c r="AI161" s="643">
        <v>0</v>
      </c>
      <c r="AJ161" s="643">
        <v>0</v>
      </c>
      <c r="AK161" s="645">
        <v>-82.221898344638419</v>
      </c>
    </row>
    <row r="162" spans="3:37" ht="13.5">
      <c r="C162" s="641" t="s">
        <v>64</v>
      </c>
      <c r="D162" s="642">
        <v>0</v>
      </c>
      <c r="E162" s="643">
        <v>0</v>
      </c>
      <c r="F162" s="643">
        <v>0</v>
      </c>
      <c r="G162" s="642">
        <v>0</v>
      </c>
      <c r="H162" s="643">
        <v>0</v>
      </c>
      <c r="I162" s="643">
        <v>0</v>
      </c>
      <c r="J162" s="643">
        <v>0</v>
      </c>
      <c r="K162" s="643">
        <v>0</v>
      </c>
      <c r="L162" s="643">
        <v>0</v>
      </c>
      <c r="M162" s="643">
        <v>0</v>
      </c>
      <c r="N162" s="643">
        <v>0</v>
      </c>
      <c r="O162" s="643">
        <v>0</v>
      </c>
      <c r="P162" s="644">
        <v>0</v>
      </c>
      <c r="Q162" s="643">
        <v>0</v>
      </c>
      <c r="R162" s="643">
        <v>0</v>
      </c>
      <c r="S162" s="645">
        <v>0</v>
      </c>
      <c r="U162" s="641" t="s">
        <v>64</v>
      </c>
      <c r="V162" s="642">
        <v>0</v>
      </c>
      <c r="W162" s="643">
        <v>0</v>
      </c>
      <c r="X162" s="643">
        <v>0</v>
      </c>
      <c r="Y162" s="642">
        <v>0</v>
      </c>
      <c r="Z162" s="643">
        <v>0</v>
      </c>
      <c r="AA162" s="643">
        <v>0</v>
      </c>
      <c r="AB162" s="643">
        <v>0</v>
      </c>
      <c r="AC162" s="643">
        <v>0</v>
      </c>
      <c r="AD162" s="643">
        <v>0</v>
      </c>
      <c r="AE162" s="643">
        <v>0</v>
      </c>
      <c r="AF162" s="643">
        <v>0</v>
      </c>
      <c r="AG162" s="643">
        <v>0</v>
      </c>
      <c r="AH162" s="644">
        <v>0</v>
      </c>
      <c r="AI162" s="643">
        <v>0</v>
      </c>
      <c r="AJ162" s="643">
        <v>0</v>
      </c>
      <c r="AK162" s="645">
        <v>0</v>
      </c>
    </row>
    <row r="163" spans="3:37" ht="13.5">
      <c r="C163" s="646" t="s">
        <v>65</v>
      </c>
      <c r="D163" s="647">
        <v>48.993463204278932</v>
      </c>
      <c r="E163" s="647">
        <v>531.76783290345111</v>
      </c>
      <c r="F163" s="647">
        <v>29.760595141580591</v>
      </c>
      <c r="G163" s="647">
        <v>338.73216282175605</v>
      </c>
      <c r="H163" s="647">
        <v>1121.3636363636365</v>
      </c>
      <c r="I163" s="647">
        <v>207.57369132422022</v>
      </c>
      <c r="J163" s="647">
        <v>194.20036815340353</v>
      </c>
      <c r="K163" s="647">
        <v>21.756321957796004</v>
      </c>
      <c r="L163" s="647">
        <v>1.4501534726751033</v>
      </c>
      <c r="M163" s="647">
        <v>0.14846473955328648</v>
      </c>
      <c r="N163" s="647">
        <v>54.409714472774652</v>
      </c>
      <c r="O163" s="647">
        <v>8.1015620286034657</v>
      </c>
      <c r="P163" s="647">
        <v>-60.003896317889257</v>
      </c>
      <c r="Q163" s="647">
        <v>0</v>
      </c>
      <c r="R163" s="647">
        <v>0</v>
      </c>
      <c r="S163" s="647">
        <v>2498.2540702658398</v>
      </c>
      <c r="U163" s="646" t="s">
        <v>65</v>
      </c>
      <c r="V163" s="647">
        <v>10.847134235204434</v>
      </c>
      <c r="W163" s="647">
        <v>373.16166082844296</v>
      </c>
      <c r="X163" s="647">
        <v>6.1505944336931329</v>
      </c>
      <c r="Y163" s="647">
        <v>233.93451425438283</v>
      </c>
      <c r="Z163" s="647">
        <v>1024.3939393939395</v>
      </c>
      <c r="AA163" s="647">
        <v>228.1236913242202</v>
      </c>
      <c r="AB163" s="647">
        <v>192.25346924090769</v>
      </c>
      <c r="AC163" s="647">
        <v>37.588366510920622</v>
      </c>
      <c r="AD163" s="647">
        <v>-8.3231028490776193</v>
      </c>
      <c r="AE163" s="647">
        <v>-1.8904820183316406E-2</v>
      </c>
      <c r="AF163" s="647">
        <v>70.498567758341522</v>
      </c>
      <c r="AG163" s="647">
        <v>15.201618538088493</v>
      </c>
      <c r="AH163" s="647">
        <v>-43.289743938015249</v>
      </c>
      <c r="AI163" s="647">
        <v>0</v>
      </c>
      <c r="AJ163" s="647">
        <v>0</v>
      </c>
      <c r="AK163" s="647">
        <v>2140.5218049108653</v>
      </c>
    </row>
    <row r="164" spans="3:37" ht="13">
      <c r="C164" s="636"/>
      <c r="D164" s="636">
        <v>0</v>
      </c>
      <c r="E164" s="636">
        <v>0</v>
      </c>
      <c r="F164" s="636">
        <v>0</v>
      </c>
      <c r="G164" s="636">
        <v>0</v>
      </c>
      <c r="H164" s="636">
        <v>0</v>
      </c>
      <c r="I164" s="636">
        <v>0</v>
      </c>
      <c r="J164" s="636">
        <v>0</v>
      </c>
      <c r="K164" s="636">
        <v>0</v>
      </c>
      <c r="L164" s="636">
        <v>0</v>
      </c>
      <c r="M164" s="636">
        <v>0</v>
      </c>
      <c r="N164" s="636">
        <v>0</v>
      </c>
      <c r="O164" s="636">
        <v>0</v>
      </c>
      <c r="P164" s="636">
        <v>0</v>
      </c>
      <c r="Q164" s="636">
        <v>0</v>
      </c>
      <c r="R164" s="636">
        <v>0</v>
      </c>
      <c r="S164" s="636">
        <v>0</v>
      </c>
      <c r="U164" s="636"/>
      <c r="V164" s="636">
        <v>0</v>
      </c>
      <c r="W164" s="636">
        <v>0</v>
      </c>
      <c r="X164" s="636">
        <v>0</v>
      </c>
      <c r="Y164" s="636">
        <v>0</v>
      </c>
      <c r="Z164" s="636">
        <v>0</v>
      </c>
      <c r="AA164" s="636">
        <v>0</v>
      </c>
      <c r="AB164" s="636">
        <v>0</v>
      </c>
      <c r="AC164" s="636">
        <v>0</v>
      </c>
      <c r="AD164" s="636">
        <v>0</v>
      </c>
      <c r="AE164" s="636">
        <v>0</v>
      </c>
      <c r="AF164" s="636">
        <v>0</v>
      </c>
      <c r="AG164" s="636">
        <v>0</v>
      </c>
      <c r="AH164" s="636">
        <v>0</v>
      </c>
      <c r="AI164" s="636">
        <v>0</v>
      </c>
      <c r="AJ164" s="636">
        <v>0</v>
      </c>
      <c r="AK164" s="636">
        <v>0</v>
      </c>
    </row>
    <row r="165" spans="3:37" ht="13.5">
      <c r="C165" s="648" t="s">
        <v>67</v>
      </c>
      <c r="D165" s="642">
        <v>0</v>
      </c>
      <c r="E165" s="649">
        <v>0</v>
      </c>
      <c r="F165" s="649">
        <v>0</v>
      </c>
      <c r="G165" s="642">
        <v>0</v>
      </c>
      <c r="H165" s="642">
        <v>0</v>
      </c>
      <c r="I165" s="642">
        <v>0</v>
      </c>
      <c r="J165" s="642">
        <v>0</v>
      </c>
      <c r="K165" s="642">
        <v>0</v>
      </c>
      <c r="L165" s="642">
        <v>0</v>
      </c>
      <c r="M165" s="642">
        <v>0</v>
      </c>
      <c r="N165" s="642">
        <v>0</v>
      </c>
      <c r="O165" s="642">
        <v>0</v>
      </c>
      <c r="P165" s="642">
        <v>0</v>
      </c>
      <c r="Q165" s="642">
        <v>0</v>
      </c>
      <c r="R165" s="642">
        <v>0</v>
      </c>
      <c r="S165" s="650">
        <v>0</v>
      </c>
      <c r="U165" s="648" t="s">
        <v>67</v>
      </c>
      <c r="V165" s="642">
        <v>0</v>
      </c>
      <c r="W165" s="649">
        <v>0</v>
      </c>
      <c r="X165" s="649">
        <v>0</v>
      </c>
      <c r="Y165" s="642">
        <v>0</v>
      </c>
      <c r="Z165" s="642">
        <v>0</v>
      </c>
      <c r="AA165" s="642">
        <v>0</v>
      </c>
      <c r="AB165" s="642">
        <v>0</v>
      </c>
      <c r="AC165" s="642">
        <v>0</v>
      </c>
      <c r="AD165" s="642">
        <v>0</v>
      </c>
      <c r="AE165" s="642">
        <v>0</v>
      </c>
      <c r="AF165" s="642">
        <v>0</v>
      </c>
      <c r="AG165" s="642">
        <v>0</v>
      </c>
      <c r="AH165" s="642">
        <v>0</v>
      </c>
      <c r="AI165" s="642">
        <v>0</v>
      </c>
      <c r="AJ165" s="642">
        <v>0</v>
      </c>
      <c r="AK165" s="650">
        <v>0</v>
      </c>
    </row>
    <row r="166" spans="3:37" ht="13.5">
      <c r="C166" s="648" t="s">
        <v>350</v>
      </c>
      <c r="D166" s="642">
        <v>2.8267856410252494</v>
      </c>
      <c r="E166" s="642">
        <v>0</v>
      </c>
      <c r="F166" s="642">
        <v>7.7941116668718937</v>
      </c>
      <c r="G166" s="642">
        <v>17.578475336322871</v>
      </c>
      <c r="H166" s="642">
        <v>1121.3636363636365</v>
      </c>
      <c r="I166" s="642">
        <v>207.57369132422022</v>
      </c>
      <c r="J166" s="651">
        <v>30.869450548245954</v>
      </c>
      <c r="K166" s="651">
        <v>7.6561165469613854</v>
      </c>
      <c r="L166" s="651">
        <v>2.2996832177069302</v>
      </c>
      <c r="M166" s="651">
        <v>0.47494016865067573</v>
      </c>
      <c r="N166" s="651">
        <v>0</v>
      </c>
      <c r="O166" s="651">
        <v>3.0833964576427819</v>
      </c>
      <c r="P166" s="642">
        <v>-607.79183020434141</v>
      </c>
      <c r="Q166" s="642">
        <v>0</v>
      </c>
      <c r="R166" s="642">
        <v>0</v>
      </c>
      <c r="S166" s="650">
        <v>793.72845706694284</v>
      </c>
      <c r="U166" s="648" t="s">
        <v>350</v>
      </c>
      <c r="V166" s="642">
        <v>0.62631490545869017</v>
      </c>
      <c r="W166" s="642">
        <v>0</v>
      </c>
      <c r="X166" s="642">
        <v>3.93047530323553</v>
      </c>
      <c r="Y166" s="642">
        <v>32.755695067264575</v>
      </c>
      <c r="Z166" s="642">
        <v>1024.3939393939395</v>
      </c>
      <c r="AA166" s="642">
        <v>228.1236913242202</v>
      </c>
      <c r="AB166" s="651">
        <v>25.192532039575013</v>
      </c>
      <c r="AC166" s="651">
        <v>7.1226809684101786</v>
      </c>
      <c r="AD166" s="651">
        <v>2.2996832177069302</v>
      </c>
      <c r="AE166" s="651">
        <v>5.010724922013905</v>
      </c>
      <c r="AF166" s="651">
        <v>0</v>
      </c>
      <c r="AG166" s="651">
        <v>3.0833964576427819</v>
      </c>
      <c r="AH166" s="642">
        <v>-605.04183020434141</v>
      </c>
      <c r="AI166" s="642">
        <v>0</v>
      </c>
      <c r="AJ166" s="642">
        <v>1.4249999999999998</v>
      </c>
      <c r="AK166" s="650">
        <v>728.92230339512548</v>
      </c>
    </row>
    <row r="167" spans="3:37" ht="13.5">
      <c r="C167" s="648" t="s">
        <v>351</v>
      </c>
      <c r="D167" s="642">
        <v>0</v>
      </c>
      <c r="E167" s="642">
        <v>0</v>
      </c>
      <c r="F167" s="642">
        <v>0</v>
      </c>
      <c r="G167" s="642">
        <v>15.306890454029709</v>
      </c>
      <c r="H167" s="642">
        <v>0</v>
      </c>
      <c r="I167" s="642">
        <v>0</v>
      </c>
      <c r="J167" s="651">
        <v>13.130836985616687</v>
      </c>
      <c r="K167" s="651">
        <v>12.274327089138302</v>
      </c>
      <c r="L167" s="651">
        <v>0</v>
      </c>
      <c r="M167" s="651">
        <v>0.32594257421966627</v>
      </c>
      <c r="N167" s="651">
        <v>0</v>
      </c>
      <c r="O167" s="651">
        <v>2.1777173090422202</v>
      </c>
      <c r="P167" s="642">
        <v>0</v>
      </c>
      <c r="Q167" s="642">
        <v>-38.962978394907431</v>
      </c>
      <c r="R167" s="642">
        <v>0</v>
      </c>
      <c r="S167" s="650">
        <v>4.2527360171391511</v>
      </c>
      <c r="U167" s="648" t="s">
        <v>351</v>
      </c>
      <c r="V167" s="642">
        <v>0</v>
      </c>
      <c r="W167" s="642">
        <v>0</v>
      </c>
      <c r="X167" s="642">
        <v>0</v>
      </c>
      <c r="Y167" s="642">
        <v>16.285163933286896</v>
      </c>
      <c r="Z167" s="642">
        <v>0</v>
      </c>
      <c r="AA167" s="642">
        <v>0</v>
      </c>
      <c r="AB167" s="651">
        <v>27.330859307935192</v>
      </c>
      <c r="AC167" s="651">
        <v>24.40929016388429</v>
      </c>
      <c r="AD167" s="651">
        <v>0</v>
      </c>
      <c r="AE167" s="651">
        <v>2.4469723551258755</v>
      </c>
      <c r="AF167" s="651">
        <v>0</v>
      </c>
      <c r="AG167" s="651">
        <v>7.1814032045118834</v>
      </c>
      <c r="AH167" s="642">
        <v>0</v>
      </c>
      <c r="AI167" s="642">
        <v>-70.686462815005612</v>
      </c>
      <c r="AJ167" s="642">
        <v>0</v>
      </c>
      <c r="AK167" s="650">
        <v>6.967226149738531</v>
      </c>
    </row>
    <row r="168" spans="3:37" ht="13.5">
      <c r="C168" s="648" t="s">
        <v>352</v>
      </c>
      <c r="D168" s="642">
        <v>0</v>
      </c>
      <c r="E168" s="642">
        <v>0</v>
      </c>
      <c r="F168" s="642">
        <v>0</v>
      </c>
      <c r="G168" s="642">
        <v>0</v>
      </c>
      <c r="H168" s="642">
        <v>0</v>
      </c>
      <c r="I168" s="642">
        <v>0</v>
      </c>
      <c r="J168" s="652">
        <v>7.549386302639002</v>
      </c>
      <c r="K168" s="652">
        <v>0</v>
      </c>
      <c r="L168" s="652">
        <v>0</v>
      </c>
      <c r="M168" s="652">
        <v>-6.6642207586545794</v>
      </c>
      <c r="N168" s="652">
        <v>0</v>
      </c>
      <c r="O168" s="652">
        <v>0</v>
      </c>
      <c r="P168" s="642">
        <v>0</v>
      </c>
      <c r="Q168" s="642">
        <v>0</v>
      </c>
      <c r="R168" s="642">
        <v>0</v>
      </c>
      <c r="S168" s="650">
        <v>0.8851655439844226</v>
      </c>
      <c r="U168" s="648" t="s">
        <v>352</v>
      </c>
      <c r="V168" s="642">
        <v>0</v>
      </c>
      <c r="W168" s="642">
        <v>0</v>
      </c>
      <c r="X168" s="642">
        <v>0</v>
      </c>
      <c r="Y168" s="642">
        <v>0</v>
      </c>
      <c r="Z168" s="642">
        <v>0</v>
      </c>
      <c r="AA168" s="642">
        <v>0</v>
      </c>
      <c r="AB168" s="652">
        <v>39.489443827479029</v>
      </c>
      <c r="AC168" s="652">
        <v>0</v>
      </c>
      <c r="AD168" s="652">
        <v>0</v>
      </c>
      <c r="AE168" s="652">
        <v>-34.859306538707116</v>
      </c>
      <c r="AF168" s="652">
        <v>0</v>
      </c>
      <c r="AG168" s="652">
        <v>0</v>
      </c>
      <c r="AH168" s="642">
        <v>0</v>
      </c>
      <c r="AI168" s="642">
        <v>0</v>
      </c>
      <c r="AJ168" s="642">
        <v>0</v>
      </c>
      <c r="AK168" s="650">
        <v>4.6301372887719126</v>
      </c>
    </row>
    <row r="169" spans="3:37" ht="13.5">
      <c r="C169" s="648" t="s">
        <v>353</v>
      </c>
      <c r="D169" s="642">
        <v>0</v>
      </c>
      <c r="E169" s="642">
        <v>0</v>
      </c>
      <c r="F169" s="642">
        <v>0</v>
      </c>
      <c r="G169" s="642">
        <v>0</v>
      </c>
      <c r="H169" s="642">
        <v>0</v>
      </c>
      <c r="I169" s="642">
        <v>0</v>
      </c>
      <c r="J169" s="642">
        <v>0</v>
      </c>
      <c r="K169" s="642">
        <v>0</v>
      </c>
      <c r="L169" s="642">
        <v>0</v>
      </c>
      <c r="M169" s="642">
        <v>0</v>
      </c>
      <c r="N169" s="642">
        <v>0</v>
      </c>
      <c r="O169" s="642">
        <v>0</v>
      </c>
      <c r="P169" s="642">
        <v>0</v>
      </c>
      <c r="Q169" s="642">
        <v>0</v>
      </c>
      <c r="R169" s="642">
        <v>0</v>
      </c>
      <c r="S169" s="650">
        <v>0</v>
      </c>
      <c r="U169" s="648" t="s">
        <v>353</v>
      </c>
      <c r="V169" s="642">
        <v>0</v>
      </c>
      <c r="W169" s="642">
        <v>0</v>
      </c>
      <c r="X169" s="642">
        <v>0</v>
      </c>
      <c r="Y169" s="642">
        <v>0</v>
      </c>
      <c r="Z169" s="642">
        <v>0</v>
      </c>
      <c r="AA169" s="642">
        <v>0</v>
      </c>
      <c r="AB169" s="642">
        <v>0</v>
      </c>
      <c r="AC169" s="642">
        <v>0</v>
      </c>
      <c r="AD169" s="642">
        <v>0</v>
      </c>
      <c r="AE169" s="642">
        <v>0</v>
      </c>
      <c r="AF169" s="642">
        <v>0</v>
      </c>
      <c r="AG169" s="642">
        <v>0</v>
      </c>
      <c r="AH169" s="642">
        <v>0</v>
      </c>
      <c r="AI169" s="642">
        <v>0</v>
      </c>
      <c r="AJ169" s="642">
        <v>0</v>
      </c>
      <c r="AK169" s="650">
        <v>0</v>
      </c>
    </row>
    <row r="170" spans="3:37" ht="13.5">
      <c r="C170" s="648" t="s">
        <v>72</v>
      </c>
      <c r="D170" s="642">
        <v>0</v>
      </c>
      <c r="E170" s="642">
        <v>550.85495716936975</v>
      </c>
      <c r="F170" s="642">
        <v>-545.34640759767603</v>
      </c>
      <c r="G170" s="642">
        <v>0</v>
      </c>
      <c r="H170" s="642">
        <v>0</v>
      </c>
      <c r="I170" s="642">
        <v>0</v>
      </c>
      <c r="J170" s="642">
        <v>0</v>
      </c>
      <c r="K170" s="642">
        <v>0</v>
      </c>
      <c r="L170" s="642">
        <v>0</v>
      </c>
      <c r="M170" s="642">
        <v>0</v>
      </c>
      <c r="N170" s="642">
        <v>0</v>
      </c>
      <c r="O170" s="642">
        <v>0</v>
      </c>
      <c r="P170" s="642">
        <v>0</v>
      </c>
      <c r="Q170" s="642">
        <v>0</v>
      </c>
      <c r="R170" s="642">
        <v>0</v>
      </c>
      <c r="S170" s="650">
        <v>5.5085495716937203</v>
      </c>
      <c r="U170" s="648" t="s">
        <v>72</v>
      </c>
      <c r="V170" s="642">
        <v>0</v>
      </c>
      <c r="W170" s="642">
        <v>386.55581999113582</v>
      </c>
      <c r="X170" s="642">
        <v>-382.69026179122449</v>
      </c>
      <c r="Y170" s="642">
        <v>0</v>
      </c>
      <c r="Z170" s="642">
        <v>0</v>
      </c>
      <c r="AA170" s="642">
        <v>0</v>
      </c>
      <c r="AB170" s="642">
        <v>0</v>
      </c>
      <c r="AC170" s="642">
        <v>0</v>
      </c>
      <c r="AD170" s="642">
        <v>0</v>
      </c>
      <c r="AE170" s="642">
        <v>0</v>
      </c>
      <c r="AF170" s="642">
        <v>0</v>
      </c>
      <c r="AG170" s="642">
        <v>0</v>
      </c>
      <c r="AH170" s="642">
        <v>0</v>
      </c>
      <c r="AI170" s="642">
        <v>0</v>
      </c>
      <c r="AJ170" s="642">
        <v>0</v>
      </c>
      <c r="AK170" s="650">
        <v>3.8655581999113338</v>
      </c>
    </row>
    <row r="171" spans="3:37" ht="13.5">
      <c r="C171" s="648" t="s">
        <v>354</v>
      </c>
      <c r="D171" s="642">
        <v>0</v>
      </c>
      <c r="E171" s="642">
        <v>0</v>
      </c>
      <c r="F171" s="642">
        <v>0</v>
      </c>
      <c r="G171" s="642">
        <v>0</v>
      </c>
      <c r="H171" s="642">
        <v>0</v>
      </c>
      <c r="I171" s="642">
        <v>0</v>
      </c>
      <c r="J171" s="642">
        <v>34.694031238964726</v>
      </c>
      <c r="K171" s="642">
        <v>0</v>
      </c>
      <c r="L171" s="642">
        <v>-34.694031238964726</v>
      </c>
      <c r="M171" s="642">
        <v>0</v>
      </c>
      <c r="N171" s="642">
        <v>0</v>
      </c>
      <c r="O171" s="642">
        <v>0</v>
      </c>
      <c r="P171" s="642">
        <v>0</v>
      </c>
      <c r="Q171" s="642">
        <v>0</v>
      </c>
      <c r="R171" s="642">
        <v>0</v>
      </c>
      <c r="S171" s="650">
        <v>0</v>
      </c>
      <c r="U171" s="648" t="s">
        <v>354</v>
      </c>
      <c r="V171" s="642">
        <v>0</v>
      </c>
      <c r="W171" s="642">
        <v>0</v>
      </c>
      <c r="X171" s="642">
        <v>0</v>
      </c>
      <c r="Y171" s="642">
        <v>0</v>
      </c>
      <c r="Z171" s="642">
        <v>0</v>
      </c>
      <c r="AA171" s="642">
        <v>0</v>
      </c>
      <c r="AB171" s="642" t="e">
        <v>#VALUE!</v>
      </c>
      <c r="AC171" s="642">
        <v>0</v>
      </c>
      <c r="AD171" s="642">
        <v>-64.13008508665132</v>
      </c>
      <c r="AE171" s="642">
        <v>0</v>
      </c>
      <c r="AF171" s="642">
        <v>0</v>
      </c>
      <c r="AG171" s="642">
        <v>0</v>
      </c>
      <c r="AH171" s="642">
        <v>0</v>
      </c>
      <c r="AI171" s="642">
        <v>0</v>
      </c>
      <c r="AJ171" s="642">
        <v>0</v>
      </c>
      <c r="AK171" s="650">
        <v>-64.13008508665132</v>
      </c>
    </row>
    <row r="172" spans="3:37" ht="13.5">
      <c r="C172" s="648" t="s">
        <v>355</v>
      </c>
      <c r="D172" s="642">
        <v>0</v>
      </c>
      <c r="E172" s="642">
        <v>0</v>
      </c>
      <c r="F172" s="642">
        <v>0</v>
      </c>
      <c r="G172" s="642">
        <v>0</v>
      </c>
      <c r="H172" s="642">
        <v>0</v>
      </c>
      <c r="I172" s="642">
        <v>0</v>
      </c>
      <c r="J172" s="642">
        <v>0</v>
      </c>
      <c r="K172" s="642">
        <v>0</v>
      </c>
      <c r="L172" s="642">
        <v>0</v>
      </c>
      <c r="M172" s="642">
        <v>0</v>
      </c>
      <c r="N172" s="642">
        <v>0</v>
      </c>
      <c r="O172" s="642">
        <v>0</v>
      </c>
      <c r="P172" s="642">
        <v>0</v>
      </c>
      <c r="Q172" s="642">
        <v>0</v>
      </c>
      <c r="R172" s="642">
        <v>0</v>
      </c>
      <c r="S172" s="650">
        <v>0</v>
      </c>
      <c r="U172" s="648" t="s">
        <v>355</v>
      </c>
      <c r="V172" s="642">
        <v>0</v>
      </c>
      <c r="W172" s="642">
        <v>0</v>
      </c>
      <c r="X172" s="642">
        <v>0</v>
      </c>
      <c r="Y172" s="642">
        <v>0</v>
      </c>
      <c r="Z172" s="642">
        <v>0</v>
      </c>
      <c r="AA172" s="642">
        <v>0</v>
      </c>
      <c r="AB172" s="642">
        <v>0</v>
      </c>
      <c r="AC172" s="642">
        <v>0</v>
      </c>
      <c r="AD172" s="642">
        <v>-12.704571841330187</v>
      </c>
      <c r="AE172" s="642">
        <v>0</v>
      </c>
      <c r="AF172" s="642">
        <v>0</v>
      </c>
      <c r="AG172" s="642">
        <v>0</v>
      </c>
      <c r="AH172" s="642">
        <v>0</v>
      </c>
      <c r="AI172" s="642">
        <v>0</v>
      </c>
      <c r="AJ172" s="642">
        <v>0</v>
      </c>
      <c r="AK172" s="650">
        <v>-12.704571841330187</v>
      </c>
    </row>
    <row r="173" spans="3:37" ht="13.5">
      <c r="C173" s="648" t="s">
        <v>73</v>
      </c>
      <c r="D173" s="642">
        <v>0</v>
      </c>
      <c r="E173" s="642">
        <v>0</v>
      </c>
      <c r="F173" s="642">
        <v>0</v>
      </c>
      <c r="G173" s="642">
        <v>2.1153211001028303</v>
      </c>
      <c r="H173" s="642">
        <v>0</v>
      </c>
      <c r="I173" s="642">
        <v>0</v>
      </c>
      <c r="J173" s="642">
        <v>0</v>
      </c>
      <c r="K173" s="642">
        <v>2.387711193000305E-2</v>
      </c>
      <c r="L173" s="642">
        <v>0</v>
      </c>
      <c r="M173" s="642">
        <v>4.3169818369445515E-2</v>
      </c>
      <c r="N173" s="642">
        <v>0</v>
      </c>
      <c r="O173" s="642">
        <v>0</v>
      </c>
      <c r="P173" s="642">
        <v>0.21762333659139796</v>
      </c>
      <c r="Q173" s="642">
        <v>0</v>
      </c>
      <c r="R173" s="642">
        <v>-1.6713978351002134</v>
      </c>
      <c r="S173" s="650">
        <v>0.72859353189346332</v>
      </c>
      <c r="U173" s="648" t="s">
        <v>73</v>
      </c>
      <c r="V173" s="642">
        <v>0</v>
      </c>
      <c r="W173" s="642">
        <v>0</v>
      </c>
      <c r="X173" s="642">
        <v>0</v>
      </c>
      <c r="Y173" s="642">
        <v>5.6183676161021641</v>
      </c>
      <c r="Z173" s="642">
        <v>0</v>
      </c>
      <c r="AA173" s="642">
        <v>0</v>
      </c>
      <c r="AB173" s="642">
        <v>0</v>
      </c>
      <c r="AC173" s="642">
        <v>0.19393074509344391</v>
      </c>
      <c r="AD173" s="642">
        <v>0</v>
      </c>
      <c r="AE173" s="642">
        <v>0.83952619550951879</v>
      </c>
      <c r="AF173" s="642">
        <v>0</v>
      </c>
      <c r="AG173" s="642">
        <v>0</v>
      </c>
      <c r="AH173" s="642">
        <v>13.50321720945872</v>
      </c>
      <c r="AI173" s="642">
        <v>0</v>
      </c>
      <c r="AJ173" s="642">
        <v>-13.575152156541073</v>
      </c>
      <c r="AK173" s="650">
        <v>6.579889609622775</v>
      </c>
    </row>
    <row r="174" spans="3:37" ht="13.5">
      <c r="C174" s="648" t="s">
        <v>356</v>
      </c>
      <c r="D174" s="642">
        <v>28.669681406249996</v>
      </c>
      <c r="E174" s="642">
        <v>-19.087124265918664</v>
      </c>
      <c r="F174" s="642">
        <v>24.964831154950382</v>
      </c>
      <c r="G174" s="642">
        <v>0</v>
      </c>
      <c r="H174" s="642">
        <v>0</v>
      </c>
      <c r="I174" s="642">
        <v>0</v>
      </c>
      <c r="J174" s="642">
        <v>0</v>
      </c>
      <c r="K174" s="642">
        <v>0</v>
      </c>
      <c r="L174" s="642">
        <v>0</v>
      </c>
      <c r="M174" s="642">
        <v>0</v>
      </c>
      <c r="N174" s="642">
        <v>0</v>
      </c>
      <c r="O174" s="642">
        <v>0</v>
      </c>
      <c r="P174" s="642">
        <v>0</v>
      </c>
      <c r="Q174" s="642">
        <v>0</v>
      </c>
      <c r="R174" s="642">
        <v>0</v>
      </c>
      <c r="S174" s="650">
        <v>34.547388295281714</v>
      </c>
      <c r="U174" s="648" t="s">
        <v>356</v>
      </c>
      <c r="V174" s="642">
        <v>4.3307530517578128</v>
      </c>
      <c r="W174" s="642">
        <v>-13.394159162692858</v>
      </c>
      <c r="X174" s="642">
        <v>17.518769056071054</v>
      </c>
      <c r="Y174" s="642">
        <v>0</v>
      </c>
      <c r="Z174" s="642">
        <v>0</v>
      </c>
      <c r="AA174" s="642">
        <v>0</v>
      </c>
      <c r="AB174" s="642">
        <v>0</v>
      </c>
      <c r="AC174" s="642">
        <v>0</v>
      </c>
      <c r="AD174" s="642">
        <v>0</v>
      </c>
      <c r="AE174" s="642">
        <v>0</v>
      </c>
      <c r="AF174" s="642">
        <v>0</v>
      </c>
      <c r="AG174" s="642">
        <v>0</v>
      </c>
      <c r="AH174" s="642">
        <v>0</v>
      </c>
      <c r="AI174" s="642">
        <v>0</v>
      </c>
      <c r="AJ174" s="642">
        <v>0</v>
      </c>
      <c r="AK174" s="650">
        <v>8.4553629451360095</v>
      </c>
    </row>
    <row r="175" spans="3:37" ht="13.5">
      <c r="C175" s="648" t="s">
        <v>75</v>
      </c>
      <c r="D175" s="642">
        <v>11.149320546875</v>
      </c>
      <c r="E175" s="642">
        <v>0</v>
      </c>
      <c r="F175" s="642">
        <v>18.729068543758572</v>
      </c>
      <c r="G175" s="642">
        <v>5.3443947944572248</v>
      </c>
      <c r="H175" s="642">
        <v>0</v>
      </c>
      <c r="I175" s="642">
        <v>0</v>
      </c>
      <c r="J175" s="642">
        <v>0</v>
      </c>
      <c r="K175" s="642">
        <v>0</v>
      </c>
      <c r="L175" s="642">
        <v>0</v>
      </c>
      <c r="M175" s="642">
        <v>0.10906928151953521</v>
      </c>
      <c r="N175" s="642">
        <v>0</v>
      </c>
      <c r="O175" s="642">
        <v>0</v>
      </c>
      <c r="P175" s="642">
        <v>34.631314570260251</v>
      </c>
      <c r="Q175" s="642">
        <v>0</v>
      </c>
      <c r="R175" s="642">
        <v>0</v>
      </c>
      <c r="S175" s="650">
        <v>69.963167736870574</v>
      </c>
      <c r="U175" s="648" t="s">
        <v>75</v>
      </c>
      <c r="V175" s="642">
        <v>4.9205957031249996</v>
      </c>
      <c r="W175" s="642">
        <v>0</v>
      </c>
      <c r="X175" s="642">
        <v>18.729068543758572</v>
      </c>
      <c r="Y175" s="642">
        <v>4.7445137460997815</v>
      </c>
      <c r="Z175" s="642">
        <v>0</v>
      </c>
      <c r="AA175" s="642">
        <v>0</v>
      </c>
      <c r="AB175" s="642">
        <v>0</v>
      </c>
      <c r="AC175" s="642">
        <v>0</v>
      </c>
      <c r="AD175" s="642">
        <v>0</v>
      </c>
      <c r="AE175" s="642">
        <v>0.70895032987697881</v>
      </c>
      <c r="AF175" s="642">
        <v>0</v>
      </c>
      <c r="AG175" s="642">
        <v>0</v>
      </c>
      <c r="AH175" s="642">
        <v>32.716541842987525</v>
      </c>
      <c r="AI175" s="642">
        <v>0</v>
      </c>
      <c r="AJ175" s="642">
        <v>0</v>
      </c>
      <c r="AK175" s="650">
        <v>61.819670165847853</v>
      </c>
    </row>
    <row r="176" spans="3:37" ht="13.5">
      <c r="C176" s="648" t="s">
        <v>76</v>
      </c>
      <c r="D176" s="642">
        <v>0</v>
      </c>
      <c r="E176" s="642">
        <v>0</v>
      </c>
      <c r="F176" s="642">
        <v>0</v>
      </c>
      <c r="G176" s="642">
        <v>3.8720966463328983</v>
      </c>
      <c r="H176" s="642">
        <v>0</v>
      </c>
      <c r="I176" s="642">
        <v>0</v>
      </c>
      <c r="J176" s="642">
        <v>0</v>
      </c>
      <c r="K176" s="642">
        <v>0</v>
      </c>
      <c r="L176" s="642">
        <v>0</v>
      </c>
      <c r="M176" s="642">
        <v>7.9022380537406095E-2</v>
      </c>
      <c r="N176" s="642">
        <v>0</v>
      </c>
      <c r="O176" s="642">
        <v>0</v>
      </c>
      <c r="P176" s="642">
        <v>41.938968757160723</v>
      </c>
      <c r="Q176" s="642">
        <v>3.0236871210614171</v>
      </c>
      <c r="R176" s="642">
        <v>0</v>
      </c>
      <c r="S176" s="650">
        <v>48.913774905092438</v>
      </c>
      <c r="U176" s="648" t="s">
        <v>76</v>
      </c>
      <c r="V176" s="642">
        <v>0</v>
      </c>
      <c r="W176" s="642">
        <v>0</v>
      </c>
      <c r="X176" s="642">
        <v>0</v>
      </c>
      <c r="Y176" s="642">
        <v>2.7662751616304524</v>
      </c>
      <c r="Z176" s="642">
        <v>0</v>
      </c>
      <c r="AA176" s="642">
        <v>0</v>
      </c>
      <c r="AB176" s="642">
        <v>0</v>
      </c>
      <c r="AC176" s="642">
        <v>0</v>
      </c>
      <c r="AD176" s="642">
        <v>0</v>
      </c>
      <c r="AE176" s="642">
        <v>0.41335146093328595</v>
      </c>
      <c r="AF176" s="642">
        <v>0</v>
      </c>
      <c r="AG176" s="642">
        <v>0</v>
      </c>
      <c r="AH176" s="642">
        <v>43.009166954325586</v>
      </c>
      <c r="AI176" s="642">
        <v>5.481964511548731</v>
      </c>
      <c r="AJ176" s="642">
        <v>0</v>
      </c>
      <c r="AK176" s="650">
        <v>51.670758088438056</v>
      </c>
    </row>
    <row r="177" spans="3:37" ht="13.5">
      <c r="C177" s="646" t="s">
        <v>77</v>
      </c>
      <c r="D177" s="647">
        <v>42.645787594150242</v>
      </c>
      <c r="E177" s="647">
        <v>531.76783290345111</v>
      </c>
      <c r="F177" s="647">
        <v>-493.85839623209517</v>
      </c>
      <c r="G177" s="647">
        <v>44.217178331245535</v>
      </c>
      <c r="H177" s="647">
        <v>1121.3636363636365</v>
      </c>
      <c r="I177" s="647">
        <v>207.57369132422022</v>
      </c>
      <c r="J177" s="647">
        <v>86.243705075466366</v>
      </c>
      <c r="K177" s="647">
        <v>19.954320748029687</v>
      </c>
      <c r="L177" s="647">
        <v>-32.394348021257798</v>
      </c>
      <c r="M177" s="647">
        <v>-5.6320765353578501</v>
      </c>
      <c r="N177" s="647">
        <v>0</v>
      </c>
      <c r="O177" s="647">
        <v>5.2611137666850016</v>
      </c>
      <c r="P177" s="647">
        <v>-531.00392354032908</v>
      </c>
      <c r="Q177" s="647">
        <v>-35.939291273846017</v>
      </c>
      <c r="R177" s="647">
        <v>-1.6713978351002134</v>
      </c>
      <c r="S177" s="647">
        <v>958.52783266889833</v>
      </c>
      <c r="U177" s="646" t="s">
        <v>77</v>
      </c>
      <c r="V177" s="647">
        <v>9.8776636603415024</v>
      </c>
      <c r="W177" s="647">
        <v>373.16166082844296</v>
      </c>
      <c r="X177" s="647">
        <v>-342.51194888815934</v>
      </c>
      <c r="Y177" s="647">
        <v>62.170015524383871</v>
      </c>
      <c r="Z177" s="647">
        <v>1024.3939393939395</v>
      </c>
      <c r="AA177" s="647">
        <v>228.1236913242202</v>
      </c>
      <c r="AB177" s="647">
        <v>92.01283517498922</v>
      </c>
      <c r="AC177" s="647">
        <v>31.725901877387908</v>
      </c>
      <c r="AD177" s="647">
        <v>-74.534973710274585</v>
      </c>
      <c r="AE177" s="647">
        <v>-25.439781275247555</v>
      </c>
      <c r="AF177" s="647">
        <v>0</v>
      </c>
      <c r="AG177" s="647">
        <v>10.264799662154665</v>
      </c>
      <c r="AH177" s="647">
        <v>-515.81290419756954</v>
      </c>
      <c r="AI177" s="647">
        <v>-65.204498303456887</v>
      </c>
      <c r="AJ177" s="647">
        <v>-12.150152156541072</v>
      </c>
      <c r="AK177" s="647">
        <v>796.07624891461057</v>
      </c>
    </row>
    <row r="178" spans="3:37" ht="13">
      <c r="C178" s="636"/>
      <c r="D178" s="636">
        <v>0</v>
      </c>
      <c r="E178" s="636">
        <v>0</v>
      </c>
      <c r="F178" s="636">
        <v>0</v>
      </c>
      <c r="G178" s="636">
        <v>0</v>
      </c>
      <c r="H178" s="636">
        <v>0</v>
      </c>
      <c r="I178" s="636">
        <v>0</v>
      </c>
      <c r="J178" s="636">
        <v>0</v>
      </c>
      <c r="K178" s="636">
        <v>0</v>
      </c>
      <c r="L178" s="636">
        <v>0</v>
      </c>
      <c r="M178" s="636">
        <v>0</v>
      </c>
      <c r="N178" s="636">
        <v>0</v>
      </c>
      <c r="O178" s="636">
        <v>0</v>
      </c>
      <c r="P178" s="636">
        <v>0</v>
      </c>
      <c r="Q178" s="636">
        <v>0</v>
      </c>
      <c r="R178" s="636">
        <v>0</v>
      </c>
      <c r="S178" s="636">
        <v>0</v>
      </c>
      <c r="U178" s="636"/>
      <c r="V178" s="636">
        <v>0</v>
      </c>
      <c r="W178" s="636">
        <v>0</v>
      </c>
      <c r="X178" s="636">
        <v>0</v>
      </c>
      <c r="Y178" s="636">
        <v>0</v>
      </c>
      <c r="Z178" s="636">
        <v>0</v>
      </c>
      <c r="AA178" s="636">
        <v>0</v>
      </c>
      <c r="AB178" s="636">
        <v>0</v>
      </c>
      <c r="AC178" s="636">
        <v>0</v>
      </c>
      <c r="AD178" s="636">
        <v>0</v>
      </c>
      <c r="AE178" s="636">
        <v>0</v>
      </c>
      <c r="AF178" s="636">
        <v>0</v>
      </c>
      <c r="AG178" s="636">
        <v>0</v>
      </c>
      <c r="AH178" s="636">
        <v>0</v>
      </c>
      <c r="AI178" s="636">
        <v>0</v>
      </c>
      <c r="AJ178" s="636">
        <v>0</v>
      </c>
      <c r="AK178" s="636">
        <v>0</v>
      </c>
    </row>
    <row r="179" spans="3:37" ht="13.5">
      <c r="C179" s="648" t="s">
        <v>78</v>
      </c>
      <c r="D179" s="642">
        <v>6.3476756101286895</v>
      </c>
      <c r="E179" s="642">
        <v>0</v>
      </c>
      <c r="F179" s="642">
        <v>23.963924152830415</v>
      </c>
      <c r="G179" s="642">
        <v>102.72602750235836</v>
      </c>
      <c r="H179" s="642">
        <v>0</v>
      </c>
      <c r="I179" s="642">
        <v>0</v>
      </c>
      <c r="J179" s="642">
        <v>19.164817057512749</v>
      </c>
      <c r="K179" s="642">
        <v>1.7769703360109936</v>
      </c>
      <c r="L179" s="642">
        <v>0.86552810351562492</v>
      </c>
      <c r="M179" s="642">
        <v>2.1151614516362294</v>
      </c>
      <c r="N179" s="642">
        <v>0</v>
      </c>
      <c r="O179" s="642">
        <v>3.8147295409713907E-4</v>
      </c>
      <c r="P179" s="642">
        <v>109.69856944385172</v>
      </c>
      <c r="Q179" s="642">
        <v>16.190109766233334</v>
      </c>
      <c r="R179" s="642">
        <v>0.34118215942382812</v>
      </c>
      <c r="S179" s="650">
        <v>283.19034705645606</v>
      </c>
      <c r="U179" s="648" t="s">
        <v>78</v>
      </c>
      <c r="V179" s="642">
        <v>0.96947057486293287</v>
      </c>
      <c r="W179" s="642">
        <v>0</v>
      </c>
      <c r="X179" s="642">
        <v>14.423852836289303</v>
      </c>
      <c r="Y179" s="642">
        <v>71.911931163769523</v>
      </c>
      <c r="Z179" s="642">
        <v>0</v>
      </c>
      <c r="AA179" s="642">
        <v>0</v>
      </c>
      <c r="AB179" s="642">
        <v>16.641526349557349</v>
      </c>
      <c r="AC179" s="642">
        <v>5.8374337597773929</v>
      </c>
      <c r="AD179" s="642">
        <v>1.8190377949218752</v>
      </c>
      <c r="AE179" s="642">
        <v>10.764172889266069</v>
      </c>
      <c r="AF179" s="642">
        <v>0</v>
      </c>
      <c r="AG179" s="642">
        <v>3.8147295409713907E-4</v>
      </c>
      <c r="AH179" s="642">
        <v>133.35975359263318</v>
      </c>
      <c r="AI179" s="642">
        <v>21.024156518221293</v>
      </c>
      <c r="AJ179" s="642">
        <v>5.3802006835937499</v>
      </c>
      <c r="AK179" s="650">
        <v>282.13191763584672</v>
      </c>
    </row>
    <row r="180" spans="3:37" ht="13.5">
      <c r="C180" s="648" t="s">
        <v>79</v>
      </c>
      <c r="D180" s="642">
        <v>0</v>
      </c>
      <c r="E180" s="642">
        <v>0</v>
      </c>
      <c r="F180" s="642">
        <v>312.50052508879821</v>
      </c>
      <c r="G180" s="642">
        <v>20.28727706696608</v>
      </c>
      <c r="H180" s="642">
        <v>0</v>
      </c>
      <c r="I180" s="642">
        <v>0</v>
      </c>
      <c r="J180" s="642">
        <v>0</v>
      </c>
      <c r="K180" s="642">
        <v>0</v>
      </c>
      <c r="L180" s="642">
        <v>30.35479180755361</v>
      </c>
      <c r="M180" s="642">
        <v>0.41402606259114449</v>
      </c>
      <c r="N180" s="642">
        <v>0</v>
      </c>
      <c r="O180" s="642">
        <v>0</v>
      </c>
      <c r="P180" s="642">
        <v>40.087101502259863</v>
      </c>
      <c r="Q180" s="642">
        <v>0</v>
      </c>
      <c r="R180" s="642">
        <v>0.80956479691939642</v>
      </c>
      <c r="S180" s="650">
        <v>404.45328632508824</v>
      </c>
      <c r="U180" s="648" t="s">
        <v>79</v>
      </c>
      <c r="V180" s="642">
        <v>0</v>
      </c>
      <c r="W180" s="642">
        <v>0</v>
      </c>
      <c r="X180" s="642">
        <v>200.27592241910855</v>
      </c>
      <c r="Y180" s="642">
        <v>16.649550205830046</v>
      </c>
      <c r="Z180" s="642">
        <v>0</v>
      </c>
      <c r="AA180" s="642">
        <v>0</v>
      </c>
      <c r="AB180" s="642">
        <v>0</v>
      </c>
      <c r="AC180" s="642">
        <v>0</v>
      </c>
      <c r="AD180" s="642">
        <v>44.40579181284334</v>
      </c>
      <c r="AE180" s="642">
        <v>2.5923432302996523</v>
      </c>
      <c r="AF180" s="642">
        <v>0</v>
      </c>
      <c r="AG180" s="642">
        <v>0</v>
      </c>
      <c r="AH180" s="642">
        <v>50.411052136241274</v>
      </c>
      <c r="AI180" s="642">
        <v>0</v>
      </c>
      <c r="AJ180" s="642">
        <v>1.5849058336758</v>
      </c>
      <c r="AK180" s="650">
        <v>315.91956563799869</v>
      </c>
    </row>
    <row r="181" spans="3:37" ht="13.5">
      <c r="C181" s="648" t="s">
        <v>80</v>
      </c>
      <c r="D181" s="642">
        <v>0</v>
      </c>
      <c r="E181" s="642">
        <v>0</v>
      </c>
      <c r="F181" s="642">
        <v>27.223306395871116</v>
      </c>
      <c r="G181" s="642">
        <v>94.787807272791255</v>
      </c>
      <c r="H181" s="642">
        <v>0</v>
      </c>
      <c r="I181" s="642">
        <v>0</v>
      </c>
      <c r="J181" s="642">
        <v>83.273177408961004</v>
      </c>
      <c r="K181" s="642">
        <v>0</v>
      </c>
      <c r="L181" s="642">
        <v>0</v>
      </c>
      <c r="M181" s="642">
        <v>1.9344450463834952</v>
      </c>
      <c r="N181" s="642">
        <v>46.067590504591024</v>
      </c>
      <c r="O181" s="642">
        <v>1.9582561857397398</v>
      </c>
      <c r="P181" s="642">
        <v>180.22551264292704</v>
      </c>
      <c r="Q181" s="642">
        <v>15.690776641240536</v>
      </c>
      <c r="R181" s="642">
        <v>0</v>
      </c>
      <c r="S181" s="650">
        <v>451.16087209850519</v>
      </c>
      <c r="U181" s="648" t="s">
        <v>80</v>
      </c>
      <c r="V181" s="642">
        <v>0</v>
      </c>
      <c r="W181" s="642">
        <v>0</v>
      </c>
      <c r="X181" s="642">
        <v>2.015713666762446</v>
      </c>
      <c r="Y181" s="642">
        <v>47.341776252628989</v>
      </c>
      <c r="Z181" s="642">
        <v>0</v>
      </c>
      <c r="AA181" s="642">
        <v>0</v>
      </c>
      <c r="AB181" s="642">
        <v>73.879452654225247</v>
      </c>
      <c r="AC181" s="642">
        <v>0</v>
      </c>
      <c r="AD181" s="642">
        <v>0</v>
      </c>
      <c r="AE181" s="642">
        <v>7.0740585205077799</v>
      </c>
      <c r="AF181" s="642">
        <v>56.247445771865117</v>
      </c>
      <c r="AG181" s="642">
        <v>2.3917818193760598</v>
      </c>
      <c r="AH181" s="642">
        <v>158.99417861004727</v>
      </c>
      <c r="AI181" s="642">
        <v>34.672503342788303</v>
      </c>
      <c r="AJ181" s="642">
        <v>0</v>
      </c>
      <c r="AK181" s="650">
        <v>382.61691063820126</v>
      </c>
    </row>
    <row r="182" spans="3:37" ht="13.5">
      <c r="C182" s="648" t="s">
        <v>81</v>
      </c>
      <c r="D182" s="642">
        <v>0</v>
      </c>
      <c r="E182" s="642">
        <v>0</v>
      </c>
      <c r="F182" s="642">
        <v>10.721858440723695</v>
      </c>
      <c r="G182" s="642">
        <v>62.595656083836779</v>
      </c>
      <c r="H182" s="642">
        <v>0</v>
      </c>
      <c r="I182" s="642">
        <v>0</v>
      </c>
      <c r="J182" s="642">
        <v>3.4596715414798309</v>
      </c>
      <c r="K182" s="642">
        <v>2.5030873755322387E-2</v>
      </c>
      <c r="L182" s="642">
        <v>0</v>
      </c>
      <c r="M182" s="642">
        <v>1.2774623690578935</v>
      </c>
      <c r="N182" s="642">
        <v>8.3421239681836319</v>
      </c>
      <c r="O182" s="642">
        <v>0.80110714509903691</v>
      </c>
      <c r="P182" s="642">
        <v>133.46461699259584</v>
      </c>
      <c r="Q182" s="642">
        <v>4.0584048663721433</v>
      </c>
      <c r="R182" s="642">
        <v>0</v>
      </c>
      <c r="S182" s="650">
        <v>224.74593228110413</v>
      </c>
      <c r="U182" s="648" t="s">
        <v>81</v>
      </c>
      <c r="V182" s="642">
        <v>0</v>
      </c>
      <c r="W182" s="642">
        <v>0</v>
      </c>
      <c r="X182" s="642">
        <v>3.1096233693990798</v>
      </c>
      <c r="Y182" s="642">
        <v>32.055438404613625</v>
      </c>
      <c r="Z182" s="642">
        <v>0</v>
      </c>
      <c r="AA182" s="642">
        <v>0</v>
      </c>
      <c r="AB182" s="642">
        <v>7.6606579921523004</v>
      </c>
      <c r="AC182" s="642">
        <v>2.5030873755322387E-2</v>
      </c>
      <c r="AD182" s="642">
        <v>0</v>
      </c>
      <c r="AE182" s="642">
        <v>4.7898930949422658</v>
      </c>
      <c r="AF182" s="642">
        <v>14.251121986476408</v>
      </c>
      <c r="AG182" s="642">
        <v>1.7168402703934114</v>
      </c>
      <c r="AH182" s="642">
        <v>121.34906004798763</v>
      </c>
      <c r="AI182" s="642">
        <v>9.5078384424472873</v>
      </c>
      <c r="AJ182" s="642">
        <v>0</v>
      </c>
      <c r="AK182" s="650">
        <v>194.46550448216732</v>
      </c>
    </row>
    <row r="183" spans="3:37" ht="13.5">
      <c r="C183" s="648" t="s">
        <v>82</v>
      </c>
      <c r="D183" s="642">
        <v>0</v>
      </c>
      <c r="E183" s="642">
        <v>0</v>
      </c>
      <c r="F183" s="642">
        <v>32.13207144146056</v>
      </c>
      <c r="G183" s="642">
        <v>1.9328709168763656</v>
      </c>
      <c r="H183" s="642">
        <v>0</v>
      </c>
      <c r="I183" s="642">
        <v>0</v>
      </c>
      <c r="J183" s="642">
        <v>2.05899706998358</v>
      </c>
      <c r="K183" s="642">
        <v>0</v>
      </c>
      <c r="L183" s="642">
        <v>2.6244824682898504</v>
      </c>
      <c r="M183" s="642">
        <v>3.9446345242374808E-2</v>
      </c>
      <c r="N183" s="642">
        <v>0</v>
      </c>
      <c r="O183" s="642">
        <v>8.070345812558942E-2</v>
      </c>
      <c r="P183" s="642">
        <v>7.3892266408052469</v>
      </c>
      <c r="Q183" s="642">
        <v>0</v>
      </c>
      <c r="R183" s="642">
        <v>0</v>
      </c>
      <c r="S183" s="650">
        <v>46.257798340783566</v>
      </c>
      <c r="U183" s="648" t="s">
        <v>82</v>
      </c>
      <c r="V183" s="642">
        <v>0</v>
      </c>
      <c r="W183" s="642">
        <v>0</v>
      </c>
      <c r="X183" s="642">
        <v>22.167558461996123</v>
      </c>
      <c r="Y183" s="642">
        <v>2.0916118720237509</v>
      </c>
      <c r="Z183" s="642">
        <v>0</v>
      </c>
      <c r="AA183" s="642">
        <v>0</v>
      </c>
      <c r="AB183" s="642">
        <v>2.05899706998358</v>
      </c>
      <c r="AC183" s="642">
        <v>0</v>
      </c>
      <c r="AD183" s="642">
        <v>14.821446231272425</v>
      </c>
      <c r="AE183" s="642">
        <v>0.31253970501504325</v>
      </c>
      <c r="AF183" s="642">
        <v>0</v>
      </c>
      <c r="AG183" s="642">
        <v>0.82781531321025892</v>
      </c>
      <c r="AH183" s="642">
        <v>7.4491158726448985</v>
      </c>
      <c r="AI183" s="642">
        <v>0</v>
      </c>
      <c r="AJ183" s="642">
        <v>0.21911019493558448</v>
      </c>
      <c r="AK183" s="650">
        <v>49.948194721081656</v>
      </c>
    </row>
    <row r="184" spans="3:37" ht="13.5">
      <c r="C184" s="648" t="s">
        <v>357</v>
      </c>
      <c r="D184" s="642">
        <v>0</v>
      </c>
      <c r="E184" s="642">
        <v>0</v>
      </c>
      <c r="F184" s="642">
        <v>0</v>
      </c>
      <c r="G184" s="642">
        <v>0</v>
      </c>
      <c r="H184" s="642">
        <v>0</v>
      </c>
      <c r="I184" s="642">
        <v>0</v>
      </c>
      <c r="J184" s="642">
        <v>0</v>
      </c>
      <c r="K184" s="642">
        <v>0</v>
      </c>
      <c r="L184" s="642">
        <v>0</v>
      </c>
      <c r="M184" s="642">
        <v>0</v>
      </c>
      <c r="N184" s="642">
        <v>0</v>
      </c>
      <c r="O184" s="642">
        <v>0</v>
      </c>
      <c r="P184" s="642">
        <v>0.13500000000000001</v>
      </c>
      <c r="Q184" s="642">
        <v>0</v>
      </c>
      <c r="R184" s="642">
        <v>0</v>
      </c>
      <c r="S184" s="650">
        <v>0.13500000000000001</v>
      </c>
      <c r="U184" s="648" t="s">
        <v>357</v>
      </c>
      <c r="V184" s="642">
        <v>0</v>
      </c>
      <c r="W184" s="642">
        <v>0</v>
      </c>
      <c r="X184" s="642">
        <v>0</v>
      </c>
      <c r="Y184" s="642">
        <v>0</v>
      </c>
      <c r="Z184" s="642">
        <v>0</v>
      </c>
      <c r="AA184" s="642">
        <v>0</v>
      </c>
      <c r="AB184" s="642">
        <v>0</v>
      </c>
      <c r="AC184" s="642">
        <v>0</v>
      </c>
      <c r="AD184" s="642">
        <v>0</v>
      </c>
      <c r="AE184" s="642">
        <v>0</v>
      </c>
      <c r="AF184" s="642">
        <v>0</v>
      </c>
      <c r="AG184" s="642">
        <v>0</v>
      </c>
      <c r="AH184" s="642">
        <v>0.96</v>
      </c>
      <c r="AI184" s="642">
        <v>0</v>
      </c>
      <c r="AJ184" s="642">
        <v>0</v>
      </c>
      <c r="AK184" s="650">
        <v>0.96</v>
      </c>
    </row>
    <row r="185" spans="3:37" ht="13.5">
      <c r="C185" s="646" t="s">
        <v>83</v>
      </c>
      <c r="D185" s="647">
        <v>6.3476756101286895</v>
      </c>
      <c r="E185" s="647">
        <v>0</v>
      </c>
      <c r="F185" s="647">
        <v>406.54168551968399</v>
      </c>
      <c r="G185" s="647">
        <v>282.32963884282884</v>
      </c>
      <c r="H185" s="647">
        <v>0</v>
      </c>
      <c r="I185" s="647">
        <v>0</v>
      </c>
      <c r="J185" s="647">
        <v>107.95666307793715</v>
      </c>
      <c r="K185" s="647">
        <v>1.8020012097663161</v>
      </c>
      <c r="L185" s="647">
        <v>33.844802379359088</v>
      </c>
      <c r="M185" s="647">
        <v>5.7805412749111369</v>
      </c>
      <c r="N185" s="647">
        <v>54.409714472774652</v>
      </c>
      <c r="O185" s="647">
        <v>2.8404482619184632</v>
      </c>
      <c r="P185" s="647">
        <v>471.00002722243971</v>
      </c>
      <c r="Q185" s="647">
        <v>35.93929127384601</v>
      </c>
      <c r="R185" s="647">
        <v>1.1507469563432244</v>
      </c>
      <c r="S185" s="647">
        <v>1409.9432361019371</v>
      </c>
      <c r="U185" s="646" t="s">
        <v>83</v>
      </c>
      <c r="V185" s="647">
        <v>0.96947057486293287</v>
      </c>
      <c r="W185" s="647">
        <v>0</v>
      </c>
      <c r="X185" s="647">
        <v>241.9926707535555</v>
      </c>
      <c r="Y185" s="647">
        <v>170.05030789886592</v>
      </c>
      <c r="Z185" s="647">
        <v>0</v>
      </c>
      <c r="AA185" s="647">
        <v>0</v>
      </c>
      <c r="AB185" s="647">
        <v>100.24063406591846</v>
      </c>
      <c r="AC185" s="647">
        <v>5.8624646335327153</v>
      </c>
      <c r="AD185" s="647">
        <v>61.046275839037641</v>
      </c>
      <c r="AE185" s="647">
        <v>25.533007440030815</v>
      </c>
      <c r="AF185" s="647">
        <v>70.498567758341522</v>
      </c>
      <c r="AG185" s="647">
        <v>4.9368188759338274</v>
      </c>
      <c r="AH185" s="647">
        <v>472.52316025955423</v>
      </c>
      <c r="AI185" s="647">
        <v>65.204498303456901</v>
      </c>
      <c r="AJ185" s="647">
        <v>7.184216712205135</v>
      </c>
      <c r="AK185" s="647">
        <v>1226.0420931152958</v>
      </c>
    </row>
    <row r="186" spans="3:37" ht="13.5">
      <c r="C186" s="641" t="s">
        <v>84</v>
      </c>
      <c r="D186" s="642">
        <v>0</v>
      </c>
      <c r="E186" s="642">
        <v>0</v>
      </c>
      <c r="F186" s="642">
        <v>117.0773058539918</v>
      </c>
      <c r="G186" s="642">
        <v>12.185345647681713</v>
      </c>
      <c r="H186" s="642">
        <v>0</v>
      </c>
      <c r="I186" s="642">
        <v>0</v>
      </c>
      <c r="J186" s="642">
        <v>0</v>
      </c>
      <c r="K186" s="642">
        <v>0</v>
      </c>
      <c r="L186" s="642">
        <v>0</v>
      </c>
      <c r="M186" s="642">
        <v>0</v>
      </c>
      <c r="N186" s="642">
        <v>0</v>
      </c>
      <c r="O186" s="642">
        <v>0</v>
      </c>
      <c r="P186" s="642">
        <v>0</v>
      </c>
      <c r="Q186" s="642">
        <v>0</v>
      </c>
      <c r="R186" s="642">
        <v>0.52065087875698901</v>
      </c>
      <c r="S186" s="650">
        <v>129.78330238043051</v>
      </c>
      <c r="U186" s="641" t="s">
        <v>84</v>
      </c>
      <c r="V186" s="642">
        <v>0</v>
      </c>
      <c r="W186" s="642">
        <v>0</v>
      </c>
      <c r="X186" s="642">
        <v>106.669872568297</v>
      </c>
      <c r="Y186" s="642">
        <v>1.6020598461664441</v>
      </c>
      <c r="Z186" s="642">
        <v>0</v>
      </c>
      <c r="AA186" s="642">
        <v>0</v>
      </c>
      <c r="AB186" s="642">
        <v>0</v>
      </c>
      <c r="AC186" s="642">
        <v>0</v>
      </c>
      <c r="AD186" s="642">
        <v>6.1061434912109362</v>
      </c>
      <c r="AE186" s="642">
        <v>0</v>
      </c>
      <c r="AF186" s="642">
        <v>0</v>
      </c>
      <c r="AG186" s="642">
        <v>0</v>
      </c>
      <c r="AH186" s="642">
        <v>0</v>
      </c>
      <c r="AI186" s="642">
        <v>0</v>
      </c>
      <c r="AJ186" s="642">
        <v>4.9659354443359369</v>
      </c>
      <c r="AK186" s="650">
        <v>119.34401135001032</v>
      </c>
    </row>
    <row r="187" spans="3:37" ht="13.5">
      <c r="C187" s="646" t="s">
        <v>85</v>
      </c>
      <c r="D187" s="647">
        <v>6.3476756101286895</v>
      </c>
      <c r="E187" s="647">
        <v>0</v>
      </c>
      <c r="F187" s="647">
        <v>523.61899137367573</v>
      </c>
      <c r="G187" s="647">
        <v>294.51498449051053</v>
      </c>
      <c r="H187" s="647">
        <v>0</v>
      </c>
      <c r="I187" s="647">
        <v>0</v>
      </c>
      <c r="J187" s="647">
        <v>107.95666307793715</v>
      </c>
      <c r="K187" s="647">
        <v>1.8020012097663161</v>
      </c>
      <c r="L187" s="647">
        <v>33.844802379359088</v>
      </c>
      <c r="M187" s="647">
        <v>5.7805412749111369</v>
      </c>
      <c r="N187" s="647">
        <v>54.409714472774652</v>
      </c>
      <c r="O187" s="647">
        <v>2.8404482619184632</v>
      </c>
      <c r="P187" s="647">
        <v>471.00002722243971</v>
      </c>
      <c r="Q187" s="647">
        <v>35.93929127384601</v>
      </c>
      <c r="R187" s="647">
        <v>1.6713978351002134</v>
      </c>
      <c r="S187" s="647">
        <v>1539.7265384823679</v>
      </c>
      <c r="U187" s="646" t="s">
        <v>85</v>
      </c>
      <c r="V187" s="647">
        <v>0.96947057486293287</v>
      </c>
      <c r="W187" s="647">
        <v>0</v>
      </c>
      <c r="X187" s="647">
        <v>348.66254332185252</v>
      </c>
      <c r="Y187" s="647">
        <v>171.65236774503236</v>
      </c>
      <c r="Z187" s="647">
        <v>0</v>
      </c>
      <c r="AA187" s="647">
        <v>0</v>
      </c>
      <c r="AB187" s="647">
        <v>100.24063406591846</v>
      </c>
      <c r="AC187" s="647">
        <v>5.8624646335327153</v>
      </c>
      <c r="AD187" s="647">
        <v>67.152419330248577</v>
      </c>
      <c r="AE187" s="647">
        <v>25.533007440030815</v>
      </c>
      <c r="AF187" s="647">
        <v>70.498567758341522</v>
      </c>
      <c r="AG187" s="647">
        <v>4.9368188759338274</v>
      </c>
      <c r="AH187" s="647">
        <v>472.52316025955423</v>
      </c>
      <c r="AI187" s="647">
        <v>65.204498303456901</v>
      </c>
      <c r="AJ187" s="647">
        <v>12.150152156541072</v>
      </c>
      <c r="AK187" s="647">
        <v>1345.3861044653063</v>
      </c>
    </row>
    <row r="188" spans="3:37" ht="13">
      <c r="C188" s="636"/>
      <c r="D188" s="636"/>
      <c r="E188" s="636"/>
      <c r="F188" s="636"/>
      <c r="G188" s="636"/>
      <c r="H188" s="636"/>
      <c r="I188" s="636"/>
      <c r="J188" s="636"/>
      <c r="K188" s="636"/>
      <c r="L188" s="636"/>
      <c r="M188" s="636"/>
      <c r="N188" s="636"/>
      <c r="O188" s="636"/>
      <c r="P188" s="636"/>
      <c r="Q188" s="636"/>
      <c r="R188" s="636"/>
      <c r="S188" s="636"/>
      <c r="U188" s="636"/>
      <c r="V188" s="636"/>
      <c r="W188" s="636"/>
      <c r="X188" s="636"/>
      <c r="Y188" s="636"/>
      <c r="Z188" s="636"/>
      <c r="AA188" s="636"/>
      <c r="AB188" s="636"/>
      <c r="AC188" s="636"/>
      <c r="AD188" s="636"/>
      <c r="AE188" s="636"/>
      <c r="AF188" s="636"/>
      <c r="AG188" s="636"/>
      <c r="AH188" s="636"/>
      <c r="AI188" s="636"/>
      <c r="AJ188" s="636"/>
      <c r="AK188" s="636"/>
    </row>
    <row r="189" spans="3:37" ht="22.5">
      <c r="C189" s="699" t="s">
        <v>361</v>
      </c>
      <c r="D189" s="699"/>
      <c r="E189" s="699"/>
      <c r="F189" s="699"/>
      <c r="G189" s="699"/>
      <c r="H189" s="699"/>
      <c r="I189" s="699"/>
      <c r="J189" s="699"/>
      <c r="K189" s="699"/>
      <c r="L189" s="699"/>
      <c r="M189" s="699"/>
      <c r="N189" s="699"/>
      <c r="O189" s="699"/>
      <c r="P189" s="699"/>
      <c r="Q189" s="699"/>
      <c r="R189" s="699"/>
      <c r="S189" s="699"/>
      <c r="U189" s="699" t="s">
        <v>361</v>
      </c>
      <c r="V189" s="699"/>
      <c r="W189" s="699"/>
      <c r="X189" s="699"/>
      <c r="Y189" s="699"/>
      <c r="Z189" s="699"/>
      <c r="AA189" s="699"/>
      <c r="AB189" s="699"/>
      <c r="AC189" s="699"/>
      <c r="AD189" s="699"/>
      <c r="AE189" s="699"/>
      <c r="AF189" s="699"/>
      <c r="AG189" s="699"/>
      <c r="AH189" s="699"/>
      <c r="AI189" s="699"/>
      <c r="AJ189" s="699"/>
      <c r="AK189" s="699"/>
    </row>
    <row r="190" spans="3:37" ht="13">
      <c r="C190" s="636"/>
      <c r="D190" s="636"/>
      <c r="E190" s="636"/>
      <c r="F190" s="636"/>
      <c r="G190" s="636"/>
      <c r="H190" s="636"/>
      <c r="I190" s="636"/>
      <c r="J190" s="636"/>
      <c r="K190" s="636"/>
      <c r="L190" s="636"/>
      <c r="M190" s="636"/>
      <c r="N190" s="636"/>
      <c r="O190" s="636"/>
      <c r="P190" s="636"/>
      <c r="Q190" s="636"/>
      <c r="R190" s="636"/>
      <c r="S190" s="636"/>
      <c r="U190" s="636"/>
      <c r="V190" s="636"/>
      <c r="W190" s="636"/>
      <c r="X190" s="636"/>
      <c r="Y190" s="636"/>
      <c r="Z190" s="636"/>
      <c r="AA190" s="636"/>
      <c r="AB190" s="636"/>
      <c r="AC190" s="636"/>
      <c r="AD190" s="636"/>
      <c r="AE190" s="636"/>
      <c r="AF190" s="636"/>
      <c r="AG190" s="636"/>
      <c r="AH190" s="636"/>
      <c r="AI190" s="636"/>
      <c r="AJ190" s="636"/>
      <c r="AK190" s="636"/>
    </row>
    <row r="191" spans="3:37" ht="13" customHeight="1">
      <c r="C191" s="700" t="s">
        <v>128</v>
      </c>
      <c r="D191" s="701" t="s">
        <v>42</v>
      </c>
      <c r="E191" s="701" t="s">
        <v>52</v>
      </c>
      <c r="F191" s="701" t="s">
        <v>53</v>
      </c>
      <c r="G191" s="701" t="s">
        <v>32</v>
      </c>
      <c r="H191" s="701" t="s">
        <v>20</v>
      </c>
      <c r="I191" s="701" t="s">
        <v>55</v>
      </c>
      <c r="J191" s="701" t="s">
        <v>56</v>
      </c>
      <c r="K191" s="701"/>
      <c r="L191" s="701"/>
      <c r="M191" s="701"/>
      <c r="N191" s="701"/>
      <c r="O191" s="701"/>
      <c r="P191" s="701" t="s">
        <v>57</v>
      </c>
      <c r="Q191" s="701" t="s">
        <v>58</v>
      </c>
      <c r="R191" s="701" t="s">
        <v>31</v>
      </c>
      <c r="S191" s="701" t="s">
        <v>10</v>
      </c>
      <c r="U191" s="700" t="s">
        <v>128</v>
      </c>
      <c r="V191" s="701" t="s">
        <v>42</v>
      </c>
      <c r="W191" s="701" t="s">
        <v>52</v>
      </c>
      <c r="X191" s="701" t="s">
        <v>53</v>
      </c>
      <c r="Y191" s="701" t="s">
        <v>32</v>
      </c>
      <c r="Z191" s="701" t="s">
        <v>20</v>
      </c>
      <c r="AA191" s="701" t="s">
        <v>55</v>
      </c>
      <c r="AB191" s="701" t="s">
        <v>56</v>
      </c>
      <c r="AC191" s="701"/>
      <c r="AD191" s="701"/>
      <c r="AE191" s="701"/>
      <c r="AF191" s="701"/>
      <c r="AG191" s="701"/>
      <c r="AH191" s="701" t="s">
        <v>57</v>
      </c>
      <c r="AI191" s="701" t="s">
        <v>58</v>
      </c>
      <c r="AJ191" s="701" t="s">
        <v>31</v>
      </c>
      <c r="AK191" s="701" t="s">
        <v>10</v>
      </c>
    </row>
    <row r="192" spans="3:37" ht="46">
      <c r="C192" s="700"/>
      <c r="D192" s="701"/>
      <c r="E192" s="701"/>
      <c r="F192" s="701"/>
      <c r="G192" s="701"/>
      <c r="H192" s="701"/>
      <c r="I192" s="701"/>
      <c r="J192" s="640" t="s">
        <v>338</v>
      </c>
      <c r="K192" s="640" t="s">
        <v>40</v>
      </c>
      <c r="L192" s="640" t="s">
        <v>346</v>
      </c>
      <c r="M192" s="640" t="s">
        <v>347</v>
      </c>
      <c r="N192" s="640" t="s">
        <v>348</v>
      </c>
      <c r="O192" s="640" t="s">
        <v>349</v>
      </c>
      <c r="P192" s="701"/>
      <c r="Q192" s="701"/>
      <c r="R192" s="701"/>
      <c r="S192" s="701"/>
      <c r="U192" s="700"/>
      <c r="V192" s="701"/>
      <c r="W192" s="701"/>
      <c r="X192" s="701"/>
      <c r="Y192" s="701"/>
      <c r="Z192" s="701"/>
      <c r="AA192" s="701"/>
      <c r="AB192" s="640" t="s">
        <v>338</v>
      </c>
      <c r="AC192" s="640" t="s">
        <v>40</v>
      </c>
      <c r="AD192" s="640" t="s">
        <v>346</v>
      </c>
      <c r="AE192" s="640" t="s">
        <v>347</v>
      </c>
      <c r="AF192" s="640" t="s">
        <v>348</v>
      </c>
      <c r="AG192" s="640" t="s">
        <v>349</v>
      </c>
      <c r="AH192" s="701"/>
      <c r="AI192" s="701"/>
      <c r="AJ192" s="701"/>
      <c r="AK192" s="701"/>
    </row>
    <row r="193" spans="3:37" ht="13.5">
      <c r="C193" s="641" t="s">
        <v>59</v>
      </c>
      <c r="D193" s="642">
        <v>0</v>
      </c>
      <c r="E193" s="643">
        <v>5.8150000000000004</v>
      </c>
      <c r="F193" s="643">
        <v>0</v>
      </c>
      <c r="G193" s="642">
        <v>9.3040000000000012E-2</v>
      </c>
      <c r="H193" s="643">
        <v>1075.0000000000002</v>
      </c>
      <c r="I193" s="643">
        <v>224.13674723416887</v>
      </c>
      <c r="J193" s="643">
        <v>191.59942379122555</v>
      </c>
      <c r="K193" s="643">
        <v>21.432553878964274</v>
      </c>
      <c r="L193" s="643">
        <v>0.38158375751522683</v>
      </c>
      <c r="M193" s="643">
        <v>0.1566638564915529</v>
      </c>
      <c r="N193" s="643">
        <v>57.826394702164251</v>
      </c>
      <c r="O193" s="643">
        <v>8.0717549324466145</v>
      </c>
      <c r="P193" s="644">
        <v>0</v>
      </c>
      <c r="Q193" s="643">
        <v>0</v>
      </c>
      <c r="R193" s="643">
        <v>0</v>
      </c>
      <c r="S193" s="645">
        <v>1584.5131621529763</v>
      </c>
      <c r="U193" s="641" t="s">
        <v>59</v>
      </c>
      <c r="V193" s="642">
        <v>0</v>
      </c>
      <c r="W193" s="643">
        <v>5.8150000000000004</v>
      </c>
      <c r="X193" s="643">
        <v>0</v>
      </c>
      <c r="Y193" s="642">
        <v>9.3040000000000012E-2</v>
      </c>
      <c r="Z193" s="643">
        <v>994.39393939393949</v>
      </c>
      <c r="AA193" s="643">
        <v>248.70674723416883</v>
      </c>
      <c r="AB193" s="643">
        <v>191.76566332259941</v>
      </c>
      <c r="AC193" s="643">
        <v>38.031253697312572</v>
      </c>
      <c r="AD193" s="643">
        <v>0.38158375751522683</v>
      </c>
      <c r="AE193" s="643">
        <v>0.1566638564915529</v>
      </c>
      <c r="AF193" s="643">
        <v>76.992812580470769</v>
      </c>
      <c r="AG193" s="643">
        <v>16.738826185514363</v>
      </c>
      <c r="AH193" s="644">
        <v>0</v>
      </c>
      <c r="AI193" s="643">
        <v>0</v>
      </c>
      <c r="AJ193" s="643">
        <v>0</v>
      </c>
      <c r="AK193" s="645">
        <v>1573.0755300280123</v>
      </c>
    </row>
    <row r="194" spans="3:37" ht="13.5">
      <c r="C194" s="641" t="s">
        <v>60</v>
      </c>
      <c r="D194" s="642">
        <v>48.827265231041785</v>
      </c>
      <c r="E194" s="643">
        <v>518.07410535010388</v>
      </c>
      <c r="F194" s="643">
        <v>107.87457071926454</v>
      </c>
      <c r="G194" s="642">
        <v>335.04873882059013</v>
      </c>
      <c r="H194" s="643">
        <v>0</v>
      </c>
      <c r="I194" s="643">
        <v>0</v>
      </c>
      <c r="J194" s="643">
        <v>3.6983557386050134</v>
      </c>
      <c r="K194" s="643">
        <v>0</v>
      </c>
      <c r="L194" s="643">
        <v>2.0715216469959126</v>
      </c>
      <c r="M194" s="643">
        <v>0</v>
      </c>
      <c r="N194" s="643">
        <v>0</v>
      </c>
      <c r="O194" s="643">
        <v>0</v>
      </c>
      <c r="P194" s="644">
        <v>0</v>
      </c>
      <c r="Q194" s="643">
        <v>0</v>
      </c>
      <c r="R194" s="643">
        <v>0</v>
      </c>
      <c r="S194" s="645">
        <v>1015.5945575066012</v>
      </c>
      <c r="U194" s="641" t="s">
        <v>60</v>
      </c>
      <c r="V194" s="642">
        <v>9.7783497021920969</v>
      </c>
      <c r="W194" s="643">
        <v>336.80990869295175</v>
      </c>
      <c r="X194" s="643">
        <v>55.498271181254346</v>
      </c>
      <c r="Y194" s="642">
        <v>207.3573846689826</v>
      </c>
      <c r="Z194" s="643">
        <v>0</v>
      </c>
      <c r="AA194" s="643">
        <v>0</v>
      </c>
      <c r="AB194" s="643">
        <v>3.6983557386050134</v>
      </c>
      <c r="AC194" s="643">
        <v>0</v>
      </c>
      <c r="AD194" s="643">
        <v>2.0715216469959126</v>
      </c>
      <c r="AE194" s="643">
        <v>0</v>
      </c>
      <c r="AF194" s="643">
        <v>0</v>
      </c>
      <c r="AG194" s="643">
        <v>0</v>
      </c>
      <c r="AH194" s="644">
        <v>0</v>
      </c>
      <c r="AI194" s="643">
        <v>0</v>
      </c>
      <c r="AJ194" s="643">
        <v>0</v>
      </c>
      <c r="AK194" s="645">
        <v>615.21379163098163</v>
      </c>
    </row>
    <row r="195" spans="3:37" ht="13.5">
      <c r="C195" s="641" t="s">
        <v>61</v>
      </c>
      <c r="D195" s="642">
        <v>0</v>
      </c>
      <c r="E195" s="643">
        <v>0</v>
      </c>
      <c r="F195" s="643">
        <v>0</v>
      </c>
      <c r="G195" s="642">
        <v>0</v>
      </c>
      <c r="H195" s="643">
        <v>0</v>
      </c>
      <c r="I195" s="643">
        <v>0</v>
      </c>
      <c r="J195" s="643">
        <v>0</v>
      </c>
      <c r="K195" s="643">
        <v>0</v>
      </c>
      <c r="L195" s="643">
        <v>0</v>
      </c>
      <c r="M195" s="643">
        <v>0</v>
      </c>
      <c r="N195" s="643">
        <v>0</v>
      </c>
      <c r="O195" s="643">
        <v>0</v>
      </c>
      <c r="P195" s="644">
        <v>-50.941346245748719</v>
      </c>
      <c r="Q195" s="643">
        <v>0</v>
      </c>
      <c r="R195" s="643">
        <v>0</v>
      </c>
      <c r="S195" s="645">
        <v>-50.941346245748719</v>
      </c>
      <c r="U195" s="641" t="s">
        <v>61</v>
      </c>
      <c r="V195" s="642">
        <v>0</v>
      </c>
      <c r="W195" s="643">
        <v>0</v>
      </c>
      <c r="X195" s="643">
        <v>0</v>
      </c>
      <c r="Y195" s="642">
        <v>0</v>
      </c>
      <c r="Z195" s="643">
        <v>0</v>
      </c>
      <c r="AA195" s="643">
        <v>0</v>
      </c>
      <c r="AB195" s="643">
        <v>0</v>
      </c>
      <c r="AC195" s="643">
        <v>0</v>
      </c>
      <c r="AD195" s="643">
        <v>0</v>
      </c>
      <c r="AE195" s="643">
        <v>0</v>
      </c>
      <c r="AF195" s="643">
        <v>0</v>
      </c>
      <c r="AG195" s="643">
        <v>0</v>
      </c>
      <c r="AH195" s="644">
        <v>-32.476172245636349</v>
      </c>
      <c r="AI195" s="643">
        <v>0</v>
      </c>
      <c r="AJ195" s="643">
        <v>0</v>
      </c>
      <c r="AK195" s="645">
        <v>-32.476172245636349</v>
      </c>
    </row>
    <row r="196" spans="3:37" ht="13.5">
      <c r="C196" s="641" t="s">
        <v>62</v>
      </c>
      <c r="D196" s="642">
        <v>0</v>
      </c>
      <c r="E196" s="643">
        <v>0</v>
      </c>
      <c r="F196" s="643">
        <v>-16.25862008896565</v>
      </c>
      <c r="G196" s="642">
        <v>0</v>
      </c>
      <c r="H196" s="643">
        <v>0</v>
      </c>
      <c r="I196" s="643">
        <v>0</v>
      </c>
      <c r="J196" s="643">
        <v>0</v>
      </c>
      <c r="K196" s="643">
        <v>0</v>
      </c>
      <c r="L196" s="643">
        <v>0</v>
      </c>
      <c r="M196" s="643">
        <v>0</v>
      </c>
      <c r="N196" s="643">
        <v>0</v>
      </c>
      <c r="O196" s="643">
        <v>0</v>
      </c>
      <c r="P196" s="644">
        <v>0</v>
      </c>
      <c r="Q196" s="643">
        <v>0</v>
      </c>
      <c r="R196" s="643">
        <v>0</v>
      </c>
      <c r="S196" s="645">
        <v>-16.25862008896565</v>
      </c>
      <c r="U196" s="641" t="s">
        <v>62</v>
      </c>
      <c r="V196" s="642">
        <v>0</v>
      </c>
      <c r="W196" s="643">
        <v>0</v>
      </c>
      <c r="X196" s="643">
        <v>-12.937868047131742</v>
      </c>
      <c r="Y196" s="642">
        <v>-1.5571295869756494</v>
      </c>
      <c r="Z196" s="643">
        <v>0</v>
      </c>
      <c r="AA196" s="643">
        <v>0</v>
      </c>
      <c r="AB196" s="643">
        <v>0</v>
      </c>
      <c r="AC196" s="643">
        <v>0</v>
      </c>
      <c r="AD196" s="643">
        <v>0</v>
      </c>
      <c r="AE196" s="643">
        <v>-0.27478757417217342</v>
      </c>
      <c r="AF196" s="643">
        <v>0</v>
      </c>
      <c r="AG196" s="643">
        <v>0</v>
      </c>
      <c r="AH196" s="644">
        <v>0</v>
      </c>
      <c r="AI196" s="643">
        <v>0</v>
      </c>
      <c r="AJ196" s="643">
        <v>0</v>
      </c>
      <c r="AK196" s="645">
        <v>-14.769785208279565</v>
      </c>
    </row>
    <row r="197" spans="3:37" ht="13.5">
      <c r="C197" s="641" t="s">
        <v>63</v>
      </c>
      <c r="D197" s="642">
        <v>0</v>
      </c>
      <c r="E197" s="643">
        <v>0</v>
      </c>
      <c r="F197" s="643">
        <v>-83.551471621484865</v>
      </c>
      <c r="G197" s="642">
        <v>0</v>
      </c>
      <c r="H197" s="643">
        <v>0</v>
      </c>
      <c r="I197" s="643">
        <v>0</v>
      </c>
      <c r="J197" s="643">
        <v>0</v>
      </c>
      <c r="K197" s="643">
        <v>0</v>
      </c>
      <c r="L197" s="643">
        <v>-0.85914301655193537</v>
      </c>
      <c r="M197" s="643">
        <v>0</v>
      </c>
      <c r="N197" s="643">
        <v>0</v>
      </c>
      <c r="O197" s="643">
        <v>0</v>
      </c>
      <c r="P197" s="644">
        <v>0</v>
      </c>
      <c r="Q197" s="643">
        <v>0</v>
      </c>
      <c r="R197" s="643">
        <v>0</v>
      </c>
      <c r="S197" s="645">
        <v>-84.410614638036805</v>
      </c>
      <c r="U197" s="641" t="s">
        <v>63</v>
      </c>
      <c r="V197" s="642">
        <v>0</v>
      </c>
      <c r="W197" s="643">
        <v>0</v>
      </c>
      <c r="X197" s="643">
        <v>-67.135202148658564</v>
      </c>
      <c r="Y197" s="642">
        <v>0</v>
      </c>
      <c r="Z197" s="643">
        <v>0</v>
      </c>
      <c r="AA197" s="643">
        <v>0</v>
      </c>
      <c r="AB197" s="643">
        <v>0</v>
      </c>
      <c r="AC197" s="643">
        <v>0</v>
      </c>
      <c r="AD197" s="643">
        <v>-15.117527463171397</v>
      </c>
      <c r="AE197" s="643">
        <v>0</v>
      </c>
      <c r="AF197" s="643">
        <v>0</v>
      </c>
      <c r="AG197" s="643">
        <v>0</v>
      </c>
      <c r="AH197" s="644">
        <v>0</v>
      </c>
      <c r="AI197" s="643">
        <v>0</v>
      </c>
      <c r="AJ197" s="643">
        <v>0</v>
      </c>
      <c r="AK197" s="645">
        <v>-82.252729611829963</v>
      </c>
    </row>
    <row r="198" spans="3:37" ht="13.5">
      <c r="C198" s="641" t="s">
        <v>64</v>
      </c>
      <c r="D198" s="642">
        <v>0</v>
      </c>
      <c r="E198" s="643">
        <v>0</v>
      </c>
      <c r="F198" s="643">
        <v>0</v>
      </c>
      <c r="G198" s="642">
        <v>0</v>
      </c>
      <c r="H198" s="643">
        <v>0</v>
      </c>
      <c r="I198" s="643">
        <v>0</v>
      </c>
      <c r="J198" s="643">
        <v>0</v>
      </c>
      <c r="K198" s="643">
        <v>0</v>
      </c>
      <c r="L198" s="643">
        <v>0</v>
      </c>
      <c r="M198" s="643">
        <v>0</v>
      </c>
      <c r="N198" s="643">
        <v>0</v>
      </c>
      <c r="O198" s="643">
        <v>0</v>
      </c>
      <c r="P198" s="644">
        <v>0</v>
      </c>
      <c r="Q198" s="643">
        <v>0</v>
      </c>
      <c r="R198" s="643">
        <v>0</v>
      </c>
      <c r="S198" s="645">
        <v>0</v>
      </c>
      <c r="U198" s="641" t="s">
        <v>64</v>
      </c>
      <c r="V198" s="642">
        <v>0</v>
      </c>
      <c r="W198" s="643">
        <v>0</v>
      </c>
      <c r="X198" s="643">
        <v>0</v>
      </c>
      <c r="Y198" s="642">
        <v>0</v>
      </c>
      <c r="Z198" s="643">
        <v>0</v>
      </c>
      <c r="AA198" s="643">
        <v>0</v>
      </c>
      <c r="AB198" s="643">
        <v>0</v>
      </c>
      <c r="AC198" s="643">
        <v>0</v>
      </c>
      <c r="AD198" s="643">
        <v>0</v>
      </c>
      <c r="AE198" s="643">
        <v>0</v>
      </c>
      <c r="AF198" s="643">
        <v>0</v>
      </c>
      <c r="AG198" s="643">
        <v>0</v>
      </c>
      <c r="AH198" s="644">
        <v>0</v>
      </c>
      <c r="AI198" s="643">
        <v>0</v>
      </c>
      <c r="AJ198" s="643">
        <v>0</v>
      </c>
      <c r="AK198" s="645">
        <v>0</v>
      </c>
    </row>
    <row r="199" spans="3:37" ht="13.5">
      <c r="C199" s="646" t="s">
        <v>65</v>
      </c>
      <c r="D199" s="647">
        <v>48.827265231041785</v>
      </c>
      <c r="E199" s="647">
        <v>523.88910535010393</v>
      </c>
      <c r="F199" s="647">
        <v>8.0644790088140255</v>
      </c>
      <c r="G199" s="647">
        <v>335.1417788205901</v>
      </c>
      <c r="H199" s="647">
        <v>1075.0000000000002</v>
      </c>
      <c r="I199" s="647">
        <v>224.13674723416887</v>
      </c>
      <c r="J199" s="647">
        <v>195.29777952983056</v>
      </c>
      <c r="K199" s="647">
        <v>21.432553878964274</v>
      </c>
      <c r="L199" s="647">
        <v>1.5939623879592042</v>
      </c>
      <c r="M199" s="647">
        <v>0.1566638564915529</v>
      </c>
      <c r="N199" s="647">
        <v>57.826394702164251</v>
      </c>
      <c r="O199" s="647">
        <v>8.0717549324466145</v>
      </c>
      <c r="P199" s="647">
        <v>-50.941346245748719</v>
      </c>
      <c r="Q199" s="647">
        <v>0</v>
      </c>
      <c r="R199" s="647">
        <v>0</v>
      </c>
      <c r="S199" s="647">
        <v>2448.4971386868265</v>
      </c>
      <c r="U199" s="646" t="s">
        <v>65</v>
      </c>
      <c r="V199" s="647">
        <v>9.7783497021920969</v>
      </c>
      <c r="W199" s="647">
        <v>342.62490869295175</v>
      </c>
      <c r="X199" s="647">
        <v>-24.574799014535962</v>
      </c>
      <c r="Y199" s="647">
        <v>205.89329508200694</v>
      </c>
      <c r="Z199" s="647">
        <v>994.39393939393949</v>
      </c>
      <c r="AA199" s="647">
        <v>248.70674723416883</v>
      </c>
      <c r="AB199" s="647">
        <v>195.46401906120443</v>
      </c>
      <c r="AC199" s="647">
        <v>38.031253697312572</v>
      </c>
      <c r="AD199" s="647">
        <v>-12.664422058660257</v>
      </c>
      <c r="AE199" s="647">
        <v>-0.11812371768062052</v>
      </c>
      <c r="AF199" s="647">
        <v>76.992812580470769</v>
      </c>
      <c r="AG199" s="647">
        <v>16.738826185514363</v>
      </c>
      <c r="AH199" s="647">
        <v>-32.476172245636349</v>
      </c>
      <c r="AI199" s="647">
        <v>0</v>
      </c>
      <c r="AJ199" s="647">
        <v>0</v>
      </c>
      <c r="AK199" s="647">
        <v>2058.7906345932479</v>
      </c>
    </row>
    <row r="200" spans="3:37" ht="13">
      <c r="C200" s="636"/>
      <c r="D200" s="636">
        <v>0</v>
      </c>
      <c r="E200" s="636">
        <v>0</v>
      </c>
      <c r="F200" s="636">
        <v>0</v>
      </c>
      <c r="G200" s="636">
        <v>0</v>
      </c>
      <c r="H200" s="636">
        <v>0</v>
      </c>
      <c r="I200" s="636">
        <v>0</v>
      </c>
      <c r="J200" s="636">
        <v>0</v>
      </c>
      <c r="K200" s="636">
        <v>0</v>
      </c>
      <c r="L200" s="636">
        <v>0</v>
      </c>
      <c r="M200" s="636">
        <v>0</v>
      </c>
      <c r="N200" s="636">
        <v>0</v>
      </c>
      <c r="O200" s="636">
        <v>0</v>
      </c>
      <c r="P200" s="636">
        <v>0</v>
      </c>
      <c r="Q200" s="636">
        <v>0</v>
      </c>
      <c r="R200" s="636">
        <v>0</v>
      </c>
      <c r="S200" s="636">
        <v>0</v>
      </c>
      <c r="U200" s="636"/>
      <c r="V200" s="636">
        <v>0</v>
      </c>
      <c r="W200" s="636">
        <v>0</v>
      </c>
      <c r="X200" s="636">
        <v>0</v>
      </c>
      <c r="Y200" s="636">
        <v>0</v>
      </c>
      <c r="Z200" s="636">
        <v>0</v>
      </c>
      <c r="AA200" s="636">
        <v>0</v>
      </c>
      <c r="AB200" s="636">
        <v>0</v>
      </c>
      <c r="AC200" s="636">
        <v>0</v>
      </c>
      <c r="AD200" s="636">
        <v>0</v>
      </c>
      <c r="AE200" s="636">
        <v>0</v>
      </c>
      <c r="AF200" s="636">
        <v>0</v>
      </c>
      <c r="AG200" s="636">
        <v>0</v>
      </c>
      <c r="AH200" s="636">
        <v>0</v>
      </c>
      <c r="AI200" s="636">
        <v>0</v>
      </c>
      <c r="AJ200" s="636">
        <v>0</v>
      </c>
      <c r="AK200" s="636">
        <v>0</v>
      </c>
    </row>
    <row r="201" spans="3:37" ht="13.5">
      <c r="C201" s="648" t="s">
        <v>67</v>
      </c>
      <c r="D201" s="642">
        <v>0</v>
      </c>
      <c r="E201" s="649">
        <v>0</v>
      </c>
      <c r="F201" s="649">
        <v>0</v>
      </c>
      <c r="G201" s="642">
        <v>0</v>
      </c>
      <c r="H201" s="642">
        <v>0</v>
      </c>
      <c r="I201" s="642">
        <v>0</v>
      </c>
      <c r="J201" s="642">
        <v>0</v>
      </c>
      <c r="K201" s="642">
        <v>0</v>
      </c>
      <c r="L201" s="642">
        <v>0</v>
      </c>
      <c r="M201" s="642">
        <v>0</v>
      </c>
      <c r="N201" s="642">
        <v>0</v>
      </c>
      <c r="O201" s="642">
        <v>0</v>
      </c>
      <c r="P201" s="642">
        <v>0</v>
      </c>
      <c r="Q201" s="642">
        <v>0</v>
      </c>
      <c r="R201" s="642">
        <v>0</v>
      </c>
      <c r="S201" s="650">
        <v>0</v>
      </c>
      <c r="U201" s="648" t="s">
        <v>67</v>
      </c>
      <c r="V201" s="642">
        <v>0</v>
      </c>
      <c r="W201" s="649">
        <v>0</v>
      </c>
      <c r="X201" s="649">
        <v>0</v>
      </c>
      <c r="Y201" s="642">
        <v>0</v>
      </c>
      <c r="Z201" s="642">
        <v>0</v>
      </c>
      <c r="AA201" s="642">
        <v>0</v>
      </c>
      <c r="AB201" s="642">
        <v>0</v>
      </c>
      <c r="AC201" s="642">
        <v>0</v>
      </c>
      <c r="AD201" s="642">
        <v>0</v>
      </c>
      <c r="AE201" s="642">
        <v>0</v>
      </c>
      <c r="AF201" s="642">
        <v>0</v>
      </c>
      <c r="AG201" s="642">
        <v>0</v>
      </c>
      <c r="AH201" s="642">
        <v>0</v>
      </c>
      <c r="AI201" s="642">
        <v>0</v>
      </c>
      <c r="AJ201" s="642">
        <v>0</v>
      </c>
      <c r="AK201" s="650">
        <v>0</v>
      </c>
    </row>
    <row r="202" spans="3:37" ht="13.5">
      <c r="C202" s="648" t="s">
        <v>350</v>
      </c>
      <c r="D202" s="642">
        <v>2.8267856410252494</v>
      </c>
      <c r="E202" s="642">
        <v>0</v>
      </c>
      <c r="F202" s="642">
        <v>7.9696731063521415</v>
      </c>
      <c r="G202" s="642">
        <v>17.422222222222224</v>
      </c>
      <c r="H202" s="642">
        <v>1075.0000000000002</v>
      </c>
      <c r="I202" s="642">
        <v>224.13674723416887</v>
      </c>
      <c r="J202" s="651">
        <v>30.45355250478201</v>
      </c>
      <c r="K202" s="651">
        <v>7.4482212846984126</v>
      </c>
      <c r="L202" s="651">
        <v>2.4531054045111396</v>
      </c>
      <c r="M202" s="651">
        <v>0.47972213502804317</v>
      </c>
      <c r="N202" s="651">
        <v>0</v>
      </c>
      <c r="O202" s="651">
        <v>3.0833964576427819</v>
      </c>
      <c r="P202" s="642">
        <v>-609.30151807373261</v>
      </c>
      <c r="Q202" s="642">
        <v>0</v>
      </c>
      <c r="R202" s="642">
        <v>0</v>
      </c>
      <c r="S202" s="650">
        <v>761.97190791669834</v>
      </c>
      <c r="U202" s="648" t="s">
        <v>350</v>
      </c>
      <c r="V202" s="642">
        <v>0.62631490545869017</v>
      </c>
      <c r="W202" s="642">
        <v>0</v>
      </c>
      <c r="X202" s="642">
        <v>4.1060367427157782</v>
      </c>
      <c r="Y202" s="642">
        <v>24.857777777777773</v>
      </c>
      <c r="Z202" s="642">
        <v>994.39393939393949</v>
      </c>
      <c r="AA202" s="642">
        <v>248.70674723416883</v>
      </c>
      <c r="AB202" s="651">
        <v>24.641197042508384</v>
      </c>
      <c r="AC202" s="651">
        <v>6.6719525843779666</v>
      </c>
      <c r="AD202" s="651">
        <v>2.4531054045111396</v>
      </c>
      <c r="AE202" s="651">
        <v>4.5108332461391543</v>
      </c>
      <c r="AF202" s="651">
        <v>0</v>
      </c>
      <c r="AG202" s="651">
        <v>3.0833964576427819</v>
      </c>
      <c r="AH202" s="642">
        <v>-611.77151807373264</v>
      </c>
      <c r="AI202" s="642">
        <v>0</v>
      </c>
      <c r="AJ202" s="642">
        <v>2.3749999999999996</v>
      </c>
      <c r="AK202" s="650">
        <v>704.65478271550762</v>
      </c>
    </row>
    <row r="203" spans="3:37" ht="13.5">
      <c r="C203" s="648" t="s">
        <v>351</v>
      </c>
      <c r="D203" s="642">
        <v>0</v>
      </c>
      <c r="E203" s="642">
        <v>0</v>
      </c>
      <c r="F203" s="642">
        <v>0</v>
      </c>
      <c r="G203" s="642">
        <v>15.160725636684646</v>
      </c>
      <c r="H203" s="642">
        <v>0</v>
      </c>
      <c r="I203" s="642">
        <v>0</v>
      </c>
      <c r="J203" s="651">
        <v>12.939045348987106</v>
      </c>
      <c r="K203" s="651">
        <v>12.151724678588742</v>
      </c>
      <c r="L203" s="651">
        <v>0</v>
      </c>
      <c r="M203" s="651">
        <v>0.32322722394029924</v>
      </c>
      <c r="N203" s="651">
        <v>0</v>
      </c>
      <c r="O203" s="651">
        <v>2.1538235080806043</v>
      </c>
      <c r="P203" s="642">
        <v>0</v>
      </c>
      <c r="Q203" s="642">
        <v>-38.589386176372813</v>
      </c>
      <c r="R203" s="642">
        <v>0</v>
      </c>
      <c r="S203" s="650">
        <v>4.1391602199085806</v>
      </c>
      <c r="U203" s="648" t="s">
        <v>351</v>
      </c>
      <c r="V203" s="642">
        <v>0</v>
      </c>
      <c r="W203" s="642">
        <v>0</v>
      </c>
      <c r="X203" s="642">
        <v>0</v>
      </c>
      <c r="Y203" s="642">
        <v>15.290780965453443</v>
      </c>
      <c r="Z203" s="642">
        <v>0</v>
      </c>
      <c r="AA203" s="642">
        <v>0</v>
      </c>
      <c r="AB203" s="651">
        <v>28.500378674784677</v>
      </c>
      <c r="AC203" s="651">
        <v>25.381229817913329</v>
      </c>
      <c r="AD203" s="651">
        <v>0</v>
      </c>
      <c r="AE203" s="651">
        <v>2.712197771476935</v>
      </c>
      <c r="AF203" s="651">
        <v>0</v>
      </c>
      <c r="AG203" s="651">
        <v>8.3103526067541207</v>
      </c>
      <c r="AH203" s="642">
        <v>0</v>
      </c>
      <c r="AI203" s="642">
        <v>-73.223954421682024</v>
      </c>
      <c r="AJ203" s="642">
        <v>0</v>
      </c>
      <c r="AK203" s="650">
        <v>6.9709854147004844</v>
      </c>
    </row>
    <row r="204" spans="3:37" ht="13.5">
      <c r="C204" s="648" t="s">
        <v>352</v>
      </c>
      <c r="D204" s="642">
        <v>0</v>
      </c>
      <c r="E204" s="642">
        <v>0</v>
      </c>
      <c r="F204" s="642">
        <v>0</v>
      </c>
      <c r="G204" s="642">
        <v>0</v>
      </c>
      <c r="H204" s="642">
        <v>0</v>
      </c>
      <c r="I204" s="642">
        <v>0</v>
      </c>
      <c r="J204" s="652">
        <v>7.3987592400222235</v>
      </c>
      <c r="K204" s="652">
        <v>0</v>
      </c>
      <c r="L204" s="652">
        <v>0</v>
      </c>
      <c r="M204" s="652">
        <v>-6.5941441726698065</v>
      </c>
      <c r="N204" s="652">
        <v>0</v>
      </c>
      <c r="O204" s="652">
        <v>0</v>
      </c>
      <c r="P204" s="642">
        <v>0</v>
      </c>
      <c r="Q204" s="642">
        <v>0</v>
      </c>
      <c r="R204" s="642">
        <v>0</v>
      </c>
      <c r="S204" s="650">
        <v>0.80461506735241706</v>
      </c>
      <c r="U204" s="648" t="s">
        <v>352</v>
      </c>
      <c r="V204" s="642">
        <v>0</v>
      </c>
      <c r="W204" s="642">
        <v>0</v>
      </c>
      <c r="X204" s="642">
        <v>0</v>
      </c>
      <c r="Y204" s="642">
        <v>0</v>
      </c>
      <c r="Z204" s="642">
        <v>0</v>
      </c>
      <c r="AA204" s="642">
        <v>0</v>
      </c>
      <c r="AB204" s="652">
        <v>40.786473386605621</v>
      </c>
      <c r="AC204" s="652">
        <v>0</v>
      </c>
      <c r="AD204" s="652">
        <v>0</v>
      </c>
      <c r="AE204" s="652">
        <v>-36.350944405812257</v>
      </c>
      <c r="AF204" s="652">
        <v>0</v>
      </c>
      <c r="AG204" s="652">
        <v>0</v>
      </c>
      <c r="AH204" s="642">
        <v>0</v>
      </c>
      <c r="AI204" s="642">
        <v>0</v>
      </c>
      <c r="AJ204" s="642">
        <v>0</v>
      </c>
      <c r="AK204" s="650">
        <v>4.4355289807933644</v>
      </c>
    </row>
    <row r="205" spans="3:37" ht="13.5">
      <c r="C205" s="648" t="s">
        <v>353</v>
      </c>
      <c r="D205" s="642">
        <v>0</v>
      </c>
      <c r="E205" s="642">
        <v>0</v>
      </c>
      <c r="F205" s="642">
        <v>0</v>
      </c>
      <c r="G205" s="642">
        <v>0</v>
      </c>
      <c r="H205" s="642">
        <v>0</v>
      </c>
      <c r="I205" s="642">
        <v>0</v>
      </c>
      <c r="J205" s="642">
        <v>0</v>
      </c>
      <c r="K205" s="642">
        <v>0</v>
      </c>
      <c r="L205" s="642">
        <v>0</v>
      </c>
      <c r="M205" s="642">
        <v>0</v>
      </c>
      <c r="N205" s="642">
        <v>0</v>
      </c>
      <c r="O205" s="642">
        <v>0</v>
      </c>
      <c r="P205" s="642">
        <v>0</v>
      </c>
      <c r="Q205" s="642">
        <v>0</v>
      </c>
      <c r="R205" s="642">
        <v>0</v>
      </c>
      <c r="S205" s="650">
        <v>0</v>
      </c>
      <c r="U205" s="648" t="s">
        <v>353</v>
      </c>
      <c r="V205" s="642">
        <v>0</v>
      </c>
      <c r="W205" s="642">
        <v>0</v>
      </c>
      <c r="X205" s="642">
        <v>0</v>
      </c>
      <c r="Y205" s="642">
        <v>0</v>
      </c>
      <c r="Z205" s="642">
        <v>0</v>
      </c>
      <c r="AA205" s="642">
        <v>0</v>
      </c>
      <c r="AB205" s="642">
        <v>0</v>
      </c>
      <c r="AC205" s="642">
        <v>0</v>
      </c>
      <c r="AD205" s="642">
        <v>0</v>
      </c>
      <c r="AE205" s="642">
        <v>0</v>
      </c>
      <c r="AF205" s="642">
        <v>0</v>
      </c>
      <c r="AG205" s="642">
        <v>0</v>
      </c>
      <c r="AH205" s="642">
        <v>0</v>
      </c>
      <c r="AI205" s="642">
        <v>0</v>
      </c>
      <c r="AJ205" s="642">
        <v>0</v>
      </c>
      <c r="AK205" s="650">
        <v>0</v>
      </c>
    </row>
    <row r="206" spans="3:37" ht="13.5">
      <c r="C206" s="648" t="s">
        <v>72</v>
      </c>
      <c r="D206" s="642">
        <v>0</v>
      </c>
      <c r="E206" s="642">
        <v>542.69343279650275</v>
      </c>
      <c r="F206" s="642">
        <v>-537.26649846853775</v>
      </c>
      <c r="G206" s="642">
        <v>0</v>
      </c>
      <c r="H206" s="642">
        <v>0</v>
      </c>
      <c r="I206" s="642">
        <v>0</v>
      </c>
      <c r="J206" s="642">
        <v>0</v>
      </c>
      <c r="K206" s="642">
        <v>0</v>
      </c>
      <c r="L206" s="642">
        <v>0</v>
      </c>
      <c r="M206" s="642">
        <v>0</v>
      </c>
      <c r="N206" s="642">
        <v>0</v>
      </c>
      <c r="O206" s="642">
        <v>0</v>
      </c>
      <c r="P206" s="642">
        <v>0</v>
      </c>
      <c r="Q206" s="642">
        <v>0</v>
      </c>
      <c r="R206" s="642">
        <v>0</v>
      </c>
      <c r="S206" s="650">
        <v>5.4269343279650002</v>
      </c>
      <c r="U206" s="648" t="s">
        <v>72</v>
      </c>
      <c r="V206" s="642">
        <v>0</v>
      </c>
      <c r="W206" s="642">
        <v>354.9229903070925</v>
      </c>
      <c r="X206" s="642">
        <v>-351.3737604040216</v>
      </c>
      <c r="Y206" s="642">
        <v>0</v>
      </c>
      <c r="Z206" s="642">
        <v>0</v>
      </c>
      <c r="AA206" s="642">
        <v>0</v>
      </c>
      <c r="AB206" s="642">
        <v>0</v>
      </c>
      <c r="AC206" s="642">
        <v>0</v>
      </c>
      <c r="AD206" s="642">
        <v>0</v>
      </c>
      <c r="AE206" s="642">
        <v>0</v>
      </c>
      <c r="AF206" s="642">
        <v>0</v>
      </c>
      <c r="AG206" s="642">
        <v>0</v>
      </c>
      <c r="AH206" s="642">
        <v>0</v>
      </c>
      <c r="AI206" s="642">
        <v>0</v>
      </c>
      <c r="AJ206" s="642">
        <v>0</v>
      </c>
      <c r="AK206" s="650">
        <v>3.5492299030709091</v>
      </c>
    </row>
    <row r="207" spans="3:37" ht="13.5">
      <c r="C207" s="648" t="s">
        <v>354</v>
      </c>
      <c r="D207" s="642">
        <v>0</v>
      </c>
      <c r="E207" s="642">
        <v>0</v>
      </c>
      <c r="F207" s="642">
        <v>0</v>
      </c>
      <c r="G207" s="642">
        <v>0</v>
      </c>
      <c r="H207" s="642">
        <v>0</v>
      </c>
      <c r="I207" s="642">
        <v>0</v>
      </c>
      <c r="J207" s="642">
        <v>32.75009012852766</v>
      </c>
      <c r="K207" s="642">
        <v>0</v>
      </c>
      <c r="L207" s="642">
        <v>-32.75009012852766</v>
      </c>
      <c r="M207" s="642">
        <v>0</v>
      </c>
      <c r="N207" s="642">
        <v>0</v>
      </c>
      <c r="O207" s="642">
        <v>0</v>
      </c>
      <c r="P207" s="642">
        <v>0</v>
      </c>
      <c r="Q207" s="642">
        <v>0</v>
      </c>
      <c r="R207" s="642">
        <v>0</v>
      </c>
      <c r="S207" s="650">
        <v>0</v>
      </c>
      <c r="U207" s="648" t="s">
        <v>354</v>
      </c>
      <c r="V207" s="642">
        <v>0</v>
      </c>
      <c r="W207" s="642">
        <v>0</v>
      </c>
      <c r="X207" s="642">
        <v>0</v>
      </c>
      <c r="Y207" s="642">
        <v>0</v>
      </c>
      <c r="Z207" s="642">
        <v>0</v>
      </c>
      <c r="AA207" s="642">
        <v>0</v>
      </c>
      <c r="AB207" s="642" t="e">
        <v>#VALUE!</v>
      </c>
      <c r="AC207" s="642">
        <v>0</v>
      </c>
      <c r="AD207" s="642">
        <v>-76.638831624044727</v>
      </c>
      <c r="AE207" s="642">
        <v>0</v>
      </c>
      <c r="AF207" s="642">
        <v>0</v>
      </c>
      <c r="AG207" s="642">
        <v>0</v>
      </c>
      <c r="AH207" s="642">
        <v>0</v>
      </c>
      <c r="AI207" s="642">
        <v>0</v>
      </c>
      <c r="AJ207" s="642">
        <v>0</v>
      </c>
      <c r="AK207" s="650">
        <v>-76.638831624044727</v>
      </c>
    </row>
    <row r="208" spans="3:37" ht="13.5">
      <c r="C208" s="648" t="s">
        <v>355</v>
      </c>
      <c r="D208" s="642">
        <v>0</v>
      </c>
      <c r="E208" s="642">
        <v>0</v>
      </c>
      <c r="F208" s="642">
        <v>0</v>
      </c>
      <c r="G208" s="642">
        <v>0</v>
      </c>
      <c r="H208" s="642">
        <v>0</v>
      </c>
      <c r="I208" s="642">
        <v>0</v>
      </c>
      <c r="J208" s="642">
        <v>0</v>
      </c>
      <c r="K208" s="642">
        <v>0</v>
      </c>
      <c r="L208" s="642">
        <v>0</v>
      </c>
      <c r="M208" s="642">
        <v>0</v>
      </c>
      <c r="N208" s="642">
        <v>0</v>
      </c>
      <c r="O208" s="642">
        <v>0</v>
      </c>
      <c r="P208" s="642">
        <v>0</v>
      </c>
      <c r="Q208" s="642">
        <v>0</v>
      </c>
      <c r="R208" s="642">
        <v>0</v>
      </c>
      <c r="S208" s="650">
        <v>0</v>
      </c>
      <c r="U208" s="648" t="s">
        <v>355</v>
      </c>
      <c r="V208" s="642">
        <v>0</v>
      </c>
      <c r="W208" s="642">
        <v>0</v>
      </c>
      <c r="X208" s="642">
        <v>0</v>
      </c>
      <c r="Y208" s="642">
        <v>0</v>
      </c>
      <c r="Z208" s="642">
        <v>0</v>
      </c>
      <c r="AA208" s="642">
        <v>0</v>
      </c>
      <c r="AB208" s="642">
        <v>0</v>
      </c>
      <c r="AC208" s="642">
        <v>0</v>
      </c>
      <c r="AD208" s="642">
        <v>-16.893833779014706</v>
      </c>
      <c r="AE208" s="642">
        <v>0</v>
      </c>
      <c r="AF208" s="642">
        <v>0</v>
      </c>
      <c r="AG208" s="642">
        <v>0</v>
      </c>
      <c r="AH208" s="642">
        <v>0</v>
      </c>
      <c r="AI208" s="642">
        <v>0</v>
      </c>
      <c r="AJ208" s="642">
        <v>0</v>
      </c>
      <c r="AK208" s="650">
        <v>-16.893833779014706</v>
      </c>
    </row>
    <row r="209" spans="3:37" ht="13.5">
      <c r="C209" s="648" t="s">
        <v>73</v>
      </c>
      <c r="D209" s="642">
        <v>0</v>
      </c>
      <c r="E209" s="642">
        <v>0</v>
      </c>
      <c r="F209" s="642">
        <v>0</v>
      </c>
      <c r="G209" s="642">
        <v>2.9190475912378031</v>
      </c>
      <c r="H209" s="642">
        <v>0</v>
      </c>
      <c r="I209" s="642">
        <v>0</v>
      </c>
      <c r="J209" s="642">
        <v>0</v>
      </c>
      <c r="K209" s="642">
        <v>3.3095777678433143E-2</v>
      </c>
      <c r="L209" s="642">
        <v>0</v>
      </c>
      <c r="M209" s="642">
        <v>5.9572399821179664E-2</v>
      </c>
      <c r="N209" s="642">
        <v>0</v>
      </c>
      <c r="O209" s="642">
        <v>0</v>
      </c>
      <c r="P209" s="642">
        <v>0.31236464325712177</v>
      </c>
      <c r="Q209" s="642">
        <v>0</v>
      </c>
      <c r="R209" s="642">
        <v>-2.3167044374903201</v>
      </c>
      <c r="S209" s="650">
        <v>1.0073759745042175</v>
      </c>
      <c r="U209" s="648" t="s">
        <v>73</v>
      </c>
      <c r="V209" s="642">
        <v>0</v>
      </c>
      <c r="W209" s="642">
        <v>0</v>
      </c>
      <c r="X209" s="642">
        <v>0</v>
      </c>
      <c r="Y209" s="642">
        <v>6.287229939138852</v>
      </c>
      <c r="Z209" s="642">
        <v>0</v>
      </c>
      <c r="AA209" s="642">
        <v>0</v>
      </c>
      <c r="AB209" s="642">
        <v>0</v>
      </c>
      <c r="AC209" s="642">
        <v>0.25073698660573684</v>
      </c>
      <c r="AD209" s="642">
        <v>0</v>
      </c>
      <c r="AE209" s="642">
        <v>1.1095111657303856</v>
      </c>
      <c r="AF209" s="642">
        <v>0</v>
      </c>
      <c r="AG209" s="642">
        <v>0</v>
      </c>
      <c r="AH209" s="642">
        <v>18.274688237257074</v>
      </c>
      <c r="AI209" s="642">
        <v>0</v>
      </c>
      <c r="AJ209" s="642">
        <v>-17.551589062401579</v>
      </c>
      <c r="AK209" s="650">
        <v>8.3705772663304678</v>
      </c>
    </row>
    <row r="210" spans="3:37" ht="13.5">
      <c r="C210" s="648" t="s">
        <v>356</v>
      </c>
      <c r="D210" s="642">
        <v>28.656195468750003</v>
      </c>
      <c r="E210" s="642">
        <v>-18.804327446398823</v>
      </c>
      <c r="F210" s="642">
        <v>24.594949618470011</v>
      </c>
      <c r="G210" s="642">
        <v>0</v>
      </c>
      <c r="H210" s="642">
        <v>0</v>
      </c>
      <c r="I210" s="642">
        <v>0</v>
      </c>
      <c r="J210" s="642">
        <v>0</v>
      </c>
      <c r="K210" s="642">
        <v>0</v>
      </c>
      <c r="L210" s="642">
        <v>0</v>
      </c>
      <c r="M210" s="642">
        <v>0</v>
      </c>
      <c r="N210" s="642">
        <v>0</v>
      </c>
      <c r="O210" s="642">
        <v>0</v>
      </c>
      <c r="P210" s="642">
        <v>0</v>
      </c>
      <c r="Q210" s="642">
        <v>0</v>
      </c>
      <c r="R210" s="642">
        <v>0</v>
      </c>
      <c r="S210" s="650">
        <v>34.446817640821195</v>
      </c>
      <c r="U210" s="648" t="s">
        <v>356</v>
      </c>
      <c r="V210" s="642">
        <v>3.6632235107421875</v>
      </c>
      <c r="W210" s="642">
        <v>-12.298081614140758</v>
      </c>
      <c r="X210" s="642">
        <v>16.085164362607916</v>
      </c>
      <c r="Y210" s="642">
        <v>0</v>
      </c>
      <c r="Z210" s="642">
        <v>0</v>
      </c>
      <c r="AA210" s="642">
        <v>0</v>
      </c>
      <c r="AB210" s="642">
        <v>0</v>
      </c>
      <c r="AC210" s="642">
        <v>0</v>
      </c>
      <c r="AD210" s="642">
        <v>0</v>
      </c>
      <c r="AE210" s="642">
        <v>0</v>
      </c>
      <c r="AF210" s="642">
        <v>0</v>
      </c>
      <c r="AG210" s="642">
        <v>0</v>
      </c>
      <c r="AH210" s="642">
        <v>0</v>
      </c>
      <c r="AI210" s="642">
        <v>0</v>
      </c>
      <c r="AJ210" s="642">
        <v>0</v>
      </c>
      <c r="AK210" s="650">
        <v>7.450306259209345</v>
      </c>
    </row>
    <row r="211" spans="3:37" ht="13.5">
      <c r="C211" s="648" t="s">
        <v>75</v>
      </c>
      <c r="D211" s="642">
        <v>11.144076015625002</v>
      </c>
      <c r="E211" s="642">
        <v>0</v>
      </c>
      <c r="F211" s="642">
        <v>18.451576715081096</v>
      </c>
      <c r="G211" s="642">
        <v>5.2652116849916704</v>
      </c>
      <c r="H211" s="642">
        <v>0</v>
      </c>
      <c r="I211" s="642">
        <v>0</v>
      </c>
      <c r="J211" s="642">
        <v>0</v>
      </c>
      <c r="K211" s="642">
        <v>0</v>
      </c>
      <c r="L211" s="642">
        <v>0</v>
      </c>
      <c r="M211" s="642">
        <v>0.10745329969370757</v>
      </c>
      <c r="N211" s="642">
        <v>0</v>
      </c>
      <c r="O211" s="642">
        <v>0</v>
      </c>
      <c r="P211" s="642">
        <v>33.522260759660846</v>
      </c>
      <c r="Q211" s="642">
        <v>0</v>
      </c>
      <c r="R211" s="642">
        <v>0</v>
      </c>
      <c r="S211" s="650">
        <v>68.490578475052317</v>
      </c>
      <c r="U211" s="648" t="s">
        <v>75</v>
      </c>
      <c r="V211" s="642">
        <v>4.4693862304687499</v>
      </c>
      <c r="W211" s="642">
        <v>0</v>
      </c>
      <c r="X211" s="642">
        <v>18.451576715081096</v>
      </c>
      <c r="Y211" s="642">
        <v>4.5667652369825715</v>
      </c>
      <c r="Z211" s="642">
        <v>0</v>
      </c>
      <c r="AA211" s="642">
        <v>0</v>
      </c>
      <c r="AB211" s="642">
        <v>0</v>
      </c>
      <c r="AC211" s="642">
        <v>0</v>
      </c>
      <c r="AD211" s="642">
        <v>0</v>
      </c>
      <c r="AE211" s="642">
        <v>0.8058997477028067</v>
      </c>
      <c r="AF211" s="642">
        <v>0</v>
      </c>
      <c r="AG211" s="642">
        <v>0</v>
      </c>
      <c r="AH211" s="642">
        <v>33.775215305115388</v>
      </c>
      <c r="AI211" s="642">
        <v>0</v>
      </c>
      <c r="AJ211" s="642">
        <v>0</v>
      </c>
      <c r="AK211" s="650">
        <v>62.068843235350613</v>
      </c>
    </row>
    <row r="212" spans="3:37" ht="13.5">
      <c r="C212" s="648" t="s">
        <v>76</v>
      </c>
      <c r="D212" s="642">
        <v>0</v>
      </c>
      <c r="E212" s="642">
        <v>0</v>
      </c>
      <c r="F212" s="642">
        <v>0</v>
      </c>
      <c r="G212" s="642">
        <v>3.8313802109978718</v>
      </c>
      <c r="H212" s="642">
        <v>0</v>
      </c>
      <c r="I212" s="642">
        <v>0</v>
      </c>
      <c r="J212" s="642">
        <v>0</v>
      </c>
      <c r="K212" s="642">
        <v>0</v>
      </c>
      <c r="L212" s="642">
        <v>0</v>
      </c>
      <c r="M212" s="642">
        <v>7.8191432877507586E-2</v>
      </c>
      <c r="N212" s="642">
        <v>0</v>
      </c>
      <c r="O212" s="642">
        <v>0</v>
      </c>
      <c r="P212" s="642">
        <v>42.744249460921445</v>
      </c>
      <c r="Q212" s="642">
        <v>2.9948048478615572</v>
      </c>
      <c r="R212" s="642">
        <v>0</v>
      </c>
      <c r="S212" s="650">
        <v>49.648625952658385</v>
      </c>
      <c r="U212" s="648" t="s">
        <v>76</v>
      </c>
      <c r="V212" s="642">
        <v>0</v>
      </c>
      <c r="W212" s="642">
        <v>0</v>
      </c>
      <c r="X212" s="642">
        <v>0</v>
      </c>
      <c r="Y212" s="642">
        <v>2.4425535766751323</v>
      </c>
      <c r="Z212" s="642">
        <v>0</v>
      </c>
      <c r="AA212" s="642">
        <v>0</v>
      </c>
      <c r="AB212" s="642">
        <v>0</v>
      </c>
      <c r="AC212" s="642">
        <v>0</v>
      </c>
      <c r="AD212" s="642">
        <v>0</v>
      </c>
      <c r="AE212" s="642">
        <v>0.43103886647208217</v>
      </c>
      <c r="AF212" s="642">
        <v>0</v>
      </c>
      <c r="AG212" s="642">
        <v>0</v>
      </c>
      <c r="AH212" s="642">
        <v>44.348699545879278</v>
      </c>
      <c r="AI212" s="642">
        <v>5.6786643797858867</v>
      </c>
      <c r="AJ212" s="642">
        <v>0</v>
      </c>
      <c r="AK212" s="650">
        <v>52.900956368812388</v>
      </c>
    </row>
    <row r="213" spans="3:37" ht="13.5">
      <c r="C213" s="646" t="s">
        <v>77</v>
      </c>
      <c r="D213" s="647">
        <v>42.627057125400256</v>
      </c>
      <c r="E213" s="647">
        <v>523.88910535010393</v>
      </c>
      <c r="F213" s="647">
        <v>-486.25029902863446</v>
      </c>
      <c r="G213" s="647">
        <v>44.598587346134217</v>
      </c>
      <c r="H213" s="647">
        <v>1075.0000000000002</v>
      </c>
      <c r="I213" s="647">
        <v>224.13674723416887</v>
      </c>
      <c r="J213" s="647">
        <v>83.541447222318993</v>
      </c>
      <c r="K213" s="647">
        <v>19.633041740965588</v>
      </c>
      <c r="L213" s="647">
        <v>-30.296984724016522</v>
      </c>
      <c r="M213" s="647">
        <v>-5.5459776813090693</v>
      </c>
      <c r="N213" s="647">
        <v>0</v>
      </c>
      <c r="O213" s="647">
        <v>5.2372199657233862</v>
      </c>
      <c r="P213" s="647">
        <v>-532.72264320989325</v>
      </c>
      <c r="Q213" s="647">
        <v>-35.594581328511254</v>
      </c>
      <c r="R213" s="647">
        <v>-2.3167044374903201</v>
      </c>
      <c r="S213" s="647">
        <v>925.93601557496061</v>
      </c>
      <c r="U213" s="646" t="s">
        <v>77</v>
      </c>
      <c r="V213" s="647">
        <v>8.7589246466696284</v>
      </c>
      <c r="W213" s="647">
        <v>342.62490869295175</v>
      </c>
      <c r="X213" s="647">
        <v>-312.73098258361676</v>
      </c>
      <c r="Y213" s="647">
        <v>53.445107496027774</v>
      </c>
      <c r="Z213" s="647">
        <v>994.39393939393949</v>
      </c>
      <c r="AA213" s="647">
        <v>248.70674723416883</v>
      </c>
      <c r="AB213" s="647">
        <v>93.928049103898687</v>
      </c>
      <c r="AC213" s="647">
        <v>32.303919388897036</v>
      </c>
      <c r="AD213" s="647">
        <v>-91.079559998548305</v>
      </c>
      <c r="AE213" s="647">
        <v>-26.781463608290892</v>
      </c>
      <c r="AF213" s="647">
        <v>0</v>
      </c>
      <c r="AG213" s="647">
        <v>11.393749064396903</v>
      </c>
      <c r="AH213" s="647">
        <v>-515.37291498548086</v>
      </c>
      <c r="AI213" s="647">
        <v>-67.545290041896138</v>
      </c>
      <c r="AJ213" s="647">
        <v>-15.176589062401579</v>
      </c>
      <c r="AK213" s="647">
        <v>756.86854474071572</v>
      </c>
    </row>
    <row r="214" spans="3:37" ht="13">
      <c r="C214" s="636"/>
      <c r="D214" s="636">
        <v>0</v>
      </c>
      <c r="E214" s="636">
        <v>0</v>
      </c>
      <c r="F214" s="636">
        <v>0</v>
      </c>
      <c r="G214" s="636">
        <v>0</v>
      </c>
      <c r="H214" s="636">
        <v>0</v>
      </c>
      <c r="I214" s="636">
        <v>0</v>
      </c>
      <c r="J214" s="636">
        <v>0</v>
      </c>
      <c r="K214" s="636">
        <v>0</v>
      </c>
      <c r="L214" s="636">
        <v>0</v>
      </c>
      <c r="M214" s="636">
        <v>0</v>
      </c>
      <c r="N214" s="636">
        <v>0</v>
      </c>
      <c r="O214" s="636">
        <v>0</v>
      </c>
      <c r="P214" s="636">
        <v>0</v>
      </c>
      <c r="Q214" s="636">
        <v>0</v>
      </c>
      <c r="R214" s="636">
        <v>0</v>
      </c>
      <c r="S214" s="636">
        <v>0</v>
      </c>
      <c r="U214" s="636"/>
      <c r="V214" s="636">
        <v>0</v>
      </c>
      <c r="W214" s="636">
        <v>0</v>
      </c>
      <c r="X214" s="636">
        <v>0</v>
      </c>
      <c r="Y214" s="636">
        <v>0</v>
      </c>
      <c r="Z214" s="636">
        <v>0</v>
      </c>
      <c r="AA214" s="636">
        <v>0</v>
      </c>
      <c r="AB214" s="636">
        <v>0</v>
      </c>
      <c r="AC214" s="636">
        <v>0</v>
      </c>
      <c r="AD214" s="636">
        <v>0</v>
      </c>
      <c r="AE214" s="636">
        <v>0</v>
      </c>
      <c r="AF214" s="636">
        <v>0</v>
      </c>
      <c r="AG214" s="636">
        <v>0</v>
      </c>
      <c r="AH214" s="636">
        <v>0</v>
      </c>
      <c r="AI214" s="636">
        <v>0</v>
      </c>
      <c r="AJ214" s="636">
        <v>0</v>
      </c>
      <c r="AK214" s="636">
        <v>0</v>
      </c>
    </row>
    <row r="215" spans="3:37" ht="13.5">
      <c r="C215" s="648" t="s">
        <v>78</v>
      </c>
      <c r="D215" s="642">
        <v>6.2002081056415257</v>
      </c>
      <c r="E215" s="642">
        <v>0</v>
      </c>
      <c r="F215" s="642">
        <v>23.255205938178186</v>
      </c>
      <c r="G215" s="642">
        <v>101.12865293850786</v>
      </c>
      <c r="H215" s="642">
        <v>0</v>
      </c>
      <c r="I215" s="642">
        <v>0</v>
      </c>
      <c r="J215" s="642">
        <v>19.565687098295676</v>
      </c>
      <c r="K215" s="642">
        <v>1.7744589215827917</v>
      </c>
      <c r="L215" s="642">
        <v>0.87520713476562495</v>
      </c>
      <c r="M215" s="642">
        <v>2.0825226770622867</v>
      </c>
      <c r="N215" s="642">
        <v>0</v>
      </c>
      <c r="O215" s="642">
        <v>3.8067188808088001E-4</v>
      </c>
      <c r="P215" s="642">
        <v>109.76937284793219</v>
      </c>
      <c r="Q215" s="642">
        <v>16.103287978552984</v>
      </c>
      <c r="R215" s="642">
        <v>0.32868640136718752</v>
      </c>
      <c r="S215" s="650">
        <v>281.08367071377444</v>
      </c>
      <c r="U215" s="648" t="s">
        <v>78</v>
      </c>
      <c r="V215" s="642">
        <v>1.01942505552247</v>
      </c>
      <c r="W215" s="642">
        <v>0</v>
      </c>
      <c r="X215" s="642">
        <v>12.936117077553076</v>
      </c>
      <c r="Y215" s="642">
        <v>67.349539979102474</v>
      </c>
      <c r="Z215" s="642">
        <v>0</v>
      </c>
      <c r="AA215" s="642">
        <v>0</v>
      </c>
      <c r="AB215" s="642">
        <v>16.313565187348217</v>
      </c>
      <c r="AC215" s="642">
        <v>5.7022810919996436</v>
      </c>
      <c r="AD215" s="642">
        <v>2.2588896484375001</v>
      </c>
      <c r="AE215" s="642">
        <v>11.903885554581411</v>
      </c>
      <c r="AF215" s="642">
        <v>0</v>
      </c>
      <c r="AG215" s="642">
        <v>3.8067188808088001E-4</v>
      </c>
      <c r="AH215" s="642">
        <v>135.13428233654639</v>
      </c>
      <c r="AI215" s="642">
        <v>21.466888656055119</v>
      </c>
      <c r="AJ215" s="642">
        <v>5.7972734375000003</v>
      </c>
      <c r="AK215" s="650">
        <v>279.88252869653439</v>
      </c>
    </row>
    <row r="216" spans="3:37" ht="13.5">
      <c r="C216" s="648" t="s">
        <v>79</v>
      </c>
      <c r="D216" s="642">
        <v>0</v>
      </c>
      <c r="E216" s="642">
        <v>0</v>
      </c>
      <c r="F216" s="642">
        <v>291.38745921478562</v>
      </c>
      <c r="G216" s="642">
        <v>24.020829745272028</v>
      </c>
      <c r="H216" s="642">
        <v>0</v>
      </c>
      <c r="I216" s="642">
        <v>0</v>
      </c>
      <c r="J216" s="642">
        <v>0</v>
      </c>
      <c r="K216" s="642">
        <v>0</v>
      </c>
      <c r="L216" s="642">
        <v>28.280041762715456</v>
      </c>
      <c r="M216" s="642">
        <v>0.49022101520963324</v>
      </c>
      <c r="N216" s="642">
        <v>0</v>
      </c>
      <c r="O216" s="642">
        <v>0</v>
      </c>
      <c r="P216" s="642">
        <v>46.654707564142761</v>
      </c>
      <c r="Q216" s="642">
        <v>0</v>
      </c>
      <c r="R216" s="642">
        <v>1.1135281120019407</v>
      </c>
      <c r="S216" s="650">
        <v>391.94678741412741</v>
      </c>
      <c r="U216" s="648" t="s">
        <v>79</v>
      </c>
      <c r="V216" s="642">
        <v>0</v>
      </c>
      <c r="W216" s="642">
        <v>0</v>
      </c>
      <c r="X216" s="642">
        <v>152.5395921226515</v>
      </c>
      <c r="Y216" s="642">
        <v>18.931026789455995</v>
      </c>
      <c r="Z216" s="642">
        <v>0</v>
      </c>
      <c r="AA216" s="642">
        <v>0</v>
      </c>
      <c r="AB216" s="642">
        <v>0</v>
      </c>
      <c r="AC216" s="642">
        <v>0</v>
      </c>
      <c r="AD216" s="642">
        <v>49.546406871337183</v>
      </c>
      <c r="AE216" s="642">
        <v>3.3407694334334113</v>
      </c>
      <c r="AF216" s="642">
        <v>0</v>
      </c>
      <c r="AG216" s="642">
        <v>0</v>
      </c>
      <c r="AH216" s="642">
        <v>60.923926311544285</v>
      </c>
      <c r="AI216" s="642">
        <v>0</v>
      </c>
      <c r="AJ216" s="642">
        <v>2.0956611258816777</v>
      </c>
      <c r="AK216" s="650">
        <v>287.37738265430403</v>
      </c>
    </row>
    <row r="217" spans="3:37" ht="13.5">
      <c r="C217" s="648" t="s">
        <v>80</v>
      </c>
      <c r="D217" s="642">
        <v>0</v>
      </c>
      <c r="E217" s="642">
        <v>0</v>
      </c>
      <c r="F217" s="642">
        <v>24.366054746482678</v>
      </c>
      <c r="G217" s="642">
        <v>88.830627596834503</v>
      </c>
      <c r="H217" s="642">
        <v>0</v>
      </c>
      <c r="I217" s="642">
        <v>0</v>
      </c>
      <c r="J217" s="642">
        <v>86.298448588028648</v>
      </c>
      <c r="K217" s="642">
        <v>0</v>
      </c>
      <c r="L217" s="642">
        <v>0</v>
      </c>
      <c r="M217" s="642">
        <v>1.8128699509558064</v>
      </c>
      <c r="N217" s="642">
        <v>49.305914152356948</v>
      </c>
      <c r="O217" s="642">
        <v>1.9759423218950023</v>
      </c>
      <c r="P217" s="642">
        <v>183.08170703950353</v>
      </c>
      <c r="Q217" s="642">
        <v>15.629207143582217</v>
      </c>
      <c r="R217" s="642">
        <v>0</v>
      </c>
      <c r="S217" s="650">
        <v>451.3007715396393</v>
      </c>
      <c r="U217" s="648" t="s">
        <v>80</v>
      </c>
      <c r="V217" s="642">
        <v>0</v>
      </c>
      <c r="W217" s="642">
        <v>0</v>
      </c>
      <c r="X217" s="642">
        <v>1.5212022418020299</v>
      </c>
      <c r="Y217" s="642">
        <v>34.748278571527685</v>
      </c>
      <c r="Z217" s="642">
        <v>0</v>
      </c>
      <c r="AA217" s="642">
        <v>0</v>
      </c>
      <c r="AB217" s="642">
        <v>75.181836567082826</v>
      </c>
      <c r="AC217" s="642">
        <v>0</v>
      </c>
      <c r="AD217" s="642">
        <v>0</v>
      </c>
      <c r="AE217" s="642">
        <v>6.1320491596813564</v>
      </c>
      <c r="AF217" s="642">
        <v>62.645467095100628</v>
      </c>
      <c r="AG217" s="642">
        <v>2.6978117080871646</v>
      </c>
      <c r="AH217" s="642">
        <v>158.40967854762758</v>
      </c>
      <c r="AI217" s="642">
        <v>35.928967439236224</v>
      </c>
      <c r="AJ217" s="642">
        <v>0</v>
      </c>
      <c r="AK217" s="650">
        <v>377.26529133014549</v>
      </c>
    </row>
    <row r="218" spans="3:37" ht="13.5">
      <c r="C218" s="648" t="s">
        <v>81</v>
      </c>
      <c r="D218" s="642">
        <v>0</v>
      </c>
      <c r="E218" s="642">
        <v>0</v>
      </c>
      <c r="F218" s="642">
        <v>9.1434406229634497</v>
      </c>
      <c r="G218" s="642">
        <v>62.772902131190932</v>
      </c>
      <c r="H218" s="642">
        <v>0</v>
      </c>
      <c r="I218" s="642">
        <v>0</v>
      </c>
      <c r="J218" s="642">
        <v>3.3792389882828151</v>
      </c>
      <c r="K218" s="642">
        <v>2.5053216415896862E-2</v>
      </c>
      <c r="L218" s="642">
        <v>0</v>
      </c>
      <c r="M218" s="642">
        <v>1.2810796353304272</v>
      </c>
      <c r="N218" s="642">
        <v>8.5204805498073064</v>
      </c>
      <c r="O218" s="642">
        <v>0.77988306826531983</v>
      </c>
      <c r="P218" s="642">
        <v>134.9475862077569</v>
      </c>
      <c r="Q218" s="642">
        <v>3.8620862063760555</v>
      </c>
      <c r="R218" s="642">
        <v>0</v>
      </c>
      <c r="S218" s="650">
        <v>224.71175062638912</v>
      </c>
      <c r="U218" s="648" t="s">
        <v>81</v>
      </c>
      <c r="V218" s="642">
        <v>0</v>
      </c>
      <c r="W218" s="642">
        <v>0</v>
      </c>
      <c r="X218" s="642">
        <v>2.5747324311170368</v>
      </c>
      <c r="Y218" s="642">
        <v>28.050706446538126</v>
      </c>
      <c r="Z218" s="642">
        <v>0</v>
      </c>
      <c r="AA218" s="642">
        <v>0</v>
      </c>
      <c r="AB218" s="642">
        <v>7.5276105699702738</v>
      </c>
      <c r="AC218" s="642">
        <v>2.5053216415896862E-2</v>
      </c>
      <c r="AD218" s="642">
        <v>0</v>
      </c>
      <c r="AE218" s="642">
        <v>4.9501246670361398</v>
      </c>
      <c r="AF218" s="642">
        <v>14.347345485370148</v>
      </c>
      <c r="AG218" s="642">
        <v>1.6839822655905561</v>
      </c>
      <c r="AH218" s="642">
        <v>120.05488498756245</v>
      </c>
      <c r="AI218" s="642">
        <v>10.149433946604795</v>
      </c>
      <c r="AJ218" s="642">
        <v>0</v>
      </c>
      <c r="AK218" s="650">
        <v>189.36387401620541</v>
      </c>
    </row>
    <row r="219" spans="3:37" ht="13.5">
      <c r="C219" s="648" t="s">
        <v>82</v>
      </c>
      <c r="D219" s="642">
        <v>0</v>
      </c>
      <c r="E219" s="642">
        <v>0</v>
      </c>
      <c r="F219" s="642">
        <v>31.378359933180146</v>
      </c>
      <c r="G219" s="642">
        <v>1.761464702880946</v>
      </c>
      <c r="H219" s="642">
        <v>0</v>
      </c>
      <c r="I219" s="642">
        <v>0</v>
      </c>
      <c r="J219" s="642">
        <v>2.5129576329044134</v>
      </c>
      <c r="K219" s="642">
        <v>0</v>
      </c>
      <c r="L219" s="642">
        <v>2.7366524531426237</v>
      </c>
      <c r="M219" s="642">
        <v>3.5948259242468285E-2</v>
      </c>
      <c r="N219" s="642">
        <v>0</v>
      </c>
      <c r="O219" s="642">
        <v>7.8328904674825409E-2</v>
      </c>
      <c r="P219" s="642">
        <v>7.1029233048090266</v>
      </c>
      <c r="Q219" s="642">
        <v>0</v>
      </c>
      <c r="R219" s="642">
        <v>0</v>
      </c>
      <c r="S219" s="650">
        <v>45.606635190834446</v>
      </c>
      <c r="U219" s="648" t="s">
        <v>82</v>
      </c>
      <c r="V219" s="642">
        <v>0</v>
      </c>
      <c r="W219" s="642">
        <v>0</v>
      </c>
      <c r="X219" s="642">
        <v>18.696617357576709</v>
      </c>
      <c r="Y219" s="642">
        <v>1.906896096641761</v>
      </c>
      <c r="Z219" s="642">
        <v>0</v>
      </c>
      <c r="AA219" s="642">
        <v>0</v>
      </c>
      <c r="AB219" s="642">
        <v>2.5129576329044134</v>
      </c>
      <c r="AC219" s="642">
        <v>0</v>
      </c>
      <c r="AD219" s="642">
        <v>18.28747352858748</v>
      </c>
      <c r="AE219" s="642">
        <v>0.33651107587795781</v>
      </c>
      <c r="AF219" s="642">
        <v>0</v>
      </c>
      <c r="AG219" s="642">
        <v>0.96290247555165809</v>
      </c>
      <c r="AH219" s="642">
        <v>7.1739705565638916</v>
      </c>
      <c r="AI219" s="642">
        <v>0</v>
      </c>
      <c r="AJ219" s="642">
        <v>0.24940873791150003</v>
      </c>
      <c r="AK219" s="650">
        <v>50.12673746161537</v>
      </c>
    </row>
    <row r="220" spans="3:37" ht="13.5">
      <c r="C220" s="648" t="s">
        <v>357</v>
      </c>
      <c r="D220" s="642">
        <v>0</v>
      </c>
      <c r="E220" s="642">
        <v>0</v>
      </c>
      <c r="F220" s="642">
        <v>0</v>
      </c>
      <c r="G220" s="642">
        <v>0</v>
      </c>
      <c r="H220" s="642">
        <v>0</v>
      </c>
      <c r="I220" s="642">
        <v>0</v>
      </c>
      <c r="J220" s="642">
        <v>0</v>
      </c>
      <c r="K220" s="642">
        <v>0</v>
      </c>
      <c r="L220" s="642">
        <v>0</v>
      </c>
      <c r="M220" s="642">
        <v>0</v>
      </c>
      <c r="N220" s="642">
        <v>0</v>
      </c>
      <c r="O220" s="642">
        <v>0</v>
      </c>
      <c r="P220" s="642">
        <v>0.22499999999999998</v>
      </c>
      <c r="Q220" s="642">
        <v>0</v>
      </c>
      <c r="R220" s="642">
        <v>0</v>
      </c>
      <c r="S220" s="650">
        <v>0.22499999999999998</v>
      </c>
      <c r="U220" s="648" t="s">
        <v>357</v>
      </c>
      <c r="V220" s="642">
        <v>0</v>
      </c>
      <c r="W220" s="642">
        <v>0</v>
      </c>
      <c r="X220" s="642">
        <v>0</v>
      </c>
      <c r="Y220" s="642">
        <v>0</v>
      </c>
      <c r="Z220" s="642">
        <v>0</v>
      </c>
      <c r="AA220" s="642">
        <v>0</v>
      </c>
      <c r="AB220" s="642">
        <v>0</v>
      </c>
      <c r="AC220" s="642">
        <v>0</v>
      </c>
      <c r="AD220" s="642">
        <v>0</v>
      </c>
      <c r="AE220" s="642">
        <v>0</v>
      </c>
      <c r="AF220" s="642">
        <v>0</v>
      </c>
      <c r="AG220" s="642">
        <v>0</v>
      </c>
      <c r="AH220" s="642">
        <v>1.2</v>
      </c>
      <c r="AI220" s="642">
        <v>0</v>
      </c>
      <c r="AJ220" s="642">
        <v>0</v>
      </c>
      <c r="AK220" s="650">
        <v>1.2</v>
      </c>
    </row>
    <row r="221" spans="3:37" ht="13.5">
      <c r="C221" s="646" t="s">
        <v>83</v>
      </c>
      <c r="D221" s="647">
        <v>6.2002081056415257</v>
      </c>
      <c r="E221" s="647">
        <v>0</v>
      </c>
      <c r="F221" s="647">
        <v>379.53052045559002</v>
      </c>
      <c r="G221" s="647">
        <v>278.51447711468631</v>
      </c>
      <c r="H221" s="647">
        <v>0</v>
      </c>
      <c r="I221" s="647">
        <v>0</v>
      </c>
      <c r="J221" s="647">
        <v>111.75633230751156</v>
      </c>
      <c r="K221" s="647">
        <v>1.7995121379986885</v>
      </c>
      <c r="L221" s="647">
        <v>31.891901350623705</v>
      </c>
      <c r="M221" s="647">
        <v>5.7026415378006226</v>
      </c>
      <c r="N221" s="647">
        <v>57.826394702164251</v>
      </c>
      <c r="O221" s="647">
        <v>2.8345349667232282</v>
      </c>
      <c r="P221" s="647">
        <v>481.78129696414442</v>
      </c>
      <c r="Q221" s="647">
        <v>35.594581328511254</v>
      </c>
      <c r="R221" s="647">
        <v>1.4422145133691282</v>
      </c>
      <c r="S221" s="647">
        <v>1394.8746154847647</v>
      </c>
      <c r="U221" s="646" t="s">
        <v>83</v>
      </c>
      <c r="V221" s="647">
        <v>1.01942505552247</v>
      </c>
      <c r="W221" s="647">
        <v>0</v>
      </c>
      <c r="X221" s="647">
        <v>188.26826123070035</v>
      </c>
      <c r="Y221" s="647">
        <v>150.98644788326604</v>
      </c>
      <c r="Z221" s="647">
        <v>0</v>
      </c>
      <c r="AA221" s="647">
        <v>0</v>
      </c>
      <c r="AB221" s="647">
        <v>101.53596995730574</v>
      </c>
      <c r="AC221" s="647">
        <v>5.727334308415541</v>
      </c>
      <c r="AD221" s="647">
        <v>70.092770048362169</v>
      </c>
      <c r="AE221" s="647">
        <v>26.663339890610278</v>
      </c>
      <c r="AF221" s="647">
        <v>76.992812580470769</v>
      </c>
      <c r="AG221" s="647">
        <v>5.3450771211174599</v>
      </c>
      <c r="AH221" s="647">
        <v>482.89674273984457</v>
      </c>
      <c r="AI221" s="647">
        <v>67.545290041896138</v>
      </c>
      <c r="AJ221" s="647">
        <v>8.1423433012931774</v>
      </c>
      <c r="AK221" s="647">
        <v>1185.2158141588047</v>
      </c>
    </row>
    <row r="222" spans="3:37" ht="13.5">
      <c r="C222" s="641" t="s">
        <v>84</v>
      </c>
      <c r="D222" s="642">
        <v>0</v>
      </c>
      <c r="E222" s="642">
        <v>0</v>
      </c>
      <c r="F222" s="642">
        <v>114.78425758185857</v>
      </c>
      <c r="G222" s="642">
        <v>12.028714359769619</v>
      </c>
      <c r="H222" s="642">
        <v>0</v>
      </c>
      <c r="I222" s="642">
        <v>0</v>
      </c>
      <c r="J222" s="642">
        <v>0</v>
      </c>
      <c r="K222" s="642">
        <v>0</v>
      </c>
      <c r="L222" s="642">
        <v>0</v>
      </c>
      <c r="M222" s="642">
        <v>0</v>
      </c>
      <c r="N222" s="642">
        <v>0</v>
      </c>
      <c r="O222" s="642">
        <v>0</v>
      </c>
      <c r="P222" s="642">
        <v>0</v>
      </c>
      <c r="Q222" s="642">
        <v>0</v>
      </c>
      <c r="R222" s="642">
        <v>0.87448992412119186</v>
      </c>
      <c r="S222" s="650">
        <v>127.68746186574938</v>
      </c>
      <c r="U222" s="641" t="s">
        <v>84</v>
      </c>
      <c r="V222" s="642">
        <v>0</v>
      </c>
      <c r="W222" s="642">
        <v>0</v>
      </c>
      <c r="X222" s="642">
        <v>99.887922338380434</v>
      </c>
      <c r="Y222" s="642">
        <v>1.4617397027131513</v>
      </c>
      <c r="Z222" s="642">
        <v>0</v>
      </c>
      <c r="AA222" s="642">
        <v>0</v>
      </c>
      <c r="AB222" s="642">
        <v>0</v>
      </c>
      <c r="AC222" s="642">
        <v>0</v>
      </c>
      <c r="AD222" s="642">
        <v>9.6859590362548822</v>
      </c>
      <c r="AE222" s="642">
        <v>0</v>
      </c>
      <c r="AF222" s="642">
        <v>0</v>
      </c>
      <c r="AG222" s="642">
        <v>0</v>
      </c>
      <c r="AH222" s="642">
        <v>0</v>
      </c>
      <c r="AI222" s="642">
        <v>0</v>
      </c>
      <c r="AJ222" s="642">
        <v>7.0342457611083988</v>
      </c>
      <c r="AK222" s="650">
        <v>118.06986683845686</v>
      </c>
    </row>
    <row r="223" spans="3:37" ht="13.5">
      <c r="C223" s="646" t="s">
        <v>85</v>
      </c>
      <c r="D223" s="647">
        <v>6.2002081056415257</v>
      </c>
      <c r="E223" s="647">
        <v>0</v>
      </c>
      <c r="F223" s="647">
        <v>494.3147780374486</v>
      </c>
      <c r="G223" s="647">
        <v>290.54319147445591</v>
      </c>
      <c r="H223" s="647">
        <v>0</v>
      </c>
      <c r="I223" s="647">
        <v>0</v>
      </c>
      <c r="J223" s="647">
        <v>111.75633230751156</v>
      </c>
      <c r="K223" s="647">
        <v>1.7995121379986885</v>
      </c>
      <c r="L223" s="647">
        <v>31.891901350623705</v>
      </c>
      <c r="M223" s="647">
        <v>5.7026415378006226</v>
      </c>
      <c r="N223" s="647">
        <v>57.826394702164251</v>
      </c>
      <c r="O223" s="647">
        <v>2.8345349667232282</v>
      </c>
      <c r="P223" s="647">
        <v>481.78129696414442</v>
      </c>
      <c r="Q223" s="647">
        <v>35.594581328511254</v>
      </c>
      <c r="R223" s="647">
        <v>2.3167044374903201</v>
      </c>
      <c r="S223" s="647">
        <v>1522.5620773505141</v>
      </c>
      <c r="U223" s="646" t="s">
        <v>85</v>
      </c>
      <c r="V223" s="647">
        <v>1.01942505552247</v>
      </c>
      <c r="W223" s="647">
        <v>0</v>
      </c>
      <c r="X223" s="647">
        <v>288.15618356908084</v>
      </c>
      <c r="Y223" s="647">
        <v>152.44818758597918</v>
      </c>
      <c r="Z223" s="647">
        <v>0</v>
      </c>
      <c r="AA223" s="647">
        <v>0</v>
      </c>
      <c r="AB223" s="647">
        <v>101.53596995730574</v>
      </c>
      <c r="AC223" s="647">
        <v>5.727334308415541</v>
      </c>
      <c r="AD223" s="647">
        <v>79.778729084617055</v>
      </c>
      <c r="AE223" s="647">
        <v>26.663339890610278</v>
      </c>
      <c r="AF223" s="647">
        <v>76.992812580470769</v>
      </c>
      <c r="AG223" s="647">
        <v>5.3450771211174599</v>
      </c>
      <c r="AH223" s="647">
        <v>482.89674273984457</v>
      </c>
      <c r="AI223" s="647">
        <v>67.545290041896138</v>
      </c>
      <c r="AJ223" s="647">
        <v>15.176589062401575</v>
      </c>
      <c r="AK223" s="647">
        <v>1303.2856809972616</v>
      </c>
    </row>
    <row r="224" spans="3:37" ht="13">
      <c r="C224" s="636"/>
      <c r="D224" s="636"/>
      <c r="E224" s="636"/>
      <c r="F224" s="636"/>
      <c r="G224" s="636"/>
      <c r="H224" s="636"/>
      <c r="I224" s="636"/>
      <c r="J224" s="636"/>
      <c r="K224" s="636"/>
      <c r="L224" s="636"/>
      <c r="M224" s="636"/>
      <c r="N224" s="636"/>
      <c r="O224" s="636"/>
      <c r="P224" s="636"/>
      <c r="Q224" s="636"/>
      <c r="R224" s="636"/>
      <c r="S224" s="636"/>
      <c r="U224" s="636"/>
      <c r="V224" s="636"/>
      <c r="W224" s="636"/>
      <c r="X224" s="636"/>
      <c r="Y224" s="636"/>
      <c r="Z224" s="636"/>
      <c r="AA224" s="636"/>
      <c r="AB224" s="636"/>
      <c r="AC224" s="636"/>
      <c r="AD224" s="636"/>
      <c r="AE224" s="636"/>
      <c r="AF224" s="636"/>
      <c r="AG224" s="636"/>
      <c r="AH224" s="636"/>
      <c r="AI224" s="636"/>
      <c r="AJ224" s="636"/>
      <c r="AK224" s="636"/>
    </row>
    <row r="225" spans="3:37" ht="22.5">
      <c r="C225" s="699" t="s">
        <v>362</v>
      </c>
      <c r="D225" s="699"/>
      <c r="E225" s="699"/>
      <c r="F225" s="699"/>
      <c r="G225" s="699"/>
      <c r="H225" s="699"/>
      <c r="I225" s="699"/>
      <c r="J225" s="699"/>
      <c r="K225" s="699"/>
      <c r="L225" s="699"/>
      <c r="M225" s="699"/>
      <c r="N225" s="699"/>
      <c r="O225" s="699"/>
      <c r="P225" s="699"/>
      <c r="Q225" s="699"/>
      <c r="R225" s="699"/>
      <c r="S225" s="699"/>
      <c r="U225" s="699" t="s">
        <v>362</v>
      </c>
      <c r="V225" s="699"/>
      <c r="W225" s="699"/>
      <c r="X225" s="699"/>
      <c r="Y225" s="699"/>
      <c r="Z225" s="699"/>
      <c r="AA225" s="699"/>
      <c r="AB225" s="699"/>
      <c r="AC225" s="699"/>
      <c r="AD225" s="699"/>
      <c r="AE225" s="699"/>
      <c r="AF225" s="699"/>
      <c r="AG225" s="699"/>
      <c r="AH225" s="699"/>
      <c r="AI225" s="699"/>
      <c r="AJ225" s="699"/>
      <c r="AK225" s="699"/>
    </row>
    <row r="226" spans="3:37" ht="13">
      <c r="C226" s="636"/>
      <c r="D226" s="636"/>
      <c r="E226" s="636"/>
      <c r="F226" s="636"/>
      <c r="G226" s="636"/>
      <c r="H226" s="636"/>
      <c r="I226" s="636"/>
      <c r="J226" s="636"/>
      <c r="K226" s="636"/>
      <c r="L226" s="636"/>
      <c r="M226" s="636"/>
      <c r="N226" s="636"/>
      <c r="O226" s="636"/>
      <c r="P226" s="636"/>
      <c r="Q226" s="636"/>
      <c r="R226" s="636"/>
      <c r="S226" s="636"/>
      <c r="U226" s="636"/>
      <c r="V226" s="636"/>
      <c r="W226" s="636"/>
      <c r="X226" s="636"/>
      <c r="Y226" s="636"/>
      <c r="Z226" s="636"/>
      <c r="AA226" s="636"/>
      <c r="AB226" s="636"/>
      <c r="AC226" s="636"/>
      <c r="AD226" s="636"/>
      <c r="AE226" s="636"/>
      <c r="AF226" s="636"/>
      <c r="AG226" s="636"/>
      <c r="AH226" s="636"/>
      <c r="AI226" s="636"/>
      <c r="AJ226" s="636"/>
      <c r="AK226" s="636"/>
    </row>
    <row r="227" spans="3:37" ht="13" customHeight="1">
      <c r="C227" s="700" t="s">
        <v>128</v>
      </c>
      <c r="D227" s="701" t="s">
        <v>42</v>
      </c>
      <c r="E227" s="701" t="s">
        <v>52</v>
      </c>
      <c r="F227" s="701" t="s">
        <v>53</v>
      </c>
      <c r="G227" s="701" t="s">
        <v>32</v>
      </c>
      <c r="H227" s="701" t="s">
        <v>20</v>
      </c>
      <c r="I227" s="701" t="s">
        <v>55</v>
      </c>
      <c r="J227" s="701" t="s">
        <v>56</v>
      </c>
      <c r="K227" s="701"/>
      <c r="L227" s="701"/>
      <c r="M227" s="701"/>
      <c r="N227" s="701"/>
      <c r="O227" s="701"/>
      <c r="P227" s="701" t="s">
        <v>57</v>
      </c>
      <c r="Q227" s="701" t="s">
        <v>58</v>
      </c>
      <c r="R227" s="701" t="s">
        <v>31</v>
      </c>
      <c r="S227" s="701" t="s">
        <v>10</v>
      </c>
      <c r="U227" s="700" t="s">
        <v>128</v>
      </c>
      <c r="V227" s="701" t="s">
        <v>42</v>
      </c>
      <c r="W227" s="701" t="s">
        <v>52</v>
      </c>
      <c r="X227" s="701" t="s">
        <v>53</v>
      </c>
      <c r="Y227" s="701" t="s">
        <v>32</v>
      </c>
      <c r="Z227" s="701" t="s">
        <v>20</v>
      </c>
      <c r="AA227" s="701" t="s">
        <v>55</v>
      </c>
      <c r="AB227" s="701" t="s">
        <v>56</v>
      </c>
      <c r="AC227" s="701"/>
      <c r="AD227" s="701"/>
      <c r="AE227" s="701"/>
      <c r="AF227" s="701"/>
      <c r="AG227" s="701"/>
      <c r="AH227" s="701" t="s">
        <v>57</v>
      </c>
      <c r="AI227" s="701" t="s">
        <v>58</v>
      </c>
      <c r="AJ227" s="701" t="s">
        <v>31</v>
      </c>
      <c r="AK227" s="701" t="s">
        <v>10</v>
      </c>
    </row>
    <row r="228" spans="3:37" ht="46">
      <c r="C228" s="700"/>
      <c r="D228" s="701"/>
      <c r="E228" s="701"/>
      <c r="F228" s="701"/>
      <c r="G228" s="701"/>
      <c r="H228" s="701"/>
      <c r="I228" s="701"/>
      <c r="J228" s="640" t="s">
        <v>338</v>
      </c>
      <c r="K228" s="640" t="s">
        <v>40</v>
      </c>
      <c r="L228" s="640" t="s">
        <v>346</v>
      </c>
      <c r="M228" s="640" t="s">
        <v>347</v>
      </c>
      <c r="N228" s="640" t="s">
        <v>348</v>
      </c>
      <c r="O228" s="640" t="s">
        <v>349</v>
      </c>
      <c r="P228" s="701"/>
      <c r="Q228" s="701"/>
      <c r="R228" s="701"/>
      <c r="S228" s="701"/>
      <c r="U228" s="700"/>
      <c r="V228" s="701"/>
      <c r="W228" s="701"/>
      <c r="X228" s="701"/>
      <c r="Y228" s="701"/>
      <c r="Z228" s="701"/>
      <c r="AA228" s="701"/>
      <c r="AB228" s="640" t="s">
        <v>338</v>
      </c>
      <c r="AC228" s="640" t="s">
        <v>40</v>
      </c>
      <c r="AD228" s="640" t="s">
        <v>346</v>
      </c>
      <c r="AE228" s="640" t="s">
        <v>347</v>
      </c>
      <c r="AF228" s="640" t="s">
        <v>348</v>
      </c>
      <c r="AG228" s="640" t="s">
        <v>349</v>
      </c>
      <c r="AH228" s="701"/>
      <c r="AI228" s="701"/>
      <c r="AJ228" s="701"/>
      <c r="AK228" s="701"/>
    </row>
    <row r="229" spans="3:37" ht="13.5">
      <c r="C229" s="641" t="s">
        <v>59</v>
      </c>
      <c r="D229" s="642">
        <v>0</v>
      </c>
      <c r="E229" s="643">
        <v>2.3260000000000005</v>
      </c>
      <c r="F229" s="643">
        <v>0</v>
      </c>
      <c r="G229" s="642">
        <v>3.7216000000000006E-2</v>
      </c>
      <c r="H229" s="643">
        <v>1005.4545454545456</v>
      </c>
      <c r="I229" s="643">
        <v>248.9826967827097</v>
      </c>
      <c r="J229" s="643">
        <v>189.82090717884753</v>
      </c>
      <c r="K229" s="643">
        <v>21.067323208066789</v>
      </c>
      <c r="L229" s="643">
        <v>0.444514092196865</v>
      </c>
      <c r="M229" s="643">
        <v>0.15770970126630299</v>
      </c>
      <c r="N229" s="643">
        <v>60.832905155553725</v>
      </c>
      <c r="O229" s="643">
        <v>10.347989753579439</v>
      </c>
      <c r="P229" s="644">
        <v>0</v>
      </c>
      <c r="Q229" s="643">
        <v>0</v>
      </c>
      <c r="R229" s="643">
        <v>0</v>
      </c>
      <c r="S229" s="645">
        <v>1539.4718073267661</v>
      </c>
      <c r="U229" s="641" t="s">
        <v>59</v>
      </c>
      <c r="V229" s="642">
        <v>0</v>
      </c>
      <c r="W229" s="643">
        <v>2.3260000000000005</v>
      </c>
      <c r="X229" s="643">
        <v>0</v>
      </c>
      <c r="Y229" s="642">
        <v>3.7216000000000006E-2</v>
      </c>
      <c r="Z229" s="643">
        <v>949.39393939393938</v>
      </c>
      <c r="AA229" s="643">
        <v>279.58269678270966</v>
      </c>
      <c r="AB229" s="643">
        <v>196.53145821434362</v>
      </c>
      <c r="AC229" s="643">
        <v>37.828582612394825</v>
      </c>
      <c r="AD229" s="643">
        <v>0.444514092196865</v>
      </c>
      <c r="AE229" s="643">
        <v>0.15770970126630299</v>
      </c>
      <c r="AF229" s="643">
        <v>86.476611770328219</v>
      </c>
      <c r="AG229" s="643">
        <v>21.065809354780896</v>
      </c>
      <c r="AH229" s="644">
        <v>0</v>
      </c>
      <c r="AI229" s="643">
        <v>0</v>
      </c>
      <c r="AJ229" s="643">
        <v>0</v>
      </c>
      <c r="AK229" s="645">
        <v>1573.8445379219597</v>
      </c>
    </row>
    <row r="230" spans="3:37" ht="13.5">
      <c r="C230" s="641" t="s">
        <v>60</v>
      </c>
      <c r="D230" s="642">
        <v>48.372001461449948</v>
      </c>
      <c r="E230" s="643">
        <v>509.74501402008315</v>
      </c>
      <c r="F230" s="643">
        <v>84.255119008679685</v>
      </c>
      <c r="G230" s="642">
        <v>333.85211586331565</v>
      </c>
      <c r="H230" s="643">
        <v>0</v>
      </c>
      <c r="I230" s="643">
        <v>0</v>
      </c>
      <c r="J230" s="643">
        <v>4.1218275156281265</v>
      </c>
      <c r="K230" s="643">
        <v>0</v>
      </c>
      <c r="L230" s="643">
        <v>2.2815668000430724</v>
      </c>
      <c r="M230" s="643">
        <v>0</v>
      </c>
      <c r="N230" s="643">
        <v>0</v>
      </c>
      <c r="O230" s="643">
        <v>0</v>
      </c>
      <c r="P230" s="644">
        <v>0</v>
      </c>
      <c r="Q230" s="643">
        <v>0</v>
      </c>
      <c r="R230" s="643">
        <v>0</v>
      </c>
      <c r="S230" s="645">
        <v>982.62764466919975</v>
      </c>
      <c r="U230" s="641" t="s">
        <v>60</v>
      </c>
      <c r="V230" s="642">
        <v>8.3965846696126416</v>
      </c>
      <c r="W230" s="643">
        <v>294.49378048971494</v>
      </c>
      <c r="X230" s="643">
        <v>18.517216360631103</v>
      </c>
      <c r="Y230" s="642">
        <v>163.11536747865699</v>
      </c>
      <c r="Z230" s="643">
        <v>0</v>
      </c>
      <c r="AA230" s="643">
        <v>0</v>
      </c>
      <c r="AB230" s="643">
        <v>4.1218275156281265</v>
      </c>
      <c r="AC230" s="643">
        <v>0</v>
      </c>
      <c r="AD230" s="643">
        <v>2.2815668000430724</v>
      </c>
      <c r="AE230" s="643">
        <v>0</v>
      </c>
      <c r="AF230" s="643">
        <v>0</v>
      </c>
      <c r="AG230" s="643">
        <v>0</v>
      </c>
      <c r="AH230" s="644">
        <v>0</v>
      </c>
      <c r="AI230" s="643">
        <v>0</v>
      </c>
      <c r="AJ230" s="643">
        <v>0</v>
      </c>
      <c r="AK230" s="645">
        <v>490.9263433142869</v>
      </c>
    </row>
    <row r="231" spans="3:37" ht="13.5">
      <c r="C231" s="641" t="s">
        <v>61</v>
      </c>
      <c r="D231" s="642">
        <v>0</v>
      </c>
      <c r="E231" s="643">
        <v>0</v>
      </c>
      <c r="F231" s="643">
        <v>0</v>
      </c>
      <c r="G231" s="642">
        <v>0</v>
      </c>
      <c r="H231" s="643">
        <v>0</v>
      </c>
      <c r="I231" s="643">
        <v>0</v>
      </c>
      <c r="J231" s="643">
        <v>0</v>
      </c>
      <c r="K231" s="643">
        <v>0</v>
      </c>
      <c r="L231" s="643">
        <v>0</v>
      </c>
      <c r="M231" s="643">
        <v>0</v>
      </c>
      <c r="N231" s="643">
        <v>0</v>
      </c>
      <c r="O231" s="643">
        <v>0</v>
      </c>
      <c r="P231" s="644">
        <v>-38.942042128507637</v>
      </c>
      <c r="Q231" s="643">
        <v>0</v>
      </c>
      <c r="R231" s="643">
        <v>0</v>
      </c>
      <c r="S231" s="645">
        <v>-38.942042128507637</v>
      </c>
      <c r="U231" s="641" t="s">
        <v>61</v>
      </c>
      <c r="V231" s="642">
        <v>0</v>
      </c>
      <c r="W231" s="643">
        <v>0</v>
      </c>
      <c r="X231" s="643">
        <v>0</v>
      </c>
      <c r="Y231" s="642">
        <v>0</v>
      </c>
      <c r="Z231" s="643">
        <v>0</v>
      </c>
      <c r="AA231" s="643">
        <v>0</v>
      </c>
      <c r="AB231" s="643">
        <v>0</v>
      </c>
      <c r="AC231" s="643">
        <v>0</v>
      </c>
      <c r="AD231" s="643">
        <v>0</v>
      </c>
      <c r="AE231" s="643">
        <v>0</v>
      </c>
      <c r="AF231" s="643">
        <v>0</v>
      </c>
      <c r="AG231" s="643">
        <v>0</v>
      </c>
      <c r="AH231" s="644">
        <v>-20.693548582118865</v>
      </c>
      <c r="AI231" s="643">
        <v>0</v>
      </c>
      <c r="AJ231" s="643">
        <v>0</v>
      </c>
      <c r="AK231" s="645">
        <v>-20.693548582118865</v>
      </c>
    </row>
    <row r="232" spans="3:37" ht="13.5">
      <c r="C232" s="641" t="s">
        <v>62</v>
      </c>
      <c r="D232" s="642">
        <v>0</v>
      </c>
      <c r="E232" s="643">
        <v>0</v>
      </c>
      <c r="F232" s="643">
        <v>-16.016991189558784</v>
      </c>
      <c r="G232" s="642">
        <v>0</v>
      </c>
      <c r="H232" s="643">
        <v>0</v>
      </c>
      <c r="I232" s="643">
        <v>0</v>
      </c>
      <c r="J232" s="643">
        <v>0</v>
      </c>
      <c r="K232" s="643">
        <v>0</v>
      </c>
      <c r="L232" s="643">
        <v>0</v>
      </c>
      <c r="M232" s="643">
        <v>0</v>
      </c>
      <c r="N232" s="643">
        <v>0</v>
      </c>
      <c r="O232" s="643">
        <v>0</v>
      </c>
      <c r="P232" s="644">
        <v>0</v>
      </c>
      <c r="Q232" s="643">
        <v>0</v>
      </c>
      <c r="R232" s="643">
        <v>0</v>
      </c>
      <c r="S232" s="645">
        <v>-16.016991189558784</v>
      </c>
      <c r="U232" s="641" t="s">
        <v>62</v>
      </c>
      <c r="V232" s="642">
        <v>0</v>
      </c>
      <c r="W232" s="643">
        <v>0</v>
      </c>
      <c r="X232" s="643">
        <v>-11.216317309287092</v>
      </c>
      <c r="Y232" s="642">
        <v>-1.9971079411498778</v>
      </c>
      <c r="Z232" s="643">
        <v>0</v>
      </c>
      <c r="AA232" s="643">
        <v>0</v>
      </c>
      <c r="AB232" s="643">
        <v>0</v>
      </c>
      <c r="AC232" s="643">
        <v>0</v>
      </c>
      <c r="AD232" s="643">
        <v>0</v>
      </c>
      <c r="AE232" s="643">
        <v>-0.69888193239441998</v>
      </c>
      <c r="AF232" s="643">
        <v>0</v>
      </c>
      <c r="AG232" s="643">
        <v>0</v>
      </c>
      <c r="AH232" s="644">
        <v>0</v>
      </c>
      <c r="AI232" s="643">
        <v>0</v>
      </c>
      <c r="AJ232" s="643">
        <v>0</v>
      </c>
      <c r="AK232" s="645">
        <v>-13.912307182831389</v>
      </c>
    </row>
    <row r="233" spans="3:37" ht="13.5">
      <c r="C233" s="641" t="s">
        <v>63</v>
      </c>
      <c r="D233" s="642">
        <v>0</v>
      </c>
      <c r="E233" s="643">
        <v>0</v>
      </c>
      <c r="F233" s="643">
        <v>-85.676103269538828</v>
      </c>
      <c r="G233" s="642">
        <v>0</v>
      </c>
      <c r="H233" s="643">
        <v>0</v>
      </c>
      <c r="I233" s="643">
        <v>0</v>
      </c>
      <c r="J233" s="643">
        <v>0</v>
      </c>
      <c r="K233" s="643">
        <v>0</v>
      </c>
      <c r="L233" s="643">
        <v>-0.88445591317339634</v>
      </c>
      <c r="M233" s="643">
        <v>0</v>
      </c>
      <c r="N233" s="643">
        <v>0</v>
      </c>
      <c r="O233" s="643">
        <v>0</v>
      </c>
      <c r="P233" s="644">
        <v>0</v>
      </c>
      <c r="Q233" s="643">
        <v>0</v>
      </c>
      <c r="R233" s="643">
        <v>0</v>
      </c>
      <c r="S233" s="645">
        <v>-86.560559182712225</v>
      </c>
      <c r="U233" s="641" t="s">
        <v>63</v>
      </c>
      <c r="V233" s="642">
        <v>0</v>
      </c>
      <c r="W233" s="643">
        <v>0</v>
      </c>
      <c r="X233" s="643">
        <v>-61.793178017106612</v>
      </c>
      <c r="Y233" s="642">
        <v>0</v>
      </c>
      <c r="Z233" s="643">
        <v>0</v>
      </c>
      <c r="AA233" s="643">
        <v>0</v>
      </c>
      <c r="AB233" s="643">
        <v>0</v>
      </c>
      <c r="AC233" s="643">
        <v>0</v>
      </c>
      <c r="AD233" s="643">
        <v>-20.442150229714262</v>
      </c>
      <c r="AE233" s="643">
        <v>0</v>
      </c>
      <c r="AF233" s="643">
        <v>0</v>
      </c>
      <c r="AG233" s="643">
        <v>0</v>
      </c>
      <c r="AH233" s="644">
        <v>0</v>
      </c>
      <c r="AI233" s="643">
        <v>0</v>
      </c>
      <c r="AJ233" s="643">
        <v>0</v>
      </c>
      <c r="AK233" s="645">
        <v>-82.23532824682087</v>
      </c>
    </row>
    <row r="234" spans="3:37" ht="13.5">
      <c r="C234" s="641" t="s">
        <v>64</v>
      </c>
      <c r="D234" s="642">
        <v>0</v>
      </c>
      <c r="E234" s="643">
        <v>0</v>
      </c>
      <c r="F234" s="643">
        <v>0</v>
      </c>
      <c r="G234" s="642">
        <v>0</v>
      </c>
      <c r="H234" s="643">
        <v>0</v>
      </c>
      <c r="I234" s="643">
        <v>0</v>
      </c>
      <c r="J234" s="643">
        <v>0</v>
      </c>
      <c r="K234" s="643">
        <v>0</v>
      </c>
      <c r="L234" s="643">
        <v>0</v>
      </c>
      <c r="M234" s="643">
        <v>0</v>
      </c>
      <c r="N234" s="643">
        <v>0</v>
      </c>
      <c r="O234" s="643">
        <v>0</v>
      </c>
      <c r="P234" s="644">
        <v>0</v>
      </c>
      <c r="Q234" s="643">
        <v>0</v>
      </c>
      <c r="R234" s="643">
        <v>0</v>
      </c>
      <c r="S234" s="645">
        <v>0</v>
      </c>
      <c r="U234" s="641" t="s">
        <v>64</v>
      </c>
      <c r="V234" s="642">
        <v>0</v>
      </c>
      <c r="W234" s="643">
        <v>0</v>
      </c>
      <c r="X234" s="643">
        <v>0</v>
      </c>
      <c r="Y234" s="642">
        <v>0</v>
      </c>
      <c r="Z234" s="643">
        <v>0</v>
      </c>
      <c r="AA234" s="643">
        <v>0</v>
      </c>
      <c r="AB234" s="643">
        <v>0</v>
      </c>
      <c r="AC234" s="643">
        <v>0</v>
      </c>
      <c r="AD234" s="643">
        <v>0</v>
      </c>
      <c r="AE234" s="643">
        <v>0</v>
      </c>
      <c r="AF234" s="643">
        <v>0</v>
      </c>
      <c r="AG234" s="643">
        <v>0</v>
      </c>
      <c r="AH234" s="644">
        <v>0</v>
      </c>
      <c r="AI234" s="643">
        <v>0</v>
      </c>
      <c r="AJ234" s="643">
        <v>0</v>
      </c>
      <c r="AK234" s="645">
        <v>0</v>
      </c>
    </row>
    <row r="235" spans="3:37" ht="13.5">
      <c r="C235" s="646" t="s">
        <v>65</v>
      </c>
      <c r="D235" s="647">
        <v>48.372001461449948</v>
      </c>
      <c r="E235" s="647">
        <v>512.07101402008311</v>
      </c>
      <c r="F235" s="647">
        <v>-17.437975450417916</v>
      </c>
      <c r="G235" s="647">
        <v>333.88933186331565</v>
      </c>
      <c r="H235" s="647">
        <v>1005.4545454545456</v>
      </c>
      <c r="I235" s="647">
        <v>248.9826967827097</v>
      </c>
      <c r="J235" s="647">
        <v>193.94273469447566</v>
      </c>
      <c r="K235" s="647">
        <v>21.067323208066789</v>
      </c>
      <c r="L235" s="647">
        <v>1.8416249790665411</v>
      </c>
      <c r="M235" s="647">
        <v>0.15770970126630299</v>
      </c>
      <c r="N235" s="647">
        <v>60.832905155553725</v>
      </c>
      <c r="O235" s="647">
        <v>10.347989753579439</v>
      </c>
      <c r="P235" s="647">
        <v>-38.942042128507637</v>
      </c>
      <c r="Q235" s="647">
        <v>0</v>
      </c>
      <c r="R235" s="647">
        <v>0</v>
      </c>
      <c r="S235" s="647">
        <v>2380.5798594951875</v>
      </c>
      <c r="U235" s="646" t="s">
        <v>65</v>
      </c>
      <c r="V235" s="647">
        <v>8.3965846696126416</v>
      </c>
      <c r="W235" s="647">
        <v>296.81978048971496</v>
      </c>
      <c r="X235" s="647">
        <v>-54.492278965762601</v>
      </c>
      <c r="Y235" s="647">
        <v>161.15547553750713</v>
      </c>
      <c r="Z235" s="647">
        <v>949.39393939393938</v>
      </c>
      <c r="AA235" s="647">
        <v>279.58269678270966</v>
      </c>
      <c r="AB235" s="647">
        <v>200.65328572997174</v>
      </c>
      <c r="AC235" s="647">
        <v>37.828582612394825</v>
      </c>
      <c r="AD235" s="647">
        <v>-17.716069337474323</v>
      </c>
      <c r="AE235" s="647">
        <v>-0.54117223112811697</v>
      </c>
      <c r="AF235" s="647">
        <v>86.476611770328219</v>
      </c>
      <c r="AG235" s="647">
        <v>21.065809354780896</v>
      </c>
      <c r="AH235" s="647">
        <v>-20.693548582118865</v>
      </c>
      <c r="AI235" s="647">
        <v>0</v>
      </c>
      <c r="AJ235" s="647">
        <v>0</v>
      </c>
      <c r="AK235" s="647">
        <v>1947.9296972244754</v>
      </c>
    </row>
    <row r="236" spans="3:37" ht="13">
      <c r="C236" s="636"/>
      <c r="D236" s="636">
        <v>0</v>
      </c>
      <c r="E236" s="636">
        <v>0</v>
      </c>
      <c r="F236" s="636">
        <v>0</v>
      </c>
      <c r="G236" s="636">
        <v>0</v>
      </c>
      <c r="H236" s="636">
        <v>0</v>
      </c>
      <c r="I236" s="636">
        <v>0</v>
      </c>
      <c r="J236" s="636">
        <v>0</v>
      </c>
      <c r="K236" s="636">
        <v>0</v>
      </c>
      <c r="L236" s="636">
        <v>0</v>
      </c>
      <c r="M236" s="636">
        <v>0</v>
      </c>
      <c r="N236" s="636">
        <v>0</v>
      </c>
      <c r="O236" s="636">
        <v>0</v>
      </c>
      <c r="P236" s="636">
        <v>0</v>
      </c>
      <c r="Q236" s="636">
        <v>0</v>
      </c>
      <c r="R236" s="636">
        <v>0</v>
      </c>
      <c r="S236" s="636">
        <v>0</v>
      </c>
      <c r="U236" s="636"/>
      <c r="V236" s="636">
        <v>0</v>
      </c>
      <c r="W236" s="636">
        <v>0</v>
      </c>
      <c r="X236" s="636">
        <v>0</v>
      </c>
      <c r="Y236" s="636">
        <v>0</v>
      </c>
      <c r="Z236" s="636">
        <v>0</v>
      </c>
      <c r="AA236" s="636">
        <v>0</v>
      </c>
      <c r="AB236" s="636">
        <v>0</v>
      </c>
      <c r="AC236" s="636">
        <v>0</v>
      </c>
      <c r="AD236" s="636">
        <v>0</v>
      </c>
      <c r="AE236" s="636">
        <v>0</v>
      </c>
      <c r="AF236" s="636">
        <v>0</v>
      </c>
      <c r="AG236" s="636">
        <v>0</v>
      </c>
      <c r="AH236" s="636">
        <v>0</v>
      </c>
      <c r="AI236" s="636">
        <v>0</v>
      </c>
      <c r="AJ236" s="636">
        <v>0</v>
      </c>
      <c r="AK236" s="636">
        <v>0</v>
      </c>
    </row>
    <row r="237" spans="3:37" ht="13.5">
      <c r="C237" s="648" t="s">
        <v>67</v>
      </c>
      <c r="D237" s="642">
        <v>0</v>
      </c>
      <c r="E237" s="649">
        <v>0</v>
      </c>
      <c r="F237" s="649">
        <v>0</v>
      </c>
      <c r="G237" s="642">
        <v>0</v>
      </c>
      <c r="H237" s="642">
        <v>0</v>
      </c>
      <c r="I237" s="642">
        <v>0</v>
      </c>
      <c r="J237" s="642">
        <v>0</v>
      </c>
      <c r="K237" s="642">
        <v>0</v>
      </c>
      <c r="L237" s="642">
        <v>0</v>
      </c>
      <c r="M237" s="642">
        <v>0</v>
      </c>
      <c r="N237" s="642">
        <v>0</v>
      </c>
      <c r="O237" s="642">
        <v>0</v>
      </c>
      <c r="P237" s="642">
        <v>0</v>
      </c>
      <c r="Q237" s="642">
        <v>0</v>
      </c>
      <c r="R237" s="642">
        <v>0</v>
      </c>
      <c r="S237" s="650">
        <v>0</v>
      </c>
      <c r="U237" s="648" t="s">
        <v>67</v>
      </c>
      <c r="V237" s="642">
        <v>0</v>
      </c>
      <c r="W237" s="649">
        <v>0</v>
      </c>
      <c r="X237" s="649">
        <v>0</v>
      </c>
      <c r="Y237" s="642">
        <v>0</v>
      </c>
      <c r="Z237" s="642">
        <v>0</v>
      </c>
      <c r="AA237" s="642">
        <v>0</v>
      </c>
      <c r="AB237" s="642">
        <v>0</v>
      </c>
      <c r="AC237" s="642">
        <v>0</v>
      </c>
      <c r="AD237" s="642">
        <v>0</v>
      </c>
      <c r="AE237" s="642">
        <v>0</v>
      </c>
      <c r="AF237" s="642">
        <v>0</v>
      </c>
      <c r="AG237" s="642">
        <v>0</v>
      </c>
      <c r="AH237" s="642">
        <v>0</v>
      </c>
      <c r="AI237" s="642">
        <v>0</v>
      </c>
      <c r="AJ237" s="642">
        <v>0</v>
      </c>
      <c r="AK237" s="650">
        <v>0</v>
      </c>
    </row>
    <row r="238" spans="3:37" ht="13.5">
      <c r="C238" s="648" t="s">
        <v>350</v>
      </c>
      <c r="D238" s="642">
        <v>2.8267856410252494</v>
      </c>
      <c r="E238" s="642">
        <v>0</v>
      </c>
      <c r="F238" s="642">
        <v>7.7008933134364401</v>
      </c>
      <c r="G238" s="642">
        <v>17.192982456140349</v>
      </c>
      <c r="H238" s="642">
        <v>1005.4545454545456</v>
      </c>
      <c r="I238" s="642">
        <v>248.9826967827097</v>
      </c>
      <c r="J238" s="651">
        <v>29.95115714704033</v>
      </c>
      <c r="K238" s="651">
        <v>7.1699357941539494</v>
      </c>
      <c r="L238" s="651">
        <v>2.7260808922399375</v>
      </c>
      <c r="M238" s="651">
        <v>0.47574727688811397</v>
      </c>
      <c r="N238" s="651">
        <v>0</v>
      </c>
      <c r="O238" s="651">
        <v>5.3758847536792693</v>
      </c>
      <c r="P238" s="642">
        <v>-611.6040304377284</v>
      </c>
      <c r="Q238" s="642">
        <v>0</v>
      </c>
      <c r="R238" s="642">
        <v>0</v>
      </c>
      <c r="S238" s="650">
        <v>716.25267907413024</v>
      </c>
      <c r="U238" s="648" t="s">
        <v>350</v>
      </c>
      <c r="V238" s="642">
        <v>0.62631490545869017</v>
      </c>
      <c r="W238" s="642">
        <v>0</v>
      </c>
      <c r="X238" s="642">
        <v>3.8372569498000768</v>
      </c>
      <c r="Y238" s="642">
        <v>12.853333333333333</v>
      </c>
      <c r="Z238" s="642">
        <v>949.39393939393938</v>
      </c>
      <c r="AA238" s="642">
        <v>279.58269678270966</v>
      </c>
      <c r="AB238" s="651">
        <v>24.143657694158538</v>
      </c>
      <c r="AC238" s="651">
        <v>6.0680800758314266</v>
      </c>
      <c r="AD238" s="651">
        <v>2.7260808922399375</v>
      </c>
      <c r="AE238" s="651">
        <v>4.1838174523267107</v>
      </c>
      <c r="AF238" s="651">
        <v>0</v>
      </c>
      <c r="AG238" s="651">
        <v>5.3758847536792693</v>
      </c>
      <c r="AH238" s="642">
        <v>-621.90403043772824</v>
      </c>
      <c r="AI238" s="642">
        <v>0</v>
      </c>
      <c r="AJ238" s="642">
        <v>3.8</v>
      </c>
      <c r="AK238" s="650">
        <v>670.68703179574891</v>
      </c>
    </row>
    <row r="239" spans="3:37" ht="13.5">
      <c r="C239" s="648" t="s">
        <v>351</v>
      </c>
      <c r="D239" s="642">
        <v>0</v>
      </c>
      <c r="E239" s="642">
        <v>0</v>
      </c>
      <c r="F239" s="642">
        <v>0</v>
      </c>
      <c r="G239" s="642">
        <v>15.048436077523924</v>
      </c>
      <c r="H239" s="642">
        <v>0</v>
      </c>
      <c r="I239" s="642">
        <v>0</v>
      </c>
      <c r="J239" s="651">
        <v>12.74533322609016</v>
      </c>
      <c r="K239" s="651">
        <v>12.056480951460374</v>
      </c>
      <c r="L239" s="651">
        <v>0</v>
      </c>
      <c r="M239" s="651">
        <v>0.32133708059977345</v>
      </c>
      <c r="N239" s="651">
        <v>0</v>
      </c>
      <c r="O239" s="651">
        <v>2.1348201063802894</v>
      </c>
      <c r="P239" s="642">
        <v>0</v>
      </c>
      <c r="Q239" s="642">
        <v>-38.309646115177976</v>
      </c>
      <c r="R239" s="642">
        <v>0</v>
      </c>
      <c r="S239" s="650">
        <v>3.9967613268765492</v>
      </c>
      <c r="U239" s="648" t="s">
        <v>351</v>
      </c>
      <c r="V239" s="642">
        <v>0</v>
      </c>
      <c r="W239" s="642">
        <v>0</v>
      </c>
      <c r="X239" s="642">
        <v>0</v>
      </c>
      <c r="Y239" s="642">
        <v>12.803359009118745</v>
      </c>
      <c r="Z239" s="642">
        <v>0</v>
      </c>
      <c r="AA239" s="642">
        <v>0</v>
      </c>
      <c r="AB239" s="651">
        <v>28.717481814983032</v>
      </c>
      <c r="AC239" s="651">
        <v>25.924008984647354</v>
      </c>
      <c r="AD239" s="651">
        <v>0</v>
      </c>
      <c r="AE239" s="651">
        <v>4.0573921431217457</v>
      </c>
      <c r="AF239" s="651">
        <v>0</v>
      </c>
      <c r="AG239" s="651">
        <v>9.7357518308203428</v>
      </c>
      <c r="AH239" s="642">
        <v>0</v>
      </c>
      <c r="AI239" s="642">
        <v>-74.504230286476243</v>
      </c>
      <c r="AJ239" s="642">
        <v>0</v>
      </c>
      <c r="AK239" s="650">
        <v>6.7337634962149808</v>
      </c>
    </row>
    <row r="240" spans="3:37" ht="13.5">
      <c r="C240" s="648" t="s">
        <v>352</v>
      </c>
      <c r="D240" s="642">
        <v>0</v>
      </c>
      <c r="E240" s="642">
        <v>0</v>
      </c>
      <c r="F240" s="642">
        <v>0</v>
      </c>
      <c r="G240" s="642">
        <v>0</v>
      </c>
      <c r="H240" s="642">
        <v>0</v>
      </c>
      <c r="I240" s="642">
        <v>0</v>
      </c>
      <c r="J240" s="652">
        <v>7.2695194025067336</v>
      </c>
      <c r="K240" s="652">
        <v>0</v>
      </c>
      <c r="L240" s="652">
        <v>0</v>
      </c>
      <c r="M240" s="652">
        <v>-6.5716455398660871</v>
      </c>
      <c r="N240" s="652">
        <v>0</v>
      </c>
      <c r="O240" s="652">
        <v>0</v>
      </c>
      <c r="P240" s="642">
        <v>0</v>
      </c>
      <c r="Q240" s="642">
        <v>0</v>
      </c>
      <c r="R240" s="642">
        <v>0</v>
      </c>
      <c r="S240" s="650">
        <v>0.69787386264064644</v>
      </c>
      <c r="U240" s="648" t="s">
        <v>352</v>
      </c>
      <c r="V240" s="642">
        <v>0</v>
      </c>
      <c r="W240" s="642">
        <v>0</v>
      </c>
      <c r="X240" s="642">
        <v>0</v>
      </c>
      <c r="Y240" s="642">
        <v>0</v>
      </c>
      <c r="Z240" s="642">
        <v>0</v>
      </c>
      <c r="AA240" s="642">
        <v>0</v>
      </c>
      <c r="AB240" s="652">
        <v>56.55251118568826</v>
      </c>
      <c r="AC240" s="652">
        <v>0</v>
      </c>
      <c r="AD240" s="652">
        <v>0</v>
      </c>
      <c r="AE240" s="652">
        <v>-51.12347011186219</v>
      </c>
      <c r="AF240" s="652">
        <v>0</v>
      </c>
      <c r="AG240" s="652">
        <v>0</v>
      </c>
      <c r="AH240" s="642">
        <v>0</v>
      </c>
      <c r="AI240" s="642">
        <v>0</v>
      </c>
      <c r="AJ240" s="642">
        <v>0</v>
      </c>
      <c r="AK240" s="650">
        <v>5.4290410738260704</v>
      </c>
    </row>
    <row r="241" spans="3:37" ht="13.5">
      <c r="C241" s="648" t="s">
        <v>353</v>
      </c>
      <c r="D241" s="642">
        <v>0</v>
      </c>
      <c r="E241" s="642">
        <v>0</v>
      </c>
      <c r="F241" s="642">
        <v>0</v>
      </c>
      <c r="G241" s="642">
        <v>0</v>
      </c>
      <c r="H241" s="642">
        <v>0</v>
      </c>
      <c r="I241" s="642">
        <v>0</v>
      </c>
      <c r="J241" s="642">
        <v>0</v>
      </c>
      <c r="K241" s="642">
        <v>0</v>
      </c>
      <c r="L241" s="642">
        <v>0</v>
      </c>
      <c r="M241" s="642">
        <v>0</v>
      </c>
      <c r="N241" s="642">
        <v>0</v>
      </c>
      <c r="O241" s="642">
        <v>0</v>
      </c>
      <c r="P241" s="642">
        <v>0</v>
      </c>
      <c r="Q241" s="642">
        <v>0</v>
      </c>
      <c r="R241" s="642">
        <v>0</v>
      </c>
      <c r="S241" s="650">
        <v>0</v>
      </c>
      <c r="U241" s="648" t="s">
        <v>353</v>
      </c>
      <c r="V241" s="642">
        <v>0</v>
      </c>
      <c r="W241" s="642">
        <v>0</v>
      </c>
      <c r="X241" s="642">
        <v>0</v>
      </c>
      <c r="Y241" s="642">
        <v>0</v>
      </c>
      <c r="Z241" s="642">
        <v>0</v>
      </c>
      <c r="AA241" s="642">
        <v>0</v>
      </c>
      <c r="AB241" s="642">
        <v>0</v>
      </c>
      <c r="AC241" s="642">
        <v>0</v>
      </c>
      <c r="AD241" s="642">
        <v>0</v>
      </c>
      <c r="AE241" s="642">
        <v>0</v>
      </c>
      <c r="AF241" s="642">
        <v>0</v>
      </c>
      <c r="AG241" s="642">
        <v>0</v>
      </c>
      <c r="AH241" s="642">
        <v>0</v>
      </c>
      <c r="AI241" s="642">
        <v>0</v>
      </c>
      <c r="AJ241" s="642">
        <v>0</v>
      </c>
      <c r="AK241" s="650">
        <v>0</v>
      </c>
    </row>
    <row r="242" spans="3:37" ht="13.5">
      <c r="C242" s="648" t="s">
        <v>72</v>
      </c>
      <c r="D242" s="642">
        <v>0</v>
      </c>
      <c r="E242" s="642">
        <v>530.45114623720224</v>
      </c>
      <c r="F242" s="642">
        <v>-525.1466347748302</v>
      </c>
      <c r="G242" s="642">
        <v>0</v>
      </c>
      <c r="H242" s="642">
        <v>0</v>
      </c>
      <c r="I242" s="642">
        <v>0</v>
      </c>
      <c r="J242" s="642">
        <v>0</v>
      </c>
      <c r="K242" s="642">
        <v>0</v>
      </c>
      <c r="L242" s="642">
        <v>0</v>
      </c>
      <c r="M242" s="642">
        <v>0</v>
      </c>
      <c r="N242" s="642">
        <v>0</v>
      </c>
      <c r="O242" s="642">
        <v>0</v>
      </c>
      <c r="P242" s="642">
        <v>0</v>
      </c>
      <c r="Q242" s="642">
        <v>0</v>
      </c>
      <c r="R242" s="642">
        <v>0</v>
      </c>
      <c r="S242" s="650">
        <v>5.3045114623720337</v>
      </c>
      <c r="U242" s="648" t="s">
        <v>72</v>
      </c>
      <c r="V242" s="642">
        <v>0</v>
      </c>
      <c r="W242" s="642">
        <v>307.47374578102756</v>
      </c>
      <c r="X242" s="642">
        <v>-304.39900832321729</v>
      </c>
      <c r="Y242" s="642">
        <v>0</v>
      </c>
      <c r="Z242" s="642">
        <v>0</v>
      </c>
      <c r="AA242" s="642">
        <v>0</v>
      </c>
      <c r="AB242" s="642">
        <v>0</v>
      </c>
      <c r="AC242" s="642">
        <v>0</v>
      </c>
      <c r="AD242" s="642">
        <v>0</v>
      </c>
      <c r="AE242" s="642">
        <v>0</v>
      </c>
      <c r="AF242" s="642">
        <v>0</v>
      </c>
      <c r="AG242" s="642">
        <v>0</v>
      </c>
      <c r="AH242" s="642">
        <v>0</v>
      </c>
      <c r="AI242" s="642">
        <v>0</v>
      </c>
      <c r="AJ242" s="642">
        <v>0</v>
      </c>
      <c r="AK242" s="650">
        <v>3.0747374578102722</v>
      </c>
    </row>
    <row r="243" spans="3:37" ht="13.5">
      <c r="C243" s="648" t="s">
        <v>354</v>
      </c>
      <c r="D243" s="642">
        <v>0</v>
      </c>
      <c r="E243" s="642">
        <v>0</v>
      </c>
      <c r="F243" s="642">
        <v>0</v>
      </c>
      <c r="G243" s="642">
        <v>0</v>
      </c>
      <c r="H243" s="642">
        <v>0</v>
      </c>
      <c r="I243" s="642">
        <v>0</v>
      </c>
      <c r="J243" s="642">
        <v>30.470996070194996</v>
      </c>
      <c r="K243" s="642">
        <v>0</v>
      </c>
      <c r="L243" s="642">
        <v>-30.470996070194996</v>
      </c>
      <c r="M243" s="642">
        <v>0</v>
      </c>
      <c r="N243" s="642">
        <v>0</v>
      </c>
      <c r="O243" s="642">
        <v>0</v>
      </c>
      <c r="P243" s="642">
        <v>0</v>
      </c>
      <c r="Q243" s="642">
        <v>0</v>
      </c>
      <c r="R243" s="642">
        <v>0</v>
      </c>
      <c r="S243" s="650">
        <v>0</v>
      </c>
      <c r="U243" s="648" t="s">
        <v>354</v>
      </c>
      <c r="V243" s="642">
        <v>0</v>
      </c>
      <c r="W243" s="642">
        <v>0</v>
      </c>
      <c r="X243" s="642">
        <v>0</v>
      </c>
      <c r="Y243" s="642">
        <v>0</v>
      </c>
      <c r="Z243" s="642">
        <v>0</v>
      </c>
      <c r="AA243" s="642">
        <v>0</v>
      </c>
      <c r="AB243" s="642" t="e">
        <v>#VALUE!</v>
      </c>
      <c r="AC243" s="642">
        <v>0</v>
      </c>
      <c r="AD243" s="642">
        <v>-92.079399970639116</v>
      </c>
      <c r="AE243" s="642">
        <v>0</v>
      </c>
      <c r="AF243" s="642">
        <v>0</v>
      </c>
      <c r="AG243" s="642">
        <v>0</v>
      </c>
      <c r="AH243" s="642">
        <v>0</v>
      </c>
      <c r="AI243" s="642">
        <v>0</v>
      </c>
      <c r="AJ243" s="642">
        <v>0</v>
      </c>
      <c r="AK243" s="650">
        <v>-92.079399970639116</v>
      </c>
    </row>
    <row r="244" spans="3:37" ht="13.5">
      <c r="C244" s="648" t="s">
        <v>355</v>
      </c>
      <c r="D244" s="642">
        <v>0</v>
      </c>
      <c r="E244" s="642">
        <v>0</v>
      </c>
      <c r="F244" s="642">
        <v>0</v>
      </c>
      <c r="G244" s="642">
        <v>0</v>
      </c>
      <c r="H244" s="642">
        <v>0</v>
      </c>
      <c r="I244" s="642">
        <v>0</v>
      </c>
      <c r="J244" s="642">
        <v>0</v>
      </c>
      <c r="K244" s="642">
        <v>0</v>
      </c>
      <c r="L244" s="642">
        <v>0</v>
      </c>
      <c r="M244" s="642">
        <v>0</v>
      </c>
      <c r="N244" s="642">
        <v>0</v>
      </c>
      <c r="O244" s="642">
        <v>0</v>
      </c>
      <c r="P244" s="642">
        <v>0</v>
      </c>
      <c r="Q244" s="642">
        <v>0</v>
      </c>
      <c r="R244" s="642">
        <v>0</v>
      </c>
      <c r="S244" s="650">
        <v>0</v>
      </c>
      <c r="U244" s="648" t="s">
        <v>355</v>
      </c>
      <c r="V244" s="642">
        <v>0</v>
      </c>
      <c r="W244" s="642">
        <v>0</v>
      </c>
      <c r="X244" s="642">
        <v>0</v>
      </c>
      <c r="Y244" s="642">
        <v>0</v>
      </c>
      <c r="Z244" s="642">
        <v>0</v>
      </c>
      <c r="AA244" s="642">
        <v>0</v>
      </c>
      <c r="AB244" s="642">
        <v>0</v>
      </c>
      <c r="AC244" s="642">
        <v>0</v>
      </c>
      <c r="AD244" s="642">
        <v>-18.857582137623396</v>
      </c>
      <c r="AE244" s="642">
        <v>0</v>
      </c>
      <c r="AF244" s="642">
        <v>0</v>
      </c>
      <c r="AG244" s="642">
        <v>0</v>
      </c>
      <c r="AH244" s="642">
        <v>0</v>
      </c>
      <c r="AI244" s="642">
        <v>0</v>
      </c>
      <c r="AJ244" s="642">
        <v>0</v>
      </c>
      <c r="AK244" s="650">
        <v>-18.857582137623396</v>
      </c>
    </row>
    <row r="245" spans="3:37" ht="13.5">
      <c r="C245" s="648" t="s">
        <v>73</v>
      </c>
      <c r="D245" s="642">
        <v>0</v>
      </c>
      <c r="E245" s="642">
        <v>0</v>
      </c>
      <c r="F245" s="642">
        <v>0</v>
      </c>
      <c r="G245" s="642">
        <v>4.2253053989858387</v>
      </c>
      <c r="H245" s="642">
        <v>0</v>
      </c>
      <c r="I245" s="642">
        <v>0</v>
      </c>
      <c r="J245" s="642">
        <v>0</v>
      </c>
      <c r="K245" s="642">
        <v>4.8227473393893973E-2</v>
      </c>
      <c r="L245" s="642">
        <v>0</v>
      </c>
      <c r="M245" s="642">
        <v>8.6230722428282419E-2</v>
      </c>
      <c r="N245" s="642">
        <v>0</v>
      </c>
      <c r="O245" s="642">
        <v>0</v>
      </c>
      <c r="P245" s="642">
        <v>0.47800681593948002</v>
      </c>
      <c r="Q245" s="642">
        <v>0</v>
      </c>
      <c r="R245" s="642">
        <v>-3.3759231375725771</v>
      </c>
      <c r="S245" s="650">
        <v>1.4618472731749175</v>
      </c>
      <c r="U245" s="648" t="s">
        <v>73</v>
      </c>
      <c r="V245" s="642">
        <v>0</v>
      </c>
      <c r="W245" s="642">
        <v>0</v>
      </c>
      <c r="X245" s="642">
        <v>0</v>
      </c>
      <c r="Y245" s="642">
        <v>6.2430459874299995</v>
      </c>
      <c r="Z245" s="642">
        <v>0</v>
      </c>
      <c r="AA245" s="642">
        <v>0</v>
      </c>
      <c r="AB245" s="642">
        <v>0</v>
      </c>
      <c r="AC245" s="642">
        <v>0.34514849554566557</v>
      </c>
      <c r="AD245" s="642">
        <v>0</v>
      </c>
      <c r="AE245" s="642">
        <v>1.9714882065568418</v>
      </c>
      <c r="AF245" s="642">
        <v>0</v>
      </c>
      <c r="AG245" s="642">
        <v>0</v>
      </c>
      <c r="AH245" s="642">
        <v>26.797369919651668</v>
      </c>
      <c r="AI245" s="642">
        <v>0</v>
      </c>
      <c r="AJ245" s="642">
        <v>-24.160394688196586</v>
      </c>
      <c r="AK245" s="650">
        <v>11.196657920987594</v>
      </c>
    </row>
    <row r="246" spans="3:37" ht="13.5">
      <c r="C246" s="648" t="s">
        <v>356</v>
      </c>
      <c r="D246" s="642">
        <v>28.633394531250001</v>
      </c>
      <c r="E246" s="642">
        <v>-18.380132217119058</v>
      </c>
      <c r="F246" s="642">
        <v>24.040127313749448</v>
      </c>
      <c r="G246" s="642">
        <v>0</v>
      </c>
      <c r="H246" s="642">
        <v>0</v>
      </c>
      <c r="I246" s="642">
        <v>0</v>
      </c>
      <c r="J246" s="642">
        <v>0</v>
      </c>
      <c r="K246" s="642">
        <v>0</v>
      </c>
      <c r="L246" s="642">
        <v>0</v>
      </c>
      <c r="M246" s="642">
        <v>0</v>
      </c>
      <c r="N246" s="642">
        <v>0</v>
      </c>
      <c r="O246" s="642">
        <v>0</v>
      </c>
      <c r="P246" s="642">
        <v>0</v>
      </c>
      <c r="Q246" s="642">
        <v>0</v>
      </c>
      <c r="R246" s="642">
        <v>0</v>
      </c>
      <c r="S246" s="650">
        <v>34.293389627880387</v>
      </c>
      <c r="U246" s="648" t="s">
        <v>356</v>
      </c>
      <c r="V246" s="642">
        <v>2.8339389038085936</v>
      </c>
      <c r="W246" s="642">
        <v>-10.653965291312606</v>
      </c>
      <c r="X246" s="642">
        <v>13.93475732241321</v>
      </c>
      <c r="Y246" s="642">
        <v>0</v>
      </c>
      <c r="Z246" s="642">
        <v>0</v>
      </c>
      <c r="AA246" s="642">
        <v>0</v>
      </c>
      <c r="AB246" s="642">
        <v>0</v>
      </c>
      <c r="AC246" s="642">
        <v>0</v>
      </c>
      <c r="AD246" s="642">
        <v>0</v>
      </c>
      <c r="AE246" s="642">
        <v>0</v>
      </c>
      <c r="AF246" s="642">
        <v>0</v>
      </c>
      <c r="AG246" s="642">
        <v>0</v>
      </c>
      <c r="AH246" s="642">
        <v>0</v>
      </c>
      <c r="AI246" s="642">
        <v>0</v>
      </c>
      <c r="AJ246" s="642">
        <v>0</v>
      </c>
      <c r="AK246" s="650">
        <v>6.1147309349091987</v>
      </c>
    </row>
    <row r="247" spans="3:37" ht="13.5">
      <c r="C247" s="648" t="s">
        <v>75</v>
      </c>
      <c r="D247" s="642">
        <v>11.135208984375002</v>
      </c>
      <c r="E247" s="642">
        <v>0</v>
      </c>
      <c r="F247" s="642">
        <v>18.035338972064878</v>
      </c>
      <c r="G247" s="642">
        <v>5.1464370207933356</v>
      </c>
      <c r="H247" s="642">
        <v>0</v>
      </c>
      <c r="I247" s="642">
        <v>0</v>
      </c>
      <c r="J247" s="642">
        <v>0</v>
      </c>
      <c r="K247" s="642">
        <v>0</v>
      </c>
      <c r="L247" s="642">
        <v>0</v>
      </c>
      <c r="M247" s="642">
        <v>0.10502932695496604</v>
      </c>
      <c r="N247" s="642">
        <v>0</v>
      </c>
      <c r="O247" s="642">
        <v>0</v>
      </c>
      <c r="P247" s="642">
        <v>31.859130537431355</v>
      </c>
      <c r="Q247" s="642">
        <v>0</v>
      </c>
      <c r="R247" s="642">
        <v>0</v>
      </c>
      <c r="S247" s="650">
        <v>66.281144841619536</v>
      </c>
      <c r="U247" s="648" t="s">
        <v>75</v>
      </c>
      <c r="V247" s="642">
        <v>3.871097900390625</v>
      </c>
      <c r="W247" s="642">
        <v>0</v>
      </c>
      <c r="X247" s="642">
        <v>18.035338972064878</v>
      </c>
      <c r="Y247" s="642">
        <v>3.9911144242887096</v>
      </c>
      <c r="Z247" s="642">
        <v>0</v>
      </c>
      <c r="AA247" s="642">
        <v>0</v>
      </c>
      <c r="AB247" s="642">
        <v>0</v>
      </c>
      <c r="AC247" s="642">
        <v>0</v>
      </c>
      <c r="AD247" s="642">
        <v>0</v>
      </c>
      <c r="AE247" s="642">
        <v>1.2603519234595923</v>
      </c>
      <c r="AF247" s="642">
        <v>0</v>
      </c>
      <c r="AG247" s="642">
        <v>0</v>
      </c>
      <c r="AH247" s="642">
        <v>35.363675991976798</v>
      </c>
      <c r="AI247" s="642">
        <v>0</v>
      </c>
      <c r="AJ247" s="642">
        <v>0</v>
      </c>
      <c r="AK247" s="650">
        <v>62.521579212180605</v>
      </c>
    </row>
    <row r="248" spans="3:37" ht="13.5">
      <c r="C248" s="648" t="s">
        <v>76</v>
      </c>
      <c r="D248" s="642">
        <v>0</v>
      </c>
      <c r="E248" s="642">
        <v>0</v>
      </c>
      <c r="F248" s="642">
        <v>0</v>
      </c>
      <c r="G248" s="642">
        <v>3.818307882847094</v>
      </c>
      <c r="H248" s="642">
        <v>0</v>
      </c>
      <c r="I248" s="642">
        <v>0</v>
      </c>
      <c r="J248" s="642">
        <v>0</v>
      </c>
      <c r="K248" s="642">
        <v>0</v>
      </c>
      <c r="L248" s="642">
        <v>0</v>
      </c>
      <c r="M248" s="642">
        <v>7.7924650670348858E-2</v>
      </c>
      <c r="N248" s="642">
        <v>0</v>
      </c>
      <c r="O248" s="642">
        <v>0</v>
      </c>
      <c r="P248" s="642">
        <v>43.831436480126726</v>
      </c>
      <c r="Q248" s="642">
        <v>2.9732290990631256</v>
      </c>
      <c r="R248" s="642">
        <v>0</v>
      </c>
      <c r="S248" s="650">
        <v>50.700898112707293</v>
      </c>
      <c r="U248" s="648" t="s">
        <v>76</v>
      </c>
      <c r="V248" s="642">
        <v>0</v>
      </c>
      <c r="W248" s="642">
        <v>0</v>
      </c>
      <c r="X248" s="642">
        <v>0</v>
      </c>
      <c r="Y248" s="642">
        <v>1.9196559923426515</v>
      </c>
      <c r="Z248" s="642">
        <v>0</v>
      </c>
      <c r="AA248" s="642">
        <v>0</v>
      </c>
      <c r="AB248" s="642">
        <v>0</v>
      </c>
      <c r="AC248" s="642">
        <v>0</v>
      </c>
      <c r="AD248" s="642">
        <v>0</v>
      </c>
      <c r="AE248" s="642">
        <v>0.60620715547662674</v>
      </c>
      <c r="AF248" s="642">
        <v>0</v>
      </c>
      <c r="AG248" s="642">
        <v>0</v>
      </c>
      <c r="AH248" s="642">
        <v>46.019363501687437</v>
      </c>
      <c r="AI248" s="642">
        <v>5.777975473960776</v>
      </c>
      <c r="AJ248" s="642">
        <v>0</v>
      </c>
      <c r="AK248" s="650">
        <v>54.323202123467496</v>
      </c>
    </row>
    <row r="249" spans="3:37" ht="13.5">
      <c r="C249" s="646" t="s">
        <v>77</v>
      </c>
      <c r="D249" s="647">
        <v>42.595389156650249</v>
      </c>
      <c r="E249" s="647">
        <v>512.07101402008323</v>
      </c>
      <c r="F249" s="647">
        <v>-475.37027517557942</v>
      </c>
      <c r="G249" s="647">
        <v>45.431468836290541</v>
      </c>
      <c r="H249" s="647">
        <v>1005.4545454545456</v>
      </c>
      <c r="I249" s="647">
        <v>248.9826967827097</v>
      </c>
      <c r="J249" s="647">
        <v>80.437005845832218</v>
      </c>
      <c r="K249" s="647">
        <v>19.274644219008216</v>
      </c>
      <c r="L249" s="647">
        <v>-27.744915177955058</v>
      </c>
      <c r="M249" s="647">
        <v>-5.5053764823246025</v>
      </c>
      <c r="N249" s="647">
        <v>0</v>
      </c>
      <c r="O249" s="647">
        <v>7.5107048600595583</v>
      </c>
      <c r="P249" s="647">
        <v>-535.43545660423092</v>
      </c>
      <c r="Q249" s="647">
        <v>-35.336417016114851</v>
      </c>
      <c r="R249" s="647">
        <v>-3.3759231375725771</v>
      </c>
      <c r="S249" s="647">
        <v>878.98910558140176</v>
      </c>
      <c r="U249" s="646" t="s">
        <v>77</v>
      </c>
      <c r="V249" s="647">
        <v>7.3313517096579091</v>
      </c>
      <c r="W249" s="647">
        <v>296.81978048971496</v>
      </c>
      <c r="X249" s="647">
        <v>-268.59165507893914</v>
      </c>
      <c r="Y249" s="647">
        <v>37.810508746513442</v>
      </c>
      <c r="Z249" s="647">
        <v>949.39393939393938</v>
      </c>
      <c r="AA249" s="647">
        <v>279.58269678270966</v>
      </c>
      <c r="AB249" s="647">
        <v>109.41365069482983</v>
      </c>
      <c r="AC249" s="647">
        <v>32.337237556024441</v>
      </c>
      <c r="AD249" s="647">
        <v>-108.21090121602258</v>
      </c>
      <c r="AE249" s="647">
        <v>-39.044213230920668</v>
      </c>
      <c r="AF249" s="647">
        <v>0</v>
      </c>
      <c r="AG249" s="647">
        <v>15.111636584499612</v>
      </c>
      <c r="AH249" s="647">
        <v>-513.7236210244123</v>
      </c>
      <c r="AI249" s="647">
        <v>-68.726254812515464</v>
      </c>
      <c r="AJ249" s="647">
        <v>-20.360394688196585</v>
      </c>
      <c r="AK249" s="647">
        <v>709.14376190688279</v>
      </c>
    </row>
    <row r="250" spans="3:37" ht="13">
      <c r="C250" s="636"/>
      <c r="D250" s="636">
        <v>0</v>
      </c>
      <c r="E250" s="636">
        <v>0</v>
      </c>
      <c r="F250" s="636">
        <v>0</v>
      </c>
      <c r="G250" s="636">
        <v>0</v>
      </c>
      <c r="H250" s="636">
        <v>0</v>
      </c>
      <c r="I250" s="636">
        <v>0</v>
      </c>
      <c r="J250" s="636">
        <v>0</v>
      </c>
      <c r="K250" s="636">
        <v>0</v>
      </c>
      <c r="L250" s="636">
        <v>0</v>
      </c>
      <c r="M250" s="636">
        <v>0</v>
      </c>
      <c r="N250" s="636">
        <v>0</v>
      </c>
      <c r="O250" s="636">
        <v>0</v>
      </c>
      <c r="P250" s="636">
        <v>0</v>
      </c>
      <c r="Q250" s="636">
        <v>0</v>
      </c>
      <c r="R250" s="636">
        <v>0</v>
      </c>
      <c r="S250" s="636">
        <v>0</v>
      </c>
      <c r="U250" s="636"/>
      <c r="V250" s="636">
        <v>0</v>
      </c>
      <c r="W250" s="636">
        <v>0</v>
      </c>
      <c r="X250" s="636">
        <v>0</v>
      </c>
      <c r="Y250" s="636">
        <v>0</v>
      </c>
      <c r="Z250" s="636">
        <v>0</v>
      </c>
      <c r="AA250" s="636">
        <v>0</v>
      </c>
      <c r="AB250" s="636">
        <v>0</v>
      </c>
      <c r="AC250" s="636">
        <v>0</v>
      </c>
      <c r="AD250" s="636">
        <v>0</v>
      </c>
      <c r="AE250" s="636">
        <v>0</v>
      </c>
      <c r="AF250" s="636">
        <v>0</v>
      </c>
      <c r="AG250" s="636">
        <v>0</v>
      </c>
      <c r="AH250" s="636">
        <v>0</v>
      </c>
      <c r="AI250" s="636">
        <v>0</v>
      </c>
      <c r="AJ250" s="636">
        <v>0</v>
      </c>
      <c r="AK250" s="636">
        <v>0</v>
      </c>
    </row>
    <row r="251" spans="3:37" ht="13.5">
      <c r="C251" s="648" t="s">
        <v>78</v>
      </c>
      <c r="D251" s="642">
        <v>5.7766123047996905</v>
      </c>
      <c r="E251" s="642">
        <v>0</v>
      </c>
      <c r="F251" s="642">
        <v>22.402619678599791</v>
      </c>
      <c r="G251" s="642">
        <v>99.281124041468402</v>
      </c>
      <c r="H251" s="642">
        <v>0</v>
      </c>
      <c r="I251" s="642">
        <v>0</v>
      </c>
      <c r="J251" s="642">
        <v>20.258622771310847</v>
      </c>
      <c r="K251" s="642">
        <v>1.7675748663376085</v>
      </c>
      <c r="L251" s="642">
        <v>0.898333240234375</v>
      </c>
      <c r="M251" s="642">
        <v>2.0447588657198987</v>
      </c>
      <c r="N251" s="642">
        <v>0</v>
      </c>
      <c r="O251" s="642">
        <v>3.7946622282562846E-4</v>
      </c>
      <c r="P251" s="642">
        <v>110.87393457022205</v>
      </c>
      <c r="Q251" s="642">
        <v>16.091742927144434</v>
      </c>
      <c r="R251" s="642">
        <v>0.31004003906249999</v>
      </c>
      <c r="S251" s="650">
        <v>279.70574277112252</v>
      </c>
      <c r="U251" s="648" t="s">
        <v>78</v>
      </c>
      <c r="V251" s="642">
        <v>1.065232959954733</v>
      </c>
      <c r="W251" s="642">
        <v>0</v>
      </c>
      <c r="X251" s="642">
        <v>10.225742404389669</v>
      </c>
      <c r="Y251" s="642">
        <v>56.981112862578769</v>
      </c>
      <c r="Z251" s="642">
        <v>0</v>
      </c>
      <c r="AA251" s="642">
        <v>0</v>
      </c>
      <c r="AB251" s="642">
        <v>15.894636498884354</v>
      </c>
      <c r="AC251" s="642">
        <v>5.4662409336494147</v>
      </c>
      <c r="AD251" s="642">
        <v>3.5459101562500011</v>
      </c>
      <c r="AE251" s="642">
        <v>18.012649117932849</v>
      </c>
      <c r="AF251" s="642">
        <v>0</v>
      </c>
      <c r="AG251" s="642">
        <v>3.7946622282562846E-4</v>
      </c>
      <c r="AH251" s="642">
        <v>139.02742097426295</v>
      </c>
      <c r="AI251" s="642">
        <v>22.276590949645215</v>
      </c>
      <c r="AJ251" s="642">
        <v>6.4302626953124999</v>
      </c>
      <c r="AK251" s="650">
        <v>278.92617901908329</v>
      </c>
    </row>
    <row r="252" spans="3:37" ht="13.5">
      <c r="C252" s="648" t="s">
        <v>79</v>
      </c>
      <c r="D252" s="642">
        <v>0</v>
      </c>
      <c r="E252" s="642">
        <v>0</v>
      </c>
      <c r="F252" s="642">
        <v>266.09529408288529</v>
      </c>
      <c r="G252" s="642">
        <v>27.519674276690072</v>
      </c>
      <c r="H252" s="642">
        <v>0</v>
      </c>
      <c r="I252" s="642">
        <v>0</v>
      </c>
      <c r="J252" s="642">
        <v>0</v>
      </c>
      <c r="K252" s="642">
        <v>0</v>
      </c>
      <c r="L252" s="642">
        <v>25.787483151262677</v>
      </c>
      <c r="M252" s="642">
        <v>0.56162600564673626</v>
      </c>
      <c r="N252" s="642">
        <v>0</v>
      </c>
      <c r="O252" s="642">
        <v>0</v>
      </c>
      <c r="P252" s="642">
        <v>55.913522242788574</v>
      </c>
      <c r="Q252" s="642">
        <v>0</v>
      </c>
      <c r="R252" s="642">
        <v>1.6351140344190074</v>
      </c>
      <c r="S252" s="650">
        <v>377.5127137936924</v>
      </c>
      <c r="U252" s="648" t="s">
        <v>79</v>
      </c>
      <c r="V252" s="642">
        <v>0</v>
      </c>
      <c r="W252" s="642">
        <v>0</v>
      </c>
      <c r="X252" s="642">
        <v>96.606255591578162</v>
      </c>
      <c r="Y252" s="642">
        <v>18.337650579977414</v>
      </c>
      <c r="Z252" s="642">
        <v>0</v>
      </c>
      <c r="AA252" s="642">
        <v>0</v>
      </c>
      <c r="AB252" s="642">
        <v>0</v>
      </c>
      <c r="AC252" s="642">
        <v>0</v>
      </c>
      <c r="AD252" s="642">
        <v>50.618247990049454</v>
      </c>
      <c r="AE252" s="642">
        <v>5.9499820008855142</v>
      </c>
      <c r="AF252" s="642">
        <v>0</v>
      </c>
      <c r="AG252" s="642">
        <v>0</v>
      </c>
      <c r="AH252" s="642">
        <v>73.690348279738799</v>
      </c>
      <c r="AI252" s="642">
        <v>0</v>
      </c>
      <c r="AJ252" s="642">
        <v>3.6092463767880076</v>
      </c>
      <c r="AK252" s="650">
        <v>248.81173081901736</v>
      </c>
    </row>
    <row r="253" spans="3:37" ht="13.5">
      <c r="C253" s="648" t="s">
        <v>80</v>
      </c>
      <c r="D253" s="642">
        <v>0</v>
      </c>
      <c r="E253" s="642">
        <v>0</v>
      </c>
      <c r="F253" s="642">
        <v>20.365336948925044</v>
      </c>
      <c r="G253" s="642">
        <v>85.23124323075227</v>
      </c>
      <c r="H253" s="642">
        <v>0</v>
      </c>
      <c r="I253" s="642">
        <v>0</v>
      </c>
      <c r="J253" s="642">
        <v>86.726820353783026</v>
      </c>
      <c r="K253" s="642">
        <v>0</v>
      </c>
      <c r="L253" s="642">
        <v>0</v>
      </c>
      <c r="M253" s="642">
        <v>1.7394131271582098</v>
      </c>
      <c r="N253" s="642">
        <v>52.217429119397167</v>
      </c>
      <c r="O253" s="642">
        <v>2.0042749347218733</v>
      </c>
      <c r="P253" s="642">
        <v>185.58174281281848</v>
      </c>
      <c r="Q253" s="642">
        <v>15.554343379011728</v>
      </c>
      <c r="R253" s="642">
        <v>0</v>
      </c>
      <c r="S253" s="650">
        <v>449.42060390656781</v>
      </c>
      <c r="U253" s="648" t="s">
        <v>80</v>
      </c>
      <c r="V253" s="642">
        <v>0</v>
      </c>
      <c r="W253" s="642">
        <v>0</v>
      </c>
      <c r="X253" s="642">
        <v>1.2585168598114169</v>
      </c>
      <c r="Y253" s="642">
        <v>24.208168890995722</v>
      </c>
      <c r="Z253" s="642">
        <v>0</v>
      </c>
      <c r="AA253" s="642">
        <v>0</v>
      </c>
      <c r="AB253" s="642">
        <v>64.793825414524548</v>
      </c>
      <c r="AC253" s="642">
        <v>0</v>
      </c>
      <c r="AD253" s="642">
        <v>0</v>
      </c>
      <c r="AE253" s="642">
        <v>7.6446849129460164</v>
      </c>
      <c r="AF253" s="642">
        <v>71.984931036617454</v>
      </c>
      <c r="AG253" s="642">
        <v>3.153558114778761</v>
      </c>
      <c r="AH253" s="642">
        <v>153.74527198137548</v>
      </c>
      <c r="AI253" s="642">
        <v>35.336807466581455</v>
      </c>
      <c r="AJ253" s="642">
        <v>0</v>
      </c>
      <c r="AK253" s="650">
        <v>362.12576467763085</v>
      </c>
    </row>
    <row r="254" spans="3:37" ht="13.5">
      <c r="C254" s="648" t="s">
        <v>81</v>
      </c>
      <c r="D254" s="642">
        <v>0</v>
      </c>
      <c r="E254" s="642">
        <v>0</v>
      </c>
      <c r="F254" s="642">
        <v>7.1130915409553364</v>
      </c>
      <c r="G254" s="642">
        <v>63.054682395398032</v>
      </c>
      <c r="H254" s="642">
        <v>0</v>
      </c>
      <c r="I254" s="642">
        <v>0</v>
      </c>
      <c r="J254" s="642">
        <v>3.2976998041276677</v>
      </c>
      <c r="K254" s="642">
        <v>2.5104122720965388E-2</v>
      </c>
      <c r="L254" s="642">
        <v>0</v>
      </c>
      <c r="M254" s="642">
        <v>1.2868302529673068</v>
      </c>
      <c r="N254" s="642">
        <v>8.6154760361565579</v>
      </c>
      <c r="O254" s="642">
        <v>0.75786341807650337</v>
      </c>
      <c r="P254" s="642">
        <v>137.18962935697431</v>
      </c>
      <c r="Q254" s="642">
        <v>3.6903307099586842</v>
      </c>
      <c r="R254" s="642">
        <v>0</v>
      </c>
      <c r="S254" s="650">
        <v>225.03070763733538</v>
      </c>
      <c r="U254" s="648" t="s">
        <v>81</v>
      </c>
      <c r="V254" s="642">
        <v>0</v>
      </c>
      <c r="W254" s="642">
        <v>0</v>
      </c>
      <c r="X254" s="642">
        <v>2.1697022188790429</v>
      </c>
      <c r="Y254" s="642">
        <v>20.911765460712612</v>
      </c>
      <c r="Z254" s="642">
        <v>0</v>
      </c>
      <c r="AA254" s="642">
        <v>0</v>
      </c>
      <c r="AB254" s="642">
        <v>7.3285872023111214</v>
      </c>
      <c r="AC254" s="642">
        <v>2.5104122720965388E-2</v>
      </c>
      <c r="AD254" s="642">
        <v>0</v>
      </c>
      <c r="AE254" s="642">
        <v>6.6037154086460879</v>
      </c>
      <c r="AF254" s="642">
        <v>14.491680733710758</v>
      </c>
      <c r="AG254" s="642">
        <v>1.6347019702159422</v>
      </c>
      <c r="AH254" s="642">
        <v>117.90366143236871</v>
      </c>
      <c r="AI254" s="642">
        <v>11.11285639628878</v>
      </c>
      <c r="AJ254" s="642">
        <v>0</v>
      </c>
      <c r="AK254" s="650">
        <v>182.18177494585402</v>
      </c>
    </row>
    <row r="255" spans="3:37" ht="13.5">
      <c r="C255" s="648" t="s">
        <v>82</v>
      </c>
      <c r="D255" s="642">
        <v>0</v>
      </c>
      <c r="E255" s="642">
        <v>0</v>
      </c>
      <c r="F255" s="642">
        <v>30.218764596795413</v>
      </c>
      <c r="G255" s="642">
        <v>1.4924386728389218</v>
      </c>
      <c r="H255" s="642">
        <v>0</v>
      </c>
      <c r="I255" s="642">
        <v>0</v>
      </c>
      <c r="J255" s="642">
        <v>3.2225859194218685</v>
      </c>
      <c r="K255" s="642">
        <v>0</v>
      </c>
      <c r="L255" s="642">
        <v>2.9019247412329854</v>
      </c>
      <c r="M255" s="642">
        <v>3.0457932098753505E-2</v>
      </c>
      <c r="N255" s="642">
        <v>0</v>
      </c>
      <c r="O255" s="642">
        <v>7.4767074498679406E-2</v>
      </c>
      <c r="P255" s="642">
        <v>6.6555854929198803</v>
      </c>
      <c r="Q255" s="642">
        <v>0</v>
      </c>
      <c r="R255" s="642">
        <v>0</v>
      </c>
      <c r="S255" s="650">
        <v>44.596524429806507</v>
      </c>
      <c r="U255" s="648" t="s">
        <v>82</v>
      </c>
      <c r="V255" s="642">
        <v>0</v>
      </c>
      <c r="W255" s="642">
        <v>0</v>
      </c>
      <c r="X255" s="642">
        <v>13.476198254352189</v>
      </c>
      <c r="Y255" s="642">
        <v>1.4718796614135594</v>
      </c>
      <c r="Z255" s="642">
        <v>0</v>
      </c>
      <c r="AA255" s="642">
        <v>0</v>
      </c>
      <c r="AB255" s="642">
        <v>3.2225859194218685</v>
      </c>
      <c r="AC255" s="642">
        <v>0</v>
      </c>
      <c r="AD255" s="642">
        <v>23.463730160224294</v>
      </c>
      <c r="AE255" s="642">
        <v>0.46480410360428193</v>
      </c>
      <c r="AF255" s="642">
        <v>0</v>
      </c>
      <c r="AG255" s="642">
        <v>1.1655332190637568</v>
      </c>
      <c r="AH255" s="642">
        <v>6.7433697745475678</v>
      </c>
      <c r="AI255" s="642">
        <v>0</v>
      </c>
      <c r="AJ255" s="642">
        <v>0.29485655237537339</v>
      </c>
      <c r="AK255" s="650">
        <v>50.302957645002891</v>
      </c>
    </row>
    <row r="256" spans="3:37" ht="13.5">
      <c r="C256" s="648" t="s">
        <v>357</v>
      </c>
      <c r="D256" s="642">
        <v>0</v>
      </c>
      <c r="E256" s="642">
        <v>0</v>
      </c>
      <c r="F256" s="642">
        <v>0</v>
      </c>
      <c r="G256" s="642">
        <v>0</v>
      </c>
      <c r="H256" s="642">
        <v>0</v>
      </c>
      <c r="I256" s="642">
        <v>0</v>
      </c>
      <c r="J256" s="642">
        <v>0</v>
      </c>
      <c r="K256" s="642">
        <v>0</v>
      </c>
      <c r="L256" s="642">
        <v>0</v>
      </c>
      <c r="M256" s="642">
        <v>0</v>
      </c>
      <c r="N256" s="642">
        <v>0</v>
      </c>
      <c r="O256" s="642">
        <v>0</v>
      </c>
      <c r="P256" s="642">
        <v>0.27899999999999997</v>
      </c>
      <c r="Q256" s="642">
        <v>0</v>
      </c>
      <c r="R256" s="642">
        <v>0</v>
      </c>
      <c r="S256" s="650">
        <v>0.27899999999999997</v>
      </c>
      <c r="U256" s="648" t="s">
        <v>357</v>
      </c>
      <c r="V256" s="642">
        <v>0</v>
      </c>
      <c r="W256" s="642">
        <v>0</v>
      </c>
      <c r="X256" s="642">
        <v>0</v>
      </c>
      <c r="Y256" s="642">
        <v>0</v>
      </c>
      <c r="Z256" s="642">
        <v>0</v>
      </c>
      <c r="AA256" s="642">
        <v>0</v>
      </c>
      <c r="AB256" s="642">
        <v>0</v>
      </c>
      <c r="AC256" s="642">
        <v>0</v>
      </c>
      <c r="AD256" s="642">
        <v>0</v>
      </c>
      <c r="AE256" s="642">
        <v>0</v>
      </c>
      <c r="AF256" s="642">
        <v>0</v>
      </c>
      <c r="AG256" s="642">
        <v>0</v>
      </c>
      <c r="AH256" s="642">
        <v>1.92</v>
      </c>
      <c r="AI256" s="642">
        <v>0</v>
      </c>
      <c r="AJ256" s="642">
        <v>0</v>
      </c>
      <c r="AK256" s="650">
        <v>1.92</v>
      </c>
    </row>
    <row r="257" spans="3:37" ht="13.5">
      <c r="C257" s="646" t="s">
        <v>83</v>
      </c>
      <c r="D257" s="647">
        <v>5.7766123047996905</v>
      </c>
      <c r="E257" s="647">
        <v>0</v>
      </c>
      <c r="F257" s="647">
        <v>346.19510684816078</v>
      </c>
      <c r="G257" s="647">
        <v>276.57916261714774</v>
      </c>
      <c r="H257" s="647">
        <v>0</v>
      </c>
      <c r="I257" s="647">
        <v>0</v>
      </c>
      <c r="J257" s="647">
        <v>113.50572884864343</v>
      </c>
      <c r="K257" s="647">
        <v>1.7926789890585739</v>
      </c>
      <c r="L257" s="647">
        <v>29.587741132730038</v>
      </c>
      <c r="M257" s="647">
        <v>5.6630861835909059</v>
      </c>
      <c r="N257" s="647">
        <v>60.832905155553725</v>
      </c>
      <c r="O257" s="647">
        <v>2.8372848935198816</v>
      </c>
      <c r="P257" s="647">
        <v>496.49341447572323</v>
      </c>
      <c r="Q257" s="647">
        <v>35.336417016114851</v>
      </c>
      <c r="R257" s="647">
        <v>1.9451540734815074</v>
      </c>
      <c r="S257" s="647">
        <v>1376.5452925385248</v>
      </c>
      <c r="U257" s="646" t="s">
        <v>83</v>
      </c>
      <c r="V257" s="647">
        <v>1.065232959954733</v>
      </c>
      <c r="W257" s="647">
        <v>0</v>
      </c>
      <c r="X257" s="647">
        <v>123.73641532901047</v>
      </c>
      <c r="Y257" s="647">
        <v>121.91057745567808</v>
      </c>
      <c r="Z257" s="647">
        <v>0</v>
      </c>
      <c r="AA257" s="647">
        <v>0</v>
      </c>
      <c r="AB257" s="647">
        <v>91.239635035141916</v>
      </c>
      <c r="AC257" s="647">
        <v>5.4913450563703794</v>
      </c>
      <c r="AD257" s="647">
        <v>77.627888306523744</v>
      </c>
      <c r="AE257" s="647">
        <v>38.675835544014738</v>
      </c>
      <c r="AF257" s="647">
        <v>86.476611770328219</v>
      </c>
      <c r="AG257" s="647">
        <v>5.9541727702812857</v>
      </c>
      <c r="AH257" s="647">
        <v>493.03007244229349</v>
      </c>
      <c r="AI257" s="647">
        <v>68.72625481251545</v>
      </c>
      <c r="AJ257" s="647">
        <v>10.334365624475881</v>
      </c>
      <c r="AK257" s="647">
        <v>1124.2684071065887</v>
      </c>
    </row>
    <row r="258" spans="3:37" ht="13.5">
      <c r="C258" s="641" t="s">
        <v>84</v>
      </c>
      <c r="D258" s="642">
        <v>0</v>
      </c>
      <c r="E258" s="642">
        <v>0</v>
      </c>
      <c r="F258" s="642">
        <v>111.73719287700069</v>
      </c>
      <c r="G258" s="642">
        <v>11.878700409877391</v>
      </c>
      <c r="H258" s="642">
        <v>0</v>
      </c>
      <c r="I258" s="642">
        <v>0</v>
      </c>
      <c r="J258" s="642">
        <v>0</v>
      </c>
      <c r="K258" s="642">
        <v>0</v>
      </c>
      <c r="L258" s="642">
        <v>0</v>
      </c>
      <c r="M258" s="642">
        <v>0</v>
      </c>
      <c r="N258" s="642">
        <v>0</v>
      </c>
      <c r="O258" s="642">
        <v>0</v>
      </c>
      <c r="P258" s="642">
        <v>0</v>
      </c>
      <c r="Q258" s="642">
        <v>0</v>
      </c>
      <c r="R258" s="642">
        <v>1.43076906409107</v>
      </c>
      <c r="S258" s="650">
        <v>125.04666235096916</v>
      </c>
      <c r="U258" s="641" t="s">
        <v>84</v>
      </c>
      <c r="V258" s="642">
        <v>0</v>
      </c>
      <c r="W258" s="642">
        <v>0</v>
      </c>
      <c r="X258" s="642">
        <v>90.362960784166091</v>
      </c>
      <c r="Y258" s="642">
        <v>1.2615947910933976</v>
      </c>
      <c r="Z258" s="642">
        <v>0</v>
      </c>
      <c r="AA258" s="642">
        <v>0</v>
      </c>
      <c r="AB258" s="642">
        <v>0</v>
      </c>
      <c r="AC258" s="642">
        <v>0</v>
      </c>
      <c r="AD258" s="642">
        <v>14.679117373046875</v>
      </c>
      <c r="AE258" s="642">
        <v>0</v>
      </c>
      <c r="AF258" s="642">
        <v>0</v>
      </c>
      <c r="AG258" s="642">
        <v>0</v>
      </c>
      <c r="AH258" s="642">
        <v>0</v>
      </c>
      <c r="AI258" s="642">
        <v>0</v>
      </c>
      <c r="AJ258" s="642">
        <v>10.026029063720703</v>
      </c>
      <c r="AK258" s="650">
        <v>116.32970201202707</v>
      </c>
    </row>
    <row r="259" spans="3:37" ht="13.5">
      <c r="C259" s="646" t="s">
        <v>85</v>
      </c>
      <c r="D259" s="647">
        <v>5.7766123047996905</v>
      </c>
      <c r="E259" s="647">
        <v>0</v>
      </c>
      <c r="F259" s="647">
        <v>457.9322997251615</v>
      </c>
      <c r="G259" s="647">
        <v>288.45786302702516</v>
      </c>
      <c r="H259" s="647">
        <v>0</v>
      </c>
      <c r="I259" s="647">
        <v>0</v>
      </c>
      <c r="J259" s="647">
        <v>113.50572884864343</v>
      </c>
      <c r="K259" s="647">
        <v>1.7926789890585739</v>
      </c>
      <c r="L259" s="647">
        <v>29.587741132730038</v>
      </c>
      <c r="M259" s="647">
        <v>5.6630861835909059</v>
      </c>
      <c r="N259" s="647">
        <v>60.832905155553725</v>
      </c>
      <c r="O259" s="647">
        <v>2.8372848935198816</v>
      </c>
      <c r="P259" s="647">
        <v>496.49341447572323</v>
      </c>
      <c r="Q259" s="647">
        <v>35.336417016114851</v>
      </c>
      <c r="R259" s="647">
        <v>3.3759231375725776</v>
      </c>
      <c r="S259" s="647">
        <v>1501.5919548894938</v>
      </c>
      <c r="U259" s="646" t="s">
        <v>85</v>
      </c>
      <c r="V259" s="647">
        <v>1.065232959954733</v>
      </c>
      <c r="W259" s="647">
        <v>0</v>
      </c>
      <c r="X259" s="647">
        <v>214.09937611317656</v>
      </c>
      <c r="Y259" s="647">
        <v>123.17217224677148</v>
      </c>
      <c r="Z259" s="647">
        <v>0</v>
      </c>
      <c r="AA259" s="647">
        <v>0</v>
      </c>
      <c r="AB259" s="647">
        <v>91.239635035141916</v>
      </c>
      <c r="AC259" s="647">
        <v>5.4913450563703794</v>
      </c>
      <c r="AD259" s="647">
        <v>92.307005679570622</v>
      </c>
      <c r="AE259" s="647">
        <v>38.675835544014738</v>
      </c>
      <c r="AF259" s="647">
        <v>86.476611770328219</v>
      </c>
      <c r="AG259" s="647">
        <v>5.9541727702812857</v>
      </c>
      <c r="AH259" s="647">
        <v>493.03007244229349</v>
      </c>
      <c r="AI259" s="647">
        <v>68.72625481251545</v>
      </c>
      <c r="AJ259" s="647">
        <v>20.360394688196585</v>
      </c>
      <c r="AK259" s="647">
        <v>1240.5981091186156</v>
      </c>
    </row>
    <row r="260" spans="3:37" ht="13">
      <c r="C260" s="636"/>
      <c r="D260" s="636"/>
      <c r="E260" s="636"/>
      <c r="F260" s="636"/>
      <c r="G260" s="636"/>
      <c r="H260" s="636"/>
      <c r="I260" s="636"/>
      <c r="J260" s="636"/>
      <c r="K260" s="636"/>
      <c r="L260" s="636"/>
      <c r="M260" s="636"/>
      <c r="N260" s="636"/>
      <c r="O260" s="636"/>
      <c r="P260" s="636"/>
      <c r="Q260" s="636"/>
      <c r="R260" s="636"/>
      <c r="S260" s="636"/>
      <c r="U260" s="636"/>
      <c r="V260" s="636"/>
      <c r="W260" s="636"/>
      <c r="X260" s="636"/>
      <c r="Y260" s="636"/>
      <c r="Z260" s="636"/>
      <c r="AA260" s="636"/>
      <c r="AB260" s="636"/>
      <c r="AC260" s="636"/>
      <c r="AD260" s="636"/>
      <c r="AE260" s="636"/>
      <c r="AF260" s="636"/>
      <c r="AG260" s="636"/>
      <c r="AH260" s="636"/>
      <c r="AI260" s="636"/>
      <c r="AJ260" s="636"/>
      <c r="AK260" s="636"/>
    </row>
    <row r="261" spans="3:37" ht="22.5">
      <c r="C261" s="699" t="s">
        <v>363</v>
      </c>
      <c r="D261" s="699"/>
      <c r="E261" s="699"/>
      <c r="F261" s="699"/>
      <c r="G261" s="699"/>
      <c r="H261" s="699"/>
      <c r="I261" s="699"/>
      <c r="J261" s="699"/>
      <c r="K261" s="699"/>
      <c r="L261" s="699"/>
      <c r="M261" s="699"/>
      <c r="N261" s="699"/>
      <c r="O261" s="699"/>
      <c r="P261" s="699"/>
      <c r="Q261" s="699"/>
      <c r="R261" s="699"/>
      <c r="S261" s="699"/>
      <c r="U261" s="699" t="s">
        <v>363</v>
      </c>
      <c r="V261" s="699"/>
      <c r="W261" s="699"/>
      <c r="X261" s="699"/>
      <c r="Y261" s="699"/>
      <c r="Z261" s="699"/>
      <c r="AA261" s="699"/>
      <c r="AB261" s="699"/>
      <c r="AC261" s="699"/>
      <c r="AD261" s="699"/>
      <c r="AE261" s="699"/>
      <c r="AF261" s="699"/>
      <c r="AG261" s="699"/>
      <c r="AH261" s="699"/>
      <c r="AI261" s="699"/>
      <c r="AJ261" s="699"/>
      <c r="AK261" s="699"/>
    </row>
    <row r="262" spans="3:37" ht="13">
      <c r="C262" s="636"/>
      <c r="D262" s="636"/>
      <c r="E262" s="636"/>
      <c r="F262" s="636"/>
      <c r="G262" s="636"/>
      <c r="H262" s="636"/>
      <c r="I262" s="636"/>
      <c r="J262" s="636"/>
      <c r="K262" s="636"/>
      <c r="L262" s="636"/>
      <c r="M262" s="636"/>
      <c r="N262" s="636"/>
      <c r="O262" s="636"/>
      <c r="P262" s="636"/>
      <c r="Q262" s="636"/>
      <c r="R262" s="636"/>
      <c r="S262" s="636"/>
      <c r="U262" s="636"/>
      <c r="V262" s="636"/>
      <c r="W262" s="636"/>
      <c r="X262" s="636"/>
      <c r="Y262" s="636"/>
      <c r="Z262" s="636"/>
      <c r="AA262" s="636"/>
      <c r="AB262" s="636"/>
      <c r="AC262" s="636"/>
      <c r="AD262" s="636"/>
      <c r="AE262" s="636"/>
      <c r="AF262" s="636"/>
      <c r="AG262" s="636"/>
      <c r="AH262" s="636"/>
      <c r="AI262" s="636"/>
      <c r="AJ262" s="636"/>
      <c r="AK262" s="636"/>
    </row>
    <row r="263" spans="3:37" ht="13" customHeight="1">
      <c r="C263" s="700" t="s">
        <v>128</v>
      </c>
      <c r="D263" s="701" t="s">
        <v>42</v>
      </c>
      <c r="E263" s="701" t="s">
        <v>52</v>
      </c>
      <c r="F263" s="701" t="s">
        <v>53</v>
      </c>
      <c r="G263" s="701" t="s">
        <v>32</v>
      </c>
      <c r="H263" s="701" t="s">
        <v>20</v>
      </c>
      <c r="I263" s="701" t="s">
        <v>55</v>
      </c>
      <c r="J263" s="701" t="s">
        <v>56</v>
      </c>
      <c r="K263" s="701"/>
      <c r="L263" s="701"/>
      <c r="M263" s="701"/>
      <c r="N263" s="701"/>
      <c r="O263" s="701"/>
      <c r="P263" s="701" t="s">
        <v>57</v>
      </c>
      <c r="Q263" s="701" t="s">
        <v>58</v>
      </c>
      <c r="R263" s="701" t="s">
        <v>31</v>
      </c>
      <c r="S263" s="701" t="s">
        <v>10</v>
      </c>
      <c r="U263" s="700" t="s">
        <v>128</v>
      </c>
      <c r="V263" s="701" t="s">
        <v>42</v>
      </c>
      <c r="W263" s="701" t="s">
        <v>52</v>
      </c>
      <c r="X263" s="701" t="s">
        <v>53</v>
      </c>
      <c r="Y263" s="701" t="s">
        <v>32</v>
      </c>
      <c r="Z263" s="701" t="s">
        <v>20</v>
      </c>
      <c r="AA263" s="701" t="s">
        <v>55</v>
      </c>
      <c r="AB263" s="701" t="s">
        <v>56</v>
      </c>
      <c r="AC263" s="701"/>
      <c r="AD263" s="701"/>
      <c r="AE263" s="701"/>
      <c r="AF263" s="701"/>
      <c r="AG263" s="701"/>
      <c r="AH263" s="701" t="s">
        <v>57</v>
      </c>
      <c r="AI263" s="701" t="s">
        <v>58</v>
      </c>
      <c r="AJ263" s="701" t="s">
        <v>31</v>
      </c>
      <c r="AK263" s="701" t="s">
        <v>10</v>
      </c>
    </row>
    <row r="264" spans="3:37" ht="46">
      <c r="C264" s="700"/>
      <c r="D264" s="701"/>
      <c r="E264" s="701"/>
      <c r="F264" s="701"/>
      <c r="G264" s="701"/>
      <c r="H264" s="701"/>
      <c r="I264" s="701"/>
      <c r="J264" s="640" t="s">
        <v>338</v>
      </c>
      <c r="K264" s="640" t="s">
        <v>40</v>
      </c>
      <c r="L264" s="640" t="s">
        <v>346</v>
      </c>
      <c r="M264" s="640" t="s">
        <v>347</v>
      </c>
      <c r="N264" s="640" t="s">
        <v>348</v>
      </c>
      <c r="O264" s="640" t="s">
        <v>349</v>
      </c>
      <c r="P264" s="701"/>
      <c r="Q264" s="701"/>
      <c r="R264" s="701"/>
      <c r="S264" s="701"/>
      <c r="U264" s="700"/>
      <c r="V264" s="701"/>
      <c r="W264" s="701"/>
      <c r="X264" s="701"/>
      <c r="Y264" s="701"/>
      <c r="Z264" s="701"/>
      <c r="AA264" s="701"/>
      <c r="AB264" s="640" t="s">
        <v>338</v>
      </c>
      <c r="AC264" s="640" t="s">
        <v>40</v>
      </c>
      <c r="AD264" s="640" t="s">
        <v>346</v>
      </c>
      <c r="AE264" s="640" t="s">
        <v>347</v>
      </c>
      <c r="AF264" s="640" t="s">
        <v>348</v>
      </c>
      <c r="AG264" s="640" t="s">
        <v>349</v>
      </c>
      <c r="AH264" s="701"/>
      <c r="AI264" s="701"/>
      <c r="AJ264" s="701"/>
      <c r="AK264" s="701"/>
    </row>
    <row r="265" spans="3:37" ht="13.5">
      <c r="C265" s="641" t="s">
        <v>59</v>
      </c>
      <c r="D265" s="642">
        <v>0</v>
      </c>
      <c r="E265" s="643">
        <v>0</v>
      </c>
      <c r="F265" s="643">
        <v>0</v>
      </c>
      <c r="G265" s="642">
        <v>0</v>
      </c>
      <c r="H265" s="643">
        <v>959.09090909090924</v>
      </c>
      <c r="I265" s="643">
        <v>265.54666314840352</v>
      </c>
      <c r="J265" s="643">
        <v>188.6372712469306</v>
      </c>
      <c r="K265" s="643">
        <v>20.835963621356942</v>
      </c>
      <c r="L265" s="643">
        <v>0.48646764865129044</v>
      </c>
      <c r="M265" s="643">
        <v>0.15840693111613638</v>
      </c>
      <c r="N265" s="643">
        <v>62.897832024028709</v>
      </c>
      <c r="O265" s="643">
        <v>11.865462020109925</v>
      </c>
      <c r="P265" s="644">
        <v>0</v>
      </c>
      <c r="Q265" s="643">
        <v>0</v>
      </c>
      <c r="R265" s="643">
        <v>0</v>
      </c>
      <c r="S265" s="645">
        <v>1509.5189757315065</v>
      </c>
      <c r="U265" s="641" t="s">
        <v>59</v>
      </c>
      <c r="V265" s="642">
        <v>0</v>
      </c>
      <c r="W265" s="643">
        <v>0</v>
      </c>
      <c r="X265" s="643">
        <v>0</v>
      </c>
      <c r="Y265" s="642">
        <v>0</v>
      </c>
      <c r="Z265" s="643">
        <v>919.39393939393949</v>
      </c>
      <c r="AA265" s="643">
        <v>300.16666314840353</v>
      </c>
      <c r="AB265" s="643">
        <v>196.07210414009427</v>
      </c>
      <c r="AC265" s="643">
        <v>37.690284018354092</v>
      </c>
      <c r="AD265" s="643">
        <v>0.48646764865129044</v>
      </c>
      <c r="AE265" s="643">
        <v>0.15840693111613638</v>
      </c>
      <c r="AF265" s="643">
        <v>92.901000398225491</v>
      </c>
      <c r="AG265" s="643">
        <v>23.979405132943342</v>
      </c>
      <c r="AH265" s="644">
        <v>0</v>
      </c>
      <c r="AI265" s="643">
        <v>0</v>
      </c>
      <c r="AJ265" s="643">
        <v>0</v>
      </c>
      <c r="AK265" s="645">
        <v>1570.8482708117278</v>
      </c>
    </row>
    <row r="266" spans="3:37" ht="13.5">
      <c r="C266" s="641" t="s">
        <v>60</v>
      </c>
      <c r="D266" s="642">
        <v>48.037640466799544</v>
      </c>
      <c r="E266" s="643">
        <v>504.19228646673599</v>
      </c>
      <c r="F266" s="643">
        <v>68.527294255032075</v>
      </c>
      <c r="G266" s="642">
        <v>332.96357284387591</v>
      </c>
      <c r="H266" s="643">
        <v>0</v>
      </c>
      <c r="I266" s="643">
        <v>0</v>
      </c>
      <c r="J266" s="643">
        <v>4.4041420336435353</v>
      </c>
      <c r="K266" s="643">
        <v>0</v>
      </c>
      <c r="L266" s="643">
        <v>2.4215969020745125</v>
      </c>
      <c r="M266" s="643">
        <v>0</v>
      </c>
      <c r="N266" s="643">
        <v>0</v>
      </c>
      <c r="O266" s="643">
        <v>0</v>
      </c>
      <c r="P266" s="644">
        <v>0</v>
      </c>
      <c r="Q266" s="643">
        <v>0</v>
      </c>
      <c r="R266" s="643">
        <v>0</v>
      </c>
      <c r="S266" s="645">
        <v>960.54653296816161</v>
      </c>
      <c r="U266" s="641" t="s">
        <v>60</v>
      </c>
      <c r="V266" s="642">
        <v>7.5315222042138927</v>
      </c>
      <c r="W266" s="643">
        <v>266.28302835422375</v>
      </c>
      <c r="X266" s="643">
        <v>14.660534841020075</v>
      </c>
      <c r="Y266" s="642">
        <v>136.19700966140181</v>
      </c>
      <c r="Z266" s="643">
        <v>0</v>
      </c>
      <c r="AA266" s="643">
        <v>0</v>
      </c>
      <c r="AB266" s="643">
        <v>4.4041420336435353</v>
      </c>
      <c r="AC266" s="643">
        <v>0</v>
      </c>
      <c r="AD266" s="643">
        <v>2.4215969020745125</v>
      </c>
      <c r="AE266" s="643">
        <v>0</v>
      </c>
      <c r="AF266" s="643">
        <v>0</v>
      </c>
      <c r="AG266" s="643">
        <v>0</v>
      </c>
      <c r="AH266" s="644">
        <v>0</v>
      </c>
      <c r="AI266" s="643">
        <v>0</v>
      </c>
      <c r="AJ266" s="643">
        <v>0</v>
      </c>
      <c r="AK266" s="645">
        <v>431.49783399657758</v>
      </c>
    </row>
    <row r="267" spans="3:37" ht="13.5">
      <c r="C267" s="641" t="s">
        <v>61</v>
      </c>
      <c r="D267" s="642">
        <v>0</v>
      </c>
      <c r="E267" s="643">
        <v>0</v>
      </c>
      <c r="F267" s="643">
        <v>0</v>
      </c>
      <c r="G267" s="642">
        <v>0</v>
      </c>
      <c r="H267" s="643">
        <v>0</v>
      </c>
      <c r="I267" s="643">
        <v>0</v>
      </c>
      <c r="J267" s="643">
        <v>0</v>
      </c>
      <c r="K267" s="643">
        <v>0</v>
      </c>
      <c r="L267" s="643">
        <v>0</v>
      </c>
      <c r="M267" s="643">
        <v>0</v>
      </c>
      <c r="N267" s="643">
        <v>0</v>
      </c>
      <c r="O267" s="643">
        <v>0</v>
      </c>
      <c r="P267" s="644">
        <v>-31.055970799843635</v>
      </c>
      <c r="Q267" s="643">
        <v>0</v>
      </c>
      <c r="R267" s="643">
        <v>0</v>
      </c>
      <c r="S267" s="645">
        <v>-31.055970799843635</v>
      </c>
      <c r="U267" s="641" t="s">
        <v>61</v>
      </c>
      <c r="V267" s="642">
        <v>0</v>
      </c>
      <c r="W267" s="643">
        <v>0</v>
      </c>
      <c r="X267" s="643">
        <v>-20.238165107819981</v>
      </c>
      <c r="Y267" s="642">
        <v>0</v>
      </c>
      <c r="Z267" s="643">
        <v>0</v>
      </c>
      <c r="AA267" s="643">
        <v>0</v>
      </c>
      <c r="AB267" s="643">
        <v>0</v>
      </c>
      <c r="AC267" s="643">
        <v>0</v>
      </c>
      <c r="AD267" s="643">
        <v>0</v>
      </c>
      <c r="AE267" s="643">
        <v>0</v>
      </c>
      <c r="AF267" s="643">
        <v>0</v>
      </c>
      <c r="AG267" s="643">
        <v>0</v>
      </c>
      <c r="AH267" s="644">
        <v>-12.632253344037395</v>
      </c>
      <c r="AI267" s="643">
        <v>0</v>
      </c>
      <c r="AJ267" s="643">
        <v>0</v>
      </c>
      <c r="AK267" s="645">
        <v>-32.870418451857375</v>
      </c>
    </row>
    <row r="268" spans="3:37" ht="13.5">
      <c r="C268" s="641" t="s">
        <v>62</v>
      </c>
      <c r="D268" s="642">
        <v>0</v>
      </c>
      <c r="E268" s="643">
        <v>0</v>
      </c>
      <c r="F268" s="643">
        <v>-15.855905256620872</v>
      </c>
      <c r="G268" s="642">
        <v>0</v>
      </c>
      <c r="H268" s="643">
        <v>0</v>
      </c>
      <c r="I268" s="643">
        <v>0</v>
      </c>
      <c r="J268" s="643">
        <v>0</v>
      </c>
      <c r="K268" s="643">
        <v>0</v>
      </c>
      <c r="L268" s="643">
        <v>0</v>
      </c>
      <c r="M268" s="643">
        <v>0</v>
      </c>
      <c r="N268" s="643">
        <v>0</v>
      </c>
      <c r="O268" s="643">
        <v>0</v>
      </c>
      <c r="P268" s="644">
        <v>0</v>
      </c>
      <c r="Q268" s="643">
        <v>0</v>
      </c>
      <c r="R268" s="643">
        <v>0</v>
      </c>
      <c r="S268" s="645">
        <v>-15.855905256620872</v>
      </c>
      <c r="U268" s="641" t="s">
        <v>62</v>
      </c>
      <c r="V268" s="642">
        <v>0</v>
      </c>
      <c r="W268" s="643">
        <v>0</v>
      </c>
      <c r="X268" s="643">
        <v>-10.068616817390659</v>
      </c>
      <c r="Y268" s="642">
        <v>-2.2904268439326967</v>
      </c>
      <c r="Z268" s="643">
        <v>0</v>
      </c>
      <c r="AA268" s="643">
        <v>0</v>
      </c>
      <c r="AB268" s="643">
        <v>0</v>
      </c>
      <c r="AC268" s="643">
        <v>0</v>
      </c>
      <c r="AD268" s="643">
        <v>0</v>
      </c>
      <c r="AE268" s="643">
        <v>-0.98161150454258428</v>
      </c>
      <c r="AF268" s="643">
        <v>0</v>
      </c>
      <c r="AG268" s="643">
        <v>0</v>
      </c>
      <c r="AH268" s="644">
        <v>0</v>
      </c>
      <c r="AI268" s="643">
        <v>0</v>
      </c>
      <c r="AJ268" s="643">
        <v>0</v>
      </c>
      <c r="AK268" s="645">
        <v>-13.34065516586594</v>
      </c>
    </row>
    <row r="269" spans="3:37" ht="13.5">
      <c r="C269" s="641" t="s">
        <v>63</v>
      </c>
      <c r="D269" s="642">
        <v>0</v>
      </c>
      <c r="E269" s="643">
        <v>0</v>
      </c>
      <c r="F269" s="643">
        <v>-87.092524368241456</v>
      </c>
      <c r="G269" s="642">
        <v>0</v>
      </c>
      <c r="H269" s="643">
        <v>0</v>
      </c>
      <c r="I269" s="643">
        <v>0</v>
      </c>
      <c r="J269" s="643">
        <v>0</v>
      </c>
      <c r="K269" s="643">
        <v>0</v>
      </c>
      <c r="L269" s="643">
        <v>-0.90133117758770376</v>
      </c>
      <c r="M269" s="643">
        <v>0</v>
      </c>
      <c r="N269" s="643">
        <v>0</v>
      </c>
      <c r="O269" s="643">
        <v>0</v>
      </c>
      <c r="P269" s="644">
        <v>0</v>
      </c>
      <c r="Q269" s="643">
        <v>0</v>
      </c>
      <c r="R269" s="643">
        <v>0</v>
      </c>
      <c r="S269" s="645">
        <v>-87.993855545829163</v>
      </c>
      <c r="U269" s="641" t="s">
        <v>63</v>
      </c>
      <c r="V269" s="642">
        <v>0</v>
      </c>
      <c r="W269" s="643">
        <v>0</v>
      </c>
      <c r="X269" s="643">
        <v>-58.231828596071985</v>
      </c>
      <c r="Y269" s="642">
        <v>0</v>
      </c>
      <c r="Z269" s="643">
        <v>0</v>
      </c>
      <c r="AA269" s="643">
        <v>0</v>
      </c>
      <c r="AB269" s="643">
        <v>0</v>
      </c>
      <c r="AC269" s="643">
        <v>0</v>
      </c>
      <c r="AD269" s="643">
        <v>-23.991898740742837</v>
      </c>
      <c r="AE269" s="643">
        <v>0</v>
      </c>
      <c r="AF269" s="643">
        <v>0</v>
      </c>
      <c r="AG269" s="643">
        <v>0</v>
      </c>
      <c r="AH269" s="644">
        <v>0</v>
      </c>
      <c r="AI269" s="643">
        <v>0</v>
      </c>
      <c r="AJ269" s="643">
        <v>0</v>
      </c>
      <c r="AK269" s="645">
        <v>-82.223727336814818</v>
      </c>
    </row>
    <row r="270" spans="3:37" ht="13.5">
      <c r="C270" s="641" t="s">
        <v>64</v>
      </c>
      <c r="D270" s="642">
        <v>0</v>
      </c>
      <c r="E270" s="643">
        <v>0</v>
      </c>
      <c r="F270" s="643">
        <v>0</v>
      </c>
      <c r="G270" s="642">
        <v>0</v>
      </c>
      <c r="H270" s="643">
        <v>0</v>
      </c>
      <c r="I270" s="643">
        <v>0</v>
      </c>
      <c r="J270" s="643">
        <v>0</v>
      </c>
      <c r="K270" s="643">
        <v>0</v>
      </c>
      <c r="L270" s="643">
        <v>0</v>
      </c>
      <c r="M270" s="643">
        <v>0</v>
      </c>
      <c r="N270" s="643">
        <v>0</v>
      </c>
      <c r="O270" s="643">
        <v>0</v>
      </c>
      <c r="P270" s="644">
        <v>0</v>
      </c>
      <c r="Q270" s="643">
        <v>0</v>
      </c>
      <c r="R270" s="643">
        <v>0</v>
      </c>
      <c r="S270" s="645">
        <v>0</v>
      </c>
      <c r="U270" s="641" t="s">
        <v>64</v>
      </c>
      <c r="V270" s="642">
        <v>0</v>
      </c>
      <c r="W270" s="643">
        <v>0</v>
      </c>
      <c r="X270" s="643">
        <v>0</v>
      </c>
      <c r="Y270" s="642">
        <v>0</v>
      </c>
      <c r="Z270" s="643">
        <v>0</v>
      </c>
      <c r="AA270" s="643">
        <v>0</v>
      </c>
      <c r="AB270" s="643">
        <v>0</v>
      </c>
      <c r="AC270" s="643">
        <v>0</v>
      </c>
      <c r="AD270" s="643">
        <v>0</v>
      </c>
      <c r="AE270" s="643">
        <v>0</v>
      </c>
      <c r="AF270" s="643">
        <v>0</v>
      </c>
      <c r="AG270" s="643">
        <v>0</v>
      </c>
      <c r="AH270" s="644">
        <v>0</v>
      </c>
      <c r="AI270" s="643">
        <v>0</v>
      </c>
      <c r="AJ270" s="643">
        <v>0</v>
      </c>
      <c r="AK270" s="645">
        <v>0</v>
      </c>
    </row>
    <row r="271" spans="3:37" ht="13.5">
      <c r="C271" s="646" t="s">
        <v>65</v>
      </c>
      <c r="D271" s="647">
        <v>48.037640466799544</v>
      </c>
      <c r="E271" s="647">
        <v>504.19228646673599</v>
      </c>
      <c r="F271" s="647">
        <v>-34.42113536983026</v>
      </c>
      <c r="G271" s="647">
        <v>332.96357284387591</v>
      </c>
      <c r="H271" s="647">
        <v>959.09090909090924</v>
      </c>
      <c r="I271" s="647">
        <v>265.54666314840352</v>
      </c>
      <c r="J271" s="647">
        <v>193.04141328057412</v>
      </c>
      <c r="K271" s="647">
        <v>20.835963621356942</v>
      </c>
      <c r="L271" s="647">
        <v>2.0067333731380987</v>
      </c>
      <c r="M271" s="647">
        <v>0.15840693111613638</v>
      </c>
      <c r="N271" s="647">
        <v>62.897832024028709</v>
      </c>
      <c r="O271" s="647">
        <v>11.865462020109925</v>
      </c>
      <c r="P271" s="647">
        <v>-31.055970799843635</v>
      </c>
      <c r="Q271" s="647">
        <v>0</v>
      </c>
      <c r="R271" s="647">
        <v>0</v>
      </c>
      <c r="S271" s="647">
        <v>2335.159777097374</v>
      </c>
      <c r="U271" s="646" t="s">
        <v>65</v>
      </c>
      <c r="V271" s="647">
        <v>7.5315222042138927</v>
      </c>
      <c r="W271" s="647">
        <v>266.28302835422375</v>
      </c>
      <c r="X271" s="647">
        <v>-73.87807568026254</v>
      </c>
      <c r="Y271" s="647">
        <v>133.90658281746911</v>
      </c>
      <c r="Z271" s="647">
        <v>919.39393939393949</v>
      </c>
      <c r="AA271" s="647">
        <v>300.16666314840353</v>
      </c>
      <c r="AB271" s="647">
        <v>200.47624617373779</v>
      </c>
      <c r="AC271" s="647">
        <v>37.690284018354092</v>
      </c>
      <c r="AD271" s="647">
        <v>-21.083834190017033</v>
      </c>
      <c r="AE271" s="647">
        <v>-0.82320457342644793</v>
      </c>
      <c r="AF271" s="647">
        <v>92.901000398225491</v>
      </c>
      <c r="AG271" s="647">
        <v>23.979405132943342</v>
      </c>
      <c r="AH271" s="647">
        <v>-12.632253344037395</v>
      </c>
      <c r="AI271" s="647">
        <v>0</v>
      </c>
      <c r="AJ271" s="647">
        <v>0</v>
      </c>
      <c r="AK271" s="647">
        <v>1873.9113038537675</v>
      </c>
    </row>
    <row r="272" spans="3:37" ht="13">
      <c r="C272" s="636"/>
      <c r="D272" s="636">
        <v>0</v>
      </c>
      <c r="E272" s="636">
        <v>0</v>
      </c>
      <c r="F272" s="636">
        <v>0</v>
      </c>
      <c r="G272" s="636">
        <v>0</v>
      </c>
      <c r="H272" s="636">
        <v>0</v>
      </c>
      <c r="I272" s="636">
        <v>0</v>
      </c>
      <c r="J272" s="636">
        <v>0</v>
      </c>
      <c r="K272" s="636">
        <v>0</v>
      </c>
      <c r="L272" s="636">
        <v>0</v>
      </c>
      <c r="M272" s="636">
        <v>0</v>
      </c>
      <c r="N272" s="636">
        <v>0</v>
      </c>
      <c r="O272" s="636">
        <v>0</v>
      </c>
      <c r="P272" s="636">
        <v>0</v>
      </c>
      <c r="Q272" s="636">
        <v>0</v>
      </c>
      <c r="R272" s="636">
        <v>0</v>
      </c>
      <c r="S272" s="636">
        <v>0</v>
      </c>
      <c r="U272" s="636"/>
      <c r="V272" s="636">
        <v>0</v>
      </c>
      <c r="W272" s="636">
        <v>0</v>
      </c>
      <c r="X272" s="636">
        <v>0</v>
      </c>
      <c r="Y272" s="636">
        <v>0</v>
      </c>
      <c r="Z272" s="636">
        <v>0</v>
      </c>
      <c r="AA272" s="636">
        <v>0</v>
      </c>
      <c r="AB272" s="636">
        <v>0</v>
      </c>
      <c r="AC272" s="636">
        <v>0</v>
      </c>
      <c r="AD272" s="636">
        <v>0</v>
      </c>
      <c r="AE272" s="636">
        <v>0</v>
      </c>
      <c r="AF272" s="636">
        <v>0</v>
      </c>
      <c r="AG272" s="636">
        <v>0</v>
      </c>
      <c r="AH272" s="636">
        <v>0</v>
      </c>
      <c r="AI272" s="636">
        <v>0</v>
      </c>
      <c r="AJ272" s="636">
        <v>0</v>
      </c>
      <c r="AK272" s="636">
        <v>0</v>
      </c>
    </row>
    <row r="273" spans="3:37" ht="13.5">
      <c r="C273" s="648" t="s">
        <v>67</v>
      </c>
      <c r="D273" s="642">
        <v>0</v>
      </c>
      <c r="E273" s="649">
        <v>0</v>
      </c>
      <c r="F273" s="649">
        <v>0</v>
      </c>
      <c r="G273" s="642">
        <v>0</v>
      </c>
      <c r="H273" s="642">
        <v>0</v>
      </c>
      <c r="I273" s="642">
        <v>0</v>
      </c>
      <c r="J273" s="642">
        <v>0</v>
      </c>
      <c r="K273" s="642">
        <v>0</v>
      </c>
      <c r="L273" s="642">
        <v>0</v>
      </c>
      <c r="M273" s="642">
        <v>0</v>
      </c>
      <c r="N273" s="642">
        <v>0</v>
      </c>
      <c r="O273" s="642">
        <v>0</v>
      </c>
      <c r="P273" s="642">
        <v>0</v>
      </c>
      <c r="Q273" s="642">
        <v>0</v>
      </c>
      <c r="R273" s="642">
        <v>0</v>
      </c>
      <c r="S273" s="650">
        <v>0</v>
      </c>
      <c r="U273" s="648" t="s">
        <v>67</v>
      </c>
      <c r="V273" s="642">
        <v>0</v>
      </c>
      <c r="W273" s="649">
        <v>0</v>
      </c>
      <c r="X273" s="649">
        <v>0</v>
      </c>
      <c r="Y273" s="642">
        <v>0</v>
      </c>
      <c r="Z273" s="642">
        <v>0</v>
      </c>
      <c r="AA273" s="642">
        <v>0</v>
      </c>
      <c r="AB273" s="642">
        <v>0</v>
      </c>
      <c r="AC273" s="642">
        <v>0</v>
      </c>
      <c r="AD273" s="642">
        <v>0</v>
      </c>
      <c r="AE273" s="642">
        <v>0</v>
      </c>
      <c r="AF273" s="642">
        <v>0</v>
      </c>
      <c r="AG273" s="642">
        <v>0</v>
      </c>
      <c r="AH273" s="642">
        <v>0</v>
      </c>
      <c r="AI273" s="642">
        <v>0</v>
      </c>
      <c r="AJ273" s="642">
        <v>0</v>
      </c>
      <c r="AK273" s="650">
        <v>0</v>
      </c>
    </row>
    <row r="274" spans="3:37" ht="13.5">
      <c r="C274" s="648" t="s">
        <v>350</v>
      </c>
      <c r="D274" s="642">
        <v>2.8267856410252494</v>
      </c>
      <c r="E274" s="642">
        <v>0</v>
      </c>
      <c r="F274" s="642">
        <v>7.5217067848259731</v>
      </c>
      <c r="G274" s="642">
        <v>17.043478260869566</v>
      </c>
      <c r="H274" s="642">
        <v>959.09090909090924</v>
      </c>
      <c r="I274" s="642">
        <v>265.54666314840352</v>
      </c>
      <c r="J274" s="651">
        <v>29.657322749860491</v>
      </c>
      <c r="K274" s="651">
        <v>6.9984717304001904</v>
      </c>
      <c r="L274" s="651">
        <v>2.9080645507258027</v>
      </c>
      <c r="M274" s="651">
        <v>0.47316517381762646</v>
      </c>
      <c r="N274" s="651">
        <v>0</v>
      </c>
      <c r="O274" s="651">
        <v>6.9042102843702597</v>
      </c>
      <c r="P274" s="642">
        <v>-613.13903868039233</v>
      </c>
      <c r="Q274" s="642">
        <v>0</v>
      </c>
      <c r="R274" s="642">
        <v>0</v>
      </c>
      <c r="S274" s="650">
        <v>685.83173873481564</v>
      </c>
      <c r="U274" s="648" t="s">
        <v>350</v>
      </c>
      <c r="V274" s="642">
        <v>0.62631490545869017</v>
      </c>
      <c r="W274" s="642">
        <v>0</v>
      </c>
      <c r="X274" s="642">
        <v>3.6580704211896093</v>
      </c>
      <c r="Y274" s="642">
        <v>6.2086956521739127</v>
      </c>
      <c r="Z274" s="642">
        <v>919.39393939393949</v>
      </c>
      <c r="AA274" s="642">
        <v>300.16666314840353</v>
      </c>
      <c r="AB274" s="651">
        <v>23.86094386593884</v>
      </c>
      <c r="AC274" s="651">
        <v>5.6952120200596408</v>
      </c>
      <c r="AD274" s="651">
        <v>2.9080645507258027</v>
      </c>
      <c r="AE274" s="651">
        <v>2.7862086520784959</v>
      </c>
      <c r="AF274" s="651">
        <v>0</v>
      </c>
      <c r="AG274" s="651">
        <v>6.9042102843702597</v>
      </c>
      <c r="AH274" s="642">
        <v>-628.6590386803922</v>
      </c>
      <c r="AI274" s="642">
        <v>0</v>
      </c>
      <c r="AJ274" s="642">
        <v>4.7499999999999991</v>
      </c>
      <c r="AK274" s="650">
        <v>648.29928421394618</v>
      </c>
    </row>
    <row r="275" spans="3:37" ht="13.5">
      <c r="C275" s="648" t="s">
        <v>351</v>
      </c>
      <c r="D275" s="642">
        <v>0</v>
      </c>
      <c r="E275" s="642">
        <v>0</v>
      </c>
      <c r="F275" s="642">
        <v>0</v>
      </c>
      <c r="G275" s="642">
        <v>14.973464488470796</v>
      </c>
      <c r="H275" s="642">
        <v>0</v>
      </c>
      <c r="I275" s="642">
        <v>0</v>
      </c>
      <c r="J275" s="651">
        <v>12.61885930635281</v>
      </c>
      <c r="K275" s="651">
        <v>11.992989190910333</v>
      </c>
      <c r="L275" s="651">
        <v>0</v>
      </c>
      <c r="M275" s="651">
        <v>0.32007470171399477</v>
      </c>
      <c r="N275" s="651">
        <v>0</v>
      </c>
      <c r="O275" s="651">
        <v>2.1221335576886813</v>
      </c>
      <c r="P275" s="642">
        <v>0</v>
      </c>
      <c r="Q275" s="642">
        <v>-38.122859170635891</v>
      </c>
      <c r="R275" s="642">
        <v>0</v>
      </c>
      <c r="S275" s="650">
        <v>3.9046620745007217</v>
      </c>
      <c r="U275" s="648" t="s">
        <v>351</v>
      </c>
      <c r="V275" s="642">
        <v>0</v>
      </c>
      <c r="W275" s="642">
        <v>0</v>
      </c>
      <c r="X275" s="642">
        <v>0</v>
      </c>
      <c r="Y275" s="642">
        <v>11.236128743190402</v>
      </c>
      <c r="Z275" s="642">
        <v>0</v>
      </c>
      <c r="AA275" s="642">
        <v>0</v>
      </c>
      <c r="AB275" s="651">
        <v>28.835017835425074</v>
      </c>
      <c r="AC275" s="651">
        <v>26.276566272731909</v>
      </c>
      <c r="AD275" s="651">
        <v>0</v>
      </c>
      <c r="AE275" s="651">
        <v>4.8299775408676195</v>
      </c>
      <c r="AF275" s="651">
        <v>0</v>
      </c>
      <c r="AG275" s="651">
        <v>10.71495831218258</v>
      </c>
      <c r="AH275" s="642">
        <v>0</v>
      </c>
      <c r="AI275" s="642">
        <v>-75.331063655699538</v>
      </c>
      <c r="AJ275" s="642">
        <v>0</v>
      </c>
      <c r="AK275" s="650">
        <v>6.561585048698058</v>
      </c>
    </row>
    <row r="276" spans="3:37" ht="13.5">
      <c r="C276" s="648" t="s">
        <v>352</v>
      </c>
      <c r="D276" s="642">
        <v>0</v>
      </c>
      <c r="E276" s="642">
        <v>0</v>
      </c>
      <c r="F276" s="642">
        <v>0</v>
      </c>
      <c r="G276" s="642">
        <v>0</v>
      </c>
      <c r="H276" s="642">
        <v>0</v>
      </c>
      <c r="I276" s="642">
        <v>0</v>
      </c>
      <c r="J276" s="652">
        <v>7.1836152532588793</v>
      </c>
      <c r="K276" s="652">
        <v>0</v>
      </c>
      <c r="L276" s="652">
        <v>0</v>
      </c>
      <c r="M276" s="652">
        <v>-6.5550489185987271</v>
      </c>
      <c r="N276" s="652">
        <v>0</v>
      </c>
      <c r="O276" s="652">
        <v>0</v>
      </c>
      <c r="P276" s="642">
        <v>0</v>
      </c>
      <c r="Q276" s="642">
        <v>0</v>
      </c>
      <c r="R276" s="642">
        <v>0</v>
      </c>
      <c r="S276" s="650">
        <v>0.62856633466015222</v>
      </c>
      <c r="U276" s="648" t="s">
        <v>352</v>
      </c>
      <c r="V276" s="642">
        <v>0</v>
      </c>
      <c r="W276" s="642">
        <v>0</v>
      </c>
      <c r="X276" s="642">
        <v>0</v>
      </c>
      <c r="Y276" s="642">
        <v>0</v>
      </c>
      <c r="Z276" s="642">
        <v>0</v>
      </c>
      <c r="AA276" s="642">
        <v>0</v>
      </c>
      <c r="AB276" s="652">
        <v>63.436450079223192</v>
      </c>
      <c r="AC276" s="652">
        <v>0</v>
      </c>
      <c r="AD276" s="652">
        <v>0</v>
      </c>
      <c r="AE276" s="652">
        <v>-57.885760697291161</v>
      </c>
      <c r="AF276" s="652">
        <v>0</v>
      </c>
      <c r="AG276" s="652">
        <v>0</v>
      </c>
      <c r="AH276" s="642">
        <v>0</v>
      </c>
      <c r="AI276" s="642">
        <v>0</v>
      </c>
      <c r="AJ276" s="642">
        <v>0</v>
      </c>
      <c r="AK276" s="650">
        <v>5.5506893819320311</v>
      </c>
    </row>
    <row r="277" spans="3:37" ht="13.5">
      <c r="C277" s="648" t="s">
        <v>353</v>
      </c>
      <c r="D277" s="642">
        <v>0</v>
      </c>
      <c r="E277" s="642">
        <v>0</v>
      </c>
      <c r="F277" s="642">
        <v>0</v>
      </c>
      <c r="G277" s="642">
        <v>0</v>
      </c>
      <c r="H277" s="642">
        <v>0</v>
      </c>
      <c r="I277" s="642">
        <v>0</v>
      </c>
      <c r="J277" s="642">
        <v>0</v>
      </c>
      <c r="K277" s="642">
        <v>0</v>
      </c>
      <c r="L277" s="642">
        <v>0</v>
      </c>
      <c r="M277" s="642">
        <v>0</v>
      </c>
      <c r="N277" s="642">
        <v>0</v>
      </c>
      <c r="O277" s="642">
        <v>0</v>
      </c>
      <c r="P277" s="642">
        <v>0</v>
      </c>
      <c r="Q277" s="642">
        <v>0</v>
      </c>
      <c r="R277" s="642">
        <v>0</v>
      </c>
      <c r="S277" s="650">
        <v>0</v>
      </c>
      <c r="U277" s="648" t="s">
        <v>353</v>
      </c>
      <c r="V277" s="642">
        <v>0</v>
      </c>
      <c r="W277" s="642">
        <v>0</v>
      </c>
      <c r="X277" s="642">
        <v>0</v>
      </c>
      <c r="Y277" s="642">
        <v>0</v>
      </c>
      <c r="Z277" s="642">
        <v>0</v>
      </c>
      <c r="AA277" s="642">
        <v>0</v>
      </c>
      <c r="AB277" s="642">
        <v>0</v>
      </c>
      <c r="AC277" s="642">
        <v>0</v>
      </c>
      <c r="AD277" s="642">
        <v>0</v>
      </c>
      <c r="AE277" s="642">
        <v>0</v>
      </c>
      <c r="AF277" s="642">
        <v>0</v>
      </c>
      <c r="AG277" s="642">
        <v>0</v>
      </c>
      <c r="AH277" s="642">
        <v>0</v>
      </c>
      <c r="AI277" s="642">
        <v>0</v>
      </c>
      <c r="AJ277" s="642">
        <v>0</v>
      </c>
      <c r="AK277" s="650">
        <v>0</v>
      </c>
    </row>
    <row r="278" spans="3:37" ht="13.5">
      <c r="C278" s="648" t="s">
        <v>72</v>
      </c>
      <c r="D278" s="642">
        <v>0</v>
      </c>
      <c r="E278" s="642">
        <v>522.28962186433523</v>
      </c>
      <c r="F278" s="642">
        <v>-517.06672564569192</v>
      </c>
      <c r="G278" s="642">
        <v>0</v>
      </c>
      <c r="H278" s="642">
        <v>0</v>
      </c>
      <c r="I278" s="642">
        <v>0</v>
      </c>
      <c r="J278" s="642">
        <v>0</v>
      </c>
      <c r="K278" s="642">
        <v>0</v>
      </c>
      <c r="L278" s="642">
        <v>0</v>
      </c>
      <c r="M278" s="642">
        <v>0</v>
      </c>
      <c r="N278" s="642">
        <v>0</v>
      </c>
      <c r="O278" s="642">
        <v>0</v>
      </c>
      <c r="P278" s="642">
        <v>0</v>
      </c>
      <c r="Q278" s="642">
        <v>0</v>
      </c>
      <c r="R278" s="642">
        <v>0</v>
      </c>
      <c r="S278" s="650">
        <v>5.2228962186433137</v>
      </c>
      <c r="U278" s="648" t="s">
        <v>72</v>
      </c>
      <c r="V278" s="642">
        <v>0</v>
      </c>
      <c r="W278" s="642">
        <v>275.84091609698424</v>
      </c>
      <c r="X278" s="642">
        <v>-273.0825069360144</v>
      </c>
      <c r="Y278" s="642">
        <v>0</v>
      </c>
      <c r="Z278" s="642">
        <v>0</v>
      </c>
      <c r="AA278" s="642">
        <v>0</v>
      </c>
      <c r="AB278" s="642">
        <v>0</v>
      </c>
      <c r="AC278" s="642">
        <v>0</v>
      </c>
      <c r="AD278" s="642">
        <v>0</v>
      </c>
      <c r="AE278" s="642">
        <v>0</v>
      </c>
      <c r="AF278" s="642">
        <v>0</v>
      </c>
      <c r="AG278" s="642">
        <v>0</v>
      </c>
      <c r="AH278" s="642">
        <v>0</v>
      </c>
      <c r="AI278" s="642">
        <v>0</v>
      </c>
      <c r="AJ278" s="642">
        <v>0</v>
      </c>
      <c r="AK278" s="650">
        <v>2.7584091609698476</v>
      </c>
    </row>
    <row r="279" spans="3:37" ht="13.5">
      <c r="C279" s="648" t="s">
        <v>354</v>
      </c>
      <c r="D279" s="642">
        <v>0</v>
      </c>
      <c r="E279" s="642">
        <v>0</v>
      </c>
      <c r="F279" s="642">
        <v>0</v>
      </c>
      <c r="G279" s="642">
        <v>0</v>
      </c>
      <c r="H279" s="642">
        <v>0</v>
      </c>
      <c r="I279" s="642">
        <v>0</v>
      </c>
      <c r="J279" s="642">
        <v>28.942309114060045</v>
      </c>
      <c r="K279" s="642">
        <v>0</v>
      </c>
      <c r="L279" s="642">
        <v>-28.942309114060045</v>
      </c>
      <c r="M279" s="642">
        <v>0</v>
      </c>
      <c r="N279" s="642">
        <v>0</v>
      </c>
      <c r="O279" s="642">
        <v>0</v>
      </c>
      <c r="P279" s="642">
        <v>0</v>
      </c>
      <c r="Q279" s="642">
        <v>0</v>
      </c>
      <c r="R279" s="642">
        <v>0</v>
      </c>
      <c r="S279" s="650">
        <v>0</v>
      </c>
      <c r="U279" s="648" t="s">
        <v>354</v>
      </c>
      <c r="V279" s="642">
        <v>0</v>
      </c>
      <c r="W279" s="642">
        <v>0</v>
      </c>
      <c r="X279" s="642">
        <v>0</v>
      </c>
      <c r="Y279" s="642">
        <v>0</v>
      </c>
      <c r="Z279" s="642">
        <v>0</v>
      </c>
      <c r="AA279" s="642">
        <v>0</v>
      </c>
      <c r="AB279" s="642" t="e">
        <v>#VALUE!</v>
      </c>
      <c r="AC279" s="642">
        <v>0</v>
      </c>
      <c r="AD279" s="642">
        <v>-101.68735143023177</v>
      </c>
      <c r="AE279" s="642">
        <v>0</v>
      </c>
      <c r="AF279" s="642">
        <v>0</v>
      </c>
      <c r="AG279" s="642">
        <v>0</v>
      </c>
      <c r="AH279" s="642">
        <v>0</v>
      </c>
      <c r="AI279" s="642">
        <v>0</v>
      </c>
      <c r="AJ279" s="642">
        <v>0</v>
      </c>
      <c r="AK279" s="650">
        <v>-101.68735143023177</v>
      </c>
    </row>
    <row r="280" spans="3:37" ht="13.5">
      <c r="C280" s="648" t="s">
        <v>355</v>
      </c>
      <c r="D280" s="642">
        <v>0</v>
      </c>
      <c r="E280" s="642">
        <v>0</v>
      </c>
      <c r="F280" s="642">
        <v>0</v>
      </c>
      <c r="G280" s="642">
        <v>0</v>
      </c>
      <c r="H280" s="642">
        <v>0</v>
      </c>
      <c r="I280" s="642">
        <v>0</v>
      </c>
      <c r="J280" s="642">
        <v>0</v>
      </c>
      <c r="K280" s="642">
        <v>0</v>
      </c>
      <c r="L280" s="642">
        <v>0</v>
      </c>
      <c r="M280" s="642">
        <v>0</v>
      </c>
      <c r="N280" s="642">
        <v>0</v>
      </c>
      <c r="O280" s="642">
        <v>0</v>
      </c>
      <c r="P280" s="642">
        <v>0</v>
      </c>
      <c r="Q280" s="642">
        <v>0</v>
      </c>
      <c r="R280" s="642">
        <v>0</v>
      </c>
      <c r="S280" s="650">
        <v>0</v>
      </c>
      <c r="U280" s="648" t="s">
        <v>355</v>
      </c>
      <c r="V280" s="642">
        <v>0</v>
      </c>
      <c r="W280" s="642">
        <v>0</v>
      </c>
      <c r="X280" s="642">
        <v>0</v>
      </c>
      <c r="Y280" s="642">
        <v>0</v>
      </c>
      <c r="Z280" s="642">
        <v>0</v>
      </c>
      <c r="AA280" s="642">
        <v>0</v>
      </c>
      <c r="AB280" s="642">
        <v>0</v>
      </c>
      <c r="AC280" s="642">
        <v>0</v>
      </c>
      <c r="AD280" s="642">
        <v>-20.330518764117095</v>
      </c>
      <c r="AE280" s="642">
        <v>0</v>
      </c>
      <c r="AF280" s="642">
        <v>0</v>
      </c>
      <c r="AG280" s="642">
        <v>0</v>
      </c>
      <c r="AH280" s="642">
        <v>0</v>
      </c>
      <c r="AI280" s="642">
        <v>0</v>
      </c>
      <c r="AJ280" s="642">
        <v>0</v>
      </c>
      <c r="AK280" s="650">
        <v>-20.330518764117095</v>
      </c>
    </row>
    <row r="281" spans="3:37" ht="13.5">
      <c r="C281" s="648" t="s">
        <v>73</v>
      </c>
      <c r="D281" s="642">
        <v>0</v>
      </c>
      <c r="E281" s="642">
        <v>0</v>
      </c>
      <c r="F281" s="642">
        <v>0</v>
      </c>
      <c r="G281" s="642">
        <v>5.1012543356530031</v>
      </c>
      <c r="H281" s="642">
        <v>0</v>
      </c>
      <c r="I281" s="642">
        <v>0</v>
      </c>
      <c r="J281" s="642">
        <v>0</v>
      </c>
      <c r="K281" s="642">
        <v>5.8487208617897309E-2</v>
      </c>
      <c r="L281" s="642">
        <v>0</v>
      </c>
      <c r="M281" s="642">
        <v>0.10410723133985722</v>
      </c>
      <c r="N281" s="642">
        <v>0</v>
      </c>
      <c r="O281" s="642">
        <v>0</v>
      </c>
      <c r="P281" s="642">
        <v>0.59767950412449788</v>
      </c>
      <c r="Q281" s="642">
        <v>0</v>
      </c>
      <c r="R281" s="642">
        <v>-4.094104603252811</v>
      </c>
      <c r="S281" s="650">
        <v>1.7674236764824451</v>
      </c>
      <c r="U281" s="648" t="s">
        <v>73</v>
      </c>
      <c r="V281" s="642">
        <v>0</v>
      </c>
      <c r="W281" s="642">
        <v>0</v>
      </c>
      <c r="X281" s="642">
        <v>0</v>
      </c>
      <c r="Y281" s="642">
        <v>5.6948243223481816</v>
      </c>
      <c r="Z281" s="642">
        <v>0</v>
      </c>
      <c r="AA281" s="642">
        <v>0</v>
      </c>
      <c r="AB281" s="642">
        <v>0</v>
      </c>
      <c r="AC281" s="642">
        <v>0.40677316588201312</v>
      </c>
      <c r="AD281" s="642">
        <v>0</v>
      </c>
      <c r="AE281" s="642">
        <v>2.440638995292078</v>
      </c>
      <c r="AF281" s="642">
        <v>0</v>
      </c>
      <c r="AG281" s="642">
        <v>0</v>
      </c>
      <c r="AH281" s="642">
        <v>32.838767990182951</v>
      </c>
      <c r="AI281" s="642">
        <v>0</v>
      </c>
      <c r="AJ281" s="642">
        <v>-28.474121611740912</v>
      </c>
      <c r="AK281" s="650">
        <v>12.906882861964313</v>
      </c>
    </row>
    <row r="282" spans="3:37" ht="13.5">
      <c r="C282" s="648" t="s">
        <v>356</v>
      </c>
      <c r="D282" s="642">
        <v>28.616489999999999</v>
      </c>
      <c r="E282" s="642">
        <v>-18.09733539759922</v>
      </c>
      <c r="F282" s="642">
        <v>23.670245777269074</v>
      </c>
      <c r="G282" s="642">
        <v>0</v>
      </c>
      <c r="H282" s="642">
        <v>0</v>
      </c>
      <c r="I282" s="642">
        <v>0</v>
      </c>
      <c r="J282" s="642">
        <v>0</v>
      </c>
      <c r="K282" s="642">
        <v>0</v>
      </c>
      <c r="L282" s="642">
        <v>0</v>
      </c>
      <c r="M282" s="642">
        <v>0</v>
      </c>
      <c r="N282" s="642">
        <v>0</v>
      </c>
      <c r="O282" s="642">
        <v>0</v>
      </c>
      <c r="P282" s="642">
        <v>0</v>
      </c>
      <c r="Q282" s="642">
        <v>0</v>
      </c>
      <c r="R282" s="642">
        <v>0</v>
      </c>
      <c r="S282" s="650">
        <v>34.189400379669848</v>
      </c>
      <c r="U282" s="648" t="s">
        <v>356</v>
      </c>
      <c r="V282" s="642">
        <v>2.3505202026367185</v>
      </c>
      <c r="W282" s="642">
        <v>-9.5578877427605047</v>
      </c>
      <c r="X282" s="642">
        <v>12.501152628950074</v>
      </c>
      <c r="Y282" s="642">
        <v>0</v>
      </c>
      <c r="Z282" s="642">
        <v>0</v>
      </c>
      <c r="AA282" s="642">
        <v>0</v>
      </c>
      <c r="AB282" s="642">
        <v>0</v>
      </c>
      <c r="AC282" s="642">
        <v>0</v>
      </c>
      <c r="AD282" s="642">
        <v>0</v>
      </c>
      <c r="AE282" s="642">
        <v>0</v>
      </c>
      <c r="AF282" s="642">
        <v>0</v>
      </c>
      <c r="AG282" s="642">
        <v>0</v>
      </c>
      <c r="AH282" s="642">
        <v>0</v>
      </c>
      <c r="AI282" s="642">
        <v>0</v>
      </c>
      <c r="AJ282" s="642">
        <v>0</v>
      </c>
      <c r="AK282" s="650">
        <v>5.2937850888262874</v>
      </c>
    </row>
    <row r="283" spans="3:37" ht="13.5">
      <c r="C283" s="648" t="s">
        <v>75</v>
      </c>
      <c r="D283" s="642">
        <v>11.128635000000001</v>
      </c>
      <c r="E283" s="642">
        <v>0</v>
      </c>
      <c r="F283" s="642">
        <v>17.757847143387398</v>
      </c>
      <c r="G283" s="642">
        <v>5.0672539113277812</v>
      </c>
      <c r="H283" s="642">
        <v>0</v>
      </c>
      <c r="I283" s="642">
        <v>0</v>
      </c>
      <c r="J283" s="642">
        <v>0</v>
      </c>
      <c r="K283" s="642">
        <v>0</v>
      </c>
      <c r="L283" s="642">
        <v>0</v>
      </c>
      <c r="M283" s="642">
        <v>0.1034133451291384</v>
      </c>
      <c r="N283" s="642">
        <v>0</v>
      </c>
      <c r="O283" s="642">
        <v>0</v>
      </c>
      <c r="P283" s="642">
        <v>30.750377055945027</v>
      </c>
      <c r="Q283" s="642">
        <v>0</v>
      </c>
      <c r="R283" s="642">
        <v>0</v>
      </c>
      <c r="S283" s="650">
        <v>64.807526455789343</v>
      </c>
      <c r="U283" s="648" t="s">
        <v>75</v>
      </c>
      <c r="V283" s="642">
        <v>3.4784289550781251</v>
      </c>
      <c r="W283" s="642">
        <v>0</v>
      </c>
      <c r="X283" s="642">
        <v>17.757847143387398</v>
      </c>
      <c r="Y283" s="642">
        <v>3.6194670795198434</v>
      </c>
      <c r="Z283" s="642">
        <v>0</v>
      </c>
      <c r="AA283" s="642">
        <v>0</v>
      </c>
      <c r="AB283" s="642">
        <v>0</v>
      </c>
      <c r="AC283" s="642">
        <v>0</v>
      </c>
      <c r="AD283" s="642">
        <v>0</v>
      </c>
      <c r="AE283" s="642">
        <v>1.5512001769370758</v>
      </c>
      <c r="AF283" s="642">
        <v>0</v>
      </c>
      <c r="AG283" s="642">
        <v>0</v>
      </c>
      <c r="AH283" s="642">
        <v>36.42264978321775</v>
      </c>
      <c r="AI283" s="642">
        <v>0</v>
      </c>
      <c r="AJ283" s="642">
        <v>0</v>
      </c>
      <c r="AK283" s="650">
        <v>62.829593138140197</v>
      </c>
    </row>
    <row r="284" spans="3:37" ht="13.5">
      <c r="C284" s="648" t="s">
        <v>76</v>
      </c>
      <c r="D284" s="642">
        <v>0</v>
      </c>
      <c r="E284" s="642">
        <v>0</v>
      </c>
      <c r="F284" s="642">
        <v>0</v>
      </c>
      <c r="G284" s="642">
        <v>3.8086647866957031</v>
      </c>
      <c r="H284" s="642">
        <v>0</v>
      </c>
      <c r="I284" s="642">
        <v>0</v>
      </c>
      <c r="J284" s="642">
        <v>0</v>
      </c>
      <c r="K284" s="642">
        <v>0</v>
      </c>
      <c r="L284" s="642">
        <v>0</v>
      </c>
      <c r="M284" s="642">
        <v>7.7727852789708229E-2</v>
      </c>
      <c r="N284" s="642">
        <v>0</v>
      </c>
      <c r="O284" s="642">
        <v>0</v>
      </c>
      <c r="P284" s="642">
        <v>44.547532005203358</v>
      </c>
      <c r="Q284" s="642">
        <v>2.958822517532107</v>
      </c>
      <c r="R284" s="642">
        <v>0</v>
      </c>
      <c r="S284" s="650">
        <v>51.392747162220878</v>
      </c>
      <c r="U284" s="648" t="s">
        <v>76</v>
      </c>
      <c r="V284" s="642">
        <v>0</v>
      </c>
      <c r="W284" s="642">
        <v>0</v>
      </c>
      <c r="X284" s="642">
        <v>0</v>
      </c>
      <c r="Y284" s="642">
        <v>1.6015823117827594</v>
      </c>
      <c r="Z284" s="642">
        <v>0</v>
      </c>
      <c r="AA284" s="642">
        <v>0</v>
      </c>
      <c r="AB284" s="642">
        <v>0</v>
      </c>
      <c r="AC284" s="642">
        <v>0</v>
      </c>
      <c r="AD284" s="642">
        <v>0</v>
      </c>
      <c r="AE284" s="642">
        <v>0.68639241933546835</v>
      </c>
      <c r="AF284" s="642">
        <v>0</v>
      </c>
      <c r="AG284" s="642">
        <v>0</v>
      </c>
      <c r="AH284" s="642">
        <v>47.148943407633553</v>
      </c>
      <c r="AI284" s="642">
        <v>5.8421151160056723</v>
      </c>
      <c r="AJ284" s="642">
        <v>0</v>
      </c>
      <c r="AK284" s="650">
        <v>55.279033254757444</v>
      </c>
    </row>
    <row r="285" spans="3:37" ht="13.5">
      <c r="C285" s="646" t="s">
        <v>77</v>
      </c>
      <c r="D285" s="647">
        <v>42.571910641025248</v>
      </c>
      <c r="E285" s="647">
        <v>504.19228646673599</v>
      </c>
      <c r="F285" s="647">
        <v>-468.11692594020946</v>
      </c>
      <c r="G285" s="647">
        <v>45.994115783016845</v>
      </c>
      <c r="H285" s="647">
        <v>959.09090909090924</v>
      </c>
      <c r="I285" s="647">
        <v>265.54666314840352</v>
      </c>
      <c r="J285" s="647">
        <v>78.402106423532217</v>
      </c>
      <c r="K285" s="647">
        <v>19.049948129928421</v>
      </c>
      <c r="L285" s="647">
        <v>-26.034244563334241</v>
      </c>
      <c r="M285" s="647">
        <v>-5.4765606138084015</v>
      </c>
      <c r="N285" s="647">
        <v>0</v>
      </c>
      <c r="O285" s="647">
        <v>9.0263438420589424</v>
      </c>
      <c r="P285" s="647">
        <v>-537.24345011511946</v>
      </c>
      <c r="Q285" s="647">
        <v>-35.164036653103786</v>
      </c>
      <c r="R285" s="647">
        <v>-4.094104603252811</v>
      </c>
      <c r="S285" s="647">
        <v>847.74496103678234</v>
      </c>
      <c r="U285" s="646" t="s">
        <v>77</v>
      </c>
      <c r="V285" s="647">
        <v>6.4552640631735336</v>
      </c>
      <c r="W285" s="647">
        <v>266.28302835422375</v>
      </c>
      <c r="X285" s="647">
        <v>-239.16543674248729</v>
      </c>
      <c r="Y285" s="647">
        <v>28.3606981090151</v>
      </c>
      <c r="Z285" s="647">
        <v>919.39393939393949</v>
      </c>
      <c r="AA285" s="647">
        <v>300.16666314840353</v>
      </c>
      <c r="AB285" s="647">
        <v>116.13241178058709</v>
      </c>
      <c r="AC285" s="647">
        <v>32.378551458673563</v>
      </c>
      <c r="AD285" s="647">
        <v>-119.10980564362306</v>
      </c>
      <c r="AE285" s="647">
        <v>-45.591342912780426</v>
      </c>
      <c r="AF285" s="647">
        <v>0</v>
      </c>
      <c r="AG285" s="647">
        <v>17.619168596552839</v>
      </c>
      <c r="AH285" s="647">
        <v>-512.24867749935788</v>
      </c>
      <c r="AI285" s="647">
        <v>-69.488948539693865</v>
      </c>
      <c r="AJ285" s="647">
        <v>-23.724121611740912</v>
      </c>
      <c r="AK285" s="647">
        <v>677.46139195488558</v>
      </c>
    </row>
    <row r="286" spans="3:37" ht="13">
      <c r="C286" s="636"/>
      <c r="D286" s="636">
        <v>0</v>
      </c>
      <c r="E286" s="636">
        <v>0</v>
      </c>
      <c r="F286" s="636">
        <v>0</v>
      </c>
      <c r="G286" s="636">
        <v>0</v>
      </c>
      <c r="H286" s="636">
        <v>0</v>
      </c>
      <c r="I286" s="636">
        <v>0</v>
      </c>
      <c r="J286" s="636">
        <v>0</v>
      </c>
      <c r="K286" s="636">
        <v>0</v>
      </c>
      <c r="L286" s="636">
        <v>0</v>
      </c>
      <c r="M286" s="636">
        <v>0</v>
      </c>
      <c r="N286" s="636">
        <v>0</v>
      </c>
      <c r="O286" s="636">
        <v>0</v>
      </c>
      <c r="P286" s="636">
        <v>0</v>
      </c>
      <c r="Q286" s="636">
        <v>0</v>
      </c>
      <c r="R286" s="636">
        <v>0</v>
      </c>
      <c r="S286" s="636">
        <v>0</v>
      </c>
      <c r="U286" s="636"/>
      <c r="V286" s="636">
        <v>0</v>
      </c>
      <c r="W286" s="636">
        <v>0</v>
      </c>
      <c r="X286" s="636">
        <v>0</v>
      </c>
      <c r="Y286" s="636">
        <v>0</v>
      </c>
      <c r="Z286" s="636">
        <v>0</v>
      </c>
      <c r="AA286" s="636">
        <v>0</v>
      </c>
      <c r="AB286" s="636">
        <v>0</v>
      </c>
      <c r="AC286" s="636">
        <v>0</v>
      </c>
      <c r="AD286" s="636">
        <v>0</v>
      </c>
      <c r="AE286" s="636">
        <v>0</v>
      </c>
      <c r="AF286" s="636">
        <v>0</v>
      </c>
      <c r="AG286" s="636">
        <v>0</v>
      </c>
      <c r="AH286" s="636">
        <v>0</v>
      </c>
      <c r="AI286" s="636">
        <v>0</v>
      </c>
      <c r="AJ286" s="636">
        <v>0</v>
      </c>
      <c r="AK286" s="636">
        <v>0</v>
      </c>
    </row>
    <row r="287" spans="3:37" ht="13.5">
      <c r="C287" s="648" t="s">
        <v>78</v>
      </c>
      <c r="D287" s="642">
        <v>5.4657298257742912</v>
      </c>
      <c r="E287" s="642">
        <v>0</v>
      </c>
      <c r="F287" s="642">
        <v>21.83935294215906</v>
      </c>
      <c r="G287" s="642">
        <v>97.960240418883188</v>
      </c>
      <c r="H287" s="642">
        <v>0</v>
      </c>
      <c r="I287" s="642">
        <v>0</v>
      </c>
      <c r="J287" s="642">
        <v>20.699069714826329</v>
      </c>
      <c r="K287" s="642">
        <v>1.7608774311708451</v>
      </c>
      <c r="L287" s="642">
        <v>0.9136629082031249</v>
      </c>
      <c r="M287" s="642">
        <v>2.0177626304462204</v>
      </c>
      <c r="N287" s="642">
        <v>0</v>
      </c>
      <c r="O287" s="642">
        <v>3.7866244598879411E-4</v>
      </c>
      <c r="P287" s="642">
        <v>111.48933548215857</v>
      </c>
      <c r="Q287" s="642">
        <v>16.083775404791947</v>
      </c>
      <c r="R287" s="642">
        <v>0.29766925048828125</v>
      </c>
      <c r="S287" s="650">
        <v>278.52785467134788</v>
      </c>
      <c r="U287" s="648" t="s">
        <v>78</v>
      </c>
      <c r="V287" s="642">
        <v>1.0762581410403587</v>
      </c>
      <c r="W287" s="642">
        <v>0</v>
      </c>
      <c r="X287" s="642">
        <v>8.4892491154216376</v>
      </c>
      <c r="Y287" s="642">
        <v>50.497915430959594</v>
      </c>
      <c r="Z287" s="642">
        <v>0</v>
      </c>
      <c r="AA287" s="642">
        <v>0</v>
      </c>
      <c r="AB287" s="642">
        <v>15.594949526554588</v>
      </c>
      <c r="AC287" s="642">
        <v>5.2865944994228578</v>
      </c>
      <c r="AD287" s="642">
        <v>4.3757583007812499</v>
      </c>
      <c r="AE287" s="642">
        <v>21.660537806594554</v>
      </c>
      <c r="AF287" s="642">
        <v>0</v>
      </c>
      <c r="AG287" s="642">
        <v>3.7866244598879411E-4</v>
      </c>
      <c r="AH287" s="642">
        <v>141.44668524271188</v>
      </c>
      <c r="AI287" s="642">
        <v>22.79177635880415</v>
      </c>
      <c r="AJ287" s="642">
        <v>6.850041015625</v>
      </c>
      <c r="AK287" s="650">
        <v>278.07014410036186</v>
      </c>
    </row>
    <row r="288" spans="3:37" ht="13.5">
      <c r="C288" s="648" t="s">
        <v>79</v>
      </c>
      <c r="D288" s="642">
        <v>0</v>
      </c>
      <c r="E288" s="642">
        <v>0</v>
      </c>
      <c r="F288" s="642">
        <v>249.23385066161848</v>
      </c>
      <c r="G288" s="642">
        <v>29.852237297635437</v>
      </c>
      <c r="H288" s="642">
        <v>0</v>
      </c>
      <c r="I288" s="642">
        <v>0</v>
      </c>
      <c r="J288" s="642">
        <v>0</v>
      </c>
      <c r="K288" s="642">
        <v>0</v>
      </c>
      <c r="L288" s="642">
        <v>24.125777410294155</v>
      </c>
      <c r="M288" s="642">
        <v>0.60922933260480494</v>
      </c>
      <c r="N288" s="642">
        <v>0</v>
      </c>
      <c r="O288" s="642">
        <v>0</v>
      </c>
      <c r="P288" s="642">
        <v>62.086065361885787</v>
      </c>
      <c r="Q288" s="642">
        <v>0</v>
      </c>
      <c r="R288" s="642">
        <v>1.9828379826970517</v>
      </c>
      <c r="S288" s="650">
        <v>367.88999804673568</v>
      </c>
      <c r="U288" s="648" t="s">
        <v>79</v>
      </c>
      <c r="V288" s="642">
        <v>0</v>
      </c>
      <c r="W288" s="642">
        <v>0</v>
      </c>
      <c r="X288" s="642">
        <v>59.317364570862594</v>
      </c>
      <c r="Y288" s="642">
        <v>17.942066440325025</v>
      </c>
      <c r="Z288" s="642">
        <v>0</v>
      </c>
      <c r="AA288" s="642">
        <v>0</v>
      </c>
      <c r="AB288" s="642">
        <v>0</v>
      </c>
      <c r="AC288" s="642">
        <v>0</v>
      </c>
      <c r="AD288" s="642">
        <v>51.332808735857633</v>
      </c>
      <c r="AE288" s="642">
        <v>7.6894570458535831</v>
      </c>
      <c r="AF288" s="642">
        <v>0</v>
      </c>
      <c r="AG288" s="642">
        <v>0</v>
      </c>
      <c r="AH288" s="642">
        <v>82.201296258535137</v>
      </c>
      <c r="AI288" s="642">
        <v>0</v>
      </c>
      <c r="AJ288" s="642">
        <v>4.6183032107255606</v>
      </c>
      <c r="AK288" s="650">
        <v>223.10129626215951</v>
      </c>
    </row>
    <row r="289" spans="3:37" ht="13.5">
      <c r="C289" s="648" t="s">
        <v>80</v>
      </c>
      <c r="D289" s="642">
        <v>0</v>
      </c>
      <c r="E289" s="642">
        <v>0</v>
      </c>
      <c r="F289" s="642">
        <v>17.698191750553285</v>
      </c>
      <c r="G289" s="642">
        <v>82.8316536533641</v>
      </c>
      <c r="H289" s="642">
        <v>0</v>
      </c>
      <c r="I289" s="642">
        <v>0</v>
      </c>
      <c r="J289" s="642">
        <v>87.012401530952616</v>
      </c>
      <c r="K289" s="642">
        <v>0</v>
      </c>
      <c r="L289" s="642">
        <v>0</v>
      </c>
      <c r="M289" s="642">
        <v>1.690441911293145</v>
      </c>
      <c r="N289" s="642">
        <v>54.219025663639314</v>
      </c>
      <c r="O289" s="642">
        <v>2.0231633432731213</v>
      </c>
      <c r="P289" s="642">
        <v>187.24843332836184</v>
      </c>
      <c r="Q289" s="642">
        <v>15.504434202631401</v>
      </c>
      <c r="R289" s="642">
        <v>0</v>
      </c>
      <c r="S289" s="650">
        <v>448.22774538406884</v>
      </c>
      <c r="U289" s="648" t="s">
        <v>80</v>
      </c>
      <c r="V289" s="642">
        <v>0</v>
      </c>
      <c r="W289" s="642">
        <v>0</v>
      </c>
      <c r="X289" s="642">
        <v>1.0833932718176746</v>
      </c>
      <c r="Y289" s="642">
        <v>18.084176496701136</v>
      </c>
      <c r="Z289" s="642">
        <v>0</v>
      </c>
      <c r="AA289" s="642">
        <v>0</v>
      </c>
      <c r="AB289" s="642">
        <v>57.868484646152382</v>
      </c>
      <c r="AC289" s="642">
        <v>0</v>
      </c>
      <c r="AD289" s="642">
        <v>0</v>
      </c>
      <c r="AE289" s="642">
        <v>7.7503613557290594</v>
      </c>
      <c r="AF289" s="642">
        <v>78.313096165620991</v>
      </c>
      <c r="AG289" s="642">
        <v>3.4573890525731583</v>
      </c>
      <c r="AH289" s="642">
        <v>150.63566760387405</v>
      </c>
      <c r="AI289" s="642">
        <v>34.942034151478268</v>
      </c>
      <c r="AJ289" s="642">
        <v>0</v>
      </c>
      <c r="AK289" s="650">
        <v>352.13460274394669</v>
      </c>
    </row>
    <row r="290" spans="3:37" ht="13.5">
      <c r="C290" s="648" t="s">
        <v>81</v>
      </c>
      <c r="D290" s="642">
        <v>0</v>
      </c>
      <c r="E290" s="642">
        <v>0</v>
      </c>
      <c r="F290" s="642">
        <v>5.759525486283259</v>
      </c>
      <c r="G290" s="642">
        <v>63.242535904869413</v>
      </c>
      <c r="H290" s="642">
        <v>0</v>
      </c>
      <c r="I290" s="642">
        <v>0</v>
      </c>
      <c r="J290" s="642">
        <v>3.243340348024236</v>
      </c>
      <c r="K290" s="642">
        <v>2.5138060257677737E-2</v>
      </c>
      <c r="L290" s="642">
        <v>0</v>
      </c>
      <c r="M290" s="642">
        <v>1.2906639980585595</v>
      </c>
      <c r="N290" s="642">
        <v>8.6788063603893928</v>
      </c>
      <c r="O290" s="642">
        <v>0.74318365128395913</v>
      </c>
      <c r="P290" s="642">
        <v>138.68432478978596</v>
      </c>
      <c r="Q290" s="642">
        <v>3.5758270456804375</v>
      </c>
      <c r="R290" s="642">
        <v>0</v>
      </c>
      <c r="S290" s="650">
        <v>225.24334564463288</v>
      </c>
      <c r="U290" s="648" t="s">
        <v>81</v>
      </c>
      <c r="V290" s="642">
        <v>0</v>
      </c>
      <c r="W290" s="642">
        <v>0</v>
      </c>
      <c r="X290" s="642">
        <v>1.8996820773870462</v>
      </c>
      <c r="Y290" s="642">
        <v>16.701006494583829</v>
      </c>
      <c r="Z290" s="642">
        <v>0</v>
      </c>
      <c r="AA290" s="642">
        <v>0</v>
      </c>
      <c r="AB290" s="642">
        <v>7.1959049572050198</v>
      </c>
      <c r="AC290" s="642">
        <v>2.5138060257677737E-2</v>
      </c>
      <c r="AD290" s="642">
        <v>0</v>
      </c>
      <c r="AE290" s="642">
        <v>7.1575742119644987</v>
      </c>
      <c r="AF290" s="642">
        <v>14.587904232604497</v>
      </c>
      <c r="AG290" s="642">
        <v>1.6018484399661996</v>
      </c>
      <c r="AH290" s="642">
        <v>116.46951239557291</v>
      </c>
      <c r="AI290" s="642">
        <v>11.755138029411436</v>
      </c>
      <c r="AJ290" s="642">
        <v>0</v>
      </c>
      <c r="AK290" s="650">
        <v>177.39370889895312</v>
      </c>
    </row>
    <row r="291" spans="3:37" ht="13.5">
      <c r="C291" s="648" t="s">
        <v>82</v>
      </c>
      <c r="D291" s="642">
        <v>0</v>
      </c>
      <c r="E291" s="642">
        <v>0</v>
      </c>
      <c r="F291" s="642">
        <v>29.471786733039881</v>
      </c>
      <c r="G291" s="642">
        <v>1.3166139535686423</v>
      </c>
      <c r="H291" s="642">
        <v>0</v>
      </c>
      <c r="I291" s="642">
        <v>0</v>
      </c>
      <c r="J291" s="642">
        <v>3.6844952632387193</v>
      </c>
      <c r="K291" s="642">
        <v>0</v>
      </c>
      <c r="L291" s="642">
        <v>3.0029030850571363</v>
      </c>
      <c r="M291" s="642">
        <v>2.6869672521809031E-2</v>
      </c>
      <c r="N291" s="642">
        <v>0</v>
      </c>
      <c r="O291" s="642">
        <v>7.2392521047915395E-2</v>
      </c>
      <c r="P291" s="642">
        <v>6.3643203530837074</v>
      </c>
      <c r="Q291" s="642">
        <v>0</v>
      </c>
      <c r="R291" s="642">
        <v>0</v>
      </c>
      <c r="S291" s="650">
        <v>43.939381581557811</v>
      </c>
      <c r="U291" s="648" t="s">
        <v>82</v>
      </c>
      <c r="V291" s="642">
        <v>0</v>
      </c>
      <c r="W291" s="642">
        <v>0</v>
      </c>
      <c r="X291" s="642">
        <v>10.199143313422546</v>
      </c>
      <c r="Y291" s="642">
        <v>1.1904851448286324</v>
      </c>
      <c r="Z291" s="642">
        <v>0</v>
      </c>
      <c r="AA291" s="642">
        <v>0</v>
      </c>
      <c r="AB291" s="642">
        <v>3.6844952632387193</v>
      </c>
      <c r="AC291" s="642">
        <v>0</v>
      </c>
      <c r="AD291" s="642">
        <v>26.674568203776872</v>
      </c>
      <c r="AE291" s="642">
        <v>0.51020791921227104</v>
      </c>
      <c r="AF291" s="642">
        <v>0</v>
      </c>
      <c r="AG291" s="642">
        <v>1.300620381405156</v>
      </c>
      <c r="AH291" s="642">
        <v>6.4632626546266092</v>
      </c>
      <c r="AI291" s="642">
        <v>0</v>
      </c>
      <c r="AJ291" s="642">
        <v>0.325155095351289</v>
      </c>
      <c r="AK291" s="650">
        <v>50.347937975862088</v>
      </c>
    </row>
    <row r="292" spans="3:37" ht="13.5">
      <c r="C292" s="648" t="s">
        <v>357</v>
      </c>
      <c r="D292" s="642">
        <v>0</v>
      </c>
      <c r="E292" s="642">
        <v>0</v>
      </c>
      <c r="F292" s="642">
        <v>0</v>
      </c>
      <c r="G292" s="642">
        <v>0</v>
      </c>
      <c r="H292" s="642">
        <v>0</v>
      </c>
      <c r="I292" s="642">
        <v>0</v>
      </c>
      <c r="J292" s="642">
        <v>0</v>
      </c>
      <c r="K292" s="642">
        <v>0</v>
      </c>
      <c r="L292" s="642">
        <v>0</v>
      </c>
      <c r="M292" s="642">
        <v>0</v>
      </c>
      <c r="N292" s="642">
        <v>0</v>
      </c>
      <c r="O292" s="642">
        <v>0</v>
      </c>
      <c r="P292" s="642">
        <v>0.31499999999999995</v>
      </c>
      <c r="Q292" s="642">
        <v>0</v>
      </c>
      <c r="R292" s="642">
        <v>0</v>
      </c>
      <c r="S292" s="650">
        <v>0.31499999999999995</v>
      </c>
      <c r="U292" s="648" t="s">
        <v>357</v>
      </c>
      <c r="V292" s="642">
        <v>0</v>
      </c>
      <c r="W292" s="642">
        <v>0</v>
      </c>
      <c r="X292" s="642">
        <v>0</v>
      </c>
      <c r="Y292" s="642">
        <v>0</v>
      </c>
      <c r="Z292" s="642">
        <v>0</v>
      </c>
      <c r="AA292" s="642">
        <v>0</v>
      </c>
      <c r="AB292" s="642">
        <v>0</v>
      </c>
      <c r="AC292" s="642">
        <v>0</v>
      </c>
      <c r="AD292" s="642">
        <v>0</v>
      </c>
      <c r="AE292" s="642">
        <v>0</v>
      </c>
      <c r="AF292" s="642">
        <v>0</v>
      </c>
      <c r="AG292" s="642">
        <v>0</v>
      </c>
      <c r="AH292" s="642">
        <v>2.4</v>
      </c>
      <c r="AI292" s="642">
        <v>0</v>
      </c>
      <c r="AJ292" s="642">
        <v>0</v>
      </c>
      <c r="AK292" s="650">
        <v>2.4</v>
      </c>
    </row>
    <row r="293" spans="3:37" ht="13.5">
      <c r="C293" s="646" t="s">
        <v>83</v>
      </c>
      <c r="D293" s="647">
        <v>5.4657298257742912</v>
      </c>
      <c r="E293" s="647">
        <v>0</v>
      </c>
      <c r="F293" s="647">
        <v>324.00270757365394</v>
      </c>
      <c r="G293" s="647">
        <v>275.2032812283208</v>
      </c>
      <c r="H293" s="647">
        <v>0</v>
      </c>
      <c r="I293" s="647">
        <v>0</v>
      </c>
      <c r="J293" s="647">
        <v>114.6393068570419</v>
      </c>
      <c r="K293" s="647">
        <v>1.7860154914285227</v>
      </c>
      <c r="L293" s="647">
        <v>28.042343403554419</v>
      </c>
      <c r="M293" s="647">
        <v>5.6349675449245389</v>
      </c>
      <c r="N293" s="647">
        <v>62.897832024028709</v>
      </c>
      <c r="O293" s="647">
        <v>2.8391181780509842</v>
      </c>
      <c r="P293" s="647">
        <v>506.18747931527582</v>
      </c>
      <c r="Q293" s="647">
        <v>35.164036653103793</v>
      </c>
      <c r="R293" s="647">
        <v>2.2805072331853329</v>
      </c>
      <c r="S293" s="647">
        <v>1364.1433253283431</v>
      </c>
      <c r="U293" s="646" t="s">
        <v>83</v>
      </c>
      <c r="V293" s="647">
        <v>1.0762581410403587</v>
      </c>
      <c r="W293" s="647">
        <v>0</v>
      </c>
      <c r="X293" s="647">
        <v>80.988832348911515</v>
      </c>
      <c r="Y293" s="647">
        <v>104.41565000739821</v>
      </c>
      <c r="Z293" s="647">
        <v>0</v>
      </c>
      <c r="AA293" s="647">
        <v>0</v>
      </c>
      <c r="AB293" s="647">
        <v>84.343834393150701</v>
      </c>
      <c r="AC293" s="647">
        <v>5.3117325596805349</v>
      </c>
      <c r="AD293" s="647">
        <v>82.383135240415754</v>
      </c>
      <c r="AE293" s="647">
        <v>44.768138339353968</v>
      </c>
      <c r="AF293" s="647">
        <v>92.901000398225491</v>
      </c>
      <c r="AG293" s="647">
        <v>6.3602365363905022</v>
      </c>
      <c r="AH293" s="647">
        <v>499.61642415532054</v>
      </c>
      <c r="AI293" s="647">
        <v>69.488948539693865</v>
      </c>
      <c r="AJ293" s="647">
        <v>11.793499321701848</v>
      </c>
      <c r="AK293" s="647">
        <v>1083.4476899812832</v>
      </c>
    </row>
    <row r="294" spans="3:37" ht="13.5">
      <c r="C294" s="641" t="s">
        <v>84</v>
      </c>
      <c r="D294" s="642">
        <v>0</v>
      </c>
      <c r="E294" s="642">
        <v>0</v>
      </c>
      <c r="F294" s="642">
        <v>109.69308299672531</v>
      </c>
      <c r="G294" s="642">
        <v>11.766175832538266</v>
      </c>
      <c r="H294" s="642">
        <v>0</v>
      </c>
      <c r="I294" s="642">
        <v>0</v>
      </c>
      <c r="J294" s="642">
        <v>0</v>
      </c>
      <c r="K294" s="642">
        <v>0</v>
      </c>
      <c r="L294" s="642">
        <v>0</v>
      </c>
      <c r="M294" s="642">
        <v>0</v>
      </c>
      <c r="N294" s="642">
        <v>0</v>
      </c>
      <c r="O294" s="642">
        <v>0</v>
      </c>
      <c r="P294" s="642">
        <v>0</v>
      </c>
      <c r="Q294" s="642">
        <v>0</v>
      </c>
      <c r="R294" s="642">
        <v>1.8135973700674786</v>
      </c>
      <c r="S294" s="650">
        <v>123.27285619933106</v>
      </c>
      <c r="U294" s="641" t="s">
        <v>84</v>
      </c>
      <c r="V294" s="642">
        <v>0</v>
      </c>
      <c r="W294" s="642">
        <v>0</v>
      </c>
      <c r="X294" s="642">
        <v>84.298528713313246</v>
      </c>
      <c r="Y294" s="642">
        <v>1.1302347010557652</v>
      </c>
      <c r="Z294" s="642">
        <v>0</v>
      </c>
      <c r="AA294" s="642">
        <v>0</v>
      </c>
      <c r="AB294" s="642">
        <v>0</v>
      </c>
      <c r="AC294" s="642">
        <v>0</v>
      </c>
      <c r="AD294" s="642">
        <v>17.754065118408207</v>
      </c>
      <c r="AE294" s="642">
        <v>0</v>
      </c>
      <c r="AF294" s="642">
        <v>0</v>
      </c>
      <c r="AG294" s="642">
        <v>0</v>
      </c>
      <c r="AH294" s="642">
        <v>0</v>
      </c>
      <c r="AI294" s="642">
        <v>0</v>
      </c>
      <c r="AJ294" s="642">
        <v>11.930622290039064</v>
      </c>
      <c r="AK294" s="650">
        <v>115.11345082281629</v>
      </c>
    </row>
    <row r="295" spans="3:37" ht="13.5">
      <c r="C295" s="646" t="s">
        <v>85</v>
      </c>
      <c r="D295" s="647">
        <v>5.4657298257742912</v>
      </c>
      <c r="E295" s="647">
        <v>0</v>
      </c>
      <c r="F295" s="647">
        <v>433.69579057037924</v>
      </c>
      <c r="G295" s="647">
        <v>286.9694570608591</v>
      </c>
      <c r="H295" s="647">
        <v>0</v>
      </c>
      <c r="I295" s="647">
        <v>0</v>
      </c>
      <c r="J295" s="647">
        <v>114.6393068570419</v>
      </c>
      <c r="K295" s="647">
        <v>1.7860154914285227</v>
      </c>
      <c r="L295" s="647">
        <v>28.042343403554419</v>
      </c>
      <c r="M295" s="647">
        <v>5.6349675449245389</v>
      </c>
      <c r="N295" s="647">
        <v>62.897832024028709</v>
      </c>
      <c r="O295" s="647">
        <v>2.8391181780509842</v>
      </c>
      <c r="P295" s="647">
        <v>506.18747931527582</v>
      </c>
      <c r="Q295" s="647">
        <v>35.164036653103793</v>
      </c>
      <c r="R295" s="647">
        <v>4.094104603252811</v>
      </c>
      <c r="S295" s="647">
        <v>1487.4161815276743</v>
      </c>
      <c r="U295" s="646" t="s">
        <v>85</v>
      </c>
      <c r="V295" s="647">
        <v>1.0762581410403587</v>
      </c>
      <c r="W295" s="647">
        <v>0</v>
      </c>
      <c r="X295" s="647">
        <v>165.28736106222476</v>
      </c>
      <c r="Y295" s="647">
        <v>105.54588470845398</v>
      </c>
      <c r="Z295" s="647">
        <v>0</v>
      </c>
      <c r="AA295" s="647">
        <v>0</v>
      </c>
      <c r="AB295" s="647">
        <v>84.343834393150701</v>
      </c>
      <c r="AC295" s="647">
        <v>5.3117325596805349</v>
      </c>
      <c r="AD295" s="647">
        <v>100.13720035882396</v>
      </c>
      <c r="AE295" s="647">
        <v>44.768138339353968</v>
      </c>
      <c r="AF295" s="647">
        <v>92.901000398225491</v>
      </c>
      <c r="AG295" s="647">
        <v>6.3602365363905022</v>
      </c>
      <c r="AH295" s="647">
        <v>499.61642415532054</v>
      </c>
      <c r="AI295" s="647">
        <v>69.488948539693865</v>
      </c>
      <c r="AJ295" s="647">
        <v>23.724121611740912</v>
      </c>
      <c r="AK295" s="647">
        <v>1198.5611408040995</v>
      </c>
    </row>
    <row r="296" spans="3:37" ht="13">
      <c r="C296" s="636"/>
      <c r="D296" s="636"/>
      <c r="E296" s="636"/>
      <c r="F296" s="636"/>
      <c r="G296" s="636"/>
      <c r="H296" s="636"/>
      <c r="I296" s="636"/>
      <c r="J296" s="636"/>
      <c r="K296" s="636"/>
      <c r="L296" s="636"/>
      <c r="M296" s="636"/>
      <c r="N296" s="636"/>
      <c r="O296" s="636"/>
      <c r="P296" s="636"/>
      <c r="Q296" s="636"/>
      <c r="R296" s="636"/>
      <c r="S296" s="636"/>
      <c r="U296" s="636"/>
      <c r="V296" s="636"/>
      <c r="W296" s="636"/>
      <c r="X296" s="636"/>
      <c r="Y296" s="636"/>
      <c r="Z296" s="636"/>
      <c r="AA296" s="636"/>
      <c r="AB296" s="636"/>
      <c r="AC296" s="636"/>
      <c r="AD296" s="636"/>
      <c r="AE296" s="636"/>
      <c r="AF296" s="636"/>
      <c r="AG296" s="636"/>
      <c r="AH296" s="636"/>
      <c r="AI296" s="636"/>
      <c r="AJ296" s="636"/>
      <c r="AK296" s="636"/>
    </row>
    <row r="297" spans="3:37" ht="22.5">
      <c r="C297" s="699" t="s">
        <v>523</v>
      </c>
      <c r="D297" s="699"/>
      <c r="E297" s="699"/>
      <c r="F297" s="699"/>
      <c r="G297" s="699"/>
      <c r="H297" s="699"/>
      <c r="I297" s="699"/>
      <c r="J297" s="699"/>
      <c r="K297" s="699"/>
      <c r="L297" s="699"/>
      <c r="M297" s="699"/>
      <c r="N297" s="699"/>
      <c r="O297" s="699"/>
      <c r="P297" s="699"/>
      <c r="Q297" s="699"/>
      <c r="R297" s="699"/>
      <c r="S297" s="699"/>
      <c r="U297" s="699" t="s">
        <v>523</v>
      </c>
      <c r="V297" s="699"/>
      <c r="W297" s="699"/>
      <c r="X297" s="699"/>
      <c r="Y297" s="699"/>
      <c r="Z297" s="699"/>
      <c r="AA297" s="699"/>
      <c r="AB297" s="699"/>
      <c r="AC297" s="699"/>
      <c r="AD297" s="699"/>
      <c r="AE297" s="699"/>
      <c r="AF297" s="699"/>
      <c r="AG297" s="699"/>
      <c r="AH297" s="699"/>
      <c r="AI297" s="699"/>
      <c r="AJ297" s="699"/>
      <c r="AK297" s="699"/>
    </row>
    <row r="298" spans="3:37" ht="13">
      <c r="C298" s="636"/>
      <c r="D298" s="636"/>
      <c r="E298" s="636"/>
      <c r="F298" s="636"/>
      <c r="G298" s="636"/>
      <c r="H298" s="636"/>
      <c r="I298" s="636"/>
      <c r="J298" s="636"/>
      <c r="K298" s="636"/>
      <c r="L298" s="636"/>
      <c r="M298" s="636"/>
      <c r="N298" s="636"/>
      <c r="O298" s="636"/>
      <c r="P298" s="636"/>
      <c r="Q298" s="636"/>
      <c r="R298" s="636"/>
      <c r="S298" s="636"/>
      <c r="U298" s="636"/>
      <c r="V298" s="636"/>
      <c r="W298" s="636"/>
      <c r="X298" s="636"/>
      <c r="Y298" s="636"/>
      <c r="Z298" s="636"/>
      <c r="AA298" s="636"/>
      <c r="AB298" s="636"/>
      <c r="AC298" s="636"/>
      <c r="AD298" s="636"/>
      <c r="AE298" s="636"/>
      <c r="AF298" s="636"/>
      <c r="AG298" s="636"/>
      <c r="AH298" s="636"/>
      <c r="AI298" s="636"/>
      <c r="AJ298" s="636"/>
      <c r="AK298" s="636"/>
    </row>
    <row r="299" spans="3:37" ht="13" customHeight="1">
      <c r="C299" s="700" t="s">
        <v>128</v>
      </c>
      <c r="D299" s="701" t="s">
        <v>42</v>
      </c>
      <c r="E299" s="701" t="s">
        <v>52</v>
      </c>
      <c r="F299" s="701" t="s">
        <v>53</v>
      </c>
      <c r="G299" s="701" t="s">
        <v>32</v>
      </c>
      <c r="H299" s="701" t="s">
        <v>20</v>
      </c>
      <c r="I299" s="701" t="s">
        <v>55</v>
      </c>
      <c r="J299" s="701" t="s">
        <v>56</v>
      </c>
      <c r="K299" s="701"/>
      <c r="L299" s="701"/>
      <c r="M299" s="701"/>
      <c r="N299" s="701"/>
      <c r="O299" s="701"/>
      <c r="P299" s="701" t="s">
        <v>57</v>
      </c>
      <c r="Q299" s="701" t="s">
        <v>58</v>
      </c>
      <c r="R299" s="701" t="s">
        <v>31</v>
      </c>
      <c r="S299" s="701" t="s">
        <v>10</v>
      </c>
      <c r="U299" s="700" t="s">
        <v>128</v>
      </c>
      <c r="V299" s="701" t="s">
        <v>42</v>
      </c>
      <c r="W299" s="701" t="s">
        <v>52</v>
      </c>
      <c r="X299" s="701" t="s">
        <v>53</v>
      </c>
      <c r="Y299" s="701" t="s">
        <v>32</v>
      </c>
      <c r="Z299" s="701" t="s">
        <v>20</v>
      </c>
      <c r="AA299" s="701" t="s">
        <v>55</v>
      </c>
      <c r="AB299" s="701" t="s">
        <v>56</v>
      </c>
      <c r="AC299" s="701"/>
      <c r="AD299" s="701"/>
      <c r="AE299" s="701"/>
      <c r="AF299" s="701"/>
      <c r="AG299" s="701"/>
      <c r="AH299" s="701" t="s">
        <v>57</v>
      </c>
      <c r="AI299" s="701" t="s">
        <v>58</v>
      </c>
      <c r="AJ299" s="701" t="s">
        <v>31</v>
      </c>
      <c r="AK299" s="701" t="s">
        <v>10</v>
      </c>
    </row>
    <row r="300" spans="3:37" ht="46">
      <c r="C300" s="700"/>
      <c r="D300" s="701"/>
      <c r="E300" s="701"/>
      <c r="F300" s="701"/>
      <c r="G300" s="701"/>
      <c r="H300" s="701"/>
      <c r="I300" s="701"/>
      <c r="J300" s="640" t="s">
        <v>338</v>
      </c>
      <c r="K300" s="640" t="s">
        <v>40</v>
      </c>
      <c r="L300" s="640" t="s">
        <v>346</v>
      </c>
      <c r="M300" s="640" t="s">
        <v>347</v>
      </c>
      <c r="N300" s="640" t="s">
        <v>348</v>
      </c>
      <c r="O300" s="640" t="s">
        <v>349</v>
      </c>
      <c r="P300" s="701"/>
      <c r="Q300" s="701"/>
      <c r="R300" s="701"/>
      <c r="S300" s="701"/>
      <c r="U300" s="700"/>
      <c r="V300" s="701"/>
      <c r="W300" s="701"/>
      <c r="X300" s="701"/>
      <c r="Y300" s="701"/>
      <c r="Z300" s="701"/>
      <c r="AA300" s="701"/>
      <c r="AB300" s="640" t="s">
        <v>338</v>
      </c>
      <c r="AC300" s="640" t="s">
        <v>40</v>
      </c>
      <c r="AD300" s="640" t="s">
        <v>346</v>
      </c>
      <c r="AE300" s="640" t="s">
        <v>347</v>
      </c>
      <c r="AF300" s="640" t="s">
        <v>348</v>
      </c>
      <c r="AG300" s="640" t="s">
        <v>349</v>
      </c>
      <c r="AH300" s="701"/>
      <c r="AI300" s="701"/>
      <c r="AJ300" s="701"/>
      <c r="AK300" s="701"/>
    </row>
    <row r="301" spans="3:37" ht="13.5">
      <c r="C301" s="641" t="s">
        <v>59</v>
      </c>
      <c r="D301" s="642">
        <v>0</v>
      </c>
      <c r="E301" s="643">
        <v>0</v>
      </c>
      <c r="F301" s="643">
        <v>0</v>
      </c>
      <c r="G301" s="642">
        <v>0</v>
      </c>
      <c r="H301" s="643">
        <v>889.54545454545473</v>
      </c>
      <c r="I301" s="643">
        <v>290.38619522472999</v>
      </c>
      <c r="J301" s="643">
        <v>188.26463769943669</v>
      </c>
      <c r="K301" s="643">
        <v>20.519346122490408</v>
      </c>
      <c r="L301" s="643">
        <v>0.54648995449606019</v>
      </c>
      <c r="M301" s="643">
        <v>0.15914693380563083</v>
      </c>
      <c r="N301" s="643">
        <v>65.898689554178929</v>
      </c>
      <c r="O301" s="643">
        <v>11.930124482632028</v>
      </c>
      <c r="P301" s="644">
        <v>0</v>
      </c>
      <c r="Q301" s="643">
        <v>0</v>
      </c>
      <c r="R301" s="643">
        <v>0</v>
      </c>
      <c r="S301" s="645">
        <v>1467.2500845172242</v>
      </c>
      <c r="U301" s="641" t="s">
        <v>59</v>
      </c>
      <c r="V301" s="642">
        <v>0</v>
      </c>
      <c r="W301" s="643">
        <v>0</v>
      </c>
      <c r="X301" s="643">
        <v>0</v>
      </c>
      <c r="Y301" s="642">
        <v>0</v>
      </c>
      <c r="Z301" s="643">
        <v>873.030303030303</v>
      </c>
      <c r="AA301" s="643">
        <v>337.06619522473</v>
      </c>
      <c r="AB301" s="643">
        <v>206.15489309499102</v>
      </c>
      <c r="AC301" s="643">
        <v>37.137182251794961</v>
      </c>
      <c r="AD301" s="643">
        <v>0.54648995449606019</v>
      </c>
      <c r="AE301" s="643">
        <v>0.15914693380563083</v>
      </c>
      <c r="AF301" s="643">
        <v>103.02458403584798</v>
      </c>
      <c r="AG301" s="643">
        <v>25.833176078824131</v>
      </c>
      <c r="AH301" s="644">
        <v>0</v>
      </c>
      <c r="AI301" s="643">
        <v>0</v>
      </c>
      <c r="AJ301" s="643">
        <v>0</v>
      </c>
      <c r="AK301" s="645">
        <v>1582.9519706047927</v>
      </c>
    </row>
    <row r="302" spans="3:37" ht="13.5">
      <c r="C302" s="641" t="s">
        <v>60</v>
      </c>
      <c r="D302" s="642">
        <v>47.523331421865407</v>
      </c>
      <c r="E302" s="643">
        <v>492.37419513671523</v>
      </c>
      <c r="F302" s="643">
        <v>57.352326080251387</v>
      </c>
      <c r="G302" s="642">
        <v>328.8885225556333</v>
      </c>
      <c r="H302" s="643">
        <v>0</v>
      </c>
      <c r="I302" s="643">
        <v>0</v>
      </c>
      <c r="J302" s="643">
        <v>4.8075322078390377</v>
      </c>
      <c r="K302" s="643">
        <v>0</v>
      </c>
      <c r="L302" s="643">
        <v>2.6229179175778925</v>
      </c>
      <c r="M302" s="643">
        <v>0</v>
      </c>
      <c r="N302" s="643">
        <v>0</v>
      </c>
      <c r="O302" s="643">
        <v>0</v>
      </c>
      <c r="P302" s="644">
        <v>0</v>
      </c>
      <c r="Q302" s="643">
        <v>0</v>
      </c>
      <c r="R302" s="643">
        <v>0</v>
      </c>
      <c r="S302" s="645">
        <v>933.56882531988219</v>
      </c>
      <c r="U302" s="641" t="s">
        <v>60</v>
      </c>
      <c r="V302" s="642">
        <v>6.5260336126681251</v>
      </c>
      <c r="W302" s="643">
        <v>220.47790015098695</v>
      </c>
      <c r="X302" s="643">
        <v>14.513856185365357</v>
      </c>
      <c r="Y302" s="642">
        <v>102.1346675179243</v>
      </c>
      <c r="Z302" s="643">
        <v>0</v>
      </c>
      <c r="AA302" s="643">
        <v>0</v>
      </c>
      <c r="AB302" s="643">
        <v>4.8075322078390377</v>
      </c>
      <c r="AC302" s="643">
        <v>0</v>
      </c>
      <c r="AD302" s="643">
        <v>2.6229179175778925</v>
      </c>
      <c r="AE302" s="643">
        <v>0</v>
      </c>
      <c r="AF302" s="643">
        <v>0</v>
      </c>
      <c r="AG302" s="643">
        <v>0</v>
      </c>
      <c r="AH302" s="644">
        <v>0</v>
      </c>
      <c r="AI302" s="643">
        <v>0</v>
      </c>
      <c r="AJ302" s="643">
        <v>0</v>
      </c>
      <c r="AK302" s="645">
        <v>351.08290759236166</v>
      </c>
    </row>
    <row r="303" spans="3:37" ht="13.5">
      <c r="C303" s="641" t="s">
        <v>61</v>
      </c>
      <c r="D303" s="642">
        <v>0</v>
      </c>
      <c r="E303" s="643">
        <v>0</v>
      </c>
      <c r="F303" s="643">
        <v>0</v>
      </c>
      <c r="G303" s="642">
        <v>0</v>
      </c>
      <c r="H303" s="643">
        <v>0</v>
      </c>
      <c r="I303" s="643">
        <v>0</v>
      </c>
      <c r="J303" s="643">
        <v>0</v>
      </c>
      <c r="K303" s="643">
        <v>0</v>
      </c>
      <c r="L303" s="643">
        <v>0</v>
      </c>
      <c r="M303" s="643">
        <v>0</v>
      </c>
      <c r="N303" s="643">
        <v>0</v>
      </c>
      <c r="O303" s="643">
        <v>0</v>
      </c>
      <c r="P303" s="644">
        <v>-22.391147784534837</v>
      </c>
      <c r="Q303" s="643">
        <v>0</v>
      </c>
      <c r="R303" s="643">
        <v>0</v>
      </c>
      <c r="S303" s="645">
        <v>-22.391147784534837</v>
      </c>
      <c r="U303" s="641" t="s">
        <v>61</v>
      </c>
      <c r="V303" s="642">
        <v>0</v>
      </c>
      <c r="W303" s="643">
        <v>0</v>
      </c>
      <c r="X303" s="643">
        <v>-19.691193817618341</v>
      </c>
      <c r="Y303" s="642">
        <v>0</v>
      </c>
      <c r="Z303" s="643">
        <v>0</v>
      </c>
      <c r="AA303" s="643">
        <v>0</v>
      </c>
      <c r="AB303" s="643">
        <v>0</v>
      </c>
      <c r="AC303" s="643">
        <v>0</v>
      </c>
      <c r="AD303" s="643">
        <v>0</v>
      </c>
      <c r="AE303" s="643">
        <v>0</v>
      </c>
      <c r="AF303" s="643">
        <v>0</v>
      </c>
      <c r="AG303" s="643">
        <v>0</v>
      </c>
      <c r="AH303" s="644">
        <v>-17.389600315785174</v>
      </c>
      <c r="AI303" s="643">
        <v>0</v>
      </c>
      <c r="AJ303" s="643">
        <v>0</v>
      </c>
      <c r="AK303" s="645">
        <v>-37.080794133403515</v>
      </c>
    </row>
    <row r="304" spans="3:37" ht="13.5">
      <c r="C304" s="641" t="s">
        <v>62</v>
      </c>
      <c r="D304" s="642">
        <v>0</v>
      </c>
      <c r="E304" s="643">
        <v>0</v>
      </c>
      <c r="F304" s="643">
        <v>-15.496739011683466</v>
      </c>
      <c r="G304" s="642">
        <v>0</v>
      </c>
      <c r="H304" s="643">
        <v>0</v>
      </c>
      <c r="I304" s="643">
        <v>0</v>
      </c>
      <c r="J304" s="643">
        <v>0</v>
      </c>
      <c r="K304" s="643">
        <v>0</v>
      </c>
      <c r="L304" s="643">
        <v>0</v>
      </c>
      <c r="M304" s="643">
        <v>0</v>
      </c>
      <c r="N304" s="643">
        <v>0</v>
      </c>
      <c r="O304" s="643">
        <v>0</v>
      </c>
      <c r="P304" s="644">
        <v>0</v>
      </c>
      <c r="Q304" s="643">
        <v>0</v>
      </c>
      <c r="R304" s="643">
        <v>0</v>
      </c>
      <c r="S304" s="645">
        <v>-15.496739011683466</v>
      </c>
      <c r="U304" s="641" t="s">
        <v>62</v>
      </c>
      <c r="V304" s="642">
        <v>0</v>
      </c>
      <c r="W304" s="643">
        <v>0</v>
      </c>
      <c r="X304" s="643">
        <v>-8.5387827474702789</v>
      </c>
      <c r="Y304" s="642">
        <v>-2.2272473327152178</v>
      </c>
      <c r="Z304" s="643">
        <v>0</v>
      </c>
      <c r="AA304" s="643">
        <v>0</v>
      </c>
      <c r="AB304" s="643">
        <v>0</v>
      </c>
      <c r="AC304" s="643">
        <v>0</v>
      </c>
      <c r="AD304" s="643">
        <v>0</v>
      </c>
      <c r="AE304" s="643">
        <v>-1.7037211969591732</v>
      </c>
      <c r="AF304" s="643">
        <v>0</v>
      </c>
      <c r="AG304" s="643">
        <v>0</v>
      </c>
      <c r="AH304" s="644">
        <v>0</v>
      </c>
      <c r="AI304" s="643">
        <v>0</v>
      </c>
      <c r="AJ304" s="643">
        <v>0</v>
      </c>
      <c r="AK304" s="645">
        <v>-12.46975127714467</v>
      </c>
    </row>
    <row r="305" spans="3:37" ht="13.5">
      <c r="C305" s="641" t="s">
        <v>63</v>
      </c>
      <c r="D305" s="642">
        <v>0</v>
      </c>
      <c r="E305" s="643">
        <v>0</v>
      </c>
      <c r="F305" s="643">
        <v>-89.42656352071144</v>
      </c>
      <c r="G305" s="642">
        <v>0</v>
      </c>
      <c r="H305" s="643">
        <v>0</v>
      </c>
      <c r="I305" s="643">
        <v>0</v>
      </c>
      <c r="J305" s="643">
        <v>0</v>
      </c>
      <c r="K305" s="643">
        <v>0</v>
      </c>
      <c r="L305" s="643">
        <v>-0.92190198395554845</v>
      </c>
      <c r="M305" s="643">
        <v>0</v>
      </c>
      <c r="N305" s="643">
        <v>0</v>
      </c>
      <c r="O305" s="643">
        <v>0</v>
      </c>
      <c r="P305" s="644">
        <v>0</v>
      </c>
      <c r="Q305" s="643">
        <v>0</v>
      </c>
      <c r="R305" s="643">
        <v>0</v>
      </c>
      <c r="S305" s="645">
        <v>-90.34846550466699</v>
      </c>
      <c r="U305" s="641" t="s">
        <v>63</v>
      </c>
      <c r="V305" s="642">
        <v>0</v>
      </c>
      <c r="W305" s="643">
        <v>0</v>
      </c>
      <c r="X305" s="643">
        <v>-55.486888716289528</v>
      </c>
      <c r="Y305" s="642">
        <v>0</v>
      </c>
      <c r="Z305" s="643">
        <v>0</v>
      </c>
      <c r="AA305" s="643">
        <v>0</v>
      </c>
      <c r="AB305" s="643">
        <v>0</v>
      </c>
      <c r="AC305" s="643">
        <v>0</v>
      </c>
      <c r="AD305" s="643">
        <v>-26.575233608452013</v>
      </c>
      <c r="AE305" s="643">
        <v>0</v>
      </c>
      <c r="AF305" s="643">
        <v>0</v>
      </c>
      <c r="AG305" s="643">
        <v>0</v>
      </c>
      <c r="AH305" s="644">
        <v>0</v>
      </c>
      <c r="AI305" s="643">
        <v>0</v>
      </c>
      <c r="AJ305" s="643">
        <v>0</v>
      </c>
      <c r="AK305" s="645">
        <v>-82.062122324741537</v>
      </c>
    </row>
    <row r="306" spans="3:37" ht="13.5">
      <c r="C306" s="641" t="s">
        <v>64</v>
      </c>
      <c r="D306" s="642">
        <v>0</v>
      </c>
      <c r="E306" s="643">
        <v>0</v>
      </c>
      <c r="F306" s="643">
        <v>0</v>
      </c>
      <c r="G306" s="642">
        <v>0</v>
      </c>
      <c r="H306" s="643">
        <v>0</v>
      </c>
      <c r="I306" s="643">
        <v>0</v>
      </c>
      <c r="J306" s="643">
        <v>0</v>
      </c>
      <c r="K306" s="643">
        <v>0</v>
      </c>
      <c r="L306" s="643">
        <v>0</v>
      </c>
      <c r="M306" s="643">
        <v>0</v>
      </c>
      <c r="N306" s="643">
        <v>0</v>
      </c>
      <c r="O306" s="643">
        <v>0</v>
      </c>
      <c r="P306" s="644">
        <v>0</v>
      </c>
      <c r="Q306" s="643">
        <v>0</v>
      </c>
      <c r="R306" s="643">
        <v>0</v>
      </c>
      <c r="S306" s="645">
        <v>0</v>
      </c>
      <c r="U306" s="641" t="s">
        <v>64</v>
      </c>
      <c r="V306" s="642">
        <v>0</v>
      </c>
      <c r="W306" s="643">
        <v>0</v>
      </c>
      <c r="X306" s="643">
        <v>0</v>
      </c>
      <c r="Y306" s="642">
        <v>0</v>
      </c>
      <c r="Z306" s="643">
        <v>0</v>
      </c>
      <c r="AA306" s="643">
        <v>0</v>
      </c>
      <c r="AB306" s="643">
        <v>0</v>
      </c>
      <c r="AC306" s="643">
        <v>0</v>
      </c>
      <c r="AD306" s="643">
        <v>0</v>
      </c>
      <c r="AE306" s="643">
        <v>0</v>
      </c>
      <c r="AF306" s="643">
        <v>0</v>
      </c>
      <c r="AG306" s="643">
        <v>0</v>
      </c>
      <c r="AH306" s="644">
        <v>0</v>
      </c>
      <c r="AI306" s="643">
        <v>0</v>
      </c>
      <c r="AJ306" s="643">
        <v>0</v>
      </c>
      <c r="AK306" s="645">
        <v>0</v>
      </c>
    </row>
    <row r="307" spans="3:37" ht="13.5">
      <c r="C307" s="646" t="s">
        <v>65</v>
      </c>
      <c r="D307" s="647">
        <v>47.523331421865407</v>
      </c>
      <c r="E307" s="647">
        <v>492.37419513671523</v>
      </c>
      <c r="F307" s="647">
        <v>-47.570976452143519</v>
      </c>
      <c r="G307" s="647">
        <v>328.8885225556333</v>
      </c>
      <c r="H307" s="647">
        <v>889.54545454545473</v>
      </c>
      <c r="I307" s="647">
        <v>290.38619522472999</v>
      </c>
      <c r="J307" s="647">
        <v>193.07216990727574</v>
      </c>
      <c r="K307" s="647">
        <v>20.519346122490408</v>
      </c>
      <c r="L307" s="647">
        <v>2.247505888118404</v>
      </c>
      <c r="M307" s="647">
        <v>0.15914693380563083</v>
      </c>
      <c r="N307" s="647">
        <v>65.898689554178929</v>
      </c>
      <c r="O307" s="647">
        <v>11.930124482632028</v>
      </c>
      <c r="P307" s="647">
        <v>-22.391147784534837</v>
      </c>
      <c r="Q307" s="647">
        <v>0</v>
      </c>
      <c r="R307" s="647">
        <v>0</v>
      </c>
      <c r="S307" s="647">
        <v>2272.5825575362214</v>
      </c>
      <c r="U307" s="646" t="s">
        <v>65</v>
      </c>
      <c r="V307" s="647">
        <v>6.5260336126681251</v>
      </c>
      <c r="W307" s="647">
        <v>220.47790015098695</v>
      </c>
      <c r="X307" s="647">
        <v>-69.203009096012792</v>
      </c>
      <c r="Y307" s="647">
        <v>99.907420185209077</v>
      </c>
      <c r="Z307" s="647">
        <v>873.030303030303</v>
      </c>
      <c r="AA307" s="647">
        <v>337.06619522473</v>
      </c>
      <c r="AB307" s="647">
        <v>210.96242530283007</v>
      </c>
      <c r="AC307" s="647">
        <v>37.137182251794961</v>
      </c>
      <c r="AD307" s="647">
        <v>-23.405825736378059</v>
      </c>
      <c r="AE307" s="647">
        <v>-1.5445742631535424</v>
      </c>
      <c r="AF307" s="647">
        <v>103.02458403584798</v>
      </c>
      <c r="AG307" s="647">
        <v>25.833176078824131</v>
      </c>
      <c r="AH307" s="647">
        <v>-17.389600315785174</v>
      </c>
      <c r="AI307" s="647">
        <v>0</v>
      </c>
      <c r="AJ307" s="647">
        <v>0</v>
      </c>
      <c r="AK307" s="647">
        <v>1802.4222104618648</v>
      </c>
    </row>
    <row r="308" spans="3:37" ht="13">
      <c r="C308" s="636"/>
      <c r="D308" s="636">
        <v>0</v>
      </c>
      <c r="E308" s="636">
        <v>0</v>
      </c>
      <c r="F308" s="636">
        <v>0</v>
      </c>
      <c r="G308" s="636">
        <v>0</v>
      </c>
      <c r="H308" s="636">
        <v>0</v>
      </c>
      <c r="I308" s="636">
        <v>0</v>
      </c>
      <c r="J308" s="636">
        <v>0</v>
      </c>
      <c r="K308" s="636">
        <v>0</v>
      </c>
      <c r="L308" s="636">
        <v>0</v>
      </c>
      <c r="M308" s="636">
        <v>0</v>
      </c>
      <c r="N308" s="636">
        <v>0</v>
      </c>
      <c r="O308" s="636">
        <v>0</v>
      </c>
      <c r="P308" s="636">
        <v>0</v>
      </c>
      <c r="Q308" s="636">
        <v>0</v>
      </c>
      <c r="R308" s="636">
        <v>0</v>
      </c>
      <c r="S308" s="636">
        <v>0</v>
      </c>
      <c r="U308" s="636"/>
      <c r="V308" s="636">
        <v>0</v>
      </c>
      <c r="W308" s="636">
        <v>0</v>
      </c>
      <c r="X308" s="636">
        <v>0</v>
      </c>
      <c r="Y308" s="636">
        <v>0</v>
      </c>
      <c r="Z308" s="636">
        <v>0</v>
      </c>
      <c r="AA308" s="636">
        <v>0</v>
      </c>
      <c r="AB308" s="636">
        <v>0</v>
      </c>
      <c r="AC308" s="636">
        <v>0</v>
      </c>
      <c r="AD308" s="636">
        <v>0</v>
      </c>
      <c r="AE308" s="636">
        <v>0</v>
      </c>
      <c r="AF308" s="636">
        <v>0</v>
      </c>
      <c r="AG308" s="636">
        <v>0</v>
      </c>
      <c r="AH308" s="636">
        <v>0</v>
      </c>
      <c r="AI308" s="636">
        <v>0</v>
      </c>
      <c r="AJ308" s="636">
        <v>0</v>
      </c>
      <c r="AK308" s="636">
        <v>0</v>
      </c>
    </row>
    <row r="309" spans="3:37" ht="13.5">
      <c r="C309" s="648" t="s">
        <v>67</v>
      </c>
      <c r="D309" s="642">
        <v>0</v>
      </c>
      <c r="E309" s="649">
        <v>0</v>
      </c>
      <c r="F309" s="649">
        <v>0</v>
      </c>
      <c r="G309" s="642">
        <v>0</v>
      </c>
      <c r="H309" s="642">
        <v>0</v>
      </c>
      <c r="I309" s="642">
        <v>0</v>
      </c>
      <c r="J309" s="642">
        <v>0</v>
      </c>
      <c r="K309" s="642">
        <v>0</v>
      </c>
      <c r="L309" s="642">
        <v>0</v>
      </c>
      <c r="M309" s="642">
        <v>0</v>
      </c>
      <c r="N309" s="642">
        <v>0</v>
      </c>
      <c r="O309" s="642">
        <v>0</v>
      </c>
      <c r="P309" s="642">
        <v>0</v>
      </c>
      <c r="Q309" s="642">
        <v>0</v>
      </c>
      <c r="R309" s="642">
        <v>0</v>
      </c>
      <c r="S309" s="650">
        <v>0</v>
      </c>
      <c r="U309" s="648" t="s">
        <v>67</v>
      </c>
      <c r="V309" s="642">
        <v>0</v>
      </c>
      <c r="W309" s="649">
        <v>0</v>
      </c>
      <c r="X309" s="649">
        <v>0</v>
      </c>
      <c r="Y309" s="642">
        <v>0</v>
      </c>
      <c r="Z309" s="642">
        <v>0</v>
      </c>
      <c r="AA309" s="642">
        <v>0</v>
      </c>
      <c r="AB309" s="642">
        <v>0</v>
      </c>
      <c r="AC309" s="642">
        <v>0</v>
      </c>
      <c r="AD309" s="642">
        <v>0</v>
      </c>
      <c r="AE309" s="642">
        <v>0</v>
      </c>
      <c r="AF309" s="642">
        <v>0</v>
      </c>
      <c r="AG309" s="642">
        <v>0</v>
      </c>
      <c r="AH309" s="642">
        <v>0</v>
      </c>
      <c r="AI309" s="642">
        <v>0</v>
      </c>
      <c r="AJ309" s="642">
        <v>0</v>
      </c>
      <c r="AK309" s="650">
        <v>0</v>
      </c>
    </row>
    <row r="310" spans="3:37" ht="13.5">
      <c r="C310" s="648" t="s">
        <v>350</v>
      </c>
      <c r="D310" s="642">
        <v>2.8267856410252494</v>
      </c>
      <c r="E310" s="642">
        <v>0</v>
      </c>
      <c r="F310" s="642">
        <v>7.7625293209280457</v>
      </c>
      <c r="G310" s="642">
        <v>16.824034334763951</v>
      </c>
      <c r="H310" s="642">
        <v>889.54545454545473</v>
      </c>
      <c r="I310" s="642">
        <v>290.38619522472999</v>
      </c>
      <c r="J310" s="651">
        <v>29.234857813431841</v>
      </c>
      <c r="K310" s="651">
        <v>6.7467623730381456</v>
      </c>
      <c r="L310" s="651">
        <v>3.1694078720739522</v>
      </c>
      <c r="M310" s="651">
        <v>0.46915285357606595</v>
      </c>
      <c r="N310" s="651">
        <v>0</v>
      </c>
      <c r="O310" s="651">
        <v>6.9727309871777221</v>
      </c>
      <c r="P310" s="642">
        <v>-615.41357369902562</v>
      </c>
      <c r="Q310" s="642">
        <v>0</v>
      </c>
      <c r="R310" s="642">
        <v>0</v>
      </c>
      <c r="S310" s="650">
        <v>638.52433726717402</v>
      </c>
      <c r="U310" s="648" t="s">
        <v>350</v>
      </c>
      <c r="V310" s="642">
        <v>0.62631490545869017</v>
      </c>
      <c r="W310" s="642">
        <v>0</v>
      </c>
      <c r="X310" s="642">
        <v>3.8988929572916824</v>
      </c>
      <c r="Y310" s="642">
        <v>3.6741630901287547</v>
      </c>
      <c r="Z310" s="642">
        <v>873.030303030303</v>
      </c>
      <c r="AA310" s="642">
        <v>337.06619522473</v>
      </c>
      <c r="AB310" s="651">
        <v>23.429523439383615</v>
      </c>
      <c r="AC310" s="651">
        <v>5.4991881500691626</v>
      </c>
      <c r="AD310" s="651">
        <v>3.1694078720739522</v>
      </c>
      <c r="AE310" s="651">
        <v>2.7864060724601858</v>
      </c>
      <c r="AF310" s="651">
        <v>0</v>
      </c>
      <c r="AG310" s="651">
        <v>6.9727309871777221</v>
      </c>
      <c r="AH310" s="642">
        <v>-649.11357369902544</v>
      </c>
      <c r="AI310" s="642">
        <v>0</v>
      </c>
      <c r="AJ310" s="642">
        <v>4.45</v>
      </c>
      <c r="AK310" s="650">
        <v>615.48955203005141</v>
      </c>
    </row>
    <row r="311" spans="3:37" ht="13.5">
      <c r="C311" s="648" t="s">
        <v>351</v>
      </c>
      <c r="D311" s="642">
        <v>0</v>
      </c>
      <c r="E311" s="642">
        <v>0</v>
      </c>
      <c r="F311" s="642">
        <v>0</v>
      </c>
      <c r="G311" s="642">
        <v>14.896462034387394</v>
      </c>
      <c r="H311" s="642">
        <v>0</v>
      </c>
      <c r="I311" s="642">
        <v>0</v>
      </c>
      <c r="J311" s="651">
        <v>12.461036592610267</v>
      </c>
      <c r="K311" s="651">
        <v>11.927183871567582</v>
      </c>
      <c r="L311" s="651">
        <v>0</v>
      </c>
      <c r="M311" s="651">
        <v>0.3188738120209938</v>
      </c>
      <c r="N311" s="651">
        <v>0</v>
      </c>
      <c r="O311" s="651">
        <v>2.1085025260592274</v>
      </c>
      <c r="P311" s="642">
        <v>0</v>
      </c>
      <c r="Q311" s="642">
        <v>-37.934258390495422</v>
      </c>
      <c r="R311" s="642">
        <v>0</v>
      </c>
      <c r="S311" s="650">
        <v>3.7778004461500441</v>
      </c>
      <c r="U311" s="648" t="s">
        <v>351</v>
      </c>
      <c r="V311" s="642">
        <v>0</v>
      </c>
      <c r="W311" s="642">
        <v>0</v>
      </c>
      <c r="X311" s="642">
        <v>0</v>
      </c>
      <c r="Y311" s="642">
        <v>8.218662070491261</v>
      </c>
      <c r="Z311" s="642">
        <v>0</v>
      </c>
      <c r="AA311" s="642">
        <v>0</v>
      </c>
      <c r="AB311" s="651">
        <v>28.560818034272483</v>
      </c>
      <c r="AC311" s="651">
        <v>26.163217208510932</v>
      </c>
      <c r="AD311" s="651">
        <v>0</v>
      </c>
      <c r="AE311" s="651">
        <v>5.9663093303449024</v>
      </c>
      <c r="AF311" s="651">
        <v>0</v>
      </c>
      <c r="AG311" s="651">
        <v>11.832895483778962</v>
      </c>
      <c r="AH311" s="642">
        <v>0</v>
      </c>
      <c r="AI311" s="642">
        <v>-74.578675527513624</v>
      </c>
      <c r="AJ311" s="642">
        <v>0</v>
      </c>
      <c r="AK311" s="650">
        <v>6.1632265998849274</v>
      </c>
    </row>
    <row r="312" spans="3:37" ht="13.5">
      <c r="C312" s="648" t="s">
        <v>352</v>
      </c>
      <c r="D312" s="642">
        <v>0</v>
      </c>
      <c r="E312" s="642">
        <v>0</v>
      </c>
      <c r="F312" s="642">
        <v>0</v>
      </c>
      <c r="G312" s="642">
        <v>0</v>
      </c>
      <c r="H312" s="642">
        <v>0</v>
      </c>
      <c r="I312" s="642">
        <v>0</v>
      </c>
      <c r="J312" s="652">
        <v>6.9979956174374891</v>
      </c>
      <c r="K312" s="652">
        <v>0</v>
      </c>
      <c r="L312" s="652">
        <v>0</v>
      </c>
      <c r="M312" s="652">
        <v>-6.4748954450340372</v>
      </c>
      <c r="N312" s="652">
        <v>0</v>
      </c>
      <c r="O312" s="652">
        <v>0</v>
      </c>
      <c r="P312" s="642">
        <v>0</v>
      </c>
      <c r="Q312" s="642">
        <v>0</v>
      </c>
      <c r="R312" s="642">
        <v>0</v>
      </c>
      <c r="S312" s="650">
        <v>0.52310017240345186</v>
      </c>
      <c r="U312" s="648" t="s">
        <v>352</v>
      </c>
      <c r="V312" s="642">
        <v>0</v>
      </c>
      <c r="W312" s="642">
        <v>0</v>
      </c>
      <c r="X312" s="642">
        <v>0</v>
      </c>
      <c r="Y312" s="642">
        <v>0</v>
      </c>
      <c r="Z312" s="642">
        <v>0</v>
      </c>
      <c r="AA312" s="642">
        <v>0</v>
      </c>
      <c r="AB312" s="652">
        <v>79.198989478899776</v>
      </c>
      <c r="AC312" s="652">
        <v>0</v>
      </c>
      <c r="AD312" s="652">
        <v>0</v>
      </c>
      <c r="AE312" s="652">
        <v>-73.278865015352025</v>
      </c>
      <c r="AF312" s="652">
        <v>0</v>
      </c>
      <c r="AG312" s="652">
        <v>0</v>
      </c>
      <c r="AH312" s="642">
        <v>0</v>
      </c>
      <c r="AI312" s="642">
        <v>0</v>
      </c>
      <c r="AJ312" s="642">
        <v>0</v>
      </c>
      <c r="AK312" s="650">
        <v>5.9201244635477508</v>
      </c>
    </row>
    <row r="313" spans="3:37" ht="13.5">
      <c r="C313" s="648" t="s">
        <v>353</v>
      </c>
      <c r="D313" s="642">
        <v>0</v>
      </c>
      <c r="E313" s="642">
        <v>0</v>
      </c>
      <c r="F313" s="642">
        <v>0</v>
      </c>
      <c r="G313" s="642">
        <v>0</v>
      </c>
      <c r="H313" s="642">
        <v>0</v>
      </c>
      <c r="I313" s="642">
        <v>0</v>
      </c>
      <c r="J313" s="642">
        <v>0</v>
      </c>
      <c r="K313" s="642">
        <v>0</v>
      </c>
      <c r="L313" s="642">
        <v>0</v>
      </c>
      <c r="M313" s="642">
        <v>0</v>
      </c>
      <c r="N313" s="642">
        <v>0</v>
      </c>
      <c r="O313" s="642">
        <v>0</v>
      </c>
      <c r="P313" s="642">
        <v>0</v>
      </c>
      <c r="Q313" s="642">
        <v>0</v>
      </c>
      <c r="R313" s="642">
        <v>0</v>
      </c>
      <c r="S313" s="650">
        <v>0</v>
      </c>
      <c r="U313" s="648" t="s">
        <v>353</v>
      </c>
      <c r="V313" s="642">
        <v>0</v>
      </c>
      <c r="W313" s="642">
        <v>0</v>
      </c>
      <c r="X313" s="642">
        <v>0</v>
      </c>
      <c r="Y313" s="642">
        <v>0</v>
      </c>
      <c r="Z313" s="642">
        <v>0</v>
      </c>
      <c r="AA313" s="642">
        <v>0</v>
      </c>
      <c r="AB313" s="642">
        <v>0</v>
      </c>
      <c r="AC313" s="642">
        <v>0</v>
      </c>
      <c r="AD313" s="642">
        <v>0</v>
      </c>
      <c r="AE313" s="642">
        <v>0</v>
      </c>
      <c r="AF313" s="642">
        <v>0</v>
      </c>
      <c r="AG313" s="642">
        <v>0</v>
      </c>
      <c r="AH313" s="642">
        <v>0</v>
      </c>
      <c r="AI313" s="642">
        <v>0</v>
      </c>
      <c r="AJ313" s="642">
        <v>0</v>
      </c>
      <c r="AK313" s="650">
        <v>0</v>
      </c>
    </row>
    <row r="314" spans="3:37" ht="13.5">
      <c r="C314" s="648" t="s">
        <v>72</v>
      </c>
      <c r="D314" s="642">
        <v>0</v>
      </c>
      <c r="E314" s="642">
        <v>510.04733530503466</v>
      </c>
      <c r="F314" s="642">
        <v>-504.94686195198432</v>
      </c>
      <c r="G314" s="642">
        <v>0</v>
      </c>
      <c r="H314" s="642">
        <v>0</v>
      </c>
      <c r="I314" s="642">
        <v>0</v>
      </c>
      <c r="J314" s="642">
        <v>0</v>
      </c>
      <c r="K314" s="642">
        <v>0</v>
      </c>
      <c r="L314" s="642">
        <v>0</v>
      </c>
      <c r="M314" s="642">
        <v>0</v>
      </c>
      <c r="N314" s="642">
        <v>0</v>
      </c>
      <c r="O314" s="642">
        <v>0</v>
      </c>
      <c r="P314" s="642">
        <v>0</v>
      </c>
      <c r="Q314" s="642">
        <v>0</v>
      </c>
      <c r="R314" s="642">
        <v>0</v>
      </c>
      <c r="S314" s="650">
        <v>5.1004733530503472</v>
      </c>
      <c r="U314" s="648" t="s">
        <v>72</v>
      </c>
      <c r="V314" s="642">
        <v>0</v>
      </c>
      <c r="W314" s="642">
        <v>228.3916715709193</v>
      </c>
      <c r="X314" s="642">
        <v>-226.10775485521012</v>
      </c>
      <c r="Y314" s="642">
        <v>0</v>
      </c>
      <c r="Z314" s="642">
        <v>0</v>
      </c>
      <c r="AA314" s="642">
        <v>0</v>
      </c>
      <c r="AB314" s="642">
        <v>0</v>
      </c>
      <c r="AC314" s="642">
        <v>0</v>
      </c>
      <c r="AD314" s="642">
        <v>0</v>
      </c>
      <c r="AE314" s="642">
        <v>0</v>
      </c>
      <c r="AF314" s="642">
        <v>0</v>
      </c>
      <c r="AG314" s="642">
        <v>0</v>
      </c>
      <c r="AH314" s="642">
        <v>0</v>
      </c>
      <c r="AI314" s="642">
        <v>0</v>
      </c>
      <c r="AJ314" s="642">
        <v>0</v>
      </c>
      <c r="AK314" s="650">
        <v>2.2839167157091822</v>
      </c>
    </row>
    <row r="315" spans="3:37" ht="13.5">
      <c r="C315" s="648" t="s">
        <v>354</v>
      </c>
      <c r="D315" s="642">
        <v>0</v>
      </c>
      <c r="E315" s="642">
        <v>0</v>
      </c>
      <c r="F315" s="642">
        <v>0</v>
      </c>
      <c r="G315" s="642">
        <v>0</v>
      </c>
      <c r="H315" s="642">
        <v>0</v>
      </c>
      <c r="I315" s="642">
        <v>0</v>
      </c>
      <c r="J315" s="642">
        <v>27.710201800923624</v>
      </c>
      <c r="K315" s="642">
        <v>0</v>
      </c>
      <c r="L315" s="642">
        <v>-27.710201800923624</v>
      </c>
      <c r="M315" s="642">
        <v>0</v>
      </c>
      <c r="N315" s="642">
        <v>0</v>
      </c>
      <c r="O315" s="642">
        <v>0</v>
      </c>
      <c r="P315" s="642">
        <v>0</v>
      </c>
      <c r="Q315" s="642">
        <v>0</v>
      </c>
      <c r="R315" s="642">
        <v>0</v>
      </c>
      <c r="S315" s="650">
        <v>0</v>
      </c>
      <c r="U315" s="648" t="s">
        <v>354</v>
      </c>
      <c r="V315" s="642">
        <v>0</v>
      </c>
      <c r="W315" s="642">
        <v>0</v>
      </c>
      <c r="X315" s="642">
        <v>0</v>
      </c>
      <c r="Y315" s="642">
        <v>0</v>
      </c>
      <c r="Z315" s="642">
        <v>0</v>
      </c>
      <c r="AA315" s="642">
        <v>0</v>
      </c>
      <c r="AB315" s="642" t="e">
        <v>#VALUE!</v>
      </c>
      <c r="AC315" s="642">
        <v>0</v>
      </c>
      <c r="AD315" s="642">
        <v>-101.17003146857277</v>
      </c>
      <c r="AE315" s="642">
        <v>0</v>
      </c>
      <c r="AF315" s="642">
        <v>0</v>
      </c>
      <c r="AG315" s="642">
        <v>0</v>
      </c>
      <c r="AH315" s="642">
        <v>0</v>
      </c>
      <c r="AI315" s="642">
        <v>0</v>
      </c>
      <c r="AJ315" s="642">
        <v>0</v>
      </c>
      <c r="AK315" s="650">
        <v>-101.17003146857277</v>
      </c>
    </row>
    <row r="316" spans="3:37" ht="13.5">
      <c r="C316" s="648" t="s">
        <v>355</v>
      </c>
      <c r="D316" s="642">
        <v>0</v>
      </c>
      <c r="E316" s="642">
        <v>0</v>
      </c>
      <c r="F316" s="642">
        <v>0</v>
      </c>
      <c r="G316" s="642">
        <v>0</v>
      </c>
      <c r="H316" s="642">
        <v>0</v>
      </c>
      <c r="I316" s="642">
        <v>0</v>
      </c>
      <c r="J316" s="642">
        <v>0</v>
      </c>
      <c r="K316" s="642">
        <v>0</v>
      </c>
      <c r="L316" s="642">
        <v>0</v>
      </c>
      <c r="M316" s="642">
        <v>0</v>
      </c>
      <c r="N316" s="642">
        <v>0</v>
      </c>
      <c r="O316" s="642">
        <v>0</v>
      </c>
      <c r="P316" s="642">
        <v>0</v>
      </c>
      <c r="Q316" s="642">
        <v>0</v>
      </c>
      <c r="R316" s="642">
        <v>0</v>
      </c>
      <c r="S316" s="650">
        <v>0</v>
      </c>
      <c r="U316" s="648" t="s">
        <v>355</v>
      </c>
      <c r="V316" s="642">
        <v>0</v>
      </c>
      <c r="W316" s="642">
        <v>0</v>
      </c>
      <c r="X316" s="642">
        <v>0</v>
      </c>
      <c r="Y316" s="642">
        <v>0</v>
      </c>
      <c r="Z316" s="642">
        <v>0</v>
      </c>
      <c r="AA316" s="642">
        <v>0</v>
      </c>
      <c r="AB316" s="642">
        <v>0</v>
      </c>
      <c r="AC316" s="642">
        <v>0</v>
      </c>
      <c r="AD316" s="642">
        <v>-18.691082885283098</v>
      </c>
      <c r="AE316" s="642">
        <v>0</v>
      </c>
      <c r="AF316" s="642">
        <v>0</v>
      </c>
      <c r="AG316" s="642">
        <v>0</v>
      </c>
      <c r="AH316" s="642">
        <v>0</v>
      </c>
      <c r="AI316" s="642">
        <v>0</v>
      </c>
      <c r="AJ316" s="642">
        <v>0</v>
      </c>
      <c r="AK316" s="650">
        <v>-18.691082885283098</v>
      </c>
    </row>
    <row r="317" spans="3:37" ht="13.5">
      <c r="C317" s="648" t="s">
        <v>73</v>
      </c>
      <c r="D317" s="642">
        <v>0</v>
      </c>
      <c r="E317" s="642">
        <v>0</v>
      </c>
      <c r="F317" s="642">
        <v>0</v>
      </c>
      <c r="G317" s="642">
        <v>6.2864428714474423</v>
      </c>
      <c r="H317" s="642">
        <v>0</v>
      </c>
      <c r="I317" s="642">
        <v>0</v>
      </c>
      <c r="J317" s="642">
        <v>0</v>
      </c>
      <c r="K317" s="642">
        <v>7.2564905248031233E-2</v>
      </c>
      <c r="L317" s="642">
        <v>0</v>
      </c>
      <c r="M317" s="642">
        <v>0.12829475247851924</v>
      </c>
      <c r="N317" s="642">
        <v>0</v>
      </c>
      <c r="O317" s="642">
        <v>0</v>
      </c>
      <c r="P317" s="642">
        <v>0.77416476914506349</v>
      </c>
      <c r="Q317" s="642">
        <v>0</v>
      </c>
      <c r="R317" s="642">
        <v>-5.0795433673621861</v>
      </c>
      <c r="S317" s="650">
        <v>2.1819239309568701</v>
      </c>
      <c r="U317" s="648" t="s">
        <v>73</v>
      </c>
      <c r="V317" s="642">
        <v>0</v>
      </c>
      <c r="W317" s="642">
        <v>0</v>
      </c>
      <c r="X317" s="642">
        <v>0</v>
      </c>
      <c r="Y317" s="642">
        <v>3.7837340239051791</v>
      </c>
      <c r="Z317" s="642">
        <v>0</v>
      </c>
      <c r="AA317" s="642">
        <v>0</v>
      </c>
      <c r="AB317" s="642">
        <v>0</v>
      </c>
      <c r="AC317" s="642">
        <v>0.46597709654004676</v>
      </c>
      <c r="AD317" s="642">
        <v>0</v>
      </c>
      <c r="AE317" s="642">
        <v>2.7399453276554748</v>
      </c>
      <c r="AF317" s="642">
        <v>0</v>
      </c>
      <c r="AG317" s="642">
        <v>0</v>
      </c>
      <c r="AH317" s="642">
        <v>39.864323859285086</v>
      </c>
      <c r="AI317" s="642">
        <v>0</v>
      </c>
      <c r="AJ317" s="642">
        <v>-32.618396757803268</v>
      </c>
      <c r="AK317" s="650">
        <v>14.235583549582522</v>
      </c>
    </row>
    <row r="318" spans="3:37" ht="13.5">
      <c r="C318" s="648" t="s">
        <v>356</v>
      </c>
      <c r="D318" s="642">
        <v>28.588592812499996</v>
      </c>
      <c r="E318" s="642">
        <v>-17.673140168319453</v>
      </c>
      <c r="F318" s="642">
        <v>23.11542347254851</v>
      </c>
      <c r="G318" s="642">
        <v>0</v>
      </c>
      <c r="H318" s="642">
        <v>0</v>
      </c>
      <c r="I318" s="642">
        <v>0</v>
      </c>
      <c r="J318" s="642">
        <v>0</v>
      </c>
      <c r="K318" s="642">
        <v>0</v>
      </c>
      <c r="L318" s="642">
        <v>0</v>
      </c>
      <c r="M318" s="642">
        <v>0</v>
      </c>
      <c r="N318" s="642">
        <v>0</v>
      </c>
      <c r="O318" s="642">
        <v>0</v>
      </c>
      <c r="P318" s="642">
        <v>0</v>
      </c>
      <c r="Q318" s="642">
        <v>0</v>
      </c>
      <c r="R318" s="642">
        <v>0</v>
      </c>
      <c r="S318" s="650">
        <v>34.030876116729054</v>
      </c>
      <c r="U318" s="648" t="s">
        <v>356</v>
      </c>
      <c r="V318" s="642">
        <v>1.7459712219238281</v>
      </c>
      <c r="W318" s="642">
        <v>-7.9137714199323552</v>
      </c>
      <c r="X318" s="642">
        <v>10.35074558875537</v>
      </c>
      <c r="Y318" s="642">
        <v>0</v>
      </c>
      <c r="Z318" s="642">
        <v>0</v>
      </c>
      <c r="AA318" s="642">
        <v>0</v>
      </c>
      <c r="AB318" s="642">
        <v>0</v>
      </c>
      <c r="AC318" s="642">
        <v>0</v>
      </c>
      <c r="AD318" s="642">
        <v>0</v>
      </c>
      <c r="AE318" s="642">
        <v>0</v>
      </c>
      <c r="AF318" s="642">
        <v>0</v>
      </c>
      <c r="AG318" s="642">
        <v>0</v>
      </c>
      <c r="AH318" s="642">
        <v>0</v>
      </c>
      <c r="AI318" s="642">
        <v>0</v>
      </c>
      <c r="AJ318" s="642">
        <v>0</v>
      </c>
      <c r="AK318" s="650">
        <v>4.182945390746843</v>
      </c>
    </row>
    <row r="319" spans="3:37" ht="13.5">
      <c r="C319" s="648" t="s">
        <v>75</v>
      </c>
      <c r="D319" s="642">
        <v>11.11778609375</v>
      </c>
      <c r="E319" s="642">
        <v>0</v>
      </c>
      <c r="F319" s="642">
        <v>17.34160940037118</v>
      </c>
      <c r="G319" s="642">
        <v>4.9484792471294465</v>
      </c>
      <c r="H319" s="642">
        <v>0</v>
      </c>
      <c r="I319" s="642">
        <v>0</v>
      </c>
      <c r="J319" s="642">
        <v>0</v>
      </c>
      <c r="K319" s="642">
        <v>0</v>
      </c>
      <c r="L319" s="642">
        <v>0</v>
      </c>
      <c r="M319" s="642">
        <v>0.10098937239039688</v>
      </c>
      <c r="N319" s="642">
        <v>0</v>
      </c>
      <c r="O319" s="642">
        <v>0</v>
      </c>
      <c r="P319" s="642">
        <v>29.08691491128284</v>
      </c>
      <c r="Q319" s="642">
        <v>0</v>
      </c>
      <c r="R319" s="642">
        <v>0</v>
      </c>
      <c r="S319" s="650">
        <v>62.595779024923864</v>
      </c>
      <c r="U319" s="648" t="s">
        <v>75</v>
      </c>
      <c r="V319" s="642">
        <v>2.938742431640625</v>
      </c>
      <c r="W319" s="642">
        <v>0</v>
      </c>
      <c r="X319" s="642">
        <v>17.34160940037118</v>
      </c>
      <c r="Y319" s="642">
        <v>2.9286917993215091</v>
      </c>
      <c r="Z319" s="642">
        <v>0</v>
      </c>
      <c r="AA319" s="642">
        <v>0</v>
      </c>
      <c r="AB319" s="642">
        <v>0</v>
      </c>
      <c r="AC319" s="642">
        <v>0</v>
      </c>
      <c r="AD319" s="642">
        <v>0</v>
      </c>
      <c r="AE319" s="642">
        <v>2.1207768201983344</v>
      </c>
      <c r="AF319" s="642">
        <v>0</v>
      </c>
      <c r="AG319" s="642">
        <v>0</v>
      </c>
      <c r="AH319" s="642">
        <v>36.505051274919204</v>
      </c>
      <c r="AI319" s="642">
        <v>0</v>
      </c>
      <c r="AJ319" s="642">
        <v>0</v>
      </c>
      <c r="AK319" s="650">
        <v>61.834871726450849</v>
      </c>
    </row>
    <row r="320" spans="3:37" ht="13.5">
      <c r="C320" s="648" t="s">
        <v>76</v>
      </c>
      <c r="D320" s="642">
        <v>0</v>
      </c>
      <c r="E320" s="642">
        <v>0</v>
      </c>
      <c r="F320" s="642">
        <v>0</v>
      </c>
      <c r="G320" s="642">
        <v>3.7620934008695794</v>
      </c>
      <c r="H320" s="642">
        <v>0</v>
      </c>
      <c r="I320" s="642">
        <v>0</v>
      </c>
      <c r="J320" s="642">
        <v>0</v>
      </c>
      <c r="K320" s="642">
        <v>0</v>
      </c>
      <c r="L320" s="642">
        <v>0</v>
      </c>
      <c r="M320" s="642">
        <v>7.6777416344277136E-2</v>
      </c>
      <c r="N320" s="642">
        <v>0</v>
      </c>
      <c r="O320" s="642">
        <v>0</v>
      </c>
      <c r="P320" s="642">
        <v>45.374638558517056</v>
      </c>
      <c r="Q320" s="642">
        <v>2.9442994019327013</v>
      </c>
      <c r="R320" s="642">
        <v>0</v>
      </c>
      <c r="S320" s="650">
        <v>52.157808777663611</v>
      </c>
      <c r="U320" s="648" t="s">
        <v>76</v>
      </c>
      <c r="V320" s="642">
        <v>0</v>
      </c>
      <c r="W320" s="642">
        <v>0</v>
      </c>
      <c r="X320" s="642">
        <v>0</v>
      </c>
      <c r="Y320" s="642">
        <v>1.1999362424874132</v>
      </c>
      <c r="Z320" s="642">
        <v>0</v>
      </c>
      <c r="AA320" s="642">
        <v>0</v>
      </c>
      <c r="AB320" s="642">
        <v>0</v>
      </c>
      <c r="AC320" s="642">
        <v>0</v>
      </c>
      <c r="AD320" s="642">
        <v>0</v>
      </c>
      <c r="AE320" s="642">
        <v>0.86891934800812698</v>
      </c>
      <c r="AF320" s="642">
        <v>0</v>
      </c>
      <c r="AG320" s="642">
        <v>0</v>
      </c>
      <c r="AH320" s="642">
        <v>48.340685132761017</v>
      </c>
      <c r="AI320" s="642">
        <v>5.7839036819230412</v>
      </c>
      <c r="AJ320" s="642">
        <v>0</v>
      </c>
      <c r="AK320" s="650">
        <v>56.193444405179591</v>
      </c>
    </row>
    <row r="321" spans="3:37" ht="13.5">
      <c r="C321" s="646" t="s">
        <v>77</v>
      </c>
      <c r="D321" s="647">
        <v>42.533164547275248</v>
      </c>
      <c r="E321" s="647">
        <v>492.37419513671523</v>
      </c>
      <c r="F321" s="647">
        <v>-456.72729975813655</v>
      </c>
      <c r="G321" s="647">
        <v>46.717511888597819</v>
      </c>
      <c r="H321" s="647">
        <v>889.54545454545473</v>
      </c>
      <c r="I321" s="647">
        <v>290.38619522472999</v>
      </c>
      <c r="J321" s="647">
        <v>76.404091824403224</v>
      </c>
      <c r="K321" s="647">
        <v>18.74651114985376</v>
      </c>
      <c r="L321" s="647">
        <v>-24.540793928849673</v>
      </c>
      <c r="M321" s="647">
        <v>-5.3808072382237846</v>
      </c>
      <c r="N321" s="647">
        <v>0</v>
      </c>
      <c r="O321" s="647">
        <v>9.0812335132369491</v>
      </c>
      <c r="P321" s="647">
        <v>-540.17785546008065</v>
      </c>
      <c r="Q321" s="647">
        <v>-34.989958988562719</v>
      </c>
      <c r="R321" s="647">
        <v>-5.0795433673621861</v>
      </c>
      <c r="S321" s="647">
        <v>798.89209908905127</v>
      </c>
      <c r="U321" s="646" t="s">
        <v>77</v>
      </c>
      <c r="V321" s="647">
        <v>5.3110285590231427</v>
      </c>
      <c r="W321" s="647">
        <v>220.47790015098695</v>
      </c>
      <c r="X321" s="647">
        <v>-194.51650690879191</v>
      </c>
      <c r="Y321" s="647">
        <v>19.805187226334116</v>
      </c>
      <c r="Z321" s="647">
        <v>873.030303030303</v>
      </c>
      <c r="AA321" s="647">
        <v>337.06619522473</v>
      </c>
      <c r="AB321" s="647">
        <v>131.18933095255588</v>
      </c>
      <c r="AC321" s="647">
        <v>32.128382455120146</v>
      </c>
      <c r="AD321" s="647">
        <v>-116.69170648178192</v>
      </c>
      <c r="AE321" s="647">
        <v>-58.796508116684997</v>
      </c>
      <c r="AF321" s="647">
        <v>0</v>
      </c>
      <c r="AG321" s="647">
        <v>18.805626470956682</v>
      </c>
      <c r="AH321" s="647">
        <v>-524.40351343206009</v>
      </c>
      <c r="AI321" s="647">
        <v>-68.794771845590574</v>
      </c>
      <c r="AJ321" s="647">
        <v>-28.168396757803269</v>
      </c>
      <c r="AK321" s="647">
        <v>646.44255052729716</v>
      </c>
    </row>
    <row r="322" spans="3:37" ht="13">
      <c r="C322" s="636"/>
      <c r="D322" s="636">
        <v>0</v>
      </c>
      <c r="E322" s="636">
        <v>0</v>
      </c>
      <c r="F322" s="636">
        <v>0</v>
      </c>
      <c r="G322" s="636">
        <v>0</v>
      </c>
      <c r="H322" s="636">
        <v>0</v>
      </c>
      <c r="I322" s="636">
        <v>0</v>
      </c>
      <c r="J322" s="636">
        <v>0</v>
      </c>
      <c r="K322" s="636">
        <v>0</v>
      </c>
      <c r="L322" s="636">
        <v>0</v>
      </c>
      <c r="M322" s="636">
        <v>0</v>
      </c>
      <c r="N322" s="636">
        <v>0</v>
      </c>
      <c r="O322" s="636">
        <v>0</v>
      </c>
      <c r="P322" s="636">
        <v>0</v>
      </c>
      <c r="Q322" s="636">
        <v>0</v>
      </c>
      <c r="R322" s="636">
        <v>0</v>
      </c>
      <c r="S322" s="636">
        <v>0</v>
      </c>
      <c r="U322" s="636"/>
      <c r="V322" s="636">
        <v>0</v>
      </c>
      <c r="W322" s="636">
        <v>0</v>
      </c>
      <c r="X322" s="636">
        <v>0</v>
      </c>
      <c r="Y322" s="636">
        <v>0</v>
      </c>
      <c r="Z322" s="636">
        <v>0</v>
      </c>
      <c r="AA322" s="636">
        <v>0</v>
      </c>
      <c r="AB322" s="636">
        <v>0</v>
      </c>
      <c r="AC322" s="636">
        <v>0</v>
      </c>
      <c r="AD322" s="636">
        <v>0</v>
      </c>
      <c r="AE322" s="636">
        <v>0</v>
      </c>
      <c r="AF322" s="636">
        <v>0</v>
      </c>
      <c r="AG322" s="636">
        <v>0</v>
      </c>
      <c r="AH322" s="636">
        <v>0</v>
      </c>
      <c r="AI322" s="636">
        <v>0</v>
      </c>
      <c r="AJ322" s="636">
        <v>0</v>
      </c>
      <c r="AK322" s="636">
        <v>0</v>
      </c>
    </row>
    <row r="323" spans="3:37" ht="13.5">
      <c r="C323" s="648" t="s">
        <v>78</v>
      </c>
      <c r="D323" s="642">
        <v>4.9901668745901624</v>
      </c>
      <c r="E323" s="642">
        <v>0</v>
      </c>
      <c r="F323" s="642">
        <v>21.091530324656198</v>
      </c>
      <c r="G323" s="642">
        <v>96.151700548391091</v>
      </c>
      <c r="H323" s="642">
        <v>0</v>
      </c>
      <c r="I323" s="642">
        <v>0</v>
      </c>
      <c r="J323" s="642">
        <v>21.387862541024852</v>
      </c>
      <c r="K323" s="642">
        <v>1.7476152779545906</v>
      </c>
      <c r="L323" s="642">
        <v>0.94211085156249985</v>
      </c>
      <c r="M323" s="642">
        <v>1.9807569399951515</v>
      </c>
      <c r="N323" s="642">
        <v>0</v>
      </c>
      <c r="O323" s="642">
        <v>3.7669078281368638E-4</v>
      </c>
      <c r="P323" s="642">
        <v>112.73505933145552</v>
      </c>
      <c r="Q323" s="642">
        <v>16.12568637832603</v>
      </c>
      <c r="R323" s="642">
        <v>0.27920700073242188</v>
      </c>
      <c r="S323" s="650">
        <v>277.43207275947128</v>
      </c>
      <c r="U323" s="648" t="s">
        <v>78</v>
      </c>
      <c r="V323" s="642">
        <v>1.2150050536449819</v>
      </c>
      <c r="W323" s="642">
        <v>0</v>
      </c>
      <c r="X323" s="642">
        <v>6.016341039248414</v>
      </c>
      <c r="Y323" s="642">
        <v>39.709503776891196</v>
      </c>
      <c r="Z323" s="642">
        <v>0</v>
      </c>
      <c r="AA323" s="642">
        <v>0</v>
      </c>
      <c r="AB323" s="642">
        <v>15.202189846170386</v>
      </c>
      <c r="AC323" s="642">
        <v>4.9835801019927617</v>
      </c>
      <c r="AD323" s="642">
        <v>5.6103854980468748</v>
      </c>
      <c r="AE323" s="642">
        <v>28.773635244370734</v>
      </c>
      <c r="AF323" s="642">
        <v>0</v>
      </c>
      <c r="AG323" s="642">
        <v>3.7669078281368638E-4</v>
      </c>
      <c r="AH323" s="642">
        <v>146.07653830614987</v>
      </c>
      <c r="AI323" s="642">
        <v>23.647869298816833</v>
      </c>
      <c r="AJ323" s="642">
        <v>7.4826708984375001</v>
      </c>
      <c r="AK323" s="650">
        <v>278.71809575455239</v>
      </c>
    </row>
    <row r="324" spans="3:37" ht="13.5">
      <c r="C324" s="648" t="s">
        <v>79</v>
      </c>
      <c r="D324" s="642">
        <v>0</v>
      </c>
      <c r="E324" s="642">
        <v>0</v>
      </c>
      <c r="F324" s="642">
        <v>235.12748928743429</v>
      </c>
      <c r="G324" s="642">
        <v>31.099379517950805</v>
      </c>
      <c r="H324" s="642">
        <v>0</v>
      </c>
      <c r="I324" s="642">
        <v>0</v>
      </c>
      <c r="J324" s="642">
        <v>0</v>
      </c>
      <c r="K324" s="642">
        <v>0</v>
      </c>
      <c r="L324" s="642">
        <v>22.716725008445675</v>
      </c>
      <c r="M324" s="642">
        <v>0.63468121465205729</v>
      </c>
      <c r="N324" s="642">
        <v>0</v>
      </c>
      <c r="O324" s="642">
        <v>0</v>
      </c>
      <c r="P324" s="642">
        <v>68.565930798083699</v>
      </c>
      <c r="Q324" s="642">
        <v>0</v>
      </c>
      <c r="R324" s="642">
        <v>2.3844112104980786</v>
      </c>
      <c r="S324" s="650">
        <v>360.52861703706463</v>
      </c>
      <c r="U324" s="648" t="s">
        <v>79</v>
      </c>
      <c r="V324" s="642">
        <v>0</v>
      </c>
      <c r="W324" s="642">
        <v>0</v>
      </c>
      <c r="X324" s="642">
        <v>35.128929389637456</v>
      </c>
      <c r="Y324" s="642">
        <v>15.137064293513523</v>
      </c>
      <c r="Z324" s="642">
        <v>0</v>
      </c>
      <c r="AA324" s="642">
        <v>0</v>
      </c>
      <c r="AB324" s="642">
        <v>0</v>
      </c>
      <c r="AC324" s="642">
        <v>0</v>
      </c>
      <c r="AD324" s="642">
        <v>37.187580566982817</v>
      </c>
      <c r="AE324" s="642">
        <v>11.036020535724948</v>
      </c>
      <c r="AF324" s="642">
        <v>0</v>
      </c>
      <c r="AG324" s="642">
        <v>0</v>
      </c>
      <c r="AH324" s="642">
        <v>89.614524523742418</v>
      </c>
      <c r="AI324" s="642">
        <v>0</v>
      </c>
      <c r="AJ324" s="642">
        <v>5.6351763144479268</v>
      </c>
      <c r="AK324" s="650">
        <v>193.73929562404911</v>
      </c>
    </row>
    <row r="325" spans="3:37" ht="13.5">
      <c r="C325" s="648" t="s">
        <v>80</v>
      </c>
      <c r="D325" s="642">
        <v>0</v>
      </c>
      <c r="E325" s="642">
        <v>0</v>
      </c>
      <c r="F325" s="642">
        <v>13.724834206032371</v>
      </c>
      <c r="G325" s="642">
        <v>79.131512261322683</v>
      </c>
      <c r="H325" s="642">
        <v>0</v>
      </c>
      <c r="I325" s="642">
        <v>0</v>
      </c>
      <c r="J325" s="642">
        <v>87.797108848078949</v>
      </c>
      <c r="K325" s="642">
        <v>0</v>
      </c>
      <c r="L325" s="642">
        <v>0</v>
      </c>
      <c r="M325" s="642">
        <v>1.6149288216596467</v>
      </c>
      <c r="N325" s="642">
        <v>57.41835645436403</v>
      </c>
      <c r="O325" s="642">
        <v>2.0533643919476137</v>
      </c>
      <c r="P325" s="642">
        <v>189.45880926265392</v>
      </c>
      <c r="Q325" s="642">
        <v>15.417775800116472</v>
      </c>
      <c r="R325" s="642">
        <v>0</v>
      </c>
      <c r="S325" s="650">
        <v>446.61669004617568</v>
      </c>
      <c r="U325" s="648" t="s">
        <v>80</v>
      </c>
      <c r="V325" s="642">
        <v>0</v>
      </c>
      <c r="W325" s="642">
        <v>0</v>
      </c>
      <c r="X325" s="642">
        <v>1.0209129157283405</v>
      </c>
      <c r="Y325" s="642">
        <v>12.832027751754538</v>
      </c>
      <c r="Z325" s="642">
        <v>0</v>
      </c>
      <c r="AA325" s="642">
        <v>0</v>
      </c>
      <c r="AB325" s="642">
        <v>53.270322236782164</v>
      </c>
      <c r="AC325" s="642">
        <v>0</v>
      </c>
      <c r="AD325" s="642">
        <v>0</v>
      </c>
      <c r="AE325" s="642">
        <v>9.2921580271325972</v>
      </c>
      <c r="AF325" s="642">
        <v>88.292344554902868</v>
      </c>
      <c r="AG325" s="642">
        <v>3.9079432862869607</v>
      </c>
      <c r="AH325" s="642">
        <v>146.88666477766319</v>
      </c>
      <c r="AI325" s="642">
        <v>32.427264426374379</v>
      </c>
      <c r="AJ325" s="642">
        <v>0</v>
      </c>
      <c r="AK325" s="650">
        <v>347.92963797662509</v>
      </c>
    </row>
    <row r="326" spans="3:37" ht="13.5">
      <c r="C326" s="648" t="s">
        <v>81</v>
      </c>
      <c r="D326" s="642">
        <v>0</v>
      </c>
      <c r="E326" s="642">
        <v>0</v>
      </c>
      <c r="F326" s="642">
        <v>3.9083972405176572</v>
      </c>
      <c r="G326" s="642">
        <v>63.089348266301698</v>
      </c>
      <c r="H326" s="642">
        <v>0</v>
      </c>
      <c r="I326" s="642">
        <v>0</v>
      </c>
      <c r="J326" s="642">
        <v>3.1804221278939271</v>
      </c>
      <c r="K326" s="642">
        <v>2.5219694682056978E-2</v>
      </c>
      <c r="L326" s="642">
        <v>0</v>
      </c>
      <c r="M326" s="642">
        <v>1.287537719720443</v>
      </c>
      <c r="N326" s="642">
        <v>8.4803330998149011</v>
      </c>
      <c r="O326" s="642">
        <v>0.72631919579288284</v>
      </c>
      <c r="P326" s="642">
        <v>140.69299872549993</v>
      </c>
      <c r="Q326" s="642">
        <v>3.4464968101202174</v>
      </c>
      <c r="R326" s="642">
        <v>0</v>
      </c>
      <c r="S326" s="650">
        <v>224.8370728803437</v>
      </c>
      <c r="U326" s="648" t="s">
        <v>81</v>
      </c>
      <c r="V326" s="642">
        <v>0</v>
      </c>
      <c r="W326" s="642">
        <v>0</v>
      </c>
      <c r="X326" s="642">
        <v>1.4952361732398858</v>
      </c>
      <c r="Y326" s="642">
        <v>10.610341518374359</v>
      </c>
      <c r="Z326" s="642">
        <v>0</v>
      </c>
      <c r="AA326" s="642">
        <v>0</v>
      </c>
      <c r="AB326" s="642">
        <v>6.9978977014468793</v>
      </c>
      <c r="AC326" s="642">
        <v>2.5219694682056978E-2</v>
      </c>
      <c r="AD326" s="642">
        <v>0</v>
      </c>
      <c r="AE326" s="642">
        <v>7.6833507546848816</v>
      </c>
      <c r="AF326" s="642">
        <v>14.732239480945108</v>
      </c>
      <c r="AG326" s="642">
        <v>1.5525732622869153</v>
      </c>
      <c r="AH326" s="642">
        <v>115.23036268987886</v>
      </c>
      <c r="AI326" s="642">
        <v>12.719638120399363</v>
      </c>
      <c r="AJ326" s="642">
        <v>0</v>
      </c>
      <c r="AK326" s="650">
        <v>171.04685939593833</v>
      </c>
    </row>
    <row r="327" spans="3:37" ht="13.5">
      <c r="C327" s="648" t="s">
        <v>82</v>
      </c>
      <c r="D327" s="642">
        <v>0</v>
      </c>
      <c r="E327" s="642">
        <v>0</v>
      </c>
      <c r="F327" s="642">
        <v>28.471648080197657</v>
      </c>
      <c r="G327" s="642">
        <v>1.0804243241036344</v>
      </c>
      <c r="H327" s="642">
        <v>0</v>
      </c>
      <c r="I327" s="642">
        <v>0</v>
      </c>
      <c r="J327" s="642">
        <v>4.3026845658747828</v>
      </c>
      <c r="K327" s="642">
        <v>0</v>
      </c>
      <c r="L327" s="642">
        <v>3.1299020072385213</v>
      </c>
      <c r="M327" s="642">
        <v>2.2049476002114991E-2</v>
      </c>
      <c r="N327" s="642">
        <v>0</v>
      </c>
      <c r="O327" s="642">
        <v>6.8830690871769351E-2</v>
      </c>
      <c r="P327" s="642">
        <v>5.9739095578527968</v>
      </c>
      <c r="Q327" s="642">
        <v>0</v>
      </c>
      <c r="R327" s="642">
        <v>0</v>
      </c>
      <c r="S327" s="650">
        <v>43.049448702141277</v>
      </c>
      <c r="U327" s="648" t="s">
        <v>82</v>
      </c>
      <c r="V327" s="642">
        <v>0</v>
      </c>
      <c r="W327" s="642">
        <v>0</v>
      </c>
      <c r="X327" s="642">
        <v>5.8604701162543282</v>
      </c>
      <c r="Y327" s="642">
        <v>0.77721189491485598</v>
      </c>
      <c r="Z327" s="642">
        <v>0</v>
      </c>
      <c r="AA327" s="642">
        <v>0</v>
      </c>
      <c r="AB327" s="642">
        <v>4.3026845658747828</v>
      </c>
      <c r="AC327" s="642">
        <v>0</v>
      </c>
      <c r="AD327" s="642">
        <v>30.776202948565647</v>
      </c>
      <c r="AE327" s="642">
        <v>0.56280861355903367</v>
      </c>
      <c r="AF327" s="642">
        <v>0</v>
      </c>
      <c r="AG327" s="642">
        <v>1.5666563685107562</v>
      </c>
      <c r="AH327" s="642">
        <v>6.0858228188406986</v>
      </c>
      <c r="AI327" s="642">
        <v>0</v>
      </c>
      <c r="AJ327" s="642">
        <v>0.36062656029870238</v>
      </c>
      <c r="AK327" s="650">
        <v>50.292483886818808</v>
      </c>
    </row>
    <row r="328" spans="3:37" ht="13.5">
      <c r="C328" s="648" t="s">
        <v>357</v>
      </c>
      <c r="D328" s="642">
        <v>0</v>
      </c>
      <c r="E328" s="642">
        <v>0</v>
      </c>
      <c r="F328" s="642">
        <v>0</v>
      </c>
      <c r="G328" s="642">
        <v>0</v>
      </c>
      <c r="H328" s="642">
        <v>0</v>
      </c>
      <c r="I328" s="642">
        <v>0</v>
      </c>
      <c r="J328" s="642">
        <v>0</v>
      </c>
      <c r="K328" s="642">
        <v>0</v>
      </c>
      <c r="L328" s="642">
        <v>0</v>
      </c>
      <c r="M328" s="642">
        <v>0</v>
      </c>
      <c r="N328" s="642">
        <v>0</v>
      </c>
      <c r="O328" s="642">
        <v>0</v>
      </c>
      <c r="P328" s="642">
        <v>0.36</v>
      </c>
      <c r="Q328" s="642">
        <v>0</v>
      </c>
      <c r="R328" s="642">
        <v>0</v>
      </c>
      <c r="S328" s="650">
        <v>0.36</v>
      </c>
      <c r="U328" s="648" t="s">
        <v>357</v>
      </c>
      <c r="V328" s="642">
        <v>0</v>
      </c>
      <c r="W328" s="642">
        <v>0</v>
      </c>
      <c r="X328" s="642">
        <v>0</v>
      </c>
      <c r="Y328" s="642">
        <v>0</v>
      </c>
      <c r="Z328" s="642">
        <v>0</v>
      </c>
      <c r="AA328" s="642">
        <v>0</v>
      </c>
      <c r="AB328" s="642">
        <v>0</v>
      </c>
      <c r="AC328" s="642">
        <v>0</v>
      </c>
      <c r="AD328" s="642">
        <v>0</v>
      </c>
      <c r="AE328" s="642">
        <v>0</v>
      </c>
      <c r="AF328" s="642">
        <v>0</v>
      </c>
      <c r="AG328" s="642">
        <v>0</v>
      </c>
      <c r="AH328" s="642">
        <v>3.12</v>
      </c>
      <c r="AI328" s="642">
        <v>0</v>
      </c>
      <c r="AJ328" s="642">
        <v>0</v>
      </c>
      <c r="AK328" s="650">
        <v>3.12</v>
      </c>
    </row>
    <row r="329" spans="3:37" ht="13.5">
      <c r="C329" s="646" t="s">
        <v>83</v>
      </c>
      <c r="D329" s="647">
        <v>4.9901668745901624</v>
      </c>
      <c r="E329" s="647">
        <v>0</v>
      </c>
      <c r="F329" s="647">
        <v>302.32389913883821</v>
      </c>
      <c r="G329" s="647">
        <v>270.55236491806994</v>
      </c>
      <c r="H329" s="647">
        <v>0</v>
      </c>
      <c r="I329" s="647">
        <v>0</v>
      </c>
      <c r="J329" s="647">
        <v>116.66807808287251</v>
      </c>
      <c r="K329" s="647">
        <v>1.7728349726366477</v>
      </c>
      <c r="L329" s="647">
        <v>26.788737867246695</v>
      </c>
      <c r="M329" s="647">
        <v>5.5399541720294136</v>
      </c>
      <c r="N329" s="647">
        <v>65.898689554178929</v>
      </c>
      <c r="O329" s="647">
        <v>2.8488909693950797</v>
      </c>
      <c r="P329" s="647">
        <v>517.78670767554593</v>
      </c>
      <c r="Q329" s="647">
        <v>34.989958988562719</v>
      </c>
      <c r="R329" s="647">
        <v>2.6636182112305002</v>
      </c>
      <c r="S329" s="647">
        <v>1352.8239014251965</v>
      </c>
      <c r="U329" s="646" t="s">
        <v>83</v>
      </c>
      <c r="V329" s="647">
        <v>1.2150050536449819</v>
      </c>
      <c r="W329" s="647">
        <v>0</v>
      </c>
      <c r="X329" s="647">
        <v>49.521889634108419</v>
      </c>
      <c r="Y329" s="647">
        <v>79.066149235448464</v>
      </c>
      <c r="Z329" s="647">
        <v>0</v>
      </c>
      <c r="AA329" s="647">
        <v>0</v>
      </c>
      <c r="AB329" s="647">
        <v>79.773094350274206</v>
      </c>
      <c r="AC329" s="647">
        <v>5.0087997966748192</v>
      </c>
      <c r="AD329" s="647">
        <v>73.574169013595338</v>
      </c>
      <c r="AE329" s="647">
        <v>57.347973175472191</v>
      </c>
      <c r="AF329" s="647">
        <v>103.02458403584798</v>
      </c>
      <c r="AG329" s="647">
        <v>7.0275496078674458</v>
      </c>
      <c r="AH329" s="647">
        <v>507.01391311627498</v>
      </c>
      <c r="AI329" s="647">
        <v>68.794771845590574</v>
      </c>
      <c r="AJ329" s="647">
        <v>13.478473773184128</v>
      </c>
      <c r="AK329" s="647">
        <v>1044.8463726379837</v>
      </c>
    </row>
    <row r="330" spans="3:37" ht="13.5">
      <c r="C330" s="641" t="s">
        <v>84</v>
      </c>
      <c r="D330" s="642">
        <v>0</v>
      </c>
      <c r="E330" s="642">
        <v>0</v>
      </c>
      <c r="F330" s="642">
        <v>106.83242416715484</v>
      </c>
      <c r="G330" s="642">
        <v>11.6186457489655</v>
      </c>
      <c r="H330" s="642">
        <v>0</v>
      </c>
      <c r="I330" s="642">
        <v>0</v>
      </c>
      <c r="J330" s="642">
        <v>0</v>
      </c>
      <c r="K330" s="642">
        <v>0</v>
      </c>
      <c r="L330" s="642">
        <v>0</v>
      </c>
      <c r="M330" s="642">
        <v>0</v>
      </c>
      <c r="N330" s="642">
        <v>0</v>
      </c>
      <c r="O330" s="642">
        <v>0</v>
      </c>
      <c r="P330" s="642">
        <v>0</v>
      </c>
      <c r="Q330" s="642">
        <v>0</v>
      </c>
      <c r="R330" s="642">
        <v>2.4159251561316859</v>
      </c>
      <c r="S330" s="650">
        <v>120.86699507225204</v>
      </c>
      <c r="U330" s="641" t="s">
        <v>84</v>
      </c>
      <c r="V330" s="642">
        <v>0</v>
      </c>
      <c r="W330" s="642">
        <v>0</v>
      </c>
      <c r="X330" s="642">
        <v>75.791608178670685</v>
      </c>
      <c r="Y330" s="642">
        <v>0.94004440148578539</v>
      </c>
      <c r="Z330" s="642">
        <v>0</v>
      </c>
      <c r="AA330" s="642">
        <v>0</v>
      </c>
      <c r="AB330" s="642">
        <v>0</v>
      </c>
      <c r="AC330" s="642">
        <v>0</v>
      </c>
      <c r="AD330" s="642">
        <v>21.99170920776367</v>
      </c>
      <c r="AE330" s="642">
        <v>0</v>
      </c>
      <c r="AF330" s="642">
        <v>0</v>
      </c>
      <c r="AG330" s="642">
        <v>0</v>
      </c>
      <c r="AH330" s="642">
        <v>0</v>
      </c>
      <c r="AI330" s="642">
        <v>0</v>
      </c>
      <c r="AJ330" s="642">
        <v>14.689922984619141</v>
      </c>
      <c r="AK330" s="650">
        <v>113.41328477253928</v>
      </c>
    </row>
    <row r="331" spans="3:37" ht="13.5">
      <c r="C331" s="646" t="s">
        <v>85</v>
      </c>
      <c r="D331" s="647">
        <v>4.9901668745901624</v>
      </c>
      <c r="E331" s="647">
        <v>0</v>
      </c>
      <c r="F331" s="647">
        <v>409.15632330599311</v>
      </c>
      <c r="G331" s="647">
        <v>282.17101066703543</v>
      </c>
      <c r="H331" s="647">
        <v>0</v>
      </c>
      <c r="I331" s="647">
        <v>0</v>
      </c>
      <c r="J331" s="647">
        <v>116.66807808287251</v>
      </c>
      <c r="K331" s="647">
        <v>1.7728349726366477</v>
      </c>
      <c r="L331" s="647">
        <v>26.788737867246695</v>
      </c>
      <c r="M331" s="647">
        <v>5.5399541720294136</v>
      </c>
      <c r="N331" s="647">
        <v>65.898689554178929</v>
      </c>
      <c r="O331" s="647">
        <v>2.8488909693950797</v>
      </c>
      <c r="P331" s="647">
        <v>517.78670767554593</v>
      </c>
      <c r="Q331" s="647">
        <v>34.989958988562719</v>
      </c>
      <c r="R331" s="647">
        <v>5.0795433673621861</v>
      </c>
      <c r="S331" s="647">
        <v>1473.6908964974484</v>
      </c>
      <c r="U331" s="646" t="s">
        <v>85</v>
      </c>
      <c r="V331" s="647">
        <v>1.2150050536449819</v>
      </c>
      <c r="W331" s="647">
        <v>0</v>
      </c>
      <c r="X331" s="647">
        <v>125.31349781277912</v>
      </c>
      <c r="Y331" s="647">
        <v>80.006193636934256</v>
      </c>
      <c r="Z331" s="647">
        <v>0</v>
      </c>
      <c r="AA331" s="647">
        <v>0</v>
      </c>
      <c r="AB331" s="647">
        <v>79.773094350274206</v>
      </c>
      <c r="AC331" s="647">
        <v>5.0087997966748192</v>
      </c>
      <c r="AD331" s="647">
        <v>95.565878221359014</v>
      </c>
      <c r="AE331" s="647">
        <v>57.347973175472191</v>
      </c>
      <c r="AF331" s="647">
        <v>103.02458403584798</v>
      </c>
      <c r="AG331" s="647">
        <v>7.0275496078674458</v>
      </c>
      <c r="AH331" s="647">
        <v>507.01391311627498</v>
      </c>
      <c r="AI331" s="647">
        <v>68.794771845590574</v>
      </c>
      <c r="AJ331" s="647">
        <v>28.168396757803269</v>
      </c>
      <c r="AK331" s="647">
        <v>1158.2596574105228</v>
      </c>
    </row>
    <row r="332" spans="3:37" ht="13">
      <c r="C332" s="636"/>
      <c r="D332" s="636"/>
      <c r="E332" s="636"/>
      <c r="F332" s="636"/>
      <c r="G332" s="636"/>
      <c r="H332" s="636"/>
      <c r="I332" s="636"/>
      <c r="J332" s="636"/>
      <c r="K332" s="636"/>
      <c r="L332" s="636"/>
      <c r="M332" s="636"/>
      <c r="N332" s="636"/>
      <c r="O332" s="636"/>
      <c r="P332" s="636"/>
      <c r="Q332" s="636"/>
      <c r="R332" s="636"/>
      <c r="S332" s="636"/>
      <c r="U332" s="636"/>
      <c r="V332" s="636"/>
      <c r="W332" s="636"/>
      <c r="X332" s="636"/>
      <c r="Y332" s="636"/>
      <c r="Z332" s="636"/>
      <c r="AA332" s="636"/>
      <c r="AB332" s="636"/>
      <c r="AC332" s="636"/>
      <c r="AD332" s="636"/>
      <c r="AE332" s="636"/>
      <c r="AF332" s="636"/>
      <c r="AG332" s="636"/>
      <c r="AH332" s="636"/>
      <c r="AI332" s="636"/>
      <c r="AJ332" s="636"/>
      <c r="AK332" s="636"/>
    </row>
    <row r="333" spans="3:37" ht="22.5">
      <c r="C333" s="699" t="s">
        <v>364</v>
      </c>
      <c r="D333" s="699"/>
      <c r="E333" s="699"/>
      <c r="F333" s="699"/>
      <c r="G333" s="699"/>
      <c r="H333" s="699"/>
      <c r="I333" s="699"/>
      <c r="J333" s="699"/>
      <c r="K333" s="699"/>
      <c r="L333" s="699"/>
      <c r="M333" s="699"/>
      <c r="N333" s="699"/>
      <c r="O333" s="699"/>
      <c r="P333" s="699"/>
      <c r="Q333" s="699"/>
      <c r="R333" s="699"/>
      <c r="S333" s="699"/>
      <c r="U333" s="699" t="s">
        <v>364</v>
      </c>
      <c r="V333" s="699"/>
      <c r="W333" s="699"/>
      <c r="X333" s="699"/>
      <c r="Y333" s="699"/>
      <c r="Z333" s="699"/>
      <c r="AA333" s="699"/>
      <c r="AB333" s="699"/>
      <c r="AC333" s="699"/>
      <c r="AD333" s="699"/>
      <c r="AE333" s="699"/>
      <c r="AF333" s="699"/>
      <c r="AG333" s="699"/>
      <c r="AH333" s="699"/>
      <c r="AI333" s="699"/>
      <c r="AJ333" s="699"/>
      <c r="AK333" s="699"/>
    </row>
    <row r="334" spans="3:37" ht="13">
      <c r="C334" s="636"/>
      <c r="D334" s="636"/>
      <c r="E334" s="636"/>
      <c r="F334" s="636"/>
      <c r="G334" s="636"/>
      <c r="H334" s="636"/>
      <c r="I334" s="636"/>
      <c r="J334" s="636"/>
      <c r="K334" s="636"/>
      <c r="L334" s="636"/>
      <c r="M334" s="636"/>
      <c r="N334" s="636"/>
      <c r="O334" s="636"/>
      <c r="P334" s="636"/>
      <c r="Q334" s="636"/>
      <c r="R334" s="636"/>
      <c r="S334" s="636"/>
      <c r="U334" s="636"/>
      <c r="V334" s="636"/>
      <c r="W334" s="636"/>
      <c r="X334" s="636"/>
      <c r="Y334" s="636"/>
      <c r="Z334" s="636"/>
      <c r="AA334" s="636"/>
      <c r="AB334" s="636"/>
      <c r="AC334" s="636"/>
      <c r="AD334" s="636"/>
      <c r="AE334" s="636"/>
      <c r="AF334" s="636"/>
      <c r="AG334" s="636"/>
      <c r="AH334" s="636"/>
      <c r="AI334" s="636"/>
      <c r="AJ334" s="636"/>
      <c r="AK334" s="636"/>
    </row>
    <row r="335" spans="3:37" ht="13" customHeight="1">
      <c r="C335" s="700" t="s">
        <v>128</v>
      </c>
      <c r="D335" s="701" t="s">
        <v>42</v>
      </c>
      <c r="E335" s="701" t="s">
        <v>52</v>
      </c>
      <c r="F335" s="701" t="s">
        <v>53</v>
      </c>
      <c r="G335" s="701" t="s">
        <v>32</v>
      </c>
      <c r="H335" s="701" t="s">
        <v>20</v>
      </c>
      <c r="I335" s="701" t="s">
        <v>55</v>
      </c>
      <c r="J335" s="701" t="s">
        <v>56</v>
      </c>
      <c r="K335" s="701"/>
      <c r="L335" s="701"/>
      <c r="M335" s="701"/>
      <c r="N335" s="701"/>
      <c r="O335" s="701"/>
      <c r="P335" s="701" t="s">
        <v>57</v>
      </c>
      <c r="Q335" s="701" t="s">
        <v>58</v>
      </c>
      <c r="R335" s="701" t="s">
        <v>31</v>
      </c>
      <c r="S335" s="701" t="s">
        <v>10</v>
      </c>
      <c r="U335" s="700" t="s">
        <v>128</v>
      </c>
      <c r="V335" s="701" t="s">
        <v>42</v>
      </c>
      <c r="W335" s="701" t="s">
        <v>52</v>
      </c>
      <c r="X335" s="701" t="s">
        <v>53</v>
      </c>
      <c r="Y335" s="701" t="s">
        <v>32</v>
      </c>
      <c r="Z335" s="701" t="s">
        <v>20</v>
      </c>
      <c r="AA335" s="701" t="s">
        <v>55</v>
      </c>
      <c r="AB335" s="701" t="s">
        <v>56</v>
      </c>
      <c r="AC335" s="701"/>
      <c r="AD335" s="701"/>
      <c r="AE335" s="701"/>
      <c r="AF335" s="701"/>
      <c r="AG335" s="701"/>
      <c r="AH335" s="701" t="s">
        <v>57</v>
      </c>
      <c r="AI335" s="701" t="s">
        <v>58</v>
      </c>
      <c r="AJ335" s="701" t="s">
        <v>31</v>
      </c>
      <c r="AK335" s="701" t="s">
        <v>10</v>
      </c>
    </row>
    <row r="336" spans="3:37" ht="46">
      <c r="C336" s="700"/>
      <c r="D336" s="701"/>
      <c r="E336" s="701"/>
      <c r="F336" s="701"/>
      <c r="G336" s="701"/>
      <c r="H336" s="701"/>
      <c r="I336" s="701"/>
      <c r="J336" s="640" t="s">
        <v>338</v>
      </c>
      <c r="K336" s="640" t="s">
        <v>40</v>
      </c>
      <c r="L336" s="640" t="s">
        <v>346</v>
      </c>
      <c r="M336" s="640" t="s">
        <v>347</v>
      </c>
      <c r="N336" s="640" t="s">
        <v>348</v>
      </c>
      <c r="O336" s="640" t="s">
        <v>349</v>
      </c>
      <c r="P336" s="701"/>
      <c r="Q336" s="701"/>
      <c r="R336" s="701"/>
      <c r="S336" s="701"/>
      <c r="U336" s="700"/>
      <c r="V336" s="701"/>
      <c r="W336" s="701"/>
      <c r="X336" s="701"/>
      <c r="Y336" s="701"/>
      <c r="Z336" s="701"/>
      <c r="AA336" s="701"/>
      <c r="AB336" s="640" t="s">
        <v>338</v>
      </c>
      <c r="AC336" s="640" t="s">
        <v>40</v>
      </c>
      <c r="AD336" s="640" t="s">
        <v>346</v>
      </c>
      <c r="AE336" s="640" t="s">
        <v>347</v>
      </c>
      <c r="AF336" s="640" t="s">
        <v>348</v>
      </c>
      <c r="AG336" s="640" t="s">
        <v>349</v>
      </c>
      <c r="AH336" s="701"/>
      <c r="AI336" s="701"/>
      <c r="AJ336" s="701"/>
      <c r="AK336" s="701"/>
    </row>
    <row r="337" spans="3:37" ht="13.5">
      <c r="C337" s="641" t="s">
        <v>59</v>
      </c>
      <c r="D337" s="642">
        <v>0</v>
      </c>
      <c r="E337" s="643">
        <v>0</v>
      </c>
      <c r="F337" s="643">
        <v>0</v>
      </c>
      <c r="G337" s="642">
        <v>0</v>
      </c>
      <c r="H337" s="643">
        <v>843.18181818181824</v>
      </c>
      <c r="I337" s="643">
        <v>306.94588327561422</v>
      </c>
      <c r="J337" s="643">
        <v>187.92158364867245</v>
      </c>
      <c r="K337" s="643">
        <v>20.316638839186872</v>
      </c>
      <c r="L337" s="643">
        <v>0.58650482505924006</v>
      </c>
      <c r="M337" s="643">
        <v>0.15964026893196048</v>
      </c>
      <c r="N337" s="643">
        <v>67.964408038916218</v>
      </c>
      <c r="O337" s="643">
        <v>11.973026235836867</v>
      </c>
      <c r="P337" s="644">
        <v>0</v>
      </c>
      <c r="Q337" s="643">
        <v>0</v>
      </c>
      <c r="R337" s="643">
        <v>0</v>
      </c>
      <c r="S337" s="645">
        <v>1439.0495033140362</v>
      </c>
      <c r="U337" s="641" t="s">
        <v>59</v>
      </c>
      <c r="V337" s="642">
        <v>0</v>
      </c>
      <c r="W337" s="643">
        <v>0</v>
      </c>
      <c r="X337" s="643">
        <v>0</v>
      </c>
      <c r="Y337" s="642">
        <v>0</v>
      </c>
      <c r="Z337" s="643">
        <v>842.12121212121212</v>
      </c>
      <c r="AA337" s="643">
        <v>361.66588327561419</v>
      </c>
      <c r="AB337" s="643">
        <v>209.7499476733077</v>
      </c>
      <c r="AC337" s="643">
        <v>36.742499370225779</v>
      </c>
      <c r="AD337" s="643">
        <v>0.58650482505924006</v>
      </c>
      <c r="AE337" s="643">
        <v>0.15964026893196048</v>
      </c>
      <c r="AF337" s="643">
        <v>109.8518848230913</v>
      </c>
      <c r="AG337" s="643">
        <v>27.041217028647232</v>
      </c>
      <c r="AH337" s="644">
        <v>0</v>
      </c>
      <c r="AI337" s="643">
        <v>0</v>
      </c>
      <c r="AJ337" s="643">
        <v>0</v>
      </c>
      <c r="AK337" s="645">
        <v>1587.9187893860897</v>
      </c>
    </row>
    <row r="338" spans="3:37" ht="13.5">
      <c r="C338" s="641" t="s">
        <v>60</v>
      </c>
      <c r="D338" s="642">
        <v>47.14481987923083</v>
      </c>
      <c r="E338" s="643">
        <v>484.495467583368</v>
      </c>
      <c r="F338" s="643">
        <v>50.019697053221719</v>
      </c>
      <c r="G338" s="642">
        <v>326.09010493911637</v>
      </c>
      <c r="H338" s="643">
        <v>0</v>
      </c>
      <c r="I338" s="643">
        <v>0</v>
      </c>
      <c r="J338" s="643">
        <v>5.0764589906360387</v>
      </c>
      <c r="K338" s="643">
        <v>0</v>
      </c>
      <c r="L338" s="643">
        <v>2.7571319279134792</v>
      </c>
      <c r="M338" s="643">
        <v>0</v>
      </c>
      <c r="N338" s="643">
        <v>0</v>
      </c>
      <c r="O338" s="643">
        <v>0</v>
      </c>
      <c r="P338" s="644">
        <v>0</v>
      </c>
      <c r="Q338" s="643">
        <v>0</v>
      </c>
      <c r="R338" s="643">
        <v>0</v>
      </c>
      <c r="S338" s="645">
        <v>915.58368037348657</v>
      </c>
      <c r="U338" s="641" t="s">
        <v>60</v>
      </c>
      <c r="V338" s="642">
        <v>5.8768320762591904</v>
      </c>
      <c r="W338" s="643">
        <v>189.94114801549574</v>
      </c>
      <c r="X338" s="643">
        <v>14.41607041492888</v>
      </c>
      <c r="Y338" s="642">
        <v>81.728531694283333</v>
      </c>
      <c r="Z338" s="643">
        <v>0</v>
      </c>
      <c r="AA338" s="643">
        <v>0</v>
      </c>
      <c r="AB338" s="643">
        <v>5.0764589906360387</v>
      </c>
      <c r="AC338" s="643">
        <v>0</v>
      </c>
      <c r="AD338" s="643">
        <v>2.7571319279134792</v>
      </c>
      <c r="AE338" s="643">
        <v>0</v>
      </c>
      <c r="AF338" s="643">
        <v>0</v>
      </c>
      <c r="AG338" s="643">
        <v>0</v>
      </c>
      <c r="AH338" s="644">
        <v>0</v>
      </c>
      <c r="AI338" s="643">
        <v>0</v>
      </c>
      <c r="AJ338" s="643">
        <v>0</v>
      </c>
      <c r="AK338" s="645">
        <v>299.79617311951665</v>
      </c>
    </row>
    <row r="339" spans="3:37" ht="13.5">
      <c r="C339" s="641" t="s">
        <v>61</v>
      </c>
      <c r="D339" s="642">
        <v>0</v>
      </c>
      <c r="E339" s="643">
        <v>0</v>
      </c>
      <c r="F339" s="643">
        <v>0</v>
      </c>
      <c r="G339" s="642">
        <v>0</v>
      </c>
      <c r="H339" s="643">
        <v>0</v>
      </c>
      <c r="I339" s="643">
        <v>0</v>
      </c>
      <c r="J339" s="643">
        <v>0</v>
      </c>
      <c r="K339" s="643">
        <v>0</v>
      </c>
      <c r="L339" s="643">
        <v>0</v>
      </c>
      <c r="M339" s="643">
        <v>0</v>
      </c>
      <c r="N339" s="643">
        <v>0</v>
      </c>
      <c r="O339" s="643">
        <v>0</v>
      </c>
      <c r="P339" s="644">
        <v>-16.706363002811486</v>
      </c>
      <c r="Q339" s="643">
        <v>0</v>
      </c>
      <c r="R339" s="643">
        <v>0</v>
      </c>
      <c r="S339" s="645">
        <v>-16.706363002811486</v>
      </c>
      <c r="U339" s="641" t="s">
        <v>61</v>
      </c>
      <c r="V339" s="642">
        <v>0</v>
      </c>
      <c r="W339" s="643">
        <v>0</v>
      </c>
      <c r="X339" s="643">
        <v>-18.378136852904419</v>
      </c>
      <c r="Y339" s="642">
        <v>0</v>
      </c>
      <c r="Z339" s="643">
        <v>0</v>
      </c>
      <c r="AA339" s="643">
        <v>0</v>
      </c>
      <c r="AB339" s="643">
        <v>0</v>
      </c>
      <c r="AC339" s="643">
        <v>0</v>
      </c>
      <c r="AD339" s="643">
        <v>0</v>
      </c>
      <c r="AE339" s="643">
        <v>0</v>
      </c>
      <c r="AF339" s="643">
        <v>0</v>
      </c>
      <c r="AG339" s="643">
        <v>0</v>
      </c>
      <c r="AH339" s="644">
        <v>-20.522831714543145</v>
      </c>
      <c r="AI339" s="643">
        <v>0</v>
      </c>
      <c r="AJ339" s="643">
        <v>0</v>
      </c>
      <c r="AK339" s="645">
        <v>-38.900968567447563</v>
      </c>
    </row>
    <row r="340" spans="3:37" ht="13.5">
      <c r="C340" s="641" t="s">
        <v>62</v>
      </c>
      <c r="D340" s="642">
        <v>0</v>
      </c>
      <c r="E340" s="643">
        <v>0</v>
      </c>
      <c r="F340" s="643">
        <v>-15.257294848391862</v>
      </c>
      <c r="G340" s="642">
        <v>0</v>
      </c>
      <c r="H340" s="643">
        <v>0</v>
      </c>
      <c r="I340" s="643">
        <v>0</v>
      </c>
      <c r="J340" s="643">
        <v>0</v>
      </c>
      <c r="K340" s="643">
        <v>0</v>
      </c>
      <c r="L340" s="643">
        <v>0</v>
      </c>
      <c r="M340" s="643">
        <v>0</v>
      </c>
      <c r="N340" s="643">
        <v>0</v>
      </c>
      <c r="O340" s="643">
        <v>0</v>
      </c>
      <c r="P340" s="644">
        <v>0</v>
      </c>
      <c r="Q340" s="643">
        <v>0</v>
      </c>
      <c r="R340" s="643">
        <v>0</v>
      </c>
      <c r="S340" s="645">
        <v>-15.257294848391862</v>
      </c>
      <c r="U340" s="641" t="s">
        <v>62</v>
      </c>
      <c r="V340" s="642">
        <v>0</v>
      </c>
      <c r="W340" s="643">
        <v>0</v>
      </c>
      <c r="X340" s="643">
        <v>-7.5188933675233587</v>
      </c>
      <c r="Y340" s="642">
        <v>-2.1851276585702322</v>
      </c>
      <c r="Z340" s="643">
        <v>0</v>
      </c>
      <c r="AA340" s="643">
        <v>0</v>
      </c>
      <c r="AB340" s="643">
        <v>0</v>
      </c>
      <c r="AC340" s="643">
        <v>0</v>
      </c>
      <c r="AD340" s="643">
        <v>0</v>
      </c>
      <c r="AE340" s="643">
        <v>-2.1851276585702322</v>
      </c>
      <c r="AF340" s="643">
        <v>0</v>
      </c>
      <c r="AG340" s="643">
        <v>0</v>
      </c>
      <c r="AH340" s="644">
        <v>0</v>
      </c>
      <c r="AI340" s="643">
        <v>0</v>
      </c>
      <c r="AJ340" s="643">
        <v>0</v>
      </c>
      <c r="AK340" s="645">
        <v>-11.889148684663823</v>
      </c>
    </row>
    <row r="341" spans="3:37" ht="13.5">
      <c r="C341" s="641" t="s">
        <v>63</v>
      </c>
      <c r="D341" s="642">
        <v>0</v>
      </c>
      <c r="E341" s="643">
        <v>0</v>
      </c>
      <c r="F341" s="643">
        <v>-90.982589622358091</v>
      </c>
      <c r="G341" s="642">
        <v>0</v>
      </c>
      <c r="H341" s="643">
        <v>0</v>
      </c>
      <c r="I341" s="643">
        <v>0</v>
      </c>
      <c r="J341" s="643">
        <v>0</v>
      </c>
      <c r="K341" s="643">
        <v>0</v>
      </c>
      <c r="L341" s="643">
        <v>-0.93561585486744514</v>
      </c>
      <c r="M341" s="643">
        <v>0</v>
      </c>
      <c r="N341" s="643">
        <v>0</v>
      </c>
      <c r="O341" s="643">
        <v>0</v>
      </c>
      <c r="P341" s="644">
        <v>0</v>
      </c>
      <c r="Q341" s="643">
        <v>0</v>
      </c>
      <c r="R341" s="643">
        <v>0</v>
      </c>
      <c r="S341" s="645">
        <v>-91.918205477225541</v>
      </c>
      <c r="U341" s="641" t="s">
        <v>63</v>
      </c>
      <c r="V341" s="642">
        <v>0</v>
      </c>
      <c r="W341" s="643">
        <v>0</v>
      </c>
      <c r="X341" s="643">
        <v>-53.656928796434556</v>
      </c>
      <c r="Y341" s="642">
        <v>0</v>
      </c>
      <c r="Z341" s="643">
        <v>0</v>
      </c>
      <c r="AA341" s="643">
        <v>0</v>
      </c>
      <c r="AB341" s="643">
        <v>0</v>
      </c>
      <c r="AC341" s="643">
        <v>0</v>
      </c>
      <c r="AD341" s="643">
        <v>-28.297456853591466</v>
      </c>
      <c r="AE341" s="643">
        <v>0</v>
      </c>
      <c r="AF341" s="643">
        <v>0</v>
      </c>
      <c r="AG341" s="643">
        <v>0</v>
      </c>
      <c r="AH341" s="644">
        <v>0</v>
      </c>
      <c r="AI341" s="643">
        <v>0</v>
      </c>
      <c r="AJ341" s="643">
        <v>0</v>
      </c>
      <c r="AK341" s="645">
        <v>-81.954385650026026</v>
      </c>
    </row>
    <row r="342" spans="3:37" ht="13.5">
      <c r="C342" s="641" t="s">
        <v>64</v>
      </c>
      <c r="D342" s="642">
        <v>0</v>
      </c>
      <c r="E342" s="643">
        <v>0</v>
      </c>
      <c r="F342" s="643">
        <v>0</v>
      </c>
      <c r="G342" s="642">
        <v>0</v>
      </c>
      <c r="H342" s="643">
        <v>0</v>
      </c>
      <c r="I342" s="643">
        <v>0</v>
      </c>
      <c r="J342" s="643">
        <v>0</v>
      </c>
      <c r="K342" s="643">
        <v>0</v>
      </c>
      <c r="L342" s="643">
        <v>0</v>
      </c>
      <c r="M342" s="643">
        <v>0</v>
      </c>
      <c r="N342" s="643">
        <v>0</v>
      </c>
      <c r="O342" s="643">
        <v>0</v>
      </c>
      <c r="P342" s="644">
        <v>0</v>
      </c>
      <c r="Q342" s="643">
        <v>0</v>
      </c>
      <c r="R342" s="643">
        <v>0</v>
      </c>
      <c r="S342" s="645">
        <v>0</v>
      </c>
      <c r="U342" s="641" t="s">
        <v>64</v>
      </c>
      <c r="V342" s="642">
        <v>0</v>
      </c>
      <c r="W342" s="643">
        <v>0</v>
      </c>
      <c r="X342" s="643">
        <v>0</v>
      </c>
      <c r="Y342" s="642">
        <v>0</v>
      </c>
      <c r="Z342" s="643">
        <v>0</v>
      </c>
      <c r="AA342" s="643">
        <v>0</v>
      </c>
      <c r="AB342" s="643">
        <v>0</v>
      </c>
      <c r="AC342" s="643">
        <v>0</v>
      </c>
      <c r="AD342" s="643">
        <v>0</v>
      </c>
      <c r="AE342" s="643">
        <v>0</v>
      </c>
      <c r="AF342" s="643">
        <v>0</v>
      </c>
      <c r="AG342" s="643">
        <v>0</v>
      </c>
      <c r="AH342" s="644">
        <v>0</v>
      </c>
      <c r="AI342" s="643">
        <v>0</v>
      </c>
      <c r="AJ342" s="643">
        <v>0</v>
      </c>
      <c r="AK342" s="645">
        <v>0</v>
      </c>
    </row>
    <row r="343" spans="3:37" ht="13.5">
      <c r="C343" s="646" t="s">
        <v>65</v>
      </c>
      <c r="D343" s="647">
        <v>47.14481987923083</v>
      </c>
      <c r="E343" s="647">
        <v>484.495467583368</v>
      </c>
      <c r="F343" s="647">
        <v>-56.220187417528237</v>
      </c>
      <c r="G343" s="647">
        <v>326.09010493911637</v>
      </c>
      <c r="H343" s="647">
        <v>843.18181818181824</v>
      </c>
      <c r="I343" s="647">
        <v>306.94588327561422</v>
      </c>
      <c r="J343" s="647">
        <v>192.99804263930849</v>
      </c>
      <c r="K343" s="647">
        <v>20.316638839186872</v>
      </c>
      <c r="L343" s="647">
        <v>2.4080208981052738</v>
      </c>
      <c r="M343" s="647">
        <v>0.15964026893196048</v>
      </c>
      <c r="N343" s="647">
        <v>67.964408038916218</v>
      </c>
      <c r="O343" s="647">
        <v>11.973026235836867</v>
      </c>
      <c r="P343" s="647">
        <v>-16.706363002811486</v>
      </c>
      <c r="Q343" s="647">
        <v>0</v>
      </c>
      <c r="R343" s="647">
        <v>0</v>
      </c>
      <c r="S343" s="647">
        <v>2230.7513203590943</v>
      </c>
      <c r="U343" s="646" t="s">
        <v>65</v>
      </c>
      <c r="V343" s="647">
        <v>5.8768320762591904</v>
      </c>
      <c r="W343" s="647">
        <v>189.94114801549574</v>
      </c>
      <c r="X343" s="647">
        <v>-65.137888601933454</v>
      </c>
      <c r="Y343" s="647">
        <v>79.543404035713095</v>
      </c>
      <c r="Z343" s="647">
        <v>842.12121212121212</v>
      </c>
      <c r="AA343" s="647">
        <v>361.66588327561419</v>
      </c>
      <c r="AB343" s="647">
        <v>214.82640666394374</v>
      </c>
      <c r="AC343" s="647">
        <v>36.742499370225779</v>
      </c>
      <c r="AD343" s="647">
        <v>-24.953820100618749</v>
      </c>
      <c r="AE343" s="647">
        <v>-2.0254873896382719</v>
      </c>
      <c r="AF343" s="647">
        <v>109.8518848230913</v>
      </c>
      <c r="AG343" s="647">
        <v>27.041217028647232</v>
      </c>
      <c r="AH343" s="647">
        <v>-20.522831714543145</v>
      </c>
      <c r="AI343" s="647">
        <v>0</v>
      </c>
      <c r="AJ343" s="647">
        <v>0</v>
      </c>
      <c r="AK343" s="647">
        <v>1754.970459603469</v>
      </c>
    </row>
    <row r="344" spans="3:37" ht="13">
      <c r="C344" s="636"/>
      <c r="D344" s="636">
        <v>0</v>
      </c>
      <c r="E344" s="636">
        <v>0</v>
      </c>
      <c r="F344" s="636">
        <v>0</v>
      </c>
      <c r="G344" s="636">
        <v>0</v>
      </c>
      <c r="H344" s="636">
        <v>0</v>
      </c>
      <c r="I344" s="636">
        <v>0</v>
      </c>
      <c r="J344" s="636">
        <v>0</v>
      </c>
      <c r="K344" s="636">
        <v>0</v>
      </c>
      <c r="L344" s="636">
        <v>0</v>
      </c>
      <c r="M344" s="636">
        <v>0</v>
      </c>
      <c r="N344" s="636">
        <v>0</v>
      </c>
      <c r="O344" s="636">
        <v>0</v>
      </c>
      <c r="P344" s="636">
        <v>0</v>
      </c>
      <c r="Q344" s="636">
        <v>0</v>
      </c>
      <c r="R344" s="636">
        <v>0</v>
      </c>
      <c r="S344" s="636">
        <v>0</v>
      </c>
      <c r="U344" s="636"/>
      <c r="V344" s="636">
        <v>0</v>
      </c>
      <c r="W344" s="636">
        <v>0</v>
      </c>
      <c r="X344" s="636">
        <v>0</v>
      </c>
      <c r="Y344" s="636">
        <v>0</v>
      </c>
      <c r="Z344" s="636">
        <v>0</v>
      </c>
      <c r="AA344" s="636">
        <v>0</v>
      </c>
      <c r="AB344" s="636">
        <v>0</v>
      </c>
      <c r="AC344" s="636">
        <v>0</v>
      </c>
      <c r="AD344" s="636">
        <v>0</v>
      </c>
      <c r="AE344" s="636">
        <v>0</v>
      </c>
      <c r="AF344" s="636">
        <v>0</v>
      </c>
      <c r="AG344" s="636">
        <v>0</v>
      </c>
      <c r="AH344" s="636">
        <v>0</v>
      </c>
      <c r="AI344" s="636">
        <v>0</v>
      </c>
      <c r="AJ344" s="636">
        <v>0</v>
      </c>
      <c r="AK344" s="636">
        <v>0</v>
      </c>
    </row>
    <row r="345" spans="3:37" ht="13.5">
      <c r="C345" s="648" t="s">
        <v>67</v>
      </c>
      <c r="D345" s="642">
        <v>0</v>
      </c>
      <c r="E345" s="649">
        <v>0</v>
      </c>
      <c r="F345" s="649">
        <v>0</v>
      </c>
      <c r="G345" s="642">
        <v>0</v>
      </c>
      <c r="H345" s="642">
        <v>0</v>
      </c>
      <c r="I345" s="642">
        <v>0</v>
      </c>
      <c r="J345" s="642">
        <v>0</v>
      </c>
      <c r="K345" s="642">
        <v>0</v>
      </c>
      <c r="L345" s="642">
        <v>0</v>
      </c>
      <c r="M345" s="642">
        <v>0</v>
      </c>
      <c r="N345" s="642">
        <v>0</v>
      </c>
      <c r="O345" s="642">
        <v>0</v>
      </c>
      <c r="P345" s="642">
        <v>0</v>
      </c>
      <c r="Q345" s="642">
        <v>0</v>
      </c>
      <c r="R345" s="642">
        <v>0</v>
      </c>
      <c r="S345" s="650">
        <v>0</v>
      </c>
      <c r="U345" s="648" t="s">
        <v>67</v>
      </c>
      <c r="V345" s="642">
        <v>0</v>
      </c>
      <c r="W345" s="649">
        <v>0</v>
      </c>
      <c r="X345" s="649">
        <v>0</v>
      </c>
      <c r="Y345" s="642">
        <v>0</v>
      </c>
      <c r="Z345" s="642">
        <v>0</v>
      </c>
      <c r="AA345" s="642">
        <v>0</v>
      </c>
      <c r="AB345" s="642">
        <v>0</v>
      </c>
      <c r="AC345" s="642">
        <v>0</v>
      </c>
      <c r="AD345" s="642">
        <v>0</v>
      </c>
      <c r="AE345" s="642">
        <v>0</v>
      </c>
      <c r="AF345" s="642">
        <v>0</v>
      </c>
      <c r="AG345" s="642">
        <v>0</v>
      </c>
      <c r="AH345" s="642">
        <v>0</v>
      </c>
      <c r="AI345" s="642">
        <v>0</v>
      </c>
      <c r="AJ345" s="642">
        <v>0</v>
      </c>
      <c r="AK345" s="650">
        <v>0</v>
      </c>
    </row>
    <row r="346" spans="3:37" ht="13.5">
      <c r="C346" s="648" t="s">
        <v>350</v>
      </c>
      <c r="D346" s="642">
        <v>2.8267856410252494</v>
      </c>
      <c r="E346" s="642">
        <v>0</v>
      </c>
      <c r="F346" s="642">
        <v>7.9230776783294274</v>
      </c>
      <c r="G346" s="642">
        <v>16.680851063829788</v>
      </c>
      <c r="H346" s="642">
        <v>843.18181818181824</v>
      </c>
      <c r="I346" s="642">
        <v>306.94588327561422</v>
      </c>
      <c r="J346" s="651">
        <v>28.98717588629853</v>
      </c>
      <c r="K346" s="651">
        <v>6.5903281241207718</v>
      </c>
      <c r="L346" s="651">
        <v>3.3436367529727189</v>
      </c>
      <c r="M346" s="651">
        <v>0.46654149749263618</v>
      </c>
      <c r="N346" s="651">
        <v>0</v>
      </c>
      <c r="O346" s="651">
        <v>7.0184114557160298</v>
      </c>
      <c r="P346" s="642">
        <v>-616.92993037811448</v>
      </c>
      <c r="Q346" s="642">
        <v>0</v>
      </c>
      <c r="R346" s="642">
        <v>0</v>
      </c>
      <c r="S346" s="650">
        <v>607.03457917910316</v>
      </c>
      <c r="U346" s="648" t="s">
        <v>350</v>
      </c>
      <c r="V346" s="642">
        <v>0.62631490545869017</v>
      </c>
      <c r="W346" s="642">
        <v>0</v>
      </c>
      <c r="X346" s="642">
        <v>4.0594413146930641</v>
      </c>
      <c r="Y346" s="642">
        <v>2.3404255319148937</v>
      </c>
      <c r="Z346" s="642">
        <v>842.12121212121212</v>
      </c>
      <c r="AA346" s="642">
        <v>361.66588327561419</v>
      </c>
      <c r="AB346" s="651">
        <v>23.182357378111952</v>
      </c>
      <c r="AC346" s="651">
        <v>5.3775678130216455</v>
      </c>
      <c r="AD346" s="651">
        <v>3.3436367529727189</v>
      </c>
      <c r="AE346" s="651">
        <v>2.4665414974926363</v>
      </c>
      <c r="AF346" s="651">
        <v>0</v>
      </c>
      <c r="AG346" s="651">
        <v>7.0184114557160298</v>
      </c>
      <c r="AH346" s="642">
        <v>-662.7499303781143</v>
      </c>
      <c r="AI346" s="642">
        <v>0</v>
      </c>
      <c r="AJ346" s="642">
        <v>4.25</v>
      </c>
      <c r="AK346" s="650">
        <v>593.70186166809344</v>
      </c>
    </row>
    <row r="347" spans="3:37" ht="13.5">
      <c r="C347" s="648" t="s">
        <v>351</v>
      </c>
      <c r="D347" s="642">
        <v>0</v>
      </c>
      <c r="E347" s="642">
        <v>0</v>
      </c>
      <c r="F347" s="642">
        <v>0</v>
      </c>
      <c r="G347" s="642">
        <v>14.843815057329421</v>
      </c>
      <c r="H347" s="642">
        <v>0</v>
      </c>
      <c r="I347" s="642">
        <v>0</v>
      </c>
      <c r="J347" s="651">
        <v>12.357161229114668</v>
      </c>
      <c r="K347" s="651">
        <v>11.882304060636951</v>
      </c>
      <c r="L347" s="651">
        <v>0</v>
      </c>
      <c r="M347" s="651">
        <v>0.31804644322561132</v>
      </c>
      <c r="N347" s="651">
        <v>0</v>
      </c>
      <c r="O347" s="651">
        <v>2.0992086164963606</v>
      </c>
      <c r="P347" s="642">
        <v>0</v>
      </c>
      <c r="Q347" s="642">
        <v>-37.805081951347923</v>
      </c>
      <c r="R347" s="642">
        <v>0</v>
      </c>
      <c r="S347" s="650">
        <v>3.6954534554550835</v>
      </c>
      <c r="U347" s="648" t="s">
        <v>351</v>
      </c>
      <c r="V347" s="642">
        <v>0</v>
      </c>
      <c r="W347" s="642">
        <v>0</v>
      </c>
      <c r="X347" s="642">
        <v>0</v>
      </c>
      <c r="Y347" s="642">
        <v>6.4668066457611202</v>
      </c>
      <c r="Z347" s="642">
        <v>0</v>
      </c>
      <c r="AA347" s="642">
        <v>0</v>
      </c>
      <c r="AB347" s="651">
        <v>28.361573193229066</v>
      </c>
      <c r="AC347" s="651">
        <v>26.076316433417247</v>
      </c>
      <c r="AD347" s="651">
        <v>0</v>
      </c>
      <c r="AE347" s="651">
        <v>6.4819180878167435</v>
      </c>
      <c r="AF347" s="651">
        <v>0</v>
      </c>
      <c r="AG347" s="651">
        <v>12.550380584079129</v>
      </c>
      <c r="AH347" s="642">
        <v>0</v>
      </c>
      <c r="AI347" s="642">
        <v>-74.043519390541746</v>
      </c>
      <c r="AJ347" s="642">
        <v>0</v>
      </c>
      <c r="AK347" s="650">
        <v>5.8934755537615651</v>
      </c>
    </row>
    <row r="348" spans="3:37" ht="13.5">
      <c r="C348" s="648" t="s">
        <v>352</v>
      </c>
      <c r="D348" s="642">
        <v>0</v>
      </c>
      <c r="E348" s="642">
        <v>0</v>
      </c>
      <c r="F348" s="642">
        <v>0</v>
      </c>
      <c r="G348" s="642">
        <v>0</v>
      </c>
      <c r="H348" s="642">
        <v>0</v>
      </c>
      <c r="I348" s="642">
        <v>0</v>
      </c>
      <c r="J348" s="652">
        <v>6.8755991242523775</v>
      </c>
      <c r="K348" s="652">
        <v>0</v>
      </c>
      <c r="L348" s="652">
        <v>0</v>
      </c>
      <c r="M348" s="652">
        <v>-6.4200906822706569</v>
      </c>
      <c r="N348" s="652">
        <v>0</v>
      </c>
      <c r="O348" s="652">
        <v>0</v>
      </c>
      <c r="P348" s="642">
        <v>0</v>
      </c>
      <c r="Q348" s="642">
        <v>0</v>
      </c>
      <c r="R348" s="642">
        <v>0</v>
      </c>
      <c r="S348" s="650">
        <v>0.45550844198172058</v>
      </c>
      <c r="U348" s="648" t="s">
        <v>352</v>
      </c>
      <c r="V348" s="642">
        <v>0</v>
      </c>
      <c r="W348" s="642">
        <v>0</v>
      </c>
      <c r="X348" s="642">
        <v>0</v>
      </c>
      <c r="Y348" s="642">
        <v>0</v>
      </c>
      <c r="Z348" s="642">
        <v>0</v>
      </c>
      <c r="AA348" s="642">
        <v>0</v>
      </c>
      <c r="AB348" s="652">
        <v>86.654179241552072</v>
      </c>
      <c r="AC348" s="652">
        <v>0</v>
      </c>
      <c r="AD348" s="652">
        <v>0</v>
      </c>
      <c r="AE348" s="652">
        <v>-80.913339866799248</v>
      </c>
      <c r="AF348" s="652">
        <v>0</v>
      </c>
      <c r="AG348" s="652">
        <v>0</v>
      </c>
      <c r="AH348" s="642">
        <v>0</v>
      </c>
      <c r="AI348" s="642">
        <v>0</v>
      </c>
      <c r="AJ348" s="642">
        <v>0</v>
      </c>
      <c r="AK348" s="650">
        <v>5.7408393747528237</v>
      </c>
    </row>
    <row r="349" spans="3:37" ht="13.5">
      <c r="C349" s="648" t="s">
        <v>353</v>
      </c>
      <c r="D349" s="642">
        <v>0</v>
      </c>
      <c r="E349" s="642">
        <v>0</v>
      </c>
      <c r="F349" s="642">
        <v>0</v>
      </c>
      <c r="G349" s="642">
        <v>0</v>
      </c>
      <c r="H349" s="642">
        <v>0</v>
      </c>
      <c r="I349" s="642">
        <v>0</v>
      </c>
      <c r="J349" s="642">
        <v>0</v>
      </c>
      <c r="K349" s="642">
        <v>0</v>
      </c>
      <c r="L349" s="642">
        <v>0</v>
      </c>
      <c r="M349" s="642">
        <v>0</v>
      </c>
      <c r="N349" s="642">
        <v>0</v>
      </c>
      <c r="O349" s="642">
        <v>0</v>
      </c>
      <c r="P349" s="642">
        <v>0</v>
      </c>
      <c r="Q349" s="642">
        <v>0</v>
      </c>
      <c r="R349" s="642">
        <v>0</v>
      </c>
      <c r="S349" s="650">
        <v>0</v>
      </c>
      <c r="U349" s="648" t="s">
        <v>353</v>
      </c>
      <c r="V349" s="642">
        <v>0</v>
      </c>
      <c r="W349" s="642">
        <v>0</v>
      </c>
      <c r="X349" s="642">
        <v>0</v>
      </c>
      <c r="Y349" s="642">
        <v>0</v>
      </c>
      <c r="Z349" s="642">
        <v>0</v>
      </c>
      <c r="AA349" s="642">
        <v>0</v>
      </c>
      <c r="AB349" s="642">
        <v>0</v>
      </c>
      <c r="AC349" s="642">
        <v>0</v>
      </c>
      <c r="AD349" s="642">
        <v>0</v>
      </c>
      <c r="AE349" s="642">
        <v>0</v>
      </c>
      <c r="AF349" s="642">
        <v>0</v>
      </c>
      <c r="AG349" s="642">
        <v>0</v>
      </c>
      <c r="AH349" s="642">
        <v>0</v>
      </c>
      <c r="AI349" s="642">
        <v>0</v>
      </c>
      <c r="AJ349" s="642">
        <v>0</v>
      </c>
      <c r="AK349" s="650">
        <v>0</v>
      </c>
    </row>
    <row r="350" spans="3:37" ht="13.5">
      <c r="C350" s="648" t="s">
        <v>72</v>
      </c>
      <c r="D350" s="642">
        <v>0</v>
      </c>
      <c r="E350" s="642">
        <v>501.8858109321676</v>
      </c>
      <c r="F350" s="642">
        <v>-496.86695282284592</v>
      </c>
      <c r="G350" s="642">
        <v>0</v>
      </c>
      <c r="H350" s="642">
        <v>0</v>
      </c>
      <c r="I350" s="642">
        <v>0</v>
      </c>
      <c r="J350" s="642">
        <v>0</v>
      </c>
      <c r="K350" s="642">
        <v>0</v>
      </c>
      <c r="L350" s="642">
        <v>0</v>
      </c>
      <c r="M350" s="642">
        <v>0</v>
      </c>
      <c r="N350" s="642">
        <v>0</v>
      </c>
      <c r="O350" s="642">
        <v>0</v>
      </c>
      <c r="P350" s="642">
        <v>0</v>
      </c>
      <c r="Q350" s="642">
        <v>0</v>
      </c>
      <c r="R350" s="642">
        <v>0</v>
      </c>
      <c r="S350" s="650">
        <v>5.018858109321684</v>
      </c>
      <c r="U350" s="648" t="s">
        <v>72</v>
      </c>
      <c r="V350" s="642">
        <v>0</v>
      </c>
      <c r="W350" s="642">
        <v>196.75884188687598</v>
      </c>
      <c r="X350" s="642">
        <v>-194.79125346800723</v>
      </c>
      <c r="Y350" s="642">
        <v>0</v>
      </c>
      <c r="Z350" s="642">
        <v>0</v>
      </c>
      <c r="AA350" s="642">
        <v>0</v>
      </c>
      <c r="AB350" s="642">
        <v>0</v>
      </c>
      <c r="AC350" s="642">
        <v>0</v>
      </c>
      <c r="AD350" s="642">
        <v>0</v>
      </c>
      <c r="AE350" s="642">
        <v>0</v>
      </c>
      <c r="AF350" s="642">
        <v>0</v>
      </c>
      <c r="AG350" s="642">
        <v>0</v>
      </c>
      <c r="AH350" s="642">
        <v>0</v>
      </c>
      <c r="AI350" s="642">
        <v>0</v>
      </c>
      <c r="AJ350" s="642">
        <v>0</v>
      </c>
      <c r="AK350" s="650">
        <v>1.9675884188687576</v>
      </c>
    </row>
    <row r="351" spans="3:37" ht="13.5">
      <c r="C351" s="648" t="s">
        <v>354</v>
      </c>
      <c r="D351" s="642">
        <v>0</v>
      </c>
      <c r="E351" s="642">
        <v>0</v>
      </c>
      <c r="F351" s="642">
        <v>0</v>
      </c>
      <c r="G351" s="642">
        <v>0</v>
      </c>
      <c r="H351" s="642">
        <v>0</v>
      </c>
      <c r="I351" s="642">
        <v>0</v>
      </c>
      <c r="J351" s="642">
        <v>26.867608526350821</v>
      </c>
      <c r="K351" s="642">
        <v>0</v>
      </c>
      <c r="L351" s="642">
        <v>-26.867608526350821</v>
      </c>
      <c r="M351" s="642">
        <v>0</v>
      </c>
      <c r="N351" s="642">
        <v>0</v>
      </c>
      <c r="O351" s="642">
        <v>0</v>
      </c>
      <c r="P351" s="642">
        <v>0</v>
      </c>
      <c r="Q351" s="642">
        <v>0</v>
      </c>
      <c r="R351" s="642">
        <v>0</v>
      </c>
      <c r="S351" s="650">
        <v>0</v>
      </c>
      <c r="U351" s="648" t="s">
        <v>354</v>
      </c>
      <c r="V351" s="642">
        <v>0</v>
      </c>
      <c r="W351" s="642">
        <v>0</v>
      </c>
      <c r="X351" s="642">
        <v>0</v>
      </c>
      <c r="Y351" s="642">
        <v>0</v>
      </c>
      <c r="Z351" s="642">
        <v>0</v>
      </c>
      <c r="AA351" s="642">
        <v>0</v>
      </c>
      <c r="AB351" s="642" t="e">
        <v>#VALUE!</v>
      </c>
      <c r="AC351" s="642">
        <v>0</v>
      </c>
      <c r="AD351" s="642">
        <v>-99.513749603669936</v>
      </c>
      <c r="AE351" s="642">
        <v>0</v>
      </c>
      <c r="AF351" s="642">
        <v>0</v>
      </c>
      <c r="AG351" s="642">
        <v>0</v>
      </c>
      <c r="AH351" s="642">
        <v>0</v>
      </c>
      <c r="AI351" s="642">
        <v>0</v>
      </c>
      <c r="AJ351" s="642">
        <v>0</v>
      </c>
      <c r="AK351" s="650">
        <v>-99.513749603669936</v>
      </c>
    </row>
    <row r="352" spans="3:37" ht="13.5">
      <c r="C352" s="648" t="s">
        <v>355</v>
      </c>
      <c r="D352" s="642">
        <v>0</v>
      </c>
      <c r="E352" s="642">
        <v>0</v>
      </c>
      <c r="F352" s="642">
        <v>0</v>
      </c>
      <c r="G352" s="642">
        <v>0</v>
      </c>
      <c r="H352" s="642">
        <v>0</v>
      </c>
      <c r="I352" s="642">
        <v>0</v>
      </c>
      <c r="J352" s="642">
        <v>0</v>
      </c>
      <c r="K352" s="642">
        <v>0</v>
      </c>
      <c r="L352" s="642">
        <v>0</v>
      </c>
      <c r="M352" s="642">
        <v>0</v>
      </c>
      <c r="N352" s="642">
        <v>0</v>
      </c>
      <c r="O352" s="642">
        <v>0</v>
      </c>
      <c r="P352" s="642">
        <v>0</v>
      </c>
      <c r="Q352" s="642">
        <v>0</v>
      </c>
      <c r="R352" s="642">
        <v>0</v>
      </c>
      <c r="S352" s="650">
        <v>0</v>
      </c>
      <c r="U352" s="648" t="s">
        <v>355</v>
      </c>
      <c r="V352" s="642">
        <v>0</v>
      </c>
      <c r="W352" s="642">
        <v>0</v>
      </c>
      <c r="X352" s="642">
        <v>0</v>
      </c>
      <c r="Y352" s="642">
        <v>0</v>
      </c>
      <c r="Z352" s="642">
        <v>0</v>
      </c>
      <c r="AA352" s="642">
        <v>0</v>
      </c>
      <c r="AB352" s="642">
        <v>0</v>
      </c>
      <c r="AC352" s="642">
        <v>0</v>
      </c>
      <c r="AD352" s="642">
        <v>-17.985934640167208</v>
      </c>
      <c r="AE352" s="642">
        <v>0</v>
      </c>
      <c r="AF352" s="642">
        <v>0</v>
      </c>
      <c r="AG352" s="642">
        <v>0</v>
      </c>
      <c r="AH352" s="642">
        <v>0</v>
      </c>
      <c r="AI352" s="642">
        <v>0</v>
      </c>
      <c r="AJ352" s="642">
        <v>0</v>
      </c>
      <c r="AK352" s="650">
        <v>-17.985934640167208</v>
      </c>
    </row>
    <row r="353" spans="3:37" ht="13.5">
      <c r="C353" s="648" t="s">
        <v>73</v>
      </c>
      <c r="D353" s="642">
        <v>0</v>
      </c>
      <c r="E353" s="642">
        <v>0</v>
      </c>
      <c r="F353" s="642">
        <v>0</v>
      </c>
      <c r="G353" s="642">
        <v>7.0830222331165276</v>
      </c>
      <c r="H353" s="642">
        <v>0</v>
      </c>
      <c r="I353" s="642">
        <v>0</v>
      </c>
      <c r="J353" s="642">
        <v>0</v>
      </c>
      <c r="K353" s="642">
        <v>8.2131519400701847E-2</v>
      </c>
      <c r="L353" s="642">
        <v>0</v>
      </c>
      <c r="M353" s="642">
        <v>0.14455147414523528</v>
      </c>
      <c r="N353" s="642">
        <v>0</v>
      </c>
      <c r="O353" s="642">
        <v>0</v>
      </c>
      <c r="P353" s="642">
        <v>0.90023160054861806</v>
      </c>
      <c r="Q353" s="642">
        <v>0</v>
      </c>
      <c r="R353" s="642">
        <v>-5.7492063580491291</v>
      </c>
      <c r="S353" s="650">
        <v>2.4607304691619536</v>
      </c>
      <c r="U353" s="648" t="s">
        <v>73</v>
      </c>
      <c r="V353" s="642">
        <v>0</v>
      </c>
      <c r="W353" s="642">
        <v>0</v>
      </c>
      <c r="X353" s="642">
        <v>0</v>
      </c>
      <c r="Y353" s="642">
        <v>2.5209228009552263</v>
      </c>
      <c r="Z353" s="642">
        <v>0</v>
      </c>
      <c r="AA353" s="642">
        <v>0</v>
      </c>
      <c r="AB353" s="642">
        <v>0</v>
      </c>
      <c r="AC353" s="642">
        <v>0.50418456019104518</v>
      </c>
      <c r="AD353" s="642">
        <v>0</v>
      </c>
      <c r="AE353" s="642">
        <v>2.5209228009552263</v>
      </c>
      <c r="AF353" s="642">
        <v>0</v>
      </c>
      <c r="AG353" s="642">
        <v>0</v>
      </c>
      <c r="AH353" s="642">
        <v>44.712737508757456</v>
      </c>
      <c r="AI353" s="642">
        <v>0</v>
      </c>
      <c r="AJ353" s="642">
        <v>-35.29291921337316</v>
      </c>
      <c r="AK353" s="650">
        <v>14.965848457485791</v>
      </c>
    </row>
    <row r="354" spans="3:37" ht="13.5">
      <c r="C354" s="648" t="s">
        <v>356</v>
      </c>
      <c r="D354" s="642">
        <v>28.568314687499999</v>
      </c>
      <c r="E354" s="642">
        <v>-17.390343348799608</v>
      </c>
      <c r="F354" s="642">
        <v>22.745541936068136</v>
      </c>
      <c r="G354" s="642">
        <v>0</v>
      </c>
      <c r="H354" s="642">
        <v>0</v>
      </c>
      <c r="I354" s="642">
        <v>0</v>
      </c>
      <c r="J354" s="642">
        <v>0</v>
      </c>
      <c r="K354" s="642">
        <v>0</v>
      </c>
      <c r="L354" s="642">
        <v>0</v>
      </c>
      <c r="M354" s="642">
        <v>0</v>
      </c>
      <c r="N354" s="642">
        <v>0</v>
      </c>
      <c r="O354" s="642">
        <v>0</v>
      </c>
      <c r="P354" s="642">
        <v>0</v>
      </c>
      <c r="Q354" s="642">
        <v>0</v>
      </c>
      <c r="R354" s="642">
        <v>0</v>
      </c>
      <c r="S354" s="650">
        <v>33.923513274768524</v>
      </c>
      <c r="U354" s="648" t="s">
        <v>356</v>
      </c>
      <c r="V354" s="642">
        <v>1.4001075134277343</v>
      </c>
      <c r="W354" s="642">
        <v>-6.8176938713802535</v>
      </c>
      <c r="X354" s="642">
        <v>8.9171408952922331</v>
      </c>
      <c r="Y354" s="642">
        <v>0</v>
      </c>
      <c r="Z354" s="642">
        <v>0</v>
      </c>
      <c r="AA354" s="642">
        <v>0</v>
      </c>
      <c r="AB354" s="642">
        <v>0</v>
      </c>
      <c r="AC354" s="642">
        <v>0</v>
      </c>
      <c r="AD354" s="642">
        <v>0</v>
      </c>
      <c r="AE354" s="642">
        <v>0</v>
      </c>
      <c r="AF354" s="642">
        <v>0</v>
      </c>
      <c r="AG354" s="642">
        <v>0</v>
      </c>
      <c r="AH354" s="642">
        <v>0</v>
      </c>
      <c r="AI354" s="642">
        <v>0</v>
      </c>
      <c r="AJ354" s="642">
        <v>0</v>
      </c>
      <c r="AK354" s="650">
        <v>3.4995545373397139</v>
      </c>
    </row>
    <row r="355" spans="3:37" ht="13.5">
      <c r="C355" s="648" t="s">
        <v>75</v>
      </c>
      <c r="D355" s="642">
        <v>11.109900156250001</v>
      </c>
      <c r="E355" s="642">
        <v>0</v>
      </c>
      <c r="F355" s="642">
        <v>17.0641175716937</v>
      </c>
      <c r="G355" s="642">
        <v>4.8692961376638904</v>
      </c>
      <c r="H355" s="642">
        <v>0</v>
      </c>
      <c r="I355" s="642">
        <v>0</v>
      </c>
      <c r="J355" s="642">
        <v>0</v>
      </c>
      <c r="K355" s="642">
        <v>0</v>
      </c>
      <c r="L355" s="642">
        <v>0</v>
      </c>
      <c r="M355" s="642">
        <v>9.9373390564569189E-2</v>
      </c>
      <c r="N355" s="642">
        <v>0</v>
      </c>
      <c r="O355" s="642">
        <v>0</v>
      </c>
      <c r="P355" s="642">
        <v>27.977940148174714</v>
      </c>
      <c r="Q355" s="642">
        <v>0</v>
      </c>
      <c r="R355" s="642">
        <v>0</v>
      </c>
      <c r="S355" s="650">
        <v>61.12062740434687</v>
      </c>
      <c r="U355" s="648" t="s">
        <v>75</v>
      </c>
      <c r="V355" s="642">
        <v>2.585423095703125</v>
      </c>
      <c r="W355" s="642">
        <v>0</v>
      </c>
      <c r="X355" s="642">
        <v>17.0641175716937</v>
      </c>
      <c r="Y355" s="642">
        <v>2.4843347641142297</v>
      </c>
      <c r="Z355" s="642">
        <v>0</v>
      </c>
      <c r="AA355" s="642">
        <v>0</v>
      </c>
      <c r="AB355" s="642">
        <v>0</v>
      </c>
      <c r="AC355" s="642">
        <v>0</v>
      </c>
      <c r="AD355" s="642">
        <v>0</v>
      </c>
      <c r="AE355" s="642">
        <v>2.4843347641142297</v>
      </c>
      <c r="AF355" s="642">
        <v>0</v>
      </c>
      <c r="AG355" s="642">
        <v>0</v>
      </c>
      <c r="AH355" s="642">
        <v>36.559985602720168</v>
      </c>
      <c r="AI355" s="642">
        <v>0</v>
      </c>
      <c r="AJ355" s="642">
        <v>0</v>
      </c>
      <c r="AK355" s="650">
        <v>61.178195798345449</v>
      </c>
    </row>
    <row r="356" spans="3:37" ht="13.5">
      <c r="C356" s="648" t="s">
        <v>76</v>
      </c>
      <c r="D356" s="642">
        <v>0</v>
      </c>
      <c r="E356" s="642">
        <v>0</v>
      </c>
      <c r="F356" s="642">
        <v>0</v>
      </c>
      <c r="G356" s="642">
        <v>3.7302503173667452</v>
      </c>
      <c r="H356" s="642">
        <v>0</v>
      </c>
      <c r="I356" s="642">
        <v>0</v>
      </c>
      <c r="J356" s="642">
        <v>0</v>
      </c>
      <c r="K356" s="642">
        <v>0</v>
      </c>
      <c r="L356" s="642">
        <v>0</v>
      </c>
      <c r="M356" s="642">
        <v>7.6127557497280507E-2</v>
      </c>
      <c r="N356" s="642">
        <v>0</v>
      </c>
      <c r="O356" s="642">
        <v>0</v>
      </c>
      <c r="P356" s="642">
        <v>45.919010237367587</v>
      </c>
      <c r="Q356" s="642">
        <v>2.9343505562312622</v>
      </c>
      <c r="R356" s="642">
        <v>0</v>
      </c>
      <c r="S356" s="650">
        <v>52.659738668462872</v>
      </c>
      <c r="U356" s="648" t="s">
        <v>76</v>
      </c>
      <c r="V356" s="642">
        <v>0</v>
      </c>
      <c r="W356" s="642">
        <v>0</v>
      </c>
      <c r="X356" s="642">
        <v>0</v>
      </c>
      <c r="Y356" s="642">
        <v>0.95944671778813329</v>
      </c>
      <c r="Z356" s="642">
        <v>0</v>
      </c>
      <c r="AA356" s="642">
        <v>0</v>
      </c>
      <c r="AB356" s="642">
        <v>0</v>
      </c>
      <c r="AC356" s="642">
        <v>0</v>
      </c>
      <c r="AD356" s="642">
        <v>0</v>
      </c>
      <c r="AE356" s="642">
        <v>0.95944671778813329</v>
      </c>
      <c r="AF356" s="642">
        <v>0</v>
      </c>
      <c r="AG356" s="642">
        <v>0</v>
      </c>
      <c r="AH356" s="642">
        <v>49.138117436745475</v>
      </c>
      <c r="AI356" s="642">
        <v>5.7424951548403769</v>
      </c>
      <c r="AJ356" s="642">
        <v>0</v>
      </c>
      <c r="AK356" s="650">
        <v>56.799506027162117</v>
      </c>
    </row>
    <row r="357" spans="3:37" ht="13.5">
      <c r="C357" s="646" t="s">
        <v>77</v>
      </c>
      <c r="D357" s="647">
        <v>42.505000484775252</v>
      </c>
      <c r="E357" s="647">
        <v>484.495467583368</v>
      </c>
      <c r="F357" s="647">
        <v>-449.13421563675462</v>
      </c>
      <c r="G357" s="647">
        <v>47.207234809306371</v>
      </c>
      <c r="H357" s="647">
        <v>843.18181818181824</v>
      </c>
      <c r="I357" s="647">
        <v>306.94588327561422</v>
      </c>
      <c r="J357" s="647">
        <v>75.087544766016393</v>
      </c>
      <c r="K357" s="647">
        <v>18.554763704158422</v>
      </c>
      <c r="L357" s="647">
        <v>-23.523971773378101</v>
      </c>
      <c r="M357" s="647">
        <v>-5.3154503193453246</v>
      </c>
      <c r="N357" s="647">
        <v>0</v>
      </c>
      <c r="O357" s="647">
        <v>9.1176200722123912</v>
      </c>
      <c r="P357" s="647">
        <v>-542.13274839202359</v>
      </c>
      <c r="Q357" s="647">
        <v>-34.870731395116664</v>
      </c>
      <c r="R357" s="647">
        <v>-5.7492063580491291</v>
      </c>
      <c r="S357" s="647">
        <v>766.36900900260184</v>
      </c>
      <c r="U357" s="646" t="s">
        <v>77</v>
      </c>
      <c r="V357" s="647">
        <v>4.6118455145895494</v>
      </c>
      <c r="W357" s="647">
        <v>189.94114801549574</v>
      </c>
      <c r="X357" s="647">
        <v>-164.75055368632826</v>
      </c>
      <c r="Y357" s="647">
        <v>14.771936460533603</v>
      </c>
      <c r="Z357" s="647">
        <v>842.12121212121212</v>
      </c>
      <c r="AA357" s="647">
        <v>361.66588327561419</v>
      </c>
      <c r="AB357" s="647">
        <v>138.19810981289308</v>
      </c>
      <c r="AC357" s="647">
        <v>31.958068806629939</v>
      </c>
      <c r="AD357" s="647">
        <v>-114.15604749086444</v>
      </c>
      <c r="AE357" s="647">
        <v>-66.000175998632287</v>
      </c>
      <c r="AF357" s="647">
        <v>0</v>
      </c>
      <c r="AG357" s="647">
        <v>19.568792039795159</v>
      </c>
      <c r="AH357" s="647">
        <v>-532.33908982989124</v>
      </c>
      <c r="AI357" s="647">
        <v>-68.301024235701377</v>
      </c>
      <c r="AJ357" s="647">
        <v>-31.04291921337316</v>
      </c>
      <c r="AK357" s="647">
        <v>626.24718559197242</v>
      </c>
    </row>
    <row r="358" spans="3:37" ht="13">
      <c r="C358" s="636"/>
      <c r="D358" s="636">
        <v>0</v>
      </c>
      <c r="E358" s="636">
        <v>0</v>
      </c>
      <c r="F358" s="636">
        <v>0</v>
      </c>
      <c r="G358" s="636">
        <v>0</v>
      </c>
      <c r="H358" s="636">
        <v>0</v>
      </c>
      <c r="I358" s="636">
        <v>0</v>
      </c>
      <c r="J358" s="636">
        <v>0</v>
      </c>
      <c r="K358" s="636">
        <v>0</v>
      </c>
      <c r="L358" s="636">
        <v>0</v>
      </c>
      <c r="M358" s="636">
        <v>0</v>
      </c>
      <c r="N358" s="636">
        <v>0</v>
      </c>
      <c r="O358" s="636">
        <v>0</v>
      </c>
      <c r="P358" s="636">
        <v>0</v>
      </c>
      <c r="Q358" s="636">
        <v>0</v>
      </c>
      <c r="R358" s="636">
        <v>0</v>
      </c>
      <c r="S358" s="636">
        <v>0</v>
      </c>
      <c r="U358" s="636"/>
      <c r="V358" s="636">
        <v>0</v>
      </c>
      <c r="W358" s="636">
        <v>0</v>
      </c>
      <c r="X358" s="636">
        <v>0</v>
      </c>
      <c r="Y358" s="636">
        <v>0</v>
      </c>
      <c r="Z358" s="636">
        <v>0</v>
      </c>
      <c r="AA358" s="636">
        <v>0</v>
      </c>
      <c r="AB358" s="636">
        <v>0</v>
      </c>
      <c r="AC358" s="636">
        <v>0</v>
      </c>
      <c r="AD358" s="636">
        <v>0</v>
      </c>
      <c r="AE358" s="636">
        <v>0</v>
      </c>
      <c r="AF358" s="636">
        <v>0</v>
      </c>
      <c r="AG358" s="636">
        <v>0</v>
      </c>
      <c r="AH358" s="636">
        <v>0</v>
      </c>
      <c r="AI358" s="636">
        <v>0</v>
      </c>
      <c r="AJ358" s="636">
        <v>0</v>
      </c>
      <c r="AK358" s="636">
        <v>0</v>
      </c>
    </row>
    <row r="359" spans="3:37" ht="13.5">
      <c r="C359" s="648" t="s">
        <v>78</v>
      </c>
      <c r="D359" s="642">
        <v>4.6398193944555786</v>
      </c>
      <c r="E359" s="642">
        <v>0</v>
      </c>
      <c r="F359" s="642">
        <v>20.598782441852151</v>
      </c>
      <c r="G359" s="642">
        <v>94.839699954986926</v>
      </c>
      <c r="H359" s="642">
        <v>0</v>
      </c>
      <c r="I359" s="642">
        <v>0</v>
      </c>
      <c r="J359" s="642">
        <v>21.821162214793436</v>
      </c>
      <c r="K359" s="642">
        <v>1.7366010173968038</v>
      </c>
      <c r="L359" s="642">
        <v>0.96096945898437491</v>
      </c>
      <c r="M359" s="642">
        <v>1.9539169420126139</v>
      </c>
      <c r="N359" s="642">
        <v>0</v>
      </c>
      <c r="O359" s="642">
        <v>3.7537634069694789E-4</v>
      </c>
      <c r="P359" s="642">
        <v>113.419965125608</v>
      </c>
      <c r="Q359" s="642">
        <v>16.150451210263412</v>
      </c>
      <c r="R359" s="642">
        <v>0.26695886230468752</v>
      </c>
      <c r="S359" s="650">
        <v>276.38870199899873</v>
      </c>
      <c r="U359" s="648" t="s">
        <v>78</v>
      </c>
      <c r="V359" s="642">
        <v>1.264986561669641</v>
      </c>
      <c r="W359" s="642">
        <v>0</v>
      </c>
      <c r="X359" s="642">
        <v>4.4259635061357878</v>
      </c>
      <c r="Y359" s="642">
        <v>33.008089674756327</v>
      </c>
      <c r="Z359" s="642">
        <v>0</v>
      </c>
      <c r="AA359" s="642">
        <v>0</v>
      </c>
      <c r="AB359" s="642">
        <v>14.926911405045434</v>
      </c>
      <c r="AC359" s="642">
        <v>4.7591564459641997</v>
      </c>
      <c r="AD359" s="642">
        <v>6.4130046386718744</v>
      </c>
      <c r="AE359" s="642">
        <v>33.02650253605492</v>
      </c>
      <c r="AF359" s="642">
        <v>0</v>
      </c>
      <c r="AG359" s="642">
        <v>3.7537634069694789E-4</v>
      </c>
      <c r="AH359" s="642">
        <v>148.98135712801343</v>
      </c>
      <c r="AI359" s="642">
        <v>24.187634778338289</v>
      </c>
      <c r="AJ359" s="642">
        <v>7.9027373046875002</v>
      </c>
      <c r="AK359" s="650">
        <v>278.8967193556781</v>
      </c>
    </row>
    <row r="360" spans="3:37" ht="13.5">
      <c r="C360" s="648" t="s">
        <v>79</v>
      </c>
      <c r="D360" s="642">
        <v>0</v>
      </c>
      <c r="E360" s="642">
        <v>0</v>
      </c>
      <c r="F360" s="642">
        <v>225.72324837131151</v>
      </c>
      <c r="G360" s="642">
        <v>31.930807664827714</v>
      </c>
      <c r="H360" s="642">
        <v>0</v>
      </c>
      <c r="I360" s="642">
        <v>0</v>
      </c>
      <c r="J360" s="642">
        <v>0</v>
      </c>
      <c r="K360" s="642">
        <v>0</v>
      </c>
      <c r="L360" s="642">
        <v>21.777356740546686</v>
      </c>
      <c r="M360" s="642">
        <v>0.65164913601689212</v>
      </c>
      <c r="N360" s="642">
        <v>0</v>
      </c>
      <c r="O360" s="642">
        <v>0</v>
      </c>
      <c r="P360" s="642">
        <v>72.885841088882287</v>
      </c>
      <c r="Q360" s="642">
        <v>0</v>
      </c>
      <c r="R360" s="642">
        <v>2.6521266956987635</v>
      </c>
      <c r="S360" s="650">
        <v>355.62102969728386</v>
      </c>
      <c r="U360" s="648" t="s">
        <v>79</v>
      </c>
      <c r="V360" s="642">
        <v>0</v>
      </c>
      <c r="W360" s="642">
        <v>0</v>
      </c>
      <c r="X360" s="642">
        <v>19.003305935487372</v>
      </c>
      <c r="Y360" s="642">
        <v>13.267062862305856</v>
      </c>
      <c r="Z360" s="642">
        <v>0</v>
      </c>
      <c r="AA360" s="642">
        <v>0</v>
      </c>
      <c r="AB360" s="642">
        <v>0</v>
      </c>
      <c r="AC360" s="642">
        <v>0</v>
      </c>
      <c r="AD360" s="642">
        <v>27.757428454399612</v>
      </c>
      <c r="AE360" s="642">
        <v>13.267062862305856</v>
      </c>
      <c r="AF360" s="642">
        <v>0</v>
      </c>
      <c r="AG360" s="642">
        <v>0</v>
      </c>
      <c r="AH360" s="642">
        <v>94.556676700547257</v>
      </c>
      <c r="AI360" s="642">
        <v>0</v>
      </c>
      <c r="AJ360" s="642">
        <v>6.3130917169295051</v>
      </c>
      <c r="AK360" s="650">
        <v>174.16462853197544</v>
      </c>
    </row>
    <row r="361" spans="3:37" ht="13.5">
      <c r="C361" s="648" t="s">
        <v>80</v>
      </c>
      <c r="D361" s="642">
        <v>0</v>
      </c>
      <c r="E361" s="642">
        <v>0</v>
      </c>
      <c r="F361" s="642">
        <v>11.075929176351762</v>
      </c>
      <c r="G361" s="642">
        <v>76.664751333295058</v>
      </c>
      <c r="H361" s="642">
        <v>0</v>
      </c>
      <c r="I361" s="642">
        <v>0</v>
      </c>
      <c r="J361" s="642">
        <v>88.320247059496523</v>
      </c>
      <c r="K361" s="642">
        <v>0</v>
      </c>
      <c r="L361" s="642">
        <v>0</v>
      </c>
      <c r="M361" s="642">
        <v>1.5645867619039808</v>
      </c>
      <c r="N361" s="642">
        <v>59.616390446150973</v>
      </c>
      <c r="O361" s="642">
        <v>2.0734984243972754</v>
      </c>
      <c r="P361" s="642">
        <v>190.93239321884863</v>
      </c>
      <c r="Q361" s="642">
        <v>15.360003531773184</v>
      </c>
      <c r="R361" s="642">
        <v>0</v>
      </c>
      <c r="S361" s="650">
        <v>445.60779995221742</v>
      </c>
      <c r="U361" s="648" t="s">
        <v>80</v>
      </c>
      <c r="V361" s="642">
        <v>0</v>
      </c>
      <c r="W361" s="642">
        <v>0</v>
      </c>
      <c r="X361" s="642">
        <v>0.97925934500211753</v>
      </c>
      <c r="Y361" s="642">
        <v>9.8253088649292142</v>
      </c>
      <c r="Z361" s="642">
        <v>0</v>
      </c>
      <c r="AA361" s="642">
        <v>0</v>
      </c>
      <c r="AB361" s="642">
        <v>50.204880630535357</v>
      </c>
      <c r="AC361" s="642">
        <v>0</v>
      </c>
      <c r="AD361" s="642">
        <v>0</v>
      </c>
      <c r="AE361" s="642">
        <v>9.8253088649292142</v>
      </c>
      <c r="AF361" s="642">
        <v>95.02342184325245</v>
      </c>
      <c r="AG361" s="642">
        <v>4.208312775429496</v>
      </c>
      <c r="AH361" s="642">
        <v>144.38732956018927</v>
      </c>
      <c r="AI361" s="642">
        <v>30.75075127630511</v>
      </c>
      <c r="AJ361" s="642">
        <v>0</v>
      </c>
      <c r="AK361" s="650">
        <v>345.20457316057224</v>
      </c>
    </row>
    <row r="362" spans="3:37" ht="13.5">
      <c r="C362" s="648" t="s">
        <v>81</v>
      </c>
      <c r="D362" s="642">
        <v>0</v>
      </c>
      <c r="E362" s="642">
        <v>0</v>
      </c>
      <c r="F362" s="642">
        <v>2.6743117433405894</v>
      </c>
      <c r="G362" s="642">
        <v>62.987223173923248</v>
      </c>
      <c r="H362" s="642">
        <v>0</v>
      </c>
      <c r="I362" s="642">
        <v>0</v>
      </c>
      <c r="J362" s="642">
        <v>3.1384766478070549</v>
      </c>
      <c r="K362" s="642">
        <v>2.5274117631643136E-2</v>
      </c>
      <c r="L362" s="642">
        <v>0</v>
      </c>
      <c r="M362" s="642">
        <v>1.2854535341616988</v>
      </c>
      <c r="N362" s="642">
        <v>8.34801759276524</v>
      </c>
      <c r="O362" s="642">
        <v>0.71507622546549865</v>
      </c>
      <c r="P362" s="642">
        <v>142.0321146826426</v>
      </c>
      <c r="Q362" s="642">
        <v>3.3602766530800707</v>
      </c>
      <c r="R362" s="642">
        <v>0</v>
      </c>
      <c r="S362" s="650">
        <v>224.56622437081765</v>
      </c>
      <c r="U362" s="648" t="s">
        <v>81</v>
      </c>
      <c r="V362" s="642">
        <v>0</v>
      </c>
      <c r="W362" s="642">
        <v>0</v>
      </c>
      <c r="X362" s="642">
        <v>1.2256055704751125</v>
      </c>
      <c r="Y362" s="642">
        <v>7.2918833253665882</v>
      </c>
      <c r="Z362" s="642">
        <v>0</v>
      </c>
      <c r="AA362" s="642">
        <v>0</v>
      </c>
      <c r="AB362" s="642">
        <v>6.8658928642747856</v>
      </c>
      <c r="AC362" s="642">
        <v>2.5274117631643136E-2</v>
      </c>
      <c r="AD362" s="642">
        <v>0</v>
      </c>
      <c r="AE362" s="642">
        <v>7.2918833253665882</v>
      </c>
      <c r="AF362" s="642">
        <v>14.828462979838848</v>
      </c>
      <c r="AG362" s="642">
        <v>1.5197231438340593</v>
      </c>
      <c r="AH362" s="642">
        <v>114.40426288608282</v>
      </c>
      <c r="AI362" s="642">
        <v>13.362638181057982</v>
      </c>
      <c r="AJ362" s="642">
        <v>0</v>
      </c>
      <c r="AK362" s="650">
        <v>166.8156263939284</v>
      </c>
    </row>
    <row r="363" spans="3:37" ht="13.5">
      <c r="C363" s="648" t="s">
        <v>82</v>
      </c>
      <c r="D363" s="642">
        <v>0</v>
      </c>
      <c r="E363" s="642">
        <v>0</v>
      </c>
      <c r="F363" s="642">
        <v>27.931723909553636</v>
      </c>
      <c r="G363" s="642">
        <v>0.95472649492283324</v>
      </c>
      <c r="H363" s="642">
        <v>0</v>
      </c>
      <c r="I363" s="642">
        <v>0</v>
      </c>
      <c r="J363" s="642">
        <v>4.6306119511950978</v>
      </c>
      <c r="K363" s="642">
        <v>0</v>
      </c>
      <c r="L363" s="642">
        <v>3.1934862443619529</v>
      </c>
      <c r="M363" s="642">
        <v>1.9484214182098638E-2</v>
      </c>
      <c r="N363" s="642">
        <v>0</v>
      </c>
      <c r="O363" s="642">
        <v>6.6456137421005312E-2</v>
      </c>
      <c r="P363" s="642">
        <v>5.7660712732306445</v>
      </c>
      <c r="Q363" s="642">
        <v>0</v>
      </c>
      <c r="R363" s="642">
        <v>0</v>
      </c>
      <c r="S363" s="650">
        <v>42.562560224867276</v>
      </c>
      <c r="U363" s="648" t="s">
        <v>82</v>
      </c>
      <c r="V363" s="642">
        <v>0</v>
      </c>
      <c r="W363" s="642">
        <v>0</v>
      </c>
      <c r="X363" s="642">
        <v>3.5775053425595864</v>
      </c>
      <c r="Y363" s="642">
        <v>0.56393102033742082</v>
      </c>
      <c r="Z363" s="642">
        <v>0</v>
      </c>
      <c r="AA363" s="642">
        <v>0</v>
      </c>
      <c r="AB363" s="642">
        <v>4.6306119511950978</v>
      </c>
      <c r="AC363" s="642">
        <v>0</v>
      </c>
      <c r="AD363" s="642">
        <v>32.861113305842508</v>
      </c>
      <c r="AE363" s="642">
        <v>0.56393102033742082</v>
      </c>
      <c r="AF363" s="642">
        <v>0</v>
      </c>
      <c r="AG363" s="642">
        <v>1.7440136932478227</v>
      </c>
      <c r="AH363" s="642">
        <v>5.8866318405152116</v>
      </c>
      <c r="AI363" s="642">
        <v>0</v>
      </c>
      <c r="AJ363" s="642">
        <v>0.38427420359697795</v>
      </c>
      <c r="AK363" s="650">
        <v>50.21201237763205</v>
      </c>
    </row>
    <row r="364" spans="3:37" ht="13.5">
      <c r="C364" s="648" t="s">
        <v>357</v>
      </c>
      <c r="D364" s="642">
        <v>0</v>
      </c>
      <c r="E364" s="642">
        <v>0</v>
      </c>
      <c r="F364" s="642">
        <v>0</v>
      </c>
      <c r="G364" s="642">
        <v>0</v>
      </c>
      <c r="H364" s="642">
        <v>0</v>
      </c>
      <c r="I364" s="642">
        <v>0</v>
      </c>
      <c r="J364" s="642">
        <v>0</v>
      </c>
      <c r="K364" s="642">
        <v>0</v>
      </c>
      <c r="L364" s="642">
        <v>0</v>
      </c>
      <c r="M364" s="642">
        <v>0</v>
      </c>
      <c r="N364" s="642">
        <v>0</v>
      </c>
      <c r="O364" s="642">
        <v>0</v>
      </c>
      <c r="P364" s="642">
        <v>0.39</v>
      </c>
      <c r="Q364" s="642">
        <v>0</v>
      </c>
      <c r="R364" s="642">
        <v>0</v>
      </c>
      <c r="S364" s="650">
        <v>0.39</v>
      </c>
      <c r="U364" s="648" t="s">
        <v>357</v>
      </c>
      <c r="V364" s="642">
        <v>0</v>
      </c>
      <c r="W364" s="642">
        <v>0</v>
      </c>
      <c r="X364" s="642">
        <v>0</v>
      </c>
      <c r="Y364" s="642">
        <v>0</v>
      </c>
      <c r="Z364" s="642">
        <v>0</v>
      </c>
      <c r="AA364" s="642">
        <v>0</v>
      </c>
      <c r="AB364" s="642">
        <v>0</v>
      </c>
      <c r="AC364" s="642">
        <v>0</v>
      </c>
      <c r="AD364" s="642">
        <v>0</v>
      </c>
      <c r="AE364" s="642">
        <v>0</v>
      </c>
      <c r="AF364" s="642">
        <v>0</v>
      </c>
      <c r="AG364" s="642">
        <v>0</v>
      </c>
      <c r="AH364" s="642">
        <v>3.5999999999999996</v>
      </c>
      <c r="AI364" s="642">
        <v>0</v>
      </c>
      <c r="AJ364" s="642">
        <v>0</v>
      </c>
      <c r="AK364" s="650">
        <v>3.5999999999999996</v>
      </c>
    </row>
    <row r="365" spans="3:37" ht="13.5">
      <c r="C365" s="646" t="s">
        <v>83</v>
      </c>
      <c r="D365" s="647">
        <v>4.6398193944555786</v>
      </c>
      <c r="E365" s="647">
        <v>0</v>
      </c>
      <c r="F365" s="647">
        <v>288.00399564240968</v>
      </c>
      <c r="G365" s="647">
        <v>267.37720862195579</v>
      </c>
      <c r="H365" s="647">
        <v>0</v>
      </c>
      <c r="I365" s="647">
        <v>0</v>
      </c>
      <c r="J365" s="647">
        <v>117.91049787329212</v>
      </c>
      <c r="K365" s="647">
        <v>1.7618751350284469</v>
      </c>
      <c r="L365" s="647">
        <v>25.931812443893016</v>
      </c>
      <c r="M365" s="647">
        <v>5.4750905882772853</v>
      </c>
      <c r="N365" s="647">
        <v>67.964408038916218</v>
      </c>
      <c r="O365" s="647">
        <v>2.8554061636244761</v>
      </c>
      <c r="P365" s="647">
        <v>525.4263853892121</v>
      </c>
      <c r="Q365" s="647">
        <v>34.870731395116664</v>
      </c>
      <c r="R365" s="647">
        <v>2.9190855580034509</v>
      </c>
      <c r="S365" s="647">
        <v>1345.1363162441851</v>
      </c>
      <c r="U365" s="646" t="s">
        <v>83</v>
      </c>
      <c r="V365" s="647">
        <v>1.264986561669641</v>
      </c>
      <c r="W365" s="647">
        <v>0</v>
      </c>
      <c r="X365" s="647">
        <v>29.211639699659976</v>
      </c>
      <c r="Y365" s="647">
        <v>63.956275747695408</v>
      </c>
      <c r="Z365" s="647">
        <v>0</v>
      </c>
      <c r="AA365" s="647">
        <v>0</v>
      </c>
      <c r="AB365" s="647">
        <v>76.628296851050663</v>
      </c>
      <c r="AC365" s="647">
        <v>4.7844305635958433</v>
      </c>
      <c r="AD365" s="647">
        <v>67.031546398914003</v>
      </c>
      <c r="AE365" s="647">
        <v>63.974688608994001</v>
      </c>
      <c r="AF365" s="647">
        <v>109.8518848230913</v>
      </c>
      <c r="AG365" s="647">
        <v>7.4724249888520751</v>
      </c>
      <c r="AH365" s="647">
        <v>511.81625811534803</v>
      </c>
      <c r="AI365" s="647">
        <v>68.301024235701377</v>
      </c>
      <c r="AJ365" s="647">
        <v>14.600103225213982</v>
      </c>
      <c r="AK365" s="647">
        <v>1018.8935598197862</v>
      </c>
    </row>
    <row r="366" spans="3:37" ht="13.5">
      <c r="C366" s="641" t="s">
        <v>84</v>
      </c>
      <c r="D366" s="642">
        <v>0</v>
      </c>
      <c r="E366" s="642">
        <v>0</v>
      </c>
      <c r="F366" s="642">
        <v>104.91003257681685</v>
      </c>
      <c r="G366" s="642">
        <v>11.505661507854215</v>
      </c>
      <c r="H366" s="642">
        <v>0</v>
      </c>
      <c r="I366" s="642">
        <v>0</v>
      </c>
      <c r="J366" s="642">
        <v>0</v>
      </c>
      <c r="K366" s="642">
        <v>0</v>
      </c>
      <c r="L366" s="642">
        <v>0</v>
      </c>
      <c r="M366" s="642">
        <v>0</v>
      </c>
      <c r="N366" s="642">
        <v>0</v>
      </c>
      <c r="O366" s="642">
        <v>0</v>
      </c>
      <c r="P366" s="642">
        <v>0</v>
      </c>
      <c r="Q366" s="642">
        <v>0</v>
      </c>
      <c r="R366" s="642">
        <v>2.8301208000456781</v>
      </c>
      <c r="S366" s="650">
        <v>119.24581488471674</v>
      </c>
      <c r="U366" s="641" t="s">
        <v>84</v>
      </c>
      <c r="V366" s="642">
        <v>0</v>
      </c>
      <c r="W366" s="642">
        <v>0</v>
      </c>
      <c r="X366" s="642">
        <v>70.401025384734808</v>
      </c>
      <c r="Y366" s="642">
        <v>0.81519182748409058</v>
      </c>
      <c r="Z366" s="642">
        <v>0</v>
      </c>
      <c r="AA366" s="642">
        <v>0</v>
      </c>
      <c r="AB366" s="642">
        <v>0</v>
      </c>
      <c r="AC366" s="642">
        <v>0</v>
      </c>
      <c r="AD366" s="642">
        <v>24.563190847778323</v>
      </c>
      <c r="AE366" s="642">
        <v>0</v>
      </c>
      <c r="AF366" s="642">
        <v>0</v>
      </c>
      <c r="AG366" s="642">
        <v>0</v>
      </c>
      <c r="AH366" s="642">
        <v>0</v>
      </c>
      <c r="AI366" s="642">
        <v>0</v>
      </c>
      <c r="AJ366" s="642">
        <v>16.442815988159179</v>
      </c>
      <c r="AK366" s="650">
        <v>112.22222404815641</v>
      </c>
    </row>
    <row r="367" spans="3:37" ht="13.5">
      <c r="C367" s="646" t="s">
        <v>85</v>
      </c>
      <c r="D367" s="647">
        <v>4.6398193944555786</v>
      </c>
      <c r="E367" s="647">
        <v>0</v>
      </c>
      <c r="F367" s="647">
        <v>392.91402821922651</v>
      </c>
      <c r="G367" s="647">
        <v>278.88287012980999</v>
      </c>
      <c r="H367" s="647">
        <v>0</v>
      </c>
      <c r="I367" s="647">
        <v>0</v>
      </c>
      <c r="J367" s="647">
        <v>117.91049787329212</v>
      </c>
      <c r="K367" s="647">
        <v>1.7618751350284469</v>
      </c>
      <c r="L367" s="647">
        <v>25.931812443893016</v>
      </c>
      <c r="M367" s="647">
        <v>5.4750905882772853</v>
      </c>
      <c r="N367" s="647">
        <v>67.964408038916218</v>
      </c>
      <c r="O367" s="647">
        <v>2.8554061636244761</v>
      </c>
      <c r="P367" s="647">
        <v>525.4263853892121</v>
      </c>
      <c r="Q367" s="647">
        <v>34.870731395116664</v>
      </c>
      <c r="R367" s="647">
        <v>5.7492063580491291</v>
      </c>
      <c r="S367" s="647">
        <v>1464.3821311289018</v>
      </c>
      <c r="U367" s="646" t="s">
        <v>85</v>
      </c>
      <c r="V367" s="647">
        <v>1.264986561669641</v>
      </c>
      <c r="W367" s="647">
        <v>0</v>
      </c>
      <c r="X367" s="647">
        <v>99.612665084394791</v>
      </c>
      <c r="Y367" s="647">
        <v>64.7714675751795</v>
      </c>
      <c r="Z367" s="647">
        <v>0</v>
      </c>
      <c r="AA367" s="647">
        <v>0</v>
      </c>
      <c r="AB367" s="647">
        <v>76.628296851050663</v>
      </c>
      <c r="AC367" s="647">
        <v>4.7844305635958433</v>
      </c>
      <c r="AD367" s="647">
        <v>91.594737246692318</v>
      </c>
      <c r="AE367" s="647">
        <v>63.974688608994001</v>
      </c>
      <c r="AF367" s="647">
        <v>109.8518848230913</v>
      </c>
      <c r="AG367" s="647">
        <v>7.4724249888520751</v>
      </c>
      <c r="AH367" s="647">
        <v>511.81625811534803</v>
      </c>
      <c r="AI367" s="647">
        <v>68.301024235701377</v>
      </c>
      <c r="AJ367" s="647">
        <v>31.04291921337316</v>
      </c>
      <c r="AK367" s="647">
        <v>1131.1157838679426</v>
      </c>
    </row>
    <row r="368" spans="3:37" ht="13">
      <c r="C368" s="636"/>
      <c r="D368" s="636"/>
      <c r="E368" s="636"/>
      <c r="F368" s="636"/>
      <c r="G368" s="636"/>
      <c r="H368" s="636"/>
      <c r="I368" s="636"/>
      <c r="J368" s="636"/>
      <c r="K368" s="636"/>
      <c r="L368" s="636"/>
      <c r="M368" s="636"/>
      <c r="N368" s="636"/>
      <c r="O368" s="636"/>
      <c r="P368" s="636"/>
      <c r="Q368" s="636"/>
      <c r="R368" s="636"/>
      <c r="S368" s="636"/>
      <c r="U368" s="636"/>
      <c r="V368" s="636"/>
      <c r="W368" s="636"/>
      <c r="X368" s="636"/>
      <c r="Y368" s="636"/>
      <c r="Z368" s="636"/>
      <c r="AA368" s="636"/>
      <c r="AB368" s="636"/>
      <c r="AC368" s="636"/>
      <c r="AD368" s="636"/>
      <c r="AE368" s="636"/>
      <c r="AF368" s="636"/>
      <c r="AG368" s="636"/>
      <c r="AH368" s="636"/>
      <c r="AI368" s="636"/>
      <c r="AJ368" s="636"/>
      <c r="AK368" s="636"/>
    </row>
    <row r="369" spans="3:37" ht="22.5">
      <c r="C369" s="699" t="s">
        <v>89</v>
      </c>
      <c r="D369" s="699"/>
      <c r="E369" s="699"/>
      <c r="F369" s="699"/>
      <c r="G369" s="699"/>
      <c r="H369" s="699"/>
      <c r="I369" s="699"/>
      <c r="J369" s="699"/>
      <c r="K369" s="699"/>
      <c r="L369" s="699"/>
      <c r="M369" s="699"/>
      <c r="N369" s="699"/>
      <c r="O369" s="699"/>
      <c r="P369" s="699"/>
      <c r="Q369" s="699"/>
      <c r="R369" s="699"/>
      <c r="S369" s="699"/>
      <c r="U369" s="699" t="s">
        <v>89</v>
      </c>
      <c r="V369" s="699"/>
      <c r="W369" s="699"/>
      <c r="X369" s="699"/>
      <c r="Y369" s="699"/>
      <c r="Z369" s="699"/>
      <c r="AA369" s="699"/>
      <c r="AB369" s="699"/>
      <c r="AC369" s="699"/>
      <c r="AD369" s="699"/>
      <c r="AE369" s="699"/>
      <c r="AF369" s="699"/>
      <c r="AG369" s="699"/>
      <c r="AH369" s="699"/>
      <c r="AI369" s="699"/>
      <c r="AJ369" s="699"/>
      <c r="AK369" s="699"/>
    </row>
    <row r="370" spans="3:37" ht="13">
      <c r="C370" s="636"/>
      <c r="D370" s="636"/>
      <c r="E370" s="636"/>
      <c r="F370" s="636"/>
      <c r="G370" s="636"/>
      <c r="H370" s="636"/>
      <c r="I370" s="636"/>
      <c r="J370" s="636"/>
      <c r="K370" s="636"/>
      <c r="L370" s="636"/>
      <c r="M370" s="636"/>
      <c r="N370" s="636"/>
      <c r="O370" s="636"/>
      <c r="P370" s="636"/>
      <c r="Q370" s="636"/>
      <c r="R370" s="636"/>
      <c r="S370" s="636"/>
      <c r="U370" s="636"/>
      <c r="V370" s="636"/>
      <c r="W370" s="636"/>
      <c r="X370" s="636"/>
      <c r="Y370" s="636"/>
      <c r="Z370" s="636"/>
      <c r="AA370" s="636"/>
      <c r="AB370" s="636"/>
      <c r="AC370" s="636"/>
      <c r="AD370" s="636"/>
      <c r="AE370" s="636"/>
      <c r="AF370" s="636"/>
      <c r="AG370" s="636"/>
      <c r="AH370" s="636"/>
      <c r="AI370" s="636"/>
      <c r="AJ370" s="636"/>
      <c r="AK370" s="636"/>
    </row>
    <row r="371" spans="3:37" ht="13" customHeight="1">
      <c r="C371" s="700" t="s">
        <v>128</v>
      </c>
      <c r="D371" s="701" t="s">
        <v>42</v>
      </c>
      <c r="E371" s="701" t="s">
        <v>52</v>
      </c>
      <c r="F371" s="701" t="s">
        <v>53</v>
      </c>
      <c r="G371" s="701" t="s">
        <v>32</v>
      </c>
      <c r="H371" s="701" t="s">
        <v>20</v>
      </c>
      <c r="I371" s="701" t="s">
        <v>55</v>
      </c>
      <c r="J371" s="701" t="s">
        <v>56</v>
      </c>
      <c r="K371" s="701"/>
      <c r="L371" s="701"/>
      <c r="M371" s="701"/>
      <c r="N371" s="701"/>
      <c r="O371" s="701"/>
      <c r="P371" s="701" t="s">
        <v>57</v>
      </c>
      <c r="Q371" s="701" t="s">
        <v>58</v>
      </c>
      <c r="R371" s="701" t="s">
        <v>31</v>
      </c>
      <c r="S371" s="701" t="s">
        <v>10</v>
      </c>
      <c r="U371" s="700" t="s">
        <v>128</v>
      </c>
      <c r="V371" s="701" t="s">
        <v>42</v>
      </c>
      <c r="W371" s="701" t="s">
        <v>52</v>
      </c>
      <c r="X371" s="701" t="s">
        <v>53</v>
      </c>
      <c r="Y371" s="701" t="s">
        <v>32</v>
      </c>
      <c r="Z371" s="701" t="s">
        <v>20</v>
      </c>
      <c r="AA371" s="701" t="s">
        <v>55</v>
      </c>
      <c r="AB371" s="701" t="s">
        <v>56</v>
      </c>
      <c r="AC371" s="701"/>
      <c r="AD371" s="701"/>
      <c r="AE371" s="701"/>
      <c r="AF371" s="701"/>
      <c r="AG371" s="701"/>
      <c r="AH371" s="701" t="s">
        <v>57</v>
      </c>
      <c r="AI371" s="701" t="s">
        <v>58</v>
      </c>
      <c r="AJ371" s="701" t="s">
        <v>31</v>
      </c>
      <c r="AK371" s="701" t="s">
        <v>10</v>
      </c>
    </row>
    <row r="372" spans="3:37" ht="46">
      <c r="C372" s="700"/>
      <c r="D372" s="701"/>
      <c r="E372" s="701"/>
      <c r="F372" s="701"/>
      <c r="G372" s="701"/>
      <c r="H372" s="701"/>
      <c r="I372" s="701"/>
      <c r="J372" s="640" t="s">
        <v>338</v>
      </c>
      <c r="K372" s="640" t="s">
        <v>40</v>
      </c>
      <c r="L372" s="640" t="s">
        <v>346</v>
      </c>
      <c r="M372" s="640" t="s">
        <v>347</v>
      </c>
      <c r="N372" s="640" t="s">
        <v>348</v>
      </c>
      <c r="O372" s="640" t="s">
        <v>349</v>
      </c>
      <c r="P372" s="701"/>
      <c r="Q372" s="701"/>
      <c r="R372" s="701"/>
      <c r="S372" s="701"/>
      <c r="U372" s="700"/>
      <c r="V372" s="701"/>
      <c r="W372" s="701"/>
      <c r="X372" s="701"/>
      <c r="Y372" s="701"/>
      <c r="Z372" s="701"/>
      <c r="AA372" s="701"/>
      <c r="AB372" s="640" t="s">
        <v>338</v>
      </c>
      <c r="AC372" s="640" t="s">
        <v>40</v>
      </c>
      <c r="AD372" s="640" t="s">
        <v>346</v>
      </c>
      <c r="AE372" s="640" t="s">
        <v>347</v>
      </c>
      <c r="AF372" s="640" t="s">
        <v>348</v>
      </c>
      <c r="AG372" s="640" t="s">
        <v>349</v>
      </c>
      <c r="AH372" s="701"/>
      <c r="AI372" s="701"/>
      <c r="AJ372" s="701"/>
      <c r="AK372" s="701"/>
    </row>
    <row r="373" spans="3:37" ht="13.5">
      <c r="C373" s="641" t="s">
        <v>59</v>
      </c>
      <c r="D373" s="642">
        <v>0</v>
      </c>
      <c r="E373" s="643">
        <v>0</v>
      </c>
      <c r="F373" s="643">
        <v>0</v>
      </c>
      <c r="G373" s="642">
        <v>0</v>
      </c>
      <c r="H373" s="643">
        <v>727.27272727272737</v>
      </c>
      <c r="I373" s="643">
        <v>338.37995078139568</v>
      </c>
      <c r="J373" s="643">
        <v>185.12606679296266</v>
      </c>
      <c r="K373" s="643">
        <v>19.887492227897642</v>
      </c>
      <c r="L373" s="643">
        <v>0.67629573379861951</v>
      </c>
      <c r="M373" s="643">
        <v>0.16041590589481752</v>
      </c>
      <c r="N373" s="643">
        <v>75.083762899489528</v>
      </c>
      <c r="O373" s="643">
        <v>12.515766779598991</v>
      </c>
      <c r="P373" s="644">
        <v>0</v>
      </c>
      <c r="Q373" s="643">
        <v>0</v>
      </c>
      <c r="R373" s="643">
        <v>0</v>
      </c>
      <c r="S373" s="645">
        <v>1359.1024783937653</v>
      </c>
      <c r="U373" s="641" t="s">
        <v>59</v>
      </c>
      <c r="V373" s="642">
        <v>0</v>
      </c>
      <c r="W373" s="643">
        <v>0</v>
      </c>
      <c r="X373" s="643">
        <v>0</v>
      </c>
      <c r="Y373" s="642">
        <v>0</v>
      </c>
      <c r="Z373" s="643">
        <v>764.84848484848499</v>
      </c>
      <c r="AA373" s="643">
        <v>423.19995078139567</v>
      </c>
      <c r="AB373" s="643">
        <v>256.09062969225096</v>
      </c>
      <c r="AC373" s="643">
        <v>36.108430969743218</v>
      </c>
      <c r="AD373" s="643">
        <v>0.67629573379861951</v>
      </c>
      <c r="AE373" s="643">
        <v>0.16041590589481752</v>
      </c>
      <c r="AF373" s="643">
        <v>123.16818516374138</v>
      </c>
      <c r="AG373" s="643">
        <v>30.250193334526926</v>
      </c>
      <c r="AH373" s="644">
        <v>0</v>
      </c>
      <c r="AI373" s="643">
        <v>0</v>
      </c>
      <c r="AJ373" s="643">
        <v>0</v>
      </c>
      <c r="AK373" s="645">
        <v>1634.5025864298366</v>
      </c>
    </row>
    <row r="374" spans="3:37" ht="13.5">
      <c r="C374" s="641" t="s">
        <v>60</v>
      </c>
      <c r="D374" s="642">
        <v>46.099891323621534</v>
      </c>
      <c r="E374" s="643">
        <v>464.7986487</v>
      </c>
      <c r="F374" s="643">
        <v>48.534128715927544</v>
      </c>
      <c r="G374" s="642">
        <v>345.55093723566335</v>
      </c>
      <c r="H374" s="643">
        <v>0</v>
      </c>
      <c r="I374" s="643">
        <v>0</v>
      </c>
      <c r="J374" s="643">
        <v>5.7213435879484642</v>
      </c>
      <c r="K374" s="643">
        <v>0</v>
      </c>
      <c r="L374" s="643">
        <v>3.0565993326094723</v>
      </c>
      <c r="M374" s="643">
        <v>0</v>
      </c>
      <c r="N374" s="643">
        <v>0</v>
      </c>
      <c r="O374" s="643">
        <v>0</v>
      </c>
      <c r="P374" s="644">
        <v>0</v>
      </c>
      <c r="Q374" s="643">
        <v>0</v>
      </c>
      <c r="R374" s="643">
        <v>0</v>
      </c>
      <c r="S374" s="645">
        <v>913.76154889577037</v>
      </c>
      <c r="U374" s="641" t="s">
        <v>60</v>
      </c>
      <c r="V374" s="642">
        <v>4.5871215860372576</v>
      </c>
      <c r="W374" s="643">
        <v>113.59926767676768</v>
      </c>
      <c r="X374" s="643">
        <v>20.138935454909394</v>
      </c>
      <c r="Y374" s="642">
        <v>0.51452681198611927</v>
      </c>
      <c r="Z374" s="643">
        <v>0</v>
      </c>
      <c r="AA374" s="643">
        <v>0</v>
      </c>
      <c r="AB374" s="643">
        <v>5.7213435879484642</v>
      </c>
      <c r="AC374" s="643">
        <v>0</v>
      </c>
      <c r="AD374" s="643">
        <v>3.0565993326094723</v>
      </c>
      <c r="AE374" s="643">
        <v>0</v>
      </c>
      <c r="AF374" s="643">
        <v>0</v>
      </c>
      <c r="AG374" s="643">
        <v>0</v>
      </c>
      <c r="AH374" s="644">
        <v>0</v>
      </c>
      <c r="AI374" s="643">
        <v>0</v>
      </c>
      <c r="AJ374" s="643">
        <v>0</v>
      </c>
      <c r="AK374" s="645">
        <v>147.6177944502584</v>
      </c>
    </row>
    <row r="375" spans="3:37" ht="13.5">
      <c r="C375" s="641" t="s">
        <v>61</v>
      </c>
      <c r="D375" s="642">
        <v>0</v>
      </c>
      <c r="E375" s="643">
        <v>0</v>
      </c>
      <c r="F375" s="643">
        <v>0</v>
      </c>
      <c r="G375" s="642">
        <v>0</v>
      </c>
      <c r="H375" s="643">
        <v>0</v>
      </c>
      <c r="I375" s="643">
        <v>0</v>
      </c>
      <c r="J375" s="643">
        <v>0</v>
      </c>
      <c r="K375" s="643">
        <v>0</v>
      </c>
      <c r="L375" s="643">
        <v>0</v>
      </c>
      <c r="M375" s="643">
        <v>0</v>
      </c>
      <c r="N375" s="643">
        <v>0</v>
      </c>
      <c r="O375" s="643">
        <v>0</v>
      </c>
      <c r="P375" s="644">
        <v>-12.7985093299136</v>
      </c>
      <c r="Q375" s="643">
        <v>0</v>
      </c>
      <c r="R375" s="643">
        <v>0</v>
      </c>
      <c r="S375" s="645">
        <v>-12.7985093299136</v>
      </c>
      <c r="U375" s="641" t="s">
        <v>61</v>
      </c>
      <c r="V375" s="642">
        <v>0</v>
      </c>
      <c r="W375" s="643">
        <v>0</v>
      </c>
      <c r="X375" s="643">
        <v>0</v>
      </c>
      <c r="Y375" s="642">
        <v>0</v>
      </c>
      <c r="Z375" s="643">
        <v>0</v>
      </c>
      <c r="AA375" s="643">
        <v>0</v>
      </c>
      <c r="AB375" s="643">
        <v>0</v>
      </c>
      <c r="AC375" s="643">
        <v>0</v>
      </c>
      <c r="AD375" s="643">
        <v>0</v>
      </c>
      <c r="AE375" s="643">
        <v>0</v>
      </c>
      <c r="AF375" s="643">
        <v>0</v>
      </c>
      <c r="AG375" s="643">
        <v>0</v>
      </c>
      <c r="AH375" s="644">
        <v>-41.639986107117011</v>
      </c>
      <c r="AI375" s="643">
        <v>0</v>
      </c>
      <c r="AJ375" s="643">
        <v>0</v>
      </c>
      <c r="AK375" s="645">
        <v>-41.639986107117011</v>
      </c>
    </row>
    <row r="376" spans="3:37" ht="13.5">
      <c r="C376" s="641" t="s">
        <v>62</v>
      </c>
      <c r="D376" s="642">
        <v>0</v>
      </c>
      <c r="E376" s="643">
        <v>0</v>
      </c>
      <c r="F376" s="643">
        <v>-14.431507774067331</v>
      </c>
      <c r="G376" s="642">
        <v>0</v>
      </c>
      <c r="H376" s="643">
        <v>0</v>
      </c>
      <c r="I376" s="643">
        <v>0</v>
      </c>
      <c r="J376" s="643">
        <v>0</v>
      </c>
      <c r="K376" s="643">
        <v>0</v>
      </c>
      <c r="L376" s="643">
        <v>0</v>
      </c>
      <c r="M376" s="643">
        <v>0</v>
      </c>
      <c r="N376" s="643">
        <v>0</v>
      </c>
      <c r="O376" s="643">
        <v>0</v>
      </c>
      <c r="P376" s="644">
        <v>0</v>
      </c>
      <c r="Q376" s="643">
        <v>0</v>
      </c>
      <c r="R376" s="643">
        <v>0</v>
      </c>
      <c r="S376" s="645">
        <v>-14.431507774067331</v>
      </c>
      <c r="U376" s="641" t="s">
        <v>62</v>
      </c>
      <c r="V376" s="642">
        <v>0</v>
      </c>
      <c r="W376" s="643">
        <v>0</v>
      </c>
      <c r="X376" s="643">
        <v>-5.3013702027186111</v>
      </c>
      <c r="Y376" s="642">
        <v>0</v>
      </c>
      <c r="Z376" s="643">
        <v>0</v>
      </c>
      <c r="AA376" s="643">
        <v>0</v>
      </c>
      <c r="AB376" s="643">
        <v>0</v>
      </c>
      <c r="AC376" s="643">
        <v>0</v>
      </c>
      <c r="AD376" s="643">
        <v>0</v>
      </c>
      <c r="AE376" s="643">
        <v>-5.1137296191648005</v>
      </c>
      <c r="AF376" s="643">
        <v>0</v>
      </c>
      <c r="AG376" s="643">
        <v>0</v>
      </c>
      <c r="AH376" s="644">
        <v>0</v>
      </c>
      <c r="AI376" s="643">
        <v>0</v>
      </c>
      <c r="AJ376" s="643">
        <v>0</v>
      </c>
      <c r="AK376" s="645">
        <v>-10.415099821883413</v>
      </c>
    </row>
    <row r="377" spans="3:37" ht="13.5">
      <c r="C377" s="641" t="s">
        <v>63</v>
      </c>
      <c r="D377" s="642">
        <v>0</v>
      </c>
      <c r="E377" s="643">
        <v>0</v>
      </c>
      <c r="F377" s="643">
        <v>-93.443844381495637</v>
      </c>
      <c r="G377" s="642">
        <v>0</v>
      </c>
      <c r="H377" s="643">
        <v>0</v>
      </c>
      <c r="I377" s="643">
        <v>0</v>
      </c>
      <c r="J377" s="643">
        <v>0</v>
      </c>
      <c r="K377" s="643">
        <v>0</v>
      </c>
      <c r="L377" s="643">
        <v>-0.96889726774865159</v>
      </c>
      <c r="M377" s="643">
        <v>0</v>
      </c>
      <c r="N377" s="643">
        <v>0</v>
      </c>
      <c r="O377" s="643">
        <v>0</v>
      </c>
      <c r="P377" s="644">
        <v>0</v>
      </c>
      <c r="Q377" s="643">
        <v>0</v>
      </c>
      <c r="R377" s="643">
        <v>0</v>
      </c>
      <c r="S377" s="645">
        <v>-94.412741649244282</v>
      </c>
      <c r="U377" s="641" t="s">
        <v>63</v>
      </c>
      <c r="V377" s="642">
        <v>0</v>
      </c>
      <c r="W377" s="643">
        <v>0</v>
      </c>
      <c r="X377" s="643">
        <v>-35.841594545498886</v>
      </c>
      <c r="Y377" s="642">
        <v>0</v>
      </c>
      <c r="Z377" s="643">
        <v>0</v>
      </c>
      <c r="AA377" s="643">
        <v>0</v>
      </c>
      <c r="AB377" s="643">
        <v>0</v>
      </c>
      <c r="AC377" s="643">
        <v>0</v>
      </c>
      <c r="AD377" s="643">
        <v>-46.567340427053182</v>
      </c>
      <c r="AE377" s="643">
        <v>0</v>
      </c>
      <c r="AF377" s="643">
        <v>0</v>
      </c>
      <c r="AG377" s="643">
        <v>0</v>
      </c>
      <c r="AH377" s="644">
        <v>0</v>
      </c>
      <c r="AI377" s="643">
        <v>0</v>
      </c>
      <c r="AJ377" s="643">
        <v>0</v>
      </c>
      <c r="AK377" s="645">
        <v>-82.408934972552061</v>
      </c>
    </row>
    <row r="378" spans="3:37" ht="13.5">
      <c r="C378" s="641" t="s">
        <v>64</v>
      </c>
      <c r="D378" s="642">
        <v>0</v>
      </c>
      <c r="E378" s="643">
        <v>0</v>
      </c>
      <c r="F378" s="643">
        <v>0</v>
      </c>
      <c r="G378" s="642">
        <v>0</v>
      </c>
      <c r="H378" s="643">
        <v>0</v>
      </c>
      <c r="I378" s="643">
        <v>0</v>
      </c>
      <c r="J378" s="643">
        <v>0</v>
      </c>
      <c r="K378" s="643">
        <v>0</v>
      </c>
      <c r="L378" s="643">
        <v>0</v>
      </c>
      <c r="M378" s="643">
        <v>0</v>
      </c>
      <c r="N378" s="643">
        <v>0</v>
      </c>
      <c r="O378" s="643">
        <v>0</v>
      </c>
      <c r="P378" s="644">
        <v>0</v>
      </c>
      <c r="Q378" s="643">
        <v>0</v>
      </c>
      <c r="R378" s="643">
        <v>0</v>
      </c>
      <c r="S378" s="645">
        <v>0</v>
      </c>
      <c r="U378" s="641" t="s">
        <v>64</v>
      </c>
      <c r="V378" s="642">
        <v>0</v>
      </c>
      <c r="W378" s="643">
        <v>0</v>
      </c>
      <c r="X378" s="643">
        <v>0</v>
      </c>
      <c r="Y378" s="642">
        <v>0</v>
      </c>
      <c r="Z378" s="643">
        <v>0</v>
      </c>
      <c r="AA378" s="643">
        <v>0</v>
      </c>
      <c r="AB378" s="643">
        <v>0</v>
      </c>
      <c r="AC378" s="643">
        <v>0</v>
      </c>
      <c r="AD378" s="643">
        <v>0</v>
      </c>
      <c r="AE378" s="643">
        <v>0</v>
      </c>
      <c r="AF378" s="643">
        <v>0</v>
      </c>
      <c r="AG378" s="643">
        <v>0</v>
      </c>
      <c r="AH378" s="644">
        <v>0</v>
      </c>
      <c r="AI378" s="643">
        <v>0</v>
      </c>
      <c r="AJ378" s="643">
        <v>0</v>
      </c>
      <c r="AK378" s="645">
        <v>0</v>
      </c>
    </row>
    <row r="379" spans="3:37" ht="13.5">
      <c r="C379" s="646" t="s">
        <v>65</v>
      </c>
      <c r="D379" s="647">
        <v>46.099891323621534</v>
      </c>
      <c r="E379" s="647">
        <v>464.7986487</v>
      </c>
      <c r="F379" s="647">
        <v>-59.341223439635421</v>
      </c>
      <c r="G379" s="647">
        <v>345.55093723566335</v>
      </c>
      <c r="H379" s="647">
        <v>727.27272727272737</v>
      </c>
      <c r="I379" s="647">
        <v>338.37995078139568</v>
      </c>
      <c r="J379" s="647">
        <v>190.84741038091113</v>
      </c>
      <c r="K379" s="647">
        <v>19.887492227897642</v>
      </c>
      <c r="L379" s="647">
        <v>2.7639977986594397</v>
      </c>
      <c r="M379" s="647">
        <v>0.16041590589481752</v>
      </c>
      <c r="N379" s="647">
        <v>75.083762899489528</v>
      </c>
      <c r="O379" s="647">
        <v>12.515766779598991</v>
      </c>
      <c r="P379" s="647">
        <v>-12.7985093299136</v>
      </c>
      <c r="Q379" s="647">
        <v>0</v>
      </c>
      <c r="R379" s="647">
        <v>0</v>
      </c>
      <c r="S379" s="647">
        <v>2151.2212685363102</v>
      </c>
      <c r="U379" s="646" t="s">
        <v>65</v>
      </c>
      <c r="V379" s="647">
        <v>4.5871215860372576</v>
      </c>
      <c r="W379" s="647">
        <v>113.59926767676768</v>
      </c>
      <c r="X379" s="647">
        <v>-21.004029293308101</v>
      </c>
      <c r="Y379" s="647">
        <v>0.51452681198611927</v>
      </c>
      <c r="Z379" s="647">
        <v>764.84848484848499</v>
      </c>
      <c r="AA379" s="647">
        <v>423.19995078139567</v>
      </c>
      <c r="AB379" s="647">
        <v>261.81197328019942</v>
      </c>
      <c r="AC379" s="647">
        <v>36.108430969743218</v>
      </c>
      <c r="AD379" s="647">
        <v>-42.834445360645091</v>
      </c>
      <c r="AE379" s="647">
        <v>-4.9533137132699832</v>
      </c>
      <c r="AF379" s="647">
        <v>123.16818516374138</v>
      </c>
      <c r="AG379" s="647">
        <v>30.250193334526926</v>
      </c>
      <c r="AH379" s="647">
        <v>-41.639986107117011</v>
      </c>
      <c r="AI379" s="647">
        <v>0</v>
      </c>
      <c r="AJ379" s="647">
        <v>0</v>
      </c>
      <c r="AK379" s="647">
        <v>1647.6563599785427</v>
      </c>
    </row>
    <row r="380" spans="3:37" ht="13">
      <c r="C380" s="636"/>
      <c r="D380" s="636">
        <v>0</v>
      </c>
      <c r="E380" s="636">
        <v>0</v>
      </c>
      <c r="F380" s="636">
        <v>0</v>
      </c>
      <c r="G380" s="636">
        <v>0</v>
      </c>
      <c r="H380" s="636">
        <v>0</v>
      </c>
      <c r="I380" s="636">
        <v>0</v>
      </c>
      <c r="J380" s="636">
        <v>0</v>
      </c>
      <c r="K380" s="636">
        <v>0</v>
      </c>
      <c r="L380" s="636">
        <v>0</v>
      </c>
      <c r="M380" s="636">
        <v>0</v>
      </c>
      <c r="N380" s="636">
        <v>0</v>
      </c>
      <c r="O380" s="636">
        <v>0</v>
      </c>
      <c r="P380" s="636">
        <v>0</v>
      </c>
      <c r="Q380" s="636">
        <v>0</v>
      </c>
      <c r="R380" s="636">
        <v>0</v>
      </c>
      <c r="S380" s="636">
        <v>0</v>
      </c>
      <c r="U380" s="636"/>
      <c r="V380" s="636">
        <v>0</v>
      </c>
      <c r="W380" s="636">
        <v>0</v>
      </c>
      <c r="X380" s="636">
        <v>0</v>
      </c>
      <c r="Y380" s="636">
        <v>0</v>
      </c>
      <c r="Z380" s="636">
        <v>0</v>
      </c>
      <c r="AA380" s="636">
        <v>0</v>
      </c>
      <c r="AB380" s="636">
        <v>0</v>
      </c>
      <c r="AC380" s="636">
        <v>0</v>
      </c>
      <c r="AD380" s="636">
        <v>0</v>
      </c>
      <c r="AE380" s="636">
        <v>0</v>
      </c>
      <c r="AF380" s="636">
        <v>0</v>
      </c>
      <c r="AG380" s="636">
        <v>0</v>
      </c>
      <c r="AH380" s="636">
        <v>0</v>
      </c>
      <c r="AI380" s="636">
        <v>0</v>
      </c>
      <c r="AJ380" s="636">
        <v>0</v>
      </c>
      <c r="AK380" s="636">
        <v>0</v>
      </c>
    </row>
    <row r="381" spans="3:37" ht="13.5">
      <c r="C381" s="648" t="s">
        <v>67</v>
      </c>
      <c r="D381" s="642">
        <v>0</v>
      </c>
      <c r="E381" s="649">
        <v>0</v>
      </c>
      <c r="F381" s="649">
        <v>0</v>
      </c>
      <c r="G381" s="642">
        <v>0</v>
      </c>
      <c r="H381" s="642">
        <v>0</v>
      </c>
      <c r="I381" s="642">
        <v>0</v>
      </c>
      <c r="J381" s="642">
        <v>0</v>
      </c>
      <c r="K381" s="642">
        <v>0</v>
      </c>
      <c r="L381" s="642">
        <v>0</v>
      </c>
      <c r="M381" s="642">
        <v>0</v>
      </c>
      <c r="N381" s="642">
        <v>0</v>
      </c>
      <c r="O381" s="642">
        <v>0</v>
      </c>
      <c r="P381" s="642">
        <v>0</v>
      </c>
      <c r="Q381" s="642">
        <v>0</v>
      </c>
      <c r="R381" s="642">
        <v>0</v>
      </c>
      <c r="S381" s="650">
        <v>0</v>
      </c>
      <c r="U381" s="648" t="s">
        <v>67</v>
      </c>
      <c r="V381" s="642">
        <v>0</v>
      </c>
      <c r="W381" s="649">
        <v>0</v>
      </c>
      <c r="X381" s="649">
        <v>0</v>
      </c>
      <c r="Y381" s="642">
        <v>0</v>
      </c>
      <c r="Z381" s="642">
        <v>0</v>
      </c>
      <c r="AA381" s="642">
        <v>0</v>
      </c>
      <c r="AB381" s="642">
        <v>0</v>
      </c>
      <c r="AC381" s="642">
        <v>0</v>
      </c>
      <c r="AD381" s="642">
        <v>0</v>
      </c>
      <c r="AE381" s="642">
        <v>0</v>
      </c>
      <c r="AF381" s="642">
        <v>0</v>
      </c>
      <c r="AG381" s="642">
        <v>0</v>
      </c>
      <c r="AH381" s="642">
        <v>0</v>
      </c>
      <c r="AI381" s="642">
        <v>0</v>
      </c>
      <c r="AJ381" s="642">
        <v>0</v>
      </c>
      <c r="AK381" s="650">
        <v>0</v>
      </c>
    </row>
    <row r="382" spans="3:37" ht="13.5">
      <c r="C382" s="648" t="s">
        <v>350</v>
      </c>
      <c r="D382" s="642">
        <v>2.8267856410252494</v>
      </c>
      <c r="E382" s="642">
        <v>0</v>
      </c>
      <c r="F382" s="642">
        <v>8.0599105831015567</v>
      </c>
      <c r="G382" s="642">
        <v>46.530346198952707</v>
      </c>
      <c r="H382" s="642">
        <v>727.27272727272737</v>
      </c>
      <c r="I382" s="642">
        <v>338.37995078139568</v>
      </c>
      <c r="J382" s="651">
        <v>28.452469116356035</v>
      </c>
      <c r="K382" s="651">
        <v>6.2305848357200952</v>
      </c>
      <c r="L382" s="651">
        <v>3.7328950664080915</v>
      </c>
      <c r="M382" s="651">
        <v>1.0761160081227215</v>
      </c>
      <c r="N382" s="651">
        <v>0</v>
      </c>
      <c r="O382" s="651">
        <v>7.5664382136221358</v>
      </c>
      <c r="P382" s="642">
        <v>-629.14515201417555</v>
      </c>
      <c r="Q382" s="642">
        <v>0</v>
      </c>
      <c r="R382" s="642">
        <v>0</v>
      </c>
      <c r="S382" s="650">
        <v>540.98307170325586</v>
      </c>
      <c r="U382" s="648" t="s">
        <v>350</v>
      </c>
      <c r="V382" s="642">
        <v>0.62631490545869017</v>
      </c>
      <c r="W382" s="642">
        <v>0</v>
      </c>
      <c r="X382" s="642">
        <v>4.1962742194651934</v>
      </c>
      <c r="Y382" s="642">
        <v>0</v>
      </c>
      <c r="Z382" s="642">
        <v>764.84848484848499</v>
      </c>
      <c r="AA382" s="642">
        <v>423.19995078139567</v>
      </c>
      <c r="AB382" s="651">
        <v>22.478183728982629</v>
      </c>
      <c r="AC382" s="651">
        <v>5.0926371917675839</v>
      </c>
      <c r="AD382" s="651">
        <v>3.7328950664080915</v>
      </c>
      <c r="AE382" s="651">
        <v>0.79318377276994545</v>
      </c>
      <c r="AF382" s="651">
        <v>0</v>
      </c>
      <c r="AG382" s="651">
        <v>7.5664382136221358</v>
      </c>
      <c r="AH382" s="642">
        <v>-696.77718495359215</v>
      </c>
      <c r="AI382" s="642">
        <v>0</v>
      </c>
      <c r="AJ382" s="642">
        <v>3.75</v>
      </c>
      <c r="AK382" s="650">
        <v>539.50717777476291</v>
      </c>
    </row>
    <row r="383" spans="3:37" ht="13.5">
      <c r="C383" s="648" t="s">
        <v>351</v>
      </c>
      <c r="D383" s="642">
        <v>0</v>
      </c>
      <c r="E383" s="642">
        <v>0</v>
      </c>
      <c r="F383" s="642">
        <v>0</v>
      </c>
      <c r="G383" s="642">
        <v>14.783508517784153</v>
      </c>
      <c r="H383" s="642">
        <v>0</v>
      </c>
      <c r="I383" s="642">
        <v>0</v>
      </c>
      <c r="J383" s="651">
        <v>12.163067049530284</v>
      </c>
      <c r="K383" s="651">
        <v>11.829214997579474</v>
      </c>
      <c r="L383" s="651">
        <v>0</v>
      </c>
      <c r="M383" s="651">
        <v>0.31740804730172578</v>
      </c>
      <c r="N383" s="651">
        <v>0</v>
      </c>
      <c r="O383" s="651">
        <v>2.086875550337155</v>
      </c>
      <c r="P383" s="642">
        <v>0</v>
      </c>
      <c r="Q383" s="642">
        <v>-37.667878685561853</v>
      </c>
      <c r="R383" s="642">
        <v>0</v>
      </c>
      <c r="S383" s="650">
        <v>3.5121954769709394</v>
      </c>
      <c r="U383" s="648" t="s">
        <v>351</v>
      </c>
      <c r="V383" s="642">
        <v>0</v>
      </c>
      <c r="W383" s="642">
        <v>0</v>
      </c>
      <c r="X383" s="642">
        <v>0</v>
      </c>
      <c r="Y383" s="642">
        <v>0</v>
      </c>
      <c r="Z383" s="642">
        <v>0</v>
      </c>
      <c r="AA383" s="642">
        <v>0</v>
      </c>
      <c r="AB383" s="651">
        <v>28.523630086620891</v>
      </c>
      <c r="AC383" s="651">
        <v>26.288013396118924</v>
      </c>
      <c r="AD383" s="651">
        <v>0</v>
      </c>
      <c r="AE383" s="651">
        <v>10.611192177482708</v>
      </c>
      <c r="AF383" s="651">
        <v>0</v>
      </c>
      <c r="AG383" s="651">
        <v>14.121402979798832</v>
      </c>
      <c r="AH383" s="642">
        <v>0</v>
      </c>
      <c r="AI383" s="642">
        <v>-74.176724382187018</v>
      </c>
      <c r="AJ383" s="642">
        <v>0</v>
      </c>
      <c r="AK383" s="650">
        <v>5.3675142578343316</v>
      </c>
    </row>
    <row r="384" spans="3:37" ht="13.5">
      <c r="C384" s="648" t="s">
        <v>352</v>
      </c>
      <c r="D384" s="642">
        <v>0</v>
      </c>
      <c r="E384" s="642">
        <v>0</v>
      </c>
      <c r="F384" s="642">
        <v>0</v>
      </c>
      <c r="G384" s="642">
        <v>0</v>
      </c>
      <c r="H384" s="642">
        <v>0</v>
      </c>
      <c r="I384" s="642">
        <v>0</v>
      </c>
      <c r="J384" s="652">
        <v>7.1450792385721682</v>
      </c>
      <c r="K384" s="652">
        <v>0</v>
      </c>
      <c r="L384" s="652">
        <v>0</v>
      </c>
      <c r="M384" s="652">
        <v>-6.8235506728364204</v>
      </c>
      <c r="N384" s="652">
        <v>0</v>
      </c>
      <c r="O384" s="652">
        <v>0</v>
      </c>
      <c r="P384" s="642">
        <v>0</v>
      </c>
      <c r="Q384" s="642">
        <v>0</v>
      </c>
      <c r="R384" s="642">
        <v>0</v>
      </c>
      <c r="S384" s="650">
        <v>0.32152856573574784</v>
      </c>
      <c r="U384" s="648" t="s">
        <v>352</v>
      </c>
      <c r="V384" s="642">
        <v>0</v>
      </c>
      <c r="W384" s="642">
        <v>0</v>
      </c>
      <c r="X384" s="642">
        <v>0</v>
      </c>
      <c r="Y384" s="642">
        <v>0</v>
      </c>
      <c r="Z384" s="642">
        <v>0</v>
      </c>
      <c r="AA384" s="642">
        <v>0</v>
      </c>
      <c r="AB384" s="652">
        <v>137.81211213320262</v>
      </c>
      <c r="AC384" s="652">
        <v>0</v>
      </c>
      <c r="AD384" s="652">
        <v>0</v>
      </c>
      <c r="AE384" s="652">
        <v>-131.61056708720849</v>
      </c>
      <c r="AF384" s="652">
        <v>0</v>
      </c>
      <c r="AG384" s="652">
        <v>0</v>
      </c>
      <c r="AH384" s="642">
        <v>0</v>
      </c>
      <c r="AI384" s="642">
        <v>0</v>
      </c>
      <c r="AJ384" s="642">
        <v>0</v>
      </c>
      <c r="AK384" s="650">
        <v>6.2015450459941235</v>
      </c>
    </row>
    <row r="385" spans="3:37" ht="13.5">
      <c r="C385" s="648" t="s">
        <v>353</v>
      </c>
      <c r="D385" s="642">
        <v>0</v>
      </c>
      <c r="E385" s="642">
        <v>0</v>
      </c>
      <c r="F385" s="642">
        <v>0</v>
      </c>
      <c r="G385" s="642">
        <v>0</v>
      </c>
      <c r="H385" s="642">
        <v>0</v>
      </c>
      <c r="I385" s="642">
        <v>0</v>
      </c>
      <c r="J385" s="642">
        <v>0</v>
      </c>
      <c r="K385" s="642">
        <v>0</v>
      </c>
      <c r="L385" s="642">
        <v>0</v>
      </c>
      <c r="M385" s="642">
        <v>0</v>
      </c>
      <c r="N385" s="642">
        <v>0</v>
      </c>
      <c r="O385" s="642">
        <v>0</v>
      </c>
      <c r="P385" s="642">
        <v>0</v>
      </c>
      <c r="Q385" s="642">
        <v>0</v>
      </c>
      <c r="R385" s="642">
        <v>0</v>
      </c>
      <c r="S385" s="650">
        <v>0</v>
      </c>
      <c r="U385" s="648" t="s">
        <v>353</v>
      </c>
      <c r="V385" s="642">
        <v>0</v>
      </c>
      <c r="W385" s="642">
        <v>0</v>
      </c>
      <c r="X385" s="642">
        <v>0</v>
      </c>
      <c r="Y385" s="642">
        <v>0</v>
      </c>
      <c r="Z385" s="642">
        <v>0</v>
      </c>
      <c r="AA385" s="642">
        <v>0</v>
      </c>
      <c r="AB385" s="642">
        <v>0</v>
      </c>
      <c r="AC385" s="642">
        <v>0</v>
      </c>
      <c r="AD385" s="642">
        <v>0</v>
      </c>
      <c r="AE385" s="642">
        <v>0</v>
      </c>
      <c r="AF385" s="642">
        <v>0</v>
      </c>
      <c r="AG385" s="642">
        <v>0</v>
      </c>
      <c r="AH385" s="642">
        <v>0</v>
      </c>
      <c r="AI385" s="642">
        <v>0</v>
      </c>
      <c r="AJ385" s="642">
        <v>0</v>
      </c>
      <c r="AK385" s="650">
        <v>0</v>
      </c>
    </row>
    <row r="386" spans="3:37" ht="13.5">
      <c r="C386" s="648" t="s">
        <v>72</v>
      </c>
      <c r="D386" s="642">
        <v>0</v>
      </c>
      <c r="E386" s="642">
        <v>481.48200000000003</v>
      </c>
      <c r="F386" s="642">
        <v>-476.66718000000003</v>
      </c>
      <c r="G386" s="642">
        <v>0</v>
      </c>
      <c r="H386" s="642">
        <v>0</v>
      </c>
      <c r="I386" s="642">
        <v>0</v>
      </c>
      <c r="J386" s="642">
        <v>0</v>
      </c>
      <c r="K386" s="642">
        <v>0</v>
      </c>
      <c r="L386" s="642">
        <v>0</v>
      </c>
      <c r="M386" s="642">
        <v>0</v>
      </c>
      <c r="N386" s="642">
        <v>0</v>
      </c>
      <c r="O386" s="642">
        <v>0</v>
      </c>
      <c r="P386" s="642">
        <v>0</v>
      </c>
      <c r="Q386" s="642">
        <v>0</v>
      </c>
      <c r="R386" s="642">
        <v>0</v>
      </c>
      <c r="S386" s="650">
        <v>4.8148199999999974</v>
      </c>
      <c r="U386" s="648" t="s">
        <v>72</v>
      </c>
      <c r="V386" s="642">
        <v>0</v>
      </c>
      <c r="W386" s="642">
        <v>117.67676767676768</v>
      </c>
      <c r="X386" s="642">
        <v>-116.5</v>
      </c>
      <c r="Y386" s="642">
        <v>0</v>
      </c>
      <c r="Z386" s="642">
        <v>0</v>
      </c>
      <c r="AA386" s="642">
        <v>0</v>
      </c>
      <c r="AB386" s="642">
        <v>0</v>
      </c>
      <c r="AC386" s="642">
        <v>0</v>
      </c>
      <c r="AD386" s="642">
        <v>0</v>
      </c>
      <c r="AE386" s="642">
        <v>0</v>
      </c>
      <c r="AF386" s="642">
        <v>0</v>
      </c>
      <c r="AG386" s="642">
        <v>0</v>
      </c>
      <c r="AH386" s="642">
        <v>0</v>
      </c>
      <c r="AI386" s="642">
        <v>0</v>
      </c>
      <c r="AJ386" s="642">
        <v>0</v>
      </c>
      <c r="AK386" s="650">
        <v>1.1767676767676818</v>
      </c>
    </row>
    <row r="387" spans="3:37" ht="13.5">
      <c r="C387" s="648" t="s">
        <v>354</v>
      </c>
      <c r="D387" s="642">
        <v>0</v>
      </c>
      <c r="E387" s="642">
        <v>0</v>
      </c>
      <c r="F387" s="642">
        <v>0</v>
      </c>
      <c r="G387" s="642">
        <v>0</v>
      </c>
      <c r="H387" s="642">
        <v>0</v>
      </c>
      <c r="I387" s="642">
        <v>0</v>
      </c>
      <c r="J387" s="642">
        <v>26.125483595276659</v>
      </c>
      <c r="K387" s="642">
        <v>0</v>
      </c>
      <c r="L387" s="642">
        <v>-26.125483595276659</v>
      </c>
      <c r="M387" s="642">
        <v>0</v>
      </c>
      <c r="N387" s="642">
        <v>0</v>
      </c>
      <c r="O387" s="642">
        <v>0</v>
      </c>
      <c r="P387" s="642">
        <v>0</v>
      </c>
      <c r="Q387" s="642">
        <v>0</v>
      </c>
      <c r="R387" s="642">
        <v>0</v>
      </c>
      <c r="S387" s="650">
        <v>0</v>
      </c>
      <c r="U387" s="648" t="s">
        <v>354</v>
      </c>
      <c r="V387" s="642">
        <v>0</v>
      </c>
      <c r="W387" s="642">
        <v>0</v>
      </c>
      <c r="X387" s="642">
        <v>0</v>
      </c>
      <c r="Y387" s="642">
        <v>0</v>
      </c>
      <c r="Z387" s="642">
        <v>0</v>
      </c>
      <c r="AA387" s="642">
        <v>0</v>
      </c>
      <c r="AB387" s="642" t="e">
        <v>#VALUE!</v>
      </c>
      <c r="AC387" s="642">
        <v>0</v>
      </c>
      <c r="AD387" s="642">
        <v>-100.69655001825291</v>
      </c>
      <c r="AE387" s="642">
        <v>0</v>
      </c>
      <c r="AF387" s="642">
        <v>0</v>
      </c>
      <c r="AG387" s="642">
        <v>0</v>
      </c>
      <c r="AH387" s="642">
        <v>0</v>
      </c>
      <c r="AI387" s="642">
        <v>0</v>
      </c>
      <c r="AJ387" s="642">
        <v>0</v>
      </c>
      <c r="AK387" s="650">
        <v>-100.69655001825291</v>
      </c>
    </row>
    <row r="388" spans="3:37" ht="13.5">
      <c r="C388" s="648" t="s">
        <v>355</v>
      </c>
      <c r="D388" s="642">
        <v>0</v>
      </c>
      <c r="E388" s="642">
        <v>0</v>
      </c>
      <c r="F388" s="642">
        <v>0</v>
      </c>
      <c r="G388" s="642">
        <v>0</v>
      </c>
      <c r="H388" s="642">
        <v>0</v>
      </c>
      <c r="I388" s="642">
        <v>0</v>
      </c>
      <c r="J388" s="642">
        <v>0</v>
      </c>
      <c r="K388" s="642">
        <v>0</v>
      </c>
      <c r="L388" s="642">
        <v>0</v>
      </c>
      <c r="M388" s="642">
        <v>0</v>
      </c>
      <c r="N388" s="642">
        <v>0</v>
      </c>
      <c r="O388" s="642">
        <v>0</v>
      </c>
      <c r="P388" s="642">
        <v>0</v>
      </c>
      <c r="Q388" s="642">
        <v>0</v>
      </c>
      <c r="R388" s="642">
        <v>0</v>
      </c>
      <c r="S388" s="650">
        <v>0</v>
      </c>
      <c r="U388" s="648" t="s">
        <v>355</v>
      </c>
      <c r="V388" s="642">
        <v>0</v>
      </c>
      <c r="W388" s="642">
        <v>0</v>
      </c>
      <c r="X388" s="642">
        <v>0</v>
      </c>
      <c r="Y388" s="642">
        <v>0</v>
      </c>
      <c r="Z388" s="642">
        <v>0</v>
      </c>
      <c r="AA388" s="642">
        <v>0</v>
      </c>
      <c r="AB388" s="642">
        <v>0</v>
      </c>
      <c r="AC388" s="642">
        <v>0</v>
      </c>
      <c r="AD388" s="642">
        <v>-28.460377640694865</v>
      </c>
      <c r="AE388" s="642">
        <v>0</v>
      </c>
      <c r="AF388" s="642">
        <v>0</v>
      </c>
      <c r="AG388" s="642">
        <v>0</v>
      </c>
      <c r="AH388" s="642">
        <v>0</v>
      </c>
      <c r="AI388" s="642">
        <v>0</v>
      </c>
      <c r="AJ388" s="642">
        <v>0</v>
      </c>
      <c r="AK388" s="650">
        <v>-28.460377640694865</v>
      </c>
    </row>
    <row r="389" spans="3:37" ht="13.5">
      <c r="C389" s="648" t="s">
        <v>73</v>
      </c>
      <c r="D389" s="642">
        <v>0</v>
      </c>
      <c r="E389" s="642">
        <v>0</v>
      </c>
      <c r="F389" s="642">
        <v>0</v>
      </c>
      <c r="G389" s="642">
        <v>8.6128889644156494</v>
      </c>
      <c r="H389" s="642">
        <v>0</v>
      </c>
      <c r="I389" s="642">
        <v>0</v>
      </c>
      <c r="J389" s="642">
        <v>0</v>
      </c>
      <c r="K389" s="642">
        <v>0.10101910584583218</v>
      </c>
      <c r="L389" s="642">
        <v>0</v>
      </c>
      <c r="M389" s="642">
        <v>0.17577324417174797</v>
      </c>
      <c r="N389" s="642">
        <v>0</v>
      </c>
      <c r="O389" s="642">
        <v>0</v>
      </c>
      <c r="P389" s="642">
        <v>1.1785562348680418</v>
      </c>
      <c r="Q389" s="642">
        <v>0</v>
      </c>
      <c r="R389" s="642">
        <v>-7.071337409208251</v>
      </c>
      <c r="S389" s="650">
        <v>2.99690014009302</v>
      </c>
      <c r="U389" s="648" t="s">
        <v>73</v>
      </c>
      <c r="V389" s="642">
        <v>0</v>
      </c>
      <c r="W389" s="642">
        <v>0</v>
      </c>
      <c r="X389" s="642">
        <v>0</v>
      </c>
      <c r="Y389" s="642">
        <v>0</v>
      </c>
      <c r="Z389" s="642">
        <v>0</v>
      </c>
      <c r="AA389" s="642">
        <v>0</v>
      </c>
      <c r="AB389" s="642">
        <v>0</v>
      </c>
      <c r="AC389" s="642">
        <v>0.58294529496624936</v>
      </c>
      <c r="AD389" s="642">
        <v>0</v>
      </c>
      <c r="AE389" s="642">
        <v>0</v>
      </c>
      <c r="AF389" s="642">
        <v>0</v>
      </c>
      <c r="AG389" s="642">
        <v>0</v>
      </c>
      <c r="AH389" s="642">
        <v>56.108484640501494</v>
      </c>
      <c r="AI389" s="642">
        <v>0</v>
      </c>
      <c r="AJ389" s="642">
        <v>-40.806170647637451</v>
      </c>
      <c r="AK389" s="650">
        <v>15.885259287830294</v>
      </c>
    </row>
    <row r="390" spans="3:37" ht="13.5">
      <c r="C390" s="648" t="s">
        <v>356</v>
      </c>
      <c r="D390" s="642">
        <v>28.51179328125</v>
      </c>
      <c r="E390" s="642">
        <v>-16.683351300000002</v>
      </c>
      <c r="F390" s="642">
        <v>21.820838094867195</v>
      </c>
      <c r="G390" s="642">
        <v>0</v>
      </c>
      <c r="H390" s="642">
        <v>0</v>
      </c>
      <c r="I390" s="642">
        <v>0</v>
      </c>
      <c r="J390" s="642">
        <v>0</v>
      </c>
      <c r="K390" s="642">
        <v>0</v>
      </c>
      <c r="L390" s="642">
        <v>0</v>
      </c>
      <c r="M390" s="642">
        <v>0</v>
      </c>
      <c r="N390" s="642">
        <v>0</v>
      </c>
      <c r="O390" s="642">
        <v>0</v>
      </c>
      <c r="P390" s="642">
        <v>0</v>
      </c>
      <c r="Q390" s="642">
        <v>0</v>
      </c>
      <c r="R390" s="642">
        <v>0</v>
      </c>
      <c r="S390" s="650">
        <v>33.649280076117194</v>
      </c>
      <c r="U390" s="648" t="s">
        <v>356</v>
      </c>
      <c r="V390" s="642">
        <v>0.72303211975097659</v>
      </c>
      <c r="W390" s="642">
        <v>-4.0775000000000006</v>
      </c>
      <c r="X390" s="642">
        <v>5.333129161634389</v>
      </c>
      <c r="Y390" s="642">
        <v>0</v>
      </c>
      <c r="Z390" s="642">
        <v>0</v>
      </c>
      <c r="AA390" s="642">
        <v>0</v>
      </c>
      <c r="AB390" s="642">
        <v>0</v>
      </c>
      <c r="AC390" s="642">
        <v>0</v>
      </c>
      <c r="AD390" s="642">
        <v>0</v>
      </c>
      <c r="AE390" s="642">
        <v>0</v>
      </c>
      <c r="AF390" s="642">
        <v>0</v>
      </c>
      <c r="AG390" s="642">
        <v>0</v>
      </c>
      <c r="AH390" s="642">
        <v>0</v>
      </c>
      <c r="AI390" s="642">
        <v>0</v>
      </c>
      <c r="AJ390" s="642">
        <v>0</v>
      </c>
      <c r="AK390" s="650">
        <v>1.978661281385365</v>
      </c>
    </row>
    <row r="391" spans="3:37" ht="13.5">
      <c r="C391" s="648" t="s">
        <v>75</v>
      </c>
      <c r="D391" s="642">
        <v>11.087919609375001</v>
      </c>
      <c r="E391" s="642">
        <v>0</v>
      </c>
      <c r="F391" s="642">
        <v>16.370388000000002</v>
      </c>
      <c r="G391" s="642">
        <v>4.6713383640000004</v>
      </c>
      <c r="H391" s="642">
        <v>0</v>
      </c>
      <c r="I391" s="642">
        <v>0</v>
      </c>
      <c r="J391" s="642">
        <v>0</v>
      </c>
      <c r="K391" s="642">
        <v>0</v>
      </c>
      <c r="L391" s="642">
        <v>0</v>
      </c>
      <c r="M391" s="642">
        <v>9.5333436000000008E-2</v>
      </c>
      <c r="N391" s="642">
        <v>0</v>
      </c>
      <c r="O391" s="642">
        <v>0</v>
      </c>
      <c r="P391" s="642">
        <v>26.129145836866744</v>
      </c>
      <c r="Q391" s="642">
        <v>0</v>
      </c>
      <c r="R391" s="642">
        <v>0</v>
      </c>
      <c r="S391" s="650">
        <v>58.35412524624175</v>
      </c>
      <c r="U391" s="648" t="s">
        <v>75</v>
      </c>
      <c r="V391" s="642">
        <v>1.73775830078125</v>
      </c>
      <c r="W391" s="642">
        <v>0</v>
      </c>
      <c r="X391" s="642">
        <v>16.370388000000002</v>
      </c>
      <c r="Y391" s="642">
        <v>0</v>
      </c>
      <c r="Z391" s="642">
        <v>0</v>
      </c>
      <c r="AA391" s="642">
        <v>0</v>
      </c>
      <c r="AB391" s="642">
        <v>0</v>
      </c>
      <c r="AC391" s="642">
        <v>0</v>
      </c>
      <c r="AD391" s="642">
        <v>0</v>
      </c>
      <c r="AE391" s="642">
        <v>4.7666718000000001</v>
      </c>
      <c r="AF391" s="642">
        <v>0</v>
      </c>
      <c r="AG391" s="642">
        <v>0</v>
      </c>
      <c r="AH391" s="642">
        <v>36.696565665655768</v>
      </c>
      <c r="AI391" s="642">
        <v>0</v>
      </c>
      <c r="AJ391" s="642">
        <v>0</v>
      </c>
      <c r="AK391" s="650">
        <v>59.571383766437016</v>
      </c>
    </row>
    <row r="392" spans="3:37" ht="13.5">
      <c r="C392" s="648" t="s">
        <v>76</v>
      </c>
      <c r="D392" s="642">
        <v>0</v>
      </c>
      <c r="E392" s="642">
        <v>0</v>
      </c>
      <c r="F392" s="642">
        <v>0</v>
      </c>
      <c r="G392" s="642">
        <v>3.9646717348100942</v>
      </c>
      <c r="H392" s="642">
        <v>0</v>
      </c>
      <c r="I392" s="642">
        <v>0</v>
      </c>
      <c r="J392" s="642">
        <v>0</v>
      </c>
      <c r="K392" s="642">
        <v>0</v>
      </c>
      <c r="L392" s="642">
        <v>0</v>
      </c>
      <c r="M392" s="642">
        <v>8.0911668057348868E-2</v>
      </c>
      <c r="N392" s="642">
        <v>0</v>
      </c>
      <c r="O392" s="642">
        <v>0</v>
      </c>
      <c r="P392" s="642">
        <v>47.131742012269626</v>
      </c>
      <c r="Q392" s="642">
        <v>2.9238621334994321</v>
      </c>
      <c r="R392" s="642">
        <v>0</v>
      </c>
      <c r="S392" s="650">
        <v>54.101187548636503</v>
      </c>
      <c r="U392" s="648" t="s">
        <v>76</v>
      </c>
      <c r="V392" s="642">
        <v>0</v>
      </c>
      <c r="W392" s="642">
        <v>0</v>
      </c>
      <c r="X392" s="642">
        <v>0</v>
      </c>
      <c r="Y392" s="642">
        <v>0</v>
      </c>
      <c r="Z392" s="642">
        <v>0</v>
      </c>
      <c r="AA392" s="642">
        <v>0</v>
      </c>
      <c r="AB392" s="642">
        <v>0</v>
      </c>
      <c r="AC392" s="642">
        <v>0</v>
      </c>
      <c r="AD392" s="642">
        <v>0</v>
      </c>
      <c r="AE392" s="642">
        <v>1.5605996097297452</v>
      </c>
      <c r="AF392" s="642">
        <v>0</v>
      </c>
      <c r="AG392" s="642">
        <v>0</v>
      </c>
      <c r="AH392" s="642">
        <v>50.104610120731024</v>
      </c>
      <c r="AI392" s="642">
        <v>5.7529608775183565</v>
      </c>
      <c r="AJ392" s="642">
        <v>0</v>
      </c>
      <c r="AK392" s="650">
        <v>57.418170607979121</v>
      </c>
    </row>
    <row r="393" spans="3:37" ht="13.5">
      <c r="C393" s="646" t="s">
        <v>77</v>
      </c>
      <c r="D393" s="647">
        <v>42.426498531650253</v>
      </c>
      <c r="E393" s="647">
        <v>464.7986487</v>
      </c>
      <c r="F393" s="647">
        <v>-430.41604332203127</v>
      </c>
      <c r="G393" s="647">
        <v>78.562753779962591</v>
      </c>
      <c r="H393" s="647">
        <v>727.27272727272737</v>
      </c>
      <c r="I393" s="647">
        <v>338.37995078139568</v>
      </c>
      <c r="J393" s="647">
        <v>73.88609899973514</v>
      </c>
      <c r="K393" s="647">
        <v>18.1608189391454</v>
      </c>
      <c r="L393" s="647">
        <v>-22.392588528868568</v>
      </c>
      <c r="M393" s="647">
        <v>-5.0780082691828765</v>
      </c>
      <c r="N393" s="647">
        <v>0</v>
      </c>
      <c r="O393" s="647">
        <v>9.6533137639592894</v>
      </c>
      <c r="P393" s="647">
        <v>-554.70570793017112</v>
      </c>
      <c r="Q393" s="647">
        <v>-34.744016552062419</v>
      </c>
      <c r="R393" s="647">
        <v>-7.071337409208251</v>
      </c>
      <c r="S393" s="647">
        <v>698.73310875705101</v>
      </c>
      <c r="U393" s="646" t="s">
        <v>77</v>
      </c>
      <c r="V393" s="647">
        <v>3.0871053259909167</v>
      </c>
      <c r="W393" s="647">
        <v>113.59926767676768</v>
      </c>
      <c r="X393" s="647">
        <v>-90.60020861890041</v>
      </c>
      <c r="Y393" s="647">
        <v>0</v>
      </c>
      <c r="Z393" s="647">
        <v>764.84848484848499</v>
      </c>
      <c r="AA393" s="647">
        <v>423.19995078139567</v>
      </c>
      <c r="AB393" s="647">
        <v>188.81392594880614</v>
      </c>
      <c r="AC393" s="647">
        <v>31.963595882852758</v>
      </c>
      <c r="AD393" s="647">
        <v>-125.42403259253969</v>
      </c>
      <c r="AE393" s="647">
        <v>-113.87891972722609</v>
      </c>
      <c r="AF393" s="647">
        <v>0</v>
      </c>
      <c r="AG393" s="647">
        <v>21.687841193420969</v>
      </c>
      <c r="AH393" s="647">
        <v>-553.86752452670385</v>
      </c>
      <c r="AI393" s="647">
        <v>-68.423763504668656</v>
      </c>
      <c r="AJ393" s="647">
        <v>-37.056170647637451</v>
      </c>
      <c r="AK393" s="647">
        <v>557.94955204004305</v>
      </c>
    </row>
    <row r="394" spans="3:37" ht="13">
      <c r="C394" s="636"/>
      <c r="D394" s="636">
        <v>0</v>
      </c>
      <c r="E394" s="636">
        <v>0</v>
      </c>
      <c r="F394" s="636">
        <v>0</v>
      </c>
      <c r="G394" s="636">
        <v>0</v>
      </c>
      <c r="H394" s="636">
        <v>0</v>
      </c>
      <c r="I394" s="636">
        <v>0</v>
      </c>
      <c r="J394" s="636">
        <v>0</v>
      </c>
      <c r="K394" s="636">
        <v>0</v>
      </c>
      <c r="L394" s="636">
        <v>0</v>
      </c>
      <c r="M394" s="636">
        <v>0</v>
      </c>
      <c r="N394" s="636">
        <v>0</v>
      </c>
      <c r="O394" s="636">
        <v>0</v>
      </c>
      <c r="P394" s="636">
        <v>0</v>
      </c>
      <c r="Q394" s="636">
        <v>0</v>
      </c>
      <c r="R394" s="636">
        <v>0</v>
      </c>
      <c r="S394" s="636">
        <v>0</v>
      </c>
      <c r="U394" s="636"/>
      <c r="V394" s="636">
        <v>0</v>
      </c>
      <c r="W394" s="636">
        <v>0</v>
      </c>
      <c r="X394" s="636">
        <v>0</v>
      </c>
      <c r="Y394" s="636">
        <v>0</v>
      </c>
      <c r="Z394" s="636">
        <v>0</v>
      </c>
      <c r="AA394" s="636">
        <v>0</v>
      </c>
      <c r="AB394" s="636">
        <v>0</v>
      </c>
      <c r="AC394" s="636">
        <v>0</v>
      </c>
      <c r="AD394" s="636">
        <v>0</v>
      </c>
      <c r="AE394" s="636">
        <v>0</v>
      </c>
      <c r="AF394" s="636">
        <v>0</v>
      </c>
      <c r="AG394" s="636">
        <v>0</v>
      </c>
      <c r="AH394" s="636">
        <v>0</v>
      </c>
      <c r="AI394" s="636">
        <v>0</v>
      </c>
      <c r="AJ394" s="636">
        <v>0</v>
      </c>
      <c r="AK394" s="636">
        <v>0</v>
      </c>
    </row>
    <row r="395" spans="3:37" ht="13.5">
      <c r="C395" s="648" t="s">
        <v>78</v>
      </c>
      <c r="D395" s="642">
        <v>3.6733927919712848</v>
      </c>
      <c r="E395" s="642">
        <v>0</v>
      </c>
      <c r="F395" s="642">
        <v>19.397200033553816</v>
      </c>
      <c r="G395" s="642">
        <v>91.130108310207916</v>
      </c>
      <c r="H395" s="642">
        <v>0</v>
      </c>
      <c r="I395" s="642">
        <v>0</v>
      </c>
      <c r="J395" s="642">
        <v>22.791437377983073</v>
      </c>
      <c r="K395" s="642">
        <v>1.7013098714668424</v>
      </c>
      <c r="L395" s="642">
        <v>1.007010953125</v>
      </c>
      <c r="M395" s="642">
        <v>1.8779931367345493</v>
      </c>
      <c r="N395" s="642">
        <v>0</v>
      </c>
      <c r="O395" s="642">
        <v>3.7093504340600874E-4</v>
      </c>
      <c r="P395" s="642">
        <v>114.54790196708234</v>
      </c>
      <c r="Q395" s="642">
        <v>16.21056036467343</v>
      </c>
      <c r="R395" s="642">
        <v>0.23655174255371095</v>
      </c>
      <c r="S395" s="650">
        <v>272.57383748439537</v>
      </c>
      <c r="U395" s="648" t="s">
        <v>78</v>
      </c>
      <c r="V395" s="642">
        <v>1.5000162600463405</v>
      </c>
      <c r="W395" s="642">
        <v>0</v>
      </c>
      <c r="X395" s="642">
        <v>0.65820239923796242</v>
      </c>
      <c r="Y395" s="642">
        <v>0</v>
      </c>
      <c r="Z395" s="642">
        <v>0</v>
      </c>
      <c r="AA395" s="642">
        <v>0</v>
      </c>
      <c r="AB395" s="642">
        <v>14.22856522114639</v>
      </c>
      <c r="AC395" s="642">
        <v>4.1194716696050602</v>
      </c>
      <c r="AD395" s="642">
        <v>8.3494072265624997</v>
      </c>
      <c r="AE395" s="642">
        <v>60.539358802903692</v>
      </c>
      <c r="AF395" s="642">
        <v>0</v>
      </c>
      <c r="AG395" s="642">
        <v>3.7093504340600874E-4</v>
      </c>
      <c r="AH395" s="642">
        <v>157.01971492382648</v>
      </c>
      <c r="AI395" s="642">
        <v>25.540840498351418</v>
      </c>
      <c r="AJ395" s="642">
        <v>8.9542294921874994</v>
      </c>
      <c r="AK395" s="650">
        <v>280.91017742891074</v>
      </c>
    </row>
    <row r="396" spans="3:37" ht="13.5">
      <c r="C396" s="648" t="s">
        <v>79</v>
      </c>
      <c r="D396" s="642">
        <v>0</v>
      </c>
      <c r="E396" s="642">
        <v>0</v>
      </c>
      <c r="F396" s="642">
        <v>216.8751541495462</v>
      </c>
      <c r="G396" s="642">
        <v>32.745585882615877</v>
      </c>
      <c r="H396" s="642">
        <v>0</v>
      </c>
      <c r="I396" s="642">
        <v>0</v>
      </c>
      <c r="J396" s="642">
        <v>0</v>
      </c>
      <c r="K396" s="642">
        <v>0</v>
      </c>
      <c r="L396" s="642">
        <v>20.896591906701669</v>
      </c>
      <c r="M396" s="642">
        <v>0.66827726291052814</v>
      </c>
      <c r="N396" s="642">
        <v>0</v>
      </c>
      <c r="O396" s="642">
        <v>0</v>
      </c>
      <c r="P396" s="642">
        <v>80.819270278256823</v>
      </c>
      <c r="Q396" s="642">
        <v>0</v>
      </c>
      <c r="R396" s="642">
        <v>2.9193508940431485</v>
      </c>
      <c r="S396" s="650">
        <v>354.92423037407423</v>
      </c>
      <c r="U396" s="648" t="s">
        <v>79</v>
      </c>
      <c r="V396" s="642">
        <v>0</v>
      </c>
      <c r="W396" s="642">
        <v>0</v>
      </c>
      <c r="X396" s="642">
        <v>8.8339079607242379</v>
      </c>
      <c r="Y396" s="642">
        <v>0</v>
      </c>
      <c r="Z396" s="642">
        <v>0</v>
      </c>
      <c r="AA396" s="642">
        <v>0</v>
      </c>
      <c r="AB396" s="642">
        <v>0</v>
      </c>
      <c r="AC396" s="642">
        <v>0</v>
      </c>
      <c r="AD396" s="642">
        <v>12.788272739607951</v>
      </c>
      <c r="AE396" s="642">
        <v>24.887279738493259</v>
      </c>
      <c r="AF396" s="642">
        <v>0</v>
      </c>
      <c r="AG396" s="642">
        <v>0</v>
      </c>
      <c r="AH396" s="642">
        <v>93.844452584108197</v>
      </c>
      <c r="AI396" s="642">
        <v>0</v>
      </c>
      <c r="AJ396" s="642">
        <v>7.1149935986121697</v>
      </c>
      <c r="AK396" s="650">
        <v>147.46890662154581</v>
      </c>
    </row>
    <row r="397" spans="3:37" ht="13.5">
      <c r="C397" s="648" t="s">
        <v>80</v>
      </c>
      <c r="D397" s="642">
        <v>0</v>
      </c>
      <c r="E397" s="642">
        <v>0</v>
      </c>
      <c r="F397" s="642">
        <v>5.2094674308398901</v>
      </c>
      <c r="G397" s="642">
        <v>68.551385920257417</v>
      </c>
      <c r="H397" s="642">
        <v>0</v>
      </c>
      <c r="I397" s="642">
        <v>0</v>
      </c>
      <c r="J397" s="642">
        <v>86.155325304334795</v>
      </c>
      <c r="K397" s="642">
        <v>0</v>
      </c>
      <c r="L397" s="642">
        <v>0</v>
      </c>
      <c r="M397" s="642">
        <v>1.3990078759236206</v>
      </c>
      <c r="N397" s="642">
        <v>66.478227859390046</v>
      </c>
      <c r="O397" s="642">
        <v>2.1206229173139883</v>
      </c>
      <c r="P397" s="642">
        <v>194.47767196350526</v>
      </c>
      <c r="Q397" s="642">
        <v>15.182773802844931</v>
      </c>
      <c r="R397" s="642">
        <v>0</v>
      </c>
      <c r="S397" s="650">
        <v>439.5744830744099</v>
      </c>
      <c r="U397" s="648" t="s">
        <v>80</v>
      </c>
      <c r="V397" s="642">
        <v>0</v>
      </c>
      <c r="W397" s="642">
        <v>0</v>
      </c>
      <c r="X397" s="642">
        <v>0.92826525658471626</v>
      </c>
      <c r="Y397" s="642">
        <v>0</v>
      </c>
      <c r="Z397" s="642">
        <v>0</v>
      </c>
      <c r="AA397" s="642">
        <v>0</v>
      </c>
      <c r="AB397" s="642">
        <v>47.227858114444189</v>
      </c>
      <c r="AC397" s="642">
        <v>0</v>
      </c>
      <c r="AD397" s="642">
        <v>0</v>
      </c>
      <c r="AE397" s="642">
        <v>17.293312779197663</v>
      </c>
      <c r="AF397" s="642">
        <v>108.09916343666818</v>
      </c>
      <c r="AG397" s="642">
        <v>4.9369795689122755</v>
      </c>
      <c r="AH397" s="642">
        <v>137.38519988829395</v>
      </c>
      <c r="AI397" s="642">
        <v>27.91071693101145</v>
      </c>
      <c r="AJ397" s="642">
        <v>0</v>
      </c>
      <c r="AK397" s="650">
        <v>343.78149597511242</v>
      </c>
    </row>
    <row r="398" spans="3:37" ht="13.5">
      <c r="C398" s="648" t="s">
        <v>81</v>
      </c>
      <c r="D398" s="642">
        <v>0</v>
      </c>
      <c r="E398" s="642">
        <v>0</v>
      </c>
      <c r="F398" s="642">
        <v>2.3181271880740835</v>
      </c>
      <c r="G398" s="642">
        <v>62.553452404821357</v>
      </c>
      <c r="H398" s="642">
        <v>0</v>
      </c>
      <c r="I398" s="642">
        <v>0</v>
      </c>
      <c r="J398" s="642">
        <v>3.0090868580403627</v>
      </c>
      <c r="K398" s="642">
        <v>2.5363417285398034E-2</v>
      </c>
      <c r="L398" s="642">
        <v>0</v>
      </c>
      <c r="M398" s="642">
        <v>1.27660106948615</v>
      </c>
      <c r="N398" s="642">
        <v>8.6055350400994808</v>
      </c>
      <c r="O398" s="642">
        <v>0.68093940948821108</v>
      </c>
      <c r="P398" s="642">
        <v>146.08879967332064</v>
      </c>
      <c r="Q398" s="642">
        <v>3.3506823845440552</v>
      </c>
      <c r="R398" s="642">
        <v>0</v>
      </c>
      <c r="S398" s="650">
        <v>227.90858744515972</v>
      </c>
      <c r="U398" s="648" t="s">
        <v>81</v>
      </c>
      <c r="V398" s="642">
        <v>0</v>
      </c>
      <c r="W398" s="642">
        <v>0</v>
      </c>
      <c r="X398" s="642">
        <v>0.55102356567889155</v>
      </c>
      <c r="Y398" s="642">
        <v>0</v>
      </c>
      <c r="Z398" s="642">
        <v>0</v>
      </c>
      <c r="AA398" s="642">
        <v>0</v>
      </c>
      <c r="AB398" s="642">
        <v>6.5361621549849476</v>
      </c>
      <c r="AC398" s="642">
        <v>2.5363417285398034E-2</v>
      </c>
      <c r="AD398" s="642">
        <v>0</v>
      </c>
      <c r="AE398" s="642">
        <v>5.3379988256415478</v>
      </c>
      <c r="AF398" s="642">
        <v>15.069021727073199</v>
      </c>
      <c r="AG398" s="642">
        <v>1.4375946320597892</v>
      </c>
      <c r="AH398" s="642">
        <v>112.31243747223964</v>
      </c>
      <c r="AI398" s="642">
        <v>14.972206075305797</v>
      </c>
      <c r="AJ398" s="642">
        <v>0</v>
      </c>
      <c r="AK398" s="650">
        <v>156.24180787026921</v>
      </c>
    </row>
    <row r="399" spans="3:37" ht="13.5">
      <c r="C399" s="648" t="s">
        <v>82</v>
      </c>
      <c r="D399" s="642">
        <v>0</v>
      </c>
      <c r="E399" s="642">
        <v>0</v>
      </c>
      <c r="F399" s="642">
        <v>27.219719362233906</v>
      </c>
      <c r="G399" s="642">
        <v>0.81069667111944488</v>
      </c>
      <c r="H399" s="642">
        <v>0</v>
      </c>
      <c r="I399" s="642">
        <v>0</v>
      </c>
      <c r="J399" s="642">
        <v>5.0054618408177598</v>
      </c>
      <c r="K399" s="642">
        <v>0</v>
      </c>
      <c r="L399" s="642">
        <v>3.2629555410385191</v>
      </c>
      <c r="M399" s="642">
        <v>1.6544830022845812E-2</v>
      </c>
      <c r="N399" s="642">
        <v>0</v>
      </c>
      <c r="O399" s="642">
        <v>6.051975379409523E-2</v>
      </c>
      <c r="P399" s="642">
        <v>5.5235547180923223</v>
      </c>
      <c r="Q399" s="642">
        <v>0</v>
      </c>
      <c r="R399" s="642">
        <v>0</v>
      </c>
      <c r="S399" s="650">
        <v>41.899452717118898</v>
      </c>
      <c r="U399" s="648" t="s">
        <v>82</v>
      </c>
      <c r="V399" s="642">
        <v>0</v>
      </c>
      <c r="W399" s="642">
        <v>0</v>
      </c>
      <c r="X399" s="642">
        <v>0.67158967449506357</v>
      </c>
      <c r="Y399" s="642">
        <v>0</v>
      </c>
      <c r="Z399" s="642">
        <v>0</v>
      </c>
      <c r="AA399" s="642">
        <v>0</v>
      </c>
      <c r="AB399" s="642">
        <v>5.0054618408177598</v>
      </c>
      <c r="AC399" s="642">
        <v>0</v>
      </c>
      <c r="AD399" s="642">
        <v>35.167200828266267</v>
      </c>
      <c r="AE399" s="642">
        <v>0.86765586771995196</v>
      </c>
      <c r="AF399" s="642">
        <v>0</v>
      </c>
      <c r="AG399" s="642">
        <v>2.1874070050904897</v>
      </c>
      <c r="AH399" s="642">
        <v>5.6657335511185538</v>
      </c>
      <c r="AI399" s="642">
        <v>0</v>
      </c>
      <c r="AJ399" s="642">
        <v>0.44339331184266689</v>
      </c>
      <c r="AK399" s="650">
        <v>50.008442079350758</v>
      </c>
    </row>
    <row r="400" spans="3:37" ht="13.5">
      <c r="C400" s="648" t="s">
        <v>357</v>
      </c>
      <c r="D400" s="642">
        <v>0</v>
      </c>
      <c r="E400" s="642">
        <v>0</v>
      </c>
      <c r="F400" s="642">
        <v>0</v>
      </c>
      <c r="G400" s="642">
        <v>0</v>
      </c>
      <c r="H400" s="642">
        <v>0</v>
      </c>
      <c r="I400" s="642">
        <v>0</v>
      </c>
      <c r="J400" s="642">
        <v>0</v>
      </c>
      <c r="K400" s="642">
        <v>0</v>
      </c>
      <c r="L400" s="642">
        <v>0</v>
      </c>
      <c r="M400" s="642">
        <v>0</v>
      </c>
      <c r="N400" s="642">
        <v>0</v>
      </c>
      <c r="O400" s="642">
        <v>0</v>
      </c>
      <c r="P400" s="642">
        <v>0.44999999999999996</v>
      </c>
      <c r="Q400" s="642">
        <v>0</v>
      </c>
      <c r="R400" s="642">
        <v>0</v>
      </c>
      <c r="S400" s="650">
        <v>0.44999999999999996</v>
      </c>
      <c r="U400" s="648" t="s">
        <v>357</v>
      </c>
      <c r="V400" s="642">
        <v>0</v>
      </c>
      <c r="W400" s="642">
        <v>0</v>
      </c>
      <c r="X400" s="642">
        <v>0</v>
      </c>
      <c r="Y400" s="642">
        <v>0</v>
      </c>
      <c r="Z400" s="642">
        <v>0</v>
      </c>
      <c r="AA400" s="642">
        <v>0</v>
      </c>
      <c r="AB400" s="642">
        <v>0</v>
      </c>
      <c r="AC400" s="642">
        <v>0</v>
      </c>
      <c r="AD400" s="642">
        <v>0</v>
      </c>
      <c r="AE400" s="642">
        <v>0</v>
      </c>
      <c r="AF400" s="642">
        <v>0</v>
      </c>
      <c r="AG400" s="642">
        <v>0</v>
      </c>
      <c r="AH400" s="642">
        <v>6</v>
      </c>
      <c r="AI400" s="642">
        <v>0</v>
      </c>
      <c r="AJ400" s="642">
        <v>0</v>
      </c>
      <c r="AK400" s="650">
        <v>6</v>
      </c>
    </row>
    <row r="401" spans="3:37" ht="13.5">
      <c r="C401" s="646" t="s">
        <v>83</v>
      </c>
      <c r="D401" s="647">
        <v>3.6733927919712848</v>
      </c>
      <c r="E401" s="647">
        <v>0</v>
      </c>
      <c r="F401" s="647">
        <v>271.01966816424783</v>
      </c>
      <c r="G401" s="647">
        <v>255.79122918902203</v>
      </c>
      <c r="H401" s="647">
        <v>0</v>
      </c>
      <c r="I401" s="647">
        <v>0</v>
      </c>
      <c r="J401" s="647">
        <v>116.96131138117599</v>
      </c>
      <c r="K401" s="647">
        <v>1.7266732887522405</v>
      </c>
      <c r="L401" s="647">
        <v>25.166558400865188</v>
      </c>
      <c r="M401" s="647">
        <v>5.238424175077693</v>
      </c>
      <c r="N401" s="647">
        <v>75.083762899489528</v>
      </c>
      <c r="O401" s="647">
        <v>2.8624530156397006</v>
      </c>
      <c r="P401" s="647">
        <v>541.90719860025752</v>
      </c>
      <c r="Q401" s="647">
        <v>34.744016552062419</v>
      </c>
      <c r="R401" s="647">
        <v>3.1559026365968594</v>
      </c>
      <c r="S401" s="647">
        <v>1337.3305910951583</v>
      </c>
      <c r="U401" s="646" t="s">
        <v>83</v>
      </c>
      <c r="V401" s="647">
        <v>1.5000162600463405</v>
      </c>
      <c r="W401" s="647">
        <v>0</v>
      </c>
      <c r="X401" s="647">
        <v>11.642988856720871</v>
      </c>
      <c r="Y401" s="647">
        <v>0</v>
      </c>
      <c r="Z401" s="647">
        <v>0</v>
      </c>
      <c r="AA401" s="647">
        <v>0</v>
      </c>
      <c r="AB401" s="647">
        <v>72.998047331393281</v>
      </c>
      <c r="AC401" s="647">
        <v>4.1448350868904589</v>
      </c>
      <c r="AD401" s="647">
        <v>56.30488079443672</v>
      </c>
      <c r="AE401" s="647">
        <v>108.92560601395611</v>
      </c>
      <c r="AF401" s="647">
        <v>123.16818516374138</v>
      </c>
      <c r="AG401" s="647">
        <v>8.5623521411059595</v>
      </c>
      <c r="AH401" s="647">
        <v>512.22753841958684</v>
      </c>
      <c r="AI401" s="647">
        <v>68.423763504668656</v>
      </c>
      <c r="AJ401" s="647">
        <v>16.512616402642333</v>
      </c>
      <c r="AK401" s="647">
        <v>984.4108299751889</v>
      </c>
    </row>
    <row r="402" spans="3:37" ht="13.5">
      <c r="C402" s="641" t="s">
        <v>84</v>
      </c>
      <c r="D402" s="642">
        <v>0</v>
      </c>
      <c r="E402" s="642">
        <v>0</v>
      </c>
      <c r="F402" s="642">
        <v>100.05515171814793</v>
      </c>
      <c r="G402" s="642">
        <v>11.196954266678716</v>
      </c>
      <c r="H402" s="642">
        <v>0</v>
      </c>
      <c r="I402" s="642">
        <v>0</v>
      </c>
      <c r="J402" s="642">
        <v>0</v>
      </c>
      <c r="K402" s="642">
        <v>0</v>
      </c>
      <c r="L402" s="642">
        <v>0</v>
      </c>
      <c r="M402" s="642">
        <v>0</v>
      </c>
      <c r="N402" s="642">
        <v>0</v>
      </c>
      <c r="O402" s="642">
        <v>0</v>
      </c>
      <c r="P402" s="642">
        <v>0</v>
      </c>
      <c r="Q402" s="642">
        <v>0</v>
      </c>
      <c r="R402" s="642">
        <v>3.9154347726113912</v>
      </c>
      <c r="S402" s="650">
        <v>115.16754075743803</v>
      </c>
      <c r="U402" s="641" t="s">
        <v>84</v>
      </c>
      <c r="V402" s="642">
        <v>0</v>
      </c>
      <c r="W402" s="642">
        <v>0</v>
      </c>
      <c r="X402" s="642">
        <v>57.953190468871433</v>
      </c>
      <c r="Y402" s="642">
        <v>0.51452681198611927</v>
      </c>
      <c r="Z402" s="642">
        <v>0</v>
      </c>
      <c r="AA402" s="642">
        <v>0</v>
      </c>
      <c r="AB402" s="642">
        <v>0</v>
      </c>
      <c r="AC402" s="642">
        <v>0</v>
      </c>
      <c r="AD402" s="642">
        <v>30.108432000732424</v>
      </c>
      <c r="AE402" s="642">
        <v>0</v>
      </c>
      <c r="AF402" s="642">
        <v>0</v>
      </c>
      <c r="AG402" s="642">
        <v>0</v>
      </c>
      <c r="AH402" s="642">
        <v>0</v>
      </c>
      <c r="AI402" s="642">
        <v>0</v>
      </c>
      <c r="AJ402" s="642">
        <v>20.543554244995118</v>
      </c>
      <c r="AK402" s="650">
        <v>109.1197035265851</v>
      </c>
    </row>
    <row r="403" spans="3:37" ht="13.5">
      <c r="C403" s="646" t="s">
        <v>85</v>
      </c>
      <c r="D403" s="647">
        <v>3.6733927919712848</v>
      </c>
      <c r="E403" s="647">
        <v>0</v>
      </c>
      <c r="F403" s="647">
        <v>371.07481988239573</v>
      </c>
      <c r="G403" s="647">
        <v>266.98818345570078</v>
      </c>
      <c r="H403" s="647">
        <v>0</v>
      </c>
      <c r="I403" s="647">
        <v>0</v>
      </c>
      <c r="J403" s="647">
        <v>116.96131138117599</v>
      </c>
      <c r="K403" s="647">
        <v>1.7266732887522405</v>
      </c>
      <c r="L403" s="647">
        <v>25.166558400865188</v>
      </c>
      <c r="M403" s="647">
        <v>5.238424175077693</v>
      </c>
      <c r="N403" s="647">
        <v>75.083762899489528</v>
      </c>
      <c r="O403" s="647">
        <v>2.8624530156397006</v>
      </c>
      <c r="P403" s="647">
        <v>541.90719860025752</v>
      </c>
      <c r="Q403" s="647">
        <v>34.744016552062419</v>
      </c>
      <c r="R403" s="647">
        <v>7.071337409208251</v>
      </c>
      <c r="S403" s="647">
        <v>1452.4981318525963</v>
      </c>
      <c r="U403" s="646" t="s">
        <v>85</v>
      </c>
      <c r="V403" s="647">
        <v>1.5000162600463405</v>
      </c>
      <c r="W403" s="647">
        <v>0</v>
      </c>
      <c r="X403" s="647">
        <v>69.596179325592303</v>
      </c>
      <c r="Y403" s="647">
        <v>0.51452681198611927</v>
      </c>
      <c r="Z403" s="647">
        <v>0</v>
      </c>
      <c r="AA403" s="647">
        <v>0</v>
      </c>
      <c r="AB403" s="647">
        <v>72.998047331393281</v>
      </c>
      <c r="AC403" s="647">
        <v>4.1448350868904589</v>
      </c>
      <c r="AD403" s="647">
        <v>86.413312795169148</v>
      </c>
      <c r="AE403" s="647">
        <v>108.92560601395611</v>
      </c>
      <c r="AF403" s="647">
        <v>123.16818516374138</v>
      </c>
      <c r="AG403" s="647">
        <v>8.5623521411059595</v>
      </c>
      <c r="AH403" s="647">
        <v>512.22753841958684</v>
      </c>
      <c r="AI403" s="647">
        <v>68.423763504668656</v>
      </c>
      <c r="AJ403" s="647">
        <v>37.056170647637451</v>
      </c>
      <c r="AK403" s="647">
        <v>1093.530533501774</v>
      </c>
    </row>
    <row r="404" spans="3:37" ht="13">
      <c r="C404" s="636"/>
      <c r="D404" s="636"/>
      <c r="E404" s="636"/>
      <c r="F404" s="636"/>
      <c r="G404" s="636"/>
      <c r="H404" s="636"/>
      <c r="I404" s="636"/>
      <c r="J404" s="636"/>
      <c r="K404" s="636"/>
      <c r="L404" s="636"/>
      <c r="M404" s="636"/>
      <c r="N404" s="636"/>
      <c r="O404" s="636"/>
      <c r="P404" s="636"/>
      <c r="Q404" s="636"/>
      <c r="R404" s="636"/>
      <c r="S404" s="636"/>
      <c r="U404" s="636"/>
      <c r="V404" s="636"/>
      <c r="W404" s="636"/>
      <c r="X404" s="636"/>
      <c r="Y404" s="636"/>
      <c r="Z404" s="636"/>
      <c r="AA404" s="636"/>
      <c r="AB404" s="636"/>
      <c r="AC404" s="636"/>
      <c r="AD404" s="636"/>
      <c r="AE404" s="636"/>
      <c r="AF404" s="636"/>
      <c r="AG404" s="636"/>
      <c r="AH404" s="636"/>
      <c r="AI404" s="636"/>
      <c r="AJ404" s="636"/>
      <c r="AK404" s="636"/>
    </row>
    <row r="405" spans="3:37" ht="13">
      <c r="C405" s="636"/>
      <c r="D405" s="636"/>
      <c r="E405" s="636"/>
      <c r="F405" s="636"/>
      <c r="G405" s="636"/>
      <c r="H405" s="636"/>
      <c r="I405" s="636"/>
      <c r="J405" s="636"/>
      <c r="K405" s="636"/>
      <c r="L405" s="636"/>
      <c r="M405" s="636"/>
      <c r="N405" s="636"/>
      <c r="O405" s="636"/>
      <c r="P405" s="636"/>
      <c r="Q405" s="636"/>
      <c r="R405" s="636"/>
      <c r="S405" s="636"/>
      <c r="U405" s="636"/>
      <c r="V405" s="636"/>
      <c r="W405" s="636"/>
      <c r="X405" s="636"/>
      <c r="Y405" s="636"/>
      <c r="Z405" s="636"/>
      <c r="AA405" s="636"/>
      <c r="AB405" s="636"/>
      <c r="AC405" s="636"/>
      <c r="AD405" s="636"/>
      <c r="AE405" s="636"/>
      <c r="AF405" s="636"/>
      <c r="AG405" s="636"/>
      <c r="AH405" s="636"/>
      <c r="AI405" s="636"/>
      <c r="AJ405" s="636"/>
      <c r="AK405" s="636"/>
    </row>
  </sheetData>
  <mergeCells count="288">
    <mergeCell ref="AI371:AI372"/>
    <mergeCell ref="AJ371:AJ372"/>
    <mergeCell ref="AK371:AK372"/>
    <mergeCell ref="W371:W372"/>
    <mergeCell ref="X371:X372"/>
    <mergeCell ref="Y371:Y372"/>
    <mergeCell ref="Z371:Z372"/>
    <mergeCell ref="C371:C372"/>
    <mergeCell ref="D371:D372"/>
    <mergeCell ref="E371:E372"/>
    <mergeCell ref="F371:F372"/>
    <mergeCell ref="G371:G372"/>
    <mergeCell ref="H371:H372"/>
    <mergeCell ref="I371:I372"/>
    <mergeCell ref="J371:O371"/>
    <mergeCell ref="AH371:AH372"/>
    <mergeCell ref="AH335:AH336"/>
    <mergeCell ref="AI335:AI336"/>
    <mergeCell ref="AJ335:AJ336"/>
    <mergeCell ref="AK335:AK336"/>
    <mergeCell ref="U335:U336"/>
    <mergeCell ref="V335:V336"/>
    <mergeCell ref="W335:W336"/>
    <mergeCell ref="X335:X336"/>
    <mergeCell ref="Y335:Y336"/>
    <mergeCell ref="Z335:Z336"/>
    <mergeCell ref="AA371:AA372"/>
    <mergeCell ref="AB371:AG371"/>
    <mergeCell ref="I335:I336"/>
    <mergeCell ref="J335:O335"/>
    <mergeCell ref="P335:P336"/>
    <mergeCell ref="Q335:Q336"/>
    <mergeCell ref="R335:R336"/>
    <mergeCell ref="S335:S336"/>
    <mergeCell ref="C335:C336"/>
    <mergeCell ref="D335:D336"/>
    <mergeCell ref="E335:E336"/>
    <mergeCell ref="F335:F336"/>
    <mergeCell ref="G335:G336"/>
    <mergeCell ref="H335:H336"/>
    <mergeCell ref="AA335:AA336"/>
    <mergeCell ref="AB335:AG335"/>
    <mergeCell ref="P371:P372"/>
    <mergeCell ref="Q371:Q372"/>
    <mergeCell ref="R371:R372"/>
    <mergeCell ref="S371:S372"/>
    <mergeCell ref="U371:U372"/>
    <mergeCell ref="V371:V372"/>
    <mergeCell ref="C369:S369"/>
    <mergeCell ref="U369:AK369"/>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I263:I264"/>
    <mergeCell ref="J263:O263"/>
    <mergeCell ref="P263:P264"/>
    <mergeCell ref="Q263:Q264"/>
    <mergeCell ref="R263:R264"/>
    <mergeCell ref="S263:S264"/>
    <mergeCell ref="C263:C264"/>
    <mergeCell ref="D263:D264"/>
    <mergeCell ref="E263:E264"/>
    <mergeCell ref="F263:F264"/>
    <mergeCell ref="G263:G264"/>
    <mergeCell ref="H263:H264"/>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I191:I192"/>
    <mergeCell ref="J191:O191"/>
    <mergeCell ref="P191:P192"/>
    <mergeCell ref="Q191:Q192"/>
    <mergeCell ref="R191:R192"/>
    <mergeCell ref="S191:S192"/>
    <mergeCell ref="C191:C192"/>
    <mergeCell ref="D191:D192"/>
    <mergeCell ref="E191:E192"/>
    <mergeCell ref="F191:F192"/>
    <mergeCell ref="G191:G192"/>
    <mergeCell ref="H191:H192"/>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I119:I120"/>
    <mergeCell ref="J119:O119"/>
    <mergeCell ref="P119:P120"/>
    <mergeCell ref="Q119:Q120"/>
    <mergeCell ref="R119:R120"/>
    <mergeCell ref="S119:S120"/>
    <mergeCell ref="C119:C120"/>
    <mergeCell ref="D119:D120"/>
    <mergeCell ref="E119:E120"/>
    <mergeCell ref="F119:F120"/>
    <mergeCell ref="G119:G120"/>
    <mergeCell ref="H119:H120"/>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AA47:AA48"/>
    <mergeCell ref="AB47:AG47"/>
    <mergeCell ref="AH47:AH48"/>
    <mergeCell ref="AI47:AI48"/>
    <mergeCell ref="AJ47:AJ48"/>
    <mergeCell ref="AK47:AK48"/>
    <mergeCell ref="U47:U48"/>
    <mergeCell ref="V47:V48"/>
    <mergeCell ref="W47:W48"/>
    <mergeCell ref="X47:X48"/>
    <mergeCell ref="Y47:Y48"/>
    <mergeCell ref="Z47:Z48"/>
    <mergeCell ref="I47:I48"/>
    <mergeCell ref="J47:O47"/>
    <mergeCell ref="P47:P48"/>
    <mergeCell ref="Q47:Q48"/>
    <mergeCell ref="R47:R48"/>
    <mergeCell ref="S47:S48"/>
    <mergeCell ref="C47:C48"/>
    <mergeCell ref="D47:D48"/>
    <mergeCell ref="E47:E48"/>
    <mergeCell ref="F47:F48"/>
    <mergeCell ref="G47:G48"/>
    <mergeCell ref="H47:H48"/>
    <mergeCell ref="C45:S45"/>
    <mergeCell ref="U45:AK45"/>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372">
    <cfRule type="cellIs" dxfId="19389" priority="1" operator="equal">
      <formula>0</formula>
    </cfRule>
  </conditionalFormatting>
  <conditionalFormatting sqref="P15:S17 E15:I17 J15:O16 Q12:S14 G12:G14 D12:D17 D18:S18">
    <cfRule type="cellIs" dxfId="19388" priority="1067" operator="equal">
      <formula>0</formula>
    </cfRule>
  </conditionalFormatting>
  <conditionalFormatting sqref="P12:P17">
    <cfRule type="cellIs" dxfId="19387" priority="1068" operator="equal">
      <formula>0</formula>
    </cfRule>
  </conditionalFormatting>
  <conditionalFormatting sqref="D12:E17 H12:I17">
    <cfRule type="cellIs" dxfId="19386" priority="1069" operator="equal">
      <formula>0</formula>
    </cfRule>
  </conditionalFormatting>
  <conditionalFormatting sqref="F12:F17">
    <cfRule type="cellIs" dxfId="19385" priority="1070" operator="equal">
      <formula>0</formula>
    </cfRule>
  </conditionalFormatting>
  <conditionalFormatting sqref="J15:J17">
    <cfRule type="cellIs" dxfId="19384" priority="1071" operator="equal">
      <formula>0</formula>
    </cfRule>
  </conditionalFormatting>
  <conditionalFormatting sqref="J12:J17 K12:O12">
    <cfRule type="cellIs" dxfId="19383" priority="1072" operator="equal">
      <formula>0</formula>
    </cfRule>
  </conditionalFormatting>
  <conditionalFormatting sqref="K15:K17">
    <cfRule type="cellIs" dxfId="19382" priority="1073" operator="equal">
      <formula>0</formula>
    </cfRule>
  </conditionalFormatting>
  <conditionalFormatting sqref="K12:K17">
    <cfRule type="cellIs" dxfId="19381" priority="1074" operator="equal">
      <formula>0</formula>
    </cfRule>
  </conditionalFormatting>
  <conditionalFormatting sqref="L15:L17">
    <cfRule type="cellIs" dxfId="19380" priority="1075" operator="equal">
      <formula>0</formula>
    </cfRule>
  </conditionalFormatting>
  <conditionalFormatting sqref="L12:L17">
    <cfRule type="cellIs" dxfId="19379" priority="1076" operator="equal">
      <formula>0</formula>
    </cfRule>
  </conditionalFormatting>
  <conditionalFormatting sqref="M15:M17">
    <cfRule type="cellIs" dxfId="19378" priority="1077" operator="equal">
      <formula>0</formula>
    </cfRule>
  </conditionalFormatting>
  <conditionalFormatting sqref="M12:M17">
    <cfRule type="cellIs" dxfId="19377" priority="1078" operator="equal">
      <formula>0</formula>
    </cfRule>
  </conditionalFormatting>
  <conditionalFormatting sqref="N15:N17">
    <cfRule type="cellIs" dxfId="19376" priority="1079" operator="equal">
      <formula>0</formula>
    </cfRule>
  </conditionalFormatting>
  <conditionalFormatting sqref="N12:N17">
    <cfRule type="cellIs" dxfId="19375" priority="1080" operator="equal">
      <formula>0</formula>
    </cfRule>
  </conditionalFormatting>
  <conditionalFormatting sqref="O15:O17">
    <cfRule type="cellIs" dxfId="19374" priority="1081" operator="equal">
      <formula>0</formula>
    </cfRule>
  </conditionalFormatting>
  <conditionalFormatting sqref="O12:O17">
    <cfRule type="cellIs" dxfId="19373" priority="1082" operator="equal">
      <formula>0</formula>
    </cfRule>
  </conditionalFormatting>
  <conditionalFormatting sqref="D12:S18">
    <cfRule type="expression" dxfId="19372" priority="1083">
      <formula>LEN(TRIM(D12))=0</formula>
    </cfRule>
  </conditionalFormatting>
  <conditionalFormatting sqref="L15:L16">
    <cfRule type="cellIs" dxfId="19371" priority="1084" operator="equal">
      <formula>0</formula>
    </cfRule>
  </conditionalFormatting>
  <conditionalFormatting sqref="M15:M16">
    <cfRule type="cellIs" dxfId="19370" priority="1085" operator="equal">
      <formula>0</formula>
    </cfRule>
  </conditionalFormatting>
  <conditionalFormatting sqref="N15:O15">
    <cfRule type="cellIs" dxfId="19369" priority="1086" operator="equal">
      <formula>0</formula>
    </cfRule>
  </conditionalFormatting>
  <conditionalFormatting sqref="N16:O16">
    <cfRule type="cellIs" dxfId="19368" priority="1087" operator="equal">
      <formula>0</formula>
    </cfRule>
  </conditionalFormatting>
  <conditionalFormatting sqref="E29:G29 D30:G31 H29:I31 D25:I28 J25:R31 D20:S20 D32:R32 D21:I22 S21:S32 P21:R22">
    <cfRule type="cellIs" dxfId="19367" priority="1061" operator="equal">
      <formula>0</formula>
    </cfRule>
  </conditionalFormatting>
  <conditionalFormatting sqref="D29">
    <cfRule type="cellIs" dxfId="19366" priority="1062" operator="equal">
      <formula>0</formula>
    </cfRule>
  </conditionalFormatting>
  <conditionalFormatting sqref="D20:S20 D25:R32 D21:I22 S21:S32 P21:R22">
    <cfRule type="expression" dxfId="19365" priority="1063">
      <formula>LEN(TRIM(D20))=0</formula>
    </cfRule>
  </conditionalFormatting>
  <conditionalFormatting sqref="D23:R24">
    <cfRule type="cellIs" dxfId="19364" priority="1064" operator="equal">
      <formula>0</formula>
    </cfRule>
  </conditionalFormatting>
  <conditionalFormatting sqref="P23:P24">
    <cfRule type="cellIs" dxfId="19363" priority="1065" operator="equal">
      <formula>0</formula>
    </cfRule>
  </conditionalFormatting>
  <conditionalFormatting sqref="D23:R24">
    <cfRule type="expression" dxfId="19362" priority="1066">
      <formula>LEN(TRIM(D23))=0</formula>
    </cfRule>
  </conditionalFormatting>
  <conditionalFormatting sqref="J21:O22">
    <cfRule type="cellIs" dxfId="19361" priority="1059" operator="equal">
      <formula>0</formula>
    </cfRule>
  </conditionalFormatting>
  <conditionalFormatting sqref="J21:O22">
    <cfRule type="expression" dxfId="19360" priority="1060">
      <formula>LEN(TRIM(J21))=0</formula>
    </cfRule>
  </conditionalFormatting>
  <conditionalFormatting sqref="D35:R40 S34:S39 S41 D34:I34 P34:R34">
    <cfRule type="cellIs" dxfId="19359" priority="1053" operator="equal">
      <formula>0</formula>
    </cfRule>
  </conditionalFormatting>
  <conditionalFormatting sqref="D41:R41">
    <cfRule type="cellIs" dxfId="19358" priority="1054" operator="equal">
      <formula>0</formula>
    </cfRule>
  </conditionalFormatting>
  <conditionalFormatting sqref="D35:S39 D41:S41 D40:R40 D34:I34 P34:S34">
    <cfRule type="expression" dxfId="19357" priority="1055">
      <formula>LEN(TRIM(D34))=0</formula>
    </cfRule>
  </conditionalFormatting>
  <conditionalFormatting sqref="D41:R41">
    <cfRule type="cellIs" dxfId="19356" priority="1056" operator="equal">
      <formula>0</formula>
    </cfRule>
  </conditionalFormatting>
  <conditionalFormatting sqref="D42:R42">
    <cfRule type="cellIs" dxfId="19355" priority="1057" operator="equal">
      <formula>0</formula>
    </cfRule>
  </conditionalFormatting>
  <conditionalFormatting sqref="D42:R42">
    <cfRule type="expression" dxfId="19354" priority="1058">
      <formula>LEN(TRIM(D42))=0</formula>
    </cfRule>
  </conditionalFormatting>
  <conditionalFormatting sqref="S42">
    <cfRule type="cellIs" dxfId="19353" priority="1051" operator="equal">
      <formula>0</formula>
    </cfRule>
  </conditionalFormatting>
  <conditionalFormatting sqref="S42">
    <cfRule type="expression" dxfId="19352" priority="1052">
      <formula>LEN(TRIM(S42))=0</formula>
    </cfRule>
  </conditionalFormatting>
  <conditionalFormatting sqref="S40">
    <cfRule type="cellIs" dxfId="19351" priority="1049" operator="equal">
      <formula>0</formula>
    </cfRule>
  </conditionalFormatting>
  <conditionalFormatting sqref="S40">
    <cfRule type="expression" dxfId="19350" priority="1050">
      <formula>LEN(TRIM(S40))=0</formula>
    </cfRule>
  </conditionalFormatting>
  <conditionalFormatting sqref="J34:O34">
    <cfRule type="cellIs" dxfId="19349" priority="1047" operator="equal">
      <formula>0</formula>
    </cfRule>
  </conditionalFormatting>
  <conditionalFormatting sqref="J34:O34">
    <cfRule type="expression" dxfId="19348" priority="1048">
      <formula>LEN(TRIM(J34))=0</formula>
    </cfRule>
  </conditionalFormatting>
  <conditionalFormatting sqref="P52:S54 E52:I54 J52:O53 Q49:S51 G49:G51 D49:D54 D55:S55">
    <cfRule type="cellIs" dxfId="19347" priority="1026" operator="equal">
      <formula>0</formula>
    </cfRule>
  </conditionalFormatting>
  <conditionalFormatting sqref="P49:P54">
    <cfRule type="cellIs" dxfId="19346" priority="1027" operator="equal">
      <formula>0</formula>
    </cfRule>
  </conditionalFormatting>
  <conditionalFormatting sqref="D49:E54 H49:I54">
    <cfRule type="cellIs" dxfId="19345" priority="1028" operator="equal">
      <formula>0</formula>
    </cfRule>
  </conditionalFormatting>
  <conditionalFormatting sqref="F49:F54">
    <cfRule type="cellIs" dxfId="19344" priority="1029" operator="equal">
      <formula>0</formula>
    </cfRule>
  </conditionalFormatting>
  <conditionalFormatting sqref="J52:J54">
    <cfRule type="cellIs" dxfId="19343" priority="1030" operator="equal">
      <formula>0</formula>
    </cfRule>
  </conditionalFormatting>
  <conditionalFormatting sqref="J49:J54 K49:O49">
    <cfRule type="cellIs" dxfId="19342" priority="1031" operator="equal">
      <formula>0</formula>
    </cfRule>
  </conditionalFormatting>
  <conditionalFormatting sqref="K52:K54">
    <cfRule type="cellIs" dxfId="19341" priority="1032" operator="equal">
      <formula>0</formula>
    </cfRule>
  </conditionalFormatting>
  <conditionalFormatting sqref="K49:K54">
    <cfRule type="cellIs" dxfId="19340" priority="1033" operator="equal">
      <formula>0</formula>
    </cfRule>
  </conditionalFormatting>
  <conditionalFormatting sqref="L52:L54">
    <cfRule type="cellIs" dxfId="19339" priority="1034" operator="equal">
      <formula>0</formula>
    </cfRule>
  </conditionalFormatting>
  <conditionalFormatting sqref="L49:L54">
    <cfRule type="cellIs" dxfId="19338" priority="1035" operator="equal">
      <formula>0</formula>
    </cfRule>
  </conditionalFormatting>
  <conditionalFormatting sqref="M52:M54">
    <cfRule type="cellIs" dxfId="19337" priority="1036" operator="equal">
      <formula>0</formula>
    </cfRule>
  </conditionalFormatting>
  <conditionalFormatting sqref="M49:M54">
    <cfRule type="cellIs" dxfId="19336" priority="1037" operator="equal">
      <formula>0</formula>
    </cfRule>
  </conditionalFormatting>
  <conditionalFormatting sqref="N52:N54">
    <cfRule type="cellIs" dxfId="19335" priority="1038" operator="equal">
      <formula>0</formula>
    </cfRule>
  </conditionalFormatting>
  <conditionalFormatting sqref="N49:N54">
    <cfRule type="cellIs" dxfId="19334" priority="1039" operator="equal">
      <formula>0</formula>
    </cfRule>
  </conditionalFormatting>
  <conditionalFormatting sqref="O52:O54">
    <cfRule type="cellIs" dxfId="19333" priority="1040" operator="equal">
      <formula>0</formula>
    </cfRule>
  </conditionalFormatting>
  <conditionalFormatting sqref="O49:O54">
    <cfRule type="cellIs" dxfId="19332" priority="1041" operator="equal">
      <formula>0</formula>
    </cfRule>
  </conditionalFormatting>
  <conditionalFormatting sqref="D49:S55">
    <cfRule type="expression" dxfId="19331" priority="1042">
      <formula>LEN(TRIM(D49))=0</formula>
    </cfRule>
  </conditionalFormatting>
  <conditionalFormatting sqref="L52:L53">
    <cfRule type="cellIs" dxfId="19330" priority="1043" operator="equal">
      <formula>0</formula>
    </cfRule>
  </conditionalFormatting>
  <conditionalFormatting sqref="M52:M53">
    <cfRule type="cellIs" dxfId="19329" priority="1044" operator="equal">
      <formula>0</formula>
    </cfRule>
  </conditionalFormatting>
  <conditionalFormatting sqref="N52:O52">
    <cfRule type="cellIs" dxfId="19328" priority="1045" operator="equal">
      <formula>0</formula>
    </cfRule>
  </conditionalFormatting>
  <conditionalFormatting sqref="N53:O53">
    <cfRule type="cellIs" dxfId="19327" priority="1046" operator="equal">
      <formula>0</formula>
    </cfRule>
  </conditionalFormatting>
  <conditionalFormatting sqref="E66:G66 D67:G68 H66:I68 D62:I65 J62:R68 D57:S57 D69:R69 D58:I59 S58:S69 P58:R59">
    <cfRule type="cellIs" dxfId="19326" priority="1020" operator="equal">
      <formula>0</formula>
    </cfRule>
  </conditionalFormatting>
  <conditionalFormatting sqref="D66">
    <cfRule type="cellIs" dxfId="19325" priority="1021" operator="equal">
      <formula>0</formula>
    </cfRule>
  </conditionalFormatting>
  <conditionalFormatting sqref="D57:S57 D62:R69 D58:I59 S58:S69 P58:R59">
    <cfRule type="expression" dxfId="19324" priority="1022">
      <formula>LEN(TRIM(D57))=0</formula>
    </cfRule>
  </conditionalFormatting>
  <conditionalFormatting sqref="D60:R61">
    <cfRule type="cellIs" dxfId="19323" priority="1023" operator="equal">
      <formula>0</formula>
    </cfRule>
  </conditionalFormatting>
  <conditionalFormatting sqref="P60:P61">
    <cfRule type="cellIs" dxfId="19322" priority="1024" operator="equal">
      <formula>0</formula>
    </cfRule>
  </conditionalFormatting>
  <conditionalFormatting sqref="D60:R61">
    <cfRule type="expression" dxfId="19321" priority="1025">
      <formula>LEN(TRIM(D60))=0</formula>
    </cfRule>
  </conditionalFormatting>
  <conditionalFormatting sqref="J58:O59">
    <cfRule type="cellIs" dxfId="19320" priority="1018" operator="equal">
      <formula>0</formula>
    </cfRule>
  </conditionalFormatting>
  <conditionalFormatting sqref="J58:O59">
    <cfRule type="expression" dxfId="19319" priority="1019">
      <formula>LEN(TRIM(J58))=0</formula>
    </cfRule>
  </conditionalFormatting>
  <conditionalFormatting sqref="D72:R77 S71:S76 S78 D71:I71 P71:R71">
    <cfRule type="cellIs" dxfId="19318" priority="1012" operator="equal">
      <formula>0</formula>
    </cfRule>
  </conditionalFormatting>
  <conditionalFormatting sqref="D78:R78">
    <cfRule type="cellIs" dxfId="19317" priority="1013" operator="equal">
      <formula>0</formula>
    </cfRule>
  </conditionalFormatting>
  <conditionalFormatting sqref="D72:S76 D78:S78 D77:R77 D71:I71 P71:S71">
    <cfRule type="expression" dxfId="19316" priority="1014">
      <formula>LEN(TRIM(D71))=0</formula>
    </cfRule>
  </conditionalFormatting>
  <conditionalFormatting sqref="D78:R78">
    <cfRule type="cellIs" dxfId="19315" priority="1015" operator="equal">
      <formula>0</formula>
    </cfRule>
  </conditionalFormatting>
  <conditionalFormatting sqref="D79:R79">
    <cfRule type="cellIs" dxfId="19314" priority="1016" operator="equal">
      <formula>0</formula>
    </cfRule>
  </conditionalFormatting>
  <conditionalFormatting sqref="D79:R79">
    <cfRule type="expression" dxfId="19313" priority="1017">
      <formula>LEN(TRIM(D79))=0</formula>
    </cfRule>
  </conditionalFormatting>
  <conditionalFormatting sqref="S79">
    <cfRule type="cellIs" dxfId="19312" priority="1010" operator="equal">
      <formula>0</formula>
    </cfRule>
  </conditionalFormatting>
  <conditionalFormatting sqref="S79">
    <cfRule type="expression" dxfId="19311" priority="1011">
      <formula>LEN(TRIM(S79))=0</formula>
    </cfRule>
  </conditionalFormatting>
  <conditionalFormatting sqref="S77">
    <cfRule type="cellIs" dxfId="19310" priority="1008" operator="equal">
      <formula>0</formula>
    </cfRule>
  </conditionalFormatting>
  <conditionalFormatting sqref="S77">
    <cfRule type="expression" dxfId="19309" priority="1009">
      <formula>LEN(TRIM(S77))=0</formula>
    </cfRule>
  </conditionalFormatting>
  <conditionalFormatting sqref="J71:O71">
    <cfRule type="cellIs" dxfId="19308" priority="1006" operator="equal">
      <formula>0</formula>
    </cfRule>
  </conditionalFormatting>
  <conditionalFormatting sqref="J71:O71">
    <cfRule type="expression" dxfId="19307" priority="1007">
      <formula>LEN(TRIM(J71))=0</formula>
    </cfRule>
  </conditionalFormatting>
  <conditionalFormatting sqref="P88:S90 E88:I90 J88:O89 Q85:S87 G85:G87 D85:D90 D91:S91">
    <cfRule type="cellIs" dxfId="19306" priority="985" operator="equal">
      <formula>0</formula>
    </cfRule>
  </conditionalFormatting>
  <conditionalFormatting sqref="P85:P90">
    <cfRule type="cellIs" dxfId="19305" priority="986" operator="equal">
      <formula>0</formula>
    </cfRule>
  </conditionalFormatting>
  <conditionalFormatting sqref="D85:E90 H85:I90">
    <cfRule type="cellIs" dxfId="19304" priority="987" operator="equal">
      <formula>0</formula>
    </cfRule>
  </conditionalFormatting>
  <conditionalFormatting sqref="F85:F90">
    <cfRule type="cellIs" dxfId="19303" priority="988" operator="equal">
      <formula>0</formula>
    </cfRule>
  </conditionalFormatting>
  <conditionalFormatting sqref="J88:J90">
    <cfRule type="cellIs" dxfId="19302" priority="989" operator="equal">
      <formula>0</formula>
    </cfRule>
  </conditionalFormatting>
  <conditionalFormatting sqref="J85:J90 K85:O85">
    <cfRule type="cellIs" dxfId="19301" priority="990" operator="equal">
      <formula>0</formula>
    </cfRule>
  </conditionalFormatting>
  <conditionalFormatting sqref="K88:K90">
    <cfRule type="cellIs" dxfId="19300" priority="991" operator="equal">
      <formula>0</formula>
    </cfRule>
  </conditionalFormatting>
  <conditionalFormatting sqref="K85:K90">
    <cfRule type="cellIs" dxfId="19299" priority="992" operator="equal">
      <formula>0</formula>
    </cfRule>
  </conditionalFormatting>
  <conditionalFormatting sqref="L88:L90">
    <cfRule type="cellIs" dxfId="19298" priority="993" operator="equal">
      <formula>0</formula>
    </cfRule>
  </conditionalFormatting>
  <conditionalFormatting sqref="L85:L90">
    <cfRule type="cellIs" dxfId="19297" priority="994" operator="equal">
      <formula>0</formula>
    </cfRule>
  </conditionalFormatting>
  <conditionalFormatting sqref="M88:M90">
    <cfRule type="cellIs" dxfId="19296" priority="995" operator="equal">
      <formula>0</formula>
    </cfRule>
  </conditionalFormatting>
  <conditionalFormatting sqref="M85:M90">
    <cfRule type="cellIs" dxfId="19295" priority="996" operator="equal">
      <formula>0</formula>
    </cfRule>
  </conditionalFormatting>
  <conditionalFormatting sqref="N88:N90">
    <cfRule type="cellIs" dxfId="19294" priority="997" operator="equal">
      <formula>0</formula>
    </cfRule>
  </conditionalFormatting>
  <conditionalFormatting sqref="N85:N90">
    <cfRule type="cellIs" dxfId="19293" priority="998" operator="equal">
      <formula>0</formula>
    </cfRule>
  </conditionalFormatting>
  <conditionalFormatting sqref="O88:O90">
    <cfRule type="cellIs" dxfId="19292" priority="999" operator="equal">
      <formula>0</formula>
    </cfRule>
  </conditionalFormatting>
  <conditionalFormatting sqref="O85:O90">
    <cfRule type="cellIs" dxfId="19291" priority="1000" operator="equal">
      <formula>0</formula>
    </cfRule>
  </conditionalFormatting>
  <conditionalFormatting sqref="D85:S91">
    <cfRule type="expression" dxfId="19290" priority="1001">
      <formula>LEN(TRIM(D85))=0</formula>
    </cfRule>
  </conditionalFormatting>
  <conditionalFormatting sqref="L88:L89">
    <cfRule type="cellIs" dxfId="19289" priority="1002" operator="equal">
      <formula>0</formula>
    </cfRule>
  </conditionalFormatting>
  <conditionalFormatting sqref="M88:M89">
    <cfRule type="cellIs" dxfId="19288" priority="1003" operator="equal">
      <formula>0</formula>
    </cfRule>
  </conditionalFormatting>
  <conditionalFormatting sqref="N88:O88">
    <cfRule type="cellIs" dxfId="19287" priority="1004" operator="equal">
      <formula>0</formula>
    </cfRule>
  </conditionalFormatting>
  <conditionalFormatting sqref="N89:O89">
    <cfRule type="cellIs" dxfId="19286" priority="1005" operator="equal">
      <formula>0</formula>
    </cfRule>
  </conditionalFormatting>
  <conditionalFormatting sqref="E102:G102 D103:G104 H102:I104 D98:I101 J98:R104 D93:S93 D105:R105 D94:I95 S94:S105 P94:R95">
    <cfRule type="cellIs" dxfId="19285" priority="979" operator="equal">
      <formula>0</formula>
    </cfRule>
  </conditionalFormatting>
  <conditionalFormatting sqref="D102">
    <cfRule type="cellIs" dxfId="19284" priority="980" operator="equal">
      <formula>0</formula>
    </cfRule>
  </conditionalFormatting>
  <conditionalFormatting sqref="D93:S93 D98:R105 D94:I95 S94:S105 P94:R95">
    <cfRule type="expression" dxfId="19283" priority="981">
      <formula>LEN(TRIM(D93))=0</formula>
    </cfRule>
  </conditionalFormatting>
  <conditionalFormatting sqref="D96:R97">
    <cfRule type="cellIs" dxfId="19282" priority="982" operator="equal">
      <formula>0</formula>
    </cfRule>
  </conditionalFormatting>
  <conditionalFormatting sqref="P96:P97">
    <cfRule type="cellIs" dxfId="19281" priority="983" operator="equal">
      <formula>0</formula>
    </cfRule>
  </conditionalFormatting>
  <conditionalFormatting sqref="D96:R97">
    <cfRule type="expression" dxfId="19280" priority="984">
      <formula>LEN(TRIM(D96))=0</formula>
    </cfRule>
  </conditionalFormatting>
  <conditionalFormatting sqref="J94:O95">
    <cfRule type="cellIs" dxfId="19279" priority="977" operator="equal">
      <formula>0</formula>
    </cfRule>
  </conditionalFormatting>
  <conditionalFormatting sqref="J94:O95">
    <cfRule type="expression" dxfId="19278" priority="978">
      <formula>LEN(TRIM(J94))=0</formula>
    </cfRule>
  </conditionalFormatting>
  <conditionalFormatting sqref="D108:R113 S107:S112 S114 D107:I107 P107:R107">
    <cfRule type="cellIs" dxfId="19277" priority="971" operator="equal">
      <formula>0</formula>
    </cfRule>
  </conditionalFormatting>
  <conditionalFormatting sqref="D114:R114">
    <cfRule type="cellIs" dxfId="19276" priority="972" operator="equal">
      <formula>0</formula>
    </cfRule>
  </conditionalFormatting>
  <conditionalFormatting sqref="D108:S112 D114:S114 D113:R113 D107:I107 P107:S107">
    <cfRule type="expression" dxfId="19275" priority="973">
      <formula>LEN(TRIM(D107))=0</formula>
    </cfRule>
  </conditionalFormatting>
  <conditionalFormatting sqref="D114:R114">
    <cfRule type="cellIs" dxfId="19274" priority="974" operator="equal">
      <formula>0</formula>
    </cfRule>
  </conditionalFormatting>
  <conditionalFormatting sqref="D115:R115">
    <cfRule type="cellIs" dxfId="19273" priority="975" operator="equal">
      <formula>0</formula>
    </cfRule>
  </conditionalFormatting>
  <conditionalFormatting sqref="D115:R115">
    <cfRule type="expression" dxfId="19272" priority="976">
      <formula>LEN(TRIM(D115))=0</formula>
    </cfRule>
  </conditionalFormatting>
  <conditionalFormatting sqref="S115">
    <cfRule type="cellIs" dxfId="19271" priority="969" operator="equal">
      <formula>0</formula>
    </cfRule>
  </conditionalFormatting>
  <conditionalFormatting sqref="S115">
    <cfRule type="expression" dxfId="19270" priority="970">
      <formula>LEN(TRIM(S115))=0</formula>
    </cfRule>
  </conditionalFormatting>
  <conditionalFormatting sqref="S113">
    <cfRule type="cellIs" dxfId="19269" priority="967" operator="equal">
      <formula>0</formula>
    </cfRule>
  </conditionalFormatting>
  <conditionalFormatting sqref="S113">
    <cfRule type="expression" dxfId="19268" priority="968">
      <formula>LEN(TRIM(S113))=0</formula>
    </cfRule>
  </conditionalFormatting>
  <conditionalFormatting sqref="J107:O107">
    <cfRule type="cellIs" dxfId="19267" priority="965" operator="equal">
      <formula>0</formula>
    </cfRule>
  </conditionalFormatting>
  <conditionalFormatting sqref="J107:O107">
    <cfRule type="expression" dxfId="19266" priority="966">
      <formula>LEN(TRIM(J107))=0</formula>
    </cfRule>
  </conditionalFormatting>
  <conditionalFormatting sqref="P124:S126 E124:I126 J124:O125 Q121:S123 G121:G123 D121:D126 D127:S127">
    <cfRule type="cellIs" dxfId="19265" priority="944" operator="equal">
      <formula>0</formula>
    </cfRule>
  </conditionalFormatting>
  <conditionalFormatting sqref="P121:P126">
    <cfRule type="cellIs" dxfId="19264" priority="945" operator="equal">
      <formula>0</formula>
    </cfRule>
  </conditionalFormatting>
  <conditionalFormatting sqref="D121:E126 H121:I126">
    <cfRule type="cellIs" dxfId="19263" priority="946" operator="equal">
      <formula>0</formula>
    </cfRule>
  </conditionalFormatting>
  <conditionalFormatting sqref="F121:F126">
    <cfRule type="cellIs" dxfId="19262" priority="947" operator="equal">
      <formula>0</formula>
    </cfRule>
  </conditionalFormatting>
  <conditionalFormatting sqref="J124:J126">
    <cfRule type="cellIs" dxfId="19261" priority="948" operator="equal">
      <formula>0</formula>
    </cfRule>
  </conditionalFormatting>
  <conditionalFormatting sqref="J121:J126 K121:O121">
    <cfRule type="cellIs" dxfId="19260" priority="949" operator="equal">
      <formula>0</formula>
    </cfRule>
  </conditionalFormatting>
  <conditionalFormatting sqref="K124:K126">
    <cfRule type="cellIs" dxfId="19259" priority="950" operator="equal">
      <formula>0</formula>
    </cfRule>
  </conditionalFormatting>
  <conditionalFormatting sqref="K121:K126">
    <cfRule type="cellIs" dxfId="19258" priority="951" operator="equal">
      <formula>0</formula>
    </cfRule>
  </conditionalFormatting>
  <conditionalFormatting sqref="L124:L126">
    <cfRule type="cellIs" dxfId="19257" priority="952" operator="equal">
      <formula>0</formula>
    </cfRule>
  </conditionalFormatting>
  <conditionalFormatting sqref="L121:L126">
    <cfRule type="cellIs" dxfId="19256" priority="953" operator="equal">
      <formula>0</formula>
    </cfRule>
  </conditionalFormatting>
  <conditionalFormatting sqref="M124:M126">
    <cfRule type="cellIs" dxfId="19255" priority="954" operator="equal">
      <formula>0</formula>
    </cfRule>
  </conditionalFormatting>
  <conditionalFormatting sqref="M121:M126">
    <cfRule type="cellIs" dxfId="19254" priority="955" operator="equal">
      <formula>0</formula>
    </cfRule>
  </conditionalFormatting>
  <conditionalFormatting sqref="N124:N126">
    <cfRule type="cellIs" dxfId="19253" priority="956" operator="equal">
      <formula>0</formula>
    </cfRule>
  </conditionalFormatting>
  <conditionalFormatting sqref="N121:N126">
    <cfRule type="cellIs" dxfId="19252" priority="957" operator="equal">
      <formula>0</formula>
    </cfRule>
  </conditionalFormatting>
  <conditionalFormatting sqref="O124:O126">
    <cfRule type="cellIs" dxfId="19251" priority="958" operator="equal">
      <formula>0</formula>
    </cfRule>
  </conditionalFormatting>
  <conditionalFormatting sqref="O121:O126">
    <cfRule type="cellIs" dxfId="19250" priority="959" operator="equal">
      <formula>0</formula>
    </cfRule>
  </conditionalFormatting>
  <conditionalFormatting sqref="D121:S127">
    <cfRule type="expression" dxfId="19249" priority="960">
      <formula>LEN(TRIM(D121))=0</formula>
    </cfRule>
  </conditionalFormatting>
  <conditionalFormatting sqref="L124:L125">
    <cfRule type="cellIs" dxfId="19248" priority="961" operator="equal">
      <formula>0</formula>
    </cfRule>
  </conditionalFormatting>
  <conditionalFormatting sqref="M124:M125">
    <cfRule type="cellIs" dxfId="19247" priority="962" operator="equal">
      <formula>0</formula>
    </cfRule>
  </conditionalFormatting>
  <conditionalFormatting sqref="N124:O124">
    <cfRule type="cellIs" dxfId="19246" priority="963" operator="equal">
      <formula>0</formula>
    </cfRule>
  </conditionalFormatting>
  <conditionalFormatting sqref="N125:O125">
    <cfRule type="cellIs" dxfId="19245" priority="964" operator="equal">
      <formula>0</formula>
    </cfRule>
  </conditionalFormatting>
  <conditionalFormatting sqref="E138:G138 D139:G140 H138:I140 D134:I137 J134:R140 D129:S129 D141:R141 D130:I131 S130:S141 P130:R131">
    <cfRule type="cellIs" dxfId="19244" priority="938" operator="equal">
      <formula>0</formula>
    </cfRule>
  </conditionalFormatting>
  <conditionalFormatting sqref="D138">
    <cfRule type="cellIs" dxfId="19243" priority="939" operator="equal">
      <formula>0</formula>
    </cfRule>
  </conditionalFormatting>
  <conditionalFormatting sqref="D129:S129 D134:R141 D130:I131 S130:S141 P130:R131">
    <cfRule type="expression" dxfId="19242" priority="940">
      <formula>LEN(TRIM(D129))=0</formula>
    </cfRule>
  </conditionalFormatting>
  <conditionalFormatting sqref="D132:R133">
    <cfRule type="cellIs" dxfId="19241" priority="941" operator="equal">
      <formula>0</formula>
    </cfRule>
  </conditionalFormatting>
  <conditionalFormatting sqref="P132:P133">
    <cfRule type="cellIs" dxfId="19240" priority="942" operator="equal">
      <formula>0</formula>
    </cfRule>
  </conditionalFormatting>
  <conditionalFormatting sqref="D132:R133">
    <cfRule type="expression" dxfId="19239" priority="943">
      <formula>LEN(TRIM(D132))=0</formula>
    </cfRule>
  </conditionalFormatting>
  <conditionalFormatting sqref="J130:O131">
    <cfRule type="cellIs" dxfId="19238" priority="936" operator="equal">
      <formula>0</formula>
    </cfRule>
  </conditionalFormatting>
  <conditionalFormatting sqref="J130:O131">
    <cfRule type="expression" dxfId="19237" priority="937">
      <formula>LEN(TRIM(J130))=0</formula>
    </cfRule>
  </conditionalFormatting>
  <conditionalFormatting sqref="D144:R149 S143:S148 S150 D143:I143 P143:R143">
    <cfRule type="cellIs" dxfId="19236" priority="930" operator="equal">
      <formula>0</formula>
    </cfRule>
  </conditionalFormatting>
  <conditionalFormatting sqref="D150:R150">
    <cfRule type="cellIs" dxfId="19235" priority="931" operator="equal">
      <formula>0</formula>
    </cfRule>
  </conditionalFormatting>
  <conditionalFormatting sqref="D144:S148 D150:S150 D149:R149 D143:I143 P143:S143">
    <cfRule type="expression" dxfId="19234" priority="932">
      <formula>LEN(TRIM(D143))=0</formula>
    </cfRule>
  </conditionalFormatting>
  <conditionalFormatting sqref="D150:R150">
    <cfRule type="cellIs" dxfId="19233" priority="933" operator="equal">
      <formula>0</formula>
    </cfRule>
  </conditionalFormatting>
  <conditionalFormatting sqref="D151:R151">
    <cfRule type="cellIs" dxfId="19232" priority="934" operator="equal">
      <formula>0</formula>
    </cfRule>
  </conditionalFormatting>
  <conditionalFormatting sqref="D151:R151">
    <cfRule type="expression" dxfId="19231" priority="935">
      <formula>LEN(TRIM(D151))=0</formula>
    </cfRule>
  </conditionalFormatting>
  <conditionalFormatting sqref="S151">
    <cfRule type="cellIs" dxfId="19230" priority="928" operator="equal">
      <formula>0</formula>
    </cfRule>
  </conditionalFormatting>
  <conditionalFormatting sqref="S151">
    <cfRule type="expression" dxfId="19229" priority="929">
      <formula>LEN(TRIM(S151))=0</formula>
    </cfRule>
  </conditionalFormatting>
  <conditionalFormatting sqref="S149">
    <cfRule type="cellIs" dxfId="19228" priority="926" operator="equal">
      <formula>0</formula>
    </cfRule>
  </conditionalFormatting>
  <conditionalFormatting sqref="S149">
    <cfRule type="expression" dxfId="19227" priority="927">
      <formula>LEN(TRIM(S149))=0</formula>
    </cfRule>
  </conditionalFormatting>
  <conditionalFormatting sqref="J143:O143">
    <cfRule type="cellIs" dxfId="19226" priority="924" operator="equal">
      <formula>0</formula>
    </cfRule>
  </conditionalFormatting>
  <conditionalFormatting sqref="J143:O143">
    <cfRule type="expression" dxfId="19225" priority="925">
      <formula>LEN(TRIM(J143))=0</formula>
    </cfRule>
  </conditionalFormatting>
  <conditionalFormatting sqref="P160:S162 E160:I162 J160:O161 Q157:S159 G157:G159 D157:D162 D163:S163">
    <cfRule type="cellIs" dxfId="19224" priority="903" operator="equal">
      <formula>0</formula>
    </cfRule>
  </conditionalFormatting>
  <conditionalFormatting sqref="P157:P162">
    <cfRule type="cellIs" dxfId="19223" priority="904" operator="equal">
      <formula>0</formula>
    </cfRule>
  </conditionalFormatting>
  <conditionalFormatting sqref="D157:E162 H157:I162">
    <cfRule type="cellIs" dxfId="19222" priority="905" operator="equal">
      <formula>0</formula>
    </cfRule>
  </conditionalFormatting>
  <conditionalFormatting sqref="F157:F162">
    <cfRule type="cellIs" dxfId="19221" priority="906" operator="equal">
      <formula>0</formula>
    </cfRule>
  </conditionalFormatting>
  <conditionalFormatting sqref="J160:J162">
    <cfRule type="cellIs" dxfId="19220" priority="907" operator="equal">
      <formula>0</formula>
    </cfRule>
  </conditionalFormatting>
  <conditionalFormatting sqref="J157:J162 K157:O157">
    <cfRule type="cellIs" dxfId="19219" priority="908" operator="equal">
      <formula>0</formula>
    </cfRule>
  </conditionalFormatting>
  <conditionalFormatting sqref="K160:K162">
    <cfRule type="cellIs" dxfId="19218" priority="909" operator="equal">
      <formula>0</formula>
    </cfRule>
  </conditionalFormatting>
  <conditionalFormatting sqref="K157:K162">
    <cfRule type="cellIs" dxfId="19217" priority="910" operator="equal">
      <formula>0</formula>
    </cfRule>
  </conditionalFormatting>
  <conditionalFormatting sqref="L160:L162">
    <cfRule type="cellIs" dxfId="19216" priority="911" operator="equal">
      <formula>0</formula>
    </cfRule>
  </conditionalFormatting>
  <conditionalFormatting sqref="L157:L162">
    <cfRule type="cellIs" dxfId="19215" priority="912" operator="equal">
      <formula>0</formula>
    </cfRule>
  </conditionalFormatting>
  <conditionalFormatting sqref="M160:M162">
    <cfRule type="cellIs" dxfId="19214" priority="913" operator="equal">
      <formula>0</formula>
    </cfRule>
  </conditionalFormatting>
  <conditionalFormatting sqref="M157:M162">
    <cfRule type="cellIs" dxfId="19213" priority="914" operator="equal">
      <formula>0</formula>
    </cfRule>
  </conditionalFormatting>
  <conditionalFormatting sqref="N160:N162">
    <cfRule type="cellIs" dxfId="19212" priority="915" operator="equal">
      <formula>0</formula>
    </cfRule>
  </conditionalFormatting>
  <conditionalFormatting sqref="N157:N162">
    <cfRule type="cellIs" dxfId="19211" priority="916" operator="equal">
      <formula>0</formula>
    </cfRule>
  </conditionalFormatting>
  <conditionalFormatting sqref="O160:O162">
    <cfRule type="cellIs" dxfId="19210" priority="917" operator="equal">
      <formula>0</formula>
    </cfRule>
  </conditionalFormatting>
  <conditionalFormatting sqref="O157:O162">
    <cfRule type="cellIs" dxfId="19209" priority="918" operator="equal">
      <formula>0</formula>
    </cfRule>
  </conditionalFormatting>
  <conditionalFormatting sqref="D157:S163">
    <cfRule type="expression" dxfId="19208" priority="919">
      <formula>LEN(TRIM(D157))=0</formula>
    </cfRule>
  </conditionalFormatting>
  <conditionalFormatting sqref="L160:L161">
    <cfRule type="cellIs" dxfId="19207" priority="920" operator="equal">
      <formula>0</formula>
    </cfRule>
  </conditionalFormatting>
  <conditionalFormatting sqref="M160:M161">
    <cfRule type="cellIs" dxfId="19206" priority="921" operator="equal">
      <formula>0</formula>
    </cfRule>
  </conditionalFormatting>
  <conditionalFormatting sqref="N160:O160">
    <cfRule type="cellIs" dxfId="19205" priority="922" operator="equal">
      <formula>0</formula>
    </cfRule>
  </conditionalFormatting>
  <conditionalFormatting sqref="N161:O161">
    <cfRule type="cellIs" dxfId="19204" priority="923" operator="equal">
      <formula>0</formula>
    </cfRule>
  </conditionalFormatting>
  <conditionalFormatting sqref="E174:G174 D175:G176 H174:I176 D170:I173 J170:R176 D165:S165 D177:R177 D166:I167 S166:S177 P166:R167">
    <cfRule type="cellIs" dxfId="19203" priority="897" operator="equal">
      <formula>0</formula>
    </cfRule>
  </conditionalFormatting>
  <conditionalFormatting sqref="D174">
    <cfRule type="cellIs" dxfId="19202" priority="898" operator="equal">
      <formula>0</formula>
    </cfRule>
  </conditionalFormatting>
  <conditionalFormatting sqref="D165:S165 D170:R177 D166:I167 S166:S177 P166:R167">
    <cfRule type="expression" dxfId="19201" priority="899">
      <formula>LEN(TRIM(D165))=0</formula>
    </cfRule>
  </conditionalFormatting>
  <conditionalFormatting sqref="D168:R169">
    <cfRule type="cellIs" dxfId="19200" priority="900" operator="equal">
      <formula>0</formula>
    </cfRule>
  </conditionalFormatting>
  <conditionalFormatting sqref="P168:P169">
    <cfRule type="cellIs" dxfId="19199" priority="901" operator="equal">
      <formula>0</formula>
    </cfRule>
  </conditionalFormatting>
  <conditionalFormatting sqref="D168:R169">
    <cfRule type="expression" dxfId="19198" priority="902">
      <formula>LEN(TRIM(D168))=0</formula>
    </cfRule>
  </conditionalFormatting>
  <conditionalFormatting sqref="J166:O167">
    <cfRule type="cellIs" dxfId="19197" priority="895" operator="equal">
      <formula>0</formula>
    </cfRule>
  </conditionalFormatting>
  <conditionalFormatting sqref="J166:O167">
    <cfRule type="expression" dxfId="19196" priority="896">
      <formula>LEN(TRIM(J166))=0</formula>
    </cfRule>
  </conditionalFormatting>
  <conditionalFormatting sqref="D180:R185 S179:S184 S186 D179:I179 P179:R179">
    <cfRule type="cellIs" dxfId="19195" priority="889" operator="equal">
      <formula>0</formula>
    </cfRule>
  </conditionalFormatting>
  <conditionalFormatting sqref="D186:R186">
    <cfRule type="cellIs" dxfId="19194" priority="890" operator="equal">
      <formula>0</formula>
    </cfRule>
  </conditionalFormatting>
  <conditionalFormatting sqref="D180:S184 D186:S186 D185:R185 D179:I179 P179:S179">
    <cfRule type="expression" dxfId="19193" priority="891">
      <formula>LEN(TRIM(D179))=0</formula>
    </cfRule>
  </conditionalFormatting>
  <conditionalFormatting sqref="D186:R186">
    <cfRule type="cellIs" dxfId="19192" priority="892" operator="equal">
      <formula>0</formula>
    </cfRule>
  </conditionalFormatting>
  <conditionalFormatting sqref="D187:R187">
    <cfRule type="cellIs" dxfId="19191" priority="893" operator="equal">
      <formula>0</formula>
    </cfRule>
  </conditionalFormatting>
  <conditionalFormatting sqref="D187:R187">
    <cfRule type="expression" dxfId="19190" priority="894">
      <formula>LEN(TRIM(D187))=0</formula>
    </cfRule>
  </conditionalFormatting>
  <conditionalFormatting sqref="S187">
    <cfRule type="cellIs" dxfId="19189" priority="887" operator="equal">
      <formula>0</formula>
    </cfRule>
  </conditionalFormatting>
  <conditionalFormatting sqref="S187">
    <cfRule type="expression" dxfId="19188" priority="888">
      <formula>LEN(TRIM(S187))=0</formula>
    </cfRule>
  </conditionalFormatting>
  <conditionalFormatting sqref="S185">
    <cfRule type="cellIs" dxfId="19187" priority="885" operator="equal">
      <formula>0</formula>
    </cfRule>
  </conditionalFormatting>
  <conditionalFormatting sqref="S185">
    <cfRule type="expression" dxfId="19186" priority="886">
      <formula>LEN(TRIM(S185))=0</formula>
    </cfRule>
  </conditionalFormatting>
  <conditionalFormatting sqref="J179:O179">
    <cfRule type="cellIs" dxfId="19185" priority="883" operator="equal">
      <formula>0</formula>
    </cfRule>
  </conditionalFormatting>
  <conditionalFormatting sqref="J179:O179">
    <cfRule type="expression" dxfId="19184" priority="884">
      <formula>LEN(TRIM(J179))=0</formula>
    </cfRule>
  </conditionalFormatting>
  <conditionalFormatting sqref="P196:S198 E196:I198 J196:O197 Q193:S195 G193:G195 D193:D198 D199:S199">
    <cfRule type="cellIs" dxfId="19183" priority="862" operator="equal">
      <formula>0</formula>
    </cfRule>
  </conditionalFormatting>
  <conditionalFormatting sqref="P193:P198">
    <cfRule type="cellIs" dxfId="19182" priority="863" operator="equal">
      <formula>0</formula>
    </cfRule>
  </conditionalFormatting>
  <conditionalFormatting sqref="D193:E198 H193:I198">
    <cfRule type="cellIs" dxfId="19181" priority="864" operator="equal">
      <formula>0</formula>
    </cfRule>
  </conditionalFormatting>
  <conditionalFormatting sqref="F193:F198">
    <cfRule type="cellIs" dxfId="19180" priority="865" operator="equal">
      <formula>0</formula>
    </cfRule>
  </conditionalFormatting>
  <conditionalFormatting sqref="J196:J198">
    <cfRule type="cellIs" dxfId="19179" priority="866" operator="equal">
      <formula>0</formula>
    </cfRule>
  </conditionalFormatting>
  <conditionalFormatting sqref="J193:J198 K193:O193">
    <cfRule type="cellIs" dxfId="19178" priority="867" operator="equal">
      <formula>0</formula>
    </cfRule>
  </conditionalFormatting>
  <conditionalFormatting sqref="K196:K198">
    <cfRule type="cellIs" dxfId="19177" priority="868" operator="equal">
      <formula>0</formula>
    </cfRule>
  </conditionalFormatting>
  <conditionalFormatting sqref="K193:K198">
    <cfRule type="cellIs" dxfId="19176" priority="869" operator="equal">
      <formula>0</formula>
    </cfRule>
  </conditionalFormatting>
  <conditionalFormatting sqref="L196:L198">
    <cfRule type="cellIs" dxfId="19175" priority="870" operator="equal">
      <formula>0</formula>
    </cfRule>
  </conditionalFormatting>
  <conditionalFormatting sqref="L193:L198">
    <cfRule type="cellIs" dxfId="19174" priority="871" operator="equal">
      <formula>0</formula>
    </cfRule>
  </conditionalFormatting>
  <conditionalFormatting sqref="M196:M198">
    <cfRule type="cellIs" dxfId="19173" priority="872" operator="equal">
      <formula>0</formula>
    </cfRule>
  </conditionalFormatting>
  <conditionalFormatting sqref="M193:M198">
    <cfRule type="cellIs" dxfId="19172" priority="873" operator="equal">
      <formula>0</formula>
    </cfRule>
  </conditionalFormatting>
  <conditionalFormatting sqref="N196:N198">
    <cfRule type="cellIs" dxfId="19171" priority="874" operator="equal">
      <formula>0</formula>
    </cfRule>
  </conditionalFormatting>
  <conditionalFormatting sqref="N193:N198">
    <cfRule type="cellIs" dxfId="19170" priority="875" operator="equal">
      <formula>0</formula>
    </cfRule>
  </conditionalFormatting>
  <conditionalFormatting sqref="O196:O198">
    <cfRule type="cellIs" dxfId="19169" priority="876" operator="equal">
      <formula>0</formula>
    </cfRule>
  </conditionalFormatting>
  <conditionalFormatting sqref="O193:O198">
    <cfRule type="cellIs" dxfId="19168" priority="877" operator="equal">
      <formula>0</formula>
    </cfRule>
  </conditionalFormatting>
  <conditionalFormatting sqref="D193:S199">
    <cfRule type="expression" dxfId="19167" priority="878">
      <formula>LEN(TRIM(D193))=0</formula>
    </cfRule>
  </conditionalFormatting>
  <conditionalFormatting sqref="L196:L197">
    <cfRule type="cellIs" dxfId="19166" priority="879" operator="equal">
      <formula>0</formula>
    </cfRule>
  </conditionalFormatting>
  <conditionalFormatting sqref="M196:M197">
    <cfRule type="cellIs" dxfId="19165" priority="880" operator="equal">
      <formula>0</formula>
    </cfRule>
  </conditionalFormatting>
  <conditionalFormatting sqref="N196:O196">
    <cfRule type="cellIs" dxfId="19164" priority="881" operator="equal">
      <formula>0</formula>
    </cfRule>
  </conditionalFormatting>
  <conditionalFormatting sqref="N197:O197">
    <cfRule type="cellIs" dxfId="19163" priority="882" operator="equal">
      <formula>0</formula>
    </cfRule>
  </conditionalFormatting>
  <conditionalFormatting sqref="E210:G210 D211:G212 H210:I212 D206:I209 J206:R212 D201:S201 D213:R213 D202:I203 S202:S213 P202:R203">
    <cfRule type="cellIs" dxfId="19162" priority="856" operator="equal">
      <formula>0</formula>
    </cfRule>
  </conditionalFormatting>
  <conditionalFormatting sqref="D210">
    <cfRule type="cellIs" dxfId="19161" priority="857" operator="equal">
      <formula>0</formula>
    </cfRule>
  </conditionalFormatting>
  <conditionalFormatting sqref="D201:S201 D206:R213 D202:I203 S202:S213 P202:R203">
    <cfRule type="expression" dxfId="19160" priority="858">
      <formula>LEN(TRIM(D201))=0</formula>
    </cfRule>
  </conditionalFormatting>
  <conditionalFormatting sqref="D204:R205">
    <cfRule type="cellIs" dxfId="19159" priority="859" operator="equal">
      <formula>0</formula>
    </cfRule>
  </conditionalFormatting>
  <conditionalFormatting sqref="P204:P205">
    <cfRule type="cellIs" dxfId="19158" priority="860" operator="equal">
      <formula>0</formula>
    </cfRule>
  </conditionalFormatting>
  <conditionalFormatting sqref="D204:R205">
    <cfRule type="expression" dxfId="19157" priority="861">
      <formula>LEN(TRIM(D204))=0</formula>
    </cfRule>
  </conditionalFormatting>
  <conditionalFormatting sqref="J202:O203">
    <cfRule type="cellIs" dxfId="19156" priority="854" operator="equal">
      <formula>0</formula>
    </cfRule>
  </conditionalFormatting>
  <conditionalFormatting sqref="J202:O203">
    <cfRule type="expression" dxfId="19155" priority="855">
      <formula>LEN(TRIM(J202))=0</formula>
    </cfRule>
  </conditionalFormatting>
  <conditionalFormatting sqref="D216:R221 S215:S220 S222 D215:I215 P215:R215">
    <cfRule type="cellIs" dxfId="19154" priority="848" operator="equal">
      <formula>0</formula>
    </cfRule>
  </conditionalFormatting>
  <conditionalFormatting sqref="D222:R222">
    <cfRule type="cellIs" dxfId="19153" priority="849" operator="equal">
      <formula>0</formula>
    </cfRule>
  </conditionalFormatting>
  <conditionalFormatting sqref="D216:S220 D222:S222 D221:R221 D215:I215 P215:S215">
    <cfRule type="expression" dxfId="19152" priority="850">
      <formula>LEN(TRIM(D215))=0</formula>
    </cfRule>
  </conditionalFormatting>
  <conditionalFormatting sqref="D222:R222">
    <cfRule type="cellIs" dxfId="19151" priority="851" operator="equal">
      <formula>0</formula>
    </cfRule>
  </conditionalFormatting>
  <conditionalFormatting sqref="D223:R223">
    <cfRule type="cellIs" dxfId="19150" priority="852" operator="equal">
      <formula>0</formula>
    </cfRule>
  </conditionalFormatting>
  <conditionalFormatting sqref="D223:R223">
    <cfRule type="expression" dxfId="19149" priority="853">
      <formula>LEN(TRIM(D223))=0</formula>
    </cfRule>
  </conditionalFormatting>
  <conditionalFormatting sqref="S223">
    <cfRule type="cellIs" dxfId="19148" priority="846" operator="equal">
      <formula>0</formula>
    </cfRule>
  </conditionalFormatting>
  <conditionalFormatting sqref="S223">
    <cfRule type="expression" dxfId="19147" priority="847">
      <formula>LEN(TRIM(S223))=0</formula>
    </cfRule>
  </conditionalFormatting>
  <conditionalFormatting sqref="S221">
    <cfRule type="cellIs" dxfId="19146" priority="844" operator="equal">
      <formula>0</formula>
    </cfRule>
  </conditionalFormatting>
  <conditionalFormatting sqref="S221">
    <cfRule type="expression" dxfId="19145" priority="845">
      <formula>LEN(TRIM(S221))=0</formula>
    </cfRule>
  </conditionalFormatting>
  <conditionalFormatting sqref="J215:O215">
    <cfRule type="cellIs" dxfId="19144" priority="842" operator="equal">
      <formula>0</formula>
    </cfRule>
  </conditionalFormatting>
  <conditionalFormatting sqref="J215:O215">
    <cfRule type="expression" dxfId="19143" priority="843">
      <formula>LEN(TRIM(J215))=0</formula>
    </cfRule>
  </conditionalFormatting>
  <conditionalFormatting sqref="P232:S234 E232:I234 J232:O233 Q229:S231 G229:G231 D229:D234 D235:S235">
    <cfRule type="cellIs" dxfId="19142" priority="821" operator="equal">
      <formula>0</formula>
    </cfRule>
  </conditionalFormatting>
  <conditionalFormatting sqref="P229:P234">
    <cfRule type="cellIs" dxfId="19141" priority="822" operator="equal">
      <formula>0</formula>
    </cfRule>
  </conditionalFormatting>
  <conditionalFormatting sqref="D229:E234 H229:I234">
    <cfRule type="cellIs" dxfId="19140" priority="823" operator="equal">
      <formula>0</formula>
    </cfRule>
  </conditionalFormatting>
  <conditionalFormatting sqref="F229:F234">
    <cfRule type="cellIs" dxfId="19139" priority="824" operator="equal">
      <formula>0</formula>
    </cfRule>
  </conditionalFormatting>
  <conditionalFormatting sqref="J232:J234">
    <cfRule type="cellIs" dxfId="19138" priority="825" operator="equal">
      <formula>0</formula>
    </cfRule>
  </conditionalFormatting>
  <conditionalFormatting sqref="J229:J234 K229:O229">
    <cfRule type="cellIs" dxfId="19137" priority="826" operator="equal">
      <formula>0</formula>
    </cfRule>
  </conditionalFormatting>
  <conditionalFormatting sqref="K232:K234">
    <cfRule type="cellIs" dxfId="19136" priority="827" operator="equal">
      <formula>0</formula>
    </cfRule>
  </conditionalFormatting>
  <conditionalFormatting sqref="K229:K234">
    <cfRule type="cellIs" dxfId="19135" priority="828" operator="equal">
      <formula>0</formula>
    </cfRule>
  </conditionalFormatting>
  <conditionalFormatting sqref="L232:L234">
    <cfRule type="cellIs" dxfId="19134" priority="829" operator="equal">
      <formula>0</formula>
    </cfRule>
  </conditionalFormatting>
  <conditionalFormatting sqref="L229:L234">
    <cfRule type="cellIs" dxfId="19133" priority="830" operator="equal">
      <formula>0</formula>
    </cfRule>
  </conditionalFormatting>
  <conditionalFormatting sqref="M232:M234">
    <cfRule type="cellIs" dxfId="19132" priority="831" operator="equal">
      <formula>0</formula>
    </cfRule>
  </conditionalFormatting>
  <conditionalFormatting sqref="M229:M234">
    <cfRule type="cellIs" dxfId="19131" priority="832" operator="equal">
      <formula>0</formula>
    </cfRule>
  </conditionalFormatting>
  <conditionalFormatting sqref="N232:N234">
    <cfRule type="cellIs" dxfId="19130" priority="833" operator="equal">
      <formula>0</formula>
    </cfRule>
  </conditionalFormatting>
  <conditionalFormatting sqref="N229:N234">
    <cfRule type="cellIs" dxfId="19129" priority="834" operator="equal">
      <formula>0</formula>
    </cfRule>
  </conditionalFormatting>
  <conditionalFormatting sqref="O232:O234">
    <cfRule type="cellIs" dxfId="19128" priority="835" operator="equal">
      <formula>0</formula>
    </cfRule>
  </conditionalFormatting>
  <conditionalFormatting sqref="O229:O234">
    <cfRule type="cellIs" dxfId="19127" priority="836" operator="equal">
      <formula>0</formula>
    </cfRule>
  </conditionalFormatting>
  <conditionalFormatting sqref="D229:S235">
    <cfRule type="expression" dxfId="19126" priority="837">
      <formula>LEN(TRIM(D229))=0</formula>
    </cfRule>
  </conditionalFormatting>
  <conditionalFormatting sqref="L232:L233">
    <cfRule type="cellIs" dxfId="19125" priority="838" operator="equal">
      <formula>0</formula>
    </cfRule>
  </conditionalFormatting>
  <conditionalFormatting sqref="M232:M233">
    <cfRule type="cellIs" dxfId="19124" priority="839" operator="equal">
      <formula>0</formula>
    </cfRule>
  </conditionalFormatting>
  <conditionalFormatting sqref="N232:O232">
    <cfRule type="cellIs" dxfId="19123" priority="840" operator="equal">
      <formula>0</formula>
    </cfRule>
  </conditionalFormatting>
  <conditionalFormatting sqref="N233:O233">
    <cfRule type="cellIs" dxfId="19122" priority="841" operator="equal">
      <formula>0</formula>
    </cfRule>
  </conditionalFormatting>
  <conditionalFormatting sqref="E246:G246 D247:G248 H246:I248 D242:I245 J242:R248 D237:S237 D249:R249 D238:I239 S238:S249 P238:R239">
    <cfRule type="cellIs" dxfId="19121" priority="815" operator="equal">
      <formula>0</formula>
    </cfRule>
  </conditionalFormatting>
  <conditionalFormatting sqref="D246">
    <cfRule type="cellIs" dxfId="19120" priority="816" operator="equal">
      <formula>0</formula>
    </cfRule>
  </conditionalFormatting>
  <conditionalFormatting sqref="D237:S237 D242:R249 D238:I239 S238:S249 P238:R239">
    <cfRule type="expression" dxfId="19119" priority="817">
      <formula>LEN(TRIM(D237))=0</formula>
    </cfRule>
  </conditionalFormatting>
  <conditionalFormatting sqref="D240:R241">
    <cfRule type="cellIs" dxfId="19118" priority="818" operator="equal">
      <formula>0</formula>
    </cfRule>
  </conditionalFormatting>
  <conditionalFormatting sqref="P240:P241">
    <cfRule type="cellIs" dxfId="19117" priority="819" operator="equal">
      <formula>0</formula>
    </cfRule>
  </conditionalFormatting>
  <conditionalFormatting sqref="D240:R241">
    <cfRule type="expression" dxfId="19116" priority="820">
      <formula>LEN(TRIM(D240))=0</formula>
    </cfRule>
  </conditionalFormatting>
  <conditionalFormatting sqref="J238:O239">
    <cfRule type="cellIs" dxfId="19115" priority="813" operator="equal">
      <formula>0</formula>
    </cfRule>
  </conditionalFormatting>
  <conditionalFormatting sqref="J238:O239">
    <cfRule type="expression" dxfId="19114" priority="814">
      <formula>LEN(TRIM(J238))=0</formula>
    </cfRule>
  </conditionalFormatting>
  <conditionalFormatting sqref="D252:R257 S251:S256 S258 D251:I251 P251:R251">
    <cfRule type="cellIs" dxfId="19113" priority="807" operator="equal">
      <formula>0</formula>
    </cfRule>
  </conditionalFormatting>
  <conditionalFormatting sqref="D258:R258">
    <cfRule type="cellIs" dxfId="19112" priority="808" operator="equal">
      <formula>0</formula>
    </cfRule>
  </conditionalFormatting>
  <conditionalFormatting sqref="D252:S256 D258:S258 D257:R257 D251:I251 P251:S251">
    <cfRule type="expression" dxfId="19111" priority="809">
      <formula>LEN(TRIM(D251))=0</formula>
    </cfRule>
  </conditionalFormatting>
  <conditionalFormatting sqref="D258:R258">
    <cfRule type="cellIs" dxfId="19110" priority="810" operator="equal">
      <formula>0</formula>
    </cfRule>
  </conditionalFormatting>
  <conditionalFormatting sqref="D259:R259">
    <cfRule type="cellIs" dxfId="19109" priority="811" operator="equal">
      <formula>0</formula>
    </cfRule>
  </conditionalFormatting>
  <conditionalFormatting sqref="D259:R259">
    <cfRule type="expression" dxfId="19108" priority="812">
      <formula>LEN(TRIM(D259))=0</formula>
    </cfRule>
  </conditionalFormatting>
  <conditionalFormatting sqref="S259">
    <cfRule type="cellIs" dxfId="19107" priority="805" operator="equal">
      <formula>0</formula>
    </cfRule>
  </conditionalFormatting>
  <conditionalFormatting sqref="S259">
    <cfRule type="expression" dxfId="19106" priority="806">
      <formula>LEN(TRIM(S259))=0</formula>
    </cfRule>
  </conditionalFormatting>
  <conditionalFormatting sqref="S257">
    <cfRule type="cellIs" dxfId="19105" priority="803" operator="equal">
      <formula>0</formula>
    </cfRule>
  </conditionalFormatting>
  <conditionalFormatting sqref="S257">
    <cfRule type="expression" dxfId="19104" priority="804">
      <formula>LEN(TRIM(S257))=0</formula>
    </cfRule>
  </conditionalFormatting>
  <conditionalFormatting sqref="J251:O251">
    <cfRule type="cellIs" dxfId="19103" priority="801" operator="equal">
      <formula>0</formula>
    </cfRule>
  </conditionalFormatting>
  <conditionalFormatting sqref="J251:O251">
    <cfRule type="expression" dxfId="19102" priority="802">
      <formula>LEN(TRIM(J251))=0</formula>
    </cfRule>
  </conditionalFormatting>
  <conditionalFormatting sqref="P268:S270 E268:I270 J268:O269 Q265:S267 G265:G267 D265:D270 D271:S271">
    <cfRule type="cellIs" dxfId="19101" priority="780" operator="equal">
      <formula>0</formula>
    </cfRule>
  </conditionalFormatting>
  <conditionalFormatting sqref="P265:P270">
    <cfRule type="cellIs" dxfId="19100" priority="781" operator="equal">
      <formula>0</formula>
    </cfRule>
  </conditionalFormatting>
  <conditionalFormatting sqref="D265:E270 H265:I270">
    <cfRule type="cellIs" dxfId="19099" priority="782" operator="equal">
      <formula>0</formula>
    </cfRule>
  </conditionalFormatting>
  <conditionalFormatting sqref="F265:F270">
    <cfRule type="cellIs" dxfId="19098" priority="783" operator="equal">
      <formula>0</formula>
    </cfRule>
  </conditionalFormatting>
  <conditionalFormatting sqref="J268:J270">
    <cfRule type="cellIs" dxfId="19097" priority="784" operator="equal">
      <formula>0</formula>
    </cfRule>
  </conditionalFormatting>
  <conditionalFormatting sqref="J265:J270 K265:O265">
    <cfRule type="cellIs" dxfId="19096" priority="785" operator="equal">
      <formula>0</formula>
    </cfRule>
  </conditionalFormatting>
  <conditionalFormatting sqref="K268:K270">
    <cfRule type="cellIs" dxfId="19095" priority="786" operator="equal">
      <formula>0</formula>
    </cfRule>
  </conditionalFormatting>
  <conditionalFormatting sqref="K265:K270">
    <cfRule type="cellIs" dxfId="19094" priority="787" operator="equal">
      <formula>0</formula>
    </cfRule>
  </conditionalFormatting>
  <conditionalFormatting sqref="L268:L270">
    <cfRule type="cellIs" dxfId="19093" priority="788" operator="equal">
      <formula>0</formula>
    </cfRule>
  </conditionalFormatting>
  <conditionalFormatting sqref="L265:L270">
    <cfRule type="cellIs" dxfId="19092" priority="789" operator="equal">
      <formula>0</formula>
    </cfRule>
  </conditionalFormatting>
  <conditionalFormatting sqref="M268:M270">
    <cfRule type="cellIs" dxfId="19091" priority="790" operator="equal">
      <formula>0</formula>
    </cfRule>
  </conditionalFormatting>
  <conditionalFormatting sqref="M265:M270">
    <cfRule type="cellIs" dxfId="19090" priority="791" operator="equal">
      <formula>0</formula>
    </cfRule>
  </conditionalFormatting>
  <conditionalFormatting sqref="N268:N270">
    <cfRule type="cellIs" dxfId="19089" priority="792" operator="equal">
      <formula>0</formula>
    </cfRule>
  </conditionalFormatting>
  <conditionalFormatting sqref="N265:N270">
    <cfRule type="cellIs" dxfId="19088" priority="793" operator="equal">
      <formula>0</formula>
    </cfRule>
  </conditionalFormatting>
  <conditionalFormatting sqref="O268:O270">
    <cfRule type="cellIs" dxfId="19087" priority="794" operator="equal">
      <formula>0</formula>
    </cfRule>
  </conditionalFormatting>
  <conditionalFormatting sqref="O265:O270">
    <cfRule type="cellIs" dxfId="19086" priority="795" operator="equal">
      <formula>0</formula>
    </cfRule>
  </conditionalFormatting>
  <conditionalFormatting sqref="D265:S271">
    <cfRule type="expression" dxfId="19085" priority="796">
      <formula>LEN(TRIM(D265))=0</formula>
    </cfRule>
  </conditionalFormatting>
  <conditionalFormatting sqref="L268:L269">
    <cfRule type="cellIs" dxfId="19084" priority="797" operator="equal">
      <formula>0</formula>
    </cfRule>
  </conditionalFormatting>
  <conditionalFormatting sqref="M268:M269">
    <cfRule type="cellIs" dxfId="19083" priority="798" operator="equal">
      <formula>0</formula>
    </cfRule>
  </conditionalFormatting>
  <conditionalFormatting sqref="N268:O268">
    <cfRule type="cellIs" dxfId="19082" priority="799" operator="equal">
      <formula>0</formula>
    </cfRule>
  </conditionalFormatting>
  <conditionalFormatting sqref="N269:O269">
    <cfRule type="cellIs" dxfId="19081" priority="800" operator="equal">
      <formula>0</formula>
    </cfRule>
  </conditionalFormatting>
  <conditionalFormatting sqref="E282:G282 D283:G284 H282:I284 D278:I281 J278:R284 D273:S273 D285:R285 D274:I275 S274:S285 P274:R275">
    <cfRule type="cellIs" dxfId="19080" priority="774" operator="equal">
      <formula>0</formula>
    </cfRule>
  </conditionalFormatting>
  <conditionalFormatting sqref="D282">
    <cfRule type="cellIs" dxfId="19079" priority="775" operator="equal">
      <formula>0</formula>
    </cfRule>
  </conditionalFormatting>
  <conditionalFormatting sqref="D273:S273 D278:R285 D274:I275 S274:S285 P274:R275">
    <cfRule type="expression" dxfId="19078" priority="776">
      <formula>LEN(TRIM(D273))=0</formula>
    </cfRule>
  </conditionalFormatting>
  <conditionalFormatting sqref="D276:R277">
    <cfRule type="cellIs" dxfId="19077" priority="777" operator="equal">
      <formula>0</formula>
    </cfRule>
  </conditionalFormatting>
  <conditionalFormatting sqref="P276:P277">
    <cfRule type="cellIs" dxfId="19076" priority="778" operator="equal">
      <formula>0</formula>
    </cfRule>
  </conditionalFormatting>
  <conditionalFormatting sqref="D276:R277">
    <cfRule type="expression" dxfId="19075" priority="779">
      <formula>LEN(TRIM(D276))=0</formula>
    </cfRule>
  </conditionalFormatting>
  <conditionalFormatting sqref="J274:O275">
    <cfRule type="cellIs" dxfId="19074" priority="772" operator="equal">
      <formula>0</formula>
    </cfRule>
  </conditionalFormatting>
  <conditionalFormatting sqref="J274:O275">
    <cfRule type="expression" dxfId="19073" priority="773">
      <formula>LEN(TRIM(J274))=0</formula>
    </cfRule>
  </conditionalFormatting>
  <conditionalFormatting sqref="D288:R293 S287:S292 S294 D287:I287 P287:R287">
    <cfRule type="cellIs" dxfId="19072" priority="766" operator="equal">
      <formula>0</formula>
    </cfRule>
  </conditionalFormatting>
  <conditionalFormatting sqref="D294:R294">
    <cfRule type="cellIs" dxfId="19071" priority="767" operator="equal">
      <formula>0</formula>
    </cfRule>
  </conditionalFormatting>
  <conditionalFormatting sqref="D288:S292 D294:S294 D293:R293 D287:I287 P287:S287">
    <cfRule type="expression" dxfId="19070" priority="768">
      <formula>LEN(TRIM(D287))=0</formula>
    </cfRule>
  </conditionalFormatting>
  <conditionalFormatting sqref="D294:R294">
    <cfRule type="cellIs" dxfId="19069" priority="769" operator="equal">
      <formula>0</formula>
    </cfRule>
  </conditionalFormatting>
  <conditionalFormatting sqref="D295:R295">
    <cfRule type="cellIs" dxfId="19068" priority="770" operator="equal">
      <formula>0</formula>
    </cfRule>
  </conditionalFormatting>
  <conditionalFormatting sqref="D295:R295">
    <cfRule type="expression" dxfId="19067" priority="771">
      <formula>LEN(TRIM(D295))=0</formula>
    </cfRule>
  </conditionalFormatting>
  <conditionalFormatting sqref="S295">
    <cfRule type="cellIs" dxfId="19066" priority="764" operator="equal">
      <formula>0</formula>
    </cfRule>
  </conditionalFormatting>
  <conditionalFormatting sqref="S295">
    <cfRule type="expression" dxfId="19065" priority="765">
      <formula>LEN(TRIM(S295))=0</formula>
    </cfRule>
  </conditionalFormatting>
  <conditionalFormatting sqref="S293">
    <cfRule type="cellIs" dxfId="19064" priority="762" operator="equal">
      <formula>0</formula>
    </cfRule>
  </conditionalFormatting>
  <conditionalFormatting sqref="S293">
    <cfRule type="expression" dxfId="19063" priority="763">
      <formula>LEN(TRIM(S293))=0</formula>
    </cfRule>
  </conditionalFormatting>
  <conditionalFormatting sqref="J287:O287">
    <cfRule type="cellIs" dxfId="19062" priority="760" operator="equal">
      <formula>0</formula>
    </cfRule>
  </conditionalFormatting>
  <conditionalFormatting sqref="J287:O287">
    <cfRule type="expression" dxfId="19061" priority="761">
      <formula>LEN(TRIM(J287))=0</formula>
    </cfRule>
  </conditionalFormatting>
  <conditionalFormatting sqref="P304:S306 E304:I306 J304:O305 Q301:S303 G301:G303 D301:D306 D307:S307">
    <cfRule type="cellIs" dxfId="19060" priority="739" operator="equal">
      <formula>0</formula>
    </cfRule>
  </conditionalFormatting>
  <conditionalFormatting sqref="P301:P306">
    <cfRule type="cellIs" dxfId="19059" priority="740" operator="equal">
      <formula>0</formula>
    </cfRule>
  </conditionalFormatting>
  <conditionalFormatting sqref="D301:E306 H301:I306">
    <cfRule type="cellIs" dxfId="19058" priority="741" operator="equal">
      <formula>0</formula>
    </cfRule>
  </conditionalFormatting>
  <conditionalFormatting sqref="F301:F306">
    <cfRule type="cellIs" dxfId="19057" priority="742" operator="equal">
      <formula>0</formula>
    </cfRule>
  </conditionalFormatting>
  <conditionalFormatting sqref="J304:J306">
    <cfRule type="cellIs" dxfId="19056" priority="743" operator="equal">
      <formula>0</formula>
    </cfRule>
  </conditionalFormatting>
  <conditionalFormatting sqref="J301:J306 K301:O301">
    <cfRule type="cellIs" dxfId="19055" priority="744" operator="equal">
      <formula>0</formula>
    </cfRule>
  </conditionalFormatting>
  <conditionalFormatting sqref="K304:K306">
    <cfRule type="cellIs" dxfId="19054" priority="745" operator="equal">
      <formula>0</formula>
    </cfRule>
  </conditionalFormatting>
  <conditionalFormatting sqref="K301:K306">
    <cfRule type="cellIs" dxfId="19053" priority="746" operator="equal">
      <formula>0</formula>
    </cfRule>
  </conditionalFormatting>
  <conditionalFormatting sqref="L304:L306">
    <cfRule type="cellIs" dxfId="19052" priority="747" operator="equal">
      <formula>0</formula>
    </cfRule>
  </conditionalFormatting>
  <conditionalFormatting sqref="L301:L306">
    <cfRule type="cellIs" dxfId="19051" priority="748" operator="equal">
      <formula>0</formula>
    </cfRule>
  </conditionalFormatting>
  <conditionalFormatting sqref="M304:M306">
    <cfRule type="cellIs" dxfId="19050" priority="749" operator="equal">
      <formula>0</formula>
    </cfRule>
  </conditionalFormatting>
  <conditionalFormatting sqref="M301:M306">
    <cfRule type="cellIs" dxfId="19049" priority="750" operator="equal">
      <formula>0</formula>
    </cfRule>
  </conditionalFormatting>
  <conditionalFormatting sqref="N304:N306">
    <cfRule type="cellIs" dxfId="19048" priority="751" operator="equal">
      <formula>0</formula>
    </cfRule>
  </conditionalFormatting>
  <conditionalFormatting sqref="N301:N306">
    <cfRule type="cellIs" dxfId="19047" priority="752" operator="equal">
      <formula>0</formula>
    </cfRule>
  </conditionalFormatting>
  <conditionalFormatting sqref="O304:O306">
    <cfRule type="cellIs" dxfId="19046" priority="753" operator="equal">
      <formula>0</formula>
    </cfRule>
  </conditionalFormatting>
  <conditionalFormatting sqref="O301:O306">
    <cfRule type="cellIs" dxfId="19045" priority="754" operator="equal">
      <formula>0</formula>
    </cfRule>
  </conditionalFormatting>
  <conditionalFormatting sqref="D301:S307">
    <cfRule type="expression" dxfId="19044" priority="755">
      <formula>LEN(TRIM(D301))=0</formula>
    </cfRule>
  </conditionalFormatting>
  <conditionalFormatting sqref="L304:L305">
    <cfRule type="cellIs" dxfId="19043" priority="756" operator="equal">
      <formula>0</formula>
    </cfRule>
  </conditionalFormatting>
  <conditionalFormatting sqref="M304:M305">
    <cfRule type="cellIs" dxfId="19042" priority="757" operator="equal">
      <formula>0</formula>
    </cfRule>
  </conditionalFormatting>
  <conditionalFormatting sqref="N304:O304">
    <cfRule type="cellIs" dxfId="19041" priority="758" operator="equal">
      <formula>0</formula>
    </cfRule>
  </conditionalFormatting>
  <conditionalFormatting sqref="N305:O305">
    <cfRule type="cellIs" dxfId="19040" priority="759" operator="equal">
      <formula>0</formula>
    </cfRule>
  </conditionalFormatting>
  <conditionalFormatting sqref="E318:G318 D319:G320 H318:I320 D314:I317 J314:R320 D309:S309 D321:R321 D310:I311 S310:S321 P310:R311">
    <cfRule type="cellIs" dxfId="19039" priority="733" operator="equal">
      <formula>0</formula>
    </cfRule>
  </conditionalFormatting>
  <conditionalFormatting sqref="D318">
    <cfRule type="cellIs" dxfId="19038" priority="734" operator="equal">
      <formula>0</formula>
    </cfRule>
  </conditionalFormatting>
  <conditionalFormatting sqref="D309:S309 D314:R321 D310:I311 S310:S321 P310:R311">
    <cfRule type="expression" dxfId="19037" priority="735">
      <formula>LEN(TRIM(D309))=0</formula>
    </cfRule>
  </conditionalFormatting>
  <conditionalFormatting sqref="D312:R313">
    <cfRule type="cellIs" dxfId="19036" priority="736" operator="equal">
      <formula>0</formula>
    </cfRule>
  </conditionalFormatting>
  <conditionalFormatting sqref="P312:P313">
    <cfRule type="cellIs" dxfId="19035" priority="737" operator="equal">
      <formula>0</formula>
    </cfRule>
  </conditionalFormatting>
  <conditionalFormatting sqref="D312:R313">
    <cfRule type="expression" dxfId="19034" priority="738">
      <formula>LEN(TRIM(D312))=0</formula>
    </cfRule>
  </conditionalFormatting>
  <conditionalFormatting sqref="J310:O311">
    <cfRule type="cellIs" dxfId="19033" priority="731" operator="equal">
      <formula>0</formula>
    </cfRule>
  </conditionalFormatting>
  <conditionalFormatting sqref="J310:O311">
    <cfRule type="expression" dxfId="19032" priority="732">
      <formula>LEN(TRIM(J310))=0</formula>
    </cfRule>
  </conditionalFormatting>
  <conditionalFormatting sqref="D324:R329 S323:S328 S330 D323:I323 P323:R323">
    <cfRule type="cellIs" dxfId="19031" priority="725" operator="equal">
      <formula>0</formula>
    </cfRule>
  </conditionalFormatting>
  <conditionalFormatting sqref="D330:R330">
    <cfRule type="cellIs" dxfId="19030" priority="726" operator="equal">
      <formula>0</formula>
    </cfRule>
  </conditionalFormatting>
  <conditionalFormatting sqref="D324:S328 D330:S330 D329:R329 D323:I323 P323:S323">
    <cfRule type="expression" dxfId="19029" priority="727">
      <formula>LEN(TRIM(D323))=0</formula>
    </cfRule>
  </conditionalFormatting>
  <conditionalFormatting sqref="D330:R330">
    <cfRule type="cellIs" dxfId="19028" priority="728" operator="equal">
      <formula>0</formula>
    </cfRule>
  </conditionalFormatting>
  <conditionalFormatting sqref="D331:R331">
    <cfRule type="cellIs" dxfId="19027" priority="729" operator="equal">
      <formula>0</formula>
    </cfRule>
  </conditionalFormatting>
  <conditionalFormatting sqref="D331:R331">
    <cfRule type="expression" dxfId="19026" priority="730">
      <formula>LEN(TRIM(D331))=0</formula>
    </cfRule>
  </conditionalFormatting>
  <conditionalFormatting sqref="S331">
    <cfRule type="cellIs" dxfId="19025" priority="723" operator="equal">
      <formula>0</formula>
    </cfRule>
  </conditionalFormatting>
  <conditionalFormatting sqref="S331">
    <cfRule type="expression" dxfId="19024" priority="724">
      <formula>LEN(TRIM(S331))=0</formula>
    </cfRule>
  </conditionalFormatting>
  <conditionalFormatting sqref="S329">
    <cfRule type="cellIs" dxfId="19023" priority="721" operator="equal">
      <formula>0</formula>
    </cfRule>
  </conditionalFormatting>
  <conditionalFormatting sqref="S329">
    <cfRule type="expression" dxfId="19022" priority="722">
      <formula>LEN(TRIM(S329))=0</formula>
    </cfRule>
  </conditionalFormatting>
  <conditionalFormatting sqref="J323:O323">
    <cfRule type="cellIs" dxfId="19021" priority="719" operator="equal">
      <formula>0</formula>
    </cfRule>
  </conditionalFormatting>
  <conditionalFormatting sqref="J323:O323">
    <cfRule type="expression" dxfId="19020" priority="720">
      <formula>LEN(TRIM(J323))=0</formula>
    </cfRule>
  </conditionalFormatting>
  <conditionalFormatting sqref="P340:S342 E340:I342 J340:O341 Q337:S339 G337:G339 D337:D342 D343:S343">
    <cfRule type="cellIs" dxfId="19019" priority="698" operator="equal">
      <formula>0</formula>
    </cfRule>
  </conditionalFormatting>
  <conditionalFormatting sqref="P337:P342">
    <cfRule type="cellIs" dxfId="19018" priority="699" operator="equal">
      <formula>0</formula>
    </cfRule>
  </conditionalFormatting>
  <conditionalFormatting sqref="D337:E342 H337:I342">
    <cfRule type="cellIs" dxfId="19017" priority="700" operator="equal">
      <formula>0</formula>
    </cfRule>
  </conditionalFormatting>
  <conditionalFormatting sqref="F337:F342">
    <cfRule type="cellIs" dxfId="19016" priority="701" operator="equal">
      <formula>0</formula>
    </cfRule>
  </conditionalFormatting>
  <conditionalFormatting sqref="J340:J342">
    <cfRule type="cellIs" dxfId="19015" priority="702" operator="equal">
      <formula>0</formula>
    </cfRule>
  </conditionalFormatting>
  <conditionalFormatting sqref="J337:J342 K337:O337">
    <cfRule type="cellIs" dxfId="19014" priority="703" operator="equal">
      <formula>0</formula>
    </cfRule>
  </conditionalFormatting>
  <conditionalFormatting sqref="K340:K342">
    <cfRule type="cellIs" dxfId="19013" priority="704" operator="equal">
      <formula>0</formula>
    </cfRule>
  </conditionalFormatting>
  <conditionalFormatting sqref="K337:K342">
    <cfRule type="cellIs" dxfId="19012" priority="705" operator="equal">
      <formula>0</formula>
    </cfRule>
  </conditionalFormatting>
  <conditionalFormatting sqref="L340:L342">
    <cfRule type="cellIs" dxfId="19011" priority="706" operator="equal">
      <formula>0</formula>
    </cfRule>
  </conditionalFormatting>
  <conditionalFormatting sqref="L337:L342">
    <cfRule type="cellIs" dxfId="19010" priority="707" operator="equal">
      <formula>0</formula>
    </cfRule>
  </conditionalFormatting>
  <conditionalFormatting sqref="M340:M342">
    <cfRule type="cellIs" dxfId="19009" priority="708" operator="equal">
      <formula>0</formula>
    </cfRule>
  </conditionalFormatting>
  <conditionalFormatting sqref="M337:M342">
    <cfRule type="cellIs" dxfId="19008" priority="709" operator="equal">
      <formula>0</formula>
    </cfRule>
  </conditionalFormatting>
  <conditionalFormatting sqref="N340:N342">
    <cfRule type="cellIs" dxfId="19007" priority="710" operator="equal">
      <formula>0</formula>
    </cfRule>
  </conditionalFormatting>
  <conditionalFormatting sqref="N337:N342">
    <cfRule type="cellIs" dxfId="19006" priority="711" operator="equal">
      <formula>0</formula>
    </cfRule>
  </conditionalFormatting>
  <conditionalFormatting sqref="O340:O342">
    <cfRule type="cellIs" dxfId="19005" priority="712" operator="equal">
      <formula>0</formula>
    </cfRule>
  </conditionalFormatting>
  <conditionalFormatting sqref="O337:O342">
    <cfRule type="cellIs" dxfId="19004" priority="713" operator="equal">
      <formula>0</formula>
    </cfRule>
  </conditionalFormatting>
  <conditionalFormatting sqref="D337:S343">
    <cfRule type="expression" dxfId="19003" priority="714">
      <formula>LEN(TRIM(D337))=0</formula>
    </cfRule>
  </conditionalFormatting>
  <conditionalFormatting sqref="L340:L341">
    <cfRule type="cellIs" dxfId="19002" priority="715" operator="equal">
      <formula>0</formula>
    </cfRule>
  </conditionalFormatting>
  <conditionalFormatting sqref="M340:M341">
    <cfRule type="cellIs" dxfId="19001" priority="716" operator="equal">
      <formula>0</formula>
    </cfRule>
  </conditionalFormatting>
  <conditionalFormatting sqref="N340:O340">
    <cfRule type="cellIs" dxfId="19000" priority="717" operator="equal">
      <formula>0</formula>
    </cfRule>
  </conditionalFormatting>
  <conditionalFormatting sqref="N341:O341">
    <cfRule type="cellIs" dxfId="18999" priority="718" operator="equal">
      <formula>0</formula>
    </cfRule>
  </conditionalFormatting>
  <conditionalFormatting sqref="E354:G354 D355:G356 H354:I356 D350:I353 J350:R356 D345:S345 D357:R357 D346:I347 S346:S357 P346:R347">
    <cfRule type="cellIs" dxfId="18998" priority="692" operator="equal">
      <formula>0</formula>
    </cfRule>
  </conditionalFormatting>
  <conditionalFormatting sqref="D354">
    <cfRule type="cellIs" dxfId="18997" priority="693" operator="equal">
      <formula>0</formula>
    </cfRule>
  </conditionalFormatting>
  <conditionalFormatting sqref="D345:S345 D350:R357 D346:I347 S346:S357 P346:R347">
    <cfRule type="expression" dxfId="18996" priority="694">
      <formula>LEN(TRIM(D345))=0</formula>
    </cfRule>
  </conditionalFormatting>
  <conditionalFormatting sqref="D348:R349">
    <cfRule type="cellIs" dxfId="18995" priority="695" operator="equal">
      <formula>0</formula>
    </cfRule>
  </conditionalFormatting>
  <conditionalFormatting sqref="P348:P349">
    <cfRule type="cellIs" dxfId="18994" priority="696" operator="equal">
      <formula>0</formula>
    </cfRule>
  </conditionalFormatting>
  <conditionalFormatting sqref="D348:R349">
    <cfRule type="expression" dxfId="18993" priority="697">
      <formula>LEN(TRIM(D348))=0</formula>
    </cfRule>
  </conditionalFormatting>
  <conditionalFormatting sqref="J346:O347">
    <cfRule type="cellIs" dxfId="18992" priority="690" operator="equal">
      <formula>0</formula>
    </cfRule>
  </conditionalFormatting>
  <conditionalFormatting sqref="J346:O347">
    <cfRule type="expression" dxfId="18991" priority="691">
      <formula>LEN(TRIM(J346))=0</formula>
    </cfRule>
  </conditionalFormatting>
  <conditionalFormatting sqref="D360:R365 S359:S364 S366 D359:I359 P359:R359">
    <cfRule type="cellIs" dxfId="18990" priority="684" operator="equal">
      <formula>0</formula>
    </cfRule>
  </conditionalFormatting>
  <conditionalFormatting sqref="D366:R366">
    <cfRule type="cellIs" dxfId="18989" priority="685" operator="equal">
      <formula>0</formula>
    </cfRule>
  </conditionalFormatting>
  <conditionalFormatting sqref="D360:S364 D366:S366 D365:R365 D359:I359 P359:S359">
    <cfRule type="expression" dxfId="18988" priority="686">
      <formula>LEN(TRIM(D359))=0</formula>
    </cfRule>
  </conditionalFormatting>
  <conditionalFormatting sqref="D366:R366">
    <cfRule type="cellIs" dxfId="18987" priority="687" operator="equal">
      <formula>0</formula>
    </cfRule>
  </conditionalFormatting>
  <conditionalFormatting sqref="D367:R367">
    <cfRule type="cellIs" dxfId="18986" priority="688" operator="equal">
      <formula>0</formula>
    </cfRule>
  </conditionalFormatting>
  <conditionalFormatting sqref="D367:R367">
    <cfRule type="expression" dxfId="18985" priority="689">
      <formula>LEN(TRIM(D367))=0</formula>
    </cfRule>
  </conditionalFormatting>
  <conditionalFormatting sqref="S367">
    <cfRule type="cellIs" dxfId="18984" priority="682" operator="equal">
      <formula>0</formula>
    </cfRule>
  </conditionalFormatting>
  <conditionalFormatting sqref="S367">
    <cfRule type="expression" dxfId="18983" priority="683">
      <formula>LEN(TRIM(S367))=0</formula>
    </cfRule>
  </conditionalFormatting>
  <conditionalFormatting sqref="S365">
    <cfRule type="cellIs" dxfId="18982" priority="680" operator="equal">
      <formula>0</formula>
    </cfRule>
  </conditionalFormatting>
  <conditionalFormatting sqref="S365">
    <cfRule type="expression" dxfId="18981" priority="681">
      <formula>LEN(TRIM(S365))=0</formula>
    </cfRule>
  </conditionalFormatting>
  <conditionalFormatting sqref="J359:O359">
    <cfRule type="cellIs" dxfId="18980" priority="678" operator="equal">
      <formula>0</formula>
    </cfRule>
  </conditionalFormatting>
  <conditionalFormatting sqref="J359:O359">
    <cfRule type="expression" dxfId="18979" priority="679">
      <formula>LEN(TRIM(J359))=0</formula>
    </cfRule>
  </conditionalFormatting>
  <conditionalFormatting sqref="P376:S378 E376:I378 J376:O377 Q373:S375 G373:G375 D373:D378 D379:S379">
    <cfRule type="cellIs" dxfId="18978" priority="657" operator="equal">
      <formula>0</formula>
    </cfRule>
  </conditionalFormatting>
  <conditionalFormatting sqref="P373:P378">
    <cfRule type="cellIs" dxfId="18977" priority="658" operator="equal">
      <formula>0</formula>
    </cfRule>
  </conditionalFormatting>
  <conditionalFormatting sqref="D373:E378 H373:I378">
    <cfRule type="cellIs" dxfId="18976" priority="659" operator="equal">
      <formula>0</formula>
    </cfRule>
  </conditionalFormatting>
  <conditionalFormatting sqref="F373:F378">
    <cfRule type="cellIs" dxfId="18975" priority="660" operator="equal">
      <formula>0</formula>
    </cfRule>
  </conditionalFormatting>
  <conditionalFormatting sqref="J376:J378">
    <cfRule type="cellIs" dxfId="18974" priority="661" operator="equal">
      <formula>0</formula>
    </cfRule>
  </conditionalFormatting>
  <conditionalFormatting sqref="J373:J378 K373:O373">
    <cfRule type="cellIs" dxfId="18973" priority="662" operator="equal">
      <formula>0</formula>
    </cfRule>
  </conditionalFormatting>
  <conditionalFormatting sqref="K376:K378">
    <cfRule type="cellIs" dxfId="18972" priority="663" operator="equal">
      <formula>0</formula>
    </cfRule>
  </conditionalFormatting>
  <conditionalFormatting sqref="K373:K378">
    <cfRule type="cellIs" dxfId="18971" priority="664" operator="equal">
      <formula>0</formula>
    </cfRule>
  </conditionalFormatting>
  <conditionalFormatting sqref="L376:L378">
    <cfRule type="cellIs" dxfId="18970" priority="665" operator="equal">
      <formula>0</formula>
    </cfRule>
  </conditionalFormatting>
  <conditionalFormatting sqref="L373:L378">
    <cfRule type="cellIs" dxfId="18969" priority="666" operator="equal">
      <formula>0</formula>
    </cfRule>
  </conditionalFormatting>
  <conditionalFormatting sqref="M376:M378">
    <cfRule type="cellIs" dxfId="18968" priority="667" operator="equal">
      <formula>0</formula>
    </cfRule>
  </conditionalFormatting>
  <conditionalFormatting sqref="M373:M378">
    <cfRule type="cellIs" dxfId="18967" priority="668" operator="equal">
      <formula>0</formula>
    </cfRule>
  </conditionalFormatting>
  <conditionalFormatting sqref="N376:N378">
    <cfRule type="cellIs" dxfId="18966" priority="669" operator="equal">
      <formula>0</formula>
    </cfRule>
  </conditionalFormatting>
  <conditionalFormatting sqref="N373:N378">
    <cfRule type="cellIs" dxfId="18965" priority="670" operator="equal">
      <formula>0</formula>
    </cfRule>
  </conditionalFormatting>
  <conditionalFormatting sqref="O376:O378">
    <cfRule type="cellIs" dxfId="18964" priority="671" operator="equal">
      <formula>0</formula>
    </cfRule>
  </conditionalFormatting>
  <conditionalFormatting sqref="O373:O378">
    <cfRule type="cellIs" dxfId="18963" priority="672" operator="equal">
      <formula>0</formula>
    </cfRule>
  </conditionalFormatting>
  <conditionalFormatting sqref="D373:S379">
    <cfRule type="expression" dxfId="18962" priority="673">
      <formula>LEN(TRIM(D373))=0</formula>
    </cfRule>
  </conditionalFormatting>
  <conditionalFormatting sqref="L376:L377">
    <cfRule type="cellIs" dxfId="18961" priority="674" operator="equal">
      <formula>0</formula>
    </cfRule>
  </conditionalFormatting>
  <conditionalFormatting sqref="M376:M377">
    <cfRule type="cellIs" dxfId="18960" priority="675" operator="equal">
      <formula>0</formula>
    </cfRule>
  </conditionalFormatting>
  <conditionalFormatting sqref="N376:O376">
    <cfRule type="cellIs" dxfId="18959" priority="676" operator="equal">
      <formula>0</formula>
    </cfRule>
  </conditionalFormatting>
  <conditionalFormatting sqref="N377:O377">
    <cfRule type="cellIs" dxfId="18958" priority="677" operator="equal">
      <formula>0</formula>
    </cfRule>
  </conditionalFormatting>
  <conditionalFormatting sqref="E390:G390 D391:G392 H390:I392 D386:I389 J386:R392 D381:S381 D393:R393 D382:I383 S382:S393 P382:R383">
    <cfRule type="cellIs" dxfId="18957" priority="651" operator="equal">
      <formula>0</formula>
    </cfRule>
  </conditionalFormatting>
  <conditionalFormatting sqref="D390">
    <cfRule type="cellIs" dxfId="18956" priority="652" operator="equal">
      <formula>0</formula>
    </cfRule>
  </conditionalFormatting>
  <conditionalFormatting sqref="D381:S381 D386:R393 D382:I383 S382:S393 P382:R383">
    <cfRule type="expression" dxfId="18955" priority="653">
      <formula>LEN(TRIM(D381))=0</formula>
    </cfRule>
  </conditionalFormatting>
  <conditionalFormatting sqref="D384:R385">
    <cfRule type="cellIs" dxfId="18954" priority="654" operator="equal">
      <formula>0</formula>
    </cfRule>
  </conditionalFormatting>
  <conditionalFormatting sqref="P384:P385">
    <cfRule type="cellIs" dxfId="18953" priority="655" operator="equal">
      <formula>0</formula>
    </cfRule>
  </conditionalFormatting>
  <conditionalFormatting sqref="D384:R385">
    <cfRule type="expression" dxfId="18952" priority="656">
      <formula>LEN(TRIM(D384))=0</formula>
    </cfRule>
  </conditionalFormatting>
  <conditionalFormatting sqref="J382:O383">
    <cfRule type="cellIs" dxfId="18951" priority="649" operator="equal">
      <formula>0</formula>
    </cfRule>
  </conditionalFormatting>
  <conditionalFormatting sqref="J382:O383">
    <cfRule type="expression" dxfId="18950" priority="650">
      <formula>LEN(TRIM(J382))=0</formula>
    </cfRule>
  </conditionalFormatting>
  <conditionalFormatting sqref="D396:R401 S395:S400 S402 D395:I395 P395:R395">
    <cfRule type="cellIs" dxfId="18949" priority="643" operator="equal">
      <formula>0</formula>
    </cfRule>
  </conditionalFormatting>
  <conditionalFormatting sqref="D402:R402">
    <cfRule type="cellIs" dxfId="18948" priority="644" operator="equal">
      <formula>0</formula>
    </cfRule>
  </conditionalFormatting>
  <conditionalFormatting sqref="D396:S400 D402:S402 D401:R401 D395:I395 P395:S395">
    <cfRule type="expression" dxfId="18947" priority="645">
      <formula>LEN(TRIM(D395))=0</formula>
    </cfRule>
  </conditionalFormatting>
  <conditionalFormatting sqref="D402:R402">
    <cfRule type="cellIs" dxfId="18946" priority="646" operator="equal">
      <formula>0</formula>
    </cfRule>
  </conditionalFormatting>
  <conditionalFormatting sqref="D403:R403">
    <cfRule type="cellIs" dxfId="18945" priority="647" operator="equal">
      <formula>0</formula>
    </cfRule>
  </conditionalFormatting>
  <conditionalFormatting sqref="D403:R403">
    <cfRule type="expression" dxfId="18944" priority="648">
      <formula>LEN(TRIM(D403))=0</formula>
    </cfRule>
  </conditionalFormatting>
  <conditionalFormatting sqref="S403">
    <cfRule type="cellIs" dxfId="18943" priority="641" operator="equal">
      <formula>0</formula>
    </cfRule>
  </conditionalFormatting>
  <conditionalFormatting sqref="S403">
    <cfRule type="expression" dxfId="18942" priority="642">
      <formula>LEN(TRIM(S403))=0</formula>
    </cfRule>
  </conditionalFormatting>
  <conditionalFormatting sqref="S401">
    <cfRule type="cellIs" dxfId="18941" priority="639" operator="equal">
      <formula>0</formula>
    </cfRule>
  </conditionalFormatting>
  <conditionalFormatting sqref="S401">
    <cfRule type="expression" dxfId="18940" priority="640">
      <formula>LEN(TRIM(S401))=0</formula>
    </cfRule>
  </conditionalFormatting>
  <conditionalFormatting sqref="J395:O395">
    <cfRule type="cellIs" dxfId="18939" priority="637" operator="equal">
      <formula>0</formula>
    </cfRule>
  </conditionalFormatting>
  <conditionalFormatting sqref="J395:O395">
    <cfRule type="expression" dxfId="18938" priority="638">
      <formula>LEN(TRIM(J395))=0</formula>
    </cfRule>
  </conditionalFormatting>
  <conditionalFormatting sqref="AH15:AK17 W15:AA17 AB15:AG16 AI12:AK14 Y12:Y14 V12:V17 V18:AK18">
    <cfRule type="cellIs" dxfId="18937" priority="575" operator="equal">
      <formula>0</formula>
    </cfRule>
  </conditionalFormatting>
  <conditionalFormatting sqref="AH12:AH17">
    <cfRule type="cellIs" dxfId="18936" priority="576" operator="equal">
      <formula>0</formula>
    </cfRule>
  </conditionalFormatting>
  <conditionalFormatting sqref="V12:W17 Z12:AA17">
    <cfRule type="cellIs" dxfId="18935" priority="577" operator="equal">
      <formula>0</formula>
    </cfRule>
  </conditionalFormatting>
  <conditionalFormatting sqref="X12:X17">
    <cfRule type="cellIs" dxfId="18934" priority="578" operator="equal">
      <formula>0</formula>
    </cfRule>
  </conditionalFormatting>
  <conditionalFormatting sqref="AB15:AB17">
    <cfRule type="cellIs" dxfId="18933" priority="579" operator="equal">
      <formula>0</formula>
    </cfRule>
  </conditionalFormatting>
  <conditionalFormatting sqref="AB12:AB17 AC12:AG12">
    <cfRule type="cellIs" dxfId="18932" priority="580" operator="equal">
      <formula>0</formula>
    </cfRule>
  </conditionalFormatting>
  <conditionalFormatting sqref="AC15:AC17">
    <cfRule type="cellIs" dxfId="18931" priority="581" operator="equal">
      <formula>0</formula>
    </cfRule>
  </conditionalFormatting>
  <conditionalFormatting sqref="AC12:AC17">
    <cfRule type="cellIs" dxfId="18930" priority="582" operator="equal">
      <formula>0</formula>
    </cfRule>
  </conditionalFormatting>
  <conditionalFormatting sqref="AD15:AD17">
    <cfRule type="cellIs" dxfId="18929" priority="583" operator="equal">
      <formula>0</formula>
    </cfRule>
  </conditionalFormatting>
  <conditionalFormatting sqref="AD12:AD17">
    <cfRule type="cellIs" dxfId="18928" priority="584" operator="equal">
      <formula>0</formula>
    </cfRule>
  </conditionalFormatting>
  <conditionalFormatting sqref="AE15:AE17">
    <cfRule type="cellIs" dxfId="18927" priority="585" operator="equal">
      <formula>0</formula>
    </cfRule>
  </conditionalFormatting>
  <conditionalFormatting sqref="AE12:AE17">
    <cfRule type="cellIs" dxfId="18926" priority="586" operator="equal">
      <formula>0</formula>
    </cfRule>
  </conditionalFormatting>
  <conditionalFormatting sqref="AF15:AF17">
    <cfRule type="cellIs" dxfId="18925" priority="587" operator="equal">
      <formula>0</formula>
    </cfRule>
  </conditionalFormatting>
  <conditionalFormatting sqref="AF12:AF17">
    <cfRule type="cellIs" dxfId="18924" priority="588" operator="equal">
      <formula>0</formula>
    </cfRule>
  </conditionalFormatting>
  <conditionalFormatting sqref="AG15:AG17">
    <cfRule type="cellIs" dxfId="18923" priority="589" operator="equal">
      <formula>0</formula>
    </cfRule>
  </conditionalFormatting>
  <conditionalFormatting sqref="AG12:AG17">
    <cfRule type="cellIs" dxfId="18922" priority="590" operator="equal">
      <formula>0</formula>
    </cfRule>
  </conditionalFormatting>
  <conditionalFormatting sqref="V12:AK18">
    <cfRule type="expression" dxfId="18921" priority="591">
      <formula>LEN(TRIM(V12))=0</formula>
    </cfRule>
  </conditionalFormatting>
  <conditionalFormatting sqref="AD15:AD16">
    <cfRule type="cellIs" dxfId="18920" priority="592" operator="equal">
      <formula>0</formula>
    </cfRule>
  </conditionalFormatting>
  <conditionalFormatting sqref="AE15:AE16">
    <cfRule type="cellIs" dxfId="18919" priority="593" operator="equal">
      <formula>0</formula>
    </cfRule>
  </conditionalFormatting>
  <conditionalFormatting sqref="AF15:AG15">
    <cfRule type="cellIs" dxfId="18918" priority="594" operator="equal">
      <formula>0</formula>
    </cfRule>
  </conditionalFormatting>
  <conditionalFormatting sqref="AF16:AG16">
    <cfRule type="cellIs" dxfId="18917" priority="595" operator="equal">
      <formula>0</formula>
    </cfRule>
  </conditionalFormatting>
  <conditionalFormatting sqref="W29:Y29 V30:Y31 Z29:AA31 V25:AA28 AB25:AJ31 V20:AK20 V32:AJ32 V21:AA22 AK21:AK32 AH21:AJ22">
    <cfRule type="cellIs" dxfId="18916" priority="569" operator="equal">
      <formula>0</formula>
    </cfRule>
  </conditionalFormatting>
  <conditionalFormatting sqref="V29">
    <cfRule type="cellIs" dxfId="18915" priority="570" operator="equal">
      <formula>0</formula>
    </cfRule>
  </conditionalFormatting>
  <conditionalFormatting sqref="V20:AK20 V25:AJ32 V21:AA22 AK21:AK32 AH21:AJ22">
    <cfRule type="expression" dxfId="18914" priority="571">
      <formula>LEN(TRIM(V20))=0</formula>
    </cfRule>
  </conditionalFormatting>
  <conditionalFormatting sqref="V23:AJ24">
    <cfRule type="cellIs" dxfId="18913" priority="572" operator="equal">
      <formula>0</formula>
    </cfRule>
  </conditionalFormatting>
  <conditionalFormatting sqref="AH23:AH24">
    <cfRule type="cellIs" dxfId="18912" priority="573" operator="equal">
      <formula>0</formula>
    </cfRule>
  </conditionalFormatting>
  <conditionalFormatting sqref="V23:AJ24">
    <cfRule type="expression" dxfId="18911" priority="574">
      <formula>LEN(TRIM(V23))=0</formula>
    </cfRule>
  </conditionalFormatting>
  <conditionalFormatting sqref="AB21:AG22">
    <cfRule type="cellIs" dxfId="18910" priority="567" operator="equal">
      <formula>0</formula>
    </cfRule>
  </conditionalFormatting>
  <conditionalFormatting sqref="AB21:AG22">
    <cfRule type="expression" dxfId="18909" priority="568">
      <formula>LEN(TRIM(AB21))=0</formula>
    </cfRule>
  </conditionalFormatting>
  <conditionalFormatting sqref="V35:AJ40 AK34:AK39 AK41 V34:AA34 AH34:AJ34">
    <cfRule type="cellIs" dxfId="18908" priority="561" operator="equal">
      <formula>0</formula>
    </cfRule>
  </conditionalFormatting>
  <conditionalFormatting sqref="V41:AJ41">
    <cfRule type="cellIs" dxfId="18907" priority="562" operator="equal">
      <formula>0</formula>
    </cfRule>
  </conditionalFormatting>
  <conditionalFormatting sqref="V35:AK39 V41:AK41 V40:AJ40 V34:AA34 AH34:AK34">
    <cfRule type="expression" dxfId="18906" priority="563">
      <formula>LEN(TRIM(V34))=0</formula>
    </cfRule>
  </conditionalFormatting>
  <conditionalFormatting sqref="V41:AJ41">
    <cfRule type="cellIs" dxfId="18905" priority="564" operator="equal">
      <formula>0</formula>
    </cfRule>
  </conditionalFormatting>
  <conditionalFormatting sqref="V42:AJ42">
    <cfRule type="cellIs" dxfId="18904" priority="565" operator="equal">
      <formula>0</formula>
    </cfRule>
  </conditionalFormatting>
  <conditionalFormatting sqref="V42:AJ42">
    <cfRule type="expression" dxfId="18903" priority="566">
      <formula>LEN(TRIM(V42))=0</formula>
    </cfRule>
  </conditionalFormatting>
  <conditionalFormatting sqref="AK42">
    <cfRule type="cellIs" dxfId="18902" priority="559" operator="equal">
      <formula>0</formula>
    </cfRule>
  </conditionalFormatting>
  <conditionalFormatting sqref="AK42">
    <cfRule type="expression" dxfId="18901" priority="560">
      <formula>LEN(TRIM(AK42))=0</formula>
    </cfRule>
  </conditionalFormatting>
  <conditionalFormatting sqref="AK40">
    <cfRule type="cellIs" dxfId="18900" priority="557" operator="equal">
      <formula>0</formula>
    </cfRule>
  </conditionalFormatting>
  <conditionalFormatting sqref="AK40">
    <cfRule type="expression" dxfId="18899" priority="558">
      <formula>LEN(TRIM(AK40))=0</formula>
    </cfRule>
  </conditionalFormatting>
  <conditionalFormatting sqref="AB34:AG34">
    <cfRule type="cellIs" dxfId="18898" priority="555" operator="equal">
      <formula>0</formula>
    </cfRule>
  </conditionalFormatting>
  <conditionalFormatting sqref="AB34:AG34">
    <cfRule type="expression" dxfId="18897" priority="556">
      <formula>LEN(TRIM(AB34))=0</formula>
    </cfRule>
  </conditionalFormatting>
  <conditionalFormatting sqref="AH52:AK54 W52:AA54 AB52:AG53 AI49:AK51 Y49:Y51 V49:V54 V55:AK55">
    <cfRule type="cellIs" dxfId="18896" priority="534" operator="equal">
      <formula>0</formula>
    </cfRule>
  </conditionalFormatting>
  <conditionalFormatting sqref="AH49:AH54">
    <cfRule type="cellIs" dxfId="18895" priority="535" operator="equal">
      <formula>0</formula>
    </cfRule>
  </conditionalFormatting>
  <conditionalFormatting sqref="V49:W54 Z49:AA54">
    <cfRule type="cellIs" dxfId="18894" priority="536" operator="equal">
      <formula>0</formula>
    </cfRule>
  </conditionalFormatting>
  <conditionalFormatting sqref="X49:X54">
    <cfRule type="cellIs" dxfId="18893" priority="537" operator="equal">
      <formula>0</formula>
    </cfRule>
  </conditionalFormatting>
  <conditionalFormatting sqref="AB52:AB54">
    <cfRule type="cellIs" dxfId="18892" priority="538" operator="equal">
      <formula>0</formula>
    </cfRule>
  </conditionalFormatting>
  <conditionalFormatting sqref="AB49:AB54 AC49:AG49">
    <cfRule type="cellIs" dxfId="18891" priority="539" operator="equal">
      <formula>0</formula>
    </cfRule>
  </conditionalFormatting>
  <conditionalFormatting sqref="AC52:AC54">
    <cfRule type="cellIs" dxfId="18890" priority="540" operator="equal">
      <formula>0</formula>
    </cfRule>
  </conditionalFormatting>
  <conditionalFormatting sqref="AC49:AC54">
    <cfRule type="cellIs" dxfId="18889" priority="541" operator="equal">
      <formula>0</formula>
    </cfRule>
  </conditionalFormatting>
  <conditionalFormatting sqref="AD52:AD54">
    <cfRule type="cellIs" dxfId="18888" priority="542" operator="equal">
      <formula>0</formula>
    </cfRule>
  </conditionalFormatting>
  <conditionalFormatting sqref="AD49:AD54">
    <cfRule type="cellIs" dxfId="18887" priority="543" operator="equal">
      <formula>0</formula>
    </cfRule>
  </conditionalFormatting>
  <conditionalFormatting sqref="AE52:AE54">
    <cfRule type="cellIs" dxfId="18886" priority="544" operator="equal">
      <formula>0</formula>
    </cfRule>
  </conditionalFormatting>
  <conditionalFormatting sqref="AE49:AE54">
    <cfRule type="cellIs" dxfId="18885" priority="545" operator="equal">
      <formula>0</formula>
    </cfRule>
  </conditionalFormatting>
  <conditionalFormatting sqref="AF52:AF54">
    <cfRule type="cellIs" dxfId="18884" priority="546" operator="equal">
      <formula>0</formula>
    </cfRule>
  </conditionalFormatting>
  <conditionalFormatting sqref="AF49:AF54">
    <cfRule type="cellIs" dxfId="18883" priority="547" operator="equal">
      <formula>0</formula>
    </cfRule>
  </conditionalFormatting>
  <conditionalFormatting sqref="AG52:AG54">
    <cfRule type="cellIs" dxfId="18882" priority="548" operator="equal">
      <formula>0</formula>
    </cfRule>
  </conditionalFormatting>
  <conditionalFormatting sqref="AG49:AG54">
    <cfRule type="cellIs" dxfId="18881" priority="549" operator="equal">
      <formula>0</formula>
    </cfRule>
  </conditionalFormatting>
  <conditionalFormatting sqref="V49:AK55">
    <cfRule type="expression" dxfId="18880" priority="550">
      <formula>LEN(TRIM(V49))=0</formula>
    </cfRule>
  </conditionalFormatting>
  <conditionalFormatting sqref="AD52:AD53">
    <cfRule type="cellIs" dxfId="18879" priority="551" operator="equal">
      <formula>0</formula>
    </cfRule>
  </conditionalFormatting>
  <conditionalFormatting sqref="AE52:AE53">
    <cfRule type="cellIs" dxfId="18878" priority="552" operator="equal">
      <formula>0</formula>
    </cfRule>
  </conditionalFormatting>
  <conditionalFormatting sqref="AF52:AG52">
    <cfRule type="cellIs" dxfId="18877" priority="553" operator="equal">
      <formula>0</formula>
    </cfRule>
  </conditionalFormatting>
  <conditionalFormatting sqref="AF53:AG53">
    <cfRule type="cellIs" dxfId="18876" priority="554" operator="equal">
      <formula>0</formula>
    </cfRule>
  </conditionalFormatting>
  <conditionalFormatting sqref="W66:Y66 V67:Y68 Z66:AA68 V62:AA65 AB62:AJ68 V57:AK57 V69:AJ69 V58:AA59 AK58:AK69 AH58:AJ59">
    <cfRule type="cellIs" dxfId="18875" priority="528" operator="equal">
      <formula>0</formula>
    </cfRule>
  </conditionalFormatting>
  <conditionalFormatting sqref="V66">
    <cfRule type="cellIs" dxfId="18874" priority="529" operator="equal">
      <formula>0</formula>
    </cfRule>
  </conditionalFormatting>
  <conditionalFormatting sqref="V57:AK57 V62:AJ69 V58:AA59 AK58:AK69 AH58:AJ59">
    <cfRule type="expression" dxfId="18873" priority="530">
      <formula>LEN(TRIM(V57))=0</formula>
    </cfRule>
  </conditionalFormatting>
  <conditionalFormatting sqref="V60:AJ61">
    <cfRule type="cellIs" dxfId="18872" priority="531" operator="equal">
      <formula>0</formula>
    </cfRule>
  </conditionalFormatting>
  <conditionalFormatting sqref="AH60:AH61">
    <cfRule type="cellIs" dxfId="18871" priority="532" operator="equal">
      <formula>0</formula>
    </cfRule>
  </conditionalFormatting>
  <conditionalFormatting sqref="V60:AJ61">
    <cfRule type="expression" dxfId="18870" priority="533">
      <formula>LEN(TRIM(V60))=0</formula>
    </cfRule>
  </conditionalFormatting>
  <conditionalFormatting sqref="AB58:AG59">
    <cfRule type="cellIs" dxfId="18869" priority="526" operator="equal">
      <formula>0</formula>
    </cfRule>
  </conditionalFormatting>
  <conditionalFormatting sqref="AB58:AG59">
    <cfRule type="expression" dxfId="18868" priority="527">
      <formula>LEN(TRIM(AB58))=0</formula>
    </cfRule>
  </conditionalFormatting>
  <conditionalFormatting sqref="V72:AJ77 AK71:AK76 AK78 V71:AA71 AH71:AJ71">
    <cfRule type="cellIs" dxfId="18867" priority="520" operator="equal">
      <formula>0</formula>
    </cfRule>
  </conditionalFormatting>
  <conditionalFormatting sqref="V78:AJ78">
    <cfRule type="cellIs" dxfId="18866" priority="521" operator="equal">
      <formula>0</formula>
    </cfRule>
  </conditionalFormatting>
  <conditionalFormatting sqref="V72:AK76 V78:AK78 V77:AJ77 V71:AA71 AH71:AK71">
    <cfRule type="expression" dxfId="18865" priority="522">
      <formula>LEN(TRIM(V71))=0</formula>
    </cfRule>
  </conditionalFormatting>
  <conditionalFormatting sqref="V78:AJ78">
    <cfRule type="cellIs" dxfId="18864" priority="523" operator="equal">
      <formula>0</formula>
    </cfRule>
  </conditionalFormatting>
  <conditionalFormatting sqref="V79:AJ79">
    <cfRule type="cellIs" dxfId="18863" priority="524" operator="equal">
      <formula>0</formula>
    </cfRule>
  </conditionalFormatting>
  <conditionalFormatting sqref="V79:AJ79">
    <cfRule type="expression" dxfId="18862" priority="525">
      <formula>LEN(TRIM(V79))=0</formula>
    </cfRule>
  </conditionalFormatting>
  <conditionalFormatting sqref="AK79">
    <cfRule type="cellIs" dxfId="18861" priority="518" operator="equal">
      <formula>0</formula>
    </cfRule>
  </conditionalFormatting>
  <conditionalFormatting sqref="AK79">
    <cfRule type="expression" dxfId="18860" priority="519">
      <formula>LEN(TRIM(AK79))=0</formula>
    </cfRule>
  </conditionalFormatting>
  <conditionalFormatting sqref="AK77">
    <cfRule type="cellIs" dxfId="18859" priority="516" operator="equal">
      <formula>0</formula>
    </cfRule>
  </conditionalFormatting>
  <conditionalFormatting sqref="AK77">
    <cfRule type="expression" dxfId="18858" priority="517">
      <formula>LEN(TRIM(AK77))=0</formula>
    </cfRule>
  </conditionalFormatting>
  <conditionalFormatting sqref="AB71:AG71">
    <cfRule type="cellIs" dxfId="18857" priority="514" operator="equal">
      <formula>0</formula>
    </cfRule>
  </conditionalFormatting>
  <conditionalFormatting sqref="AB71:AG71">
    <cfRule type="expression" dxfId="18856" priority="515">
      <formula>LEN(TRIM(AB71))=0</formula>
    </cfRule>
  </conditionalFormatting>
  <conditionalFormatting sqref="AH88:AK90 W88:AA90 AB88:AG89 AI85:AK87 Y85:Y87 V85:V90 V91:AK91">
    <cfRule type="cellIs" dxfId="18855" priority="493" operator="equal">
      <formula>0</formula>
    </cfRule>
  </conditionalFormatting>
  <conditionalFormatting sqref="AH85:AH90">
    <cfRule type="cellIs" dxfId="18854" priority="494" operator="equal">
      <formula>0</formula>
    </cfRule>
  </conditionalFormatting>
  <conditionalFormatting sqref="V85:W90 Z85:AA90">
    <cfRule type="cellIs" dxfId="18853" priority="495" operator="equal">
      <formula>0</formula>
    </cfRule>
  </conditionalFormatting>
  <conditionalFormatting sqref="X85:X90">
    <cfRule type="cellIs" dxfId="18852" priority="496" operator="equal">
      <formula>0</formula>
    </cfRule>
  </conditionalFormatting>
  <conditionalFormatting sqref="AB88:AB90">
    <cfRule type="cellIs" dxfId="18851" priority="497" operator="equal">
      <formula>0</formula>
    </cfRule>
  </conditionalFormatting>
  <conditionalFormatting sqref="AB85:AB90 AC85:AG85">
    <cfRule type="cellIs" dxfId="18850" priority="498" operator="equal">
      <formula>0</formula>
    </cfRule>
  </conditionalFormatting>
  <conditionalFormatting sqref="AC88:AC90">
    <cfRule type="cellIs" dxfId="18849" priority="499" operator="equal">
      <formula>0</formula>
    </cfRule>
  </conditionalFormatting>
  <conditionalFormatting sqref="AC85:AC90">
    <cfRule type="cellIs" dxfId="18848" priority="500" operator="equal">
      <formula>0</formula>
    </cfRule>
  </conditionalFormatting>
  <conditionalFormatting sqref="AD88:AD90">
    <cfRule type="cellIs" dxfId="18847" priority="501" operator="equal">
      <formula>0</formula>
    </cfRule>
  </conditionalFormatting>
  <conditionalFormatting sqref="AD85:AD90">
    <cfRule type="cellIs" dxfId="18846" priority="502" operator="equal">
      <formula>0</formula>
    </cfRule>
  </conditionalFormatting>
  <conditionalFormatting sqref="AE88:AE90">
    <cfRule type="cellIs" dxfId="18845" priority="503" operator="equal">
      <formula>0</formula>
    </cfRule>
  </conditionalFormatting>
  <conditionalFormatting sqref="AE85:AE90">
    <cfRule type="cellIs" dxfId="18844" priority="504" operator="equal">
      <formula>0</formula>
    </cfRule>
  </conditionalFormatting>
  <conditionalFormatting sqref="AF88:AF90">
    <cfRule type="cellIs" dxfId="18843" priority="505" operator="equal">
      <formula>0</formula>
    </cfRule>
  </conditionalFormatting>
  <conditionalFormatting sqref="AF85:AF90">
    <cfRule type="cellIs" dxfId="18842" priority="506" operator="equal">
      <formula>0</formula>
    </cfRule>
  </conditionalFormatting>
  <conditionalFormatting sqref="AG88:AG90">
    <cfRule type="cellIs" dxfId="18841" priority="507" operator="equal">
      <formula>0</formula>
    </cfRule>
  </conditionalFormatting>
  <conditionalFormatting sqref="AG85:AG90">
    <cfRule type="cellIs" dxfId="18840" priority="508" operator="equal">
      <formula>0</formula>
    </cfRule>
  </conditionalFormatting>
  <conditionalFormatting sqref="V85:AK91">
    <cfRule type="expression" dxfId="18839" priority="509">
      <formula>LEN(TRIM(V85))=0</formula>
    </cfRule>
  </conditionalFormatting>
  <conditionalFormatting sqref="AD88:AD89">
    <cfRule type="cellIs" dxfId="18838" priority="510" operator="equal">
      <formula>0</formula>
    </cfRule>
  </conditionalFormatting>
  <conditionalFormatting sqref="AE88:AE89">
    <cfRule type="cellIs" dxfId="18837" priority="511" operator="equal">
      <formula>0</formula>
    </cfRule>
  </conditionalFormatting>
  <conditionalFormatting sqref="AF88:AG88">
    <cfRule type="cellIs" dxfId="18836" priority="512" operator="equal">
      <formula>0</formula>
    </cfRule>
  </conditionalFormatting>
  <conditionalFormatting sqref="AF89:AG89">
    <cfRule type="cellIs" dxfId="18835" priority="513" operator="equal">
      <formula>0</formula>
    </cfRule>
  </conditionalFormatting>
  <conditionalFormatting sqref="W102:Y102 V103:Y104 Z102:AA104 V98:AA101 AB98:AJ104 V93:AK93 V105:AJ105 V94:AA95 AK94:AK105 AH94:AJ95">
    <cfRule type="cellIs" dxfId="18834" priority="487" operator="equal">
      <formula>0</formula>
    </cfRule>
  </conditionalFormatting>
  <conditionalFormatting sqref="V102">
    <cfRule type="cellIs" dxfId="18833" priority="488" operator="equal">
      <formula>0</formula>
    </cfRule>
  </conditionalFormatting>
  <conditionalFormatting sqref="V93:AK93 V98:AJ105 V94:AA95 AK94:AK105 AH94:AJ95">
    <cfRule type="expression" dxfId="18832" priority="489">
      <formula>LEN(TRIM(V93))=0</formula>
    </cfRule>
  </conditionalFormatting>
  <conditionalFormatting sqref="V96:AJ97">
    <cfRule type="cellIs" dxfId="18831" priority="490" operator="equal">
      <formula>0</formula>
    </cfRule>
  </conditionalFormatting>
  <conditionalFormatting sqref="AH96:AH97">
    <cfRule type="cellIs" dxfId="18830" priority="491" operator="equal">
      <formula>0</formula>
    </cfRule>
  </conditionalFormatting>
  <conditionalFormatting sqref="V96:AJ97">
    <cfRule type="expression" dxfId="18829" priority="492">
      <formula>LEN(TRIM(V96))=0</formula>
    </cfRule>
  </conditionalFormatting>
  <conditionalFormatting sqref="AB94:AG95">
    <cfRule type="cellIs" dxfId="18828" priority="485" operator="equal">
      <formula>0</formula>
    </cfRule>
  </conditionalFormatting>
  <conditionalFormatting sqref="AB94:AG95">
    <cfRule type="expression" dxfId="18827" priority="486">
      <formula>LEN(TRIM(AB94))=0</formula>
    </cfRule>
  </conditionalFormatting>
  <conditionalFormatting sqref="V108:AJ113 AK107:AK112 AK114 V107:AA107 AH107:AJ107">
    <cfRule type="cellIs" dxfId="18826" priority="479" operator="equal">
      <formula>0</formula>
    </cfRule>
  </conditionalFormatting>
  <conditionalFormatting sqref="V114:AJ114">
    <cfRule type="cellIs" dxfId="18825" priority="480" operator="equal">
      <formula>0</formula>
    </cfRule>
  </conditionalFormatting>
  <conditionalFormatting sqref="V108:AK112 V114:AK114 V113:AJ113 V107:AA107 AH107:AK107">
    <cfRule type="expression" dxfId="18824" priority="481">
      <formula>LEN(TRIM(V107))=0</formula>
    </cfRule>
  </conditionalFormatting>
  <conditionalFormatting sqref="V114:AJ114">
    <cfRule type="cellIs" dxfId="18823" priority="482" operator="equal">
      <formula>0</formula>
    </cfRule>
  </conditionalFormatting>
  <conditionalFormatting sqref="V115:AJ115">
    <cfRule type="cellIs" dxfId="18822" priority="483" operator="equal">
      <formula>0</formula>
    </cfRule>
  </conditionalFormatting>
  <conditionalFormatting sqref="V115:AJ115">
    <cfRule type="expression" dxfId="18821" priority="484">
      <formula>LEN(TRIM(V115))=0</formula>
    </cfRule>
  </conditionalFormatting>
  <conditionalFormatting sqref="AK115">
    <cfRule type="cellIs" dxfId="18820" priority="477" operator="equal">
      <formula>0</formula>
    </cfRule>
  </conditionalFormatting>
  <conditionalFormatting sqref="AK115">
    <cfRule type="expression" dxfId="18819" priority="478">
      <formula>LEN(TRIM(AK115))=0</formula>
    </cfRule>
  </conditionalFormatting>
  <conditionalFormatting sqref="AK113">
    <cfRule type="cellIs" dxfId="18818" priority="475" operator="equal">
      <formula>0</formula>
    </cfRule>
  </conditionalFormatting>
  <conditionalFormatting sqref="AK113">
    <cfRule type="expression" dxfId="18817" priority="476">
      <formula>LEN(TRIM(AK113))=0</formula>
    </cfRule>
  </conditionalFormatting>
  <conditionalFormatting sqref="AB107:AG107">
    <cfRule type="cellIs" dxfId="18816" priority="473" operator="equal">
      <formula>0</formula>
    </cfRule>
  </conditionalFormatting>
  <conditionalFormatting sqref="AB107:AG107">
    <cfRule type="expression" dxfId="18815" priority="474">
      <formula>LEN(TRIM(AB107))=0</formula>
    </cfRule>
  </conditionalFormatting>
  <conditionalFormatting sqref="AH124:AK126 W124:AA126 AB124:AG125 AI121:AK123 Y121:Y123 V121:V126 V127:AK127">
    <cfRule type="cellIs" dxfId="18814" priority="452" operator="equal">
      <formula>0</formula>
    </cfRule>
  </conditionalFormatting>
  <conditionalFormatting sqref="AH121:AH126">
    <cfRule type="cellIs" dxfId="18813" priority="453" operator="equal">
      <formula>0</formula>
    </cfRule>
  </conditionalFormatting>
  <conditionalFormatting sqref="V121:W126 Z121:AA126">
    <cfRule type="cellIs" dxfId="18812" priority="454" operator="equal">
      <formula>0</formula>
    </cfRule>
  </conditionalFormatting>
  <conditionalFormatting sqref="X121:X126">
    <cfRule type="cellIs" dxfId="18811" priority="455" operator="equal">
      <formula>0</formula>
    </cfRule>
  </conditionalFormatting>
  <conditionalFormatting sqref="AB124:AB126">
    <cfRule type="cellIs" dxfId="18810" priority="456" operator="equal">
      <formula>0</formula>
    </cfRule>
  </conditionalFormatting>
  <conditionalFormatting sqref="AB121:AB126 AC121:AG121">
    <cfRule type="cellIs" dxfId="18809" priority="457" operator="equal">
      <formula>0</formula>
    </cfRule>
  </conditionalFormatting>
  <conditionalFormatting sqref="AC124:AC126">
    <cfRule type="cellIs" dxfId="18808" priority="458" operator="equal">
      <formula>0</formula>
    </cfRule>
  </conditionalFormatting>
  <conditionalFormatting sqref="AC121:AC126">
    <cfRule type="cellIs" dxfId="18807" priority="459" operator="equal">
      <formula>0</formula>
    </cfRule>
  </conditionalFormatting>
  <conditionalFormatting sqref="AD124:AD126">
    <cfRule type="cellIs" dxfId="18806" priority="460" operator="equal">
      <formula>0</formula>
    </cfRule>
  </conditionalFormatting>
  <conditionalFormatting sqref="AD121:AD126">
    <cfRule type="cellIs" dxfId="18805" priority="461" operator="equal">
      <formula>0</formula>
    </cfRule>
  </conditionalFormatting>
  <conditionalFormatting sqref="AE124:AE126">
    <cfRule type="cellIs" dxfId="18804" priority="462" operator="equal">
      <formula>0</formula>
    </cfRule>
  </conditionalFormatting>
  <conditionalFormatting sqref="AE121:AE126">
    <cfRule type="cellIs" dxfId="18803" priority="463" operator="equal">
      <formula>0</formula>
    </cfRule>
  </conditionalFormatting>
  <conditionalFormatting sqref="AF124:AF126">
    <cfRule type="cellIs" dxfId="18802" priority="464" operator="equal">
      <formula>0</formula>
    </cfRule>
  </conditionalFormatting>
  <conditionalFormatting sqref="AF121:AF126">
    <cfRule type="cellIs" dxfId="18801" priority="465" operator="equal">
      <formula>0</formula>
    </cfRule>
  </conditionalFormatting>
  <conditionalFormatting sqref="AG124:AG126">
    <cfRule type="cellIs" dxfId="18800" priority="466" operator="equal">
      <formula>0</formula>
    </cfRule>
  </conditionalFormatting>
  <conditionalFormatting sqref="AG121:AG126">
    <cfRule type="cellIs" dxfId="18799" priority="467" operator="equal">
      <formula>0</formula>
    </cfRule>
  </conditionalFormatting>
  <conditionalFormatting sqref="V121:AK127">
    <cfRule type="expression" dxfId="18798" priority="468">
      <formula>LEN(TRIM(V121))=0</formula>
    </cfRule>
  </conditionalFormatting>
  <conditionalFormatting sqref="AD124:AD125">
    <cfRule type="cellIs" dxfId="18797" priority="469" operator="equal">
      <formula>0</formula>
    </cfRule>
  </conditionalFormatting>
  <conditionalFormatting sqref="AE124:AE125">
    <cfRule type="cellIs" dxfId="18796" priority="470" operator="equal">
      <formula>0</formula>
    </cfRule>
  </conditionalFormatting>
  <conditionalFormatting sqref="AF124:AG124">
    <cfRule type="cellIs" dxfId="18795" priority="471" operator="equal">
      <formula>0</formula>
    </cfRule>
  </conditionalFormatting>
  <conditionalFormatting sqref="AF125:AG125">
    <cfRule type="cellIs" dxfId="18794" priority="472" operator="equal">
      <formula>0</formula>
    </cfRule>
  </conditionalFormatting>
  <conditionalFormatting sqref="W138:Y138 V139:Y140 Z138:AA140 V134:AA137 AB134:AJ140 V129:AK129 V141:AJ141 V130:AA131 AK130:AK141 AH130:AJ131">
    <cfRule type="cellIs" dxfId="18793" priority="446" operator="equal">
      <formula>0</formula>
    </cfRule>
  </conditionalFormatting>
  <conditionalFormatting sqref="V138">
    <cfRule type="cellIs" dxfId="18792" priority="447" operator="equal">
      <formula>0</formula>
    </cfRule>
  </conditionalFormatting>
  <conditionalFormatting sqref="V129:AK129 V134:AJ141 V130:AA131 AK130:AK141 AH130:AJ131">
    <cfRule type="expression" dxfId="18791" priority="448">
      <formula>LEN(TRIM(V129))=0</formula>
    </cfRule>
  </conditionalFormatting>
  <conditionalFormatting sqref="V132:AJ133">
    <cfRule type="cellIs" dxfId="18790" priority="449" operator="equal">
      <formula>0</formula>
    </cfRule>
  </conditionalFormatting>
  <conditionalFormatting sqref="AH132:AH133">
    <cfRule type="cellIs" dxfId="18789" priority="450" operator="equal">
      <formula>0</formula>
    </cfRule>
  </conditionalFormatting>
  <conditionalFormatting sqref="V132:AJ133">
    <cfRule type="expression" dxfId="18788" priority="451">
      <formula>LEN(TRIM(V132))=0</formula>
    </cfRule>
  </conditionalFormatting>
  <conditionalFormatting sqref="AB130:AG131">
    <cfRule type="cellIs" dxfId="18787" priority="444" operator="equal">
      <formula>0</formula>
    </cfRule>
  </conditionalFormatting>
  <conditionalFormatting sqref="AB130:AG131">
    <cfRule type="expression" dxfId="18786" priority="445">
      <formula>LEN(TRIM(AB130))=0</formula>
    </cfRule>
  </conditionalFormatting>
  <conditionalFormatting sqref="V144:AJ149 AK143:AK148 AK150 V143:AA143 AH143:AJ143">
    <cfRule type="cellIs" dxfId="18785" priority="438" operator="equal">
      <formula>0</formula>
    </cfRule>
  </conditionalFormatting>
  <conditionalFormatting sqref="V150:AJ150">
    <cfRule type="cellIs" dxfId="18784" priority="439" operator="equal">
      <formula>0</formula>
    </cfRule>
  </conditionalFormatting>
  <conditionalFormatting sqref="V144:AK148 V150:AK150 V149:AJ149 V143:AA143 AH143:AK143">
    <cfRule type="expression" dxfId="18783" priority="440">
      <formula>LEN(TRIM(V143))=0</formula>
    </cfRule>
  </conditionalFormatting>
  <conditionalFormatting sqref="V150:AJ150">
    <cfRule type="cellIs" dxfId="18782" priority="441" operator="equal">
      <formula>0</formula>
    </cfRule>
  </conditionalFormatting>
  <conditionalFormatting sqref="V151:AJ151">
    <cfRule type="cellIs" dxfId="18781" priority="442" operator="equal">
      <formula>0</formula>
    </cfRule>
  </conditionalFormatting>
  <conditionalFormatting sqref="V151:AJ151">
    <cfRule type="expression" dxfId="18780" priority="443">
      <formula>LEN(TRIM(V151))=0</formula>
    </cfRule>
  </conditionalFormatting>
  <conditionalFormatting sqref="AK151">
    <cfRule type="cellIs" dxfId="18779" priority="436" operator="equal">
      <formula>0</formula>
    </cfRule>
  </conditionalFormatting>
  <conditionalFormatting sqref="AK151">
    <cfRule type="expression" dxfId="18778" priority="437">
      <formula>LEN(TRIM(AK151))=0</formula>
    </cfRule>
  </conditionalFormatting>
  <conditionalFormatting sqref="AK149">
    <cfRule type="cellIs" dxfId="18777" priority="434" operator="equal">
      <formula>0</formula>
    </cfRule>
  </conditionalFormatting>
  <conditionalFormatting sqref="AK149">
    <cfRule type="expression" dxfId="18776" priority="435">
      <formula>LEN(TRIM(AK149))=0</formula>
    </cfRule>
  </conditionalFormatting>
  <conditionalFormatting sqref="AB143:AG143">
    <cfRule type="cellIs" dxfId="18775" priority="432" operator="equal">
      <formula>0</formula>
    </cfRule>
  </conditionalFormatting>
  <conditionalFormatting sqref="AB143:AG143">
    <cfRule type="expression" dxfId="18774" priority="433">
      <formula>LEN(TRIM(AB143))=0</formula>
    </cfRule>
  </conditionalFormatting>
  <conditionalFormatting sqref="AH160:AK162 W160:AA162 AB160:AG161 AI157:AK159 Y157:Y159 V157:V162 V163:AK163">
    <cfRule type="cellIs" dxfId="18773" priority="411" operator="equal">
      <formula>0</formula>
    </cfRule>
  </conditionalFormatting>
  <conditionalFormatting sqref="AH157:AH162">
    <cfRule type="cellIs" dxfId="18772" priority="412" operator="equal">
      <formula>0</formula>
    </cfRule>
  </conditionalFormatting>
  <conditionalFormatting sqref="V157:W162 Z157:AA162">
    <cfRule type="cellIs" dxfId="18771" priority="413" operator="equal">
      <formula>0</formula>
    </cfRule>
  </conditionalFormatting>
  <conditionalFormatting sqref="X157:X162">
    <cfRule type="cellIs" dxfId="18770" priority="414" operator="equal">
      <formula>0</formula>
    </cfRule>
  </conditionalFormatting>
  <conditionalFormatting sqref="AB160:AB162">
    <cfRule type="cellIs" dxfId="18769" priority="415" operator="equal">
      <formula>0</formula>
    </cfRule>
  </conditionalFormatting>
  <conditionalFormatting sqref="AB157:AB162 AC157:AG157">
    <cfRule type="cellIs" dxfId="18768" priority="416" operator="equal">
      <formula>0</formula>
    </cfRule>
  </conditionalFormatting>
  <conditionalFormatting sqref="AC160:AC162">
    <cfRule type="cellIs" dxfId="18767" priority="417" operator="equal">
      <formula>0</formula>
    </cfRule>
  </conditionalFormatting>
  <conditionalFormatting sqref="AC157:AC162">
    <cfRule type="cellIs" dxfId="18766" priority="418" operator="equal">
      <formula>0</formula>
    </cfRule>
  </conditionalFormatting>
  <conditionalFormatting sqref="AD160:AD162">
    <cfRule type="cellIs" dxfId="18765" priority="419" operator="equal">
      <formula>0</formula>
    </cfRule>
  </conditionalFormatting>
  <conditionalFormatting sqref="AD157:AD162">
    <cfRule type="cellIs" dxfId="18764" priority="420" operator="equal">
      <formula>0</formula>
    </cfRule>
  </conditionalFormatting>
  <conditionalFormatting sqref="AE160:AE162">
    <cfRule type="cellIs" dxfId="18763" priority="421" operator="equal">
      <formula>0</formula>
    </cfRule>
  </conditionalFormatting>
  <conditionalFormatting sqref="AE157:AE162">
    <cfRule type="cellIs" dxfId="18762" priority="422" operator="equal">
      <formula>0</formula>
    </cfRule>
  </conditionalFormatting>
  <conditionalFormatting sqref="AF160:AF162">
    <cfRule type="cellIs" dxfId="18761" priority="423" operator="equal">
      <formula>0</formula>
    </cfRule>
  </conditionalFormatting>
  <conditionalFormatting sqref="AF157:AF162">
    <cfRule type="cellIs" dxfId="18760" priority="424" operator="equal">
      <formula>0</formula>
    </cfRule>
  </conditionalFormatting>
  <conditionalFormatting sqref="AG160:AG162">
    <cfRule type="cellIs" dxfId="18759" priority="425" operator="equal">
      <formula>0</formula>
    </cfRule>
  </conditionalFormatting>
  <conditionalFormatting sqref="AG157:AG162">
    <cfRule type="cellIs" dxfId="18758" priority="426" operator="equal">
      <formula>0</formula>
    </cfRule>
  </conditionalFormatting>
  <conditionalFormatting sqref="V157:AK163">
    <cfRule type="expression" dxfId="18757" priority="427">
      <formula>LEN(TRIM(V157))=0</formula>
    </cfRule>
  </conditionalFormatting>
  <conditionalFormatting sqref="AD160:AD161">
    <cfRule type="cellIs" dxfId="18756" priority="428" operator="equal">
      <formula>0</formula>
    </cfRule>
  </conditionalFormatting>
  <conditionalFormatting sqref="AE160:AE161">
    <cfRule type="cellIs" dxfId="18755" priority="429" operator="equal">
      <formula>0</formula>
    </cfRule>
  </conditionalFormatting>
  <conditionalFormatting sqref="AF160:AG160">
    <cfRule type="cellIs" dxfId="18754" priority="430" operator="equal">
      <formula>0</formula>
    </cfRule>
  </conditionalFormatting>
  <conditionalFormatting sqref="AF161:AG161">
    <cfRule type="cellIs" dxfId="18753" priority="431" operator="equal">
      <formula>0</formula>
    </cfRule>
  </conditionalFormatting>
  <conditionalFormatting sqref="W174:Y174 V175:Y176 Z174:AA176 V170:AA173 AB170:AJ176 V165:AK165 V177:AJ177 V166:AA167 AK166:AK177 AH166:AJ167">
    <cfRule type="cellIs" dxfId="18752" priority="405" operator="equal">
      <formula>0</formula>
    </cfRule>
  </conditionalFormatting>
  <conditionalFormatting sqref="V174">
    <cfRule type="cellIs" dxfId="18751" priority="406" operator="equal">
      <formula>0</formula>
    </cfRule>
  </conditionalFormatting>
  <conditionalFormatting sqref="V165:AK165 V170:AJ177 V166:AA167 AK166:AK177 AH166:AJ167">
    <cfRule type="expression" dxfId="18750" priority="407">
      <formula>LEN(TRIM(V165))=0</formula>
    </cfRule>
  </conditionalFormatting>
  <conditionalFormatting sqref="V168:AJ169">
    <cfRule type="cellIs" dxfId="18749" priority="408" operator="equal">
      <formula>0</formula>
    </cfRule>
  </conditionalFormatting>
  <conditionalFormatting sqref="AH168:AH169">
    <cfRule type="cellIs" dxfId="18748" priority="409" operator="equal">
      <formula>0</formula>
    </cfRule>
  </conditionalFormatting>
  <conditionalFormatting sqref="V168:AJ169">
    <cfRule type="expression" dxfId="18747" priority="410">
      <formula>LEN(TRIM(V168))=0</formula>
    </cfRule>
  </conditionalFormatting>
  <conditionalFormatting sqref="AB166:AG167">
    <cfRule type="cellIs" dxfId="18746" priority="403" operator="equal">
      <formula>0</formula>
    </cfRule>
  </conditionalFormatting>
  <conditionalFormatting sqref="AB166:AG167">
    <cfRule type="expression" dxfId="18745" priority="404">
      <formula>LEN(TRIM(AB166))=0</formula>
    </cfRule>
  </conditionalFormatting>
  <conditionalFormatting sqref="V180:AJ185 AK179:AK184 AK186 V179:AA179 AH179:AJ179">
    <cfRule type="cellIs" dxfId="18744" priority="397" operator="equal">
      <formula>0</formula>
    </cfRule>
  </conditionalFormatting>
  <conditionalFormatting sqref="V186:AJ186">
    <cfRule type="cellIs" dxfId="18743" priority="398" operator="equal">
      <formula>0</formula>
    </cfRule>
  </conditionalFormatting>
  <conditionalFormatting sqref="V180:AK184 V186:AK186 V185:AJ185 V179:AA179 AH179:AK179">
    <cfRule type="expression" dxfId="18742" priority="399">
      <formula>LEN(TRIM(V179))=0</formula>
    </cfRule>
  </conditionalFormatting>
  <conditionalFormatting sqref="V186:AJ186">
    <cfRule type="cellIs" dxfId="18741" priority="400" operator="equal">
      <formula>0</formula>
    </cfRule>
  </conditionalFormatting>
  <conditionalFormatting sqref="V187:AJ187">
    <cfRule type="cellIs" dxfId="18740" priority="401" operator="equal">
      <formula>0</formula>
    </cfRule>
  </conditionalFormatting>
  <conditionalFormatting sqref="V187:AJ187">
    <cfRule type="expression" dxfId="18739" priority="402">
      <formula>LEN(TRIM(V187))=0</formula>
    </cfRule>
  </conditionalFormatting>
  <conditionalFormatting sqref="AK187">
    <cfRule type="cellIs" dxfId="18738" priority="395" operator="equal">
      <formula>0</formula>
    </cfRule>
  </conditionalFormatting>
  <conditionalFormatting sqref="AK187">
    <cfRule type="expression" dxfId="18737" priority="396">
      <formula>LEN(TRIM(AK187))=0</formula>
    </cfRule>
  </conditionalFormatting>
  <conditionalFormatting sqref="AK185">
    <cfRule type="cellIs" dxfId="18736" priority="393" operator="equal">
      <formula>0</formula>
    </cfRule>
  </conditionalFormatting>
  <conditionalFormatting sqref="AK185">
    <cfRule type="expression" dxfId="18735" priority="394">
      <formula>LEN(TRIM(AK185))=0</formula>
    </cfRule>
  </conditionalFormatting>
  <conditionalFormatting sqref="AB179:AG179">
    <cfRule type="cellIs" dxfId="18734" priority="391" operator="equal">
      <formula>0</formula>
    </cfRule>
  </conditionalFormatting>
  <conditionalFormatting sqref="AB179:AG179">
    <cfRule type="expression" dxfId="18733" priority="392">
      <formula>LEN(TRIM(AB179))=0</formula>
    </cfRule>
  </conditionalFormatting>
  <conditionalFormatting sqref="AH196:AK198 W196:AA198 AB196:AG197 AI193:AK195 Y193:Y195 V193:V198 V199:AK199">
    <cfRule type="cellIs" dxfId="18732" priority="370" operator="equal">
      <formula>0</formula>
    </cfRule>
  </conditionalFormatting>
  <conditionalFormatting sqref="AH193:AH198">
    <cfRule type="cellIs" dxfId="18731" priority="371" operator="equal">
      <formula>0</formula>
    </cfRule>
  </conditionalFormatting>
  <conditionalFormatting sqref="V193:W198 Z193:AA198">
    <cfRule type="cellIs" dxfId="18730" priority="372" operator="equal">
      <formula>0</formula>
    </cfRule>
  </conditionalFormatting>
  <conditionalFormatting sqref="X193:X198">
    <cfRule type="cellIs" dxfId="18729" priority="373" operator="equal">
      <formula>0</formula>
    </cfRule>
  </conditionalFormatting>
  <conditionalFormatting sqref="AB196:AB198">
    <cfRule type="cellIs" dxfId="18728" priority="374" operator="equal">
      <formula>0</formula>
    </cfRule>
  </conditionalFormatting>
  <conditionalFormatting sqref="AB193:AB198 AC193:AG193">
    <cfRule type="cellIs" dxfId="18727" priority="375" operator="equal">
      <formula>0</formula>
    </cfRule>
  </conditionalFormatting>
  <conditionalFormatting sqref="AC196:AC198">
    <cfRule type="cellIs" dxfId="18726" priority="376" operator="equal">
      <formula>0</formula>
    </cfRule>
  </conditionalFormatting>
  <conditionalFormatting sqref="AC193:AC198">
    <cfRule type="cellIs" dxfId="18725" priority="377" operator="equal">
      <formula>0</formula>
    </cfRule>
  </conditionalFormatting>
  <conditionalFormatting sqref="AD196:AD198">
    <cfRule type="cellIs" dxfId="18724" priority="378" operator="equal">
      <formula>0</formula>
    </cfRule>
  </conditionalFormatting>
  <conditionalFormatting sqref="AD193:AD198">
    <cfRule type="cellIs" dxfId="18723" priority="379" operator="equal">
      <formula>0</formula>
    </cfRule>
  </conditionalFormatting>
  <conditionalFormatting sqref="AE196:AE198">
    <cfRule type="cellIs" dxfId="18722" priority="380" operator="equal">
      <formula>0</formula>
    </cfRule>
  </conditionalFormatting>
  <conditionalFormatting sqref="AE193:AE198">
    <cfRule type="cellIs" dxfId="18721" priority="381" operator="equal">
      <formula>0</formula>
    </cfRule>
  </conditionalFormatting>
  <conditionalFormatting sqref="AF196:AF198">
    <cfRule type="cellIs" dxfId="18720" priority="382" operator="equal">
      <formula>0</formula>
    </cfRule>
  </conditionalFormatting>
  <conditionalFormatting sqref="AF193:AF198">
    <cfRule type="cellIs" dxfId="18719" priority="383" operator="equal">
      <formula>0</formula>
    </cfRule>
  </conditionalFormatting>
  <conditionalFormatting sqref="AG196:AG198">
    <cfRule type="cellIs" dxfId="18718" priority="384" operator="equal">
      <formula>0</formula>
    </cfRule>
  </conditionalFormatting>
  <conditionalFormatting sqref="AG193:AG198">
    <cfRule type="cellIs" dxfId="18717" priority="385" operator="equal">
      <formula>0</formula>
    </cfRule>
  </conditionalFormatting>
  <conditionalFormatting sqref="V193:AK199">
    <cfRule type="expression" dxfId="18716" priority="386">
      <formula>LEN(TRIM(V193))=0</formula>
    </cfRule>
  </conditionalFormatting>
  <conditionalFormatting sqref="AD196:AD197">
    <cfRule type="cellIs" dxfId="18715" priority="387" operator="equal">
      <formula>0</formula>
    </cfRule>
  </conditionalFormatting>
  <conditionalFormatting sqref="AE196:AE197">
    <cfRule type="cellIs" dxfId="18714" priority="388" operator="equal">
      <formula>0</formula>
    </cfRule>
  </conditionalFormatting>
  <conditionalFormatting sqref="AF196:AG196">
    <cfRule type="cellIs" dxfId="18713" priority="389" operator="equal">
      <formula>0</formula>
    </cfRule>
  </conditionalFormatting>
  <conditionalFormatting sqref="AF197:AG197">
    <cfRule type="cellIs" dxfId="18712" priority="390" operator="equal">
      <formula>0</formula>
    </cfRule>
  </conditionalFormatting>
  <conditionalFormatting sqref="W210:Y210 V211:Y212 Z210:AA212 V206:AA209 AB206:AJ212 V201:AK201 V213:AJ213 V202:AA203 AK202:AK213 AH202:AJ203">
    <cfRule type="cellIs" dxfId="18711" priority="364" operator="equal">
      <formula>0</formula>
    </cfRule>
  </conditionalFormatting>
  <conditionalFormatting sqref="V210">
    <cfRule type="cellIs" dxfId="18710" priority="365" operator="equal">
      <formula>0</formula>
    </cfRule>
  </conditionalFormatting>
  <conditionalFormatting sqref="V201:AK201 V206:AJ213 V202:AA203 AK202:AK213 AH202:AJ203">
    <cfRule type="expression" dxfId="18709" priority="366">
      <formula>LEN(TRIM(V201))=0</formula>
    </cfRule>
  </conditionalFormatting>
  <conditionalFormatting sqref="V204:AJ205">
    <cfRule type="cellIs" dxfId="18708" priority="367" operator="equal">
      <formula>0</formula>
    </cfRule>
  </conditionalFormatting>
  <conditionalFormatting sqref="AH204:AH205">
    <cfRule type="cellIs" dxfId="18707" priority="368" operator="equal">
      <formula>0</formula>
    </cfRule>
  </conditionalFormatting>
  <conditionalFormatting sqref="V204:AJ205">
    <cfRule type="expression" dxfId="18706" priority="369">
      <formula>LEN(TRIM(V204))=0</formula>
    </cfRule>
  </conditionalFormatting>
  <conditionalFormatting sqref="AB202:AG203">
    <cfRule type="cellIs" dxfId="18705" priority="362" operator="equal">
      <formula>0</formula>
    </cfRule>
  </conditionalFormatting>
  <conditionalFormatting sqref="AB202:AG203">
    <cfRule type="expression" dxfId="18704" priority="363">
      <formula>LEN(TRIM(AB202))=0</formula>
    </cfRule>
  </conditionalFormatting>
  <conditionalFormatting sqref="V216:AJ221 AK215:AK220 AK222 V215:AA215 AH215:AJ215">
    <cfRule type="cellIs" dxfId="18703" priority="356" operator="equal">
      <formula>0</formula>
    </cfRule>
  </conditionalFormatting>
  <conditionalFormatting sqref="V222:AJ222">
    <cfRule type="cellIs" dxfId="18702" priority="357" operator="equal">
      <formula>0</formula>
    </cfRule>
  </conditionalFormatting>
  <conditionalFormatting sqref="V216:AK220 V222:AK222 V221:AJ221 V215:AA215 AH215:AK215">
    <cfRule type="expression" dxfId="18701" priority="358">
      <formula>LEN(TRIM(V215))=0</formula>
    </cfRule>
  </conditionalFormatting>
  <conditionalFormatting sqref="V222:AJ222">
    <cfRule type="cellIs" dxfId="18700" priority="359" operator="equal">
      <formula>0</formula>
    </cfRule>
  </conditionalFormatting>
  <conditionalFormatting sqref="V223:AJ223">
    <cfRule type="cellIs" dxfId="18699" priority="360" operator="equal">
      <formula>0</formula>
    </cfRule>
  </conditionalFormatting>
  <conditionalFormatting sqref="V223:AJ223">
    <cfRule type="expression" dxfId="18698" priority="361">
      <formula>LEN(TRIM(V223))=0</formula>
    </cfRule>
  </conditionalFormatting>
  <conditionalFormatting sqref="AK223">
    <cfRule type="cellIs" dxfId="18697" priority="354" operator="equal">
      <formula>0</formula>
    </cfRule>
  </conditionalFormatting>
  <conditionalFormatting sqref="AK223">
    <cfRule type="expression" dxfId="18696" priority="355">
      <formula>LEN(TRIM(AK223))=0</formula>
    </cfRule>
  </conditionalFormatting>
  <conditionalFormatting sqref="AK221">
    <cfRule type="cellIs" dxfId="18695" priority="352" operator="equal">
      <formula>0</formula>
    </cfRule>
  </conditionalFormatting>
  <conditionalFormatting sqref="AK221">
    <cfRule type="expression" dxfId="18694" priority="353">
      <formula>LEN(TRIM(AK221))=0</formula>
    </cfRule>
  </conditionalFormatting>
  <conditionalFormatting sqref="AB215:AG215">
    <cfRule type="cellIs" dxfId="18693" priority="350" operator="equal">
      <formula>0</formula>
    </cfRule>
  </conditionalFormatting>
  <conditionalFormatting sqref="AB215:AG215">
    <cfRule type="expression" dxfId="18692" priority="351">
      <formula>LEN(TRIM(AB215))=0</formula>
    </cfRule>
  </conditionalFormatting>
  <conditionalFormatting sqref="AH232:AK234 W232:AA234 AB232:AG233 AI229:AK231 Y229:Y231 V229:V234 V235:AK235">
    <cfRule type="cellIs" dxfId="18691" priority="329" operator="equal">
      <formula>0</formula>
    </cfRule>
  </conditionalFormatting>
  <conditionalFormatting sqref="AH229:AH234">
    <cfRule type="cellIs" dxfId="18690" priority="330" operator="equal">
      <formula>0</formula>
    </cfRule>
  </conditionalFormatting>
  <conditionalFormatting sqref="V229:W234 Z229:AA234">
    <cfRule type="cellIs" dxfId="18689" priority="331" operator="equal">
      <formula>0</formula>
    </cfRule>
  </conditionalFormatting>
  <conditionalFormatting sqref="X229:X234">
    <cfRule type="cellIs" dxfId="18688" priority="332" operator="equal">
      <formula>0</formula>
    </cfRule>
  </conditionalFormatting>
  <conditionalFormatting sqref="AB232:AB234">
    <cfRule type="cellIs" dxfId="18687" priority="333" operator="equal">
      <formula>0</formula>
    </cfRule>
  </conditionalFormatting>
  <conditionalFormatting sqref="AB229:AB234 AC229:AG229">
    <cfRule type="cellIs" dxfId="18686" priority="334" operator="equal">
      <formula>0</formula>
    </cfRule>
  </conditionalFormatting>
  <conditionalFormatting sqref="AC232:AC234">
    <cfRule type="cellIs" dxfId="18685" priority="335" operator="equal">
      <formula>0</formula>
    </cfRule>
  </conditionalFormatting>
  <conditionalFormatting sqref="AC229:AC234">
    <cfRule type="cellIs" dxfId="18684" priority="336" operator="equal">
      <formula>0</formula>
    </cfRule>
  </conditionalFormatting>
  <conditionalFormatting sqref="AD232:AD234">
    <cfRule type="cellIs" dxfId="18683" priority="337" operator="equal">
      <formula>0</formula>
    </cfRule>
  </conditionalFormatting>
  <conditionalFormatting sqref="AD229:AD234">
    <cfRule type="cellIs" dxfId="18682" priority="338" operator="equal">
      <formula>0</formula>
    </cfRule>
  </conditionalFormatting>
  <conditionalFormatting sqref="AE232:AE234">
    <cfRule type="cellIs" dxfId="18681" priority="339" operator="equal">
      <formula>0</formula>
    </cfRule>
  </conditionalFormatting>
  <conditionalFormatting sqref="AE229:AE234">
    <cfRule type="cellIs" dxfId="18680" priority="340" operator="equal">
      <formula>0</formula>
    </cfRule>
  </conditionalFormatting>
  <conditionalFormatting sqref="AF232:AF234">
    <cfRule type="cellIs" dxfId="18679" priority="341" operator="equal">
      <formula>0</formula>
    </cfRule>
  </conditionalFormatting>
  <conditionalFormatting sqref="AF229:AF234">
    <cfRule type="cellIs" dxfId="18678" priority="342" operator="equal">
      <formula>0</formula>
    </cfRule>
  </conditionalFormatting>
  <conditionalFormatting sqref="AG232:AG234">
    <cfRule type="cellIs" dxfId="18677" priority="343" operator="equal">
      <formula>0</formula>
    </cfRule>
  </conditionalFormatting>
  <conditionalFormatting sqref="AG229:AG234">
    <cfRule type="cellIs" dxfId="18676" priority="344" operator="equal">
      <formula>0</formula>
    </cfRule>
  </conditionalFormatting>
  <conditionalFormatting sqref="V229:AK235">
    <cfRule type="expression" dxfId="18675" priority="345">
      <formula>LEN(TRIM(V229))=0</formula>
    </cfRule>
  </conditionalFormatting>
  <conditionalFormatting sqref="AD232:AD233">
    <cfRule type="cellIs" dxfId="18674" priority="346" operator="equal">
      <formula>0</formula>
    </cfRule>
  </conditionalFormatting>
  <conditionalFormatting sqref="AE232:AE233">
    <cfRule type="cellIs" dxfId="18673" priority="347" operator="equal">
      <formula>0</formula>
    </cfRule>
  </conditionalFormatting>
  <conditionalFormatting sqref="AF232:AG232">
    <cfRule type="cellIs" dxfId="18672" priority="348" operator="equal">
      <formula>0</formula>
    </cfRule>
  </conditionalFormatting>
  <conditionalFormatting sqref="AF233:AG233">
    <cfRule type="cellIs" dxfId="18671" priority="349" operator="equal">
      <formula>0</formula>
    </cfRule>
  </conditionalFormatting>
  <conditionalFormatting sqref="W246:Y246 V247:Y248 Z246:AA248 V242:AA245 AB242:AJ248 V237:AK237 V249:AJ249 V238:AA239 AK238:AK249 AH238:AJ239">
    <cfRule type="cellIs" dxfId="18670" priority="323" operator="equal">
      <formula>0</formula>
    </cfRule>
  </conditionalFormatting>
  <conditionalFormatting sqref="V246">
    <cfRule type="cellIs" dxfId="18669" priority="324" operator="equal">
      <formula>0</formula>
    </cfRule>
  </conditionalFormatting>
  <conditionalFormatting sqref="V237:AK237 V242:AJ249 V238:AA239 AK238:AK249 AH238:AJ239">
    <cfRule type="expression" dxfId="18668" priority="325">
      <formula>LEN(TRIM(V237))=0</formula>
    </cfRule>
  </conditionalFormatting>
  <conditionalFormatting sqref="V240:AJ241">
    <cfRule type="cellIs" dxfId="18667" priority="326" operator="equal">
      <formula>0</formula>
    </cfRule>
  </conditionalFormatting>
  <conditionalFormatting sqref="AH240:AH241">
    <cfRule type="cellIs" dxfId="18666" priority="327" operator="equal">
      <formula>0</formula>
    </cfRule>
  </conditionalFormatting>
  <conditionalFormatting sqref="V240:AJ241">
    <cfRule type="expression" dxfId="18665" priority="328">
      <formula>LEN(TRIM(V240))=0</formula>
    </cfRule>
  </conditionalFormatting>
  <conditionalFormatting sqref="AB238:AG239">
    <cfRule type="cellIs" dxfId="18664" priority="321" operator="equal">
      <formula>0</formula>
    </cfRule>
  </conditionalFormatting>
  <conditionalFormatting sqref="AB238:AG239">
    <cfRule type="expression" dxfId="18663" priority="322">
      <formula>LEN(TRIM(AB238))=0</formula>
    </cfRule>
  </conditionalFormatting>
  <conditionalFormatting sqref="V252:AJ257 AK251:AK256 AK258 V251:AA251 AH251:AJ251">
    <cfRule type="cellIs" dxfId="18662" priority="315" operator="equal">
      <formula>0</formula>
    </cfRule>
  </conditionalFormatting>
  <conditionalFormatting sqref="V258:AJ258">
    <cfRule type="cellIs" dxfId="18661" priority="316" operator="equal">
      <formula>0</formula>
    </cfRule>
  </conditionalFormatting>
  <conditionalFormatting sqref="V252:AK256 V258:AK258 V257:AJ257 V251:AA251 AH251:AK251">
    <cfRule type="expression" dxfId="18660" priority="317">
      <formula>LEN(TRIM(V251))=0</formula>
    </cfRule>
  </conditionalFormatting>
  <conditionalFormatting sqref="V258:AJ258">
    <cfRule type="cellIs" dxfId="18659" priority="318" operator="equal">
      <formula>0</formula>
    </cfRule>
  </conditionalFormatting>
  <conditionalFormatting sqref="V259:AJ259">
    <cfRule type="cellIs" dxfId="18658" priority="319" operator="equal">
      <formula>0</formula>
    </cfRule>
  </conditionalFormatting>
  <conditionalFormatting sqref="V259:AJ259">
    <cfRule type="expression" dxfId="18657" priority="320">
      <formula>LEN(TRIM(V259))=0</formula>
    </cfRule>
  </conditionalFormatting>
  <conditionalFormatting sqref="AK259">
    <cfRule type="cellIs" dxfId="18656" priority="313" operator="equal">
      <formula>0</formula>
    </cfRule>
  </conditionalFormatting>
  <conditionalFormatting sqref="AK259">
    <cfRule type="expression" dxfId="18655" priority="314">
      <formula>LEN(TRIM(AK259))=0</formula>
    </cfRule>
  </conditionalFormatting>
  <conditionalFormatting sqref="AK257">
    <cfRule type="cellIs" dxfId="18654" priority="311" operator="equal">
      <formula>0</formula>
    </cfRule>
  </conditionalFormatting>
  <conditionalFormatting sqref="AK257">
    <cfRule type="expression" dxfId="18653" priority="312">
      <formula>LEN(TRIM(AK257))=0</formula>
    </cfRule>
  </conditionalFormatting>
  <conditionalFormatting sqref="AB251:AG251">
    <cfRule type="cellIs" dxfId="18652" priority="309" operator="equal">
      <formula>0</formula>
    </cfRule>
  </conditionalFormatting>
  <conditionalFormatting sqref="AB251:AG251">
    <cfRule type="expression" dxfId="18651" priority="310">
      <formula>LEN(TRIM(AB251))=0</formula>
    </cfRule>
  </conditionalFormatting>
  <conditionalFormatting sqref="AH268:AK270 W268:AA270 AB268:AG269 AI265:AK267 Y265:Y267 V265:V270 V271:AK271">
    <cfRule type="cellIs" dxfId="18650" priority="288" operator="equal">
      <formula>0</formula>
    </cfRule>
  </conditionalFormatting>
  <conditionalFormatting sqref="AH265:AH270">
    <cfRule type="cellIs" dxfId="18649" priority="289" operator="equal">
      <formula>0</formula>
    </cfRule>
  </conditionalFormatting>
  <conditionalFormatting sqref="V265:W270 Z265:AA270">
    <cfRule type="cellIs" dxfId="18648" priority="290" operator="equal">
      <formula>0</formula>
    </cfRule>
  </conditionalFormatting>
  <conditionalFormatting sqref="X265:X270">
    <cfRule type="cellIs" dxfId="18647" priority="291" operator="equal">
      <formula>0</formula>
    </cfRule>
  </conditionalFormatting>
  <conditionalFormatting sqref="AB268:AB270">
    <cfRule type="cellIs" dxfId="18646" priority="292" operator="equal">
      <formula>0</formula>
    </cfRule>
  </conditionalFormatting>
  <conditionalFormatting sqref="AB265:AB270 AC265:AG265">
    <cfRule type="cellIs" dxfId="18645" priority="293" operator="equal">
      <formula>0</formula>
    </cfRule>
  </conditionalFormatting>
  <conditionalFormatting sqref="AC268:AC270">
    <cfRule type="cellIs" dxfId="18644" priority="294" operator="equal">
      <formula>0</formula>
    </cfRule>
  </conditionalFormatting>
  <conditionalFormatting sqref="AC265:AC270">
    <cfRule type="cellIs" dxfId="18643" priority="295" operator="equal">
      <formula>0</formula>
    </cfRule>
  </conditionalFormatting>
  <conditionalFormatting sqref="AD268:AD270">
    <cfRule type="cellIs" dxfId="18642" priority="296" operator="equal">
      <formula>0</formula>
    </cfRule>
  </conditionalFormatting>
  <conditionalFormatting sqref="AD265:AD270">
    <cfRule type="cellIs" dxfId="18641" priority="297" operator="equal">
      <formula>0</formula>
    </cfRule>
  </conditionalFormatting>
  <conditionalFormatting sqref="AE268:AE270">
    <cfRule type="cellIs" dxfId="18640" priority="298" operator="equal">
      <formula>0</formula>
    </cfRule>
  </conditionalFormatting>
  <conditionalFormatting sqref="AE265:AE270">
    <cfRule type="cellIs" dxfId="18639" priority="299" operator="equal">
      <formula>0</formula>
    </cfRule>
  </conditionalFormatting>
  <conditionalFormatting sqref="AF268:AF270">
    <cfRule type="cellIs" dxfId="18638" priority="300" operator="equal">
      <formula>0</formula>
    </cfRule>
  </conditionalFormatting>
  <conditionalFormatting sqref="AF265:AF270">
    <cfRule type="cellIs" dxfId="18637" priority="301" operator="equal">
      <formula>0</formula>
    </cfRule>
  </conditionalFormatting>
  <conditionalFormatting sqref="AG268:AG270">
    <cfRule type="cellIs" dxfId="18636" priority="302" operator="equal">
      <formula>0</formula>
    </cfRule>
  </conditionalFormatting>
  <conditionalFormatting sqref="AG265:AG270">
    <cfRule type="cellIs" dxfId="18635" priority="303" operator="equal">
      <formula>0</formula>
    </cfRule>
  </conditionalFormatting>
  <conditionalFormatting sqref="V265:AK271">
    <cfRule type="expression" dxfId="18634" priority="304">
      <formula>LEN(TRIM(V265))=0</formula>
    </cfRule>
  </conditionalFormatting>
  <conditionalFormatting sqref="AD268:AD269">
    <cfRule type="cellIs" dxfId="18633" priority="305" operator="equal">
      <formula>0</formula>
    </cfRule>
  </conditionalFormatting>
  <conditionalFormatting sqref="AE268:AE269">
    <cfRule type="cellIs" dxfId="18632" priority="306" operator="equal">
      <formula>0</formula>
    </cfRule>
  </conditionalFormatting>
  <conditionalFormatting sqref="AF268:AG268">
    <cfRule type="cellIs" dxfId="18631" priority="307" operator="equal">
      <formula>0</formula>
    </cfRule>
  </conditionalFormatting>
  <conditionalFormatting sqref="AF269:AG269">
    <cfRule type="cellIs" dxfId="18630" priority="308" operator="equal">
      <formula>0</formula>
    </cfRule>
  </conditionalFormatting>
  <conditionalFormatting sqref="W282:Y282 V283:Y284 Z282:AA284 V278:AA281 AB278:AJ284 V273:AK273 V285:AJ285 V274:AA275 AK274:AK285 AH274:AJ275">
    <cfRule type="cellIs" dxfId="18629" priority="282" operator="equal">
      <formula>0</formula>
    </cfRule>
  </conditionalFormatting>
  <conditionalFormatting sqref="V282">
    <cfRule type="cellIs" dxfId="18628" priority="283" operator="equal">
      <formula>0</formula>
    </cfRule>
  </conditionalFormatting>
  <conditionalFormatting sqref="V273:AK273 V278:AJ285 V274:AA275 AK274:AK285 AH274:AJ275">
    <cfRule type="expression" dxfId="18627" priority="284">
      <formula>LEN(TRIM(V273))=0</formula>
    </cfRule>
  </conditionalFormatting>
  <conditionalFormatting sqref="V276:AJ277">
    <cfRule type="cellIs" dxfId="18626" priority="285" operator="equal">
      <formula>0</formula>
    </cfRule>
  </conditionalFormatting>
  <conditionalFormatting sqref="AH276:AH277">
    <cfRule type="cellIs" dxfId="18625" priority="286" operator="equal">
      <formula>0</formula>
    </cfRule>
  </conditionalFormatting>
  <conditionalFormatting sqref="V276:AJ277">
    <cfRule type="expression" dxfId="18624" priority="287">
      <formula>LEN(TRIM(V276))=0</formula>
    </cfRule>
  </conditionalFormatting>
  <conditionalFormatting sqref="AB274:AG275">
    <cfRule type="cellIs" dxfId="18623" priority="280" operator="equal">
      <formula>0</formula>
    </cfRule>
  </conditionalFormatting>
  <conditionalFormatting sqref="AB274:AG275">
    <cfRule type="expression" dxfId="18622" priority="281">
      <formula>LEN(TRIM(AB274))=0</formula>
    </cfRule>
  </conditionalFormatting>
  <conditionalFormatting sqref="V288:AJ293 AK287:AK292 AK294 V287:AA287 AH287:AJ287">
    <cfRule type="cellIs" dxfId="18621" priority="274" operator="equal">
      <formula>0</formula>
    </cfRule>
  </conditionalFormatting>
  <conditionalFormatting sqref="V294:AJ294">
    <cfRule type="cellIs" dxfId="18620" priority="275" operator="equal">
      <formula>0</formula>
    </cfRule>
  </conditionalFormatting>
  <conditionalFormatting sqref="V288:AK292 V294:AK294 V293:AJ293 V287:AA287 AH287:AK287">
    <cfRule type="expression" dxfId="18619" priority="276">
      <formula>LEN(TRIM(V287))=0</formula>
    </cfRule>
  </conditionalFormatting>
  <conditionalFormatting sqref="V294:AJ294">
    <cfRule type="cellIs" dxfId="18618" priority="277" operator="equal">
      <formula>0</formula>
    </cfRule>
  </conditionalFormatting>
  <conditionalFormatting sqref="V295:AJ295">
    <cfRule type="cellIs" dxfId="18617" priority="278" operator="equal">
      <formula>0</formula>
    </cfRule>
  </conditionalFormatting>
  <conditionalFormatting sqref="V295:AJ295">
    <cfRule type="expression" dxfId="18616" priority="279">
      <formula>LEN(TRIM(V295))=0</formula>
    </cfRule>
  </conditionalFormatting>
  <conditionalFormatting sqref="AK295">
    <cfRule type="cellIs" dxfId="18615" priority="272" operator="equal">
      <formula>0</formula>
    </cfRule>
  </conditionalFormatting>
  <conditionalFormatting sqref="AK295">
    <cfRule type="expression" dxfId="18614" priority="273">
      <formula>LEN(TRIM(AK295))=0</formula>
    </cfRule>
  </conditionalFormatting>
  <conditionalFormatting sqref="AK293">
    <cfRule type="cellIs" dxfId="18613" priority="270" operator="equal">
      <formula>0</formula>
    </cfRule>
  </conditionalFormatting>
  <conditionalFormatting sqref="AK293">
    <cfRule type="expression" dxfId="18612" priority="271">
      <formula>LEN(TRIM(AK293))=0</formula>
    </cfRule>
  </conditionalFormatting>
  <conditionalFormatting sqref="AB287:AG287">
    <cfRule type="cellIs" dxfId="18611" priority="268" operator="equal">
      <formula>0</formula>
    </cfRule>
  </conditionalFormatting>
  <conditionalFormatting sqref="AB287:AG287">
    <cfRule type="expression" dxfId="18610" priority="269">
      <formula>LEN(TRIM(AB287))=0</formula>
    </cfRule>
  </conditionalFormatting>
  <conditionalFormatting sqref="AH304:AK306 W304:AA306 AB304:AG305 AI301:AK303 Y301:Y303 V301:V306 V307:AK307">
    <cfRule type="cellIs" dxfId="18609" priority="247" operator="equal">
      <formula>0</formula>
    </cfRule>
  </conditionalFormatting>
  <conditionalFormatting sqref="AH301:AH306">
    <cfRule type="cellIs" dxfId="18608" priority="248" operator="equal">
      <formula>0</formula>
    </cfRule>
  </conditionalFormatting>
  <conditionalFormatting sqref="V301:W306 Z301:AA306">
    <cfRule type="cellIs" dxfId="18607" priority="249" operator="equal">
      <formula>0</formula>
    </cfRule>
  </conditionalFormatting>
  <conditionalFormatting sqref="X301:X306">
    <cfRule type="cellIs" dxfId="18606" priority="250" operator="equal">
      <formula>0</formula>
    </cfRule>
  </conditionalFormatting>
  <conditionalFormatting sqref="AB304:AB306">
    <cfRule type="cellIs" dxfId="18605" priority="251" operator="equal">
      <formula>0</formula>
    </cfRule>
  </conditionalFormatting>
  <conditionalFormatting sqref="AB301:AB306 AC301:AG301">
    <cfRule type="cellIs" dxfId="18604" priority="252" operator="equal">
      <formula>0</formula>
    </cfRule>
  </conditionalFormatting>
  <conditionalFormatting sqref="AC304:AC306">
    <cfRule type="cellIs" dxfId="18603" priority="253" operator="equal">
      <formula>0</formula>
    </cfRule>
  </conditionalFormatting>
  <conditionalFormatting sqref="AC301:AC306">
    <cfRule type="cellIs" dxfId="18602" priority="254" operator="equal">
      <formula>0</formula>
    </cfRule>
  </conditionalFormatting>
  <conditionalFormatting sqref="AD304:AD306">
    <cfRule type="cellIs" dxfId="18601" priority="255" operator="equal">
      <formula>0</formula>
    </cfRule>
  </conditionalFormatting>
  <conditionalFormatting sqref="AD301:AD306">
    <cfRule type="cellIs" dxfId="18600" priority="256" operator="equal">
      <formula>0</formula>
    </cfRule>
  </conditionalFormatting>
  <conditionalFormatting sqref="AE304:AE306">
    <cfRule type="cellIs" dxfId="18599" priority="257" operator="equal">
      <formula>0</formula>
    </cfRule>
  </conditionalFormatting>
  <conditionalFormatting sqref="AE301:AE306">
    <cfRule type="cellIs" dxfId="18598" priority="258" operator="equal">
      <formula>0</formula>
    </cfRule>
  </conditionalFormatting>
  <conditionalFormatting sqref="AF304:AF306">
    <cfRule type="cellIs" dxfId="18597" priority="259" operator="equal">
      <formula>0</formula>
    </cfRule>
  </conditionalFormatting>
  <conditionalFormatting sqref="AF301:AF306">
    <cfRule type="cellIs" dxfId="18596" priority="260" operator="equal">
      <formula>0</formula>
    </cfRule>
  </conditionalFormatting>
  <conditionalFormatting sqref="AG304:AG306">
    <cfRule type="cellIs" dxfId="18595" priority="261" operator="equal">
      <formula>0</formula>
    </cfRule>
  </conditionalFormatting>
  <conditionalFormatting sqref="AG301:AG306">
    <cfRule type="cellIs" dxfId="18594" priority="262" operator="equal">
      <formula>0</formula>
    </cfRule>
  </conditionalFormatting>
  <conditionalFormatting sqref="V301:AK307">
    <cfRule type="expression" dxfId="18593" priority="263">
      <formula>LEN(TRIM(V301))=0</formula>
    </cfRule>
  </conditionalFormatting>
  <conditionalFormatting sqref="AD304:AD305">
    <cfRule type="cellIs" dxfId="18592" priority="264" operator="equal">
      <formula>0</formula>
    </cfRule>
  </conditionalFormatting>
  <conditionalFormatting sqref="AE304:AE305">
    <cfRule type="cellIs" dxfId="18591" priority="265" operator="equal">
      <formula>0</formula>
    </cfRule>
  </conditionalFormatting>
  <conditionalFormatting sqref="AF304:AG304">
    <cfRule type="cellIs" dxfId="18590" priority="266" operator="equal">
      <formula>0</formula>
    </cfRule>
  </conditionalFormatting>
  <conditionalFormatting sqref="AF305:AG305">
    <cfRule type="cellIs" dxfId="18589" priority="267" operator="equal">
      <formula>0</formula>
    </cfRule>
  </conditionalFormatting>
  <conditionalFormatting sqref="W318:Y318 V319:Y320 Z318:AA320 V314:AA317 AB314:AJ320 V309:AK309 V321:AJ321 V310:AA311 AK310:AK321 AH310:AJ311">
    <cfRule type="cellIs" dxfId="18588" priority="241" operator="equal">
      <formula>0</formula>
    </cfRule>
  </conditionalFormatting>
  <conditionalFormatting sqref="V318">
    <cfRule type="cellIs" dxfId="18587" priority="242" operator="equal">
      <formula>0</formula>
    </cfRule>
  </conditionalFormatting>
  <conditionalFormatting sqref="V309:AK309 V314:AJ321 V310:AA311 AK310:AK321 AH310:AJ311">
    <cfRule type="expression" dxfId="18586" priority="243">
      <formula>LEN(TRIM(V309))=0</formula>
    </cfRule>
  </conditionalFormatting>
  <conditionalFormatting sqref="V312:AJ313">
    <cfRule type="cellIs" dxfId="18585" priority="244" operator="equal">
      <formula>0</formula>
    </cfRule>
  </conditionalFormatting>
  <conditionalFormatting sqref="AH312:AH313">
    <cfRule type="cellIs" dxfId="18584" priority="245" operator="equal">
      <formula>0</formula>
    </cfRule>
  </conditionalFormatting>
  <conditionalFormatting sqref="V312:AJ313">
    <cfRule type="expression" dxfId="18583" priority="246">
      <formula>LEN(TRIM(V312))=0</formula>
    </cfRule>
  </conditionalFormatting>
  <conditionalFormatting sqref="AB310:AG311">
    <cfRule type="cellIs" dxfId="18582" priority="239" operator="equal">
      <formula>0</formula>
    </cfRule>
  </conditionalFormatting>
  <conditionalFormatting sqref="AB310:AG311">
    <cfRule type="expression" dxfId="18581" priority="240">
      <formula>LEN(TRIM(AB310))=0</formula>
    </cfRule>
  </conditionalFormatting>
  <conditionalFormatting sqref="V324:AJ329 AK323:AK328 AK330 V323:AA323 AH323:AJ323">
    <cfRule type="cellIs" dxfId="18580" priority="233" operator="equal">
      <formula>0</formula>
    </cfRule>
  </conditionalFormatting>
  <conditionalFormatting sqref="V330:AJ330">
    <cfRule type="cellIs" dxfId="18579" priority="234" operator="equal">
      <formula>0</formula>
    </cfRule>
  </conditionalFormatting>
  <conditionalFormatting sqref="V324:AK328 V330:AK330 V329:AJ329 V323:AA323 AH323:AK323">
    <cfRule type="expression" dxfId="18578" priority="235">
      <formula>LEN(TRIM(V323))=0</formula>
    </cfRule>
  </conditionalFormatting>
  <conditionalFormatting sqref="V330:AJ330">
    <cfRule type="cellIs" dxfId="18577" priority="236" operator="equal">
      <formula>0</formula>
    </cfRule>
  </conditionalFormatting>
  <conditionalFormatting sqref="V331:AJ331">
    <cfRule type="cellIs" dxfId="18576" priority="237" operator="equal">
      <formula>0</formula>
    </cfRule>
  </conditionalFormatting>
  <conditionalFormatting sqref="V331:AJ331">
    <cfRule type="expression" dxfId="18575" priority="238">
      <formula>LEN(TRIM(V331))=0</formula>
    </cfRule>
  </conditionalFormatting>
  <conditionalFormatting sqref="AK331">
    <cfRule type="cellIs" dxfId="18574" priority="231" operator="equal">
      <formula>0</formula>
    </cfRule>
  </conditionalFormatting>
  <conditionalFormatting sqref="AK331">
    <cfRule type="expression" dxfId="18573" priority="232">
      <formula>LEN(TRIM(AK331))=0</formula>
    </cfRule>
  </conditionalFormatting>
  <conditionalFormatting sqref="AK329">
    <cfRule type="cellIs" dxfId="18572" priority="229" operator="equal">
      <formula>0</formula>
    </cfRule>
  </conditionalFormatting>
  <conditionalFormatting sqref="AK329">
    <cfRule type="expression" dxfId="18571" priority="230">
      <formula>LEN(TRIM(AK329))=0</formula>
    </cfRule>
  </conditionalFormatting>
  <conditionalFormatting sqref="AB323:AG323">
    <cfRule type="cellIs" dxfId="18570" priority="227" operator="equal">
      <formula>0</formula>
    </cfRule>
  </conditionalFormatting>
  <conditionalFormatting sqref="AB323:AG323">
    <cfRule type="expression" dxfId="18569" priority="228">
      <formula>LEN(TRIM(AB323))=0</formula>
    </cfRule>
  </conditionalFormatting>
  <conditionalFormatting sqref="AH340:AK342 W340:AA342 AB340:AG341 AI337:AK339 Y337:Y339 V337:V342 V343:AK343">
    <cfRule type="cellIs" dxfId="18568" priority="206" operator="equal">
      <formula>0</formula>
    </cfRule>
  </conditionalFormatting>
  <conditionalFormatting sqref="AH337:AH342">
    <cfRule type="cellIs" dxfId="18567" priority="207" operator="equal">
      <formula>0</formula>
    </cfRule>
  </conditionalFormatting>
  <conditionalFormatting sqref="V337:W342 Z337:AA342">
    <cfRule type="cellIs" dxfId="18566" priority="208" operator="equal">
      <formula>0</formula>
    </cfRule>
  </conditionalFormatting>
  <conditionalFormatting sqref="X337:X342">
    <cfRule type="cellIs" dxfId="18565" priority="209" operator="equal">
      <formula>0</formula>
    </cfRule>
  </conditionalFormatting>
  <conditionalFormatting sqref="AB340:AB342">
    <cfRule type="cellIs" dxfId="18564" priority="210" operator="equal">
      <formula>0</formula>
    </cfRule>
  </conditionalFormatting>
  <conditionalFormatting sqref="AB337:AB342 AC337:AG337">
    <cfRule type="cellIs" dxfId="18563" priority="211" operator="equal">
      <formula>0</formula>
    </cfRule>
  </conditionalFormatting>
  <conditionalFormatting sqref="AC340:AC342">
    <cfRule type="cellIs" dxfId="18562" priority="212" operator="equal">
      <formula>0</formula>
    </cfRule>
  </conditionalFormatting>
  <conditionalFormatting sqref="AC337:AC342">
    <cfRule type="cellIs" dxfId="18561" priority="213" operator="equal">
      <formula>0</formula>
    </cfRule>
  </conditionalFormatting>
  <conditionalFormatting sqref="AD340:AD342">
    <cfRule type="cellIs" dxfId="18560" priority="214" operator="equal">
      <formula>0</formula>
    </cfRule>
  </conditionalFormatting>
  <conditionalFormatting sqref="AD337:AD342">
    <cfRule type="cellIs" dxfId="18559" priority="215" operator="equal">
      <formula>0</formula>
    </cfRule>
  </conditionalFormatting>
  <conditionalFormatting sqref="AE340:AE342">
    <cfRule type="cellIs" dxfId="18558" priority="216" operator="equal">
      <formula>0</formula>
    </cfRule>
  </conditionalFormatting>
  <conditionalFormatting sqref="AE337:AE342">
    <cfRule type="cellIs" dxfId="18557" priority="217" operator="equal">
      <formula>0</formula>
    </cfRule>
  </conditionalFormatting>
  <conditionalFormatting sqref="AF340:AF342">
    <cfRule type="cellIs" dxfId="18556" priority="218" operator="equal">
      <formula>0</formula>
    </cfRule>
  </conditionalFormatting>
  <conditionalFormatting sqref="AF337:AF342">
    <cfRule type="cellIs" dxfId="18555" priority="219" operator="equal">
      <formula>0</formula>
    </cfRule>
  </conditionalFormatting>
  <conditionalFormatting sqref="AG340:AG342">
    <cfRule type="cellIs" dxfId="18554" priority="220" operator="equal">
      <formula>0</formula>
    </cfRule>
  </conditionalFormatting>
  <conditionalFormatting sqref="AG337:AG342">
    <cfRule type="cellIs" dxfId="18553" priority="221" operator="equal">
      <formula>0</formula>
    </cfRule>
  </conditionalFormatting>
  <conditionalFormatting sqref="V337:AK343">
    <cfRule type="expression" dxfId="18552" priority="222">
      <formula>LEN(TRIM(V337))=0</formula>
    </cfRule>
  </conditionalFormatting>
  <conditionalFormatting sqref="AD340:AD341">
    <cfRule type="cellIs" dxfId="18551" priority="223" operator="equal">
      <formula>0</formula>
    </cfRule>
  </conditionalFormatting>
  <conditionalFormatting sqref="AE340:AE341">
    <cfRule type="cellIs" dxfId="18550" priority="224" operator="equal">
      <formula>0</formula>
    </cfRule>
  </conditionalFormatting>
  <conditionalFormatting sqref="AF340:AG340">
    <cfRule type="cellIs" dxfId="18549" priority="225" operator="equal">
      <formula>0</formula>
    </cfRule>
  </conditionalFormatting>
  <conditionalFormatting sqref="AF341:AG341">
    <cfRule type="cellIs" dxfId="18548" priority="226" operator="equal">
      <formula>0</formula>
    </cfRule>
  </conditionalFormatting>
  <conditionalFormatting sqref="W354:Y354 V355:Y356 Z354:AA356 V350:AA353 AB350:AJ356 V345:AK345 V357:AJ357 V346:AA347 AK346:AK357 AH346:AJ347">
    <cfRule type="cellIs" dxfId="18547" priority="200" operator="equal">
      <formula>0</formula>
    </cfRule>
  </conditionalFormatting>
  <conditionalFormatting sqref="V354">
    <cfRule type="cellIs" dxfId="18546" priority="201" operator="equal">
      <formula>0</formula>
    </cfRule>
  </conditionalFormatting>
  <conditionalFormatting sqref="V345:AK345 V350:AJ357 V346:AA347 AK346:AK357 AH346:AJ347">
    <cfRule type="expression" dxfId="18545" priority="202">
      <formula>LEN(TRIM(V345))=0</formula>
    </cfRule>
  </conditionalFormatting>
  <conditionalFormatting sqref="V348:AJ349">
    <cfRule type="cellIs" dxfId="18544" priority="203" operator="equal">
      <formula>0</formula>
    </cfRule>
  </conditionalFormatting>
  <conditionalFormatting sqref="AH348:AH349">
    <cfRule type="cellIs" dxfId="18543" priority="204" operator="equal">
      <formula>0</formula>
    </cfRule>
  </conditionalFormatting>
  <conditionalFormatting sqref="V348:AJ349">
    <cfRule type="expression" dxfId="18542" priority="205">
      <formula>LEN(TRIM(V348))=0</formula>
    </cfRule>
  </conditionalFormatting>
  <conditionalFormatting sqref="AB346:AG347">
    <cfRule type="cellIs" dxfId="18541" priority="198" operator="equal">
      <formula>0</formula>
    </cfRule>
  </conditionalFormatting>
  <conditionalFormatting sqref="AB346:AG347">
    <cfRule type="expression" dxfId="18540" priority="199">
      <formula>LEN(TRIM(AB346))=0</formula>
    </cfRule>
  </conditionalFormatting>
  <conditionalFormatting sqref="V360:AJ365 AK359:AK364 AK366 V359:AA359 AH359:AJ359">
    <cfRule type="cellIs" dxfId="18539" priority="192" operator="equal">
      <formula>0</formula>
    </cfRule>
  </conditionalFormatting>
  <conditionalFormatting sqref="V366:AJ366">
    <cfRule type="cellIs" dxfId="18538" priority="193" operator="equal">
      <formula>0</formula>
    </cfRule>
  </conditionalFormatting>
  <conditionalFormatting sqref="V360:AK364 V366:AK366 V365:AJ365 V359:AA359 AH359:AK359">
    <cfRule type="expression" dxfId="18537" priority="194">
      <formula>LEN(TRIM(V359))=0</formula>
    </cfRule>
  </conditionalFormatting>
  <conditionalFormatting sqref="V366:AJ366">
    <cfRule type="cellIs" dxfId="18536" priority="195" operator="equal">
      <formula>0</formula>
    </cfRule>
  </conditionalFormatting>
  <conditionalFormatting sqref="V367:AJ367">
    <cfRule type="cellIs" dxfId="18535" priority="196" operator="equal">
      <formula>0</formula>
    </cfRule>
  </conditionalFormatting>
  <conditionalFormatting sqref="V367:AJ367">
    <cfRule type="expression" dxfId="18534" priority="197">
      <formula>LEN(TRIM(V367))=0</formula>
    </cfRule>
  </conditionalFormatting>
  <conditionalFormatting sqref="AK367">
    <cfRule type="cellIs" dxfId="18533" priority="190" operator="equal">
      <formula>0</formula>
    </cfRule>
  </conditionalFormatting>
  <conditionalFormatting sqref="AK367">
    <cfRule type="expression" dxfId="18532" priority="191">
      <formula>LEN(TRIM(AK367))=0</formula>
    </cfRule>
  </conditionalFormatting>
  <conditionalFormatting sqref="AK365">
    <cfRule type="cellIs" dxfId="18531" priority="188" operator="equal">
      <formula>0</formula>
    </cfRule>
  </conditionalFormatting>
  <conditionalFormatting sqref="AK365">
    <cfRule type="expression" dxfId="18530" priority="189">
      <formula>LEN(TRIM(AK365))=0</formula>
    </cfRule>
  </conditionalFormatting>
  <conditionalFormatting sqref="AB359:AG359">
    <cfRule type="cellIs" dxfId="18529" priority="186" operator="equal">
      <formula>0</formula>
    </cfRule>
  </conditionalFormatting>
  <conditionalFormatting sqref="AB359:AG359">
    <cfRule type="expression" dxfId="18528" priority="187">
      <formula>LEN(TRIM(AB359))=0</formula>
    </cfRule>
  </conditionalFormatting>
  <conditionalFormatting sqref="AH376:AK378 W376:AA378 AB376:AG377 AI373:AK375 Y373:Y375 V373:V378 V379:AK379">
    <cfRule type="cellIs" dxfId="18527" priority="165" operator="equal">
      <formula>0</formula>
    </cfRule>
  </conditionalFormatting>
  <conditionalFormatting sqref="AH373:AH378">
    <cfRule type="cellIs" dxfId="18526" priority="166" operator="equal">
      <formula>0</formula>
    </cfRule>
  </conditionalFormatting>
  <conditionalFormatting sqref="V373:W378 Z373:AA378">
    <cfRule type="cellIs" dxfId="18525" priority="167" operator="equal">
      <formula>0</formula>
    </cfRule>
  </conditionalFormatting>
  <conditionalFormatting sqref="X373:X378">
    <cfRule type="cellIs" dxfId="18524" priority="168" operator="equal">
      <formula>0</formula>
    </cfRule>
  </conditionalFormatting>
  <conditionalFormatting sqref="AB376:AB378">
    <cfRule type="cellIs" dxfId="18523" priority="169" operator="equal">
      <formula>0</formula>
    </cfRule>
  </conditionalFormatting>
  <conditionalFormatting sqref="AB373:AB378 AC373:AG373">
    <cfRule type="cellIs" dxfId="18522" priority="170" operator="equal">
      <formula>0</formula>
    </cfRule>
  </conditionalFormatting>
  <conditionalFormatting sqref="AC376:AC378">
    <cfRule type="cellIs" dxfId="18521" priority="171" operator="equal">
      <formula>0</formula>
    </cfRule>
  </conditionalFormatting>
  <conditionalFormatting sqref="AC373:AC378">
    <cfRule type="cellIs" dxfId="18520" priority="172" operator="equal">
      <formula>0</formula>
    </cfRule>
  </conditionalFormatting>
  <conditionalFormatting sqref="AD376:AD378">
    <cfRule type="cellIs" dxfId="18519" priority="173" operator="equal">
      <formula>0</formula>
    </cfRule>
  </conditionalFormatting>
  <conditionalFormatting sqref="AD373:AD378">
    <cfRule type="cellIs" dxfId="18518" priority="174" operator="equal">
      <formula>0</formula>
    </cfRule>
  </conditionalFormatting>
  <conditionalFormatting sqref="AE376:AE378">
    <cfRule type="cellIs" dxfId="18517" priority="175" operator="equal">
      <formula>0</formula>
    </cfRule>
  </conditionalFormatting>
  <conditionalFormatting sqref="AE373:AE378">
    <cfRule type="cellIs" dxfId="18516" priority="176" operator="equal">
      <formula>0</formula>
    </cfRule>
  </conditionalFormatting>
  <conditionalFormatting sqref="AF376:AF378">
    <cfRule type="cellIs" dxfId="18515" priority="177" operator="equal">
      <formula>0</formula>
    </cfRule>
  </conditionalFormatting>
  <conditionalFormatting sqref="AF373:AF378">
    <cfRule type="cellIs" dxfId="18514" priority="178" operator="equal">
      <formula>0</formula>
    </cfRule>
  </conditionalFormatting>
  <conditionalFormatting sqref="AG376:AG378">
    <cfRule type="cellIs" dxfId="18513" priority="179" operator="equal">
      <formula>0</formula>
    </cfRule>
  </conditionalFormatting>
  <conditionalFormatting sqref="AG373:AG378">
    <cfRule type="cellIs" dxfId="18512" priority="180" operator="equal">
      <formula>0</formula>
    </cfRule>
  </conditionalFormatting>
  <conditionalFormatting sqref="V373:AK379">
    <cfRule type="expression" dxfId="18511" priority="181">
      <formula>LEN(TRIM(V373))=0</formula>
    </cfRule>
  </conditionalFormatting>
  <conditionalFormatting sqref="AD376:AD377">
    <cfRule type="cellIs" dxfId="18510" priority="182" operator="equal">
      <formula>0</formula>
    </cfRule>
  </conditionalFormatting>
  <conditionalFormatting sqref="AE376:AE377">
    <cfRule type="cellIs" dxfId="18509" priority="183" operator="equal">
      <formula>0</formula>
    </cfRule>
  </conditionalFormatting>
  <conditionalFormatting sqref="AF376:AG376">
    <cfRule type="cellIs" dxfId="18508" priority="184" operator="equal">
      <formula>0</formula>
    </cfRule>
  </conditionalFormatting>
  <conditionalFormatting sqref="AF377:AG377">
    <cfRule type="cellIs" dxfId="18507" priority="185" operator="equal">
      <formula>0</formula>
    </cfRule>
  </conditionalFormatting>
  <conditionalFormatting sqref="W390:Y390 V391:Y392 Z390:AA392 V386:AA389 AB386:AJ392 V381:AK381 V393:AJ393 V382:AA383 AK382:AK393 AH382:AJ383">
    <cfRule type="cellIs" dxfId="18506" priority="159" operator="equal">
      <formula>0</formula>
    </cfRule>
  </conditionalFormatting>
  <conditionalFormatting sqref="V390">
    <cfRule type="cellIs" dxfId="18505" priority="160" operator="equal">
      <formula>0</formula>
    </cfRule>
  </conditionalFormatting>
  <conditionalFormatting sqref="V381:AK381 V386:AJ393 V382:AA383 AK382:AK393 AH382:AJ383">
    <cfRule type="expression" dxfId="18504" priority="161">
      <formula>LEN(TRIM(V381))=0</formula>
    </cfRule>
  </conditionalFormatting>
  <conditionalFormatting sqref="V384:AJ385">
    <cfRule type="cellIs" dxfId="18503" priority="162" operator="equal">
      <formula>0</formula>
    </cfRule>
  </conditionalFormatting>
  <conditionalFormatting sqref="AH384:AH385">
    <cfRule type="cellIs" dxfId="18502" priority="163" operator="equal">
      <formula>0</formula>
    </cfRule>
  </conditionalFormatting>
  <conditionalFormatting sqref="V384:AJ385">
    <cfRule type="expression" dxfId="18501" priority="164">
      <formula>LEN(TRIM(V384))=0</formula>
    </cfRule>
  </conditionalFormatting>
  <conditionalFormatting sqref="AB382:AG383">
    <cfRule type="cellIs" dxfId="18500" priority="157" operator="equal">
      <formula>0</formula>
    </cfRule>
  </conditionalFormatting>
  <conditionalFormatting sqref="AB382:AG383">
    <cfRule type="expression" dxfId="18499" priority="158">
      <formula>LEN(TRIM(AB382))=0</formula>
    </cfRule>
  </conditionalFormatting>
  <conditionalFormatting sqref="V396:AJ401 AK395:AK400 AK402 V395:AA395 AH395:AJ395">
    <cfRule type="cellIs" dxfId="18498" priority="151" operator="equal">
      <formula>0</formula>
    </cfRule>
  </conditionalFormatting>
  <conditionalFormatting sqref="V402:AJ402">
    <cfRule type="cellIs" dxfId="18497" priority="152" operator="equal">
      <formula>0</formula>
    </cfRule>
  </conditionalFormatting>
  <conditionalFormatting sqref="V396:AK400 V402:AK402 V401:AJ401 V395:AA395 AH395:AK395">
    <cfRule type="expression" dxfId="18496" priority="153">
      <formula>LEN(TRIM(V395))=0</formula>
    </cfRule>
  </conditionalFormatting>
  <conditionalFormatting sqref="V402:AJ402">
    <cfRule type="cellIs" dxfId="18495" priority="154" operator="equal">
      <formula>0</formula>
    </cfRule>
  </conditionalFormatting>
  <conditionalFormatting sqref="V403:AJ403">
    <cfRule type="cellIs" dxfId="18494" priority="155" operator="equal">
      <formula>0</formula>
    </cfRule>
  </conditionalFormatting>
  <conditionalFormatting sqref="V403:AJ403">
    <cfRule type="expression" dxfId="18493" priority="156">
      <formula>LEN(TRIM(V403))=0</formula>
    </cfRule>
  </conditionalFormatting>
  <conditionalFormatting sqref="AK403">
    <cfRule type="cellIs" dxfId="18492" priority="149" operator="equal">
      <formula>0</formula>
    </cfRule>
  </conditionalFormatting>
  <conditionalFormatting sqref="AK403">
    <cfRule type="expression" dxfId="18491" priority="150">
      <formula>LEN(TRIM(AK403))=0</formula>
    </cfRule>
  </conditionalFormatting>
  <conditionalFormatting sqref="AK401">
    <cfRule type="cellIs" dxfId="18490" priority="147" operator="equal">
      <formula>0</formula>
    </cfRule>
  </conditionalFormatting>
  <conditionalFormatting sqref="AK401">
    <cfRule type="expression" dxfId="18489" priority="148">
      <formula>LEN(TRIM(AK401))=0</formula>
    </cfRule>
  </conditionalFormatting>
  <conditionalFormatting sqref="AB395:AG395">
    <cfRule type="cellIs" dxfId="18488" priority="145" operator="equal">
      <formula>0</formula>
    </cfRule>
  </conditionalFormatting>
  <conditionalFormatting sqref="AB395:AG395">
    <cfRule type="expression" dxfId="18487" priority="146">
      <formula>LEN(TRIM(AB395))=0</formula>
    </cfRule>
  </conditionalFormatting>
  <conditionalFormatting sqref="J11">
    <cfRule type="cellIs" dxfId="18486" priority="132" operator="equal">
      <formula>0</formula>
    </cfRule>
  </conditionalFormatting>
  <conditionalFormatting sqref="K11">
    <cfRule type="cellIs" dxfId="18485" priority="131" operator="equal">
      <formula>0</formula>
    </cfRule>
  </conditionalFormatting>
  <conditionalFormatting sqref="L11">
    <cfRule type="cellIs" dxfId="18484" priority="130" operator="equal">
      <formula>0</formula>
    </cfRule>
  </conditionalFormatting>
  <conditionalFormatting sqref="M11">
    <cfRule type="cellIs" dxfId="18483" priority="129" operator="equal">
      <formula>0</formula>
    </cfRule>
  </conditionalFormatting>
  <conditionalFormatting sqref="N11">
    <cfRule type="cellIs" dxfId="18482" priority="128" operator="equal">
      <formula>0</formula>
    </cfRule>
  </conditionalFormatting>
  <conditionalFormatting sqref="O11">
    <cfRule type="cellIs" dxfId="18481" priority="127" operator="equal">
      <formula>0</formula>
    </cfRule>
  </conditionalFormatting>
  <conditionalFormatting sqref="AB11">
    <cfRule type="cellIs" dxfId="18480" priority="126" operator="equal">
      <formula>0</formula>
    </cfRule>
  </conditionalFormatting>
  <conditionalFormatting sqref="AC11">
    <cfRule type="cellIs" dxfId="18479" priority="125" operator="equal">
      <formula>0</formula>
    </cfRule>
  </conditionalFormatting>
  <conditionalFormatting sqref="AD11">
    <cfRule type="cellIs" dxfId="18478" priority="124" operator="equal">
      <formula>0</formula>
    </cfRule>
  </conditionalFormatting>
  <conditionalFormatting sqref="AE11">
    <cfRule type="cellIs" dxfId="18477" priority="123" operator="equal">
      <formula>0</formula>
    </cfRule>
  </conditionalFormatting>
  <conditionalFormatting sqref="AF11">
    <cfRule type="cellIs" dxfId="18476" priority="122" operator="equal">
      <formula>0</formula>
    </cfRule>
  </conditionalFormatting>
  <conditionalFormatting sqref="AG11">
    <cfRule type="cellIs" dxfId="18475" priority="121" operator="equal">
      <formula>0</formula>
    </cfRule>
  </conditionalFormatting>
  <conditionalFormatting sqref="J48">
    <cfRule type="cellIs" dxfId="18474" priority="120" operator="equal">
      <formula>0</formula>
    </cfRule>
  </conditionalFormatting>
  <conditionalFormatting sqref="K48">
    <cfRule type="cellIs" dxfId="18473" priority="119" operator="equal">
      <formula>0</formula>
    </cfRule>
  </conditionalFormatting>
  <conditionalFormatting sqref="L48">
    <cfRule type="cellIs" dxfId="18472" priority="118" operator="equal">
      <formula>0</formula>
    </cfRule>
  </conditionalFormatting>
  <conditionalFormatting sqref="M48">
    <cfRule type="cellIs" dxfId="18471" priority="117" operator="equal">
      <formula>0</formula>
    </cfRule>
  </conditionalFormatting>
  <conditionalFormatting sqref="N48">
    <cfRule type="cellIs" dxfId="18470" priority="116" operator="equal">
      <formula>0</formula>
    </cfRule>
  </conditionalFormatting>
  <conditionalFormatting sqref="O48">
    <cfRule type="cellIs" dxfId="18469" priority="115" operator="equal">
      <formula>0</formula>
    </cfRule>
  </conditionalFormatting>
  <conditionalFormatting sqref="AB48">
    <cfRule type="cellIs" dxfId="18468" priority="114" operator="equal">
      <formula>0</formula>
    </cfRule>
  </conditionalFormatting>
  <conditionalFormatting sqref="AC48">
    <cfRule type="cellIs" dxfId="18467" priority="113" operator="equal">
      <formula>0</formula>
    </cfRule>
  </conditionalFormatting>
  <conditionalFormatting sqref="AD48">
    <cfRule type="cellIs" dxfId="18466" priority="112" operator="equal">
      <formula>0</formula>
    </cfRule>
  </conditionalFormatting>
  <conditionalFormatting sqref="AE48">
    <cfRule type="cellIs" dxfId="18465" priority="111" operator="equal">
      <formula>0</formula>
    </cfRule>
  </conditionalFormatting>
  <conditionalFormatting sqref="AF48">
    <cfRule type="cellIs" dxfId="18464" priority="110" operator="equal">
      <formula>0</formula>
    </cfRule>
  </conditionalFormatting>
  <conditionalFormatting sqref="AG48">
    <cfRule type="cellIs" dxfId="18463" priority="109" operator="equal">
      <formula>0</formula>
    </cfRule>
  </conditionalFormatting>
  <conditionalFormatting sqref="J84">
    <cfRule type="cellIs" dxfId="18462" priority="108" operator="equal">
      <formula>0</formula>
    </cfRule>
  </conditionalFormatting>
  <conditionalFormatting sqref="K84">
    <cfRule type="cellIs" dxfId="18461" priority="107" operator="equal">
      <formula>0</formula>
    </cfRule>
  </conditionalFormatting>
  <conditionalFormatting sqref="L84">
    <cfRule type="cellIs" dxfId="18460" priority="106" operator="equal">
      <formula>0</formula>
    </cfRule>
  </conditionalFormatting>
  <conditionalFormatting sqref="M84">
    <cfRule type="cellIs" dxfId="18459" priority="105" operator="equal">
      <formula>0</formula>
    </cfRule>
  </conditionalFormatting>
  <conditionalFormatting sqref="N84">
    <cfRule type="cellIs" dxfId="18458" priority="104" operator="equal">
      <formula>0</formula>
    </cfRule>
  </conditionalFormatting>
  <conditionalFormatting sqref="O84">
    <cfRule type="cellIs" dxfId="18457" priority="103" operator="equal">
      <formula>0</formula>
    </cfRule>
  </conditionalFormatting>
  <conditionalFormatting sqref="AB84">
    <cfRule type="cellIs" dxfId="18456" priority="102" operator="equal">
      <formula>0</formula>
    </cfRule>
  </conditionalFormatting>
  <conditionalFormatting sqref="AC84">
    <cfRule type="cellIs" dxfId="18455" priority="101" operator="equal">
      <formula>0</formula>
    </cfRule>
  </conditionalFormatting>
  <conditionalFormatting sqref="AD84">
    <cfRule type="cellIs" dxfId="18454" priority="100" operator="equal">
      <formula>0</formula>
    </cfRule>
  </conditionalFormatting>
  <conditionalFormatting sqref="AE84">
    <cfRule type="cellIs" dxfId="18453" priority="99" operator="equal">
      <formula>0</formula>
    </cfRule>
  </conditionalFormatting>
  <conditionalFormatting sqref="AF84">
    <cfRule type="cellIs" dxfId="18452" priority="98" operator="equal">
      <formula>0</formula>
    </cfRule>
  </conditionalFormatting>
  <conditionalFormatting sqref="AG84">
    <cfRule type="cellIs" dxfId="18451" priority="97" operator="equal">
      <formula>0</formula>
    </cfRule>
  </conditionalFormatting>
  <conditionalFormatting sqref="J120">
    <cfRule type="cellIs" dxfId="18450" priority="96" operator="equal">
      <formula>0</formula>
    </cfRule>
  </conditionalFormatting>
  <conditionalFormatting sqref="K120">
    <cfRule type="cellIs" dxfId="18449" priority="95" operator="equal">
      <formula>0</formula>
    </cfRule>
  </conditionalFormatting>
  <conditionalFormatting sqref="L120">
    <cfRule type="cellIs" dxfId="18448" priority="94" operator="equal">
      <formula>0</formula>
    </cfRule>
  </conditionalFormatting>
  <conditionalFormatting sqref="M120">
    <cfRule type="cellIs" dxfId="18447" priority="93" operator="equal">
      <formula>0</formula>
    </cfRule>
  </conditionalFormatting>
  <conditionalFormatting sqref="N120">
    <cfRule type="cellIs" dxfId="18446" priority="92" operator="equal">
      <formula>0</formula>
    </cfRule>
  </conditionalFormatting>
  <conditionalFormatting sqref="O120">
    <cfRule type="cellIs" dxfId="18445" priority="91" operator="equal">
      <formula>0</formula>
    </cfRule>
  </conditionalFormatting>
  <conditionalFormatting sqref="AB120">
    <cfRule type="cellIs" dxfId="18444" priority="90" operator="equal">
      <formula>0</formula>
    </cfRule>
  </conditionalFormatting>
  <conditionalFormatting sqref="AC120">
    <cfRule type="cellIs" dxfId="18443" priority="89" operator="equal">
      <formula>0</formula>
    </cfRule>
  </conditionalFormatting>
  <conditionalFormatting sqref="AD120">
    <cfRule type="cellIs" dxfId="18442" priority="88" operator="equal">
      <formula>0</formula>
    </cfRule>
  </conditionalFormatting>
  <conditionalFormatting sqref="AE120">
    <cfRule type="cellIs" dxfId="18441" priority="87" operator="equal">
      <formula>0</formula>
    </cfRule>
  </conditionalFormatting>
  <conditionalFormatting sqref="AF120">
    <cfRule type="cellIs" dxfId="18440" priority="86" operator="equal">
      <formula>0</formula>
    </cfRule>
  </conditionalFormatting>
  <conditionalFormatting sqref="AG120">
    <cfRule type="cellIs" dxfId="18439" priority="85" operator="equal">
      <formula>0</formula>
    </cfRule>
  </conditionalFormatting>
  <conditionalFormatting sqref="J156">
    <cfRule type="cellIs" dxfId="18438" priority="84" operator="equal">
      <formula>0</formula>
    </cfRule>
  </conditionalFormatting>
  <conditionalFormatting sqref="K156">
    <cfRule type="cellIs" dxfId="18437" priority="83" operator="equal">
      <formula>0</formula>
    </cfRule>
  </conditionalFormatting>
  <conditionalFormatting sqref="L156">
    <cfRule type="cellIs" dxfId="18436" priority="82" operator="equal">
      <formula>0</formula>
    </cfRule>
  </conditionalFormatting>
  <conditionalFormatting sqref="M156">
    <cfRule type="cellIs" dxfId="18435" priority="81" operator="equal">
      <formula>0</formula>
    </cfRule>
  </conditionalFormatting>
  <conditionalFormatting sqref="N156">
    <cfRule type="cellIs" dxfId="18434" priority="80" operator="equal">
      <formula>0</formula>
    </cfRule>
  </conditionalFormatting>
  <conditionalFormatting sqref="O156">
    <cfRule type="cellIs" dxfId="18433" priority="79" operator="equal">
      <formula>0</formula>
    </cfRule>
  </conditionalFormatting>
  <conditionalFormatting sqref="AB156">
    <cfRule type="cellIs" dxfId="18432" priority="78" operator="equal">
      <formula>0</formula>
    </cfRule>
  </conditionalFormatting>
  <conditionalFormatting sqref="AC156">
    <cfRule type="cellIs" dxfId="18431" priority="77" operator="equal">
      <formula>0</formula>
    </cfRule>
  </conditionalFormatting>
  <conditionalFormatting sqref="AD156">
    <cfRule type="cellIs" dxfId="18430" priority="76" operator="equal">
      <formula>0</formula>
    </cfRule>
  </conditionalFormatting>
  <conditionalFormatting sqref="AE156">
    <cfRule type="cellIs" dxfId="18429" priority="75" operator="equal">
      <formula>0</formula>
    </cfRule>
  </conditionalFormatting>
  <conditionalFormatting sqref="AF156">
    <cfRule type="cellIs" dxfId="18428" priority="74" operator="equal">
      <formula>0</formula>
    </cfRule>
  </conditionalFormatting>
  <conditionalFormatting sqref="AG156">
    <cfRule type="cellIs" dxfId="18427" priority="73" operator="equal">
      <formula>0</formula>
    </cfRule>
  </conditionalFormatting>
  <conditionalFormatting sqref="J192">
    <cfRule type="cellIs" dxfId="18426" priority="72" operator="equal">
      <formula>0</formula>
    </cfRule>
  </conditionalFormatting>
  <conditionalFormatting sqref="K192">
    <cfRule type="cellIs" dxfId="18425" priority="71" operator="equal">
      <formula>0</formula>
    </cfRule>
  </conditionalFormatting>
  <conditionalFormatting sqref="L192">
    <cfRule type="cellIs" dxfId="18424" priority="70" operator="equal">
      <formula>0</formula>
    </cfRule>
  </conditionalFormatting>
  <conditionalFormatting sqref="M192">
    <cfRule type="cellIs" dxfId="18423" priority="69" operator="equal">
      <formula>0</formula>
    </cfRule>
  </conditionalFormatting>
  <conditionalFormatting sqref="N192">
    <cfRule type="cellIs" dxfId="18422" priority="68" operator="equal">
      <formula>0</formula>
    </cfRule>
  </conditionalFormatting>
  <conditionalFormatting sqref="O192">
    <cfRule type="cellIs" dxfId="18421" priority="67" operator="equal">
      <formula>0</formula>
    </cfRule>
  </conditionalFormatting>
  <conditionalFormatting sqref="AB192">
    <cfRule type="cellIs" dxfId="18420" priority="66" operator="equal">
      <formula>0</formula>
    </cfRule>
  </conditionalFormatting>
  <conditionalFormatting sqref="AC192">
    <cfRule type="cellIs" dxfId="18419" priority="65" operator="equal">
      <formula>0</formula>
    </cfRule>
  </conditionalFormatting>
  <conditionalFormatting sqref="AD192">
    <cfRule type="cellIs" dxfId="18418" priority="64" operator="equal">
      <formula>0</formula>
    </cfRule>
  </conditionalFormatting>
  <conditionalFormatting sqref="AE192">
    <cfRule type="cellIs" dxfId="18417" priority="63" operator="equal">
      <formula>0</formula>
    </cfRule>
  </conditionalFormatting>
  <conditionalFormatting sqref="AF192">
    <cfRule type="cellIs" dxfId="18416" priority="62" operator="equal">
      <formula>0</formula>
    </cfRule>
  </conditionalFormatting>
  <conditionalFormatting sqref="AG192">
    <cfRule type="cellIs" dxfId="18415" priority="61" operator="equal">
      <formula>0</formula>
    </cfRule>
  </conditionalFormatting>
  <conditionalFormatting sqref="J228">
    <cfRule type="cellIs" dxfId="18414" priority="60" operator="equal">
      <formula>0</formula>
    </cfRule>
  </conditionalFormatting>
  <conditionalFormatting sqref="K228">
    <cfRule type="cellIs" dxfId="18413" priority="59" operator="equal">
      <formula>0</formula>
    </cfRule>
  </conditionalFormatting>
  <conditionalFormatting sqref="L228">
    <cfRule type="cellIs" dxfId="18412" priority="58" operator="equal">
      <formula>0</formula>
    </cfRule>
  </conditionalFormatting>
  <conditionalFormatting sqref="M228">
    <cfRule type="cellIs" dxfId="18411" priority="57" operator="equal">
      <formula>0</formula>
    </cfRule>
  </conditionalFormatting>
  <conditionalFormatting sqref="N228">
    <cfRule type="cellIs" dxfId="18410" priority="56" operator="equal">
      <formula>0</formula>
    </cfRule>
  </conditionalFormatting>
  <conditionalFormatting sqref="O228">
    <cfRule type="cellIs" dxfId="18409" priority="55" operator="equal">
      <formula>0</formula>
    </cfRule>
  </conditionalFormatting>
  <conditionalFormatting sqref="AB228">
    <cfRule type="cellIs" dxfId="18408" priority="54" operator="equal">
      <formula>0</formula>
    </cfRule>
  </conditionalFormatting>
  <conditionalFormatting sqref="AC228">
    <cfRule type="cellIs" dxfId="18407" priority="53" operator="equal">
      <formula>0</formula>
    </cfRule>
  </conditionalFormatting>
  <conditionalFormatting sqref="AD228">
    <cfRule type="cellIs" dxfId="18406" priority="52" operator="equal">
      <formula>0</formula>
    </cfRule>
  </conditionalFormatting>
  <conditionalFormatting sqref="AE228">
    <cfRule type="cellIs" dxfId="18405" priority="51" operator="equal">
      <formula>0</formula>
    </cfRule>
  </conditionalFormatting>
  <conditionalFormatting sqref="AF228">
    <cfRule type="cellIs" dxfId="18404" priority="50" operator="equal">
      <formula>0</formula>
    </cfRule>
  </conditionalFormatting>
  <conditionalFormatting sqref="AG228">
    <cfRule type="cellIs" dxfId="18403" priority="49" operator="equal">
      <formula>0</formula>
    </cfRule>
  </conditionalFormatting>
  <conditionalFormatting sqref="J264">
    <cfRule type="cellIs" dxfId="18402" priority="48" operator="equal">
      <formula>0</formula>
    </cfRule>
  </conditionalFormatting>
  <conditionalFormatting sqref="K264">
    <cfRule type="cellIs" dxfId="18401" priority="47" operator="equal">
      <formula>0</formula>
    </cfRule>
  </conditionalFormatting>
  <conditionalFormatting sqref="L264">
    <cfRule type="cellIs" dxfId="18400" priority="46" operator="equal">
      <formula>0</formula>
    </cfRule>
  </conditionalFormatting>
  <conditionalFormatting sqref="M264">
    <cfRule type="cellIs" dxfId="18399" priority="45" operator="equal">
      <formula>0</formula>
    </cfRule>
  </conditionalFormatting>
  <conditionalFormatting sqref="N264">
    <cfRule type="cellIs" dxfId="18398" priority="44" operator="equal">
      <formula>0</formula>
    </cfRule>
  </conditionalFormatting>
  <conditionalFormatting sqref="O264">
    <cfRule type="cellIs" dxfId="18397" priority="43" operator="equal">
      <formula>0</formula>
    </cfRule>
  </conditionalFormatting>
  <conditionalFormatting sqref="AB264">
    <cfRule type="cellIs" dxfId="18396" priority="42" operator="equal">
      <formula>0</formula>
    </cfRule>
  </conditionalFormatting>
  <conditionalFormatting sqref="AC264">
    <cfRule type="cellIs" dxfId="18395" priority="41" operator="equal">
      <formula>0</formula>
    </cfRule>
  </conditionalFormatting>
  <conditionalFormatting sqref="AD264">
    <cfRule type="cellIs" dxfId="18394" priority="40" operator="equal">
      <formula>0</formula>
    </cfRule>
  </conditionalFormatting>
  <conditionalFormatting sqref="AE264">
    <cfRule type="cellIs" dxfId="18393" priority="39" operator="equal">
      <formula>0</formula>
    </cfRule>
  </conditionalFormatting>
  <conditionalFormatting sqref="AF264">
    <cfRule type="cellIs" dxfId="18392" priority="38" operator="equal">
      <formula>0</formula>
    </cfRule>
  </conditionalFormatting>
  <conditionalFormatting sqref="AG264">
    <cfRule type="cellIs" dxfId="18391" priority="37" operator="equal">
      <formula>0</formula>
    </cfRule>
  </conditionalFormatting>
  <conditionalFormatting sqref="J300">
    <cfRule type="cellIs" dxfId="18390" priority="36" operator="equal">
      <formula>0</formula>
    </cfRule>
  </conditionalFormatting>
  <conditionalFormatting sqref="K300">
    <cfRule type="cellIs" dxfId="18389" priority="35" operator="equal">
      <formula>0</formula>
    </cfRule>
  </conditionalFormatting>
  <conditionalFormatting sqref="L300">
    <cfRule type="cellIs" dxfId="18388" priority="34" operator="equal">
      <formula>0</formula>
    </cfRule>
  </conditionalFormatting>
  <conditionalFormatting sqref="M300">
    <cfRule type="cellIs" dxfId="18387" priority="33" operator="equal">
      <formula>0</formula>
    </cfRule>
  </conditionalFormatting>
  <conditionalFormatting sqref="N300">
    <cfRule type="cellIs" dxfId="18386" priority="32" operator="equal">
      <formula>0</formula>
    </cfRule>
  </conditionalFormatting>
  <conditionalFormatting sqref="O300">
    <cfRule type="cellIs" dxfId="18385" priority="31" operator="equal">
      <formula>0</formula>
    </cfRule>
  </conditionalFormatting>
  <conditionalFormatting sqref="AB300">
    <cfRule type="cellIs" dxfId="18384" priority="30" operator="equal">
      <formula>0</formula>
    </cfRule>
  </conditionalFormatting>
  <conditionalFormatting sqref="AC300">
    <cfRule type="cellIs" dxfId="18383" priority="29" operator="equal">
      <formula>0</formula>
    </cfRule>
  </conditionalFormatting>
  <conditionalFormatting sqref="AD300">
    <cfRule type="cellIs" dxfId="18382" priority="28" operator="equal">
      <formula>0</formula>
    </cfRule>
  </conditionalFormatting>
  <conditionalFormatting sqref="AE300">
    <cfRule type="cellIs" dxfId="18381" priority="27" operator="equal">
      <formula>0</formula>
    </cfRule>
  </conditionalFormatting>
  <conditionalFormatting sqref="AF300">
    <cfRule type="cellIs" dxfId="18380" priority="26" operator="equal">
      <formula>0</formula>
    </cfRule>
  </conditionalFormatting>
  <conditionalFormatting sqref="AG300">
    <cfRule type="cellIs" dxfId="18379" priority="25" operator="equal">
      <formula>0</formula>
    </cfRule>
  </conditionalFormatting>
  <conditionalFormatting sqref="J336">
    <cfRule type="cellIs" dxfId="18378" priority="24" operator="equal">
      <formula>0</formula>
    </cfRule>
  </conditionalFormatting>
  <conditionalFormatting sqref="K336">
    <cfRule type="cellIs" dxfId="18377" priority="23" operator="equal">
      <formula>0</formula>
    </cfRule>
  </conditionalFormatting>
  <conditionalFormatting sqref="L336">
    <cfRule type="cellIs" dxfId="18376" priority="22" operator="equal">
      <formula>0</formula>
    </cfRule>
  </conditionalFormatting>
  <conditionalFormatting sqref="M336">
    <cfRule type="cellIs" dxfId="18375" priority="21" operator="equal">
      <formula>0</formula>
    </cfRule>
  </conditionalFormatting>
  <conditionalFormatting sqref="N336">
    <cfRule type="cellIs" dxfId="18374" priority="20" operator="equal">
      <formula>0</formula>
    </cfRule>
  </conditionalFormatting>
  <conditionalFormatting sqref="O336">
    <cfRule type="cellIs" dxfId="18373" priority="19" operator="equal">
      <formula>0</formula>
    </cfRule>
  </conditionalFormatting>
  <conditionalFormatting sqref="AB336">
    <cfRule type="cellIs" dxfId="18372" priority="18" operator="equal">
      <formula>0</formula>
    </cfRule>
  </conditionalFormatting>
  <conditionalFormatting sqref="AC336">
    <cfRule type="cellIs" dxfId="18371" priority="17" operator="equal">
      <formula>0</formula>
    </cfRule>
  </conditionalFormatting>
  <conditionalFormatting sqref="AD336">
    <cfRule type="cellIs" dxfId="18370" priority="16" operator="equal">
      <formula>0</formula>
    </cfRule>
  </conditionalFormatting>
  <conditionalFormatting sqref="AE336">
    <cfRule type="cellIs" dxfId="18369" priority="15" operator="equal">
      <formula>0</formula>
    </cfRule>
  </conditionalFormatting>
  <conditionalFormatting sqref="AF336">
    <cfRule type="cellIs" dxfId="18368" priority="14" operator="equal">
      <formula>0</formula>
    </cfRule>
  </conditionalFormatting>
  <conditionalFormatting sqref="AG336">
    <cfRule type="cellIs" dxfId="18367" priority="13" operator="equal">
      <formula>0</formula>
    </cfRule>
  </conditionalFormatting>
  <conditionalFormatting sqref="J372">
    <cfRule type="cellIs" dxfId="18366" priority="12" operator="equal">
      <formula>0</formula>
    </cfRule>
  </conditionalFormatting>
  <conditionalFormatting sqref="K372">
    <cfRule type="cellIs" dxfId="18365" priority="11" operator="equal">
      <formula>0</formula>
    </cfRule>
  </conditionalFormatting>
  <conditionalFormatting sqref="L372">
    <cfRule type="cellIs" dxfId="18364" priority="10" operator="equal">
      <formula>0</formula>
    </cfRule>
  </conditionalFormatting>
  <conditionalFormatting sqref="M372">
    <cfRule type="cellIs" dxfId="18363" priority="9" operator="equal">
      <formula>0</formula>
    </cfRule>
  </conditionalFormatting>
  <conditionalFormatting sqref="N372">
    <cfRule type="cellIs" dxfId="18362" priority="8" operator="equal">
      <formula>0</formula>
    </cfRule>
  </conditionalFormatting>
  <conditionalFormatting sqref="O372">
    <cfRule type="cellIs" dxfId="18361" priority="7" operator="equal">
      <formula>0</formula>
    </cfRule>
  </conditionalFormatting>
  <conditionalFormatting sqref="AB372">
    <cfRule type="cellIs" dxfId="18360" priority="6" operator="equal">
      <formula>0</formula>
    </cfRule>
  </conditionalFormatting>
  <conditionalFormatting sqref="AC372">
    <cfRule type="cellIs" dxfId="18359" priority="5" operator="equal">
      <formula>0</formula>
    </cfRule>
  </conditionalFormatting>
  <conditionalFormatting sqref="AD372">
    <cfRule type="cellIs" dxfId="18358" priority="4" operator="equal">
      <formula>0</formula>
    </cfRule>
  </conditionalFormatting>
  <conditionalFormatting sqref="AE372">
    <cfRule type="cellIs" dxfId="18357" priority="3" operator="equal">
      <formula>0</formula>
    </cfRule>
  </conditionalFormatting>
  <conditionalFormatting sqref="AF372">
    <cfRule type="cellIs" dxfId="18356"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1F43D-CD9E-438E-B26A-4EBB6047D391}">
  <dimension ref="C2:AK368"/>
  <sheetViews>
    <sheetView zoomScale="70" zoomScaleNormal="70" workbookViewId="0">
      <selection activeCell="C8" sqref="C8:S8"/>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87</v>
      </c>
      <c r="D8" s="699"/>
      <c r="E8" s="699"/>
      <c r="F8" s="699"/>
      <c r="G8" s="699"/>
      <c r="H8" s="699"/>
      <c r="I8" s="699"/>
      <c r="J8" s="699"/>
      <c r="K8" s="699"/>
      <c r="L8" s="699"/>
      <c r="M8" s="699"/>
      <c r="N8" s="699"/>
      <c r="O8" s="699"/>
      <c r="P8" s="699"/>
      <c r="Q8" s="699"/>
      <c r="R8" s="699"/>
      <c r="S8" s="699"/>
      <c r="U8" s="699" t="s">
        <v>87</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9.7691999999999997</v>
      </c>
      <c r="F12" s="643">
        <v>0</v>
      </c>
      <c r="G12" s="642">
        <v>0.18608000000000002</v>
      </c>
      <c r="H12" s="643">
        <v>1190.909090909091</v>
      </c>
      <c r="I12" s="643">
        <v>153.14171554603519</v>
      </c>
      <c r="J12" s="643">
        <v>193.32113368570609</v>
      </c>
      <c r="K12" s="643">
        <v>23.895443221314743</v>
      </c>
      <c r="L12" s="643">
        <v>0.26210424432280233</v>
      </c>
      <c r="M12" s="643">
        <v>0.1322850330511596</v>
      </c>
      <c r="N12" s="643">
        <v>39.319241851069634</v>
      </c>
      <c r="O12" s="643">
        <v>5.962830498028703</v>
      </c>
      <c r="P12" s="644">
        <v>0</v>
      </c>
      <c r="Q12" s="643">
        <v>0</v>
      </c>
      <c r="R12" s="643">
        <v>0</v>
      </c>
      <c r="S12" s="645">
        <v>1616.8991249886192</v>
      </c>
      <c r="U12" s="641" t="s">
        <v>59</v>
      </c>
      <c r="V12" s="642">
        <v>0</v>
      </c>
      <c r="W12" s="643">
        <v>9.7691999999999997</v>
      </c>
      <c r="X12" s="643">
        <v>0</v>
      </c>
      <c r="Y12" s="642">
        <v>0.18608000000000002</v>
      </c>
      <c r="Z12" s="643">
        <v>1105.3443526170799</v>
      </c>
      <c r="AA12" s="643">
        <v>156.32644281876244</v>
      </c>
      <c r="AB12" s="643">
        <v>174.95767859419479</v>
      </c>
      <c r="AC12" s="643">
        <v>32.977912048889756</v>
      </c>
      <c r="AD12" s="643">
        <v>0.26210424432280233</v>
      </c>
      <c r="AE12" s="643">
        <v>0.1322850330511596</v>
      </c>
      <c r="AF12" s="643">
        <v>46.941675984424649</v>
      </c>
      <c r="AG12" s="643">
        <v>8.3026764246808291</v>
      </c>
      <c r="AH12" s="644">
        <v>0</v>
      </c>
      <c r="AI12" s="643">
        <v>0</v>
      </c>
      <c r="AJ12" s="643">
        <v>0</v>
      </c>
      <c r="AK12" s="645">
        <v>1535.200407765406</v>
      </c>
    </row>
    <row r="13" spans="3:37" ht="13.5">
      <c r="C13" s="641" t="s">
        <v>60</v>
      </c>
      <c r="D13" s="642">
        <v>51.93943876444407</v>
      </c>
      <c r="E13" s="643">
        <v>553.51354311683986</v>
      </c>
      <c r="F13" s="643">
        <v>233.05215902128853</v>
      </c>
      <c r="G13" s="642">
        <v>363.27460186951828</v>
      </c>
      <c r="H13" s="643">
        <v>0</v>
      </c>
      <c r="I13" s="643">
        <v>0</v>
      </c>
      <c r="J13" s="643">
        <v>2.3834336020403581</v>
      </c>
      <c r="K13" s="643">
        <v>0</v>
      </c>
      <c r="L13" s="643">
        <v>2.2500117795629686</v>
      </c>
      <c r="M13" s="643">
        <v>0</v>
      </c>
      <c r="N13" s="643">
        <v>0</v>
      </c>
      <c r="O13" s="643">
        <v>0</v>
      </c>
      <c r="P13" s="644">
        <v>0</v>
      </c>
      <c r="Q13" s="643">
        <v>0</v>
      </c>
      <c r="R13" s="643">
        <v>0</v>
      </c>
      <c r="S13" s="645">
        <v>1206.4131881536939</v>
      </c>
      <c r="U13" s="641" t="s">
        <v>60</v>
      </c>
      <c r="V13" s="642">
        <v>30.366070381082046</v>
      </c>
      <c r="W13" s="643">
        <v>485.53946937040786</v>
      </c>
      <c r="X13" s="643">
        <v>248.69079495957973</v>
      </c>
      <c r="Y13" s="642">
        <v>359.41495054347945</v>
      </c>
      <c r="Z13" s="643">
        <v>0</v>
      </c>
      <c r="AA13" s="643">
        <v>0</v>
      </c>
      <c r="AB13" s="643">
        <v>2.3834336020403581</v>
      </c>
      <c r="AC13" s="643">
        <v>0</v>
      </c>
      <c r="AD13" s="643">
        <v>2.2500117795629686</v>
      </c>
      <c r="AE13" s="643">
        <v>0</v>
      </c>
      <c r="AF13" s="643">
        <v>0</v>
      </c>
      <c r="AG13" s="643">
        <v>0</v>
      </c>
      <c r="AH13" s="644">
        <v>0</v>
      </c>
      <c r="AI13" s="643">
        <v>0</v>
      </c>
      <c r="AJ13" s="643">
        <v>0</v>
      </c>
      <c r="AK13" s="645">
        <v>1128.6447306361524</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-64.055272794649682</v>
      </c>
      <c r="Q14" s="643">
        <v>0</v>
      </c>
      <c r="R14" s="643">
        <v>0</v>
      </c>
      <c r="S14" s="645">
        <v>-64.055272794649682</v>
      </c>
      <c r="U14" s="641" t="s">
        <v>61</v>
      </c>
      <c r="V14" s="642">
        <v>0</v>
      </c>
      <c r="W14" s="643">
        <v>0</v>
      </c>
      <c r="X14" s="643">
        <v>0</v>
      </c>
      <c r="Y14" s="642">
        <v>0</v>
      </c>
      <c r="Z14" s="643">
        <v>0</v>
      </c>
      <c r="AA14" s="643">
        <v>0</v>
      </c>
      <c r="AB14" s="643">
        <v>0</v>
      </c>
      <c r="AC14" s="643">
        <v>0</v>
      </c>
      <c r="AD14" s="643">
        <v>0</v>
      </c>
      <c r="AE14" s="643">
        <v>0</v>
      </c>
      <c r="AF14" s="643">
        <v>0</v>
      </c>
      <c r="AG14" s="643">
        <v>0</v>
      </c>
      <c r="AH14" s="644">
        <v>-60.354291441125554</v>
      </c>
      <c r="AI14" s="643">
        <v>0</v>
      </c>
      <c r="AJ14" s="643">
        <v>0</v>
      </c>
      <c r="AK14" s="645">
        <v>-60.354291441125554</v>
      </c>
    </row>
    <row r="15" spans="3:37" ht="13.5">
      <c r="C15" s="641" t="s">
        <v>62</v>
      </c>
      <c r="D15" s="642">
        <v>0</v>
      </c>
      <c r="E15" s="643">
        <v>0</v>
      </c>
      <c r="F15" s="643">
        <v>-17.936302519197969</v>
      </c>
      <c r="G15" s="642">
        <v>0</v>
      </c>
      <c r="H15" s="643">
        <v>0</v>
      </c>
      <c r="I15" s="643">
        <v>0</v>
      </c>
      <c r="J15" s="643">
        <v>0</v>
      </c>
      <c r="K15" s="643">
        <v>0</v>
      </c>
      <c r="L15" s="643">
        <v>0</v>
      </c>
      <c r="M15" s="643">
        <v>0</v>
      </c>
      <c r="N15" s="643">
        <v>0</v>
      </c>
      <c r="O15" s="643">
        <v>0</v>
      </c>
      <c r="P15" s="644">
        <v>0</v>
      </c>
      <c r="Q15" s="643">
        <v>0</v>
      </c>
      <c r="R15" s="643">
        <v>0</v>
      </c>
      <c r="S15" s="645">
        <v>-17.936302519197969</v>
      </c>
      <c r="U15" s="641" t="s">
        <v>62</v>
      </c>
      <c r="V15" s="642">
        <v>0</v>
      </c>
      <c r="W15" s="643">
        <v>0</v>
      </c>
      <c r="X15" s="643">
        <v>-17.936302519197969</v>
      </c>
      <c r="Y15" s="642">
        <v>0</v>
      </c>
      <c r="Z15" s="643">
        <v>0</v>
      </c>
      <c r="AA15" s="643">
        <v>0</v>
      </c>
      <c r="AB15" s="643">
        <v>0</v>
      </c>
      <c r="AC15" s="643">
        <v>0</v>
      </c>
      <c r="AD15" s="643">
        <v>0</v>
      </c>
      <c r="AE15" s="643">
        <v>0</v>
      </c>
      <c r="AF15" s="643">
        <v>0</v>
      </c>
      <c r="AG15" s="643">
        <v>0</v>
      </c>
      <c r="AH15" s="644">
        <v>0</v>
      </c>
      <c r="AI15" s="643">
        <v>0</v>
      </c>
      <c r="AJ15" s="643">
        <v>0</v>
      </c>
      <c r="AK15" s="645">
        <v>-17.936302519197969</v>
      </c>
    </row>
    <row r="16" spans="3:37" ht="13.5">
      <c r="C16" s="641" t="s">
        <v>63</v>
      </c>
      <c r="D16" s="642">
        <v>0</v>
      </c>
      <c r="E16" s="643">
        <v>0</v>
      </c>
      <c r="F16" s="643">
        <v>-78.830324971165851</v>
      </c>
      <c r="G16" s="642">
        <v>0</v>
      </c>
      <c r="H16" s="643">
        <v>0</v>
      </c>
      <c r="I16" s="643">
        <v>0</v>
      </c>
      <c r="J16" s="643">
        <v>0</v>
      </c>
      <c r="K16" s="643">
        <v>0</v>
      </c>
      <c r="L16" s="643">
        <v>-0.81271538345441041</v>
      </c>
      <c r="M16" s="643">
        <v>0</v>
      </c>
      <c r="N16" s="643">
        <v>0</v>
      </c>
      <c r="O16" s="643">
        <v>0</v>
      </c>
      <c r="P16" s="644">
        <v>0</v>
      </c>
      <c r="Q16" s="643">
        <v>0</v>
      </c>
      <c r="R16" s="643">
        <v>0</v>
      </c>
      <c r="S16" s="645">
        <v>-79.643040354620268</v>
      </c>
      <c r="U16" s="641" t="s">
        <v>63</v>
      </c>
      <c r="V16" s="642">
        <v>0</v>
      </c>
      <c r="W16" s="643">
        <v>0</v>
      </c>
      <c r="X16" s="643">
        <v>-78.197230139294632</v>
      </c>
      <c r="Y16" s="642">
        <v>0</v>
      </c>
      <c r="Z16" s="643">
        <v>0</v>
      </c>
      <c r="AA16" s="643">
        <v>0</v>
      </c>
      <c r="AB16" s="643">
        <v>0</v>
      </c>
      <c r="AC16" s="643">
        <v>0</v>
      </c>
      <c r="AD16" s="643">
        <v>-1.5612310452001914</v>
      </c>
      <c r="AE16" s="643">
        <v>0</v>
      </c>
      <c r="AF16" s="643">
        <v>0</v>
      </c>
      <c r="AG16" s="643">
        <v>0</v>
      </c>
      <c r="AH16" s="644">
        <v>0</v>
      </c>
      <c r="AI16" s="643">
        <v>0</v>
      </c>
      <c r="AJ16" s="643">
        <v>0</v>
      </c>
      <c r="AK16" s="645">
        <v>-79.75846118449482</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51.93943876444407</v>
      </c>
      <c r="E18" s="647">
        <v>563.28274311683981</v>
      </c>
      <c r="F18" s="647">
        <v>136.28553153092471</v>
      </c>
      <c r="G18" s="647">
        <v>363.46068186951828</v>
      </c>
      <c r="H18" s="647">
        <v>1190.909090909091</v>
      </c>
      <c r="I18" s="647">
        <v>153.14171554603519</v>
      </c>
      <c r="J18" s="647">
        <v>195.70456728774644</v>
      </c>
      <c r="K18" s="647">
        <v>23.895443221314743</v>
      </c>
      <c r="L18" s="647">
        <v>1.6994006404313602</v>
      </c>
      <c r="M18" s="647">
        <v>0.1322850330511596</v>
      </c>
      <c r="N18" s="647">
        <v>39.319241851069634</v>
      </c>
      <c r="O18" s="647">
        <v>5.962830498028703</v>
      </c>
      <c r="P18" s="647">
        <v>-64.055272794649682</v>
      </c>
      <c r="Q18" s="647">
        <v>0</v>
      </c>
      <c r="R18" s="647">
        <v>0</v>
      </c>
      <c r="S18" s="647">
        <v>2661.6776974738459</v>
      </c>
      <c r="U18" s="646" t="s">
        <v>65</v>
      </c>
      <c r="V18" s="647">
        <v>30.366070381082046</v>
      </c>
      <c r="W18" s="647">
        <v>495.30866937040787</v>
      </c>
      <c r="X18" s="647">
        <v>152.55726230108715</v>
      </c>
      <c r="Y18" s="647">
        <v>359.60103054347945</v>
      </c>
      <c r="Z18" s="647">
        <v>1105.3443526170799</v>
      </c>
      <c r="AA18" s="647">
        <v>156.32644281876244</v>
      </c>
      <c r="AB18" s="647">
        <v>177.34111219623514</v>
      </c>
      <c r="AC18" s="647">
        <v>32.977912048889756</v>
      </c>
      <c r="AD18" s="647">
        <v>0.95088497868557909</v>
      </c>
      <c r="AE18" s="647">
        <v>0.1322850330511596</v>
      </c>
      <c r="AF18" s="647">
        <v>46.941675984424649</v>
      </c>
      <c r="AG18" s="647">
        <v>8.3026764246808291</v>
      </c>
      <c r="AH18" s="647">
        <v>-60.354291441125554</v>
      </c>
      <c r="AI18" s="647">
        <v>0</v>
      </c>
      <c r="AJ18" s="647">
        <v>0</v>
      </c>
      <c r="AK18" s="647">
        <v>2505.7960832567405</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2.8307670060467731</v>
      </c>
      <c r="E21" s="642">
        <v>0</v>
      </c>
      <c r="F21" s="642">
        <v>7.8209554225929372</v>
      </c>
      <c r="G21" s="642">
        <v>18.490566037735849</v>
      </c>
      <c r="H21" s="642">
        <v>1190.909090909091</v>
      </c>
      <c r="I21" s="642">
        <v>153.14171554603519</v>
      </c>
      <c r="J21" s="651">
        <v>34.217577807887082</v>
      </c>
      <c r="K21" s="651">
        <v>9.4182266439786773</v>
      </c>
      <c r="L21" s="651">
        <v>2.5121160238857705</v>
      </c>
      <c r="M21" s="651">
        <v>0.47838708849063555</v>
      </c>
      <c r="N21" s="651">
        <v>0</v>
      </c>
      <c r="O21" s="651">
        <v>1.0860489583659068</v>
      </c>
      <c r="P21" s="642">
        <v>-575.7599665483873</v>
      </c>
      <c r="Q21" s="642">
        <v>0</v>
      </c>
      <c r="R21" s="642">
        <v>0</v>
      </c>
      <c r="S21" s="650">
        <v>845.14548489572212</v>
      </c>
      <c r="U21" s="648" t="s">
        <v>350</v>
      </c>
      <c r="V21" s="642">
        <v>2.9164996321078078</v>
      </c>
      <c r="W21" s="642">
        <v>0</v>
      </c>
      <c r="X21" s="642">
        <v>6.3333521168078128</v>
      </c>
      <c r="Y21" s="642">
        <v>58.629502572898801</v>
      </c>
      <c r="Z21" s="642">
        <v>1105.3443526170799</v>
      </c>
      <c r="AA21" s="642">
        <v>156.32644281876244</v>
      </c>
      <c r="AB21" s="651">
        <v>29.491752812436719</v>
      </c>
      <c r="AC21" s="651">
        <v>9.3450725233746681</v>
      </c>
      <c r="AD21" s="651">
        <v>2.5121160238857705</v>
      </c>
      <c r="AE21" s="651">
        <v>3.1867918912350612</v>
      </c>
      <c r="AF21" s="651">
        <v>0</v>
      </c>
      <c r="AG21" s="651">
        <v>1.0860489583659068</v>
      </c>
      <c r="AH21" s="642">
        <v>-572.43560291202368</v>
      </c>
      <c r="AI21" s="642">
        <v>0</v>
      </c>
      <c r="AJ21" s="642">
        <v>0</v>
      </c>
      <c r="AK21" s="650">
        <v>802.73632905493105</v>
      </c>
    </row>
    <row r="22" spans="3:37" ht="13.5">
      <c r="C22" s="648" t="s">
        <v>351</v>
      </c>
      <c r="D22" s="642">
        <v>0.12349118736872708</v>
      </c>
      <c r="E22" s="642">
        <v>0</v>
      </c>
      <c r="F22" s="642">
        <v>0</v>
      </c>
      <c r="G22" s="642">
        <v>16.768067922739682</v>
      </c>
      <c r="H22" s="642">
        <v>0</v>
      </c>
      <c r="I22" s="642">
        <v>0</v>
      </c>
      <c r="J22" s="651">
        <v>14.511462263372906</v>
      </c>
      <c r="K22" s="651">
        <v>12.721360709604678</v>
      </c>
      <c r="L22" s="651">
        <v>0</v>
      </c>
      <c r="M22" s="651">
        <v>0.35468000245125708</v>
      </c>
      <c r="N22" s="651">
        <v>0</v>
      </c>
      <c r="O22" s="651">
        <v>2.3429154336529705</v>
      </c>
      <c r="P22" s="642">
        <v>0</v>
      </c>
      <c r="Q22" s="642">
        <v>-41.535443372761243</v>
      </c>
      <c r="R22" s="642">
        <v>0</v>
      </c>
      <c r="S22" s="650">
        <v>5.2865341464289735</v>
      </c>
      <c r="U22" s="648" t="s">
        <v>351</v>
      </c>
      <c r="V22" s="642">
        <v>0.24574746286376692</v>
      </c>
      <c r="W22" s="642">
        <v>0</v>
      </c>
      <c r="X22" s="642">
        <v>0</v>
      </c>
      <c r="Y22" s="642">
        <v>18.639904753059838</v>
      </c>
      <c r="Z22" s="642">
        <v>0</v>
      </c>
      <c r="AA22" s="642">
        <v>0</v>
      </c>
      <c r="AB22" s="651">
        <v>22.139054647682539</v>
      </c>
      <c r="AC22" s="651">
        <v>18.333827420527065</v>
      </c>
      <c r="AD22" s="651">
        <v>0</v>
      </c>
      <c r="AE22" s="651">
        <v>0.99352215322234005</v>
      </c>
      <c r="AF22" s="651">
        <v>0</v>
      </c>
      <c r="AG22" s="651">
        <v>3.9855789938168567</v>
      </c>
      <c r="AH22" s="642">
        <v>0</v>
      </c>
      <c r="AI22" s="642">
        <v>-57.31222867632534</v>
      </c>
      <c r="AJ22" s="642">
        <v>0</v>
      </c>
      <c r="AK22" s="650">
        <v>7.0254067548470651</v>
      </c>
    </row>
    <row r="23" spans="3:37" ht="13.5">
      <c r="C23" s="648" t="s">
        <v>352</v>
      </c>
      <c r="D23" s="642">
        <v>0</v>
      </c>
      <c r="E23" s="642">
        <v>0</v>
      </c>
      <c r="F23" s="642">
        <v>0</v>
      </c>
      <c r="G23" s="642">
        <v>0</v>
      </c>
      <c r="H23" s="642">
        <v>0</v>
      </c>
      <c r="I23" s="642">
        <v>0</v>
      </c>
      <c r="J23" s="652">
        <v>8.112913583549977</v>
      </c>
      <c r="K23" s="652">
        <v>0</v>
      </c>
      <c r="L23" s="652">
        <v>0</v>
      </c>
      <c r="M23" s="652">
        <v>-7.1616744658787432</v>
      </c>
      <c r="N23" s="652">
        <v>0</v>
      </c>
      <c r="O23" s="652">
        <v>0</v>
      </c>
      <c r="P23" s="642">
        <v>0</v>
      </c>
      <c r="Q23" s="642">
        <v>0</v>
      </c>
      <c r="R23" s="642">
        <v>0</v>
      </c>
      <c r="S23" s="650">
        <v>0.95123911767123381</v>
      </c>
      <c r="U23" s="648" t="s">
        <v>352</v>
      </c>
      <c r="V23" s="642">
        <v>0</v>
      </c>
      <c r="W23" s="642">
        <v>0</v>
      </c>
      <c r="X23" s="642">
        <v>0</v>
      </c>
      <c r="Y23" s="642">
        <v>0</v>
      </c>
      <c r="Z23" s="642">
        <v>0</v>
      </c>
      <c r="AA23" s="642">
        <v>0</v>
      </c>
      <c r="AB23" s="652">
        <v>21.330356361778993</v>
      </c>
      <c r="AC23" s="652">
        <v>0</v>
      </c>
      <c r="AD23" s="652">
        <v>0</v>
      </c>
      <c r="AE23" s="652">
        <v>-18.829372078360407</v>
      </c>
      <c r="AF23" s="652">
        <v>0</v>
      </c>
      <c r="AG23" s="652">
        <v>0</v>
      </c>
      <c r="AH23" s="642">
        <v>0</v>
      </c>
      <c r="AI23" s="642">
        <v>0</v>
      </c>
      <c r="AJ23" s="642">
        <v>0</v>
      </c>
      <c r="AK23" s="650">
        <v>2.5009842834185854</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583.50105466083789</v>
      </c>
      <c r="F25" s="642">
        <v>-577.66604411422952</v>
      </c>
      <c r="G25" s="642">
        <v>0</v>
      </c>
      <c r="H25" s="642">
        <v>0</v>
      </c>
      <c r="I25" s="642">
        <v>0</v>
      </c>
      <c r="J25" s="642">
        <v>0</v>
      </c>
      <c r="K25" s="642">
        <v>0</v>
      </c>
      <c r="L25" s="642">
        <v>0</v>
      </c>
      <c r="M25" s="642">
        <v>0</v>
      </c>
      <c r="N25" s="642">
        <v>0</v>
      </c>
      <c r="O25" s="642">
        <v>0</v>
      </c>
      <c r="P25" s="642">
        <v>0</v>
      </c>
      <c r="Q25" s="642">
        <v>0</v>
      </c>
      <c r="R25" s="642">
        <v>0</v>
      </c>
      <c r="S25" s="650">
        <v>5.8350105466083733</v>
      </c>
      <c r="U25" s="648" t="s">
        <v>72</v>
      </c>
      <c r="V25" s="642">
        <v>0</v>
      </c>
      <c r="W25" s="642">
        <v>513.08713872730914</v>
      </c>
      <c r="X25" s="642">
        <v>-507.95626734003605</v>
      </c>
      <c r="Y25" s="642">
        <v>0</v>
      </c>
      <c r="Z25" s="642">
        <v>0</v>
      </c>
      <c r="AA25" s="642">
        <v>0</v>
      </c>
      <c r="AB25" s="642">
        <v>0</v>
      </c>
      <c r="AC25" s="642">
        <v>0</v>
      </c>
      <c r="AD25" s="642">
        <v>0</v>
      </c>
      <c r="AE25" s="642">
        <v>0</v>
      </c>
      <c r="AF25" s="642">
        <v>0</v>
      </c>
      <c r="AG25" s="642">
        <v>0</v>
      </c>
      <c r="AH25" s="642">
        <v>0</v>
      </c>
      <c r="AI25" s="642">
        <v>0</v>
      </c>
      <c r="AJ25" s="642">
        <v>0</v>
      </c>
      <c r="AK25" s="650">
        <v>5.1308713872730891</v>
      </c>
    </row>
    <row r="26" spans="3:37" ht="13.5">
      <c r="C26" s="648" t="s">
        <v>354</v>
      </c>
      <c r="D26" s="642">
        <v>0</v>
      </c>
      <c r="E26" s="642">
        <v>0</v>
      </c>
      <c r="F26" s="642">
        <v>0</v>
      </c>
      <c r="G26" s="642">
        <v>0</v>
      </c>
      <c r="H26" s="642">
        <v>0</v>
      </c>
      <c r="I26" s="642">
        <v>0</v>
      </c>
      <c r="J26" s="642">
        <v>43.567433114887073</v>
      </c>
      <c r="K26" s="642">
        <v>0</v>
      </c>
      <c r="L26" s="642">
        <v>-43.567433114887073</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-45.82837485909166</v>
      </c>
      <c r="AE26" s="642">
        <v>0</v>
      </c>
      <c r="AF26" s="642">
        <v>0</v>
      </c>
      <c r="AG26" s="642">
        <v>0</v>
      </c>
      <c r="AH26" s="642">
        <v>0</v>
      </c>
      <c r="AI26" s="642">
        <v>0</v>
      </c>
      <c r="AJ26" s="642">
        <v>0</v>
      </c>
      <c r="AK26" s="650">
        <v>-45.82837485909166</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0</v>
      </c>
      <c r="AE27" s="642">
        <v>0</v>
      </c>
      <c r="AF27" s="642">
        <v>0</v>
      </c>
      <c r="AG27" s="642">
        <v>0</v>
      </c>
      <c r="AH27" s="642">
        <v>0</v>
      </c>
      <c r="AI27" s="642">
        <v>0</v>
      </c>
      <c r="AJ27" s="642">
        <v>0</v>
      </c>
      <c r="AK27" s="650">
        <v>0</v>
      </c>
    </row>
    <row r="28" spans="3:37" ht="13.5">
      <c r="C28" s="648" t="s">
        <v>73</v>
      </c>
      <c r="D28" s="642">
        <v>0</v>
      </c>
      <c r="E28" s="642">
        <v>0</v>
      </c>
      <c r="F28" s="642">
        <v>0</v>
      </c>
      <c r="G28" s="642">
        <v>0.51300159561157233</v>
      </c>
      <c r="H28" s="642">
        <v>0</v>
      </c>
      <c r="I28" s="642">
        <v>0</v>
      </c>
      <c r="J28" s="642">
        <v>0</v>
      </c>
      <c r="K28" s="642">
        <v>5.6591461181640631E-3</v>
      </c>
      <c r="L28" s="642">
        <v>0</v>
      </c>
      <c r="M28" s="642">
        <v>1.0469420318603517E-2</v>
      </c>
      <c r="N28" s="642">
        <v>0</v>
      </c>
      <c r="O28" s="642">
        <v>0</v>
      </c>
      <c r="P28" s="642">
        <v>3.9614022827148432E-2</v>
      </c>
      <c r="Q28" s="642">
        <v>0</v>
      </c>
      <c r="R28" s="642">
        <v>-0.39614022827148437</v>
      </c>
      <c r="S28" s="650">
        <v>0.17260395660400402</v>
      </c>
      <c r="U28" s="648" t="s">
        <v>73</v>
      </c>
      <c r="V28" s="642">
        <v>0</v>
      </c>
      <c r="W28" s="642">
        <v>0</v>
      </c>
      <c r="X28" s="642">
        <v>0</v>
      </c>
      <c r="Y28" s="642">
        <v>2.0927767434982734</v>
      </c>
      <c r="Z28" s="642">
        <v>0</v>
      </c>
      <c r="AA28" s="642">
        <v>0</v>
      </c>
      <c r="AB28" s="642">
        <v>0</v>
      </c>
      <c r="AC28" s="642">
        <v>3.312665996831457E-2</v>
      </c>
      <c r="AD28" s="642">
        <v>0</v>
      </c>
      <c r="AE28" s="642">
        <v>0.11014614439464597</v>
      </c>
      <c r="AF28" s="642">
        <v>0</v>
      </c>
      <c r="AG28" s="642">
        <v>0</v>
      </c>
      <c r="AH28" s="642">
        <v>1.15943309889101</v>
      </c>
      <c r="AI28" s="642">
        <v>0</v>
      </c>
      <c r="AJ28" s="642">
        <v>-2.31886619778202</v>
      </c>
      <c r="AK28" s="650">
        <v>1.0766164489702237</v>
      </c>
    </row>
    <row r="29" spans="3:37" ht="13.5">
      <c r="C29" s="648" t="s">
        <v>356</v>
      </c>
      <c r="D29" s="642">
        <v>30.168562499999993</v>
      </c>
      <c r="E29" s="642">
        <v>-20.218311543998034</v>
      </c>
      <c r="F29" s="642">
        <v>26.444357300871886</v>
      </c>
      <c r="G29" s="642">
        <v>0</v>
      </c>
      <c r="H29" s="642">
        <v>0</v>
      </c>
      <c r="I29" s="642">
        <v>0</v>
      </c>
      <c r="J29" s="642">
        <v>0</v>
      </c>
      <c r="K29" s="642">
        <v>0</v>
      </c>
      <c r="L29" s="642">
        <v>0</v>
      </c>
      <c r="M29" s="642">
        <v>0</v>
      </c>
      <c r="N29" s="642">
        <v>0</v>
      </c>
      <c r="O29" s="642">
        <v>0</v>
      </c>
      <c r="P29" s="642">
        <v>0</v>
      </c>
      <c r="Q29" s="642">
        <v>0</v>
      </c>
      <c r="R29" s="642">
        <v>0</v>
      </c>
      <c r="S29" s="650">
        <v>36.394608256873845</v>
      </c>
      <c r="U29" s="648" t="s">
        <v>356</v>
      </c>
      <c r="V29" s="642">
        <v>13.02096923828125</v>
      </c>
      <c r="W29" s="642">
        <v>-17.778469356901262</v>
      </c>
      <c r="X29" s="642">
        <v>23.253187829923604</v>
      </c>
      <c r="Y29" s="642">
        <v>0</v>
      </c>
      <c r="Z29" s="642">
        <v>0</v>
      </c>
      <c r="AA29" s="642">
        <v>0</v>
      </c>
      <c r="AB29" s="642">
        <v>0</v>
      </c>
      <c r="AC29" s="642">
        <v>0</v>
      </c>
      <c r="AD29" s="642">
        <v>0</v>
      </c>
      <c r="AE29" s="642">
        <v>0</v>
      </c>
      <c r="AF29" s="642">
        <v>0</v>
      </c>
      <c r="AG29" s="642">
        <v>0</v>
      </c>
      <c r="AH29" s="642">
        <v>0</v>
      </c>
      <c r="AI29" s="642">
        <v>0</v>
      </c>
      <c r="AJ29" s="642">
        <v>0</v>
      </c>
      <c r="AK29" s="650">
        <v>18.495687711303592</v>
      </c>
    </row>
    <row r="30" spans="3:37" ht="13.5">
      <c r="C30" s="648" t="s">
        <v>75</v>
      </c>
      <c r="D30" s="642">
        <v>11.732218749999999</v>
      </c>
      <c r="E30" s="642">
        <v>0</v>
      </c>
      <c r="F30" s="642">
        <v>19.839035858468488</v>
      </c>
      <c r="G30" s="642">
        <v>5.6611272323194495</v>
      </c>
      <c r="H30" s="642">
        <v>0</v>
      </c>
      <c r="I30" s="642">
        <v>0</v>
      </c>
      <c r="J30" s="642">
        <v>0</v>
      </c>
      <c r="K30" s="642">
        <v>0</v>
      </c>
      <c r="L30" s="642">
        <v>0</v>
      </c>
      <c r="M30" s="642">
        <v>0.11553320882284591</v>
      </c>
      <c r="N30" s="642">
        <v>0</v>
      </c>
      <c r="O30" s="642">
        <v>0</v>
      </c>
      <c r="P30" s="642">
        <v>36.290441897725728</v>
      </c>
      <c r="Q30" s="642">
        <v>0</v>
      </c>
      <c r="R30" s="642">
        <v>0</v>
      </c>
      <c r="S30" s="650">
        <v>73.638356947336518</v>
      </c>
      <c r="U30" s="648" t="s">
        <v>75</v>
      </c>
      <c r="V30" s="642">
        <v>10.2975283203125</v>
      </c>
      <c r="W30" s="642">
        <v>0</v>
      </c>
      <c r="X30" s="642">
        <v>19.839035858468488</v>
      </c>
      <c r="Y30" s="642">
        <v>5.487827419085181</v>
      </c>
      <c r="Z30" s="642">
        <v>0</v>
      </c>
      <c r="AA30" s="642">
        <v>0</v>
      </c>
      <c r="AB30" s="642">
        <v>0</v>
      </c>
      <c r="AC30" s="642">
        <v>0</v>
      </c>
      <c r="AD30" s="642">
        <v>0</v>
      </c>
      <c r="AE30" s="642">
        <v>0.28883302205711481</v>
      </c>
      <c r="AF30" s="642">
        <v>0</v>
      </c>
      <c r="AG30" s="642">
        <v>0</v>
      </c>
      <c r="AH30" s="642">
        <v>33.686888178717467</v>
      </c>
      <c r="AI30" s="642">
        <v>0</v>
      </c>
      <c r="AJ30" s="642">
        <v>0</v>
      </c>
      <c r="AK30" s="650">
        <v>69.600112798640737</v>
      </c>
    </row>
    <row r="31" spans="3:37" ht="13.5">
      <c r="C31" s="648" t="s">
        <v>76</v>
      </c>
      <c r="D31" s="642">
        <v>0</v>
      </c>
      <c r="E31" s="642">
        <v>0</v>
      </c>
      <c r="F31" s="642">
        <v>0</v>
      </c>
      <c r="G31" s="642">
        <v>4.1611310137714437</v>
      </c>
      <c r="H31" s="642">
        <v>0</v>
      </c>
      <c r="I31" s="642">
        <v>0</v>
      </c>
      <c r="J31" s="642">
        <v>0</v>
      </c>
      <c r="K31" s="642">
        <v>0</v>
      </c>
      <c r="L31" s="642">
        <v>0</v>
      </c>
      <c r="M31" s="642">
        <v>8.4921041097376401E-2</v>
      </c>
      <c r="N31" s="642">
        <v>0</v>
      </c>
      <c r="O31" s="642">
        <v>0</v>
      </c>
      <c r="P31" s="642">
        <v>39.192716927085932</v>
      </c>
      <c r="Q31" s="642">
        <v>3.2227514144892391</v>
      </c>
      <c r="R31" s="642">
        <v>0</v>
      </c>
      <c r="S31" s="650">
        <v>46.66152039644399</v>
      </c>
      <c r="U31" s="648" t="s">
        <v>76</v>
      </c>
      <c r="V31" s="642">
        <v>0</v>
      </c>
      <c r="W31" s="642">
        <v>0</v>
      </c>
      <c r="X31" s="642">
        <v>0</v>
      </c>
      <c r="Y31" s="642">
        <v>4.2421905472985904</v>
      </c>
      <c r="Z31" s="642">
        <v>0</v>
      </c>
      <c r="AA31" s="642">
        <v>0</v>
      </c>
      <c r="AB31" s="642">
        <v>0</v>
      </c>
      <c r="AC31" s="642">
        <v>0</v>
      </c>
      <c r="AD31" s="642">
        <v>0</v>
      </c>
      <c r="AE31" s="642">
        <v>0.2232731866999258</v>
      </c>
      <c r="AF31" s="642">
        <v>0</v>
      </c>
      <c r="AG31" s="642">
        <v>0</v>
      </c>
      <c r="AH31" s="642">
        <v>39.221580519444494</v>
      </c>
      <c r="AI31" s="642">
        <v>4.4453067332156078</v>
      </c>
      <c r="AJ31" s="642">
        <v>0</v>
      </c>
      <c r="AK31" s="650">
        <v>48.132350986658622</v>
      </c>
    </row>
    <row r="32" spans="3:37" ht="13.5">
      <c r="C32" s="646" t="s">
        <v>77</v>
      </c>
      <c r="D32" s="647">
        <v>44.8550394434155</v>
      </c>
      <c r="E32" s="647">
        <v>563.28274311683981</v>
      </c>
      <c r="F32" s="647">
        <v>-523.5616955322962</v>
      </c>
      <c r="G32" s="647">
        <v>45.593893802178002</v>
      </c>
      <c r="H32" s="647">
        <v>1190.909090909091</v>
      </c>
      <c r="I32" s="647">
        <v>153.14171554603519</v>
      </c>
      <c r="J32" s="647">
        <v>100.40938676969702</v>
      </c>
      <c r="K32" s="647">
        <v>22.145246499701521</v>
      </c>
      <c r="L32" s="647">
        <v>-41.055317091001299</v>
      </c>
      <c r="M32" s="647">
        <v>-6.1176837046980248</v>
      </c>
      <c r="N32" s="647">
        <v>0</v>
      </c>
      <c r="O32" s="647">
        <v>3.4289643920188775</v>
      </c>
      <c r="P32" s="647">
        <v>-500.23719370074849</v>
      </c>
      <c r="Q32" s="647">
        <v>-38.312691958272012</v>
      </c>
      <c r="R32" s="647">
        <v>-0.39614022827148437</v>
      </c>
      <c r="S32" s="647">
        <v>1014.085358263689</v>
      </c>
      <c r="U32" s="646" t="s">
        <v>77</v>
      </c>
      <c r="V32" s="647">
        <v>26.480744653565324</v>
      </c>
      <c r="W32" s="647">
        <v>495.30866937040787</v>
      </c>
      <c r="X32" s="647">
        <v>-458.53069153483614</v>
      </c>
      <c r="Y32" s="647">
        <v>89.092202035840685</v>
      </c>
      <c r="Z32" s="647">
        <v>1105.3443526170799</v>
      </c>
      <c r="AA32" s="647">
        <v>156.32644281876244</v>
      </c>
      <c r="AB32" s="647">
        <v>72.961163821898253</v>
      </c>
      <c r="AC32" s="647">
        <v>27.712026603870047</v>
      </c>
      <c r="AD32" s="647">
        <v>-43.316258835205886</v>
      </c>
      <c r="AE32" s="647">
        <v>-14.02680568075132</v>
      </c>
      <c r="AF32" s="647">
        <v>0</v>
      </c>
      <c r="AG32" s="647">
        <v>5.0716279521827641</v>
      </c>
      <c r="AH32" s="647">
        <v>-498.36770111497077</v>
      </c>
      <c r="AI32" s="647">
        <v>-52.866921943109737</v>
      </c>
      <c r="AJ32" s="647">
        <v>-2.31886619778202</v>
      </c>
      <c r="AK32" s="647">
        <v>908.86998456695119</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7.0843993210285721</v>
      </c>
      <c r="E34" s="642">
        <v>0</v>
      </c>
      <c r="F34" s="642">
        <v>27.107499244386606</v>
      </c>
      <c r="G34" s="642">
        <v>109.63750187259986</v>
      </c>
      <c r="H34" s="642">
        <v>0</v>
      </c>
      <c r="I34" s="642">
        <v>0</v>
      </c>
      <c r="J34" s="642">
        <v>17.593885172405454</v>
      </c>
      <c r="K34" s="642">
        <v>1.7237647195692531</v>
      </c>
      <c r="L34" s="642">
        <v>0.83302892187499988</v>
      </c>
      <c r="M34" s="642">
        <v>2.2562819387026423</v>
      </c>
      <c r="N34" s="642">
        <v>0</v>
      </c>
      <c r="O34" s="642">
        <v>3.8289980908217579E-4</v>
      </c>
      <c r="P34" s="642">
        <v>110.31623789955354</v>
      </c>
      <c r="Q34" s="642">
        <v>16.994133911313323</v>
      </c>
      <c r="R34" s="642">
        <v>0.39614022827148437</v>
      </c>
      <c r="S34" s="650">
        <v>293.94325612951479</v>
      </c>
      <c r="U34" s="648" t="s">
        <v>78</v>
      </c>
      <c r="V34" s="642">
        <v>3.885325727516717</v>
      </c>
      <c r="W34" s="642">
        <v>0</v>
      </c>
      <c r="X34" s="642">
        <v>23.321309480837726</v>
      </c>
      <c r="Y34" s="642">
        <v>96.699296914521057</v>
      </c>
      <c r="Z34" s="642">
        <v>0</v>
      </c>
      <c r="AA34" s="642">
        <v>0</v>
      </c>
      <c r="AB34" s="642">
        <v>18.074671536539281</v>
      </c>
      <c r="AC34" s="642">
        <v>5.2394534429757353</v>
      </c>
      <c r="AD34" s="642">
        <v>0.94215535644531256</v>
      </c>
      <c r="AE34" s="642">
        <v>5.1082185801979545</v>
      </c>
      <c r="AF34" s="642">
        <v>0</v>
      </c>
      <c r="AG34" s="642">
        <v>3.8289980908217579E-4</v>
      </c>
      <c r="AH34" s="642">
        <v>125.74204552909232</v>
      </c>
      <c r="AI34" s="642">
        <v>19.862626301688149</v>
      </c>
      <c r="AJ34" s="642">
        <v>1.1177628173828125</v>
      </c>
      <c r="AK34" s="650">
        <v>299.99324858700612</v>
      </c>
    </row>
    <row r="35" spans="3:37" ht="13.5">
      <c r="C35" s="648" t="s">
        <v>79</v>
      </c>
      <c r="D35" s="642">
        <v>0</v>
      </c>
      <c r="E35" s="642">
        <v>0</v>
      </c>
      <c r="F35" s="642">
        <v>408.63289173322238</v>
      </c>
      <c r="G35" s="642">
        <v>6.6484606559899468</v>
      </c>
      <c r="H35" s="642">
        <v>0</v>
      </c>
      <c r="I35" s="642">
        <v>0</v>
      </c>
      <c r="J35" s="642">
        <v>0</v>
      </c>
      <c r="K35" s="642">
        <v>0</v>
      </c>
      <c r="L35" s="642">
        <v>39.656272012198485</v>
      </c>
      <c r="M35" s="642">
        <v>0.13568287053040709</v>
      </c>
      <c r="N35" s="642">
        <v>0</v>
      </c>
      <c r="O35" s="642">
        <v>0</v>
      </c>
      <c r="P35" s="642">
        <v>17.908429224736064</v>
      </c>
      <c r="Q35" s="642">
        <v>0</v>
      </c>
      <c r="R35" s="642">
        <v>0</v>
      </c>
      <c r="S35" s="650">
        <v>472.98173649667723</v>
      </c>
      <c r="U35" s="648" t="s">
        <v>79</v>
      </c>
      <c r="V35" s="642">
        <v>0</v>
      </c>
      <c r="W35" s="642">
        <v>0</v>
      </c>
      <c r="X35" s="642">
        <v>375.77190763394009</v>
      </c>
      <c r="Y35" s="642">
        <v>6.755817454004311</v>
      </c>
      <c r="Z35" s="642">
        <v>0</v>
      </c>
      <c r="AA35" s="642">
        <v>0</v>
      </c>
      <c r="AB35" s="642">
        <v>0</v>
      </c>
      <c r="AC35" s="642">
        <v>0</v>
      </c>
      <c r="AD35" s="642">
        <v>39.472711320953763</v>
      </c>
      <c r="AE35" s="642">
        <v>0.35556933968443744</v>
      </c>
      <c r="AF35" s="642">
        <v>0</v>
      </c>
      <c r="AG35" s="642">
        <v>0</v>
      </c>
      <c r="AH35" s="642">
        <v>17.446496979828503</v>
      </c>
      <c r="AI35" s="642">
        <v>0</v>
      </c>
      <c r="AJ35" s="642">
        <v>0</v>
      </c>
      <c r="AK35" s="650">
        <v>439.80250272841107</v>
      </c>
    </row>
    <row r="36" spans="3:37" ht="13.5">
      <c r="C36" s="648" t="s">
        <v>80</v>
      </c>
      <c r="D36" s="642">
        <v>0</v>
      </c>
      <c r="E36" s="642">
        <v>0</v>
      </c>
      <c r="F36" s="642">
        <v>41.084750674599483</v>
      </c>
      <c r="G36" s="642">
        <v>119.79409980429404</v>
      </c>
      <c r="H36" s="642">
        <v>0</v>
      </c>
      <c r="I36" s="642">
        <v>0</v>
      </c>
      <c r="J36" s="642">
        <v>72.996556103181632</v>
      </c>
      <c r="K36" s="642">
        <v>0</v>
      </c>
      <c r="L36" s="642">
        <v>0</v>
      </c>
      <c r="M36" s="642">
        <v>2.4447775470264088</v>
      </c>
      <c r="N36" s="642">
        <v>32.811205728954405</v>
      </c>
      <c r="O36" s="642">
        <v>1.4994987295121316</v>
      </c>
      <c r="P36" s="642">
        <v>168.17343522041736</v>
      </c>
      <c r="Q36" s="642">
        <v>15.992572069761611</v>
      </c>
      <c r="R36" s="642">
        <v>0</v>
      </c>
      <c r="S36" s="650">
        <v>454.79689587774703</v>
      </c>
      <c r="U36" s="648" t="s">
        <v>80</v>
      </c>
      <c r="V36" s="642">
        <v>0</v>
      </c>
      <c r="W36" s="642">
        <v>0</v>
      </c>
      <c r="X36" s="642">
        <v>34.76631066711105</v>
      </c>
      <c r="Y36" s="642">
        <v>106.63972230210601</v>
      </c>
      <c r="Z36" s="642">
        <v>0</v>
      </c>
      <c r="AA36" s="642">
        <v>0</v>
      </c>
      <c r="AB36" s="642">
        <v>79.335392755141783</v>
      </c>
      <c r="AC36" s="642">
        <v>0</v>
      </c>
      <c r="AD36" s="642">
        <v>0</v>
      </c>
      <c r="AE36" s="642">
        <v>5.6126169632687386</v>
      </c>
      <c r="AF36" s="642">
        <v>35.519956519553347</v>
      </c>
      <c r="AG36" s="642">
        <v>1.427931671492281</v>
      </c>
      <c r="AH36" s="642">
        <v>160.67228544284913</v>
      </c>
      <c r="AI36" s="642">
        <v>25.929258094327544</v>
      </c>
      <c r="AJ36" s="642">
        <v>0</v>
      </c>
      <c r="AK36" s="650">
        <v>449.90347441584998</v>
      </c>
    </row>
    <row r="37" spans="3:37" ht="13.5">
      <c r="C37" s="648" t="s">
        <v>81</v>
      </c>
      <c r="D37" s="642">
        <v>0</v>
      </c>
      <c r="E37" s="642">
        <v>0</v>
      </c>
      <c r="F37" s="642">
        <v>21.278250753083572</v>
      </c>
      <c r="G37" s="642">
        <v>66.807967366338673</v>
      </c>
      <c r="H37" s="642">
        <v>0</v>
      </c>
      <c r="I37" s="642">
        <v>0</v>
      </c>
      <c r="J37" s="642">
        <v>3.9976752731894716</v>
      </c>
      <c r="K37" s="642">
        <v>2.6432002043970358E-2</v>
      </c>
      <c r="L37" s="642">
        <v>0</v>
      </c>
      <c r="M37" s="642">
        <v>1.3634279054354832</v>
      </c>
      <c r="N37" s="642">
        <v>6.5080361221152287</v>
      </c>
      <c r="O37" s="642">
        <v>0.94378280475996701</v>
      </c>
      <c r="P37" s="642">
        <v>131.53831129097264</v>
      </c>
      <c r="Q37" s="642">
        <v>5.3259859771970728</v>
      </c>
      <c r="R37" s="642">
        <v>0</v>
      </c>
      <c r="S37" s="650">
        <v>237.78986949513609</v>
      </c>
      <c r="U37" s="648" t="s">
        <v>81</v>
      </c>
      <c r="V37" s="642">
        <v>0</v>
      </c>
      <c r="W37" s="642">
        <v>0</v>
      </c>
      <c r="X37" s="642">
        <v>15.239894940926636</v>
      </c>
      <c r="Y37" s="642">
        <v>55.988063388934151</v>
      </c>
      <c r="Z37" s="642">
        <v>0</v>
      </c>
      <c r="AA37" s="642">
        <v>0</v>
      </c>
      <c r="AB37" s="642">
        <v>6.2628201133829862</v>
      </c>
      <c r="AC37" s="642">
        <v>2.6432002043970358E-2</v>
      </c>
      <c r="AD37" s="642">
        <v>0</v>
      </c>
      <c r="AE37" s="642">
        <v>2.9467401783649554</v>
      </c>
      <c r="AF37" s="642">
        <v>11.4217194648713</v>
      </c>
      <c r="AG37" s="642">
        <v>1.4420725885698453</v>
      </c>
      <c r="AH37" s="642">
        <v>125.88549835067262</v>
      </c>
      <c r="AI37" s="642">
        <v>7.0750375470940394</v>
      </c>
      <c r="AJ37" s="642">
        <v>0</v>
      </c>
      <c r="AK37" s="650">
        <v>226.28827857486053</v>
      </c>
    </row>
    <row r="38" spans="3:37" ht="13.5">
      <c r="C38" s="648" t="s">
        <v>82</v>
      </c>
      <c r="D38" s="642">
        <v>0</v>
      </c>
      <c r="E38" s="642">
        <v>0</v>
      </c>
      <c r="F38" s="642">
        <v>34.492480565946664</v>
      </c>
      <c r="G38" s="642">
        <v>2.4401253266579648</v>
      </c>
      <c r="H38" s="642">
        <v>0</v>
      </c>
      <c r="I38" s="642">
        <v>0</v>
      </c>
      <c r="J38" s="642">
        <v>0.70706396927287185</v>
      </c>
      <c r="K38" s="642">
        <v>0</v>
      </c>
      <c r="L38" s="642">
        <v>2.2606527751608563</v>
      </c>
      <c r="M38" s="642">
        <v>4.979847605424418E-2</v>
      </c>
      <c r="N38" s="642">
        <v>0</v>
      </c>
      <c r="O38" s="642">
        <v>9.0201671928645533E-2</v>
      </c>
      <c r="P38" s="642">
        <v>8.2455072704191767</v>
      </c>
      <c r="Q38" s="642">
        <v>0</v>
      </c>
      <c r="R38" s="642">
        <v>0</v>
      </c>
      <c r="S38" s="650">
        <v>48.285830055440421</v>
      </c>
      <c r="U38" s="648" t="s">
        <v>82</v>
      </c>
      <c r="V38" s="642">
        <v>0</v>
      </c>
      <c r="W38" s="642">
        <v>0</v>
      </c>
      <c r="X38" s="642">
        <v>33.216742540132081</v>
      </c>
      <c r="Y38" s="642">
        <v>2.5829673934416131</v>
      </c>
      <c r="Z38" s="642">
        <v>0</v>
      </c>
      <c r="AA38" s="642">
        <v>0</v>
      </c>
      <c r="AB38" s="642">
        <v>0.70706396927287185</v>
      </c>
      <c r="AC38" s="642">
        <v>0</v>
      </c>
      <c r="AD38" s="642">
        <v>3.7843312923041141</v>
      </c>
      <c r="AE38" s="642">
        <v>0.13594565228640071</v>
      </c>
      <c r="AF38" s="642">
        <v>0</v>
      </c>
      <c r="AG38" s="642">
        <v>0.36066131262685786</v>
      </c>
      <c r="AH38" s="642">
        <v>8.2670833714025918</v>
      </c>
      <c r="AI38" s="642">
        <v>0</v>
      </c>
      <c r="AJ38" s="642">
        <v>8.6831190235855574E-2</v>
      </c>
      <c r="AK38" s="650">
        <v>49.141626721702394</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v>
      </c>
      <c r="Q39" s="642">
        <v>0</v>
      </c>
      <c r="R39" s="642">
        <v>0</v>
      </c>
      <c r="S39" s="650">
        <v>0</v>
      </c>
      <c r="U39" s="648" t="s">
        <v>357</v>
      </c>
      <c r="V39" s="642">
        <v>0</v>
      </c>
      <c r="W39" s="642">
        <v>0</v>
      </c>
      <c r="X39" s="642">
        <v>0</v>
      </c>
      <c r="Y39" s="642">
        <v>0</v>
      </c>
      <c r="Z39" s="642">
        <v>0</v>
      </c>
      <c r="AA39" s="642">
        <v>0</v>
      </c>
      <c r="AB39" s="642">
        <v>0</v>
      </c>
      <c r="AC39" s="642">
        <v>0</v>
      </c>
      <c r="AD39" s="642">
        <v>0</v>
      </c>
      <c r="AE39" s="642">
        <v>0</v>
      </c>
      <c r="AF39" s="642">
        <v>0</v>
      </c>
      <c r="AG39" s="642">
        <v>0</v>
      </c>
      <c r="AH39" s="642">
        <v>0</v>
      </c>
      <c r="AI39" s="642">
        <v>0</v>
      </c>
      <c r="AJ39" s="642">
        <v>0</v>
      </c>
      <c r="AK39" s="650">
        <v>0</v>
      </c>
    </row>
    <row r="40" spans="3:37" ht="13.5">
      <c r="C40" s="646" t="s">
        <v>83</v>
      </c>
      <c r="D40" s="647">
        <v>7.0843993210285721</v>
      </c>
      <c r="E40" s="647">
        <v>0</v>
      </c>
      <c r="F40" s="647">
        <v>532.59587297123869</v>
      </c>
      <c r="G40" s="647">
        <v>305.32815502588045</v>
      </c>
      <c r="H40" s="647">
        <v>0</v>
      </c>
      <c r="I40" s="647">
        <v>0</v>
      </c>
      <c r="J40" s="647">
        <v>95.295180518049435</v>
      </c>
      <c r="K40" s="647">
        <v>1.7501967216132235</v>
      </c>
      <c r="L40" s="647">
        <v>42.74995370923434</v>
      </c>
      <c r="M40" s="647">
        <v>6.2499687377491853</v>
      </c>
      <c r="N40" s="647">
        <v>39.319241851069634</v>
      </c>
      <c r="O40" s="647">
        <v>2.5338661060098264</v>
      </c>
      <c r="P40" s="647">
        <v>436.18192090609881</v>
      </c>
      <c r="Q40" s="647">
        <v>38.312691958272005</v>
      </c>
      <c r="R40" s="647">
        <v>0.39614022827148437</v>
      </c>
      <c r="S40" s="647">
        <v>1507.7975880545155</v>
      </c>
      <c r="U40" s="646" t="s">
        <v>83</v>
      </c>
      <c r="V40" s="647">
        <v>3.885325727516717</v>
      </c>
      <c r="W40" s="647">
        <v>0</v>
      </c>
      <c r="X40" s="647">
        <v>482.31616526294755</v>
      </c>
      <c r="Y40" s="647">
        <v>268.66586745300714</v>
      </c>
      <c r="Z40" s="647">
        <v>0</v>
      </c>
      <c r="AA40" s="647">
        <v>0</v>
      </c>
      <c r="AB40" s="647">
        <v>104.37994837433692</v>
      </c>
      <c r="AC40" s="647">
        <v>5.2658854450197055</v>
      </c>
      <c r="AD40" s="647">
        <v>44.199197969703192</v>
      </c>
      <c r="AE40" s="647">
        <v>14.159090713802485</v>
      </c>
      <c r="AF40" s="647">
        <v>46.941675984424649</v>
      </c>
      <c r="AG40" s="647">
        <v>3.2310484724980664</v>
      </c>
      <c r="AH40" s="647">
        <v>438.0134096738451</v>
      </c>
      <c r="AI40" s="647">
        <v>52.866921943109737</v>
      </c>
      <c r="AJ40" s="647">
        <v>1.2045940076186681</v>
      </c>
      <c r="AK40" s="647">
        <v>1465.1291310278302</v>
      </c>
    </row>
    <row r="41" spans="3:37" ht="13.5">
      <c r="C41" s="641" t="s">
        <v>84</v>
      </c>
      <c r="D41" s="642">
        <v>0</v>
      </c>
      <c r="E41" s="642">
        <v>0</v>
      </c>
      <c r="F41" s="642">
        <v>127.25135409198229</v>
      </c>
      <c r="G41" s="642">
        <v>12.538633041459809</v>
      </c>
      <c r="H41" s="642">
        <v>0</v>
      </c>
      <c r="I41" s="642">
        <v>0</v>
      </c>
      <c r="J41" s="642">
        <v>0</v>
      </c>
      <c r="K41" s="642">
        <v>0</v>
      </c>
      <c r="L41" s="642">
        <v>0</v>
      </c>
      <c r="M41" s="642">
        <v>0</v>
      </c>
      <c r="N41" s="642">
        <v>0</v>
      </c>
      <c r="O41" s="642">
        <v>0</v>
      </c>
      <c r="P41" s="642">
        <v>0</v>
      </c>
      <c r="Q41" s="642">
        <v>0</v>
      </c>
      <c r="R41" s="642">
        <v>0</v>
      </c>
      <c r="S41" s="650">
        <v>139.78998713344208</v>
      </c>
      <c r="U41" s="641" t="s">
        <v>84</v>
      </c>
      <c r="V41" s="642">
        <v>0</v>
      </c>
      <c r="W41" s="642">
        <v>0</v>
      </c>
      <c r="X41" s="642">
        <v>128.77178857297574</v>
      </c>
      <c r="Y41" s="642">
        <v>1.8429610546316848</v>
      </c>
      <c r="Z41" s="642">
        <v>0</v>
      </c>
      <c r="AA41" s="642">
        <v>0</v>
      </c>
      <c r="AB41" s="642">
        <v>0</v>
      </c>
      <c r="AC41" s="642">
        <v>0</v>
      </c>
      <c r="AD41" s="642">
        <v>0.17036074218750002</v>
      </c>
      <c r="AE41" s="642">
        <v>0</v>
      </c>
      <c r="AF41" s="642">
        <v>0</v>
      </c>
      <c r="AG41" s="642">
        <v>0</v>
      </c>
      <c r="AH41" s="642">
        <v>0</v>
      </c>
      <c r="AI41" s="642">
        <v>0</v>
      </c>
      <c r="AJ41" s="642">
        <v>1.1142721901633521</v>
      </c>
      <c r="AK41" s="650">
        <v>131.89938255995827</v>
      </c>
    </row>
    <row r="42" spans="3:37" ht="13.5">
      <c r="C42" s="646" t="s">
        <v>85</v>
      </c>
      <c r="D42" s="647">
        <v>7.0843993210285721</v>
      </c>
      <c r="E42" s="647">
        <v>0</v>
      </c>
      <c r="F42" s="647">
        <v>659.847227063221</v>
      </c>
      <c r="G42" s="647">
        <v>317.86678806734028</v>
      </c>
      <c r="H42" s="647">
        <v>0</v>
      </c>
      <c r="I42" s="647">
        <v>0</v>
      </c>
      <c r="J42" s="647">
        <v>95.295180518049435</v>
      </c>
      <c r="K42" s="647">
        <v>1.7501967216132235</v>
      </c>
      <c r="L42" s="647">
        <v>42.74995370923434</v>
      </c>
      <c r="M42" s="647">
        <v>6.2499687377491853</v>
      </c>
      <c r="N42" s="647">
        <v>39.319241851069634</v>
      </c>
      <c r="O42" s="647">
        <v>2.5338661060098264</v>
      </c>
      <c r="P42" s="647">
        <v>436.18192090609881</v>
      </c>
      <c r="Q42" s="647">
        <v>38.312691958272005</v>
      </c>
      <c r="R42" s="647">
        <v>0.39614022827148437</v>
      </c>
      <c r="S42" s="647">
        <v>1647.5875751879578</v>
      </c>
      <c r="U42" s="646" t="s">
        <v>85</v>
      </c>
      <c r="V42" s="647">
        <v>3.885325727516717</v>
      </c>
      <c r="W42" s="647">
        <v>0</v>
      </c>
      <c r="X42" s="647">
        <v>611.08795383592337</v>
      </c>
      <c r="Y42" s="647">
        <v>270.50882850763884</v>
      </c>
      <c r="Z42" s="647">
        <v>0</v>
      </c>
      <c r="AA42" s="647">
        <v>0</v>
      </c>
      <c r="AB42" s="647">
        <v>104.37994837433692</v>
      </c>
      <c r="AC42" s="647">
        <v>5.2658854450197055</v>
      </c>
      <c r="AD42" s="647">
        <v>44.36955871189069</v>
      </c>
      <c r="AE42" s="647">
        <v>14.159090713802485</v>
      </c>
      <c r="AF42" s="647">
        <v>46.941675984424649</v>
      </c>
      <c r="AG42" s="647">
        <v>3.2310484724980664</v>
      </c>
      <c r="AH42" s="647">
        <v>438.0134096738451</v>
      </c>
      <c r="AI42" s="647">
        <v>52.866921943109737</v>
      </c>
      <c r="AJ42" s="647">
        <v>2.31886619778202</v>
      </c>
      <c r="AK42" s="647">
        <v>1597.0285135877887</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359</v>
      </c>
      <c r="D44" s="699"/>
      <c r="E44" s="699"/>
      <c r="F44" s="699"/>
      <c r="G44" s="699"/>
      <c r="H44" s="699"/>
      <c r="I44" s="699"/>
      <c r="J44" s="699"/>
      <c r="K44" s="699"/>
      <c r="L44" s="699"/>
      <c r="M44" s="699"/>
      <c r="N44" s="699"/>
      <c r="O44" s="699"/>
      <c r="P44" s="699"/>
      <c r="Q44" s="699"/>
      <c r="R44" s="699"/>
      <c r="S44" s="699"/>
      <c r="U44" s="699" t="s">
        <v>359</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9.7691999999999997</v>
      </c>
      <c r="F48" s="643">
        <v>0</v>
      </c>
      <c r="G48" s="642">
        <v>0.18608000000000002</v>
      </c>
      <c r="H48" s="643">
        <v>1190.909090909091</v>
      </c>
      <c r="I48" s="643">
        <v>172.65095069399246</v>
      </c>
      <c r="J48" s="643">
        <v>190.83629555260256</v>
      </c>
      <c r="K48" s="643">
        <v>22.859954043709436</v>
      </c>
      <c r="L48" s="643">
        <v>0.28638238403450345</v>
      </c>
      <c r="M48" s="643">
        <v>0.13461365170799597</v>
      </c>
      <c r="N48" s="643">
        <v>45.31680426782367</v>
      </c>
      <c r="O48" s="643">
        <v>7.2729377495964416</v>
      </c>
      <c r="P48" s="644">
        <v>0</v>
      </c>
      <c r="Q48" s="643">
        <v>0</v>
      </c>
      <c r="R48" s="643">
        <v>0</v>
      </c>
      <c r="S48" s="645">
        <v>1640.222309252558</v>
      </c>
      <c r="U48" s="641" t="s">
        <v>59</v>
      </c>
      <c r="V48" s="642">
        <v>0</v>
      </c>
      <c r="W48" s="643">
        <v>9.7691999999999997</v>
      </c>
      <c r="X48" s="643">
        <v>0</v>
      </c>
      <c r="Y48" s="642">
        <v>0.18608000000000002</v>
      </c>
      <c r="Z48" s="643">
        <v>1083.7741046831957</v>
      </c>
      <c r="AA48" s="643">
        <v>180.88004160308333</v>
      </c>
      <c r="AB48" s="643">
        <v>179.66191601295682</v>
      </c>
      <c r="AC48" s="643">
        <v>35.233025744634077</v>
      </c>
      <c r="AD48" s="643">
        <v>0.28638238403450345</v>
      </c>
      <c r="AE48" s="643">
        <v>0.13461365170799597</v>
      </c>
      <c r="AF48" s="643">
        <v>55.315214066923446</v>
      </c>
      <c r="AG48" s="643">
        <v>11.104217144375802</v>
      </c>
      <c r="AH48" s="644">
        <v>0</v>
      </c>
      <c r="AI48" s="643">
        <v>0</v>
      </c>
      <c r="AJ48" s="643">
        <v>0</v>
      </c>
      <c r="AK48" s="645">
        <v>1556.3447952909116</v>
      </c>
    </row>
    <row r="49" spans="3:37" ht="13.5">
      <c r="C49" s="641" t="s">
        <v>60</v>
      </c>
      <c r="D49" s="642">
        <v>50.272309821560647</v>
      </c>
      <c r="E49" s="643">
        <v>541.69545178681915</v>
      </c>
      <c r="F49" s="643">
        <v>188.86081515186203</v>
      </c>
      <c r="G49" s="642">
        <v>351.61513464214681</v>
      </c>
      <c r="H49" s="643">
        <v>0</v>
      </c>
      <c r="I49" s="643">
        <v>0</v>
      </c>
      <c r="J49" s="643">
        <v>2.7986686910966072</v>
      </c>
      <c r="K49" s="643">
        <v>0</v>
      </c>
      <c r="L49" s="643">
        <v>1.9601939880201746</v>
      </c>
      <c r="M49" s="643">
        <v>0</v>
      </c>
      <c r="N49" s="643">
        <v>0</v>
      </c>
      <c r="O49" s="643">
        <v>0</v>
      </c>
      <c r="P49" s="644">
        <v>0</v>
      </c>
      <c r="Q49" s="643">
        <v>0</v>
      </c>
      <c r="R49" s="643">
        <v>0</v>
      </c>
      <c r="S49" s="645">
        <v>1137.2025740815054</v>
      </c>
      <c r="U49" s="641" t="s">
        <v>60</v>
      </c>
      <c r="V49" s="642">
        <v>19.313313128242111</v>
      </c>
      <c r="W49" s="643">
        <v>439.73434116717101</v>
      </c>
      <c r="X49" s="643">
        <v>187.81160121991923</v>
      </c>
      <c r="Y49" s="642">
        <v>309.5644193276562</v>
      </c>
      <c r="Z49" s="643">
        <v>0</v>
      </c>
      <c r="AA49" s="643">
        <v>0</v>
      </c>
      <c r="AB49" s="643">
        <v>2.7986686910966072</v>
      </c>
      <c r="AC49" s="643">
        <v>0</v>
      </c>
      <c r="AD49" s="643">
        <v>1.9601939880201746</v>
      </c>
      <c r="AE49" s="643">
        <v>0</v>
      </c>
      <c r="AF49" s="643">
        <v>0</v>
      </c>
      <c r="AG49" s="643">
        <v>0</v>
      </c>
      <c r="AH49" s="644">
        <v>0</v>
      </c>
      <c r="AI49" s="643">
        <v>0</v>
      </c>
      <c r="AJ49" s="643">
        <v>0</v>
      </c>
      <c r="AK49" s="645">
        <v>961.18253752210535</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-71.534753758802367</v>
      </c>
      <c r="Q50" s="643">
        <v>0</v>
      </c>
      <c r="R50" s="643">
        <v>0</v>
      </c>
      <c r="S50" s="645">
        <v>-71.534753758802367</v>
      </c>
      <c r="U50" s="641" t="s">
        <v>61</v>
      </c>
      <c r="V50" s="642">
        <v>0</v>
      </c>
      <c r="W50" s="643">
        <v>0</v>
      </c>
      <c r="X50" s="643">
        <v>0</v>
      </c>
      <c r="Y50" s="642">
        <v>0</v>
      </c>
      <c r="Z50" s="643">
        <v>0</v>
      </c>
      <c r="AA50" s="643">
        <v>0</v>
      </c>
      <c r="AB50" s="643">
        <v>0</v>
      </c>
      <c r="AC50" s="643">
        <v>0</v>
      </c>
      <c r="AD50" s="643">
        <v>0</v>
      </c>
      <c r="AE50" s="643">
        <v>0</v>
      </c>
      <c r="AF50" s="643">
        <v>0</v>
      </c>
      <c r="AG50" s="643">
        <v>0</v>
      </c>
      <c r="AH50" s="644">
        <v>-59.869044369838548</v>
      </c>
      <c r="AI50" s="643">
        <v>0</v>
      </c>
      <c r="AJ50" s="643">
        <v>0</v>
      </c>
      <c r="AK50" s="645">
        <v>-59.869044369838548</v>
      </c>
    </row>
    <row r="51" spans="3:37" ht="13.5">
      <c r="C51" s="641" t="s">
        <v>62</v>
      </c>
      <c r="D51" s="642">
        <v>0</v>
      </c>
      <c r="E51" s="643">
        <v>0</v>
      </c>
      <c r="F51" s="643">
        <v>-17.07041205275393</v>
      </c>
      <c r="G51" s="642">
        <v>0</v>
      </c>
      <c r="H51" s="643">
        <v>0</v>
      </c>
      <c r="I51" s="643">
        <v>0</v>
      </c>
      <c r="J51" s="643">
        <v>0</v>
      </c>
      <c r="K51" s="643">
        <v>0</v>
      </c>
      <c r="L51" s="643">
        <v>0</v>
      </c>
      <c r="M51" s="643">
        <v>0</v>
      </c>
      <c r="N51" s="643">
        <v>0</v>
      </c>
      <c r="O51" s="643">
        <v>0</v>
      </c>
      <c r="P51" s="644">
        <v>0</v>
      </c>
      <c r="Q51" s="643">
        <v>0</v>
      </c>
      <c r="R51" s="643">
        <v>0</v>
      </c>
      <c r="S51" s="645">
        <v>-17.07041205275393</v>
      </c>
      <c r="U51" s="641" t="s">
        <v>62</v>
      </c>
      <c r="V51" s="642">
        <v>0</v>
      </c>
      <c r="W51" s="643">
        <v>0</v>
      </c>
      <c r="X51" s="643">
        <v>-16.843089298461354</v>
      </c>
      <c r="Y51" s="642">
        <v>-3.370970564953437E-2</v>
      </c>
      <c r="Z51" s="643">
        <v>0</v>
      </c>
      <c r="AA51" s="643">
        <v>0</v>
      </c>
      <c r="AB51" s="643">
        <v>0</v>
      </c>
      <c r="AC51" s="643">
        <v>0</v>
      </c>
      <c r="AD51" s="643">
        <v>0</v>
      </c>
      <c r="AE51" s="643">
        <v>-3.7455228499482631E-3</v>
      </c>
      <c r="AF51" s="643">
        <v>0</v>
      </c>
      <c r="AG51" s="643">
        <v>0</v>
      </c>
      <c r="AH51" s="644">
        <v>0</v>
      </c>
      <c r="AI51" s="643">
        <v>0</v>
      </c>
      <c r="AJ51" s="643">
        <v>0</v>
      </c>
      <c r="AK51" s="645">
        <v>-16.880544526960836</v>
      </c>
    </row>
    <row r="52" spans="3:37" ht="13.5">
      <c r="C52" s="641" t="s">
        <v>63</v>
      </c>
      <c r="D52" s="642">
        <v>0</v>
      </c>
      <c r="E52" s="643">
        <v>0</v>
      </c>
      <c r="F52" s="643">
        <v>-79.881990921256516</v>
      </c>
      <c r="G52" s="642">
        <v>0</v>
      </c>
      <c r="H52" s="643">
        <v>0</v>
      </c>
      <c r="I52" s="643">
        <v>0</v>
      </c>
      <c r="J52" s="643">
        <v>0</v>
      </c>
      <c r="K52" s="643">
        <v>0</v>
      </c>
      <c r="L52" s="643">
        <v>-0.82615205603276265</v>
      </c>
      <c r="M52" s="643">
        <v>0</v>
      </c>
      <c r="N52" s="643">
        <v>0</v>
      </c>
      <c r="O52" s="643">
        <v>0</v>
      </c>
      <c r="P52" s="644">
        <v>0</v>
      </c>
      <c r="Q52" s="643">
        <v>0</v>
      </c>
      <c r="R52" s="643">
        <v>0</v>
      </c>
      <c r="S52" s="645">
        <v>-80.708142977289285</v>
      </c>
      <c r="U52" s="641" t="s">
        <v>63</v>
      </c>
      <c r="V52" s="642">
        <v>0</v>
      </c>
      <c r="W52" s="643">
        <v>0</v>
      </c>
      <c r="X52" s="643">
        <v>-78.255878538705957</v>
      </c>
      <c r="Y52" s="642">
        <v>0</v>
      </c>
      <c r="Z52" s="643">
        <v>0</v>
      </c>
      <c r="AA52" s="643">
        <v>0</v>
      </c>
      <c r="AB52" s="643">
        <v>0</v>
      </c>
      <c r="AC52" s="643">
        <v>0</v>
      </c>
      <c r="AD52" s="643">
        <v>-2.9528968014026442</v>
      </c>
      <c r="AE52" s="643">
        <v>0</v>
      </c>
      <c r="AF52" s="643">
        <v>0</v>
      </c>
      <c r="AG52" s="643">
        <v>0</v>
      </c>
      <c r="AH52" s="644">
        <v>0</v>
      </c>
      <c r="AI52" s="643">
        <v>0</v>
      </c>
      <c r="AJ52" s="643">
        <v>0</v>
      </c>
      <c r="AK52" s="645">
        <v>-81.208775340108602</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50.272309821560647</v>
      </c>
      <c r="E54" s="647">
        <v>551.4646517868191</v>
      </c>
      <c r="F54" s="647">
        <v>91.908412177851574</v>
      </c>
      <c r="G54" s="647">
        <v>351.80121464214682</v>
      </c>
      <c r="H54" s="647">
        <v>1190.909090909091</v>
      </c>
      <c r="I54" s="647">
        <v>172.65095069399246</v>
      </c>
      <c r="J54" s="647">
        <v>193.63496424369919</v>
      </c>
      <c r="K54" s="647">
        <v>22.859954043709436</v>
      </c>
      <c r="L54" s="647">
        <v>1.4204243160219152</v>
      </c>
      <c r="M54" s="647">
        <v>0.13461365170799597</v>
      </c>
      <c r="N54" s="647">
        <v>45.31680426782367</v>
      </c>
      <c r="O54" s="647">
        <v>7.2729377495964416</v>
      </c>
      <c r="P54" s="647">
        <v>-71.534753758802367</v>
      </c>
      <c r="Q54" s="647">
        <v>0</v>
      </c>
      <c r="R54" s="647">
        <v>0</v>
      </c>
      <c r="S54" s="647">
        <v>2608.111574545218</v>
      </c>
      <c r="U54" s="646" t="s">
        <v>65</v>
      </c>
      <c r="V54" s="647">
        <v>19.313313128242111</v>
      </c>
      <c r="W54" s="647">
        <v>449.50354116717102</v>
      </c>
      <c r="X54" s="647">
        <v>92.712633382751903</v>
      </c>
      <c r="Y54" s="647">
        <v>309.71678962200667</v>
      </c>
      <c r="Z54" s="647">
        <v>1083.7741046831957</v>
      </c>
      <c r="AA54" s="647">
        <v>180.88004160308333</v>
      </c>
      <c r="AB54" s="647">
        <v>182.46058470405345</v>
      </c>
      <c r="AC54" s="647">
        <v>35.233025744634077</v>
      </c>
      <c r="AD54" s="647">
        <v>-0.70632042934796635</v>
      </c>
      <c r="AE54" s="647">
        <v>0.13086812885804772</v>
      </c>
      <c r="AF54" s="647">
        <v>55.315214066923446</v>
      </c>
      <c r="AG54" s="647">
        <v>11.104217144375802</v>
      </c>
      <c r="AH54" s="647">
        <v>-59.869044369838548</v>
      </c>
      <c r="AI54" s="647">
        <v>0</v>
      </c>
      <c r="AJ54" s="647">
        <v>0</v>
      </c>
      <c r="AK54" s="647">
        <v>2359.5689685761085</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2.8283781870338589</v>
      </c>
      <c r="E57" s="642">
        <v>0</v>
      </c>
      <c r="F57" s="642">
        <v>7.6468438736280877</v>
      </c>
      <c r="G57" s="642">
        <v>18.081180811808117</v>
      </c>
      <c r="H57" s="642">
        <v>1190.909090909091</v>
      </c>
      <c r="I57" s="642">
        <v>172.65095069399246</v>
      </c>
      <c r="J57" s="651">
        <v>32.565743560582284</v>
      </c>
      <c r="K57" s="651">
        <v>8.5008344637363535</v>
      </c>
      <c r="L57" s="651">
        <v>2.2465763720546779</v>
      </c>
      <c r="M57" s="651">
        <v>0.47195886872926307</v>
      </c>
      <c r="N57" s="651">
        <v>0</v>
      </c>
      <c r="O57" s="651">
        <v>2.2844574579320316</v>
      </c>
      <c r="P57" s="642">
        <v>-595.37716565950768</v>
      </c>
      <c r="Q57" s="642">
        <v>0</v>
      </c>
      <c r="R57" s="642">
        <v>0</v>
      </c>
      <c r="S57" s="650">
        <v>842.80884953908037</v>
      </c>
      <c r="U57" s="648" t="s">
        <v>350</v>
      </c>
      <c r="V57" s="642">
        <v>1.5423887961183378</v>
      </c>
      <c r="W57" s="642">
        <v>0</v>
      </c>
      <c r="X57" s="642">
        <v>4.7336207331322191</v>
      </c>
      <c r="Y57" s="642">
        <v>50.521301576652128</v>
      </c>
      <c r="Z57" s="642">
        <v>1083.7741046831957</v>
      </c>
      <c r="AA57" s="642">
        <v>180.88004160308333</v>
      </c>
      <c r="AB57" s="651">
        <v>27.309071851402241</v>
      </c>
      <c r="AC57" s="651">
        <v>8.3886793509275197</v>
      </c>
      <c r="AD57" s="651">
        <v>2.2465763720546779</v>
      </c>
      <c r="AE57" s="651">
        <v>4.4961118375316795</v>
      </c>
      <c r="AF57" s="651">
        <v>0</v>
      </c>
      <c r="AG57" s="651">
        <v>2.2844574579320316</v>
      </c>
      <c r="AH57" s="642">
        <v>-585.94262020496217</v>
      </c>
      <c r="AI57" s="642">
        <v>0</v>
      </c>
      <c r="AJ57" s="642">
        <v>0</v>
      </c>
      <c r="AK57" s="650">
        <v>780.23373405706764</v>
      </c>
    </row>
    <row r="58" spans="3:37" ht="13.5">
      <c r="C58" s="648" t="s">
        <v>351</v>
      </c>
      <c r="D58" s="642">
        <v>4.9396474947490832E-2</v>
      </c>
      <c r="E58" s="642">
        <v>0</v>
      </c>
      <c r="F58" s="642">
        <v>0</v>
      </c>
      <c r="G58" s="642">
        <v>16.012530383781044</v>
      </c>
      <c r="H58" s="642">
        <v>0</v>
      </c>
      <c r="I58" s="642">
        <v>0</v>
      </c>
      <c r="J58" s="651">
        <v>13.847709445189022</v>
      </c>
      <c r="K58" s="651">
        <v>12.568399079785937</v>
      </c>
      <c r="L58" s="651">
        <v>0</v>
      </c>
      <c r="M58" s="651">
        <v>0.33966953640978992</v>
      </c>
      <c r="N58" s="651">
        <v>0</v>
      </c>
      <c r="O58" s="651">
        <v>2.2653429264336893</v>
      </c>
      <c r="P58" s="642">
        <v>0</v>
      </c>
      <c r="Q58" s="642">
        <v>-40.328896494092007</v>
      </c>
      <c r="R58" s="642">
        <v>0</v>
      </c>
      <c r="S58" s="650">
        <v>4.7541513524549677</v>
      </c>
      <c r="U58" s="648" t="s">
        <v>351</v>
      </c>
      <c r="V58" s="642">
        <v>9.8298985145506765E-2</v>
      </c>
      <c r="W58" s="642">
        <v>0</v>
      </c>
      <c r="X58" s="642">
        <v>0</v>
      </c>
      <c r="Y58" s="642">
        <v>18.159328264867909</v>
      </c>
      <c r="Z58" s="642">
        <v>0</v>
      </c>
      <c r="AA58" s="642">
        <v>0</v>
      </c>
      <c r="AB58" s="651">
        <v>24.238794590159831</v>
      </c>
      <c r="AC58" s="651">
        <v>21.035165918687227</v>
      </c>
      <c r="AD58" s="651">
        <v>0</v>
      </c>
      <c r="AE58" s="651">
        <v>1.5919552250789037</v>
      </c>
      <c r="AF58" s="651">
        <v>0</v>
      </c>
      <c r="AG58" s="651">
        <v>4.9326813925495161</v>
      </c>
      <c r="AH58" s="642">
        <v>0</v>
      </c>
      <c r="AI58" s="642">
        <v>-63.058158381408973</v>
      </c>
      <c r="AJ58" s="642">
        <v>0</v>
      </c>
      <c r="AK58" s="650">
        <v>6.9980659950799184</v>
      </c>
    </row>
    <row r="59" spans="3:37" ht="13.5">
      <c r="C59" s="648" t="s">
        <v>352</v>
      </c>
      <c r="D59" s="642">
        <v>0</v>
      </c>
      <c r="E59" s="642">
        <v>0</v>
      </c>
      <c r="F59" s="642">
        <v>0</v>
      </c>
      <c r="G59" s="642">
        <v>0</v>
      </c>
      <c r="H59" s="642">
        <v>0</v>
      </c>
      <c r="I59" s="642">
        <v>0</v>
      </c>
      <c r="J59" s="652">
        <v>7.7702715936307092</v>
      </c>
      <c r="K59" s="652">
        <v>0</v>
      </c>
      <c r="L59" s="652">
        <v>0</v>
      </c>
      <c r="M59" s="652">
        <v>-6.9252545578233695</v>
      </c>
      <c r="N59" s="652">
        <v>0</v>
      </c>
      <c r="O59" s="652">
        <v>0</v>
      </c>
      <c r="P59" s="642">
        <v>0</v>
      </c>
      <c r="Q59" s="642">
        <v>0</v>
      </c>
      <c r="R59" s="642">
        <v>0</v>
      </c>
      <c r="S59" s="650">
        <v>0.84501703580733967</v>
      </c>
      <c r="U59" s="648" t="s">
        <v>352</v>
      </c>
      <c r="V59" s="642">
        <v>0</v>
      </c>
      <c r="W59" s="642">
        <v>0</v>
      </c>
      <c r="X59" s="642">
        <v>0</v>
      </c>
      <c r="Y59" s="642">
        <v>0</v>
      </c>
      <c r="Z59" s="642">
        <v>0</v>
      </c>
      <c r="AA59" s="642">
        <v>0</v>
      </c>
      <c r="AB59" s="652">
        <v>30.043092797136723</v>
      </c>
      <c r="AC59" s="652">
        <v>0</v>
      </c>
      <c r="AD59" s="652">
        <v>0</v>
      </c>
      <c r="AE59" s="652">
        <v>-26.775906455448105</v>
      </c>
      <c r="AF59" s="652">
        <v>0</v>
      </c>
      <c r="AG59" s="652">
        <v>0</v>
      </c>
      <c r="AH59" s="642">
        <v>0</v>
      </c>
      <c r="AI59" s="642">
        <v>0</v>
      </c>
      <c r="AJ59" s="642">
        <v>0</v>
      </c>
      <c r="AK59" s="650">
        <v>3.2671863416886175</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571.25876810153738</v>
      </c>
      <c r="F61" s="642">
        <v>-565.54618042052198</v>
      </c>
      <c r="G61" s="642">
        <v>0</v>
      </c>
      <c r="H61" s="642">
        <v>0</v>
      </c>
      <c r="I61" s="642">
        <v>0</v>
      </c>
      <c r="J61" s="642">
        <v>0</v>
      </c>
      <c r="K61" s="642">
        <v>0</v>
      </c>
      <c r="L61" s="642">
        <v>0</v>
      </c>
      <c r="M61" s="642">
        <v>0</v>
      </c>
      <c r="N61" s="642">
        <v>0</v>
      </c>
      <c r="O61" s="642">
        <v>0</v>
      </c>
      <c r="P61" s="642">
        <v>0</v>
      </c>
      <c r="Q61" s="642">
        <v>0</v>
      </c>
      <c r="R61" s="642">
        <v>0</v>
      </c>
      <c r="S61" s="650">
        <v>5.7125876810154068</v>
      </c>
      <c r="U61" s="648" t="s">
        <v>72</v>
      </c>
      <c r="V61" s="642">
        <v>0</v>
      </c>
      <c r="W61" s="642">
        <v>465.63789420124414</v>
      </c>
      <c r="X61" s="642">
        <v>-460.98151525923168</v>
      </c>
      <c r="Y61" s="642">
        <v>0</v>
      </c>
      <c r="Z61" s="642">
        <v>0</v>
      </c>
      <c r="AA61" s="642">
        <v>0</v>
      </c>
      <c r="AB61" s="642">
        <v>0</v>
      </c>
      <c r="AC61" s="642">
        <v>0</v>
      </c>
      <c r="AD61" s="642">
        <v>0</v>
      </c>
      <c r="AE61" s="642">
        <v>0</v>
      </c>
      <c r="AF61" s="642">
        <v>0</v>
      </c>
      <c r="AG61" s="642">
        <v>0</v>
      </c>
      <c r="AH61" s="642">
        <v>0</v>
      </c>
      <c r="AI61" s="642">
        <v>0</v>
      </c>
      <c r="AJ61" s="642">
        <v>0</v>
      </c>
      <c r="AK61" s="650">
        <v>4.6563789420124522</v>
      </c>
    </row>
    <row r="62" spans="3:37" ht="13.5">
      <c r="C62" s="648" t="s">
        <v>354</v>
      </c>
      <c r="D62" s="642">
        <v>0</v>
      </c>
      <c r="E62" s="642">
        <v>0</v>
      </c>
      <c r="F62" s="642">
        <v>0</v>
      </c>
      <c r="G62" s="642">
        <v>0</v>
      </c>
      <c r="H62" s="642">
        <v>0</v>
      </c>
      <c r="I62" s="642">
        <v>0</v>
      </c>
      <c r="J62" s="642">
        <v>39.987714904046477</v>
      </c>
      <c r="K62" s="642">
        <v>0</v>
      </c>
      <c r="L62" s="642">
        <v>-39.987714904046477</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-45.567606807542596</v>
      </c>
      <c r="AE62" s="642">
        <v>0</v>
      </c>
      <c r="AF62" s="642">
        <v>0</v>
      </c>
      <c r="AG62" s="642">
        <v>0</v>
      </c>
      <c r="AH62" s="642">
        <v>0</v>
      </c>
      <c r="AI62" s="642">
        <v>0</v>
      </c>
      <c r="AJ62" s="642">
        <v>0</v>
      </c>
      <c r="AK62" s="650">
        <v>-45.567606807542596</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-3.4570377590144092</v>
      </c>
      <c r="AE63" s="642">
        <v>0</v>
      </c>
      <c r="AF63" s="642">
        <v>0</v>
      </c>
      <c r="AG63" s="642">
        <v>0</v>
      </c>
      <c r="AH63" s="642">
        <v>0</v>
      </c>
      <c r="AI63" s="642">
        <v>0</v>
      </c>
      <c r="AJ63" s="642">
        <v>0</v>
      </c>
      <c r="AK63" s="650">
        <v>-3.4570377590144092</v>
      </c>
    </row>
    <row r="64" spans="3:37" ht="13.5">
      <c r="C64" s="648" t="s">
        <v>73</v>
      </c>
      <c r="D64" s="642">
        <v>0</v>
      </c>
      <c r="E64" s="642">
        <v>0</v>
      </c>
      <c r="F64" s="642">
        <v>0</v>
      </c>
      <c r="G64" s="642">
        <v>0.75220280486673308</v>
      </c>
      <c r="H64" s="642">
        <v>0</v>
      </c>
      <c r="I64" s="642">
        <v>0</v>
      </c>
      <c r="J64" s="642">
        <v>0</v>
      </c>
      <c r="K64" s="642">
        <v>8.3794091977846576E-3</v>
      </c>
      <c r="L64" s="642">
        <v>0</v>
      </c>
      <c r="M64" s="642">
        <v>1.5351077650341492E-2</v>
      </c>
      <c r="N64" s="642">
        <v>0</v>
      </c>
      <c r="O64" s="642">
        <v>0</v>
      </c>
      <c r="P64" s="642">
        <v>6.6777445606960792E-2</v>
      </c>
      <c r="Q64" s="642">
        <v>0</v>
      </c>
      <c r="R64" s="642">
        <v>-0.58655864384492595</v>
      </c>
      <c r="S64" s="650">
        <v>0.25615209347689405</v>
      </c>
      <c r="U64" s="648" t="s">
        <v>73</v>
      </c>
      <c r="V64" s="642">
        <v>0</v>
      </c>
      <c r="W64" s="642">
        <v>0</v>
      </c>
      <c r="X64" s="642">
        <v>0</v>
      </c>
      <c r="Y64" s="642">
        <v>3.5795956147675603</v>
      </c>
      <c r="Z64" s="642">
        <v>0</v>
      </c>
      <c r="AA64" s="642">
        <v>0</v>
      </c>
      <c r="AB64" s="642">
        <v>0</v>
      </c>
      <c r="AC64" s="642">
        <v>7.7817295973207842E-2</v>
      </c>
      <c r="AD64" s="642">
        <v>0</v>
      </c>
      <c r="AE64" s="642">
        <v>0.31126918389283142</v>
      </c>
      <c r="AF64" s="642">
        <v>0</v>
      </c>
      <c r="AG64" s="642">
        <v>0</v>
      </c>
      <c r="AH64" s="642">
        <v>4.1063588490477363</v>
      </c>
      <c r="AI64" s="642">
        <v>0</v>
      </c>
      <c r="AJ64" s="642">
        <v>-5.4472107181245484</v>
      </c>
      <c r="AK64" s="650">
        <v>2.6278302255567869</v>
      </c>
    </row>
    <row r="65" spans="3:37" ht="13.5">
      <c r="C65" s="648" t="s">
        <v>356</v>
      </c>
      <c r="D65" s="642">
        <v>29.279348437500001</v>
      </c>
      <c r="E65" s="642">
        <v>-19.79411631471827</v>
      </c>
      <c r="F65" s="642">
        <v>25.889534996151326</v>
      </c>
      <c r="G65" s="642">
        <v>0</v>
      </c>
      <c r="H65" s="642">
        <v>0</v>
      </c>
      <c r="I65" s="642">
        <v>0</v>
      </c>
      <c r="J65" s="642">
        <v>0</v>
      </c>
      <c r="K65" s="642">
        <v>0</v>
      </c>
      <c r="L65" s="642">
        <v>0</v>
      </c>
      <c r="M65" s="642">
        <v>0</v>
      </c>
      <c r="N65" s="642">
        <v>0</v>
      </c>
      <c r="O65" s="642">
        <v>0</v>
      </c>
      <c r="P65" s="642">
        <v>0</v>
      </c>
      <c r="Q65" s="642">
        <v>0</v>
      </c>
      <c r="R65" s="642">
        <v>0</v>
      </c>
      <c r="S65" s="650">
        <v>35.374767118933057</v>
      </c>
      <c r="U65" s="648" t="s">
        <v>356</v>
      </c>
      <c r="V65" s="642">
        <v>8.1420534667968738</v>
      </c>
      <c r="W65" s="642">
        <v>-16.134353034073111</v>
      </c>
      <c r="X65" s="642">
        <v>21.102780789728897</v>
      </c>
      <c r="Y65" s="642">
        <v>0</v>
      </c>
      <c r="Z65" s="642">
        <v>0</v>
      </c>
      <c r="AA65" s="642">
        <v>0</v>
      </c>
      <c r="AB65" s="642">
        <v>0</v>
      </c>
      <c r="AC65" s="642">
        <v>0</v>
      </c>
      <c r="AD65" s="642">
        <v>0</v>
      </c>
      <c r="AE65" s="642">
        <v>0</v>
      </c>
      <c r="AF65" s="642">
        <v>0</v>
      </c>
      <c r="AG65" s="642">
        <v>0</v>
      </c>
      <c r="AH65" s="642">
        <v>0</v>
      </c>
      <c r="AI65" s="642">
        <v>0</v>
      </c>
      <c r="AJ65" s="642">
        <v>0</v>
      </c>
      <c r="AK65" s="650">
        <v>13.110481222452659</v>
      </c>
    </row>
    <row r="66" spans="3:37" ht="13.5">
      <c r="C66" s="648" t="s">
        <v>75</v>
      </c>
      <c r="D66" s="642">
        <v>11.386413281250002</v>
      </c>
      <c r="E66" s="642">
        <v>0</v>
      </c>
      <c r="F66" s="642">
        <v>19.422798115452274</v>
      </c>
      <c r="G66" s="642">
        <v>5.5423525681211148</v>
      </c>
      <c r="H66" s="642">
        <v>0</v>
      </c>
      <c r="I66" s="642">
        <v>0</v>
      </c>
      <c r="J66" s="642">
        <v>0</v>
      </c>
      <c r="K66" s="642">
        <v>0</v>
      </c>
      <c r="L66" s="642">
        <v>0</v>
      </c>
      <c r="M66" s="642">
        <v>0.11310923608410439</v>
      </c>
      <c r="N66" s="642">
        <v>0</v>
      </c>
      <c r="O66" s="642">
        <v>0</v>
      </c>
      <c r="P66" s="642">
        <v>36.293113930785914</v>
      </c>
      <c r="Q66" s="642">
        <v>0</v>
      </c>
      <c r="R66" s="642">
        <v>0</v>
      </c>
      <c r="S66" s="650">
        <v>72.757787131693405</v>
      </c>
      <c r="U66" s="648" t="s">
        <v>75</v>
      </c>
      <c r="V66" s="642">
        <v>7.5011909179687501</v>
      </c>
      <c r="W66" s="642">
        <v>0</v>
      </c>
      <c r="X66" s="642">
        <v>19.422798115452274</v>
      </c>
      <c r="Y66" s="642">
        <v>5.203024859868802</v>
      </c>
      <c r="Z66" s="642">
        <v>0</v>
      </c>
      <c r="AA66" s="642">
        <v>0</v>
      </c>
      <c r="AB66" s="642">
        <v>0</v>
      </c>
      <c r="AC66" s="642">
        <v>0</v>
      </c>
      <c r="AD66" s="642">
        <v>0</v>
      </c>
      <c r="AE66" s="642">
        <v>0.45243694433641768</v>
      </c>
      <c r="AF66" s="642">
        <v>0</v>
      </c>
      <c r="AG66" s="642">
        <v>0</v>
      </c>
      <c r="AH66" s="642">
        <v>32.151874261364433</v>
      </c>
      <c r="AI66" s="642">
        <v>0</v>
      </c>
      <c r="AJ66" s="642">
        <v>0</v>
      </c>
      <c r="AK66" s="650">
        <v>64.731325098990681</v>
      </c>
    </row>
    <row r="67" spans="3:37" ht="13.5">
      <c r="C67" s="648" t="s">
        <v>76</v>
      </c>
      <c r="D67" s="642">
        <v>0</v>
      </c>
      <c r="E67" s="642">
        <v>0</v>
      </c>
      <c r="F67" s="642">
        <v>0</v>
      </c>
      <c r="G67" s="642">
        <v>4.0237645059289928</v>
      </c>
      <c r="H67" s="642">
        <v>0</v>
      </c>
      <c r="I67" s="642">
        <v>0</v>
      </c>
      <c r="J67" s="642">
        <v>0</v>
      </c>
      <c r="K67" s="642">
        <v>0</v>
      </c>
      <c r="L67" s="642">
        <v>0</v>
      </c>
      <c r="M67" s="642">
        <v>8.211764297814271E-2</v>
      </c>
      <c r="N67" s="642">
        <v>0</v>
      </c>
      <c r="O67" s="642">
        <v>0</v>
      </c>
      <c r="P67" s="642">
        <v>40.115929077638647</v>
      </c>
      <c r="Q67" s="642">
        <v>3.1293610589936001</v>
      </c>
      <c r="R67" s="642">
        <v>0</v>
      </c>
      <c r="S67" s="650">
        <v>47.351172285539384</v>
      </c>
      <c r="U67" s="648" t="s">
        <v>76</v>
      </c>
      <c r="V67" s="642">
        <v>0</v>
      </c>
      <c r="W67" s="642">
        <v>0</v>
      </c>
      <c r="X67" s="642">
        <v>0</v>
      </c>
      <c r="Y67" s="642">
        <v>3.6512599711974678</v>
      </c>
      <c r="Z67" s="642">
        <v>0</v>
      </c>
      <c r="AA67" s="642">
        <v>0</v>
      </c>
      <c r="AB67" s="642">
        <v>0</v>
      </c>
      <c r="AC67" s="642">
        <v>0</v>
      </c>
      <c r="AD67" s="642">
        <v>0</v>
      </c>
      <c r="AE67" s="642">
        <v>0.31750086706064945</v>
      </c>
      <c r="AF67" s="642">
        <v>0</v>
      </c>
      <c r="AG67" s="642">
        <v>0</v>
      </c>
      <c r="AH67" s="642">
        <v>40.286923174182249</v>
      </c>
      <c r="AI67" s="642">
        <v>4.8906691757229597</v>
      </c>
      <c r="AJ67" s="642">
        <v>0</v>
      </c>
      <c r="AK67" s="650">
        <v>49.146353188163332</v>
      </c>
    </row>
    <row r="68" spans="3:37" ht="13.5">
      <c r="C68" s="646" t="s">
        <v>77</v>
      </c>
      <c r="D68" s="647">
        <v>43.543536380731354</v>
      </c>
      <c r="E68" s="647">
        <v>551.4646517868191</v>
      </c>
      <c r="F68" s="647">
        <v>-512.58700343529028</v>
      </c>
      <c r="G68" s="647">
        <v>44.412031074506011</v>
      </c>
      <c r="H68" s="647">
        <v>1190.909090909091</v>
      </c>
      <c r="I68" s="647">
        <v>172.65095069399246</v>
      </c>
      <c r="J68" s="647">
        <v>94.171439503448497</v>
      </c>
      <c r="K68" s="647">
        <v>21.077612952720074</v>
      </c>
      <c r="L68" s="647">
        <v>-37.741138531991801</v>
      </c>
      <c r="M68" s="647">
        <v>-5.9030481959717278</v>
      </c>
      <c r="N68" s="647">
        <v>0</v>
      </c>
      <c r="O68" s="647">
        <v>4.5498003843657209</v>
      </c>
      <c r="P68" s="647">
        <v>-518.9013452054761</v>
      </c>
      <c r="Q68" s="647">
        <v>-37.199535435098404</v>
      </c>
      <c r="R68" s="647">
        <v>-0.58655864384492595</v>
      </c>
      <c r="S68" s="647">
        <v>1009.8604842380009</v>
      </c>
      <c r="U68" s="646" t="s">
        <v>77</v>
      </c>
      <c r="V68" s="647">
        <v>17.283932166029469</v>
      </c>
      <c r="W68" s="647">
        <v>449.50354116717102</v>
      </c>
      <c r="X68" s="647">
        <v>-415.72231562091827</v>
      </c>
      <c r="Y68" s="647">
        <v>81.114510287353866</v>
      </c>
      <c r="Z68" s="647">
        <v>1083.7741046831957</v>
      </c>
      <c r="AA68" s="647">
        <v>180.88004160308333</v>
      </c>
      <c r="AB68" s="647">
        <v>81.590959238698787</v>
      </c>
      <c r="AC68" s="647">
        <v>29.501662565587953</v>
      </c>
      <c r="AD68" s="647">
        <v>-46.778068194502332</v>
      </c>
      <c r="AE68" s="647">
        <v>-19.606632397547621</v>
      </c>
      <c r="AF68" s="647">
        <v>0</v>
      </c>
      <c r="AG68" s="647">
        <v>7.2171388504815477</v>
      </c>
      <c r="AH68" s="647">
        <v>-509.39746392036778</v>
      </c>
      <c r="AI68" s="647">
        <v>-58.16748920568601</v>
      </c>
      <c r="AJ68" s="647">
        <v>-5.4472107181245484</v>
      </c>
      <c r="AK68" s="647">
        <v>875.74671050445522</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6.728773440829297</v>
      </c>
      <c r="E70" s="642">
        <v>0</v>
      </c>
      <c r="F70" s="642">
        <v>25.863549799477383</v>
      </c>
      <c r="G70" s="642">
        <v>106.8903340661312</v>
      </c>
      <c r="H70" s="642">
        <v>0</v>
      </c>
      <c r="I70" s="642">
        <v>0</v>
      </c>
      <c r="J70" s="642">
        <v>18.169859613838756</v>
      </c>
      <c r="K70" s="642">
        <v>1.7567698743130979</v>
      </c>
      <c r="L70" s="642">
        <v>0.84376959960937503</v>
      </c>
      <c r="M70" s="642">
        <v>2.2002106600734406</v>
      </c>
      <c r="N70" s="642">
        <v>0</v>
      </c>
      <c r="O70" s="642">
        <v>3.8276465550578692E-4</v>
      </c>
      <c r="P70" s="642">
        <v>109.87696924977793</v>
      </c>
      <c r="Q70" s="642">
        <v>16.590503969858354</v>
      </c>
      <c r="R70" s="642">
        <v>0.37438674926757814</v>
      </c>
      <c r="S70" s="650">
        <v>289.29550978783192</v>
      </c>
      <c r="U70" s="648" t="s">
        <v>78</v>
      </c>
      <c r="V70" s="642">
        <v>2.0293809622126395</v>
      </c>
      <c r="W70" s="642">
        <v>0</v>
      </c>
      <c r="X70" s="642">
        <v>19.296192618187902</v>
      </c>
      <c r="Y70" s="642">
        <v>85.841195035715842</v>
      </c>
      <c r="Z70" s="642">
        <v>0</v>
      </c>
      <c r="AA70" s="642">
        <v>0</v>
      </c>
      <c r="AB70" s="642">
        <v>17.65205880284368</v>
      </c>
      <c r="AC70" s="642">
        <v>5.7057919623698545</v>
      </c>
      <c r="AD70" s="642">
        <v>1.0576742773437502</v>
      </c>
      <c r="AE70" s="642">
        <v>7.4832270132048837</v>
      </c>
      <c r="AF70" s="642">
        <v>0</v>
      </c>
      <c r="AG70" s="642">
        <v>3.8276465550578692E-4</v>
      </c>
      <c r="AH70" s="642">
        <v>128.8590842242281</v>
      </c>
      <c r="AI70" s="642">
        <v>20.165819518520905</v>
      </c>
      <c r="AJ70" s="642">
        <v>3.3051525878906252</v>
      </c>
      <c r="AK70" s="650">
        <v>291.39595976717368</v>
      </c>
    </row>
    <row r="71" spans="3:37" ht="13.5">
      <c r="C71" s="648" t="s">
        <v>79</v>
      </c>
      <c r="D71" s="642">
        <v>0</v>
      </c>
      <c r="E71" s="642">
        <v>0</v>
      </c>
      <c r="F71" s="642">
        <v>369.9552310331793</v>
      </c>
      <c r="G71" s="642">
        <v>11.471553092100274</v>
      </c>
      <c r="H71" s="642">
        <v>0</v>
      </c>
      <c r="I71" s="642">
        <v>0</v>
      </c>
      <c r="J71" s="642">
        <v>0</v>
      </c>
      <c r="K71" s="642">
        <v>0</v>
      </c>
      <c r="L71" s="642">
        <v>35.942658929765898</v>
      </c>
      <c r="M71" s="642">
        <v>0.23411332841020971</v>
      </c>
      <c r="N71" s="642">
        <v>0</v>
      </c>
      <c r="O71" s="642">
        <v>0</v>
      </c>
      <c r="P71" s="642">
        <v>25.304787135555738</v>
      </c>
      <c r="Q71" s="642">
        <v>0</v>
      </c>
      <c r="R71" s="642">
        <v>0.21217189457734786</v>
      </c>
      <c r="S71" s="650">
        <v>443.12051541358881</v>
      </c>
      <c r="U71" s="648" t="s">
        <v>79</v>
      </c>
      <c r="V71" s="642">
        <v>0</v>
      </c>
      <c r="W71" s="642">
        <v>0</v>
      </c>
      <c r="X71" s="642">
        <v>313.43701377185255</v>
      </c>
      <c r="Y71" s="642">
        <v>10.638728179836399</v>
      </c>
      <c r="Z71" s="642">
        <v>0</v>
      </c>
      <c r="AA71" s="642">
        <v>0</v>
      </c>
      <c r="AB71" s="642">
        <v>0</v>
      </c>
      <c r="AC71" s="642">
        <v>0</v>
      </c>
      <c r="AD71" s="642">
        <v>37.80600606344305</v>
      </c>
      <c r="AE71" s="642">
        <v>1.0240500912331831</v>
      </c>
      <c r="AF71" s="642">
        <v>0</v>
      </c>
      <c r="AG71" s="642">
        <v>0</v>
      </c>
      <c r="AH71" s="642">
        <v>27.763643315903455</v>
      </c>
      <c r="AI71" s="642">
        <v>0</v>
      </c>
      <c r="AJ71" s="642">
        <v>0.49126373722019012</v>
      </c>
      <c r="AK71" s="650">
        <v>391.16070515948877</v>
      </c>
    </row>
    <row r="72" spans="3:37" ht="13.5">
      <c r="C72" s="648" t="s">
        <v>80</v>
      </c>
      <c r="D72" s="642">
        <v>0</v>
      </c>
      <c r="E72" s="642">
        <v>0</v>
      </c>
      <c r="F72" s="642">
        <v>35.339410591812062</v>
      </c>
      <c r="G72" s="642">
        <v>110.15178599375342</v>
      </c>
      <c r="H72" s="642">
        <v>0</v>
      </c>
      <c r="I72" s="642">
        <v>0</v>
      </c>
      <c r="J72" s="642">
        <v>76.439784825488388</v>
      </c>
      <c r="K72" s="642">
        <v>0</v>
      </c>
      <c r="L72" s="642">
        <v>0</v>
      </c>
      <c r="M72" s="642">
        <v>2.2479956325255803</v>
      </c>
      <c r="N72" s="642">
        <v>37.868836361528707</v>
      </c>
      <c r="O72" s="642">
        <v>1.7588356807089602</v>
      </c>
      <c r="P72" s="642">
        <v>172.83410671700432</v>
      </c>
      <c r="Q72" s="642">
        <v>15.866907360541454</v>
      </c>
      <c r="R72" s="642">
        <v>0</v>
      </c>
      <c r="S72" s="650">
        <v>452.50766316336285</v>
      </c>
      <c r="U72" s="648" t="s">
        <v>80</v>
      </c>
      <c r="V72" s="642">
        <v>0</v>
      </c>
      <c r="W72" s="642">
        <v>0</v>
      </c>
      <c r="X72" s="642">
        <v>15.561012749366258</v>
      </c>
      <c r="Y72" s="642">
        <v>82.553801475145548</v>
      </c>
      <c r="Z72" s="642">
        <v>0</v>
      </c>
      <c r="AA72" s="642">
        <v>0</v>
      </c>
      <c r="AB72" s="642">
        <v>74.889683173020046</v>
      </c>
      <c r="AC72" s="642">
        <v>0</v>
      </c>
      <c r="AD72" s="642">
        <v>0</v>
      </c>
      <c r="AE72" s="642">
        <v>7.1785914326213538</v>
      </c>
      <c r="AF72" s="642">
        <v>42.28245423809345</v>
      </c>
      <c r="AG72" s="642">
        <v>1.7308148603825539</v>
      </c>
      <c r="AH72" s="642">
        <v>160.19147139934566</v>
      </c>
      <c r="AI72" s="642">
        <v>30.044387556600874</v>
      </c>
      <c r="AJ72" s="642">
        <v>0</v>
      </c>
      <c r="AK72" s="650">
        <v>414.43221688457572</v>
      </c>
    </row>
    <row r="73" spans="3:37" ht="13.5">
      <c r="C73" s="648" t="s">
        <v>81</v>
      </c>
      <c r="D73" s="642">
        <v>0</v>
      </c>
      <c r="E73" s="642">
        <v>0</v>
      </c>
      <c r="F73" s="642">
        <v>16.364991401651867</v>
      </c>
      <c r="G73" s="642">
        <v>64.121059154218784</v>
      </c>
      <c r="H73" s="642">
        <v>0</v>
      </c>
      <c r="I73" s="642">
        <v>0</v>
      </c>
      <c r="J73" s="642">
        <v>3.7472623320410015</v>
      </c>
      <c r="K73" s="642">
        <v>2.5571216676264549E-2</v>
      </c>
      <c r="L73" s="642">
        <v>0</v>
      </c>
      <c r="M73" s="642">
        <v>1.3085930439636488</v>
      </c>
      <c r="N73" s="642">
        <v>7.447967906294962</v>
      </c>
      <c r="O73" s="642">
        <v>0.8772790781137545</v>
      </c>
      <c r="P73" s="642">
        <v>131.35942241830159</v>
      </c>
      <c r="Q73" s="642">
        <v>4.7421241046985951</v>
      </c>
      <c r="R73" s="642">
        <v>0</v>
      </c>
      <c r="S73" s="650">
        <v>229.99427065596046</v>
      </c>
      <c r="U73" s="648" t="s">
        <v>81</v>
      </c>
      <c r="V73" s="642">
        <v>0</v>
      </c>
      <c r="W73" s="642">
        <v>0</v>
      </c>
      <c r="X73" s="642">
        <v>8.4431338424639417</v>
      </c>
      <c r="Y73" s="642">
        <v>45.209877020113709</v>
      </c>
      <c r="Z73" s="642">
        <v>0</v>
      </c>
      <c r="AA73" s="642">
        <v>0</v>
      </c>
      <c r="AB73" s="642">
        <v>7.2212655206083989</v>
      </c>
      <c r="AC73" s="642">
        <v>2.5571216676264549E-2</v>
      </c>
      <c r="AD73" s="642">
        <v>0</v>
      </c>
      <c r="AE73" s="642">
        <v>3.9312936539229324</v>
      </c>
      <c r="AF73" s="642">
        <v>13.032759828829999</v>
      </c>
      <c r="AG73" s="642">
        <v>1.6365054019865546</v>
      </c>
      <c r="AH73" s="642">
        <v>124.3283929234443</v>
      </c>
      <c r="AI73" s="642">
        <v>7.9572821305642334</v>
      </c>
      <c r="AJ73" s="642">
        <v>0</v>
      </c>
      <c r="AK73" s="650">
        <v>211.78608153861032</v>
      </c>
    </row>
    <row r="74" spans="3:37" ht="13.5">
      <c r="C74" s="648" t="s">
        <v>82</v>
      </c>
      <c r="D74" s="642">
        <v>0</v>
      </c>
      <c r="E74" s="642">
        <v>0</v>
      </c>
      <c r="F74" s="642">
        <v>33.765533014074606</v>
      </c>
      <c r="G74" s="642">
        <v>2.2907099526353965</v>
      </c>
      <c r="H74" s="642">
        <v>0</v>
      </c>
      <c r="I74" s="642">
        <v>0</v>
      </c>
      <c r="J74" s="642">
        <v>1.1066179688825246</v>
      </c>
      <c r="K74" s="642">
        <v>0</v>
      </c>
      <c r="L74" s="642">
        <v>2.3728212231152073</v>
      </c>
      <c r="M74" s="642">
        <v>4.6749182706844826E-2</v>
      </c>
      <c r="N74" s="642">
        <v>0</v>
      </c>
      <c r="O74" s="642">
        <v>8.6639841752499475E-2</v>
      </c>
      <c r="P74" s="642">
        <v>7.9913059260342072</v>
      </c>
      <c r="Q74" s="642">
        <v>0</v>
      </c>
      <c r="R74" s="642">
        <v>0</v>
      </c>
      <c r="S74" s="650">
        <v>47.660377109201292</v>
      </c>
      <c r="U74" s="648" t="s">
        <v>82</v>
      </c>
      <c r="V74" s="642">
        <v>0</v>
      </c>
      <c r="W74" s="642">
        <v>0</v>
      </c>
      <c r="X74" s="642">
        <v>29.817412370685851</v>
      </c>
      <c r="Y74" s="642">
        <v>2.4393255997206347</v>
      </c>
      <c r="Z74" s="642">
        <v>0</v>
      </c>
      <c r="AA74" s="642">
        <v>0</v>
      </c>
      <c r="AB74" s="642">
        <v>1.1066179688825246</v>
      </c>
      <c r="AC74" s="642">
        <v>0</v>
      </c>
      <c r="AD74" s="642">
        <v>7.1577097724425283</v>
      </c>
      <c r="AE74" s="642">
        <v>0.2121152695409248</v>
      </c>
      <c r="AF74" s="642">
        <v>0</v>
      </c>
      <c r="AG74" s="642">
        <v>0.5193752668696392</v>
      </c>
      <c r="AH74" s="642">
        <v>8.0258276876076717</v>
      </c>
      <c r="AI74" s="642">
        <v>0</v>
      </c>
      <c r="AJ74" s="642">
        <v>0.13892990437736891</v>
      </c>
      <c r="AK74" s="650">
        <v>49.417313840127143</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v>
      </c>
      <c r="Q75" s="642">
        <v>0</v>
      </c>
      <c r="R75" s="642">
        <v>0</v>
      </c>
      <c r="S75" s="650">
        <v>0</v>
      </c>
      <c r="U75" s="648" t="s">
        <v>357</v>
      </c>
      <c r="V75" s="642">
        <v>0</v>
      </c>
      <c r="W75" s="642">
        <v>0</v>
      </c>
      <c r="X75" s="642">
        <v>0</v>
      </c>
      <c r="Y75" s="642">
        <v>0</v>
      </c>
      <c r="Z75" s="642">
        <v>0</v>
      </c>
      <c r="AA75" s="642">
        <v>0</v>
      </c>
      <c r="AB75" s="642">
        <v>0</v>
      </c>
      <c r="AC75" s="642">
        <v>0</v>
      </c>
      <c r="AD75" s="642">
        <v>0</v>
      </c>
      <c r="AE75" s="642">
        <v>0</v>
      </c>
      <c r="AF75" s="642">
        <v>0</v>
      </c>
      <c r="AG75" s="642">
        <v>0</v>
      </c>
      <c r="AH75" s="642">
        <v>0.36</v>
      </c>
      <c r="AI75" s="642">
        <v>0</v>
      </c>
      <c r="AJ75" s="642">
        <v>0</v>
      </c>
      <c r="AK75" s="650">
        <v>0.36</v>
      </c>
    </row>
    <row r="76" spans="3:37" ht="13.5">
      <c r="C76" s="646" t="s">
        <v>83</v>
      </c>
      <c r="D76" s="647">
        <v>6.728773440829297</v>
      </c>
      <c r="E76" s="647">
        <v>0</v>
      </c>
      <c r="F76" s="647">
        <v>481.28871584019521</v>
      </c>
      <c r="G76" s="647">
        <v>294.92544225883904</v>
      </c>
      <c r="H76" s="647">
        <v>0</v>
      </c>
      <c r="I76" s="647">
        <v>0</v>
      </c>
      <c r="J76" s="647">
        <v>99.463524740250691</v>
      </c>
      <c r="K76" s="647">
        <v>1.7823410909893624</v>
      </c>
      <c r="L76" s="647">
        <v>39.159249752490481</v>
      </c>
      <c r="M76" s="647">
        <v>6.0376618476797237</v>
      </c>
      <c r="N76" s="647">
        <v>45.31680426782367</v>
      </c>
      <c r="O76" s="647">
        <v>2.7231373652307198</v>
      </c>
      <c r="P76" s="647">
        <v>447.36659144667379</v>
      </c>
      <c r="Q76" s="647">
        <v>37.199535435098404</v>
      </c>
      <c r="R76" s="647">
        <v>0.58655864384492595</v>
      </c>
      <c r="S76" s="647">
        <v>1462.5783361299455</v>
      </c>
      <c r="U76" s="646" t="s">
        <v>83</v>
      </c>
      <c r="V76" s="647">
        <v>2.0293809622126395</v>
      </c>
      <c r="W76" s="647">
        <v>0</v>
      </c>
      <c r="X76" s="647">
        <v>386.5547653525565</v>
      </c>
      <c r="Y76" s="647">
        <v>226.68292731053214</v>
      </c>
      <c r="Z76" s="647">
        <v>0</v>
      </c>
      <c r="AA76" s="647">
        <v>0</v>
      </c>
      <c r="AB76" s="647">
        <v>100.86962546535466</v>
      </c>
      <c r="AC76" s="647">
        <v>5.7313631790461192</v>
      </c>
      <c r="AD76" s="647">
        <v>46.02139011322933</v>
      </c>
      <c r="AE76" s="647">
        <v>19.829277460523276</v>
      </c>
      <c r="AF76" s="647">
        <v>55.315214066923446</v>
      </c>
      <c r="AG76" s="647">
        <v>3.8870782938942541</v>
      </c>
      <c r="AH76" s="647">
        <v>449.52841955052912</v>
      </c>
      <c r="AI76" s="647">
        <v>58.16748920568601</v>
      </c>
      <c r="AJ76" s="647">
        <v>3.9353462294881845</v>
      </c>
      <c r="AK76" s="647">
        <v>1358.5522771899757</v>
      </c>
    </row>
    <row r="77" spans="3:37" ht="13.5">
      <c r="C77" s="641" t="s">
        <v>84</v>
      </c>
      <c r="D77" s="642">
        <v>0</v>
      </c>
      <c r="E77" s="642">
        <v>0</v>
      </c>
      <c r="F77" s="642">
        <v>123.20669977294675</v>
      </c>
      <c r="G77" s="642">
        <v>12.463741308801668</v>
      </c>
      <c r="H77" s="642">
        <v>0</v>
      </c>
      <c r="I77" s="642">
        <v>0</v>
      </c>
      <c r="J77" s="642">
        <v>0</v>
      </c>
      <c r="K77" s="642">
        <v>0</v>
      </c>
      <c r="L77" s="642">
        <v>0</v>
      </c>
      <c r="M77" s="642">
        <v>0</v>
      </c>
      <c r="N77" s="642">
        <v>0</v>
      </c>
      <c r="O77" s="642">
        <v>0</v>
      </c>
      <c r="P77" s="642">
        <v>0</v>
      </c>
      <c r="Q77" s="642">
        <v>0</v>
      </c>
      <c r="R77" s="642">
        <v>0</v>
      </c>
      <c r="S77" s="650">
        <v>135.67044108174841</v>
      </c>
      <c r="U77" s="641" t="s">
        <v>84</v>
      </c>
      <c r="V77" s="642">
        <v>0</v>
      </c>
      <c r="W77" s="642">
        <v>0</v>
      </c>
      <c r="X77" s="642">
        <v>121.88018365111382</v>
      </c>
      <c r="Y77" s="642">
        <v>1.8275750900030534</v>
      </c>
      <c r="Z77" s="642">
        <v>0</v>
      </c>
      <c r="AA77" s="642">
        <v>0</v>
      </c>
      <c r="AB77" s="642">
        <v>0</v>
      </c>
      <c r="AC77" s="642">
        <v>0</v>
      </c>
      <c r="AD77" s="642">
        <v>0.27491428444602273</v>
      </c>
      <c r="AE77" s="642">
        <v>0</v>
      </c>
      <c r="AF77" s="642">
        <v>0</v>
      </c>
      <c r="AG77" s="642">
        <v>0</v>
      </c>
      <c r="AH77" s="642">
        <v>0</v>
      </c>
      <c r="AI77" s="642">
        <v>0</v>
      </c>
      <c r="AJ77" s="642">
        <v>1.5118644886363639</v>
      </c>
      <c r="AK77" s="650">
        <v>125.49453751419927</v>
      </c>
    </row>
    <row r="78" spans="3:37" ht="13.5">
      <c r="C78" s="646" t="s">
        <v>85</v>
      </c>
      <c r="D78" s="647">
        <v>6.728773440829297</v>
      </c>
      <c r="E78" s="647">
        <v>0</v>
      </c>
      <c r="F78" s="647">
        <v>604.49541561314186</v>
      </c>
      <c r="G78" s="647">
        <v>307.38918356764071</v>
      </c>
      <c r="H78" s="647">
        <v>0</v>
      </c>
      <c r="I78" s="647">
        <v>0</v>
      </c>
      <c r="J78" s="647">
        <v>99.463524740250691</v>
      </c>
      <c r="K78" s="647">
        <v>1.7823410909893624</v>
      </c>
      <c r="L78" s="647">
        <v>39.159249752490481</v>
      </c>
      <c r="M78" s="647">
        <v>6.0376618476797237</v>
      </c>
      <c r="N78" s="647">
        <v>45.31680426782367</v>
      </c>
      <c r="O78" s="647">
        <v>2.7231373652307198</v>
      </c>
      <c r="P78" s="647">
        <v>447.36659144667379</v>
      </c>
      <c r="Q78" s="647">
        <v>37.199535435098404</v>
      </c>
      <c r="R78" s="647">
        <v>0.58655864384492595</v>
      </c>
      <c r="S78" s="647">
        <v>1598.2487772116938</v>
      </c>
      <c r="U78" s="646" t="s">
        <v>85</v>
      </c>
      <c r="V78" s="647">
        <v>2.0293809622126395</v>
      </c>
      <c r="W78" s="647">
        <v>0</v>
      </c>
      <c r="X78" s="647">
        <v>508.43494900367028</v>
      </c>
      <c r="Y78" s="647">
        <v>228.51050240053519</v>
      </c>
      <c r="Z78" s="647">
        <v>0</v>
      </c>
      <c r="AA78" s="647">
        <v>0</v>
      </c>
      <c r="AB78" s="647">
        <v>100.86962546535466</v>
      </c>
      <c r="AC78" s="647">
        <v>5.7313631790461192</v>
      </c>
      <c r="AD78" s="647">
        <v>46.29630439767535</v>
      </c>
      <c r="AE78" s="647">
        <v>19.829277460523276</v>
      </c>
      <c r="AF78" s="647">
        <v>55.315214066923446</v>
      </c>
      <c r="AG78" s="647">
        <v>3.8870782938942541</v>
      </c>
      <c r="AH78" s="647">
        <v>449.52841955052912</v>
      </c>
      <c r="AI78" s="647">
        <v>58.16748920568601</v>
      </c>
      <c r="AJ78" s="647">
        <v>5.4472107181245484</v>
      </c>
      <c r="AK78" s="647">
        <v>1484.0468147041749</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88</v>
      </c>
      <c r="D80" s="699"/>
      <c r="E80" s="699"/>
      <c r="F80" s="699"/>
      <c r="G80" s="699"/>
      <c r="H80" s="699"/>
      <c r="I80" s="699"/>
      <c r="J80" s="699"/>
      <c r="K80" s="699"/>
      <c r="L80" s="699"/>
      <c r="M80" s="699"/>
      <c r="N80" s="699"/>
      <c r="O80" s="699"/>
      <c r="P80" s="699"/>
      <c r="Q80" s="699"/>
      <c r="R80" s="699"/>
      <c r="S80" s="699"/>
      <c r="U80" s="699" t="s">
        <v>88</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9.7691999999999997</v>
      </c>
      <c r="F84" s="643">
        <v>0</v>
      </c>
      <c r="G84" s="642">
        <v>0.18608000000000002</v>
      </c>
      <c r="H84" s="643">
        <v>1190.909090909091</v>
      </c>
      <c r="I84" s="643">
        <v>182.7291074592973</v>
      </c>
      <c r="J84" s="643">
        <v>189.61507961766128</v>
      </c>
      <c r="K84" s="643">
        <v>22.268083551618652</v>
      </c>
      <c r="L84" s="643">
        <v>0.30256781050897086</v>
      </c>
      <c r="M84" s="643">
        <v>0.13616606414588689</v>
      </c>
      <c r="N84" s="643">
        <v>49.514351265721807</v>
      </c>
      <c r="O84" s="643">
        <v>8.1467195883110648</v>
      </c>
      <c r="P84" s="644">
        <v>0</v>
      </c>
      <c r="Q84" s="643">
        <v>0</v>
      </c>
      <c r="R84" s="643">
        <v>0</v>
      </c>
      <c r="S84" s="645">
        <v>1653.5764462663558</v>
      </c>
      <c r="U84" s="641" t="s">
        <v>59</v>
      </c>
      <c r="V84" s="642">
        <v>0</v>
      </c>
      <c r="W84" s="643">
        <v>9.7691999999999997</v>
      </c>
      <c r="X84" s="643">
        <v>0</v>
      </c>
      <c r="Y84" s="642">
        <v>0.18608000000000002</v>
      </c>
      <c r="Z84" s="643">
        <v>1069.3939393939395</v>
      </c>
      <c r="AA84" s="643">
        <v>197.24910745929728</v>
      </c>
      <c r="AB84" s="643">
        <v>182.13163745220285</v>
      </c>
      <c r="AC84" s="643">
        <v>36.932838973655407</v>
      </c>
      <c r="AD84" s="643">
        <v>0.30256781050897086</v>
      </c>
      <c r="AE84" s="643">
        <v>0.13616606414588689</v>
      </c>
      <c r="AF84" s="643">
        <v>61.091225724919909</v>
      </c>
      <c r="AG84" s="643">
        <v>13.043980364734779</v>
      </c>
      <c r="AH84" s="644">
        <v>0</v>
      </c>
      <c r="AI84" s="643">
        <v>0</v>
      </c>
      <c r="AJ84" s="643">
        <v>0</v>
      </c>
      <c r="AK84" s="645">
        <v>1570.2367432434044</v>
      </c>
    </row>
    <row r="85" spans="3:37" ht="13.5">
      <c r="C85" s="641" t="s">
        <v>60</v>
      </c>
      <c r="D85" s="642">
        <v>49.173561762123036</v>
      </c>
      <c r="E85" s="643">
        <v>533.81672423347197</v>
      </c>
      <c r="F85" s="643">
        <v>159.30055959731865</v>
      </c>
      <c r="G85" s="642">
        <v>343.82692763471942</v>
      </c>
      <c r="H85" s="643">
        <v>0</v>
      </c>
      <c r="I85" s="643">
        <v>0</v>
      </c>
      <c r="J85" s="643">
        <v>3.0754920838007731</v>
      </c>
      <c r="K85" s="643">
        <v>0</v>
      </c>
      <c r="L85" s="643">
        <v>1.7669821269916453</v>
      </c>
      <c r="M85" s="643">
        <v>0</v>
      </c>
      <c r="N85" s="643">
        <v>0</v>
      </c>
      <c r="O85" s="643">
        <v>0</v>
      </c>
      <c r="P85" s="644">
        <v>0</v>
      </c>
      <c r="Q85" s="643">
        <v>0</v>
      </c>
      <c r="R85" s="643">
        <v>0</v>
      </c>
      <c r="S85" s="645">
        <v>1090.9602474384255</v>
      </c>
      <c r="U85" s="641" t="s">
        <v>60</v>
      </c>
      <c r="V85" s="642">
        <v>12.56447967339157</v>
      </c>
      <c r="W85" s="643">
        <v>409.1975890316798</v>
      </c>
      <c r="X85" s="643">
        <v>146.83839951059079</v>
      </c>
      <c r="Y85" s="642">
        <v>277.07529977218445</v>
      </c>
      <c r="Z85" s="643">
        <v>0</v>
      </c>
      <c r="AA85" s="643">
        <v>0</v>
      </c>
      <c r="AB85" s="643">
        <v>3.0754920838007731</v>
      </c>
      <c r="AC85" s="643">
        <v>0</v>
      </c>
      <c r="AD85" s="643">
        <v>1.7669821269916453</v>
      </c>
      <c r="AE85" s="643">
        <v>0</v>
      </c>
      <c r="AF85" s="643">
        <v>0</v>
      </c>
      <c r="AG85" s="643">
        <v>0</v>
      </c>
      <c r="AH85" s="644">
        <v>0</v>
      </c>
      <c r="AI85" s="643">
        <v>0</v>
      </c>
      <c r="AJ85" s="643">
        <v>0</v>
      </c>
      <c r="AK85" s="645">
        <v>850.51824219863909</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-73.711460432822037</v>
      </c>
      <c r="Q86" s="643">
        <v>0</v>
      </c>
      <c r="R86" s="643">
        <v>0</v>
      </c>
      <c r="S86" s="645">
        <v>-73.711460432822037</v>
      </c>
      <c r="U86" s="641" t="s">
        <v>61</v>
      </c>
      <c r="V86" s="642">
        <v>0</v>
      </c>
      <c r="W86" s="643">
        <v>0</v>
      </c>
      <c r="X86" s="643">
        <v>0</v>
      </c>
      <c r="Y86" s="642">
        <v>0</v>
      </c>
      <c r="Z86" s="643">
        <v>0</v>
      </c>
      <c r="AA86" s="643">
        <v>0</v>
      </c>
      <c r="AB86" s="643">
        <v>0</v>
      </c>
      <c r="AC86" s="643">
        <v>0</v>
      </c>
      <c r="AD86" s="643">
        <v>0</v>
      </c>
      <c r="AE86" s="643">
        <v>0</v>
      </c>
      <c r="AF86" s="643">
        <v>0</v>
      </c>
      <c r="AG86" s="643">
        <v>0</v>
      </c>
      <c r="AH86" s="644">
        <v>-59.233927293838519</v>
      </c>
      <c r="AI86" s="643">
        <v>0</v>
      </c>
      <c r="AJ86" s="643">
        <v>0</v>
      </c>
      <c r="AK86" s="645">
        <v>-59.233927293838519</v>
      </c>
    </row>
    <row r="87" spans="3:37" ht="13.5">
      <c r="C87" s="641" t="s">
        <v>62</v>
      </c>
      <c r="D87" s="642">
        <v>0</v>
      </c>
      <c r="E87" s="643">
        <v>0</v>
      </c>
      <c r="F87" s="643">
        <v>-16.493151741791234</v>
      </c>
      <c r="G87" s="642">
        <v>0</v>
      </c>
      <c r="H87" s="643">
        <v>0</v>
      </c>
      <c r="I87" s="643">
        <v>0</v>
      </c>
      <c r="J87" s="643">
        <v>0</v>
      </c>
      <c r="K87" s="643">
        <v>0</v>
      </c>
      <c r="L87" s="643">
        <v>0</v>
      </c>
      <c r="M87" s="643">
        <v>0</v>
      </c>
      <c r="N87" s="643">
        <v>0</v>
      </c>
      <c r="O87" s="643">
        <v>0</v>
      </c>
      <c r="P87" s="644">
        <v>0</v>
      </c>
      <c r="Q87" s="643">
        <v>0</v>
      </c>
      <c r="R87" s="643">
        <v>0</v>
      </c>
      <c r="S87" s="645">
        <v>-16.493151741791234</v>
      </c>
      <c r="U87" s="641" t="s">
        <v>62</v>
      </c>
      <c r="V87" s="642">
        <v>0</v>
      </c>
      <c r="W87" s="643">
        <v>0</v>
      </c>
      <c r="X87" s="643">
        <v>-16.114280484636947</v>
      </c>
      <c r="Y87" s="642">
        <v>-5.618284274922395E-2</v>
      </c>
      <c r="Z87" s="643">
        <v>0</v>
      </c>
      <c r="AA87" s="643">
        <v>0</v>
      </c>
      <c r="AB87" s="643">
        <v>0</v>
      </c>
      <c r="AC87" s="643">
        <v>0</v>
      </c>
      <c r="AD87" s="643">
        <v>0</v>
      </c>
      <c r="AE87" s="643">
        <v>-6.2425380832471051E-3</v>
      </c>
      <c r="AF87" s="643">
        <v>0</v>
      </c>
      <c r="AG87" s="643">
        <v>0</v>
      </c>
      <c r="AH87" s="644">
        <v>0</v>
      </c>
      <c r="AI87" s="643">
        <v>0</v>
      </c>
      <c r="AJ87" s="643">
        <v>0</v>
      </c>
      <c r="AK87" s="645">
        <v>-16.176705865469415</v>
      </c>
    </row>
    <row r="88" spans="3:37" ht="13.5">
      <c r="C88" s="641" t="s">
        <v>63</v>
      </c>
      <c r="D88" s="642">
        <v>0</v>
      </c>
      <c r="E88" s="643">
        <v>0</v>
      </c>
      <c r="F88" s="643">
        <v>-80.583101554650298</v>
      </c>
      <c r="G88" s="642">
        <v>0</v>
      </c>
      <c r="H88" s="643">
        <v>0</v>
      </c>
      <c r="I88" s="643">
        <v>0</v>
      </c>
      <c r="J88" s="643">
        <v>0</v>
      </c>
      <c r="K88" s="643">
        <v>0</v>
      </c>
      <c r="L88" s="643">
        <v>-0.83510983775166403</v>
      </c>
      <c r="M88" s="643">
        <v>0</v>
      </c>
      <c r="N88" s="643">
        <v>0</v>
      </c>
      <c r="O88" s="643">
        <v>0</v>
      </c>
      <c r="P88" s="644">
        <v>0</v>
      </c>
      <c r="Q88" s="643">
        <v>0</v>
      </c>
      <c r="R88" s="643">
        <v>0</v>
      </c>
      <c r="S88" s="645">
        <v>-81.418211392401957</v>
      </c>
      <c r="U88" s="641" t="s">
        <v>63</v>
      </c>
      <c r="V88" s="642">
        <v>0</v>
      </c>
      <c r="W88" s="643">
        <v>0</v>
      </c>
      <c r="X88" s="643">
        <v>-78.29497747164686</v>
      </c>
      <c r="Y88" s="642">
        <v>0</v>
      </c>
      <c r="Z88" s="643">
        <v>0</v>
      </c>
      <c r="AA88" s="643">
        <v>0</v>
      </c>
      <c r="AB88" s="643">
        <v>0</v>
      </c>
      <c r="AC88" s="643">
        <v>0</v>
      </c>
      <c r="AD88" s="643">
        <v>-3.8806739722042796</v>
      </c>
      <c r="AE88" s="643">
        <v>0</v>
      </c>
      <c r="AF88" s="643">
        <v>0</v>
      </c>
      <c r="AG88" s="643">
        <v>0</v>
      </c>
      <c r="AH88" s="644">
        <v>0</v>
      </c>
      <c r="AI88" s="643">
        <v>0</v>
      </c>
      <c r="AJ88" s="643">
        <v>0</v>
      </c>
      <c r="AK88" s="645">
        <v>-82.175651443851137</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49.173561762123036</v>
      </c>
      <c r="E90" s="647">
        <v>543.58592423347193</v>
      </c>
      <c r="F90" s="647">
        <v>62.224306300877117</v>
      </c>
      <c r="G90" s="647">
        <v>344.01300763471943</v>
      </c>
      <c r="H90" s="647">
        <v>1190.909090909091</v>
      </c>
      <c r="I90" s="647">
        <v>182.7291074592973</v>
      </c>
      <c r="J90" s="647">
        <v>192.69057170146206</v>
      </c>
      <c r="K90" s="647">
        <v>22.268083551618652</v>
      </c>
      <c r="L90" s="647">
        <v>1.234440099748952</v>
      </c>
      <c r="M90" s="647">
        <v>0.13616606414588689</v>
      </c>
      <c r="N90" s="647">
        <v>49.514351265721807</v>
      </c>
      <c r="O90" s="647">
        <v>8.1467195883110648</v>
      </c>
      <c r="P90" s="647">
        <v>-73.711460432822037</v>
      </c>
      <c r="Q90" s="647">
        <v>0</v>
      </c>
      <c r="R90" s="647">
        <v>0</v>
      </c>
      <c r="S90" s="647">
        <v>2572.9138701377656</v>
      </c>
      <c r="U90" s="646" t="s">
        <v>65</v>
      </c>
      <c r="V90" s="647">
        <v>12.56447967339157</v>
      </c>
      <c r="W90" s="647">
        <v>418.96678903167981</v>
      </c>
      <c r="X90" s="647">
        <v>52.42914155430698</v>
      </c>
      <c r="Y90" s="647">
        <v>277.2051969294352</v>
      </c>
      <c r="Z90" s="647">
        <v>1069.3939393939395</v>
      </c>
      <c r="AA90" s="647">
        <v>197.24910745929728</v>
      </c>
      <c r="AB90" s="647">
        <v>185.20712953600363</v>
      </c>
      <c r="AC90" s="647">
        <v>36.932838973655407</v>
      </c>
      <c r="AD90" s="647">
        <v>-1.8111240347036635</v>
      </c>
      <c r="AE90" s="647">
        <v>0.12992352606263979</v>
      </c>
      <c r="AF90" s="647">
        <v>61.091225724919909</v>
      </c>
      <c r="AG90" s="647">
        <v>13.043980364734779</v>
      </c>
      <c r="AH90" s="647">
        <v>-59.233927293838519</v>
      </c>
      <c r="AI90" s="647">
        <v>0</v>
      </c>
      <c r="AJ90" s="647">
        <v>0</v>
      </c>
      <c r="AK90" s="647">
        <v>2263.168700838884</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7.5307695076515202</v>
      </c>
      <c r="G93" s="642">
        <v>17.818181818181817</v>
      </c>
      <c r="H93" s="642">
        <v>1190.909090909091</v>
      </c>
      <c r="I93" s="642">
        <v>182.7291074592973</v>
      </c>
      <c r="J93" s="651">
        <v>31.567770517320518</v>
      </c>
      <c r="K93" s="651">
        <v>7.9944017148664477</v>
      </c>
      <c r="L93" s="651">
        <v>2.0695499375006161</v>
      </c>
      <c r="M93" s="651">
        <v>0.46787592950723628</v>
      </c>
      <c r="N93" s="651">
        <v>0</v>
      </c>
      <c r="O93" s="651">
        <v>3.0833964576427819</v>
      </c>
      <c r="P93" s="642">
        <v>-605.52729840025461</v>
      </c>
      <c r="Q93" s="642">
        <v>0</v>
      </c>
      <c r="R93" s="642">
        <v>0</v>
      </c>
      <c r="S93" s="650">
        <v>841.46963149182989</v>
      </c>
      <c r="U93" s="648" t="s">
        <v>350</v>
      </c>
      <c r="V93" s="642">
        <v>0.62631490545869017</v>
      </c>
      <c r="W93" s="642">
        <v>0</v>
      </c>
      <c r="X93" s="642">
        <v>3.6671331440151573</v>
      </c>
      <c r="Y93" s="642">
        <v>45.490909090909085</v>
      </c>
      <c r="Z93" s="642">
        <v>1069.3939393939395</v>
      </c>
      <c r="AA93" s="642">
        <v>197.24910745929728</v>
      </c>
      <c r="AB93" s="651">
        <v>26.112388272824305</v>
      </c>
      <c r="AC93" s="651">
        <v>7.8557568383975527</v>
      </c>
      <c r="AD93" s="651">
        <v>2.0695499375006161</v>
      </c>
      <c r="AE93" s="651">
        <v>5.1587850204163272</v>
      </c>
      <c r="AF93" s="651">
        <v>0</v>
      </c>
      <c r="AG93" s="651">
        <v>3.0833964576427819</v>
      </c>
      <c r="AH93" s="642">
        <v>-594.94729840025457</v>
      </c>
      <c r="AI93" s="642">
        <v>0</v>
      </c>
      <c r="AJ93" s="642">
        <v>0</v>
      </c>
      <c r="AK93" s="650">
        <v>765.75998212014645</v>
      </c>
    </row>
    <row r="94" spans="3:37" ht="13.5">
      <c r="C94" s="648" t="s">
        <v>351</v>
      </c>
      <c r="D94" s="642">
        <v>0</v>
      </c>
      <c r="E94" s="642">
        <v>0</v>
      </c>
      <c r="F94" s="642">
        <v>0</v>
      </c>
      <c r="G94" s="642">
        <v>15.528976420917793</v>
      </c>
      <c r="H94" s="642">
        <v>0</v>
      </c>
      <c r="I94" s="642">
        <v>0</v>
      </c>
      <c r="J94" s="651">
        <v>13.425934567091144</v>
      </c>
      <c r="K94" s="651">
        <v>12.460813842705811</v>
      </c>
      <c r="L94" s="651">
        <v>0</v>
      </c>
      <c r="M94" s="651">
        <v>0.33007353312586968</v>
      </c>
      <c r="N94" s="651">
        <v>0</v>
      </c>
      <c r="O94" s="651">
        <v>2.2140049259569654</v>
      </c>
      <c r="P94" s="642">
        <v>0</v>
      </c>
      <c r="Q94" s="642">
        <v>-39.530815313914701</v>
      </c>
      <c r="R94" s="642">
        <v>0</v>
      </c>
      <c r="S94" s="650">
        <v>4.4289879758828699</v>
      </c>
      <c r="U94" s="648" t="s">
        <v>351</v>
      </c>
      <c r="V94" s="642">
        <v>0</v>
      </c>
      <c r="W94" s="642">
        <v>0</v>
      </c>
      <c r="X94" s="642">
        <v>0</v>
      </c>
      <c r="Y94" s="642">
        <v>17.633177295554518</v>
      </c>
      <c r="Z94" s="642">
        <v>0</v>
      </c>
      <c r="AA94" s="642">
        <v>0</v>
      </c>
      <c r="AB94" s="651">
        <v>25.59264276124566</v>
      </c>
      <c r="AC94" s="651">
        <v>22.938494140017696</v>
      </c>
      <c r="AD94" s="651">
        <v>0</v>
      </c>
      <c r="AE94" s="651">
        <v>1.9723975687129698</v>
      </c>
      <c r="AF94" s="651">
        <v>0</v>
      </c>
      <c r="AG94" s="651">
        <v>5.6361523989336151</v>
      </c>
      <c r="AH94" s="642">
        <v>0</v>
      </c>
      <c r="AI94" s="642">
        <v>-66.845421794322675</v>
      </c>
      <c r="AJ94" s="642">
        <v>0</v>
      </c>
      <c r="AK94" s="650">
        <v>6.927442370141784</v>
      </c>
    </row>
    <row r="95" spans="3:37" ht="13.5">
      <c r="C95" s="648" t="s">
        <v>352</v>
      </c>
      <c r="D95" s="642">
        <v>0</v>
      </c>
      <c r="E95" s="642">
        <v>0</v>
      </c>
      <c r="F95" s="642">
        <v>0</v>
      </c>
      <c r="G95" s="642">
        <v>0</v>
      </c>
      <c r="H95" s="642">
        <v>0</v>
      </c>
      <c r="I95" s="642">
        <v>0</v>
      </c>
      <c r="J95" s="652">
        <v>7.7785999169814284</v>
      </c>
      <c r="K95" s="652">
        <v>0</v>
      </c>
      <c r="L95" s="652">
        <v>0</v>
      </c>
      <c r="M95" s="652">
        <v>-6.767381927773843</v>
      </c>
      <c r="N95" s="652">
        <v>0</v>
      </c>
      <c r="O95" s="652">
        <v>0</v>
      </c>
      <c r="P95" s="642">
        <v>0</v>
      </c>
      <c r="Q95" s="642">
        <v>0</v>
      </c>
      <c r="R95" s="642">
        <v>0</v>
      </c>
      <c r="S95" s="650">
        <v>1.0112179892075854</v>
      </c>
      <c r="U95" s="648" t="s">
        <v>352</v>
      </c>
      <c r="V95" s="642">
        <v>0</v>
      </c>
      <c r="W95" s="642">
        <v>0</v>
      </c>
      <c r="X95" s="642">
        <v>0</v>
      </c>
      <c r="Y95" s="642">
        <v>0</v>
      </c>
      <c r="Z95" s="642">
        <v>0</v>
      </c>
      <c r="AA95" s="642">
        <v>0</v>
      </c>
      <c r="AB95" s="652">
        <v>35.178099528176176</v>
      </c>
      <c r="AC95" s="652">
        <v>0</v>
      </c>
      <c r="AD95" s="652">
        <v>0</v>
      </c>
      <c r="AE95" s="652">
        <v>-30.604946589513276</v>
      </c>
      <c r="AF95" s="652">
        <v>0</v>
      </c>
      <c r="AG95" s="652">
        <v>0</v>
      </c>
      <c r="AH95" s="642">
        <v>0</v>
      </c>
      <c r="AI95" s="642">
        <v>0</v>
      </c>
      <c r="AJ95" s="642">
        <v>0</v>
      </c>
      <c r="AK95" s="650">
        <v>4.5731529386629006</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563.09724372867038</v>
      </c>
      <c r="F97" s="642">
        <v>-557.46627129138369</v>
      </c>
      <c r="G97" s="642">
        <v>0</v>
      </c>
      <c r="H97" s="642">
        <v>0</v>
      </c>
      <c r="I97" s="642">
        <v>0</v>
      </c>
      <c r="J97" s="642">
        <v>0</v>
      </c>
      <c r="K97" s="642">
        <v>0</v>
      </c>
      <c r="L97" s="642">
        <v>0</v>
      </c>
      <c r="M97" s="642">
        <v>0</v>
      </c>
      <c r="N97" s="642">
        <v>0</v>
      </c>
      <c r="O97" s="642">
        <v>0</v>
      </c>
      <c r="P97" s="642">
        <v>0</v>
      </c>
      <c r="Q97" s="642">
        <v>0</v>
      </c>
      <c r="R97" s="642">
        <v>0</v>
      </c>
      <c r="S97" s="650">
        <v>5.6309724372866867</v>
      </c>
      <c r="U97" s="648" t="s">
        <v>72</v>
      </c>
      <c r="V97" s="642">
        <v>0</v>
      </c>
      <c r="W97" s="642">
        <v>434.00506451720082</v>
      </c>
      <c r="X97" s="642">
        <v>-429.66501387202879</v>
      </c>
      <c r="Y97" s="642">
        <v>0</v>
      </c>
      <c r="Z97" s="642">
        <v>0</v>
      </c>
      <c r="AA97" s="642">
        <v>0</v>
      </c>
      <c r="AB97" s="642">
        <v>0</v>
      </c>
      <c r="AC97" s="642">
        <v>0</v>
      </c>
      <c r="AD97" s="642">
        <v>0</v>
      </c>
      <c r="AE97" s="642">
        <v>0</v>
      </c>
      <c r="AF97" s="642">
        <v>0</v>
      </c>
      <c r="AG97" s="642">
        <v>0</v>
      </c>
      <c r="AH97" s="642">
        <v>0</v>
      </c>
      <c r="AI97" s="642">
        <v>0</v>
      </c>
      <c r="AJ97" s="642">
        <v>0</v>
      </c>
      <c r="AK97" s="650">
        <v>4.3400506451720275</v>
      </c>
    </row>
    <row r="98" spans="3:37" ht="13.5">
      <c r="C98" s="648" t="s">
        <v>354</v>
      </c>
      <c r="D98" s="642">
        <v>0</v>
      </c>
      <c r="E98" s="642">
        <v>0</v>
      </c>
      <c r="F98" s="642">
        <v>0</v>
      </c>
      <c r="G98" s="642">
        <v>0</v>
      </c>
      <c r="H98" s="642">
        <v>0</v>
      </c>
      <c r="I98" s="642">
        <v>0</v>
      </c>
      <c r="J98" s="642">
        <v>37.619415842848596</v>
      </c>
      <c r="K98" s="642">
        <v>0</v>
      </c>
      <c r="L98" s="642">
        <v>-37.619415842848596</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-46.213611225378862</v>
      </c>
      <c r="AE98" s="642">
        <v>0</v>
      </c>
      <c r="AF98" s="642">
        <v>0</v>
      </c>
      <c r="AG98" s="642">
        <v>0</v>
      </c>
      <c r="AH98" s="642">
        <v>0</v>
      </c>
      <c r="AI98" s="642">
        <v>0</v>
      </c>
      <c r="AJ98" s="642">
        <v>0</v>
      </c>
      <c r="AK98" s="650">
        <v>-46.213611225378862</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-5.5104572320471013</v>
      </c>
      <c r="AE99" s="642">
        <v>0</v>
      </c>
      <c r="AF99" s="642">
        <v>0</v>
      </c>
      <c r="AG99" s="642">
        <v>0</v>
      </c>
      <c r="AH99" s="642">
        <v>0</v>
      </c>
      <c r="AI99" s="642">
        <v>0</v>
      </c>
      <c r="AJ99" s="642">
        <v>0</v>
      </c>
      <c r="AK99" s="650">
        <v>-5.5104572320471013</v>
      </c>
    </row>
    <row r="100" spans="3:37" ht="13.5">
      <c r="C100" s="648" t="s">
        <v>73</v>
      </c>
      <c r="D100" s="642">
        <v>0</v>
      </c>
      <c r="E100" s="642">
        <v>0</v>
      </c>
      <c r="F100" s="642">
        <v>0</v>
      </c>
      <c r="G100" s="642">
        <v>0.90917311757834995</v>
      </c>
      <c r="H100" s="642">
        <v>0</v>
      </c>
      <c r="I100" s="642">
        <v>0</v>
      </c>
      <c r="J100" s="642">
        <v>0</v>
      </c>
      <c r="K100" s="642">
        <v>1.0194809571410069E-2</v>
      </c>
      <c r="L100" s="642">
        <v>0</v>
      </c>
      <c r="M100" s="642">
        <v>1.8554553419966327E-2</v>
      </c>
      <c r="N100" s="642">
        <v>0</v>
      </c>
      <c r="O100" s="642">
        <v>0</v>
      </c>
      <c r="P100" s="642">
        <v>8.7832205538302136E-2</v>
      </c>
      <c r="Q100" s="642">
        <v>0</v>
      </c>
      <c r="R100" s="642">
        <v>-0.71363666999870479</v>
      </c>
      <c r="S100" s="650">
        <v>0.31211801610932366</v>
      </c>
      <c r="U100" s="648" t="s">
        <v>73</v>
      </c>
      <c r="V100" s="642">
        <v>0</v>
      </c>
      <c r="W100" s="642">
        <v>0</v>
      </c>
      <c r="X100" s="642">
        <v>0</v>
      </c>
      <c r="Y100" s="642">
        <v>3.7406895887912213</v>
      </c>
      <c r="Z100" s="642">
        <v>0</v>
      </c>
      <c r="AA100" s="642">
        <v>0</v>
      </c>
      <c r="AB100" s="642">
        <v>0</v>
      </c>
      <c r="AC100" s="642">
        <v>0.10657235295701485</v>
      </c>
      <c r="AD100" s="642">
        <v>0</v>
      </c>
      <c r="AE100" s="642">
        <v>0.4156321765323579</v>
      </c>
      <c r="AF100" s="642">
        <v>0</v>
      </c>
      <c r="AG100" s="642">
        <v>0</v>
      </c>
      <c r="AH100" s="642">
        <v>6.8862135756840344</v>
      </c>
      <c r="AI100" s="642">
        <v>0</v>
      </c>
      <c r="AJ100" s="642">
        <v>-7.4600647069910382</v>
      </c>
      <c r="AK100" s="650">
        <v>3.6890429869735906</v>
      </c>
    </row>
    <row r="101" spans="3:37" ht="13.5">
      <c r="C101" s="648" t="s">
        <v>356</v>
      </c>
      <c r="D101" s="642">
        <v>28.68732140625</v>
      </c>
      <c r="E101" s="642">
        <v>-19.511319495198432</v>
      </c>
      <c r="F101" s="642">
        <v>25.519653459670948</v>
      </c>
      <c r="G101" s="642">
        <v>0</v>
      </c>
      <c r="H101" s="642">
        <v>0</v>
      </c>
      <c r="I101" s="642">
        <v>0</v>
      </c>
      <c r="J101" s="642">
        <v>0</v>
      </c>
      <c r="K101" s="642">
        <v>0</v>
      </c>
      <c r="L101" s="642">
        <v>0</v>
      </c>
      <c r="M101" s="642">
        <v>0</v>
      </c>
      <c r="N101" s="642">
        <v>0</v>
      </c>
      <c r="O101" s="642">
        <v>0</v>
      </c>
      <c r="P101" s="642">
        <v>0</v>
      </c>
      <c r="Q101" s="642">
        <v>0</v>
      </c>
      <c r="R101" s="642">
        <v>0</v>
      </c>
      <c r="S101" s="650">
        <v>34.69565537072252</v>
      </c>
      <c r="U101" s="648" t="s">
        <v>356</v>
      </c>
      <c r="V101" s="642">
        <v>5.4641713867187498</v>
      </c>
      <c r="W101" s="642">
        <v>-15.038275485521009</v>
      </c>
      <c r="X101" s="642">
        <v>19.669176096265762</v>
      </c>
      <c r="Y101" s="642">
        <v>0</v>
      </c>
      <c r="Z101" s="642">
        <v>0</v>
      </c>
      <c r="AA101" s="642">
        <v>0</v>
      </c>
      <c r="AB101" s="642">
        <v>0</v>
      </c>
      <c r="AC101" s="642">
        <v>0</v>
      </c>
      <c r="AD101" s="642">
        <v>0</v>
      </c>
      <c r="AE101" s="642">
        <v>0</v>
      </c>
      <c r="AF101" s="642">
        <v>0</v>
      </c>
      <c r="AG101" s="642">
        <v>0</v>
      </c>
      <c r="AH101" s="642">
        <v>0</v>
      </c>
      <c r="AI101" s="642">
        <v>0</v>
      </c>
      <c r="AJ101" s="642">
        <v>0</v>
      </c>
      <c r="AK101" s="650">
        <v>10.095071997463503</v>
      </c>
    </row>
    <row r="102" spans="3:37" ht="13.5">
      <c r="C102" s="648" t="s">
        <v>75</v>
      </c>
      <c r="D102" s="642">
        <v>11.156180546875001</v>
      </c>
      <c r="E102" s="642">
        <v>0</v>
      </c>
      <c r="F102" s="642">
        <v>19.145306286774794</v>
      </c>
      <c r="G102" s="642">
        <v>5.4631694586555604</v>
      </c>
      <c r="H102" s="642">
        <v>0</v>
      </c>
      <c r="I102" s="642">
        <v>0</v>
      </c>
      <c r="J102" s="642">
        <v>0</v>
      </c>
      <c r="K102" s="642">
        <v>0</v>
      </c>
      <c r="L102" s="642">
        <v>0</v>
      </c>
      <c r="M102" s="642">
        <v>0.11149325425827675</v>
      </c>
      <c r="N102" s="642">
        <v>0</v>
      </c>
      <c r="O102" s="642">
        <v>0</v>
      </c>
      <c r="P102" s="642">
        <v>36.294895286159367</v>
      </c>
      <c r="Q102" s="642">
        <v>0</v>
      </c>
      <c r="R102" s="642">
        <v>0</v>
      </c>
      <c r="S102" s="650">
        <v>72.171044832722998</v>
      </c>
      <c r="U102" s="648" t="s">
        <v>75</v>
      </c>
      <c r="V102" s="642">
        <v>5.6084375</v>
      </c>
      <c r="W102" s="642">
        <v>0</v>
      </c>
      <c r="X102" s="642">
        <v>19.145306286774794</v>
      </c>
      <c r="Y102" s="642">
        <v>5.0171964416224535</v>
      </c>
      <c r="Z102" s="642">
        <v>0</v>
      </c>
      <c r="AA102" s="642">
        <v>0</v>
      </c>
      <c r="AB102" s="642">
        <v>0</v>
      </c>
      <c r="AC102" s="642">
        <v>0</v>
      </c>
      <c r="AD102" s="642">
        <v>0</v>
      </c>
      <c r="AE102" s="642">
        <v>0.55746627129138371</v>
      </c>
      <c r="AF102" s="642">
        <v>0</v>
      </c>
      <c r="AG102" s="642">
        <v>0</v>
      </c>
      <c r="AH102" s="642">
        <v>31.128531649795733</v>
      </c>
      <c r="AI102" s="642">
        <v>0</v>
      </c>
      <c r="AJ102" s="642">
        <v>0</v>
      </c>
      <c r="AK102" s="650">
        <v>61.456938149484365</v>
      </c>
    </row>
    <row r="103" spans="3:37" ht="13.5">
      <c r="C103" s="648" t="s">
        <v>76</v>
      </c>
      <c r="D103" s="642">
        <v>0</v>
      </c>
      <c r="E103" s="642">
        <v>0</v>
      </c>
      <c r="F103" s="642">
        <v>0</v>
      </c>
      <c r="G103" s="642">
        <v>3.9320361398527859</v>
      </c>
      <c r="H103" s="642">
        <v>0</v>
      </c>
      <c r="I103" s="642">
        <v>0</v>
      </c>
      <c r="J103" s="642">
        <v>0</v>
      </c>
      <c r="K103" s="642">
        <v>0</v>
      </c>
      <c r="L103" s="642">
        <v>0</v>
      </c>
      <c r="M103" s="642">
        <v>8.0245635507199722E-2</v>
      </c>
      <c r="N103" s="642">
        <v>0</v>
      </c>
      <c r="O103" s="642">
        <v>0</v>
      </c>
      <c r="P103" s="642">
        <v>40.722330861669313</v>
      </c>
      <c r="Q103" s="642">
        <v>3.067587727965682</v>
      </c>
      <c r="R103" s="642">
        <v>0</v>
      </c>
      <c r="S103" s="650">
        <v>47.802200364994981</v>
      </c>
      <c r="U103" s="648" t="s">
        <v>76</v>
      </c>
      <c r="V103" s="642">
        <v>0</v>
      </c>
      <c r="W103" s="642">
        <v>0</v>
      </c>
      <c r="X103" s="642">
        <v>0</v>
      </c>
      <c r="Y103" s="642">
        <v>3.2661405451259231</v>
      </c>
      <c r="Z103" s="642">
        <v>0</v>
      </c>
      <c r="AA103" s="642">
        <v>0</v>
      </c>
      <c r="AB103" s="642">
        <v>0</v>
      </c>
      <c r="AC103" s="642">
        <v>0</v>
      </c>
      <c r="AD103" s="642">
        <v>0</v>
      </c>
      <c r="AE103" s="642">
        <v>0.36290450501399146</v>
      </c>
      <c r="AF103" s="642">
        <v>0</v>
      </c>
      <c r="AG103" s="642">
        <v>0</v>
      </c>
      <c r="AH103" s="642">
        <v>41.021033770751153</v>
      </c>
      <c r="AI103" s="642">
        <v>5.1842177504327198</v>
      </c>
      <c r="AJ103" s="642">
        <v>0</v>
      </c>
      <c r="AK103" s="650">
        <v>49.83429657132379</v>
      </c>
    </row>
    <row r="104" spans="3:37" ht="13.5">
      <c r="C104" s="646" t="s">
        <v>77</v>
      </c>
      <c r="D104" s="647">
        <v>42.670287594150253</v>
      </c>
      <c r="E104" s="647">
        <v>543.58592423347193</v>
      </c>
      <c r="F104" s="647">
        <v>-505.27054203728642</v>
      </c>
      <c r="G104" s="647">
        <v>43.651536955186302</v>
      </c>
      <c r="H104" s="647">
        <v>1190.909090909091</v>
      </c>
      <c r="I104" s="647">
        <v>182.7291074592973</v>
      </c>
      <c r="J104" s="647">
        <v>90.391720844241689</v>
      </c>
      <c r="K104" s="647">
        <v>20.465410367143665</v>
      </c>
      <c r="L104" s="647">
        <v>-35.549865905347978</v>
      </c>
      <c r="M104" s="647">
        <v>-5.7591390219552938</v>
      </c>
      <c r="N104" s="647">
        <v>0</v>
      </c>
      <c r="O104" s="647">
        <v>5.2974013835997482</v>
      </c>
      <c r="P104" s="647">
        <v>-528.42224004688751</v>
      </c>
      <c r="Q104" s="647">
        <v>-36.463227585949021</v>
      </c>
      <c r="R104" s="647">
        <v>-0.71363666999870479</v>
      </c>
      <c r="S104" s="647">
        <v>1007.5218284787569</v>
      </c>
      <c r="U104" s="646" t="s">
        <v>77</v>
      </c>
      <c r="V104" s="647">
        <v>11.698923792177441</v>
      </c>
      <c r="W104" s="647">
        <v>418.96678903167981</v>
      </c>
      <c r="X104" s="647">
        <v>-387.18339834497311</v>
      </c>
      <c r="Y104" s="647">
        <v>75.148112962003211</v>
      </c>
      <c r="Z104" s="647">
        <v>1069.3939393939395</v>
      </c>
      <c r="AA104" s="647">
        <v>197.24910745929728</v>
      </c>
      <c r="AB104" s="647">
        <v>86.883130562246151</v>
      </c>
      <c r="AC104" s="647">
        <v>30.900823331372262</v>
      </c>
      <c r="AD104" s="647">
        <v>-49.654518519925347</v>
      </c>
      <c r="AE104" s="647">
        <v>-22.137761047546249</v>
      </c>
      <c r="AF104" s="647">
        <v>0</v>
      </c>
      <c r="AG104" s="647">
        <v>8.719548856576397</v>
      </c>
      <c r="AH104" s="647">
        <v>-515.91151940402369</v>
      </c>
      <c r="AI104" s="647">
        <v>-61.66120404388996</v>
      </c>
      <c r="AJ104" s="647">
        <v>-7.4600647069910382</v>
      </c>
      <c r="AK104" s="647">
        <v>854.95190932194248</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6.5032741679727843</v>
      </c>
      <c r="E106" s="642">
        <v>0</v>
      </c>
      <c r="F106" s="642">
        <v>25.052429385041094</v>
      </c>
      <c r="G106" s="642">
        <v>105.0474497029609</v>
      </c>
      <c r="H106" s="642">
        <v>0</v>
      </c>
      <c r="I106" s="642">
        <v>0</v>
      </c>
      <c r="J106" s="642">
        <v>18.534460646102772</v>
      </c>
      <c r="K106" s="642">
        <v>1.777675824710524</v>
      </c>
      <c r="L106" s="642">
        <v>0.85092246484375</v>
      </c>
      <c r="M106" s="642">
        <v>2.1625963554323833</v>
      </c>
      <c r="N106" s="642">
        <v>0</v>
      </c>
      <c r="O106" s="642">
        <v>3.8267455312152764E-4</v>
      </c>
      <c r="P106" s="642">
        <v>109.51907717242362</v>
      </c>
      <c r="Q106" s="642">
        <v>16.327213841854732</v>
      </c>
      <c r="R106" s="642">
        <v>0.36001684570312498</v>
      </c>
      <c r="S106" s="650">
        <v>286.13549908159882</v>
      </c>
      <c r="U106" s="648" t="s">
        <v>78</v>
      </c>
      <c r="V106" s="642">
        <v>0.86555588121413052</v>
      </c>
      <c r="W106" s="642">
        <v>0</v>
      </c>
      <c r="X106" s="642">
        <v>16.762295336222397</v>
      </c>
      <c r="Y106" s="642">
        <v>79.095876477460209</v>
      </c>
      <c r="Z106" s="642">
        <v>0</v>
      </c>
      <c r="AA106" s="642">
        <v>0</v>
      </c>
      <c r="AB106" s="642">
        <v>17.089093863910584</v>
      </c>
      <c r="AC106" s="642">
        <v>6.0070182825186862</v>
      </c>
      <c r="AD106" s="642">
        <v>1.13006109375</v>
      </c>
      <c r="AE106" s="642">
        <v>8.8072015710081235</v>
      </c>
      <c r="AF106" s="642">
        <v>0</v>
      </c>
      <c r="AG106" s="642">
        <v>3.8267455312152764E-4</v>
      </c>
      <c r="AH106" s="642">
        <v>130.4568218783393</v>
      </c>
      <c r="AI106" s="642">
        <v>20.327951659562498</v>
      </c>
      <c r="AJ106" s="642">
        <v>4.7486479492187499</v>
      </c>
      <c r="AK106" s="650">
        <v>285.29090666775784</v>
      </c>
    </row>
    <row r="107" spans="3:37" ht="13.5">
      <c r="C107" s="648" t="s">
        <v>79</v>
      </c>
      <c r="D107" s="642">
        <v>0</v>
      </c>
      <c r="E107" s="642">
        <v>0</v>
      </c>
      <c r="F107" s="642">
        <v>344.1701238998171</v>
      </c>
      <c r="G107" s="642">
        <v>14.686948049507158</v>
      </c>
      <c r="H107" s="642">
        <v>0</v>
      </c>
      <c r="I107" s="642">
        <v>0</v>
      </c>
      <c r="J107" s="642">
        <v>0</v>
      </c>
      <c r="K107" s="642">
        <v>0</v>
      </c>
      <c r="L107" s="642">
        <v>33.466916874810835</v>
      </c>
      <c r="M107" s="642">
        <v>0.29973363366341144</v>
      </c>
      <c r="N107" s="642">
        <v>0</v>
      </c>
      <c r="O107" s="642">
        <v>0</v>
      </c>
      <c r="P107" s="642">
        <v>30.235692409435519</v>
      </c>
      <c r="Q107" s="642">
        <v>0</v>
      </c>
      <c r="R107" s="642">
        <v>0.35361982429557981</v>
      </c>
      <c r="S107" s="650">
        <v>423.21303469152963</v>
      </c>
      <c r="U107" s="648" t="s">
        <v>79</v>
      </c>
      <c r="V107" s="642">
        <v>0</v>
      </c>
      <c r="W107" s="642">
        <v>0</v>
      </c>
      <c r="X107" s="642">
        <v>271.88041786379415</v>
      </c>
      <c r="Y107" s="642">
        <v>13.227335330391124</v>
      </c>
      <c r="Z107" s="642">
        <v>0</v>
      </c>
      <c r="AA107" s="642">
        <v>0</v>
      </c>
      <c r="AB107" s="642">
        <v>0</v>
      </c>
      <c r="AC107" s="642">
        <v>0</v>
      </c>
      <c r="AD107" s="642">
        <v>36.694869225102572</v>
      </c>
      <c r="AE107" s="642">
        <v>1.4697039255990136</v>
      </c>
      <c r="AF107" s="642">
        <v>0</v>
      </c>
      <c r="AG107" s="642">
        <v>0</v>
      </c>
      <c r="AH107" s="642">
        <v>34.641740873286757</v>
      </c>
      <c r="AI107" s="642">
        <v>0</v>
      </c>
      <c r="AJ107" s="642">
        <v>0.81877289536698361</v>
      </c>
      <c r="AK107" s="650">
        <v>358.73284011354053</v>
      </c>
    </row>
    <row r="108" spans="3:37" ht="13.5">
      <c r="C108" s="648" t="s">
        <v>80</v>
      </c>
      <c r="D108" s="642">
        <v>0</v>
      </c>
      <c r="E108" s="642">
        <v>0</v>
      </c>
      <c r="F108" s="642">
        <v>31.509183869953784</v>
      </c>
      <c r="G108" s="642">
        <v>103.72357678672635</v>
      </c>
      <c r="H108" s="642">
        <v>0</v>
      </c>
      <c r="I108" s="642">
        <v>0</v>
      </c>
      <c r="J108" s="642">
        <v>78.735270640359559</v>
      </c>
      <c r="K108" s="642">
        <v>0</v>
      </c>
      <c r="L108" s="642">
        <v>0</v>
      </c>
      <c r="M108" s="642">
        <v>2.1168076895250278</v>
      </c>
      <c r="N108" s="642">
        <v>41.43976216997369</v>
      </c>
      <c r="O108" s="642">
        <v>1.9317269815068459</v>
      </c>
      <c r="P108" s="642">
        <v>175.94122104806229</v>
      </c>
      <c r="Q108" s="642">
        <v>15.783130887728015</v>
      </c>
      <c r="R108" s="642">
        <v>0</v>
      </c>
      <c r="S108" s="650">
        <v>451.18068007383562</v>
      </c>
      <c r="U108" s="648" t="s">
        <v>80</v>
      </c>
      <c r="V108" s="642">
        <v>0</v>
      </c>
      <c r="W108" s="642">
        <v>0</v>
      </c>
      <c r="X108" s="642">
        <v>2.7574808042030705</v>
      </c>
      <c r="Y108" s="642">
        <v>67.24718580242552</v>
      </c>
      <c r="Z108" s="642">
        <v>0</v>
      </c>
      <c r="AA108" s="642">
        <v>0</v>
      </c>
      <c r="AB108" s="642">
        <v>71.925876784938879</v>
      </c>
      <c r="AC108" s="642">
        <v>0</v>
      </c>
      <c r="AD108" s="642">
        <v>0</v>
      </c>
      <c r="AE108" s="642">
        <v>7.4719095336028349</v>
      </c>
      <c r="AF108" s="642">
        <v>46.984438986784113</v>
      </c>
      <c r="AG108" s="642">
        <v>1.9327369863094026</v>
      </c>
      <c r="AH108" s="642">
        <v>159.87092870367675</v>
      </c>
      <c r="AI108" s="642">
        <v>32.787807198116425</v>
      </c>
      <c r="AJ108" s="642">
        <v>0</v>
      </c>
      <c r="AK108" s="650">
        <v>390.97836480005702</v>
      </c>
    </row>
    <row r="109" spans="3:37" ht="13.5">
      <c r="C109" s="648" t="s">
        <v>81</v>
      </c>
      <c r="D109" s="642">
        <v>0</v>
      </c>
      <c r="E109" s="642">
        <v>0</v>
      </c>
      <c r="F109" s="642">
        <v>13.089485167364064</v>
      </c>
      <c r="G109" s="642">
        <v>62.329787012805554</v>
      </c>
      <c r="H109" s="642">
        <v>0</v>
      </c>
      <c r="I109" s="642">
        <v>0</v>
      </c>
      <c r="J109" s="642">
        <v>3.5803203712753549</v>
      </c>
      <c r="K109" s="642">
        <v>2.4997359764460676E-2</v>
      </c>
      <c r="L109" s="642">
        <v>0</v>
      </c>
      <c r="M109" s="642">
        <v>1.2720364696490929</v>
      </c>
      <c r="N109" s="642">
        <v>8.0745890957481183</v>
      </c>
      <c r="O109" s="642">
        <v>0.83294326034961275</v>
      </c>
      <c r="P109" s="642">
        <v>131.24016316985416</v>
      </c>
      <c r="Q109" s="642">
        <v>4.3528828563662758</v>
      </c>
      <c r="R109" s="642">
        <v>0</v>
      </c>
      <c r="S109" s="650">
        <v>224.79720476317669</v>
      </c>
      <c r="U109" s="648" t="s">
        <v>81</v>
      </c>
      <c r="V109" s="642">
        <v>0</v>
      </c>
      <c r="W109" s="642">
        <v>0</v>
      </c>
      <c r="X109" s="642">
        <v>3.9119597768221439</v>
      </c>
      <c r="Y109" s="642">
        <v>38.3508738706755</v>
      </c>
      <c r="Z109" s="642">
        <v>0</v>
      </c>
      <c r="AA109" s="642">
        <v>0</v>
      </c>
      <c r="AB109" s="642">
        <v>7.8602291254253389</v>
      </c>
      <c r="AC109" s="642">
        <v>2.4997359764460676E-2</v>
      </c>
      <c r="AD109" s="642">
        <v>0</v>
      </c>
      <c r="AE109" s="642">
        <v>4.2612082078528335</v>
      </c>
      <c r="AF109" s="642">
        <v>14.106786738135797</v>
      </c>
      <c r="AG109" s="642">
        <v>1.7661272775976942</v>
      </c>
      <c r="AH109" s="642">
        <v>123.29032263862543</v>
      </c>
      <c r="AI109" s="642">
        <v>8.5454451862110297</v>
      </c>
      <c r="AJ109" s="642">
        <v>0</v>
      </c>
      <c r="AK109" s="650">
        <v>202.11795018111022</v>
      </c>
    </row>
    <row r="110" spans="3:37" ht="13.5">
      <c r="C110" s="648" t="s">
        <v>82</v>
      </c>
      <c r="D110" s="642">
        <v>0</v>
      </c>
      <c r="E110" s="642">
        <v>0</v>
      </c>
      <c r="F110" s="642">
        <v>33.167847610565538</v>
      </c>
      <c r="G110" s="642">
        <v>2.1624159537319825</v>
      </c>
      <c r="H110" s="642">
        <v>0</v>
      </c>
      <c r="I110" s="642">
        <v>0</v>
      </c>
      <c r="J110" s="642">
        <v>1.4487991994826963</v>
      </c>
      <c r="K110" s="642">
        <v>0</v>
      </c>
      <c r="L110" s="642">
        <v>2.4657875210358444</v>
      </c>
      <c r="M110" s="642">
        <v>4.4130937831264955E-2</v>
      </c>
      <c r="N110" s="642">
        <v>0</v>
      </c>
      <c r="O110" s="642">
        <v>8.4265288301735436E-2</v>
      </c>
      <c r="P110" s="642">
        <v>7.7746258142900144</v>
      </c>
      <c r="Q110" s="642">
        <v>0</v>
      </c>
      <c r="R110" s="642">
        <v>0</v>
      </c>
      <c r="S110" s="650">
        <v>47.147872325239064</v>
      </c>
      <c r="U110" s="648" t="s">
        <v>82</v>
      </c>
      <c r="V110" s="642">
        <v>0</v>
      </c>
      <c r="W110" s="642">
        <v>0</v>
      </c>
      <c r="X110" s="642">
        <v>27.0175910939627</v>
      </c>
      <c r="Y110" s="642">
        <v>2.3189520199147382</v>
      </c>
      <c r="Z110" s="642">
        <v>0</v>
      </c>
      <c r="AA110" s="642">
        <v>0</v>
      </c>
      <c r="AB110" s="642">
        <v>1.4487991994826963</v>
      </c>
      <c r="AC110" s="642">
        <v>0</v>
      </c>
      <c r="AD110" s="642">
        <v>9.9723689588186737</v>
      </c>
      <c r="AE110" s="642">
        <v>0.257661335546082</v>
      </c>
      <c r="AF110" s="642">
        <v>0</v>
      </c>
      <c r="AG110" s="642">
        <v>0.62518456969816016</v>
      </c>
      <c r="AH110" s="642">
        <v>7.8177780162568453</v>
      </c>
      <c r="AI110" s="642">
        <v>0</v>
      </c>
      <c r="AJ110" s="642">
        <v>0.17366238047171115</v>
      </c>
      <c r="AK110" s="650">
        <v>49.631997574151612</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v>
      </c>
      <c r="Q111" s="642">
        <v>0</v>
      </c>
      <c r="R111" s="642">
        <v>0</v>
      </c>
      <c r="S111" s="650">
        <v>0</v>
      </c>
      <c r="U111" s="648" t="s">
        <v>357</v>
      </c>
      <c r="V111" s="642">
        <v>0</v>
      </c>
      <c r="W111" s="642">
        <v>0</v>
      </c>
      <c r="X111" s="642">
        <v>0</v>
      </c>
      <c r="Y111" s="642">
        <v>0</v>
      </c>
      <c r="Z111" s="642">
        <v>0</v>
      </c>
      <c r="AA111" s="642">
        <v>0</v>
      </c>
      <c r="AB111" s="642">
        <v>0</v>
      </c>
      <c r="AC111" s="642">
        <v>0</v>
      </c>
      <c r="AD111" s="642">
        <v>0</v>
      </c>
      <c r="AE111" s="642">
        <v>0</v>
      </c>
      <c r="AF111" s="642">
        <v>0</v>
      </c>
      <c r="AG111" s="642">
        <v>0</v>
      </c>
      <c r="AH111" s="642">
        <v>0.6</v>
      </c>
      <c r="AI111" s="642">
        <v>0</v>
      </c>
      <c r="AJ111" s="642">
        <v>0</v>
      </c>
      <c r="AK111" s="650">
        <v>0.6</v>
      </c>
    </row>
    <row r="112" spans="3:37" ht="13.5">
      <c r="C112" s="646" t="s">
        <v>83</v>
      </c>
      <c r="D112" s="647">
        <v>6.5032741679727843</v>
      </c>
      <c r="E112" s="647">
        <v>0</v>
      </c>
      <c r="F112" s="647">
        <v>446.98906993274153</v>
      </c>
      <c r="G112" s="647">
        <v>287.95017750573197</v>
      </c>
      <c r="H112" s="647">
        <v>0</v>
      </c>
      <c r="I112" s="647">
        <v>0</v>
      </c>
      <c r="J112" s="647">
        <v>102.29885085722037</v>
      </c>
      <c r="K112" s="647">
        <v>1.8026731844749846</v>
      </c>
      <c r="L112" s="647">
        <v>36.783626860690426</v>
      </c>
      <c r="M112" s="647">
        <v>5.8953050861011809</v>
      </c>
      <c r="N112" s="647">
        <v>49.514351265721807</v>
      </c>
      <c r="O112" s="647">
        <v>2.8493182047113157</v>
      </c>
      <c r="P112" s="647">
        <v>454.71077961406559</v>
      </c>
      <c r="Q112" s="647">
        <v>36.463227585949028</v>
      </c>
      <c r="R112" s="647">
        <v>0.71363666999870479</v>
      </c>
      <c r="S112" s="647">
        <v>1432.4742909353797</v>
      </c>
      <c r="U112" s="646" t="s">
        <v>83</v>
      </c>
      <c r="V112" s="647">
        <v>0.86555588121413052</v>
      </c>
      <c r="W112" s="647">
        <v>0</v>
      </c>
      <c r="X112" s="647">
        <v>322.32974487500439</v>
      </c>
      <c r="Y112" s="647">
        <v>200.24022350086713</v>
      </c>
      <c r="Z112" s="647">
        <v>0</v>
      </c>
      <c r="AA112" s="647">
        <v>0</v>
      </c>
      <c r="AB112" s="647">
        <v>98.323998973757497</v>
      </c>
      <c r="AC112" s="647">
        <v>6.032015642283147</v>
      </c>
      <c r="AD112" s="647">
        <v>47.797299277671243</v>
      </c>
      <c r="AE112" s="647">
        <v>22.267684573608886</v>
      </c>
      <c r="AF112" s="647">
        <v>61.091225724919909</v>
      </c>
      <c r="AG112" s="647">
        <v>4.3244315081583782</v>
      </c>
      <c r="AH112" s="647">
        <v>456.67759211018512</v>
      </c>
      <c r="AI112" s="647">
        <v>61.66120404388996</v>
      </c>
      <c r="AJ112" s="647">
        <v>5.7410832250574444</v>
      </c>
      <c r="AK112" s="647">
        <v>1287.352059336617</v>
      </c>
    </row>
    <row r="113" spans="3:37" ht="13.5">
      <c r="C113" s="641" t="s">
        <v>84</v>
      </c>
      <c r="D113" s="642">
        <v>0</v>
      </c>
      <c r="E113" s="642">
        <v>0</v>
      </c>
      <c r="F113" s="642">
        <v>120.50577840542185</v>
      </c>
      <c r="G113" s="642">
        <v>12.411293173801123</v>
      </c>
      <c r="H113" s="642">
        <v>0</v>
      </c>
      <c r="I113" s="642">
        <v>0</v>
      </c>
      <c r="J113" s="642">
        <v>0</v>
      </c>
      <c r="K113" s="642">
        <v>0</v>
      </c>
      <c r="L113" s="642">
        <v>0</v>
      </c>
      <c r="M113" s="642">
        <v>0</v>
      </c>
      <c r="N113" s="642">
        <v>0</v>
      </c>
      <c r="O113" s="642">
        <v>0</v>
      </c>
      <c r="P113" s="642">
        <v>0</v>
      </c>
      <c r="Q113" s="642">
        <v>0</v>
      </c>
      <c r="R113" s="642">
        <v>0</v>
      </c>
      <c r="S113" s="650">
        <v>132.91707157922298</v>
      </c>
      <c r="U113" s="641" t="s">
        <v>84</v>
      </c>
      <c r="V113" s="642">
        <v>0</v>
      </c>
      <c r="W113" s="642">
        <v>0</v>
      </c>
      <c r="X113" s="642">
        <v>117.28279502427566</v>
      </c>
      <c r="Y113" s="642">
        <v>1.8168604665649504</v>
      </c>
      <c r="Z113" s="642">
        <v>0</v>
      </c>
      <c r="AA113" s="642">
        <v>0</v>
      </c>
      <c r="AB113" s="642">
        <v>0</v>
      </c>
      <c r="AC113" s="642">
        <v>0</v>
      </c>
      <c r="AD113" s="642">
        <v>0.35207966308593752</v>
      </c>
      <c r="AE113" s="642">
        <v>0</v>
      </c>
      <c r="AF113" s="642">
        <v>0</v>
      </c>
      <c r="AG113" s="642">
        <v>0</v>
      </c>
      <c r="AH113" s="642">
        <v>0</v>
      </c>
      <c r="AI113" s="642">
        <v>0</v>
      </c>
      <c r="AJ113" s="642">
        <v>1.7189814819335938</v>
      </c>
      <c r="AK113" s="650">
        <v>121.17071663586013</v>
      </c>
    </row>
    <row r="114" spans="3:37" ht="13.5">
      <c r="C114" s="646" t="s">
        <v>85</v>
      </c>
      <c r="D114" s="647">
        <v>6.5032741679727843</v>
      </c>
      <c r="E114" s="647">
        <v>0</v>
      </c>
      <c r="F114" s="647">
        <v>567.49484833816337</v>
      </c>
      <c r="G114" s="647">
        <v>300.36147067953311</v>
      </c>
      <c r="H114" s="647">
        <v>0</v>
      </c>
      <c r="I114" s="647">
        <v>0</v>
      </c>
      <c r="J114" s="647">
        <v>102.29885085722037</v>
      </c>
      <c r="K114" s="647">
        <v>1.8026731844749846</v>
      </c>
      <c r="L114" s="647">
        <v>36.783626860690426</v>
      </c>
      <c r="M114" s="647">
        <v>5.8953050861011809</v>
      </c>
      <c r="N114" s="647">
        <v>49.514351265721807</v>
      </c>
      <c r="O114" s="647">
        <v>2.8493182047113157</v>
      </c>
      <c r="P114" s="647">
        <v>454.71077961406559</v>
      </c>
      <c r="Q114" s="647">
        <v>36.463227585949028</v>
      </c>
      <c r="R114" s="647">
        <v>0.71363666999870479</v>
      </c>
      <c r="S114" s="647">
        <v>1565.3913625146026</v>
      </c>
      <c r="U114" s="646" t="s">
        <v>85</v>
      </c>
      <c r="V114" s="647">
        <v>0.86555588121413052</v>
      </c>
      <c r="W114" s="647">
        <v>0</v>
      </c>
      <c r="X114" s="647">
        <v>439.61253989928008</v>
      </c>
      <c r="Y114" s="647">
        <v>202.05708396743208</v>
      </c>
      <c r="Z114" s="647">
        <v>0</v>
      </c>
      <c r="AA114" s="647">
        <v>0</v>
      </c>
      <c r="AB114" s="647">
        <v>98.323998973757497</v>
      </c>
      <c r="AC114" s="647">
        <v>6.032015642283147</v>
      </c>
      <c r="AD114" s="647">
        <v>48.149378940757181</v>
      </c>
      <c r="AE114" s="647">
        <v>22.267684573608886</v>
      </c>
      <c r="AF114" s="647">
        <v>61.091225724919909</v>
      </c>
      <c r="AG114" s="647">
        <v>4.3244315081583782</v>
      </c>
      <c r="AH114" s="647">
        <v>456.67759211018512</v>
      </c>
      <c r="AI114" s="647">
        <v>61.66120404388996</v>
      </c>
      <c r="AJ114" s="647">
        <v>7.4600647069910382</v>
      </c>
      <c r="AK114" s="647">
        <v>1408.5227759724771</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360</v>
      </c>
      <c r="D116" s="699"/>
      <c r="E116" s="699"/>
      <c r="F116" s="699"/>
      <c r="G116" s="699"/>
      <c r="H116" s="699"/>
      <c r="I116" s="699"/>
      <c r="J116" s="699"/>
      <c r="K116" s="699"/>
      <c r="L116" s="699"/>
      <c r="M116" s="699"/>
      <c r="N116" s="699"/>
      <c r="O116" s="699"/>
      <c r="P116" s="699"/>
      <c r="Q116" s="699"/>
      <c r="R116" s="699"/>
      <c r="S116" s="699"/>
      <c r="U116" s="699" t="s">
        <v>360</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7.3966799999999999</v>
      </c>
      <c r="F120" s="643">
        <v>0</v>
      </c>
      <c r="G120" s="642">
        <v>0.13025600000000001</v>
      </c>
      <c r="H120" s="643">
        <v>1121.3636363636365</v>
      </c>
      <c r="I120" s="643">
        <v>207.57369132422022</v>
      </c>
      <c r="J120" s="643">
        <v>190.75115787672021</v>
      </c>
      <c r="K120" s="643">
        <v>21.756321957796004</v>
      </c>
      <c r="L120" s="643">
        <v>0.34997737871272444</v>
      </c>
      <c r="M120" s="643">
        <v>0.14846473955328648</v>
      </c>
      <c r="N120" s="643">
        <v>54.409714472774652</v>
      </c>
      <c r="O120" s="643">
        <v>8.1015620286034657</v>
      </c>
      <c r="P120" s="644">
        <v>0</v>
      </c>
      <c r="Q120" s="643">
        <v>0</v>
      </c>
      <c r="R120" s="643">
        <v>0</v>
      </c>
      <c r="S120" s="645">
        <v>1611.9814621420169</v>
      </c>
      <c r="U120" s="641" t="s">
        <v>59</v>
      </c>
      <c r="V120" s="642">
        <v>0</v>
      </c>
      <c r="W120" s="643">
        <v>7.3966799999999999</v>
      </c>
      <c r="X120" s="643">
        <v>0</v>
      </c>
      <c r="Y120" s="642">
        <v>0.13025600000000001</v>
      </c>
      <c r="Z120" s="643">
        <v>1024.3939393939395</v>
      </c>
      <c r="AA120" s="643">
        <v>228.1236913242202</v>
      </c>
      <c r="AB120" s="643">
        <v>188.80425896422437</v>
      </c>
      <c r="AC120" s="643">
        <v>37.588366510920622</v>
      </c>
      <c r="AD120" s="643">
        <v>0.34997737871272444</v>
      </c>
      <c r="AE120" s="643">
        <v>0.14846473955328648</v>
      </c>
      <c r="AF120" s="643">
        <v>70.498567758341522</v>
      </c>
      <c r="AG120" s="643">
        <v>15.201618538088493</v>
      </c>
      <c r="AH120" s="644">
        <v>0</v>
      </c>
      <c r="AI120" s="643">
        <v>0</v>
      </c>
      <c r="AJ120" s="643">
        <v>0</v>
      </c>
      <c r="AK120" s="645">
        <v>1572.6358206080006</v>
      </c>
    </row>
    <row r="121" spans="3:37" ht="13.5">
      <c r="C121" s="641" t="s">
        <v>60</v>
      </c>
      <c r="D121" s="642">
        <v>48.993463204278932</v>
      </c>
      <c r="E121" s="643">
        <v>524.37115290345116</v>
      </c>
      <c r="F121" s="643">
        <v>128.47715148642752</v>
      </c>
      <c r="G121" s="642">
        <v>338.60190682175607</v>
      </c>
      <c r="H121" s="643">
        <v>0</v>
      </c>
      <c r="I121" s="643">
        <v>0</v>
      </c>
      <c r="J121" s="643">
        <v>3.4492102766833175</v>
      </c>
      <c r="K121" s="643">
        <v>0</v>
      </c>
      <c r="L121" s="643">
        <v>1.9497058389942057</v>
      </c>
      <c r="M121" s="643">
        <v>0</v>
      </c>
      <c r="N121" s="643">
        <v>0</v>
      </c>
      <c r="O121" s="643">
        <v>0</v>
      </c>
      <c r="P121" s="644">
        <v>0</v>
      </c>
      <c r="Q121" s="643">
        <v>0</v>
      </c>
      <c r="R121" s="643">
        <v>0</v>
      </c>
      <c r="S121" s="645">
        <v>1045.8425905315912</v>
      </c>
      <c r="U121" s="641" t="s">
        <v>60</v>
      </c>
      <c r="V121" s="642">
        <v>10.847134235204434</v>
      </c>
      <c r="W121" s="643">
        <v>365.76498082844296</v>
      </c>
      <c r="X121" s="643">
        <v>91.958139733680838</v>
      </c>
      <c r="Y121" s="642">
        <v>234.76100914366791</v>
      </c>
      <c r="Z121" s="643">
        <v>0</v>
      </c>
      <c r="AA121" s="643">
        <v>0</v>
      </c>
      <c r="AB121" s="643">
        <v>3.4492102766833175</v>
      </c>
      <c r="AC121" s="643">
        <v>0</v>
      </c>
      <c r="AD121" s="643">
        <v>1.9497058389942057</v>
      </c>
      <c r="AE121" s="643">
        <v>0</v>
      </c>
      <c r="AF121" s="643">
        <v>0</v>
      </c>
      <c r="AG121" s="643">
        <v>0</v>
      </c>
      <c r="AH121" s="644">
        <v>0</v>
      </c>
      <c r="AI121" s="643">
        <v>0</v>
      </c>
      <c r="AJ121" s="643">
        <v>0</v>
      </c>
      <c r="AK121" s="645">
        <v>708.7301800566737</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-60.003896317889257</v>
      </c>
      <c r="Q122" s="643">
        <v>0</v>
      </c>
      <c r="R122" s="643">
        <v>0</v>
      </c>
      <c r="S122" s="645">
        <v>-60.003896317889257</v>
      </c>
      <c r="U122" s="641" t="s">
        <v>61</v>
      </c>
      <c r="V122" s="642">
        <v>0</v>
      </c>
      <c r="W122" s="643">
        <v>0</v>
      </c>
      <c r="X122" s="643">
        <v>0</v>
      </c>
      <c r="Y122" s="642">
        <v>0</v>
      </c>
      <c r="Z122" s="643">
        <v>0</v>
      </c>
      <c r="AA122" s="643">
        <v>0</v>
      </c>
      <c r="AB122" s="643">
        <v>0</v>
      </c>
      <c r="AC122" s="643">
        <v>0</v>
      </c>
      <c r="AD122" s="643">
        <v>0</v>
      </c>
      <c r="AE122" s="643">
        <v>0</v>
      </c>
      <c r="AF122" s="643">
        <v>0</v>
      </c>
      <c r="AG122" s="643">
        <v>0</v>
      </c>
      <c r="AH122" s="644">
        <v>-43.289743938015249</v>
      </c>
      <c r="AI122" s="643">
        <v>0</v>
      </c>
      <c r="AJ122" s="643">
        <v>0</v>
      </c>
      <c r="AK122" s="645">
        <v>-43.289743938015249</v>
      </c>
    </row>
    <row r="123" spans="3:37" ht="13.5">
      <c r="C123" s="641" t="s">
        <v>62</v>
      </c>
      <c r="D123" s="642">
        <v>0</v>
      </c>
      <c r="E123" s="643">
        <v>0</v>
      </c>
      <c r="F123" s="643">
        <v>-16.352432750095883</v>
      </c>
      <c r="G123" s="642">
        <v>0</v>
      </c>
      <c r="H123" s="643">
        <v>0</v>
      </c>
      <c r="I123" s="643">
        <v>0</v>
      </c>
      <c r="J123" s="643">
        <v>0</v>
      </c>
      <c r="K123" s="643">
        <v>0</v>
      </c>
      <c r="L123" s="643">
        <v>0</v>
      </c>
      <c r="M123" s="643">
        <v>0</v>
      </c>
      <c r="N123" s="643">
        <v>0</v>
      </c>
      <c r="O123" s="643">
        <v>0</v>
      </c>
      <c r="P123" s="644">
        <v>0</v>
      </c>
      <c r="Q123" s="643">
        <v>0</v>
      </c>
      <c r="R123" s="643">
        <v>0</v>
      </c>
      <c r="S123" s="645">
        <v>-16.352432750095883</v>
      </c>
      <c r="U123" s="641" t="s">
        <v>62</v>
      </c>
      <c r="V123" s="642">
        <v>0</v>
      </c>
      <c r="W123" s="643">
        <v>0</v>
      </c>
      <c r="X123" s="643">
        <v>-14.208433022133823</v>
      </c>
      <c r="Y123" s="642">
        <v>-0.95675088928507923</v>
      </c>
      <c r="Z123" s="643">
        <v>0</v>
      </c>
      <c r="AA123" s="643">
        <v>0</v>
      </c>
      <c r="AB123" s="643">
        <v>0</v>
      </c>
      <c r="AC123" s="643">
        <v>0</v>
      </c>
      <c r="AD123" s="643">
        <v>0</v>
      </c>
      <c r="AE123" s="643">
        <v>-0.16736955973660289</v>
      </c>
      <c r="AF123" s="643">
        <v>0</v>
      </c>
      <c r="AG123" s="643">
        <v>0</v>
      </c>
      <c r="AH123" s="644">
        <v>0</v>
      </c>
      <c r="AI123" s="643">
        <v>0</v>
      </c>
      <c r="AJ123" s="643">
        <v>0</v>
      </c>
      <c r="AK123" s="645">
        <v>-15.332553471155505</v>
      </c>
    </row>
    <row r="124" spans="3:37" ht="13.5">
      <c r="C124" s="641" t="s">
        <v>63</v>
      </c>
      <c r="D124" s="642">
        <v>0</v>
      </c>
      <c r="E124" s="643">
        <v>0</v>
      </c>
      <c r="F124" s="643">
        <v>-82.364123594751035</v>
      </c>
      <c r="G124" s="642">
        <v>0</v>
      </c>
      <c r="H124" s="643">
        <v>0</v>
      </c>
      <c r="I124" s="643">
        <v>0</v>
      </c>
      <c r="J124" s="643">
        <v>0</v>
      </c>
      <c r="K124" s="643">
        <v>0</v>
      </c>
      <c r="L124" s="643">
        <v>-0.84952974503182688</v>
      </c>
      <c r="M124" s="643">
        <v>0</v>
      </c>
      <c r="N124" s="643">
        <v>0</v>
      </c>
      <c r="O124" s="643">
        <v>0</v>
      </c>
      <c r="P124" s="644">
        <v>0</v>
      </c>
      <c r="Q124" s="643">
        <v>0</v>
      </c>
      <c r="R124" s="643">
        <v>0</v>
      </c>
      <c r="S124" s="645">
        <v>-83.213653339782866</v>
      </c>
      <c r="U124" s="641" t="s">
        <v>63</v>
      </c>
      <c r="V124" s="642">
        <v>0</v>
      </c>
      <c r="W124" s="643">
        <v>0</v>
      </c>
      <c r="X124" s="643">
        <v>-71.599112277853877</v>
      </c>
      <c r="Y124" s="642">
        <v>0</v>
      </c>
      <c r="Z124" s="643">
        <v>0</v>
      </c>
      <c r="AA124" s="643">
        <v>0</v>
      </c>
      <c r="AB124" s="643">
        <v>0</v>
      </c>
      <c r="AC124" s="643">
        <v>0</v>
      </c>
      <c r="AD124" s="643">
        <v>-10.622786066784549</v>
      </c>
      <c r="AE124" s="643">
        <v>0</v>
      </c>
      <c r="AF124" s="643">
        <v>0</v>
      </c>
      <c r="AG124" s="643">
        <v>0</v>
      </c>
      <c r="AH124" s="644">
        <v>0</v>
      </c>
      <c r="AI124" s="643">
        <v>0</v>
      </c>
      <c r="AJ124" s="643">
        <v>0</v>
      </c>
      <c r="AK124" s="645">
        <v>-82.221898344638419</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48.993463204278932</v>
      </c>
      <c r="E126" s="647">
        <v>531.76783290345111</v>
      </c>
      <c r="F126" s="647">
        <v>29.760595141580591</v>
      </c>
      <c r="G126" s="647">
        <v>338.73216282175605</v>
      </c>
      <c r="H126" s="647">
        <v>1121.3636363636365</v>
      </c>
      <c r="I126" s="647">
        <v>207.57369132422022</v>
      </c>
      <c r="J126" s="647">
        <v>194.20036815340353</v>
      </c>
      <c r="K126" s="647">
        <v>21.756321957796004</v>
      </c>
      <c r="L126" s="647">
        <v>1.4501534726751033</v>
      </c>
      <c r="M126" s="647">
        <v>0.14846473955328648</v>
      </c>
      <c r="N126" s="647">
        <v>54.409714472774652</v>
      </c>
      <c r="O126" s="647">
        <v>8.1015620286034657</v>
      </c>
      <c r="P126" s="647">
        <v>-60.003896317889257</v>
      </c>
      <c r="Q126" s="647">
        <v>0</v>
      </c>
      <c r="R126" s="647">
        <v>0</v>
      </c>
      <c r="S126" s="647">
        <v>2498.2540702658398</v>
      </c>
      <c r="U126" s="646" t="s">
        <v>65</v>
      </c>
      <c r="V126" s="647">
        <v>10.847134235204434</v>
      </c>
      <c r="W126" s="647">
        <v>373.16166082844296</v>
      </c>
      <c r="X126" s="647">
        <v>6.1505944336931329</v>
      </c>
      <c r="Y126" s="647">
        <v>233.93451425438283</v>
      </c>
      <c r="Z126" s="647">
        <v>1024.3939393939395</v>
      </c>
      <c r="AA126" s="647">
        <v>228.1236913242202</v>
      </c>
      <c r="AB126" s="647">
        <v>192.25346924090769</v>
      </c>
      <c r="AC126" s="647">
        <v>37.588366510920622</v>
      </c>
      <c r="AD126" s="647">
        <v>-8.3231028490776193</v>
      </c>
      <c r="AE126" s="647">
        <v>-1.8904820183316406E-2</v>
      </c>
      <c r="AF126" s="647">
        <v>70.498567758341522</v>
      </c>
      <c r="AG126" s="647">
        <v>15.201618538088493</v>
      </c>
      <c r="AH126" s="647">
        <v>-43.289743938015249</v>
      </c>
      <c r="AI126" s="647">
        <v>0</v>
      </c>
      <c r="AJ126" s="647">
        <v>0</v>
      </c>
      <c r="AK126" s="647">
        <v>2140.5218049108653</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7.7941116668718937</v>
      </c>
      <c r="G129" s="642">
        <v>17.578475336322871</v>
      </c>
      <c r="H129" s="642">
        <v>1121.3636363636365</v>
      </c>
      <c r="I129" s="642">
        <v>207.57369132422022</v>
      </c>
      <c r="J129" s="651">
        <v>30.869450548245954</v>
      </c>
      <c r="K129" s="651">
        <v>7.6561165469613854</v>
      </c>
      <c r="L129" s="651">
        <v>2.2996832177069302</v>
      </c>
      <c r="M129" s="651">
        <v>0.47494016865067573</v>
      </c>
      <c r="N129" s="651">
        <v>0</v>
      </c>
      <c r="O129" s="651">
        <v>3.0833964576427819</v>
      </c>
      <c r="P129" s="642">
        <v>-607.79183020434141</v>
      </c>
      <c r="Q129" s="642">
        <v>0</v>
      </c>
      <c r="R129" s="642">
        <v>0</v>
      </c>
      <c r="S129" s="650">
        <v>793.72845706694284</v>
      </c>
      <c r="U129" s="648" t="s">
        <v>350</v>
      </c>
      <c r="V129" s="642">
        <v>0.62631490545869017</v>
      </c>
      <c r="W129" s="642">
        <v>0</v>
      </c>
      <c r="X129" s="642">
        <v>3.93047530323553</v>
      </c>
      <c r="Y129" s="642">
        <v>32.755695067264575</v>
      </c>
      <c r="Z129" s="642">
        <v>1024.3939393939395</v>
      </c>
      <c r="AA129" s="642">
        <v>228.1236913242202</v>
      </c>
      <c r="AB129" s="651">
        <v>25.192532039575013</v>
      </c>
      <c r="AC129" s="651">
        <v>7.1226809684101786</v>
      </c>
      <c r="AD129" s="651">
        <v>2.2996832177069302</v>
      </c>
      <c r="AE129" s="651">
        <v>5.010724922013905</v>
      </c>
      <c r="AF129" s="651">
        <v>0</v>
      </c>
      <c r="AG129" s="651">
        <v>3.0833964576427819</v>
      </c>
      <c r="AH129" s="642">
        <v>-605.04183020434141</v>
      </c>
      <c r="AI129" s="642">
        <v>0</v>
      </c>
      <c r="AJ129" s="642">
        <v>1.4249999999999998</v>
      </c>
      <c r="AK129" s="650">
        <v>728.92230339512548</v>
      </c>
    </row>
    <row r="130" spans="3:37" ht="13.5">
      <c r="C130" s="648" t="s">
        <v>351</v>
      </c>
      <c r="D130" s="642">
        <v>0</v>
      </c>
      <c r="E130" s="642">
        <v>0</v>
      </c>
      <c r="F130" s="642">
        <v>0</v>
      </c>
      <c r="G130" s="642">
        <v>15.306890454029709</v>
      </c>
      <c r="H130" s="642">
        <v>0</v>
      </c>
      <c r="I130" s="642">
        <v>0</v>
      </c>
      <c r="J130" s="651">
        <v>13.130836985616687</v>
      </c>
      <c r="K130" s="651">
        <v>12.274327089138302</v>
      </c>
      <c r="L130" s="651">
        <v>0</v>
      </c>
      <c r="M130" s="651">
        <v>0.32594257421966627</v>
      </c>
      <c r="N130" s="651">
        <v>0</v>
      </c>
      <c r="O130" s="651">
        <v>2.1777173090422202</v>
      </c>
      <c r="P130" s="642">
        <v>0</v>
      </c>
      <c r="Q130" s="642">
        <v>-38.962978394907431</v>
      </c>
      <c r="R130" s="642">
        <v>0</v>
      </c>
      <c r="S130" s="650">
        <v>4.2527360171391511</v>
      </c>
      <c r="U130" s="648" t="s">
        <v>351</v>
      </c>
      <c r="V130" s="642">
        <v>0</v>
      </c>
      <c r="W130" s="642">
        <v>0</v>
      </c>
      <c r="X130" s="642">
        <v>0</v>
      </c>
      <c r="Y130" s="642">
        <v>16.285163933286896</v>
      </c>
      <c r="Z130" s="642">
        <v>0</v>
      </c>
      <c r="AA130" s="642">
        <v>0</v>
      </c>
      <c r="AB130" s="651">
        <v>27.330859307935192</v>
      </c>
      <c r="AC130" s="651">
        <v>24.40929016388429</v>
      </c>
      <c r="AD130" s="651">
        <v>0</v>
      </c>
      <c r="AE130" s="651">
        <v>2.4469723551258755</v>
      </c>
      <c r="AF130" s="651">
        <v>0</v>
      </c>
      <c r="AG130" s="651">
        <v>7.1814032045118834</v>
      </c>
      <c r="AH130" s="642">
        <v>0</v>
      </c>
      <c r="AI130" s="642">
        <v>-70.686462815005612</v>
      </c>
      <c r="AJ130" s="642">
        <v>0</v>
      </c>
      <c r="AK130" s="650">
        <v>6.967226149738531</v>
      </c>
    </row>
    <row r="131" spans="3:37" ht="13.5">
      <c r="C131" s="648" t="s">
        <v>352</v>
      </c>
      <c r="D131" s="642">
        <v>0</v>
      </c>
      <c r="E131" s="642">
        <v>0</v>
      </c>
      <c r="F131" s="642">
        <v>0</v>
      </c>
      <c r="G131" s="642">
        <v>0</v>
      </c>
      <c r="H131" s="642">
        <v>0</v>
      </c>
      <c r="I131" s="642">
        <v>0</v>
      </c>
      <c r="J131" s="652">
        <v>7.549386302639002</v>
      </c>
      <c r="K131" s="652">
        <v>0</v>
      </c>
      <c r="L131" s="652">
        <v>0</v>
      </c>
      <c r="M131" s="652">
        <v>-6.6642207586545794</v>
      </c>
      <c r="N131" s="652">
        <v>0</v>
      </c>
      <c r="O131" s="652">
        <v>0</v>
      </c>
      <c r="P131" s="642">
        <v>0</v>
      </c>
      <c r="Q131" s="642">
        <v>0</v>
      </c>
      <c r="R131" s="642">
        <v>0</v>
      </c>
      <c r="S131" s="650">
        <v>0.8851655439844226</v>
      </c>
      <c r="U131" s="648" t="s">
        <v>352</v>
      </c>
      <c r="V131" s="642">
        <v>0</v>
      </c>
      <c r="W131" s="642">
        <v>0</v>
      </c>
      <c r="X131" s="642">
        <v>0</v>
      </c>
      <c r="Y131" s="642">
        <v>0</v>
      </c>
      <c r="Z131" s="642">
        <v>0</v>
      </c>
      <c r="AA131" s="642">
        <v>0</v>
      </c>
      <c r="AB131" s="652">
        <v>39.489443827479029</v>
      </c>
      <c r="AC131" s="652">
        <v>0</v>
      </c>
      <c r="AD131" s="652">
        <v>0</v>
      </c>
      <c r="AE131" s="652">
        <v>-34.859306538707116</v>
      </c>
      <c r="AF131" s="652">
        <v>0</v>
      </c>
      <c r="AG131" s="652">
        <v>0</v>
      </c>
      <c r="AH131" s="642">
        <v>0</v>
      </c>
      <c r="AI131" s="642">
        <v>0</v>
      </c>
      <c r="AJ131" s="642">
        <v>0</v>
      </c>
      <c r="AK131" s="650">
        <v>4.6301372887719126</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550.85495716936975</v>
      </c>
      <c r="F133" s="642">
        <v>-545.34640759767603</v>
      </c>
      <c r="G133" s="642">
        <v>0</v>
      </c>
      <c r="H133" s="642">
        <v>0</v>
      </c>
      <c r="I133" s="642">
        <v>0</v>
      </c>
      <c r="J133" s="642">
        <v>0</v>
      </c>
      <c r="K133" s="642">
        <v>0</v>
      </c>
      <c r="L133" s="642">
        <v>0</v>
      </c>
      <c r="M133" s="642">
        <v>0</v>
      </c>
      <c r="N133" s="642">
        <v>0</v>
      </c>
      <c r="O133" s="642">
        <v>0</v>
      </c>
      <c r="P133" s="642">
        <v>0</v>
      </c>
      <c r="Q133" s="642">
        <v>0</v>
      </c>
      <c r="R133" s="642">
        <v>0</v>
      </c>
      <c r="S133" s="650">
        <v>5.5085495716937203</v>
      </c>
      <c r="U133" s="648" t="s">
        <v>72</v>
      </c>
      <c r="V133" s="642">
        <v>0</v>
      </c>
      <c r="W133" s="642">
        <v>386.55581999113582</v>
      </c>
      <c r="X133" s="642">
        <v>-382.69026179122449</v>
      </c>
      <c r="Y133" s="642">
        <v>0</v>
      </c>
      <c r="Z133" s="642">
        <v>0</v>
      </c>
      <c r="AA133" s="642">
        <v>0</v>
      </c>
      <c r="AB133" s="642">
        <v>0</v>
      </c>
      <c r="AC133" s="642">
        <v>0</v>
      </c>
      <c r="AD133" s="642">
        <v>0</v>
      </c>
      <c r="AE133" s="642">
        <v>0</v>
      </c>
      <c r="AF133" s="642">
        <v>0</v>
      </c>
      <c r="AG133" s="642">
        <v>0</v>
      </c>
      <c r="AH133" s="642">
        <v>0</v>
      </c>
      <c r="AI133" s="642">
        <v>0</v>
      </c>
      <c r="AJ133" s="642">
        <v>0</v>
      </c>
      <c r="AK133" s="650">
        <v>3.8655581999113338</v>
      </c>
    </row>
    <row r="134" spans="3:37" ht="13.5">
      <c r="C134" s="648" t="s">
        <v>354</v>
      </c>
      <c r="D134" s="642">
        <v>0</v>
      </c>
      <c r="E134" s="642">
        <v>0</v>
      </c>
      <c r="F134" s="642">
        <v>0</v>
      </c>
      <c r="G134" s="642">
        <v>0</v>
      </c>
      <c r="H134" s="642">
        <v>0</v>
      </c>
      <c r="I134" s="642">
        <v>0</v>
      </c>
      <c r="J134" s="642">
        <v>34.694031238964726</v>
      </c>
      <c r="K134" s="642">
        <v>0</v>
      </c>
      <c r="L134" s="642">
        <v>-34.694031238964726</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-64.13008508665132</v>
      </c>
      <c r="AE134" s="642">
        <v>0</v>
      </c>
      <c r="AF134" s="642">
        <v>0</v>
      </c>
      <c r="AG134" s="642">
        <v>0</v>
      </c>
      <c r="AH134" s="642">
        <v>0</v>
      </c>
      <c r="AI134" s="642">
        <v>0</v>
      </c>
      <c r="AJ134" s="642">
        <v>0</v>
      </c>
      <c r="AK134" s="650">
        <v>-64.13008508665132</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-12.704571841330187</v>
      </c>
      <c r="AE135" s="642">
        <v>0</v>
      </c>
      <c r="AF135" s="642">
        <v>0</v>
      </c>
      <c r="AG135" s="642">
        <v>0</v>
      </c>
      <c r="AH135" s="642">
        <v>0</v>
      </c>
      <c r="AI135" s="642">
        <v>0</v>
      </c>
      <c r="AJ135" s="642">
        <v>0</v>
      </c>
      <c r="AK135" s="650">
        <v>-12.704571841330187</v>
      </c>
    </row>
    <row r="136" spans="3:37" ht="13.5">
      <c r="C136" s="648" t="s">
        <v>73</v>
      </c>
      <c r="D136" s="642">
        <v>0</v>
      </c>
      <c r="E136" s="642">
        <v>0</v>
      </c>
      <c r="F136" s="642">
        <v>0</v>
      </c>
      <c r="G136" s="642">
        <v>2.1153211001028303</v>
      </c>
      <c r="H136" s="642">
        <v>0</v>
      </c>
      <c r="I136" s="642">
        <v>0</v>
      </c>
      <c r="J136" s="642">
        <v>0</v>
      </c>
      <c r="K136" s="642">
        <v>2.387711193000305E-2</v>
      </c>
      <c r="L136" s="642">
        <v>0</v>
      </c>
      <c r="M136" s="642">
        <v>4.3169818369445515E-2</v>
      </c>
      <c r="N136" s="642">
        <v>0</v>
      </c>
      <c r="O136" s="642">
        <v>0</v>
      </c>
      <c r="P136" s="642">
        <v>0.21762333659139796</v>
      </c>
      <c r="Q136" s="642">
        <v>0</v>
      </c>
      <c r="R136" s="642">
        <v>-1.6713978351002134</v>
      </c>
      <c r="S136" s="650">
        <v>0.72859353189346332</v>
      </c>
      <c r="U136" s="648" t="s">
        <v>73</v>
      </c>
      <c r="V136" s="642">
        <v>0</v>
      </c>
      <c r="W136" s="642">
        <v>0</v>
      </c>
      <c r="X136" s="642">
        <v>0</v>
      </c>
      <c r="Y136" s="642">
        <v>5.6183676161021641</v>
      </c>
      <c r="Z136" s="642">
        <v>0</v>
      </c>
      <c r="AA136" s="642">
        <v>0</v>
      </c>
      <c r="AB136" s="642">
        <v>0</v>
      </c>
      <c r="AC136" s="642">
        <v>0.19393074509344391</v>
      </c>
      <c r="AD136" s="642">
        <v>0</v>
      </c>
      <c r="AE136" s="642">
        <v>0.83952619550951879</v>
      </c>
      <c r="AF136" s="642">
        <v>0</v>
      </c>
      <c r="AG136" s="642">
        <v>0</v>
      </c>
      <c r="AH136" s="642">
        <v>13.50321720945872</v>
      </c>
      <c r="AI136" s="642">
        <v>0</v>
      </c>
      <c r="AJ136" s="642">
        <v>-13.575152156541073</v>
      </c>
      <c r="AK136" s="650">
        <v>6.579889609622775</v>
      </c>
    </row>
    <row r="137" spans="3:37" ht="13.5">
      <c r="C137" s="648" t="s">
        <v>356</v>
      </c>
      <c r="D137" s="642">
        <v>28.669681406249996</v>
      </c>
      <c r="E137" s="642">
        <v>-19.087124265918664</v>
      </c>
      <c r="F137" s="642">
        <v>24.964831154950382</v>
      </c>
      <c r="G137" s="642">
        <v>0</v>
      </c>
      <c r="H137" s="642">
        <v>0</v>
      </c>
      <c r="I137" s="642">
        <v>0</v>
      </c>
      <c r="J137" s="642">
        <v>0</v>
      </c>
      <c r="K137" s="642">
        <v>0</v>
      </c>
      <c r="L137" s="642">
        <v>0</v>
      </c>
      <c r="M137" s="642">
        <v>0</v>
      </c>
      <c r="N137" s="642">
        <v>0</v>
      </c>
      <c r="O137" s="642">
        <v>0</v>
      </c>
      <c r="P137" s="642">
        <v>0</v>
      </c>
      <c r="Q137" s="642">
        <v>0</v>
      </c>
      <c r="R137" s="642">
        <v>0</v>
      </c>
      <c r="S137" s="650">
        <v>34.547388295281714</v>
      </c>
      <c r="U137" s="648" t="s">
        <v>356</v>
      </c>
      <c r="V137" s="642">
        <v>4.3307530517578128</v>
      </c>
      <c r="W137" s="642">
        <v>-13.394159162692858</v>
      </c>
      <c r="X137" s="642">
        <v>17.518769056071054</v>
      </c>
      <c r="Y137" s="642">
        <v>0</v>
      </c>
      <c r="Z137" s="642">
        <v>0</v>
      </c>
      <c r="AA137" s="642">
        <v>0</v>
      </c>
      <c r="AB137" s="642">
        <v>0</v>
      </c>
      <c r="AC137" s="642">
        <v>0</v>
      </c>
      <c r="AD137" s="642">
        <v>0</v>
      </c>
      <c r="AE137" s="642">
        <v>0</v>
      </c>
      <c r="AF137" s="642">
        <v>0</v>
      </c>
      <c r="AG137" s="642">
        <v>0</v>
      </c>
      <c r="AH137" s="642">
        <v>0</v>
      </c>
      <c r="AI137" s="642">
        <v>0</v>
      </c>
      <c r="AJ137" s="642">
        <v>0</v>
      </c>
      <c r="AK137" s="650">
        <v>8.4553629451360095</v>
      </c>
    </row>
    <row r="138" spans="3:37" ht="13.5">
      <c r="C138" s="648" t="s">
        <v>75</v>
      </c>
      <c r="D138" s="642">
        <v>11.149320546875</v>
      </c>
      <c r="E138" s="642">
        <v>0</v>
      </c>
      <c r="F138" s="642">
        <v>18.729068543758572</v>
      </c>
      <c r="G138" s="642">
        <v>5.3443947944572248</v>
      </c>
      <c r="H138" s="642">
        <v>0</v>
      </c>
      <c r="I138" s="642">
        <v>0</v>
      </c>
      <c r="J138" s="642">
        <v>0</v>
      </c>
      <c r="K138" s="642">
        <v>0</v>
      </c>
      <c r="L138" s="642">
        <v>0</v>
      </c>
      <c r="M138" s="642">
        <v>0.10906928151953521</v>
      </c>
      <c r="N138" s="642">
        <v>0</v>
      </c>
      <c r="O138" s="642">
        <v>0</v>
      </c>
      <c r="P138" s="642">
        <v>34.631314570260251</v>
      </c>
      <c r="Q138" s="642">
        <v>0</v>
      </c>
      <c r="R138" s="642">
        <v>0</v>
      </c>
      <c r="S138" s="650">
        <v>69.963167736870574</v>
      </c>
      <c r="U138" s="648" t="s">
        <v>75</v>
      </c>
      <c r="V138" s="642">
        <v>4.9205957031249996</v>
      </c>
      <c r="W138" s="642">
        <v>0</v>
      </c>
      <c r="X138" s="642">
        <v>18.729068543758572</v>
      </c>
      <c r="Y138" s="642">
        <v>4.7445137460997815</v>
      </c>
      <c r="Z138" s="642">
        <v>0</v>
      </c>
      <c r="AA138" s="642">
        <v>0</v>
      </c>
      <c r="AB138" s="642">
        <v>0</v>
      </c>
      <c r="AC138" s="642">
        <v>0</v>
      </c>
      <c r="AD138" s="642">
        <v>0</v>
      </c>
      <c r="AE138" s="642">
        <v>0.70895032987697881</v>
      </c>
      <c r="AF138" s="642">
        <v>0</v>
      </c>
      <c r="AG138" s="642">
        <v>0</v>
      </c>
      <c r="AH138" s="642">
        <v>32.716541842987525</v>
      </c>
      <c r="AI138" s="642">
        <v>0</v>
      </c>
      <c r="AJ138" s="642">
        <v>0</v>
      </c>
      <c r="AK138" s="650">
        <v>61.819670165847853</v>
      </c>
    </row>
    <row r="139" spans="3:37" ht="13.5">
      <c r="C139" s="648" t="s">
        <v>76</v>
      </c>
      <c r="D139" s="642">
        <v>0</v>
      </c>
      <c r="E139" s="642">
        <v>0</v>
      </c>
      <c r="F139" s="642">
        <v>0</v>
      </c>
      <c r="G139" s="642">
        <v>3.8720966463328983</v>
      </c>
      <c r="H139" s="642">
        <v>0</v>
      </c>
      <c r="I139" s="642">
        <v>0</v>
      </c>
      <c r="J139" s="642">
        <v>0</v>
      </c>
      <c r="K139" s="642">
        <v>0</v>
      </c>
      <c r="L139" s="642">
        <v>0</v>
      </c>
      <c r="M139" s="642">
        <v>7.9022380537406095E-2</v>
      </c>
      <c r="N139" s="642">
        <v>0</v>
      </c>
      <c r="O139" s="642">
        <v>0</v>
      </c>
      <c r="P139" s="642">
        <v>41.938968757160723</v>
      </c>
      <c r="Q139" s="642">
        <v>3.0236871210614171</v>
      </c>
      <c r="R139" s="642">
        <v>0</v>
      </c>
      <c r="S139" s="650">
        <v>48.913774905092438</v>
      </c>
      <c r="U139" s="648" t="s">
        <v>76</v>
      </c>
      <c r="V139" s="642">
        <v>0</v>
      </c>
      <c r="W139" s="642">
        <v>0</v>
      </c>
      <c r="X139" s="642">
        <v>0</v>
      </c>
      <c r="Y139" s="642">
        <v>2.7662751616304524</v>
      </c>
      <c r="Z139" s="642">
        <v>0</v>
      </c>
      <c r="AA139" s="642">
        <v>0</v>
      </c>
      <c r="AB139" s="642">
        <v>0</v>
      </c>
      <c r="AC139" s="642">
        <v>0</v>
      </c>
      <c r="AD139" s="642">
        <v>0</v>
      </c>
      <c r="AE139" s="642">
        <v>0.41335146093328595</v>
      </c>
      <c r="AF139" s="642">
        <v>0</v>
      </c>
      <c r="AG139" s="642">
        <v>0</v>
      </c>
      <c r="AH139" s="642">
        <v>43.009166954325586</v>
      </c>
      <c r="AI139" s="642">
        <v>5.481964511548731</v>
      </c>
      <c r="AJ139" s="642">
        <v>0</v>
      </c>
      <c r="AK139" s="650">
        <v>51.670758088438056</v>
      </c>
    </row>
    <row r="140" spans="3:37" ht="13.5">
      <c r="C140" s="646" t="s">
        <v>77</v>
      </c>
      <c r="D140" s="647">
        <v>42.645787594150242</v>
      </c>
      <c r="E140" s="647">
        <v>531.76783290345111</v>
      </c>
      <c r="F140" s="647">
        <v>-493.85839623209517</v>
      </c>
      <c r="G140" s="647">
        <v>44.217178331245535</v>
      </c>
      <c r="H140" s="647">
        <v>1121.3636363636365</v>
      </c>
      <c r="I140" s="647">
        <v>207.57369132422022</v>
      </c>
      <c r="J140" s="647">
        <v>86.243705075466366</v>
      </c>
      <c r="K140" s="647">
        <v>19.954320748029687</v>
      </c>
      <c r="L140" s="647">
        <v>-32.394348021257798</v>
      </c>
      <c r="M140" s="647">
        <v>-5.6320765353578501</v>
      </c>
      <c r="N140" s="647">
        <v>0</v>
      </c>
      <c r="O140" s="647">
        <v>5.2611137666850016</v>
      </c>
      <c r="P140" s="647">
        <v>-531.00392354032908</v>
      </c>
      <c r="Q140" s="647">
        <v>-35.939291273846017</v>
      </c>
      <c r="R140" s="647">
        <v>-1.6713978351002134</v>
      </c>
      <c r="S140" s="647">
        <v>958.52783266889833</v>
      </c>
      <c r="U140" s="646" t="s">
        <v>77</v>
      </c>
      <c r="V140" s="647">
        <v>9.8776636603415024</v>
      </c>
      <c r="W140" s="647">
        <v>373.16166082844296</v>
      </c>
      <c r="X140" s="647">
        <v>-342.51194888815934</v>
      </c>
      <c r="Y140" s="647">
        <v>62.170015524383871</v>
      </c>
      <c r="Z140" s="647">
        <v>1024.3939393939395</v>
      </c>
      <c r="AA140" s="647">
        <v>228.1236913242202</v>
      </c>
      <c r="AB140" s="647">
        <v>92.01283517498922</v>
      </c>
      <c r="AC140" s="647">
        <v>31.725901877387908</v>
      </c>
      <c r="AD140" s="647">
        <v>-74.534973710274585</v>
      </c>
      <c r="AE140" s="647">
        <v>-25.439781275247555</v>
      </c>
      <c r="AF140" s="647">
        <v>0</v>
      </c>
      <c r="AG140" s="647">
        <v>10.264799662154665</v>
      </c>
      <c r="AH140" s="647">
        <v>-515.81290419756954</v>
      </c>
      <c r="AI140" s="647">
        <v>-65.204498303456887</v>
      </c>
      <c r="AJ140" s="647">
        <v>-12.150152156541072</v>
      </c>
      <c r="AK140" s="647">
        <v>796.07624891461057</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6.3476756101286895</v>
      </c>
      <c r="E142" s="642">
        <v>0</v>
      </c>
      <c r="F142" s="642">
        <v>23.963924152830415</v>
      </c>
      <c r="G142" s="642">
        <v>102.72602750235836</v>
      </c>
      <c r="H142" s="642">
        <v>0</v>
      </c>
      <c r="I142" s="642">
        <v>0</v>
      </c>
      <c r="J142" s="642">
        <v>19.164817057512749</v>
      </c>
      <c r="K142" s="642">
        <v>1.7769703360109936</v>
      </c>
      <c r="L142" s="642">
        <v>0.86552810351562492</v>
      </c>
      <c r="M142" s="642">
        <v>2.1151614516362294</v>
      </c>
      <c r="N142" s="642">
        <v>0</v>
      </c>
      <c r="O142" s="642">
        <v>3.8147295409713907E-4</v>
      </c>
      <c r="P142" s="642">
        <v>109.69856944385172</v>
      </c>
      <c r="Q142" s="642">
        <v>16.190109766233334</v>
      </c>
      <c r="R142" s="642">
        <v>0.34118215942382812</v>
      </c>
      <c r="S142" s="650">
        <v>283.19034705645606</v>
      </c>
      <c r="U142" s="648" t="s">
        <v>78</v>
      </c>
      <c r="V142" s="642">
        <v>0.96947057486293287</v>
      </c>
      <c r="W142" s="642">
        <v>0</v>
      </c>
      <c r="X142" s="642">
        <v>14.423852836289303</v>
      </c>
      <c r="Y142" s="642">
        <v>71.911931163769523</v>
      </c>
      <c r="Z142" s="642">
        <v>0</v>
      </c>
      <c r="AA142" s="642">
        <v>0</v>
      </c>
      <c r="AB142" s="642">
        <v>16.641526349557349</v>
      </c>
      <c r="AC142" s="642">
        <v>5.8374337597773929</v>
      </c>
      <c r="AD142" s="642">
        <v>1.8190377949218752</v>
      </c>
      <c r="AE142" s="642">
        <v>10.764172889266069</v>
      </c>
      <c r="AF142" s="642">
        <v>0</v>
      </c>
      <c r="AG142" s="642">
        <v>3.8147295409713907E-4</v>
      </c>
      <c r="AH142" s="642">
        <v>133.35975359263318</v>
      </c>
      <c r="AI142" s="642">
        <v>21.024156518221293</v>
      </c>
      <c r="AJ142" s="642">
        <v>5.3802006835937499</v>
      </c>
      <c r="AK142" s="650">
        <v>282.13191763584672</v>
      </c>
    </row>
    <row r="143" spans="3:37" ht="13.5">
      <c r="C143" s="648" t="s">
        <v>79</v>
      </c>
      <c r="D143" s="642">
        <v>0</v>
      </c>
      <c r="E143" s="642">
        <v>0</v>
      </c>
      <c r="F143" s="642">
        <v>312.50052508879821</v>
      </c>
      <c r="G143" s="642">
        <v>20.28727706696608</v>
      </c>
      <c r="H143" s="642">
        <v>0</v>
      </c>
      <c r="I143" s="642">
        <v>0</v>
      </c>
      <c r="J143" s="642">
        <v>0</v>
      </c>
      <c r="K143" s="642">
        <v>0</v>
      </c>
      <c r="L143" s="642">
        <v>30.35479180755361</v>
      </c>
      <c r="M143" s="642">
        <v>0.41402606259114449</v>
      </c>
      <c r="N143" s="642">
        <v>0</v>
      </c>
      <c r="O143" s="642">
        <v>0</v>
      </c>
      <c r="P143" s="642">
        <v>40.087101502259863</v>
      </c>
      <c r="Q143" s="642">
        <v>0</v>
      </c>
      <c r="R143" s="642">
        <v>0.80956479691939642</v>
      </c>
      <c r="S143" s="650">
        <v>404.45328632508824</v>
      </c>
      <c r="U143" s="648" t="s">
        <v>79</v>
      </c>
      <c r="V143" s="642">
        <v>0</v>
      </c>
      <c r="W143" s="642">
        <v>0</v>
      </c>
      <c r="X143" s="642">
        <v>200.27592241910855</v>
      </c>
      <c r="Y143" s="642">
        <v>16.649550205830046</v>
      </c>
      <c r="Z143" s="642">
        <v>0</v>
      </c>
      <c r="AA143" s="642">
        <v>0</v>
      </c>
      <c r="AB143" s="642">
        <v>0</v>
      </c>
      <c r="AC143" s="642">
        <v>0</v>
      </c>
      <c r="AD143" s="642">
        <v>44.40579181284334</v>
      </c>
      <c r="AE143" s="642">
        <v>2.5923432302996523</v>
      </c>
      <c r="AF143" s="642">
        <v>0</v>
      </c>
      <c r="AG143" s="642">
        <v>0</v>
      </c>
      <c r="AH143" s="642">
        <v>50.411052136241274</v>
      </c>
      <c r="AI143" s="642">
        <v>0</v>
      </c>
      <c r="AJ143" s="642">
        <v>1.5849058336758</v>
      </c>
      <c r="AK143" s="650">
        <v>315.91956563799869</v>
      </c>
    </row>
    <row r="144" spans="3:37" ht="13.5">
      <c r="C144" s="648" t="s">
        <v>80</v>
      </c>
      <c r="D144" s="642">
        <v>0</v>
      </c>
      <c r="E144" s="642">
        <v>0</v>
      </c>
      <c r="F144" s="642">
        <v>27.223306395871116</v>
      </c>
      <c r="G144" s="642">
        <v>94.787807272791255</v>
      </c>
      <c r="H144" s="642">
        <v>0</v>
      </c>
      <c r="I144" s="642">
        <v>0</v>
      </c>
      <c r="J144" s="642">
        <v>83.273177408961004</v>
      </c>
      <c r="K144" s="642">
        <v>0</v>
      </c>
      <c r="L144" s="642">
        <v>0</v>
      </c>
      <c r="M144" s="642">
        <v>1.9344450463834952</v>
      </c>
      <c r="N144" s="642">
        <v>46.067590504591024</v>
      </c>
      <c r="O144" s="642">
        <v>1.9582561857397398</v>
      </c>
      <c r="P144" s="642">
        <v>180.22551264292704</v>
      </c>
      <c r="Q144" s="642">
        <v>15.690776641240536</v>
      </c>
      <c r="R144" s="642">
        <v>0</v>
      </c>
      <c r="S144" s="650">
        <v>451.16087209850519</v>
      </c>
      <c r="U144" s="648" t="s">
        <v>80</v>
      </c>
      <c r="V144" s="642">
        <v>0</v>
      </c>
      <c r="W144" s="642">
        <v>0</v>
      </c>
      <c r="X144" s="642">
        <v>2.015713666762446</v>
      </c>
      <c r="Y144" s="642">
        <v>47.341776252628989</v>
      </c>
      <c r="Z144" s="642">
        <v>0</v>
      </c>
      <c r="AA144" s="642">
        <v>0</v>
      </c>
      <c r="AB144" s="642">
        <v>73.879452654225247</v>
      </c>
      <c r="AC144" s="642">
        <v>0</v>
      </c>
      <c r="AD144" s="642">
        <v>0</v>
      </c>
      <c r="AE144" s="642">
        <v>7.0740585205077799</v>
      </c>
      <c r="AF144" s="642">
        <v>56.247445771865117</v>
      </c>
      <c r="AG144" s="642">
        <v>2.3917818193760598</v>
      </c>
      <c r="AH144" s="642">
        <v>158.99417861004727</v>
      </c>
      <c r="AI144" s="642">
        <v>34.672503342788303</v>
      </c>
      <c r="AJ144" s="642">
        <v>0</v>
      </c>
      <c r="AK144" s="650">
        <v>382.61691063820126</v>
      </c>
    </row>
    <row r="145" spans="3:37" ht="13.5">
      <c r="C145" s="648" t="s">
        <v>81</v>
      </c>
      <c r="D145" s="642">
        <v>0</v>
      </c>
      <c r="E145" s="642">
        <v>0</v>
      </c>
      <c r="F145" s="642">
        <v>10.721858440723695</v>
      </c>
      <c r="G145" s="642">
        <v>62.595656083836779</v>
      </c>
      <c r="H145" s="642">
        <v>0</v>
      </c>
      <c r="I145" s="642">
        <v>0</v>
      </c>
      <c r="J145" s="642">
        <v>3.4596715414798309</v>
      </c>
      <c r="K145" s="642">
        <v>2.5030873755322387E-2</v>
      </c>
      <c r="L145" s="642">
        <v>0</v>
      </c>
      <c r="M145" s="642">
        <v>1.2774623690578935</v>
      </c>
      <c r="N145" s="642">
        <v>8.3421239681836319</v>
      </c>
      <c r="O145" s="642">
        <v>0.80110714509903691</v>
      </c>
      <c r="P145" s="642">
        <v>133.46461699259584</v>
      </c>
      <c r="Q145" s="642">
        <v>4.0584048663721433</v>
      </c>
      <c r="R145" s="642">
        <v>0</v>
      </c>
      <c r="S145" s="650">
        <v>224.74593228110413</v>
      </c>
      <c r="U145" s="648" t="s">
        <v>81</v>
      </c>
      <c r="V145" s="642">
        <v>0</v>
      </c>
      <c r="W145" s="642">
        <v>0</v>
      </c>
      <c r="X145" s="642">
        <v>3.1096233693990798</v>
      </c>
      <c r="Y145" s="642">
        <v>32.055438404613625</v>
      </c>
      <c r="Z145" s="642">
        <v>0</v>
      </c>
      <c r="AA145" s="642">
        <v>0</v>
      </c>
      <c r="AB145" s="642">
        <v>7.6606579921523004</v>
      </c>
      <c r="AC145" s="642">
        <v>2.5030873755322387E-2</v>
      </c>
      <c r="AD145" s="642">
        <v>0</v>
      </c>
      <c r="AE145" s="642">
        <v>4.7898930949422658</v>
      </c>
      <c r="AF145" s="642">
        <v>14.251121986476408</v>
      </c>
      <c r="AG145" s="642">
        <v>1.7168402703934114</v>
      </c>
      <c r="AH145" s="642">
        <v>121.34906004798763</v>
      </c>
      <c r="AI145" s="642">
        <v>9.5078384424472873</v>
      </c>
      <c r="AJ145" s="642">
        <v>0</v>
      </c>
      <c r="AK145" s="650">
        <v>194.46550448216732</v>
      </c>
    </row>
    <row r="146" spans="3:37" ht="13.5">
      <c r="C146" s="648" t="s">
        <v>82</v>
      </c>
      <c r="D146" s="642">
        <v>0</v>
      </c>
      <c r="E146" s="642">
        <v>0</v>
      </c>
      <c r="F146" s="642">
        <v>32.13207144146056</v>
      </c>
      <c r="G146" s="642">
        <v>1.9328709168763656</v>
      </c>
      <c r="H146" s="642">
        <v>0</v>
      </c>
      <c r="I146" s="642">
        <v>0</v>
      </c>
      <c r="J146" s="642">
        <v>2.05899706998358</v>
      </c>
      <c r="K146" s="642">
        <v>0</v>
      </c>
      <c r="L146" s="642">
        <v>2.6244824682898504</v>
      </c>
      <c r="M146" s="642">
        <v>3.9446345242374808E-2</v>
      </c>
      <c r="N146" s="642">
        <v>0</v>
      </c>
      <c r="O146" s="642">
        <v>8.070345812558942E-2</v>
      </c>
      <c r="P146" s="642">
        <v>7.3892266408052469</v>
      </c>
      <c r="Q146" s="642">
        <v>0</v>
      </c>
      <c r="R146" s="642">
        <v>0</v>
      </c>
      <c r="S146" s="650">
        <v>46.257798340783566</v>
      </c>
      <c r="U146" s="648" t="s">
        <v>82</v>
      </c>
      <c r="V146" s="642">
        <v>0</v>
      </c>
      <c r="W146" s="642">
        <v>0</v>
      </c>
      <c r="X146" s="642">
        <v>22.167558461996123</v>
      </c>
      <c r="Y146" s="642">
        <v>2.0916118720237509</v>
      </c>
      <c r="Z146" s="642">
        <v>0</v>
      </c>
      <c r="AA146" s="642">
        <v>0</v>
      </c>
      <c r="AB146" s="642">
        <v>2.05899706998358</v>
      </c>
      <c r="AC146" s="642">
        <v>0</v>
      </c>
      <c r="AD146" s="642">
        <v>14.821446231272425</v>
      </c>
      <c r="AE146" s="642">
        <v>0.31253970501504325</v>
      </c>
      <c r="AF146" s="642">
        <v>0</v>
      </c>
      <c r="AG146" s="642">
        <v>0.82781531321025892</v>
      </c>
      <c r="AH146" s="642">
        <v>7.4491158726448985</v>
      </c>
      <c r="AI146" s="642">
        <v>0</v>
      </c>
      <c r="AJ146" s="642">
        <v>0.21911019493558448</v>
      </c>
      <c r="AK146" s="650">
        <v>49.948194721081656</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0.13500000000000001</v>
      </c>
      <c r="Q147" s="642">
        <v>0</v>
      </c>
      <c r="R147" s="642">
        <v>0</v>
      </c>
      <c r="S147" s="650">
        <v>0.13500000000000001</v>
      </c>
      <c r="U147" s="648" t="s">
        <v>357</v>
      </c>
      <c r="V147" s="642">
        <v>0</v>
      </c>
      <c r="W147" s="642">
        <v>0</v>
      </c>
      <c r="X147" s="642">
        <v>0</v>
      </c>
      <c r="Y147" s="642">
        <v>0</v>
      </c>
      <c r="Z147" s="642">
        <v>0</v>
      </c>
      <c r="AA147" s="642">
        <v>0</v>
      </c>
      <c r="AB147" s="642">
        <v>0</v>
      </c>
      <c r="AC147" s="642">
        <v>0</v>
      </c>
      <c r="AD147" s="642">
        <v>0</v>
      </c>
      <c r="AE147" s="642">
        <v>0</v>
      </c>
      <c r="AF147" s="642">
        <v>0</v>
      </c>
      <c r="AG147" s="642">
        <v>0</v>
      </c>
      <c r="AH147" s="642">
        <v>0.96</v>
      </c>
      <c r="AI147" s="642">
        <v>0</v>
      </c>
      <c r="AJ147" s="642">
        <v>0</v>
      </c>
      <c r="AK147" s="650">
        <v>0.96</v>
      </c>
    </row>
    <row r="148" spans="3:37" ht="13.5">
      <c r="C148" s="646" t="s">
        <v>83</v>
      </c>
      <c r="D148" s="647">
        <v>6.3476756101286895</v>
      </c>
      <c r="E148" s="647">
        <v>0</v>
      </c>
      <c r="F148" s="647">
        <v>406.54168551968399</v>
      </c>
      <c r="G148" s="647">
        <v>282.32963884282884</v>
      </c>
      <c r="H148" s="647">
        <v>0</v>
      </c>
      <c r="I148" s="647">
        <v>0</v>
      </c>
      <c r="J148" s="647">
        <v>107.95666307793715</v>
      </c>
      <c r="K148" s="647">
        <v>1.8020012097663161</v>
      </c>
      <c r="L148" s="647">
        <v>33.844802379359088</v>
      </c>
      <c r="M148" s="647">
        <v>5.7805412749111369</v>
      </c>
      <c r="N148" s="647">
        <v>54.409714472774652</v>
      </c>
      <c r="O148" s="647">
        <v>2.8404482619184632</v>
      </c>
      <c r="P148" s="647">
        <v>471.00002722243971</v>
      </c>
      <c r="Q148" s="647">
        <v>35.93929127384601</v>
      </c>
      <c r="R148" s="647">
        <v>1.1507469563432244</v>
      </c>
      <c r="S148" s="647">
        <v>1409.9432361019371</v>
      </c>
      <c r="U148" s="646" t="s">
        <v>83</v>
      </c>
      <c r="V148" s="647">
        <v>0.96947057486293287</v>
      </c>
      <c r="W148" s="647">
        <v>0</v>
      </c>
      <c r="X148" s="647">
        <v>241.9926707535555</v>
      </c>
      <c r="Y148" s="647">
        <v>170.05030789886592</v>
      </c>
      <c r="Z148" s="647">
        <v>0</v>
      </c>
      <c r="AA148" s="647">
        <v>0</v>
      </c>
      <c r="AB148" s="647">
        <v>100.24063406591846</v>
      </c>
      <c r="AC148" s="647">
        <v>5.8624646335327153</v>
      </c>
      <c r="AD148" s="647">
        <v>61.046275839037641</v>
      </c>
      <c r="AE148" s="647">
        <v>25.533007440030815</v>
      </c>
      <c r="AF148" s="647">
        <v>70.498567758341522</v>
      </c>
      <c r="AG148" s="647">
        <v>4.9368188759338274</v>
      </c>
      <c r="AH148" s="647">
        <v>472.52316025955423</v>
      </c>
      <c r="AI148" s="647">
        <v>65.204498303456901</v>
      </c>
      <c r="AJ148" s="647">
        <v>7.184216712205135</v>
      </c>
      <c r="AK148" s="647">
        <v>1226.0420931152958</v>
      </c>
    </row>
    <row r="149" spans="3:37" ht="13.5">
      <c r="C149" s="641" t="s">
        <v>84</v>
      </c>
      <c r="D149" s="642">
        <v>0</v>
      </c>
      <c r="E149" s="642">
        <v>0</v>
      </c>
      <c r="F149" s="642">
        <v>117.0773058539918</v>
      </c>
      <c r="G149" s="642">
        <v>12.185345647681713</v>
      </c>
      <c r="H149" s="642">
        <v>0</v>
      </c>
      <c r="I149" s="642">
        <v>0</v>
      </c>
      <c r="J149" s="642">
        <v>0</v>
      </c>
      <c r="K149" s="642">
        <v>0</v>
      </c>
      <c r="L149" s="642">
        <v>0</v>
      </c>
      <c r="M149" s="642">
        <v>0</v>
      </c>
      <c r="N149" s="642">
        <v>0</v>
      </c>
      <c r="O149" s="642">
        <v>0</v>
      </c>
      <c r="P149" s="642">
        <v>0</v>
      </c>
      <c r="Q149" s="642">
        <v>0</v>
      </c>
      <c r="R149" s="642">
        <v>0.52065087875698901</v>
      </c>
      <c r="S149" s="650">
        <v>129.78330238043051</v>
      </c>
      <c r="U149" s="641" t="s">
        <v>84</v>
      </c>
      <c r="V149" s="642">
        <v>0</v>
      </c>
      <c r="W149" s="642">
        <v>0</v>
      </c>
      <c r="X149" s="642">
        <v>106.669872568297</v>
      </c>
      <c r="Y149" s="642">
        <v>1.6020598461664441</v>
      </c>
      <c r="Z149" s="642">
        <v>0</v>
      </c>
      <c r="AA149" s="642">
        <v>0</v>
      </c>
      <c r="AB149" s="642">
        <v>0</v>
      </c>
      <c r="AC149" s="642">
        <v>0</v>
      </c>
      <c r="AD149" s="642">
        <v>6.1061434912109362</v>
      </c>
      <c r="AE149" s="642">
        <v>0</v>
      </c>
      <c r="AF149" s="642">
        <v>0</v>
      </c>
      <c r="AG149" s="642">
        <v>0</v>
      </c>
      <c r="AH149" s="642">
        <v>0</v>
      </c>
      <c r="AI149" s="642">
        <v>0</v>
      </c>
      <c r="AJ149" s="642">
        <v>4.9659354443359369</v>
      </c>
      <c r="AK149" s="650">
        <v>119.34401135001032</v>
      </c>
    </row>
    <row r="150" spans="3:37" ht="13.5">
      <c r="C150" s="646" t="s">
        <v>85</v>
      </c>
      <c r="D150" s="647">
        <v>6.3476756101286895</v>
      </c>
      <c r="E150" s="647">
        <v>0</v>
      </c>
      <c r="F150" s="647">
        <v>523.61899137367573</v>
      </c>
      <c r="G150" s="647">
        <v>294.51498449051053</v>
      </c>
      <c r="H150" s="647">
        <v>0</v>
      </c>
      <c r="I150" s="647">
        <v>0</v>
      </c>
      <c r="J150" s="647">
        <v>107.95666307793715</v>
      </c>
      <c r="K150" s="647">
        <v>1.8020012097663161</v>
      </c>
      <c r="L150" s="647">
        <v>33.844802379359088</v>
      </c>
      <c r="M150" s="647">
        <v>5.7805412749111369</v>
      </c>
      <c r="N150" s="647">
        <v>54.409714472774652</v>
      </c>
      <c r="O150" s="647">
        <v>2.8404482619184632</v>
      </c>
      <c r="P150" s="647">
        <v>471.00002722243971</v>
      </c>
      <c r="Q150" s="647">
        <v>35.93929127384601</v>
      </c>
      <c r="R150" s="647">
        <v>1.6713978351002134</v>
      </c>
      <c r="S150" s="647">
        <v>1539.7265384823679</v>
      </c>
      <c r="U150" s="646" t="s">
        <v>85</v>
      </c>
      <c r="V150" s="647">
        <v>0.96947057486293287</v>
      </c>
      <c r="W150" s="647">
        <v>0</v>
      </c>
      <c r="X150" s="647">
        <v>348.66254332185252</v>
      </c>
      <c r="Y150" s="647">
        <v>171.65236774503236</v>
      </c>
      <c r="Z150" s="647">
        <v>0</v>
      </c>
      <c r="AA150" s="647">
        <v>0</v>
      </c>
      <c r="AB150" s="647">
        <v>100.24063406591846</v>
      </c>
      <c r="AC150" s="647">
        <v>5.8624646335327153</v>
      </c>
      <c r="AD150" s="647">
        <v>67.152419330248577</v>
      </c>
      <c r="AE150" s="647">
        <v>25.533007440030815</v>
      </c>
      <c r="AF150" s="647">
        <v>70.498567758341522</v>
      </c>
      <c r="AG150" s="647">
        <v>4.9368188759338274</v>
      </c>
      <c r="AH150" s="647">
        <v>472.52316025955423</v>
      </c>
      <c r="AI150" s="647">
        <v>65.204498303456901</v>
      </c>
      <c r="AJ150" s="647">
        <v>12.150152156541072</v>
      </c>
      <c r="AK150" s="647">
        <v>1345.3861044653063</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22.5">
      <c r="C152" s="699" t="s">
        <v>361</v>
      </c>
      <c r="D152" s="699"/>
      <c r="E152" s="699"/>
      <c r="F152" s="699"/>
      <c r="G152" s="699"/>
      <c r="H152" s="699"/>
      <c r="I152" s="699"/>
      <c r="J152" s="699"/>
      <c r="K152" s="699"/>
      <c r="L152" s="699"/>
      <c r="M152" s="699"/>
      <c r="N152" s="699"/>
      <c r="O152" s="699"/>
      <c r="P152" s="699"/>
      <c r="Q152" s="699"/>
      <c r="R152" s="699"/>
      <c r="S152" s="699"/>
      <c r="U152" s="699" t="s">
        <v>361</v>
      </c>
      <c r="V152" s="699"/>
      <c r="W152" s="699"/>
      <c r="X152" s="699"/>
      <c r="Y152" s="699"/>
      <c r="Z152" s="699"/>
      <c r="AA152" s="699"/>
      <c r="AB152" s="699"/>
      <c r="AC152" s="699"/>
      <c r="AD152" s="699"/>
      <c r="AE152" s="699"/>
      <c r="AF152" s="699"/>
      <c r="AG152" s="699"/>
      <c r="AH152" s="699"/>
      <c r="AI152" s="699"/>
      <c r="AJ152" s="699"/>
      <c r="AK152" s="699"/>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13" customHeight="1">
      <c r="C154" s="700" t="s">
        <v>128</v>
      </c>
      <c r="D154" s="701" t="s">
        <v>42</v>
      </c>
      <c r="E154" s="701" t="s">
        <v>52</v>
      </c>
      <c r="F154" s="701" t="s">
        <v>53</v>
      </c>
      <c r="G154" s="701" t="s">
        <v>32</v>
      </c>
      <c r="H154" s="701" t="s">
        <v>20</v>
      </c>
      <c r="I154" s="701" t="s">
        <v>55</v>
      </c>
      <c r="J154" s="701" t="s">
        <v>56</v>
      </c>
      <c r="K154" s="701"/>
      <c r="L154" s="701"/>
      <c r="M154" s="701"/>
      <c r="N154" s="701"/>
      <c r="O154" s="701"/>
      <c r="P154" s="701" t="s">
        <v>57</v>
      </c>
      <c r="Q154" s="701" t="s">
        <v>58</v>
      </c>
      <c r="R154" s="701" t="s">
        <v>31</v>
      </c>
      <c r="S154" s="701" t="s">
        <v>10</v>
      </c>
      <c r="U154" s="700" t="s">
        <v>128</v>
      </c>
      <c r="V154" s="701" t="s">
        <v>42</v>
      </c>
      <c r="W154" s="701" t="s">
        <v>52</v>
      </c>
      <c r="X154" s="701" t="s">
        <v>53</v>
      </c>
      <c r="Y154" s="701" t="s">
        <v>32</v>
      </c>
      <c r="Z154" s="701" t="s">
        <v>20</v>
      </c>
      <c r="AA154" s="701" t="s">
        <v>55</v>
      </c>
      <c r="AB154" s="701" t="s">
        <v>56</v>
      </c>
      <c r="AC154" s="701"/>
      <c r="AD154" s="701"/>
      <c r="AE154" s="701"/>
      <c r="AF154" s="701"/>
      <c r="AG154" s="701"/>
      <c r="AH154" s="701" t="s">
        <v>57</v>
      </c>
      <c r="AI154" s="701" t="s">
        <v>58</v>
      </c>
      <c r="AJ154" s="701" t="s">
        <v>31</v>
      </c>
      <c r="AK154" s="701" t="s">
        <v>10</v>
      </c>
    </row>
    <row r="155" spans="3:37" ht="46">
      <c r="C155" s="700"/>
      <c r="D155" s="701"/>
      <c r="E155" s="701"/>
      <c r="F155" s="701"/>
      <c r="G155" s="701"/>
      <c r="H155" s="701"/>
      <c r="I155" s="701"/>
      <c r="J155" s="640" t="s">
        <v>338</v>
      </c>
      <c r="K155" s="640" t="s">
        <v>40</v>
      </c>
      <c r="L155" s="640" t="s">
        <v>346</v>
      </c>
      <c r="M155" s="640" t="s">
        <v>347</v>
      </c>
      <c r="N155" s="640" t="s">
        <v>348</v>
      </c>
      <c r="O155" s="640" t="s">
        <v>349</v>
      </c>
      <c r="P155" s="701"/>
      <c r="Q155" s="701"/>
      <c r="R155" s="701"/>
      <c r="S155" s="701"/>
      <c r="U155" s="700"/>
      <c r="V155" s="701"/>
      <c r="W155" s="701"/>
      <c r="X155" s="701"/>
      <c r="Y155" s="701"/>
      <c r="Z155" s="701"/>
      <c r="AA155" s="701"/>
      <c r="AB155" s="640" t="s">
        <v>338</v>
      </c>
      <c r="AC155" s="640" t="s">
        <v>40</v>
      </c>
      <c r="AD155" s="640" t="s">
        <v>346</v>
      </c>
      <c r="AE155" s="640" t="s">
        <v>347</v>
      </c>
      <c r="AF155" s="640" t="s">
        <v>348</v>
      </c>
      <c r="AG155" s="640" t="s">
        <v>349</v>
      </c>
      <c r="AH155" s="701"/>
      <c r="AI155" s="701"/>
      <c r="AJ155" s="701"/>
      <c r="AK155" s="701"/>
    </row>
    <row r="156" spans="3:37" ht="13.5">
      <c r="C156" s="641" t="s">
        <v>59</v>
      </c>
      <c r="D156" s="642">
        <v>0</v>
      </c>
      <c r="E156" s="643">
        <v>5.8150000000000004</v>
      </c>
      <c r="F156" s="643">
        <v>0</v>
      </c>
      <c r="G156" s="642">
        <v>9.3040000000000012E-2</v>
      </c>
      <c r="H156" s="643">
        <v>1075.0000000000002</v>
      </c>
      <c r="I156" s="643">
        <v>224.13674723416887</v>
      </c>
      <c r="J156" s="643">
        <v>191.59942379122555</v>
      </c>
      <c r="K156" s="643">
        <v>21.432553878964274</v>
      </c>
      <c r="L156" s="643">
        <v>0.38158375751522683</v>
      </c>
      <c r="M156" s="643">
        <v>0.1566638564915529</v>
      </c>
      <c r="N156" s="643">
        <v>57.826394702164251</v>
      </c>
      <c r="O156" s="643">
        <v>8.0717549324466145</v>
      </c>
      <c r="P156" s="644">
        <v>0</v>
      </c>
      <c r="Q156" s="643">
        <v>0</v>
      </c>
      <c r="R156" s="643">
        <v>0</v>
      </c>
      <c r="S156" s="645">
        <v>1584.5131621529763</v>
      </c>
      <c r="U156" s="641" t="s">
        <v>59</v>
      </c>
      <c r="V156" s="642">
        <v>0</v>
      </c>
      <c r="W156" s="643">
        <v>5.8150000000000004</v>
      </c>
      <c r="X156" s="643">
        <v>0</v>
      </c>
      <c r="Y156" s="642">
        <v>9.3040000000000012E-2</v>
      </c>
      <c r="Z156" s="643">
        <v>994.39393939393949</v>
      </c>
      <c r="AA156" s="643">
        <v>248.70674723416883</v>
      </c>
      <c r="AB156" s="643">
        <v>191.76566332259941</v>
      </c>
      <c r="AC156" s="643">
        <v>38.031253697312572</v>
      </c>
      <c r="AD156" s="643">
        <v>0.38158375751522683</v>
      </c>
      <c r="AE156" s="643">
        <v>0.1566638564915529</v>
      </c>
      <c r="AF156" s="643">
        <v>76.992812580470769</v>
      </c>
      <c r="AG156" s="643">
        <v>16.738826185514363</v>
      </c>
      <c r="AH156" s="644">
        <v>0</v>
      </c>
      <c r="AI156" s="643">
        <v>0</v>
      </c>
      <c r="AJ156" s="643">
        <v>0</v>
      </c>
      <c r="AK156" s="645">
        <v>1573.0755300280123</v>
      </c>
    </row>
    <row r="157" spans="3:37" ht="13.5">
      <c r="C157" s="641" t="s">
        <v>60</v>
      </c>
      <c r="D157" s="642">
        <v>48.827265231041785</v>
      </c>
      <c r="E157" s="643">
        <v>518.07410535010388</v>
      </c>
      <c r="F157" s="643">
        <v>107.87457071926454</v>
      </c>
      <c r="G157" s="642">
        <v>335.04873882059013</v>
      </c>
      <c r="H157" s="643">
        <v>0</v>
      </c>
      <c r="I157" s="643">
        <v>0</v>
      </c>
      <c r="J157" s="643">
        <v>3.6983557386050134</v>
      </c>
      <c r="K157" s="643">
        <v>0</v>
      </c>
      <c r="L157" s="643">
        <v>2.0715216469959126</v>
      </c>
      <c r="M157" s="643">
        <v>0</v>
      </c>
      <c r="N157" s="643">
        <v>0</v>
      </c>
      <c r="O157" s="643">
        <v>0</v>
      </c>
      <c r="P157" s="644">
        <v>0</v>
      </c>
      <c r="Q157" s="643">
        <v>0</v>
      </c>
      <c r="R157" s="643">
        <v>0</v>
      </c>
      <c r="S157" s="645">
        <v>1015.5945575066012</v>
      </c>
      <c r="U157" s="641" t="s">
        <v>60</v>
      </c>
      <c r="V157" s="642">
        <v>9.7783497021920969</v>
      </c>
      <c r="W157" s="643">
        <v>336.80990869295175</v>
      </c>
      <c r="X157" s="643">
        <v>55.498271181254346</v>
      </c>
      <c r="Y157" s="642">
        <v>207.3573846689826</v>
      </c>
      <c r="Z157" s="643">
        <v>0</v>
      </c>
      <c r="AA157" s="643">
        <v>0</v>
      </c>
      <c r="AB157" s="643">
        <v>3.6983557386050134</v>
      </c>
      <c r="AC157" s="643">
        <v>0</v>
      </c>
      <c r="AD157" s="643">
        <v>2.0715216469959126</v>
      </c>
      <c r="AE157" s="643">
        <v>0</v>
      </c>
      <c r="AF157" s="643">
        <v>0</v>
      </c>
      <c r="AG157" s="643">
        <v>0</v>
      </c>
      <c r="AH157" s="644">
        <v>0</v>
      </c>
      <c r="AI157" s="643">
        <v>0</v>
      </c>
      <c r="AJ157" s="643">
        <v>0</v>
      </c>
      <c r="AK157" s="645">
        <v>615.21379163098163</v>
      </c>
    </row>
    <row r="158" spans="3:37" ht="13.5">
      <c r="C158" s="641" t="s">
        <v>61</v>
      </c>
      <c r="D158" s="642">
        <v>0</v>
      </c>
      <c r="E158" s="643">
        <v>0</v>
      </c>
      <c r="F158" s="643">
        <v>0</v>
      </c>
      <c r="G158" s="642">
        <v>0</v>
      </c>
      <c r="H158" s="643">
        <v>0</v>
      </c>
      <c r="I158" s="643">
        <v>0</v>
      </c>
      <c r="J158" s="643">
        <v>0</v>
      </c>
      <c r="K158" s="643">
        <v>0</v>
      </c>
      <c r="L158" s="643">
        <v>0</v>
      </c>
      <c r="M158" s="643">
        <v>0</v>
      </c>
      <c r="N158" s="643">
        <v>0</v>
      </c>
      <c r="O158" s="643">
        <v>0</v>
      </c>
      <c r="P158" s="644">
        <v>-50.941346245748719</v>
      </c>
      <c r="Q158" s="643">
        <v>0</v>
      </c>
      <c r="R158" s="643">
        <v>0</v>
      </c>
      <c r="S158" s="645">
        <v>-50.941346245748719</v>
      </c>
      <c r="U158" s="641" t="s">
        <v>61</v>
      </c>
      <c r="V158" s="642">
        <v>0</v>
      </c>
      <c r="W158" s="643">
        <v>0</v>
      </c>
      <c r="X158" s="643">
        <v>0</v>
      </c>
      <c r="Y158" s="642">
        <v>0</v>
      </c>
      <c r="Z158" s="643">
        <v>0</v>
      </c>
      <c r="AA158" s="643">
        <v>0</v>
      </c>
      <c r="AB158" s="643">
        <v>0</v>
      </c>
      <c r="AC158" s="643">
        <v>0</v>
      </c>
      <c r="AD158" s="643">
        <v>0</v>
      </c>
      <c r="AE158" s="643">
        <v>0</v>
      </c>
      <c r="AF158" s="643">
        <v>0</v>
      </c>
      <c r="AG158" s="643">
        <v>0</v>
      </c>
      <c r="AH158" s="644">
        <v>-32.476172245636349</v>
      </c>
      <c r="AI158" s="643">
        <v>0</v>
      </c>
      <c r="AJ158" s="643">
        <v>0</v>
      </c>
      <c r="AK158" s="645">
        <v>-32.476172245636349</v>
      </c>
    </row>
    <row r="159" spans="3:37" ht="13.5">
      <c r="C159" s="641" t="s">
        <v>62</v>
      </c>
      <c r="D159" s="642">
        <v>0</v>
      </c>
      <c r="E159" s="643">
        <v>0</v>
      </c>
      <c r="F159" s="643">
        <v>-16.25862008896565</v>
      </c>
      <c r="G159" s="642">
        <v>0</v>
      </c>
      <c r="H159" s="643">
        <v>0</v>
      </c>
      <c r="I159" s="643">
        <v>0</v>
      </c>
      <c r="J159" s="643">
        <v>0</v>
      </c>
      <c r="K159" s="643">
        <v>0</v>
      </c>
      <c r="L159" s="643">
        <v>0</v>
      </c>
      <c r="M159" s="643">
        <v>0</v>
      </c>
      <c r="N159" s="643">
        <v>0</v>
      </c>
      <c r="O159" s="643">
        <v>0</v>
      </c>
      <c r="P159" s="644">
        <v>0</v>
      </c>
      <c r="Q159" s="643">
        <v>0</v>
      </c>
      <c r="R159" s="643">
        <v>0</v>
      </c>
      <c r="S159" s="645">
        <v>-16.25862008896565</v>
      </c>
      <c r="U159" s="641" t="s">
        <v>62</v>
      </c>
      <c r="V159" s="642">
        <v>0</v>
      </c>
      <c r="W159" s="643">
        <v>0</v>
      </c>
      <c r="X159" s="643">
        <v>-12.937868047131742</v>
      </c>
      <c r="Y159" s="642">
        <v>-1.5571295869756494</v>
      </c>
      <c r="Z159" s="643">
        <v>0</v>
      </c>
      <c r="AA159" s="643">
        <v>0</v>
      </c>
      <c r="AB159" s="643">
        <v>0</v>
      </c>
      <c r="AC159" s="643">
        <v>0</v>
      </c>
      <c r="AD159" s="643">
        <v>0</v>
      </c>
      <c r="AE159" s="643">
        <v>-0.27478757417217342</v>
      </c>
      <c r="AF159" s="643">
        <v>0</v>
      </c>
      <c r="AG159" s="643">
        <v>0</v>
      </c>
      <c r="AH159" s="644">
        <v>0</v>
      </c>
      <c r="AI159" s="643">
        <v>0</v>
      </c>
      <c r="AJ159" s="643">
        <v>0</v>
      </c>
      <c r="AK159" s="645">
        <v>-14.769785208279565</v>
      </c>
    </row>
    <row r="160" spans="3:37" ht="13.5">
      <c r="C160" s="641" t="s">
        <v>63</v>
      </c>
      <c r="D160" s="642">
        <v>0</v>
      </c>
      <c r="E160" s="643">
        <v>0</v>
      </c>
      <c r="F160" s="643">
        <v>-83.551471621484865</v>
      </c>
      <c r="G160" s="642">
        <v>0</v>
      </c>
      <c r="H160" s="643">
        <v>0</v>
      </c>
      <c r="I160" s="643">
        <v>0</v>
      </c>
      <c r="J160" s="643">
        <v>0</v>
      </c>
      <c r="K160" s="643">
        <v>0</v>
      </c>
      <c r="L160" s="643">
        <v>-0.85914301655193537</v>
      </c>
      <c r="M160" s="643">
        <v>0</v>
      </c>
      <c r="N160" s="643">
        <v>0</v>
      </c>
      <c r="O160" s="643">
        <v>0</v>
      </c>
      <c r="P160" s="644">
        <v>0</v>
      </c>
      <c r="Q160" s="643">
        <v>0</v>
      </c>
      <c r="R160" s="643">
        <v>0</v>
      </c>
      <c r="S160" s="645">
        <v>-84.410614638036805</v>
      </c>
      <c r="U160" s="641" t="s">
        <v>63</v>
      </c>
      <c r="V160" s="642">
        <v>0</v>
      </c>
      <c r="W160" s="643">
        <v>0</v>
      </c>
      <c r="X160" s="643">
        <v>-67.135202148658564</v>
      </c>
      <c r="Y160" s="642">
        <v>0</v>
      </c>
      <c r="Z160" s="643">
        <v>0</v>
      </c>
      <c r="AA160" s="643">
        <v>0</v>
      </c>
      <c r="AB160" s="643">
        <v>0</v>
      </c>
      <c r="AC160" s="643">
        <v>0</v>
      </c>
      <c r="AD160" s="643">
        <v>-15.117527463171397</v>
      </c>
      <c r="AE160" s="643">
        <v>0</v>
      </c>
      <c r="AF160" s="643">
        <v>0</v>
      </c>
      <c r="AG160" s="643">
        <v>0</v>
      </c>
      <c r="AH160" s="644">
        <v>0</v>
      </c>
      <c r="AI160" s="643">
        <v>0</v>
      </c>
      <c r="AJ160" s="643">
        <v>0</v>
      </c>
      <c r="AK160" s="645">
        <v>-82.252729611829963</v>
      </c>
    </row>
    <row r="161" spans="3:37" ht="13.5">
      <c r="C161" s="641" t="s">
        <v>64</v>
      </c>
      <c r="D161" s="642">
        <v>0</v>
      </c>
      <c r="E161" s="643">
        <v>0</v>
      </c>
      <c r="F161" s="643">
        <v>0</v>
      </c>
      <c r="G161" s="642">
        <v>0</v>
      </c>
      <c r="H161" s="643">
        <v>0</v>
      </c>
      <c r="I161" s="643">
        <v>0</v>
      </c>
      <c r="J161" s="643">
        <v>0</v>
      </c>
      <c r="K161" s="643">
        <v>0</v>
      </c>
      <c r="L161" s="643">
        <v>0</v>
      </c>
      <c r="M161" s="643">
        <v>0</v>
      </c>
      <c r="N161" s="643">
        <v>0</v>
      </c>
      <c r="O161" s="643">
        <v>0</v>
      </c>
      <c r="P161" s="644">
        <v>0</v>
      </c>
      <c r="Q161" s="643">
        <v>0</v>
      </c>
      <c r="R161" s="643">
        <v>0</v>
      </c>
      <c r="S161" s="645">
        <v>0</v>
      </c>
      <c r="U161" s="641" t="s">
        <v>64</v>
      </c>
      <c r="V161" s="642">
        <v>0</v>
      </c>
      <c r="W161" s="643">
        <v>0</v>
      </c>
      <c r="X161" s="643">
        <v>0</v>
      </c>
      <c r="Y161" s="642">
        <v>0</v>
      </c>
      <c r="Z161" s="643">
        <v>0</v>
      </c>
      <c r="AA161" s="643">
        <v>0</v>
      </c>
      <c r="AB161" s="643">
        <v>0</v>
      </c>
      <c r="AC161" s="643">
        <v>0</v>
      </c>
      <c r="AD161" s="643">
        <v>0</v>
      </c>
      <c r="AE161" s="643">
        <v>0</v>
      </c>
      <c r="AF161" s="643">
        <v>0</v>
      </c>
      <c r="AG161" s="643">
        <v>0</v>
      </c>
      <c r="AH161" s="644">
        <v>0</v>
      </c>
      <c r="AI161" s="643">
        <v>0</v>
      </c>
      <c r="AJ161" s="643">
        <v>0</v>
      </c>
      <c r="AK161" s="645">
        <v>0</v>
      </c>
    </row>
    <row r="162" spans="3:37" ht="13.5">
      <c r="C162" s="646" t="s">
        <v>65</v>
      </c>
      <c r="D162" s="647">
        <v>48.827265231041785</v>
      </c>
      <c r="E162" s="647">
        <v>523.88910535010393</v>
      </c>
      <c r="F162" s="647">
        <v>8.0644790088140255</v>
      </c>
      <c r="G162" s="647">
        <v>335.1417788205901</v>
      </c>
      <c r="H162" s="647">
        <v>1075.0000000000002</v>
      </c>
      <c r="I162" s="647">
        <v>224.13674723416887</v>
      </c>
      <c r="J162" s="647">
        <v>195.29777952983056</v>
      </c>
      <c r="K162" s="647">
        <v>21.432553878964274</v>
      </c>
      <c r="L162" s="647">
        <v>1.5939623879592042</v>
      </c>
      <c r="M162" s="647">
        <v>0.1566638564915529</v>
      </c>
      <c r="N162" s="647">
        <v>57.826394702164251</v>
      </c>
      <c r="O162" s="647">
        <v>8.0717549324466145</v>
      </c>
      <c r="P162" s="647">
        <v>-50.941346245748719</v>
      </c>
      <c r="Q162" s="647">
        <v>0</v>
      </c>
      <c r="R162" s="647">
        <v>0</v>
      </c>
      <c r="S162" s="647">
        <v>2448.4971386868265</v>
      </c>
      <c r="U162" s="646" t="s">
        <v>65</v>
      </c>
      <c r="V162" s="647">
        <v>9.7783497021920969</v>
      </c>
      <c r="W162" s="647">
        <v>342.62490869295175</v>
      </c>
      <c r="X162" s="647">
        <v>-24.574799014535962</v>
      </c>
      <c r="Y162" s="647">
        <v>205.89329508200694</v>
      </c>
      <c r="Z162" s="647">
        <v>994.39393939393949</v>
      </c>
      <c r="AA162" s="647">
        <v>248.70674723416883</v>
      </c>
      <c r="AB162" s="647">
        <v>195.46401906120443</v>
      </c>
      <c r="AC162" s="647">
        <v>38.031253697312572</v>
      </c>
      <c r="AD162" s="647">
        <v>-12.664422058660257</v>
      </c>
      <c r="AE162" s="647">
        <v>-0.11812371768062052</v>
      </c>
      <c r="AF162" s="647">
        <v>76.992812580470769</v>
      </c>
      <c r="AG162" s="647">
        <v>16.738826185514363</v>
      </c>
      <c r="AH162" s="647">
        <v>-32.476172245636349</v>
      </c>
      <c r="AI162" s="647">
        <v>0</v>
      </c>
      <c r="AJ162" s="647">
        <v>0</v>
      </c>
      <c r="AK162" s="647">
        <v>2058.7906345932479</v>
      </c>
    </row>
    <row r="163" spans="3:37" ht="13">
      <c r="C163" s="636"/>
      <c r="D163" s="636">
        <v>0</v>
      </c>
      <c r="E163" s="636">
        <v>0</v>
      </c>
      <c r="F163" s="636">
        <v>0</v>
      </c>
      <c r="G163" s="636">
        <v>0</v>
      </c>
      <c r="H163" s="636">
        <v>0</v>
      </c>
      <c r="I163" s="636">
        <v>0</v>
      </c>
      <c r="J163" s="636">
        <v>0</v>
      </c>
      <c r="K163" s="636">
        <v>0</v>
      </c>
      <c r="L163" s="636">
        <v>0</v>
      </c>
      <c r="M163" s="636">
        <v>0</v>
      </c>
      <c r="N163" s="636">
        <v>0</v>
      </c>
      <c r="O163" s="636">
        <v>0</v>
      </c>
      <c r="P163" s="636">
        <v>0</v>
      </c>
      <c r="Q163" s="636">
        <v>0</v>
      </c>
      <c r="R163" s="636">
        <v>0</v>
      </c>
      <c r="S163" s="636">
        <v>0</v>
      </c>
      <c r="U163" s="636"/>
      <c r="V163" s="636">
        <v>0</v>
      </c>
      <c r="W163" s="636">
        <v>0</v>
      </c>
      <c r="X163" s="636">
        <v>0</v>
      </c>
      <c r="Y163" s="636">
        <v>0</v>
      </c>
      <c r="Z163" s="636">
        <v>0</v>
      </c>
      <c r="AA163" s="636">
        <v>0</v>
      </c>
      <c r="AB163" s="636">
        <v>0</v>
      </c>
      <c r="AC163" s="636">
        <v>0</v>
      </c>
      <c r="AD163" s="636">
        <v>0</v>
      </c>
      <c r="AE163" s="636">
        <v>0</v>
      </c>
      <c r="AF163" s="636">
        <v>0</v>
      </c>
      <c r="AG163" s="636">
        <v>0</v>
      </c>
      <c r="AH163" s="636">
        <v>0</v>
      </c>
      <c r="AI163" s="636">
        <v>0</v>
      </c>
      <c r="AJ163" s="636">
        <v>0</v>
      </c>
      <c r="AK163" s="636">
        <v>0</v>
      </c>
    </row>
    <row r="164" spans="3:37" ht="13.5">
      <c r="C164" s="648" t="s">
        <v>67</v>
      </c>
      <c r="D164" s="642">
        <v>0</v>
      </c>
      <c r="E164" s="649">
        <v>0</v>
      </c>
      <c r="F164" s="649">
        <v>0</v>
      </c>
      <c r="G164" s="642">
        <v>0</v>
      </c>
      <c r="H164" s="642">
        <v>0</v>
      </c>
      <c r="I164" s="642">
        <v>0</v>
      </c>
      <c r="J164" s="642">
        <v>0</v>
      </c>
      <c r="K164" s="642">
        <v>0</v>
      </c>
      <c r="L164" s="642">
        <v>0</v>
      </c>
      <c r="M164" s="642">
        <v>0</v>
      </c>
      <c r="N164" s="642">
        <v>0</v>
      </c>
      <c r="O164" s="642">
        <v>0</v>
      </c>
      <c r="P164" s="642">
        <v>0</v>
      </c>
      <c r="Q164" s="642">
        <v>0</v>
      </c>
      <c r="R164" s="642">
        <v>0</v>
      </c>
      <c r="S164" s="650">
        <v>0</v>
      </c>
      <c r="U164" s="648" t="s">
        <v>67</v>
      </c>
      <c r="V164" s="642">
        <v>0</v>
      </c>
      <c r="W164" s="649">
        <v>0</v>
      </c>
      <c r="X164" s="649">
        <v>0</v>
      </c>
      <c r="Y164" s="642">
        <v>0</v>
      </c>
      <c r="Z164" s="642">
        <v>0</v>
      </c>
      <c r="AA164" s="642">
        <v>0</v>
      </c>
      <c r="AB164" s="642">
        <v>0</v>
      </c>
      <c r="AC164" s="642">
        <v>0</v>
      </c>
      <c r="AD164" s="642">
        <v>0</v>
      </c>
      <c r="AE164" s="642">
        <v>0</v>
      </c>
      <c r="AF164" s="642">
        <v>0</v>
      </c>
      <c r="AG164" s="642">
        <v>0</v>
      </c>
      <c r="AH164" s="642">
        <v>0</v>
      </c>
      <c r="AI164" s="642">
        <v>0</v>
      </c>
      <c r="AJ164" s="642">
        <v>0</v>
      </c>
      <c r="AK164" s="650">
        <v>0</v>
      </c>
    </row>
    <row r="165" spans="3:37" ht="13.5">
      <c r="C165" s="648" t="s">
        <v>350</v>
      </c>
      <c r="D165" s="642">
        <v>2.8267856410252494</v>
      </c>
      <c r="E165" s="642">
        <v>0</v>
      </c>
      <c r="F165" s="642">
        <v>7.9696731063521415</v>
      </c>
      <c r="G165" s="642">
        <v>17.422222222222224</v>
      </c>
      <c r="H165" s="642">
        <v>1075.0000000000002</v>
      </c>
      <c r="I165" s="642">
        <v>224.13674723416887</v>
      </c>
      <c r="J165" s="651">
        <v>30.45355250478201</v>
      </c>
      <c r="K165" s="651">
        <v>7.4482212846984126</v>
      </c>
      <c r="L165" s="651">
        <v>2.4531054045111396</v>
      </c>
      <c r="M165" s="651">
        <v>0.47972213502804317</v>
      </c>
      <c r="N165" s="651">
        <v>0</v>
      </c>
      <c r="O165" s="651">
        <v>3.0833964576427819</v>
      </c>
      <c r="P165" s="642">
        <v>-609.30151807373261</v>
      </c>
      <c r="Q165" s="642">
        <v>0</v>
      </c>
      <c r="R165" s="642">
        <v>0</v>
      </c>
      <c r="S165" s="650">
        <v>761.97190791669834</v>
      </c>
      <c r="U165" s="648" t="s">
        <v>350</v>
      </c>
      <c r="V165" s="642">
        <v>0.62631490545869017</v>
      </c>
      <c r="W165" s="642">
        <v>0</v>
      </c>
      <c r="X165" s="642">
        <v>4.1060367427157782</v>
      </c>
      <c r="Y165" s="642">
        <v>24.857777777777773</v>
      </c>
      <c r="Z165" s="642">
        <v>994.39393939393949</v>
      </c>
      <c r="AA165" s="642">
        <v>248.70674723416883</v>
      </c>
      <c r="AB165" s="651">
        <v>24.641197042508384</v>
      </c>
      <c r="AC165" s="651">
        <v>6.6719525843779666</v>
      </c>
      <c r="AD165" s="651">
        <v>2.4531054045111396</v>
      </c>
      <c r="AE165" s="651">
        <v>4.5108332461391543</v>
      </c>
      <c r="AF165" s="651">
        <v>0</v>
      </c>
      <c r="AG165" s="651">
        <v>3.0833964576427819</v>
      </c>
      <c r="AH165" s="642">
        <v>-611.77151807373264</v>
      </c>
      <c r="AI165" s="642">
        <v>0</v>
      </c>
      <c r="AJ165" s="642">
        <v>2.3749999999999996</v>
      </c>
      <c r="AK165" s="650">
        <v>704.65478271550762</v>
      </c>
    </row>
    <row r="166" spans="3:37" ht="13.5">
      <c r="C166" s="648" t="s">
        <v>351</v>
      </c>
      <c r="D166" s="642">
        <v>0</v>
      </c>
      <c r="E166" s="642">
        <v>0</v>
      </c>
      <c r="F166" s="642">
        <v>0</v>
      </c>
      <c r="G166" s="642">
        <v>15.160725636684646</v>
      </c>
      <c r="H166" s="642">
        <v>0</v>
      </c>
      <c r="I166" s="642">
        <v>0</v>
      </c>
      <c r="J166" s="651">
        <v>12.939045348987106</v>
      </c>
      <c r="K166" s="651">
        <v>12.151724678588742</v>
      </c>
      <c r="L166" s="651">
        <v>0</v>
      </c>
      <c r="M166" s="651">
        <v>0.32322722394029924</v>
      </c>
      <c r="N166" s="651">
        <v>0</v>
      </c>
      <c r="O166" s="651">
        <v>2.1538235080806043</v>
      </c>
      <c r="P166" s="642">
        <v>0</v>
      </c>
      <c r="Q166" s="642">
        <v>-38.589386176372813</v>
      </c>
      <c r="R166" s="642">
        <v>0</v>
      </c>
      <c r="S166" s="650">
        <v>4.1391602199085806</v>
      </c>
      <c r="U166" s="648" t="s">
        <v>351</v>
      </c>
      <c r="V166" s="642">
        <v>0</v>
      </c>
      <c r="W166" s="642">
        <v>0</v>
      </c>
      <c r="X166" s="642">
        <v>0</v>
      </c>
      <c r="Y166" s="642">
        <v>15.290780965453443</v>
      </c>
      <c r="Z166" s="642">
        <v>0</v>
      </c>
      <c r="AA166" s="642">
        <v>0</v>
      </c>
      <c r="AB166" s="651">
        <v>28.500378674784677</v>
      </c>
      <c r="AC166" s="651">
        <v>25.381229817913329</v>
      </c>
      <c r="AD166" s="651">
        <v>0</v>
      </c>
      <c r="AE166" s="651">
        <v>2.712197771476935</v>
      </c>
      <c r="AF166" s="651">
        <v>0</v>
      </c>
      <c r="AG166" s="651">
        <v>8.3103526067541207</v>
      </c>
      <c r="AH166" s="642">
        <v>0</v>
      </c>
      <c r="AI166" s="642">
        <v>-73.223954421682024</v>
      </c>
      <c r="AJ166" s="642">
        <v>0</v>
      </c>
      <c r="AK166" s="650">
        <v>6.9709854147004844</v>
      </c>
    </row>
    <row r="167" spans="3:37" ht="13.5">
      <c r="C167" s="648" t="s">
        <v>352</v>
      </c>
      <c r="D167" s="642">
        <v>0</v>
      </c>
      <c r="E167" s="642">
        <v>0</v>
      </c>
      <c r="F167" s="642">
        <v>0</v>
      </c>
      <c r="G167" s="642">
        <v>0</v>
      </c>
      <c r="H167" s="642">
        <v>0</v>
      </c>
      <c r="I167" s="642">
        <v>0</v>
      </c>
      <c r="J167" s="652">
        <v>7.3987592400222235</v>
      </c>
      <c r="K167" s="652">
        <v>0</v>
      </c>
      <c r="L167" s="652">
        <v>0</v>
      </c>
      <c r="M167" s="652">
        <v>-6.5941441726698065</v>
      </c>
      <c r="N167" s="652">
        <v>0</v>
      </c>
      <c r="O167" s="652">
        <v>0</v>
      </c>
      <c r="P167" s="642">
        <v>0</v>
      </c>
      <c r="Q167" s="642">
        <v>0</v>
      </c>
      <c r="R167" s="642">
        <v>0</v>
      </c>
      <c r="S167" s="650">
        <v>0.80461506735241706</v>
      </c>
      <c r="U167" s="648" t="s">
        <v>352</v>
      </c>
      <c r="V167" s="642">
        <v>0</v>
      </c>
      <c r="W167" s="642">
        <v>0</v>
      </c>
      <c r="X167" s="642">
        <v>0</v>
      </c>
      <c r="Y167" s="642">
        <v>0</v>
      </c>
      <c r="Z167" s="642">
        <v>0</v>
      </c>
      <c r="AA167" s="642">
        <v>0</v>
      </c>
      <c r="AB167" s="652">
        <v>40.786473386605621</v>
      </c>
      <c r="AC167" s="652">
        <v>0</v>
      </c>
      <c r="AD167" s="652">
        <v>0</v>
      </c>
      <c r="AE167" s="652">
        <v>-36.350944405812257</v>
      </c>
      <c r="AF167" s="652">
        <v>0</v>
      </c>
      <c r="AG167" s="652">
        <v>0</v>
      </c>
      <c r="AH167" s="642">
        <v>0</v>
      </c>
      <c r="AI167" s="642">
        <v>0</v>
      </c>
      <c r="AJ167" s="642">
        <v>0</v>
      </c>
      <c r="AK167" s="650">
        <v>4.4355289807933644</v>
      </c>
    </row>
    <row r="168" spans="3:37" ht="13.5">
      <c r="C168" s="648" t="s">
        <v>353</v>
      </c>
      <c r="D168" s="642">
        <v>0</v>
      </c>
      <c r="E168" s="642">
        <v>0</v>
      </c>
      <c r="F168" s="642">
        <v>0</v>
      </c>
      <c r="G168" s="642">
        <v>0</v>
      </c>
      <c r="H168" s="642">
        <v>0</v>
      </c>
      <c r="I168" s="642">
        <v>0</v>
      </c>
      <c r="J168" s="642">
        <v>0</v>
      </c>
      <c r="K168" s="642">
        <v>0</v>
      </c>
      <c r="L168" s="642">
        <v>0</v>
      </c>
      <c r="M168" s="642">
        <v>0</v>
      </c>
      <c r="N168" s="642">
        <v>0</v>
      </c>
      <c r="O168" s="642">
        <v>0</v>
      </c>
      <c r="P168" s="642">
        <v>0</v>
      </c>
      <c r="Q168" s="642">
        <v>0</v>
      </c>
      <c r="R168" s="642">
        <v>0</v>
      </c>
      <c r="S168" s="650">
        <v>0</v>
      </c>
      <c r="U168" s="648" t="s">
        <v>353</v>
      </c>
      <c r="V168" s="642">
        <v>0</v>
      </c>
      <c r="W168" s="642">
        <v>0</v>
      </c>
      <c r="X168" s="642">
        <v>0</v>
      </c>
      <c r="Y168" s="642">
        <v>0</v>
      </c>
      <c r="Z168" s="642">
        <v>0</v>
      </c>
      <c r="AA168" s="642">
        <v>0</v>
      </c>
      <c r="AB168" s="642">
        <v>0</v>
      </c>
      <c r="AC168" s="642">
        <v>0</v>
      </c>
      <c r="AD168" s="642">
        <v>0</v>
      </c>
      <c r="AE168" s="642">
        <v>0</v>
      </c>
      <c r="AF168" s="642">
        <v>0</v>
      </c>
      <c r="AG168" s="642">
        <v>0</v>
      </c>
      <c r="AH168" s="642">
        <v>0</v>
      </c>
      <c r="AI168" s="642">
        <v>0</v>
      </c>
      <c r="AJ168" s="642">
        <v>0</v>
      </c>
      <c r="AK168" s="650">
        <v>0</v>
      </c>
    </row>
    <row r="169" spans="3:37" ht="13.5">
      <c r="C169" s="648" t="s">
        <v>72</v>
      </c>
      <c r="D169" s="642">
        <v>0</v>
      </c>
      <c r="E169" s="642">
        <v>542.69343279650275</v>
      </c>
      <c r="F169" s="642">
        <v>-537.26649846853775</v>
      </c>
      <c r="G169" s="642">
        <v>0</v>
      </c>
      <c r="H169" s="642">
        <v>0</v>
      </c>
      <c r="I169" s="642">
        <v>0</v>
      </c>
      <c r="J169" s="642">
        <v>0</v>
      </c>
      <c r="K169" s="642">
        <v>0</v>
      </c>
      <c r="L169" s="642">
        <v>0</v>
      </c>
      <c r="M169" s="642">
        <v>0</v>
      </c>
      <c r="N169" s="642">
        <v>0</v>
      </c>
      <c r="O169" s="642">
        <v>0</v>
      </c>
      <c r="P169" s="642">
        <v>0</v>
      </c>
      <c r="Q169" s="642">
        <v>0</v>
      </c>
      <c r="R169" s="642">
        <v>0</v>
      </c>
      <c r="S169" s="650">
        <v>5.4269343279650002</v>
      </c>
      <c r="U169" s="648" t="s">
        <v>72</v>
      </c>
      <c r="V169" s="642">
        <v>0</v>
      </c>
      <c r="W169" s="642">
        <v>354.9229903070925</v>
      </c>
      <c r="X169" s="642">
        <v>-351.3737604040216</v>
      </c>
      <c r="Y169" s="642">
        <v>0</v>
      </c>
      <c r="Z169" s="642">
        <v>0</v>
      </c>
      <c r="AA169" s="642">
        <v>0</v>
      </c>
      <c r="AB169" s="642">
        <v>0</v>
      </c>
      <c r="AC169" s="642">
        <v>0</v>
      </c>
      <c r="AD169" s="642">
        <v>0</v>
      </c>
      <c r="AE169" s="642">
        <v>0</v>
      </c>
      <c r="AF169" s="642">
        <v>0</v>
      </c>
      <c r="AG169" s="642">
        <v>0</v>
      </c>
      <c r="AH169" s="642">
        <v>0</v>
      </c>
      <c r="AI169" s="642">
        <v>0</v>
      </c>
      <c r="AJ169" s="642">
        <v>0</v>
      </c>
      <c r="AK169" s="650">
        <v>3.5492299030709091</v>
      </c>
    </row>
    <row r="170" spans="3:37" ht="13.5">
      <c r="C170" s="648" t="s">
        <v>354</v>
      </c>
      <c r="D170" s="642">
        <v>0</v>
      </c>
      <c r="E170" s="642">
        <v>0</v>
      </c>
      <c r="F170" s="642">
        <v>0</v>
      </c>
      <c r="G170" s="642">
        <v>0</v>
      </c>
      <c r="H170" s="642">
        <v>0</v>
      </c>
      <c r="I170" s="642">
        <v>0</v>
      </c>
      <c r="J170" s="642">
        <v>32.75009012852766</v>
      </c>
      <c r="K170" s="642">
        <v>0</v>
      </c>
      <c r="L170" s="642">
        <v>-32.75009012852766</v>
      </c>
      <c r="M170" s="642">
        <v>0</v>
      </c>
      <c r="N170" s="642">
        <v>0</v>
      </c>
      <c r="O170" s="642">
        <v>0</v>
      </c>
      <c r="P170" s="642">
        <v>0</v>
      </c>
      <c r="Q170" s="642">
        <v>0</v>
      </c>
      <c r="R170" s="642">
        <v>0</v>
      </c>
      <c r="S170" s="650">
        <v>0</v>
      </c>
      <c r="U170" s="648" t="s">
        <v>354</v>
      </c>
      <c r="V170" s="642">
        <v>0</v>
      </c>
      <c r="W170" s="642">
        <v>0</v>
      </c>
      <c r="X170" s="642">
        <v>0</v>
      </c>
      <c r="Y170" s="642">
        <v>0</v>
      </c>
      <c r="Z170" s="642">
        <v>0</v>
      </c>
      <c r="AA170" s="642">
        <v>0</v>
      </c>
      <c r="AB170" s="642" t="e">
        <v>#VALUE!</v>
      </c>
      <c r="AC170" s="642">
        <v>0</v>
      </c>
      <c r="AD170" s="642">
        <v>-76.638831624044727</v>
      </c>
      <c r="AE170" s="642">
        <v>0</v>
      </c>
      <c r="AF170" s="642">
        <v>0</v>
      </c>
      <c r="AG170" s="642">
        <v>0</v>
      </c>
      <c r="AH170" s="642">
        <v>0</v>
      </c>
      <c r="AI170" s="642">
        <v>0</v>
      </c>
      <c r="AJ170" s="642">
        <v>0</v>
      </c>
      <c r="AK170" s="650">
        <v>-76.638831624044727</v>
      </c>
    </row>
    <row r="171" spans="3:37" ht="13.5">
      <c r="C171" s="648" t="s">
        <v>355</v>
      </c>
      <c r="D171" s="642">
        <v>0</v>
      </c>
      <c r="E171" s="642">
        <v>0</v>
      </c>
      <c r="F171" s="642">
        <v>0</v>
      </c>
      <c r="G171" s="642">
        <v>0</v>
      </c>
      <c r="H171" s="642">
        <v>0</v>
      </c>
      <c r="I171" s="642">
        <v>0</v>
      </c>
      <c r="J171" s="642">
        <v>0</v>
      </c>
      <c r="K171" s="642">
        <v>0</v>
      </c>
      <c r="L171" s="642">
        <v>0</v>
      </c>
      <c r="M171" s="642">
        <v>0</v>
      </c>
      <c r="N171" s="642">
        <v>0</v>
      </c>
      <c r="O171" s="642">
        <v>0</v>
      </c>
      <c r="P171" s="642">
        <v>0</v>
      </c>
      <c r="Q171" s="642">
        <v>0</v>
      </c>
      <c r="R171" s="642">
        <v>0</v>
      </c>
      <c r="S171" s="650">
        <v>0</v>
      </c>
      <c r="U171" s="648" t="s">
        <v>355</v>
      </c>
      <c r="V171" s="642">
        <v>0</v>
      </c>
      <c r="W171" s="642">
        <v>0</v>
      </c>
      <c r="X171" s="642">
        <v>0</v>
      </c>
      <c r="Y171" s="642">
        <v>0</v>
      </c>
      <c r="Z171" s="642">
        <v>0</v>
      </c>
      <c r="AA171" s="642">
        <v>0</v>
      </c>
      <c r="AB171" s="642">
        <v>0</v>
      </c>
      <c r="AC171" s="642">
        <v>0</v>
      </c>
      <c r="AD171" s="642">
        <v>-16.893833779014706</v>
      </c>
      <c r="AE171" s="642">
        <v>0</v>
      </c>
      <c r="AF171" s="642">
        <v>0</v>
      </c>
      <c r="AG171" s="642">
        <v>0</v>
      </c>
      <c r="AH171" s="642">
        <v>0</v>
      </c>
      <c r="AI171" s="642">
        <v>0</v>
      </c>
      <c r="AJ171" s="642">
        <v>0</v>
      </c>
      <c r="AK171" s="650">
        <v>-16.893833779014706</v>
      </c>
    </row>
    <row r="172" spans="3:37" ht="13.5">
      <c r="C172" s="648" t="s">
        <v>73</v>
      </c>
      <c r="D172" s="642">
        <v>0</v>
      </c>
      <c r="E172" s="642">
        <v>0</v>
      </c>
      <c r="F172" s="642">
        <v>0</v>
      </c>
      <c r="G172" s="642">
        <v>2.9190475912378031</v>
      </c>
      <c r="H172" s="642">
        <v>0</v>
      </c>
      <c r="I172" s="642">
        <v>0</v>
      </c>
      <c r="J172" s="642">
        <v>0</v>
      </c>
      <c r="K172" s="642">
        <v>3.3095777678433143E-2</v>
      </c>
      <c r="L172" s="642">
        <v>0</v>
      </c>
      <c r="M172" s="642">
        <v>5.9572399821179664E-2</v>
      </c>
      <c r="N172" s="642">
        <v>0</v>
      </c>
      <c r="O172" s="642">
        <v>0</v>
      </c>
      <c r="P172" s="642">
        <v>0.31236464325712177</v>
      </c>
      <c r="Q172" s="642">
        <v>0</v>
      </c>
      <c r="R172" s="642">
        <v>-2.3167044374903201</v>
      </c>
      <c r="S172" s="650">
        <v>1.0073759745042175</v>
      </c>
      <c r="U172" s="648" t="s">
        <v>73</v>
      </c>
      <c r="V172" s="642">
        <v>0</v>
      </c>
      <c r="W172" s="642">
        <v>0</v>
      </c>
      <c r="X172" s="642">
        <v>0</v>
      </c>
      <c r="Y172" s="642">
        <v>6.287229939138852</v>
      </c>
      <c r="Z172" s="642">
        <v>0</v>
      </c>
      <c r="AA172" s="642">
        <v>0</v>
      </c>
      <c r="AB172" s="642">
        <v>0</v>
      </c>
      <c r="AC172" s="642">
        <v>0.25073698660573684</v>
      </c>
      <c r="AD172" s="642">
        <v>0</v>
      </c>
      <c r="AE172" s="642">
        <v>1.1095111657303856</v>
      </c>
      <c r="AF172" s="642">
        <v>0</v>
      </c>
      <c r="AG172" s="642">
        <v>0</v>
      </c>
      <c r="AH172" s="642">
        <v>18.274688237257074</v>
      </c>
      <c r="AI172" s="642">
        <v>0</v>
      </c>
      <c r="AJ172" s="642">
        <v>-17.551589062401579</v>
      </c>
      <c r="AK172" s="650">
        <v>8.3705772663304678</v>
      </c>
    </row>
    <row r="173" spans="3:37" ht="13.5">
      <c r="C173" s="648" t="s">
        <v>356</v>
      </c>
      <c r="D173" s="642">
        <v>28.656195468750003</v>
      </c>
      <c r="E173" s="642">
        <v>-18.804327446398823</v>
      </c>
      <c r="F173" s="642">
        <v>24.594949618470011</v>
      </c>
      <c r="G173" s="642">
        <v>0</v>
      </c>
      <c r="H173" s="642">
        <v>0</v>
      </c>
      <c r="I173" s="642">
        <v>0</v>
      </c>
      <c r="J173" s="642">
        <v>0</v>
      </c>
      <c r="K173" s="642">
        <v>0</v>
      </c>
      <c r="L173" s="642">
        <v>0</v>
      </c>
      <c r="M173" s="642">
        <v>0</v>
      </c>
      <c r="N173" s="642">
        <v>0</v>
      </c>
      <c r="O173" s="642">
        <v>0</v>
      </c>
      <c r="P173" s="642">
        <v>0</v>
      </c>
      <c r="Q173" s="642">
        <v>0</v>
      </c>
      <c r="R173" s="642">
        <v>0</v>
      </c>
      <c r="S173" s="650">
        <v>34.446817640821195</v>
      </c>
      <c r="U173" s="648" t="s">
        <v>356</v>
      </c>
      <c r="V173" s="642">
        <v>3.6632235107421875</v>
      </c>
      <c r="W173" s="642">
        <v>-12.298081614140758</v>
      </c>
      <c r="X173" s="642">
        <v>16.085164362607916</v>
      </c>
      <c r="Y173" s="642">
        <v>0</v>
      </c>
      <c r="Z173" s="642">
        <v>0</v>
      </c>
      <c r="AA173" s="642">
        <v>0</v>
      </c>
      <c r="AB173" s="642">
        <v>0</v>
      </c>
      <c r="AC173" s="642">
        <v>0</v>
      </c>
      <c r="AD173" s="642">
        <v>0</v>
      </c>
      <c r="AE173" s="642">
        <v>0</v>
      </c>
      <c r="AF173" s="642">
        <v>0</v>
      </c>
      <c r="AG173" s="642">
        <v>0</v>
      </c>
      <c r="AH173" s="642">
        <v>0</v>
      </c>
      <c r="AI173" s="642">
        <v>0</v>
      </c>
      <c r="AJ173" s="642">
        <v>0</v>
      </c>
      <c r="AK173" s="650">
        <v>7.450306259209345</v>
      </c>
    </row>
    <row r="174" spans="3:37" ht="13.5">
      <c r="C174" s="648" t="s">
        <v>75</v>
      </c>
      <c r="D174" s="642">
        <v>11.144076015625002</v>
      </c>
      <c r="E174" s="642">
        <v>0</v>
      </c>
      <c r="F174" s="642">
        <v>18.451576715081096</v>
      </c>
      <c r="G174" s="642">
        <v>5.2652116849916704</v>
      </c>
      <c r="H174" s="642">
        <v>0</v>
      </c>
      <c r="I174" s="642">
        <v>0</v>
      </c>
      <c r="J174" s="642">
        <v>0</v>
      </c>
      <c r="K174" s="642">
        <v>0</v>
      </c>
      <c r="L174" s="642">
        <v>0</v>
      </c>
      <c r="M174" s="642">
        <v>0.10745329969370757</v>
      </c>
      <c r="N174" s="642">
        <v>0</v>
      </c>
      <c r="O174" s="642">
        <v>0</v>
      </c>
      <c r="P174" s="642">
        <v>33.522260759660846</v>
      </c>
      <c r="Q174" s="642">
        <v>0</v>
      </c>
      <c r="R174" s="642">
        <v>0</v>
      </c>
      <c r="S174" s="650">
        <v>68.490578475052317</v>
      </c>
      <c r="U174" s="648" t="s">
        <v>75</v>
      </c>
      <c r="V174" s="642">
        <v>4.4693862304687499</v>
      </c>
      <c r="W174" s="642">
        <v>0</v>
      </c>
      <c r="X174" s="642">
        <v>18.451576715081096</v>
      </c>
      <c r="Y174" s="642">
        <v>4.5667652369825715</v>
      </c>
      <c r="Z174" s="642">
        <v>0</v>
      </c>
      <c r="AA174" s="642">
        <v>0</v>
      </c>
      <c r="AB174" s="642">
        <v>0</v>
      </c>
      <c r="AC174" s="642">
        <v>0</v>
      </c>
      <c r="AD174" s="642">
        <v>0</v>
      </c>
      <c r="AE174" s="642">
        <v>0.8058997477028067</v>
      </c>
      <c r="AF174" s="642">
        <v>0</v>
      </c>
      <c r="AG174" s="642">
        <v>0</v>
      </c>
      <c r="AH174" s="642">
        <v>33.775215305115388</v>
      </c>
      <c r="AI174" s="642">
        <v>0</v>
      </c>
      <c r="AJ174" s="642">
        <v>0</v>
      </c>
      <c r="AK174" s="650">
        <v>62.068843235350613</v>
      </c>
    </row>
    <row r="175" spans="3:37" ht="13.5">
      <c r="C175" s="648" t="s">
        <v>76</v>
      </c>
      <c r="D175" s="642">
        <v>0</v>
      </c>
      <c r="E175" s="642">
        <v>0</v>
      </c>
      <c r="F175" s="642">
        <v>0</v>
      </c>
      <c r="G175" s="642">
        <v>3.8313802109978718</v>
      </c>
      <c r="H175" s="642">
        <v>0</v>
      </c>
      <c r="I175" s="642">
        <v>0</v>
      </c>
      <c r="J175" s="642">
        <v>0</v>
      </c>
      <c r="K175" s="642">
        <v>0</v>
      </c>
      <c r="L175" s="642">
        <v>0</v>
      </c>
      <c r="M175" s="642">
        <v>7.8191432877507586E-2</v>
      </c>
      <c r="N175" s="642">
        <v>0</v>
      </c>
      <c r="O175" s="642">
        <v>0</v>
      </c>
      <c r="P175" s="642">
        <v>42.744249460921445</v>
      </c>
      <c r="Q175" s="642">
        <v>2.9948048478615572</v>
      </c>
      <c r="R175" s="642">
        <v>0</v>
      </c>
      <c r="S175" s="650">
        <v>49.648625952658385</v>
      </c>
      <c r="U175" s="648" t="s">
        <v>76</v>
      </c>
      <c r="V175" s="642">
        <v>0</v>
      </c>
      <c r="W175" s="642">
        <v>0</v>
      </c>
      <c r="X175" s="642">
        <v>0</v>
      </c>
      <c r="Y175" s="642">
        <v>2.4425535766751323</v>
      </c>
      <c r="Z175" s="642">
        <v>0</v>
      </c>
      <c r="AA175" s="642">
        <v>0</v>
      </c>
      <c r="AB175" s="642">
        <v>0</v>
      </c>
      <c r="AC175" s="642">
        <v>0</v>
      </c>
      <c r="AD175" s="642">
        <v>0</v>
      </c>
      <c r="AE175" s="642">
        <v>0.43103886647208217</v>
      </c>
      <c r="AF175" s="642">
        <v>0</v>
      </c>
      <c r="AG175" s="642">
        <v>0</v>
      </c>
      <c r="AH175" s="642">
        <v>44.348699545879278</v>
      </c>
      <c r="AI175" s="642">
        <v>5.6786643797858867</v>
      </c>
      <c r="AJ175" s="642">
        <v>0</v>
      </c>
      <c r="AK175" s="650">
        <v>52.900956368812388</v>
      </c>
    </row>
    <row r="176" spans="3:37" ht="13.5">
      <c r="C176" s="646" t="s">
        <v>77</v>
      </c>
      <c r="D176" s="647">
        <v>42.627057125400256</v>
      </c>
      <c r="E176" s="647">
        <v>523.88910535010393</v>
      </c>
      <c r="F176" s="647">
        <v>-486.25029902863446</v>
      </c>
      <c r="G176" s="647">
        <v>44.598587346134217</v>
      </c>
      <c r="H176" s="647">
        <v>1075.0000000000002</v>
      </c>
      <c r="I176" s="647">
        <v>224.13674723416887</v>
      </c>
      <c r="J176" s="647">
        <v>83.541447222318993</v>
      </c>
      <c r="K176" s="647">
        <v>19.633041740965588</v>
      </c>
      <c r="L176" s="647">
        <v>-30.296984724016522</v>
      </c>
      <c r="M176" s="647">
        <v>-5.5459776813090693</v>
      </c>
      <c r="N176" s="647">
        <v>0</v>
      </c>
      <c r="O176" s="647">
        <v>5.2372199657233862</v>
      </c>
      <c r="P176" s="647">
        <v>-532.72264320989325</v>
      </c>
      <c r="Q176" s="647">
        <v>-35.594581328511254</v>
      </c>
      <c r="R176" s="647">
        <v>-2.3167044374903201</v>
      </c>
      <c r="S176" s="647">
        <v>925.93601557496061</v>
      </c>
      <c r="U176" s="646" t="s">
        <v>77</v>
      </c>
      <c r="V176" s="647">
        <v>8.7589246466696284</v>
      </c>
      <c r="W176" s="647">
        <v>342.62490869295175</v>
      </c>
      <c r="X176" s="647">
        <v>-312.73098258361676</v>
      </c>
      <c r="Y176" s="647">
        <v>53.445107496027774</v>
      </c>
      <c r="Z176" s="647">
        <v>994.39393939393949</v>
      </c>
      <c r="AA176" s="647">
        <v>248.70674723416883</v>
      </c>
      <c r="AB176" s="647">
        <v>93.928049103898687</v>
      </c>
      <c r="AC176" s="647">
        <v>32.303919388897036</v>
      </c>
      <c r="AD176" s="647">
        <v>-91.079559998548305</v>
      </c>
      <c r="AE176" s="647">
        <v>-26.781463608290892</v>
      </c>
      <c r="AF176" s="647">
        <v>0</v>
      </c>
      <c r="AG176" s="647">
        <v>11.393749064396903</v>
      </c>
      <c r="AH176" s="647">
        <v>-515.37291498548086</v>
      </c>
      <c r="AI176" s="647">
        <v>-67.545290041896138</v>
      </c>
      <c r="AJ176" s="647">
        <v>-15.176589062401579</v>
      </c>
      <c r="AK176" s="647">
        <v>756.86854474071572</v>
      </c>
    </row>
    <row r="177" spans="3:37" ht="13">
      <c r="C177" s="636"/>
      <c r="D177" s="636">
        <v>0</v>
      </c>
      <c r="E177" s="636">
        <v>0</v>
      </c>
      <c r="F177" s="636">
        <v>0</v>
      </c>
      <c r="G177" s="636">
        <v>0</v>
      </c>
      <c r="H177" s="636">
        <v>0</v>
      </c>
      <c r="I177" s="636">
        <v>0</v>
      </c>
      <c r="J177" s="636">
        <v>0</v>
      </c>
      <c r="K177" s="636">
        <v>0</v>
      </c>
      <c r="L177" s="636">
        <v>0</v>
      </c>
      <c r="M177" s="636">
        <v>0</v>
      </c>
      <c r="N177" s="636">
        <v>0</v>
      </c>
      <c r="O177" s="636">
        <v>0</v>
      </c>
      <c r="P177" s="636">
        <v>0</v>
      </c>
      <c r="Q177" s="636">
        <v>0</v>
      </c>
      <c r="R177" s="636">
        <v>0</v>
      </c>
      <c r="S177" s="636">
        <v>0</v>
      </c>
      <c r="U177" s="636"/>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row>
    <row r="178" spans="3:37" ht="13.5">
      <c r="C178" s="648" t="s">
        <v>78</v>
      </c>
      <c r="D178" s="642">
        <v>6.2002081056415257</v>
      </c>
      <c r="E178" s="642">
        <v>0</v>
      </c>
      <c r="F178" s="642">
        <v>23.255205938178186</v>
      </c>
      <c r="G178" s="642">
        <v>101.12865293850786</v>
      </c>
      <c r="H178" s="642">
        <v>0</v>
      </c>
      <c r="I178" s="642">
        <v>0</v>
      </c>
      <c r="J178" s="642">
        <v>19.565687098295676</v>
      </c>
      <c r="K178" s="642">
        <v>1.7744589215827917</v>
      </c>
      <c r="L178" s="642">
        <v>0.87520713476562495</v>
      </c>
      <c r="M178" s="642">
        <v>2.0825226770622867</v>
      </c>
      <c r="N178" s="642">
        <v>0</v>
      </c>
      <c r="O178" s="642">
        <v>3.8067188808088001E-4</v>
      </c>
      <c r="P178" s="642">
        <v>109.76937284793219</v>
      </c>
      <c r="Q178" s="642">
        <v>16.103287978552984</v>
      </c>
      <c r="R178" s="642">
        <v>0.32868640136718752</v>
      </c>
      <c r="S178" s="650">
        <v>281.08367071377444</v>
      </c>
      <c r="U178" s="648" t="s">
        <v>78</v>
      </c>
      <c r="V178" s="642">
        <v>1.01942505552247</v>
      </c>
      <c r="W178" s="642">
        <v>0</v>
      </c>
      <c r="X178" s="642">
        <v>12.936117077553076</v>
      </c>
      <c r="Y178" s="642">
        <v>67.349539979102474</v>
      </c>
      <c r="Z178" s="642">
        <v>0</v>
      </c>
      <c r="AA178" s="642">
        <v>0</v>
      </c>
      <c r="AB178" s="642">
        <v>16.313565187348217</v>
      </c>
      <c r="AC178" s="642">
        <v>5.7022810919996436</v>
      </c>
      <c r="AD178" s="642">
        <v>2.2588896484375001</v>
      </c>
      <c r="AE178" s="642">
        <v>11.903885554581411</v>
      </c>
      <c r="AF178" s="642">
        <v>0</v>
      </c>
      <c r="AG178" s="642">
        <v>3.8067188808088001E-4</v>
      </c>
      <c r="AH178" s="642">
        <v>135.13428233654639</v>
      </c>
      <c r="AI178" s="642">
        <v>21.466888656055119</v>
      </c>
      <c r="AJ178" s="642">
        <v>5.7972734375000003</v>
      </c>
      <c r="AK178" s="650">
        <v>279.88252869653439</v>
      </c>
    </row>
    <row r="179" spans="3:37" ht="13.5">
      <c r="C179" s="648" t="s">
        <v>79</v>
      </c>
      <c r="D179" s="642">
        <v>0</v>
      </c>
      <c r="E179" s="642">
        <v>0</v>
      </c>
      <c r="F179" s="642">
        <v>291.38745921478562</v>
      </c>
      <c r="G179" s="642">
        <v>24.020829745272028</v>
      </c>
      <c r="H179" s="642">
        <v>0</v>
      </c>
      <c r="I179" s="642">
        <v>0</v>
      </c>
      <c r="J179" s="642">
        <v>0</v>
      </c>
      <c r="K179" s="642">
        <v>0</v>
      </c>
      <c r="L179" s="642">
        <v>28.280041762715456</v>
      </c>
      <c r="M179" s="642">
        <v>0.49022101520963324</v>
      </c>
      <c r="N179" s="642">
        <v>0</v>
      </c>
      <c r="O179" s="642">
        <v>0</v>
      </c>
      <c r="P179" s="642">
        <v>46.654707564142761</v>
      </c>
      <c r="Q179" s="642">
        <v>0</v>
      </c>
      <c r="R179" s="642">
        <v>1.1135281120019407</v>
      </c>
      <c r="S179" s="650">
        <v>391.94678741412741</v>
      </c>
      <c r="U179" s="648" t="s">
        <v>79</v>
      </c>
      <c r="V179" s="642">
        <v>0</v>
      </c>
      <c r="W179" s="642">
        <v>0</v>
      </c>
      <c r="X179" s="642">
        <v>152.5395921226515</v>
      </c>
      <c r="Y179" s="642">
        <v>18.931026789455995</v>
      </c>
      <c r="Z179" s="642">
        <v>0</v>
      </c>
      <c r="AA179" s="642">
        <v>0</v>
      </c>
      <c r="AB179" s="642">
        <v>0</v>
      </c>
      <c r="AC179" s="642">
        <v>0</v>
      </c>
      <c r="AD179" s="642">
        <v>49.546406871337183</v>
      </c>
      <c r="AE179" s="642">
        <v>3.3407694334334113</v>
      </c>
      <c r="AF179" s="642">
        <v>0</v>
      </c>
      <c r="AG179" s="642">
        <v>0</v>
      </c>
      <c r="AH179" s="642">
        <v>60.923926311544285</v>
      </c>
      <c r="AI179" s="642">
        <v>0</v>
      </c>
      <c r="AJ179" s="642">
        <v>2.0956611258816777</v>
      </c>
      <c r="AK179" s="650">
        <v>287.37738265430403</v>
      </c>
    </row>
    <row r="180" spans="3:37" ht="13.5">
      <c r="C180" s="648" t="s">
        <v>80</v>
      </c>
      <c r="D180" s="642">
        <v>0</v>
      </c>
      <c r="E180" s="642">
        <v>0</v>
      </c>
      <c r="F180" s="642">
        <v>24.366054746482678</v>
      </c>
      <c r="G180" s="642">
        <v>88.830627596834503</v>
      </c>
      <c r="H180" s="642">
        <v>0</v>
      </c>
      <c r="I180" s="642">
        <v>0</v>
      </c>
      <c r="J180" s="642">
        <v>86.298448588028648</v>
      </c>
      <c r="K180" s="642">
        <v>0</v>
      </c>
      <c r="L180" s="642">
        <v>0</v>
      </c>
      <c r="M180" s="642">
        <v>1.8128699509558064</v>
      </c>
      <c r="N180" s="642">
        <v>49.305914152356948</v>
      </c>
      <c r="O180" s="642">
        <v>1.9759423218950023</v>
      </c>
      <c r="P180" s="642">
        <v>183.08170703950353</v>
      </c>
      <c r="Q180" s="642">
        <v>15.629207143582217</v>
      </c>
      <c r="R180" s="642">
        <v>0</v>
      </c>
      <c r="S180" s="650">
        <v>451.3007715396393</v>
      </c>
      <c r="U180" s="648" t="s">
        <v>80</v>
      </c>
      <c r="V180" s="642">
        <v>0</v>
      </c>
      <c r="W180" s="642">
        <v>0</v>
      </c>
      <c r="X180" s="642">
        <v>1.5212022418020299</v>
      </c>
      <c r="Y180" s="642">
        <v>34.748278571527685</v>
      </c>
      <c r="Z180" s="642">
        <v>0</v>
      </c>
      <c r="AA180" s="642">
        <v>0</v>
      </c>
      <c r="AB180" s="642">
        <v>75.181836567082826</v>
      </c>
      <c r="AC180" s="642">
        <v>0</v>
      </c>
      <c r="AD180" s="642">
        <v>0</v>
      </c>
      <c r="AE180" s="642">
        <v>6.1320491596813564</v>
      </c>
      <c r="AF180" s="642">
        <v>62.645467095100628</v>
      </c>
      <c r="AG180" s="642">
        <v>2.6978117080871646</v>
      </c>
      <c r="AH180" s="642">
        <v>158.40967854762758</v>
      </c>
      <c r="AI180" s="642">
        <v>35.928967439236224</v>
      </c>
      <c r="AJ180" s="642">
        <v>0</v>
      </c>
      <c r="AK180" s="650">
        <v>377.26529133014549</v>
      </c>
    </row>
    <row r="181" spans="3:37" ht="13.5">
      <c r="C181" s="648" t="s">
        <v>81</v>
      </c>
      <c r="D181" s="642">
        <v>0</v>
      </c>
      <c r="E181" s="642">
        <v>0</v>
      </c>
      <c r="F181" s="642">
        <v>9.1434406229634497</v>
      </c>
      <c r="G181" s="642">
        <v>62.772902131190932</v>
      </c>
      <c r="H181" s="642">
        <v>0</v>
      </c>
      <c r="I181" s="642">
        <v>0</v>
      </c>
      <c r="J181" s="642">
        <v>3.3792389882828151</v>
      </c>
      <c r="K181" s="642">
        <v>2.5053216415896862E-2</v>
      </c>
      <c r="L181" s="642">
        <v>0</v>
      </c>
      <c r="M181" s="642">
        <v>1.2810796353304272</v>
      </c>
      <c r="N181" s="642">
        <v>8.5204805498073064</v>
      </c>
      <c r="O181" s="642">
        <v>0.77988306826531983</v>
      </c>
      <c r="P181" s="642">
        <v>134.9475862077569</v>
      </c>
      <c r="Q181" s="642">
        <v>3.8620862063760555</v>
      </c>
      <c r="R181" s="642">
        <v>0</v>
      </c>
      <c r="S181" s="650">
        <v>224.71175062638912</v>
      </c>
      <c r="U181" s="648" t="s">
        <v>81</v>
      </c>
      <c r="V181" s="642">
        <v>0</v>
      </c>
      <c r="W181" s="642">
        <v>0</v>
      </c>
      <c r="X181" s="642">
        <v>2.5747324311170368</v>
      </c>
      <c r="Y181" s="642">
        <v>28.050706446538126</v>
      </c>
      <c r="Z181" s="642">
        <v>0</v>
      </c>
      <c r="AA181" s="642">
        <v>0</v>
      </c>
      <c r="AB181" s="642">
        <v>7.5276105699702738</v>
      </c>
      <c r="AC181" s="642">
        <v>2.5053216415896862E-2</v>
      </c>
      <c r="AD181" s="642">
        <v>0</v>
      </c>
      <c r="AE181" s="642">
        <v>4.9501246670361398</v>
      </c>
      <c r="AF181" s="642">
        <v>14.347345485370148</v>
      </c>
      <c r="AG181" s="642">
        <v>1.6839822655905561</v>
      </c>
      <c r="AH181" s="642">
        <v>120.05488498756245</v>
      </c>
      <c r="AI181" s="642">
        <v>10.149433946604795</v>
      </c>
      <c r="AJ181" s="642">
        <v>0</v>
      </c>
      <c r="AK181" s="650">
        <v>189.36387401620541</v>
      </c>
    </row>
    <row r="182" spans="3:37" ht="13.5">
      <c r="C182" s="648" t="s">
        <v>82</v>
      </c>
      <c r="D182" s="642">
        <v>0</v>
      </c>
      <c r="E182" s="642">
        <v>0</v>
      </c>
      <c r="F182" s="642">
        <v>31.378359933180146</v>
      </c>
      <c r="G182" s="642">
        <v>1.761464702880946</v>
      </c>
      <c r="H182" s="642">
        <v>0</v>
      </c>
      <c r="I182" s="642">
        <v>0</v>
      </c>
      <c r="J182" s="642">
        <v>2.5129576329044134</v>
      </c>
      <c r="K182" s="642">
        <v>0</v>
      </c>
      <c r="L182" s="642">
        <v>2.7366524531426237</v>
      </c>
      <c r="M182" s="642">
        <v>3.5948259242468285E-2</v>
      </c>
      <c r="N182" s="642">
        <v>0</v>
      </c>
      <c r="O182" s="642">
        <v>7.8328904674825409E-2</v>
      </c>
      <c r="P182" s="642">
        <v>7.1029233048090266</v>
      </c>
      <c r="Q182" s="642">
        <v>0</v>
      </c>
      <c r="R182" s="642">
        <v>0</v>
      </c>
      <c r="S182" s="650">
        <v>45.606635190834446</v>
      </c>
      <c r="U182" s="648" t="s">
        <v>82</v>
      </c>
      <c r="V182" s="642">
        <v>0</v>
      </c>
      <c r="W182" s="642">
        <v>0</v>
      </c>
      <c r="X182" s="642">
        <v>18.696617357576709</v>
      </c>
      <c r="Y182" s="642">
        <v>1.906896096641761</v>
      </c>
      <c r="Z182" s="642">
        <v>0</v>
      </c>
      <c r="AA182" s="642">
        <v>0</v>
      </c>
      <c r="AB182" s="642">
        <v>2.5129576329044134</v>
      </c>
      <c r="AC182" s="642">
        <v>0</v>
      </c>
      <c r="AD182" s="642">
        <v>18.28747352858748</v>
      </c>
      <c r="AE182" s="642">
        <v>0.33651107587795781</v>
      </c>
      <c r="AF182" s="642">
        <v>0</v>
      </c>
      <c r="AG182" s="642">
        <v>0.96290247555165809</v>
      </c>
      <c r="AH182" s="642">
        <v>7.1739705565638916</v>
      </c>
      <c r="AI182" s="642">
        <v>0</v>
      </c>
      <c r="AJ182" s="642">
        <v>0.24940873791150003</v>
      </c>
      <c r="AK182" s="650">
        <v>50.12673746161537</v>
      </c>
    </row>
    <row r="183" spans="3:37" ht="13.5">
      <c r="C183" s="648" t="s">
        <v>357</v>
      </c>
      <c r="D183" s="642">
        <v>0</v>
      </c>
      <c r="E183" s="642">
        <v>0</v>
      </c>
      <c r="F183" s="642">
        <v>0</v>
      </c>
      <c r="G183" s="642">
        <v>0</v>
      </c>
      <c r="H183" s="642">
        <v>0</v>
      </c>
      <c r="I183" s="642">
        <v>0</v>
      </c>
      <c r="J183" s="642">
        <v>0</v>
      </c>
      <c r="K183" s="642">
        <v>0</v>
      </c>
      <c r="L183" s="642">
        <v>0</v>
      </c>
      <c r="M183" s="642">
        <v>0</v>
      </c>
      <c r="N183" s="642">
        <v>0</v>
      </c>
      <c r="O183" s="642">
        <v>0</v>
      </c>
      <c r="P183" s="642">
        <v>0.22499999999999998</v>
      </c>
      <c r="Q183" s="642">
        <v>0</v>
      </c>
      <c r="R183" s="642">
        <v>0</v>
      </c>
      <c r="S183" s="650">
        <v>0.22499999999999998</v>
      </c>
      <c r="U183" s="648" t="s">
        <v>357</v>
      </c>
      <c r="V183" s="642">
        <v>0</v>
      </c>
      <c r="W183" s="642">
        <v>0</v>
      </c>
      <c r="X183" s="642">
        <v>0</v>
      </c>
      <c r="Y183" s="642">
        <v>0</v>
      </c>
      <c r="Z183" s="642">
        <v>0</v>
      </c>
      <c r="AA183" s="642">
        <v>0</v>
      </c>
      <c r="AB183" s="642">
        <v>0</v>
      </c>
      <c r="AC183" s="642">
        <v>0</v>
      </c>
      <c r="AD183" s="642">
        <v>0</v>
      </c>
      <c r="AE183" s="642">
        <v>0</v>
      </c>
      <c r="AF183" s="642">
        <v>0</v>
      </c>
      <c r="AG183" s="642">
        <v>0</v>
      </c>
      <c r="AH183" s="642">
        <v>1.2</v>
      </c>
      <c r="AI183" s="642">
        <v>0</v>
      </c>
      <c r="AJ183" s="642">
        <v>0</v>
      </c>
      <c r="AK183" s="650">
        <v>1.2</v>
      </c>
    </row>
    <row r="184" spans="3:37" ht="13.5">
      <c r="C184" s="646" t="s">
        <v>83</v>
      </c>
      <c r="D184" s="647">
        <v>6.2002081056415257</v>
      </c>
      <c r="E184" s="647">
        <v>0</v>
      </c>
      <c r="F184" s="647">
        <v>379.53052045559002</v>
      </c>
      <c r="G184" s="647">
        <v>278.51447711468631</v>
      </c>
      <c r="H184" s="647">
        <v>0</v>
      </c>
      <c r="I184" s="647">
        <v>0</v>
      </c>
      <c r="J184" s="647">
        <v>111.75633230751156</v>
      </c>
      <c r="K184" s="647">
        <v>1.7995121379986885</v>
      </c>
      <c r="L184" s="647">
        <v>31.891901350623705</v>
      </c>
      <c r="M184" s="647">
        <v>5.7026415378006226</v>
      </c>
      <c r="N184" s="647">
        <v>57.826394702164251</v>
      </c>
      <c r="O184" s="647">
        <v>2.8345349667232282</v>
      </c>
      <c r="P184" s="647">
        <v>481.78129696414442</v>
      </c>
      <c r="Q184" s="647">
        <v>35.594581328511254</v>
      </c>
      <c r="R184" s="647">
        <v>1.4422145133691282</v>
      </c>
      <c r="S184" s="647">
        <v>1394.8746154847647</v>
      </c>
      <c r="U184" s="646" t="s">
        <v>83</v>
      </c>
      <c r="V184" s="647">
        <v>1.01942505552247</v>
      </c>
      <c r="W184" s="647">
        <v>0</v>
      </c>
      <c r="X184" s="647">
        <v>188.26826123070035</v>
      </c>
      <c r="Y184" s="647">
        <v>150.98644788326604</v>
      </c>
      <c r="Z184" s="647">
        <v>0</v>
      </c>
      <c r="AA184" s="647">
        <v>0</v>
      </c>
      <c r="AB184" s="647">
        <v>101.53596995730574</v>
      </c>
      <c r="AC184" s="647">
        <v>5.727334308415541</v>
      </c>
      <c r="AD184" s="647">
        <v>70.092770048362169</v>
      </c>
      <c r="AE184" s="647">
        <v>26.663339890610278</v>
      </c>
      <c r="AF184" s="647">
        <v>76.992812580470769</v>
      </c>
      <c r="AG184" s="647">
        <v>5.3450771211174599</v>
      </c>
      <c r="AH184" s="647">
        <v>482.89674273984457</v>
      </c>
      <c r="AI184" s="647">
        <v>67.545290041896138</v>
      </c>
      <c r="AJ184" s="647">
        <v>8.1423433012931774</v>
      </c>
      <c r="AK184" s="647">
        <v>1185.2158141588047</v>
      </c>
    </row>
    <row r="185" spans="3:37" ht="13.5">
      <c r="C185" s="641" t="s">
        <v>84</v>
      </c>
      <c r="D185" s="642">
        <v>0</v>
      </c>
      <c r="E185" s="642">
        <v>0</v>
      </c>
      <c r="F185" s="642">
        <v>114.78425758185857</v>
      </c>
      <c r="G185" s="642">
        <v>12.028714359769619</v>
      </c>
      <c r="H185" s="642">
        <v>0</v>
      </c>
      <c r="I185" s="642">
        <v>0</v>
      </c>
      <c r="J185" s="642">
        <v>0</v>
      </c>
      <c r="K185" s="642">
        <v>0</v>
      </c>
      <c r="L185" s="642">
        <v>0</v>
      </c>
      <c r="M185" s="642">
        <v>0</v>
      </c>
      <c r="N185" s="642">
        <v>0</v>
      </c>
      <c r="O185" s="642">
        <v>0</v>
      </c>
      <c r="P185" s="642">
        <v>0</v>
      </c>
      <c r="Q185" s="642">
        <v>0</v>
      </c>
      <c r="R185" s="642">
        <v>0.87448992412119186</v>
      </c>
      <c r="S185" s="650">
        <v>127.68746186574938</v>
      </c>
      <c r="U185" s="641" t="s">
        <v>84</v>
      </c>
      <c r="V185" s="642">
        <v>0</v>
      </c>
      <c r="W185" s="642">
        <v>0</v>
      </c>
      <c r="X185" s="642">
        <v>99.887922338380434</v>
      </c>
      <c r="Y185" s="642">
        <v>1.4617397027131513</v>
      </c>
      <c r="Z185" s="642">
        <v>0</v>
      </c>
      <c r="AA185" s="642">
        <v>0</v>
      </c>
      <c r="AB185" s="642">
        <v>0</v>
      </c>
      <c r="AC185" s="642">
        <v>0</v>
      </c>
      <c r="AD185" s="642">
        <v>9.6859590362548822</v>
      </c>
      <c r="AE185" s="642">
        <v>0</v>
      </c>
      <c r="AF185" s="642">
        <v>0</v>
      </c>
      <c r="AG185" s="642">
        <v>0</v>
      </c>
      <c r="AH185" s="642">
        <v>0</v>
      </c>
      <c r="AI185" s="642">
        <v>0</v>
      </c>
      <c r="AJ185" s="642">
        <v>7.0342457611083988</v>
      </c>
      <c r="AK185" s="650">
        <v>118.06986683845686</v>
      </c>
    </row>
    <row r="186" spans="3:37" ht="13.5">
      <c r="C186" s="646" t="s">
        <v>85</v>
      </c>
      <c r="D186" s="647">
        <v>6.2002081056415257</v>
      </c>
      <c r="E186" s="647">
        <v>0</v>
      </c>
      <c r="F186" s="647">
        <v>494.3147780374486</v>
      </c>
      <c r="G186" s="647">
        <v>290.54319147445591</v>
      </c>
      <c r="H186" s="647">
        <v>0</v>
      </c>
      <c r="I186" s="647">
        <v>0</v>
      </c>
      <c r="J186" s="647">
        <v>111.75633230751156</v>
      </c>
      <c r="K186" s="647">
        <v>1.7995121379986885</v>
      </c>
      <c r="L186" s="647">
        <v>31.891901350623705</v>
      </c>
      <c r="M186" s="647">
        <v>5.7026415378006226</v>
      </c>
      <c r="N186" s="647">
        <v>57.826394702164251</v>
      </c>
      <c r="O186" s="647">
        <v>2.8345349667232282</v>
      </c>
      <c r="P186" s="647">
        <v>481.78129696414442</v>
      </c>
      <c r="Q186" s="647">
        <v>35.594581328511254</v>
      </c>
      <c r="R186" s="647">
        <v>2.3167044374903201</v>
      </c>
      <c r="S186" s="647">
        <v>1522.5620773505141</v>
      </c>
      <c r="U186" s="646" t="s">
        <v>85</v>
      </c>
      <c r="V186" s="647">
        <v>1.01942505552247</v>
      </c>
      <c r="W186" s="647">
        <v>0</v>
      </c>
      <c r="X186" s="647">
        <v>288.15618356908084</v>
      </c>
      <c r="Y186" s="647">
        <v>152.44818758597918</v>
      </c>
      <c r="Z186" s="647">
        <v>0</v>
      </c>
      <c r="AA186" s="647">
        <v>0</v>
      </c>
      <c r="AB186" s="647">
        <v>101.53596995730574</v>
      </c>
      <c r="AC186" s="647">
        <v>5.727334308415541</v>
      </c>
      <c r="AD186" s="647">
        <v>79.778729084617055</v>
      </c>
      <c r="AE186" s="647">
        <v>26.663339890610278</v>
      </c>
      <c r="AF186" s="647">
        <v>76.992812580470769</v>
      </c>
      <c r="AG186" s="647">
        <v>5.3450771211174599</v>
      </c>
      <c r="AH186" s="647">
        <v>482.89674273984457</v>
      </c>
      <c r="AI186" s="647">
        <v>67.545290041896138</v>
      </c>
      <c r="AJ186" s="647">
        <v>15.176589062401575</v>
      </c>
      <c r="AK186" s="647">
        <v>1303.2856809972616</v>
      </c>
    </row>
    <row r="187" spans="3:37" ht="13">
      <c r="C187" s="636"/>
      <c r="D187" s="636"/>
      <c r="E187" s="636"/>
      <c r="F187" s="636"/>
      <c r="G187" s="636"/>
      <c r="H187" s="636"/>
      <c r="I187" s="636"/>
      <c r="J187" s="636"/>
      <c r="K187" s="636"/>
      <c r="L187" s="636"/>
      <c r="M187" s="636"/>
      <c r="N187" s="636"/>
      <c r="O187" s="636"/>
      <c r="P187" s="636"/>
      <c r="Q187" s="636"/>
      <c r="R187" s="636"/>
      <c r="S187" s="636"/>
      <c r="U187" s="636"/>
      <c r="V187" s="636"/>
      <c r="W187" s="636"/>
      <c r="X187" s="636"/>
      <c r="Y187" s="636"/>
      <c r="Z187" s="636"/>
      <c r="AA187" s="636"/>
      <c r="AB187" s="636"/>
      <c r="AC187" s="636"/>
      <c r="AD187" s="636"/>
      <c r="AE187" s="636"/>
      <c r="AF187" s="636"/>
      <c r="AG187" s="636"/>
      <c r="AH187" s="636"/>
      <c r="AI187" s="636"/>
      <c r="AJ187" s="636"/>
      <c r="AK187" s="636"/>
    </row>
    <row r="188" spans="3:37" ht="22.5">
      <c r="C188" s="699" t="s">
        <v>362</v>
      </c>
      <c r="D188" s="699"/>
      <c r="E188" s="699"/>
      <c r="F188" s="699"/>
      <c r="G188" s="699"/>
      <c r="H188" s="699"/>
      <c r="I188" s="699"/>
      <c r="J188" s="699"/>
      <c r="K188" s="699"/>
      <c r="L188" s="699"/>
      <c r="M188" s="699"/>
      <c r="N188" s="699"/>
      <c r="O188" s="699"/>
      <c r="P188" s="699"/>
      <c r="Q188" s="699"/>
      <c r="R188" s="699"/>
      <c r="S188" s="699"/>
      <c r="U188" s="699" t="s">
        <v>362</v>
      </c>
      <c r="V188" s="699"/>
      <c r="W188" s="699"/>
      <c r="X188" s="699"/>
      <c r="Y188" s="699"/>
      <c r="Z188" s="699"/>
      <c r="AA188" s="699"/>
      <c r="AB188" s="699"/>
      <c r="AC188" s="699"/>
      <c r="AD188" s="699"/>
      <c r="AE188" s="699"/>
      <c r="AF188" s="699"/>
      <c r="AG188" s="699"/>
      <c r="AH188" s="699"/>
      <c r="AI188" s="699"/>
      <c r="AJ188" s="699"/>
      <c r="AK188" s="699"/>
    </row>
    <row r="189" spans="3:37" ht="13">
      <c r="C189" s="636"/>
      <c r="D189" s="636"/>
      <c r="E189" s="636"/>
      <c r="F189" s="636"/>
      <c r="G189" s="636"/>
      <c r="H189" s="636"/>
      <c r="I189" s="636"/>
      <c r="J189" s="636"/>
      <c r="K189" s="636"/>
      <c r="L189" s="636"/>
      <c r="M189" s="636"/>
      <c r="N189" s="636"/>
      <c r="O189" s="636"/>
      <c r="P189" s="636"/>
      <c r="Q189" s="636"/>
      <c r="R189" s="636"/>
      <c r="S189" s="636"/>
      <c r="U189" s="636"/>
      <c r="V189" s="636"/>
      <c r="W189" s="636"/>
      <c r="X189" s="636"/>
      <c r="Y189" s="636"/>
      <c r="Z189" s="636"/>
      <c r="AA189" s="636"/>
      <c r="AB189" s="636"/>
      <c r="AC189" s="636"/>
      <c r="AD189" s="636"/>
      <c r="AE189" s="636"/>
      <c r="AF189" s="636"/>
      <c r="AG189" s="636"/>
      <c r="AH189" s="636"/>
      <c r="AI189" s="636"/>
      <c r="AJ189" s="636"/>
      <c r="AK189" s="636"/>
    </row>
    <row r="190" spans="3:37" ht="13" customHeight="1">
      <c r="C190" s="700" t="s">
        <v>128</v>
      </c>
      <c r="D190" s="701" t="s">
        <v>42</v>
      </c>
      <c r="E190" s="701" t="s">
        <v>52</v>
      </c>
      <c r="F190" s="701" t="s">
        <v>53</v>
      </c>
      <c r="G190" s="701" t="s">
        <v>32</v>
      </c>
      <c r="H190" s="701" t="s">
        <v>20</v>
      </c>
      <c r="I190" s="701" t="s">
        <v>55</v>
      </c>
      <c r="J190" s="701" t="s">
        <v>56</v>
      </c>
      <c r="K190" s="701"/>
      <c r="L190" s="701"/>
      <c r="M190" s="701"/>
      <c r="N190" s="701"/>
      <c r="O190" s="701"/>
      <c r="P190" s="701" t="s">
        <v>57</v>
      </c>
      <c r="Q190" s="701" t="s">
        <v>58</v>
      </c>
      <c r="R190" s="701" t="s">
        <v>31</v>
      </c>
      <c r="S190" s="701" t="s">
        <v>10</v>
      </c>
      <c r="U190" s="700" t="s">
        <v>128</v>
      </c>
      <c r="V190" s="701" t="s">
        <v>42</v>
      </c>
      <c r="W190" s="701" t="s">
        <v>52</v>
      </c>
      <c r="X190" s="701" t="s">
        <v>53</v>
      </c>
      <c r="Y190" s="701" t="s">
        <v>32</v>
      </c>
      <c r="Z190" s="701" t="s">
        <v>20</v>
      </c>
      <c r="AA190" s="701" t="s">
        <v>55</v>
      </c>
      <c r="AB190" s="701" t="s">
        <v>56</v>
      </c>
      <c r="AC190" s="701"/>
      <c r="AD190" s="701"/>
      <c r="AE190" s="701"/>
      <c r="AF190" s="701"/>
      <c r="AG190" s="701"/>
      <c r="AH190" s="701" t="s">
        <v>57</v>
      </c>
      <c r="AI190" s="701" t="s">
        <v>58</v>
      </c>
      <c r="AJ190" s="701" t="s">
        <v>31</v>
      </c>
      <c r="AK190" s="701" t="s">
        <v>10</v>
      </c>
    </row>
    <row r="191" spans="3:37" ht="46">
      <c r="C191" s="700"/>
      <c r="D191" s="701"/>
      <c r="E191" s="701"/>
      <c r="F191" s="701"/>
      <c r="G191" s="701"/>
      <c r="H191" s="701"/>
      <c r="I191" s="701"/>
      <c r="J191" s="640" t="s">
        <v>338</v>
      </c>
      <c r="K191" s="640" t="s">
        <v>40</v>
      </c>
      <c r="L191" s="640" t="s">
        <v>346</v>
      </c>
      <c r="M191" s="640" t="s">
        <v>347</v>
      </c>
      <c r="N191" s="640" t="s">
        <v>348</v>
      </c>
      <c r="O191" s="640" t="s">
        <v>349</v>
      </c>
      <c r="P191" s="701"/>
      <c r="Q191" s="701"/>
      <c r="R191" s="701"/>
      <c r="S191" s="701"/>
      <c r="U191" s="700"/>
      <c r="V191" s="701"/>
      <c r="W191" s="701"/>
      <c r="X191" s="701"/>
      <c r="Y191" s="701"/>
      <c r="Z191" s="701"/>
      <c r="AA191" s="701"/>
      <c r="AB191" s="640" t="s">
        <v>338</v>
      </c>
      <c r="AC191" s="640" t="s">
        <v>40</v>
      </c>
      <c r="AD191" s="640" t="s">
        <v>346</v>
      </c>
      <c r="AE191" s="640" t="s">
        <v>347</v>
      </c>
      <c r="AF191" s="640" t="s">
        <v>348</v>
      </c>
      <c r="AG191" s="640" t="s">
        <v>349</v>
      </c>
      <c r="AH191" s="701"/>
      <c r="AI191" s="701"/>
      <c r="AJ191" s="701"/>
      <c r="AK191" s="701"/>
    </row>
    <row r="192" spans="3:37" ht="13.5">
      <c r="C192" s="641" t="s">
        <v>59</v>
      </c>
      <c r="D192" s="642">
        <v>0</v>
      </c>
      <c r="E192" s="643">
        <v>2.3260000000000005</v>
      </c>
      <c r="F192" s="643">
        <v>0</v>
      </c>
      <c r="G192" s="642">
        <v>3.7216000000000006E-2</v>
      </c>
      <c r="H192" s="643">
        <v>1005.4545454545456</v>
      </c>
      <c r="I192" s="643">
        <v>248.9826967827097</v>
      </c>
      <c r="J192" s="643">
        <v>189.82090717884753</v>
      </c>
      <c r="K192" s="643">
        <v>21.067323208066789</v>
      </c>
      <c r="L192" s="643">
        <v>0.444514092196865</v>
      </c>
      <c r="M192" s="643">
        <v>0.15770970126630299</v>
      </c>
      <c r="N192" s="643">
        <v>60.832905155553725</v>
      </c>
      <c r="O192" s="643">
        <v>10.347989753579439</v>
      </c>
      <c r="P192" s="644">
        <v>0</v>
      </c>
      <c r="Q192" s="643">
        <v>0</v>
      </c>
      <c r="R192" s="643">
        <v>0</v>
      </c>
      <c r="S192" s="645">
        <v>1539.4718073267661</v>
      </c>
      <c r="U192" s="641" t="s">
        <v>59</v>
      </c>
      <c r="V192" s="642">
        <v>0</v>
      </c>
      <c r="W192" s="643">
        <v>2.3260000000000005</v>
      </c>
      <c r="X192" s="643">
        <v>0</v>
      </c>
      <c r="Y192" s="642">
        <v>3.7216000000000006E-2</v>
      </c>
      <c r="Z192" s="643">
        <v>949.39393939393938</v>
      </c>
      <c r="AA192" s="643">
        <v>279.58269678270966</v>
      </c>
      <c r="AB192" s="643">
        <v>196.53145821434362</v>
      </c>
      <c r="AC192" s="643">
        <v>37.828582612394825</v>
      </c>
      <c r="AD192" s="643">
        <v>0.444514092196865</v>
      </c>
      <c r="AE192" s="643">
        <v>0.15770970126630299</v>
      </c>
      <c r="AF192" s="643">
        <v>86.476611770328219</v>
      </c>
      <c r="AG192" s="643">
        <v>21.065809354780896</v>
      </c>
      <c r="AH192" s="644">
        <v>0</v>
      </c>
      <c r="AI192" s="643">
        <v>0</v>
      </c>
      <c r="AJ192" s="643">
        <v>0</v>
      </c>
      <c r="AK192" s="645">
        <v>1573.8445379219597</v>
      </c>
    </row>
    <row r="193" spans="3:37" ht="13.5">
      <c r="C193" s="641" t="s">
        <v>60</v>
      </c>
      <c r="D193" s="642">
        <v>48.372001461449948</v>
      </c>
      <c r="E193" s="643">
        <v>509.74501402008315</v>
      </c>
      <c r="F193" s="643">
        <v>84.255119008679685</v>
      </c>
      <c r="G193" s="642">
        <v>333.85211586331565</v>
      </c>
      <c r="H193" s="643">
        <v>0</v>
      </c>
      <c r="I193" s="643">
        <v>0</v>
      </c>
      <c r="J193" s="643">
        <v>4.1218275156281265</v>
      </c>
      <c r="K193" s="643">
        <v>0</v>
      </c>
      <c r="L193" s="643">
        <v>2.2815668000430724</v>
      </c>
      <c r="M193" s="643">
        <v>0</v>
      </c>
      <c r="N193" s="643">
        <v>0</v>
      </c>
      <c r="O193" s="643">
        <v>0</v>
      </c>
      <c r="P193" s="644">
        <v>0</v>
      </c>
      <c r="Q193" s="643">
        <v>0</v>
      </c>
      <c r="R193" s="643">
        <v>0</v>
      </c>
      <c r="S193" s="645">
        <v>982.62764466919975</v>
      </c>
      <c r="U193" s="641" t="s">
        <v>60</v>
      </c>
      <c r="V193" s="642">
        <v>8.3965846696126416</v>
      </c>
      <c r="W193" s="643">
        <v>294.49378048971494</v>
      </c>
      <c r="X193" s="643">
        <v>18.517216360631103</v>
      </c>
      <c r="Y193" s="642">
        <v>163.11536747865699</v>
      </c>
      <c r="Z193" s="643">
        <v>0</v>
      </c>
      <c r="AA193" s="643">
        <v>0</v>
      </c>
      <c r="AB193" s="643">
        <v>4.1218275156281265</v>
      </c>
      <c r="AC193" s="643">
        <v>0</v>
      </c>
      <c r="AD193" s="643">
        <v>2.2815668000430724</v>
      </c>
      <c r="AE193" s="643">
        <v>0</v>
      </c>
      <c r="AF193" s="643">
        <v>0</v>
      </c>
      <c r="AG193" s="643">
        <v>0</v>
      </c>
      <c r="AH193" s="644">
        <v>0</v>
      </c>
      <c r="AI193" s="643">
        <v>0</v>
      </c>
      <c r="AJ193" s="643">
        <v>0</v>
      </c>
      <c r="AK193" s="645">
        <v>490.9263433142869</v>
      </c>
    </row>
    <row r="194" spans="3:37" ht="13.5">
      <c r="C194" s="641" t="s">
        <v>61</v>
      </c>
      <c r="D194" s="642">
        <v>0</v>
      </c>
      <c r="E194" s="643">
        <v>0</v>
      </c>
      <c r="F194" s="643">
        <v>0</v>
      </c>
      <c r="G194" s="642">
        <v>0</v>
      </c>
      <c r="H194" s="643">
        <v>0</v>
      </c>
      <c r="I194" s="643">
        <v>0</v>
      </c>
      <c r="J194" s="643">
        <v>0</v>
      </c>
      <c r="K194" s="643">
        <v>0</v>
      </c>
      <c r="L194" s="643">
        <v>0</v>
      </c>
      <c r="M194" s="643">
        <v>0</v>
      </c>
      <c r="N194" s="643">
        <v>0</v>
      </c>
      <c r="O194" s="643">
        <v>0</v>
      </c>
      <c r="P194" s="644">
        <v>-38.942042128507637</v>
      </c>
      <c r="Q194" s="643">
        <v>0</v>
      </c>
      <c r="R194" s="643">
        <v>0</v>
      </c>
      <c r="S194" s="645">
        <v>-38.942042128507637</v>
      </c>
      <c r="U194" s="641" t="s">
        <v>61</v>
      </c>
      <c r="V194" s="642">
        <v>0</v>
      </c>
      <c r="W194" s="643">
        <v>0</v>
      </c>
      <c r="X194" s="643">
        <v>0</v>
      </c>
      <c r="Y194" s="642">
        <v>0</v>
      </c>
      <c r="Z194" s="643">
        <v>0</v>
      </c>
      <c r="AA194" s="643">
        <v>0</v>
      </c>
      <c r="AB194" s="643">
        <v>0</v>
      </c>
      <c r="AC194" s="643">
        <v>0</v>
      </c>
      <c r="AD194" s="643">
        <v>0</v>
      </c>
      <c r="AE194" s="643">
        <v>0</v>
      </c>
      <c r="AF194" s="643">
        <v>0</v>
      </c>
      <c r="AG194" s="643">
        <v>0</v>
      </c>
      <c r="AH194" s="644">
        <v>-20.693548582118865</v>
      </c>
      <c r="AI194" s="643">
        <v>0</v>
      </c>
      <c r="AJ194" s="643">
        <v>0</v>
      </c>
      <c r="AK194" s="645">
        <v>-20.693548582118865</v>
      </c>
    </row>
    <row r="195" spans="3:37" ht="13.5">
      <c r="C195" s="641" t="s">
        <v>62</v>
      </c>
      <c r="D195" s="642">
        <v>0</v>
      </c>
      <c r="E195" s="643">
        <v>0</v>
      </c>
      <c r="F195" s="643">
        <v>-16.016991189558784</v>
      </c>
      <c r="G195" s="642">
        <v>0</v>
      </c>
      <c r="H195" s="643">
        <v>0</v>
      </c>
      <c r="I195" s="643">
        <v>0</v>
      </c>
      <c r="J195" s="643">
        <v>0</v>
      </c>
      <c r="K195" s="643">
        <v>0</v>
      </c>
      <c r="L195" s="643">
        <v>0</v>
      </c>
      <c r="M195" s="643">
        <v>0</v>
      </c>
      <c r="N195" s="643">
        <v>0</v>
      </c>
      <c r="O195" s="643">
        <v>0</v>
      </c>
      <c r="P195" s="644">
        <v>0</v>
      </c>
      <c r="Q195" s="643">
        <v>0</v>
      </c>
      <c r="R195" s="643">
        <v>0</v>
      </c>
      <c r="S195" s="645">
        <v>-16.016991189558784</v>
      </c>
      <c r="U195" s="641" t="s">
        <v>62</v>
      </c>
      <c r="V195" s="642">
        <v>0</v>
      </c>
      <c r="W195" s="643">
        <v>0</v>
      </c>
      <c r="X195" s="643">
        <v>-11.216317309287092</v>
      </c>
      <c r="Y195" s="642">
        <v>-1.9971079411498778</v>
      </c>
      <c r="Z195" s="643">
        <v>0</v>
      </c>
      <c r="AA195" s="643">
        <v>0</v>
      </c>
      <c r="AB195" s="643">
        <v>0</v>
      </c>
      <c r="AC195" s="643">
        <v>0</v>
      </c>
      <c r="AD195" s="643">
        <v>0</v>
      </c>
      <c r="AE195" s="643">
        <v>-0.69888193239441998</v>
      </c>
      <c r="AF195" s="643">
        <v>0</v>
      </c>
      <c r="AG195" s="643">
        <v>0</v>
      </c>
      <c r="AH195" s="644">
        <v>0</v>
      </c>
      <c r="AI195" s="643">
        <v>0</v>
      </c>
      <c r="AJ195" s="643">
        <v>0</v>
      </c>
      <c r="AK195" s="645">
        <v>-13.912307182831389</v>
      </c>
    </row>
    <row r="196" spans="3:37" ht="13.5">
      <c r="C196" s="641" t="s">
        <v>63</v>
      </c>
      <c r="D196" s="642">
        <v>0</v>
      </c>
      <c r="E196" s="643">
        <v>0</v>
      </c>
      <c r="F196" s="643">
        <v>-85.676103269538828</v>
      </c>
      <c r="G196" s="642">
        <v>0</v>
      </c>
      <c r="H196" s="643">
        <v>0</v>
      </c>
      <c r="I196" s="643">
        <v>0</v>
      </c>
      <c r="J196" s="643">
        <v>0</v>
      </c>
      <c r="K196" s="643">
        <v>0</v>
      </c>
      <c r="L196" s="643">
        <v>-0.88445591317339634</v>
      </c>
      <c r="M196" s="643">
        <v>0</v>
      </c>
      <c r="N196" s="643">
        <v>0</v>
      </c>
      <c r="O196" s="643">
        <v>0</v>
      </c>
      <c r="P196" s="644">
        <v>0</v>
      </c>
      <c r="Q196" s="643">
        <v>0</v>
      </c>
      <c r="R196" s="643">
        <v>0</v>
      </c>
      <c r="S196" s="645">
        <v>-86.560559182712225</v>
      </c>
      <c r="U196" s="641" t="s">
        <v>63</v>
      </c>
      <c r="V196" s="642">
        <v>0</v>
      </c>
      <c r="W196" s="643">
        <v>0</v>
      </c>
      <c r="X196" s="643">
        <v>-61.793178017106612</v>
      </c>
      <c r="Y196" s="642">
        <v>0</v>
      </c>
      <c r="Z196" s="643">
        <v>0</v>
      </c>
      <c r="AA196" s="643">
        <v>0</v>
      </c>
      <c r="AB196" s="643">
        <v>0</v>
      </c>
      <c r="AC196" s="643">
        <v>0</v>
      </c>
      <c r="AD196" s="643">
        <v>-20.442150229714262</v>
      </c>
      <c r="AE196" s="643">
        <v>0</v>
      </c>
      <c r="AF196" s="643">
        <v>0</v>
      </c>
      <c r="AG196" s="643">
        <v>0</v>
      </c>
      <c r="AH196" s="644">
        <v>0</v>
      </c>
      <c r="AI196" s="643">
        <v>0</v>
      </c>
      <c r="AJ196" s="643">
        <v>0</v>
      </c>
      <c r="AK196" s="645">
        <v>-82.23532824682087</v>
      </c>
    </row>
    <row r="197" spans="3:37" ht="13.5">
      <c r="C197" s="641" t="s">
        <v>64</v>
      </c>
      <c r="D197" s="642">
        <v>0</v>
      </c>
      <c r="E197" s="643">
        <v>0</v>
      </c>
      <c r="F197" s="643">
        <v>0</v>
      </c>
      <c r="G197" s="642">
        <v>0</v>
      </c>
      <c r="H197" s="643">
        <v>0</v>
      </c>
      <c r="I197" s="643">
        <v>0</v>
      </c>
      <c r="J197" s="643">
        <v>0</v>
      </c>
      <c r="K197" s="643">
        <v>0</v>
      </c>
      <c r="L197" s="643">
        <v>0</v>
      </c>
      <c r="M197" s="643">
        <v>0</v>
      </c>
      <c r="N197" s="643">
        <v>0</v>
      </c>
      <c r="O197" s="643">
        <v>0</v>
      </c>
      <c r="P197" s="644">
        <v>0</v>
      </c>
      <c r="Q197" s="643">
        <v>0</v>
      </c>
      <c r="R197" s="643">
        <v>0</v>
      </c>
      <c r="S197" s="645">
        <v>0</v>
      </c>
      <c r="U197" s="641" t="s">
        <v>64</v>
      </c>
      <c r="V197" s="642">
        <v>0</v>
      </c>
      <c r="W197" s="643">
        <v>0</v>
      </c>
      <c r="X197" s="643">
        <v>0</v>
      </c>
      <c r="Y197" s="642">
        <v>0</v>
      </c>
      <c r="Z197" s="643">
        <v>0</v>
      </c>
      <c r="AA197" s="643">
        <v>0</v>
      </c>
      <c r="AB197" s="643">
        <v>0</v>
      </c>
      <c r="AC197" s="643">
        <v>0</v>
      </c>
      <c r="AD197" s="643">
        <v>0</v>
      </c>
      <c r="AE197" s="643">
        <v>0</v>
      </c>
      <c r="AF197" s="643">
        <v>0</v>
      </c>
      <c r="AG197" s="643">
        <v>0</v>
      </c>
      <c r="AH197" s="644">
        <v>0</v>
      </c>
      <c r="AI197" s="643">
        <v>0</v>
      </c>
      <c r="AJ197" s="643">
        <v>0</v>
      </c>
      <c r="AK197" s="645">
        <v>0</v>
      </c>
    </row>
    <row r="198" spans="3:37" ht="13.5">
      <c r="C198" s="646" t="s">
        <v>65</v>
      </c>
      <c r="D198" s="647">
        <v>48.372001461449948</v>
      </c>
      <c r="E198" s="647">
        <v>512.07101402008311</v>
      </c>
      <c r="F198" s="647">
        <v>-17.437975450417916</v>
      </c>
      <c r="G198" s="647">
        <v>333.88933186331565</v>
      </c>
      <c r="H198" s="647">
        <v>1005.4545454545456</v>
      </c>
      <c r="I198" s="647">
        <v>248.9826967827097</v>
      </c>
      <c r="J198" s="647">
        <v>193.94273469447566</v>
      </c>
      <c r="K198" s="647">
        <v>21.067323208066789</v>
      </c>
      <c r="L198" s="647">
        <v>1.8416249790665411</v>
      </c>
      <c r="M198" s="647">
        <v>0.15770970126630299</v>
      </c>
      <c r="N198" s="647">
        <v>60.832905155553725</v>
      </c>
      <c r="O198" s="647">
        <v>10.347989753579439</v>
      </c>
      <c r="P198" s="647">
        <v>-38.942042128507637</v>
      </c>
      <c r="Q198" s="647">
        <v>0</v>
      </c>
      <c r="R198" s="647">
        <v>0</v>
      </c>
      <c r="S198" s="647">
        <v>2380.5798594951875</v>
      </c>
      <c r="U198" s="646" t="s">
        <v>65</v>
      </c>
      <c r="V198" s="647">
        <v>8.3965846696126416</v>
      </c>
      <c r="W198" s="647">
        <v>296.81978048971496</v>
      </c>
      <c r="X198" s="647">
        <v>-54.492278965762601</v>
      </c>
      <c r="Y198" s="647">
        <v>161.15547553750713</v>
      </c>
      <c r="Z198" s="647">
        <v>949.39393939393938</v>
      </c>
      <c r="AA198" s="647">
        <v>279.58269678270966</v>
      </c>
      <c r="AB198" s="647">
        <v>200.65328572997174</v>
      </c>
      <c r="AC198" s="647">
        <v>37.828582612394825</v>
      </c>
      <c r="AD198" s="647">
        <v>-17.716069337474323</v>
      </c>
      <c r="AE198" s="647">
        <v>-0.54117223112811697</v>
      </c>
      <c r="AF198" s="647">
        <v>86.476611770328219</v>
      </c>
      <c r="AG198" s="647">
        <v>21.065809354780896</v>
      </c>
      <c r="AH198" s="647">
        <v>-20.693548582118865</v>
      </c>
      <c r="AI198" s="647">
        <v>0</v>
      </c>
      <c r="AJ198" s="647">
        <v>0</v>
      </c>
      <c r="AK198" s="647">
        <v>1947.9296972244754</v>
      </c>
    </row>
    <row r="199" spans="3:37" ht="13">
      <c r="C199" s="636"/>
      <c r="D199" s="636">
        <v>0</v>
      </c>
      <c r="E199" s="636">
        <v>0</v>
      </c>
      <c r="F199" s="636">
        <v>0</v>
      </c>
      <c r="G199" s="636">
        <v>0</v>
      </c>
      <c r="H199" s="636">
        <v>0</v>
      </c>
      <c r="I199" s="636">
        <v>0</v>
      </c>
      <c r="J199" s="636">
        <v>0</v>
      </c>
      <c r="K199" s="636">
        <v>0</v>
      </c>
      <c r="L199" s="636">
        <v>0</v>
      </c>
      <c r="M199" s="636">
        <v>0</v>
      </c>
      <c r="N199" s="636">
        <v>0</v>
      </c>
      <c r="O199" s="636">
        <v>0</v>
      </c>
      <c r="P199" s="636">
        <v>0</v>
      </c>
      <c r="Q199" s="636">
        <v>0</v>
      </c>
      <c r="R199" s="636">
        <v>0</v>
      </c>
      <c r="S199" s="636">
        <v>0</v>
      </c>
      <c r="U199" s="636"/>
      <c r="V199" s="636">
        <v>0</v>
      </c>
      <c r="W199" s="636">
        <v>0</v>
      </c>
      <c r="X199" s="636">
        <v>0</v>
      </c>
      <c r="Y199" s="636">
        <v>0</v>
      </c>
      <c r="Z199" s="636">
        <v>0</v>
      </c>
      <c r="AA199" s="636">
        <v>0</v>
      </c>
      <c r="AB199" s="636">
        <v>0</v>
      </c>
      <c r="AC199" s="636">
        <v>0</v>
      </c>
      <c r="AD199" s="636">
        <v>0</v>
      </c>
      <c r="AE199" s="636">
        <v>0</v>
      </c>
      <c r="AF199" s="636">
        <v>0</v>
      </c>
      <c r="AG199" s="636">
        <v>0</v>
      </c>
      <c r="AH199" s="636">
        <v>0</v>
      </c>
      <c r="AI199" s="636">
        <v>0</v>
      </c>
      <c r="AJ199" s="636">
        <v>0</v>
      </c>
      <c r="AK199" s="636">
        <v>0</v>
      </c>
    </row>
    <row r="200" spans="3:37" ht="13.5">
      <c r="C200" s="648" t="s">
        <v>67</v>
      </c>
      <c r="D200" s="642">
        <v>0</v>
      </c>
      <c r="E200" s="649">
        <v>0</v>
      </c>
      <c r="F200" s="649">
        <v>0</v>
      </c>
      <c r="G200" s="642">
        <v>0</v>
      </c>
      <c r="H200" s="642">
        <v>0</v>
      </c>
      <c r="I200" s="642">
        <v>0</v>
      </c>
      <c r="J200" s="642">
        <v>0</v>
      </c>
      <c r="K200" s="642">
        <v>0</v>
      </c>
      <c r="L200" s="642">
        <v>0</v>
      </c>
      <c r="M200" s="642">
        <v>0</v>
      </c>
      <c r="N200" s="642">
        <v>0</v>
      </c>
      <c r="O200" s="642">
        <v>0</v>
      </c>
      <c r="P200" s="642">
        <v>0</v>
      </c>
      <c r="Q200" s="642">
        <v>0</v>
      </c>
      <c r="R200" s="642">
        <v>0</v>
      </c>
      <c r="S200" s="650">
        <v>0</v>
      </c>
      <c r="U200" s="648" t="s">
        <v>67</v>
      </c>
      <c r="V200" s="642">
        <v>0</v>
      </c>
      <c r="W200" s="649">
        <v>0</v>
      </c>
      <c r="X200" s="649">
        <v>0</v>
      </c>
      <c r="Y200" s="642">
        <v>0</v>
      </c>
      <c r="Z200" s="642">
        <v>0</v>
      </c>
      <c r="AA200" s="642">
        <v>0</v>
      </c>
      <c r="AB200" s="642">
        <v>0</v>
      </c>
      <c r="AC200" s="642">
        <v>0</v>
      </c>
      <c r="AD200" s="642">
        <v>0</v>
      </c>
      <c r="AE200" s="642">
        <v>0</v>
      </c>
      <c r="AF200" s="642">
        <v>0</v>
      </c>
      <c r="AG200" s="642">
        <v>0</v>
      </c>
      <c r="AH200" s="642">
        <v>0</v>
      </c>
      <c r="AI200" s="642">
        <v>0</v>
      </c>
      <c r="AJ200" s="642">
        <v>0</v>
      </c>
      <c r="AK200" s="650">
        <v>0</v>
      </c>
    </row>
    <row r="201" spans="3:37" ht="13.5">
      <c r="C201" s="648" t="s">
        <v>350</v>
      </c>
      <c r="D201" s="642">
        <v>2.8267856410252494</v>
      </c>
      <c r="E201" s="642">
        <v>0</v>
      </c>
      <c r="F201" s="642">
        <v>7.7008933134364401</v>
      </c>
      <c r="G201" s="642">
        <v>17.192982456140349</v>
      </c>
      <c r="H201" s="642">
        <v>1005.4545454545456</v>
      </c>
      <c r="I201" s="642">
        <v>248.9826967827097</v>
      </c>
      <c r="J201" s="651">
        <v>29.95115714704033</v>
      </c>
      <c r="K201" s="651">
        <v>7.1699357941539494</v>
      </c>
      <c r="L201" s="651">
        <v>2.7260808922399375</v>
      </c>
      <c r="M201" s="651">
        <v>0.47574727688811397</v>
      </c>
      <c r="N201" s="651">
        <v>0</v>
      </c>
      <c r="O201" s="651">
        <v>5.3758847536792693</v>
      </c>
      <c r="P201" s="642">
        <v>-611.6040304377284</v>
      </c>
      <c r="Q201" s="642">
        <v>0</v>
      </c>
      <c r="R201" s="642">
        <v>0</v>
      </c>
      <c r="S201" s="650">
        <v>716.25267907413024</v>
      </c>
      <c r="U201" s="648" t="s">
        <v>350</v>
      </c>
      <c r="V201" s="642">
        <v>0.62631490545869017</v>
      </c>
      <c r="W201" s="642">
        <v>0</v>
      </c>
      <c r="X201" s="642">
        <v>3.8372569498000768</v>
      </c>
      <c r="Y201" s="642">
        <v>12.853333333333333</v>
      </c>
      <c r="Z201" s="642">
        <v>949.39393939393938</v>
      </c>
      <c r="AA201" s="642">
        <v>279.58269678270966</v>
      </c>
      <c r="AB201" s="651">
        <v>24.143657694158538</v>
      </c>
      <c r="AC201" s="651">
        <v>6.0680800758314266</v>
      </c>
      <c r="AD201" s="651">
        <v>2.7260808922399375</v>
      </c>
      <c r="AE201" s="651">
        <v>4.1838174523267107</v>
      </c>
      <c r="AF201" s="651">
        <v>0</v>
      </c>
      <c r="AG201" s="651">
        <v>5.3758847536792693</v>
      </c>
      <c r="AH201" s="642">
        <v>-621.90403043772824</v>
      </c>
      <c r="AI201" s="642">
        <v>0</v>
      </c>
      <c r="AJ201" s="642">
        <v>3.8</v>
      </c>
      <c r="AK201" s="650">
        <v>670.68703179574891</v>
      </c>
    </row>
    <row r="202" spans="3:37" ht="13.5">
      <c r="C202" s="648" t="s">
        <v>351</v>
      </c>
      <c r="D202" s="642">
        <v>0</v>
      </c>
      <c r="E202" s="642">
        <v>0</v>
      </c>
      <c r="F202" s="642">
        <v>0</v>
      </c>
      <c r="G202" s="642">
        <v>15.048436077523924</v>
      </c>
      <c r="H202" s="642">
        <v>0</v>
      </c>
      <c r="I202" s="642">
        <v>0</v>
      </c>
      <c r="J202" s="651">
        <v>12.74533322609016</v>
      </c>
      <c r="K202" s="651">
        <v>12.056480951460374</v>
      </c>
      <c r="L202" s="651">
        <v>0</v>
      </c>
      <c r="M202" s="651">
        <v>0.32133708059977345</v>
      </c>
      <c r="N202" s="651">
        <v>0</v>
      </c>
      <c r="O202" s="651">
        <v>2.1348201063802894</v>
      </c>
      <c r="P202" s="642">
        <v>0</v>
      </c>
      <c r="Q202" s="642">
        <v>-38.309646115177976</v>
      </c>
      <c r="R202" s="642">
        <v>0</v>
      </c>
      <c r="S202" s="650">
        <v>3.9967613268765492</v>
      </c>
      <c r="U202" s="648" t="s">
        <v>351</v>
      </c>
      <c r="V202" s="642">
        <v>0</v>
      </c>
      <c r="W202" s="642">
        <v>0</v>
      </c>
      <c r="X202" s="642">
        <v>0</v>
      </c>
      <c r="Y202" s="642">
        <v>12.803359009118745</v>
      </c>
      <c r="Z202" s="642">
        <v>0</v>
      </c>
      <c r="AA202" s="642">
        <v>0</v>
      </c>
      <c r="AB202" s="651">
        <v>28.717481814983032</v>
      </c>
      <c r="AC202" s="651">
        <v>25.924008984647354</v>
      </c>
      <c r="AD202" s="651">
        <v>0</v>
      </c>
      <c r="AE202" s="651">
        <v>4.0573921431217457</v>
      </c>
      <c r="AF202" s="651">
        <v>0</v>
      </c>
      <c r="AG202" s="651">
        <v>9.7357518308203428</v>
      </c>
      <c r="AH202" s="642">
        <v>0</v>
      </c>
      <c r="AI202" s="642">
        <v>-74.504230286476243</v>
      </c>
      <c r="AJ202" s="642">
        <v>0</v>
      </c>
      <c r="AK202" s="650">
        <v>6.7337634962149808</v>
      </c>
    </row>
    <row r="203" spans="3:37" ht="13.5">
      <c r="C203" s="648" t="s">
        <v>352</v>
      </c>
      <c r="D203" s="642">
        <v>0</v>
      </c>
      <c r="E203" s="642">
        <v>0</v>
      </c>
      <c r="F203" s="642">
        <v>0</v>
      </c>
      <c r="G203" s="642">
        <v>0</v>
      </c>
      <c r="H203" s="642">
        <v>0</v>
      </c>
      <c r="I203" s="642">
        <v>0</v>
      </c>
      <c r="J203" s="652">
        <v>7.2695194025067336</v>
      </c>
      <c r="K203" s="652">
        <v>0</v>
      </c>
      <c r="L203" s="652">
        <v>0</v>
      </c>
      <c r="M203" s="652">
        <v>-6.5716455398660871</v>
      </c>
      <c r="N203" s="652">
        <v>0</v>
      </c>
      <c r="O203" s="652">
        <v>0</v>
      </c>
      <c r="P203" s="642">
        <v>0</v>
      </c>
      <c r="Q203" s="642">
        <v>0</v>
      </c>
      <c r="R203" s="642">
        <v>0</v>
      </c>
      <c r="S203" s="650">
        <v>0.69787386264064644</v>
      </c>
      <c r="U203" s="648" t="s">
        <v>352</v>
      </c>
      <c r="V203" s="642">
        <v>0</v>
      </c>
      <c r="W203" s="642">
        <v>0</v>
      </c>
      <c r="X203" s="642">
        <v>0</v>
      </c>
      <c r="Y203" s="642">
        <v>0</v>
      </c>
      <c r="Z203" s="642">
        <v>0</v>
      </c>
      <c r="AA203" s="642">
        <v>0</v>
      </c>
      <c r="AB203" s="652">
        <v>56.55251118568826</v>
      </c>
      <c r="AC203" s="652">
        <v>0</v>
      </c>
      <c r="AD203" s="652">
        <v>0</v>
      </c>
      <c r="AE203" s="652">
        <v>-51.12347011186219</v>
      </c>
      <c r="AF203" s="652">
        <v>0</v>
      </c>
      <c r="AG203" s="652">
        <v>0</v>
      </c>
      <c r="AH203" s="642">
        <v>0</v>
      </c>
      <c r="AI203" s="642">
        <v>0</v>
      </c>
      <c r="AJ203" s="642">
        <v>0</v>
      </c>
      <c r="AK203" s="650">
        <v>5.4290410738260704</v>
      </c>
    </row>
    <row r="204" spans="3:37" ht="13.5">
      <c r="C204" s="648" t="s">
        <v>353</v>
      </c>
      <c r="D204" s="642">
        <v>0</v>
      </c>
      <c r="E204" s="642">
        <v>0</v>
      </c>
      <c r="F204" s="642">
        <v>0</v>
      </c>
      <c r="G204" s="642">
        <v>0</v>
      </c>
      <c r="H204" s="642">
        <v>0</v>
      </c>
      <c r="I204" s="642">
        <v>0</v>
      </c>
      <c r="J204" s="642">
        <v>0</v>
      </c>
      <c r="K204" s="642">
        <v>0</v>
      </c>
      <c r="L204" s="642">
        <v>0</v>
      </c>
      <c r="M204" s="642">
        <v>0</v>
      </c>
      <c r="N204" s="642">
        <v>0</v>
      </c>
      <c r="O204" s="642">
        <v>0</v>
      </c>
      <c r="P204" s="642">
        <v>0</v>
      </c>
      <c r="Q204" s="642">
        <v>0</v>
      </c>
      <c r="R204" s="642">
        <v>0</v>
      </c>
      <c r="S204" s="650">
        <v>0</v>
      </c>
      <c r="U204" s="648" t="s">
        <v>353</v>
      </c>
      <c r="V204" s="642">
        <v>0</v>
      </c>
      <c r="W204" s="642">
        <v>0</v>
      </c>
      <c r="X204" s="642">
        <v>0</v>
      </c>
      <c r="Y204" s="642">
        <v>0</v>
      </c>
      <c r="Z204" s="642">
        <v>0</v>
      </c>
      <c r="AA204" s="642">
        <v>0</v>
      </c>
      <c r="AB204" s="642">
        <v>0</v>
      </c>
      <c r="AC204" s="642">
        <v>0</v>
      </c>
      <c r="AD204" s="642">
        <v>0</v>
      </c>
      <c r="AE204" s="642">
        <v>0</v>
      </c>
      <c r="AF204" s="642">
        <v>0</v>
      </c>
      <c r="AG204" s="642">
        <v>0</v>
      </c>
      <c r="AH204" s="642">
        <v>0</v>
      </c>
      <c r="AI204" s="642">
        <v>0</v>
      </c>
      <c r="AJ204" s="642">
        <v>0</v>
      </c>
      <c r="AK204" s="650">
        <v>0</v>
      </c>
    </row>
    <row r="205" spans="3:37" ht="13.5">
      <c r="C205" s="648" t="s">
        <v>72</v>
      </c>
      <c r="D205" s="642">
        <v>0</v>
      </c>
      <c r="E205" s="642">
        <v>530.45114623720224</v>
      </c>
      <c r="F205" s="642">
        <v>-525.1466347748302</v>
      </c>
      <c r="G205" s="642">
        <v>0</v>
      </c>
      <c r="H205" s="642">
        <v>0</v>
      </c>
      <c r="I205" s="642">
        <v>0</v>
      </c>
      <c r="J205" s="642">
        <v>0</v>
      </c>
      <c r="K205" s="642">
        <v>0</v>
      </c>
      <c r="L205" s="642">
        <v>0</v>
      </c>
      <c r="M205" s="642">
        <v>0</v>
      </c>
      <c r="N205" s="642">
        <v>0</v>
      </c>
      <c r="O205" s="642">
        <v>0</v>
      </c>
      <c r="P205" s="642">
        <v>0</v>
      </c>
      <c r="Q205" s="642">
        <v>0</v>
      </c>
      <c r="R205" s="642">
        <v>0</v>
      </c>
      <c r="S205" s="650">
        <v>5.3045114623720337</v>
      </c>
      <c r="U205" s="648" t="s">
        <v>72</v>
      </c>
      <c r="V205" s="642">
        <v>0</v>
      </c>
      <c r="W205" s="642">
        <v>307.47374578102756</v>
      </c>
      <c r="X205" s="642">
        <v>-304.39900832321729</v>
      </c>
      <c r="Y205" s="642">
        <v>0</v>
      </c>
      <c r="Z205" s="642">
        <v>0</v>
      </c>
      <c r="AA205" s="642">
        <v>0</v>
      </c>
      <c r="AB205" s="642">
        <v>0</v>
      </c>
      <c r="AC205" s="642">
        <v>0</v>
      </c>
      <c r="AD205" s="642">
        <v>0</v>
      </c>
      <c r="AE205" s="642">
        <v>0</v>
      </c>
      <c r="AF205" s="642">
        <v>0</v>
      </c>
      <c r="AG205" s="642">
        <v>0</v>
      </c>
      <c r="AH205" s="642">
        <v>0</v>
      </c>
      <c r="AI205" s="642">
        <v>0</v>
      </c>
      <c r="AJ205" s="642">
        <v>0</v>
      </c>
      <c r="AK205" s="650">
        <v>3.0747374578102722</v>
      </c>
    </row>
    <row r="206" spans="3:37" ht="13.5">
      <c r="C206" s="648" t="s">
        <v>354</v>
      </c>
      <c r="D206" s="642">
        <v>0</v>
      </c>
      <c r="E206" s="642">
        <v>0</v>
      </c>
      <c r="F206" s="642">
        <v>0</v>
      </c>
      <c r="G206" s="642">
        <v>0</v>
      </c>
      <c r="H206" s="642">
        <v>0</v>
      </c>
      <c r="I206" s="642">
        <v>0</v>
      </c>
      <c r="J206" s="642">
        <v>30.470996070194996</v>
      </c>
      <c r="K206" s="642">
        <v>0</v>
      </c>
      <c r="L206" s="642">
        <v>-30.470996070194996</v>
      </c>
      <c r="M206" s="642">
        <v>0</v>
      </c>
      <c r="N206" s="642">
        <v>0</v>
      </c>
      <c r="O206" s="642">
        <v>0</v>
      </c>
      <c r="P206" s="642">
        <v>0</v>
      </c>
      <c r="Q206" s="642">
        <v>0</v>
      </c>
      <c r="R206" s="642">
        <v>0</v>
      </c>
      <c r="S206" s="650">
        <v>0</v>
      </c>
      <c r="U206" s="648" t="s">
        <v>354</v>
      </c>
      <c r="V206" s="642">
        <v>0</v>
      </c>
      <c r="W206" s="642">
        <v>0</v>
      </c>
      <c r="X206" s="642">
        <v>0</v>
      </c>
      <c r="Y206" s="642">
        <v>0</v>
      </c>
      <c r="Z206" s="642">
        <v>0</v>
      </c>
      <c r="AA206" s="642">
        <v>0</v>
      </c>
      <c r="AB206" s="642" t="e">
        <v>#VALUE!</v>
      </c>
      <c r="AC206" s="642">
        <v>0</v>
      </c>
      <c r="AD206" s="642">
        <v>-92.079399970639116</v>
      </c>
      <c r="AE206" s="642">
        <v>0</v>
      </c>
      <c r="AF206" s="642">
        <v>0</v>
      </c>
      <c r="AG206" s="642">
        <v>0</v>
      </c>
      <c r="AH206" s="642">
        <v>0</v>
      </c>
      <c r="AI206" s="642">
        <v>0</v>
      </c>
      <c r="AJ206" s="642">
        <v>0</v>
      </c>
      <c r="AK206" s="650">
        <v>-92.079399970639116</v>
      </c>
    </row>
    <row r="207" spans="3:37" ht="13.5">
      <c r="C207" s="648" t="s">
        <v>355</v>
      </c>
      <c r="D207" s="642">
        <v>0</v>
      </c>
      <c r="E207" s="642">
        <v>0</v>
      </c>
      <c r="F207" s="642">
        <v>0</v>
      </c>
      <c r="G207" s="642">
        <v>0</v>
      </c>
      <c r="H207" s="642">
        <v>0</v>
      </c>
      <c r="I207" s="642">
        <v>0</v>
      </c>
      <c r="J207" s="642">
        <v>0</v>
      </c>
      <c r="K207" s="642">
        <v>0</v>
      </c>
      <c r="L207" s="642">
        <v>0</v>
      </c>
      <c r="M207" s="642">
        <v>0</v>
      </c>
      <c r="N207" s="642">
        <v>0</v>
      </c>
      <c r="O207" s="642">
        <v>0</v>
      </c>
      <c r="P207" s="642">
        <v>0</v>
      </c>
      <c r="Q207" s="642">
        <v>0</v>
      </c>
      <c r="R207" s="642">
        <v>0</v>
      </c>
      <c r="S207" s="650">
        <v>0</v>
      </c>
      <c r="U207" s="648" t="s">
        <v>355</v>
      </c>
      <c r="V207" s="642">
        <v>0</v>
      </c>
      <c r="W207" s="642">
        <v>0</v>
      </c>
      <c r="X207" s="642">
        <v>0</v>
      </c>
      <c r="Y207" s="642">
        <v>0</v>
      </c>
      <c r="Z207" s="642">
        <v>0</v>
      </c>
      <c r="AA207" s="642">
        <v>0</v>
      </c>
      <c r="AB207" s="642">
        <v>0</v>
      </c>
      <c r="AC207" s="642">
        <v>0</v>
      </c>
      <c r="AD207" s="642">
        <v>-18.857582137623396</v>
      </c>
      <c r="AE207" s="642">
        <v>0</v>
      </c>
      <c r="AF207" s="642">
        <v>0</v>
      </c>
      <c r="AG207" s="642">
        <v>0</v>
      </c>
      <c r="AH207" s="642">
        <v>0</v>
      </c>
      <c r="AI207" s="642">
        <v>0</v>
      </c>
      <c r="AJ207" s="642">
        <v>0</v>
      </c>
      <c r="AK207" s="650">
        <v>-18.857582137623396</v>
      </c>
    </row>
    <row r="208" spans="3:37" ht="13.5">
      <c r="C208" s="648" t="s">
        <v>73</v>
      </c>
      <c r="D208" s="642">
        <v>0</v>
      </c>
      <c r="E208" s="642">
        <v>0</v>
      </c>
      <c r="F208" s="642">
        <v>0</v>
      </c>
      <c r="G208" s="642">
        <v>4.2253053989858387</v>
      </c>
      <c r="H208" s="642">
        <v>0</v>
      </c>
      <c r="I208" s="642">
        <v>0</v>
      </c>
      <c r="J208" s="642">
        <v>0</v>
      </c>
      <c r="K208" s="642">
        <v>4.8227473393893973E-2</v>
      </c>
      <c r="L208" s="642">
        <v>0</v>
      </c>
      <c r="M208" s="642">
        <v>8.6230722428282419E-2</v>
      </c>
      <c r="N208" s="642">
        <v>0</v>
      </c>
      <c r="O208" s="642">
        <v>0</v>
      </c>
      <c r="P208" s="642">
        <v>0.47800681593948002</v>
      </c>
      <c r="Q208" s="642">
        <v>0</v>
      </c>
      <c r="R208" s="642">
        <v>-3.3759231375725771</v>
      </c>
      <c r="S208" s="650">
        <v>1.4618472731749175</v>
      </c>
      <c r="U208" s="648" t="s">
        <v>73</v>
      </c>
      <c r="V208" s="642">
        <v>0</v>
      </c>
      <c r="W208" s="642">
        <v>0</v>
      </c>
      <c r="X208" s="642">
        <v>0</v>
      </c>
      <c r="Y208" s="642">
        <v>6.2430459874299995</v>
      </c>
      <c r="Z208" s="642">
        <v>0</v>
      </c>
      <c r="AA208" s="642">
        <v>0</v>
      </c>
      <c r="AB208" s="642">
        <v>0</v>
      </c>
      <c r="AC208" s="642">
        <v>0.34514849554566557</v>
      </c>
      <c r="AD208" s="642">
        <v>0</v>
      </c>
      <c r="AE208" s="642">
        <v>1.9714882065568418</v>
      </c>
      <c r="AF208" s="642">
        <v>0</v>
      </c>
      <c r="AG208" s="642">
        <v>0</v>
      </c>
      <c r="AH208" s="642">
        <v>26.797369919651668</v>
      </c>
      <c r="AI208" s="642">
        <v>0</v>
      </c>
      <c r="AJ208" s="642">
        <v>-24.160394688196586</v>
      </c>
      <c r="AK208" s="650">
        <v>11.196657920987594</v>
      </c>
    </row>
    <row r="209" spans="3:37" ht="13.5">
      <c r="C209" s="648" t="s">
        <v>356</v>
      </c>
      <c r="D209" s="642">
        <v>28.633394531250001</v>
      </c>
      <c r="E209" s="642">
        <v>-18.380132217119058</v>
      </c>
      <c r="F209" s="642">
        <v>24.040127313749448</v>
      </c>
      <c r="G209" s="642">
        <v>0</v>
      </c>
      <c r="H209" s="642">
        <v>0</v>
      </c>
      <c r="I209" s="642">
        <v>0</v>
      </c>
      <c r="J209" s="642">
        <v>0</v>
      </c>
      <c r="K209" s="642">
        <v>0</v>
      </c>
      <c r="L209" s="642">
        <v>0</v>
      </c>
      <c r="M209" s="642">
        <v>0</v>
      </c>
      <c r="N209" s="642">
        <v>0</v>
      </c>
      <c r="O209" s="642">
        <v>0</v>
      </c>
      <c r="P209" s="642">
        <v>0</v>
      </c>
      <c r="Q209" s="642">
        <v>0</v>
      </c>
      <c r="R209" s="642">
        <v>0</v>
      </c>
      <c r="S209" s="650">
        <v>34.293389627880387</v>
      </c>
      <c r="U209" s="648" t="s">
        <v>356</v>
      </c>
      <c r="V209" s="642">
        <v>2.8339389038085936</v>
      </c>
      <c r="W209" s="642">
        <v>-10.653965291312606</v>
      </c>
      <c r="X209" s="642">
        <v>13.93475732241321</v>
      </c>
      <c r="Y209" s="642">
        <v>0</v>
      </c>
      <c r="Z209" s="642">
        <v>0</v>
      </c>
      <c r="AA209" s="642">
        <v>0</v>
      </c>
      <c r="AB209" s="642">
        <v>0</v>
      </c>
      <c r="AC209" s="642">
        <v>0</v>
      </c>
      <c r="AD209" s="642">
        <v>0</v>
      </c>
      <c r="AE209" s="642">
        <v>0</v>
      </c>
      <c r="AF209" s="642">
        <v>0</v>
      </c>
      <c r="AG209" s="642">
        <v>0</v>
      </c>
      <c r="AH209" s="642">
        <v>0</v>
      </c>
      <c r="AI209" s="642">
        <v>0</v>
      </c>
      <c r="AJ209" s="642">
        <v>0</v>
      </c>
      <c r="AK209" s="650">
        <v>6.1147309349091987</v>
      </c>
    </row>
    <row r="210" spans="3:37" ht="13.5">
      <c r="C210" s="648" t="s">
        <v>75</v>
      </c>
      <c r="D210" s="642">
        <v>11.135208984375002</v>
      </c>
      <c r="E210" s="642">
        <v>0</v>
      </c>
      <c r="F210" s="642">
        <v>18.035338972064878</v>
      </c>
      <c r="G210" s="642">
        <v>5.1464370207933356</v>
      </c>
      <c r="H210" s="642">
        <v>0</v>
      </c>
      <c r="I210" s="642">
        <v>0</v>
      </c>
      <c r="J210" s="642">
        <v>0</v>
      </c>
      <c r="K210" s="642">
        <v>0</v>
      </c>
      <c r="L210" s="642">
        <v>0</v>
      </c>
      <c r="M210" s="642">
        <v>0.10502932695496604</v>
      </c>
      <c r="N210" s="642">
        <v>0</v>
      </c>
      <c r="O210" s="642">
        <v>0</v>
      </c>
      <c r="P210" s="642">
        <v>31.859130537431355</v>
      </c>
      <c r="Q210" s="642">
        <v>0</v>
      </c>
      <c r="R210" s="642">
        <v>0</v>
      </c>
      <c r="S210" s="650">
        <v>66.281144841619536</v>
      </c>
      <c r="U210" s="648" t="s">
        <v>75</v>
      </c>
      <c r="V210" s="642">
        <v>3.871097900390625</v>
      </c>
      <c r="W210" s="642">
        <v>0</v>
      </c>
      <c r="X210" s="642">
        <v>18.035338972064878</v>
      </c>
      <c r="Y210" s="642">
        <v>3.9911144242887096</v>
      </c>
      <c r="Z210" s="642">
        <v>0</v>
      </c>
      <c r="AA210" s="642">
        <v>0</v>
      </c>
      <c r="AB210" s="642">
        <v>0</v>
      </c>
      <c r="AC210" s="642">
        <v>0</v>
      </c>
      <c r="AD210" s="642">
        <v>0</v>
      </c>
      <c r="AE210" s="642">
        <v>1.2603519234595923</v>
      </c>
      <c r="AF210" s="642">
        <v>0</v>
      </c>
      <c r="AG210" s="642">
        <v>0</v>
      </c>
      <c r="AH210" s="642">
        <v>35.363675991976798</v>
      </c>
      <c r="AI210" s="642">
        <v>0</v>
      </c>
      <c r="AJ210" s="642">
        <v>0</v>
      </c>
      <c r="AK210" s="650">
        <v>62.521579212180605</v>
      </c>
    </row>
    <row r="211" spans="3:37" ht="13.5">
      <c r="C211" s="648" t="s">
        <v>76</v>
      </c>
      <c r="D211" s="642">
        <v>0</v>
      </c>
      <c r="E211" s="642">
        <v>0</v>
      </c>
      <c r="F211" s="642">
        <v>0</v>
      </c>
      <c r="G211" s="642">
        <v>3.818307882847094</v>
      </c>
      <c r="H211" s="642">
        <v>0</v>
      </c>
      <c r="I211" s="642">
        <v>0</v>
      </c>
      <c r="J211" s="642">
        <v>0</v>
      </c>
      <c r="K211" s="642">
        <v>0</v>
      </c>
      <c r="L211" s="642">
        <v>0</v>
      </c>
      <c r="M211" s="642">
        <v>7.7924650670348858E-2</v>
      </c>
      <c r="N211" s="642">
        <v>0</v>
      </c>
      <c r="O211" s="642">
        <v>0</v>
      </c>
      <c r="P211" s="642">
        <v>43.831436480126726</v>
      </c>
      <c r="Q211" s="642">
        <v>2.9732290990631256</v>
      </c>
      <c r="R211" s="642">
        <v>0</v>
      </c>
      <c r="S211" s="650">
        <v>50.700898112707293</v>
      </c>
      <c r="U211" s="648" t="s">
        <v>76</v>
      </c>
      <c r="V211" s="642">
        <v>0</v>
      </c>
      <c r="W211" s="642">
        <v>0</v>
      </c>
      <c r="X211" s="642">
        <v>0</v>
      </c>
      <c r="Y211" s="642">
        <v>1.9196559923426515</v>
      </c>
      <c r="Z211" s="642">
        <v>0</v>
      </c>
      <c r="AA211" s="642">
        <v>0</v>
      </c>
      <c r="AB211" s="642">
        <v>0</v>
      </c>
      <c r="AC211" s="642">
        <v>0</v>
      </c>
      <c r="AD211" s="642">
        <v>0</v>
      </c>
      <c r="AE211" s="642">
        <v>0.60620715547662674</v>
      </c>
      <c r="AF211" s="642">
        <v>0</v>
      </c>
      <c r="AG211" s="642">
        <v>0</v>
      </c>
      <c r="AH211" s="642">
        <v>46.019363501687437</v>
      </c>
      <c r="AI211" s="642">
        <v>5.777975473960776</v>
      </c>
      <c r="AJ211" s="642">
        <v>0</v>
      </c>
      <c r="AK211" s="650">
        <v>54.323202123467496</v>
      </c>
    </row>
    <row r="212" spans="3:37" ht="13.5">
      <c r="C212" s="646" t="s">
        <v>77</v>
      </c>
      <c r="D212" s="647">
        <v>42.595389156650249</v>
      </c>
      <c r="E212" s="647">
        <v>512.07101402008323</v>
      </c>
      <c r="F212" s="647">
        <v>-475.37027517557942</v>
      </c>
      <c r="G212" s="647">
        <v>45.431468836290541</v>
      </c>
      <c r="H212" s="647">
        <v>1005.4545454545456</v>
      </c>
      <c r="I212" s="647">
        <v>248.9826967827097</v>
      </c>
      <c r="J212" s="647">
        <v>80.437005845832218</v>
      </c>
      <c r="K212" s="647">
        <v>19.274644219008216</v>
      </c>
      <c r="L212" s="647">
        <v>-27.744915177955058</v>
      </c>
      <c r="M212" s="647">
        <v>-5.5053764823246025</v>
      </c>
      <c r="N212" s="647">
        <v>0</v>
      </c>
      <c r="O212" s="647">
        <v>7.5107048600595583</v>
      </c>
      <c r="P212" s="647">
        <v>-535.43545660423092</v>
      </c>
      <c r="Q212" s="647">
        <v>-35.336417016114851</v>
      </c>
      <c r="R212" s="647">
        <v>-3.3759231375725771</v>
      </c>
      <c r="S212" s="647">
        <v>878.98910558140176</v>
      </c>
      <c r="U212" s="646" t="s">
        <v>77</v>
      </c>
      <c r="V212" s="647">
        <v>7.3313517096579091</v>
      </c>
      <c r="W212" s="647">
        <v>296.81978048971496</v>
      </c>
      <c r="X212" s="647">
        <v>-268.59165507893914</v>
      </c>
      <c r="Y212" s="647">
        <v>37.810508746513442</v>
      </c>
      <c r="Z212" s="647">
        <v>949.39393939393938</v>
      </c>
      <c r="AA212" s="647">
        <v>279.58269678270966</v>
      </c>
      <c r="AB212" s="647">
        <v>109.41365069482983</v>
      </c>
      <c r="AC212" s="647">
        <v>32.337237556024441</v>
      </c>
      <c r="AD212" s="647">
        <v>-108.21090121602258</v>
      </c>
      <c r="AE212" s="647">
        <v>-39.044213230920668</v>
      </c>
      <c r="AF212" s="647">
        <v>0</v>
      </c>
      <c r="AG212" s="647">
        <v>15.111636584499612</v>
      </c>
      <c r="AH212" s="647">
        <v>-513.7236210244123</v>
      </c>
      <c r="AI212" s="647">
        <v>-68.726254812515464</v>
      </c>
      <c r="AJ212" s="647">
        <v>-20.360394688196585</v>
      </c>
      <c r="AK212" s="647">
        <v>709.14376190688279</v>
      </c>
    </row>
    <row r="213" spans="3:37" ht="13">
      <c r="C213" s="636"/>
      <c r="D213" s="636">
        <v>0</v>
      </c>
      <c r="E213" s="636">
        <v>0</v>
      </c>
      <c r="F213" s="636">
        <v>0</v>
      </c>
      <c r="G213" s="636">
        <v>0</v>
      </c>
      <c r="H213" s="636">
        <v>0</v>
      </c>
      <c r="I213" s="636">
        <v>0</v>
      </c>
      <c r="J213" s="636">
        <v>0</v>
      </c>
      <c r="K213" s="636">
        <v>0</v>
      </c>
      <c r="L213" s="636">
        <v>0</v>
      </c>
      <c r="M213" s="636">
        <v>0</v>
      </c>
      <c r="N213" s="636">
        <v>0</v>
      </c>
      <c r="O213" s="636">
        <v>0</v>
      </c>
      <c r="P213" s="636">
        <v>0</v>
      </c>
      <c r="Q213" s="636">
        <v>0</v>
      </c>
      <c r="R213" s="636">
        <v>0</v>
      </c>
      <c r="S213" s="636">
        <v>0</v>
      </c>
      <c r="U213" s="636"/>
      <c r="V213" s="636">
        <v>0</v>
      </c>
      <c r="W213" s="636">
        <v>0</v>
      </c>
      <c r="X213" s="636">
        <v>0</v>
      </c>
      <c r="Y213" s="636">
        <v>0</v>
      </c>
      <c r="Z213" s="636">
        <v>0</v>
      </c>
      <c r="AA213" s="636">
        <v>0</v>
      </c>
      <c r="AB213" s="636">
        <v>0</v>
      </c>
      <c r="AC213" s="636">
        <v>0</v>
      </c>
      <c r="AD213" s="636">
        <v>0</v>
      </c>
      <c r="AE213" s="636">
        <v>0</v>
      </c>
      <c r="AF213" s="636">
        <v>0</v>
      </c>
      <c r="AG213" s="636">
        <v>0</v>
      </c>
      <c r="AH213" s="636">
        <v>0</v>
      </c>
      <c r="AI213" s="636">
        <v>0</v>
      </c>
      <c r="AJ213" s="636">
        <v>0</v>
      </c>
      <c r="AK213" s="636">
        <v>0</v>
      </c>
    </row>
    <row r="214" spans="3:37" ht="13.5">
      <c r="C214" s="648" t="s">
        <v>78</v>
      </c>
      <c r="D214" s="642">
        <v>5.7766123047996905</v>
      </c>
      <c r="E214" s="642">
        <v>0</v>
      </c>
      <c r="F214" s="642">
        <v>22.402619678599791</v>
      </c>
      <c r="G214" s="642">
        <v>99.281124041468402</v>
      </c>
      <c r="H214" s="642">
        <v>0</v>
      </c>
      <c r="I214" s="642">
        <v>0</v>
      </c>
      <c r="J214" s="642">
        <v>20.258622771310847</v>
      </c>
      <c r="K214" s="642">
        <v>1.7675748663376085</v>
      </c>
      <c r="L214" s="642">
        <v>0.898333240234375</v>
      </c>
      <c r="M214" s="642">
        <v>2.0447588657198987</v>
      </c>
      <c r="N214" s="642">
        <v>0</v>
      </c>
      <c r="O214" s="642">
        <v>3.7946622282562846E-4</v>
      </c>
      <c r="P214" s="642">
        <v>110.87393457022205</v>
      </c>
      <c r="Q214" s="642">
        <v>16.091742927144434</v>
      </c>
      <c r="R214" s="642">
        <v>0.31004003906249999</v>
      </c>
      <c r="S214" s="650">
        <v>279.70574277112252</v>
      </c>
      <c r="U214" s="648" t="s">
        <v>78</v>
      </c>
      <c r="V214" s="642">
        <v>1.065232959954733</v>
      </c>
      <c r="W214" s="642">
        <v>0</v>
      </c>
      <c r="X214" s="642">
        <v>10.225742404389669</v>
      </c>
      <c r="Y214" s="642">
        <v>56.981112862578769</v>
      </c>
      <c r="Z214" s="642">
        <v>0</v>
      </c>
      <c r="AA214" s="642">
        <v>0</v>
      </c>
      <c r="AB214" s="642">
        <v>15.894636498884354</v>
      </c>
      <c r="AC214" s="642">
        <v>5.4662409336494147</v>
      </c>
      <c r="AD214" s="642">
        <v>3.5459101562500011</v>
      </c>
      <c r="AE214" s="642">
        <v>18.012649117932849</v>
      </c>
      <c r="AF214" s="642">
        <v>0</v>
      </c>
      <c r="AG214" s="642">
        <v>3.7946622282562846E-4</v>
      </c>
      <c r="AH214" s="642">
        <v>139.02742097426295</v>
      </c>
      <c r="AI214" s="642">
        <v>22.276590949645215</v>
      </c>
      <c r="AJ214" s="642">
        <v>6.4302626953124999</v>
      </c>
      <c r="AK214" s="650">
        <v>278.92617901908329</v>
      </c>
    </row>
    <row r="215" spans="3:37" ht="13.5">
      <c r="C215" s="648" t="s">
        <v>79</v>
      </c>
      <c r="D215" s="642">
        <v>0</v>
      </c>
      <c r="E215" s="642">
        <v>0</v>
      </c>
      <c r="F215" s="642">
        <v>266.09529408288529</v>
      </c>
      <c r="G215" s="642">
        <v>27.519674276690072</v>
      </c>
      <c r="H215" s="642">
        <v>0</v>
      </c>
      <c r="I215" s="642">
        <v>0</v>
      </c>
      <c r="J215" s="642">
        <v>0</v>
      </c>
      <c r="K215" s="642">
        <v>0</v>
      </c>
      <c r="L215" s="642">
        <v>25.787483151262677</v>
      </c>
      <c r="M215" s="642">
        <v>0.56162600564673626</v>
      </c>
      <c r="N215" s="642">
        <v>0</v>
      </c>
      <c r="O215" s="642">
        <v>0</v>
      </c>
      <c r="P215" s="642">
        <v>55.913522242788574</v>
      </c>
      <c r="Q215" s="642">
        <v>0</v>
      </c>
      <c r="R215" s="642">
        <v>1.6351140344190074</v>
      </c>
      <c r="S215" s="650">
        <v>377.5127137936924</v>
      </c>
      <c r="U215" s="648" t="s">
        <v>79</v>
      </c>
      <c r="V215" s="642">
        <v>0</v>
      </c>
      <c r="W215" s="642">
        <v>0</v>
      </c>
      <c r="X215" s="642">
        <v>96.606255591578162</v>
      </c>
      <c r="Y215" s="642">
        <v>18.337650579977414</v>
      </c>
      <c r="Z215" s="642">
        <v>0</v>
      </c>
      <c r="AA215" s="642">
        <v>0</v>
      </c>
      <c r="AB215" s="642">
        <v>0</v>
      </c>
      <c r="AC215" s="642">
        <v>0</v>
      </c>
      <c r="AD215" s="642">
        <v>50.618247990049454</v>
      </c>
      <c r="AE215" s="642">
        <v>5.9499820008855142</v>
      </c>
      <c r="AF215" s="642">
        <v>0</v>
      </c>
      <c r="AG215" s="642">
        <v>0</v>
      </c>
      <c r="AH215" s="642">
        <v>73.690348279738799</v>
      </c>
      <c r="AI215" s="642">
        <v>0</v>
      </c>
      <c r="AJ215" s="642">
        <v>3.6092463767880076</v>
      </c>
      <c r="AK215" s="650">
        <v>248.81173081901736</v>
      </c>
    </row>
    <row r="216" spans="3:37" ht="13.5">
      <c r="C216" s="648" t="s">
        <v>80</v>
      </c>
      <c r="D216" s="642">
        <v>0</v>
      </c>
      <c r="E216" s="642">
        <v>0</v>
      </c>
      <c r="F216" s="642">
        <v>20.365336948925044</v>
      </c>
      <c r="G216" s="642">
        <v>85.23124323075227</v>
      </c>
      <c r="H216" s="642">
        <v>0</v>
      </c>
      <c r="I216" s="642">
        <v>0</v>
      </c>
      <c r="J216" s="642">
        <v>86.726820353783026</v>
      </c>
      <c r="K216" s="642">
        <v>0</v>
      </c>
      <c r="L216" s="642">
        <v>0</v>
      </c>
      <c r="M216" s="642">
        <v>1.7394131271582098</v>
      </c>
      <c r="N216" s="642">
        <v>52.217429119397167</v>
      </c>
      <c r="O216" s="642">
        <v>2.0042749347218733</v>
      </c>
      <c r="P216" s="642">
        <v>185.58174281281848</v>
      </c>
      <c r="Q216" s="642">
        <v>15.554343379011728</v>
      </c>
      <c r="R216" s="642">
        <v>0</v>
      </c>
      <c r="S216" s="650">
        <v>449.42060390656781</v>
      </c>
      <c r="U216" s="648" t="s">
        <v>80</v>
      </c>
      <c r="V216" s="642">
        <v>0</v>
      </c>
      <c r="W216" s="642">
        <v>0</v>
      </c>
      <c r="X216" s="642">
        <v>1.2585168598114169</v>
      </c>
      <c r="Y216" s="642">
        <v>24.208168890995722</v>
      </c>
      <c r="Z216" s="642">
        <v>0</v>
      </c>
      <c r="AA216" s="642">
        <v>0</v>
      </c>
      <c r="AB216" s="642">
        <v>64.793825414524548</v>
      </c>
      <c r="AC216" s="642">
        <v>0</v>
      </c>
      <c r="AD216" s="642">
        <v>0</v>
      </c>
      <c r="AE216" s="642">
        <v>7.6446849129460164</v>
      </c>
      <c r="AF216" s="642">
        <v>71.984931036617454</v>
      </c>
      <c r="AG216" s="642">
        <v>3.153558114778761</v>
      </c>
      <c r="AH216" s="642">
        <v>153.74527198137548</v>
      </c>
      <c r="AI216" s="642">
        <v>35.336807466581455</v>
      </c>
      <c r="AJ216" s="642">
        <v>0</v>
      </c>
      <c r="AK216" s="650">
        <v>362.12576467763085</v>
      </c>
    </row>
    <row r="217" spans="3:37" ht="13.5">
      <c r="C217" s="648" t="s">
        <v>81</v>
      </c>
      <c r="D217" s="642">
        <v>0</v>
      </c>
      <c r="E217" s="642">
        <v>0</v>
      </c>
      <c r="F217" s="642">
        <v>7.1130915409553364</v>
      </c>
      <c r="G217" s="642">
        <v>63.054682395398032</v>
      </c>
      <c r="H217" s="642">
        <v>0</v>
      </c>
      <c r="I217" s="642">
        <v>0</v>
      </c>
      <c r="J217" s="642">
        <v>3.2976998041276677</v>
      </c>
      <c r="K217" s="642">
        <v>2.5104122720965388E-2</v>
      </c>
      <c r="L217" s="642">
        <v>0</v>
      </c>
      <c r="M217" s="642">
        <v>1.2868302529673068</v>
      </c>
      <c r="N217" s="642">
        <v>8.6154760361565579</v>
      </c>
      <c r="O217" s="642">
        <v>0.75786341807650337</v>
      </c>
      <c r="P217" s="642">
        <v>137.18962935697431</v>
      </c>
      <c r="Q217" s="642">
        <v>3.6903307099586842</v>
      </c>
      <c r="R217" s="642">
        <v>0</v>
      </c>
      <c r="S217" s="650">
        <v>225.03070763733538</v>
      </c>
      <c r="U217" s="648" t="s">
        <v>81</v>
      </c>
      <c r="V217" s="642">
        <v>0</v>
      </c>
      <c r="W217" s="642">
        <v>0</v>
      </c>
      <c r="X217" s="642">
        <v>2.1697022188790429</v>
      </c>
      <c r="Y217" s="642">
        <v>20.911765460712612</v>
      </c>
      <c r="Z217" s="642">
        <v>0</v>
      </c>
      <c r="AA217" s="642">
        <v>0</v>
      </c>
      <c r="AB217" s="642">
        <v>7.3285872023111214</v>
      </c>
      <c r="AC217" s="642">
        <v>2.5104122720965388E-2</v>
      </c>
      <c r="AD217" s="642">
        <v>0</v>
      </c>
      <c r="AE217" s="642">
        <v>6.6037154086460879</v>
      </c>
      <c r="AF217" s="642">
        <v>14.491680733710758</v>
      </c>
      <c r="AG217" s="642">
        <v>1.6347019702159422</v>
      </c>
      <c r="AH217" s="642">
        <v>117.90366143236871</v>
      </c>
      <c r="AI217" s="642">
        <v>11.11285639628878</v>
      </c>
      <c r="AJ217" s="642">
        <v>0</v>
      </c>
      <c r="AK217" s="650">
        <v>182.18177494585402</v>
      </c>
    </row>
    <row r="218" spans="3:37" ht="13.5">
      <c r="C218" s="648" t="s">
        <v>82</v>
      </c>
      <c r="D218" s="642">
        <v>0</v>
      </c>
      <c r="E218" s="642">
        <v>0</v>
      </c>
      <c r="F218" s="642">
        <v>30.218764596795413</v>
      </c>
      <c r="G218" s="642">
        <v>1.4924386728389218</v>
      </c>
      <c r="H218" s="642">
        <v>0</v>
      </c>
      <c r="I218" s="642">
        <v>0</v>
      </c>
      <c r="J218" s="642">
        <v>3.2225859194218685</v>
      </c>
      <c r="K218" s="642">
        <v>0</v>
      </c>
      <c r="L218" s="642">
        <v>2.9019247412329854</v>
      </c>
      <c r="M218" s="642">
        <v>3.0457932098753505E-2</v>
      </c>
      <c r="N218" s="642">
        <v>0</v>
      </c>
      <c r="O218" s="642">
        <v>7.4767074498679406E-2</v>
      </c>
      <c r="P218" s="642">
        <v>6.6555854929198803</v>
      </c>
      <c r="Q218" s="642">
        <v>0</v>
      </c>
      <c r="R218" s="642">
        <v>0</v>
      </c>
      <c r="S218" s="650">
        <v>44.596524429806507</v>
      </c>
      <c r="U218" s="648" t="s">
        <v>82</v>
      </c>
      <c r="V218" s="642">
        <v>0</v>
      </c>
      <c r="W218" s="642">
        <v>0</v>
      </c>
      <c r="X218" s="642">
        <v>13.476198254352189</v>
      </c>
      <c r="Y218" s="642">
        <v>1.4718796614135594</v>
      </c>
      <c r="Z218" s="642">
        <v>0</v>
      </c>
      <c r="AA218" s="642">
        <v>0</v>
      </c>
      <c r="AB218" s="642">
        <v>3.2225859194218685</v>
      </c>
      <c r="AC218" s="642">
        <v>0</v>
      </c>
      <c r="AD218" s="642">
        <v>23.463730160224294</v>
      </c>
      <c r="AE218" s="642">
        <v>0.46480410360428193</v>
      </c>
      <c r="AF218" s="642">
        <v>0</v>
      </c>
      <c r="AG218" s="642">
        <v>1.1655332190637568</v>
      </c>
      <c r="AH218" s="642">
        <v>6.7433697745475678</v>
      </c>
      <c r="AI218" s="642">
        <v>0</v>
      </c>
      <c r="AJ218" s="642">
        <v>0.29485655237537339</v>
      </c>
      <c r="AK218" s="650">
        <v>50.302957645002891</v>
      </c>
    </row>
    <row r="219" spans="3:37" ht="13.5">
      <c r="C219" s="648" t="s">
        <v>357</v>
      </c>
      <c r="D219" s="642">
        <v>0</v>
      </c>
      <c r="E219" s="642">
        <v>0</v>
      </c>
      <c r="F219" s="642">
        <v>0</v>
      </c>
      <c r="G219" s="642">
        <v>0</v>
      </c>
      <c r="H219" s="642">
        <v>0</v>
      </c>
      <c r="I219" s="642">
        <v>0</v>
      </c>
      <c r="J219" s="642">
        <v>0</v>
      </c>
      <c r="K219" s="642">
        <v>0</v>
      </c>
      <c r="L219" s="642">
        <v>0</v>
      </c>
      <c r="M219" s="642">
        <v>0</v>
      </c>
      <c r="N219" s="642">
        <v>0</v>
      </c>
      <c r="O219" s="642">
        <v>0</v>
      </c>
      <c r="P219" s="642">
        <v>0.27899999999999997</v>
      </c>
      <c r="Q219" s="642">
        <v>0</v>
      </c>
      <c r="R219" s="642">
        <v>0</v>
      </c>
      <c r="S219" s="650">
        <v>0.27899999999999997</v>
      </c>
      <c r="U219" s="648" t="s">
        <v>357</v>
      </c>
      <c r="V219" s="642">
        <v>0</v>
      </c>
      <c r="W219" s="642">
        <v>0</v>
      </c>
      <c r="X219" s="642">
        <v>0</v>
      </c>
      <c r="Y219" s="642">
        <v>0</v>
      </c>
      <c r="Z219" s="642">
        <v>0</v>
      </c>
      <c r="AA219" s="642">
        <v>0</v>
      </c>
      <c r="AB219" s="642">
        <v>0</v>
      </c>
      <c r="AC219" s="642">
        <v>0</v>
      </c>
      <c r="AD219" s="642">
        <v>0</v>
      </c>
      <c r="AE219" s="642">
        <v>0</v>
      </c>
      <c r="AF219" s="642">
        <v>0</v>
      </c>
      <c r="AG219" s="642">
        <v>0</v>
      </c>
      <c r="AH219" s="642">
        <v>1.92</v>
      </c>
      <c r="AI219" s="642">
        <v>0</v>
      </c>
      <c r="AJ219" s="642">
        <v>0</v>
      </c>
      <c r="AK219" s="650">
        <v>1.92</v>
      </c>
    </row>
    <row r="220" spans="3:37" ht="13.5">
      <c r="C220" s="646" t="s">
        <v>83</v>
      </c>
      <c r="D220" s="647">
        <v>5.7766123047996905</v>
      </c>
      <c r="E220" s="647">
        <v>0</v>
      </c>
      <c r="F220" s="647">
        <v>346.19510684816078</v>
      </c>
      <c r="G220" s="647">
        <v>276.57916261714774</v>
      </c>
      <c r="H220" s="647">
        <v>0</v>
      </c>
      <c r="I220" s="647">
        <v>0</v>
      </c>
      <c r="J220" s="647">
        <v>113.50572884864343</v>
      </c>
      <c r="K220" s="647">
        <v>1.7926789890585739</v>
      </c>
      <c r="L220" s="647">
        <v>29.587741132730038</v>
      </c>
      <c r="M220" s="647">
        <v>5.6630861835909059</v>
      </c>
      <c r="N220" s="647">
        <v>60.832905155553725</v>
      </c>
      <c r="O220" s="647">
        <v>2.8372848935198816</v>
      </c>
      <c r="P220" s="647">
        <v>496.49341447572323</v>
      </c>
      <c r="Q220" s="647">
        <v>35.336417016114851</v>
      </c>
      <c r="R220" s="647">
        <v>1.9451540734815074</v>
      </c>
      <c r="S220" s="647">
        <v>1376.5452925385248</v>
      </c>
      <c r="U220" s="646" t="s">
        <v>83</v>
      </c>
      <c r="V220" s="647">
        <v>1.065232959954733</v>
      </c>
      <c r="W220" s="647">
        <v>0</v>
      </c>
      <c r="X220" s="647">
        <v>123.73641532901047</v>
      </c>
      <c r="Y220" s="647">
        <v>121.91057745567808</v>
      </c>
      <c r="Z220" s="647">
        <v>0</v>
      </c>
      <c r="AA220" s="647">
        <v>0</v>
      </c>
      <c r="AB220" s="647">
        <v>91.239635035141916</v>
      </c>
      <c r="AC220" s="647">
        <v>5.4913450563703794</v>
      </c>
      <c r="AD220" s="647">
        <v>77.627888306523744</v>
      </c>
      <c r="AE220" s="647">
        <v>38.675835544014738</v>
      </c>
      <c r="AF220" s="647">
        <v>86.476611770328219</v>
      </c>
      <c r="AG220" s="647">
        <v>5.9541727702812857</v>
      </c>
      <c r="AH220" s="647">
        <v>493.03007244229349</v>
      </c>
      <c r="AI220" s="647">
        <v>68.72625481251545</v>
      </c>
      <c r="AJ220" s="647">
        <v>10.334365624475881</v>
      </c>
      <c r="AK220" s="647">
        <v>1124.2684071065887</v>
      </c>
    </row>
    <row r="221" spans="3:37" ht="13.5">
      <c r="C221" s="641" t="s">
        <v>84</v>
      </c>
      <c r="D221" s="642">
        <v>0</v>
      </c>
      <c r="E221" s="642">
        <v>0</v>
      </c>
      <c r="F221" s="642">
        <v>111.73719287700069</v>
      </c>
      <c r="G221" s="642">
        <v>11.878700409877391</v>
      </c>
      <c r="H221" s="642">
        <v>0</v>
      </c>
      <c r="I221" s="642">
        <v>0</v>
      </c>
      <c r="J221" s="642">
        <v>0</v>
      </c>
      <c r="K221" s="642">
        <v>0</v>
      </c>
      <c r="L221" s="642">
        <v>0</v>
      </c>
      <c r="M221" s="642">
        <v>0</v>
      </c>
      <c r="N221" s="642">
        <v>0</v>
      </c>
      <c r="O221" s="642">
        <v>0</v>
      </c>
      <c r="P221" s="642">
        <v>0</v>
      </c>
      <c r="Q221" s="642">
        <v>0</v>
      </c>
      <c r="R221" s="642">
        <v>1.43076906409107</v>
      </c>
      <c r="S221" s="650">
        <v>125.04666235096916</v>
      </c>
      <c r="U221" s="641" t="s">
        <v>84</v>
      </c>
      <c r="V221" s="642">
        <v>0</v>
      </c>
      <c r="W221" s="642">
        <v>0</v>
      </c>
      <c r="X221" s="642">
        <v>90.362960784166091</v>
      </c>
      <c r="Y221" s="642">
        <v>1.2615947910933976</v>
      </c>
      <c r="Z221" s="642">
        <v>0</v>
      </c>
      <c r="AA221" s="642">
        <v>0</v>
      </c>
      <c r="AB221" s="642">
        <v>0</v>
      </c>
      <c r="AC221" s="642">
        <v>0</v>
      </c>
      <c r="AD221" s="642">
        <v>14.679117373046875</v>
      </c>
      <c r="AE221" s="642">
        <v>0</v>
      </c>
      <c r="AF221" s="642">
        <v>0</v>
      </c>
      <c r="AG221" s="642">
        <v>0</v>
      </c>
      <c r="AH221" s="642">
        <v>0</v>
      </c>
      <c r="AI221" s="642">
        <v>0</v>
      </c>
      <c r="AJ221" s="642">
        <v>10.026029063720703</v>
      </c>
      <c r="AK221" s="650">
        <v>116.32970201202707</v>
      </c>
    </row>
    <row r="222" spans="3:37" ht="13.5">
      <c r="C222" s="646" t="s">
        <v>85</v>
      </c>
      <c r="D222" s="647">
        <v>5.7766123047996905</v>
      </c>
      <c r="E222" s="647">
        <v>0</v>
      </c>
      <c r="F222" s="647">
        <v>457.9322997251615</v>
      </c>
      <c r="G222" s="647">
        <v>288.45786302702516</v>
      </c>
      <c r="H222" s="647">
        <v>0</v>
      </c>
      <c r="I222" s="647">
        <v>0</v>
      </c>
      <c r="J222" s="647">
        <v>113.50572884864343</v>
      </c>
      <c r="K222" s="647">
        <v>1.7926789890585739</v>
      </c>
      <c r="L222" s="647">
        <v>29.587741132730038</v>
      </c>
      <c r="M222" s="647">
        <v>5.6630861835909059</v>
      </c>
      <c r="N222" s="647">
        <v>60.832905155553725</v>
      </c>
      <c r="O222" s="647">
        <v>2.8372848935198816</v>
      </c>
      <c r="P222" s="647">
        <v>496.49341447572323</v>
      </c>
      <c r="Q222" s="647">
        <v>35.336417016114851</v>
      </c>
      <c r="R222" s="647">
        <v>3.3759231375725776</v>
      </c>
      <c r="S222" s="647">
        <v>1501.5919548894938</v>
      </c>
      <c r="U222" s="646" t="s">
        <v>85</v>
      </c>
      <c r="V222" s="647">
        <v>1.065232959954733</v>
      </c>
      <c r="W222" s="647">
        <v>0</v>
      </c>
      <c r="X222" s="647">
        <v>214.09937611317656</v>
      </c>
      <c r="Y222" s="647">
        <v>123.17217224677148</v>
      </c>
      <c r="Z222" s="647">
        <v>0</v>
      </c>
      <c r="AA222" s="647">
        <v>0</v>
      </c>
      <c r="AB222" s="647">
        <v>91.239635035141916</v>
      </c>
      <c r="AC222" s="647">
        <v>5.4913450563703794</v>
      </c>
      <c r="AD222" s="647">
        <v>92.307005679570622</v>
      </c>
      <c r="AE222" s="647">
        <v>38.675835544014738</v>
      </c>
      <c r="AF222" s="647">
        <v>86.476611770328219</v>
      </c>
      <c r="AG222" s="647">
        <v>5.9541727702812857</v>
      </c>
      <c r="AH222" s="647">
        <v>493.03007244229349</v>
      </c>
      <c r="AI222" s="647">
        <v>68.72625481251545</v>
      </c>
      <c r="AJ222" s="647">
        <v>20.360394688196585</v>
      </c>
      <c r="AK222" s="647">
        <v>1240.5981091186156</v>
      </c>
    </row>
    <row r="223" spans="3:37" ht="13">
      <c r="C223" s="636"/>
      <c r="D223" s="636"/>
      <c r="E223" s="636"/>
      <c r="F223" s="636"/>
      <c r="G223" s="636"/>
      <c r="H223" s="636"/>
      <c r="I223" s="636"/>
      <c r="J223" s="636"/>
      <c r="K223" s="636"/>
      <c r="L223" s="636"/>
      <c r="M223" s="636"/>
      <c r="N223" s="636"/>
      <c r="O223" s="636"/>
      <c r="P223" s="636"/>
      <c r="Q223" s="636"/>
      <c r="R223" s="636"/>
      <c r="S223" s="636"/>
      <c r="U223" s="636"/>
      <c r="V223" s="636"/>
      <c r="W223" s="636"/>
      <c r="X223" s="636"/>
      <c r="Y223" s="636"/>
      <c r="Z223" s="636"/>
      <c r="AA223" s="636"/>
      <c r="AB223" s="636"/>
      <c r="AC223" s="636"/>
      <c r="AD223" s="636"/>
      <c r="AE223" s="636"/>
      <c r="AF223" s="636"/>
      <c r="AG223" s="636"/>
      <c r="AH223" s="636"/>
      <c r="AI223" s="636"/>
      <c r="AJ223" s="636"/>
      <c r="AK223" s="636"/>
    </row>
    <row r="224" spans="3:37" ht="22.5">
      <c r="C224" s="699" t="s">
        <v>363</v>
      </c>
      <c r="D224" s="699"/>
      <c r="E224" s="699"/>
      <c r="F224" s="699"/>
      <c r="G224" s="699"/>
      <c r="H224" s="699"/>
      <c r="I224" s="699"/>
      <c r="J224" s="699"/>
      <c r="K224" s="699"/>
      <c r="L224" s="699"/>
      <c r="M224" s="699"/>
      <c r="N224" s="699"/>
      <c r="O224" s="699"/>
      <c r="P224" s="699"/>
      <c r="Q224" s="699"/>
      <c r="R224" s="699"/>
      <c r="S224" s="699"/>
      <c r="U224" s="699" t="s">
        <v>363</v>
      </c>
      <c r="V224" s="699"/>
      <c r="W224" s="699"/>
      <c r="X224" s="699"/>
      <c r="Y224" s="699"/>
      <c r="Z224" s="699"/>
      <c r="AA224" s="699"/>
      <c r="AB224" s="699"/>
      <c r="AC224" s="699"/>
      <c r="AD224" s="699"/>
      <c r="AE224" s="699"/>
      <c r="AF224" s="699"/>
      <c r="AG224" s="699"/>
      <c r="AH224" s="699"/>
      <c r="AI224" s="699"/>
      <c r="AJ224" s="699"/>
      <c r="AK224" s="699"/>
    </row>
    <row r="225" spans="3:37" ht="13">
      <c r="C225" s="636"/>
      <c r="D225" s="636"/>
      <c r="E225" s="636"/>
      <c r="F225" s="636"/>
      <c r="G225" s="636"/>
      <c r="H225" s="636"/>
      <c r="I225" s="636"/>
      <c r="J225" s="636"/>
      <c r="K225" s="636"/>
      <c r="L225" s="636"/>
      <c r="M225" s="636"/>
      <c r="N225" s="636"/>
      <c r="O225" s="636"/>
      <c r="P225" s="636"/>
      <c r="Q225" s="636"/>
      <c r="R225" s="636"/>
      <c r="S225" s="636"/>
      <c r="U225" s="636"/>
      <c r="V225" s="636"/>
      <c r="W225" s="636"/>
      <c r="X225" s="636"/>
      <c r="Y225" s="636"/>
      <c r="Z225" s="636"/>
      <c r="AA225" s="636"/>
      <c r="AB225" s="636"/>
      <c r="AC225" s="636"/>
      <c r="AD225" s="636"/>
      <c r="AE225" s="636"/>
      <c r="AF225" s="636"/>
      <c r="AG225" s="636"/>
      <c r="AH225" s="636"/>
      <c r="AI225" s="636"/>
      <c r="AJ225" s="636"/>
      <c r="AK225" s="636"/>
    </row>
    <row r="226" spans="3:37" ht="13" customHeight="1">
      <c r="C226" s="700" t="s">
        <v>128</v>
      </c>
      <c r="D226" s="701" t="s">
        <v>42</v>
      </c>
      <c r="E226" s="701" t="s">
        <v>52</v>
      </c>
      <c r="F226" s="701" t="s">
        <v>53</v>
      </c>
      <c r="G226" s="701" t="s">
        <v>32</v>
      </c>
      <c r="H226" s="701" t="s">
        <v>20</v>
      </c>
      <c r="I226" s="701" t="s">
        <v>55</v>
      </c>
      <c r="J226" s="701" t="s">
        <v>56</v>
      </c>
      <c r="K226" s="701"/>
      <c r="L226" s="701"/>
      <c r="M226" s="701"/>
      <c r="N226" s="701"/>
      <c r="O226" s="701"/>
      <c r="P226" s="701" t="s">
        <v>57</v>
      </c>
      <c r="Q226" s="701" t="s">
        <v>58</v>
      </c>
      <c r="R226" s="701" t="s">
        <v>31</v>
      </c>
      <c r="S226" s="701" t="s">
        <v>10</v>
      </c>
      <c r="U226" s="700" t="s">
        <v>128</v>
      </c>
      <c r="V226" s="701" t="s">
        <v>42</v>
      </c>
      <c r="W226" s="701" t="s">
        <v>52</v>
      </c>
      <c r="X226" s="701" t="s">
        <v>53</v>
      </c>
      <c r="Y226" s="701" t="s">
        <v>32</v>
      </c>
      <c r="Z226" s="701" t="s">
        <v>20</v>
      </c>
      <c r="AA226" s="701" t="s">
        <v>55</v>
      </c>
      <c r="AB226" s="701" t="s">
        <v>56</v>
      </c>
      <c r="AC226" s="701"/>
      <c r="AD226" s="701"/>
      <c r="AE226" s="701"/>
      <c r="AF226" s="701"/>
      <c r="AG226" s="701"/>
      <c r="AH226" s="701" t="s">
        <v>57</v>
      </c>
      <c r="AI226" s="701" t="s">
        <v>58</v>
      </c>
      <c r="AJ226" s="701" t="s">
        <v>31</v>
      </c>
      <c r="AK226" s="701" t="s">
        <v>10</v>
      </c>
    </row>
    <row r="227" spans="3:37" ht="46">
      <c r="C227" s="700"/>
      <c r="D227" s="701"/>
      <c r="E227" s="701"/>
      <c r="F227" s="701"/>
      <c r="G227" s="701"/>
      <c r="H227" s="701"/>
      <c r="I227" s="701"/>
      <c r="J227" s="640" t="s">
        <v>338</v>
      </c>
      <c r="K227" s="640" t="s">
        <v>40</v>
      </c>
      <c r="L227" s="640" t="s">
        <v>346</v>
      </c>
      <c r="M227" s="640" t="s">
        <v>347</v>
      </c>
      <c r="N227" s="640" t="s">
        <v>348</v>
      </c>
      <c r="O227" s="640" t="s">
        <v>349</v>
      </c>
      <c r="P227" s="701"/>
      <c r="Q227" s="701"/>
      <c r="R227" s="701"/>
      <c r="S227" s="701"/>
      <c r="U227" s="700"/>
      <c r="V227" s="701"/>
      <c r="W227" s="701"/>
      <c r="X227" s="701"/>
      <c r="Y227" s="701"/>
      <c r="Z227" s="701"/>
      <c r="AA227" s="701"/>
      <c r="AB227" s="640" t="s">
        <v>338</v>
      </c>
      <c r="AC227" s="640" t="s">
        <v>40</v>
      </c>
      <c r="AD227" s="640" t="s">
        <v>346</v>
      </c>
      <c r="AE227" s="640" t="s">
        <v>347</v>
      </c>
      <c r="AF227" s="640" t="s">
        <v>348</v>
      </c>
      <c r="AG227" s="640" t="s">
        <v>349</v>
      </c>
      <c r="AH227" s="701"/>
      <c r="AI227" s="701"/>
      <c r="AJ227" s="701"/>
      <c r="AK227" s="701"/>
    </row>
    <row r="228" spans="3:37" ht="13.5">
      <c r="C228" s="641" t="s">
        <v>59</v>
      </c>
      <c r="D228" s="642">
        <v>0</v>
      </c>
      <c r="E228" s="643">
        <v>0</v>
      </c>
      <c r="F228" s="643">
        <v>0</v>
      </c>
      <c r="G228" s="642">
        <v>0</v>
      </c>
      <c r="H228" s="643">
        <v>959.09090909090924</v>
      </c>
      <c r="I228" s="643">
        <v>265.54666314840352</v>
      </c>
      <c r="J228" s="643">
        <v>188.6372712469306</v>
      </c>
      <c r="K228" s="643">
        <v>20.835963621356942</v>
      </c>
      <c r="L228" s="643">
        <v>0.48646764865129044</v>
      </c>
      <c r="M228" s="643">
        <v>0.15840693111613638</v>
      </c>
      <c r="N228" s="643">
        <v>62.897832024028709</v>
      </c>
      <c r="O228" s="643">
        <v>11.865462020109925</v>
      </c>
      <c r="P228" s="644">
        <v>0</v>
      </c>
      <c r="Q228" s="643">
        <v>0</v>
      </c>
      <c r="R228" s="643">
        <v>0</v>
      </c>
      <c r="S228" s="645">
        <v>1509.5189757315065</v>
      </c>
      <c r="U228" s="641" t="s">
        <v>59</v>
      </c>
      <c r="V228" s="642">
        <v>0</v>
      </c>
      <c r="W228" s="643">
        <v>0</v>
      </c>
      <c r="X228" s="643">
        <v>0</v>
      </c>
      <c r="Y228" s="642">
        <v>0</v>
      </c>
      <c r="Z228" s="643">
        <v>919.39393939393949</v>
      </c>
      <c r="AA228" s="643">
        <v>300.16666314840353</v>
      </c>
      <c r="AB228" s="643">
        <v>196.07210414009427</v>
      </c>
      <c r="AC228" s="643">
        <v>37.690284018354092</v>
      </c>
      <c r="AD228" s="643">
        <v>0.48646764865129044</v>
      </c>
      <c r="AE228" s="643">
        <v>0.15840693111613638</v>
      </c>
      <c r="AF228" s="643">
        <v>92.901000398225491</v>
      </c>
      <c r="AG228" s="643">
        <v>23.979405132943342</v>
      </c>
      <c r="AH228" s="644">
        <v>0</v>
      </c>
      <c r="AI228" s="643">
        <v>0</v>
      </c>
      <c r="AJ228" s="643">
        <v>0</v>
      </c>
      <c r="AK228" s="645">
        <v>1570.8482708117278</v>
      </c>
    </row>
    <row r="229" spans="3:37" ht="13.5">
      <c r="C229" s="641" t="s">
        <v>60</v>
      </c>
      <c r="D229" s="642">
        <v>48.037640466799544</v>
      </c>
      <c r="E229" s="643">
        <v>504.19228646673599</v>
      </c>
      <c r="F229" s="643">
        <v>68.527294255032075</v>
      </c>
      <c r="G229" s="642">
        <v>332.96357284387591</v>
      </c>
      <c r="H229" s="643">
        <v>0</v>
      </c>
      <c r="I229" s="643">
        <v>0</v>
      </c>
      <c r="J229" s="643">
        <v>4.4041420336435353</v>
      </c>
      <c r="K229" s="643">
        <v>0</v>
      </c>
      <c r="L229" s="643">
        <v>2.4215969020745125</v>
      </c>
      <c r="M229" s="643">
        <v>0</v>
      </c>
      <c r="N229" s="643">
        <v>0</v>
      </c>
      <c r="O229" s="643">
        <v>0</v>
      </c>
      <c r="P229" s="644">
        <v>0</v>
      </c>
      <c r="Q229" s="643">
        <v>0</v>
      </c>
      <c r="R229" s="643">
        <v>0</v>
      </c>
      <c r="S229" s="645">
        <v>960.54653296816161</v>
      </c>
      <c r="U229" s="641" t="s">
        <v>60</v>
      </c>
      <c r="V229" s="642">
        <v>7.5315222042138927</v>
      </c>
      <c r="W229" s="643">
        <v>266.28302835422375</v>
      </c>
      <c r="X229" s="643">
        <v>14.660534841020075</v>
      </c>
      <c r="Y229" s="642">
        <v>136.19700966140181</v>
      </c>
      <c r="Z229" s="643">
        <v>0</v>
      </c>
      <c r="AA229" s="643">
        <v>0</v>
      </c>
      <c r="AB229" s="643">
        <v>4.4041420336435353</v>
      </c>
      <c r="AC229" s="643">
        <v>0</v>
      </c>
      <c r="AD229" s="643">
        <v>2.4215969020745125</v>
      </c>
      <c r="AE229" s="643">
        <v>0</v>
      </c>
      <c r="AF229" s="643">
        <v>0</v>
      </c>
      <c r="AG229" s="643">
        <v>0</v>
      </c>
      <c r="AH229" s="644">
        <v>0</v>
      </c>
      <c r="AI229" s="643">
        <v>0</v>
      </c>
      <c r="AJ229" s="643">
        <v>0</v>
      </c>
      <c r="AK229" s="645">
        <v>431.49783399657758</v>
      </c>
    </row>
    <row r="230" spans="3:37" ht="13.5">
      <c r="C230" s="641" t="s">
        <v>61</v>
      </c>
      <c r="D230" s="642">
        <v>0</v>
      </c>
      <c r="E230" s="643">
        <v>0</v>
      </c>
      <c r="F230" s="643">
        <v>0</v>
      </c>
      <c r="G230" s="642">
        <v>0</v>
      </c>
      <c r="H230" s="643">
        <v>0</v>
      </c>
      <c r="I230" s="643">
        <v>0</v>
      </c>
      <c r="J230" s="643">
        <v>0</v>
      </c>
      <c r="K230" s="643">
        <v>0</v>
      </c>
      <c r="L230" s="643">
        <v>0</v>
      </c>
      <c r="M230" s="643">
        <v>0</v>
      </c>
      <c r="N230" s="643">
        <v>0</v>
      </c>
      <c r="O230" s="643">
        <v>0</v>
      </c>
      <c r="P230" s="644">
        <v>-31.055970799843635</v>
      </c>
      <c r="Q230" s="643">
        <v>0</v>
      </c>
      <c r="R230" s="643">
        <v>0</v>
      </c>
      <c r="S230" s="645">
        <v>-31.055970799843635</v>
      </c>
      <c r="U230" s="641" t="s">
        <v>61</v>
      </c>
      <c r="V230" s="642">
        <v>0</v>
      </c>
      <c r="W230" s="643">
        <v>0</v>
      </c>
      <c r="X230" s="643">
        <v>-20.238165107819981</v>
      </c>
      <c r="Y230" s="642">
        <v>0</v>
      </c>
      <c r="Z230" s="643">
        <v>0</v>
      </c>
      <c r="AA230" s="643">
        <v>0</v>
      </c>
      <c r="AB230" s="643">
        <v>0</v>
      </c>
      <c r="AC230" s="643">
        <v>0</v>
      </c>
      <c r="AD230" s="643">
        <v>0</v>
      </c>
      <c r="AE230" s="643">
        <v>0</v>
      </c>
      <c r="AF230" s="643">
        <v>0</v>
      </c>
      <c r="AG230" s="643">
        <v>0</v>
      </c>
      <c r="AH230" s="644">
        <v>-12.632253344037395</v>
      </c>
      <c r="AI230" s="643">
        <v>0</v>
      </c>
      <c r="AJ230" s="643">
        <v>0</v>
      </c>
      <c r="AK230" s="645">
        <v>-32.870418451857375</v>
      </c>
    </row>
    <row r="231" spans="3:37" ht="13.5">
      <c r="C231" s="641" t="s">
        <v>62</v>
      </c>
      <c r="D231" s="642">
        <v>0</v>
      </c>
      <c r="E231" s="643">
        <v>0</v>
      </c>
      <c r="F231" s="643">
        <v>-15.855905256620872</v>
      </c>
      <c r="G231" s="642">
        <v>0</v>
      </c>
      <c r="H231" s="643">
        <v>0</v>
      </c>
      <c r="I231" s="643">
        <v>0</v>
      </c>
      <c r="J231" s="643">
        <v>0</v>
      </c>
      <c r="K231" s="643">
        <v>0</v>
      </c>
      <c r="L231" s="643">
        <v>0</v>
      </c>
      <c r="M231" s="643">
        <v>0</v>
      </c>
      <c r="N231" s="643">
        <v>0</v>
      </c>
      <c r="O231" s="643">
        <v>0</v>
      </c>
      <c r="P231" s="644">
        <v>0</v>
      </c>
      <c r="Q231" s="643">
        <v>0</v>
      </c>
      <c r="R231" s="643">
        <v>0</v>
      </c>
      <c r="S231" s="645">
        <v>-15.855905256620872</v>
      </c>
      <c r="U231" s="641" t="s">
        <v>62</v>
      </c>
      <c r="V231" s="642">
        <v>0</v>
      </c>
      <c r="W231" s="643">
        <v>0</v>
      </c>
      <c r="X231" s="643">
        <v>-10.068616817390659</v>
      </c>
      <c r="Y231" s="642">
        <v>-2.2904268439326967</v>
      </c>
      <c r="Z231" s="643">
        <v>0</v>
      </c>
      <c r="AA231" s="643">
        <v>0</v>
      </c>
      <c r="AB231" s="643">
        <v>0</v>
      </c>
      <c r="AC231" s="643">
        <v>0</v>
      </c>
      <c r="AD231" s="643">
        <v>0</v>
      </c>
      <c r="AE231" s="643">
        <v>-0.98161150454258428</v>
      </c>
      <c r="AF231" s="643">
        <v>0</v>
      </c>
      <c r="AG231" s="643">
        <v>0</v>
      </c>
      <c r="AH231" s="644">
        <v>0</v>
      </c>
      <c r="AI231" s="643">
        <v>0</v>
      </c>
      <c r="AJ231" s="643">
        <v>0</v>
      </c>
      <c r="AK231" s="645">
        <v>-13.34065516586594</v>
      </c>
    </row>
    <row r="232" spans="3:37" ht="13.5">
      <c r="C232" s="641" t="s">
        <v>63</v>
      </c>
      <c r="D232" s="642">
        <v>0</v>
      </c>
      <c r="E232" s="643">
        <v>0</v>
      </c>
      <c r="F232" s="643">
        <v>-87.092524368241456</v>
      </c>
      <c r="G232" s="642">
        <v>0</v>
      </c>
      <c r="H232" s="643">
        <v>0</v>
      </c>
      <c r="I232" s="643">
        <v>0</v>
      </c>
      <c r="J232" s="643">
        <v>0</v>
      </c>
      <c r="K232" s="643">
        <v>0</v>
      </c>
      <c r="L232" s="643">
        <v>-0.90133117758770376</v>
      </c>
      <c r="M232" s="643">
        <v>0</v>
      </c>
      <c r="N232" s="643">
        <v>0</v>
      </c>
      <c r="O232" s="643">
        <v>0</v>
      </c>
      <c r="P232" s="644">
        <v>0</v>
      </c>
      <c r="Q232" s="643">
        <v>0</v>
      </c>
      <c r="R232" s="643">
        <v>0</v>
      </c>
      <c r="S232" s="645">
        <v>-87.993855545829163</v>
      </c>
      <c r="U232" s="641" t="s">
        <v>63</v>
      </c>
      <c r="V232" s="642">
        <v>0</v>
      </c>
      <c r="W232" s="643">
        <v>0</v>
      </c>
      <c r="X232" s="643">
        <v>-58.231828596071985</v>
      </c>
      <c r="Y232" s="642">
        <v>0</v>
      </c>
      <c r="Z232" s="643">
        <v>0</v>
      </c>
      <c r="AA232" s="643">
        <v>0</v>
      </c>
      <c r="AB232" s="643">
        <v>0</v>
      </c>
      <c r="AC232" s="643">
        <v>0</v>
      </c>
      <c r="AD232" s="643">
        <v>-23.991898740742837</v>
      </c>
      <c r="AE232" s="643">
        <v>0</v>
      </c>
      <c r="AF232" s="643">
        <v>0</v>
      </c>
      <c r="AG232" s="643">
        <v>0</v>
      </c>
      <c r="AH232" s="644">
        <v>0</v>
      </c>
      <c r="AI232" s="643">
        <v>0</v>
      </c>
      <c r="AJ232" s="643">
        <v>0</v>
      </c>
      <c r="AK232" s="645">
        <v>-82.223727336814818</v>
      </c>
    </row>
    <row r="233" spans="3:37" ht="13.5">
      <c r="C233" s="641" t="s">
        <v>64</v>
      </c>
      <c r="D233" s="642">
        <v>0</v>
      </c>
      <c r="E233" s="643">
        <v>0</v>
      </c>
      <c r="F233" s="643">
        <v>0</v>
      </c>
      <c r="G233" s="642">
        <v>0</v>
      </c>
      <c r="H233" s="643">
        <v>0</v>
      </c>
      <c r="I233" s="643">
        <v>0</v>
      </c>
      <c r="J233" s="643">
        <v>0</v>
      </c>
      <c r="K233" s="643">
        <v>0</v>
      </c>
      <c r="L233" s="643">
        <v>0</v>
      </c>
      <c r="M233" s="643">
        <v>0</v>
      </c>
      <c r="N233" s="643">
        <v>0</v>
      </c>
      <c r="O233" s="643">
        <v>0</v>
      </c>
      <c r="P233" s="644">
        <v>0</v>
      </c>
      <c r="Q233" s="643">
        <v>0</v>
      </c>
      <c r="R233" s="643">
        <v>0</v>
      </c>
      <c r="S233" s="645">
        <v>0</v>
      </c>
      <c r="U233" s="641" t="s">
        <v>64</v>
      </c>
      <c r="V233" s="642">
        <v>0</v>
      </c>
      <c r="W233" s="643">
        <v>0</v>
      </c>
      <c r="X233" s="643">
        <v>0</v>
      </c>
      <c r="Y233" s="642">
        <v>0</v>
      </c>
      <c r="Z233" s="643">
        <v>0</v>
      </c>
      <c r="AA233" s="643">
        <v>0</v>
      </c>
      <c r="AB233" s="643">
        <v>0</v>
      </c>
      <c r="AC233" s="643">
        <v>0</v>
      </c>
      <c r="AD233" s="643">
        <v>0</v>
      </c>
      <c r="AE233" s="643">
        <v>0</v>
      </c>
      <c r="AF233" s="643">
        <v>0</v>
      </c>
      <c r="AG233" s="643">
        <v>0</v>
      </c>
      <c r="AH233" s="644">
        <v>0</v>
      </c>
      <c r="AI233" s="643">
        <v>0</v>
      </c>
      <c r="AJ233" s="643">
        <v>0</v>
      </c>
      <c r="AK233" s="645">
        <v>0</v>
      </c>
    </row>
    <row r="234" spans="3:37" ht="13.5">
      <c r="C234" s="646" t="s">
        <v>65</v>
      </c>
      <c r="D234" s="647">
        <v>48.037640466799544</v>
      </c>
      <c r="E234" s="647">
        <v>504.19228646673599</v>
      </c>
      <c r="F234" s="647">
        <v>-34.42113536983026</v>
      </c>
      <c r="G234" s="647">
        <v>332.96357284387591</v>
      </c>
      <c r="H234" s="647">
        <v>959.09090909090924</v>
      </c>
      <c r="I234" s="647">
        <v>265.54666314840352</v>
      </c>
      <c r="J234" s="647">
        <v>193.04141328057412</v>
      </c>
      <c r="K234" s="647">
        <v>20.835963621356942</v>
      </c>
      <c r="L234" s="647">
        <v>2.0067333731380987</v>
      </c>
      <c r="M234" s="647">
        <v>0.15840693111613638</v>
      </c>
      <c r="N234" s="647">
        <v>62.897832024028709</v>
      </c>
      <c r="O234" s="647">
        <v>11.865462020109925</v>
      </c>
      <c r="P234" s="647">
        <v>-31.055970799843635</v>
      </c>
      <c r="Q234" s="647">
        <v>0</v>
      </c>
      <c r="R234" s="647">
        <v>0</v>
      </c>
      <c r="S234" s="647">
        <v>2335.159777097374</v>
      </c>
      <c r="U234" s="646" t="s">
        <v>65</v>
      </c>
      <c r="V234" s="647">
        <v>7.5315222042138927</v>
      </c>
      <c r="W234" s="647">
        <v>266.28302835422375</v>
      </c>
      <c r="X234" s="647">
        <v>-73.87807568026254</v>
      </c>
      <c r="Y234" s="647">
        <v>133.90658281746911</v>
      </c>
      <c r="Z234" s="647">
        <v>919.39393939393949</v>
      </c>
      <c r="AA234" s="647">
        <v>300.16666314840353</v>
      </c>
      <c r="AB234" s="647">
        <v>200.47624617373779</v>
      </c>
      <c r="AC234" s="647">
        <v>37.690284018354092</v>
      </c>
      <c r="AD234" s="647">
        <v>-21.083834190017033</v>
      </c>
      <c r="AE234" s="647">
        <v>-0.82320457342644793</v>
      </c>
      <c r="AF234" s="647">
        <v>92.901000398225491</v>
      </c>
      <c r="AG234" s="647">
        <v>23.979405132943342</v>
      </c>
      <c r="AH234" s="647">
        <v>-12.632253344037395</v>
      </c>
      <c r="AI234" s="647">
        <v>0</v>
      </c>
      <c r="AJ234" s="647">
        <v>0</v>
      </c>
      <c r="AK234" s="647">
        <v>1873.9113038537675</v>
      </c>
    </row>
    <row r="235" spans="3:37" ht="13">
      <c r="C235" s="636"/>
      <c r="D235" s="636">
        <v>0</v>
      </c>
      <c r="E235" s="636">
        <v>0</v>
      </c>
      <c r="F235" s="636">
        <v>0</v>
      </c>
      <c r="G235" s="636">
        <v>0</v>
      </c>
      <c r="H235" s="636">
        <v>0</v>
      </c>
      <c r="I235" s="636">
        <v>0</v>
      </c>
      <c r="J235" s="636">
        <v>0</v>
      </c>
      <c r="K235" s="636">
        <v>0</v>
      </c>
      <c r="L235" s="636">
        <v>0</v>
      </c>
      <c r="M235" s="636">
        <v>0</v>
      </c>
      <c r="N235" s="636">
        <v>0</v>
      </c>
      <c r="O235" s="636">
        <v>0</v>
      </c>
      <c r="P235" s="636">
        <v>0</v>
      </c>
      <c r="Q235" s="636">
        <v>0</v>
      </c>
      <c r="R235" s="636">
        <v>0</v>
      </c>
      <c r="S235" s="636">
        <v>0</v>
      </c>
      <c r="U235" s="636"/>
      <c r="V235" s="636">
        <v>0</v>
      </c>
      <c r="W235" s="636">
        <v>0</v>
      </c>
      <c r="X235" s="636">
        <v>0</v>
      </c>
      <c r="Y235" s="636">
        <v>0</v>
      </c>
      <c r="Z235" s="636">
        <v>0</v>
      </c>
      <c r="AA235" s="636">
        <v>0</v>
      </c>
      <c r="AB235" s="636">
        <v>0</v>
      </c>
      <c r="AC235" s="636">
        <v>0</v>
      </c>
      <c r="AD235" s="636">
        <v>0</v>
      </c>
      <c r="AE235" s="636">
        <v>0</v>
      </c>
      <c r="AF235" s="636">
        <v>0</v>
      </c>
      <c r="AG235" s="636">
        <v>0</v>
      </c>
      <c r="AH235" s="636">
        <v>0</v>
      </c>
      <c r="AI235" s="636">
        <v>0</v>
      </c>
      <c r="AJ235" s="636">
        <v>0</v>
      </c>
      <c r="AK235" s="636">
        <v>0</v>
      </c>
    </row>
    <row r="236" spans="3:37" ht="13.5">
      <c r="C236" s="648" t="s">
        <v>67</v>
      </c>
      <c r="D236" s="642">
        <v>0</v>
      </c>
      <c r="E236" s="649">
        <v>0</v>
      </c>
      <c r="F236" s="649">
        <v>0</v>
      </c>
      <c r="G236" s="642">
        <v>0</v>
      </c>
      <c r="H236" s="642">
        <v>0</v>
      </c>
      <c r="I236" s="642">
        <v>0</v>
      </c>
      <c r="J236" s="642">
        <v>0</v>
      </c>
      <c r="K236" s="642">
        <v>0</v>
      </c>
      <c r="L236" s="642">
        <v>0</v>
      </c>
      <c r="M236" s="642">
        <v>0</v>
      </c>
      <c r="N236" s="642">
        <v>0</v>
      </c>
      <c r="O236" s="642">
        <v>0</v>
      </c>
      <c r="P236" s="642">
        <v>0</v>
      </c>
      <c r="Q236" s="642">
        <v>0</v>
      </c>
      <c r="R236" s="642">
        <v>0</v>
      </c>
      <c r="S236" s="650">
        <v>0</v>
      </c>
      <c r="U236" s="648" t="s">
        <v>67</v>
      </c>
      <c r="V236" s="642">
        <v>0</v>
      </c>
      <c r="W236" s="649">
        <v>0</v>
      </c>
      <c r="X236" s="649">
        <v>0</v>
      </c>
      <c r="Y236" s="642">
        <v>0</v>
      </c>
      <c r="Z236" s="642">
        <v>0</v>
      </c>
      <c r="AA236" s="642">
        <v>0</v>
      </c>
      <c r="AB236" s="642">
        <v>0</v>
      </c>
      <c r="AC236" s="642">
        <v>0</v>
      </c>
      <c r="AD236" s="642">
        <v>0</v>
      </c>
      <c r="AE236" s="642">
        <v>0</v>
      </c>
      <c r="AF236" s="642">
        <v>0</v>
      </c>
      <c r="AG236" s="642">
        <v>0</v>
      </c>
      <c r="AH236" s="642">
        <v>0</v>
      </c>
      <c r="AI236" s="642">
        <v>0</v>
      </c>
      <c r="AJ236" s="642">
        <v>0</v>
      </c>
      <c r="AK236" s="650">
        <v>0</v>
      </c>
    </row>
    <row r="237" spans="3:37" ht="13.5">
      <c r="C237" s="648" t="s">
        <v>350</v>
      </c>
      <c r="D237" s="642">
        <v>2.8267856410252494</v>
      </c>
      <c r="E237" s="642">
        <v>0</v>
      </c>
      <c r="F237" s="642">
        <v>7.5217067848259731</v>
      </c>
      <c r="G237" s="642">
        <v>17.043478260869566</v>
      </c>
      <c r="H237" s="642">
        <v>959.09090909090924</v>
      </c>
      <c r="I237" s="642">
        <v>265.54666314840352</v>
      </c>
      <c r="J237" s="651">
        <v>29.657322749860491</v>
      </c>
      <c r="K237" s="651">
        <v>6.9984717304001904</v>
      </c>
      <c r="L237" s="651">
        <v>2.9080645507258027</v>
      </c>
      <c r="M237" s="651">
        <v>0.47316517381762646</v>
      </c>
      <c r="N237" s="651">
        <v>0</v>
      </c>
      <c r="O237" s="651">
        <v>6.9042102843702597</v>
      </c>
      <c r="P237" s="642">
        <v>-613.13903868039233</v>
      </c>
      <c r="Q237" s="642">
        <v>0</v>
      </c>
      <c r="R237" s="642">
        <v>0</v>
      </c>
      <c r="S237" s="650">
        <v>685.83173873481564</v>
      </c>
      <c r="U237" s="648" t="s">
        <v>350</v>
      </c>
      <c r="V237" s="642">
        <v>0.62631490545869017</v>
      </c>
      <c r="W237" s="642">
        <v>0</v>
      </c>
      <c r="X237" s="642">
        <v>3.6580704211896093</v>
      </c>
      <c r="Y237" s="642">
        <v>6.2086956521739127</v>
      </c>
      <c r="Z237" s="642">
        <v>919.39393939393949</v>
      </c>
      <c r="AA237" s="642">
        <v>300.16666314840353</v>
      </c>
      <c r="AB237" s="651">
        <v>23.86094386593884</v>
      </c>
      <c r="AC237" s="651">
        <v>5.6952120200596408</v>
      </c>
      <c r="AD237" s="651">
        <v>2.9080645507258027</v>
      </c>
      <c r="AE237" s="651">
        <v>2.7862086520784959</v>
      </c>
      <c r="AF237" s="651">
        <v>0</v>
      </c>
      <c r="AG237" s="651">
        <v>6.9042102843702597</v>
      </c>
      <c r="AH237" s="642">
        <v>-628.6590386803922</v>
      </c>
      <c r="AI237" s="642">
        <v>0</v>
      </c>
      <c r="AJ237" s="642">
        <v>4.7499999999999991</v>
      </c>
      <c r="AK237" s="650">
        <v>648.29928421394618</v>
      </c>
    </row>
    <row r="238" spans="3:37" ht="13.5">
      <c r="C238" s="648" t="s">
        <v>351</v>
      </c>
      <c r="D238" s="642">
        <v>0</v>
      </c>
      <c r="E238" s="642">
        <v>0</v>
      </c>
      <c r="F238" s="642">
        <v>0</v>
      </c>
      <c r="G238" s="642">
        <v>14.973464488470796</v>
      </c>
      <c r="H238" s="642">
        <v>0</v>
      </c>
      <c r="I238" s="642">
        <v>0</v>
      </c>
      <c r="J238" s="651">
        <v>12.61885930635281</v>
      </c>
      <c r="K238" s="651">
        <v>11.992989190910333</v>
      </c>
      <c r="L238" s="651">
        <v>0</v>
      </c>
      <c r="M238" s="651">
        <v>0.32007470171399477</v>
      </c>
      <c r="N238" s="651">
        <v>0</v>
      </c>
      <c r="O238" s="651">
        <v>2.1221335576886813</v>
      </c>
      <c r="P238" s="642">
        <v>0</v>
      </c>
      <c r="Q238" s="642">
        <v>-38.122859170635891</v>
      </c>
      <c r="R238" s="642">
        <v>0</v>
      </c>
      <c r="S238" s="650">
        <v>3.9046620745007217</v>
      </c>
      <c r="U238" s="648" t="s">
        <v>351</v>
      </c>
      <c r="V238" s="642">
        <v>0</v>
      </c>
      <c r="W238" s="642">
        <v>0</v>
      </c>
      <c r="X238" s="642">
        <v>0</v>
      </c>
      <c r="Y238" s="642">
        <v>11.236128743190402</v>
      </c>
      <c r="Z238" s="642">
        <v>0</v>
      </c>
      <c r="AA238" s="642">
        <v>0</v>
      </c>
      <c r="AB238" s="651">
        <v>28.835017835425074</v>
      </c>
      <c r="AC238" s="651">
        <v>26.276566272731909</v>
      </c>
      <c r="AD238" s="651">
        <v>0</v>
      </c>
      <c r="AE238" s="651">
        <v>4.8299775408676195</v>
      </c>
      <c r="AF238" s="651">
        <v>0</v>
      </c>
      <c r="AG238" s="651">
        <v>10.71495831218258</v>
      </c>
      <c r="AH238" s="642">
        <v>0</v>
      </c>
      <c r="AI238" s="642">
        <v>-75.331063655699538</v>
      </c>
      <c r="AJ238" s="642">
        <v>0</v>
      </c>
      <c r="AK238" s="650">
        <v>6.561585048698058</v>
      </c>
    </row>
    <row r="239" spans="3:37" ht="13.5">
      <c r="C239" s="648" t="s">
        <v>352</v>
      </c>
      <c r="D239" s="642">
        <v>0</v>
      </c>
      <c r="E239" s="642">
        <v>0</v>
      </c>
      <c r="F239" s="642">
        <v>0</v>
      </c>
      <c r="G239" s="642">
        <v>0</v>
      </c>
      <c r="H239" s="642">
        <v>0</v>
      </c>
      <c r="I239" s="642">
        <v>0</v>
      </c>
      <c r="J239" s="652">
        <v>7.1836152532588793</v>
      </c>
      <c r="K239" s="652">
        <v>0</v>
      </c>
      <c r="L239" s="652">
        <v>0</v>
      </c>
      <c r="M239" s="652">
        <v>-6.5550489185987271</v>
      </c>
      <c r="N239" s="652">
        <v>0</v>
      </c>
      <c r="O239" s="652">
        <v>0</v>
      </c>
      <c r="P239" s="642">
        <v>0</v>
      </c>
      <c r="Q239" s="642">
        <v>0</v>
      </c>
      <c r="R239" s="642">
        <v>0</v>
      </c>
      <c r="S239" s="650">
        <v>0.62856633466015222</v>
      </c>
      <c r="U239" s="648" t="s">
        <v>352</v>
      </c>
      <c r="V239" s="642">
        <v>0</v>
      </c>
      <c r="W239" s="642">
        <v>0</v>
      </c>
      <c r="X239" s="642">
        <v>0</v>
      </c>
      <c r="Y239" s="642">
        <v>0</v>
      </c>
      <c r="Z239" s="642">
        <v>0</v>
      </c>
      <c r="AA239" s="642">
        <v>0</v>
      </c>
      <c r="AB239" s="652">
        <v>63.436450079223192</v>
      </c>
      <c r="AC239" s="652">
        <v>0</v>
      </c>
      <c r="AD239" s="652">
        <v>0</v>
      </c>
      <c r="AE239" s="652">
        <v>-57.885760697291161</v>
      </c>
      <c r="AF239" s="652">
        <v>0</v>
      </c>
      <c r="AG239" s="652">
        <v>0</v>
      </c>
      <c r="AH239" s="642">
        <v>0</v>
      </c>
      <c r="AI239" s="642">
        <v>0</v>
      </c>
      <c r="AJ239" s="642">
        <v>0</v>
      </c>
      <c r="AK239" s="650">
        <v>5.5506893819320311</v>
      </c>
    </row>
    <row r="240" spans="3:37" ht="13.5">
      <c r="C240" s="648" t="s">
        <v>353</v>
      </c>
      <c r="D240" s="642">
        <v>0</v>
      </c>
      <c r="E240" s="642">
        <v>0</v>
      </c>
      <c r="F240" s="642">
        <v>0</v>
      </c>
      <c r="G240" s="642">
        <v>0</v>
      </c>
      <c r="H240" s="642">
        <v>0</v>
      </c>
      <c r="I240" s="642">
        <v>0</v>
      </c>
      <c r="J240" s="642">
        <v>0</v>
      </c>
      <c r="K240" s="642">
        <v>0</v>
      </c>
      <c r="L240" s="642">
        <v>0</v>
      </c>
      <c r="M240" s="642">
        <v>0</v>
      </c>
      <c r="N240" s="642">
        <v>0</v>
      </c>
      <c r="O240" s="642">
        <v>0</v>
      </c>
      <c r="P240" s="642">
        <v>0</v>
      </c>
      <c r="Q240" s="642">
        <v>0</v>
      </c>
      <c r="R240" s="642">
        <v>0</v>
      </c>
      <c r="S240" s="650">
        <v>0</v>
      </c>
      <c r="U240" s="648" t="s">
        <v>353</v>
      </c>
      <c r="V240" s="642">
        <v>0</v>
      </c>
      <c r="W240" s="642">
        <v>0</v>
      </c>
      <c r="X240" s="642">
        <v>0</v>
      </c>
      <c r="Y240" s="642">
        <v>0</v>
      </c>
      <c r="Z240" s="642">
        <v>0</v>
      </c>
      <c r="AA240" s="642">
        <v>0</v>
      </c>
      <c r="AB240" s="642">
        <v>0</v>
      </c>
      <c r="AC240" s="642">
        <v>0</v>
      </c>
      <c r="AD240" s="642">
        <v>0</v>
      </c>
      <c r="AE240" s="642">
        <v>0</v>
      </c>
      <c r="AF240" s="642">
        <v>0</v>
      </c>
      <c r="AG240" s="642">
        <v>0</v>
      </c>
      <c r="AH240" s="642">
        <v>0</v>
      </c>
      <c r="AI240" s="642">
        <v>0</v>
      </c>
      <c r="AJ240" s="642">
        <v>0</v>
      </c>
      <c r="AK240" s="650">
        <v>0</v>
      </c>
    </row>
    <row r="241" spans="3:37" ht="13.5">
      <c r="C241" s="648" t="s">
        <v>72</v>
      </c>
      <c r="D241" s="642">
        <v>0</v>
      </c>
      <c r="E241" s="642">
        <v>522.28962186433523</v>
      </c>
      <c r="F241" s="642">
        <v>-517.06672564569192</v>
      </c>
      <c r="G241" s="642">
        <v>0</v>
      </c>
      <c r="H241" s="642">
        <v>0</v>
      </c>
      <c r="I241" s="642">
        <v>0</v>
      </c>
      <c r="J241" s="642">
        <v>0</v>
      </c>
      <c r="K241" s="642">
        <v>0</v>
      </c>
      <c r="L241" s="642">
        <v>0</v>
      </c>
      <c r="M241" s="642">
        <v>0</v>
      </c>
      <c r="N241" s="642">
        <v>0</v>
      </c>
      <c r="O241" s="642">
        <v>0</v>
      </c>
      <c r="P241" s="642">
        <v>0</v>
      </c>
      <c r="Q241" s="642">
        <v>0</v>
      </c>
      <c r="R241" s="642">
        <v>0</v>
      </c>
      <c r="S241" s="650">
        <v>5.2228962186433137</v>
      </c>
      <c r="U241" s="648" t="s">
        <v>72</v>
      </c>
      <c r="V241" s="642">
        <v>0</v>
      </c>
      <c r="W241" s="642">
        <v>275.84091609698424</v>
      </c>
      <c r="X241" s="642">
        <v>-273.0825069360144</v>
      </c>
      <c r="Y241" s="642">
        <v>0</v>
      </c>
      <c r="Z241" s="642">
        <v>0</v>
      </c>
      <c r="AA241" s="642">
        <v>0</v>
      </c>
      <c r="AB241" s="642">
        <v>0</v>
      </c>
      <c r="AC241" s="642">
        <v>0</v>
      </c>
      <c r="AD241" s="642">
        <v>0</v>
      </c>
      <c r="AE241" s="642">
        <v>0</v>
      </c>
      <c r="AF241" s="642">
        <v>0</v>
      </c>
      <c r="AG241" s="642">
        <v>0</v>
      </c>
      <c r="AH241" s="642">
        <v>0</v>
      </c>
      <c r="AI241" s="642">
        <v>0</v>
      </c>
      <c r="AJ241" s="642">
        <v>0</v>
      </c>
      <c r="AK241" s="650">
        <v>2.7584091609698476</v>
      </c>
    </row>
    <row r="242" spans="3:37" ht="13.5">
      <c r="C242" s="648" t="s">
        <v>354</v>
      </c>
      <c r="D242" s="642">
        <v>0</v>
      </c>
      <c r="E242" s="642">
        <v>0</v>
      </c>
      <c r="F242" s="642">
        <v>0</v>
      </c>
      <c r="G242" s="642">
        <v>0</v>
      </c>
      <c r="H242" s="642">
        <v>0</v>
      </c>
      <c r="I242" s="642">
        <v>0</v>
      </c>
      <c r="J242" s="642">
        <v>28.942309114060045</v>
      </c>
      <c r="K242" s="642">
        <v>0</v>
      </c>
      <c r="L242" s="642">
        <v>-28.942309114060045</v>
      </c>
      <c r="M242" s="642">
        <v>0</v>
      </c>
      <c r="N242" s="642">
        <v>0</v>
      </c>
      <c r="O242" s="642">
        <v>0</v>
      </c>
      <c r="P242" s="642">
        <v>0</v>
      </c>
      <c r="Q242" s="642">
        <v>0</v>
      </c>
      <c r="R242" s="642">
        <v>0</v>
      </c>
      <c r="S242" s="650">
        <v>0</v>
      </c>
      <c r="U242" s="648" t="s">
        <v>354</v>
      </c>
      <c r="V242" s="642">
        <v>0</v>
      </c>
      <c r="W242" s="642">
        <v>0</v>
      </c>
      <c r="X242" s="642">
        <v>0</v>
      </c>
      <c r="Y242" s="642">
        <v>0</v>
      </c>
      <c r="Z242" s="642">
        <v>0</v>
      </c>
      <c r="AA242" s="642">
        <v>0</v>
      </c>
      <c r="AB242" s="642" t="e">
        <v>#VALUE!</v>
      </c>
      <c r="AC242" s="642">
        <v>0</v>
      </c>
      <c r="AD242" s="642">
        <v>-101.68735143023177</v>
      </c>
      <c r="AE242" s="642">
        <v>0</v>
      </c>
      <c r="AF242" s="642">
        <v>0</v>
      </c>
      <c r="AG242" s="642">
        <v>0</v>
      </c>
      <c r="AH242" s="642">
        <v>0</v>
      </c>
      <c r="AI242" s="642">
        <v>0</v>
      </c>
      <c r="AJ242" s="642">
        <v>0</v>
      </c>
      <c r="AK242" s="650">
        <v>-101.68735143023177</v>
      </c>
    </row>
    <row r="243" spans="3:37" ht="13.5">
      <c r="C243" s="648" t="s">
        <v>355</v>
      </c>
      <c r="D243" s="642">
        <v>0</v>
      </c>
      <c r="E243" s="642">
        <v>0</v>
      </c>
      <c r="F243" s="642">
        <v>0</v>
      </c>
      <c r="G243" s="642">
        <v>0</v>
      </c>
      <c r="H243" s="642">
        <v>0</v>
      </c>
      <c r="I243" s="642">
        <v>0</v>
      </c>
      <c r="J243" s="642">
        <v>0</v>
      </c>
      <c r="K243" s="642">
        <v>0</v>
      </c>
      <c r="L243" s="642">
        <v>0</v>
      </c>
      <c r="M243" s="642">
        <v>0</v>
      </c>
      <c r="N243" s="642">
        <v>0</v>
      </c>
      <c r="O243" s="642">
        <v>0</v>
      </c>
      <c r="P243" s="642">
        <v>0</v>
      </c>
      <c r="Q243" s="642">
        <v>0</v>
      </c>
      <c r="R243" s="642">
        <v>0</v>
      </c>
      <c r="S243" s="650">
        <v>0</v>
      </c>
      <c r="U243" s="648" t="s">
        <v>355</v>
      </c>
      <c r="V243" s="642">
        <v>0</v>
      </c>
      <c r="W243" s="642">
        <v>0</v>
      </c>
      <c r="X243" s="642">
        <v>0</v>
      </c>
      <c r="Y243" s="642">
        <v>0</v>
      </c>
      <c r="Z243" s="642">
        <v>0</v>
      </c>
      <c r="AA243" s="642">
        <v>0</v>
      </c>
      <c r="AB243" s="642">
        <v>0</v>
      </c>
      <c r="AC243" s="642">
        <v>0</v>
      </c>
      <c r="AD243" s="642">
        <v>-20.330518764117095</v>
      </c>
      <c r="AE243" s="642">
        <v>0</v>
      </c>
      <c r="AF243" s="642">
        <v>0</v>
      </c>
      <c r="AG243" s="642">
        <v>0</v>
      </c>
      <c r="AH243" s="642">
        <v>0</v>
      </c>
      <c r="AI243" s="642">
        <v>0</v>
      </c>
      <c r="AJ243" s="642">
        <v>0</v>
      </c>
      <c r="AK243" s="650">
        <v>-20.330518764117095</v>
      </c>
    </row>
    <row r="244" spans="3:37" ht="13.5">
      <c r="C244" s="648" t="s">
        <v>73</v>
      </c>
      <c r="D244" s="642">
        <v>0</v>
      </c>
      <c r="E244" s="642">
        <v>0</v>
      </c>
      <c r="F244" s="642">
        <v>0</v>
      </c>
      <c r="G244" s="642">
        <v>5.1012543356530031</v>
      </c>
      <c r="H244" s="642">
        <v>0</v>
      </c>
      <c r="I244" s="642">
        <v>0</v>
      </c>
      <c r="J244" s="642">
        <v>0</v>
      </c>
      <c r="K244" s="642">
        <v>5.8487208617897309E-2</v>
      </c>
      <c r="L244" s="642">
        <v>0</v>
      </c>
      <c r="M244" s="642">
        <v>0.10410723133985722</v>
      </c>
      <c r="N244" s="642">
        <v>0</v>
      </c>
      <c r="O244" s="642">
        <v>0</v>
      </c>
      <c r="P244" s="642">
        <v>0.59767950412449788</v>
      </c>
      <c r="Q244" s="642">
        <v>0</v>
      </c>
      <c r="R244" s="642">
        <v>-4.094104603252811</v>
      </c>
      <c r="S244" s="650">
        <v>1.7674236764824451</v>
      </c>
      <c r="U244" s="648" t="s">
        <v>73</v>
      </c>
      <c r="V244" s="642">
        <v>0</v>
      </c>
      <c r="W244" s="642">
        <v>0</v>
      </c>
      <c r="X244" s="642">
        <v>0</v>
      </c>
      <c r="Y244" s="642">
        <v>5.6948243223481816</v>
      </c>
      <c r="Z244" s="642">
        <v>0</v>
      </c>
      <c r="AA244" s="642">
        <v>0</v>
      </c>
      <c r="AB244" s="642">
        <v>0</v>
      </c>
      <c r="AC244" s="642">
        <v>0.40677316588201312</v>
      </c>
      <c r="AD244" s="642">
        <v>0</v>
      </c>
      <c r="AE244" s="642">
        <v>2.440638995292078</v>
      </c>
      <c r="AF244" s="642">
        <v>0</v>
      </c>
      <c r="AG244" s="642">
        <v>0</v>
      </c>
      <c r="AH244" s="642">
        <v>32.838767990182951</v>
      </c>
      <c r="AI244" s="642">
        <v>0</v>
      </c>
      <c r="AJ244" s="642">
        <v>-28.474121611740912</v>
      </c>
      <c r="AK244" s="650">
        <v>12.906882861964313</v>
      </c>
    </row>
    <row r="245" spans="3:37" ht="13.5">
      <c r="C245" s="648" t="s">
        <v>356</v>
      </c>
      <c r="D245" s="642">
        <v>28.616489999999999</v>
      </c>
      <c r="E245" s="642">
        <v>-18.09733539759922</v>
      </c>
      <c r="F245" s="642">
        <v>23.670245777269074</v>
      </c>
      <c r="G245" s="642">
        <v>0</v>
      </c>
      <c r="H245" s="642">
        <v>0</v>
      </c>
      <c r="I245" s="642">
        <v>0</v>
      </c>
      <c r="J245" s="642">
        <v>0</v>
      </c>
      <c r="K245" s="642">
        <v>0</v>
      </c>
      <c r="L245" s="642">
        <v>0</v>
      </c>
      <c r="M245" s="642">
        <v>0</v>
      </c>
      <c r="N245" s="642">
        <v>0</v>
      </c>
      <c r="O245" s="642">
        <v>0</v>
      </c>
      <c r="P245" s="642">
        <v>0</v>
      </c>
      <c r="Q245" s="642">
        <v>0</v>
      </c>
      <c r="R245" s="642">
        <v>0</v>
      </c>
      <c r="S245" s="650">
        <v>34.189400379669848</v>
      </c>
      <c r="U245" s="648" t="s">
        <v>356</v>
      </c>
      <c r="V245" s="642">
        <v>2.3505202026367185</v>
      </c>
      <c r="W245" s="642">
        <v>-9.5578877427605047</v>
      </c>
      <c r="X245" s="642">
        <v>12.501152628950074</v>
      </c>
      <c r="Y245" s="642">
        <v>0</v>
      </c>
      <c r="Z245" s="642">
        <v>0</v>
      </c>
      <c r="AA245" s="642">
        <v>0</v>
      </c>
      <c r="AB245" s="642">
        <v>0</v>
      </c>
      <c r="AC245" s="642">
        <v>0</v>
      </c>
      <c r="AD245" s="642">
        <v>0</v>
      </c>
      <c r="AE245" s="642">
        <v>0</v>
      </c>
      <c r="AF245" s="642">
        <v>0</v>
      </c>
      <c r="AG245" s="642">
        <v>0</v>
      </c>
      <c r="AH245" s="642">
        <v>0</v>
      </c>
      <c r="AI245" s="642">
        <v>0</v>
      </c>
      <c r="AJ245" s="642">
        <v>0</v>
      </c>
      <c r="AK245" s="650">
        <v>5.2937850888262874</v>
      </c>
    </row>
    <row r="246" spans="3:37" ht="13.5">
      <c r="C246" s="648" t="s">
        <v>75</v>
      </c>
      <c r="D246" s="642">
        <v>11.128635000000001</v>
      </c>
      <c r="E246" s="642">
        <v>0</v>
      </c>
      <c r="F246" s="642">
        <v>17.757847143387398</v>
      </c>
      <c r="G246" s="642">
        <v>5.0672539113277812</v>
      </c>
      <c r="H246" s="642">
        <v>0</v>
      </c>
      <c r="I246" s="642">
        <v>0</v>
      </c>
      <c r="J246" s="642">
        <v>0</v>
      </c>
      <c r="K246" s="642">
        <v>0</v>
      </c>
      <c r="L246" s="642">
        <v>0</v>
      </c>
      <c r="M246" s="642">
        <v>0.1034133451291384</v>
      </c>
      <c r="N246" s="642">
        <v>0</v>
      </c>
      <c r="O246" s="642">
        <v>0</v>
      </c>
      <c r="P246" s="642">
        <v>30.750377055945027</v>
      </c>
      <c r="Q246" s="642">
        <v>0</v>
      </c>
      <c r="R246" s="642">
        <v>0</v>
      </c>
      <c r="S246" s="650">
        <v>64.807526455789343</v>
      </c>
      <c r="U246" s="648" t="s">
        <v>75</v>
      </c>
      <c r="V246" s="642">
        <v>3.4784289550781251</v>
      </c>
      <c r="W246" s="642">
        <v>0</v>
      </c>
      <c r="X246" s="642">
        <v>17.757847143387398</v>
      </c>
      <c r="Y246" s="642">
        <v>3.6194670795198434</v>
      </c>
      <c r="Z246" s="642">
        <v>0</v>
      </c>
      <c r="AA246" s="642">
        <v>0</v>
      </c>
      <c r="AB246" s="642">
        <v>0</v>
      </c>
      <c r="AC246" s="642">
        <v>0</v>
      </c>
      <c r="AD246" s="642">
        <v>0</v>
      </c>
      <c r="AE246" s="642">
        <v>1.5512001769370758</v>
      </c>
      <c r="AF246" s="642">
        <v>0</v>
      </c>
      <c r="AG246" s="642">
        <v>0</v>
      </c>
      <c r="AH246" s="642">
        <v>36.42264978321775</v>
      </c>
      <c r="AI246" s="642">
        <v>0</v>
      </c>
      <c r="AJ246" s="642">
        <v>0</v>
      </c>
      <c r="AK246" s="650">
        <v>62.829593138140197</v>
      </c>
    </row>
    <row r="247" spans="3:37" ht="13.5">
      <c r="C247" s="648" t="s">
        <v>76</v>
      </c>
      <c r="D247" s="642">
        <v>0</v>
      </c>
      <c r="E247" s="642">
        <v>0</v>
      </c>
      <c r="F247" s="642">
        <v>0</v>
      </c>
      <c r="G247" s="642">
        <v>3.8086647866957031</v>
      </c>
      <c r="H247" s="642">
        <v>0</v>
      </c>
      <c r="I247" s="642">
        <v>0</v>
      </c>
      <c r="J247" s="642">
        <v>0</v>
      </c>
      <c r="K247" s="642">
        <v>0</v>
      </c>
      <c r="L247" s="642">
        <v>0</v>
      </c>
      <c r="M247" s="642">
        <v>7.7727852789708229E-2</v>
      </c>
      <c r="N247" s="642">
        <v>0</v>
      </c>
      <c r="O247" s="642">
        <v>0</v>
      </c>
      <c r="P247" s="642">
        <v>44.547532005203358</v>
      </c>
      <c r="Q247" s="642">
        <v>2.958822517532107</v>
      </c>
      <c r="R247" s="642">
        <v>0</v>
      </c>
      <c r="S247" s="650">
        <v>51.392747162220878</v>
      </c>
      <c r="U247" s="648" t="s">
        <v>76</v>
      </c>
      <c r="V247" s="642">
        <v>0</v>
      </c>
      <c r="W247" s="642">
        <v>0</v>
      </c>
      <c r="X247" s="642">
        <v>0</v>
      </c>
      <c r="Y247" s="642">
        <v>1.6015823117827594</v>
      </c>
      <c r="Z247" s="642">
        <v>0</v>
      </c>
      <c r="AA247" s="642">
        <v>0</v>
      </c>
      <c r="AB247" s="642">
        <v>0</v>
      </c>
      <c r="AC247" s="642">
        <v>0</v>
      </c>
      <c r="AD247" s="642">
        <v>0</v>
      </c>
      <c r="AE247" s="642">
        <v>0.68639241933546835</v>
      </c>
      <c r="AF247" s="642">
        <v>0</v>
      </c>
      <c r="AG247" s="642">
        <v>0</v>
      </c>
      <c r="AH247" s="642">
        <v>47.148943407633553</v>
      </c>
      <c r="AI247" s="642">
        <v>5.8421151160056723</v>
      </c>
      <c r="AJ247" s="642">
        <v>0</v>
      </c>
      <c r="AK247" s="650">
        <v>55.279033254757444</v>
      </c>
    </row>
    <row r="248" spans="3:37" ht="13.5">
      <c r="C248" s="646" t="s">
        <v>77</v>
      </c>
      <c r="D248" s="647">
        <v>42.571910641025248</v>
      </c>
      <c r="E248" s="647">
        <v>504.19228646673599</v>
      </c>
      <c r="F248" s="647">
        <v>-468.11692594020946</v>
      </c>
      <c r="G248" s="647">
        <v>45.994115783016845</v>
      </c>
      <c r="H248" s="647">
        <v>959.09090909090924</v>
      </c>
      <c r="I248" s="647">
        <v>265.54666314840352</v>
      </c>
      <c r="J248" s="647">
        <v>78.402106423532217</v>
      </c>
      <c r="K248" s="647">
        <v>19.049948129928421</v>
      </c>
      <c r="L248" s="647">
        <v>-26.034244563334241</v>
      </c>
      <c r="M248" s="647">
        <v>-5.4765606138084015</v>
      </c>
      <c r="N248" s="647">
        <v>0</v>
      </c>
      <c r="O248" s="647">
        <v>9.0263438420589424</v>
      </c>
      <c r="P248" s="647">
        <v>-537.24345011511946</v>
      </c>
      <c r="Q248" s="647">
        <v>-35.164036653103786</v>
      </c>
      <c r="R248" s="647">
        <v>-4.094104603252811</v>
      </c>
      <c r="S248" s="647">
        <v>847.74496103678234</v>
      </c>
      <c r="U248" s="646" t="s">
        <v>77</v>
      </c>
      <c r="V248" s="647">
        <v>6.4552640631735336</v>
      </c>
      <c r="W248" s="647">
        <v>266.28302835422375</v>
      </c>
      <c r="X248" s="647">
        <v>-239.16543674248729</v>
      </c>
      <c r="Y248" s="647">
        <v>28.3606981090151</v>
      </c>
      <c r="Z248" s="647">
        <v>919.39393939393949</v>
      </c>
      <c r="AA248" s="647">
        <v>300.16666314840353</v>
      </c>
      <c r="AB248" s="647">
        <v>116.13241178058709</v>
      </c>
      <c r="AC248" s="647">
        <v>32.378551458673563</v>
      </c>
      <c r="AD248" s="647">
        <v>-119.10980564362306</v>
      </c>
      <c r="AE248" s="647">
        <v>-45.591342912780426</v>
      </c>
      <c r="AF248" s="647">
        <v>0</v>
      </c>
      <c r="AG248" s="647">
        <v>17.619168596552839</v>
      </c>
      <c r="AH248" s="647">
        <v>-512.24867749935788</v>
      </c>
      <c r="AI248" s="647">
        <v>-69.488948539693865</v>
      </c>
      <c r="AJ248" s="647">
        <v>-23.724121611740912</v>
      </c>
      <c r="AK248" s="647">
        <v>677.46139195488558</v>
      </c>
    </row>
    <row r="249" spans="3:37" ht="13">
      <c r="C249" s="636"/>
      <c r="D249" s="636">
        <v>0</v>
      </c>
      <c r="E249" s="636">
        <v>0</v>
      </c>
      <c r="F249" s="636">
        <v>0</v>
      </c>
      <c r="G249" s="636">
        <v>0</v>
      </c>
      <c r="H249" s="636">
        <v>0</v>
      </c>
      <c r="I249" s="636">
        <v>0</v>
      </c>
      <c r="J249" s="636">
        <v>0</v>
      </c>
      <c r="K249" s="636">
        <v>0</v>
      </c>
      <c r="L249" s="636">
        <v>0</v>
      </c>
      <c r="M249" s="636">
        <v>0</v>
      </c>
      <c r="N249" s="636">
        <v>0</v>
      </c>
      <c r="O249" s="636">
        <v>0</v>
      </c>
      <c r="P249" s="636">
        <v>0</v>
      </c>
      <c r="Q249" s="636">
        <v>0</v>
      </c>
      <c r="R249" s="636">
        <v>0</v>
      </c>
      <c r="S249" s="636">
        <v>0</v>
      </c>
      <c r="U249" s="636"/>
      <c r="V249" s="636">
        <v>0</v>
      </c>
      <c r="W249" s="636">
        <v>0</v>
      </c>
      <c r="X249" s="636">
        <v>0</v>
      </c>
      <c r="Y249" s="636">
        <v>0</v>
      </c>
      <c r="Z249" s="636">
        <v>0</v>
      </c>
      <c r="AA249" s="636">
        <v>0</v>
      </c>
      <c r="AB249" s="636">
        <v>0</v>
      </c>
      <c r="AC249" s="636">
        <v>0</v>
      </c>
      <c r="AD249" s="636">
        <v>0</v>
      </c>
      <c r="AE249" s="636">
        <v>0</v>
      </c>
      <c r="AF249" s="636">
        <v>0</v>
      </c>
      <c r="AG249" s="636">
        <v>0</v>
      </c>
      <c r="AH249" s="636">
        <v>0</v>
      </c>
      <c r="AI249" s="636">
        <v>0</v>
      </c>
      <c r="AJ249" s="636">
        <v>0</v>
      </c>
      <c r="AK249" s="636">
        <v>0</v>
      </c>
    </row>
    <row r="250" spans="3:37" ht="13.5">
      <c r="C250" s="648" t="s">
        <v>78</v>
      </c>
      <c r="D250" s="642">
        <v>5.4657298257742912</v>
      </c>
      <c r="E250" s="642">
        <v>0</v>
      </c>
      <c r="F250" s="642">
        <v>21.83935294215906</v>
      </c>
      <c r="G250" s="642">
        <v>97.960240418883188</v>
      </c>
      <c r="H250" s="642">
        <v>0</v>
      </c>
      <c r="I250" s="642">
        <v>0</v>
      </c>
      <c r="J250" s="642">
        <v>20.699069714826329</v>
      </c>
      <c r="K250" s="642">
        <v>1.7608774311708451</v>
      </c>
      <c r="L250" s="642">
        <v>0.9136629082031249</v>
      </c>
      <c r="M250" s="642">
        <v>2.0177626304462204</v>
      </c>
      <c r="N250" s="642">
        <v>0</v>
      </c>
      <c r="O250" s="642">
        <v>3.7866244598879411E-4</v>
      </c>
      <c r="P250" s="642">
        <v>111.48933548215857</v>
      </c>
      <c r="Q250" s="642">
        <v>16.083775404791947</v>
      </c>
      <c r="R250" s="642">
        <v>0.29766925048828125</v>
      </c>
      <c r="S250" s="650">
        <v>278.52785467134788</v>
      </c>
      <c r="U250" s="648" t="s">
        <v>78</v>
      </c>
      <c r="V250" s="642">
        <v>1.0762581410403587</v>
      </c>
      <c r="W250" s="642">
        <v>0</v>
      </c>
      <c r="X250" s="642">
        <v>8.4892491154216376</v>
      </c>
      <c r="Y250" s="642">
        <v>50.497915430959594</v>
      </c>
      <c r="Z250" s="642">
        <v>0</v>
      </c>
      <c r="AA250" s="642">
        <v>0</v>
      </c>
      <c r="AB250" s="642">
        <v>15.594949526554588</v>
      </c>
      <c r="AC250" s="642">
        <v>5.2865944994228578</v>
      </c>
      <c r="AD250" s="642">
        <v>4.3757583007812499</v>
      </c>
      <c r="AE250" s="642">
        <v>21.660537806594554</v>
      </c>
      <c r="AF250" s="642">
        <v>0</v>
      </c>
      <c r="AG250" s="642">
        <v>3.7866244598879411E-4</v>
      </c>
      <c r="AH250" s="642">
        <v>141.44668524271188</v>
      </c>
      <c r="AI250" s="642">
        <v>22.79177635880415</v>
      </c>
      <c r="AJ250" s="642">
        <v>6.850041015625</v>
      </c>
      <c r="AK250" s="650">
        <v>278.07014410036186</v>
      </c>
    </row>
    <row r="251" spans="3:37" ht="13.5">
      <c r="C251" s="648" t="s">
        <v>79</v>
      </c>
      <c r="D251" s="642">
        <v>0</v>
      </c>
      <c r="E251" s="642">
        <v>0</v>
      </c>
      <c r="F251" s="642">
        <v>249.23385066161848</v>
      </c>
      <c r="G251" s="642">
        <v>29.852237297635437</v>
      </c>
      <c r="H251" s="642">
        <v>0</v>
      </c>
      <c r="I251" s="642">
        <v>0</v>
      </c>
      <c r="J251" s="642">
        <v>0</v>
      </c>
      <c r="K251" s="642">
        <v>0</v>
      </c>
      <c r="L251" s="642">
        <v>24.125777410294155</v>
      </c>
      <c r="M251" s="642">
        <v>0.60922933260480494</v>
      </c>
      <c r="N251" s="642">
        <v>0</v>
      </c>
      <c r="O251" s="642">
        <v>0</v>
      </c>
      <c r="P251" s="642">
        <v>62.086065361885787</v>
      </c>
      <c r="Q251" s="642">
        <v>0</v>
      </c>
      <c r="R251" s="642">
        <v>1.9828379826970517</v>
      </c>
      <c r="S251" s="650">
        <v>367.88999804673568</v>
      </c>
      <c r="U251" s="648" t="s">
        <v>79</v>
      </c>
      <c r="V251" s="642">
        <v>0</v>
      </c>
      <c r="W251" s="642">
        <v>0</v>
      </c>
      <c r="X251" s="642">
        <v>59.317364570862594</v>
      </c>
      <c r="Y251" s="642">
        <v>17.942066440325025</v>
      </c>
      <c r="Z251" s="642">
        <v>0</v>
      </c>
      <c r="AA251" s="642">
        <v>0</v>
      </c>
      <c r="AB251" s="642">
        <v>0</v>
      </c>
      <c r="AC251" s="642">
        <v>0</v>
      </c>
      <c r="AD251" s="642">
        <v>51.332808735857633</v>
      </c>
      <c r="AE251" s="642">
        <v>7.6894570458535831</v>
      </c>
      <c r="AF251" s="642">
        <v>0</v>
      </c>
      <c r="AG251" s="642">
        <v>0</v>
      </c>
      <c r="AH251" s="642">
        <v>82.201296258535137</v>
      </c>
      <c r="AI251" s="642">
        <v>0</v>
      </c>
      <c r="AJ251" s="642">
        <v>4.6183032107255606</v>
      </c>
      <c r="AK251" s="650">
        <v>223.10129626215951</v>
      </c>
    </row>
    <row r="252" spans="3:37" ht="13.5">
      <c r="C252" s="648" t="s">
        <v>80</v>
      </c>
      <c r="D252" s="642">
        <v>0</v>
      </c>
      <c r="E252" s="642">
        <v>0</v>
      </c>
      <c r="F252" s="642">
        <v>17.698191750553285</v>
      </c>
      <c r="G252" s="642">
        <v>82.8316536533641</v>
      </c>
      <c r="H252" s="642">
        <v>0</v>
      </c>
      <c r="I252" s="642">
        <v>0</v>
      </c>
      <c r="J252" s="642">
        <v>87.012401530952616</v>
      </c>
      <c r="K252" s="642">
        <v>0</v>
      </c>
      <c r="L252" s="642">
        <v>0</v>
      </c>
      <c r="M252" s="642">
        <v>1.690441911293145</v>
      </c>
      <c r="N252" s="642">
        <v>54.219025663639314</v>
      </c>
      <c r="O252" s="642">
        <v>2.0231633432731213</v>
      </c>
      <c r="P252" s="642">
        <v>187.24843332836184</v>
      </c>
      <c r="Q252" s="642">
        <v>15.504434202631401</v>
      </c>
      <c r="R252" s="642">
        <v>0</v>
      </c>
      <c r="S252" s="650">
        <v>448.22774538406884</v>
      </c>
      <c r="U252" s="648" t="s">
        <v>80</v>
      </c>
      <c r="V252" s="642">
        <v>0</v>
      </c>
      <c r="W252" s="642">
        <v>0</v>
      </c>
      <c r="X252" s="642">
        <v>1.0833932718176746</v>
      </c>
      <c r="Y252" s="642">
        <v>18.084176496701136</v>
      </c>
      <c r="Z252" s="642">
        <v>0</v>
      </c>
      <c r="AA252" s="642">
        <v>0</v>
      </c>
      <c r="AB252" s="642">
        <v>57.868484646152382</v>
      </c>
      <c r="AC252" s="642">
        <v>0</v>
      </c>
      <c r="AD252" s="642">
        <v>0</v>
      </c>
      <c r="AE252" s="642">
        <v>7.7503613557290594</v>
      </c>
      <c r="AF252" s="642">
        <v>78.313096165620991</v>
      </c>
      <c r="AG252" s="642">
        <v>3.4573890525731583</v>
      </c>
      <c r="AH252" s="642">
        <v>150.63566760387405</v>
      </c>
      <c r="AI252" s="642">
        <v>34.942034151478268</v>
      </c>
      <c r="AJ252" s="642">
        <v>0</v>
      </c>
      <c r="AK252" s="650">
        <v>352.13460274394669</v>
      </c>
    </row>
    <row r="253" spans="3:37" ht="13.5">
      <c r="C253" s="648" t="s">
        <v>81</v>
      </c>
      <c r="D253" s="642">
        <v>0</v>
      </c>
      <c r="E253" s="642">
        <v>0</v>
      </c>
      <c r="F253" s="642">
        <v>5.759525486283259</v>
      </c>
      <c r="G253" s="642">
        <v>63.242535904869413</v>
      </c>
      <c r="H253" s="642">
        <v>0</v>
      </c>
      <c r="I253" s="642">
        <v>0</v>
      </c>
      <c r="J253" s="642">
        <v>3.243340348024236</v>
      </c>
      <c r="K253" s="642">
        <v>2.5138060257677737E-2</v>
      </c>
      <c r="L253" s="642">
        <v>0</v>
      </c>
      <c r="M253" s="642">
        <v>1.2906639980585595</v>
      </c>
      <c r="N253" s="642">
        <v>8.6788063603893928</v>
      </c>
      <c r="O253" s="642">
        <v>0.74318365128395913</v>
      </c>
      <c r="P253" s="642">
        <v>138.68432478978596</v>
      </c>
      <c r="Q253" s="642">
        <v>3.5758270456804375</v>
      </c>
      <c r="R253" s="642">
        <v>0</v>
      </c>
      <c r="S253" s="650">
        <v>225.24334564463288</v>
      </c>
      <c r="U253" s="648" t="s">
        <v>81</v>
      </c>
      <c r="V253" s="642">
        <v>0</v>
      </c>
      <c r="W253" s="642">
        <v>0</v>
      </c>
      <c r="X253" s="642">
        <v>1.8996820773870462</v>
      </c>
      <c r="Y253" s="642">
        <v>16.701006494583829</v>
      </c>
      <c r="Z253" s="642">
        <v>0</v>
      </c>
      <c r="AA253" s="642">
        <v>0</v>
      </c>
      <c r="AB253" s="642">
        <v>7.1959049572050198</v>
      </c>
      <c r="AC253" s="642">
        <v>2.5138060257677737E-2</v>
      </c>
      <c r="AD253" s="642">
        <v>0</v>
      </c>
      <c r="AE253" s="642">
        <v>7.1575742119644987</v>
      </c>
      <c r="AF253" s="642">
        <v>14.587904232604497</v>
      </c>
      <c r="AG253" s="642">
        <v>1.6018484399661996</v>
      </c>
      <c r="AH253" s="642">
        <v>116.46951239557291</v>
      </c>
      <c r="AI253" s="642">
        <v>11.755138029411436</v>
      </c>
      <c r="AJ253" s="642">
        <v>0</v>
      </c>
      <c r="AK253" s="650">
        <v>177.39370889895312</v>
      </c>
    </row>
    <row r="254" spans="3:37" ht="13.5">
      <c r="C254" s="648" t="s">
        <v>82</v>
      </c>
      <c r="D254" s="642">
        <v>0</v>
      </c>
      <c r="E254" s="642">
        <v>0</v>
      </c>
      <c r="F254" s="642">
        <v>29.471786733039881</v>
      </c>
      <c r="G254" s="642">
        <v>1.3166139535686423</v>
      </c>
      <c r="H254" s="642">
        <v>0</v>
      </c>
      <c r="I254" s="642">
        <v>0</v>
      </c>
      <c r="J254" s="642">
        <v>3.6844952632387193</v>
      </c>
      <c r="K254" s="642">
        <v>0</v>
      </c>
      <c r="L254" s="642">
        <v>3.0029030850571363</v>
      </c>
      <c r="M254" s="642">
        <v>2.6869672521809031E-2</v>
      </c>
      <c r="N254" s="642">
        <v>0</v>
      </c>
      <c r="O254" s="642">
        <v>7.2392521047915395E-2</v>
      </c>
      <c r="P254" s="642">
        <v>6.3643203530837074</v>
      </c>
      <c r="Q254" s="642">
        <v>0</v>
      </c>
      <c r="R254" s="642">
        <v>0</v>
      </c>
      <c r="S254" s="650">
        <v>43.939381581557811</v>
      </c>
      <c r="U254" s="648" t="s">
        <v>82</v>
      </c>
      <c r="V254" s="642">
        <v>0</v>
      </c>
      <c r="W254" s="642">
        <v>0</v>
      </c>
      <c r="X254" s="642">
        <v>10.199143313422546</v>
      </c>
      <c r="Y254" s="642">
        <v>1.1904851448286324</v>
      </c>
      <c r="Z254" s="642">
        <v>0</v>
      </c>
      <c r="AA254" s="642">
        <v>0</v>
      </c>
      <c r="AB254" s="642">
        <v>3.6844952632387193</v>
      </c>
      <c r="AC254" s="642">
        <v>0</v>
      </c>
      <c r="AD254" s="642">
        <v>26.674568203776872</v>
      </c>
      <c r="AE254" s="642">
        <v>0.51020791921227104</v>
      </c>
      <c r="AF254" s="642">
        <v>0</v>
      </c>
      <c r="AG254" s="642">
        <v>1.300620381405156</v>
      </c>
      <c r="AH254" s="642">
        <v>6.4632626546266092</v>
      </c>
      <c r="AI254" s="642">
        <v>0</v>
      </c>
      <c r="AJ254" s="642">
        <v>0.325155095351289</v>
      </c>
      <c r="AK254" s="650">
        <v>50.347937975862088</v>
      </c>
    </row>
    <row r="255" spans="3:37" ht="13.5">
      <c r="C255" s="648" t="s">
        <v>357</v>
      </c>
      <c r="D255" s="642">
        <v>0</v>
      </c>
      <c r="E255" s="642">
        <v>0</v>
      </c>
      <c r="F255" s="642">
        <v>0</v>
      </c>
      <c r="G255" s="642">
        <v>0</v>
      </c>
      <c r="H255" s="642">
        <v>0</v>
      </c>
      <c r="I255" s="642">
        <v>0</v>
      </c>
      <c r="J255" s="642">
        <v>0</v>
      </c>
      <c r="K255" s="642">
        <v>0</v>
      </c>
      <c r="L255" s="642">
        <v>0</v>
      </c>
      <c r="M255" s="642">
        <v>0</v>
      </c>
      <c r="N255" s="642">
        <v>0</v>
      </c>
      <c r="O255" s="642">
        <v>0</v>
      </c>
      <c r="P255" s="642">
        <v>0.31499999999999995</v>
      </c>
      <c r="Q255" s="642">
        <v>0</v>
      </c>
      <c r="R255" s="642">
        <v>0</v>
      </c>
      <c r="S255" s="650">
        <v>0.31499999999999995</v>
      </c>
      <c r="U255" s="648" t="s">
        <v>357</v>
      </c>
      <c r="V255" s="642">
        <v>0</v>
      </c>
      <c r="W255" s="642">
        <v>0</v>
      </c>
      <c r="X255" s="642">
        <v>0</v>
      </c>
      <c r="Y255" s="642">
        <v>0</v>
      </c>
      <c r="Z255" s="642">
        <v>0</v>
      </c>
      <c r="AA255" s="642">
        <v>0</v>
      </c>
      <c r="AB255" s="642">
        <v>0</v>
      </c>
      <c r="AC255" s="642">
        <v>0</v>
      </c>
      <c r="AD255" s="642">
        <v>0</v>
      </c>
      <c r="AE255" s="642">
        <v>0</v>
      </c>
      <c r="AF255" s="642">
        <v>0</v>
      </c>
      <c r="AG255" s="642">
        <v>0</v>
      </c>
      <c r="AH255" s="642">
        <v>2.4</v>
      </c>
      <c r="AI255" s="642">
        <v>0</v>
      </c>
      <c r="AJ255" s="642">
        <v>0</v>
      </c>
      <c r="AK255" s="650">
        <v>2.4</v>
      </c>
    </row>
    <row r="256" spans="3:37" ht="13.5">
      <c r="C256" s="646" t="s">
        <v>83</v>
      </c>
      <c r="D256" s="647">
        <v>5.4657298257742912</v>
      </c>
      <c r="E256" s="647">
        <v>0</v>
      </c>
      <c r="F256" s="647">
        <v>324.00270757365394</v>
      </c>
      <c r="G256" s="647">
        <v>275.2032812283208</v>
      </c>
      <c r="H256" s="647">
        <v>0</v>
      </c>
      <c r="I256" s="647">
        <v>0</v>
      </c>
      <c r="J256" s="647">
        <v>114.6393068570419</v>
      </c>
      <c r="K256" s="647">
        <v>1.7860154914285227</v>
      </c>
      <c r="L256" s="647">
        <v>28.042343403554419</v>
      </c>
      <c r="M256" s="647">
        <v>5.6349675449245389</v>
      </c>
      <c r="N256" s="647">
        <v>62.897832024028709</v>
      </c>
      <c r="O256" s="647">
        <v>2.8391181780509842</v>
      </c>
      <c r="P256" s="647">
        <v>506.18747931527582</v>
      </c>
      <c r="Q256" s="647">
        <v>35.164036653103793</v>
      </c>
      <c r="R256" s="647">
        <v>2.2805072331853329</v>
      </c>
      <c r="S256" s="647">
        <v>1364.1433253283431</v>
      </c>
      <c r="U256" s="646" t="s">
        <v>83</v>
      </c>
      <c r="V256" s="647">
        <v>1.0762581410403587</v>
      </c>
      <c r="W256" s="647">
        <v>0</v>
      </c>
      <c r="X256" s="647">
        <v>80.988832348911515</v>
      </c>
      <c r="Y256" s="647">
        <v>104.41565000739821</v>
      </c>
      <c r="Z256" s="647">
        <v>0</v>
      </c>
      <c r="AA256" s="647">
        <v>0</v>
      </c>
      <c r="AB256" s="647">
        <v>84.343834393150701</v>
      </c>
      <c r="AC256" s="647">
        <v>5.3117325596805349</v>
      </c>
      <c r="AD256" s="647">
        <v>82.383135240415754</v>
      </c>
      <c r="AE256" s="647">
        <v>44.768138339353968</v>
      </c>
      <c r="AF256" s="647">
        <v>92.901000398225491</v>
      </c>
      <c r="AG256" s="647">
        <v>6.3602365363905022</v>
      </c>
      <c r="AH256" s="647">
        <v>499.61642415532054</v>
      </c>
      <c r="AI256" s="647">
        <v>69.488948539693865</v>
      </c>
      <c r="AJ256" s="647">
        <v>11.793499321701848</v>
      </c>
      <c r="AK256" s="647">
        <v>1083.4476899812832</v>
      </c>
    </row>
    <row r="257" spans="3:37" ht="13.5">
      <c r="C257" s="641" t="s">
        <v>84</v>
      </c>
      <c r="D257" s="642">
        <v>0</v>
      </c>
      <c r="E257" s="642">
        <v>0</v>
      </c>
      <c r="F257" s="642">
        <v>109.69308299672531</v>
      </c>
      <c r="G257" s="642">
        <v>11.766175832538266</v>
      </c>
      <c r="H257" s="642">
        <v>0</v>
      </c>
      <c r="I257" s="642">
        <v>0</v>
      </c>
      <c r="J257" s="642">
        <v>0</v>
      </c>
      <c r="K257" s="642">
        <v>0</v>
      </c>
      <c r="L257" s="642">
        <v>0</v>
      </c>
      <c r="M257" s="642">
        <v>0</v>
      </c>
      <c r="N257" s="642">
        <v>0</v>
      </c>
      <c r="O257" s="642">
        <v>0</v>
      </c>
      <c r="P257" s="642">
        <v>0</v>
      </c>
      <c r="Q257" s="642">
        <v>0</v>
      </c>
      <c r="R257" s="642">
        <v>1.8135973700674786</v>
      </c>
      <c r="S257" s="650">
        <v>123.27285619933106</v>
      </c>
      <c r="U257" s="641" t="s">
        <v>84</v>
      </c>
      <c r="V257" s="642">
        <v>0</v>
      </c>
      <c r="W257" s="642">
        <v>0</v>
      </c>
      <c r="X257" s="642">
        <v>84.298528713313246</v>
      </c>
      <c r="Y257" s="642">
        <v>1.1302347010557652</v>
      </c>
      <c r="Z257" s="642">
        <v>0</v>
      </c>
      <c r="AA257" s="642">
        <v>0</v>
      </c>
      <c r="AB257" s="642">
        <v>0</v>
      </c>
      <c r="AC257" s="642">
        <v>0</v>
      </c>
      <c r="AD257" s="642">
        <v>17.754065118408207</v>
      </c>
      <c r="AE257" s="642">
        <v>0</v>
      </c>
      <c r="AF257" s="642">
        <v>0</v>
      </c>
      <c r="AG257" s="642">
        <v>0</v>
      </c>
      <c r="AH257" s="642">
        <v>0</v>
      </c>
      <c r="AI257" s="642">
        <v>0</v>
      </c>
      <c r="AJ257" s="642">
        <v>11.930622290039064</v>
      </c>
      <c r="AK257" s="650">
        <v>115.11345082281629</v>
      </c>
    </row>
    <row r="258" spans="3:37" ht="13.5">
      <c r="C258" s="646" t="s">
        <v>85</v>
      </c>
      <c r="D258" s="647">
        <v>5.4657298257742912</v>
      </c>
      <c r="E258" s="647">
        <v>0</v>
      </c>
      <c r="F258" s="647">
        <v>433.69579057037924</v>
      </c>
      <c r="G258" s="647">
        <v>286.9694570608591</v>
      </c>
      <c r="H258" s="647">
        <v>0</v>
      </c>
      <c r="I258" s="647">
        <v>0</v>
      </c>
      <c r="J258" s="647">
        <v>114.6393068570419</v>
      </c>
      <c r="K258" s="647">
        <v>1.7860154914285227</v>
      </c>
      <c r="L258" s="647">
        <v>28.042343403554419</v>
      </c>
      <c r="M258" s="647">
        <v>5.6349675449245389</v>
      </c>
      <c r="N258" s="647">
        <v>62.897832024028709</v>
      </c>
      <c r="O258" s="647">
        <v>2.8391181780509842</v>
      </c>
      <c r="P258" s="647">
        <v>506.18747931527582</v>
      </c>
      <c r="Q258" s="647">
        <v>35.164036653103793</v>
      </c>
      <c r="R258" s="647">
        <v>4.094104603252811</v>
      </c>
      <c r="S258" s="647">
        <v>1487.4161815276743</v>
      </c>
      <c r="U258" s="646" t="s">
        <v>85</v>
      </c>
      <c r="V258" s="647">
        <v>1.0762581410403587</v>
      </c>
      <c r="W258" s="647">
        <v>0</v>
      </c>
      <c r="X258" s="647">
        <v>165.28736106222476</v>
      </c>
      <c r="Y258" s="647">
        <v>105.54588470845398</v>
      </c>
      <c r="Z258" s="647">
        <v>0</v>
      </c>
      <c r="AA258" s="647">
        <v>0</v>
      </c>
      <c r="AB258" s="647">
        <v>84.343834393150701</v>
      </c>
      <c r="AC258" s="647">
        <v>5.3117325596805349</v>
      </c>
      <c r="AD258" s="647">
        <v>100.13720035882396</v>
      </c>
      <c r="AE258" s="647">
        <v>44.768138339353968</v>
      </c>
      <c r="AF258" s="647">
        <v>92.901000398225491</v>
      </c>
      <c r="AG258" s="647">
        <v>6.3602365363905022</v>
      </c>
      <c r="AH258" s="647">
        <v>499.61642415532054</v>
      </c>
      <c r="AI258" s="647">
        <v>69.488948539693865</v>
      </c>
      <c r="AJ258" s="647">
        <v>23.724121611740912</v>
      </c>
      <c r="AK258" s="647">
        <v>1198.5611408040995</v>
      </c>
    </row>
    <row r="259" spans="3:37" ht="13">
      <c r="C259" s="636"/>
      <c r="D259" s="636"/>
      <c r="E259" s="636"/>
      <c r="F259" s="636"/>
      <c r="G259" s="636"/>
      <c r="H259" s="636"/>
      <c r="I259" s="636"/>
      <c r="J259" s="636"/>
      <c r="K259" s="636"/>
      <c r="L259" s="636"/>
      <c r="M259" s="636"/>
      <c r="N259" s="636"/>
      <c r="O259" s="636"/>
      <c r="P259" s="636"/>
      <c r="Q259" s="636"/>
      <c r="R259" s="636"/>
      <c r="S259" s="636"/>
      <c r="U259" s="636"/>
      <c r="V259" s="636"/>
      <c r="W259" s="636"/>
      <c r="X259" s="636"/>
      <c r="Y259" s="636"/>
      <c r="Z259" s="636"/>
      <c r="AA259" s="636"/>
      <c r="AB259" s="636"/>
      <c r="AC259" s="636"/>
      <c r="AD259" s="636"/>
      <c r="AE259" s="636"/>
      <c r="AF259" s="636"/>
      <c r="AG259" s="636"/>
      <c r="AH259" s="636"/>
      <c r="AI259" s="636"/>
      <c r="AJ259" s="636"/>
      <c r="AK259" s="636"/>
    </row>
    <row r="260" spans="3:37" ht="22.5">
      <c r="C260" s="699" t="s">
        <v>523</v>
      </c>
      <c r="D260" s="699"/>
      <c r="E260" s="699"/>
      <c r="F260" s="699"/>
      <c r="G260" s="699"/>
      <c r="H260" s="699"/>
      <c r="I260" s="699"/>
      <c r="J260" s="699"/>
      <c r="K260" s="699"/>
      <c r="L260" s="699"/>
      <c r="M260" s="699"/>
      <c r="N260" s="699"/>
      <c r="O260" s="699"/>
      <c r="P260" s="699"/>
      <c r="Q260" s="699"/>
      <c r="R260" s="699"/>
      <c r="S260" s="699"/>
      <c r="U260" s="699" t="s">
        <v>523</v>
      </c>
      <c r="V260" s="699"/>
      <c r="W260" s="699"/>
      <c r="X260" s="699"/>
      <c r="Y260" s="699"/>
      <c r="Z260" s="699"/>
      <c r="AA260" s="699"/>
      <c r="AB260" s="699"/>
      <c r="AC260" s="699"/>
      <c r="AD260" s="699"/>
      <c r="AE260" s="699"/>
      <c r="AF260" s="699"/>
      <c r="AG260" s="699"/>
      <c r="AH260" s="699"/>
      <c r="AI260" s="699"/>
      <c r="AJ260" s="699"/>
      <c r="AK260" s="699"/>
    </row>
    <row r="261" spans="3:37" ht="13">
      <c r="C261" s="636"/>
      <c r="D261" s="636"/>
      <c r="E261" s="636"/>
      <c r="F261" s="636"/>
      <c r="G261" s="636"/>
      <c r="H261" s="636"/>
      <c r="I261" s="636"/>
      <c r="J261" s="636"/>
      <c r="K261" s="636"/>
      <c r="L261" s="636"/>
      <c r="M261" s="636"/>
      <c r="N261" s="636"/>
      <c r="O261" s="636"/>
      <c r="P261" s="636"/>
      <c r="Q261" s="636"/>
      <c r="R261" s="636"/>
      <c r="S261" s="636"/>
      <c r="U261" s="636"/>
      <c r="V261" s="636"/>
      <c r="W261" s="636"/>
      <c r="X261" s="636"/>
      <c r="Y261" s="636"/>
      <c r="Z261" s="636"/>
      <c r="AA261" s="636"/>
      <c r="AB261" s="636"/>
      <c r="AC261" s="636"/>
      <c r="AD261" s="636"/>
      <c r="AE261" s="636"/>
      <c r="AF261" s="636"/>
      <c r="AG261" s="636"/>
      <c r="AH261" s="636"/>
      <c r="AI261" s="636"/>
      <c r="AJ261" s="636"/>
      <c r="AK261" s="636"/>
    </row>
    <row r="262" spans="3:37" ht="13" customHeight="1">
      <c r="C262" s="700" t="s">
        <v>128</v>
      </c>
      <c r="D262" s="701" t="s">
        <v>42</v>
      </c>
      <c r="E262" s="701" t="s">
        <v>52</v>
      </c>
      <c r="F262" s="701" t="s">
        <v>53</v>
      </c>
      <c r="G262" s="701" t="s">
        <v>32</v>
      </c>
      <c r="H262" s="701" t="s">
        <v>20</v>
      </c>
      <c r="I262" s="701" t="s">
        <v>55</v>
      </c>
      <c r="J262" s="701" t="s">
        <v>56</v>
      </c>
      <c r="K262" s="701"/>
      <c r="L262" s="701"/>
      <c r="M262" s="701"/>
      <c r="N262" s="701"/>
      <c r="O262" s="701"/>
      <c r="P262" s="701" t="s">
        <v>57</v>
      </c>
      <c r="Q262" s="701" t="s">
        <v>58</v>
      </c>
      <c r="R262" s="701" t="s">
        <v>31</v>
      </c>
      <c r="S262" s="701" t="s">
        <v>10</v>
      </c>
      <c r="U262" s="700" t="s">
        <v>128</v>
      </c>
      <c r="V262" s="701" t="s">
        <v>42</v>
      </c>
      <c r="W262" s="701" t="s">
        <v>52</v>
      </c>
      <c r="X262" s="701" t="s">
        <v>53</v>
      </c>
      <c r="Y262" s="701" t="s">
        <v>32</v>
      </c>
      <c r="Z262" s="701" t="s">
        <v>20</v>
      </c>
      <c r="AA262" s="701" t="s">
        <v>55</v>
      </c>
      <c r="AB262" s="701" t="s">
        <v>56</v>
      </c>
      <c r="AC262" s="701"/>
      <c r="AD262" s="701"/>
      <c r="AE262" s="701"/>
      <c r="AF262" s="701"/>
      <c r="AG262" s="701"/>
      <c r="AH262" s="701" t="s">
        <v>57</v>
      </c>
      <c r="AI262" s="701" t="s">
        <v>58</v>
      </c>
      <c r="AJ262" s="701" t="s">
        <v>31</v>
      </c>
      <c r="AK262" s="701" t="s">
        <v>10</v>
      </c>
    </row>
    <row r="263" spans="3:37" ht="46">
      <c r="C263" s="700"/>
      <c r="D263" s="701"/>
      <c r="E263" s="701"/>
      <c r="F263" s="701"/>
      <c r="G263" s="701"/>
      <c r="H263" s="701"/>
      <c r="I263" s="701"/>
      <c r="J263" s="640" t="s">
        <v>338</v>
      </c>
      <c r="K263" s="640" t="s">
        <v>40</v>
      </c>
      <c r="L263" s="640" t="s">
        <v>346</v>
      </c>
      <c r="M263" s="640" t="s">
        <v>347</v>
      </c>
      <c r="N263" s="640" t="s">
        <v>348</v>
      </c>
      <c r="O263" s="640" t="s">
        <v>349</v>
      </c>
      <c r="P263" s="701"/>
      <c r="Q263" s="701"/>
      <c r="R263" s="701"/>
      <c r="S263" s="701"/>
      <c r="U263" s="700"/>
      <c r="V263" s="701"/>
      <c r="W263" s="701"/>
      <c r="X263" s="701"/>
      <c r="Y263" s="701"/>
      <c r="Z263" s="701"/>
      <c r="AA263" s="701"/>
      <c r="AB263" s="640" t="s">
        <v>338</v>
      </c>
      <c r="AC263" s="640" t="s">
        <v>40</v>
      </c>
      <c r="AD263" s="640" t="s">
        <v>346</v>
      </c>
      <c r="AE263" s="640" t="s">
        <v>347</v>
      </c>
      <c r="AF263" s="640" t="s">
        <v>348</v>
      </c>
      <c r="AG263" s="640" t="s">
        <v>349</v>
      </c>
      <c r="AH263" s="701"/>
      <c r="AI263" s="701"/>
      <c r="AJ263" s="701"/>
      <c r="AK263" s="701"/>
    </row>
    <row r="264" spans="3:37" ht="13.5">
      <c r="C264" s="641" t="s">
        <v>59</v>
      </c>
      <c r="D264" s="642">
        <v>0</v>
      </c>
      <c r="E264" s="643">
        <v>0</v>
      </c>
      <c r="F264" s="643">
        <v>0</v>
      </c>
      <c r="G264" s="642">
        <v>0</v>
      </c>
      <c r="H264" s="643">
        <v>889.54545454545473</v>
      </c>
      <c r="I264" s="643">
        <v>290.38619522472999</v>
      </c>
      <c r="J264" s="643">
        <v>188.26463769943669</v>
      </c>
      <c r="K264" s="643">
        <v>20.519346122490408</v>
      </c>
      <c r="L264" s="643">
        <v>0.54648995449606019</v>
      </c>
      <c r="M264" s="643">
        <v>0.15914693380563083</v>
      </c>
      <c r="N264" s="643">
        <v>65.898689554178929</v>
      </c>
      <c r="O264" s="643">
        <v>11.930124482632028</v>
      </c>
      <c r="P264" s="644">
        <v>0</v>
      </c>
      <c r="Q264" s="643">
        <v>0</v>
      </c>
      <c r="R264" s="643">
        <v>0</v>
      </c>
      <c r="S264" s="645">
        <v>1467.2500845172242</v>
      </c>
      <c r="U264" s="641" t="s">
        <v>59</v>
      </c>
      <c r="V264" s="642">
        <v>0</v>
      </c>
      <c r="W264" s="643">
        <v>0</v>
      </c>
      <c r="X264" s="643">
        <v>0</v>
      </c>
      <c r="Y264" s="642">
        <v>0</v>
      </c>
      <c r="Z264" s="643">
        <v>873.030303030303</v>
      </c>
      <c r="AA264" s="643">
        <v>337.06619522473</v>
      </c>
      <c r="AB264" s="643">
        <v>206.15489309499102</v>
      </c>
      <c r="AC264" s="643">
        <v>37.137182251794961</v>
      </c>
      <c r="AD264" s="643">
        <v>0.54648995449606019</v>
      </c>
      <c r="AE264" s="643">
        <v>0.15914693380563083</v>
      </c>
      <c r="AF264" s="643">
        <v>103.02458403584798</v>
      </c>
      <c r="AG264" s="643">
        <v>25.833176078824131</v>
      </c>
      <c r="AH264" s="644">
        <v>0</v>
      </c>
      <c r="AI264" s="643">
        <v>0</v>
      </c>
      <c r="AJ264" s="643">
        <v>0</v>
      </c>
      <c r="AK264" s="645">
        <v>1582.9519706047927</v>
      </c>
    </row>
    <row r="265" spans="3:37" ht="13.5">
      <c r="C265" s="641" t="s">
        <v>60</v>
      </c>
      <c r="D265" s="642">
        <v>47.523331421865407</v>
      </c>
      <c r="E265" s="643">
        <v>492.37419513671523</v>
      </c>
      <c r="F265" s="643">
        <v>57.352326080251387</v>
      </c>
      <c r="G265" s="642">
        <v>328.8885225556333</v>
      </c>
      <c r="H265" s="643">
        <v>0</v>
      </c>
      <c r="I265" s="643">
        <v>0</v>
      </c>
      <c r="J265" s="643">
        <v>4.8075322078390377</v>
      </c>
      <c r="K265" s="643">
        <v>0</v>
      </c>
      <c r="L265" s="643">
        <v>2.6229179175778925</v>
      </c>
      <c r="M265" s="643">
        <v>0</v>
      </c>
      <c r="N265" s="643">
        <v>0</v>
      </c>
      <c r="O265" s="643">
        <v>0</v>
      </c>
      <c r="P265" s="644">
        <v>0</v>
      </c>
      <c r="Q265" s="643">
        <v>0</v>
      </c>
      <c r="R265" s="643">
        <v>0</v>
      </c>
      <c r="S265" s="645">
        <v>933.56882531988219</v>
      </c>
      <c r="U265" s="641" t="s">
        <v>60</v>
      </c>
      <c r="V265" s="642">
        <v>6.5260336126681251</v>
      </c>
      <c r="W265" s="643">
        <v>220.47790015098695</v>
      </c>
      <c r="X265" s="643">
        <v>14.513856185365357</v>
      </c>
      <c r="Y265" s="642">
        <v>102.1346675179243</v>
      </c>
      <c r="Z265" s="643">
        <v>0</v>
      </c>
      <c r="AA265" s="643">
        <v>0</v>
      </c>
      <c r="AB265" s="643">
        <v>4.8075322078390377</v>
      </c>
      <c r="AC265" s="643">
        <v>0</v>
      </c>
      <c r="AD265" s="643">
        <v>2.6229179175778925</v>
      </c>
      <c r="AE265" s="643">
        <v>0</v>
      </c>
      <c r="AF265" s="643">
        <v>0</v>
      </c>
      <c r="AG265" s="643">
        <v>0</v>
      </c>
      <c r="AH265" s="644">
        <v>0</v>
      </c>
      <c r="AI265" s="643">
        <v>0</v>
      </c>
      <c r="AJ265" s="643">
        <v>0</v>
      </c>
      <c r="AK265" s="645">
        <v>351.08290759236166</v>
      </c>
    </row>
    <row r="266" spans="3:37" ht="13.5">
      <c r="C266" s="641" t="s">
        <v>61</v>
      </c>
      <c r="D266" s="642">
        <v>0</v>
      </c>
      <c r="E266" s="643">
        <v>0</v>
      </c>
      <c r="F266" s="643">
        <v>0</v>
      </c>
      <c r="G266" s="642">
        <v>0</v>
      </c>
      <c r="H266" s="643">
        <v>0</v>
      </c>
      <c r="I266" s="643">
        <v>0</v>
      </c>
      <c r="J266" s="643">
        <v>0</v>
      </c>
      <c r="K266" s="643">
        <v>0</v>
      </c>
      <c r="L266" s="643">
        <v>0</v>
      </c>
      <c r="M266" s="643">
        <v>0</v>
      </c>
      <c r="N266" s="643">
        <v>0</v>
      </c>
      <c r="O266" s="643">
        <v>0</v>
      </c>
      <c r="P266" s="644">
        <v>-22.391147784534837</v>
      </c>
      <c r="Q266" s="643">
        <v>0</v>
      </c>
      <c r="R266" s="643">
        <v>0</v>
      </c>
      <c r="S266" s="645">
        <v>-22.391147784534837</v>
      </c>
      <c r="U266" s="641" t="s">
        <v>61</v>
      </c>
      <c r="V266" s="642">
        <v>0</v>
      </c>
      <c r="W266" s="643">
        <v>0</v>
      </c>
      <c r="X266" s="643">
        <v>-19.691193817618341</v>
      </c>
      <c r="Y266" s="642">
        <v>0</v>
      </c>
      <c r="Z266" s="643">
        <v>0</v>
      </c>
      <c r="AA266" s="643">
        <v>0</v>
      </c>
      <c r="AB266" s="643">
        <v>0</v>
      </c>
      <c r="AC266" s="643">
        <v>0</v>
      </c>
      <c r="AD266" s="643">
        <v>0</v>
      </c>
      <c r="AE266" s="643">
        <v>0</v>
      </c>
      <c r="AF266" s="643">
        <v>0</v>
      </c>
      <c r="AG266" s="643">
        <v>0</v>
      </c>
      <c r="AH266" s="644">
        <v>-17.389600315785174</v>
      </c>
      <c r="AI266" s="643">
        <v>0</v>
      </c>
      <c r="AJ266" s="643">
        <v>0</v>
      </c>
      <c r="AK266" s="645">
        <v>-37.080794133403515</v>
      </c>
    </row>
    <row r="267" spans="3:37" ht="13.5">
      <c r="C267" s="641" t="s">
        <v>62</v>
      </c>
      <c r="D267" s="642">
        <v>0</v>
      </c>
      <c r="E267" s="643">
        <v>0</v>
      </c>
      <c r="F267" s="643">
        <v>-15.496739011683466</v>
      </c>
      <c r="G267" s="642">
        <v>0</v>
      </c>
      <c r="H267" s="643">
        <v>0</v>
      </c>
      <c r="I267" s="643">
        <v>0</v>
      </c>
      <c r="J267" s="643">
        <v>0</v>
      </c>
      <c r="K267" s="643">
        <v>0</v>
      </c>
      <c r="L267" s="643">
        <v>0</v>
      </c>
      <c r="M267" s="643">
        <v>0</v>
      </c>
      <c r="N267" s="643">
        <v>0</v>
      </c>
      <c r="O267" s="643">
        <v>0</v>
      </c>
      <c r="P267" s="644">
        <v>0</v>
      </c>
      <c r="Q267" s="643">
        <v>0</v>
      </c>
      <c r="R267" s="643">
        <v>0</v>
      </c>
      <c r="S267" s="645">
        <v>-15.496739011683466</v>
      </c>
      <c r="U267" s="641" t="s">
        <v>62</v>
      </c>
      <c r="V267" s="642">
        <v>0</v>
      </c>
      <c r="W267" s="643">
        <v>0</v>
      </c>
      <c r="X267" s="643">
        <v>-8.5387827474702789</v>
      </c>
      <c r="Y267" s="642">
        <v>-2.2272473327152178</v>
      </c>
      <c r="Z267" s="643">
        <v>0</v>
      </c>
      <c r="AA267" s="643">
        <v>0</v>
      </c>
      <c r="AB267" s="643">
        <v>0</v>
      </c>
      <c r="AC267" s="643">
        <v>0</v>
      </c>
      <c r="AD267" s="643">
        <v>0</v>
      </c>
      <c r="AE267" s="643">
        <v>-1.7037211969591732</v>
      </c>
      <c r="AF267" s="643">
        <v>0</v>
      </c>
      <c r="AG267" s="643">
        <v>0</v>
      </c>
      <c r="AH267" s="644">
        <v>0</v>
      </c>
      <c r="AI267" s="643">
        <v>0</v>
      </c>
      <c r="AJ267" s="643">
        <v>0</v>
      </c>
      <c r="AK267" s="645">
        <v>-12.46975127714467</v>
      </c>
    </row>
    <row r="268" spans="3:37" ht="13.5">
      <c r="C268" s="641" t="s">
        <v>63</v>
      </c>
      <c r="D268" s="642">
        <v>0</v>
      </c>
      <c r="E268" s="643">
        <v>0</v>
      </c>
      <c r="F268" s="643">
        <v>-89.42656352071144</v>
      </c>
      <c r="G268" s="642">
        <v>0</v>
      </c>
      <c r="H268" s="643">
        <v>0</v>
      </c>
      <c r="I268" s="643">
        <v>0</v>
      </c>
      <c r="J268" s="643">
        <v>0</v>
      </c>
      <c r="K268" s="643">
        <v>0</v>
      </c>
      <c r="L268" s="643">
        <v>-0.92190198395554845</v>
      </c>
      <c r="M268" s="643">
        <v>0</v>
      </c>
      <c r="N268" s="643">
        <v>0</v>
      </c>
      <c r="O268" s="643">
        <v>0</v>
      </c>
      <c r="P268" s="644">
        <v>0</v>
      </c>
      <c r="Q268" s="643">
        <v>0</v>
      </c>
      <c r="R268" s="643">
        <v>0</v>
      </c>
      <c r="S268" s="645">
        <v>-90.34846550466699</v>
      </c>
      <c r="U268" s="641" t="s">
        <v>63</v>
      </c>
      <c r="V268" s="642">
        <v>0</v>
      </c>
      <c r="W268" s="643">
        <v>0</v>
      </c>
      <c r="X268" s="643">
        <v>-55.486888716289528</v>
      </c>
      <c r="Y268" s="642">
        <v>0</v>
      </c>
      <c r="Z268" s="643">
        <v>0</v>
      </c>
      <c r="AA268" s="643">
        <v>0</v>
      </c>
      <c r="AB268" s="643">
        <v>0</v>
      </c>
      <c r="AC268" s="643">
        <v>0</v>
      </c>
      <c r="AD268" s="643">
        <v>-26.575233608452013</v>
      </c>
      <c r="AE268" s="643">
        <v>0</v>
      </c>
      <c r="AF268" s="643">
        <v>0</v>
      </c>
      <c r="AG268" s="643">
        <v>0</v>
      </c>
      <c r="AH268" s="644">
        <v>0</v>
      </c>
      <c r="AI268" s="643">
        <v>0</v>
      </c>
      <c r="AJ268" s="643">
        <v>0</v>
      </c>
      <c r="AK268" s="645">
        <v>-82.062122324741537</v>
      </c>
    </row>
    <row r="269" spans="3:37" ht="13.5">
      <c r="C269" s="641" t="s">
        <v>64</v>
      </c>
      <c r="D269" s="642">
        <v>0</v>
      </c>
      <c r="E269" s="643">
        <v>0</v>
      </c>
      <c r="F269" s="643">
        <v>0</v>
      </c>
      <c r="G269" s="642">
        <v>0</v>
      </c>
      <c r="H269" s="643">
        <v>0</v>
      </c>
      <c r="I269" s="643">
        <v>0</v>
      </c>
      <c r="J269" s="643">
        <v>0</v>
      </c>
      <c r="K269" s="643">
        <v>0</v>
      </c>
      <c r="L269" s="643">
        <v>0</v>
      </c>
      <c r="M269" s="643">
        <v>0</v>
      </c>
      <c r="N269" s="643">
        <v>0</v>
      </c>
      <c r="O269" s="643">
        <v>0</v>
      </c>
      <c r="P269" s="644">
        <v>0</v>
      </c>
      <c r="Q269" s="643">
        <v>0</v>
      </c>
      <c r="R269" s="643">
        <v>0</v>
      </c>
      <c r="S269" s="645">
        <v>0</v>
      </c>
      <c r="U269" s="641" t="s">
        <v>64</v>
      </c>
      <c r="V269" s="642">
        <v>0</v>
      </c>
      <c r="W269" s="643">
        <v>0</v>
      </c>
      <c r="X269" s="643">
        <v>0</v>
      </c>
      <c r="Y269" s="642">
        <v>0</v>
      </c>
      <c r="Z269" s="643">
        <v>0</v>
      </c>
      <c r="AA269" s="643">
        <v>0</v>
      </c>
      <c r="AB269" s="643">
        <v>0</v>
      </c>
      <c r="AC269" s="643">
        <v>0</v>
      </c>
      <c r="AD269" s="643">
        <v>0</v>
      </c>
      <c r="AE269" s="643">
        <v>0</v>
      </c>
      <c r="AF269" s="643">
        <v>0</v>
      </c>
      <c r="AG269" s="643">
        <v>0</v>
      </c>
      <c r="AH269" s="644">
        <v>0</v>
      </c>
      <c r="AI269" s="643">
        <v>0</v>
      </c>
      <c r="AJ269" s="643">
        <v>0</v>
      </c>
      <c r="AK269" s="645">
        <v>0</v>
      </c>
    </row>
    <row r="270" spans="3:37" ht="13.5">
      <c r="C270" s="646" t="s">
        <v>65</v>
      </c>
      <c r="D270" s="647">
        <v>47.523331421865407</v>
      </c>
      <c r="E270" s="647">
        <v>492.37419513671523</v>
      </c>
      <c r="F270" s="647">
        <v>-47.570976452143519</v>
      </c>
      <c r="G270" s="647">
        <v>328.8885225556333</v>
      </c>
      <c r="H270" s="647">
        <v>889.54545454545473</v>
      </c>
      <c r="I270" s="647">
        <v>290.38619522472999</v>
      </c>
      <c r="J270" s="647">
        <v>193.07216990727574</v>
      </c>
      <c r="K270" s="647">
        <v>20.519346122490408</v>
      </c>
      <c r="L270" s="647">
        <v>2.247505888118404</v>
      </c>
      <c r="M270" s="647">
        <v>0.15914693380563083</v>
      </c>
      <c r="N270" s="647">
        <v>65.898689554178929</v>
      </c>
      <c r="O270" s="647">
        <v>11.930124482632028</v>
      </c>
      <c r="P270" s="647">
        <v>-22.391147784534837</v>
      </c>
      <c r="Q270" s="647">
        <v>0</v>
      </c>
      <c r="R270" s="647">
        <v>0</v>
      </c>
      <c r="S270" s="647">
        <v>2272.5825575362214</v>
      </c>
      <c r="U270" s="646" t="s">
        <v>65</v>
      </c>
      <c r="V270" s="647">
        <v>6.5260336126681251</v>
      </c>
      <c r="W270" s="647">
        <v>220.47790015098695</v>
      </c>
      <c r="X270" s="647">
        <v>-69.203009096012792</v>
      </c>
      <c r="Y270" s="647">
        <v>99.907420185209077</v>
      </c>
      <c r="Z270" s="647">
        <v>873.030303030303</v>
      </c>
      <c r="AA270" s="647">
        <v>337.06619522473</v>
      </c>
      <c r="AB270" s="647">
        <v>210.96242530283007</v>
      </c>
      <c r="AC270" s="647">
        <v>37.137182251794961</v>
      </c>
      <c r="AD270" s="647">
        <v>-23.405825736378059</v>
      </c>
      <c r="AE270" s="647">
        <v>-1.5445742631535424</v>
      </c>
      <c r="AF270" s="647">
        <v>103.02458403584798</v>
      </c>
      <c r="AG270" s="647">
        <v>25.833176078824131</v>
      </c>
      <c r="AH270" s="647">
        <v>-17.389600315785174</v>
      </c>
      <c r="AI270" s="647">
        <v>0</v>
      </c>
      <c r="AJ270" s="647">
        <v>0</v>
      </c>
      <c r="AK270" s="647">
        <v>1802.4222104618648</v>
      </c>
    </row>
    <row r="271" spans="3:37" ht="13">
      <c r="C271" s="636"/>
      <c r="D271" s="636">
        <v>0</v>
      </c>
      <c r="E271" s="636">
        <v>0</v>
      </c>
      <c r="F271" s="636">
        <v>0</v>
      </c>
      <c r="G271" s="636">
        <v>0</v>
      </c>
      <c r="H271" s="636">
        <v>0</v>
      </c>
      <c r="I271" s="636">
        <v>0</v>
      </c>
      <c r="J271" s="636">
        <v>0</v>
      </c>
      <c r="K271" s="636">
        <v>0</v>
      </c>
      <c r="L271" s="636">
        <v>0</v>
      </c>
      <c r="M271" s="636">
        <v>0</v>
      </c>
      <c r="N271" s="636">
        <v>0</v>
      </c>
      <c r="O271" s="636">
        <v>0</v>
      </c>
      <c r="P271" s="636">
        <v>0</v>
      </c>
      <c r="Q271" s="636">
        <v>0</v>
      </c>
      <c r="R271" s="636">
        <v>0</v>
      </c>
      <c r="S271" s="636">
        <v>0</v>
      </c>
      <c r="U271" s="636"/>
      <c r="V271" s="636">
        <v>0</v>
      </c>
      <c r="W271" s="636">
        <v>0</v>
      </c>
      <c r="X271" s="636">
        <v>0</v>
      </c>
      <c r="Y271" s="636">
        <v>0</v>
      </c>
      <c r="Z271" s="636">
        <v>0</v>
      </c>
      <c r="AA271" s="636">
        <v>0</v>
      </c>
      <c r="AB271" s="636">
        <v>0</v>
      </c>
      <c r="AC271" s="636">
        <v>0</v>
      </c>
      <c r="AD271" s="636">
        <v>0</v>
      </c>
      <c r="AE271" s="636">
        <v>0</v>
      </c>
      <c r="AF271" s="636">
        <v>0</v>
      </c>
      <c r="AG271" s="636">
        <v>0</v>
      </c>
      <c r="AH271" s="636">
        <v>0</v>
      </c>
      <c r="AI271" s="636">
        <v>0</v>
      </c>
      <c r="AJ271" s="636">
        <v>0</v>
      </c>
      <c r="AK271" s="636">
        <v>0</v>
      </c>
    </row>
    <row r="272" spans="3:37" ht="13.5">
      <c r="C272" s="648" t="s">
        <v>67</v>
      </c>
      <c r="D272" s="642">
        <v>0</v>
      </c>
      <c r="E272" s="649">
        <v>0</v>
      </c>
      <c r="F272" s="649">
        <v>0</v>
      </c>
      <c r="G272" s="642">
        <v>0</v>
      </c>
      <c r="H272" s="642">
        <v>0</v>
      </c>
      <c r="I272" s="642">
        <v>0</v>
      </c>
      <c r="J272" s="642">
        <v>0</v>
      </c>
      <c r="K272" s="642">
        <v>0</v>
      </c>
      <c r="L272" s="642">
        <v>0</v>
      </c>
      <c r="M272" s="642">
        <v>0</v>
      </c>
      <c r="N272" s="642">
        <v>0</v>
      </c>
      <c r="O272" s="642">
        <v>0</v>
      </c>
      <c r="P272" s="642">
        <v>0</v>
      </c>
      <c r="Q272" s="642">
        <v>0</v>
      </c>
      <c r="R272" s="642">
        <v>0</v>
      </c>
      <c r="S272" s="650">
        <v>0</v>
      </c>
      <c r="U272" s="648" t="s">
        <v>67</v>
      </c>
      <c r="V272" s="642">
        <v>0</v>
      </c>
      <c r="W272" s="649">
        <v>0</v>
      </c>
      <c r="X272" s="649">
        <v>0</v>
      </c>
      <c r="Y272" s="642">
        <v>0</v>
      </c>
      <c r="Z272" s="642">
        <v>0</v>
      </c>
      <c r="AA272" s="642">
        <v>0</v>
      </c>
      <c r="AB272" s="642">
        <v>0</v>
      </c>
      <c r="AC272" s="642">
        <v>0</v>
      </c>
      <c r="AD272" s="642">
        <v>0</v>
      </c>
      <c r="AE272" s="642">
        <v>0</v>
      </c>
      <c r="AF272" s="642">
        <v>0</v>
      </c>
      <c r="AG272" s="642">
        <v>0</v>
      </c>
      <c r="AH272" s="642">
        <v>0</v>
      </c>
      <c r="AI272" s="642">
        <v>0</v>
      </c>
      <c r="AJ272" s="642">
        <v>0</v>
      </c>
      <c r="AK272" s="650">
        <v>0</v>
      </c>
    </row>
    <row r="273" spans="3:37" ht="13.5">
      <c r="C273" s="648" t="s">
        <v>350</v>
      </c>
      <c r="D273" s="642">
        <v>2.8267856410252494</v>
      </c>
      <c r="E273" s="642">
        <v>0</v>
      </c>
      <c r="F273" s="642">
        <v>7.7625293209280457</v>
      </c>
      <c r="G273" s="642">
        <v>16.824034334763951</v>
      </c>
      <c r="H273" s="642">
        <v>889.54545454545473</v>
      </c>
      <c r="I273" s="642">
        <v>290.38619522472999</v>
      </c>
      <c r="J273" s="651">
        <v>29.234857813431841</v>
      </c>
      <c r="K273" s="651">
        <v>6.7467623730381456</v>
      </c>
      <c r="L273" s="651">
        <v>3.1694078720739522</v>
      </c>
      <c r="M273" s="651">
        <v>0.46915285357606595</v>
      </c>
      <c r="N273" s="651">
        <v>0</v>
      </c>
      <c r="O273" s="651">
        <v>6.9727309871777221</v>
      </c>
      <c r="P273" s="642">
        <v>-615.41357369902562</v>
      </c>
      <c r="Q273" s="642">
        <v>0</v>
      </c>
      <c r="R273" s="642">
        <v>0</v>
      </c>
      <c r="S273" s="650">
        <v>638.52433726717402</v>
      </c>
      <c r="U273" s="648" t="s">
        <v>350</v>
      </c>
      <c r="V273" s="642">
        <v>0.62631490545869017</v>
      </c>
      <c r="W273" s="642">
        <v>0</v>
      </c>
      <c r="X273" s="642">
        <v>3.8988929572916824</v>
      </c>
      <c r="Y273" s="642">
        <v>3.6741630901287547</v>
      </c>
      <c r="Z273" s="642">
        <v>873.030303030303</v>
      </c>
      <c r="AA273" s="642">
        <v>337.06619522473</v>
      </c>
      <c r="AB273" s="651">
        <v>23.429523439383615</v>
      </c>
      <c r="AC273" s="651">
        <v>5.4991881500691626</v>
      </c>
      <c r="AD273" s="651">
        <v>3.1694078720739522</v>
      </c>
      <c r="AE273" s="651">
        <v>2.7864060724601858</v>
      </c>
      <c r="AF273" s="651">
        <v>0</v>
      </c>
      <c r="AG273" s="651">
        <v>6.9727309871777221</v>
      </c>
      <c r="AH273" s="642">
        <v>-649.11357369902544</v>
      </c>
      <c r="AI273" s="642">
        <v>0</v>
      </c>
      <c r="AJ273" s="642">
        <v>4.45</v>
      </c>
      <c r="AK273" s="650">
        <v>615.48955203005141</v>
      </c>
    </row>
    <row r="274" spans="3:37" ht="13.5">
      <c r="C274" s="648" t="s">
        <v>351</v>
      </c>
      <c r="D274" s="642">
        <v>0</v>
      </c>
      <c r="E274" s="642">
        <v>0</v>
      </c>
      <c r="F274" s="642">
        <v>0</v>
      </c>
      <c r="G274" s="642">
        <v>14.896462034387394</v>
      </c>
      <c r="H274" s="642">
        <v>0</v>
      </c>
      <c r="I274" s="642">
        <v>0</v>
      </c>
      <c r="J274" s="651">
        <v>12.461036592610267</v>
      </c>
      <c r="K274" s="651">
        <v>11.927183871567582</v>
      </c>
      <c r="L274" s="651">
        <v>0</v>
      </c>
      <c r="M274" s="651">
        <v>0.3188738120209938</v>
      </c>
      <c r="N274" s="651">
        <v>0</v>
      </c>
      <c r="O274" s="651">
        <v>2.1085025260592274</v>
      </c>
      <c r="P274" s="642">
        <v>0</v>
      </c>
      <c r="Q274" s="642">
        <v>-37.934258390495422</v>
      </c>
      <c r="R274" s="642">
        <v>0</v>
      </c>
      <c r="S274" s="650">
        <v>3.7778004461500441</v>
      </c>
      <c r="U274" s="648" t="s">
        <v>351</v>
      </c>
      <c r="V274" s="642">
        <v>0</v>
      </c>
      <c r="W274" s="642">
        <v>0</v>
      </c>
      <c r="X274" s="642">
        <v>0</v>
      </c>
      <c r="Y274" s="642">
        <v>8.218662070491261</v>
      </c>
      <c r="Z274" s="642">
        <v>0</v>
      </c>
      <c r="AA274" s="642">
        <v>0</v>
      </c>
      <c r="AB274" s="651">
        <v>28.560818034272483</v>
      </c>
      <c r="AC274" s="651">
        <v>26.163217208510932</v>
      </c>
      <c r="AD274" s="651">
        <v>0</v>
      </c>
      <c r="AE274" s="651">
        <v>5.9663093303449024</v>
      </c>
      <c r="AF274" s="651">
        <v>0</v>
      </c>
      <c r="AG274" s="651">
        <v>11.832895483778962</v>
      </c>
      <c r="AH274" s="642">
        <v>0</v>
      </c>
      <c r="AI274" s="642">
        <v>-74.578675527513624</v>
      </c>
      <c r="AJ274" s="642">
        <v>0</v>
      </c>
      <c r="AK274" s="650">
        <v>6.1632265998849274</v>
      </c>
    </row>
    <row r="275" spans="3:37" ht="13.5">
      <c r="C275" s="648" t="s">
        <v>352</v>
      </c>
      <c r="D275" s="642">
        <v>0</v>
      </c>
      <c r="E275" s="642">
        <v>0</v>
      </c>
      <c r="F275" s="642">
        <v>0</v>
      </c>
      <c r="G275" s="642">
        <v>0</v>
      </c>
      <c r="H275" s="642">
        <v>0</v>
      </c>
      <c r="I275" s="642">
        <v>0</v>
      </c>
      <c r="J275" s="652">
        <v>6.9979956174374891</v>
      </c>
      <c r="K275" s="652">
        <v>0</v>
      </c>
      <c r="L275" s="652">
        <v>0</v>
      </c>
      <c r="M275" s="652">
        <v>-6.4748954450340372</v>
      </c>
      <c r="N275" s="652">
        <v>0</v>
      </c>
      <c r="O275" s="652">
        <v>0</v>
      </c>
      <c r="P275" s="642">
        <v>0</v>
      </c>
      <c r="Q275" s="642">
        <v>0</v>
      </c>
      <c r="R275" s="642">
        <v>0</v>
      </c>
      <c r="S275" s="650">
        <v>0.52310017240345186</v>
      </c>
      <c r="U275" s="648" t="s">
        <v>352</v>
      </c>
      <c r="V275" s="642">
        <v>0</v>
      </c>
      <c r="W275" s="642">
        <v>0</v>
      </c>
      <c r="X275" s="642">
        <v>0</v>
      </c>
      <c r="Y275" s="642">
        <v>0</v>
      </c>
      <c r="Z275" s="642">
        <v>0</v>
      </c>
      <c r="AA275" s="642">
        <v>0</v>
      </c>
      <c r="AB275" s="652">
        <v>79.198989478899776</v>
      </c>
      <c r="AC275" s="652">
        <v>0</v>
      </c>
      <c r="AD275" s="652">
        <v>0</v>
      </c>
      <c r="AE275" s="652">
        <v>-73.278865015352025</v>
      </c>
      <c r="AF275" s="652">
        <v>0</v>
      </c>
      <c r="AG275" s="652">
        <v>0</v>
      </c>
      <c r="AH275" s="642">
        <v>0</v>
      </c>
      <c r="AI275" s="642">
        <v>0</v>
      </c>
      <c r="AJ275" s="642">
        <v>0</v>
      </c>
      <c r="AK275" s="650">
        <v>5.9201244635477508</v>
      </c>
    </row>
    <row r="276" spans="3:37" ht="13.5">
      <c r="C276" s="648" t="s">
        <v>353</v>
      </c>
      <c r="D276" s="642">
        <v>0</v>
      </c>
      <c r="E276" s="642">
        <v>0</v>
      </c>
      <c r="F276" s="642">
        <v>0</v>
      </c>
      <c r="G276" s="642">
        <v>0</v>
      </c>
      <c r="H276" s="642">
        <v>0</v>
      </c>
      <c r="I276" s="642">
        <v>0</v>
      </c>
      <c r="J276" s="642">
        <v>0</v>
      </c>
      <c r="K276" s="642">
        <v>0</v>
      </c>
      <c r="L276" s="642">
        <v>0</v>
      </c>
      <c r="M276" s="642">
        <v>0</v>
      </c>
      <c r="N276" s="642">
        <v>0</v>
      </c>
      <c r="O276" s="642">
        <v>0</v>
      </c>
      <c r="P276" s="642">
        <v>0</v>
      </c>
      <c r="Q276" s="642">
        <v>0</v>
      </c>
      <c r="R276" s="642">
        <v>0</v>
      </c>
      <c r="S276" s="650">
        <v>0</v>
      </c>
      <c r="U276" s="648" t="s">
        <v>353</v>
      </c>
      <c r="V276" s="642">
        <v>0</v>
      </c>
      <c r="W276" s="642">
        <v>0</v>
      </c>
      <c r="X276" s="642">
        <v>0</v>
      </c>
      <c r="Y276" s="642">
        <v>0</v>
      </c>
      <c r="Z276" s="642">
        <v>0</v>
      </c>
      <c r="AA276" s="642">
        <v>0</v>
      </c>
      <c r="AB276" s="642">
        <v>0</v>
      </c>
      <c r="AC276" s="642">
        <v>0</v>
      </c>
      <c r="AD276" s="642">
        <v>0</v>
      </c>
      <c r="AE276" s="642">
        <v>0</v>
      </c>
      <c r="AF276" s="642">
        <v>0</v>
      </c>
      <c r="AG276" s="642">
        <v>0</v>
      </c>
      <c r="AH276" s="642">
        <v>0</v>
      </c>
      <c r="AI276" s="642">
        <v>0</v>
      </c>
      <c r="AJ276" s="642">
        <v>0</v>
      </c>
      <c r="AK276" s="650">
        <v>0</v>
      </c>
    </row>
    <row r="277" spans="3:37" ht="13.5">
      <c r="C277" s="648" t="s">
        <v>72</v>
      </c>
      <c r="D277" s="642">
        <v>0</v>
      </c>
      <c r="E277" s="642">
        <v>510.04733530503466</v>
      </c>
      <c r="F277" s="642">
        <v>-504.94686195198432</v>
      </c>
      <c r="G277" s="642">
        <v>0</v>
      </c>
      <c r="H277" s="642">
        <v>0</v>
      </c>
      <c r="I277" s="642">
        <v>0</v>
      </c>
      <c r="J277" s="642">
        <v>0</v>
      </c>
      <c r="K277" s="642">
        <v>0</v>
      </c>
      <c r="L277" s="642">
        <v>0</v>
      </c>
      <c r="M277" s="642">
        <v>0</v>
      </c>
      <c r="N277" s="642">
        <v>0</v>
      </c>
      <c r="O277" s="642">
        <v>0</v>
      </c>
      <c r="P277" s="642">
        <v>0</v>
      </c>
      <c r="Q277" s="642">
        <v>0</v>
      </c>
      <c r="R277" s="642">
        <v>0</v>
      </c>
      <c r="S277" s="650">
        <v>5.1004733530503472</v>
      </c>
      <c r="U277" s="648" t="s">
        <v>72</v>
      </c>
      <c r="V277" s="642">
        <v>0</v>
      </c>
      <c r="W277" s="642">
        <v>228.3916715709193</v>
      </c>
      <c r="X277" s="642">
        <v>-226.10775485521012</v>
      </c>
      <c r="Y277" s="642">
        <v>0</v>
      </c>
      <c r="Z277" s="642">
        <v>0</v>
      </c>
      <c r="AA277" s="642">
        <v>0</v>
      </c>
      <c r="AB277" s="642">
        <v>0</v>
      </c>
      <c r="AC277" s="642">
        <v>0</v>
      </c>
      <c r="AD277" s="642">
        <v>0</v>
      </c>
      <c r="AE277" s="642">
        <v>0</v>
      </c>
      <c r="AF277" s="642">
        <v>0</v>
      </c>
      <c r="AG277" s="642">
        <v>0</v>
      </c>
      <c r="AH277" s="642">
        <v>0</v>
      </c>
      <c r="AI277" s="642">
        <v>0</v>
      </c>
      <c r="AJ277" s="642">
        <v>0</v>
      </c>
      <c r="AK277" s="650">
        <v>2.2839167157091822</v>
      </c>
    </row>
    <row r="278" spans="3:37" ht="13.5">
      <c r="C278" s="648" t="s">
        <v>354</v>
      </c>
      <c r="D278" s="642">
        <v>0</v>
      </c>
      <c r="E278" s="642">
        <v>0</v>
      </c>
      <c r="F278" s="642">
        <v>0</v>
      </c>
      <c r="G278" s="642">
        <v>0</v>
      </c>
      <c r="H278" s="642">
        <v>0</v>
      </c>
      <c r="I278" s="642">
        <v>0</v>
      </c>
      <c r="J278" s="642">
        <v>27.710201800923624</v>
      </c>
      <c r="K278" s="642">
        <v>0</v>
      </c>
      <c r="L278" s="642">
        <v>-27.710201800923624</v>
      </c>
      <c r="M278" s="642">
        <v>0</v>
      </c>
      <c r="N278" s="642">
        <v>0</v>
      </c>
      <c r="O278" s="642">
        <v>0</v>
      </c>
      <c r="P278" s="642">
        <v>0</v>
      </c>
      <c r="Q278" s="642">
        <v>0</v>
      </c>
      <c r="R278" s="642">
        <v>0</v>
      </c>
      <c r="S278" s="650">
        <v>0</v>
      </c>
      <c r="U278" s="648" t="s">
        <v>354</v>
      </c>
      <c r="V278" s="642">
        <v>0</v>
      </c>
      <c r="W278" s="642">
        <v>0</v>
      </c>
      <c r="X278" s="642">
        <v>0</v>
      </c>
      <c r="Y278" s="642">
        <v>0</v>
      </c>
      <c r="Z278" s="642">
        <v>0</v>
      </c>
      <c r="AA278" s="642">
        <v>0</v>
      </c>
      <c r="AB278" s="642" t="e">
        <v>#VALUE!</v>
      </c>
      <c r="AC278" s="642">
        <v>0</v>
      </c>
      <c r="AD278" s="642">
        <v>-101.17003146857277</v>
      </c>
      <c r="AE278" s="642">
        <v>0</v>
      </c>
      <c r="AF278" s="642">
        <v>0</v>
      </c>
      <c r="AG278" s="642">
        <v>0</v>
      </c>
      <c r="AH278" s="642">
        <v>0</v>
      </c>
      <c r="AI278" s="642">
        <v>0</v>
      </c>
      <c r="AJ278" s="642">
        <v>0</v>
      </c>
      <c r="AK278" s="650">
        <v>-101.17003146857277</v>
      </c>
    </row>
    <row r="279" spans="3:37" ht="13.5">
      <c r="C279" s="648" t="s">
        <v>355</v>
      </c>
      <c r="D279" s="642">
        <v>0</v>
      </c>
      <c r="E279" s="642">
        <v>0</v>
      </c>
      <c r="F279" s="642">
        <v>0</v>
      </c>
      <c r="G279" s="642">
        <v>0</v>
      </c>
      <c r="H279" s="642">
        <v>0</v>
      </c>
      <c r="I279" s="642">
        <v>0</v>
      </c>
      <c r="J279" s="642">
        <v>0</v>
      </c>
      <c r="K279" s="642">
        <v>0</v>
      </c>
      <c r="L279" s="642">
        <v>0</v>
      </c>
      <c r="M279" s="642">
        <v>0</v>
      </c>
      <c r="N279" s="642">
        <v>0</v>
      </c>
      <c r="O279" s="642">
        <v>0</v>
      </c>
      <c r="P279" s="642">
        <v>0</v>
      </c>
      <c r="Q279" s="642">
        <v>0</v>
      </c>
      <c r="R279" s="642">
        <v>0</v>
      </c>
      <c r="S279" s="650">
        <v>0</v>
      </c>
      <c r="U279" s="648" t="s">
        <v>355</v>
      </c>
      <c r="V279" s="642">
        <v>0</v>
      </c>
      <c r="W279" s="642">
        <v>0</v>
      </c>
      <c r="X279" s="642">
        <v>0</v>
      </c>
      <c r="Y279" s="642">
        <v>0</v>
      </c>
      <c r="Z279" s="642">
        <v>0</v>
      </c>
      <c r="AA279" s="642">
        <v>0</v>
      </c>
      <c r="AB279" s="642">
        <v>0</v>
      </c>
      <c r="AC279" s="642">
        <v>0</v>
      </c>
      <c r="AD279" s="642">
        <v>-18.691082885283098</v>
      </c>
      <c r="AE279" s="642">
        <v>0</v>
      </c>
      <c r="AF279" s="642">
        <v>0</v>
      </c>
      <c r="AG279" s="642">
        <v>0</v>
      </c>
      <c r="AH279" s="642">
        <v>0</v>
      </c>
      <c r="AI279" s="642">
        <v>0</v>
      </c>
      <c r="AJ279" s="642">
        <v>0</v>
      </c>
      <c r="AK279" s="650">
        <v>-18.691082885283098</v>
      </c>
    </row>
    <row r="280" spans="3:37" ht="13.5">
      <c r="C280" s="648" t="s">
        <v>73</v>
      </c>
      <c r="D280" s="642">
        <v>0</v>
      </c>
      <c r="E280" s="642">
        <v>0</v>
      </c>
      <c r="F280" s="642">
        <v>0</v>
      </c>
      <c r="G280" s="642">
        <v>6.2864428714474423</v>
      </c>
      <c r="H280" s="642">
        <v>0</v>
      </c>
      <c r="I280" s="642">
        <v>0</v>
      </c>
      <c r="J280" s="642">
        <v>0</v>
      </c>
      <c r="K280" s="642">
        <v>7.2564905248031233E-2</v>
      </c>
      <c r="L280" s="642">
        <v>0</v>
      </c>
      <c r="M280" s="642">
        <v>0.12829475247851924</v>
      </c>
      <c r="N280" s="642">
        <v>0</v>
      </c>
      <c r="O280" s="642">
        <v>0</v>
      </c>
      <c r="P280" s="642">
        <v>0.77416476914506349</v>
      </c>
      <c r="Q280" s="642">
        <v>0</v>
      </c>
      <c r="R280" s="642">
        <v>-5.0795433673621861</v>
      </c>
      <c r="S280" s="650">
        <v>2.1819239309568701</v>
      </c>
      <c r="U280" s="648" t="s">
        <v>73</v>
      </c>
      <c r="V280" s="642">
        <v>0</v>
      </c>
      <c r="W280" s="642">
        <v>0</v>
      </c>
      <c r="X280" s="642">
        <v>0</v>
      </c>
      <c r="Y280" s="642">
        <v>3.7837340239051791</v>
      </c>
      <c r="Z280" s="642">
        <v>0</v>
      </c>
      <c r="AA280" s="642">
        <v>0</v>
      </c>
      <c r="AB280" s="642">
        <v>0</v>
      </c>
      <c r="AC280" s="642">
        <v>0.46597709654004676</v>
      </c>
      <c r="AD280" s="642">
        <v>0</v>
      </c>
      <c r="AE280" s="642">
        <v>2.7399453276554748</v>
      </c>
      <c r="AF280" s="642">
        <v>0</v>
      </c>
      <c r="AG280" s="642">
        <v>0</v>
      </c>
      <c r="AH280" s="642">
        <v>39.864323859285086</v>
      </c>
      <c r="AI280" s="642">
        <v>0</v>
      </c>
      <c r="AJ280" s="642">
        <v>-32.618396757803268</v>
      </c>
      <c r="AK280" s="650">
        <v>14.235583549582522</v>
      </c>
    </row>
    <row r="281" spans="3:37" ht="13.5">
      <c r="C281" s="648" t="s">
        <v>356</v>
      </c>
      <c r="D281" s="642">
        <v>28.588592812499996</v>
      </c>
      <c r="E281" s="642">
        <v>-17.673140168319453</v>
      </c>
      <c r="F281" s="642">
        <v>23.11542347254851</v>
      </c>
      <c r="G281" s="642">
        <v>0</v>
      </c>
      <c r="H281" s="642">
        <v>0</v>
      </c>
      <c r="I281" s="642">
        <v>0</v>
      </c>
      <c r="J281" s="642">
        <v>0</v>
      </c>
      <c r="K281" s="642">
        <v>0</v>
      </c>
      <c r="L281" s="642">
        <v>0</v>
      </c>
      <c r="M281" s="642">
        <v>0</v>
      </c>
      <c r="N281" s="642">
        <v>0</v>
      </c>
      <c r="O281" s="642">
        <v>0</v>
      </c>
      <c r="P281" s="642">
        <v>0</v>
      </c>
      <c r="Q281" s="642">
        <v>0</v>
      </c>
      <c r="R281" s="642">
        <v>0</v>
      </c>
      <c r="S281" s="650">
        <v>34.030876116729054</v>
      </c>
      <c r="U281" s="648" t="s">
        <v>356</v>
      </c>
      <c r="V281" s="642">
        <v>1.7459712219238281</v>
      </c>
      <c r="W281" s="642">
        <v>-7.9137714199323552</v>
      </c>
      <c r="X281" s="642">
        <v>10.35074558875537</v>
      </c>
      <c r="Y281" s="642">
        <v>0</v>
      </c>
      <c r="Z281" s="642">
        <v>0</v>
      </c>
      <c r="AA281" s="642">
        <v>0</v>
      </c>
      <c r="AB281" s="642">
        <v>0</v>
      </c>
      <c r="AC281" s="642">
        <v>0</v>
      </c>
      <c r="AD281" s="642">
        <v>0</v>
      </c>
      <c r="AE281" s="642">
        <v>0</v>
      </c>
      <c r="AF281" s="642">
        <v>0</v>
      </c>
      <c r="AG281" s="642">
        <v>0</v>
      </c>
      <c r="AH281" s="642">
        <v>0</v>
      </c>
      <c r="AI281" s="642">
        <v>0</v>
      </c>
      <c r="AJ281" s="642">
        <v>0</v>
      </c>
      <c r="AK281" s="650">
        <v>4.182945390746843</v>
      </c>
    </row>
    <row r="282" spans="3:37" ht="13.5">
      <c r="C282" s="648" t="s">
        <v>75</v>
      </c>
      <c r="D282" s="642">
        <v>11.11778609375</v>
      </c>
      <c r="E282" s="642">
        <v>0</v>
      </c>
      <c r="F282" s="642">
        <v>17.34160940037118</v>
      </c>
      <c r="G282" s="642">
        <v>4.9484792471294465</v>
      </c>
      <c r="H282" s="642">
        <v>0</v>
      </c>
      <c r="I282" s="642">
        <v>0</v>
      </c>
      <c r="J282" s="642">
        <v>0</v>
      </c>
      <c r="K282" s="642">
        <v>0</v>
      </c>
      <c r="L282" s="642">
        <v>0</v>
      </c>
      <c r="M282" s="642">
        <v>0.10098937239039688</v>
      </c>
      <c r="N282" s="642">
        <v>0</v>
      </c>
      <c r="O282" s="642">
        <v>0</v>
      </c>
      <c r="P282" s="642">
        <v>29.08691491128284</v>
      </c>
      <c r="Q282" s="642">
        <v>0</v>
      </c>
      <c r="R282" s="642">
        <v>0</v>
      </c>
      <c r="S282" s="650">
        <v>62.595779024923864</v>
      </c>
      <c r="U282" s="648" t="s">
        <v>75</v>
      </c>
      <c r="V282" s="642">
        <v>2.938742431640625</v>
      </c>
      <c r="W282" s="642">
        <v>0</v>
      </c>
      <c r="X282" s="642">
        <v>17.34160940037118</v>
      </c>
      <c r="Y282" s="642">
        <v>2.9286917993215091</v>
      </c>
      <c r="Z282" s="642">
        <v>0</v>
      </c>
      <c r="AA282" s="642">
        <v>0</v>
      </c>
      <c r="AB282" s="642">
        <v>0</v>
      </c>
      <c r="AC282" s="642">
        <v>0</v>
      </c>
      <c r="AD282" s="642">
        <v>0</v>
      </c>
      <c r="AE282" s="642">
        <v>2.1207768201983344</v>
      </c>
      <c r="AF282" s="642">
        <v>0</v>
      </c>
      <c r="AG282" s="642">
        <v>0</v>
      </c>
      <c r="AH282" s="642">
        <v>36.505051274919204</v>
      </c>
      <c r="AI282" s="642">
        <v>0</v>
      </c>
      <c r="AJ282" s="642">
        <v>0</v>
      </c>
      <c r="AK282" s="650">
        <v>61.834871726450849</v>
      </c>
    </row>
    <row r="283" spans="3:37" ht="13.5">
      <c r="C283" s="648" t="s">
        <v>76</v>
      </c>
      <c r="D283" s="642">
        <v>0</v>
      </c>
      <c r="E283" s="642">
        <v>0</v>
      </c>
      <c r="F283" s="642">
        <v>0</v>
      </c>
      <c r="G283" s="642">
        <v>3.7620934008695794</v>
      </c>
      <c r="H283" s="642">
        <v>0</v>
      </c>
      <c r="I283" s="642">
        <v>0</v>
      </c>
      <c r="J283" s="642">
        <v>0</v>
      </c>
      <c r="K283" s="642">
        <v>0</v>
      </c>
      <c r="L283" s="642">
        <v>0</v>
      </c>
      <c r="M283" s="642">
        <v>7.6777416344277136E-2</v>
      </c>
      <c r="N283" s="642">
        <v>0</v>
      </c>
      <c r="O283" s="642">
        <v>0</v>
      </c>
      <c r="P283" s="642">
        <v>45.374638558517056</v>
      </c>
      <c r="Q283" s="642">
        <v>2.9442994019327013</v>
      </c>
      <c r="R283" s="642">
        <v>0</v>
      </c>
      <c r="S283" s="650">
        <v>52.157808777663611</v>
      </c>
      <c r="U283" s="648" t="s">
        <v>76</v>
      </c>
      <c r="V283" s="642">
        <v>0</v>
      </c>
      <c r="W283" s="642">
        <v>0</v>
      </c>
      <c r="X283" s="642">
        <v>0</v>
      </c>
      <c r="Y283" s="642">
        <v>1.1999362424874132</v>
      </c>
      <c r="Z283" s="642">
        <v>0</v>
      </c>
      <c r="AA283" s="642">
        <v>0</v>
      </c>
      <c r="AB283" s="642">
        <v>0</v>
      </c>
      <c r="AC283" s="642">
        <v>0</v>
      </c>
      <c r="AD283" s="642">
        <v>0</v>
      </c>
      <c r="AE283" s="642">
        <v>0.86891934800812698</v>
      </c>
      <c r="AF283" s="642">
        <v>0</v>
      </c>
      <c r="AG283" s="642">
        <v>0</v>
      </c>
      <c r="AH283" s="642">
        <v>48.340685132761017</v>
      </c>
      <c r="AI283" s="642">
        <v>5.7839036819230412</v>
      </c>
      <c r="AJ283" s="642">
        <v>0</v>
      </c>
      <c r="AK283" s="650">
        <v>56.193444405179591</v>
      </c>
    </row>
    <row r="284" spans="3:37" ht="13.5">
      <c r="C284" s="646" t="s">
        <v>77</v>
      </c>
      <c r="D284" s="647">
        <v>42.533164547275248</v>
      </c>
      <c r="E284" s="647">
        <v>492.37419513671523</v>
      </c>
      <c r="F284" s="647">
        <v>-456.72729975813655</v>
      </c>
      <c r="G284" s="647">
        <v>46.717511888597819</v>
      </c>
      <c r="H284" s="647">
        <v>889.54545454545473</v>
      </c>
      <c r="I284" s="647">
        <v>290.38619522472999</v>
      </c>
      <c r="J284" s="647">
        <v>76.404091824403224</v>
      </c>
      <c r="K284" s="647">
        <v>18.74651114985376</v>
      </c>
      <c r="L284" s="647">
        <v>-24.540793928849673</v>
      </c>
      <c r="M284" s="647">
        <v>-5.3808072382237846</v>
      </c>
      <c r="N284" s="647">
        <v>0</v>
      </c>
      <c r="O284" s="647">
        <v>9.0812335132369491</v>
      </c>
      <c r="P284" s="647">
        <v>-540.17785546008065</v>
      </c>
      <c r="Q284" s="647">
        <v>-34.989958988562719</v>
      </c>
      <c r="R284" s="647">
        <v>-5.0795433673621861</v>
      </c>
      <c r="S284" s="647">
        <v>798.89209908905127</v>
      </c>
      <c r="U284" s="646" t="s">
        <v>77</v>
      </c>
      <c r="V284" s="647">
        <v>5.3110285590231427</v>
      </c>
      <c r="W284" s="647">
        <v>220.47790015098695</v>
      </c>
      <c r="X284" s="647">
        <v>-194.51650690879191</v>
      </c>
      <c r="Y284" s="647">
        <v>19.805187226334116</v>
      </c>
      <c r="Z284" s="647">
        <v>873.030303030303</v>
      </c>
      <c r="AA284" s="647">
        <v>337.06619522473</v>
      </c>
      <c r="AB284" s="647">
        <v>131.18933095255588</v>
      </c>
      <c r="AC284" s="647">
        <v>32.128382455120146</v>
      </c>
      <c r="AD284" s="647">
        <v>-116.69170648178192</v>
      </c>
      <c r="AE284" s="647">
        <v>-58.796508116684997</v>
      </c>
      <c r="AF284" s="647">
        <v>0</v>
      </c>
      <c r="AG284" s="647">
        <v>18.805626470956682</v>
      </c>
      <c r="AH284" s="647">
        <v>-524.40351343206009</v>
      </c>
      <c r="AI284" s="647">
        <v>-68.794771845590574</v>
      </c>
      <c r="AJ284" s="647">
        <v>-28.168396757803269</v>
      </c>
      <c r="AK284" s="647">
        <v>646.44255052729716</v>
      </c>
    </row>
    <row r="285" spans="3:37" ht="13">
      <c r="C285" s="636"/>
      <c r="D285" s="636">
        <v>0</v>
      </c>
      <c r="E285" s="636">
        <v>0</v>
      </c>
      <c r="F285" s="636">
        <v>0</v>
      </c>
      <c r="G285" s="636">
        <v>0</v>
      </c>
      <c r="H285" s="636">
        <v>0</v>
      </c>
      <c r="I285" s="636">
        <v>0</v>
      </c>
      <c r="J285" s="636">
        <v>0</v>
      </c>
      <c r="K285" s="636">
        <v>0</v>
      </c>
      <c r="L285" s="636">
        <v>0</v>
      </c>
      <c r="M285" s="636">
        <v>0</v>
      </c>
      <c r="N285" s="636">
        <v>0</v>
      </c>
      <c r="O285" s="636">
        <v>0</v>
      </c>
      <c r="P285" s="636">
        <v>0</v>
      </c>
      <c r="Q285" s="636">
        <v>0</v>
      </c>
      <c r="R285" s="636">
        <v>0</v>
      </c>
      <c r="S285" s="636">
        <v>0</v>
      </c>
      <c r="U285" s="636"/>
      <c r="V285" s="636">
        <v>0</v>
      </c>
      <c r="W285" s="636">
        <v>0</v>
      </c>
      <c r="X285" s="636">
        <v>0</v>
      </c>
      <c r="Y285" s="636">
        <v>0</v>
      </c>
      <c r="Z285" s="636">
        <v>0</v>
      </c>
      <c r="AA285" s="636">
        <v>0</v>
      </c>
      <c r="AB285" s="636">
        <v>0</v>
      </c>
      <c r="AC285" s="636">
        <v>0</v>
      </c>
      <c r="AD285" s="636">
        <v>0</v>
      </c>
      <c r="AE285" s="636">
        <v>0</v>
      </c>
      <c r="AF285" s="636">
        <v>0</v>
      </c>
      <c r="AG285" s="636">
        <v>0</v>
      </c>
      <c r="AH285" s="636">
        <v>0</v>
      </c>
      <c r="AI285" s="636">
        <v>0</v>
      </c>
      <c r="AJ285" s="636">
        <v>0</v>
      </c>
      <c r="AK285" s="636">
        <v>0</v>
      </c>
    </row>
    <row r="286" spans="3:37" ht="13.5">
      <c r="C286" s="648" t="s">
        <v>78</v>
      </c>
      <c r="D286" s="642">
        <v>4.9901668745901624</v>
      </c>
      <c r="E286" s="642">
        <v>0</v>
      </c>
      <c r="F286" s="642">
        <v>21.091530324656198</v>
      </c>
      <c r="G286" s="642">
        <v>96.151700548391091</v>
      </c>
      <c r="H286" s="642">
        <v>0</v>
      </c>
      <c r="I286" s="642">
        <v>0</v>
      </c>
      <c r="J286" s="642">
        <v>21.387862541024852</v>
      </c>
      <c r="K286" s="642">
        <v>1.7476152779545906</v>
      </c>
      <c r="L286" s="642">
        <v>0.94211085156249985</v>
      </c>
      <c r="M286" s="642">
        <v>1.9807569399951515</v>
      </c>
      <c r="N286" s="642">
        <v>0</v>
      </c>
      <c r="O286" s="642">
        <v>3.7669078281368638E-4</v>
      </c>
      <c r="P286" s="642">
        <v>112.73505933145552</v>
      </c>
      <c r="Q286" s="642">
        <v>16.12568637832603</v>
      </c>
      <c r="R286" s="642">
        <v>0.27920700073242188</v>
      </c>
      <c r="S286" s="650">
        <v>277.43207275947128</v>
      </c>
      <c r="U286" s="648" t="s">
        <v>78</v>
      </c>
      <c r="V286" s="642">
        <v>1.2150050536449819</v>
      </c>
      <c r="W286" s="642">
        <v>0</v>
      </c>
      <c r="X286" s="642">
        <v>6.016341039248414</v>
      </c>
      <c r="Y286" s="642">
        <v>39.709503776891196</v>
      </c>
      <c r="Z286" s="642">
        <v>0</v>
      </c>
      <c r="AA286" s="642">
        <v>0</v>
      </c>
      <c r="AB286" s="642">
        <v>15.202189846170386</v>
      </c>
      <c r="AC286" s="642">
        <v>4.9835801019927617</v>
      </c>
      <c r="AD286" s="642">
        <v>5.6103854980468748</v>
      </c>
      <c r="AE286" s="642">
        <v>28.773635244370734</v>
      </c>
      <c r="AF286" s="642">
        <v>0</v>
      </c>
      <c r="AG286" s="642">
        <v>3.7669078281368638E-4</v>
      </c>
      <c r="AH286" s="642">
        <v>146.07653830614987</v>
      </c>
      <c r="AI286" s="642">
        <v>23.647869298816833</v>
      </c>
      <c r="AJ286" s="642">
        <v>7.4826708984375001</v>
      </c>
      <c r="AK286" s="650">
        <v>278.71809575455239</v>
      </c>
    </row>
    <row r="287" spans="3:37" ht="13.5">
      <c r="C287" s="648" t="s">
        <v>79</v>
      </c>
      <c r="D287" s="642">
        <v>0</v>
      </c>
      <c r="E287" s="642">
        <v>0</v>
      </c>
      <c r="F287" s="642">
        <v>235.12748928743429</v>
      </c>
      <c r="G287" s="642">
        <v>31.099379517950805</v>
      </c>
      <c r="H287" s="642">
        <v>0</v>
      </c>
      <c r="I287" s="642">
        <v>0</v>
      </c>
      <c r="J287" s="642">
        <v>0</v>
      </c>
      <c r="K287" s="642">
        <v>0</v>
      </c>
      <c r="L287" s="642">
        <v>22.716725008445675</v>
      </c>
      <c r="M287" s="642">
        <v>0.63468121465205729</v>
      </c>
      <c r="N287" s="642">
        <v>0</v>
      </c>
      <c r="O287" s="642">
        <v>0</v>
      </c>
      <c r="P287" s="642">
        <v>68.565930798083699</v>
      </c>
      <c r="Q287" s="642">
        <v>0</v>
      </c>
      <c r="R287" s="642">
        <v>2.3844112104980786</v>
      </c>
      <c r="S287" s="650">
        <v>360.52861703706463</v>
      </c>
      <c r="U287" s="648" t="s">
        <v>79</v>
      </c>
      <c r="V287" s="642">
        <v>0</v>
      </c>
      <c r="W287" s="642">
        <v>0</v>
      </c>
      <c r="X287" s="642">
        <v>35.128929389637456</v>
      </c>
      <c r="Y287" s="642">
        <v>15.137064293513523</v>
      </c>
      <c r="Z287" s="642">
        <v>0</v>
      </c>
      <c r="AA287" s="642">
        <v>0</v>
      </c>
      <c r="AB287" s="642">
        <v>0</v>
      </c>
      <c r="AC287" s="642">
        <v>0</v>
      </c>
      <c r="AD287" s="642">
        <v>37.187580566982817</v>
      </c>
      <c r="AE287" s="642">
        <v>11.036020535724948</v>
      </c>
      <c r="AF287" s="642">
        <v>0</v>
      </c>
      <c r="AG287" s="642">
        <v>0</v>
      </c>
      <c r="AH287" s="642">
        <v>89.614524523742418</v>
      </c>
      <c r="AI287" s="642">
        <v>0</v>
      </c>
      <c r="AJ287" s="642">
        <v>5.6351763144479268</v>
      </c>
      <c r="AK287" s="650">
        <v>193.73929562404911</v>
      </c>
    </row>
    <row r="288" spans="3:37" ht="13.5">
      <c r="C288" s="648" t="s">
        <v>80</v>
      </c>
      <c r="D288" s="642">
        <v>0</v>
      </c>
      <c r="E288" s="642">
        <v>0</v>
      </c>
      <c r="F288" s="642">
        <v>13.724834206032371</v>
      </c>
      <c r="G288" s="642">
        <v>79.131512261322683</v>
      </c>
      <c r="H288" s="642">
        <v>0</v>
      </c>
      <c r="I288" s="642">
        <v>0</v>
      </c>
      <c r="J288" s="642">
        <v>87.797108848078949</v>
      </c>
      <c r="K288" s="642">
        <v>0</v>
      </c>
      <c r="L288" s="642">
        <v>0</v>
      </c>
      <c r="M288" s="642">
        <v>1.6149288216596467</v>
      </c>
      <c r="N288" s="642">
        <v>57.41835645436403</v>
      </c>
      <c r="O288" s="642">
        <v>2.0533643919476137</v>
      </c>
      <c r="P288" s="642">
        <v>189.45880926265392</v>
      </c>
      <c r="Q288" s="642">
        <v>15.417775800116472</v>
      </c>
      <c r="R288" s="642">
        <v>0</v>
      </c>
      <c r="S288" s="650">
        <v>446.61669004617568</v>
      </c>
      <c r="U288" s="648" t="s">
        <v>80</v>
      </c>
      <c r="V288" s="642">
        <v>0</v>
      </c>
      <c r="W288" s="642">
        <v>0</v>
      </c>
      <c r="X288" s="642">
        <v>1.0209129157283405</v>
      </c>
      <c r="Y288" s="642">
        <v>12.832027751754538</v>
      </c>
      <c r="Z288" s="642">
        <v>0</v>
      </c>
      <c r="AA288" s="642">
        <v>0</v>
      </c>
      <c r="AB288" s="642">
        <v>53.270322236782164</v>
      </c>
      <c r="AC288" s="642">
        <v>0</v>
      </c>
      <c r="AD288" s="642">
        <v>0</v>
      </c>
      <c r="AE288" s="642">
        <v>9.2921580271325972</v>
      </c>
      <c r="AF288" s="642">
        <v>88.292344554902868</v>
      </c>
      <c r="AG288" s="642">
        <v>3.9079432862869607</v>
      </c>
      <c r="AH288" s="642">
        <v>146.88666477766319</v>
      </c>
      <c r="AI288" s="642">
        <v>32.427264426374379</v>
      </c>
      <c r="AJ288" s="642">
        <v>0</v>
      </c>
      <c r="AK288" s="650">
        <v>347.92963797662509</v>
      </c>
    </row>
    <row r="289" spans="3:37" ht="13.5">
      <c r="C289" s="648" t="s">
        <v>81</v>
      </c>
      <c r="D289" s="642">
        <v>0</v>
      </c>
      <c r="E289" s="642">
        <v>0</v>
      </c>
      <c r="F289" s="642">
        <v>3.9083972405176572</v>
      </c>
      <c r="G289" s="642">
        <v>63.089348266301698</v>
      </c>
      <c r="H289" s="642">
        <v>0</v>
      </c>
      <c r="I289" s="642">
        <v>0</v>
      </c>
      <c r="J289" s="642">
        <v>3.1804221278939271</v>
      </c>
      <c r="K289" s="642">
        <v>2.5219694682056978E-2</v>
      </c>
      <c r="L289" s="642">
        <v>0</v>
      </c>
      <c r="M289" s="642">
        <v>1.287537719720443</v>
      </c>
      <c r="N289" s="642">
        <v>8.4803330998149011</v>
      </c>
      <c r="O289" s="642">
        <v>0.72631919579288284</v>
      </c>
      <c r="P289" s="642">
        <v>140.69299872549993</v>
      </c>
      <c r="Q289" s="642">
        <v>3.4464968101202174</v>
      </c>
      <c r="R289" s="642">
        <v>0</v>
      </c>
      <c r="S289" s="650">
        <v>224.8370728803437</v>
      </c>
      <c r="U289" s="648" t="s">
        <v>81</v>
      </c>
      <c r="V289" s="642">
        <v>0</v>
      </c>
      <c r="W289" s="642">
        <v>0</v>
      </c>
      <c r="X289" s="642">
        <v>1.4952361732398858</v>
      </c>
      <c r="Y289" s="642">
        <v>10.610341518374359</v>
      </c>
      <c r="Z289" s="642">
        <v>0</v>
      </c>
      <c r="AA289" s="642">
        <v>0</v>
      </c>
      <c r="AB289" s="642">
        <v>6.9978977014468793</v>
      </c>
      <c r="AC289" s="642">
        <v>2.5219694682056978E-2</v>
      </c>
      <c r="AD289" s="642">
        <v>0</v>
      </c>
      <c r="AE289" s="642">
        <v>7.6833507546848816</v>
      </c>
      <c r="AF289" s="642">
        <v>14.732239480945108</v>
      </c>
      <c r="AG289" s="642">
        <v>1.5525732622869153</v>
      </c>
      <c r="AH289" s="642">
        <v>115.23036268987886</v>
      </c>
      <c r="AI289" s="642">
        <v>12.719638120399363</v>
      </c>
      <c r="AJ289" s="642">
        <v>0</v>
      </c>
      <c r="AK289" s="650">
        <v>171.04685939593833</v>
      </c>
    </row>
    <row r="290" spans="3:37" ht="13.5">
      <c r="C290" s="648" t="s">
        <v>82</v>
      </c>
      <c r="D290" s="642">
        <v>0</v>
      </c>
      <c r="E290" s="642">
        <v>0</v>
      </c>
      <c r="F290" s="642">
        <v>28.471648080197657</v>
      </c>
      <c r="G290" s="642">
        <v>1.0804243241036344</v>
      </c>
      <c r="H290" s="642">
        <v>0</v>
      </c>
      <c r="I290" s="642">
        <v>0</v>
      </c>
      <c r="J290" s="642">
        <v>4.3026845658747828</v>
      </c>
      <c r="K290" s="642">
        <v>0</v>
      </c>
      <c r="L290" s="642">
        <v>3.1299020072385213</v>
      </c>
      <c r="M290" s="642">
        <v>2.2049476002114991E-2</v>
      </c>
      <c r="N290" s="642">
        <v>0</v>
      </c>
      <c r="O290" s="642">
        <v>6.8830690871769351E-2</v>
      </c>
      <c r="P290" s="642">
        <v>5.9739095578527968</v>
      </c>
      <c r="Q290" s="642">
        <v>0</v>
      </c>
      <c r="R290" s="642">
        <v>0</v>
      </c>
      <c r="S290" s="650">
        <v>43.049448702141277</v>
      </c>
      <c r="U290" s="648" t="s">
        <v>82</v>
      </c>
      <c r="V290" s="642">
        <v>0</v>
      </c>
      <c r="W290" s="642">
        <v>0</v>
      </c>
      <c r="X290" s="642">
        <v>5.8604701162543282</v>
      </c>
      <c r="Y290" s="642">
        <v>0.77721189491485598</v>
      </c>
      <c r="Z290" s="642">
        <v>0</v>
      </c>
      <c r="AA290" s="642">
        <v>0</v>
      </c>
      <c r="AB290" s="642">
        <v>4.3026845658747828</v>
      </c>
      <c r="AC290" s="642">
        <v>0</v>
      </c>
      <c r="AD290" s="642">
        <v>30.776202948565647</v>
      </c>
      <c r="AE290" s="642">
        <v>0.56280861355903367</v>
      </c>
      <c r="AF290" s="642">
        <v>0</v>
      </c>
      <c r="AG290" s="642">
        <v>1.5666563685107562</v>
      </c>
      <c r="AH290" s="642">
        <v>6.0858228188406986</v>
      </c>
      <c r="AI290" s="642">
        <v>0</v>
      </c>
      <c r="AJ290" s="642">
        <v>0.36062656029870238</v>
      </c>
      <c r="AK290" s="650">
        <v>50.292483886818808</v>
      </c>
    </row>
    <row r="291" spans="3:37" ht="13.5">
      <c r="C291" s="648" t="s">
        <v>357</v>
      </c>
      <c r="D291" s="642">
        <v>0</v>
      </c>
      <c r="E291" s="642">
        <v>0</v>
      </c>
      <c r="F291" s="642">
        <v>0</v>
      </c>
      <c r="G291" s="642">
        <v>0</v>
      </c>
      <c r="H291" s="642">
        <v>0</v>
      </c>
      <c r="I291" s="642">
        <v>0</v>
      </c>
      <c r="J291" s="642">
        <v>0</v>
      </c>
      <c r="K291" s="642">
        <v>0</v>
      </c>
      <c r="L291" s="642">
        <v>0</v>
      </c>
      <c r="M291" s="642">
        <v>0</v>
      </c>
      <c r="N291" s="642">
        <v>0</v>
      </c>
      <c r="O291" s="642">
        <v>0</v>
      </c>
      <c r="P291" s="642">
        <v>0.36</v>
      </c>
      <c r="Q291" s="642">
        <v>0</v>
      </c>
      <c r="R291" s="642">
        <v>0</v>
      </c>
      <c r="S291" s="650">
        <v>0.36</v>
      </c>
      <c r="U291" s="648" t="s">
        <v>357</v>
      </c>
      <c r="V291" s="642">
        <v>0</v>
      </c>
      <c r="W291" s="642">
        <v>0</v>
      </c>
      <c r="X291" s="642">
        <v>0</v>
      </c>
      <c r="Y291" s="642">
        <v>0</v>
      </c>
      <c r="Z291" s="642">
        <v>0</v>
      </c>
      <c r="AA291" s="642">
        <v>0</v>
      </c>
      <c r="AB291" s="642">
        <v>0</v>
      </c>
      <c r="AC291" s="642">
        <v>0</v>
      </c>
      <c r="AD291" s="642">
        <v>0</v>
      </c>
      <c r="AE291" s="642">
        <v>0</v>
      </c>
      <c r="AF291" s="642">
        <v>0</v>
      </c>
      <c r="AG291" s="642">
        <v>0</v>
      </c>
      <c r="AH291" s="642">
        <v>3.12</v>
      </c>
      <c r="AI291" s="642">
        <v>0</v>
      </c>
      <c r="AJ291" s="642">
        <v>0</v>
      </c>
      <c r="AK291" s="650">
        <v>3.12</v>
      </c>
    </row>
    <row r="292" spans="3:37" ht="13.5">
      <c r="C292" s="646" t="s">
        <v>83</v>
      </c>
      <c r="D292" s="647">
        <v>4.9901668745901624</v>
      </c>
      <c r="E292" s="647">
        <v>0</v>
      </c>
      <c r="F292" s="647">
        <v>302.32389913883821</v>
      </c>
      <c r="G292" s="647">
        <v>270.55236491806994</v>
      </c>
      <c r="H292" s="647">
        <v>0</v>
      </c>
      <c r="I292" s="647">
        <v>0</v>
      </c>
      <c r="J292" s="647">
        <v>116.66807808287251</v>
      </c>
      <c r="K292" s="647">
        <v>1.7728349726366477</v>
      </c>
      <c r="L292" s="647">
        <v>26.788737867246695</v>
      </c>
      <c r="M292" s="647">
        <v>5.5399541720294136</v>
      </c>
      <c r="N292" s="647">
        <v>65.898689554178929</v>
      </c>
      <c r="O292" s="647">
        <v>2.8488909693950797</v>
      </c>
      <c r="P292" s="647">
        <v>517.78670767554593</v>
      </c>
      <c r="Q292" s="647">
        <v>34.989958988562719</v>
      </c>
      <c r="R292" s="647">
        <v>2.6636182112305002</v>
      </c>
      <c r="S292" s="647">
        <v>1352.8239014251965</v>
      </c>
      <c r="U292" s="646" t="s">
        <v>83</v>
      </c>
      <c r="V292" s="647">
        <v>1.2150050536449819</v>
      </c>
      <c r="W292" s="647">
        <v>0</v>
      </c>
      <c r="X292" s="647">
        <v>49.521889634108419</v>
      </c>
      <c r="Y292" s="647">
        <v>79.066149235448464</v>
      </c>
      <c r="Z292" s="647">
        <v>0</v>
      </c>
      <c r="AA292" s="647">
        <v>0</v>
      </c>
      <c r="AB292" s="647">
        <v>79.773094350274206</v>
      </c>
      <c r="AC292" s="647">
        <v>5.0087997966748192</v>
      </c>
      <c r="AD292" s="647">
        <v>73.574169013595338</v>
      </c>
      <c r="AE292" s="647">
        <v>57.347973175472191</v>
      </c>
      <c r="AF292" s="647">
        <v>103.02458403584798</v>
      </c>
      <c r="AG292" s="647">
        <v>7.0275496078674458</v>
      </c>
      <c r="AH292" s="647">
        <v>507.01391311627498</v>
      </c>
      <c r="AI292" s="647">
        <v>68.794771845590574</v>
      </c>
      <c r="AJ292" s="647">
        <v>13.478473773184128</v>
      </c>
      <c r="AK292" s="647">
        <v>1044.8463726379837</v>
      </c>
    </row>
    <row r="293" spans="3:37" ht="13.5">
      <c r="C293" s="641" t="s">
        <v>84</v>
      </c>
      <c r="D293" s="642">
        <v>0</v>
      </c>
      <c r="E293" s="642">
        <v>0</v>
      </c>
      <c r="F293" s="642">
        <v>106.83242416715484</v>
      </c>
      <c r="G293" s="642">
        <v>11.6186457489655</v>
      </c>
      <c r="H293" s="642">
        <v>0</v>
      </c>
      <c r="I293" s="642">
        <v>0</v>
      </c>
      <c r="J293" s="642">
        <v>0</v>
      </c>
      <c r="K293" s="642">
        <v>0</v>
      </c>
      <c r="L293" s="642">
        <v>0</v>
      </c>
      <c r="M293" s="642">
        <v>0</v>
      </c>
      <c r="N293" s="642">
        <v>0</v>
      </c>
      <c r="O293" s="642">
        <v>0</v>
      </c>
      <c r="P293" s="642">
        <v>0</v>
      </c>
      <c r="Q293" s="642">
        <v>0</v>
      </c>
      <c r="R293" s="642">
        <v>2.4159251561316859</v>
      </c>
      <c r="S293" s="650">
        <v>120.86699507225204</v>
      </c>
      <c r="U293" s="641" t="s">
        <v>84</v>
      </c>
      <c r="V293" s="642">
        <v>0</v>
      </c>
      <c r="W293" s="642">
        <v>0</v>
      </c>
      <c r="X293" s="642">
        <v>75.791608178670685</v>
      </c>
      <c r="Y293" s="642">
        <v>0.94004440148578539</v>
      </c>
      <c r="Z293" s="642">
        <v>0</v>
      </c>
      <c r="AA293" s="642">
        <v>0</v>
      </c>
      <c r="AB293" s="642">
        <v>0</v>
      </c>
      <c r="AC293" s="642">
        <v>0</v>
      </c>
      <c r="AD293" s="642">
        <v>21.99170920776367</v>
      </c>
      <c r="AE293" s="642">
        <v>0</v>
      </c>
      <c r="AF293" s="642">
        <v>0</v>
      </c>
      <c r="AG293" s="642">
        <v>0</v>
      </c>
      <c r="AH293" s="642">
        <v>0</v>
      </c>
      <c r="AI293" s="642">
        <v>0</v>
      </c>
      <c r="AJ293" s="642">
        <v>14.689922984619141</v>
      </c>
      <c r="AK293" s="650">
        <v>113.41328477253928</v>
      </c>
    </row>
    <row r="294" spans="3:37" ht="13.5">
      <c r="C294" s="646" t="s">
        <v>85</v>
      </c>
      <c r="D294" s="647">
        <v>4.9901668745901624</v>
      </c>
      <c r="E294" s="647">
        <v>0</v>
      </c>
      <c r="F294" s="647">
        <v>409.15632330599311</v>
      </c>
      <c r="G294" s="647">
        <v>282.17101066703543</v>
      </c>
      <c r="H294" s="647">
        <v>0</v>
      </c>
      <c r="I294" s="647">
        <v>0</v>
      </c>
      <c r="J294" s="647">
        <v>116.66807808287251</v>
      </c>
      <c r="K294" s="647">
        <v>1.7728349726366477</v>
      </c>
      <c r="L294" s="647">
        <v>26.788737867246695</v>
      </c>
      <c r="M294" s="647">
        <v>5.5399541720294136</v>
      </c>
      <c r="N294" s="647">
        <v>65.898689554178929</v>
      </c>
      <c r="O294" s="647">
        <v>2.8488909693950797</v>
      </c>
      <c r="P294" s="647">
        <v>517.78670767554593</v>
      </c>
      <c r="Q294" s="647">
        <v>34.989958988562719</v>
      </c>
      <c r="R294" s="647">
        <v>5.0795433673621861</v>
      </c>
      <c r="S294" s="647">
        <v>1473.6908964974484</v>
      </c>
      <c r="U294" s="646" t="s">
        <v>85</v>
      </c>
      <c r="V294" s="647">
        <v>1.2150050536449819</v>
      </c>
      <c r="W294" s="647">
        <v>0</v>
      </c>
      <c r="X294" s="647">
        <v>125.31349781277912</v>
      </c>
      <c r="Y294" s="647">
        <v>80.006193636934256</v>
      </c>
      <c r="Z294" s="647">
        <v>0</v>
      </c>
      <c r="AA294" s="647">
        <v>0</v>
      </c>
      <c r="AB294" s="647">
        <v>79.773094350274206</v>
      </c>
      <c r="AC294" s="647">
        <v>5.0087997966748192</v>
      </c>
      <c r="AD294" s="647">
        <v>95.565878221359014</v>
      </c>
      <c r="AE294" s="647">
        <v>57.347973175472191</v>
      </c>
      <c r="AF294" s="647">
        <v>103.02458403584798</v>
      </c>
      <c r="AG294" s="647">
        <v>7.0275496078674458</v>
      </c>
      <c r="AH294" s="647">
        <v>507.01391311627498</v>
      </c>
      <c r="AI294" s="647">
        <v>68.794771845590574</v>
      </c>
      <c r="AJ294" s="647">
        <v>28.168396757803269</v>
      </c>
      <c r="AK294" s="647">
        <v>1158.2596574105228</v>
      </c>
    </row>
    <row r="295" spans="3:37" ht="13">
      <c r="C295" s="636"/>
      <c r="D295" s="636"/>
      <c r="E295" s="636"/>
      <c r="F295" s="636"/>
      <c r="G295" s="636"/>
      <c r="H295" s="636"/>
      <c r="I295" s="636"/>
      <c r="J295" s="636"/>
      <c r="K295" s="636"/>
      <c r="L295" s="636"/>
      <c r="M295" s="636"/>
      <c r="N295" s="636"/>
      <c r="O295" s="636"/>
      <c r="P295" s="636"/>
      <c r="Q295" s="636"/>
      <c r="R295" s="636"/>
      <c r="S295" s="636"/>
      <c r="U295" s="636"/>
      <c r="V295" s="636"/>
      <c r="W295" s="636"/>
      <c r="X295" s="636"/>
      <c r="Y295" s="636"/>
      <c r="Z295" s="636"/>
      <c r="AA295" s="636"/>
      <c r="AB295" s="636"/>
      <c r="AC295" s="636"/>
      <c r="AD295" s="636"/>
      <c r="AE295" s="636"/>
      <c r="AF295" s="636"/>
      <c r="AG295" s="636"/>
      <c r="AH295" s="636"/>
      <c r="AI295" s="636"/>
      <c r="AJ295" s="636"/>
      <c r="AK295" s="636"/>
    </row>
    <row r="296" spans="3:37" ht="22.5">
      <c r="C296" s="699" t="s">
        <v>364</v>
      </c>
      <c r="D296" s="699"/>
      <c r="E296" s="699"/>
      <c r="F296" s="699"/>
      <c r="G296" s="699"/>
      <c r="H296" s="699"/>
      <c r="I296" s="699"/>
      <c r="J296" s="699"/>
      <c r="K296" s="699"/>
      <c r="L296" s="699"/>
      <c r="M296" s="699"/>
      <c r="N296" s="699"/>
      <c r="O296" s="699"/>
      <c r="P296" s="699"/>
      <c r="Q296" s="699"/>
      <c r="R296" s="699"/>
      <c r="S296" s="699"/>
      <c r="U296" s="699" t="s">
        <v>364</v>
      </c>
      <c r="V296" s="699"/>
      <c r="W296" s="699"/>
      <c r="X296" s="699"/>
      <c r="Y296" s="699"/>
      <c r="Z296" s="699"/>
      <c r="AA296" s="699"/>
      <c r="AB296" s="699"/>
      <c r="AC296" s="699"/>
      <c r="AD296" s="699"/>
      <c r="AE296" s="699"/>
      <c r="AF296" s="699"/>
      <c r="AG296" s="699"/>
      <c r="AH296" s="699"/>
      <c r="AI296" s="699"/>
      <c r="AJ296" s="699"/>
      <c r="AK296" s="699"/>
    </row>
    <row r="297" spans="3:37" ht="13">
      <c r="C297" s="636"/>
      <c r="D297" s="636"/>
      <c r="E297" s="636"/>
      <c r="F297" s="636"/>
      <c r="G297" s="636"/>
      <c r="H297" s="636"/>
      <c r="I297" s="636"/>
      <c r="J297" s="636"/>
      <c r="K297" s="636"/>
      <c r="L297" s="636"/>
      <c r="M297" s="636"/>
      <c r="N297" s="636"/>
      <c r="O297" s="636"/>
      <c r="P297" s="636"/>
      <c r="Q297" s="636"/>
      <c r="R297" s="636"/>
      <c r="S297" s="636"/>
      <c r="U297" s="636"/>
      <c r="V297" s="636"/>
      <c r="W297" s="636"/>
      <c r="X297" s="636"/>
      <c r="Y297" s="636"/>
      <c r="Z297" s="636"/>
      <c r="AA297" s="636"/>
      <c r="AB297" s="636"/>
      <c r="AC297" s="636"/>
      <c r="AD297" s="636"/>
      <c r="AE297" s="636"/>
      <c r="AF297" s="636"/>
      <c r="AG297" s="636"/>
      <c r="AH297" s="636"/>
      <c r="AI297" s="636"/>
      <c r="AJ297" s="636"/>
      <c r="AK297" s="636"/>
    </row>
    <row r="298" spans="3:37" ht="13" customHeight="1">
      <c r="C298" s="700" t="s">
        <v>128</v>
      </c>
      <c r="D298" s="701" t="s">
        <v>42</v>
      </c>
      <c r="E298" s="701" t="s">
        <v>52</v>
      </c>
      <c r="F298" s="701" t="s">
        <v>53</v>
      </c>
      <c r="G298" s="701" t="s">
        <v>32</v>
      </c>
      <c r="H298" s="701" t="s">
        <v>20</v>
      </c>
      <c r="I298" s="701" t="s">
        <v>55</v>
      </c>
      <c r="J298" s="701" t="s">
        <v>56</v>
      </c>
      <c r="K298" s="701"/>
      <c r="L298" s="701"/>
      <c r="M298" s="701"/>
      <c r="N298" s="701"/>
      <c r="O298" s="701"/>
      <c r="P298" s="701" t="s">
        <v>57</v>
      </c>
      <c r="Q298" s="701" t="s">
        <v>58</v>
      </c>
      <c r="R298" s="701" t="s">
        <v>31</v>
      </c>
      <c r="S298" s="701" t="s">
        <v>10</v>
      </c>
      <c r="U298" s="700" t="s">
        <v>128</v>
      </c>
      <c r="V298" s="701" t="s">
        <v>42</v>
      </c>
      <c r="W298" s="701" t="s">
        <v>52</v>
      </c>
      <c r="X298" s="701" t="s">
        <v>53</v>
      </c>
      <c r="Y298" s="701" t="s">
        <v>32</v>
      </c>
      <c r="Z298" s="701" t="s">
        <v>20</v>
      </c>
      <c r="AA298" s="701" t="s">
        <v>55</v>
      </c>
      <c r="AB298" s="701" t="s">
        <v>56</v>
      </c>
      <c r="AC298" s="701"/>
      <c r="AD298" s="701"/>
      <c r="AE298" s="701"/>
      <c r="AF298" s="701"/>
      <c r="AG298" s="701"/>
      <c r="AH298" s="701" t="s">
        <v>57</v>
      </c>
      <c r="AI298" s="701" t="s">
        <v>58</v>
      </c>
      <c r="AJ298" s="701" t="s">
        <v>31</v>
      </c>
      <c r="AK298" s="701" t="s">
        <v>10</v>
      </c>
    </row>
    <row r="299" spans="3:37" ht="46">
      <c r="C299" s="700"/>
      <c r="D299" s="701"/>
      <c r="E299" s="701"/>
      <c r="F299" s="701"/>
      <c r="G299" s="701"/>
      <c r="H299" s="701"/>
      <c r="I299" s="701"/>
      <c r="J299" s="640" t="s">
        <v>338</v>
      </c>
      <c r="K299" s="640" t="s">
        <v>40</v>
      </c>
      <c r="L299" s="640" t="s">
        <v>346</v>
      </c>
      <c r="M299" s="640" t="s">
        <v>347</v>
      </c>
      <c r="N299" s="640" t="s">
        <v>348</v>
      </c>
      <c r="O299" s="640" t="s">
        <v>349</v>
      </c>
      <c r="P299" s="701"/>
      <c r="Q299" s="701"/>
      <c r="R299" s="701"/>
      <c r="S299" s="701"/>
      <c r="U299" s="700"/>
      <c r="V299" s="701"/>
      <c r="W299" s="701"/>
      <c r="X299" s="701"/>
      <c r="Y299" s="701"/>
      <c r="Z299" s="701"/>
      <c r="AA299" s="701"/>
      <c r="AB299" s="640" t="s">
        <v>338</v>
      </c>
      <c r="AC299" s="640" t="s">
        <v>40</v>
      </c>
      <c r="AD299" s="640" t="s">
        <v>346</v>
      </c>
      <c r="AE299" s="640" t="s">
        <v>347</v>
      </c>
      <c r="AF299" s="640" t="s">
        <v>348</v>
      </c>
      <c r="AG299" s="640" t="s">
        <v>349</v>
      </c>
      <c r="AH299" s="701"/>
      <c r="AI299" s="701"/>
      <c r="AJ299" s="701"/>
      <c r="AK299" s="701"/>
    </row>
    <row r="300" spans="3:37" ht="13.5">
      <c r="C300" s="641" t="s">
        <v>59</v>
      </c>
      <c r="D300" s="642">
        <v>0</v>
      </c>
      <c r="E300" s="643">
        <v>0</v>
      </c>
      <c r="F300" s="643">
        <v>0</v>
      </c>
      <c r="G300" s="642">
        <v>0</v>
      </c>
      <c r="H300" s="643">
        <v>843.18181818181824</v>
      </c>
      <c r="I300" s="643">
        <v>306.94588327561422</v>
      </c>
      <c r="J300" s="643">
        <v>187.92158364867245</v>
      </c>
      <c r="K300" s="643">
        <v>20.316638839186872</v>
      </c>
      <c r="L300" s="643">
        <v>0.58650482505924006</v>
      </c>
      <c r="M300" s="643">
        <v>0.15964026893196048</v>
      </c>
      <c r="N300" s="643">
        <v>67.964408038916218</v>
      </c>
      <c r="O300" s="643">
        <v>11.973026235836867</v>
      </c>
      <c r="P300" s="644">
        <v>0</v>
      </c>
      <c r="Q300" s="643">
        <v>0</v>
      </c>
      <c r="R300" s="643">
        <v>0</v>
      </c>
      <c r="S300" s="645">
        <v>1439.0495033140362</v>
      </c>
      <c r="U300" s="641" t="s">
        <v>59</v>
      </c>
      <c r="V300" s="642">
        <v>0</v>
      </c>
      <c r="W300" s="643">
        <v>0</v>
      </c>
      <c r="X300" s="643">
        <v>0</v>
      </c>
      <c r="Y300" s="642">
        <v>0</v>
      </c>
      <c r="Z300" s="643">
        <v>842.12121212121212</v>
      </c>
      <c r="AA300" s="643">
        <v>361.66588327561419</v>
      </c>
      <c r="AB300" s="643">
        <v>209.7499476733077</v>
      </c>
      <c r="AC300" s="643">
        <v>36.742499370225779</v>
      </c>
      <c r="AD300" s="643">
        <v>0.58650482505924006</v>
      </c>
      <c r="AE300" s="643">
        <v>0.15964026893196048</v>
      </c>
      <c r="AF300" s="643">
        <v>109.8518848230913</v>
      </c>
      <c r="AG300" s="643">
        <v>27.041217028647232</v>
      </c>
      <c r="AH300" s="644">
        <v>0</v>
      </c>
      <c r="AI300" s="643">
        <v>0</v>
      </c>
      <c r="AJ300" s="643">
        <v>0</v>
      </c>
      <c r="AK300" s="645">
        <v>1587.9187893860897</v>
      </c>
    </row>
    <row r="301" spans="3:37" ht="13.5">
      <c r="C301" s="641" t="s">
        <v>60</v>
      </c>
      <c r="D301" s="642">
        <v>47.14481987923083</v>
      </c>
      <c r="E301" s="643">
        <v>484.495467583368</v>
      </c>
      <c r="F301" s="643">
        <v>50.019697053221719</v>
      </c>
      <c r="G301" s="642">
        <v>326.09010493911637</v>
      </c>
      <c r="H301" s="643">
        <v>0</v>
      </c>
      <c r="I301" s="643">
        <v>0</v>
      </c>
      <c r="J301" s="643">
        <v>5.0764589906360387</v>
      </c>
      <c r="K301" s="643">
        <v>0</v>
      </c>
      <c r="L301" s="643">
        <v>2.7571319279134792</v>
      </c>
      <c r="M301" s="643">
        <v>0</v>
      </c>
      <c r="N301" s="643">
        <v>0</v>
      </c>
      <c r="O301" s="643">
        <v>0</v>
      </c>
      <c r="P301" s="644">
        <v>0</v>
      </c>
      <c r="Q301" s="643">
        <v>0</v>
      </c>
      <c r="R301" s="643">
        <v>0</v>
      </c>
      <c r="S301" s="645">
        <v>915.58368037348657</v>
      </c>
      <c r="U301" s="641" t="s">
        <v>60</v>
      </c>
      <c r="V301" s="642">
        <v>5.8768320762591904</v>
      </c>
      <c r="W301" s="643">
        <v>189.94114801549574</v>
      </c>
      <c r="X301" s="643">
        <v>14.41607041492888</v>
      </c>
      <c r="Y301" s="642">
        <v>81.728531694283333</v>
      </c>
      <c r="Z301" s="643">
        <v>0</v>
      </c>
      <c r="AA301" s="643">
        <v>0</v>
      </c>
      <c r="AB301" s="643">
        <v>5.0764589906360387</v>
      </c>
      <c r="AC301" s="643">
        <v>0</v>
      </c>
      <c r="AD301" s="643">
        <v>2.7571319279134792</v>
      </c>
      <c r="AE301" s="643">
        <v>0</v>
      </c>
      <c r="AF301" s="643">
        <v>0</v>
      </c>
      <c r="AG301" s="643">
        <v>0</v>
      </c>
      <c r="AH301" s="644">
        <v>0</v>
      </c>
      <c r="AI301" s="643">
        <v>0</v>
      </c>
      <c r="AJ301" s="643">
        <v>0</v>
      </c>
      <c r="AK301" s="645">
        <v>299.79617311951665</v>
      </c>
    </row>
    <row r="302" spans="3:37" ht="13.5">
      <c r="C302" s="641" t="s">
        <v>61</v>
      </c>
      <c r="D302" s="642">
        <v>0</v>
      </c>
      <c r="E302" s="643">
        <v>0</v>
      </c>
      <c r="F302" s="643">
        <v>0</v>
      </c>
      <c r="G302" s="642">
        <v>0</v>
      </c>
      <c r="H302" s="643">
        <v>0</v>
      </c>
      <c r="I302" s="643">
        <v>0</v>
      </c>
      <c r="J302" s="643">
        <v>0</v>
      </c>
      <c r="K302" s="643">
        <v>0</v>
      </c>
      <c r="L302" s="643">
        <v>0</v>
      </c>
      <c r="M302" s="643">
        <v>0</v>
      </c>
      <c r="N302" s="643">
        <v>0</v>
      </c>
      <c r="O302" s="643">
        <v>0</v>
      </c>
      <c r="P302" s="644">
        <v>-16.706363002811486</v>
      </c>
      <c r="Q302" s="643">
        <v>0</v>
      </c>
      <c r="R302" s="643">
        <v>0</v>
      </c>
      <c r="S302" s="645">
        <v>-16.706363002811486</v>
      </c>
      <c r="U302" s="641" t="s">
        <v>61</v>
      </c>
      <c r="V302" s="642">
        <v>0</v>
      </c>
      <c r="W302" s="643">
        <v>0</v>
      </c>
      <c r="X302" s="643">
        <v>-18.378136852904419</v>
      </c>
      <c r="Y302" s="642">
        <v>0</v>
      </c>
      <c r="Z302" s="643">
        <v>0</v>
      </c>
      <c r="AA302" s="643">
        <v>0</v>
      </c>
      <c r="AB302" s="643">
        <v>0</v>
      </c>
      <c r="AC302" s="643">
        <v>0</v>
      </c>
      <c r="AD302" s="643">
        <v>0</v>
      </c>
      <c r="AE302" s="643">
        <v>0</v>
      </c>
      <c r="AF302" s="643">
        <v>0</v>
      </c>
      <c r="AG302" s="643">
        <v>0</v>
      </c>
      <c r="AH302" s="644">
        <v>-20.522831714543145</v>
      </c>
      <c r="AI302" s="643">
        <v>0</v>
      </c>
      <c r="AJ302" s="643">
        <v>0</v>
      </c>
      <c r="AK302" s="645">
        <v>-38.900968567447563</v>
      </c>
    </row>
    <row r="303" spans="3:37" ht="13.5">
      <c r="C303" s="641" t="s">
        <v>62</v>
      </c>
      <c r="D303" s="642">
        <v>0</v>
      </c>
      <c r="E303" s="643">
        <v>0</v>
      </c>
      <c r="F303" s="643">
        <v>-15.257294848391862</v>
      </c>
      <c r="G303" s="642">
        <v>0</v>
      </c>
      <c r="H303" s="643">
        <v>0</v>
      </c>
      <c r="I303" s="643">
        <v>0</v>
      </c>
      <c r="J303" s="643">
        <v>0</v>
      </c>
      <c r="K303" s="643">
        <v>0</v>
      </c>
      <c r="L303" s="643">
        <v>0</v>
      </c>
      <c r="M303" s="643">
        <v>0</v>
      </c>
      <c r="N303" s="643">
        <v>0</v>
      </c>
      <c r="O303" s="643">
        <v>0</v>
      </c>
      <c r="P303" s="644">
        <v>0</v>
      </c>
      <c r="Q303" s="643">
        <v>0</v>
      </c>
      <c r="R303" s="643">
        <v>0</v>
      </c>
      <c r="S303" s="645">
        <v>-15.257294848391862</v>
      </c>
      <c r="U303" s="641" t="s">
        <v>62</v>
      </c>
      <c r="V303" s="642">
        <v>0</v>
      </c>
      <c r="W303" s="643">
        <v>0</v>
      </c>
      <c r="X303" s="643">
        <v>-7.5188933675233587</v>
      </c>
      <c r="Y303" s="642">
        <v>-2.1851276585702322</v>
      </c>
      <c r="Z303" s="643">
        <v>0</v>
      </c>
      <c r="AA303" s="643">
        <v>0</v>
      </c>
      <c r="AB303" s="643">
        <v>0</v>
      </c>
      <c r="AC303" s="643">
        <v>0</v>
      </c>
      <c r="AD303" s="643">
        <v>0</v>
      </c>
      <c r="AE303" s="643">
        <v>-2.1851276585702322</v>
      </c>
      <c r="AF303" s="643">
        <v>0</v>
      </c>
      <c r="AG303" s="643">
        <v>0</v>
      </c>
      <c r="AH303" s="644">
        <v>0</v>
      </c>
      <c r="AI303" s="643">
        <v>0</v>
      </c>
      <c r="AJ303" s="643">
        <v>0</v>
      </c>
      <c r="AK303" s="645">
        <v>-11.889148684663823</v>
      </c>
    </row>
    <row r="304" spans="3:37" ht="13.5">
      <c r="C304" s="641" t="s">
        <v>63</v>
      </c>
      <c r="D304" s="642">
        <v>0</v>
      </c>
      <c r="E304" s="643">
        <v>0</v>
      </c>
      <c r="F304" s="643">
        <v>-90.982589622358091</v>
      </c>
      <c r="G304" s="642">
        <v>0</v>
      </c>
      <c r="H304" s="643">
        <v>0</v>
      </c>
      <c r="I304" s="643">
        <v>0</v>
      </c>
      <c r="J304" s="643">
        <v>0</v>
      </c>
      <c r="K304" s="643">
        <v>0</v>
      </c>
      <c r="L304" s="643">
        <v>-0.93561585486744514</v>
      </c>
      <c r="M304" s="643">
        <v>0</v>
      </c>
      <c r="N304" s="643">
        <v>0</v>
      </c>
      <c r="O304" s="643">
        <v>0</v>
      </c>
      <c r="P304" s="644">
        <v>0</v>
      </c>
      <c r="Q304" s="643">
        <v>0</v>
      </c>
      <c r="R304" s="643">
        <v>0</v>
      </c>
      <c r="S304" s="645">
        <v>-91.918205477225541</v>
      </c>
      <c r="U304" s="641" t="s">
        <v>63</v>
      </c>
      <c r="V304" s="642">
        <v>0</v>
      </c>
      <c r="W304" s="643">
        <v>0</v>
      </c>
      <c r="X304" s="643">
        <v>-53.656928796434556</v>
      </c>
      <c r="Y304" s="642">
        <v>0</v>
      </c>
      <c r="Z304" s="643">
        <v>0</v>
      </c>
      <c r="AA304" s="643">
        <v>0</v>
      </c>
      <c r="AB304" s="643">
        <v>0</v>
      </c>
      <c r="AC304" s="643">
        <v>0</v>
      </c>
      <c r="AD304" s="643">
        <v>-28.297456853591466</v>
      </c>
      <c r="AE304" s="643">
        <v>0</v>
      </c>
      <c r="AF304" s="643">
        <v>0</v>
      </c>
      <c r="AG304" s="643">
        <v>0</v>
      </c>
      <c r="AH304" s="644">
        <v>0</v>
      </c>
      <c r="AI304" s="643">
        <v>0</v>
      </c>
      <c r="AJ304" s="643">
        <v>0</v>
      </c>
      <c r="AK304" s="645">
        <v>-81.954385650026026</v>
      </c>
    </row>
    <row r="305" spans="3:37" ht="13.5">
      <c r="C305" s="641" t="s">
        <v>64</v>
      </c>
      <c r="D305" s="642">
        <v>0</v>
      </c>
      <c r="E305" s="643">
        <v>0</v>
      </c>
      <c r="F305" s="643">
        <v>0</v>
      </c>
      <c r="G305" s="642">
        <v>0</v>
      </c>
      <c r="H305" s="643">
        <v>0</v>
      </c>
      <c r="I305" s="643">
        <v>0</v>
      </c>
      <c r="J305" s="643">
        <v>0</v>
      </c>
      <c r="K305" s="643">
        <v>0</v>
      </c>
      <c r="L305" s="643">
        <v>0</v>
      </c>
      <c r="M305" s="643">
        <v>0</v>
      </c>
      <c r="N305" s="643">
        <v>0</v>
      </c>
      <c r="O305" s="643">
        <v>0</v>
      </c>
      <c r="P305" s="644">
        <v>0</v>
      </c>
      <c r="Q305" s="643">
        <v>0</v>
      </c>
      <c r="R305" s="643">
        <v>0</v>
      </c>
      <c r="S305" s="645">
        <v>0</v>
      </c>
      <c r="U305" s="641" t="s">
        <v>64</v>
      </c>
      <c r="V305" s="642">
        <v>0</v>
      </c>
      <c r="W305" s="643">
        <v>0</v>
      </c>
      <c r="X305" s="643">
        <v>0</v>
      </c>
      <c r="Y305" s="642">
        <v>0</v>
      </c>
      <c r="Z305" s="643">
        <v>0</v>
      </c>
      <c r="AA305" s="643">
        <v>0</v>
      </c>
      <c r="AB305" s="643">
        <v>0</v>
      </c>
      <c r="AC305" s="643">
        <v>0</v>
      </c>
      <c r="AD305" s="643">
        <v>0</v>
      </c>
      <c r="AE305" s="643">
        <v>0</v>
      </c>
      <c r="AF305" s="643">
        <v>0</v>
      </c>
      <c r="AG305" s="643">
        <v>0</v>
      </c>
      <c r="AH305" s="644">
        <v>0</v>
      </c>
      <c r="AI305" s="643">
        <v>0</v>
      </c>
      <c r="AJ305" s="643">
        <v>0</v>
      </c>
      <c r="AK305" s="645">
        <v>0</v>
      </c>
    </row>
    <row r="306" spans="3:37" ht="13.5">
      <c r="C306" s="646" t="s">
        <v>65</v>
      </c>
      <c r="D306" s="647">
        <v>47.14481987923083</v>
      </c>
      <c r="E306" s="647">
        <v>484.495467583368</v>
      </c>
      <c r="F306" s="647">
        <v>-56.220187417528237</v>
      </c>
      <c r="G306" s="647">
        <v>326.09010493911637</v>
      </c>
      <c r="H306" s="647">
        <v>843.18181818181824</v>
      </c>
      <c r="I306" s="647">
        <v>306.94588327561422</v>
      </c>
      <c r="J306" s="647">
        <v>192.99804263930849</v>
      </c>
      <c r="K306" s="647">
        <v>20.316638839186872</v>
      </c>
      <c r="L306" s="647">
        <v>2.4080208981052738</v>
      </c>
      <c r="M306" s="647">
        <v>0.15964026893196048</v>
      </c>
      <c r="N306" s="647">
        <v>67.964408038916218</v>
      </c>
      <c r="O306" s="647">
        <v>11.973026235836867</v>
      </c>
      <c r="P306" s="647">
        <v>-16.706363002811486</v>
      </c>
      <c r="Q306" s="647">
        <v>0</v>
      </c>
      <c r="R306" s="647">
        <v>0</v>
      </c>
      <c r="S306" s="647">
        <v>2230.7513203590943</v>
      </c>
      <c r="U306" s="646" t="s">
        <v>65</v>
      </c>
      <c r="V306" s="647">
        <v>5.8768320762591904</v>
      </c>
      <c r="W306" s="647">
        <v>189.94114801549574</v>
      </c>
      <c r="X306" s="647">
        <v>-65.137888601933454</v>
      </c>
      <c r="Y306" s="647">
        <v>79.543404035713095</v>
      </c>
      <c r="Z306" s="647">
        <v>842.12121212121212</v>
      </c>
      <c r="AA306" s="647">
        <v>361.66588327561419</v>
      </c>
      <c r="AB306" s="647">
        <v>214.82640666394374</v>
      </c>
      <c r="AC306" s="647">
        <v>36.742499370225779</v>
      </c>
      <c r="AD306" s="647">
        <v>-24.953820100618749</v>
      </c>
      <c r="AE306" s="647">
        <v>-2.0254873896382719</v>
      </c>
      <c r="AF306" s="647">
        <v>109.8518848230913</v>
      </c>
      <c r="AG306" s="647">
        <v>27.041217028647232</v>
      </c>
      <c r="AH306" s="647">
        <v>-20.522831714543145</v>
      </c>
      <c r="AI306" s="647">
        <v>0</v>
      </c>
      <c r="AJ306" s="647">
        <v>0</v>
      </c>
      <c r="AK306" s="647">
        <v>1754.970459603469</v>
      </c>
    </row>
    <row r="307" spans="3:37" ht="13">
      <c r="C307" s="636"/>
      <c r="D307" s="636">
        <v>0</v>
      </c>
      <c r="E307" s="636">
        <v>0</v>
      </c>
      <c r="F307" s="636">
        <v>0</v>
      </c>
      <c r="G307" s="636">
        <v>0</v>
      </c>
      <c r="H307" s="636">
        <v>0</v>
      </c>
      <c r="I307" s="636">
        <v>0</v>
      </c>
      <c r="J307" s="636">
        <v>0</v>
      </c>
      <c r="K307" s="636">
        <v>0</v>
      </c>
      <c r="L307" s="636">
        <v>0</v>
      </c>
      <c r="M307" s="636">
        <v>0</v>
      </c>
      <c r="N307" s="636">
        <v>0</v>
      </c>
      <c r="O307" s="636">
        <v>0</v>
      </c>
      <c r="P307" s="636">
        <v>0</v>
      </c>
      <c r="Q307" s="636">
        <v>0</v>
      </c>
      <c r="R307" s="636">
        <v>0</v>
      </c>
      <c r="S307" s="636">
        <v>0</v>
      </c>
      <c r="U307" s="636"/>
      <c r="V307" s="636">
        <v>0</v>
      </c>
      <c r="W307" s="636">
        <v>0</v>
      </c>
      <c r="X307" s="636">
        <v>0</v>
      </c>
      <c r="Y307" s="636">
        <v>0</v>
      </c>
      <c r="Z307" s="636">
        <v>0</v>
      </c>
      <c r="AA307" s="636">
        <v>0</v>
      </c>
      <c r="AB307" s="636">
        <v>0</v>
      </c>
      <c r="AC307" s="636">
        <v>0</v>
      </c>
      <c r="AD307" s="636">
        <v>0</v>
      </c>
      <c r="AE307" s="636">
        <v>0</v>
      </c>
      <c r="AF307" s="636">
        <v>0</v>
      </c>
      <c r="AG307" s="636">
        <v>0</v>
      </c>
      <c r="AH307" s="636">
        <v>0</v>
      </c>
      <c r="AI307" s="636">
        <v>0</v>
      </c>
      <c r="AJ307" s="636">
        <v>0</v>
      </c>
      <c r="AK307" s="636">
        <v>0</v>
      </c>
    </row>
    <row r="308" spans="3:37" ht="13.5">
      <c r="C308" s="648" t="s">
        <v>67</v>
      </c>
      <c r="D308" s="642">
        <v>0</v>
      </c>
      <c r="E308" s="649">
        <v>0</v>
      </c>
      <c r="F308" s="649">
        <v>0</v>
      </c>
      <c r="G308" s="642">
        <v>0</v>
      </c>
      <c r="H308" s="642">
        <v>0</v>
      </c>
      <c r="I308" s="642">
        <v>0</v>
      </c>
      <c r="J308" s="642">
        <v>0</v>
      </c>
      <c r="K308" s="642">
        <v>0</v>
      </c>
      <c r="L308" s="642">
        <v>0</v>
      </c>
      <c r="M308" s="642">
        <v>0</v>
      </c>
      <c r="N308" s="642">
        <v>0</v>
      </c>
      <c r="O308" s="642">
        <v>0</v>
      </c>
      <c r="P308" s="642">
        <v>0</v>
      </c>
      <c r="Q308" s="642">
        <v>0</v>
      </c>
      <c r="R308" s="642">
        <v>0</v>
      </c>
      <c r="S308" s="650">
        <v>0</v>
      </c>
      <c r="U308" s="648" t="s">
        <v>67</v>
      </c>
      <c r="V308" s="642">
        <v>0</v>
      </c>
      <c r="W308" s="649">
        <v>0</v>
      </c>
      <c r="X308" s="649">
        <v>0</v>
      </c>
      <c r="Y308" s="642">
        <v>0</v>
      </c>
      <c r="Z308" s="642">
        <v>0</v>
      </c>
      <c r="AA308" s="642">
        <v>0</v>
      </c>
      <c r="AB308" s="642">
        <v>0</v>
      </c>
      <c r="AC308" s="642">
        <v>0</v>
      </c>
      <c r="AD308" s="642">
        <v>0</v>
      </c>
      <c r="AE308" s="642">
        <v>0</v>
      </c>
      <c r="AF308" s="642">
        <v>0</v>
      </c>
      <c r="AG308" s="642">
        <v>0</v>
      </c>
      <c r="AH308" s="642">
        <v>0</v>
      </c>
      <c r="AI308" s="642">
        <v>0</v>
      </c>
      <c r="AJ308" s="642">
        <v>0</v>
      </c>
      <c r="AK308" s="650">
        <v>0</v>
      </c>
    </row>
    <row r="309" spans="3:37" ht="13.5">
      <c r="C309" s="648" t="s">
        <v>350</v>
      </c>
      <c r="D309" s="642">
        <v>2.8267856410252494</v>
      </c>
      <c r="E309" s="642">
        <v>0</v>
      </c>
      <c r="F309" s="642">
        <v>7.9230776783294274</v>
      </c>
      <c r="G309" s="642">
        <v>16.680851063829788</v>
      </c>
      <c r="H309" s="642">
        <v>843.18181818181824</v>
      </c>
      <c r="I309" s="642">
        <v>306.94588327561422</v>
      </c>
      <c r="J309" s="651">
        <v>28.98717588629853</v>
      </c>
      <c r="K309" s="651">
        <v>6.5903281241207718</v>
      </c>
      <c r="L309" s="651">
        <v>3.3436367529727189</v>
      </c>
      <c r="M309" s="651">
        <v>0.46654149749263618</v>
      </c>
      <c r="N309" s="651">
        <v>0</v>
      </c>
      <c r="O309" s="651">
        <v>7.0184114557160298</v>
      </c>
      <c r="P309" s="642">
        <v>-616.92993037811448</v>
      </c>
      <c r="Q309" s="642">
        <v>0</v>
      </c>
      <c r="R309" s="642">
        <v>0</v>
      </c>
      <c r="S309" s="650">
        <v>607.03457917910316</v>
      </c>
      <c r="U309" s="648" t="s">
        <v>350</v>
      </c>
      <c r="V309" s="642">
        <v>0.62631490545869017</v>
      </c>
      <c r="W309" s="642">
        <v>0</v>
      </c>
      <c r="X309" s="642">
        <v>4.0594413146930641</v>
      </c>
      <c r="Y309" s="642">
        <v>2.3404255319148937</v>
      </c>
      <c r="Z309" s="642">
        <v>842.12121212121212</v>
      </c>
      <c r="AA309" s="642">
        <v>361.66588327561419</v>
      </c>
      <c r="AB309" s="651">
        <v>23.182357378111952</v>
      </c>
      <c r="AC309" s="651">
        <v>5.3775678130216455</v>
      </c>
      <c r="AD309" s="651">
        <v>3.3436367529727189</v>
      </c>
      <c r="AE309" s="651">
        <v>2.4665414974926363</v>
      </c>
      <c r="AF309" s="651">
        <v>0</v>
      </c>
      <c r="AG309" s="651">
        <v>7.0184114557160298</v>
      </c>
      <c r="AH309" s="642">
        <v>-662.7499303781143</v>
      </c>
      <c r="AI309" s="642">
        <v>0</v>
      </c>
      <c r="AJ309" s="642">
        <v>4.25</v>
      </c>
      <c r="AK309" s="650">
        <v>593.70186166809344</v>
      </c>
    </row>
    <row r="310" spans="3:37" ht="13.5">
      <c r="C310" s="648" t="s">
        <v>351</v>
      </c>
      <c r="D310" s="642">
        <v>0</v>
      </c>
      <c r="E310" s="642">
        <v>0</v>
      </c>
      <c r="F310" s="642">
        <v>0</v>
      </c>
      <c r="G310" s="642">
        <v>14.843815057329421</v>
      </c>
      <c r="H310" s="642">
        <v>0</v>
      </c>
      <c r="I310" s="642">
        <v>0</v>
      </c>
      <c r="J310" s="651">
        <v>12.357161229114668</v>
      </c>
      <c r="K310" s="651">
        <v>11.882304060636951</v>
      </c>
      <c r="L310" s="651">
        <v>0</v>
      </c>
      <c r="M310" s="651">
        <v>0.31804644322561132</v>
      </c>
      <c r="N310" s="651">
        <v>0</v>
      </c>
      <c r="O310" s="651">
        <v>2.0992086164963606</v>
      </c>
      <c r="P310" s="642">
        <v>0</v>
      </c>
      <c r="Q310" s="642">
        <v>-37.805081951347923</v>
      </c>
      <c r="R310" s="642">
        <v>0</v>
      </c>
      <c r="S310" s="650">
        <v>3.6954534554550835</v>
      </c>
      <c r="U310" s="648" t="s">
        <v>351</v>
      </c>
      <c r="V310" s="642">
        <v>0</v>
      </c>
      <c r="W310" s="642">
        <v>0</v>
      </c>
      <c r="X310" s="642">
        <v>0</v>
      </c>
      <c r="Y310" s="642">
        <v>6.4668066457611202</v>
      </c>
      <c r="Z310" s="642">
        <v>0</v>
      </c>
      <c r="AA310" s="642">
        <v>0</v>
      </c>
      <c r="AB310" s="651">
        <v>28.361573193229066</v>
      </c>
      <c r="AC310" s="651">
        <v>26.076316433417247</v>
      </c>
      <c r="AD310" s="651">
        <v>0</v>
      </c>
      <c r="AE310" s="651">
        <v>6.4819180878167435</v>
      </c>
      <c r="AF310" s="651">
        <v>0</v>
      </c>
      <c r="AG310" s="651">
        <v>12.550380584079129</v>
      </c>
      <c r="AH310" s="642">
        <v>0</v>
      </c>
      <c r="AI310" s="642">
        <v>-74.043519390541746</v>
      </c>
      <c r="AJ310" s="642">
        <v>0</v>
      </c>
      <c r="AK310" s="650">
        <v>5.8934755537615651</v>
      </c>
    </row>
    <row r="311" spans="3:37" ht="13.5">
      <c r="C311" s="648" t="s">
        <v>352</v>
      </c>
      <c r="D311" s="642">
        <v>0</v>
      </c>
      <c r="E311" s="642">
        <v>0</v>
      </c>
      <c r="F311" s="642">
        <v>0</v>
      </c>
      <c r="G311" s="642">
        <v>0</v>
      </c>
      <c r="H311" s="642">
        <v>0</v>
      </c>
      <c r="I311" s="642">
        <v>0</v>
      </c>
      <c r="J311" s="652">
        <v>6.8755991242523775</v>
      </c>
      <c r="K311" s="652">
        <v>0</v>
      </c>
      <c r="L311" s="652">
        <v>0</v>
      </c>
      <c r="M311" s="652">
        <v>-6.4200906822706569</v>
      </c>
      <c r="N311" s="652">
        <v>0</v>
      </c>
      <c r="O311" s="652">
        <v>0</v>
      </c>
      <c r="P311" s="642">
        <v>0</v>
      </c>
      <c r="Q311" s="642">
        <v>0</v>
      </c>
      <c r="R311" s="642">
        <v>0</v>
      </c>
      <c r="S311" s="650">
        <v>0.45550844198172058</v>
      </c>
      <c r="U311" s="648" t="s">
        <v>352</v>
      </c>
      <c r="V311" s="642">
        <v>0</v>
      </c>
      <c r="W311" s="642">
        <v>0</v>
      </c>
      <c r="X311" s="642">
        <v>0</v>
      </c>
      <c r="Y311" s="642">
        <v>0</v>
      </c>
      <c r="Z311" s="642">
        <v>0</v>
      </c>
      <c r="AA311" s="642">
        <v>0</v>
      </c>
      <c r="AB311" s="652">
        <v>86.654179241552072</v>
      </c>
      <c r="AC311" s="652">
        <v>0</v>
      </c>
      <c r="AD311" s="652">
        <v>0</v>
      </c>
      <c r="AE311" s="652">
        <v>-80.913339866799248</v>
      </c>
      <c r="AF311" s="652">
        <v>0</v>
      </c>
      <c r="AG311" s="652">
        <v>0</v>
      </c>
      <c r="AH311" s="642">
        <v>0</v>
      </c>
      <c r="AI311" s="642">
        <v>0</v>
      </c>
      <c r="AJ311" s="642">
        <v>0</v>
      </c>
      <c r="AK311" s="650">
        <v>5.7408393747528237</v>
      </c>
    </row>
    <row r="312" spans="3:37" ht="13.5">
      <c r="C312" s="648" t="s">
        <v>353</v>
      </c>
      <c r="D312" s="642">
        <v>0</v>
      </c>
      <c r="E312" s="642">
        <v>0</v>
      </c>
      <c r="F312" s="642">
        <v>0</v>
      </c>
      <c r="G312" s="642">
        <v>0</v>
      </c>
      <c r="H312" s="642">
        <v>0</v>
      </c>
      <c r="I312" s="642">
        <v>0</v>
      </c>
      <c r="J312" s="642">
        <v>0</v>
      </c>
      <c r="K312" s="642">
        <v>0</v>
      </c>
      <c r="L312" s="642">
        <v>0</v>
      </c>
      <c r="M312" s="642">
        <v>0</v>
      </c>
      <c r="N312" s="642">
        <v>0</v>
      </c>
      <c r="O312" s="642">
        <v>0</v>
      </c>
      <c r="P312" s="642">
        <v>0</v>
      </c>
      <c r="Q312" s="642">
        <v>0</v>
      </c>
      <c r="R312" s="642">
        <v>0</v>
      </c>
      <c r="S312" s="650">
        <v>0</v>
      </c>
      <c r="U312" s="648" t="s">
        <v>353</v>
      </c>
      <c r="V312" s="642">
        <v>0</v>
      </c>
      <c r="W312" s="642">
        <v>0</v>
      </c>
      <c r="X312" s="642">
        <v>0</v>
      </c>
      <c r="Y312" s="642">
        <v>0</v>
      </c>
      <c r="Z312" s="642">
        <v>0</v>
      </c>
      <c r="AA312" s="642">
        <v>0</v>
      </c>
      <c r="AB312" s="642">
        <v>0</v>
      </c>
      <c r="AC312" s="642">
        <v>0</v>
      </c>
      <c r="AD312" s="642">
        <v>0</v>
      </c>
      <c r="AE312" s="642">
        <v>0</v>
      </c>
      <c r="AF312" s="642">
        <v>0</v>
      </c>
      <c r="AG312" s="642">
        <v>0</v>
      </c>
      <c r="AH312" s="642">
        <v>0</v>
      </c>
      <c r="AI312" s="642">
        <v>0</v>
      </c>
      <c r="AJ312" s="642">
        <v>0</v>
      </c>
      <c r="AK312" s="650">
        <v>0</v>
      </c>
    </row>
    <row r="313" spans="3:37" ht="13.5">
      <c r="C313" s="648" t="s">
        <v>72</v>
      </c>
      <c r="D313" s="642">
        <v>0</v>
      </c>
      <c r="E313" s="642">
        <v>501.8858109321676</v>
      </c>
      <c r="F313" s="642">
        <v>-496.86695282284592</v>
      </c>
      <c r="G313" s="642">
        <v>0</v>
      </c>
      <c r="H313" s="642">
        <v>0</v>
      </c>
      <c r="I313" s="642">
        <v>0</v>
      </c>
      <c r="J313" s="642">
        <v>0</v>
      </c>
      <c r="K313" s="642">
        <v>0</v>
      </c>
      <c r="L313" s="642">
        <v>0</v>
      </c>
      <c r="M313" s="642">
        <v>0</v>
      </c>
      <c r="N313" s="642">
        <v>0</v>
      </c>
      <c r="O313" s="642">
        <v>0</v>
      </c>
      <c r="P313" s="642">
        <v>0</v>
      </c>
      <c r="Q313" s="642">
        <v>0</v>
      </c>
      <c r="R313" s="642">
        <v>0</v>
      </c>
      <c r="S313" s="650">
        <v>5.018858109321684</v>
      </c>
      <c r="U313" s="648" t="s">
        <v>72</v>
      </c>
      <c r="V313" s="642">
        <v>0</v>
      </c>
      <c r="W313" s="642">
        <v>196.75884188687598</v>
      </c>
      <c r="X313" s="642">
        <v>-194.79125346800723</v>
      </c>
      <c r="Y313" s="642">
        <v>0</v>
      </c>
      <c r="Z313" s="642">
        <v>0</v>
      </c>
      <c r="AA313" s="642">
        <v>0</v>
      </c>
      <c r="AB313" s="642">
        <v>0</v>
      </c>
      <c r="AC313" s="642">
        <v>0</v>
      </c>
      <c r="AD313" s="642">
        <v>0</v>
      </c>
      <c r="AE313" s="642">
        <v>0</v>
      </c>
      <c r="AF313" s="642">
        <v>0</v>
      </c>
      <c r="AG313" s="642">
        <v>0</v>
      </c>
      <c r="AH313" s="642">
        <v>0</v>
      </c>
      <c r="AI313" s="642">
        <v>0</v>
      </c>
      <c r="AJ313" s="642">
        <v>0</v>
      </c>
      <c r="AK313" s="650">
        <v>1.9675884188687576</v>
      </c>
    </row>
    <row r="314" spans="3:37" ht="13.5">
      <c r="C314" s="648" t="s">
        <v>354</v>
      </c>
      <c r="D314" s="642">
        <v>0</v>
      </c>
      <c r="E314" s="642">
        <v>0</v>
      </c>
      <c r="F314" s="642">
        <v>0</v>
      </c>
      <c r="G314" s="642">
        <v>0</v>
      </c>
      <c r="H314" s="642">
        <v>0</v>
      </c>
      <c r="I314" s="642">
        <v>0</v>
      </c>
      <c r="J314" s="642">
        <v>26.867608526350821</v>
      </c>
      <c r="K314" s="642">
        <v>0</v>
      </c>
      <c r="L314" s="642">
        <v>-26.867608526350821</v>
      </c>
      <c r="M314" s="642">
        <v>0</v>
      </c>
      <c r="N314" s="642">
        <v>0</v>
      </c>
      <c r="O314" s="642">
        <v>0</v>
      </c>
      <c r="P314" s="642">
        <v>0</v>
      </c>
      <c r="Q314" s="642">
        <v>0</v>
      </c>
      <c r="R314" s="642">
        <v>0</v>
      </c>
      <c r="S314" s="650">
        <v>0</v>
      </c>
      <c r="U314" s="648" t="s">
        <v>354</v>
      </c>
      <c r="V314" s="642">
        <v>0</v>
      </c>
      <c r="W314" s="642">
        <v>0</v>
      </c>
      <c r="X314" s="642">
        <v>0</v>
      </c>
      <c r="Y314" s="642">
        <v>0</v>
      </c>
      <c r="Z314" s="642">
        <v>0</v>
      </c>
      <c r="AA314" s="642">
        <v>0</v>
      </c>
      <c r="AB314" s="642" t="e">
        <v>#VALUE!</v>
      </c>
      <c r="AC314" s="642">
        <v>0</v>
      </c>
      <c r="AD314" s="642">
        <v>-99.513749603669936</v>
      </c>
      <c r="AE314" s="642">
        <v>0</v>
      </c>
      <c r="AF314" s="642">
        <v>0</v>
      </c>
      <c r="AG314" s="642">
        <v>0</v>
      </c>
      <c r="AH314" s="642">
        <v>0</v>
      </c>
      <c r="AI314" s="642">
        <v>0</v>
      </c>
      <c r="AJ314" s="642">
        <v>0</v>
      </c>
      <c r="AK314" s="650">
        <v>-99.513749603669936</v>
      </c>
    </row>
    <row r="315" spans="3:37" ht="13.5">
      <c r="C315" s="648" t="s">
        <v>355</v>
      </c>
      <c r="D315" s="642">
        <v>0</v>
      </c>
      <c r="E315" s="642">
        <v>0</v>
      </c>
      <c r="F315" s="642">
        <v>0</v>
      </c>
      <c r="G315" s="642">
        <v>0</v>
      </c>
      <c r="H315" s="642">
        <v>0</v>
      </c>
      <c r="I315" s="642">
        <v>0</v>
      </c>
      <c r="J315" s="642">
        <v>0</v>
      </c>
      <c r="K315" s="642">
        <v>0</v>
      </c>
      <c r="L315" s="642">
        <v>0</v>
      </c>
      <c r="M315" s="642">
        <v>0</v>
      </c>
      <c r="N315" s="642">
        <v>0</v>
      </c>
      <c r="O315" s="642">
        <v>0</v>
      </c>
      <c r="P315" s="642">
        <v>0</v>
      </c>
      <c r="Q315" s="642">
        <v>0</v>
      </c>
      <c r="R315" s="642">
        <v>0</v>
      </c>
      <c r="S315" s="650">
        <v>0</v>
      </c>
      <c r="U315" s="648" t="s">
        <v>355</v>
      </c>
      <c r="V315" s="642">
        <v>0</v>
      </c>
      <c r="W315" s="642">
        <v>0</v>
      </c>
      <c r="X315" s="642">
        <v>0</v>
      </c>
      <c r="Y315" s="642">
        <v>0</v>
      </c>
      <c r="Z315" s="642">
        <v>0</v>
      </c>
      <c r="AA315" s="642">
        <v>0</v>
      </c>
      <c r="AB315" s="642">
        <v>0</v>
      </c>
      <c r="AC315" s="642">
        <v>0</v>
      </c>
      <c r="AD315" s="642">
        <v>-17.985934640167208</v>
      </c>
      <c r="AE315" s="642">
        <v>0</v>
      </c>
      <c r="AF315" s="642">
        <v>0</v>
      </c>
      <c r="AG315" s="642">
        <v>0</v>
      </c>
      <c r="AH315" s="642">
        <v>0</v>
      </c>
      <c r="AI315" s="642">
        <v>0</v>
      </c>
      <c r="AJ315" s="642">
        <v>0</v>
      </c>
      <c r="AK315" s="650">
        <v>-17.985934640167208</v>
      </c>
    </row>
    <row r="316" spans="3:37" ht="13.5">
      <c r="C316" s="648" t="s">
        <v>73</v>
      </c>
      <c r="D316" s="642">
        <v>0</v>
      </c>
      <c r="E316" s="642">
        <v>0</v>
      </c>
      <c r="F316" s="642">
        <v>0</v>
      </c>
      <c r="G316" s="642">
        <v>7.0830222331165276</v>
      </c>
      <c r="H316" s="642">
        <v>0</v>
      </c>
      <c r="I316" s="642">
        <v>0</v>
      </c>
      <c r="J316" s="642">
        <v>0</v>
      </c>
      <c r="K316" s="642">
        <v>8.2131519400701847E-2</v>
      </c>
      <c r="L316" s="642">
        <v>0</v>
      </c>
      <c r="M316" s="642">
        <v>0.14455147414523528</v>
      </c>
      <c r="N316" s="642">
        <v>0</v>
      </c>
      <c r="O316" s="642">
        <v>0</v>
      </c>
      <c r="P316" s="642">
        <v>0.90023160054861806</v>
      </c>
      <c r="Q316" s="642">
        <v>0</v>
      </c>
      <c r="R316" s="642">
        <v>-5.7492063580491291</v>
      </c>
      <c r="S316" s="650">
        <v>2.4607304691619536</v>
      </c>
      <c r="U316" s="648" t="s">
        <v>73</v>
      </c>
      <c r="V316" s="642">
        <v>0</v>
      </c>
      <c r="W316" s="642">
        <v>0</v>
      </c>
      <c r="X316" s="642">
        <v>0</v>
      </c>
      <c r="Y316" s="642">
        <v>2.5209228009552263</v>
      </c>
      <c r="Z316" s="642">
        <v>0</v>
      </c>
      <c r="AA316" s="642">
        <v>0</v>
      </c>
      <c r="AB316" s="642">
        <v>0</v>
      </c>
      <c r="AC316" s="642">
        <v>0.50418456019104518</v>
      </c>
      <c r="AD316" s="642">
        <v>0</v>
      </c>
      <c r="AE316" s="642">
        <v>2.5209228009552263</v>
      </c>
      <c r="AF316" s="642">
        <v>0</v>
      </c>
      <c r="AG316" s="642">
        <v>0</v>
      </c>
      <c r="AH316" s="642">
        <v>44.712737508757456</v>
      </c>
      <c r="AI316" s="642">
        <v>0</v>
      </c>
      <c r="AJ316" s="642">
        <v>-35.29291921337316</v>
      </c>
      <c r="AK316" s="650">
        <v>14.965848457485791</v>
      </c>
    </row>
    <row r="317" spans="3:37" ht="13.5">
      <c r="C317" s="648" t="s">
        <v>356</v>
      </c>
      <c r="D317" s="642">
        <v>28.568314687499999</v>
      </c>
      <c r="E317" s="642">
        <v>-17.390343348799608</v>
      </c>
      <c r="F317" s="642">
        <v>22.745541936068136</v>
      </c>
      <c r="G317" s="642">
        <v>0</v>
      </c>
      <c r="H317" s="642">
        <v>0</v>
      </c>
      <c r="I317" s="642">
        <v>0</v>
      </c>
      <c r="J317" s="642">
        <v>0</v>
      </c>
      <c r="K317" s="642">
        <v>0</v>
      </c>
      <c r="L317" s="642">
        <v>0</v>
      </c>
      <c r="M317" s="642">
        <v>0</v>
      </c>
      <c r="N317" s="642">
        <v>0</v>
      </c>
      <c r="O317" s="642">
        <v>0</v>
      </c>
      <c r="P317" s="642">
        <v>0</v>
      </c>
      <c r="Q317" s="642">
        <v>0</v>
      </c>
      <c r="R317" s="642">
        <v>0</v>
      </c>
      <c r="S317" s="650">
        <v>33.923513274768524</v>
      </c>
      <c r="U317" s="648" t="s">
        <v>356</v>
      </c>
      <c r="V317" s="642">
        <v>1.4001075134277343</v>
      </c>
      <c r="W317" s="642">
        <v>-6.8176938713802535</v>
      </c>
      <c r="X317" s="642">
        <v>8.9171408952922331</v>
      </c>
      <c r="Y317" s="642">
        <v>0</v>
      </c>
      <c r="Z317" s="642">
        <v>0</v>
      </c>
      <c r="AA317" s="642">
        <v>0</v>
      </c>
      <c r="AB317" s="642">
        <v>0</v>
      </c>
      <c r="AC317" s="642">
        <v>0</v>
      </c>
      <c r="AD317" s="642">
        <v>0</v>
      </c>
      <c r="AE317" s="642">
        <v>0</v>
      </c>
      <c r="AF317" s="642">
        <v>0</v>
      </c>
      <c r="AG317" s="642">
        <v>0</v>
      </c>
      <c r="AH317" s="642">
        <v>0</v>
      </c>
      <c r="AI317" s="642">
        <v>0</v>
      </c>
      <c r="AJ317" s="642">
        <v>0</v>
      </c>
      <c r="AK317" s="650">
        <v>3.4995545373397139</v>
      </c>
    </row>
    <row r="318" spans="3:37" ht="13.5">
      <c r="C318" s="648" t="s">
        <v>75</v>
      </c>
      <c r="D318" s="642">
        <v>11.109900156250001</v>
      </c>
      <c r="E318" s="642">
        <v>0</v>
      </c>
      <c r="F318" s="642">
        <v>17.0641175716937</v>
      </c>
      <c r="G318" s="642">
        <v>4.8692961376638904</v>
      </c>
      <c r="H318" s="642">
        <v>0</v>
      </c>
      <c r="I318" s="642">
        <v>0</v>
      </c>
      <c r="J318" s="642">
        <v>0</v>
      </c>
      <c r="K318" s="642">
        <v>0</v>
      </c>
      <c r="L318" s="642">
        <v>0</v>
      </c>
      <c r="M318" s="642">
        <v>9.9373390564569189E-2</v>
      </c>
      <c r="N318" s="642">
        <v>0</v>
      </c>
      <c r="O318" s="642">
        <v>0</v>
      </c>
      <c r="P318" s="642">
        <v>27.977940148174714</v>
      </c>
      <c r="Q318" s="642">
        <v>0</v>
      </c>
      <c r="R318" s="642">
        <v>0</v>
      </c>
      <c r="S318" s="650">
        <v>61.12062740434687</v>
      </c>
      <c r="U318" s="648" t="s">
        <v>75</v>
      </c>
      <c r="V318" s="642">
        <v>2.585423095703125</v>
      </c>
      <c r="W318" s="642">
        <v>0</v>
      </c>
      <c r="X318" s="642">
        <v>17.0641175716937</v>
      </c>
      <c r="Y318" s="642">
        <v>2.4843347641142297</v>
      </c>
      <c r="Z318" s="642">
        <v>0</v>
      </c>
      <c r="AA318" s="642">
        <v>0</v>
      </c>
      <c r="AB318" s="642">
        <v>0</v>
      </c>
      <c r="AC318" s="642">
        <v>0</v>
      </c>
      <c r="AD318" s="642">
        <v>0</v>
      </c>
      <c r="AE318" s="642">
        <v>2.4843347641142297</v>
      </c>
      <c r="AF318" s="642">
        <v>0</v>
      </c>
      <c r="AG318" s="642">
        <v>0</v>
      </c>
      <c r="AH318" s="642">
        <v>36.559985602720168</v>
      </c>
      <c r="AI318" s="642">
        <v>0</v>
      </c>
      <c r="AJ318" s="642">
        <v>0</v>
      </c>
      <c r="AK318" s="650">
        <v>61.178195798345449</v>
      </c>
    </row>
    <row r="319" spans="3:37" ht="13.5">
      <c r="C319" s="648" t="s">
        <v>76</v>
      </c>
      <c r="D319" s="642">
        <v>0</v>
      </c>
      <c r="E319" s="642">
        <v>0</v>
      </c>
      <c r="F319" s="642">
        <v>0</v>
      </c>
      <c r="G319" s="642">
        <v>3.7302503173667452</v>
      </c>
      <c r="H319" s="642">
        <v>0</v>
      </c>
      <c r="I319" s="642">
        <v>0</v>
      </c>
      <c r="J319" s="642">
        <v>0</v>
      </c>
      <c r="K319" s="642">
        <v>0</v>
      </c>
      <c r="L319" s="642">
        <v>0</v>
      </c>
      <c r="M319" s="642">
        <v>7.6127557497280507E-2</v>
      </c>
      <c r="N319" s="642">
        <v>0</v>
      </c>
      <c r="O319" s="642">
        <v>0</v>
      </c>
      <c r="P319" s="642">
        <v>45.919010237367587</v>
      </c>
      <c r="Q319" s="642">
        <v>2.9343505562312622</v>
      </c>
      <c r="R319" s="642">
        <v>0</v>
      </c>
      <c r="S319" s="650">
        <v>52.659738668462872</v>
      </c>
      <c r="U319" s="648" t="s">
        <v>76</v>
      </c>
      <c r="V319" s="642">
        <v>0</v>
      </c>
      <c r="W319" s="642">
        <v>0</v>
      </c>
      <c r="X319" s="642">
        <v>0</v>
      </c>
      <c r="Y319" s="642">
        <v>0.95944671778813329</v>
      </c>
      <c r="Z319" s="642">
        <v>0</v>
      </c>
      <c r="AA319" s="642">
        <v>0</v>
      </c>
      <c r="AB319" s="642">
        <v>0</v>
      </c>
      <c r="AC319" s="642">
        <v>0</v>
      </c>
      <c r="AD319" s="642">
        <v>0</v>
      </c>
      <c r="AE319" s="642">
        <v>0.95944671778813329</v>
      </c>
      <c r="AF319" s="642">
        <v>0</v>
      </c>
      <c r="AG319" s="642">
        <v>0</v>
      </c>
      <c r="AH319" s="642">
        <v>49.138117436745475</v>
      </c>
      <c r="AI319" s="642">
        <v>5.7424951548403769</v>
      </c>
      <c r="AJ319" s="642">
        <v>0</v>
      </c>
      <c r="AK319" s="650">
        <v>56.799506027162117</v>
      </c>
    </row>
    <row r="320" spans="3:37" ht="13.5">
      <c r="C320" s="646" t="s">
        <v>77</v>
      </c>
      <c r="D320" s="647">
        <v>42.505000484775252</v>
      </c>
      <c r="E320" s="647">
        <v>484.495467583368</v>
      </c>
      <c r="F320" s="647">
        <v>-449.13421563675462</v>
      </c>
      <c r="G320" s="647">
        <v>47.207234809306371</v>
      </c>
      <c r="H320" s="647">
        <v>843.18181818181824</v>
      </c>
      <c r="I320" s="647">
        <v>306.94588327561422</v>
      </c>
      <c r="J320" s="647">
        <v>75.087544766016393</v>
      </c>
      <c r="K320" s="647">
        <v>18.554763704158422</v>
      </c>
      <c r="L320" s="647">
        <v>-23.523971773378101</v>
      </c>
      <c r="M320" s="647">
        <v>-5.3154503193453246</v>
      </c>
      <c r="N320" s="647">
        <v>0</v>
      </c>
      <c r="O320" s="647">
        <v>9.1176200722123912</v>
      </c>
      <c r="P320" s="647">
        <v>-542.13274839202359</v>
      </c>
      <c r="Q320" s="647">
        <v>-34.870731395116664</v>
      </c>
      <c r="R320" s="647">
        <v>-5.7492063580491291</v>
      </c>
      <c r="S320" s="647">
        <v>766.36900900260184</v>
      </c>
      <c r="U320" s="646" t="s">
        <v>77</v>
      </c>
      <c r="V320" s="647">
        <v>4.6118455145895494</v>
      </c>
      <c r="W320" s="647">
        <v>189.94114801549574</v>
      </c>
      <c r="X320" s="647">
        <v>-164.75055368632826</v>
      </c>
      <c r="Y320" s="647">
        <v>14.771936460533603</v>
      </c>
      <c r="Z320" s="647">
        <v>842.12121212121212</v>
      </c>
      <c r="AA320" s="647">
        <v>361.66588327561419</v>
      </c>
      <c r="AB320" s="647">
        <v>138.19810981289308</v>
      </c>
      <c r="AC320" s="647">
        <v>31.958068806629939</v>
      </c>
      <c r="AD320" s="647">
        <v>-114.15604749086444</v>
      </c>
      <c r="AE320" s="647">
        <v>-66.000175998632287</v>
      </c>
      <c r="AF320" s="647">
        <v>0</v>
      </c>
      <c r="AG320" s="647">
        <v>19.568792039795159</v>
      </c>
      <c r="AH320" s="647">
        <v>-532.33908982989124</v>
      </c>
      <c r="AI320" s="647">
        <v>-68.301024235701377</v>
      </c>
      <c r="AJ320" s="647">
        <v>-31.04291921337316</v>
      </c>
      <c r="AK320" s="647">
        <v>626.24718559197242</v>
      </c>
    </row>
    <row r="321" spans="3:37" ht="13">
      <c r="C321" s="636"/>
      <c r="D321" s="636">
        <v>0</v>
      </c>
      <c r="E321" s="636">
        <v>0</v>
      </c>
      <c r="F321" s="636">
        <v>0</v>
      </c>
      <c r="G321" s="636">
        <v>0</v>
      </c>
      <c r="H321" s="636">
        <v>0</v>
      </c>
      <c r="I321" s="636">
        <v>0</v>
      </c>
      <c r="J321" s="636">
        <v>0</v>
      </c>
      <c r="K321" s="636">
        <v>0</v>
      </c>
      <c r="L321" s="636">
        <v>0</v>
      </c>
      <c r="M321" s="636">
        <v>0</v>
      </c>
      <c r="N321" s="636">
        <v>0</v>
      </c>
      <c r="O321" s="636">
        <v>0</v>
      </c>
      <c r="P321" s="636">
        <v>0</v>
      </c>
      <c r="Q321" s="636">
        <v>0</v>
      </c>
      <c r="R321" s="636">
        <v>0</v>
      </c>
      <c r="S321" s="636">
        <v>0</v>
      </c>
      <c r="U321" s="636"/>
      <c r="V321" s="636">
        <v>0</v>
      </c>
      <c r="W321" s="636">
        <v>0</v>
      </c>
      <c r="X321" s="636">
        <v>0</v>
      </c>
      <c r="Y321" s="636">
        <v>0</v>
      </c>
      <c r="Z321" s="636">
        <v>0</v>
      </c>
      <c r="AA321" s="636">
        <v>0</v>
      </c>
      <c r="AB321" s="636">
        <v>0</v>
      </c>
      <c r="AC321" s="636">
        <v>0</v>
      </c>
      <c r="AD321" s="636">
        <v>0</v>
      </c>
      <c r="AE321" s="636">
        <v>0</v>
      </c>
      <c r="AF321" s="636">
        <v>0</v>
      </c>
      <c r="AG321" s="636">
        <v>0</v>
      </c>
      <c r="AH321" s="636">
        <v>0</v>
      </c>
      <c r="AI321" s="636">
        <v>0</v>
      </c>
      <c r="AJ321" s="636">
        <v>0</v>
      </c>
      <c r="AK321" s="636">
        <v>0</v>
      </c>
    </row>
    <row r="322" spans="3:37" ht="13.5">
      <c r="C322" s="648" t="s">
        <v>78</v>
      </c>
      <c r="D322" s="642">
        <v>4.6398193944555786</v>
      </c>
      <c r="E322" s="642">
        <v>0</v>
      </c>
      <c r="F322" s="642">
        <v>20.598782441852151</v>
      </c>
      <c r="G322" s="642">
        <v>94.839699954986926</v>
      </c>
      <c r="H322" s="642">
        <v>0</v>
      </c>
      <c r="I322" s="642">
        <v>0</v>
      </c>
      <c r="J322" s="642">
        <v>21.821162214793436</v>
      </c>
      <c r="K322" s="642">
        <v>1.7366010173968038</v>
      </c>
      <c r="L322" s="642">
        <v>0.96096945898437491</v>
      </c>
      <c r="M322" s="642">
        <v>1.9539169420126139</v>
      </c>
      <c r="N322" s="642">
        <v>0</v>
      </c>
      <c r="O322" s="642">
        <v>3.7537634069694789E-4</v>
      </c>
      <c r="P322" s="642">
        <v>113.419965125608</v>
      </c>
      <c r="Q322" s="642">
        <v>16.150451210263412</v>
      </c>
      <c r="R322" s="642">
        <v>0.26695886230468752</v>
      </c>
      <c r="S322" s="650">
        <v>276.38870199899873</v>
      </c>
      <c r="U322" s="648" t="s">
        <v>78</v>
      </c>
      <c r="V322" s="642">
        <v>1.264986561669641</v>
      </c>
      <c r="W322" s="642">
        <v>0</v>
      </c>
      <c r="X322" s="642">
        <v>4.4259635061357878</v>
      </c>
      <c r="Y322" s="642">
        <v>33.008089674756327</v>
      </c>
      <c r="Z322" s="642">
        <v>0</v>
      </c>
      <c r="AA322" s="642">
        <v>0</v>
      </c>
      <c r="AB322" s="642">
        <v>14.926911405045434</v>
      </c>
      <c r="AC322" s="642">
        <v>4.7591564459641997</v>
      </c>
      <c r="AD322" s="642">
        <v>6.4130046386718744</v>
      </c>
      <c r="AE322" s="642">
        <v>33.02650253605492</v>
      </c>
      <c r="AF322" s="642">
        <v>0</v>
      </c>
      <c r="AG322" s="642">
        <v>3.7537634069694789E-4</v>
      </c>
      <c r="AH322" s="642">
        <v>148.98135712801343</v>
      </c>
      <c r="AI322" s="642">
        <v>24.187634778338289</v>
      </c>
      <c r="AJ322" s="642">
        <v>7.9027373046875002</v>
      </c>
      <c r="AK322" s="650">
        <v>278.8967193556781</v>
      </c>
    </row>
    <row r="323" spans="3:37" ht="13.5">
      <c r="C323" s="648" t="s">
        <v>79</v>
      </c>
      <c r="D323" s="642">
        <v>0</v>
      </c>
      <c r="E323" s="642">
        <v>0</v>
      </c>
      <c r="F323" s="642">
        <v>225.72324837131151</v>
      </c>
      <c r="G323" s="642">
        <v>31.930807664827714</v>
      </c>
      <c r="H323" s="642">
        <v>0</v>
      </c>
      <c r="I323" s="642">
        <v>0</v>
      </c>
      <c r="J323" s="642">
        <v>0</v>
      </c>
      <c r="K323" s="642">
        <v>0</v>
      </c>
      <c r="L323" s="642">
        <v>21.777356740546686</v>
      </c>
      <c r="M323" s="642">
        <v>0.65164913601689212</v>
      </c>
      <c r="N323" s="642">
        <v>0</v>
      </c>
      <c r="O323" s="642">
        <v>0</v>
      </c>
      <c r="P323" s="642">
        <v>72.885841088882287</v>
      </c>
      <c r="Q323" s="642">
        <v>0</v>
      </c>
      <c r="R323" s="642">
        <v>2.6521266956987635</v>
      </c>
      <c r="S323" s="650">
        <v>355.62102969728386</v>
      </c>
      <c r="U323" s="648" t="s">
        <v>79</v>
      </c>
      <c r="V323" s="642">
        <v>0</v>
      </c>
      <c r="W323" s="642">
        <v>0</v>
      </c>
      <c r="X323" s="642">
        <v>19.003305935487372</v>
      </c>
      <c r="Y323" s="642">
        <v>13.267062862305856</v>
      </c>
      <c r="Z323" s="642">
        <v>0</v>
      </c>
      <c r="AA323" s="642">
        <v>0</v>
      </c>
      <c r="AB323" s="642">
        <v>0</v>
      </c>
      <c r="AC323" s="642">
        <v>0</v>
      </c>
      <c r="AD323" s="642">
        <v>27.757428454399612</v>
      </c>
      <c r="AE323" s="642">
        <v>13.267062862305856</v>
      </c>
      <c r="AF323" s="642">
        <v>0</v>
      </c>
      <c r="AG323" s="642">
        <v>0</v>
      </c>
      <c r="AH323" s="642">
        <v>94.556676700547257</v>
      </c>
      <c r="AI323" s="642">
        <v>0</v>
      </c>
      <c r="AJ323" s="642">
        <v>6.3130917169295051</v>
      </c>
      <c r="AK323" s="650">
        <v>174.16462853197544</v>
      </c>
    </row>
    <row r="324" spans="3:37" ht="13.5">
      <c r="C324" s="648" t="s">
        <v>80</v>
      </c>
      <c r="D324" s="642">
        <v>0</v>
      </c>
      <c r="E324" s="642">
        <v>0</v>
      </c>
      <c r="F324" s="642">
        <v>11.075929176351762</v>
      </c>
      <c r="G324" s="642">
        <v>76.664751333295058</v>
      </c>
      <c r="H324" s="642">
        <v>0</v>
      </c>
      <c r="I324" s="642">
        <v>0</v>
      </c>
      <c r="J324" s="642">
        <v>88.320247059496523</v>
      </c>
      <c r="K324" s="642">
        <v>0</v>
      </c>
      <c r="L324" s="642">
        <v>0</v>
      </c>
      <c r="M324" s="642">
        <v>1.5645867619039808</v>
      </c>
      <c r="N324" s="642">
        <v>59.616390446150973</v>
      </c>
      <c r="O324" s="642">
        <v>2.0734984243972754</v>
      </c>
      <c r="P324" s="642">
        <v>190.93239321884863</v>
      </c>
      <c r="Q324" s="642">
        <v>15.360003531773184</v>
      </c>
      <c r="R324" s="642">
        <v>0</v>
      </c>
      <c r="S324" s="650">
        <v>445.60779995221742</v>
      </c>
      <c r="U324" s="648" t="s">
        <v>80</v>
      </c>
      <c r="V324" s="642">
        <v>0</v>
      </c>
      <c r="W324" s="642">
        <v>0</v>
      </c>
      <c r="X324" s="642">
        <v>0.97925934500211753</v>
      </c>
      <c r="Y324" s="642">
        <v>9.8253088649292142</v>
      </c>
      <c r="Z324" s="642">
        <v>0</v>
      </c>
      <c r="AA324" s="642">
        <v>0</v>
      </c>
      <c r="AB324" s="642">
        <v>50.204880630535357</v>
      </c>
      <c r="AC324" s="642">
        <v>0</v>
      </c>
      <c r="AD324" s="642">
        <v>0</v>
      </c>
      <c r="AE324" s="642">
        <v>9.8253088649292142</v>
      </c>
      <c r="AF324" s="642">
        <v>95.02342184325245</v>
      </c>
      <c r="AG324" s="642">
        <v>4.208312775429496</v>
      </c>
      <c r="AH324" s="642">
        <v>144.38732956018927</v>
      </c>
      <c r="AI324" s="642">
        <v>30.75075127630511</v>
      </c>
      <c r="AJ324" s="642">
        <v>0</v>
      </c>
      <c r="AK324" s="650">
        <v>345.20457316057224</v>
      </c>
    </row>
    <row r="325" spans="3:37" ht="13.5">
      <c r="C325" s="648" t="s">
        <v>81</v>
      </c>
      <c r="D325" s="642">
        <v>0</v>
      </c>
      <c r="E325" s="642">
        <v>0</v>
      </c>
      <c r="F325" s="642">
        <v>2.6743117433405894</v>
      </c>
      <c r="G325" s="642">
        <v>62.987223173923248</v>
      </c>
      <c r="H325" s="642">
        <v>0</v>
      </c>
      <c r="I325" s="642">
        <v>0</v>
      </c>
      <c r="J325" s="642">
        <v>3.1384766478070549</v>
      </c>
      <c r="K325" s="642">
        <v>2.5274117631643136E-2</v>
      </c>
      <c r="L325" s="642">
        <v>0</v>
      </c>
      <c r="M325" s="642">
        <v>1.2854535341616988</v>
      </c>
      <c r="N325" s="642">
        <v>8.34801759276524</v>
      </c>
      <c r="O325" s="642">
        <v>0.71507622546549865</v>
      </c>
      <c r="P325" s="642">
        <v>142.0321146826426</v>
      </c>
      <c r="Q325" s="642">
        <v>3.3602766530800707</v>
      </c>
      <c r="R325" s="642">
        <v>0</v>
      </c>
      <c r="S325" s="650">
        <v>224.56622437081765</v>
      </c>
      <c r="U325" s="648" t="s">
        <v>81</v>
      </c>
      <c r="V325" s="642">
        <v>0</v>
      </c>
      <c r="W325" s="642">
        <v>0</v>
      </c>
      <c r="X325" s="642">
        <v>1.2256055704751125</v>
      </c>
      <c r="Y325" s="642">
        <v>7.2918833253665882</v>
      </c>
      <c r="Z325" s="642">
        <v>0</v>
      </c>
      <c r="AA325" s="642">
        <v>0</v>
      </c>
      <c r="AB325" s="642">
        <v>6.8658928642747856</v>
      </c>
      <c r="AC325" s="642">
        <v>2.5274117631643136E-2</v>
      </c>
      <c r="AD325" s="642">
        <v>0</v>
      </c>
      <c r="AE325" s="642">
        <v>7.2918833253665882</v>
      </c>
      <c r="AF325" s="642">
        <v>14.828462979838848</v>
      </c>
      <c r="AG325" s="642">
        <v>1.5197231438340593</v>
      </c>
      <c r="AH325" s="642">
        <v>114.40426288608282</v>
      </c>
      <c r="AI325" s="642">
        <v>13.362638181057982</v>
      </c>
      <c r="AJ325" s="642">
        <v>0</v>
      </c>
      <c r="AK325" s="650">
        <v>166.8156263939284</v>
      </c>
    </row>
    <row r="326" spans="3:37" ht="13.5">
      <c r="C326" s="648" t="s">
        <v>82</v>
      </c>
      <c r="D326" s="642">
        <v>0</v>
      </c>
      <c r="E326" s="642">
        <v>0</v>
      </c>
      <c r="F326" s="642">
        <v>27.931723909553636</v>
      </c>
      <c r="G326" s="642">
        <v>0.95472649492283324</v>
      </c>
      <c r="H326" s="642">
        <v>0</v>
      </c>
      <c r="I326" s="642">
        <v>0</v>
      </c>
      <c r="J326" s="642">
        <v>4.6306119511950978</v>
      </c>
      <c r="K326" s="642">
        <v>0</v>
      </c>
      <c r="L326" s="642">
        <v>3.1934862443619529</v>
      </c>
      <c r="M326" s="642">
        <v>1.9484214182098638E-2</v>
      </c>
      <c r="N326" s="642">
        <v>0</v>
      </c>
      <c r="O326" s="642">
        <v>6.6456137421005312E-2</v>
      </c>
      <c r="P326" s="642">
        <v>5.7660712732306445</v>
      </c>
      <c r="Q326" s="642">
        <v>0</v>
      </c>
      <c r="R326" s="642">
        <v>0</v>
      </c>
      <c r="S326" s="650">
        <v>42.562560224867276</v>
      </c>
      <c r="U326" s="648" t="s">
        <v>82</v>
      </c>
      <c r="V326" s="642">
        <v>0</v>
      </c>
      <c r="W326" s="642">
        <v>0</v>
      </c>
      <c r="X326" s="642">
        <v>3.5775053425595864</v>
      </c>
      <c r="Y326" s="642">
        <v>0.56393102033742082</v>
      </c>
      <c r="Z326" s="642">
        <v>0</v>
      </c>
      <c r="AA326" s="642">
        <v>0</v>
      </c>
      <c r="AB326" s="642">
        <v>4.6306119511950978</v>
      </c>
      <c r="AC326" s="642">
        <v>0</v>
      </c>
      <c r="AD326" s="642">
        <v>32.861113305842508</v>
      </c>
      <c r="AE326" s="642">
        <v>0.56393102033742082</v>
      </c>
      <c r="AF326" s="642">
        <v>0</v>
      </c>
      <c r="AG326" s="642">
        <v>1.7440136932478227</v>
      </c>
      <c r="AH326" s="642">
        <v>5.8866318405152116</v>
      </c>
      <c r="AI326" s="642">
        <v>0</v>
      </c>
      <c r="AJ326" s="642">
        <v>0.38427420359697795</v>
      </c>
      <c r="AK326" s="650">
        <v>50.21201237763205</v>
      </c>
    </row>
    <row r="327" spans="3:37" ht="13.5">
      <c r="C327" s="648" t="s">
        <v>357</v>
      </c>
      <c r="D327" s="642">
        <v>0</v>
      </c>
      <c r="E327" s="642">
        <v>0</v>
      </c>
      <c r="F327" s="642">
        <v>0</v>
      </c>
      <c r="G327" s="642">
        <v>0</v>
      </c>
      <c r="H327" s="642">
        <v>0</v>
      </c>
      <c r="I327" s="642">
        <v>0</v>
      </c>
      <c r="J327" s="642">
        <v>0</v>
      </c>
      <c r="K327" s="642">
        <v>0</v>
      </c>
      <c r="L327" s="642">
        <v>0</v>
      </c>
      <c r="M327" s="642">
        <v>0</v>
      </c>
      <c r="N327" s="642">
        <v>0</v>
      </c>
      <c r="O327" s="642">
        <v>0</v>
      </c>
      <c r="P327" s="642">
        <v>0.39</v>
      </c>
      <c r="Q327" s="642">
        <v>0</v>
      </c>
      <c r="R327" s="642">
        <v>0</v>
      </c>
      <c r="S327" s="650">
        <v>0.39</v>
      </c>
      <c r="U327" s="648" t="s">
        <v>357</v>
      </c>
      <c r="V327" s="642">
        <v>0</v>
      </c>
      <c r="W327" s="642">
        <v>0</v>
      </c>
      <c r="X327" s="642">
        <v>0</v>
      </c>
      <c r="Y327" s="642">
        <v>0</v>
      </c>
      <c r="Z327" s="642">
        <v>0</v>
      </c>
      <c r="AA327" s="642">
        <v>0</v>
      </c>
      <c r="AB327" s="642">
        <v>0</v>
      </c>
      <c r="AC327" s="642">
        <v>0</v>
      </c>
      <c r="AD327" s="642">
        <v>0</v>
      </c>
      <c r="AE327" s="642">
        <v>0</v>
      </c>
      <c r="AF327" s="642">
        <v>0</v>
      </c>
      <c r="AG327" s="642">
        <v>0</v>
      </c>
      <c r="AH327" s="642">
        <v>3.5999999999999996</v>
      </c>
      <c r="AI327" s="642">
        <v>0</v>
      </c>
      <c r="AJ327" s="642">
        <v>0</v>
      </c>
      <c r="AK327" s="650">
        <v>3.5999999999999996</v>
      </c>
    </row>
    <row r="328" spans="3:37" ht="13.5">
      <c r="C328" s="646" t="s">
        <v>83</v>
      </c>
      <c r="D328" s="647">
        <v>4.6398193944555786</v>
      </c>
      <c r="E328" s="647">
        <v>0</v>
      </c>
      <c r="F328" s="647">
        <v>288.00399564240968</v>
      </c>
      <c r="G328" s="647">
        <v>267.37720862195579</v>
      </c>
      <c r="H328" s="647">
        <v>0</v>
      </c>
      <c r="I328" s="647">
        <v>0</v>
      </c>
      <c r="J328" s="647">
        <v>117.91049787329212</v>
      </c>
      <c r="K328" s="647">
        <v>1.7618751350284469</v>
      </c>
      <c r="L328" s="647">
        <v>25.931812443893016</v>
      </c>
      <c r="M328" s="647">
        <v>5.4750905882772853</v>
      </c>
      <c r="N328" s="647">
        <v>67.964408038916218</v>
      </c>
      <c r="O328" s="647">
        <v>2.8554061636244761</v>
      </c>
      <c r="P328" s="647">
        <v>525.4263853892121</v>
      </c>
      <c r="Q328" s="647">
        <v>34.870731395116664</v>
      </c>
      <c r="R328" s="647">
        <v>2.9190855580034509</v>
      </c>
      <c r="S328" s="647">
        <v>1345.1363162441851</v>
      </c>
      <c r="U328" s="646" t="s">
        <v>83</v>
      </c>
      <c r="V328" s="647">
        <v>1.264986561669641</v>
      </c>
      <c r="W328" s="647">
        <v>0</v>
      </c>
      <c r="X328" s="647">
        <v>29.211639699659976</v>
      </c>
      <c r="Y328" s="647">
        <v>63.956275747695408</v>
      </c>
      <c r="Z328" s="647">
        <v>0</v>
      </c>
      <c r="AA328" s="647">
        <v>0</v>
      </c>
      <c r="AB328" s="647">
        <v>76.628296851050663</v>
      </c>
      <c r="AC328" s="647">
        <v>4.7844305635958433</v>
      </c>
      <c r="AD328" s="647">
        <v>67.031546398914003</v>
      </c>
      <c r="AE328" s="647">
        <v>63.974688608994001</v>
      </c>
      <c r="AF328" s="647">
        <v>109.8518848230913</v>
      </c>
      <c r="AG328" s="647">
        <v>7.4724249888520751</v>
      </c>
      <c r="AH328" s="647">
        <v>511.81625811534803</v>
      </c>
      <c r="AI328" s="647">
        <v>68.301024235701377</v>
      </c>
      <c r="AJ328" s="647">
        <v>14.600103225213982</v>
      </c>
      <c r="AK328" s="647">
        <v>1018.8935598197862</v>
      </c>
    </row>
    <row r="329" spans="3:37" ht="13.5">
      <c r="C329" s="641" t="s">
        <v>84</v>
      </c>
      <c r="D329" s="642">
        <v>0</v>
      </c>
      <c r="E329" s="642">
        <v>0</v>
      </c>
      <c r="F329" s="642">
        <v>104.91003257681685</v>
      </c>
      <c r="G329" s="642">
        <v>11.505661507854215</v>
      </c>
      <c r="H329" s="642">
        <v>0</v>
      </c>
      <c r="I329" s="642">
        <v>0</v>
      </c>
      <c r="J329" s="642">
        <v>0</v>
      </c>
      <c r="K329" s="642">
        <v>0</v>
      </c>
      <c r="L329" s="642">
        <v>0</v>
      </c>
      <c r="M329" s="642">
        <v>0</v>
      </c>
      <c r="N329" s="642">
        <v>0</v>
      </c>
      <c r="O329" s="642">
        <v>0</v>
      </c>
      <c r="P329" s="642">
        <v>0</v>
      </c>
      <c r="Q329" s="642">
        <v>0</v>
      </c>
      <c r="R329" s="642">
        <v>2.8301208000456781</v>
      </c>
      <c r="S329" s="650">
        <v>119.24581488471674</v>
      </c>
      <c r="U329" s="641" t="s">
        <v>84</v>
      </c>
      <c r="V329" s="642">
        <v>0</v>
      </c>
      <c r="W329" s="642">
        <v>0</v>
      </c>
      <c r="X329" s="642">
        <v>70.401025384734808</v>
      </c>
      <c r="Y329" s="642">
        <v>0.81519182748409058</v>
      </c>
      <c r="Z329" s="642">
        <v>0</v>
      </c>
      <c r="AA329" s="642">
        <v>0</v>
      </c>
      <c r="AB329" s="642">
        <v>0</v>
      </c>
      <c r="AC329" s="642">
        <v>0</v>
      </c>
      <c r="AD329" s="642">
        <v>24.563190847778323</v>
      </c>
      <c r="AE329" s="642">
        <v>0</v>
      </c>
      <c r="AF329" s="642">
        <v>0</v>
      </c>
      <c r="AG329" s="642">
        <v>0</v>
      </c>
      <c r="AH329" s="642">
        <v>0</v>
      </c>
      <c r="AI329" s="642">
        <v>0</v>
      </c>
      <c r="AJ329" s="642">
        <v>16.442815988159179</v>
      </c>
      <c r="AK329" s="650">
        <v>112.22222404815641</v>
      </c>
    </row>
    <row r="330" spans="3:37" ht="13.5">
      <c r="C330" s="646" t="s">
        <v>85</v>
      </c>
      <c r="D330" s="647">
        <v>4.6398193944555786</v>
      </c>
      <c r="E330" s="647">
        <v>0</v>
      </c>
      <c r="F330" s="647">
        <v>392.91402821922651</v>
      </c>
      <c r="G330" s="647">
        <v>278.88287012980999</v>
      </c>
      <c r="H330" s="647">
        <v>0</v>
      </c>
      <c r="I330" s="647">
        <v>0</v>
      </c>
      <c r="J330" s="647">
        <v>117.91049787329212</v>
      </c>
      <c r="K330" s="647">
        <v>1.7618751350284469</v>
      </c>
      <c r="L330" s="647">
        <v>25.931812443893016</v>
      </c>
      <c r="M330" s="647">
        <v>5.4750905882772853</v>
      </c>
      <c r="N330" s="647">
        <v>67.964408038916218</v>
      </c>
      <c r="O330" s="647">
        <v>2.8554061636244761</v>
      </c>
      <c r="P330" s="647">
        <v>525.4263853892121</v>
      </c>
      <c r="Q330" s="647">
        <v>34.870731395116664</v>
      </c>
      <c r="R330" s="647">
        <v>5.7492063580491291</v>
      </c>
      <c r="S330" s="647">
        <v>1464.3821311289018</v>
      </c>
      <c r="U330" s="646" t="s">
        <v>85</v>
      </c>
      <c r="V330" s="647">
        <v>1.264986561669641</v>
      </c>
      <c r="W330" s="647">
        <v>0</v>
      </c>
      <c r="X330" s="647">
        <v>99.612665084394791</v>
      </c>
      <c r="Y330" s="647">
        <v>64.7714675751795</v>
      </c>
      <c r="Z330" s="647">
        <v>0</v>
      </c>
      <c r="AA330" s="647">
        <v>0</v>
      </c>
      <c r="AB330" s="647">
        <v>76.628296851050663</v>
      </c>
      <c r="AC330" s="647">
        <v>4.7844305635958433</v>
      </c>
      <c r="AD330" s="647">
        <v>91.594737246692318</v>
      </c>
      <c r="AE330" s="647">
        <v>63.974688608994001</v>
      </c>
      <c r="AF330" s="647">
        <v>109.8518848230913</v>
      </c>
      <c r="AG330" s="647">
        <v>7.4724249888520751</v>
      </c>
      <c r="AH330" s="647">
        <v>511.81625811534803</v>
      </c>
      <c r="AI330" s="647">
        <v>68.301024235701377</v>
      </c>
      <c r="AJ330" s="647">
        <v>31.04291921337316</v>
      </c>
      <c r="AK330" s="647">
        <v>1131.1157838679426</v>
      </c>
    </row>
    <row r="331" spans="3:37" ht="13">
      <c r="C331" s="636"/>
      <c r="D331" s="636"/>
      <c r="E331" s="636"/>
      <c r="F331" s="636"/>
      <c r="G331" s="636"/>
      <c r="H331" s="636"/>
      <c r="I331" s="636"/>
      <c r="J331" s="636"/>
      <c r="K331" s="636"/>
      <c r="L331" s="636"/>
      <c r="M331" s="636"/>
      <c r="N331" s="636"/>
      <c r="O331" s="636"/>
      <c r="P331" s="636"/>
      <c r="Q331" s="636"/>
      <c r="R331" s="636"/>
      <c r="S331" s="636"/>
      <c r="U331" s="636"/>
      <c r="V331" s="636"/>
      <c r="W331" s="636"/>
      <c r="X331" s="636"/>
      <c r="Y331" s="636"/>
      <c r="Z331" s="636"/>
      <c r="AA331" s="636"/>
      <c r="AB331" s="636"/>
      <c r="AC331" s="636"/>
      <c r="AD331" s="636"/>
      <c r="AE331" s="636"/>
      <c r="AF331" s="636"/>
      <c r="AG331" s="636"/>
      <c r="AH331" s="636"/>
      <c r="AI331" s="636"/>
      <c r="AJ331" s="636"/>
      <c r="AK331" s="636"/>
    </row>
    <row r="332" spans="3:37" ht="22.5">
      <c r="C332" s="699" t="s">
        <v>89</v>
      </c>
      <c r="D332" s="699"/>
      <c r="E332" s="699"/>
      <c r="F332" s="699"/>
      <c r="G332" s="699"/>
      <c r="H332" s="699"/>
      <c r="I332" s="699"/>
      <c r="J332" s="699"/>
      <c r="K332" s="699"/>
      <c r="L332" s="699"/>
      <c r="M332" s="699"/>
      <c r="N332" s="699"/>
      <c r="O332" s="699"/>
      <c r="P332" s="699"/>
      <c r="Q332" s="699"/>
      <c r="R332" s="699"/>
      <c r="S332" s="699"/>
      <c r="U332" s="699" t="s">
        <v>89</v>
      </c>
      <c r="V332" s="699"/>
      <c r="W332" s="699"/>
      <c r="X332" s="699"/>
      <c r="Y332" s="699"/>
      <c r="Z332" s="699"/>
      <c r="AA332" s="699"/>
      <c r="AB332" s="699"/>
      <c r="AC332" s="699"/>
      <c r="AD332" s="699"/>
      <c r="AE332" s="699"/>
      <c r="AF332" s="699"/>
      <c r="AG332" s="699"/>
      <c r="AH332" s="699"/>
      <c r="AI332" s="699"/>
      <c r="AJ332" s="699"/>
      <c r="AK332" s="699"/>
    </row>
    <row r="333" spans="3:37" ht="13">
      <c r="C333" s="636"/>
      <c r="D333" s="636"/>
      <c r="E333" s="636"/>
      <c r="F333" s="636"/>
      <c r="G333" s="636"/>
      <c r="H333" s="636"/>
      <c r="I333" s="636"/>
      <c r="J333" s="636"/>
      <c r="K333" s="636"/>
      <c r="L333" s="636"/>
      <c r="M333" s="636"/>
      <c r="N333" s="636"/>
      <c r="O333" s="636"/>
      <c r="P333" s="636"/>
      <c r="Q333" s="636"/>
      <c r="R333" s="636"/>
      <c r="S333" s="636"/>
      <c r="U333" s="636"/>
      <c r="V333" s="636"/>
      <c r="W333" s="636"/>
      <c r="X333" s="636"/>
      <c r="Y333" s="636"/>
      <c r="Z333" s="636"/>
      <c r="AA333" s="636"/>
      <c r="AB333" s="636"/>
      <c r="AC333" s="636"/>
      <c r="AD333" s="636"/>
      <c r="AE333" s="636"/>
      <c r="AF333" s="636"/>
      <c r="AG333" s="636"/>
      <c r="AH333" s="636"/>
      <c r="AI333" s="636"/>
      <c r="AJ333" s="636"/>
      <c r="AK333" s="636"/>
    </row>
    <row r="334" spans="3:37" ht="13" customHeight="1">
      <c r="C334" s="700" t="s">
        <v>128</v>
      </c>
      <c r="D334" s="701" t="s">
        <v>42</v>
      </c>
      <c r="E334" s="701" t="s">
        <v>52</v>
      </c>
      <c r="F334" s="701" t="s">
        <v>53</v>
      </c>
      <c r="G334" s="701" t="s">
        <v>32</v>
      </c>
      <c r="H334" s="701" t="s">
        <v>20</v>
      </c>
      <c r="I334" s="701" t="s">
        <v>55</v>
      </c>
      <c r="J334" s="701" t="s">
        <v>56</v>
      </c>
      <c r="K334" s="701"/>
      <c r="L334" s="701"/>
      <c r="M334" s="701"/>
      <c r="N334" s="701"/>
      <c r="O334" s="701"/>
      <c r="P334" s="701" t="s">
        <v>57</v>
      </c>
      <c r="Q334" s="701" t="s">
        <v>58</v>
      </c>
      <c r="R334" s="701" t="s">
        <v>31</v>
      </c>
      <c r="S334" s="701" t="s">
        <v>10</v>
      </c>
      <c r="U334" s="700" t="s">
        <v>128</v>
      </c>
      <c r="V334" s="701" t="s">
        <v>42</v>
      </c>
      <c r="W334" s="701" t="s">
        <v>52</v>
      </c>
      <c r="X334" s="701" t="s">
        <v>53</v>
      </c>
      <c r="Y334" s="701" t="s">
        <v>32</v>
      </c>
      <c r="Z334" s="701" t="s">
        <v>20</v>
      </c>
      <c r="AA334" s="701" t="s">
        <v>55</v>
      </c>
      <c r="AB334" s="701" t="s">
        <v>56</v>
      </c>
      <c r="AC334" s="701"/>
      <c r="AD334" s="701"/>
      <c r="AE334" s="701"/>
      <c r="AF334" s="701"/>
      <c r="AG334" s="701"/>
      <c r="AH334" s="701" t="s">
        <v>57</v>
      </c>
      <c r="AI334" s="701" t="s">
        <v>58</v>
      </c>
      <c r="AJ334" s="701" t="s">
        <v>31</v>
      </c>
      <c r="AK334" s="701" t="s">
        <v>10</v>
      </c>
    </row>
    <row r="335" spans="3:37" ht="46">
      <c r="C335" s="700"/>
      <c r="D335" s="701"/>
      <c r="E335" s="701"/>
      <c r="F335" s="701"/>
      <c r="G335" s="701"/>
      <c r="H335" s="701"/>
      <c r="I335" s="701"/>
      <c r="J335" s="640" t="s">
        <v>338</v>
      </c>
      <c r="K335" s="640" t="s">
        <v>40</v>
      </c>
      <c r="L335" s="640" t="s">
        <v>346</v>
      </c>
      <c r="M335" s="640" t="s">
        <v>347</v>
      </c>
      <c r="N335" s="640" t="s">
        <v>348</v>
      </c>
      <c r="O335" s="640" t="s">
        <v>349</v>
      </c>
      <c r="P335" s="701"/>
      <c r="Q335" s="701"/>
      <c r="R335" s="701"/>
      <c r="S335" s="701"/>
      <c r="U335" s="700"/>
      <c r="V335" s="701"/>
      <c r="W335" s="701"/>
      <c r="X335" s="701"/>
      <c r="Y335" s="701"/>
      <c r="Z335" s="701"/>
      <c r="AA335" s="701"/>
      <c r="AB335" s="640" t="s">
        <v>338</v>
      </c>
      <c r="AC335" s="640" t="s">
        <v>40</v>
      </c>
      <c r="AD335" s="640" t="s">
        <v>346</v>
      </c>
      <c r="AE335" s="640" t="s">
        <v>347</v>
      </c>
      <c r="AF335" s="640" t="s">
        <v>348</v>
      </c>
      <c r="AG335" s="640" t="s">
        <v>349</v>
      </c>
      <c r="AH335" s="701"/>
      <c r="AI335" s="701"/>
      <c r="AJ335" s="701"/>
      <c r="AK335" s="701"/>
    </row>
    <row r="336" spans="3:37" ht="13.5">
      <c r="C336" s="641" t="s">
        <v>59</v>
      </c>
      <c r="D336" s="642">
        <v>0</v>
      </c>
      <c r="E336" s="643">
        <v>0</v>
      </c>
      <c r="F336" s="643">
        <v>0</v>
      </c>
      <c r="G336" s="642">
        <v>0</v>
      </c>
      <c r="H336" s="643">
        <v>727.27272727272737</v>
      </c>
      <c r="I336" s="643">
        <v>338.37995078139568</v>
      </c>
      <c r="J336" s="643">
        <v>185.12606679296266</v>
      </c>
      <c r="K336" s="643">
        <v>19.887492227897642</v>
      </c>
      <c r="L336" s="643">
        <v>0.67629573379861951</v>
      </c>
      <c r="M336" s="643">
        <v>0.16041590589481752</v>
      </c>
      <c r="N336" s="643">
        <v>75.083762899489528</v>
      </c>
      <c r="O336" s="643">
        <v>12.515766779598991</v>
      </c>
      <c r="P336" s="644">
        <v>0</v>
      </c>
      <c r="Q336" s="643">
        <v>0</v>
      </c>
      <c r="R336" s="643">
        <v>0</v>
      </c>
      <c r="S336" s="645">
        <v>1359.1024783937653</v>
      </c>
      <c r="U336" s="641" t="s">
        <v>59</v>
      </c>
      <c r="V336" s="642">
        <v>0</v>
      </c>
      <c r="W336" s="643">
        <v>0</v>
      </c>
      <c r="X336" s="643">
        <v>0</v>
      </c>
      <c r="Y336" s="642">
        <v>0</v>
      </c>
      <c r="Z336" s="643">
        <v>764.84848484848499</v>
      </c>
      <c r="AA336" s="643">
        <v>423.19995078139567</v>
      </c>
      <c r="AB336" s="643">
        <v>256.09062969225096</v>
      </c>
      <c r="AC336" s="643">
        <v>36.108430969743218</v>
      </c>
      <c r="AD336" s="643">
        <v>0.67629573379861951</v>
      </c>
      <c r="AE336" s="643">
        <v>0.16041590589481752</v>
      </c>
      <c r="AF336" s="643">
        <v>123.16818516374138</v>
      </c>
      <c r="AG336" s="643">
        <v>30.250193334526926</v>
      </c>
      <c r="AH336" s="644">
        <v>0</v>
      </c>
      <c r="AI336" s="643">
        <v>0</v>
      </c>
      <c r="AJ336" s="643">
        <v>0</v>
      </c>
      <c r="AK336" s="645">
        <v>1634.5025864298366</v>
      </c>
    </row>
    <row r="337" spans="3:37" ht="13.5">
      <c r="C337" s="641" t="s">
        <v>60</v>
      </c>
      <c r="D337" s="642">
        <v>46.099891323621534</v>
      </c>
      <c r="E337" s="643">
        <v>464.7986487</v>
      </c>
      <c r="F337" s="643">
        <v>48.534128715927544</v>
      </c>
      <c r="G337" s="642">
        <v>345.55093723566335</v>
      </c>
      <c r="H337" s="643">
        <v>0</v>
      </c>
      <c r="I337" s="643">
        <v>0</v>
      </c>
      <c r="J337" s="643">
        <v>5.7213435879484642</v>
      </c>
      <c r="K337" s="643">
        <v>0</v>
      </c>
      <c r="L337" s="643">
        <v>3.0565993326094723</v>
      </c>
      <c r="M337" s="643">
        <v>0</v>
      </c>
      <c r="N337" s="643">
        <v>0</v>
      </c>
      <c r="O337" s="643">
        <v>0</v>
      </c>
      <c r="P337" s="644">
        <v>0</v>
      </c>
      <c r="Q337" s="643">
        <v>0</v>
      </c>
      <c r="R337" s="643">
        <v>0</v>
      </c>
      <c r="S337" s="645">
        <v>913.76154889577037</v>
      </c>
      <c r="U337" s="641" t="s">
        <v>60</v>
      </c>
      <c r="V337" s="642">
        <v>4.5871215860372576</v>
      </c>
      <c r="W337" s="643">
        <v>113.59926767676768</v>
      </c>
      <c r="X337" s="643">
        <v>20.138935454909394</v>
      </c>
      <c r="Y337" s="642">
        <v>0.51452681198611927</v>
      </c>
      <c r="Z337" s="643">
        <v>0</v>
      </c>
      <c r="AA337" s="643">
        <v>0</v>
      </c>
      <c r="AB337" s="643">
        <v>5.7213435879484642</v>
      </c>
      <c r="AC337" s="643">
        <v>0</v>
      </c>
      <c r="AD337" s="643">
        <v>3.0565993326094723</v>
      </c>
      <c r="AE337" s="643">
        <v>0</v>
      </c>
      <c r="AF337" s="643">
        <v>0</v>
      </c>
      <c r="AG337" s="643">
        <v>0</v>
      </c>
      <c r="AH337" s="644">
        <v>0</v>
      </c>
      <c r="AI337" s="643">
        <v>0</v>
      </c>
      <c r="AJ337" s="643">
        <v>0</v>
      </c>
      <c r="AK337" s="645">
        <v>147.6177944502584</v>
      </c>
    </row>
    <row r="338" spans="3:37" ht="13.5">
      <c r="C338" s="641" t="s">
        <v>61</v>
      </c>
      <c r="D338" s="642">
        <v>0</v>
      </c>
      <c r="E338" s="643">
        <v>0</v>
      </c>
      <c r="F338" s="643">
        <v>0</v>
      </c>
      <c r="G338" s="642">
        <v>0</v>
      </c>
      <c r="H338" s="643">
        <v>0</v>
      </c>
      <c r="I338" s="643">
        <v>0</v>
      </c>
      <c r="J338" s="643">
        <v>0</v>
      </c>
      <c r="K338" s="643">
        <v>0</v>
      </c>
      <c r="L338" s="643">
        <v>0</v>
      </c>
      <c r="M338" s="643">
        <v>0</v>
      </c>
      <c r="N338" s="643">
        <v>0</v>
      </c>
      <c r="O338" s="643">
        <v>0</v>
      </c>
      <c r="P338" s="644">
        <v>-12.7985093299136</v>
      </c>
      <c r="Q338" s="643">
        <v>0</v>
      </c>
      <c r="R338" s="643">
        <v>0</v>
      </c>
      <c r="S338" s="645">
        <v>-12.7985093299136</v>
      </c>
      <c r="U338" s="641" t="s">
        <v>61</v>
      </c>
      <c r="V338" s="642">
        <v>0</v>
      </c>
      <c r="W338" s="643">
        <v>0</v>
      </c>
      <c r="X338" s="643">
        <v>0</v>
      </c>
      <c r="Y338" s="642">
        <v>0</v>
      </c>
      <c r="Z338" s="643">
        <v>0</v>
      </c>
      <c r="AA338" s="643">
        <v>0</v>
      </c>
      <c r="AB338" s="643">
        <v>0</v>
      </c>
      <c r="AC338" s="643">
        <v>0</v>
      </c>
      <c r="AD338" s="643">
        <v>0</v>
      </c>
      <c r="AE338" s="643">
        <v>0</v>
      </c>
      <c r="AF338" s="643">
        <v>0</v>
      </c>
      <c r="AG338" s="643">
        <v>0</v>
      </c>
      <c r="AH338" s="644">
        <v>-41.639986107117011</v>
      </c>
      <c r="AI338" s="643">
        <v>0</v>
      </c>
      <c r="AJ338" s="643">
        <v>0</v>
      </c>
      <c r="AK338" s="645">
        <v>-41.639986107117011</v>
      </c>
    </row>
    <row r="339" spans="3:37" ht="13.5">
      <c r="C339" s="641" t="s">
        <v>62</v>
      </c>
      <c r="D339" s="642">
        <v>0</v>
      </c>
      <c r="E339" s="643">
        <v>0</v>
      </c>
      <c r="F339" s="643">
        <v>-14.431507774067331</v>
      </c>
      <c r="G339" s="642">
        <v>0</v>
      </c>
      <c r="H339" s="643">
        <v>0</v>
      </c>
      <c r="I339" s="643">
        <v>0</v>
      </c>
      <c r="J339" s="643">
        <v>0</v>
      </c>
      <c r="K339" s="643">
        <v>0</v>
      </c>
      <c r="L339" s="643">
        <v>0</v>
      </c>
      <c r="M339" s="643">
        <v>0</v>
      </c>
      <c r="N339" s="643">
        <v>0</v>
      </c>
      <c r="O339" s="643">
        <v>0</v>
      </c>
      <c r="P339" s="644">
        <v>0</v>
      </c>
      <c r="Q339" s="643">
        <v>0</v>
      </c>
      <c r="R339" s="643">
        <v>0</v>
      </c>
      <c r="S339" s="645">
        <v>-14.431507774067331</v>
      </c>
      <c r="U339" s="641" t="s">
        <v>62</v>
      </c>
      <c r="V339" s="642">
        <v>0</v>
      </c>
      <c r="W339" s="643">
        <v>0</v>
      </c>
      <c r="X339" s="643">
        <v>-5.3013702027186111</v>
      </c>
      <c r="Y339" s="642">
        <v>0</v>
      </c>
      <c r="Z339" s="643">
        <v>0</v>
      </c>
      <c r="AA339" s="643">
        <v>0</v>
      </c>
      <c r="AB339" s="643">
        <v>0</v>
      </c>
      <c r="AC339" s="643">
        <v>0</v>
      </c>
      <c r="AD339" s="643">
        <v>0</v>
      </c>
      <c r="AE339" s="643">
        <v>-5.1137296191648005</v>
      </c>
      <c r="AF339" s="643">
        <v>0</v>
      </c>
      <c r="AG339" s="643">
        <v>0</v>
      </c>
      <c r="AH339" s="644">
        <v>0</v>
      </c>
      <c r="AI339" s="643">
        <v>0</v>
      </c>
      <c r="AJ339" s="643">
        <v>0</v>
      </c>
      <c r="AK339" s="645">
        <v>-10.415099821883413</v>
      </c>
    </row>
    <row r="340" spans="3:37" ht="13.5">
      <c r="C340" s="641" t="s">
        <v>63</v>
      </c>
      <c r="D340" s="642">
        <v>0</v>
      </c>
      <c r="E340" s="643">
        <v>0</v>
      </c>
      <c r="F340" s="643">
        <v>-93.443844381495637</v>
      </c>
      <c r="G340" s="642">
        <v>0</v>
      </c>
      <c r="H340" s="643">
        <v>0</v>
      </c>
      <c r="I340" s="643">
        <v>0</v>
      </c>
      <c r="J340" s="643">
        <v>0</v>
      </c>
      <c r="K340" s="643">
        <v>0</v>
      </c>
      <c r="L340" s="643">
        <v>-0.96889726774865159</v>
      </c>
      <c r="M340" s="643">
        <v>0</v>
      </c>
      <c r="N340" s="643">
        <v>0</v>
      </c>
      <c r="O340" s="643">
        <v>0</v>
      </c>
      <c r="P340" s="644">
        <v>0</v>
      </c>
      <c r="Q340" s="643">
        <v>0</v>
      </c>
      <c r="R340" s="643">
        <v>0</v>
      </c>
      <c r="S340" s="645">
        <v>-94.412741649244282</v>
      </c>
      <c r="U340" s="641" t="s">
        <v>63</v>
      </c>
      <c r="V340" s="642">
        <v>0</v>
      </c>
      <c r="W340" s="643">
        <v>0</v>
      </c>
      <c r="X340" s="643">
        <v>-35.841594545498886</v>
      </c>
      <c r="Y340" s="642">
        <v>0</v>
      </c>
      <c r="Z340" s="643">
        <v>0</v>
      </c>
      <c r="AA340" s="643">
        <v>0</v>
      </c>
      <c r="AB340" s="643">
        <v>0</v>
      </c>
      <c r="AC340" s="643">
        <v>0</v>
      </c>
      <c r="AD340" s="643">
        <v>-46.567340427053182</v>
      </c>
      <c r="AE340" s="643">
        <v>0</v>
      </c>
      <c r="AF340" s="643">
        <v>0</v>
      </c>
      <c r="AG340" s="643">
        <v>0</v>
      </c>
      <c r="AH340" s="644">
        <v>0</v>
      </c>
      <c r="AI340" s="643">
        <v>0</v>
      </c>
      <c r="AJ340" s="643">
        <v>0</v>
      </c>
      <c r="AK340" s="645">
        <v>-82.408934972552061</v>
      </c>
    </row>
    <row r="341" spans="3:37" ht="13.5">
      <c r="C341" s="641" t="s">
        <v>64</v>
      </c>
      <c r="D341" s="642">
        <v>0</v>
      </c>
      <c r="E341" s="643">
        <v>0</v>
      </c>
      <c r="F341" s="643">
        <v>0</v>
      </c>
      <c r="G341" s="642">
        <v>0</v>
      </c>
      <c r="H341" s="643">
        <v>0</v>
      </c>
      <c r="I341" s="643">
        <v>0</v>
      </c>
      <c r="J341" s="643">
        <v>0</v>
      </c>
      <c r="K341" s="643">
        <v>0</v>
      </c>
      <c r="L341" s="643">
        <v>0</v>
      </c>
      <c r="M341" s="643">
        <v>0</v>
      </c>
      <c r="N341" s="643">
        <v>0</v>
      </c>
      <c r="O341" s="643">
        <v>0</v>
      </c>
      <c r="P341" s="644">
        <v>0</v>
      </c>
      <c r="Q341" s="643">
        <v>0</v>
      </c>
      <c r="R341" s="643">
        <v>0</v>
      </c>
      <c r="S341" s="645">
        <v>0</v>
      </c>
      <c r="U341" s="641" t="s">
        <v>64</v>
      </c>
      <c r="V341" s="642">
        <v>0</v>
      </c>
      <c r="W341" s="643">
        <v>0</v>
      </c>
      <c r="X341" s="643">
        <v>0</v>
      </c>
      <c r="Y341" s="642">
        <v>0</v>
      </c>
      <c r="Z341" s="643">
        <v>0</v>
      </c>
      <c r="AA341" s="643">
        <v>0</v>
      </c>
      <c r="AB341" s="643">
        <v>0</v>
      </c>
      <c r="AC341" s="643">
        <v>0</v>
      </c>
      <c r="AD341" s="643">
        <v>0</v>
      </c>
      <c r="AE341" s="643">
        <v>0</v>
      </c>
      <c r="AF341" s="643">
        <v>0</v>
      </c>
      <c r="AG341" s="643">
        <v>0</v>
      </c>
      <c r="AH341" s="644">
        <v>0</v>
      </c>
      <c r="AI341" s="643">
        <v>0</v>
      </c>
      <c r="AJ341" s="643">
        <v>0</v>
      </c>
      <c r="AK341" s="645">
        <v>0</v>
      </c>
    </row>
    <row r="342" spans="3:37" ht="13.5">
      <c r="C342" s="646" t="s">
        <v>65</v>
      </c>
      <c r="D342" s="647">
        <v>46.099891323621534</v>
      </c>
      <c r="E342" s="647">
        <v>464.7986487</v>
      </c>
      <c r="F342" s="647">
        <v>-59.341223439635421</v>
      </c>
      <c r="G342" s="647">
        <v>345.55093723566335</v>
      </c>
      <c r="H342" s="647">
        <v>727.27272727272737</v>
      </c>
      <c r="I342" s="647">
        <v>338.37995078139568</v>
      </c>
      <c r="J342" s="647">
        <v>190.84741038091113</v>
      </c>
      <c r="K342" s="647">
        <v>19.887492227897642</v>
      </c>
      <c r="L342" s="647">
        <v>2.7639977986594397</v>
      </c>
      <c r="M342" s="647">
        <v>0.16041590589481752</v>
      </c>
      <c r="N342" s="647">
        <v>75.083762899489528</v>
      </c>
      <c r="O342" s="647">
        <v>12.515766779598991</v>
      </c>
      <c r="P342" s="647">
        <v>-12.7985093299136</v>
      </c>
      <c r="Q342" s="647">
        <v>0</v>
      </c>
      <c r="R342" s="647">
        <v>0</v>
      </c>
      <c r="S342" s="647">
        <v>2151.2212685363102</v>
      </c>
      <c r="U342" s="646" t="s">
        <v>65</v>
      </c>
      <c r="V342" s="647">
        <v>4.5871215860372576</v>
      </c>
      <c r="W342" s="647">
        <v>113.59926767676768</v>
      </c>
      <c r="X342" s="647">
        <v>-21.004029293308101</v>
      </c>
      <c r="Y342" s="647">
        <v>0.51452681198611927</v>
      </c>
      <c r="Z342" s="647">
        <v>764.84848484848499</v>
      </c>
      <c r="AA342" s="647">
        <v>423.19995078139567</v>
      </c>
      <c r="AB342" s="647">
        <v>261.81197328019942</v>
      </c>
      <c r="AC342" s="647">
        <v>36.108430969743218</v>
      </c>
      <c r="AD342" s="647">
        <v>-42.834445360645091</v>
      </c>
      <c r="AE342" s="647">
        <v>-4.9533137132699832</v>
      </c>
      <c r="AF342" s="647">
        <v>123.16818516374138</v>
      </c>
      <c r="AG342" s="647">
        <v>30.250193334526926</v>
      </c>
      <c r="AH342" s="647">
        <v>-41.639986107117011</v>
      </c>
      <c r="AI342" s="647">
        <v>0</v>
      </c>
      <c r="AJ342" s="647">
        <v>0</v>
      </c>
      <c r="AK342" s="647">
        <v>1647.6563599785427</v>
      </c>
    </row>
    <row r="343" spans="3:37" ht="13">
      <c r="C343" s="636"/>
      <c r="D343" s="636">
        <v>0</v>
      </c>
      <c r="E343" s="636">
        <v>0</v>
      </c>
      <c r="F343" s="636">
        <v>0</v>
      </c>
      <c r="G343" s="636">
        <v>0</v>
      </c>
      <c r="H343" s="636">
        <v>0</v>
      </c>
      <c r="I343" s="636">
        <v>0</v>
      </c>
      <c r="J343" s="636">
        <v>0</v>
      </c>
      <c r="K343" s="636">
        <v>0</v>
      </c>
      <c r="L343" s="636">
        <v>0</v>
      </c>
      <c r="M343" s="636">
        <v>0</v>
      </c>
      <c r="N343" s="636">
        <v>0</v>
      </c>
      <c r="O343" s="636">
        <v>0</v>
      </c>
      <c r="P343" s="636">
        <v>0</v>
      </c>
      <c r="Q343" s="636">
        <v>0</v>
      </c>
      <c r="R343" s="636">
        <v>0</v>
      </c>
      <c r="S343" s="636">
        <v>0</v>
      </c>
      <c r="U343" s="636"/>
      <c r="V343" s="636">
        <v>0</v>
      </c>
      <c r="W343" s="636">
        <v>0</v>
      </c>
      <c r="X343" s="636">
        <v>0</v>
      </c>
      <c r="Y343" s="636">
        <v>0</v>
      </c>
      <c r="Z343" s="636">
        <v>0</v>
      </c>
      <c r="AA343" s="636">
        <v>0</v>
      </c>
      <c r="AB343" s="636">
        <v>0</v>
      </c>
      <c r="AC343" s="636">
        <v>0</v>
      </c>
      <c r="AD343" s="636">
        <v>0</v>
      </c>
      <c r="AE343" s="636">
        <v>0</v>
      </c>
      <c r="AF343" s="636">
        <v>0</v>
      </c>
      <c r="AG343" s="636">
        <v>0</v>
      </c>
      <c r="AH343" s="636">
        <v>0</v>
      </c>
      <c r="AI343" s="636">
        <v>0</v>
      </c>
      <c r="AJ343" s="636">
        <v>0</v>
      </c>
      <c r="AK343" s="636">
        <v>0</v>
      </c>
    </row>
    <row r="344" spans="3:37" ht="13.5">
      <c r="C344" s="648" t="s">
        <v>67</v>
      </c>
      <c r="D344" s="642">
        <v>0</v>
      </c>
      <c r="E344" s="649">
        <v>0</v>
      </c>
      <c r="F344" s="649">
        <v>0</v>
      </c>
      <c r="G344" s="642">
        <v>0</v>
      </c>
      <c r="H344" s="642">
        <v>0</v>
      </c>
      <c r="I344" s="642">
        <v>0</v>
      </c>
      <c r="J344" s="642">
        <v>0</v>
      </c>
      <c r="K344" s="642">
        <v>0</v>
      </c>
      <c r="L344" s="642">
        <v>0</v>
      </c>
      <c r="M344" s="642">
        <v>0</v>
      </c>
      <c r="N344" s="642">
        <v>0</v>
      </c>
      <c r="O344" s="642">
        <v>0</v>
      </c>
      <c r="P344" s="642">
        <v>0</v>
      </c>
      <c r="Q344" s="642">
        <v>0</v>
      </c>
      <c r="R344" s="642">
        <v>0</v>
      </c>
      <c r="S344" s="650">
        <v>0</v>
      </c>
      <c r="U344" s="648" t="s">
        <v>67</v>
      </c>
      <c r="V344" s="642">
        <v>0</v>
      </c>
      <c r="W344" s="649">
        <v>0</v>
      </c>
      <c r="X344" s="649">
        <v>0</v>
      </c>
      <c r="Y344" s="642">
        <v>0</v>
      </c>
      <c r="Z344" s="642">
        <v>0</v>
      </c>
      <c r="AA344" s="642">
        <v>0</v>
      </c>
      <c r="AB344" s="642">
        <v>0</v>
      </c>
      <c r="AC344" s="642">
        <v>0</v>
      </c>
      <c r="AD344" s="642">
        <v>0</v>
      </c>
      <c r="AE344" s="642">
        <v>0</v>
      </c>
      <c r="AF344" s="642">
        <v>0</v>
      </c>
      <c r="AG344" s="642">
        <v>0</v>
      </c>
      <c r="AH344" s="642">
        <v>0</v>
      </c>
      <c r="AI344" s="642">
        <v>0</v>
      </c>
      <c r="AJ344" s="642">
        <v>0</v>
      </c>
      <c r="AK344" s="650">
        <v>0</v>
      </c>
    </row>
    <row r="345" spans="3:37" ht="13.5">
      <c r="C345" s="648" t="s">
        <v>350</v>
      </c>
      <c r="D345" s="642">
        <v>2.8267856410252494</v>
      </c>
      <c r="E345" s="642">
        <v>0</v>
      </c>
      <c r="F345" s="642">
        <v>8.0599105831015567</v>
      </c>
      <c r="G345" s="642">
        <v>46.530346198952707</v>
      </c>
      <c r="H345" s="642">
        <v>727.27272727272737</v>
      </c>
      <c r="I345" s="642">
        <v>338.37995078139568</v>
      </c>
      <c r="J345" s="651">
        <v>28.452469116356035</v>
      </c>
      <c r="K345" s="651">
        <v>6.2305848357200952</v>
      </c>
      <c r="L345" s="651">
        <v>3.7328950664080915</v>
      </c>
      <c r="M345" s="651">
        <v>1.0761160081227215</v>
      </c>
      <c r="N345" s="651">
        <v>0</v>
      </c>
      <c r="O345" s="651">
        <v>7.5664382136221358</v>
      </c>
      <c r="P345" s="642">
        <v>-629.14515201417555</v>
      </c>
      <c r="Q345" s="642">
        <v>0</v>
      </c>
      <c r="R345" s="642">
        <v>0</v>
      </c>
      <c r="S345" s="650">
        <v>540.98307170325586</v>
      </c>
      <c r="U345" s="648" t="s">
        <v>350</v>
      </c>
      <c r="V345" s="642">
        <v>0.62631490545869017</v>
      </c>
      <c r="W345" s="642">
        <v>0</v>
      </c>
      <c r="X345" s="642">
        <v>4.1962742194651934</v>
      </c>
      <c r="Y345" s="642">
        <v>0</v>
      </c>
      <c r="Z345" s="642">
        <v>764.84848484848499</v>
      </c>
      <c r="AA345" s="642">
        <v>423.19995078139567</v>
      </c>
      <c r="AB345" s="651">
        <v>22.478183728982629</v>
      </c>
      <c r="AC345" s="651">
        <v>5.0926371917675839</v>
      </c>
      <c r="AD345" s="651">
        <v>3.7328950664080915</v>
      </c>
      <c r="AE345" s="651">
        <v>0.79318377276994545</v>
      </c>
      <c r="AF345" s="651">
        <v>0</v>
      </c>
      <c r="AG345" s="651">
        <v>7.5664382136221358</v>
      </c>
      <c r="AH345" s="642">
        <v>-696.77718495359215</v>
      </c>
      <c r="AI345" s="642">
        <v>0</v>
      </c>
      <c r="AJ345" s="642">
        <v>3.75</v>
      </c>
      <c r="AK345" s="650">
        <v>539.50717777476291</v>
      </c>
    </row>
    <row r="346" spans="3:37" ht="13.5">
      <c r="C346" s="648" t="s">
        <v>351</v>
      </c>
      <c r="D346" s="642">
        <v>0</v>
      </c>
      <c r="E346" s="642">
        <v>0</v>
      </c>
      <c r="F346" s="642">
        <v>0</v>
      </c>
      <c r="G346" s="642">
        <v>14.783508517784153</v>
      </c>
      <c r="H346" s="642">
        <v>0</v>
      </c>
      <c r="I346" s="642">
        <v>0</v>
      </c>
      <c r="J346" s="651">
        <v>12.163067049530284</v>
      </c>
      <c r="K346" s="651">
        <v>11.829214997579474</v>
      </c>
      <c r="L346" s="651">
        <v>0</v>
      </c>
      <c r="M346" s="651">
        <v>0.31740804730172578</v>
      </c>
      <c r="N346" s="651">
        <v>0</v>
      </c>
      <c r="O346" s="651">
        <v>2.086875550337155</v>
      </c>
      <c r="P346" s="642">
        <v>0</v>
      </c>
      <c r="Q346" s="642">
        <v>-37.667878685561853</v>
      </c>
      <c r="R346" s="642">
        <v>0</v>
      </c>
      <c r="S346" s="650">
        <v>3.5121954769709394</v>
      </c>
      <c r="U346" s="648" t="s">
        <v>351</v>
      </c>
      <c r="V346" s="642">
        <v>0</v>
      </c>
      <c r="W346" s="642">
        <v>0</v>
      </c>
      <c r="X346" s="642">
        <v>0</v>
      </c>
      <c r="Y346" s="642">
        <v>0</v>
      </c>
      <c r="Z346" s="642">
        <v>0</v>
      </c>
      <c r="AA346" s="642">
        <v>0</v>
      </c>
      <c r="AB346" s="651">
        <v>28.523630086620891</v>
      </c>
      <c r="AC346" s="651">
        <v>26.288013396118924</v>
      </c>
      <c r="AD346" s="651">
        <v>0</v>
      </c>
      <c r="AE346" s="651">
        <v>10.611192177482708</v>
      </c>
      <c r="AF346" s="651">
        <v>0</v>
      </c>
      <c r="AG346" s="651">
        <v>14.121402979798832</v>
      </c>
      <c r="AH346" s="642">
        <v>0</v>
      </c>
      <c r="AI346" s="642">
        <v>-74.176724382187018</v>
      </c>
      <c r="AJ346" s="642">
        <v>0</v>
      </c>
      <c r="AK346" s="650">
        <v>5.3675142578343316</v>
      </c>
    </row>
    <row r="347" spans="3:37" ht="13.5">
      <c r="C347" s="648" t="s">
        <v>352</v>
      </c>
      <c r="D347" s="642">
        <v>0</v>
      </c>
      <c r="E347" s="642">
        <v>0</v>
      </c>
      <c r="F347" s="642">
        <v>0</v>
      </c>
      <c r="G347" s="642">
        <v>0</v>
      </c>
      <c r="H347" s="642">
        <v>0</v>
      </c>
      <c r="I347" s="642">
        <v>0</v>
      </c>
      <c r="J347" s="652">
        <v>7.1450792385721682</v>
      </c>
      <c r="K347" s="652">
        <v>0</v>
      </c>
      <c r="L347" s="652">
        <v>0</v>
      </c>
      <c r="M347" s="652">
        <v>-6.8235506728364204</v>
      </c>
      <c r="N347" s="652">
        <v>0</v>
      </c>
      <c r="O347" s="652">
        <v>0</v>
      </c>
      <c r="P347" s="642">
        <v>0</v>
      </c>
      <c r="Q347" s="642">
        <v>0</v>
      </c>
      <c r="R347" s="642">
        <v>0</v>
      </c>
      <c r="S347" s="650">
        <v>0.32152856573574784</v>
      </c>
      <c r="U347" s="648" t="s">
        <v>352</v>
      </c>
      <c r="V347" s="642">
        <v>0</v>
      </c>
      <c r="W347" s="642">
        <v>0</v>
      </c>
      <c r="X347" s="642">
        <v>0</v>
      </c>
      <c r="Y347" s="642">
        <v>0</v>
      </c>
      <c r="Z347" s="642">
        <v>0</v>
      </c>
      <c r="AA347" s="642">
        <v>0</v>
      </c>
      <c r="AB347" s="652">
        <v>137.81211213320262</v>
      </c>
      <c r="AC347" s="652">
        <v>0</v>
      </c>
      <c r="AD347" s="652">
        <v>0</v>
      </c>
      <c r="AE347" s="652">
        <v>-131.61056708720849</v>
      </c>
      <c r="AF347" s="652">
        <v>0</v>
      </c>
      <c r="AG347" s="652">
        <v>0</v>
      </c>
      <c r="AH347" s="642">
        <v>0</v>
      </c>
      <c r="AI347" s="642">
        <v>0</v>
      </c>
      <c r="AJ347" s="642">
        <v>0</v>
      </c>
      <c r="AK347" s="650">
        <v>6.2015450459941235</v>
      </c>
    </row>
    <row r="348" spans="3:37" ht="13.5">
      <c r="C348" s="648" t="s">
        <v>353</v>
      </c>
      <c r="D348" s="642">
        <v>0</v>
      </c>
      <c r="E348" s="642">
        <v>0</v>
      </c>
      <c r="F348" s="642">
        <v>0</v>
      </c>
      <c r="G348" s="642">
        <v>0</v>
      </c>
      <c r="H348" s="642">
        <v>0</v>
      </c>
      <c r="I348" s="642">
        <v>0</v>
      </c>
      <c r="J348" s="642">
        <v>0</v>
      </c>
      <c r="K348" s="642">
        <v>0</v>
      </c>
      <c r="L348" s="642">
        <v>0</v>
      </c>
      <c r="M348" s="642">
        <v>0</v>
      </c>
      <c r="N348" s="642">
        <v>0</v>
      </c>
      <c r="O348" s="642">
        <v>0</v>
      </c>
      <c r="P348" s="642">
        <v>0</v>
      </c>
      <c r="Q348" s="642">
        <v>0</v>
      </c>
      <c r="R348" s="642">
        <v>0</v>
      </c>
      <c r="S348" s="650">
        <v>0</v>
      </c>
      <c r="U348" s="648" t="s">
        <v>353</v>
      </c>
      <c r="V348" s="642">
        <v>0</v>
      </c>
      <c r="W348" s="642">
        <v>0</v>
      </c>
      <c r="X348" s="642">
        <v>0</v>
      </c>
      <c r="Y348" s="642">
        <v>0</v>
      </c>
      <c r="Z348" s="642">
        <v>0</v>
      </c>
      <c r="AA348" s="642">
        <v>0</v>
      </c>
      <c r="AB348" s="642">
        <v>0</v>
      </c>
      <c r="AC348" s="642">
        <v>0</v>
      </c>
      <c r="AD348" s="642">
        <v>0</v>
      </c>
      <c r="AE348" s="642">
        <v>0</v>
      </c>
      <c r="AF348" s="642">
        <v>0</v>
      </c>
      <c r="AG348" s="642">
        <v>0</v>
      </c>
      <c r="AH348" s="642">
        <v>0</v>
      </c>
      <c r="AI348" s="642">
        <v>0</v>
      </c>
      <c r="AJ348" s="642">
        <v>0</v>
      </c>
      <c r="AK348" s="650">
        <v>0</v>
      </c>
    </row>
    <row r="349" spans="3:37" ht="13.5">
      <c r="C349" s="648" t="s">
        <v>72</v>
      </c>
      <c r="D349" s="642">
        <v>0</v>
      </c>
      <c r="E349" s="642">
        <v>481.48200000000003</v>
      </c>
      <c r="F349" s="642">
        <v>-476.66718000000003</v>
      </c>
      <c r="G349" s="642">
        <v>0</v>
      </c>
      <c r="H349" s="642">
        <v>0</v>
      </c>
      <c r="I349" s="642">
        <v>0</v>
      </c>
      <c r="J349" s="642">
        <v>0</v>
      </c>
      <c r="K349" s="642">
        <v>0</v>
      </c>
      <c r="L349" s="642">
        <v>0</v>
      </c>
      <c r="M349" s="642">
        <v>0</v>
      </c>
      <c r="N349" s="642">
        <v>0</v>
      </c>
      <c r="O349" s="642">
        <v>0</v>
      </c>
      <c r="P349" s="642">
        <v>0</v>
      </c>
      <c r="Q349" s="642">
        <v>0</v>
      </c>
      <c r="R349" s="642">
        <v>0</v>
      </c>
      <c r="S349" s="650">
        <v>4.8148199999999974</v>
      </c>
      <c r="U349" s="648" t="s">
        <v>72</v>
      </c>
      <c r="V349" s="642">
        <v>0</v>
      </c>
      <c r="W349" s="642">
        <v>117.67676767676768</v>
      </c>
      <c r="X349" s="642">
        <v>-116.5</v>
      </c>
      <c r="Y349" s="642">
        <v>0</v>
      </c>
      <c r="Z349" s="642">
        <v>0</v>
      </c>
      <c r="AA349" s="642">
        <v>0</v>
      </c>
      <c r="AB349" s="642">
        <v>0</v>
      </c>
      <c r="AC349" s="642">
        <v>0</v>
      </c>
      <c r="AD349" s="642">
        <v>0</v>
      </c>
      <c r="AE349" s="642">
        <v>0</v>
      </c>
      <c r="AF349" s="642">
        <v>0</v>
      </c>
      <c r="AG349" s="642">
        <v>0</v>
      </c>
      <c r="AH349" s="642">
        <v>0</v>
      </c>
      <c r="AI349" s="642">
        <v>0</v>
      </c>
      <c r="AJ349" s="642">
        <v>0</v>
      </c>
      <c r="AK349" s="650">
        <v>1.1767676767676818</v>
      </c>
    </row>
    <row r="350" spans="3:37" ht="13.5">
      <c r="C350" s="648" t="s">
        <v>354</v>
      </c>
      <c r="D350" s="642">
        <v>0</v>
      </c>
      <c r="E350" s="642">
        <v>0</v>
      </c>
      <c r="F350" s="642">
        <v>0</v>
      </c>
      <c r="G350" s="642">
        <v>0</v>
      </c>
      <c r="H350" s="642">
        <v>0</v>
      </c>
      <c r="I350" s="642">
        <v>0</v>
      </c>
      <c r="J350" s="642">
        <v>26.125483595276659</v>
      </c>
      <c r="K350" s="642">
        <v>0</v>
      </c>
      <c r="L350" s="642">
        <v>-26.125483595276659</v>
      </c>
      <c r="M350" s="642">
        <v>0</v>
      </c>
      <c r="N350" s="642">
        <v>0</v>
      </c>
      <c r="O350" s="642">
        <v>0</v>
      </c>
      <c r="P350" s="642">
        <v>0</v>
      </c>
      <c r="Q350" s="642">
        <v>0</v>
      </c>
      <c r="R350" s="642">
        <v>0</v>
      </c>
      <c r="S350" s="650">
        <v>0</v>
      </c>
      <c r="U350" s="648" t="s">
        <v>354</v>
      </c>
      <c r="V350" s="642">
        <v>0</v>
      </c>
      <c r="W350" s="642">
        <v>0</v>
      </c>
      <c r="X350" s="642">
        <v>0</v>
      </c>
      <c r="Y350" s="642">
        <v>0</v>
      </c>
      <c r="Z350" s="642">
        <v>0</v>
      </c>
      <c r="AA350" s="642">
        <v>0</v>
      </c>
      <c r="AB350" s="642" t="e">
        <v>#VALUE!</v>
      </c>
      <c r="AC350" s="642">
        <v>0</v>
      </c>
      <c r="AD350" s="642">
        <v>-100.69655001825291</v>
      </c>
      <c r="AE350" s="642">
        <v>0</v>
      </c>
      <c r="AF350" s="642">
        <v>0</v>
      </c>
      <c r="AG350" s="642">
        <v>0</v>
      </c>
      <c r="AH350" s="642">
        <v>0</v>
      </c>
      <c r="AI350" s="642">
        <v>0</v>
      </c>
      <c r="AJ350" s="642">
        <v>0</v>
      </c>
      <c r="AK350" s="650">
        <v>-100.69655001825291</v>
      </c>
    </row>
    <row r="351" spans="3:37" ht="13.5">
      <c r="C351" s="648" t="s">
        <v>355</v>
      </c>
      <c r="D351" s="642">
        <v>0</v>
      </c>
      <c r="E351" s="642">
        <v>0</v>
      </c>
      <c r="F351" s="642">
        <v>0</v>
      </c>
      <c r="G351" s="642">
        <v>0</v>
      </c>
      <c r="H351" s="642">
        <v>0</v>
      </c>
      <c r="I351" s="642">
        <v>0</v>
      </c>
      <c r="J351" s="642">
        <v>0</v>
      </c>
      <c r="K351" s="642">
        <v>0</v>
      </c>
      <c r="L351" s="642">
        <v>0</v>
      </c>
      <c r="M351" s="642">
        <v>0</v>
      </c>
      <c r="N351" s="642">
        <v>0</v>
      </c>
      <c r="O351" s="642">
        <v>0</v>
      </c>
      <c r="P351" s="642">
        <v>0</v>
      </c>
      <c r="Q351" s="642">
        <v>0</v>
      </c>
      <c r="R351" s="642">
        <v>0</v>
      </c>
      <c r="S351" s="650">
        <v>0</v>
      </c>
      <c r="U351" s="648" t="s">
        <v>355</v>
      </c>
      <c r="V351" s="642">
        <v>0</v>
      </c>
      <c r="W351" s="642">
        <v>0</v>
      </c>
      <c r="X351" s="642">
        <v>0</v>
      </c>
      <c r="Y351" s="642">
        <v>0</v>
      </c>
      <c r="Z351" s="642">
        <v>0</v>
      </c>
      <c r="AA351" s="642">
        <v>0</v>
      </c>
      <c r="AB351" s="642">
        <v>0</v>
      </c>
      <c r="AC351" s="642">
        <v>0</v>
      </c>
      <c r="AD351" s="642">
        <v>-28.460377640694865</v>
      </c>
      <c r="AE351" s="642">
        <v>0</v>
      </c>
      <c r="AF351" s="642">
        <v>0</v>
      </c>
      <c r="AG351" s="642">
        <v>0</v>
      </c>
      <c r="AH351" s="642">
        <v>0</v>
      </c>
      <c r="AI351" s="642">
        <v>0</v>
      </c>
      <c r="AJ351" s="642">
        <v>0</v>
      </c>
      <c r="AK351" s="650">
        <v>-28.460377640694865</v>
      </c>
    </row>
    <row r="352" spans="3:37" ht="13.5">
      <c r="C352" s="648" t="s">
        <v>73</v>
      </c>
      <c r="D352" s="642">
        <v>0</v>
      </c>
      <c r="E352" s="642">
        <v>0</v>
      </c>
      <c r="F352" s="642">
        <v>0</v>
      </c>
      <c r="G352" s="642">
        <v>8.6128889644156494</v>
      </c>
      <c r="H352" s="642">
        <v>0</v>
      </c>
      <c r="I352" s="642">
        <v>0</v>
      </c>
      <c r="J352" s="642">
        <v>0</v>
      </c>
      <c r="K352" s="642">
        <v>0.10101910584583218</v>
      </c>
      <c r="L352" s="642">
        <v>0</v>
      </c>
      <c r="M352" s="642">
        <v>0.17577324417174797</v>
      </c>
      <c r="N352" s="642">
        <v>0</v>
      </c>
      <c r="O352" s="642">
        <v>0</v>
      </c>
      <c r="P352" s="642">
        <v>1.1785562348680418</v>
      </c>
      <c r="Q352" s="642">
        <v>0</v>
      </c>
      <c r="R352" s="642">
        <v>-7.071337409208251</v>
      </c>
      <c r="S352" s="650">
        <v>2.99690014009302</v>
      </c>
      <c r="U352" s="648" t="s">
        <v>73</v>
      </c>
      <c r="V352" s="642">
        <v>0</v>
      </c>
      <c r="W352" s="642">
        <v>0</v>
      </c>
      <c r="X352" s="642">
        <v>0</v>
      </c>
      <c r="Y352" s="642">
        <v>0</v>
      </c>
      <c r="Z352" s="642">
        <v>0</v>
      </c>
      <c r="AA352" s="642">
        <v>0</v>
      </c>
      <c r="AB352" s="642">
        <v>0</v>
      </c>
      <c r="AC352" s="642">
        <v>0.58294529496624936</v>
      </c>
      <c r="AD352" s="642">
        <v>0</v>
      </c>
      <c r="AE352" s="642">
        <v>0</v>
      </c>
      <c r="AF352" s="642">
        <v>0</v>
      </c>
      <c r="AG352" s="642">
        <v>0</v>
      </c>
      <c r="AH352" s="642">
        <v>56.108484640501494</v>
      </c>
      <c r="AI352" s="642">
        <v>0</v>
      </c>
      <c r="AJ352" s="642">
        <v>-40.806170647637451</v>
      </c>
      <c r="AK352" s="650">
        <v>15.885259287830294</v>
      </c>
    </row>
    <row r="353" spans="3:37" ht="13.5">
      <c r="C353" s="648" t="s">
        <v>356</v>
      </c>
      <c r="D353" s="642">
        <v>28.51179328125</v>
      </c>
      <c r="E353" s="642">
        <v>-16.683351300000002</v>
      </c>
      <c r="F353" s="642">
        <v>21.820838094867195</v>
      </c>
      <c r="G353" s="642">
        <v>0</v>
      </c>
      <c r="H353" s="642">
        <v>0</v>
      </c>
      <c r="I353" s="642">
        <v>0</v>
      </c>
      <c r="J353" s="642">
        <v>0</v>
      </c>
      <c r="K353" s="642">
        <v>0</v>
      </c>
      <c r="L353" s="642">
        <v>0</v>
      </c>
      <c r="M353" s="642">
        <v>0</v>
      </c>
      <c r="N353" s="642">
        <v>0</v>
      </c>
      <c r="O353" s="642">
        <v>0</v>
      </c>
      <c r="P353" s="642">
        <v>0</v>
      </c>
      <c r="Q353" s="642">
        <v>0</v>
      </c>
      <c r="R353" s="642">
        <v>0</v>
      </c>
      <c r="S353" s="650">
        <v>33.649280076117194</v>
      </c>
      <c r="U353" s="648" t="s">
        <v>356</v>
      </c>
      <c r="V353" s="642">
        <v>0.72303211975097659</v>
      </c>
      <c r="W353" s="642">
        <v>-4.0775000000000006</v>
      </c>
      <c r="X353" s="642">
        <v>5.333129161634389</v>
      </c>
      <c r="Y353" s="642">
        <v>0</v>
      </c>
      <c r="Z353" s="642">
        <v>0</v>
      </c>
      <c r="AA353" s="642">
        <v>0</v>
      </c>
      <c r="AB353" s="642">
        <v>0</v>
      </c>
      <c r="AC353" s="642">
        <v>0</v>
      </c>
      <c r="AD353" s="642">
        <v>0</v>
      </c>
      <c r="AE353" s="642">
        <v>0</v>
      </c>
      <c r="AF353" s="642">
        <v>0</v>
      </c>
      <c r="AG353" s="642">
        <v>0</v>
      </c>
      <c r="AH353" s="642">
        <v>0</v>
      </c>
      <c r="AI353" s="642">
        <v>0</v>
      </c>
      <c r="AJ353" s="642">
        <v>0</v>
      </c>
      <c r="AK353" s="650">
        <v>1.978661281385365</v>
      </c>
    </row>
    <row r="354" spans="3:37" ht="13.5">
      <c r="C354" s="648" t="s">
        <v>75</v>
      </c>
      <c r="D354" s="642">
        <v>11.087919609375001</v>
      </c>
      <c r="E354" s="642">
        <v>0</v>
      </c>
      <c r="F354" s="642">
        <v>16.370388000000002</v>
      </c>
      <c r="G354" s="642">
        <v>4.6713383640000004</v>
      </c>
      <c r="H354" s="642">
        <v>0</v>
      </c>
      <c r="I354" s="642">
        <v>0</v>
      </c>
      <c r="J354" s="642">
        <v>0</v>
      </c>
      <c r="K354" s="642">
        <v>0</v>
      </c>
      <c r="L354" s="642">
        <v>0</v>
      </c>
      <c r="M354" s="642">
        <v>9.5333436000000008E-2</v>
      </c>
      <c r="N354" s="642">
        <v>0</v>
      </c>
      <c r="O354" s="642">
        <v>0</v>
      </c>
      <c r="P354" s="642">
        <v>26.129145836866744</v>
      </c>
      <c r="Q354" s="642">
        <v>0</v>
      </c>
      <c r="R354" s="642">
        <v>0</v>
      </c>
      <c r="S354" s="650">
        <v>58.35412524624175</v>
      </c>
      <c r="U354" s="648" t="s">
        <v>75</v>
      </c>
      <c r="V354" s="642">
        <v>1.73775830078125</v>
      </c>
      <c r="W354" s="642">
        <v>0</v>
      </c>
      <c r="X354" s="642">
        <v>16.370388000000002</v>
      </c>
      <c r="Y354" s="642">
        <v>0</v>
      </c>
      <c r="Z354" s="642">
        <v>0</v>
      </c>
      <c r="AA354" s="642">
        <v>0</v>
      </c>
      <c r="AB354" s="642">
        <v>0</v>
      </c>
      <c r="AC354" s="642">
        <v>0</v>
      </c>
      <c r="AD354" s="642">
        <v>0</v>
      </c>
      <c r="AE354" s="642">
        <v>4.7666718000000001</v>
      </c>
      <c r="AF354" s="642">
        <v>0</v>
      </c>
      <c r="AG354" s="642">
        <v>0</v>
      </c>
      <c r="AH354" s="642">
        <v>36.696565665655768</v>
      </c>
      <c r="AI354" s="642">
        <v>0</v>
      </c>
      <c r="AJ354" s="642">
        <v>0</v>
      </c>
      <c r="AK354" s="650">
        <v>59.571383766437016</v>
      </c>
    </row>
    <row r="355" spans="3:37" ht="13.5">
      <c r="C355" s="648" t="s">
        <v>76</v>
      </c>
      <c r="D355" s="642">
        <v>0</v>
      </c>
      <c r="E355" s="642">
        <v>0</v>
      </c>
      <c r="F355" s="642">
        <v>0</v>
      </c>
      <c r="G355" s="642">
        <v>3.9646717348100942</v>
      </c>
      <c r="H355" s="642">
        <v>0</v>
      </c>
      <c r="I355" s="642">
        <v>0</v>
      </c>
      <c r="J355" s="642">
        <v>0</v>
      </c>
      <c r="K355" s="642">
        <v>0</v>
      </c>
      <c r="L355" s="642">
        <v>0</v>
      </c>
      <c r="M355" s="642">
        <v>8.0911668057348868E-2</v>
      </c>
      <c r="N355" s="642">
        <v>0</v>
      </c>
      <c r="O355" s="642">
        <v>0</v>
      </c>
      <c r="P355" s="642">
        <v>47.131742012269626</v>
      </c>
      <c r="Q355" s="642">
        <v>2.9238621334994321</v>
      </c>
      <c r="R355" s="642">
        <v>0</v>
      </c>
      <c r="S355" s="650">
        <v>54.101187548636503</v>
      </c>
      <c r="U355" s="648" t="s">
        <v>76</v>
      </c>
      <c r="V355" s="642">
        <v>0</v>
      </c>
      <c r="W355" s="642">
        <v>0</v>
      </c>
      <c r="X355" s="642">
        <v>0</v>
      </c>
      <c r="Y355" s="642">
        <v>0</v>
      </c>
      <c r="Z355" s="642">
        <v>0</v>
      </c>
      <c r="AA355" s="642">
        <v>0</v>
      </c>
      <c r="AB355" s="642">
        <v>0</v>
      </c>
      <c r="AC355" s="642">
        <v>0</v>
      </c>
      <c r="AD355" s="642">
        <v>0</v>
      </c>
      <c r="AE355" s="642">
        <v>1.5605996097297452</v>
      </c>
      <c r="AF355" s="642">
        <v>0</v>
      </c>
      <c r="AG355" s="642">
        <v>0</v>
      </c>
      <c r="AH355" s="642">
        <v>50.104610120731024</v>
      </c>
      <c r="AI355" s="642">
        <v>5.7529608775183565</v>
      </c>
      <c r="AJ355" s="642">
        <v>0</v>
      </c>
      <c r="AK355" s="650">
        <v>57.418170607979121</v>
      </c>
    </row>
    <row r="356" spans="3:37" ht="13.5">
      <c r="C356" s="646" t="s">
        <v>77</v>
      </c>
      <c r="D356" s="647">
        <v>42.426498531650253</v>
      </c>
      <c r="E356" s="647">
        <v>464.7986487</v>
      </c>
      <c r="F356" s="647">
        <v>-430.41604332203127</v>
      </c>
      <c r="G356" s="647">
        <v>78.562753779962591</v>
      </c>
      <c r="H356" s="647">
        <v>727.27272727272737</v>
      </c>
      <c r="I356" s="647">
        <v>338.37995078139568</v>
      </c>
      <c r="J356" s="647">
        <v>73.88609899973514</v>
      </c>
      <c r="K356" s="647">
        <v>18.1608189391454</v>
      </c>
      <c r="L356" s="647">
        <v>-22.392588528868568</v>
      </c>
      <c r="M356" s="647">
        <v>-5.0780082691828765</v>
      </c>
      <c r="N356" s="647">
        <v>0</v>
      </c>
      <c r="O356" s="647">
        <v>9.6533137639592894</v>
      </c>
      <c r="P356" s="647">
        <v>-554.70570793017112</v>
      </c>
      <c r="Q356" s="647">
        <v>-34.744016552062419</v>
      </c>
      <c r="R356" s="647">
        <v>-7.071337409208251</v>
      </c>
      <c r="S356" s="647">
        <v>698.73310875705101</v>
      </c>
      <c r="U356" s="646" t="s">
        <v>77</v>
      </c>
      <c r="V356" s="647">
        <v>3.0871053259909167</v>
      </c>
      <c r="W356" s="647">
        <v>113.59926767676768</v>
      </c>
      <c r="X356" s="647">
        <v>-90.60020861890041</v>
      </c>
      <c r="Y356" s="647">
        <v>0</v>
      </c>
      <c r="Z356" s="647">
        <v>764.84848484848499</v>
      </c>
      <c r="AA356" s="647">
        <v>423.19995078139567</v>
      </c>
      <c r="AB356" s="647">
        <v>188.81392594880614</v>
      </c>
      <c r="AC356" s="647">
        <v>31.963595882852758</v>
      </c>
      <c r="AD356" s="647">
        <v>-125.42403259253969</v>
      </c>
      <c r="AE356" s="647">
        <v>-113.87891972722609</v>
      </c>
      <c r="AF356" s="647">
        <v>0</v>
      </c>
      <c r="AG356" s="647">
        <v>21.687841193420969</v>
      </c>
      <c r="AH356" s="647">
        <v>-553.86752452670385</v>
      </c>
      <c r="AI356" s="647">
        <v>-68.423763504668656</v>
      </c>
      <c r="AJ356" s="647">
        <v>-37.056170647637451</v>
      </c>
      <c r="AK356" s="647">
        <v>557.94955204004305</v>
      </c>
    </row>
    <row r="357" spans="3:37" ht="13">
      <c r="C357" s="636"/>
      <c r="D357" s="636">
        <v>0</v>
      </c>
      <c r="E357" s="636">
        <v>0</v>
      </c>
      <c r="F357" s="636">
        <v>0</v>
      </c>
      <c r="G357" s="636">
        <v>0</v>
      </c>
      <c r="H357" s="636">
        <v>0</v>
      </c>
      <c r="I357" s="636">
        <v>0</v>
      </c>
      <c r="J357" s="636">
        <v>0</v>
      </c>
      <c r="K357" s="636">
        <v>0</v>
      </c>
      <c r="L357" s="636">
        <v>0</v>
      </c>
      <c r="M357" s="636">
        <v>0</v>
      </c>
      <c r="N357" s="636">
        <v>0</v>
      </c>
      <c r="O357" s="636">
        <v>0</v>
      </c>
      <c r="P357" s="636">
        <v>0</v>
      </c>
      <c r="Q357" s="636">
        <v>0</v>
      </c>
      <c r="R357" s="636">
        <v>0</v>
      </c>
      <c r="S357" s="636">
        <v>0</v>
      </c>
      <c r="U357" s="636"/>
      <c r="V357" s="636">
        <v>0</v>
      </c>
      <c r="W357" s="636">
        <v>0</v>
      </c>
      <c r="X357" s="636">
        <v>0</v>
      </c>
      <c r="Y357" s="636">
        <v>0</v>
      </c>
      <c r="Z357" s="636">
        <v>0</v>
      </c>
      <c r="AA357" s="636">
        <v>0</v>
      </c>
      <c r="AB357" s="636">
        <v>0</v>
      </c>
      <c r="AC357" s="636">
        <v>0</v>
      </c>
      <c r="AD357" s="636">
        <v>0</v>
      </c>
      <c r="AE357" s="636">
        <v>0</v>
      </c>
      <c r="AF357" s="636">
        <v>0</v>
      </c>
      <c r="AG357" s="636">
        <v>0</v>
      </c>
      <c r="AH357" s="636">
        <v>0</v>
      </c>
      <c r="AI357" s="636">
        <v>0</v>
      </c>
      <c r="AJ357" s="636">
        <v>0</v>
      </c>
      <c r="AK357" s="636">
        <v>0</v>
      </c>
    </row>
    <row r="358" spans="3:37" ht="13.5">
      <c r="C358" s="648" t="s">
        <v>78</v>
      </c>
      <c r="D358" s="642">
        <v>3.6733927919712848</v>
      </c>
      <c r="E358" s="642">
        <v>0</v>
      </c>
      <c r="F358" s="642">
        <v>19.397200033553816</v>
      </c>
      <c r="G358" s="642">
        <v>91.130108310207916</v>
      </c>
      <c r="H358" s="642">
        <v>0</v>
      </c>
      <c r="I358" s="642">
        <v>0</v>
      </c>
      <c r="J358" s="642">
        <v>22.791437377983073</v>
      </c>
      <c r="K358" s="642">
        <v>1.7013098714668424</v>
      </c>
      <c r="L358" s="642">
        <v>1.007010953125</v>
      </c>
      <c r="M358" s="642">
        <v>1.8779931367345493</v>
      </c>
      <c r="N358" s="642">
        <v>0</v>
      </c>
      <c r="O358" s="642">
        <v>3.7093504340600874E-4</v>
      </c>
      <c r="P358" s="642">
        <v>114.54790196708234</v>
      </c>
      <c r="Q358" s="642">
        <v>16.21056036467343</v>
      </c>
      <c r="R358" s="642">
        <v>0.23655174255371095</v>
      </c>
      <c r="S358" s="650">
        <v>272.57383748439537</v>
      </c>
      <c r="U358" s="648" t="s">
        <v>78</v>
      </c>
      <c r="V358" s="642">
        <v>1.5000162600463405</v>
      </c>
      <c r="W358" s="642">
        <v>0</v>
      </c>
      <c r="X358" s="642">
        <v>0.65820239923796242</v>
      </c>
      <c r="Y358" s="642">
        <v>0</v>
      </c>
      <c r="Z358" s="642">
        <v>0</v>
      </c>
      <c r="AA358" s="642">
        <v>0</v>
      </c>
      <c r="AB358" s="642">
        <v>14.22856522114639</v>
      </c>
      <c r="AC358" s="642">
        <v>4.1194716696050602</v>
      </c>
      <c r="AD358" s="642">
        <v>8.3494072265624997</v>
      </c>
      <c r="AE358" s="642">
        <v>60.539358802903692</v>
      </c>
      <c r="AF358" s="642">
        <v>0</v>
      </c>
      <c r="AG358" s="642">
        <v>3.7093504340600874E-4</v>
      </c>
      <c r="AH358" s="642">
        <v>157.01971492382648</v>
      </c>
      <c r="AI358" s="642">
        <v>25.540840498351418</v>
      </c>
      <c r="AJ358" s="642">
        <v>8.9542294921874994</v>
      </c>
      <c r="AK358" s="650">
        <v>280.91017742891074</v>
      </c>
    </row>
    <row r="359" spans="3:37" ht="13.5">
      <c r="C359" s="648" t="s">
        <v>79</v>
      </c>
      <c r="D359" s="642">
        <v>0</v>
      </c>
      <c r="E359" s="642">
        <v>0</v>
      </c>
      <c r="F359" s="642">
        <v>216.8751541495462</v>
      </c>
      <c r="G359" s="642">
        <v>32.745585882615877</v>
      </c>
      <c r="H359" s="642">
        <v>0</v>
      </c>
      <c r="I359" s="642">
        <v>0</v>
      </c>
      <c r="J359" s="642">
        <v>0</v>
      </c>
      <c r="K359" s="642">
        <v>0</v>
      </c>
      <c r="L359" s="642">
        <v>20.896591906701669</v>
      </c>
      <c r="M359" s="642">
        <v>0.66827726291052814</v>
      </c>
      <c r="N359" s="642">
        <v>0</v>
      </c>
      <c r="O359" s="642">
        <v>0</v>
      </c>
      <c r="P359" s="642">
        <v>80.819270278256823</v>
      </c>
      <c r="Q359" s="642">
        <v>0</v>
      </c>
      <c r="R359" s="642">
        <v>2.9193508940431485</v>
      </c>
      <c r="S359" s="650">
        <v>354.92423037407423</v>
      </c>
      <c r="U359" s="648" t="s">
        <v>79</v>
      </c>
      <c r="V359" s="642">
        <v>0</v>
      </c>
      <c r="W359" s="642">
        <v>0</v>
      </c>
      <c r="X359" s="642">
        <v>8.8339079607242379</v>
      </c>
      <c r="Y359" s="642">
        <v>0</v>
      </c>
      <c r="Z359" s="642">
        <v>0</v>
      </c>
      <c r="AA359" s="642">
        <v>0</v>
      </c>
      <c r="AB359" s="642">
        <v>0</v>
      </c>
      <c r="AC359" s="642">
        <v>0</v>
      </c>
      <c r="AD359" s="642">
        <v>12.788272739607951</v>
      </c>
      <c r="AE359" s="642">
        <v>24.887279738493259</v>
      </c>
      <c r="AF359" s="642">
        <v>0</v>
      </c>
      <c r="AG359" s="642">
        <v>0</v>
      </c>
      <c r="AH359" s="642">
        <v>93.844452584108197</v>
      </c>
      <c r="AI359" s="642">
        <v>0</v>
      </c>
      <c r="AJ359" s="642">
        <v>7.1149935986121697</v>
      </c>
      <c r="AK359" s="650">
        <v>147.46890662154581</v>
      </c>
    </row>
    <row r="360" spans="3:37" ht="13.5">
      <c r="C360" s="648" t="s">
        <v>80</v>
      </c>
      <c r="D360" s="642">
        <v>0</v>
      </c>
      <c r="E360" s="642">
        <v>0</v>
      </c>
      <c r="F360" s="642">
        <v>5.2094674308398901</v>
      </c>
      <c r="G360" s="642">
        <v>68.551385920257417</v>
      </c>
      <c r="H360" s="642">
        <v>0</v>
      </c>
      <c r="I360" s="642">
        <v>0</v>
      </c>
      <c r="J360" s="642">
        <v>86.155325304334795</v>
      </c>
      <c r="K360" s="642">
        <v>0</v>
      </c>
      <c r="L360" s="642">
        <v>0</v>
      </c>
      <c r="M360" s="642">
        <v>1.3990078759236206</v>
      </c>
      <c r="N360" s="642">
        <v>66.478227859390046</v>
      </c>
      <c r="O360" s="642">
        <v>2.1206229173139883</v>
      </c>
      <c r="P360" s="642">
        <v>194.47767196350526</v>
      </c>
      <c r="Q360" s="642">
        <v>15.182773802844931</v>
      </c>
      <c r="R360" s="642">
        <v>0</v>
      </c>
      <c r="S360" s="650">
        <v>439.5744830744099</v>
      </c>
      <c r="U360" s="648" t="s">
        <v>80</v>
      </c>
      <c r="V360" s="642">
        <v>0</v>
      </c>
      <c r="W360" s="642">
        <v>0</v>
      </c>
      <c r="X360" s="642">
        <v>0.92826525658471626</v>
      </c>
      <c r="Y360" s="642">
        <v>0</v>
      </c>
      <c r="Z360" s="642">
        <v>0</v>
      </c>
      <c r="AA360" s="642">
        <v>0</v>
      </c>
      <c r="AB360" s="642">
        <v>47.227858114444189</v>
      </c>
      <c r="AC360" s="642">
        <v>0</v>
      </c>
      <c r="AD360" s="642">
        <v>0</v>
      </c>
      <c r="AE360" s="642">
        <v>17.293312779197663</v>
      </c>
      <c r="AF360" s="642">
        <v>108.09916343666818</v>
      </c>
      <c r="AG360" s="642">
        <v>4.9369795689122755</v>
      </c>
      <c r="AH360" s="642">
        <v>137.38519988829395</v>
      </c>
      <c r="AI360" s="642">
        <v>27.91071693101145</v>
      </c>
      <c r="AJ360" s="642">
        <v>0</v>
      </c>
      <c r="AK360" s="650">
        <v>343.78149597511242</v>
      </c>
    </row>
    <row r="361" spans="3:37" ht="13.5">
      <c r="C361" s="648" t="s">
        <v>81</v>
      </c>
      <c r="D361" s="642">
        <v>0</v>
      </c>
      <c r="E361" s="642">
        <v>0</v>
      </c>
      <c r="F361" s="642">
        <v>2.3181271880740835</v>
      </c>
      <c r="G361" s="642">
        <v>62.553452404821357</v>
      </c>
      <c r="H361" s="642">
        <v>0</v>
      </c>
      <c r="I361" s="642">
        <v>0</v>
      </c>
      <c r="J361" s="642">
        <v>3.0090868580403627</v>
      </c>
      <c r="K361" s="642">
        <v>2.5363417285398034E-2</v>
      </c>
      <c r="L361" s="642">
        <v>0</v>
      </c>
      <c r="M361" s="642">
        <v>1.27660106948615</v>
      </c>
      <c r="N361" s="642">
        <v>8.6055350400994808</v>
      </c>
      <c r="O361" s="642">
        <v>0.68093940948821108</v>
      </c>
      <c r="P361" s="642">
        <v>146.08879967332064</v>
      </c>
      <c r="Q361" s="642">
        <v>3.3506823845440552</v>
      </c>
      <c r="R361" s="642">
        <v>0</v>
      </c>
      <c r="S361" s="650">
        <v>227.90858744515972</v>
      </c>
      <c r="U361" s="648" t="s">
        <v>81</v>
      </c>
      <c r="V361" s="642">
        <v>0</v>
      </c>
      <c r="W361" s="642">
        <v>0</v>
      </c>
      <c r="X361" s="642">
        <v>0.55102356567889155</v>
      </c>
      <c r="Y361" s="642">
        <v>0</v>
      </c>
      <c r="Z361" s="642">
        <v>0</v>
      </c>
      <c r="AA361" s="642">
        <v>0</v>
      </c>
      <c r="AB361" s="642">
        <v>6.5361621549849476</v>
      </c>
      <c r="AC361" s="642">
        <v>2.5363417285398034E-2</v>
      </c>
      <c r="AD361" s="642">
        <v>0</v>
      </c>
      <c r="AE361" s="642">
        <v>5.3379988256415478</v>
      </c>
      <c r="AF361" s="642">
        <v>15.069021727073199</v>
      </c>
      <c r="AG361" s="642">
        <v>1.4375946320597892</v>
      </c>
      <c r="AH361" s="642">
        <v>112.31243747223964</v>
      </c>
      <c r="AI361" s="642">
        <v>14.972206075305797</v>
      </c>
      <c r="AJ361" s="642">
        <v>0</v>
      </c>
      <c r="AK361" s="650">
        <v>156.24180787026921</v>
      </c>
    </row>
    <row r="362" spans="3:37" ht="13.5">
      <c r="C362" s="648" t="s">
        <v>82</v>
      </c>
      <c r="D362" s="642">
        <v>0</v>
      </c>
      <c r="E362" s="642">
        <v>0</v>
      </c>
      <c r="F362" s="642">
        <v>27.219719362233906</v>
      </c>
      <c r="G362" s="642">
        <v>0.81069667111944488</v>
      </c>
      <c r="H362" s="642">
        <v>0</v>
      </c>
      <c r="I362" s="642">
        <v>0</v>
      </c>
      <c r="J362" s="642">
        <v>5.0054618408177598</v>
      </c>
      <c r="K362" s="642">
        <v>0</v>
      </c>
      <c r="L362" s="642">
        <v>3.2629555410385191</v>
      </c>
      <c r="M362" s="642">
        <v>1.6544830022845812E-2</v>
      </c>
      <c r="N362" s="642">
        <v>0</v>
      </c>
      <c r="O362" s="642">
        <v>6.051975379409523E-2</v>
      </c>
      <c r="P362" s="642">
        <v>5.5235547180923223</v>
      </c>
      <c r="Q362" s="642">
        <v>0</v>
      </c>
      <c r="R362" s="642">
        <v>0</v>
      </c>
      <c r="S362" s="650">
        <v>41.899452717118898</v>
      </c>
      <c r="U362" s="648" t="s">
        <v>82</v>
      </c>
      <c r="V362" s="642">
        <v>0</v>
      </c>
      <c r="W362" s="642">
        <v>0</v>
      </c>
      <c r="X362" s="642">
        <v>0.67158967449506357</v>
      </c>
      <c r="Y362" s="642">
        <v>0</v>
      </c>
      <c r="Z362" s="642">
        <v>0</v>
      </c>
      <c r="AA362" s="642">
        <v>0</v>
      </c>
      <c r="AB362" s="642">
        <v>5.0054618408177598</v>
      </c>
      <c r="AC362" s="642">
        <v>0</v>
      </c>
      <c r="AD362" s="642">
        <v>35.167200828266267</v>
      </c>
      <c r="AE362" s="642">
        <v>0.86765586771995196</v>
      </c>
      <c r="AF362" s="642">
        <v>0</v>
      </c>
      <c r="AG362" s="642">
        <v>2.1874070050904897</v>
      </c>
      <c r="AH362" s="642">
        <v>5.6657335511185538</v>
      </c>
      <c r="AI362" s="642">
        <v>0</v>
      </c>
      <c r="AJ362" s="642">
        <v>0.44339331184266689</v>
      </c>
      <c r="AK362" s="650">
        <v>50.008442079350758</v>
      </c>
    </row>
    <row r="363" spans="3:37" ht="13.5">
      <c r="C363" s="648" t="s">
        <v>357</v>
      </c>
      <c r="D363" s="642">
        <v>0</v>
      </c>
      <c r="E363" s="642">
        <v>0</v>
      </c>
      <c r="F363" s="642">
        <v>0</v>
      </c>
      <c r="G363" s="642">
        <v>0</v>
      </c>
      <c r="H363" s="642">
        <v>0</v>
      </c>
      <c r="I363" s="642">
        <v>0</v>
      </c>
      <c r="J363" s="642">
        <v>0</v>
      </c>
      <c r="K363" s="642">
        <v>0</v>
      </c>
      <c r="L363" s="642">
        <v>0</v>
      </c>
      <c r="M363" s="642">
        <v>0</v>
      </c>
      <c r="N363" s="642">
        <v>0</v>
      </c>
      <c r="O363" s="642">
        <v>0</v>
      </c>
      <c r="P363" s="642">
        <v>0.44999999999999996</v>
      </c>
      <c r="Q363" s="642">
        <v>0</v>
      </c>
      <c r="R363" s="642">
        <v>0</v>
      </c>
      <c r="S363" s="650">
        <v>0.44999999999999996</v>
      </c>
      <c r="U363" s="648" t="s">
        <v>357</v>
      </c>
      <c r="V363" s="642">
        <v>0</v>
      </c>
      <c r="W363" s="642">
        <v>0</v>
      </c>
      <c r="X363" s="642">
        <v>0</v>
      </c>
      <c r="Y363" s="642">
        <v>0</v>
      </c>
      <c r="Z363" s="642">
        <v>0</v>
      </c>
      <c r="AA363" s="642">
        <v>0</v>
      </c>
      <c r="AB363" s="642">
        <v>0</v>
      </c>
      <c r="AC363" s="642">
        <v>0</v>
      </c>
      <c r="AD363" s="642">
        <v>0</v>
      </c>
      <c r="AE363" s="642">
        <v>0</v>
      </c>
      <c r="AF363" s="642">
        <v>0</v>
      </c>
      <c r="AG363" s="642">
        <v>0</v>
      </c>
      <c r="AH363" s="642">
        <v>6</v>
      </c>
      <c r="AI363" s="642">
        <v>0</v>
      </c>
      <c r="AJ363" s="642">
        <v>0</v>
      </c>
      <c r="AK363" s="650">
        <v>6</v>
      </c>
    </row>
    <row r="364" spans="3:37" ht="13.5">
      <c r="C364" s="646" t="s">
        <v>83</v>
      </c>
      <c r="D364" s="647">
        <v>3.6733927919712848</v>
      </c>
      <c r="E364" s="647">
        <v>0</v>
      </c>
      <c r="F364" s="647">
        <v>271.01966816424783</v>
      </c>
      <c r="G364" s="647">
        <v>255.79122918902203</v>
      </c>
      <c r="H364" s="647">
        <v>0</v>
      </c>
      <c r="I364" s="647">
        <v>0</v>
      </c>
      <c r="J364" s="647">
        <v>116.96131138117599</v>
      </c>
      <c r="K364" s="647">
        <v>1.7266732887522405</v>
      </c>
      <c r="L364" s="647">
        <v>25.166558400865188</v>
      </c>
      <c r="M364" s="647">
        <v>5.238424175077693</v>
      </c>
      <c r="N364" s="647">
        <v>75.083762899489528</v>
      </c>
      <c r="O364" s="647">
        <v>2.8624530156397006</v>
      </c>
      <c r="P364" s="647">
        <v>541.90719860025752</v>
      </c>
      <c r="Q364" s="647">
        <v>34.744016552062419</v>
      </c>
      <c r="R364" s="647">
        <v>3.1559026365968594</v>
      </c>
      <c r="S364" s="647">
        <v>1337.3305910951583</v>
      </c>
      <c r="U364" s="646" t="s">
        <v>83</v>
      </c>
      <c r="V364" s="647">
        <v>1.5000162600463405</v>
      </c>
      <c r="W364" s="647">
        <v>0</v>
      </c>
      <c r="X364" s="647">
        <v>11.642988856720871</v>
      </c>
      <c r="Y364" s="647">
        <v>0</v>
      </c>
      <c r="Z364" s="647">
        <v>0</v>
      </c>
      <c r="AA364" s="647">
        <v>0</v>
      </c>
      <c r="AB364" s="647">
        <v>72.998047331393281</v>
      </c>
      <c r="AC364" s="647">
        <v>4.1448350868904589</v>
      </c>
      <c r="AD364" s="647">
        <v>56.30488079443672</v>
      </c>
      <c r="AE364" s="647">
        <v>108.92560601395611</v>
      </c>
      <c r="AF364" s="647">
        <v>123.16818516374138</v>
      </c>
      <c r="AG364" s="647">
        <v>8.5623521411059595</v>
      </c>
      <c r="AH364" s="647">
        <v>512.22753841958684</v>
      </c>
      <c r="AI364" s="647">
        <v>68.423763504668656</v>
      </c>
      <c r="AJ364" s="647">
        <v>16.512616402642333</v>
      </c>
      <c r="AK364" s="647">
        <v>984.4108299751889</v>
      </c>
    </row>
    <row r="365" spans="3:37" ht="13.5">
      <c r="C365" s="641" t="s">
        <v>84</v>
      </c>
      <c r="D365" s="642">
        <v>0</v>
      </c>
      <c r="E365" s="642">
        <v>0</v>
      </c>
      <c r="F365" s="642">
        <v>100.05515171814793</v>
      </c>
      <c r="G365" s="642">
        <v>11.196954266678716</v>
      </c>
      <c r="H365" s="642">
        <v>0</v>
      </c>
      <c r="I365" s="642">
        <v>0</v>
      </c>
      <c r="J365" s="642">
        <v>0</v>
      </c>
      <c r="K365" s="642">
        <v>0</v>
      </c>
      <c r="L365" s="642">
        <v>0</v>
      </c>
      <c r="M365" s="642">
        <v>0</v>
      </c>
      <c r="N365" s="642">
        <v>0</v>
      </c>
      <c r="O365" s="642">
        <v>0</v>
      </c>
      <c r="P365" s="642">
        <v>0</v>
      </c>
      <c r="Q365" s="642">
        <v>0</v>
      </c>
      <c r="R365" s="642">
        <v>3.9154347726113912</v>
      </c>
      <c r="S365" s="650">
        <v>115.16754075743803</v>
      </c>
      <c r="U365" s="641" t="s">
        <v>84</v>
      </c>
      <c r="V365" s="642">
        <v>0</v>
      </c>
      <c r="W365" s="642">
        <v>0</v>
      </c>
      <c r="X365" s="642">
        <v>57.953190468871433</v>
      </c>
      <c r="Y365" s="642">
        <v>0.51452681198611927</v>
      </c>
      <c r="Z365" s="642">
        <v>0</v>
      </c>
      <c r="AA365" s="642">
        <v>0</v>
      </c>
      <c r="AB365" s="642">
        <v>0</v>
      </c>
      <c r="AC365" s="642">
        <v>0</v>
      </c>
      <c r="AD365" s="642">
        <v>30.108432000732424</v>
      </c>
      <c r="AE365" s="642">
        <v>0</v>
      </c>
      <c r="AF365" s="642">
        <v>0</v>
      </c>
      <c r="AG365" s="642">
        <v>0</v>
      </c>
      <c r="AH365" s="642">
        <v>0</v>
      </c>
      <c r="AI365" s="642">
        <v>0</v>
      </c>
      <c r="AJ365" s="642">
        <v>20.543554244995118</v>
      </c>
      <c r="AK365" s="650">
        <v>109.1197035265851</v>
      </c>
    </row>
    <row r="366" spans="3:37" ht="13.5">
      <c r="C366" s="646" t="s">
        <v>85</v>
      </c>
      <c r="D366" s="647">
        <v>3.6733927919712848</v>
      </c>
      <c r="E366" s="647">
        <v>0</v>
      </c>
      <c r="F366" s="647">
        <v>371.07481988239573</v>
      </c>
      <c r="G366" s="647">
        <v>266.98818345570078</v>
      </c>
      <c r="H366" s="647">
        <v>0</v>
      </c>
      <c r="I366" s="647">
        <v>0</v>
      </c>
      <c r="J366" s="647">
        <v>116.96131138117599</v>
      </c>
      <c r="K366" s="647">
        <v>1.7266732887522405</v>
      </c>
      <c r="L366" s="647">
        <v>25.166558400865188</v>
      </c>
      <c r="M366" s="647">
        <v>5.238424175077693</v>
      </c>
      <c r="N366" s="647">
        <v>75.083762899489528</v>
      </c>
      <c r="O366" s="647">
        <v>2.8624530156397006</v>
      </c>
      <c r="P366" s="647">
        <v>541.90719860025752</v>
      </c>
      <c r="Q366" s="647">
        <v>34.744016552062419</v>
      </c>
      <c r="R366" s="647">
        <v>7.071337409208251</v>
      </c>
      <c r="S366" s="647">
        <v>1452.4981318525963</v>
      </c>
      <c r="U366" s="646" t="s">
        <v>85</v>
      </c>
      <c r="V366" s="647">
        <v>1.5000162600463405</v>
      </c>
      <c r="W366" s="647">
        <v>0</v>
      </c>
      <c r="X366" s="647">
        <v>69.596179325592303</v>
      </c>
      <c r="Y366" s="647">
        <v>0.51452681198611927</v>
      </c>
      <c r="Z366" s="647">
        <v>0</v>
      </c>
      <c r="AA366" s="647">
        <v>0</v>
      </c>
      <c r="AB366" s="647">
        <v>72.998047331393281</v>
      </c>
      <c r="AC366" s="647">
        <v>4.1448350868904589</v>
      </c>
      <c r="AD366" s="647">
        <v>86.413312795169148</v>
      </c>
      <c r="AE366" s="647">
        <v>108.92560601395611</v>
      </c>
      <c r="AF366" s="647">
        <v>123.16818516374138</v>
      </c>
      <c r="AG366" s="647">
        <v>8.5623521411059595</v>
      </c>
      <c r="AH366" s="647">
        <v>512.22753841958684</v>
      </c>
      <c r="AI366" s="647">
        <v>68.423763504668656</v>
      </c>
      <c r="AJ366" s="647">
        <v>37.056170647637451</v>
      </c>
      <c r="AK366" s="647">
        <v>1093.530533501774</v>
      </c>
    </row>
    <row r="367" spans="3:37" ht="13">
      <c r="C367" s="636"/>
      <c r="D367" s="636"/>
      <c r="E367" s="636"/>
      <c r="F367" s="636"/>
      <c r="G367" s="636"/>
      <c r="H367" s="636"/>
      <c r="I367" s="636"/>
      <c r="J367" s="636"/>
      <c r="K367" s="636"/>
      <c r="L367" s="636"/>
      <c r="M367" s="636"/>
      <c r="N367" s="636"/>
      <c r="O367" s="636"/>
      <c r="P367" s="636"/>
      <c r="Q367" s="636"/>
      <c r="R367" s="636"/>
      <c r="S367" s="636"/>
      <c r="U367" s="636"/>
      <c r="V367" s="636"/>
      <c r="W367" s="636"/>
      <c r="X367" s="636"/>
      <c r="Y367" s="636"/>
      <c r="Z367" s="636"/>
      <c r="AA367" s="636"/>
      <c r="AB367" s="636"/>
      <c r="AC367" s="636"/>
      <c r="AD367" s="636"/>
      <c r="AE367" s="636"/>
      <c r="AF367" s="636"/>
      <c r="AG367" s="636"/>
      <c r="AH367" s="636"/>
      <c r="AI367" s="636"/>
      <c r="AJ367" s="636"/>
      <c r="AK367" s="636"/>
    </row>
    <row r="368" spans="3:37" ht="13">
      <c r="C368" s="636"/>
      <c r="D368" s="636"/>
      <c r="E368" s="636"/>
      <c r="F368" s="636"/>
      <c r="G368" s="636"/>
      <c r="H368" s="636"/>
      <c r="I368" s="636"/>
      <c r="J368" s="636"/>
      <c r="K368" s="636"/>
      <c r="L368" s="636"/>
      <c r="M368" s="636"/>
      <c r="N368" s="636"/>
      <c r="O368" s="636"/>
      <c r="P368" s="636"/>
      <c r="Q368" s="636"/>
      <c r="R368" s="636"/>
      <c r="S368" s="636"/>
      <c r="U368" s="636"/>
      <c r="V368" s="636"/>
      <c r="W368" s="636"/>
      <c r="X368" s="636"/>
      <c r="Y368" s="636"/>
      <c r="Z368" s="636"/>
      <c r="AA368" s="636"/>
      <c r="AB368" s="636"/>
      <c r="AC368" s="636"/>
      <c r="AD368" s="636"/>
      <c r="AE368" s="636"/>
      <c r="AF368" s="636"/>
      <c r="AG368" s="636"/>
      <c r="AH368" s="636"/>
      <c r="AI368" s="636"/>
      <c r="AJ368" s="636"/>
      <c r="AK368" s="636"/>
    </row>
  </sheetData>
  <mergeCells count="262">
    <mergeCell ref="AA334:AA335"/>
    <mergeCell ref="AB334:AG334"/>
    <mergeCell ref="AH334:AH335"/>
    <mergeCell ref="AI334:AI335"/>
    <mergeCell ref="AJ334:AJ335"/>
    <mergeCell ref="AK334:AK335"/>
    <mergeCell ref="U334:U335"/>
    <mergeCell ref="V334:V335"/>
    <mergeCell ref="W334:W335"/>
    <mergeCell ref="X334:X335"/>
    <mergeCell ref="Y334:Y335"/>
    <mergeCell ref="Z334:Z335"/>
    <mergeCell ref="I334:I335"/>
    <mergeCell ref="J334:O334"/>
    <mergeCell ref="P334:P335"/>
    <mergeCell ref="Q334:Q335"/>
    <mergeCell ref="R334:R335"/>
    <mergeCell ref="S334:S335"/>
    <mergeCell ref="C334:C335"/>
    <mergeCell ref="D334:D335"/>
    <mergeCell ref="E334:E335"/>
    <mergeCell ref="F334:F335"/>
    <mergeCell ref="G334:G335"/>
    <mergeCell ref="H334:H335"/>
    <mergeCell ref="C332:S332"/>
    <mergeCell ref="U332:AK332"/>
    <mergeCell ref="W298:W299"/>
    <mergeCell ref="X298:X299"/>
    <mergeCell ref="Y298:Y299"/>
    <mergeCell ref="Z298:Z299"/>
    <mergeCell ref="AA298:AA299"/>
    <mergeCell ref="AB298:AG298"/>
    <mergeCell ref="P298:P299"/>
    <mergeCell ref="Q298:Q299"/>
    <mergeCell ref="R298:R299"/>
    <mergeCell ref="S298:S299"/>
    <mergeCell ref="U298:U299"/>
    <mergeCell ref="V298:V299"/>
    <mergeCell ref="C296:S296"/>
    <mergeCell ref="U296:AK296"/>
    <mergeCell ref="C298:C299"/>
    <mergeCell ref="D298:D299"/>
    <mergeCell ref="E298:E299"/>
    <mergeCell ref="F298:F299"/>
    <mergeCell ref="G298:G299"/>
    <mergeCell ref="H298:H299"/>
    <mergeCell ref="I298:I299"/>
    <mergeCell ref="J298:O298"/>
    <mergeCell ref="AH298:AH299"/>
    <mergeCell ref="AI298:AI299"/>
    <mergeCell ref="AJ298:AJ299"/>
    <mergeCell ref="AK298:AK299"/>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 ref="I262:I263"/>
    <mergeCell ref="J262:O262"/>
    <mergeCell ref="P262:P263"/>
    <mergeCell ref="Q262:Q263"/>
    <mergeCell ref="R262:R263"/>
    <mergeCell ref="S262:S263"/>
    <mergeCell ref="C262:C263"/>
    <mergeCell ref="D262:D263"/>
    <mergeCell ref="E262:E263"/>
    <mergeCell ref="F262:F263"/>
    <mergeCell ref="G262:G263"/>
    <mergeCell ref="H262:H263"/>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335">
    <cfRule type="cellIs" dxfId="18355" priority="1" operator="equal">
      <formula>0</formula>
    </cfRule>
  </conditionalFormatting>
  <conditionalFormatting sqref="P15:S17 E15:I17 J15:O16 Q12:S14 G12:G14 D12:D17 D18:S18">
    <cfRule type="cellIs" dxfId="18354" priority="973" operator="equal">
      <formula>0</formula>
    </cfRule>
  </conditionalFormatting>
  <conditionalFormatting sqref="P12:P17">
    <cfRule type="cellIs" dxfId="18353" priority="974" operator="equal">
      <formula>0</formula>
    </cfRule>
  </conditionalFormatting>
  <conditionalFormatting sqref="D12:E17 H12:I17">
    <cfRule type="cellIs" dxfId="18352" priority="975" operator="equal">
      <formula>0</formula>
    </cfRule>
  </conditionalFormatting>
  <conditionalFormatting sqref="F12:F17">
    <cfRule type="cellIs" dxfId="18351" priority="976" operator="equal">
      <formula>0</formula>
    </cfRule>
  </conditionalFormatting>
  <conditionalFormatting sqref="J15:J17">
    <cfRule type="cellIs" dxfId="18350" priority="977" operator="equal">
      <formula>0</formula>
    </cfRule>
  </conditionalFormatting>
  <conditionalFormatting sqref="J12:J17 K12:O12">
    <cfRule type="cellIs" dxfId="18349" priority="978" operator="equal">
      <formula>0</formula>
    </cfRule>
  </conditionalFormatting>
  <conditionalFormatting sqref="K15:K17">
    <cfRule type="cellIs" dxfId="18348" priority="979" operator="equal">
      <formula>0</formula>
    </cfRule>
  </conditionalFormatting>
  <conditionalFormatting sqref="K12:K17">
    <cfRule type="cellIs" dxfId="18347" priority="980" operator="equal">
      <formula>0</formula>
    </cfRule>
  </conditionalFormatting>
  <conditionalFormatting sqref="L15:L17">
    <cfRule type="cellIs" dxfId="18346" priority="981" operator="equal">
      <formula>0</formula>
    </cfRule>
  </conditionalFormatting>
  <conditionalFormatting sqref="L12:L17">
    <cfRule type="cellIs" dxfId="18345" priority="982" operator="equal">
      <formula>0</formula>
    </cfRule>
  </conditionalFormatting>
  <conditionalFormatting sqref="M15:M17">
    <cfRule type="cellIs" dxfId="18344" priority="983" operator="equal">
      <formula>0</formula>
    </cfRule>
  </conditionalFormatting>
  <conditionalFormatting sqref="M12:M17">
    <cfRule type="cellIs" dxfId="18343" priority="984" operator="equal">
      <formula>0</formula>
    </cfRule>
  </conditionalFormatting>
  <conditionalFormatting sqref="N15:N17">
    <cfRule type="cellIs" dxfId="18342" priority="985" operator="equal">
      <formula>0</formula>
    </cfRule>
  </conditionalFormatting>
  <conditionalFormatting sqref="N12:N17">
    <cfRule type="cellIs" dxfId="18341" priority="986" operator="equal">
      <formula>0</formula>
    </cfRule>
  </conditionalFormatting>
  <conditionalFormatting sqref="O15:O17">
    <cfRule type="cellIs" dxfId="18340" priority="987" operator="equal">
      <formula>0</formula>
    </cfRule>
  </conditionalFormatting>
  <conditionalFormatting sqref="O12:O17">
    <cfRule type="cellIs" dxfId="18339" priority="988" operator="equal">
      <formula>0</formula>
    </cfRule>
  </conditionalFormatting>
  <conditionalFormatting sqref="D12:S18">
    <cfRule type="expression" dxfId="18338" priority="989">
      <formula>LEN(TRIM(D12))=0</formula>
    </cfRule>
  </conditionalFormatting>
  <conditionalFormatting sqref="L15:L16">
    <cfRule type="cellIs" dxfId="18337" priority="990" operator="equal">
      <formula>0</formula>
    </cfRule>
  </conditionalFormatting>
  <conditionalFormatting sqref="M15:M16">
    <cfRule type="cellIs" dxfId="18336" priority="991" operator="equal">
      <formula>0</formula>
    </cfRule>
  </conditionalFormatting>
  <conditionalFormatting sqref="N15:O15">
    <cfRule type="cellIs" dxfId="18335" priority="992" operator="equal">
      <formula>0</formula>
    </cfRule>
  </conditionalFormatting>
  <conditionalFormatting sqref="N16:O16">
    <cfRule type="cellIs" dxfId="18334" priority="993" operator="equal">
      <formula>0</formula>
    </cfRule>
  </conditionalFormatting>
  <conditionalFormatting sqref="E29:G29 D30:G31 H29:I31 D25:I28 J25:R31 D20:S20 D32:R32 D21:I22 S21:S32 P21:R22">
    <cfRule type="cellIs" dxfId="18333" priority="967" operator="equal">
      <formula>0</formula>
    </cfRule>
  </conditionalFormatting>
  <conditionalFormatting sqref="D29">
    <cfRule type="cellIs" dxfId="18332" priority="968" operator="equal">
      <formula>0</formula>
    </cfRule>
  </conditionalFormatting>
  <conditionalFormatting sqref="D20:S20 D25:R32 D21:I22 S21:S32 P21:R22">
    <cfRule type="expression" dxfId="18331" priority="969">
      <formula>LEN(TRIM(D20))=0</formula>
    </cfRule>
  </conditionalFormatting>
  <conditionalFormatting sqref="D23:R24">
    <cfRule type="cellIs" dxfId="18330" priority="970" operator="equal">
      <formula>0</formula>
    </cfRule>
  </conditionalFormatting>
  <conditionalFormatting sqref="P23:P24">
    <cfRule type="cellIs" dxfId="18329" priority="971" operator="equal">
      <formula>0</formula>
    </cfRule>
  </conditionalFormatting>
  <conditionalFormatting sqref="D23:R24">
    <cfRule type="expression" dxfId="18328" priority="972">
      <formula>LEN(TRIM(D23))=0</formula>
    </cfRule>
  </conditionalFormatting>
  <conditionalFormatting sqref="J21:O22">
    <cfRule type="cellIs" dxfId="18327" priority="965" operator="equal">
      <formula>0</formula>
    </cfRule>
  </conditionalFormatting>
  <conditionalFormatting sqref="J21:O22">
    <cfRule type="expression" dxfId="18326" priority="966">
      <formula>LEN(TRIM(J21))=0</formula>
    </cfRule>
  </conditionalFormatting>
  <conditionalFormatting sqref="D35:R40 S34:S39 S41 D34:I34 P34:R34">
    <cfRule type="cellIs" dxfId="18325" priority="959" operator="equal">
      <formula>0</formula>
    </cfRule>
  </conditionalFormatting>
  <conditionalFormatting sqref="D41:R41">
    <cfRule type="cellIs" dxfId="18324" priority="960" operator="equal">
      <formula>0</formula>
    </cfRule>
  </conditionalFormatting>
  <conditionalFormatting sqref="D35:S39 D41:S41 D40:R40 D34:I34 P34:S34">
    <cfRule type="expression" dxfId="18323" priority="961">
      <formula>LEN(TRIM(D34))=0</formula>
    </cfRule>
  </conditionalFormatting>
  <conditionalFormatting sqref="D41:R41">
    <cfRule type="cellIs" dxfId="18322" priority="962" operator="equal">
      <formula>0</formula>
    </cfRule>
  </conditionalFormatting>
  <conditionalFormatting sqref="D42:R42">
    <cfRule type="cellIs" dxfId="18321" priority="963" operator="equal">
      <formula>0</formula>
    </cfRule>
  </conditionalFormatting>
  <conditionalFormatting sqref="D42:R42">
    <cfRule type="expression" dxfId="18320" priority="964">
      <formula>LEN(TRIM(D42))=0</formula>
    </cfRule>
  </conditionalFormatting>
  <conditionalFormatting sqref="S42">
    <cfRule type="cellIs" dxfId="18319" priority="957" operator="equal">
      <formula>0</formula>
    </cfRule>
  </conditionalFormatting>
  <conditionalFormatting sqref="S42">
    <cfRule type="expression" dxfId="18318" priority="958">
      <formula>LEN(TRIM(S42))=0</formula>
    </cfRule>
  </conditionalFormatting>
  <conditionalFormatting sqref="S40">
    <cfRule type="cellIs" dxfId="18317" priority="955" operator="equal">
      <formula>0</formula>
    </cfRule>
  </conditionalFormatting>
  <conditionalFormatting sqref="S40">
    <cfRule type="expression" dxfId="18316" priority="956">
      <formula>LEN(TRIM(S40))=0</formula>
    </cfRule>
  </conditionalFormatting>
  <conditionalFormatting sqref="J34:O34">
    <cfRule type="cellIs" dxfId="18315" priority="953" operator="equal">
      <formula>0</formula>
    </cfRule>
  </conditionalFormatting>
  <conditionalFormatting sqref="J34:O34">
    <cfRule type="expression" dxfId="18314" priority="954">
      <formula>LEN(TRIM(J34))=0</formula>
    </cfRule>
  </conditionalFormatting>
  <conditionalFormatting sqref="P51:S53 E51:I53 J51:O52 Q48:S50 G48:G50 D48:D53 D54:S54">
    <cfRule type="cellIs" dxfId="18313" priority="932" operator="equal">
      <formula>0</formula>
    </cfRule>
  </conditionalFormatting>
  <conditionalFormatting sqref="P48:P53">
    <cfRule type="cellIs" dxfId="18312" priority="933" operator="equal">
      <formula>0</formula>
    </cfRule>
  </conditionalFormatting>
  <conditionalFormatting sqref="D48:E53 H48:I53">
    <cfRule type="cellIs" dxfId="18311" priority="934" operator="equal">
      <formula>0</formula>
    </cfRule>
  </conditionalFormatting>
  <conditionalFormatting sqref="F48:F53">
    <cfRule type="cellIs" dxfId="18310" priority="935" operator="equal">
      <formula>0</formula>
    </cfRule>
  </conditionalFormatting>
  <conditionalFormatting sqref="J51:J53">
    <cfRule type="cellIs" dxfId="18309" priority="936" operator="equal">
      <formula>0</formula>
    </cfRule>
  </conditionalFormatting>
  <conditionalFormatting sqref="J48:J53 K48:O48">
    <cfRule type="cellIs" dxfId="18308" priority="937" operator="equal">
      <formula>0</formula>
    </cfRule>
  </conditionalFormatting>
  <conditionalFormatting sqref="K51:K53">
    <cfRule type="cellIs" dxfId="18307" priority="938" operator="equal">
      <formula>0</formula>
    </cfRule>
  </conditionalFormatting>
  <conditionalFormatting sqref="K48:K53">
    <cfRule type="cellIs" dxfId="18306" priority="939" operator="equal">
      <formula>0</formula>
    </cfRule>
  </conditionalFormatting>
  <conditionalFormatting sqref="L51:L53">
    <cfRule type="cellIs" dxfId="18305" priority="940" operator="equal">
      <formula>0</formula>
    </cfRule>
  </conditionalFormatting>
  <conditionalFormatting sqref="L48:L53">
    <cfRule type="cellIs" dxfId="18304" priority="941" operator="equal">
      <formula>0</formula>
    </cfRule>
  </conditionalFormatting>
  <conditionalFormatting sqref="M51:M53">
    <cfRule type="cellIs" dxfId="18303" priority="942" operator="equal">
      <formula>0</formula>
    </cfRule>
  </conditionalFormatting>
  <conditionalFormatting sqref="M48:M53">
    <cfRule type="cellIs" dxfId="18302" priority="943" operator="equal">
      <formula>0</formula>
    </cfRule>
  </conditionalFormatting>
  <conditionalFormatting sqref="N51:N53">
    <cfRule type="cellIs" dxfId="18301" priority="944" operator="equal">
      <formula>0</formula>
    </cfRule>
  </conditionalFormatting>
  <conditionalFormatting sqref="N48:N53">
    <cfRule type="cellIs" dxfId="18300" priority="945" operator="equal">
      <formula>0</formula>
    </cfRule>
  </conditionalFormatting>
  <conditionalFormatting sqref="O51:O53">
    <cfRule type="cellIs" dxfId="18299" priority="946" operator="equal">
      <formula>0</formula>
    </cfRule>
  </conditionalFormatting>
  <conditionalFormatting sqref="O48:O53">
    <cfRule type="cellIs" dxfId="18298" priority="947" operator="equal">
      <formula>0</formula>
    </cfRule>
  </conditionalFormatting>
  <conditionalFormatting sqref="D48:S54">
    <cfRule type="expression" dxfId="18297" priority="948">
      <formula>LEN(TRIM(D48))=0</formula>
    </cfRule>
  </conditionalFormatting>
  <conditionalFormatting sqref="L51:L52">
    <cfRule type="cellIs" dxfId="18296" priority="949" operator="equal">
      <formula>0</formula>
    </cfRule>
  </conditionalFormatting>
  <conditionalFormatting sqref="M51:M52">
    <cfRule type="cellIs" dxfId="18295" priority="950" operator="equal">
      <formula>0</formula>
    </cfRule>
  </conditionalFormatting>
  <conditionalFormatting sqref="N51:O51">
    <cfRule type="cellIs" dxfId="18294" priority="951" operator="equal">
      <formula>0</formula>
    </cfRule>
  </conditionalFormatting>
  <conditionalFormatting sqref="N52:O52">
    <cfRule type="cellIs" dxfId="18293" priority="952" operator="equal">
      <formula>0</formula>
    </cfRule>
  </conditionalFormatting>
  <conditionalFormatting sqref="E65:G65 D66:G67 H65:I67 D61:I64 J61:R67 D56:S56 D68:R68 D57:I58 S57:S68 P57:R58">
    <cfRule type="cellIs" dxfId="18292" priority="926" operator="equal">
      <formula>0</formula>
    </cfRule>
  </conditionalFormatting>
  <conditionalFormatting sqref="D65">
    <cfRule type="cellIs" dxfId="18291" priority="927" operator="equal">
      <formula>0</formula>
    </cfRule>
  </conditionalFormatting>
  <conditionalFormatting sqref="D56:S56 D61:R68 D57:I58 S57:S68 P57:R58">
    <cfRule type="expression" dxfId="18290" priority="928">
      <formula>LEN(TRIM(D56))=0</formula>
    </cfRule>
  </conditionalFormatting>
  <conditionalFormatting sqref="D59:R60">
    <cfRule type="cellIs" dxfId="18289" priority="929" operator="equal">
      <formula>0</formula>
    </cfRule>
  </conditionalFormatting>
  <conditionalFormatting sqref="P59:P60">
    <cfRule type="cellIs" dxfId="18288" priority="930" operator="equal">
      <formula>0</formula>
    </cfRule>
  </conditionalFormatting>
  <conditionalFormatting sqref="D59:R60">
    <cfRule type="expression" dxfId="18287" priority="931">
      <formula>LEN(TRIM(D59))=0</formula>
    </cfRule>
  </conditionalFormatting>
  <conditionalFormatting sqref="J57:O58">
    <cfRule type="cellIs" dxfId="18286" priority="924" operator="equal">
      <formula>0</formula>
    </cfRule>
  </conditionalFormatting>
  <conditionalFormatting sqref="J57:O58">
    <cfRule type="expression" dxfId="18285" priority="925">
      <formula>LEN(TRIM(J57))=0</formula>
    </cfRule>
  </conditionalFormatting>
  <conditionalFormatting sqref="D71:R76 S70:S75 S77 D70:I70 P70:R70">
    <cfRule type="cellIs" dxfId="18284" priority="918" operator="equal">
      <formula>0</formula>
    </cfRule>
  </conditionalFormatting>
  <conditionalFormatting sqref="D77:R77">
    <cfRule type="cellIs" dxfId="18283" priority="919" operator="equal">
      <formula>0</formula>
    </cfRule>
  </conditionalFormatting>
  <conditionalFormatting sqref="D71:S75 D77:S77 D76:R76 D70:I70 P70:S70">
    <cfRule type="expression" dxfId="18282" priority="920">
      <formula>LEN(TRIM(D70))=0</formula>
    </cfRule>
  </conditionalFormatting>
  <conditionalFormatting sqref="D77:R77">
    <cfRule type="cellIs" dxfId="18281" priority="921" operator="equal">
      <formula>0</formula>
    </cfRule>
  </conditionalFormatting>
  <conditionalFormatting sqref="D78:R78">
    <cfRule type="cellIs" dxfId="18280" priority="922" operator="equal">
      <formula>0</formula>
    </cfRule>
  </conditionalFormatting>
  <conditionalFormatting sqref="D78:R78">
    <cfRule type="expression" dxfId="18279" priority="923">
      <formula>LEN(TRIM(D78))=0</formula>
    </cfRule>
  </conditionalFormatting>
  <conditionalFormatting sqref="S78">
    <cfRule type="cellIs" dxfId="18278" priority="916" operator="equal">
      <formula>0</formula>
    </cfRule>
  </conditionalFormatting>
  <conditionalFormatting sqref="S78">
    <cfRule type="expression" dxfId="18277" priority="917">
      <formula>LEN(TRIM(S78))=0</formula>
    </cfRule>
  </conditionalFormatting>
  <conditionalFormatting sqref="S76">
    <cfRule type="cellIs" dxfId="18276" priority="914" operator="equal">
      <formula>0</formula>
    </cfRule>
  </conditionalFormatting>
  <conditionalFormatting sqref="S76">
    <cfRule type="expression" dxfId="18275" priority="915">
      <formula>LEN(TRIM(S76))=0</formula>
    </cfRule>
  </conditionalFormatting>
  <conditionalFormatting sqref="J70:O70">
    <cfRule type="cellIs" dxfId="18274" priority="912" operator="equal">
      <formula>0</formula>
    </cfRule>
  </conditionalFormatting>
  <conditionalFormatting sqref="J70:O70">
    <cfRule type="expression" dxfId="18273" priority="913">
      <formula>LEN(TRIM(J70))=0</formula>
    </cfRule>
  </conditionalFormatting>
  <conditionalFormatting sqref="P87:S89 E87:I89 J87:O88 Q84:S86 G84:G86 D84:D89 D90:S90">
    <cfRule type="cellIs" dxfId="18272" priority="891" operator="equal">
      <formula>0</formula>
    </cfRule>
  </conditionalFormatting>
  <conditionalFormatting sqref="P84:P89">
    <cfRule type="cellIs" dxfId="18271" priority="892" operator="equal">
      <formula>0</formula>
    </cfRule>
  </conditionalFormatting>
  <conditionalFormatting sqref="D84:E89 H84:I89">
    <cfRule type="cellIs" dxfId="18270" priority="893" operator="equal">
      <formula>0</formula>
    </cfRule>
  </conditionalFormatting>
  <conditionalFormatting sqref="F84:F89">
    <cfRule type="cellIs" dxfId="18269" priority="894" operator="equal">
      <formula>0</formula>
    </cfRule>
  </conditionalFormatting>
  <conditionalFormatting sqref="J87:J89">
    <cfRule type="cellIs" dxfId="18268" priority="895" operator="equal">
      <formula>0</formula>
    </cfRule>
  </conditionalFormatting>
  <conditionalFormatting sqref="J84:J89 K84:O84">
    <cfRule type="cellIs" dxfId="18267" priority="896" operator="equal">
      <formula>0</formula>
    </cfRule>
  </conditionalFormatting>
  <conditionalFormatting sqref="K87:K89">
    <cfRule type="cellIs" dxfId="18266" priority="897" operator="equal">
      <formula>0</formula>
    </cfRule>
  </conditionalFormatting>
  <conditionalFormatting sqref="K84:K89">
    <cfRule type="cellIs" dxfId="18265" priority="898" operator="equal">
      <formula>0</formula>
    </cfRule>
  </conditionalFormatting>
  <conditionalFormatting sqref="L87:L89">
    <cfRule type="cellIs" dxfId="18264" priority="899" operator="equal">
      <formula>0</formula>
    </cfRule>
  </conditionalFormatting>
  <conditionalFormatting sqref="L84:L89">
    <cfRule type="cellIs" dxfId="18263" priority="900" operator="equal">
      <formula>0</formula>
    </cfRule>
  </conditionalFormatting>
  <conditionalFormatting sqref="M87:M89">
    <cfRule type="cellIs" dxfId="18262" priority="901" operator="equal">
      <formula>0</formula>
    </cfRule>
  </conditionalFormatting>
  <conditionalFormatting sqref="M84:M89">
    <cfRule type="cellIs" dxfId="18261" priority="902" operator="equal">
      <formula>0</formula>
    </cfRule>
  </conditionalFormatting>
  <conditionalFormatting sqref="N87:N89">
    <cfRule type="cellIs" dxfId="18260" priority="903" operator="equal">
      <formula>0</formula>
    </cfRule>
  </conditionalFormatting>
  <conditionalFormatting sqref="N84:N89">
    <cfRule type="cellIs" dxfId="18259" priority="904" operator="equal">
      <formula>0</formula>
    </cfRule>
  </conditionalFormatting>
  <conditionalFormatting sqref="O87:O89">
    <cfRule type="cellIs" dxfId="18258" priority="905" operator="equal">
      <formula>0</formula>
    </cfRule>
  </conditionalFormatting>
  <conditionalFormatting sqref="O84:O89">
    <cfRule type="cellIs" dxfId="18257" priority="906" operator="equal">
      <formula>0</formula>
    </cfRule>
  </conditionalFormatting>
  <conditionalFormatting sqref="D84:S90">
    <cfRule type="expression" dxfId="18256" priority="907">
      <formula>LEN(TRIM(D84))=0</formula>
    </cfRule>
  </conditionalFormatting>
  <conditionalFormatting sqref="L87:L88">
    <cfRule type="cellIs" dxfId="18255" priority="908" operator="equal">
      <formula>0</formula>
    </cfRule>
  </conditionalFormatting>
  <conditionalFormatting sqref="M87:M88">
    <cfRule type="cellIs" dxfId="18254" priority="909" operator="equal">
      <formula>0</formula>
    </cfRule>
  </conditionalFormatting>
  <conditionalFormatting sqref="N87:O87">
    <cfRule type="cellIs" dxfId="18253" priority="910" operator="equal">
      <formula>0</formula>
    </cfRule>
  </conditionalFormatting>
  <conditionalFormatting sqref="N88:O88">
    <cfRule type="cellIs" dxfId="18252" priority="911" operator="equal">
      <formula>0</formula>
    </cfRule>
  </conditionalFormatting>
  <conditionalFormatting sqref="E101:G101 D102:G103 H101:I103 D97:I100 J97:R103 D92:S92 D104:R104 D93:I94 S93:S104 P93:R94">
    <cfRule type="cellIs" dxfId="18251" priority="885" operator="equal">
      <formula>0</formula>
    </cfRule>
  </conditionalFormatting>
  <conditionalFormatting sqref="D101">
    <cfRule type="cellIs" dxfId="18250" priority="886" operator="equal">
      <formula>0</formula>
    </cfRule>
  </conditionalFormatting>
  <conditionalFormatting sqref="D92:S92 D97:R104 D93:I94 S93:S104 P93:R94">
    <cfRule type="expression" dxfId="18249" priority="887">
      <formula>LEN(TRIM(D92))=0</formula>
    </cfRule>
  </conditionalFormatting>
  <conditionalFormatting sqref="D95:R96">
    <cfRule type="cellIs" dxfId="18248" priority="888" operator="equal">
      <formula>0</formula>
    </cfRule>
  </conditionalFormatting>
  <conditionalFormatting sqref="P95:P96">
    <cfRule type="cellIs" dxfId="18247" priority="889" operator="equal">
      <formula>0</formula>
    </cfRule>
  </conditionalFormatting>
  <conditionalFormatting sqref="D95:R96">
    <cfRule type="expression" dxfId="18246" priority="890">
      <formula>LEN(TRIM(D95))=0</formula>
    </cfRule>
  </conditionalFormatting>
  <conditionalFormatting sqref="J93:O94">
    <cfRule type="cellIs" dxfId="18245" priority="883" operator="equal">
      <formula>0</formula>
    </cfRule>
  </conditionalFormatting>
  <conditionalFormatting sqref="J93:O94">
    <cfRule type="expression" dxfId="18244" priority="884">
      <formula>LEN(TRIM(J93))=0</formula>
    </cfRule>
  </conditionalFormatting>
  <conditionalFormatting sqref="D107:R112 S106:S111 S113 D106:I106 P106:R106">
    <cfRule type="cellIs" dxfId="18243" priority="877" operator="equal">
      <formula>0</formula>
    </cfRule>
  </conditionalFormatting>
  <conditionalFormatting sqref="D113:R113">
    <cfRule type="cellIs" dxfId="18242" priority="878" operator="equal">
      <formula>0</formula>
    </cfRule>
  </conditionalFormatting>
  <conditionalFormatting sqref="D107:S111 D113:S113 D112:R112 D106:I106 P106:S106">
    <cfRule type="expression" dxfId="18241" priority="879">
      <formula>LEN(TRIM(D106))=0</formula>
    </cfRule>
  </conditionalFormatting>
  <conditionalFormatting sqref="D113:R113">
    <cfRule type="cellIs" dxfId="18240" priority="880" operator="equal">
      <formula>0</formula>
    </cfRule>
  </conditionalFormatting>
  <conditionalFormatting sqref="D114:R114">
    <cfRule type="cellIs" dxfId="18239" priority="881" operator="equal">
      <formula>0</formula>
    </cfRule>
  </conditionalFormatting>
  <conditionalFormatting sqref="D114:R114">
    <cfRule type="expression" dxfId="18238" priority="882">
      <formula>LEN(TRIM(D114))=0</formula>
    </cfRule>
  </conditionalFormatting>
  <conditionalFormatting sqref="S114">
    <cfRule type="cellIs" dxfId="18237" priority="875" operator="equal">
      <formula>0</formula>
    </cfRule>
  </conditionalFormatting>
  <conditionalFormatting sqref="S114">
    <cfRule type="expression" dxfId="18236" priority="876">
      <formula>LEN(TRIM(S114))=0</formula>
    </cfRule>
  </conditionalFormatting>
  <conditionalFormatting sqref="S112">
    <cfRule type="cellIs" dxfId="18235" priority="873" operator="equal">
      <formula>0</formula>
    </cfRule>
  </conditionalFormatting>
  <conditionalFormatting sqref="S112">
    <cfRule type="expression" dxfId="18234" priority="874">
      <formula>LEN(TRIM(S112))=0</formula>
    </cfRule>
  </conditionalFormatting>
  <conditionalFormatting sqref="J106:O106">
    <cfRule type="cellIs" dxfId="18233" priority="871" operator="equal">
      <formula>0</formula>
    </cfRule>
  </conditionalFormatting>
  <conditionalFormatting sqref="J106:O106">
    <cfRule type="expression" dxfId="18232" priority="872">
      <formula>LEN(TRIM(J106))=0</formula>
    </cfRule>
  </conditionalFormatting>
  <conditionalFormatting sqref="P123:S125 E123:I125 J123:O124 Q120:S122 G120:G122 D120:D125 D126:S126">
    <cfRule type="cellIs" dxfId="18231" priority="850" operator="equal">
      <formula>0</formula>
    </cfRule>
  </conditionalFormatting>
  <conditionalFormatting sqref="P120:P125">
    <cfRule type="cellIs" dxfId="18230" priority="851" operator="equal">
      <formula>0</formula>
    </cfRule>
  </conditionalFormatting>
  <conditionalFormatting sqref="D120:E125 H120:I125">
    <cfRule type="cellIs" dxfId="18229" priority="852" operator="equal">
      <formula>0</formula>
    </cfRule>
  </conditionalFormatting>
  <conditionalFormatting sqref="F120:F125">
    <cfRule type="cellIs" dxfId="18228" priority="853" operator="equal">
      <formula>0</formula>
    </cfRule>
  </conditionalFormatting>
  <conditionalFormatting sqref="J123:J125">
    <cfRule type="cellIs" dxfId="18227" priority="854" operator="equal">
      <formula>0</formula>
    </cfRule>
  </conditionalFormatting>
  <conditionalFormatting sqref="J120:J125 K120:O120">
    <cfRule type="cellIs" dxfId="18226" priority="855" operator="equal">
      <formula>0</formula>
    </cfRule>
  </conditionalFormatting>
  <conditionalFormatting sqref="K123:K125">
    <cfRule type="cellIs" dxfId="18225" priority="856" operator="equal">
      <formula>0</formula>
    </cfRule>
  </conditionalFormatting>
  <conditionalFormatting sqref="K120:K125">
    <cfRule type="cellIs" dxfId="18224" priority="857" operator="equal">
      <formula>0</formula>
    </cfRule>
  </conditionalFormatting>
  <conditionalFormatting sqref="L123:L125">
    <cfRule type="cellIs" dxfId="18223" priority="858" operator="equal">
      <formula>0</formula>
    </cfRule>
  </conditionalFormatting>
  <conditionalFormatting sqref="L120:L125">
    <cfRule type="cellIs" dxfId="18222" priority="859" operator="equal">
      <formula>0</formula>
    </cfRule>
  </conditionalFormatting>
  <conditionalFormatting sqref="M123:M125">
    <cfRule type="cellIs" dxfId="18221" priority="860" operator="equal">
      <formula>0</formula>
    </cfRule>
  </conditionalFormatting>
  <conditionalFormatting sqref="M120:M125">
    <cfRule type="cellIs" dxfId="18220" priority="861" operator="equal">
      <formula>0</formula>
    </cfRule>
  </conditionalFormatting>
  <conditionalFormatting sqref="N123:N125">
    <cfRule type="cellIs" dxfId="18219" priority="862" operator="equal">
      <formula>0</formula>
    </cfRule>
  </conditionalFormatting>
  <conditionalFormatting sqref="N120:N125">
    <cfRule type="cellIs" dxfId="18218" priority="863" operator="equal">
      <formula>0</formula>
    </cfRule>
  </conditionalFormatting>
  <conditionalFormatting sqref="O123:O125">
    <cfRule type="cellIs" dxfId="18217" priority="864" operator="equal">
      <formula>0</formula>
    </cfRule>
  </conditionalFormatting>
  <conditionalFormatting sqref="O120:O125">
    <cfRule type="cellIs" dxfId="18216" priority="865" operator="equal">
      <formula>0</formula>
    </cfRule>
  </conditionalFormatting>
  <conditionalFormatting sqref="D120:S126">
    <cfRule type="expression" dxfId="18215" priority="866">
      <formula>LEN(TRIM(D120))=0</formula>
    </cfRule>
  </conditionalFormatting>
  <conditionalFormatting sqref="L123:L124">
    <cfRule type="cellIs" dxfId="18214" priority="867" operator="equal">
      <formula>0</formula>
    </cfRule>
  </conditionalFormatting>
  <conditionalFormatting sqref="M123:M124">
    <cfRule type="cellIs" dxfId="18213" priority="868" operator="equal">
      <formula>0</formula>
    </cfRule>
  </conditionalFormatting>
  <conditionalFormatting sqref="N123:O123">
    <cfRule type="cellIs" dxfId="18212" priority="869" operator="equal">
      <formula>0</formula>
    </cfRule>
  </conditionalFormatting>
  <conditionalFormatting sqref="N124:O124">
    <cfRule type="cellIs" dxfId="18211" priority="870" operator="equal">
      <formula>0</formula>
    </cfRule>
  </conditionalFormatting>
  <conditionalFormatting sqref="E137:G137 D138:G139 H137:I139 D133:I136 J133:R139 D128:S128 D140:R140 D129:I130 S129:S140 P129:R130">
    <cfRule type="cellIs" dxfId="18210" priority="844" operator="equal">
      <formula>0</formula>
    </cfRule>
  </conditionalFormatting>
  <conditionalFormatting sqref="D137">
    <cfRule type="cellIs" dxfId="18209" priority="845" operator="equal">
      <formula>0</formula>
    </cfRule>
  </conditionalFormatting>
  <conditionalFormatting sqref="D128:S128 D133:R140 D129:I130 S129:S140 P129:R130">
    <cfRule type="expression" dxfId="18208" priority="846">
      <formula>LEN(TRIM(D128))=0</formula>
    </cfRule>
  </conditionalFormatting>
  <conditionalFormatting sqref="D131:R132">
    <cfRule type="cellIs" dxfId="18207" priority="847" operator="equal">
      <formula>0</formula>
    </cfRule>
  </conditionalFormatting>
  <conditionalFormatting sqref="P131:P132">
    <cfRule type="cellIs" dxfId="18206" priority="848" operator="equal">
      <formula>0</formula>
    </cfRule>
  </conditionalFormatting>
  <conditionalFormatting sqref="D131:R132">
    <cfRule type="expression" dxfId="18205" priority="849">
      <formula>LEN(TRIM(D131))=0</formula>
    </cfRule>
  </conditionalFormatting>
  <conditionalFormatting sqref="J129:O130">
    <cfRule type="cellIs" dxfId="18204" priority="842" operator="equal">
      <formula>0</formula>
    </cfRule>
  </conditionalFormatting>
  <conditionalFormatting sqref="J129:O130">
    <cfRule type="expression" dxfId="18203" priority="843">
      <formula>LEN(TRIM(J129))=0</formula>
    </cfRule>
  </conditionalFormatting>
  <conditionalFormatting sqref="D143:R148 S142:S147 S149 D142:I142 P142:R142">
    <cfRule type="cellIs" dxfId="18202" priority="836" operator="equal">
      <formula>0</formula>
    </cfRule>
  </conditionalFormatting>
  <conditionalFormatting sqref="D149:R149">
    <cfRule type="cellIs" dxfId="18201" priority="837" operator="equal">
      <formula>0</formula>
    </cfRule>
  </conditionalFormatting>
  <conditionalFormatting sqref="D143:S147 D149:S149 D148:R148 D142:I142 P142:S142">
    <cfRule type="expression" dxfId="18200" priority="838">
      <formula>LEN(TRIM(D142))=0</formula>
    </cfRule>
  </conditionalFormatting>
  <conditionalFormatting sqref="D149:R149">
    <cfRule type="cellIs" dxfId="18199" priority="839" operator="equal">
      <formula>0</formula>
    </cfRule>
  </conditionalFormatting>
  <conditionalFormatting sqref="D150:R150">
    <cfRule type="cellIs" dxfId="18198" priority="840" operator="equal">
      <formula>0</formula>
    </cfRule>
  </conditionalFormatting>
  <conditionalFormatting sqref="D150:R150">
    <cfRule type="expression" dxfId="18197" priority="841">
      <formula>LEN(TRIM(D150))=0</formula>
    </cfRule>
  </conditionalFormatting>
  <conditionalFormatting sqref="S150">
    <cfRule type="cellIs" dxfId="18196" priority="834" operator="equal">
      <formula>0</formula>
    </cfRule>
  </conditionalFormatting>
  <conditionalFormatting sqref="S150">
    <cfRule type="expression" dxfId="18195" priority="835">
      <formula>LEN(TRIM(S150))=0</formula>
    </cfRule>
  </conditionalFormatting>
  <conditionalFormatting sqref="S148">
    <cfRule type="cellIs" dxfId="18194" priority="832" operator="equal">
      <formula>0</formula>
    </cfRule>
  </conditionalFormatting>
  <conditionalFormatting sqref="S148">
    <cfRule type="expression" dxfId="18193" priority="833">
      <formula>LEN(TRIM(S148))=0</formula>
    </cfRule>
  </conditionalFormatting>
  <conditionalFormatting sqref="J142:O142">
    <cfRule type="cellIs" dxfId="18192" priority="830" operator="equal">
      <formula>0</formula>
    </cfRule>
  </conditionalFormatting>
  <conditionalFormatting sqref="J142:O142">
    <cfRule type="expression" dxfId="18191" priority="831">
      <formula>LEN(TRIM(J142))=0</formula>
    </cfRule>
  </conditionalFormatting>
  <conditionalFormatting sqref="P159:S161 E159:I161 J159:O160 Q156:S158 G156:G158 D156:D161 D162:S162">
    <cfRule type="cellIs" dxfId="18190" priority="809" operator="equal">
      <formula>0</formula>
    </cfRule>
  </conditionalFormatting>
  <conditionalFormatting sqref="P156:P161">
    <cfRule type="cellIs" dxfId="18189" priority="810" operator="equal">
      <formula>0</formula>
    </cfRule>
  </conditionalFormatting>
  <conditionalFormatting sqref="D156:E161 H156:I161">
    <cfRule type="cellIs" dxfId="18188" priority="811" operator="equal">
      <formula>0</formula>
    </cfRule>
  </conditionalFormatting>
  <conditionalFormatting sqref="F156:F161">
    <cfRule type="cellIs" dxfId="18187" priority="812" operator="equal">
      <formula>0</formula>
    </cfRule>
  </conditionalFormatting>
  <conditionalFormatting sqref="J159:J161">
    <cfRule type="cellIs" dxfId="18186" priority="813" operator="equal">
      <formula>0</formula>
    </cfRule>
  </conditionalFormatting>
  <conditionalFormatting sqref="J156:J161 K156:O156">
    <cfRule type="cellIs" dxfId="18185" priority="814" operator="equal">
      <formula>0</formula>
    </cfRule>
  </conditionalFormatting>
  <conditionalFormatting sqref="K159:K161">
    <cfRule type="cellIs" dxfId="18184" priority="815" operator="equal">
      <formula>0</formula>
    </cfRule>
  </conditionalFormatting>
  <conditionalFormatting sqref="K156:K161">
    <cfRule type="cellIs" dxfId="18183" priority="816" operator="equal">
      <formula>0</formula>
    </cfRule>
  </conditionalFormatting>
  <conditionalFormatting sqref="L159:L161">
    <cfRule type="cellIs" dxfId="18182" priority="817" operator="equal">
      <formula>0</formula>
    </cfRule>
  </conditionalFormatting>
  <conditionalFormatting sqref="L156:L161">
    <cfRule type="cellIs" dxfId="18181" priority="818" operator="equal">
      <formula>0</formula>
    </cfRule>
  </conditionalFormatting>
  <conditionalFormatting sqref="M159:M161">
    <cfRule type="cellIs" dxfId="18180" priority="819" operator="equal">
      <formula>0</formula>
    </cfRule>
  </conditionalFormatting>
  <conditionalFormatting sqref="M156:M161">
    <cfRule type="cellIs" dxfId="18179" priority="820" operator="equal">
      <formula>0</formula>
    </cfRule>
  </conditionalFormatting>
  <conditionalFormatting sqref="N159:N161">
    <cfRule type="cellIs" dxfId="18178" priority="821" operator="equal">
      <formula>0</formula>
    </cfRule>
  </conditionalFormatting>
  <conditionalFormatting sqref="N156:N161">
    <cfRule type="cellIs" dxfId="18177" priority="822" operator="equal">
      <formula>0</formula>
    </cfRule>
  </conditionalFormatting>
  <conditionalFormatting sqref="O159:O161">
    <cfRule type="cellIs" dxfId="18176" priority="823" operator="equal">
      <formula>0</formula>
    </cfRule>
  </conditionalFormatting>
  <conditionalFormatting sqref="O156:O161">
    <cfRule type="cellIs" dxfId="18175" priority="824" operator="equal">
      <formula>0</formula>
    </cfRule>
  </conditionalFormatting>
  <conditionalFormatting sqref="D156:S162">
    <cfRule type="expression" dxfId="18174" priority="825">
      <formula>LEN(TRIM(D156))=0</formula>
    </cfRule>
  </conditionalFormatting>
  <conditionalFormatting sqref="L159:L160">
    <cfRule type="cellIs" dxfId="18173" priority="826" operator="equal">
      <formula>0</formula>
    </cfRule>
  </conditionalFormatting>
  <conditionalFormatting sqref="M159:M160">
    <cfRule type="cellIs" dxfId="18172" priority="827" operator="equal">
      <formula>0</formula>
    </cfRule>
  </conditionalFormatting>
  <conditionalFormatting sqref="N159:O159">
    <cfRule type="cellIs" dxfId="18171" priority="828" operator="equal">
      <formula>0</formula>
    </cfRule>
  </conditionalFormatting>
  <conditionalFormatting sqref="N160:O160">
    <cfRule type="cellIs" dxfId="18170" priority="829" operator="equal">
      <formula>0</formula>
    </cfRule>
  </conditionalFormatting>
  <conditionalFormatting sqref="E173:G173 D174:G175 H173:I175 D169:I172 J169:R175 D164:S164 D176:R176 D165:I166 S165:S176 P165:R166">
    <cfRule type="cellIs" dxfId="18169" priority="803" operator="equal">
      <formula>0</formula>
    </cfRule>
  </conditionalFormatting>
  <conditionalFormatting sqref="D173">
    <cfRule type="cellIs" dxfId="18168" priority="804" operator="equal">
      <formula>0</formula>
    </cfRule>
  </conditionalFormatting>
  <conditionalFormatting sqref="D164:S164 D169:R176 D165:I166 S165:S176 P165:R166">
    <cfRule type="expression" dxfId="18167" priority="805">
      <formula>LEN(TRIM(D164))=0</formula>
    </cfRule>
  </conditionalFormatting>
  <conditionalFormatting sqref="D167:R168">
    <cfRule type="cellIs" dxfId="18166" priority="806" operator="equal">
      <formula>0</formula>
    </cfRule>
  </conditionalFormatting>
  <conditionalFormatting sqref="P167:P168">
    <cfRule type="cellIs" dxfId="18165" priority="807" operator="equal">
      <formula>0</formula>
    </cfRule>
  </conditionalFormatting>
  <conditionalFormatting sqref="D167:R168">
    <cfRule type="expression" dxfId="18164" priority="808">
      <formula>LEN(TRIM(D167))=0</formula>
    </cfRule>
  </conditionalFormatting>
  <conditionalFormatting sqref="J165:O166">
    <cfRule type="cellIs" dxfId="18163" priority="801" operator="equal">
      <formula>0</formula>
    </cfRule>
  </conditionalFormatting>
  <conditionalFormatting sqref="J165:O166">
    <cfRule type="expression" dxfId="18162" priority="802">
      <formula>LEN(TRIM(J165))=0</formula>
    </cfRule>
  </conditionalFormatting>
  <conditionalFormatting sqref="D179:R184 S178:S183 S185 D178:I178 P178:R178">
    <cfRule type="cellIs" dxfId="18161" priority="795" operator="equal">
      <formula>0</formula>
    </cfRule>
  </conditionalFormatting>
  <conditionalFormatting sqref="D185:R185">
    <cfRule type="cellIs" dxfId="18160" priority="796" operator="equal">
      <formula>0</formula>
    </cfRule>
  </conditionalFormatting>
  <conditionalFormatting sqref="D179:S183 D185:S185 D184:R184 D178:I178 P178:S178">
    <cfRule type="expression" dxfId="18159" priority="797">
      <formula>LEN(TRIM(D178))=0</formula>
    </cfRule>
  </conditionalFormatting>
  <conditionalFormatting sqref="D185:R185">
    <cfRule type="cellIs" dxfId="18158" priority="798" operator="equal">
      <formula>0</formula>
    </cfRule>
  </conditionalFormatting>
  <conditionalFormatting sqref="D186:R186">
    <cfRule type="cellIs" dxfId="18157" priority="799" operator="equal">
      <formula>0</formula>
    </cfRule>
  </conditionalFormatting>
  <conditionalFormatting sqref="D186:R186">
    <cfRule type="expression" dxfId="18156" priority="800">
      <formula>LEN(TRIM(D186))=0</formula>
    </cfRule>
  </conditionalFormatting>
  <conditionalFormatting sqref="S186">
    <cfRule type="cellIs" dxfId="18155" priority="793" operator="equal">
      <formula>0</formula>
    </cfRule>
  </conditionalFormatting>
  <conditionalFormatting sqref="S186">
    <cfRule type="expression" dxfId="18154" priority="794">
      <formula>LEN(TRIM(S186))=0</formula>
    </cfRule>
  </conditionalFormatting>
  <conditionalFormatting sqref="S184">
    <cfRule type="cellIs" dxfId="18153" priority="791" operator="equal">
      <formula>0</formula>
    </cfRule>
  </conditionalFormatting>
  <conditionalFormatting sqref="S184">
    <cfRule type="expression" dxfId="18152" priority="792">
      <formula>LEN(TRIM(S184))=0</formula>
    </cfRule>
  </conditionalFormatting>
  <conditionalFormatting sqref="J178:O178">
    <cfRule type="cellIs" dxfId="18151" priority="789" operator="equal">
      <formula>0</formula>
    </cfRule>
  </conditionalFormatting>
  <conditionalFormatting sqref="J178:O178">
    <cfRule type="expression" dxfId="18150" priority="790">
      <formula>LEN(TRIM(J178))=0</formula>
    </cfRule>
  </conditionalFormatting>
  <conditionalFormatting sqref="P195:S197 E195:I197 J195:O196 Q192:S194 G192:G194 D192:D197 D198:S198">
    <cfRule type="cellIs" dxfId="18149" priority="768" operator="equal">
      <formula>0</formula>
    </cfRule>
  </conditionalFormatting>
  <conditionalFormatting sqref="P192:P197">
    <cfRule type="cellIs" dxfId="18148" priority="769" operator="equal">
      <formula>0</formula>
    </cfRule>
  </conditionalFormatting>
  <conditionalFormatting sqref="D192:E197 H192:I197">
    <cfRule type="cellIs" dxfId="18147" priority="770" operator="equal">
      <formula>0</formula>
    </cfRule>
  </conditionalFormatting>
  <conditionalFormatting sqref="F192:F197">
    <cfRule type="cellIs" dxfId="18146" priority="771" operator="equal">
      <formula>0</formula>
    </cfRule>
  </conditionalFormatting>
  <conditionalFormatting sqref="J195:J197">
    <cfRule type="cellIs" dxfId="18145" priority="772" operator="equal">
      <formula>0</formula>
    </cfRule>
  </conditionalFormatting>
  <conditionalFormatting sqref="J192:J197 K192:O192">
    <cfRule type="cellIs" dxfId="18144" priority="773" operator="equal">
      <formula>0</formula>
    </cfRule>
  </conditionalFormatting>
  <conditionalFormatting sqref="K195:K197">
    <cfRule type="cellIs" dxfId="18143" priority="774" operator="equal">
      <formula>0</formula>
    </cfRule>
  </conditionalFormatting>
  <conditionalFormatting sqref="K192:K197">
    <cfRule type="cellIs" dxfId="18142" priority="775" operator="equal">
      <formula>0</formula>
    </cfRule>
  </conditionalFormatting>
  <conditionalFormatting sqref="L195:L197">
    <cfRule type="cellIs" dxfId="18141" priority="776" operator="equal">
      <formula>0</formula>
    </cfRule>
  </conditionalFormatting>
  <conditionalFormatting sqref="L192:L197">
    <cfRule type="cellIs" dxfId="18140" priority="777" operator="equal">
      <formula>0</formula>
    </cfRule>
  </conditionalFormatting>
  <conditionalFormatting sqref="M195:M197">
    <cfRule type="cellIs" dxfId="18139" priority="778" operator="equal">
      <formula>0</formula>
    </cfRule>
  </conditionalFormatting>
  <conditionalFormatting sqref="M192:M197">
    <cfRule type="cellIs" dxfId="18138" priority="779" operator="equal">
      <formula>0</formula>
    </cfRule>
  </conditionalFormatting>
  <conditionalFormatting sqref="N195:N197">
    <cfRule type="cellIs" dxfId="18137" priority="780" operator="equal">
      <formula>0</formula>
    </cfRule>
  </conditionalFormatting>
  <conditionalFormatting sqref="N192:N197">
    <cfRule type="cellIs" dxfId="18136" priority="781" operator="equal">
      <formula>0</formula>
    </cfRule>
  </conditionalFormatting>
  <conditionalFormatting sqref="O195:O197">
    <cfRule type="cellIs" dxfId="18135" priority="782" operator="equal">
      <formula>0</formula>
    </cfRule>
  </conditionalFormatting>
  <conditionalFormatting sqref="O192:O197">
    <cfRule type="cellIs" dxfId="18134" priority="783" operator="equal">
      <formula>0</formula>
    </cfRule>
  </conditionalFormatting>
  <conditionalFormatting sqref="D192:S198">
    <cfRule type="expression" dxfId="18133" priority="784">
      <formula>LEN(TRIM(D192))=0</formula>
    </cfRule>
  </conditionalFormatting>
  <conditionalFormatting sqref="L195:L196">
    <cfRule type="cellIs" dxfId="18132" priority="785" operator="equal">
      <formula>0</formula>
    </cfRule>
  </conditionalFormatting>
  <conditionalFormatting sqref="M195:M196">
    <cfRule type="cellIs" dxfId="18131" priority="786" operator="equal">
      <formula>0</formula>
    </cfRule>
  </conditionalFormatting>
  <conditionalFormatting sqref="N195:O195">
    <cfRule type="cellIs" dxfId="18130" priority="787" operator="equal">
      <formula>0</formula>
    </cfRule>
  </conditionalFormatting>
  <conditionalFormatting sqref="N196:O196">
    <cfRule type="cellIs" dxfId="18129" priority="788" operator="equal">
      <formula>0</formula>
    </cfRule>
  </conditionalFormatting>
  <conditionalFormatting sqref="E209:G209 D210:G211 H209:I211 D205:I208 J205:R211 D200:S200 D212:R212 D201:I202 S201:S212 P201:R202">
    <cfRule type="cellIs" dxfId="18128" priority="762" operator="equal">
      <formula>0</formula>
    </cfRule>
  </conditionalFormatting>
  <conditionalFormatting sqref="D209">
    <cfRule type="cellIs" dxfId="18127" priority="763" operator="equal">
      <formula>0</formula>
    </cfRule>
  </conditionalFormatting>
  <conditionalFormatting sqref="D200:S200 D205:R212 D201:I202 S201:S212 P201:R202">
    <cfRule type="expression" dxfId="18126" priority="764">
      <formula>LEN(TRIM(D200))=0</formula>
    </cfRule>
  </conditionalFormatting>
  <conditionalFormatting sqref="D203:R204">
    <cfRule type="cellIs" dxfId="18125" priority="765" operator="equal">
      <formula>0</formula>
    </cfRule>
  </conditionalFormatting>
  <conditionalFormatting sqref="P203:P204">
    <cfRule type="cellIs" dxfId="18124" priority="766" operator="equal">
      <formula>0</formula>
    </cfRule>
  </conditionalFormatting>
  <conditionalFormatting sqref="D203:R204">
    <cfRule type="expression" dxfId="18123" priority="767">
      <formula>LEN(TRIM(D203))=0</formula>
    </cfRule>
  </conditionalFormatting>
  <conditionalFormatting sqref="J201:O202">
    <cfRule type="cellIs" dxfId="18122" priority="760" operator="equal">
      <formula>0</formula>
    </cfRule>
  </conditionalFormatting>
  <conditionalFormatting sqref="J201:O202">
    <cfRule type="expression" dxfId="18121" priority="761">
      <formula>LEN(TRIM(J201))=0</formula>
    </cfRule>
  </conditionalFormatting>
  <conditionalFormatting sqref="D215:R220 S214:S219 S221 D214:I214 P214:R214">
    <cfRule type="cellIs" dxfId="18120" priority="754" operator="equal">
      <formula>0</formula>
    </cfRule>
  </conditionalFormatting>
  <conditionalFormatting sqref="D221:R221">
    <cfRule type="cellIs" dxfId="18119" priority="755" operator="equal">
      <formula>0</formula>
    </cfRule>
  </conditionalFormatting>
  <conditionalFormatting sqref="D215:S219 D221:S221 D220:R220 D214:I214 P214:S214">
    <cfRule type="expression" dxfId="18118" priority="756">
      <formula>LEN(TRIM(D214))=0</formula>
    </cfRule>
  </conditionalFormatting>
  <conditionalFormatting sqref="D221:R221">
    <cfRule type="cellIs" dxfId="18117" priority="757" operator="equal">
      <formula>0</formula>
    </cfRule>
  </conditionalFormatting>
  <conditionalFormatting sqref="D222:R222">
    <cfRule type="cellIs" dxfId="18116" priority="758" operator="equal">
      <formula>0</formula>
    </cfRule>
  </conditionalFormatting>
  <conditionalFormatting sqref="D222:R222">
    <cfRule type="expression" dxfId="18115" priority="759">
      <formula>LEN(TRIM(D222))=0</formula>
    </cfRule>
  </conditionalFormatting>
  <conditionalFormatting sqref="S222">
    <cfRule type="cellIs" dxfId="18114" priority="752" operator="equal">
      <formula>0</formula>
    </cfRule>
  </conditionalFormatting>
  <conditionalFormatting sqref="S222">
    <cfRule type="expression" dxfId="18113" priority="753">
      <formula>LEN(TRIM(S222))=0</formula>
    </cfRule>
  </conditionalFormatting>
  <conditionalFormatting sqref="S220">
    <cfRule type="cellIs" dxfId="18112" priority="750" operator="equal">
      <formula>0</formula>
    </cfRule>
  </conditionalFormatting>
  <conditionalFormatting sqref="S220">
    <cfRule type="expression" dxfId="18111" priority="751">
      <formula>LEN(TRIM(S220))=0</formula>
    </cfRule>
  </conditionalFormatting>
  <conditionalFormatting sqref="J214:O214">
    <cfRule type="cellIs" dxfId="18110" priority="748" operator="equal">
      <formula>0</formula>
    </cfRule>
  </conditionalFormatting>
  <conditionalFormatting sqref="J214:O214">
    <cfRule type="expression" dxfId="18109" priority="749">
      <formula>LEN(TRIM(J214))=0</formula>
    </cfRule>
  </conditionalFormatting>
  <conditionalFormatting sqref="P231:S233 E231:I233 J231:O232 Q228:S230 G228:G230 D228:D233 D234:S234">
    <cfRule type="cellIs" dxfId="18108" priority="727" operator="equal">
      <formula>0</formula>
    </cfRule>
  </conditionalFormatting>
  <conditionalFormatting sqref="P228:P233">
    <cfRule type="cellIs" dxfId="18107" priority="728" operator="equal">
      <formula>0</formula>
    </cfRule>
  </conditionalFormatting>
  <conditionalFormatting sqref="D228:E233 H228:I233">
    <cfRule type="cellIs" dxfId="18106" priority="729" operator="equal">
      <formula>0</formula>
    </cfRule>
  </conditionalFormatting>
  <conditionalFormatting sqref="F228:F233">
    <cfRule type="cellIs" dxfId="18105" priority="730" operator="equal">
      <formula>0</formula>
    </cfRule>
  </conditionalFormatting>
  <conditionalFormatting sqref="J231:J233">
    <cfRule type="cellIs" dxfId="18104" priority="731" operator="equal">
      <formula>0</formula>
    </cfRule>
  </conditionalFormatting>
  <conditionalFormatting sqref="J228:J233 K228:O228">
    <cfRule type="cellIs" dxfId="18103" priority="732" operator="equal">
      <formula>0</formula>
    </cfRule>
  </conditionalFormatting>
  <conditionalFormatting sqref="K231:K233">
    <cfRule type="cellIs" dxfId="18102" priority="733" operator="equal">
      <formula>0</formula>
    </cfRule>
  </conditionalFormatting>
  <conditionalFormatting sqref="K228:K233">
    <cfRule type="cellIs" dxfId="18101" priority="734" operator="equal">
      <formula>0</formula>
    </cfRule>
  </conditionalFormatting>
  <conditionalFormatting sqref="L231:L233">
    <cfRule type="cellIs" dxfId="18100" priority="735" operator="equal">
      <formula>0</formula>
    </cfRule>
  </conditionalFormatting>
  <conditionalFormatting sqref="L228:L233">
    <cfRule type="cellIs" dxfId="18099" priority="736" operator="equal">
      <formula>0</formula>
    </cfRule>
  </conditionalFormatting>
  <conditionalFormatting sqref="M231:M233">
    <cfRule type="cellIs" dxfId="18098" priority="737" operator="equal">
      <formula>0</formula>
    </cfRule>
  </conditionalFormatting>
  <conditionalFormatting sqref="M228:M233">
    <cfRule type="cellIs" dxfId="18097" priority="738" operator="equal">
      <formula>0</formula>
    </cfRule>
  </conditionalFormatting>
  <conditionalFormatting sqref="N231:N233">
    <cfRule type="cellIs" dxfId="18096" priority="739" operator="equal">
      <formula>0</formula>
    </cfRule>
  </conditionalFormatting>
  <conditionalFormatting sqref="N228:N233">
    <cfRule type="cellIs" dxfId="18095" priority="740" operator="equal">
      <formula>0</formula>
    </cfRule>
  </conditionalFormatting>
  <conditionalFormatting sqref="O231:O233">
    <cfRule type="cellIs" dxfId="18094" priority="741" operator="equal">
      <formula>0</formula>
    </cfRule>
  </conditionalFormatting>
  <conditionalFormatting sqref="O228:O233">
    <cfRule type="cellIs" dxfId="18093" priority="742" operator="equal">
      <formula>0</formula>
    </cfRule>
  </conditionalFormatting>
  <conditionalFormatting sqref="D228:S234">
    <cfRule type="expression" dxfId="18092" priority="743">
      <formula>LEN(TRIM(D228))=0</formula>
    </cfRule>
  </conditionalFormatting>
  <conditionalFormatting sqref="L231:L232">
    <cfRule type="cellIs" dxfId="18091" priority="744" operator="equal">
      <formula>0</formula>
    </cfRule>
  </conditionalFormatting>
  <conditionalFormatting sqref="M231:M232">
    <cfRule type="cellIs" dxfId="18090" priority="745" operator="equal">
      <formula>0</formula>
    </cfRule>
  </conditionalFormatting>
  <conditionalFormatting sqref="N231:O231">
    <cfRule type="cellIs" dxfId="18089" priority="746" operator="equal">
      <formula>0</formula>
    </cfRule>
  </conditionalFormatting>
  <conditionalFormatting sqref="N232:O232">
    <cfRule type="cellIs" dxfId="18088" priority="747" operator="equal">
      <formula>0</formula>
    </cfRule>
  </conditionalFormatting>
  <conditionalFormatting sqref="E245:G245 D246:G247 H245:I247 D241:I244 J241:R247 D236:S236 D248:R248 D237:I238 S237:S248 P237:R238">
    <cfRule type="cellIs" dxfId="18087" priority="721" operator="equal">
      <formula>0</formula>
    </cfRule>
  </conditionalFormatting>
  <conditionalFormatting sqref="D245">
    <cfRule type="cellIs" dxfId="18086" priority="722" operator="equal">
      <formula>0</formula>
    </cfRule>
  </conditionalFormatting>
  <conditionalFormatting sqref="D236:S236 D241:R248 D237:I238 S237:S248 P237:R238">
    <cfRule type="expression" dxfId="18085" priority="723">
      <formula>LEN(TRIM(D236))=0</formula>
    </cfRule>
  </conditionalFormatting>
  <conditionalFormatting sqref="D239:R240">
    <cfRule type="cellIs" dxfId="18084" priority="724" operator="equal">
      <formula>0</formula>
    </cfRule>
  </conditionalFormatting>
  <conditionalFormatting sqref="P239:P240">
    <cfRule type="cellIs" dxfId="18083" priority="725" operator="equal">
      <formula>0</formula>
    </cfRule>
  </conditionalFormatting>
  <conditionalFormatting sqref="D239:R240">
    <cfRule type="expression" dxfId="18082" priority="726">
      <formula>LEN(TRIM(D239))=0</formula>
    </cfRule>
  </conditionalFormatting>
  <conditionalFormatting sqref="J237:O238">
    <cfRule type="cellIs" dxfId="18081" priority="719" operator="equal">
      <formula>0</formula>
    </cfRule>
  </conditionalFormatting>
  <conditionalFormatting sqref="J237:O238">
    <cfRule type="expression" dxfId="18080" priority="720">
      <formula>LEN(TRIM(J237))=0</formula>
    </cfRule>
  </conditionalFormatting>
  <conditionalFormatting sqref="D251:R256 S250:S255 S257 D250:I250 P250:R250">
    <cfRule type="cellIs" dxfId="18079" priority="713" operator="equal">
      <formula>0</formula>
    </cfRule>
  </conditionalFormatting>
  <conditionalFormatting sqref="D257:R257">
    <cfRule type="cellIs" dxfId="18078" priority="714" operator="equal">
      <formula>0</formula>
    </cfRule>
  </conditionalFormatting>
  <conditionalFormatting sqref="D251:S255 D257:S257 D256:R256 D250:I250 P250:S250">
    <cfRule type="expression" dxfId="18077" priority="715">
      <formula>LEN(TRIM(D250))=0</formula>
    </cfRule>
  </conditionalFormatting>
  <conditionalFormatting sqref="D257:R257">
    <cfRule type="cellIs" dxfId="18076" priority="716" operator="equal">
      <formula>0</formula>
    </cfRule>
  </conditionalFormatting>
  <conditionalFormatting sqref="D258:R258">
    <cfRule type="cellIs" dxfId="18075" priority="717" operator="equal">
      <formula>0</formula>
    </cfRule>
  </conditionalFormatting>
  <conditionalFormatting sqref="D258:R258">
    <cfRule type="expression" dxfId="18074" priority="718">
      <formula>LEN(TRIM(D258))=0</formula>
    </cfRule>
  </conditionalFormatting>
  <conditionalFormatting sqref="S258">
    <cfRule type="cellIs" dxfId="18073" priority="711" operator="equal">
      <formula>0</formula>
    </cfRule>
  </conditionalFormatting>
  <conditionalFormatting sqref="S258">
    <cfRule type="expression" dxfId="18072" priority="712">
      <formula>LEN(TRIM(S258))=0</formula>
    </cfRule>
  </conditionalFormatting>
  <conditionalFormatting sqref="S256">
    <cfRule type="cellIs" dxfId="18071" priority="709" operator="equal">
      <formula>0</formula>
    </cfRule>
  </conditionalFormatting>
  <conditionalFormatting sqref="S256">
    <cfRule type="expression" dxfId="18070" priority="710">
      <formula>LEN(TRIM(S256))=0</formula>
    </cfRule>
  </conditionalFormatting>
  <conditionalFormatting sqref="J250:O250">
    <cfRule type="cellIs" dxfId="18069" priority="707" operator="equal">
      <formula>0</formula>
    </cfRule>
  </conditionalFormatting>
  <conditionalFormatting sqref="J250:O250">
    <cfRule type="expression" dxfId="18068" priority="708">
      <formula>LEN(TRIM(J250))=0</formula>
    </cfRule>
  </conditionalFormatting>
  <conditionalFormatting sqref="P267:S269 E267:I269 J267:O268 Q264:S266 G264:G266 D264:D269 D270:S270">
    <cfRule type="cellIs" dxfId="18067" priority="686" operator="equal">
      <formula>0</formula>
    </cfRule>
  </conditionalFormatting>
  <conditionalFormatting sqref="P264:P269">
    <cfRule type="cellIs" dxfId="18066" priority="687" operator="equal">
      <formula>0</formula>
    </cfRule>
  </conditionalFormatting>
  <conditionalFormatting sqref="D264:E269 H264:I269">
    <cfRule type="cellIs" dxfId="18065" priority="688" operator="equal">
      <formula>0</formula>
    </cfRule>
  </conditionalFormatting>
  <conditionalFormatting sqref="F264:F269">
    <cfRule type="cellIs" dxfId="18064" priority="689" operator="equal">
      <formula>0</formula>
    </cfRule>
  </conditionalFormatting>
  <conditionalFormatting sqref="J267:J269">
    <cfRule type="cellIs" dxfId="18063" priority="690" operator="equal">
      <formula>0</formula>
    </cfRule>
  </conditionalFormatting>
  <conditionalFormatting sqref="J264:J269 K264:O264">
    <cfRule type="cellIs" dxfId="18062" priority="691" operator="equal">
      <formula>0</formula>
    </cfRule>
  </conditionalFormatting>
  <conditionalFormatting sqref="K267:K269">
    <cfRule type="cellIs" dxfId="18061" priority="692" operator="equal">
      <formula>0</formula>
    </cfRule>
  </conditionalFormatting>
  <conditionalFormatting sqref="K264:K269">
    <cfRule type="cellIs" dxfId="18060" priority="693" operator="equal">
      <formula>0</formula>
    </cfRule>
  </conditionalFormatting>
  <conditionalFormatting sqref="L267:L269">
    <cfRule type="cellIs" dxfId="18059" priority="694" operator="equal">
      <formula>0</formula>
    </cfRule>
  </conditionalFormatting>
  <conditionalFormatting sqref="L264:L269">
    <cfRule type="cellIs" dxfId="18058" priority="695" operator="equal">
      <formula>0</formula>
    </cfRule>
  </conditionalFormatting>
  <conditionalFormatting sqref="M267:M269">
    <cfRule type="cellIs" dxfId="18057" priority="696" operator="equal">
      <formula>0</formula>
    </cfRule>
  </conditionalFormatting>
  <conditionalFormatting sqref="M264:M269">
    <cfRule type="cellIs" dxfId="18056" priority="697" operator="equal">
      <formula>0</formula>
    </cfRule>
  </conditionalFormatting>
  <conditionalFormatting sqref="N267:N269">
    <cfRule type="cellIs" dxfId="18055" priority="698" operator="equal">
      <formula>0</formula>
    </cfRule>
  </conditionalFormatting>
  <conditionalFormatting sqref="N264:N269">
    <cfRule type="cellIs" dxfId="18054" priority="699" operator="equal">
      <formula>0</formula>
    </cfRule>
  </conditionalFormatting>
  <conditionalFormatting sqref="O267:O269">
    <cfRule type="cellIs" dxfId="18053" priority="700" operator="equal">
      <formula>0</formula>
    </cfRule>
  </conditionalFormatting>
  <conditionalFormatting sqref="O264:O269">
    <cfRule type="cellIs" dxfId="18052" priority="701" operator="equal">
      <formula>0</formula>
    </cfRule>
  </conditionalFormatting>
  <conditionalFormatting sqref="D264:S270">
    <cfRule type="expression" dxfId="18051" priority="702">
      <formula>LEN(TRIM(D264))=0</formula>
    </cfRule>
  </conditionalFormatting>
  <conditionalFormatting sqref="L267:L268">
    <cfRule type="cellIs" dxfId="18050" priority="703" operator="equal">
      <formula>0</formula>
    </cfRule>
  </conditionalFormatting>
  <conditionalFormatting sqref="M267:M268">
    <cfRule type="cellIs" dxfId="18049" priority="704" operator="equal">
      <formula>0</formula>
    </cfRule>
  </conditionalFormatting>
  <conditionalFormatting sqref="N267:O267">
    <cfRule type="cellIs" dxfId="18048" priority="705" operator="equal">
      <formula>0</formula>
    </cfRule>
  </conditionalFormatting>
  <conditionalFormatting sqref="N268:O268">
    <cfRule type="cellIs" dxfId="18047" priority="706" operator="equal">
      <formula>0</formula>
    </cfRule>
  </conditionalFormatting>
  <conditionalFormatting sqref="E281:G281 D282:G283 H281:I283 D277:I280 J277:R283 D272:S272 D284:R284 D273:I274 S273:S284 P273:R274">
    <cfRule type="cellIs" dxfId="18046" priority="680" operator="equal">
      <formula>0</formula>
    </cfRule>
  </conditionalFormatting>
  <conditionalFormatting sqref="D281">
    <cfRule type="cellIs" dxfId="18045" priority="681" operator="equal">
      <formula>0</formula>
    </cfRule>
  </conditionalFormatting>
  <conditionalFormatting sqref="D272:S272 D277:R284 D273:I274 S273:S284 P273:R274">
    <cfRule type="expression" dxfId="18044" priority="682">
      <formula>LEN(TRIM(D272))=0</formula>
    </cfRule>
  </conditionalFormatting>
  <conditionalFormatting sqref="D275:R276">
    <cfRule type="cellIs" dxfId="18043" priority="683" operator="equal">
      <formula>0</formula>
    </cfRule>
  </conditionalFormatting>
  <conditionalFormatting sqref="P275:P276">
    <cfRule type="cellIs" dxfId="18042" priority="684" operator="equal">
      <formula>0</formula>
    </cfRule>
  </conditionalFormatting>
  <conditionalFormatting sqref="D275:R276">
    <cfRule type="expression" dxfId="18041" priority="685">
      <formula>LEN(TRIM(D275))=0</formula>
    </cfRule>
  </conditionalFormatting>
  <conditionalFormatting sqref="J273:O274">
    <cfRule type="cellIs" dxfId="18040" priority="678" operator="equal">
      <formula>0</formula>
    </cfRule>
  </conditionalFormatting>
  <conditionalFormatting sqref="J273:O274">
    <cfRule type="expression" dxfId="18039" priority="679">
      <formula>LEN(TRIM(J273))=0</formula>
    </cfRule>
  </conditionalFormatting>
  <conditionalFormatting sqref="D287:R292 S286:S291 S293 D286:I286 P286:R286">
    <cfRule type="cellIs" dxfId="18038" priority="672" operator="equal">
      <formula>0</formula>
    </cfRule>
  </conditionalFormatting>
  <conditionalFormatting sqref="D293:R293">
    <cfRule type="cellIs" dxfId="18037" priority="673" operator="equal">
      <formula>0</formula>
    </cfRule>
  </conditionalFormatting>
  <conditionalFormatting sqref="D287:S291 D293:S293 D292:R292 D286:I286 P286:S286">
    <cfRule type="expression" dxfId="18036" priority="674">
      <formula>LEN(TRIM(D286))=0</formula>
    </cfRule>
  </conditionalFormatting>
  <conditionalFormatting sqref="D293:R293">
    <cfRule type="cellIs" dxfId="18035" priority="675" operator="equal">
      <formula>0</formula>
    </cfRule>
  </conditionalFormatting>
  <conditionalFormatting sqref="D294:R294">
    <cfRule type="cellIs" dxfId="18034" priority="676" operator="equal">
      <formula>0</formula>
    </cfRule>
  </conditionalFormatting>
  <conditionalFormatting sqref="D294:R294">
    <cfRule type="expression" dxfId="18033" priority="677">
      <formula>LEN(TRIM(D294))=0</formula>
    </cfRule>
  </conditionalFormatting>
  <conditionalFormatting sqref="S294">
    <cfRule type="cellIs" dxfId="18032" priority="670" operator="equal">
      <formula>0</formula>
    </cfRule>
  </conditionalFormatting>
  <conditionalFormatting sqref="S294">
    <cfRule type="expression" dxfId="18031" priority="671">
      <formula>LEN(TRIM(S294))=0</formula>
    </cfRule>
  </conditionalFormatting>
  <conditionalFormatting sqref="S292">
    <cfRule type="cellIs" dxfId="18030" priority="668" operator="equal">
      <formula>0</formula>
    </cfRule>
  </conditionalFormatting>
  <conditionalFormatting sqref="S292">
    <cfRule type="expression" dxfId="18029" priority="669">
      <formula>LEN(TRIM(S292))=0</formula>
    </cfRule>
  </conditionalFormatting>
  <conditionalFormatting sqref="J286:O286">
    <cfRule type="cellIs" dxfId="18028" priority="666" operator="equal">
      <formula>0</formula>
    </cfRule>
  </conditionalFormatting>
  <conditionalFormatting sqref="J286:O286">
    <cfRule type="expression" dxfId="18027" priority="667">
      <formula>LEN(TRIM(J286))=0</formula>
    </cfRule>
  </conditionalFormatting>
  <conditionalFormatting sqref="P303:S305 E303:I305 J303:O304 Q300:S302 G300:G302 D300:D305 D306:S306">
    <cfRule type="cellIs" dxfId="18026" priority="645" operator="equal">
      <formula>0</formula>
    </cfRule>
  </conditionalFormatting>
  <conditionalFormatting sqref="P300:P305">
    <cfRule type="cellIs" dxfId="18025" priority="646" operator="equal">
      <formula>0</formula>
    </cfRule>
  </conditionalFormatting>
  <conditionalFormatting sqref="D300:E305 H300:I305">
    <cfRule type="cellIs" dxfId="18024" priority="647" operator="equal">
      <formula>0</formula>
    </cfRule>
  </conditionalFormatting>
  <conditionalFormatting sqref="F300:F305">
    <cfRule type="cellIs" dxfId="18023" priority="648" operator="equal">
      <formula>0</formula>
    </cfRule>
  </conditionalFormatting>
  <conditionalFormatting sqref="J303:J305">
    <cfRule type="cellIs" dxfId="18022" priority="649" operator="equal">
      <formula>0</formula>
    </cfRule>
  </conditionalFormatting>
  <conditionalFormatting sqref="J300:J305 K300:O300">
    <cfRule type="cellIs" dxfId="18021" priority="650" operator="equal">
      <formula>0</formula>
    </cfRule>
  </conditionalFormatting>
  <conditionalFormatting sqref="K303:K305">
    <cfRule type="cellIs" dxfId="18020" priority="651" operator="equal">
      <formula>0</formula>
    </cfRule>
  </conditionalFormatting>
  <conditionalFormatting sqref="K300:K305">
    <cfRule type="cellIs" dxfId="18019" priority="652" operator="equal">
      <formula>0</formula>
    </cfRule>
  </conditionalFormatting>
  <conditionalFormatting sqref="L303:L305">
    <cfRule type="cellIs" dxfId="18018" priority="653" operator="equal">
      <formula>0</formula>
    </cfRule>
  </conditionalFormatting>
  <conditionalFormatting sqref="L300:L305">
    <cfRule type="cellIs" dxfId="18017" priority="654" operator="equal">
      <formula>0</formula>
    </cfRule>
  </conditionalFormatting>
  <conditionalFormatting sqref="M303:M305">
    <cfRule type="cellIs" dxfId="18016" priority="655" operator="equal">
      <formula>0</formula>
    </cfRule>
  </conditionalFormatting>
  <conditionalFormatting sqref="M300:M305">
    <cfRule type="cellIs" dxfId="18015" priority="656" operator="equal">
      <formula>0</formula>
    </cfRule>
  </conditionalFormatting>
  <conditionalFormatting sqref="N303:N305">
    <cfRule type="cellIs" dxfId="18014" priority="657" operator="equal">
      <formula>0</formula>
    </cfRule>
  </conditionalFormatting>
  <conditionalFormatting sqref="N300:N305">
    <cfRule type="cellIs" dxfId="18013" priority="658" operator="equal">
      <formula>0</formula>
    </cfRule>
  </conditionalFormatting>
  <conditionalFormatting sqref="O303:O305">
    <cfRule type="cellIs" dxfId="18012" priority="659" operator="equal">
      <formula>0</formula>
    </cfRule>
  </conditionalFormatting>
  <conditionalFormatting sqref="O300:O305">
    <cfRule type="cellIs" dxfId="18011" priority="660" operator="equal">
      <formula>0</formula>
    </cfRule>
  </conditionalFormatting>
  <conditionalFormatting sqref="D300:S306">
    <cfRule type="expression" dxfId="18010" priority="661">
      <formula>LEN(TRIM(D300))=0</formula>
    </cfRule>
  </conditionalFormatting>
  <conditionalFormatting sqref="L303:L304">
    <cfRule type="cellIs" dxfId="18009" priority="662" operator="equal">
      <formula>0</formula>
    </cfRule>
  </conditionalFormatting>
  <conditionalFormatting sqref="M303:M304">
    <cfRule type="cellIs" dxfId="18008" priority="663" operator="equal">
      <formula>0</formula>
    </cfRule>
  </conditionalFormatting>
  <conditionalFormatting sqref="N303:O303">
    <cfRule type="cellIs" dxfId="18007" priority="664" operator="equal">
      <formula>0</formula>
    </cfRule>
  </conditionalFormatting>
  <conditionalFormatting sqref="N304:O304">
    <cfRule type="cellIs" dxfId="18006" priority="665" operator="equal">
      <formula>0</formula>
    </cfRule>
  </conditionalFormatting>
  <conditionalFormatting sqref="E317:G317 D318:G319 H317:I319 D313:I316 J313:R319 D308:S308 D320:R320 D309:I310 S309:S320 P309:R310">
    <cfRule type="cellIs" dxfId="18005" priority="639" operator="equal">
      <formula>0</formula>
    </cfRule>
  </conditionalFormatting>
  <conditionalFormatting sqref="D317">
    <cfRule type="cellIs" dxfId="18004" priority="640" operator="equal">
      <formula>0</formula>
    </cfRule>
  </conditionalFormatting>
  <conditionalFormatting sqref="D308:S308 D313:R320 D309:I310 S309:S320 P309:R310">
    <cfRule type="expression" dxfId="18003" priority="641">
      <formula>LEN(TRIM(D308))=0</formula>
    </cfRule>
  </conditionalFormatting>
  <conditionalFormatting sqref="D311:R312">
    <cfRule type="cellIs" dxfId="18002" priority="642" operator="equal">
      <formula>0</formula>
    </cfRule>
  </conditionalFormatting>
  <conditionalFormatting sqref="P311:P312">
    <cfRule type="cellIs" dxfId="18001" priority="643" operator="equal">
      <formula>0</formula>
    </cfRule>
  </conditionalFormatting>
  <conditionalFormatting sqref="D311:R312">
    <cfRule type="expression" dxfId="18000" priority="644">
      <formula>LEN(TRIM(D311))=0</formula>
    </cfRule>
  </conditionalFormatting>
  <conditionalFormatting sqref="J309:O310">
    <cfRule type="cellIs" dxfId="17999" priority="637" operator="equal">
      <formula>0</formula>
    </cfRule>
  </conditionalFormatting>
  <conditionalFormatting sqref="J309:O310">
    <cfRule type="expression" dxfId="17998" priority="638">
      <formula>LEN(TRIM(J309))=0</formula>
    </cfRule>
  </conditionalFormatting>
  <conditionalFormatting sqref="D323:R328 S322:S327 S329 D322:I322 P322:R322">
    <cfRule type="cellIs" dxfId="17997" priority="631" operator="equal">
      <formula>0</formula>
    </cfRule>
  </conditionalFormatting>
  <conditionalFormatting sqref="D329:R329">
    <cfRule type="cellIs" dxfId="17996" priority="632" operator="equal">
      <formula>0</formula>
    </cfRule>
  </conditionalFormatting>
  <conditionalFormatting sqref="D323:S327 D329:S329 D328:R328 D322:I322 P322:S322">
    <cfRule type="expression" dxfId="17995" priority="633">
      <formula>LEN(TRIM(D322))=0</formula>
    </cfRule>
  </conditionalFormatting>
  <conditionalFormatting sqref="D329:R329">
    <cfRule type="cellIs" dxfId="17994" priority="634" operator="equal">
      <formula>0</formula>
    </cfRule>
  </conditionalFormatting>
  <conditionalFormatting sqref="D330:R330">
    <cfRule type="cellIs" dxfId="17993" priority="635" operator="equal">
      <formula>0</formula>
    </cfRule>
  </conditionalFormatting>
  <conditionalFormatting sqref="D330:R330">
    <cfRule type="expression" dxfId="17992" priority="636">
      <formula>LEN(TRIM(D330))=0</formula>
    </cfRule>
  </conditionalFormatting>
  <conditionalFormatting sqref="S330">
    <cfRule type="cellIs" dxfId="17991" priority="629" operator="equal">
      <formula>0</formula>
    </cfRule>
  </conditionalFormatting>
  <conditionalFormatting sqref="S330">
    <cfRule type="expression" dxfId="17990" priority="630">
      <formula>LEN(TRIM(S330))=0</formula>
    </cfRule>
  </conditionalFormatting>
  <conditionalFormatting sqref="S328">
    <cfRule type="cellIs" dxfId="17989" priority="627" operator="equal">
      <formula>0</formula>
    </cfRule>
  </conditionalFormatting>
  <conditionalFormatting sqref="S328">
    <cfRule type="expression" dxfId="17988" priority="628">
      <formula>LEN(TRIM(S328))=0</formula>
    </cfRule>
  </conditionalFormatting>
  <conditionalFormatting sqref="J322:O322">
    <cfRule type="cellIs" dxfId="17987" priority="625" operator="equal">
      <formula>0</formula>
    </cfRule>
  </conditionalFormatting>
  <conditionalFormatting sqref="J322:O322">
    <cfRule type="expression" dxfId="17986" priority="626">
      <formula>LEN(TRIM(J322))=0</formula>
    </cfRule>
  </conditionalFormatting>
  <conditionalFormatting sqref="P339:S341 E339:I341 J339:O340 Q336:S338 G336:G338 D336:D341 D342:S342">
    <cfRule type="cellIs" dxfId="17985" priority="604" operator="equal">
      <formula>0</formula>
    </cfRule>
  </conditionalFormatting>
  <conditionalFormatting sqref="P336:P341">
    <cfRule type="cellIs" dxfId="17984" priority="605" operator="equal">
      <formula>0</formula>
    </cfRule>
  </conditionalFormatting>
  <conditionalFormatting sqref="D336:E341 H336:I341">
    <cfRule type="cellIs" dxfId="17983" priority="606" operator="equal">
      <formula>0</formula>
    </cfRule>
  </conditionalFormatting>
  <conditionalFormatting sqref="F336:F341">
    <cfRule type="cellIs" dxfId="17982" priority="607" operator="equal">
      <formula>0</formula>
    </cfRule>
  </conditionalFormatting>
  <conditionalFormatting sqref="J339:J341">
    <cfRule type="cellIs" dxfId="17981" priority="608" operator="equal">
      <formula>0</formula>
    </cfRule>
  </conditionalFormatting>
  <conditionalFormatting sqref="J336:J341 K336:O336">
    <cfRule type="cellIs" dxfId="17980" priority="609" operator="equal">
      <formula>0</formula>
    </cfRule>
  </conditionalFormatting>
  <conditionalFormatting sqref="K339:K341">
    <cfRule type="cellIs" dxfId="17979" priority="610" operator="equal">
      <formula>0</formula>
    </cfRule>
  </conditionalFormatting>
  <conditionalFormatting sqref="K336:K341">
    <cfRule type="cellIs" dxfId="17978" priority="611" operator="equal">
      <formula>0</formula>
    </cfRule>
  </conditionalFormatting>
  <conditionalFormatting sqref="L339:L341">
    <cfRule type="cellIs" dxfId="17977" priority="612" operator="equal">
      <formula>0</formula>
    </cfRule>
  </conditionalFormatting>
  <conditionalFormatting sqref="L336:L341">
    <cfRule type="cellIs" dxfId="17976" priority="613" operator="equal">
      <formula>0</formula>
    </cfRule>
  </conditionalFormatting>
  <conditionalFormatting sqref="M339:M341">
    <cfRule type="cellIs" dxfId="17975" priority="614" operator="equal">
      <formula>0</formula>
    </cfRule>
  </conditionalFormatting>
  <conditionalFormatting sqref="M336:M341">
    <cfRule type="cellIs" dxfId="17974" priority="615" operator="equal">
      <formula>0</formula>
    </cfRule>
  </conditionalFormatting>
  <conditionalFormatting sqref="N339:N341">
    <cfRule type="cellIs" dxfId="17973" priority="616" operator="equal">
      <formula>0</formula>
    </cfRule>
  </conditionalFormatting>
  <conditionalFormatting sqref="N336:N341">
    <cfRule type="cellIs" dxfId="17972" priority="617" operator="equal">
      <formula>0</formula>
    </cfRule>
  </conditionalFormatting>
  <conditionalFormatting sqref="O339:O341">
    <cfRule type="cellIs" dxfId="17971" priority="618" operator="equal">
      <formula>0</formula>
    </cfRule>
  </conditionalFormatting>
  <conditionalFormatting sqref="O336:O341">
    <cfRule type="cellIs" dxfId="17970" priority="619" operator="equal">
      <formula>0</formula>
    </cfRule>
  </conditionalFormatting>
  <conditionalFormatting sqref="D336:S342">
    <cfRule type="expression" dxfId="17969" priority="620">
      <formula>LEN(TRIM(D336))=0</formula>
    </cfRule>
  </conditionalFormatting>
  <conditionalFormatting sqref="L339:L340">
    <cfRule type="cellIs" dxfId="17968" priority="621" operator="equal">
      <formula>0</formula>
    </cfRule>
  </conditionalFormatting>
  <conditionalFormatting sqref="M339:M340">
    <cfRule type="cellIs" dxfId="17967" priority="622" operator="equal">
      <formula>0</formula>
    </cfRule>
  </conditionalFormatting>
  <conditionalFormatting sqref="N339:O339">
    <cfRule type="cellIs" dxfId="17966" priority="623" operator="equal">
      <formula>0</formula>
    </cfRule>
  </conditionalFormatting>
  <conditionalFormatting sqref="N340:O340">
    <cfRule type="cellIs" dxfId="17965" priority="624" operator="equal">
      <formula>0</formula>
    </cfRule>
  </conditionalFormatting>
  <conditionalFormatting sqref="E353:G353 D354:G355 H353:I355 D349:I352 J349:R355 D344:S344 D356:R356 D345:I346 S345:S356 P345:R346">
    <cfRule type="cellIs" dxfId="17964" priority="598" operator="equal">
      <formula>0</formula>
    </cfRule>
  </conditionalFormatting>
  <conditionalFormatting sqref="D353">
    <cfRule type="cellIs" dxfId="17963" priority="599" operator="equal">
      <formula>0</formula>
    </cfRule>
  </conditionalFormatting>
  <conditionalFormatting sqref="D344:S344 D349:R356 D345:I346 S345:S356 P345:R346">
    <cfRule type="expression" dxfId="17962" priority="600">
      <formula>LEN(TRIM(D344))=0</formula>
    </cfRule>
  </conditionalFormatting>
  <conditionalFormatting sqref="D347:R348">
    <cfRule type="cellIs" dxfId="17961" priority="601" operator="equal">
      <formula>0</formula>
    </cfRule>
  </conditionalFormatting>
  <conditionalFormatting sqref="P347:P348">
    <cfRule type="cellIs" dxfId="17960" priority="602" operator="equal">
      <formula>0</formula>
    </cfRule>
  </conditionalFormatting>
  <conditionalFormatting sqref="D347:R348">
    <cfRule type="expression" dxfId="17959" priority="603">
      <formula>LEN(TRIM(D347))=0</formula>
    </cfRule>
  </conditionalFormatting>
  <conditionalFormatting sqref="J345:O346">
    <cfRule type="cellIs" dxfId="17958" priority="596" operator="equal">
      <formula>0</formula>
    </cfRule>
  </conditionalFormatting>
  <conditionalFormatting sqref="J345:O346">
    <cfRule type="expression" dxfId="17957" priority="597">
      <formula>LEN(TRIM(J345))=0</formula>
    </cfRule>
  </conditionalFormatting>
  <conditionalFormatting sqref="D359:R364 S358:S363 S365 D358:I358 P358:R358">
    <cfRule type="cellIs" dxfId="17956" priority="590" operator="equal">
      <formula>0</formula>
    </cfRule>
  </conditionalFormatting>
  <conditionalFormatting sqref="D365:R365">
    <cfRule type="cellIs" dxfId="17955" priority="591" operator="equal">
      <formula>0</formula>
    </cfRule>
  </conditionalFormatting>
  <conditionalFormatting sqref="D359:S363 D365:S365 D364:R364 D358:I358 P358:S358">
    <cfRule type="expression" dxfId="17954" priority="592">
      <formula>LEN(TRIM(D358))=0</formula>
    </cfRule>
  </conditionalFormatting>
  <conditionalFormatting sqref="D365:R365">
    <cfRule type="cellIs" dxfId="17953" priority="593" operator="equal">
      <formula>0</formula>
    </cfRule>
  </conditionalFormatting>
  <conditionalFormatting sqref="D366:R366">
    <cfRule type="cellIs" dxfId="17952" priority="594" operator="equal">
      <formula>0</formula>
    </cfRule>
  </conditionalFormatting>
  <conditionalFormatting sqref="D366:R366">
    <cfRule type="expression" dxfId="17951" priority="595">
      <formula>LEN(TRIM(D366))=0</formula>
    </cfRule>
  </conditionalFormatting>
  <conditionalFormatting sqref="S366">
    <cfRule type="cellIs" dxfId="17950" priority="588" operator="equal">
      <formula>0</formula>
    </cfRule>
  </conditionalFormatting>
  <conditionalFormatting sqref="S366">
    <cfRule type="expression" dxfId="17949" priority="589">
      <formula>LEN(TRIM(S366))=0</formula>
    </cfRule>
  </conditionalFormatting>
  <conditionalFormatting sqref="S364">
    <cfRule type="cellIs" dxfId="17948" priority="586" operator="equal">
      <formula>0</formula>
    </cfRule>
  </conditionalFormatting>
  <conditionalFormatting sqref="S364">
    <cfRule type="expression" dxfId="17947" priority="587">
      <formula>LEN(TRIM(S364))=0</formula>
    </cfRule>
  </conditionalFormatting>
  <conditionalFormatting sqref="J358:O358">
    <cfRule type="cellIs" dxfId="17946" priority="584" operator="equal">
      <formula>0</formula>
    </cfRule>
  </conditionalFormatting>
  <conditionalFormatting sqref="J358:O358">
    <cfRule type="expression" dxfId="17945" priority="585">
      <formula>LEN(TRIM(J358))=0</formula>
    </cfRule>
  </conditionalFormatting>
  <conditionalFormatting sqref="AH15:AK17 W15:AA17 AB15:AG16 AI12:AK14 Y12:Y14 V12:V17 V18:AK18">
    <cfRule type="cellIs" dxfId="17944" priority="522" operator="equal">
      <formula>0</formula>
    </cfRule>
  </conditionalFormatting>
  <conditionalFormatting sqref="AH12:AH17">
    <cfRule type="cellIs" dxfId="17943" priority="523" operator="equal">
      <formula>0</formula>
    </cfRule>
  </conditionalFormatting>
  <conditionalFormatting sqref="V12:W17 Z12:AA17">
    <cfRule type="cellIs" dxfId="17942" priority="524" operator="equal">
      <formula>0</formula>
    </cfRule>
  </conditionalFormatting>
  <conditionalFormatting sqref="X12:X17">
    <cfRule type="cellIs" dxfId="17941" priority="525" operator="equal">
      <formula>0</formula>
    </cfRule>
  </conditionalFormatting>
  <conditionalFormatting sqref="AB15:AB17">
    <cfRule type="cellIs" dxfId="17940" priority="526" operator="equal">
      <formula>0</formula>
    </cfRule>
  </conditionalFormatting>
  <conditionalFormatting sqref="AB12:AB17 AC12:AG12">
    <cfRule type="cellIs" dxfId="17939" priority="527" operator="equal">
      <formula>0</formula>
    </cfRule>
  </conditionalFormatting>
  <conditionalFormatting sqref="AC15:AC17">
    <cfRule type="cellIs" dxfId="17938" priority="528" operator="equal">
      <formula>0</formula>
    </cfRule>
  </conditionalFormatting>
  <conditionalFormatting sqref="AC12:AC17">
    <cfRule type="cellIs" dxfId="17937" priority="529" operator="equal">
      <formula>0</formula>
    </cfRule>
  </conditionalFormatting>
  <conditionalFormatting sqref="AD15:AD17">
    <cfRule type="cellIs" dxfId="17936" priority="530" operator="equal">
      <formula>0</formula>
    </cfRule>
  </conditionalFormatting>
  <conditionalFormatting sqref="AD12:AD17">
    <cfRule type="cellIs" dxfId="17935" priority="531" operator="equal">
      <formula>0</formula>
    </cfRule>
  </conditionalFormatting>
  <conditionalFormatting sqref="AE15:AE17">
    <cfRule type="cellIs" dxfId="17934" priority="532" operator="equal">
      <formula>0</formula>
    </cfRule>
  </conditionalFormatting>
  <conditionalFormatting sqref="AE12:AE17">
    <cfRule type="cellIs" dxfId="17933" priority="533" operator="equal">
      <formula>0</formula>
    </cfRule>
  </conditionalFormatting>
  <conditionalFormatting sqref="AF15:AF17">
    <cfRule type="cellIs" dxfId="17932" priority="534" operator="equal">
      <formula>0</formula>
    </cfRule>
  </conditionalFormatting>
  <conditionalFormatting sqref="AF12:AF17">
    <cfRule type="cellIs" dxfId="17931" priority="535" operator="equal">
      <formula>0</formula>
    </cfRule>
  </conditionalFormatting>
  <conditionalFormatting sqref="AG15:AG17">
    <cfRule type="cellIs" dxfId="17930" priority="536" operator="equal">
      <formula>0</formula>
    </cfRule>
  </conditionalFormatting>
  <conditionalFormatting sqref="AG12:AG17">
    <cfRule type="cellIs" dxfId="17929" priority="537" operator="equal">
      <formula>0</formula>
    </cfRule>
  </conditionalFormatting>
  <conditionalFormatting sqref="V12:AK18">
    <cfRule type="expression" dxfId="17928" priority="538">
      <formula>LEN(TRIM(V12))=0</formula>
    </cfRule>
  </conditionalFormatting>
  <conditionalFormatting sqref="AD15:AD16">
    <cfRule type="cellIs" dxfId="17927" priority="539" operator="equal">
      <formula>0</formula>
    </cfRule>
  </conditionalFormatting>
  <conditionalFormatting sqref="AE15:AE16">
    <cfRule type="cellIs" dxfId="17926" priority="540" operator="equal">
      <formula>0</formula>
    </cfRule>
  </conditionalFormatting>
  <conditionalFormatting sqref="AF15:AG15">
    <cfRule type="cellIs" dxfId="17925" priority="541" operator="equal">
      <formula>0</formula>
    </cfRule>
  </conditionalFormatting>
  <conditionalFormatting sqref="AF16:AG16">
    <cfRule type="cellIs" dxfId="17924" priority="542" operator="equal">
      <formula>0</formula>
    </cfRule>
  </conditionalFormatting>
  <conditionalFormatting sqref="W29:Y29 V30:Y31 Z29:AA31 V25:AA28 AB25:AJ31 V20:AK20 V32:AJ32 V21:AA22 AK21:AK32 AH21:AJ22">
    <cfRule type="cellIs" dxfId="17923" priority="516" operator="equal">
      <formula>0</formula>
    </cfRule>
  </conditionalFormatting>
  <conditionalFormatting sqref="V29">
    <cfRule type="cellIs" dxfId="17922" priority="517" operator="equal">
      <formula>0</formula>
    </cfRule>
  </conditionalFormatting>
  <conditionalFormatting sqref="V20:AK20 V25:AJ32 V21:AA22 AK21:AK32 AH21:AJ22">
    <cfRule type="expression" dxfId="17921" priority="518">
      <formula>LEN(TRIM(V20))=0</formula>
    </cfRule>
  </conditionalFormatting>
  <conditionalFormatting sqref="V23:AJ24">
    <cfRule type="cellIs" dxfId="17920" priority="519" operator="equal">
      <formula>0</formula>
    </cfRule>
  </conditionalFormatting>
  <conditionalFormatting sqref="AH23:AH24">
    <cfRule type="cellIs" dxfId="17919" priority="520" operator="equal">
      <formula>0</formula>
    </cfRule>
  </conditionalFormatting>
  <conditionalFormatting sqref="V23:AJ24">
    <cfRule type="expression" dxfId="17918" priority="521">
      <formula>LEN(TRIM(V23))=0</formula>
    </cfRule>
  </conditionalFormatting>
  <conditionalFormatting sqref="AB21:AG22">
    <cfRule type="cellIs" dxfId="17917" priority="514" operator="equal">
      <formula>0</formula>
    </cfRule>
  </conditionalFormatting>
  <conditionalFormatting sqref="AB21:AG22">
    <cfRule type="expression" dxfId="17916" priority="515">
      <formula>LEN(TRIM(AB21))=0</formula>
    </cfRule>
  </conditionalFormatting>
  <conditionalFormatting sqref="V35:AJ40 AK34:AK39 AK41 V34:AA34 AH34:AJ34">
    <cfRule type="cellIs" dxfId="17915" priority="508" operator="equal">
      <formula>0</formula>
    </cfRule>
  </conditionalFormatting>
  <conditionalFormatting sqref="V41:AJ41">
    <cfRule type="cellIs" dxfId="17914" priority="509" operator="equal">
      <formula>0</formula>
    </cfRule>
  </conditionalFormatting>
  <conditionalFormatting sqref="V35:AK39 V41:AK41 V40:AJ40 V34:AA34 AH34:AK34">
    <cfRule type="expression" dxfId="17913" priority="510">
      <formula>LEN(TRIM(V34))=0</formula>
    </cfRule>
  </conditionalFormatting>
  <conditionalFormatting sqref="V41:AJ41">
    <cfRule type="cellIs" dxfId="17912" priority="511" operator="equal">
      <formula>0</formula>
    </cfRule>
  </conditionalFormatting>
  <conditionalFormatting sqref="V42:AJ42">
    <cfRule type="cellIs" dxfId="17911" priority="512" operator="equal">
      <formula>0</formula>
    </cfRule>
  </conditionalFormatting>
  <conditionalFormatting sqref="V42:AJ42">
    <cfRule type="expression" dxfId="17910" priority="513">
      <formula>LEN(TRIM(V42))=0</formula>
    </cfRule>
  </conditionalFormatting>
  <conditionalFormatting sqref="AK42">
    <cfRule type="cellIs" dxfId="17909" priority="506" operator="equal">
      <formula>0</formula>
    </cfRule>
  </conditionalFormatting>
  <conditionalFormatting sqref="AK42">
    <cfRule type="expression" dxfId="17908" priority="507">
      <formula>LEN(TRIM(AK42))=0</formula>
    </cfRule>
  </conditionalFormatting>
  <conditionalFormatting sqref="AK40">
    <cfRule type="cellIs" dxfId="17907" priority="504" operator="equal">
      <formula>0</formula>
    </cfRule>
  </conditionalFormatting>
  <conditionalFormatting sqref="AK40">
    <cfRule type="expression" dxfId="17906" priority="505">
      <formula>LEN(TRIM(AK40))=0</formula>
    </cfRule>
  </conditionalFormatting>
  <conditionalFormatting sqref="AB34:AG34">
    <cfRule type="cellIs" dxfId="17905" priority="502" operator="equal">
      <formula>0</formula>
    </cfRule>
  </conditionalFormatting>
  <conditionalFormatting sqref="AB34:AG34">
    <cfRule type="expression" dxfId="17904" priority="503">
      <formula>LEN(TRIM(AB34))=0</formula>
    </cfRule>
  </conditionalFormatting>
  <conditionalFormatting sqref="AH51:AK53 W51:AA53 AB51:AG52 AI48:AK50 Y48:Y50 V48:V53 V54:AK54">
    <cfRule type="cellIs" dxfId="17903" priority="481" operator="equal">
      <formula>0</formula>
    </cfRule>
  </conditionalFormatting>
  <conditionalFormatting sqref="AH48:AH53">
    <cfRule type="cellIs" dxfId="17902" priority="482" operator="equal">
      <formula>0</formula>
    </cfRule>
  </conditionalFormatting>
  <conditionalFormatting sqref="V48:W53 Z48:AA53">
    <cfRule type="cellIs" dxfId="17901" priority="483" operator="equal">
      <formula>0</formula>
    </cfRule>
  </conditionalFormatting>
  <conditionalFormatting sqref="X48:X53">
    <cfRule type="cellIs" dxfId="17900" priority="484" operator="equal">
      <formula>0</formula>
    </cfRule>
  </conditionalFormatting>
  <conditionalFormatting sqref="AB51:AB53">
    <cfRule type="cellIs" dxfId="17899" priority="485" operator="equal">
      <formula>0</formula>
    </cfRule>
  </conditionalFormatting>
  <conditionalFormatting sqref="AB48:AB53 AC48:AG48">
    <cfRule type="cellIs" dxfId="17898" priority="486" operator="equal">
      <formula>0</formula>
    </cfRule>
  </conditionalFormatting>
  <conditionalFormatting sqref="AC51:AC53">
    <cfRule type="cellIs" dxfId="17897" priority="487" operator="equal">
      <formula>0</formula>
    </cfRule>
  </conditionalFormatting>
  <conditionalFormatting sqref="AC48:AC53">
    <cfRule type="cellIs" dxfId="17896" priority="488" operator="equal">
      <formula>0</formula>
    </cfRule>
  </conditionalFormatting>
  <conditionalFormatting sqref="AD51:AD53">
    <cfRule type="cellIs" dxfId="17895" priority="489" operator="equal">
      <formula>0</formula>
    </cfRule>
  </conditionalFormatting>
  <conditionalFormatting sqref="AD48:AD53">
    <cfRule type="cellIs" dxfId="17894" priority="490" operator="equal">
      <formula>0</formula>
    </cfRule>
  </conditionalFormatting>
  <conditionalFormatting sqref="AE51:AE53">
    <cfRule type="cellIs" dxfId="17893" priority="491" operator="equal">
      <formula>0</formula>
    </cfRule>
  </conditionalFormatting>
  <conditionalFormatting sqref="AE48:AE53">
    <cfRule type="cellIs" dxfId="17892" priority="492" operator="equal">
      <formula>0</formula>
    </cfRule>
  </conditionalFormatting>
  <conditionalFormatting sqref="AF51:AF53">
    <cfRule type="cellIs" dxfId="17891" priority="493" operator="equal">
      <formula>0</formula>
    </cfRule>
  </conditionalFormatting>
  <conditionalFormatting sqref="AF48:AF53">
    <cfRule type="cellIs" dxfId="17890" priority="494" operator="equal">
      <formula>0</formula>
    </cfRule>
  </conditionalFormatting>
  <conditionalFormatting sqref="AG51:AG53">
    <cfRule type="cellIs" dxfId="17889" priority="495" operator="equal">
      <formula>0</formula>
    </cfRule>
  </conditionalFormatting>
  <conditionalFormatting sqref="AG48:AG53">
    <cfRule type="cellIs" dxfId="17888" priority="496" operator="equal">
      <formula>0</formula>
    </cfRule>
  </conditionalFormatting>
  <conditionalFormatting sqref="V48:AK54">
    <cfRule type="expression" dxfId="17887" priority="497">
      <formula>LEN(TRIM(V48))=0</formula>
    </cfRule>
  </conditionalFormatting>
  <conditionalFormatting sqref="AD51:AD52">
    <cfRule type="cellIs" dxfId="17886" priority="498" operator="equal">
      <formula>0</formula>
    </cfRule>
  </conditionalFormatting>
  <conditionalFormatting sqref="AE51:AE52">
    <cfRule type="cellIs" dxfId="17885" priority="499" operator="equal">
      <formula>0</formula>
    </cfRule>
  </conditionalFormatting>
  <conditionalFormatting sqref="AF51:AG51">
    <cfRule type="cellIs" dxfId="17884" priority="500" operator="equal">
      <formula>0</formula>
    </cfRule>
  </conditionalFormatting>
  <conditionalFormatting sqref="AF52:AG52">
    <cfRule type="cellIs" dxfId="17883" priority="501" operator="equal">
      <formula>0</formula>
    </cfRule>
  </conditionalFormatting>
  <conditionalFormatting sqref="W65:Y65 V66:Y67 Z65:AA67 V61:AA64 AB61:AJ67 V56:AK56 V68:AJ68 V57:AA58 AK57:AK68 AH57:AJ58">
    <cfRule type="cellIs" dxfId="17882" priority="475" operator="equal">
      <formula>0</formula>
    </cfRule>
  </conditionalFormatting>
  <conditionalFormatting sqref="V65">
    <cfRule type="cellIs" dxfId="17881" priority="476" operator="equal">
      <formula>0</formula>
    </cfRule>
  </conditionalFormatting>
  <conditionalFormatting sqref="V56:AK56 V61:AJ68 V57:AA58 AK57:AK68 AH57:AJ58">
    <cfRule type="expression" dxfId="17880" priority="477">
      <formula>LEN(TRIM(V56))=0</formula>
    </cfRule>
  </conditionalFormatting>
  <conditionalFormatting sqref="V59:AJ60">
    <cfRule type="cellIs" dxfId="17879" priority="478" operator="equal">
      <formula>0</formula>
    </cfRule>
  </conditionalFormatting>
  <conditionalFormatting sqref="AH59:AH60">
    <cfRule type="cellIs" dxfId="17878" priority="479" operator="equal">
      <formula>0</formula>
    </cfRule>
  </conditionalFormatting>
  <conditionalFormatting sqref="V59:AJ60">
    <cfRule type="expression" dxfId="17877" priority="480">
      <formula>LEN(TRIM(V59))=0</formula>
    </cfRule>
  </conditionalFormatting>
  <conditionalFormatting sqref="AB57:AG58">
    <cfRule type="cellIs" dxfId="17876" priority="473" operator="equal">
      <formula>0</formula>
    </cfRule>
  </conditionalFormatting>
  <conditionalFormatting sqref="AB57:AG58">
    <cfRule type="expression" dxfId="17875" priority="474">
      <formula>LEN(TRIM(AB57))=0</formula>
    </cfRule>
  </conditionalFormatting>
  <conditionalFormatting sqref="V71:AJ76 AK70:AK75 AK77 V70:AA70 AH70:AJ70">
    <cfRule type="cellIs" dxfId="17874" priority="467" operator="equal">
      <formula>0</formula>
    </cfRule>
  </conditionalFormatting>
  <conditionalFormatting sqref="V77:AJ77">
    <cfRule type="cellIs" dxfId="17873" priority="468" operator="equal">
      <formula>0</formula>
    </cfRule>
  </conditionalFormatting>
  <conditionalFormatting sqref="V71:AK75 V77:AK77 V76:AJ76 V70:AA70 AH70:AK70">
    <cfRule type="expression" dxfId="17872" priority="469">
      <formula>LEN(TRIM(V70))=0</formula>
    </cfRule>
  </conditionalFormatting>
  <conditionalFormatting sqref="V77:AJ77">
    <cfRule type="cellIs" dxfId="17871" priority="470" operator="equal">
      <formula>0</formula>
    </cfRule>
  </conditionalFormatting>
  <conditionalFormatting sqref="V78:AJ78">
    <cfRule type="cellIs" dxfId="17870" priority="471" operator="equal">
      <formula>0</formula>
    </cfRule>
  </conditionalFormatting>
  <conditionalFormatting sqref="V78:AJ78">
    <cfRule type="expression" dxfId="17869" priority="472">
      <formula>LEN(TRIM(V78))=0</formula>
    </cfRule>
  </conditionalFormatting>
  <conditionalFormatting sqref="AK78">
    <cfRule type="cellIs" dxfId="17868" priority="465" operator="equal">
      <formula>0</formula>
    </cfRule>
  </conditionalFormatting>
  <conditionalFormatting sqref="AK78">
    <cfRule type="expression" dxfId="17867" priority="466">
      <formula>LEN(TRIM(AK78))=0</formula>
    </cfRule>
  </conditionalFormatting>
  <conditionalFormatting sqref="AK76">
    <cfRule type="cellIs" dxfId="17866" priority="463" operator="equal">
      <formula>0</formula>
    </cfRule>
  </conditionalFormatting>
  <conditionalFormatting sqref="AK76">
    <cfRule type="expression" dxfId="17865" priority="464">
      <formula>LEN(TRIM(AK76))=0</formula>
    </cfRule>
  </conditionalFormatting>
  <conditionalFormatting sqref="AB70:AG70">
    <cfRule type="cellIs" dxfId="17864" priority="461" operator="equal">
      <formula>0</formula>
    </cfRule>
  </conditionalFormatting>
  <conditionalFormatting sqref="AB70:AG70">
    <cfRule type="expression" dxfId="17863" priority="462">
      <formula>LEN(TRIM(AB70))=0</formula>
    </cfRule>
  </conditionalFormatting>
  <conditionalFormatting sqref="AH87:AK89 W87:AA89 AB87:AG88 AI84:AK86 Y84:Y86 V84:V89 V90:AK90">
    <cfRule type="cellIs" dxfId="17862" priority="440" operator="equal">
      <formula>0</formula>
    </cfRule>
  </conditionalFormatting>
  <conditionalFormatting sqref="AH84:AH89">
    <cfRule type="cellIs" dxfId="17861" priority="441" operator="equal">
      <formula>0</formula>
    </cfRule>
  </conditionalFormatting>
  <conditionalFormatting sqref="V84:W89 Z84:AA89">
    <cfRule type="cellIs" dxfId="17860" priority="442" operator="equal">
      <formula>0</formula>
    </cfRule>
  </conditionalFormatting>
  <conditionalFormatting sqref="X84:X89">
    <cfRule type="cellIs" dxfId="17859" priority="443" operator="equal">
      <formula>0</formula>
    </cfRule>
  </conditionalFormatting>
  <conditionalFormatting sqref="AB87:AB89">
    <cfRule type="cellIs" dxfId="17858" priority="444" operator="equal">
      <formula>0</formula>
    </cfRule>
  </conditionalFormatting>
  <conditionalFormatting sqref="AB84:AB89 AC84:AG84">
    <cfRule type="cellIs" dxfId="17857" priority="445" operator="equal">
      <formula>0</formula>
    </cfRule>
  </conditionalFormatting>
  <conditionalFormatting sqref="AC87:AC89">
    <cfRule type="cellIs" dxfId="17856" priority="446" operator="equal">
      <formula>0</formula>
    </cfRule>
  </conditionalFormatting>
  <conditionalFormatting sqref="AC84:AC89">
    <cfRule type="cellIs" dxfId="17855" priority="447" operator="equal">
      <formula>0</formula>
    </cfRule>
  </conditionalFormatting>
  <conditionalFormatting sqref="AD87:AD89">
    <cfRule type="cellIs" dxfId="17854" priority="448" operator="equal">
      <formula>0</formula>
    </cfRule>
  </conditionalFormatting>
  <conditionalFormatting sqref="AD84:AD89">
    <cfRule type="cellIs" dxfId="17853" priority="449" operator="equal">
      <formula>0</formula>
    </cfRule>
  </conditionalFormatting>
  <conditionalFormatting sqref="AE87:AE89">
    <cfRule type="cellIs" dxfId="17852" priority="450" operator="equal">
      <formula>0</formula>
    </cfRule>
  </conditionalFormatting>
  <conditionalFormatting sqref="AE84:AE89">
    <cfRule type="cellIs" dxfId="17851" priority="451" operator="equal">
      <formula>0</formula>
    </cfRule>
  </conditionalFormatting>
  <conditionalFormatting sqref="AF87:AF89">
    <cfRule type="cellIs" dxfId="17850" priority="452" operator="equal">
      <formula>0</formula>
    </cfRule>
  </conditionalFormatting>
  <conditionalFormatting sqref="AF84:AF89">
    <cfRule type="cellIs" dxfId="17849" priority="453" operator="equal">
      <formula>0</formula>
    </cfRule>
  </conditionalFormatting>
  <conditionalFormatting sqref="AG87:AG89">
    <cfRule type="cellIs" dxfId="17848" priority="454" operator="equal">
      <formula>0</formula>
    </cfRule>
  </conditionalFormatting>
  <conditionalFormatting sqref="AG84:AG89">
    <cfRule type="cellIs" dxfId="17847" priority="455" operator="equal">
      <formula>0</formula>
    </cfRule>
  </conditionalFormatting>
  <conditionalFormatting sqref="V84:AK90">
    <cfRule type="expression" dxfId="17846" priority="456">
      <formula>LEN(TRIM(V84))=0</formula>
    </cfRule>
  </conditionalFormatting>
  <conditionalFormatting sqref="AD87:AD88">
    <cfRule type="cellIs" dxfId="17845" priority="457" operator="equal">
      <formula>0</formula>
    </cfRule>
  </conditionalFormatting>
  <conditionalFormatting sqref="AE87:AE88">
    <cfRule type="cellIs" dxfId="17844" priority="458" operator="equal">
      <formula>0</formula>
    </cfRule>
  </conditionalFormatting>
  <conditionalFormatting sqref="AF87:AG87">
    <cfRule type="cellIs" dxfId="17843" priority="459" operator="equal">
      <formula>0</formula>
    </cfRule>
  </conditionalFormatting>
  <conditionalFormatting sqref="AF88:AG88">
    <cfRule type="cellIs" dxfId="17842" priority="460" operator="equal">
      <formula>0</formula>
    </cfRule>
  </conditionalFormatting>
  <conditionalFormatting sqref="W101:Y101 V102:Y103 Z101:AA103 V97:AA100 AB97:AJ103 V92:AK92 V104:AJ104 V93:AA94 AK93:AK104 AH93:AJ94">
    <cfRule type="cellIs" dxfId="17841" priority="434" operator="equal">
      <formula>0</formula>
    </cfRule>
  </conditionalFormatting>
  <conditionalFormatting sqref="V101">
    <cfRule type="cellIs" dxfId="17840" priority="435" operator="equal">
      <formula>0</formula>
    </cfRule>
  </conditionalFormatting>
  <conditionalFormatting sqref="V92:AK92 V97:AJ104 V93:AA94 AK93:AK104 AH93:AJ94">
    <cfRule type="expression" dxfId="17839" priority="436">
      <formula>LEN(TRIM(V92))=0</formula>
    </cfRule>
  </conditionalFormatting>
  <conditionalFormatting sqref="V95:AJ96">
    <cfRule type="cellIs" dxfId="17838" priority="437" operator="equal">
      <formula>0</formula>
    </cfRule>
  </conditionalFormatting>
  <conditionalFormatting sqref="AH95:AH96">
    <cfRule type="cellIs" dxfId="17837" priority="438" operator="equal">
      <formula>0</formula>
    </cfRule>
  </conditionalFormatting>
  <conditionalFormatting sqref="V95:AJ96">
    <cfRule type="expression" dxfId="17836" priority="439">
      <formula>LEN(TRIM(V95))=0</formula>
    </cfRule>
  </conditionalFormatting>
  <conditionalFormatting sqref="AB93:AG94">
    <cfRule type="cellIs" dxfId="17835" priority="432" operator="equal">
      <formula>0</formula>
    </cfRule>
  </conditionalFormatting>
  <conditionalFormatting sqref="AB93:AG94">
    <cfRule type="expression" dxfId="17834" priority="433">
      <formula>LEN(TRIM(AB93))=0</formula>
    </cfRule>
  </conditionalFormatting>
  <conditionalFormatting sqref="V107:AJ112 AK106:AK111 AK113 V106:AA106 AH106:AJ106">
    <cfRule type="cellIs" dxfId="17833" priority="426" operator="equal">
      <formula>0</formula>
    </cfRule>
  </conditionalFormatting>
  <conditionalFormatting sqref="V113:AJ113">
    <cfRule type="cellIs" dxfId="17832" priority="427" operator="equal">
      <formula>0</formula>
    </cfRule>
  </conditionalFormatting>
  <conditionalFormatting sqref="V107:AK111 V113:AK113 V112:AJ112 V106:AA106 AH106:AK106">
    <cfRule type="expression" dxfId="17831" priority="428">
      <formula>LEN(TRIM(V106))=0</formula>
    </cfRule>
  </conditionalFormatting>
  <conditionalFormatting sqref="V113:AJ113">
    <cfRule type="cellIs" dxfId="17830" priority="429" operator="equal">
      <formula>0</formula>
    </cfRule>
  </conditionalFormatting>
  <conditionalFormatting sqref="V114:AJ114">
    <cfRule type="cellIs" dxfId="17829" priority="430" operator="equal">
      <formula>0</formula>
    </cfRule>
  </conditionalFormatting>
  <conditionalFormatting sqref="V114:AJ114">
    <cfRule type="expression" dxfId="17828" priority="431">
      <formula>LEN(TRIM(V114))=0</formula>
    </cfRule>
  </conditionalFormatting>
  <conditionalFormatting sqref="AK114">
    <cfRule type="cellIs" dxfId="17827" priority="424" operator="equal">
      <formula>0</formula>
    </cfRule>
  </conditionalFormatting>
  <conditionalFormatting sqref="AK114">
    <cfRule type="expression" dxfId="17826" priority="425">
      <formula>LEN(TRIM(AK114))=0</formula>
    </cfRule>
  </conditionalFormatting>
  <conditionalFormatting sqref="AK112">
    <cfRule type="cellIs" dxfId="17825" priority="422" operator="equal">
      <formula>0</formula>
    </cfRule>
  </conditionalFormatting>
  <conditionalFormatting sqref="AK112">
    <cfRule type="expression" dxfId="17824" priority="423">
      <formula>LEN(TRIM(AK112))=0</formula>
    </cfRule>
  </conditionalFormatting>
  <conditionalFormatting sqref="AB106:AG106">
    <cfRule type="cellIs" dxfId="17823" priority="420" operator="equal">
      <formula>0</formula>
    </cfRule>
  </conditionalFormatting>
  <conditionalFormatting sqref="AB106:AG106">
    <cfRule type="expression" dxfId="17822" priority="421">
      <formula>LEN(TRIM(AB106))=0</formula>
    </cfRule>
  </conditionalFormatting>
  <conditionalFormatting sqref="AH123:AK125 W123:AA125 AB123:AG124 AI120:AK122 Y120:Y122 V120:V125 V126:AK126">
    <cfRule type="cellIs" dxfId="17821" priority="399" operator="equal">
      <formula>0</formula>
    </cfRule>
  </conditionalFormatting>
  <conditionalFormatting sqref="AH120:AH125">
    <cfRule type="cellIs" dxfId="17820" priority="400" operator="equal">
      <formula>0</formula>
    </cfRule>
  </conditionalFormatting>
  <conditionalFormatting sqref="V120:W125 Z120:AA125">
    <cfRule type="cellIs" dxfId="17819" priority="401" operator="equal">
      <formula>0</formula>
    </cfRule>
  </conditionalFormatting>
  <conditionalFormatting sqref="X120:X125">
    <cfRule type="cellIs" dxfId="17818" priority="402" operator="equal">
      <formula>0</formula>
    </cfRule>
  </conditionalFormatting>
  <conditionalFormatting sqref="AB123:AB125">
    <cfRule type="cellIs" dxfId="17817" priority="403" operator="equal">
      <formula>0</formula>
    </cfRule>
  </conditionalFormatting>
  <conditionalFormatting sqref="AB120:AB125 AC120:AG120">
    <cfRule type="cellIs" dxfId="17816" priority="404" operator="equal">
      <formula>0</formula>
    </cfRule>
  </conditionalFormatting>
  <conditionalFormatting sqref="AC123:AC125">
    <cfRule type="cellIs" dxfId="17815" priority="405" operator="equal">
      <formula>0</formula>
    </cfRule>
  </conditionalFormatting>
  <conditionalFormatting sqref="AC120:AC125">
    <cfRule type="cellIs" dxfId="17814" priority="406" operator="equal">
      <formula>0</formula>
    </cfRule>
  </conditionalFormatting>
  <conditionalFormatting sqref="AD123:AD125">
    <cfRule type="cellIs" dxfId="17813" priority="407" operator="equal">
      <formula>0</formula>
    </cfRule>
  </conditionalFormatting>
  <conditionalFormatting sqref="AD120:AD125">
    <cfRule type="cellIs" dxfId="17812" priority="408" operator="equal">
      <formula>0</formula>
    </cfRule>
  </conditionalFormatting>
  <conditionalFormatting sqref="AE123:AE125">
    <cfRule type="cellIs" dxfId="17811" priority="409" operator="equal">
      <formula>0</formula>
    </cfRule>
  </conditionalFormatting>
  <conditionalFormatting sqref="AE120:AE125">
    <cfRule type="cellIs" dxfId="17810" priority="410" operator="equal">
      <formula>0</formula>
    </cfRule>
  </conditionalFormatting>
  <conditionalFormatting sqref="AF123:AF125">
    <cfRule type="cellIs" dxfId="17809" priority="411" operator="equal">
      <formula>0</formula>
    </cfRule>
  </conditionalFormatting>
  <conditionalFormatting sqref="AF120:AF125">
    <cfRule type="cellIs" dxfId="17808" priority="412" operator="equal">
      <formula>0</formula>
    </cfRule>
  </conditionalFormatting>
  <conditionalFormatting sqref="AG123:AG125">
    <cfRule type="cellIs" dxfId="17807" priority="413" operator="equal">
      <formula>0</formula>
    </cfRule>
  </conditionalFormatting>
  <conditionalFormatting sqref="AG120:AG125">
    <cfRule type="cellIs" dxfId="17806" priority="414" operator="equal">
      <formula>0</formula>
    </cfRule>
  </conditionalFormatting>
  <conditionalFormatting sqref="V120:AK126">
    <cfRule type="expression" dxfId="17805" priority="415">
      <formula>LEN(TRIM(V120))=0</formula>
    </cfRule>
  </conditionalFormatting>
  <conditionalFormatting sqref="AD123:AD124">
    <cfRule type="cellIs" dxfId="17804" priority="416" operator="equal">
      <formula>0</formula>
    </cfRule>
  </conditionalFormatting>
  <conditionalFormatting sqref="AE123:AE124">
    <cfRule type="cellIs" dxfId="17803" priority="417" operator="equal">
      <formula>0</formula>
    </cfRule>
  </conditionalFormatting>
  <conditionalFormatting sqref="AF123:AG123">
    <cfRule type="cellIs" dxfId="17802" priority="418" operator="equal">
      <formula>0</formula>
    </cfRule>
  </conditionalFormatting>
  <conditionalFormatting sqref="AF124:AG124">
    <cfRule type="cellIs" dxfId="17801" priority="419" operator="equal">
      <formula>0</formula>
    </cfRule>
  </conditionalFormatting>
  <conditionalFormatting sqref="W137:Y137 V138:Y139 Z137:AA139 V133:AA136 AB133:AJ139 V128:AK128 V140:AJ140 V129:AA130 AK129:AK140 AH129:AJ130">
    <cfRule type="cellIs" dxfId="17800" priority="393" operator="equal">
      <formula>0</formula>
    </cfRule>
  </conditionalFormatting>
  <conditionalFormatting sqref="V137">
    <cfRule type="cellIs" dxfId="17799" priority="394" operator="equal">
      <formula>0</formula>
    </cfRule>
  </conditionalFormatting>
  <conditionalFormatting sqref="V128:AK128 V133:AJ140 V129:AA130 AK129:AK140 AH129:AJ130">
    <cfRule type="expression" dxfId="17798" priority="395">
      <formula>LEN(TRIM(V128))=0</formula>
    </cfRule>
  </conditionalFormatting>
  <conditionalFormatting sqref="V131:AJ132">
    <cfRule type="cellIs" dxfId="17797" priority="396" operator="equal">
      <formula>0</formula>
    </cfRule>
  </conditionalFormatting>
  <conditionalFormatting sqref="AH131:AH132">
    <cfRule type="cellIs" dxfId="17796" priority="397" operator="equal">
      <formula>0</formula>
    </cfRule>
  </conditionalFormatting>
  <conditionalFormatting sqref="V131:AJ132">
    <cfRule type="expression" dxfId="17795" priority="398">
      <formula>LEN(TRIM(V131))=0</formula>
    </cfRule>
  </conditionalFormatting>
  <conditionalFormatting sqref="AB129:AG130">
    <cfRule type="cellIs" dxfId="17794" priority="391" operator="equal">
      <formula>0</formula>
    </cfRule>
  </conditionalFormatting>
  <conditionalFormatting sqref="AB129:AG130">
    <cfRule type="expression" dxfId="17793" priority="392">
      <formula>LEN(TRIM(AB129))=0</formula>
    </cfRule>
  </conditionalFormatting>
  <conditionalFormatting sqref="V143:AJ148 AK142:AK147 AK149 V142:AA142 AH142:AJ142">
    <cfRule type="cellIs" dxfId="17792" priority="385" operator="equal">
      <formula>0</formula>
    </cfRule>
  </conditionalFormatting>
  <conditionalFormatting sqref="V149:AJ149">
    <cfRule type="cellIs" dxfId="17791" priority="386" operator="equal">
      <formula>0</formula>
    </cfRule>
  </conditionalFormatting>
  <conditionalFormatting sqref="V143:AK147 V149:AK149 V148:AJ148 V142:AA142 AH142:AK142">
    <cfRule type="expression" dxfId="17790" priority="387">
      <formula>LEN(TRIM(V142))=0</formula>
    </cfRule>
  </conditionalFormatting>
  <conditionalFormatting sqref="V149:AJ149">
    <cfRule type="cellIs" dxfId="17789" priority="388" operator="equal">
      <formula>0</formula>
    </cfRule>
  </conditionalFormatting>
  <conditionalFormatting sqref="V150:AJ150">
    <cfRule type="cellIs" dxfId="17788" priority="389" operator="equal">
      <formula>0</formula>
    </cfRule>
  </conditionalFormatting>
  <conditionalFormatting sqref="V150:AJ150">
    <cfRule type="expression" dxfId="17787" priority="390">
      <formula>LEN(TRIM(V150))=0</formula>
    </cfRule>
  </conditionalFormatting>
  <conditionalFormatting sqref="AK150">
    <cfRule type="cellIs" dxfId="17786" priority="383" operator="equal">
      <formula>0</formula>
    </cfRule>
  </conditionalFormatting>
  <conditionalFormatting sqref="AK150">
    <cfRule type="expression" dxfId="17785" priority="384">
      <formula>LEN(TRIM(AK150))=0</formula>
    </cfRule>
  </conditionalFormatting>
  <conditionalFormatting sqref="AK148">
    <cfRule type="cellIs" dxfId="17784" priority="381" operator="equal">
      <formula>0</formula>
    </cfRule>
  </conditionalFormatting>
  <conditionalFormatting sqref="AK148">
    <cfRule type="expression" dxfId="17783" priority="382">
      <formula>LEN(TRIM(AK148))=0</formula>
    </cfRule>
  </conditionalFormatting>
  <conditionalFormatting sqref="AB142:AG142">
    <cfRule type="cellIs" dxfId="17782" priority="379" operator="equal">
      <formula>0</formula>
    </cfRule>
  </conditionalFormatting>
  <conditionalFormatting sqref="AB142:AG142">
    <cfRule type="expression" dxfId="17781" priority="380">
      <formula>LEN(TRIM(AB142))=0</formula>
    </cfRule>
  </conditionalFormatting>
  <conditionalFormatting sqref="AH159:AK161 W159:AA161 AB159:AG160 AI156:AK158 Y156:Y158 V156:V161 V162:AK162">
    <cfRule type="cellIs" dxfId="17780" priority="358" operator="equal">
      <formula>0</formula>
    </cfRule>
  </conditionalFormatting>
  <conditionalFormatting sqref="AH156:AH161">
    <cfRule type="cellIs" dxfId="17779" priority="359" operator="equal">
      <formula>0</formula>
    </cfRule>
  </conditionalFormatting>
  <conditionalFormatting sqref="V156:W161 Z156:AA161">
    <cfRule type="cellIs" dxfId="17778" priority="360" operator="equal">
      <formula>0</formula>
    </cfRule>
  </conditionalFormatting>
  <conditionalFormatting sqref="X156:X161">
    <cfRule type="cellIs" dxfId="17777" priority="361" operator="equal">
      <formula>0</formula>
    </cfRule>
  </conditionalFormatting>
  <conditionalFormatting sqref="AB159:AB161">
    <cfRule type="cellIs" dxfId="17776" priority="362" operator="equal">
      <formula>0</formula>
    </cfRule>
  </conditionalFormatting>
  <conditionalFormatting sqref="AB156:AB161 AC156:AG156">
    <cfRule type="cellIs" dxfId="17775" priority="363" operator="equal">
      <formula>0</formula>
    </cfRule>
  </conditionalFormatting>
  <conditionalFormatting sqref="AC159:AC161">
    <cfRule type="cellIs" dxfId="17774" priority="364" operator="equal">
      <formula>0</formula>
    </cfRule>
  </conditionalFormatting>
  <conditionalFormatting sqref="AC156:AC161">
    <cfRule type="cellIs" dxfId="17773" priority="365" operator="equal">
      <formula>0</formula>
    </cfRule>
  </conditionalFormatting>
  <conditionalFormatting sqref="AD159:AD161">
    <cfRule type="cellIs" dxfId="17772" priority="366" operator="equal">
      <formula>0</formula>
    </cfRule>
  </conditionalFormatting>
  <conditionalFormatting sqref="AD156:AD161">
    <cfRule type="cellIs" dxfId="17771" priority="367" operator="equal">
      <formula>0</formula>
    </cfRule>
  </conditionalFormatting>
  <conditionalFormatting sqref="AE159:AE161">
    <cfRule type="cellIs" dxfId="17770" priority="368" operator="equal">
      <formula>0</formula>
    </cfRule>
  </conditionalFormatting>
  <conditionalFormatting sqref="AE156:AE161">
    <cfRule type="cellIs" dxfId="17769" priority="369" operator="equal">
      <formula>0</formula>
    </cfRule>
  </conditionalFormatting>
  <conditionalFormatting sqref="AF159:AF161">
    <cfRule type="cellIs" dxfId="17768" priority="370" operator="equal">
      <formula>0</formula>
    </cfRule>
  </conditionalFormatting>
  <conditionalFormatting sqref="AF156:AF161">
    <cfRule type="cellIs" dxfId="17767" priority="371" operator="equal">
      <formula>0</formula>
    </cfRule>
  </conditionalFormatting>
  <conditionalFormatting sqref="AG159:AG161">
    <cfRule type="cellIs" dxfId="17766" priority="372" operator="equal">
      <formula>0</formula>
    </cfRule>
  </conditionalFormatting>
  <conditionalFormatting sqref="AG156:AG161">
    <cfRule type="cellIs" dxfId="17765" priority="373" operator="equal">
      <formula>0</formula>
    </cfRule>
  </conditionalFormatting>
  <conditionalFormatting sqref="V156:AK162">
    <cfRule type="expression" dxfId="17764" priority="374">
      <formula>LEN(TRIM(V156))=0</formula>
    </cfRule>
  </conditionalFormatting>
  <conditionalFormatting sqref="AD159:AD160">
    <cfRule type="cellIs" dxfId="17763" priority="375" operator="equal">
      <formula>0</formula>
    </cfRule>
  </conditionalFormatting>
  <conditionalFormatting sqref="AE159:AE160">
    <cfRule type="cellIs" dxfId="17762" priority="376" operator="equal">
      <formula>0</formula>
    </cfRule>
  </conditionalFormatting>
  <conditionalFormatting sqref="AF159:AG159">
    <cfRule type="cellIs" dxfId="17761" priority="377" operator="equal">
      <formula>0</formula>
    </cfRule>
  </conditionalFormatting>
  <conditionalFormatting sqref="AF160:AG160">
    <cfRule type="cellIs" dxfId="17760" priority="378" operator="equal">
      <formula>0</formula>
    </cfRule>
  </conditionalFormatting>
  <conditionalFormatting sqref="W173:Y173 V174:Y175 Z173:AA175 V169:AA172 AB169:AJ175 V164:AK164 V176:AJ176 V165:AA166 AK165:AK176 AH165:AJ166">
    <cfRule type="cellIs" dxfId="17759" priority="352" operator="equal">
      <formula>0</formula>
    </cfRule>
  </conditionalFormatting>
  <conditionalFormatting sqref="V173">
    <cfRule type="cellIs" dxfId="17758" priority="353" operator="equal">
      <formula>0</formula>
    </cfRule>
  </conditionalFormatting>
  <conditionalFormatting sqref="V164:AK164 V169:AJ176 V165:AA166 AK165:AK176 AH165:AJ166">
    <cfRule type="expression" dxfId="17757" priority="354">
      <formula>LEN(TRIM(V164))=0</formula>
    </cfRule>
  </conditionalFormatting>
  <conditionalFormatting sqref="V167:AJ168">
    <cfRule type="cellIs" dxfId="17756" priority="355" operator="equal">
      <formula>0</formula>
    </cfRule>
  </conditionalFormatting>
  <conditionalFormatting sqref="AH167:AH168">
    <cfRule type="cellIs" dxfId="17755" priority="356" operator="equal">
      <formula>0</formula>
    </cfRule>
  </conditionalFormatting>
  <conditionalFormatting sqref="V167:AJ168">
    <cfRule type="expression" dxfId="17754" priority="357">
      <formula>LEN(TRIM(V167))=0</formula>
    </cfRule>
  </conditionalFormatting>
  <conditionalFormatting sqref="AB165:AG166">
    <cfRule type="cellIs" dxfId="17753" priority="350" operator="equal">
      <formula>0</formula>
    </cfRule>
  </conditionalFormatting>
  <conditionalFormatting sqref="AB165:AG166">
    <cfRule type="expression" dxfId="17752" priority="351">
      <formula>LEN(TRIM(AB165))=0</formula>
    </cfRule>
  </conditionalFormatting>
  <conditionalFormatting sqref="V179:AJ184 AK178:AK183 AK185 V178:AA178 AH178:AJ178">
    <cfRule type="cellIs" dxfId="17751" priority="344" operator="equal">
      <formula>0</formula>
    </cfRule>
  </conditionalFormatting>
  <conditionalFormatting sqref="V185:AJ185">
    <cfRule type="cellIs" dxfId="17750" priority="345" operator="equal">
      <formula>0</formula>
    </cfRule>
  </conditionalFormatting>
  <conditionalFormatting sqref="V179:AK183 V185:AK185 V184:AJ184 V178:AA178 AH178:AK178">
    <cfRule type="expression" dxfId="17749" priority="346">
      <formula>LEN(TRIM(V178))=0</formula>
    </cfRule>
  </conditionalFormatting>
  <conditionalFormatting sqref="V185:AJ185">
    <cfRule type="cellIs" dxfId="17748" priority="347" operator="equal">
      <formula>0</formula>
    </cfRule>
  </conditionalFormatting>
  <conditionalFormatting sqref="V186:AJ186">
    <cfRule type="cellIs" dxfId="17747" priority="348" operator="equal">
      <formula>0</formula>
    </cfRule>
  </conditionalFormatting>
  <conditionalFormatting sqref="V186:AJ186">
    <cfRule type="expression" dxfId="17746" priority="349">
      <formula>LEN(TRIM(V186))=0</formula>
    </cfRule>
  </conditionalFormatting>
  <conditionalFormatting sqref="AK186">
    <cfRule type="cellIs" dxfId="17745" priority="342" operator="equal">
      <formula>0</formula>
    </cfRule>
  </conditionalFormatting>
  <conditionalFormatting sqref="AK186">
    <cfRule type="expression" dxfId="17744" priority="343">
      <formula>LEN(TRIM(AK186))=0</formula>
    </cfRule>
  </conditionalFormatting>
  <conditionalFormatting sqref="AK184">
    <cfRule type="cellIs" dxfId="17743" priority="340" operator="equal">
      <formula>0</formula>
    </cfRule>
  </conditionalFormatting>
  <conditionalFormatting sqref="AK184">
    <cfRule type="expression" dxfId="17742" priority="341">
      <formula>LEN(TRIM(AK184))=0</formula>
    </cfRule>
  </conditionalFormatting>
  <conditionalFormatting sqref="AB178:AG178">
    <cfRule type="cellIs" dxfId="17741" priority="338" operator="equal">
      <formula>0</formula>
    </cfRule>
  </conditionalFormatting>
  <conditionalFormatting sqref="AB178:AG178">
    <cfRule type="expression" dxfId="17740" priority="339">
      <formula>LEN(TRIM(AB178))=0</formula>
    </cfRule>
  </conditionalFormatting>
  <conditionalFormatting sqref="AH195:AK197 W195:AA197 AB195:AG196 AI192:AK194 Y192:Y194 V192:V197 V198:AK198">
    <cfRule type="cellIs" dxfId="17739" priority="317" operator="equal">
      <formula>0</formula>
    </cfRule>
  </conditionalFormatting>
  <conditionalFormatting sqref="AH192:AH197">
    <cfRule type="cellIs" dxfId="17738" priority="318" operator="equal">
      <formula>0</formula>
    </cfRule>
  </conditionalFormatting>
  <conditionalFormatting sqref="V192:W197 Z192:AA197">
    <cfRule type="cellIs" dxfId="17737" priority="319" operator="equal">
      <formula>0</formula>
    </cfRule>
  </conditionalFormatting>
  <conditionalFormatting sqref="X192:X197">
    <cfRule type="cellIs" dxfId="17736" priority="320" operator="equal">
      <formula>0</formula>
    </cfRule>
  </conditionalFormatting>
  <conditionalFormatting sqref="AB195:AB197">
    <cfRule type="cellIs" dxfId="17735" priority="321" operator="equal">
      <formula>0</formula>
    </cfRule>
  </conditionalFormatting>
  <conditionalFormatting sqref="AB192:AB197 AC192:AG192">
    <cfRule type="cellIs" dxfId="17734" priority="322" operator="equal">
      <formula>0</formula>
    </cfRule>
  </conditionalFormatting>
  <conditionalFormatting sqref="AC195:AC197">
    <cfRule type="cellIs" dxfId="17733" priority="323" operator="equal">
      <formula>0</formula>
    </cfRule>
  </conditionalFormatting>
  <conditionalFormatting sqref="AC192:AC197">
    <cfRule type="cellIs" dxfId="17732" priority="324" operator="equal">
      <formula>0</formula>
    </cfRule>
  </conditionalFormatting>
  <conditionalFormatting sqref="AD195:AD197">
    <cfRule type="cellIs" dxfId="17731" priority="325" operator="equal">
      <formula>0</formula>
    </cfRule>
  </conditionalFormatting>
  <conditionalFormatting sqref="AD192:AD197">
    <cfRule type="cellIs" dxfId="17730" priority="326" operator="equal">
      <formula>0</formula>
    </cfRule>
  </conditionalFormatting>
  <conditionalFormatting sqref="AE195:AE197">
    <cfRule type="cellIs" dxfId="17729" priority="327" operator="equal">
      <formula>0</formula>
    </cfRule>
  </conditionalFormatting>
  <conditionalFormatting sqref="AE192:AE197">
    <cfRule type="cellIs" dxfId="17728" priority="328" operator="equal">
      <formula>0</formula>
    </cfRule>
  </conditionalFormatting>
  <conditionalFormatting sqref="AF195:AF197">
    <cfRule type="cellIs" dxfId="17727" priority="329" operator="equal">
      <formula>0</formula>
    </cfRule>
  </conditionalFormatting>
  <conditionalFormatting sqref="AF192:AF197">
    <cfRule type="cellIs" dxfId="17726" priority="330" operator="equal">
      <formula>0</formula>
    </cfRule>
  </conditionalFormatting>
  <conditionalFormatting sqref="AG195:AG197">
    <cfRule type="cellIs" dxfId="17725" priority="331" operator="equal">
      <formula>0</formula>
    </cfRule>
  </conditionalFormatting>
  <conditionalFormatting sqref="AG192:AG197">
    <cfRule type="cellIs" dxfId="17724" priority="332" operator="equal">
      <formula>0</formula>
    </cfRule>
  </conditionalFormatting>
  <conditionalFormatting sqref="V192:AK198">
    <cfRule type="expression" dxfId="17723" priority="333">
      <formula>LEN(TRIM(V192))=0</formula>
    </cfRule>
  </conditionalFormatting>
  <conditionalFormatting sqref="AD195:AD196">
    <cfRule type="cellIs" dxfId="17722" priority="334" operator="equal">
      <formula>0</formula>
    </cfRule>
  </conditionalFormatting>
  <conditionalFormatting sqref="AE195:AE196">
    <cfRule type="cellIs" dxfId="17721" priority="335" operator="equal">
      <formula>0</formula>
    </cfRule>
  </conditionalFormatting>
  <conditionalFormatting sqref="AF195:AG195">
    <cfRule type="cellIs" dxfId="17720" priority="336" operator="equal">
      <formula>0</formula>
    </cfRule>
  </conditionalFormatting>
  <conditionalFormatting sqref="AF196:AG196">
    <cfRule type="cellIs" dxfId="17719" priority="337" operator="equal">
      <formula>0</formula>
    </cfRule>
  </conditionalFormatting>
  <conditionalFormatting sqref="W209:Y209 V210:Y211 Z209:AA211 V205:AA208 AB205:AJ211 V200:AK200 V212:AJ212 V201:AA202 AK201:AK212 AH201:AJ202">
    <cfRule type="cellIs" dxfId="17718" priority="311" operator="equal">
      <formula>0</formula>
    </cfRule>
  </conditionalFormatting>
  <conditionalFormatting sqref="V209">
    <cfRule type="cellIs" dxfId="17717" priority="312" operator="equal">
      <formula>0</formula>
    </cfRule>
  </conditionalFormatting>
  <conditionalFormatting sqref="V200:AK200 V205:AJ212 V201:AA202 AK201:AK212 AH201:AJ202">
    <cfRule type="expression" dxfId="17716" priority="313">
      <formula>LEN(TRIM(V200))=0</formula>
    </cfRule>
  </conditionalFormatting>
  <conditionalFormatting sqref="V203:AJ204">
    <cfRule type="cellIs" dxfId="17715" priority="314" operator="equal">
      <formula>0</formula>
    </cfRule>
  </conditionalFormatting>
  <conditionalFormatting sqref="AH203:AH204">
    <cfRule type="cellIs" dxfId="17714" priority="315" operator="equal">
      <formula>0</formula>
    </cfRule>
  </conditionalFormatting>
  <conditionalFormatting sqref="V203:AJ204">
    <cfRule type="expression" dxfId="17713" priority="316">
      <formula>LEN(TRIM(V203))=0</formula>
    </cfRule>
  </conditionalFormatting>
  <conditionalFormatting sqref="AB201:AG202">
    <cfRule type="cellIs" dxfId="17712" priority="309" operator="equal">
      <formula>0</formula>
    </cfRule>
  </conditionalFormatting>
  <conditionalFormatting sqref="AB201:AG202">
    <cfRule type="expression" dxfId="17711" priority="310">
      <formula>LEN(TRIM(AB201))=0</formula>
    </cfRule>
  </conditionalFormatting>
  <conditionalFormatting sqref="V215:AJ220 AK214:AK219 AK221 V214:AA214 AH214:AJ214">
    <cfRule type="cellIs" dxfId="17710" priority="303" operator="equal">
      <formula>0</formula>
    </cfRule>
  </conditionalFormatting>
  <conditionalFormatting sqref="V221:AJ221">
    <cfRule type="cellIs" dxfId="17709" priority="304" operator="equal">
      <formula>0</formula>
    </cfRule>
  </conditionalFormatting>
  <conditionalFormatting sqref="V215:AK219 V221:AK221 V220:AJ220 V214:AA214 AH214:AK214">
    <cfRule type="expression" dxfId="17708" priority="305">
      <formula>LEN(TRIM(V214))=0</formula>
    </cfRule>
  </conditionalFormatting>
  <conditionalFormatting sqref="V221:AJ221">
    <cfRule type="cellIs" dxfId="17707" priority="306" operator="equal">
      <formula>0</formula>
    </cfRule>
  </conditionalFormatting>
  <conditionalFormatting sqref="V222:AJ222">
    <cfRule type="cellIs" dxfId="17706" priority="307" operator="equal">
      <formula>0</formula>
    </cfRule>
  </conditionalFormatting>
  <conditionalFormatting sqref="V222:AJ222">
    <cfRule type="expression" dxfId="17705" priority="308">
      <formula>LEN(TRIM(V222))=0</formula>
    </cfRule>
  </conditionalFormatting>
  <conditionalFormatting sqref="AK222">
    <cfRule type="cellIs" dxfId="17704" priority="301" operator="equal">
      <formula>0</formula>
    </cfRule>
  </conditionalFormatting>
  <conditionalFormatting sqref="AK222">
    <cfRule type="expression" dxfId="17703" priority="302">
      <formula>LEN(TRIM(AK222))=0</formula>
    </cfRule>
  </conditionalFormatting>
  <conditionalFormatting sqref="AK220">
    <cfRule type="cellIs" dxfId="17702" priority="299" operator="equal">
      <formula>0</formula>
    </cfRule>
  </conditionalFormatting>
  <conditionalFormatting sqref="AK220">
    <cfRule type="expression" dxfId="17701" priority="300">
      <formula>LEN(TRIM(AK220))=0</formula>
    </cfRule>
  </conditionalFormatting>
  <conditionalFormatting sqref="AB214:AG214">
    <cfRule type="cellIs" dxfId="17700" priority="297" operator="equal">
      <formula>0</formula>
    </cfRule>
  </conditionalFormatting>
  <conditionalFormatting sqref="AB214:AG214">
    <cfRule type="expression" dxfId="17699" priority="298">
      <formula>LEN(TRIM(AB214))=0</formula>
    </cfRule>
  </conditionalFormatting>
  <conditionalFormatting sqref="AH231:AK233 W231:AA233 AB231:AG232 AI228:AK230 Y228:Y230 V228:V233 V234:AK234">
    <cfRule type="cellIs" dxfId="17698" priority="276" operator="equal">
      <formula>0</formula>
    </cfRule>
  </conditionalFormatting>
  <conditionalFormatting sqref="AH228:AH233">
    <cfRule type="cellIs" dxfId="17697" priority="277" operator="equal">
      <formula>0</formula>
    </cfRule>
  </conditionalFormatting>
  <conditionalFormatting sqref="V228:W233 Z228:AA233">
    <cfRule type="cellIs" dxfId="17696" priority="278" operator="equal">
      <formula>0</formula>
    </cfRule>
  </conditionalFormatting>
  <conditionalFormatting sqref="X228:X233">
    <cfRule type="cellIs" dxfId="17695" priority="279" operator="equal">
      <formula>0</formula>
    </cfRule>
  </conditionalFormatting>
  <conditionalFormatting sqref="AB231:AB233">
    <cfRule type="cellIs" dxfId="17694" priority="280" operator="equal">
      <formula>0</formula>
    </cfRule>
  </conditionalFormatting>
  <conditionalFormatting sqref="AB228:AB233 AC228:AG228">
    <cfRule type="cellIs" dxfId="17693" priority="281" operator="equal">
      <formula>0</formula>
    </cfRule>
  </conditionalFormatting>
  <conditionalFormatting sqref="AC231:AC233">
    <cfRule type="cellIs" dxfId="17692" priority="282" operator="equal">
      <formula>0</formula>
    </cfRule>
  </conditionalFormatting>
  <conditionalFormatting sqref="AC228:AC233">
    <cfRule type="cellIs" dxfId="17691" priority="283" operator="equal">
      <formula>0</formula>
    </cfRule>
  </conditionalFormatting>
  <conditionalFormatting sqref="AD231:AD233">
    <cfRule type="cellIs" dxfId="17690" priority="284" operator="equal">
      <formula>0</formula>
    </cfRule>
  </conditionalFormatting>
  <conditionalFormatting sqref="AD228:AD233">
    <cfRule type="cellIs" dxfId="17689" priority="285" operator="equal">
      <formula>0</formula>
    </cfRule>
  </conditionalFormatting>
  <conditionalFormatting sqref="AE231:AE233">
    <cfRule type="cellIs" dxfId="17688" priority="286" operator="equal">
      <formula>0</formula>
    </cfRule>
  </conditionalFormatting>
  <conditionalFormatting sqref="AE228:AE233">
    <cfRule type="cellIs" dxfId="17687" priority="287" operator="equal">
      <formula>0</formula>
    </cfRule>
  </conditionalFormatting>
  <conditionalFormatting sqref="AF231:AF233">
    <cfRule type="cellIs" dxfId="17686" priority="288" operator="equal">
      <formula>0</formula>
    </cfRule>
  </conditionalFormatting>
  <conditionalFormatting sqref="AF228:AF233">
    <cfRule type="cellIs" dxfId="17685" priority="289" operator="equal">
      <formula>0</formula>
    </cfRule>
  </conditionalFormatting>
  <conditionalFormatting sqref="AG231:AG233">
    <cfRule type="cellIs" dxfId="17684" priority="290" operator="equal">
      <formula>0</formula>
    </cfRule>
  </conditionalFormatting>
  <conditionalFormatting sqref="AG228:AG233">
    <cfRule type="cellIs" dxfId="17683" priority="291" operator="equal">
      <formula>0</formula>
    </cfRule>
  </conditionalFormatting>
  <conditionalFormatting sqref="V228:AK234">
    <cfRule type="expression" dxfId="17682" priority="292">
      <formula>LEN(TRIM(V228))=0</formula>
    </cfRule>
  </conditionalFormatting>
  <conditionalFormatting sqref="AD231:AD232">
    <cfRule type="cellIs" dxfId="17681" priority="293" operator="equal">
      <formula>0</formula>
    </cfRule>
  </conditionalFormatting>
  <conditionalFormatting sqref="AE231:AE232">
    <cfRule type="cellIs" dxfId="17680" priority="294" operator="equal">
      <formula>0</formula>
    </cfRule>
  </conditionalFormatting>
  <conditionalFormatting sqref="AF231:AG231">
    <cfRule type="cellIs" dxfId="17679" priority="295" operator="equal">
      <formula>0</formula>
    </cfRule>
  </conditionalFormatting>
  <conditionalFormatting sqref="AF232:AG232">
    <cfRule type="cellIs" dxfId="17678" priority="296" operator="equal">
      <formula>0</formula>
    </cfRule>
  </conditionalFormatting>
  <conditionalFormatting sqref="W245:Y245 V246:Y247 Z245:AA247 V241:AA244 AB241:AJ247 V236:AK236 V248:AJ248 V237:AA238 AK237:AK248 AH237:AJ238">
    <cfRule type="cellIs" dxfId="17677" priority="270" operator="equal">
      <formula>0</formula>
    </cfRule>
  </conditionalFormatting>
  <conditionalFormatting sqref="V245">
    <cfRule type="cellIs" dxfId="17676" priority="271" operator="equal">
      <formula>0</formula>
    </cfRule>
  </conditionalFormatting>
  <conditionalFormatting sqref="V236:AK236 V241:AJ248 V237:AA238 AK237:AK248 AH237:AJ238">
    <cfRule type="expression" dxfId="17675" priority="272">
      <formula>LEN(TRIM(V236))=0</formula>
    </cfRule>
  </conditionalFormatting>
  <conditionalFormatting sqref="V239:AJ240">
    <cfRule type="cellIs" dxfId="17674" priority="273" operator="equal">
      <formula>0</formula>
    </cfRule>
  </conditionalFormatting>
  <conditionalFormatting sqref="AH239:AH240">
    <cfRule type="cellIs" dxfId="17673" priority="274" operator="equal">
      <formula>0</formula>
    </cfRule>
  </conditionalFormatting>
  <conditionalFormatting sqref="V239:AJ240">
    <cfRule type="expression" dxfId="17672" priority="275">
      <formula>LEN(TRIM(V239))=0</formula>
    </cfRule>
  </conditionalFormatting>
  <conditionalFormatting sqref="AB237:AG238">
    <cfRule type="cellIs" dxfId="17671" priority="268" operator="equal">
      <formula>0</formula>
    </cfRule>
  </conditionalFormatting>
  <conditionalFormatting sqref="AB237:AG238">
    <cfRule type="expression" dxfId="17670" priority="269">
      <formula>LEN(TRIM(AB237))=0</formula>
    </cfRule>
  </conditionalFormatting>
  <conditionalFormatting sqref="V251:AJ256 AK250:AK255 AK257 V250:AA250 AH250:AJ250">
    <cfRule type="cellIs" dxfId="17669" priority="262" operator="equal">
      <formula>0</formula>
    </cfRule>
  </conditionalFormatting>
  <conditionalFormatting sqref="V257:AJ257">
    <cfRule type="cellIs" dxfId="17668" priority="263" operator="equal">
      <formula>0</formula>
    </cfRule>
  </conditionalFormatting>
  <conditionalFormatting sqref="V251:AK255 V257:AK257 V256:AJ256 V250:AA250 AH250:AK250">
    <cfRule type="expression" dxfId="17667" priority="264">
      <formula>LEN(TRIM(V250))=0</formula>
    </cfRule>
  </conditionalFormatting>
  <conditionalFormatting sqref="V257:AJ257">
    <cfRule type="cellIs" dxfId="17666" priority="265" operator="equal">
      <formula>0</formula>
    </cfRule>
  </conditionalFormatting>
  <conditionalFormatting sqref="V258:AJ258">
    <cfRule type="cellIs" dxfId="17665" priority="266" operator="equal">
      <formula>0</formula>
    </cfRule>
  </conditionalFormatting>
  <conditionalFormatting sqref="V258:AJ258">
    <cfRule type="expression" dxfId="17664" priority="267">
      <formula>LEN(TRIM(V258))=0</formula>
    </cfRule>
  </conditionalFormatting>
  <conditionalFormatting sqref="AK258">
    <cfRule type="cellIs" dxfId="17663" priority="260" operator="equal">
      <formula>0</formula>
    </cfRule>
  </conditionalFormatting>
  <conditionalFormatting sqref="AK258">
    <cfRule type="expression" dxfId="17662" priority="261">
      <formula>LEN(TRIM(AK258))=0</formula>
    </cfRule>
  </conditionalFormatting>
  <conditionalFormatting sqref="AK256">
    <cfRule type="cellIs" dxfId="17661" priority="258" operator="equal">
      <formula>0</formula>
    </cfRule>
  </conditionalFormatting>
  <conditionalFormatting sqref="AK256">
    <cfRule type="expression" dxfId="17660" priority="259">
      <formula>LEN(TRIM(AK256))=0</formula>
    </cfRule>
  </conditionalFormatting>
  <conditionalFormatting sqref="AB250:AG250">
    <cfRule type="cellIs" dxfId="17659" priority="256" operator="equal">
      <formula>0</formula>
    </cfRule>
  </conditionalFormatting>
  <conditionalFormatting sqref="AB250:AG250">
    <cfRule type="expression" dxfId="17658" priority="257">
      <formula>LEN(TRIM(AB250))=0</formula>
    </cfRule>
  </conditionalFormatting>
  <conditionalFormatting sqref="AH267:AK269 W267:AA269 AB267:AG268 AI264:AK266 Y264:Y266 V264:V269 V270:AK270">
    <cfRule type="cellIs" dxfId="17657" priority="235" operator="equal">
      <formula>0</formula>
    </cfRule>
  </conditionalFormatting>
  <conditionalFormatting sqref="AH264:AH269">
    <cfRule type="cellIs" dxfId="17656" priority="236" operator="equal">
      <formula>0</formula>
    </cfRule>
  </conditionalFormatting>
  <conditionalFormatting sqref="V264:W269 Z264:AA269">
    <cfRule type="cellIs" dxfId="17655" priority="237" operator="equal">
      <formula>0</formula>
    </cfRule>
  </conditionalFormatting>
  <conditionalFormatting sqref="X264:X269">
    <cfRule type="cellIs" dxfId="17654" priority="238" operator="equal">
      <formula>0</formula>
    </cfRule>
  </conditionalFormatting>
  <conditionalFormatting sqref="AB267:AB269">
    <cfRule type="cellIs" dxfId="17653" priority="239" operator="equal">
      <formula>0</formula>
    </cfRule>
  </conditionalFormatting>
  <conditionalFormatting sqref="AB264:AB269 AC264:AG264">
    <cfRule type="cellIs" dxfId="17652" priority="240" operator="equal">
      <formula>0</formula>
    </cfRule>
  </conditionalFormatting>
  <conditionalFormatting sqref="AC267:AC269">
    <cfRule type="cellIs" dxfId="17651" priority="241" operator="equal">
      <formula>0</formula>
    </cfRule>
  </conditionalFormatting>
  <conditionalFormatting sqref="AC264:AC269">
    <cfRule type="cellIs" dxfId="17650" priority="242" operator="equal">
      <formula>0</formula>
    </cfRule>
  </conditionalFormatting>
  <conditionalFormatting sqref="AD267:AD269">
    <cfRule type="cellIs" dxfId="17649" priority="243" operator="equal">
      <formula>0</formula>
    </cfRule>
  </conditionalFormatting>
  <conditionalFormatting sqref="AD264:AD269">
    <cfRule type="cellIs" dxfId="17648" priority="244" operator="equal">
      <formula>0</formula>
    </cfRule>
  </conditionalFormatting>
  <conditionalFormatting sqref="AE267:AE269">
    <cfRule type="cellIs" dxfId="17647" priority="245" operator="equal">
      <formula>0</formula>
    </cfRule>
  </conditionalFormatting>
  <conditionalFormatting sqref="AE264:AE269">
    <cfRule type="cellIs" dxfId="17646" priority="246" operator="equal">
      <formula>0</formula>
    </cfRule>
  </conditionalFormatting>
  <conditionalFormatting sqref="AF267:AF269">
    <cfRule type="cellIs" dxfId="17645" priority="247" operator="equal">
      <formula>0</formula>
    </cfRule>
  </conditionalFormatting>
  <conditionalFormatting sqref="AF264:AF269">
    <cfRule type="cellIs" dxfId="17644" priority="248" operator="equal">
      <formula>0</formula>
    </cfRule>
  </conditionalFormatting>
  <conditionalFormatting sqref="AG267:AG269">
    <cfRule type="cellIs" dxfId="17643" priority="249" operator="equal">
      <formula>0</formula>
    </cfRule>
  </conditionalFormatting>
  <conditionalFormatting sqref="AG264:AG269">
    <cfRule type="cellIs" dxfId="17642" priority="250" operator="equal">
      <formula>0</formula>
    </cfRule>
  </conditionalFormatting>
  <conditionalFormatting sqref="V264:AK270">
    <cfRule type="expression" dxfId="17641" priority="251">
      <formula>LEN(TRIM(V264))=0</formula>
    </cfRule>
  </conditionalFormatting>
  <conditionalFormatting sqref="AD267:AD268">
    <cfRule type="cellIs" dxfId="17640" priority="252" operator="equal">
      <formula>0</formula>
    </cfRule>
  </conditionalFormatting>
  <conditionalFormatting sqref="AE267:AE268">
    <cfRule type="cellIs" dxfId="17639" priority="253" operator="equal">
      <formula>0</formula>
    </cfRule>
  </conditionalFormatting>
  <conditionalFormatting sqref="AF267:AG267">
    <cfRule type="cellIs" dxfId="17638" priority="254" operator="equal">
      <formula>0</formula>
    </cfRule>
  </conditionalFormatting>
  <conditionalFormatting sqref="AF268:AG268">
    <cfRule type="cellIs" dxfId="17637" priority="255" operator="equal">
      <formula>0</formula>
    </cfRule>
  </conditionalFormatting>
  <conditionalFormatting sqref="W281:Y281 V282:Y283 Z281:AA283 V277:AA280 AB277:AJ283 V272:AK272 V284:AJ284 V273:AA274 AK273:AK284 AH273:AJ274">
    <cfRule type="cellIs" dxfId="17636" priority="229" operator="equal">
      <formula>0</formula>
    </cfRule>
  </conditionalFormatting>
  <conditionalFormatting sqref="V281">
    <cfRule type="cellIs" dxfId="17635" priority="230" operator="equal">
      <formula>0</formula>
    </cfRule>
  </conditionalFormatting>
  <conditionalFormatting sqref="V272:AK272 V277:AJ284 V273:AA274 AK273:AK284 AH273:AJ274">
    <cfRule type="expression" dxfId="17634" priority="231">
      <formula>LEN(TRIM(V272))=0</formula>
    </cfRule>
  </conditionalFormatting>
  <conditionalFormatting sqref="V275:AJ276">
    <cfRule type="cellIs" dxfId="17633" priority="232" operator="equal">
      <formula>0</formula>
    </cfRule>
  </conditionalFormatting>
  <conditionalFormatting sqref="AH275:AH276">
    <cfRule type="cellIs" dxfId="17632" priority="233" operator="equal">
      <formula>0</formula>
    </cfRule>
  </conditionalFormatting>
  <conditionalFormatting sqref="V275:AJ276">
    <cfRule type="expression" dxfId="17631" priority="234">
      <formula>LEN(TRIM(V275))=0</formula>
    </cfRule>
  </conditionalFormatting>
  <conditionalFormatting sqref="AB273:AG274">
    <cfRule type="cellIs" dxfId="17630" priority="227" operator="equal">
      <formula>0</formula>
    </cfRule>
  </conditionalFormatting>
  <conditionalFormatting sqref="AB273:AG274">
    <cfRule type="expression" dxfId="17629" priority="228">
      <formula>LEN(TRIM(AB273))=0</formula>
    </cfRule>
  </conditionalFormatting>
  <conditionalFormatting sqref="V287:AJ292 AK286:AK291 AK293 V286:AA286 AH286:AJ286">
    <cfRule type="cellIs" dxfId="17628" priority="221" operator="equal">
      <formula>0</formula>
    </cfRule>
  </conditionalFormatting>
  <conditionalFormatting sqref="V293:AJ293">
    <cfRule type="cellIs" dxfId="17627" priority="222" operator="equal">
      <formula>0</formula>
    </cfRule>
  </conditionalFormatting>
  <conditionalFormatting sqref="V287:AK291 V293:AK293 V292:AJ292 V286:AA286 AH286:AK286">
    <cfRule type="expression" dxfId="17626" priority="223">
      <formula>LEN(TRIM(V286))=0</formula>
    </cfRule>
  </conditionalFormatting>
  <conditionalFormatting sqref="V293:AJ293">
    <cfRule type="cellIs" dxfId="17625" priority="224" operator="equal">
      <formula>0</formula>
    </cfRule>
  </conditionalFormatting>
  <conditionalFormatting sqref="V294:AJ294">
    <cfRule type="cellIs" dxfId="17624" priority="225" operator="equal">
      <formula>0</formula>
    </cfRule>
  </conditionalFormatting>
  <conditionalFormatting sqref="V294:AJ294">
    <cfRule type="expression" dxfId="17623" priority="226">
      <formula>LEN(TRIM(V294))=0</formula>
    </cfRule>
  </conditionalFormatting>
  <conditionalFormatting sqref="AK294">
    <cfRule type="cellIs" dxfId="17622" priority="219" operator="equal">
      <formula>0</formula>
    </cfRule>
  </conditionalFormatting>
  <conditionalFormatting sqref="AK294">
    <cfRule type="expression" dxfId="17621" priority="220">
      <formula>LEN(TRIM(AK294))=0</formula>
    </cfRule>
  </conditionalFormatting>
  <conditionalFormatting sqref="AK292">
    <cfRule type="cellIs" dxfId="17620" priority="217" operator="equal">
      <formula>0</formula>
    </cfRule>
  </conditionalFormatting>
  <conditionalFormatting sqref="AK292">
    <cfRule type="expression" dxfId="17619" priority="218">
      <formula>LEN(TRIM(AK292))=0</formula>
    </cfRule>
  </conditionalFormatting>
  <conditionalFormatting sqref="AB286:AG286">
    <cfRule type="cellIs" dxfId="17618" priority="215" operator="equal">
      <formula>0</formula>
    </cfRule>
  </conditionalFormatting>
  <conditionalFormatting sqref="AB286:AG286">
    <cfRule type="expression" dxfId="17617" priority="216">
      <formula>LEN(TRIM(AB286))=0</formula>
    </cfRule>
  </conditionalFormatting>
  <conditionalFormatting sqref="AH303:AK305 W303:AA305 AB303:AG304 AI300:AK302 Y300:Y302 V300:V305 V306:AK306">
    <cfRule type="cellIs" dxfId="17616" priority="194" operator="equal">
      <formula>0</formula>
    </cfRule>
  </conditionalFormatting>
  <conditionalFormatting sqref="AH300:AH305">
    <cfRule type="cellIs" dxfId="17615" priority="195" operator="equal">
      <formula>0</formula>
    </cfRule>
  </conditionalFormatting>
  <conditionalFormatting sqref="V300:W305 Z300:AA305">
    <cfRule type="cellIs" dxfId="17614" priority="196" operator="equal">
      <formula>0</formula>
    </cfRule>
  </conditionalFormatting>
  <conditionalFormatting sqref="X300:X305">
    <cfRule type="cellIs" dxfId="17613" priority="197" operator="equal">
      <formula>0</formula>
    </cfRule>
  </conditionalFormatting>
  <conditionalFormatting sqref="AB303:AB305">
    <cfRule type="cellIs" dxfId="17612" priority="198" operator="equal">
      <formula>0</formula>
    </cfRule>
  </conditionalFormatting>
  <conditionalFormatting sqref="AB300:AB305 AC300:AG300">
    <cfRule type="cellIs" dxfId="17611" priority="199" operator="equal">
      <formula>0</formula>
    </cfRule>
  </conditionalFormatting>
  <conditionalFormatting sqref="AC303:AC305">
    <cfRule type="cellIs" dxfId="17610" priority="200" operator="equal">
      <formula>0</formula>
    </cfRule>
  </conditionalFormatting>
  <conditionalFormatting sqref="AC300:AC305">
    <cfRule type="cellIs" dxfId="17609" priority="201" operator="equal">
      <formula>0</formula>
    </cfRule>
  </conditionalFormatting>
  <conditionalFormatting sqref="AD303:AD305">
    <cfRule type="cellIs" dxfId="17608" priority="202" operator="equal">
      <formula>0</formula>
    </cfRule>
  </conditionalFormatting>
  <conditionalFormatting sqref="AD300:AD305">
    <cfRule type="cellIs" dxfId="17607" priority="203" operator="equal">
      <formula>0</formula>
    </cfRule>
  </conditionalFormatting>
  <conditionalFormatting sqref="AE303:AE305">
    <cfRule type="cellIs" dxfId="17606" priority="204" operator="equal">
      <formula>0</formula>
    </cfRule>
  </conditionalFormatting>
  <conditionalFormatting sqref="AE300:AE305">
    <cfRule type="cellIs" dxfId="17605" priority="205" operator="equal">
      <formula>0</formula>
    </cfRule>
  </conditionalFormatting>
  <conditionalFormatting sqref="AF303:AF305">
    <cfRule type="cellIs" dxfId="17604" priority="206" operator="equal">
      <formula>0</formula>
    </cfRule>
  </conditionalFormatting>
  <conditionalFormatting sqref="AF300:AF305">
    <cfRule type="cellIs" dxfId="17603" priority="207" operator="equal">
      <formula>0</formula>
    </cfRule>
  </conditionalFormatting>
  <conditionalFormatting sqref="AG303:AG305">
    <cfRule type="cellIs" dxfId="17602" priority="208" operator="equal">
      <formula>0</formula>
    </cfRule>
  </conditionalFormatting>
  <conditionalFormatting sqref="AG300:AG305">
    <cfRule type="cellIs" dxfId="17601" priority="209" operator="equal">
      <formula>0</formula>
    </cfRule>
  </conditionalFormatting>
  <conditionalFormatting sqref="V300:AK306">
    <cfRule type="expression" dxfId="17600" priority="210">
      <formula>LEN(TRIM(V300))=0</formula>
    </cfRule>
  </conditionalFormatting>
  <conditionalFormatting sqref="AD303:AD304">
    <cfRule type="cellIs" dxfId="17599" priority="211" operator="equal">
      <formula>0</formula>
    </cfRule>
  </conditionalFormatting>
  <conditionalFormatting sqref="AE303:AE304">
    <cfRule type="cellIs" dxfId="17598" priority="212" operator="equal">
      <formula>0</formula>
    </cfRule>
  </conditionalFormatting>
  <conditionalFormatting sqref="AF303:AG303">
    <cfRule type="cellIs" dxfId="17597" priority="213" operator="equal">
      <formula>0</formula>
    </cfRule>
  </conditionalFormatting>
  <conditionalFormatting sqref="AF304:AG304">
    <cfRule type="cellIs" dxfId="17596" priority="214" operator="equal">
      <formula>0</formula>
    </cfRule>
  </conditionalFormatting>
  <conditionalFormatting sqref="W317:Y317 V318:Y319 Z317:AA319 V313:AA316 AB313:AJ319 V308:AK308 V320:AJ320 V309:AA310 AK309:AK320 AH309:AJ310">
    <cfRule type="cellIs" dxfId="17595" priority="188" operator="equal">
      <formula>0</formula>
    </cfRule>
  </conditionalFormatting>
  <conditionalFormatting sqref="V317">
    <cfRule type="cellIs" dxfId="17594" priority="189" operator="equal">
      <formula>0</formula>
    </cfRule>
  </conditionalFormatting>
  <conditionalFormatting sqref="V308:AK308 V313:AJ320 V309:AA310 AK309:AK320 AH309:AJ310">
    <cfRule type="expression" dxfId="17593" priority="190">
      <formula>LEN(TRIM(V308))=0</formula>
    </cfRule>
  </conditionalFormatting>
  <conditionalFormatting sqref="V311:AJ312">
    <cfRule type="cellIs" dxfId="17592" priority="191" operator="equal">
      <formula>0</formula>
    </cfRule>
  </conditionalFormatting>
  <conditionalFormatting sqref="AH311:AH312">
    <cfRule type="cellIs" dxfId="17591" priority="192" operator="equal">
      <formula>0</formula>
    </cfRule>
  </conditionalFormatting>
  <conditionalFormatting sqref="V311:AJ312">
    <cfRule type="expression" dxfId="17590" priority="193">
      <formula>LEN(TRIM(V311))=0</formula>
    </cfRule>
  </conditionalFormatting>
  <conditionalFormatting sqref="AB309:AG310">
    <cfRule type="cellIs" dxfId="17589" priority="186" operator="equal">
      <formula>0</formula>
    </cfRule>
  </conditionalFormatting>
  <conditionalFormatting sqref="AB309:AG310">
    <cfRule type="expression" dxfId="17588" priority="187">
      <formula>LEN(TRIM(AB309))=0</formula>
    </cfRule>
  </conditionalFormatting>
  <conditionalFormatting sqref="V323:AJ328 AK322:AK327 AK329 V322:AA322 AH322:AJ322">
    <cfRule type="cellIs" dxfId="17587" priority="180" operator="equal">
      <formula>0</formula>
    </cfRule>
  </conditionalFormatting>
  <conditionalFormatting sqref="V329:AJ329">
    <cfRule type="cellIs" dxfId="17586" priority="181" operator="equal">
      <formula>0</formula>
    </cfRule>
  </conditionalFormatting>
  <conditionalFormatting sqref="V323:AK327 V329:AK329 V328:AJ328 V322:AA322 AH322:AK322">
    <cfRule type="expression" dxfId="17585" priority="182">
      <formula>LEN(TRIM(V322))=0</formula>
    </cfRule>
  </conditionalFormatting>
  <conditionalFormatting sqref="V329:AJ329">
    <cfRule type="cellIs" dxfId="17584" priority="183" operator="equal">
      <formula>0</formula>
    </cfRule>
  </conditionalFormatting>
  <conditionalFormatting sqref="V330:AJ330">
    <cfRule type="cellIs" dxfId="17583" priority="184" operator="equal">
      <formula>0</formula>
    </cfRule>
  </conditionalFormatting>
  <conditionalFormatting sqref="V330:AJ330">
    <cfRule type="expression" dxfId="17582" priority="185">
      <formula>LEN(TRIM(V330))=0</formula>
    </cfRule>
  </conditionalFormatting>
  <conditionalFormatting sqref="AK330">
    <cfRule type="cellIs" dxfId="17581" priority="178" operator="equal">
      <formula>0</formula>
    </cfRule>
  </conditionalFormatting>
  <conditionalFormatting sqref="AK330">
    <cfRule type="expression" dxfId="17580" priority="179">
      <formula>LEN(TRIM(AK330))=0</formula>
    </cfRule>
  </conditionalFormatting>
  <conditionalFormatting sqref="AK328">
    <cfRule type="cellIs" dxfId="17579" priority="176" operator="equal">
      <formula>0</formula>
    </cfRule>
  </conditionalFormatting>
  <conditionalFormatting sqref="AK328">
    <cfRule type="expression" dxfId="17578" priority="177">
      <formula>LEN(TRIM(AK328))=0</formula>
    </cfRule>
  </conditionalFormatting>
  <conditionalFormatting sqref="AB322:AG322">
    <cfRule type="cellIs" dxfId="17577" priority="174" operator="equal">
      <formula>0</formula>
    </cfRule>
  </conditionalFormatting>
  <conditionalFormatting sqref="AB322:AG322">
    <cfRule type="expression" dxfId="17576" priority="175">
      <formula>LEN(TRIM(AB322))=0</formula>
    </cfRule>
  </conditionalFormatting>
  <conditionalFormatting sqref="AH339:AK341 W339:AA341 AB339:AG340 AI336:AK338 Y336:Y338 V336:V341 V342:AK342">
    <cfRule type="cellIs" dxfId="17575" priority="153" operator="equal">
      <formula>0</formula>
    </cfRule>
  </conditionalFormatting>
  <conditionalFormatting sqref="AH336:AH341">
    <cfRule type="cellIs" dxfId="17574" priority="154" operator="equal">
      <formula>0</formula>
    </cfRule>
  </conditionalFormatting>
  <conditionalFormatting sqref="V336:W341 Z336:AA341">
    <cfRule type="cellIs" dxfId="17573" priority="155" operator="equal">
      <formula>0</formula>
    </cfRule>
  </conditionalFormatting>
  <conditionalFormatting sqref="X336:X341">
    <cfRule type="cellIs" dxfId="17572" priority="156" operator="equal">
      <formula>0</formula>
    </cfRule>
  </conditionalFormatting>
  <conditionalFormatting sqref="AB339:AB341">
    <cfRule type="cellIs" dxfId="17571" priority="157" operator="equal">
      <formula>0</formula>
    </cfRule>
  </conditionalFormatting>
  <conditionalFormatting sqref="AB336:AB341 AC336:AG336">
    <cfRule type="cellIs" dxfId="17570" priority="158" operator="equal">
      <formula>0</formula>
    </cfRule>
  </conditionalFormatting>
  <conditionalFormatting sqref="AC339:AC341">
    <cfRule type="cellIs" dxfId="17569" priority="159" operator="equal">
      <formula>0</formula>
    </cfRule>
  </conditionalFormatting>
  <conditionalFormatting sqref="AC336:AC341">
    <cfRule type="cellIs" dxfId="17568" priority="160" operator="equal">
      <formula>0</formula>
    </cfRule>
  </conditionalFormatting>
  <conditionalFormatting sqref="AD339:AD341">
    <cfRule type="cellIs" dxfId="17567" priority="161" operator="equal">
      <formula>0</formula>
    </cfRule>
  </conditionalFormatting>
  <conditionalFormatting sqref="AD336:AD341">
    <cfRule type="cellIs" dxfId="17566" priority="162" operator="equal">
      <formula>0</formula>
    </cfRule>
  </conditionalFormatting>
  <conditionalFormatting sqref="AE339:AE341">
    <cfRule type="cellIs" dxfId="17565" priority="163" operator="equal">
      <formula>0</formula>
    </cfRule>
  </conditionalFormatting>
  <conditionalFormatting sqref="AE336:AE341">
    <cfRule type="cellIs" dxfId="17564" priority="164" operator="equal">
      <formula>0</formula>
    </cfRule>
  </conditionalFormatting>
  <conditionalFormatting sqref="AF339:AF341">
    <cfRule type="cellIs" dxfId="17563" priority="165" operator="equal">
      <formula>0</formula>
    </cfRule>
  </conditionalFormatting>
  <conditionalFormatting sqref="AF336:AF341">
    <cfRule type="cellIs" dxfId="17562" priority="166" operator="equal">
      <formula>0</formula>
    </cfRule>
  </conditionalFormatting>
  <conditionalFormatting sqref="AG339:AG341">
    <cfRule type="cellIs" dxfId="17561" priority="167" operator="equal">
      <formula>0</formula>
    </cfRule>
  </conditionalFormatting>
  <conditionalFormatting sqref="AG336:AG341">
    <cfRule type="cellIs" dxfId="17560" priority="168" operator="equal">
      <formula>0</formula>
    </cfRule>
  </conditionalFormatting>
  <conditionalFormatting sqref="V336:AK342">
    <cfRule type="expression" dxfId="17559" priority="169">
      <formula>LEN(TRIM(V336))=0</formula>
    </cfRule>
  </conditionalFormatting>
  <conditionalFormatting sqref="AD339:AD340">
    <cfRule type="cellIs" dxfId="17558" priority="170" operator="equal">
      <formula>0</formula>
    </cfRule>
  </conditionalFormatting>
  <conditionalFormatting sqref="AE339:AE340">
    <cfRule type="cellIs" dxfId="17557" priority="171" operator="equal">
      <formula>0</formula>
    </cfRule>
  </conditionalFormatting>
  <conditionalFormatting sqref="AF339:AG339">
    <cfRule type="cellIs" dxfId="17556" priority="172" operator="equal">
      <formula>0</formula>
    </cfRule>
  </conditionalFormatting>
  <conditionalFormatting sqref="AF340:AG340">
    <cfRule type="cellIs" dxfId="17555" priority="173" operator="equal">
      <formula>0</formula>
    </cfRule>
  </conditionalFormatting>
  <conditionalFormatting sqref="W353:Y353 V354:Y355 Z353:AA355 V349:AA352 AB349:AJ355 V344:AK344 V356:AJ356 V345:AA346 AK345:AK356 AH345:AJ346">
    <cfRule type="cellIs" dxfId="17554" priority="147" operator="equal">
      <formula>0</formula>
    </cfRule>
  </conditionalFormatting>
  <conditionalFormatting sqref="V353">
    <cfRule type="cellIs" dxfId="17553" priority="148" operator="equal">
      <formula>0</formula>
    </cfRule>
  </conditionalFormatting>
  <conditionalFormatting sqref="V344:AK344 V349:AJ356 V345:AA346 AK345:AK356 AH345:AJ346">
    <cfRule type="expression" dxfId="17552" priority="149">
      <formula>LEN(TRIM(V344))=0</formula>
    </cfRule>
  </conditionalFormatting>
  <conditionalFormatting sqref="V347:AJ348">
    <cfRule type="cellIs" dxfId="17551" priority="150" operator="equal">
      <formula>0</formula>
    </cfRule>
  </conditionalFormatting>
  <conditionalFormatting sqref="AH347:AH348">
    <cfRule type="cellIs" dxfId="17550" priority="151" operator="equal">
      <formula>0</formula>
    </cfRule>
  </conditionalFormatting>
  <conditionalFormatting sqref="V347:AJ348">
    <cfRule type="expression" dxfId="17549" priority="152">
      <formula>LEN(TRIM(V347))=0</formula>
    </cfRule>
  </conditionalFormatting>
  <conditionalFormatting sqref="AB345:AG346">
    <cfRule type="cellIs" dxfId="17548" priority="145" operator="equal">
      <formula>0</formula>
    </cfRule>
  </conditionalFormatting>
  <conditionalFormatting sqref="AB345:AG346">
    <cfRule type="expression" dxfId="17547" priority="146">
      <formula>LEN(TRIM(AB345))=0</formula>
    </cfRule>
  </conditionalFormatting>
  <conditionalFormatting sqref="V359:AJ364 AK358:AK363 AK365 V358:AA358 AH358:AJ358">
    <cfRule type="cellIs" dxfId="17546" priority="139" operator="equal">
      <formula>0</formula>
    </cfRule>
  </conditionalFormatting>
  <conditionalFormatting sqref="V365:AJ365">
    <cfRule type="cellIs" dxfId="17545" priority="140" operator="equal">
      <formula>0</formula>
    </cfRule>
  </conditionalFormatting>
  <conditionalFormatting sqref="V359:AK363 V365:AK365 V364:AJ364 V358:AA358 AH358:AK358">
    <cfRule type="expression" dxfId="17544" priority="141">
      <formula>LEN(TRIM(V358))=0</formula>
    </cfRule>
  </conditionalFormatting>
  <conditionalFormatting sqref="V365:AJ365">
    <cfRule type="cellIs" dxfId="17543" priority="142" operator="equal">
      <formula>0</formula>
    </cfRule>
  </conditionalFormatting>
  <conditionalFormatting sqref="V366:AJ366">
    <cfRule type="cellIs" dxfId="17542" priority="143" operator="equal">
      <formula>0</formula>
    </cfRule>
  </conditionalFormatting>
  <conditionalFormatting sqref="V366:AJ366">
    <cfRule type="expression" dxfId="17541" priority="144">
      <formula>LEN(TRIM(V366))=0</formula>
    </cfRule>
  </conditionalFormatting>
  <conditionalFormatting sqref="AK366">
    <cfRule type="cellIs" dxfId="17540" priority="137" operator="equal">
      <formula>0</formula>
    </cfRule>
  </conditionalFormatting>
  <conditionalFormatting sqref="AK366">
    <cfRule type="expression" dxfId="17539" priority="138">
      <formula>LEN(TRIM(AK366))=0</formula>
    </cfRule>
  </conditionalFormatting>
  <conditionalFormatting sqref="AK364">
    <cfRule type="cellIs" dxfId="17538" priority="135" operator="equal">
      <formula>0</formula>
    </cfRule>
  </conditionalFormatting>
  <conditionalFormatting sqref="AK364">
    <cfRule type="expression" dxfId="17537" priority="136">
      <formula>LEN(TRIM(AK364))=0</formula>
    </cfRule>
  </conditionalFormatting>
  <conditionalFormatting sqref="AB358:AG358">
    <cfRule type="cellIs" dxfId="17536" priority="133" operator="equal">
      <formula>0</formula>
    </cfRule>
  </conditionalFormatting>
  <conditionalFormatting sqref="AB358:AG358">
    <cfRule type="expression" dxfId="17535" priority="134">
      <formula>LEN(TRIM(AB358))=0</formula>
    </cfRule>
  </conditionalFormatting>
  <conditionalFormatting sqref="J11">
    <cfRule type="cellIs" dxfId="17534" priority="120" operator="equal">
      <formula>0</formula>
    </cfRule>
  </conditionalFormatting>
  <conditionalFormatting sqref="K11">
    <cfRule type="cellIs" dxfId="17533" priority="119" operator="equal">
      <formula>0</formula>
    </cfRule>
  </conditionalFormatting>
  <conditionalFormatting sqref="L11">
    <cfRule type="cellIs" dxfId="17532" priority="118" operator="equal">
      <formula>0</formula>
    </cfRule>
  </conditionalFormatting>
  <conditionalFormatting sqref="M11">
    <cfRule type="cellIs" dxfId="17531" priority="117" operator="equal">
      <formula>0</formula>
    </cfRule>
  </conditionalFormatting>
  <conditionalFormatting sqref="N11">
    <cfRule type="cellIs" dxfId="17530" priority="116" operator="equal">
      <formula>0</formula>
    </cfRule>
  </conditionalFormatting>
  <conditionalFormatting sqref="O11">
    <cfRule type="cellIs" dxfId="17529" priority="115" operator="equal">
      <formula>0</formula>
    </cfRule>
  </conditionalFormatting>
  <conditionalFormatting sqref="AB11">
    <cfRule type="cellIs" dxfId="17528" priority="114" operator="equal">
      <formula>0</formula>
    </cfRule>
  </conditionalFormatting>
  <conditionalFormatting sqref="AC11">
    <cfRule type="cellIs" dxfId="17527" priority="113" operator="equal">
      <formula>0</formula>
    </cfRule>
  </conditionalFormatting>
  <conditionalFormatting sqref="AD11">
    <cfRule type="cellIs" dxfId="17526" priority="112" operator="equal">
      <formula>0</formula>
    </cfRule>
  </conditionalFormatting>
  <conditionalFormatting sqref="AE11">
    <cfRule type="cellIs" dxfId="17525" priority="111" operator="equal">
      <formula>0</formula>
    </cfRule>
  </conditionalFormatting>
  <conditionalFormatting sqref="AF11">
    <cfRule type="cellIs" dxfId="17524" priority="110" operator="equal">
      <formula>0</formula>
    </cfRule>
  </conditionalFormatting>
  <conditionalFormatting sqref="AG11">
    <cfRule type="cellIs" dxfId="17523" priority="109" operator="equal">
      <formula>0</formula>
    </cfRule>
  </conditionalFormatting>
  <conditionalFormatting sqref="J47">
    <cfRule type="cellIs" dxfId="17522" priority="108" operator="equal">
      <formula>0</formula>
    </cfRule>
  </conditionalFormatting>
  <conditionalFormatting sqref="K47">
    <cfRule type="cellIs" dxfId="17521" priority="107" operator="equal">
      <formula>0</formula>
    </cfRule>
  </conditionalFormatting>
  <conditionalFormatting sqref="L47">
    <cfRule type="cellIs" dxfId="17520" priority="106" operator="equal">
      <formula>0</formula>
    </cfRule>
  </conditionalFormatting>
  <conditionalFormatting sqref="M47">
    <cfRule type="cellIs" dxfId="17519" priority="105" operator="equal">
      <formula>0</formula>
    </cfRule>
  </conditionalFormatting>
  <conditionalFormatting sqref="N47">
    <cfRule type="cellIs" dxfId="17518" priority="104" operator="equal">
      <formula>0</formula>
    </cfRule>
  </conditionalFormatting>
  <conditionalFormatting sqref="O47">
    <cfRule type="cellIs" dxfId="17517" priority="103" operator="equal">
      <formula>0</formula>
    </cfRule>
  </conditionalFormatting>
  <conditionalFormatting sqref="AB47">
    <cfRule type="cellIs" dxfId="17516" priority="102" operator="equal">
      <formula>0</formula>
    </cfRule>
  </conditionalFormatting>
  <conditionalFormatting sqref="AC47">
    <cfRule type="cellIs" dxfId="17515" priority="101" operator="equal">
      <formula>0</formula>
    </cfRule>
  </conditionalFormatting>
  <conditionalFormatting sqref="AD47">
    <cfRule type="cellIs" dxfId="17514" priority="100" operator="equal">
      <formula>0</formula>
    </cfRule>
  </conditionalFormatting>
  <conditionalFormatting sqref="AE47">
    <cfRule type="cellIs" dxfId="17513" priority="99" operator="equal">
      <formula>0</formula>
    </cfRule>
  </conditionalFormatting>
  <conditionalFormatting sqref="AF47">
    <cfRule type="cellIs" dxfId="17512" priority="98" operator="equal">
      <formula>0</formula>
    </cfRule>
  </conditionalFormatting>
  <conditionalFormatting sqref="AG47">
    <cfRule type="cellIs" dxfId="17511" priority="97" operator="equal">
      <formula>0</formula>
    </cfRule>
  </conditionalFormatting>
  <conditionalFormatting sqref="J83">
    <cfRule type="cellIs" dxfId="17510" priority="96" operator="equal">
      <formula>0</formula>
    </cfRule>
  </conditionalFormatting>
  <conditionalFormatting sqref="K83">
    <cfRule type="cellIs" dxfId="17509" priority="95" operator="equal">
      <formula>0</formula>
    </cfRule>
  </conditionalFormatting>
  <conditionalFormatting sqref="L83">
    <cfRule type="cellIs" dxfId="17508" priority="94" operator="equal">
      <formula>0</formula>
    </cfRule>
  </conditionalFormatting>
  <conditionalFormatting sqref="M83">
    <cfRule type="cellIs" dxfId="17507" priority="93" operator="equal">
      <formula>0</formula>
    </cfRule>
  </conditionalFormatting>
  <conditionalFormatting sqref="N83">
    <cfRule type="cellIs" dxfId="17506" priority="92" operator="equal">
      <formula>0</formula>
    </cfRule>
  </conditionalFormatting>
  <conditionalFormatting sqref="O83">
    <cfRule type="cellIs" dxfId="17505" priority="91" operator="equal">
      <formula>0</formula>
    </cfRule>
  </conditionalFormatting>
  <conditionalFormatting sqref="AB83">
    <cfRule type="cellIs" dxfId="17504" priority="90" operator="equal">
      <formula>0</formula>
    </cfRule>
  </conditionalFormatting>
  <conditionalFormatting sqref="AC83">
    <cfRule type="cellIs" dxfId="17503" priority="89" operator="equal">
      <formula>0</formula>
    </cfRule>
  </conditionalFormatting>
  <conditionalFormatting sqref="AD83">
    <cfRule type="cellIs" dxfId="17502" priority="88" operator="equal">
      <formula>0</formula>
    </cfRule>
  </conditionalFormatting>
  <conditionalFormatting sqref="AE83">
    <cfRule type="cellIs" dxfId="17501" priority="87" operator="equal">
      <formula>0</formula>
    </cfRule>
  </conditionalFormatting>
  <conditionalFormatting sqref="AF83">
    <cfRule type="cellIs" dxfId="17500" priority="86" operator="equal">
      <formula>0</formula>
    </cfRule>
  </conditionalFormatting>
  <conditionalFormatting sqref="AG83">
    <cfRule type="cellIs" dxfId="17499" priority="85" operator="equal">
      <formula>0</formula>
    </cfRule>
  </conditionalFormatting>
  <conditionalFormatting sqref="J119">
    <cfRule type="cellIs" dxfId="17498" priority="84" operator="equal">
      <formula>0</formula>
    </cfRule>
  </conditionalFormatting>
  <conditionalFormatting sqref="K119">
    <cfRule type="cellIs" dxfId="17497" priority="83" operator="equal">
      <formula>0</formula>
    </cfRule>
  </conditionalFormatting>
  <conditionalFormatting sqref="L119">
    <cfRule type="cellIs" dxfId="17496" priority="82" operator="equal">
      <formula>0</formula>
    </cfRule>
  </conditionalFormatting>
  <conditionalFormatting sqref="M119">
    <cfRule type="cellIs" dxfId="17495" priority="81" operator="equal">
      <formula>0</formula>
    </cfRule>
  </conditionalFormatting>
  <conditionalFormatting sqref="N119">
    <cfRule type="cellIs" dxfId="17494" priority="80" operator="equal">
      <formula>0</formula>
    </cfRule>
  </conditionalFormatting>
  <conditionalFormatting sqref="O119">
    <cfRule type="cellIs" dxfId="17493" priority="79" operator="equal">
      <formula>0</formula>
    </cfRule>
  </conditionalFormatting>
  <conditionalFormatting sqref="AB119">
    <cfRule type="cellIs" dxfId="17492" priority="78" operator="equal">
      <formula>0</formula>
    </cfRule>
  </conditionalFormatting>
  <conditionalFormatting sqref="AC119">
    <cfRule type="cellIs" dxfId="17491" priority="77" operator="equal">
      <formula>0</formula>
    </cfRule>
  </conditionalFormatting>
  <conditionalFormatting sqref="AD119">
    <cfRule type="cellIs" dxfId="17490" priority="76" operator="equal">
      <formula>0</formula>
    </cfRule>
  </conditionalFormatting>
  <conditionalFormatting sqref="AE119">
    <cfRule type="cellIs" dxfId="17489" priority="75" operator="equal">
      <formula>0</formula>
    </cfRule>
  </conditionalFormatting>
  <conditionalFormatting sqref="AF119">
    <cfRule type="cellIs" dxfId="17488" priority="74" operator="equal">
      <formula>0</formula>
    </cfRule>
  </conditionalFormatting>
  <conditionalFormatting sqref="AG119">
    <cfRule type="cellIs" dxfId="17487" priority="73" operator="equal">
      <formula>0</formula>
    </cfRule>
  </conditionalFormatting>
  <conditionalFormatting sqref="J155">
    <cfRule type="cellIs" dxfId="17486" priority="72" operator="equal">
      <formula>0</formula>
    </cfRule>
  </conditionalFormatting>
  <conditionalFormatting sqref="K155">
    <cfRule type="cellIs" dxfId="17485" priority="71" operator="equal">
      <formula>0</formula>
    </cfRule>
  </conditionalFormatting>
  <conditionalFormatting sqref="L155">
    <cfRule type="cellIs" dxfId="17484" priority="70" operator="equal">
      <formula>0</formula>
    </cfRule>
  </conditionalFormatting>
  <conditionalFormatting sqref="M155">
    <cfRule type="cellIs" dxfId="17483" priority="69" operator="equal">
      <formula>0</formula>
    </cfRule>
  </conditionalFormatting>
  <conditionalFormatting sqref="N155">
    <cfRule type="cellIs" dxfId="17482" priority="68" operator="equal">
      <formula>0</formula>
    </cfRule>
  </conditionalFormatting>
  <conditionalFormatting sqref="O155">
    <cfRule type="cellIs" dxfId="17481" priority="67" operator="equal">
      <formula>0</formula>
    </cfRule>
  </conditionalFormatting>
  <conditionalFormatting sqref="AB155">
    <cfRule type="cellIs" dxfId="17480" priority="66" operator="equal">
      <formula>0</formula>
    </cfRule>
  </conditionalFormatting>
  <conditionalFormatting sqref="AC155">
    <cfRule type="cellIs" dxfId="17479" priority="65" operator="equal">
      <formula>0</formula>
    </cfRule>
  </conditionalFormatting>
  <conditionalFormatting sqref="AD155">
    <cfRule type="cellIs" dxfId="17478" priority="64" operator="equal">
      <formula>0</formula>
    </cfRule>
  </conditionalFormatting>
  <conditionalFormatting sqref="AE155">
    <cfRule type="cellIs" dxfId="17477" priority="63" operator="equal">
      <formula>0</formula>
    </cfRule>
  </conditionalFormatting>
  <conditionalFormatting sqref="AF155">
    <cfRule type="cellIs" dxfId="17476" priority="62" operator="equal">
      <formula>0</formula>
    </cfRule>
  </conditionalFormatting>
  <conditionalFormatting sqref="AG155">
    <cfRule type="cellIs" dxfId="17475" priority="61" operator="equal">
      <formula>0</formula>
    </cfRule>
  </conditionalFormatting>
  <conditionalFormatting sqref="J191">
    <cfRule type="cellIs" dxfId="17474" priority="60" operator="equal">
      <formula>0</formula>
    </cfRule>
  </conditionalFormatting>
  <conditionalFormatting sqref="K191">
    <cfRule type="cellIs" dxfId="17473" priority="59" operator="equal">
      <formula>0</formula>
    </cfRule>
  </conditionalFormatting>
  <conditionalFormatting sqref="L191">
    <cfRule type="cellIs" dxfId="17472" priority="58" operator="equal">
      <formula>0</formula>
    </cfRule>
  </conditionalFormatting>
  <conditionalFormatting sqref="M191">
    <cfRule type="cellIs" dxfId="17471" priority="57" operator="equal">
      <formula>0</formula>
    </cfRule>
  </conditionalFormatting>
  <conditionalFormatting sqref="N191">
    <cfRule type="cellIs" dxfId="17470" priority="56" operator="equal">
      <formula>0</formula>
    </cfRule>
  </conditionalFormatting>
  <conditionalFormatting sqref="O191">
    <cfRule type="cellIs" dxfId="17469" priority="55" operator="equal">
      <formula>0</formula>
    </cfRule>
  </conditionalFormatting>
  <conditionalFormatting sqref="AB191">
    <cfRule type="cellIs" dxfId="17468" priority="54" operator="equal">
      <formula>0</formula>
    </cfRule>
  </conditionalFormatting>
  <conditionalFormatting sqref="AC191">
    <cfRule type="cellIs" dxfId="17467" priority="53" operator="equal">
      <formula>0</formula>
    </cfRule>
  </conditionalFormatting>
  <conditionalFormatting sqref="AD191">
    <cfRule type="cellIs" dxfId="17466" priority="52" operator="equal">
      <formula>0</formula>
    </cfRule>
  </conditionalFormatting>
  <conditionalFormatting sqref="AE191">
    <cfRule type="cellIs" dxfId="17465" priority="51" operator="equal">
      <formula>0</formula>
    </cfRule>
  </conditionalFormatting>
  <conditionalFormatting sqref="AF191">
    <cfRule type="cellIs" dxfId="17464" priority="50" operator="equal">
      <formula>0</formula>
    </cfRule>
  </conditionalFormatting>
  <conditionalFormatting sqref="AG191">
    <cfRule type="cellIs" dxfId="17463" priority="49" operator="equal">
      <formula>0</formula>
    </cfRule>
  </conditionalFormatting>
  <conditionalFormatting sqref="J227">
    <cfRule type="cellIs" dxfId="17462" priority="48" operator="equal">
      <formula>0</formula>
    </cfRule>
  </conditionalFormatting>
  <conditionalFormatting sqref="K227">
    <cfRule type="cellIs" dxfId="17461" priority="47" operator="equal">
      <formula>0</formula>
    </cfRule>
  </conditionalFormatting>
  <conditionalFormatting sqref="L227">
    <cfRule type="cellIs" dxfId="17460" priority="46" operator="equal">
      <formula>0</formula>
    </cfRule>
  </conditionalFormatting>
  <conditionalFormatting sqref="M227">
    <cfRule type="cellIs" dxfId="17459" priority="45" operator="equal">
      <formula>0</formula>
    </cfRule>
  </conditionalFormatting>
  <conditionalFormatting sqref="N227">
    <cfRule type="cellIs" dxfId="17458" priority="44" operator="equal">
      <formula>0</formula>
    </cfRule>
  </conditionalFormatting>
  <conditionalFormatting sqref="O227">
    <cfRule type="cellIs" dxfId="17457" priority="43" operator="equal">
      <formula>0</formula>
    </cfRule>
  </conditionalFormatting>
  <conditionalFormatting sqref="AB227">
    <cfRule type="cellIs" dxfId="17456" priority="42" operator="equal">
      <formula>0</formula>
    </cfRule>
  </conditionalFormatting>
  <conditionalFormatting sqref="AC227">
    <cfRule type="cellIs" dxfId="17455" priority="41" operator="equal">
      <formula>0</formula>
    </cfRule>
  </conditionalFormatting>
  <conditionalFormatting sqref="AD227">
    <cfRule type="cellIs" dxfId="17454" priority="40" operator="equal">
      <formula>0</formula>
    </cfRule>
  </conditionalFormatting>
  <conditionalFormatting sqref="AE227">
    <cfRule type="cellIs" dxfId="17453" priority="39" operator="equal">
      <formula>0</formula>
    </cfRule>
  </conditionalFormatting>
  <conditionalFormatting sqref="AF227">
    <cfRule type="cellIs" dxfId="17452" priority="38" operator="equal">
      <formula>0</formula>
    </cfRule>
  </conditionalFormatting>
  <conditionalFormatting sqref="AG227">
    <cfRule type="cellIs" dxfId="17451" priority="37" operator="equal">
      <formula>0</formula>
    </cfRule>
  </conditionalFormatting>
  <conditionalFormatting sqref="J263">
    <cfRule type="cellIs" dxfId="17450" priority="36" operator="equal">
      <formula>0</formula>
    </cfRule>
  </conditionalFormatting>
  <conditionalFormatting sqref="K263">
    <cfRule type="cellIs" dxfId="17449" priority="35" operator="equal">
      <formula>0</formula>
    </cfRule>
  </conditionalFormatting>
  <conditionalFormatting sqref="L263">
    <cfRule type="cellIs" dxfId="17448" priority="34" operator="equal">
      <formula>0</formula>
    </cfRule>
  </conditionalFormatting>
  <conditionalFormatting sqref="M263">
    <cfRule type="cellIs" dxfId="17447" priority="33" operator="equal">
      <formula>0</formula>
    </cfRule>
  </conditionalFormatting>
  <conditionalFormatting sqref="N263">
    <cfRule type="cellIs" dxfId="17446" priority="32" operator="equal">
      <formula>0</formula>
    </cfRule>
  </conditionalFormatting>
  <conditionalFormatting sqref="O263">
    <cfRule type="cellIs" dxfId="17445" priority="31" operator="equal">
      <formula>0</formula>
    </cfRule>
  </conditionalFormatting>
  <conditionalFormatting sqref="AB263">
    <cfRule type="cellIs" dxfId="17444" priority="30" operator="equal">
      <formula>0</formula>
    </cfRule>
  </conditionalFormatting>
  <conditionalFormatting sqref="AC263">
    <cfRule type="cellIs" dxfId="17443" priority="29" operator="equal">
      <formula>0</formula>
    </cfRule>
  </conditionalFormatting>
  <conditionalFormatting sqref="AD263">
    <cfRule type="cellIs" dxfId="17442" priority="28" operator="equal">
      <formula>0</formula>
    </cfRule>
  </conditionalFormatting>
  <conditionalFormatting sqref="AE263">
    <cfRule type="cellIs" dxfId="17441" priority="27" operator="equal">
      <formula>0</formula>
    </cfRule>
  </conditionalFormatting>
  <conditionalFormatting sqref="AF263">
    <cfRule type="cellIs" dxfId="17440" priority="26" operator="equal">
      <formula>0</formula>
    </cfRule>
  </conditionalFormatting>
  <conditionalFormatting sqref="AG263">
    <cfRule type="cellIs" dxfId="17439" priority="25" operator="equal">
      <formula>0</formula>
    </cfRule>
  </conditionalFormatting>
  <conditionalFormatting sqref="J299">
    <cfRule type="cellIs" dxfId="17438" priority="24" operator="equal">
      <formula>0</formula>
    </cfRule>
  </conditionalFormatting>
  <conditionalFormatting sqref="K299">
    <cfRule type="cellIs" dxfId="17437" priority="23" operator="equal">
      <formula>0</formula>
    </cfRule>
  </conditionalFormatting>
  <conditionalFormatting sqref="L299">
    <cfRule type="cellIs" dxfId="17436" priority="22" operator="equal">
      <formula>0</formula>
    </cfRule>
  </conditionalFormatting>
  <conditionalFormatting sqref="M299">
    <cfRule type="cellIs" dxfId="17435" priority="21" operator="equal">
      <formula>0</formula>
    </cfRule>
  </conditionalFormatting>
  <conditionalFormatting sqref="N299">
    <cfRule type="cellIs" dxfId="17434" priority="20" operator="equal">
      <formula>0</formula>
    </cfRule>
  </conditionalFormatting>
  <conditionalFormatting sqref="O299">
    <cfRule type="cellIs" dxfId="17433" priority="19" operator="equal">
      <formula>0</formula>
    </cfRule>
  </conditionalFormatting>
  <conditionalFormatting sqref="AB299">
    <cfRule type="cellIs" dxfId="17432" priority="18" operator="equal">
      <formula>0</formula>
    </cfRule>
  </conditionalFormatting>
  <conditionalFormatting sqref="AC299">
    <cfRule type="cellIs" dxfId="17431" priority="17" operator="equal">
      <formula>0</formula>
    </cfRule>
  </conditionalFormatting>
  <conditionalFormatting sqref="AD299">
    <cfRule type="cellIs" dxfId="17430" priority="16" operator="equal">
      <formula>0</formula>
    </cfRule>
  </conditionalFormatting>
  <conditionalFormatting sqref="AE299">
    <cfRule type="cellIs" dxfId="17429" priority="15" operator="equal">
      <formula>0</formula>
    </cfRule>
  </conditionalFormatting>
  <conditionalFormatting sqref="AF299">
    <cfRule type="cellIs" dxfId="17428" priority="14" operator="equal">
      <formula>0</formula>
    </cfRule>
  </conditionalFormatting>
  <conditionalFormatting sqref="AG299">
    <cfRule type="cellIs" dxfId="17427" priority="13" operator="equal">
      <formula>0</formula>
    </cfRule>
  </conditionalFormatting>
  <conditionalFormatting sqref="J335">
    <cfRule type="cellIs" dxfId="17426" priority="12" operator="equal">
      <formula>0</formula>
    </cfRule>
  </conditionalFormatting>
  <conditionalFormatting sqref="K335">
    <cfRule type="cellIs" dxfId="17425" priority="11" operator="equal">
      <formula>0</formula>
    </cfRule>
  </conditionalFormatting>
  <conditionalFormatting sqref="L335">
    <cfRule type="cellIs" dxfId="17424" priority="10" operator="equal">
      <formula>0</formula>
    </cfRule>
  </conditionalFormatting>
  <conditionalFormatting sqref="M335">
    <cfRule type="cellIs" dxfId="17423" priority="9" operator="equal">
      <formula>0</formula>
    </cfRule>
  </conditionalFormatting>
  <conditionalFormatting sqref="N335">
    <cfRule type="cellIs" dxfId="17422" priority="8" operator="equal">
      <formula>0</formula>
    </cfRule>
  </conditionalFormatting>
  <conditionalFormatting sqref="O335">
    <cfRule type="cellIs" dxfId="17421" priority="7" operator="equal">
      <formula>0</formula>
    </cfRule>
  </conditionalFormatting>
  <conditionalFormatting sqref="AB335">
    <cfRule type="cellIs" dxfId="17420" priority="6" operator="equal">
      <formula>0</formula>
    </cfRule>
  </conditionalFormatting>
  <conditionalFormatting sqref="AC335">
    <cfRule type="cellIs" dxfId="17419" priority="5" operator="equal">
      <formula>0</formula>
    </cfRule>
  </conditionalFormatting>
  <conditionalFormatting sqref="AD335">
    <cfRule type="cellIs" dxfId="17418" priority="4" operator="equal">
      <formula>0</formula>
    </cfRule>
  </conditionalFormatting>
  <conditionalFormatting sqref="AE335">
    <cfRule type="cellIs" dxfId="17417" priority="3" operator="equal">
      <formula>0</formula>
    </cfRule>
  </conditionalFormatting>
  <conditionalFormatting sqref="AF335">
    <cfRule type="cellIs" dxfId="17416"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6373-DBDF-4281-A4B0-E357F09BA362}">
  <dimension ref="C2:AK332"/>
  <sheetViews>
    <sheetView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359</v>
      </c>
      <c r="D8" s="699"/>
      <c r="E8" s="699"/>
      <c r="F8" s="699"/>
      <c r="G8" s="699"/>
      <c r="H8" s="699"/>
      <c r="I8" s="699"/>
      <c r="J8" s="699"/>
      <c r="K8" s="699"/>
      <c r="L8" s="699"/>
      <c r="M8" s="699"/>
      <c r="N8" s="699"/>
      <c r="O8" s="699"/>
      <c r="P8" s="699"/>
      <c r="Q8" s="699"/>
      <c r="R8" s="699"/>
      <c r="S8" s="699"/>
      <c r="U8" s="699" t="s">
        <v>359</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9.7691999999999997</v>
      </c>
      <c r="F12" s="643">
        <v>0</v>
      </c>
      <c r="G12" s="642">
        <v>0.18608000000000002</v>
      </c>
      <c r="H12" s="643">
        <v>1190.909090909091</v>
      </c>
      <c r="I12" s="643">
        <v>172.65095069399246</v>
      </c>
      <c r="J12" s="643">
        <v>190.83629555260256</v>
      </c>
      <c r="K12" s="643">
        <v>22.859954043709436</v>
      </c>
      <c r="L12" s="643">
        <v>0.28638238403450345</v>
      </c>
      <c r="M12" s="643">
        <v>0.13461365170799597</v>
      </c>
      <c r="N12" s="643">
        <v>45.31680426782367</v>
      </c>
      <c r="O12" s="643">
        <v>7.2729377495964416</v>
      </c>
      <c r="P12" s="644">
        <v>0</v>
      </c>
      <c r="Q12" s="643">
        <v>0</v>
      </c>
      <c r="R12" s="643">
        <v>0</v>
      </c>
      <c r="S12" s="645">
        <v>1640.222309252558</v>
      </c>
      <c r="U12" s="641" t="s">
        <v>59</v>
      </c>
      <c r="V12" s="642">
        <v>0</v>
      </c>
      <c r="W12" s="643">
        <v>9.7691999999999997</v>
      </c>
      <c r="X12" s="643">
        <v>0</v>
      </c>
      <c r="Y12" s="642">
        <v>0.18608000000000002</v>
      </c>
      <c r="Z12" s="643">
        <v>1083.7741046831957</v>
      </c>
      <c r="AA12" s="643">
        <v>180.88004160308333</v>
      </c>
      <c r="AB12" s="643">
        <v>179.66191601295682</v>
      </c>
      <c r="AC12" s="643">
        <v>35.233025744634077</v>
      </c>
      <c r="AD12" s="643">
        <v>0.28638238403450345</v>
      </c>
      <c r="AE12" s="643">
        <v>0.13461365170799597</v>
      </c>
      <c r="AF12" s="643">
        <v>55.315214066923446</v>
      </c>
      <c r="AG12" s="643">
        <v>11.104217144375802</v>
      </c>
      <c r="AH12" s="644">
        <v>0</v>
      </c>
      <c r="AI12" s="643">
        <v>0</v>
      </c>
      <c r="AJ12" s="643">
        <v>0</v>
      </c>
      <c r="AK12" s="645">
        <v>1556.3447952909116</v>
      </c>
    </row>
    <row r="13" spans="3:37" ht="13.5">
      <c r="C13" s="641" t="s">
        <v>60</v>
      </c>
      <c r="D13" s="642">
        <v>50.272309821560647</v>
      </c>
      <c r="E13" s="643">
        <v>541.69545178681915</v>
      </c>
      <c r="F13" s="643">
        <v>188.86081515186203</v>
      </c>
      <c r="G13" s="642">
        <v>351.61513464214681</v>
      </c>
      <c r="H13" s="643">
        <v>0</v>
      </c>
      <c r="I13" s="643">
        <v>0</v>
      </c>
      <c r="J13" s="643">
        <v>2.7986686910966072</v>
      </c>
      <c r="K13" s="643">
        <v>0</v>
      </c>
      <c r="L13" s="643">
        <v>1.9601939880201746</v>
      </c>
      <c r="M13" s="643">
        <v>0</v>
      </c>
      <c r="N13" s="643">
        <v>0</v>
      </c>
      <c r="O13" s="643">
        <v>0</v>
      </c>
      <c r="P13" s="644">
        <v>0</v>
      </c>
      <c r="Q13" s="643">
        <v>0</v>
      </c>
      <c r="R13" s="643">
        <v>0</v>
      </c>
      <c r="S13" s="645">
        <v>1137.2025740815054</v>
      </c>
      <c r="U13" s="641" t="s">
        <v>60</v>
      </c>
      <c r="V13" s="642">
        <v>19.313313128242111</v>
      </c>
      <c r="W13" s="643">
        <v>439.73434116717101</v>
      </c>
      <c r="X13" s="643">
        <v>187.81160121991923</v>
      </c>
      <c r="Y13" s="642">
        <v>309.5644193276562</v>
      </c>
      <c r="Z13" s="643">
        <v>0</v>
      </c>
      <c r="AA13" s="643">
        <v>0</v>
      </c>
      <c r="AB13" s="643">
        <v>2.7986686910966072</v>
      </c>
      <c r="AC13" s="643">
        <v>0</v>
      </c>
      <c r="AD13" s="643">
        <v>1.9601939880201746</v>
      </c>
      <c r="AE13" s="643">
        <v>0</v>
      </c>
      <c r="AF13" s="643">
        <v>0</v>
      </c>
      <c r="AG13" s="643">
        <v>0</v>
      </c>
      <c r="AH13" s="644">
        <v>0</v>
      </c>
      <c r="AI13" s="643">
        <v>0</v>
      </c>
      <c r="AJ13" s="643">
        <v>0</v>
      </c>
      <c r="AK13" s="645">
        <v>961.18253752210535</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-71.534753758802367</v>
      </c>
      <c r="Q14" s="643">
        <v>0</v>
      </c>
      <c r="R14" s="643">
        <v>0</v>
      </c>
      <c r="S14" s="645">
        <v>-71.534753758802367</v>
      </c>
      <c r="U14" s="641" t="s">
        <v>61</v>
      </c>
      <c r="V14" s="642">
        <v>0</v>
      </c>
      <c r="W14" s="643">
        <v>0</v>
      </c>
      <c r="X14" s="643">
        <v>0</v>
      </c>
      <c r="Y14" s="642">
        <v>0</v>
      </c>
      <c r="Z14" s="643">
        <v>0</v>
      </c>
      <c r="AA14" s="643">
        <v>0</v>
      </c>
      <c r="AB14" s="643">
        <v>0</v>
      </c>
      <c r="AC14" s="643">
        <v>0</v>
      </c>
      <c r="AD14" s="643">
        <v>0</v>
      </c>
      <c r="AE14" s="643">
        <v>0</v>
      </c>
      <c r="AF14" s="643">
        <v>0</v>
      </c>
      <c r="AG14" s="643">
        <v>0</v>
      </c>
      <c r="AH14" s="644">
        <v>-59.869044369838548</v>
      </c>
      <c r="AI14" s="643">
        <v>0</v>
      </c>
      <c r="AJ14" s="643">
        <v>0</v>
      </c>
      <c r="AK14" s="645">
        <v>-59.869044369838548</v>
      </c>
    </row>
    <row r="15" spans="3:37" ht="13.5">
      <c r="C15" s="641" t="s">
        <v>62</v>
      </c>
      <c r="D15" s="642">
        <v>0</v>
      </c>
      <c r="E15" s="643">
        <v>0</v>
      </c>
      <c r="F15" s="643">
        <v>-17.07041205275393</v>
      </c>
      <c r="G15" s="642">
        <v>0</v>
      </c>
      <c r="H15" s="643">
        <v>0</v>
      </c>
      <c r="I15" s="643">
        <v>0</v>
      </c>
      <c r="J15" s="643">
        <v>0</v>
      </c>
      <c r="K15" s="643">
        <v>0</v>
      </c>
      <c r="L15" s="643">
        <v>0</v>
      </c>
      <c r="M15" s="643">
        <v>0</v>
      </c>
      <c r="N15" s="643">
        <v>0</v>
      </c>
      <c r="O15" s="643">
        <v>0</v>
      </c>
      <c r="P15" s="644">
        <v>0</v>
      </c>
      <c r="Q15" s="643">
        <v>0</v>
      </c>
      <c r="R15" s="643">
        <v>0</v>
      </c>
      <c r="S15" s="645">
        <v>-17.07041205275393</v>
      </c>
      <c r="U15" s="641" t="s">
        <v>62</v>
      </c>
      <c r="V15" s="642">
        <v>0</v>
      </c>
      <c r="W15" s="643">
        <v>0</v>
      </c>
      <c r="X15" s="643">
        <v>-16.843089298461354</v>
      </c>
      <c r="Y15" s="642">
        <v>-3.370970564953437E-2</v>
      </c>
      <c r="Z15" s="643">
        <v>0</v>
      </c>
      <c r="AA15" s="643">
        <v>0</v>
      </c>
      <c r="AB15" s="643">
        <v>0</v>
      </c>
      <c r="AC15" s="643">
        <v>0</v>
      </c>
      <c r="AD15" s="643">
        <v>0</v>
      </c>
      <c r="AE15" s="643">
        <v>-3.7455228499482631E-3</v>
      </c>
      <c r="AF15" s="643">
        <v>0</v>
      </c>
      <c r="AG15" s="643">
        <v>0</v>
      </c>
      <c r="AH15" s="644">
        <v>0</v>
      </c>
      <c r="AI15" s="643">
        <v>0</v>
      </c>
      <c r="AJ15" s="643">
        <v>0</v>
      </c>
      <c r="AK15" s="645">
        <v>-16.880544526960836</v>
      </c>
    </row>
    <row r="16" spans="3:37" ht="13.5">
      <c r="C16" s="641" t="s">
        <v>63</v>
      </c>
      <c r="D16" s="642">
        <v>0</v>
      </c>
      <c r="E16" s="643">
        <v>0</v>
      </c>
      <c r="F16" s="643">
        <v>-79.881990921256516</v>
      </c>
      <c r="G16" s="642">
        <v>0</v>
      </c>
      <c r="H16" s="643">
        <v>0</v>
      </c>
      <c r="I16" s="643">
        <v>0</v>
      </c>
      <c r="J16" s="643">
        <v>0</v>
      </c>
      <c r="K16" s="643">
        <v>0</v>
      </c>
      <c r="L16" s="643">
        <v>-0.82615205603276265</v>
      </c>
      <c r="M16" s="643">
        <v>0</v>
      </c>
      <c r="N16" s="643">
        <v>0</v>
      </c>
      <c r="O16" s="643">
        <v>0</v>
      </c>
      <c r="P16" s="644">
        <v>0</v>
      </c>
      <c r="Q16" s="643">
        <v>0</v>
      </c>
      <c r="R16" s="643">
        <v>0</v>
      </c>
      <c r="S16" s="645">
        <v>-80.708142977289285</v>
      </c>
      <c r="U16" s="641" t="s">
        <v>63</v>
      </c>
      <c r="V16" s="642">
        <v>0</v>
      </c>
      <c r="W16" s="643">
        <v>0</v>
      </c>
      <c r="X16" s="643">
        <v>-78.255878538705957</v>
      </c>
      <c r="Y16" s="642">
        <v>0</v>
      </c>
      <c r="Z16" s="643">
        <v>0</v>
      </c>
      <c r="AA16" s="643">
        <v>0</v>
      </c>
      <c r="AB16" s="643">
        <v>0</v>
      </c>
      <c r="AC16" s="643">
        <v>0</v>
      </c>
      <c r="AD16" s="643">
        <v>-2.9528968014026442</v>
      </c>
      <c r="AE16" s="643">
        <v>0</v>
      </c>
      <c r="AF16" s="643">
        <v>0</v>
      </c>
      <c r="AG16" s="643">
        <v>0</v>
      </c>
      <c r="AH16" s="644">
        <v>0</v>
      </c>
      <c r="AI16" s="643">
        <v>0</v>
      </c>
      <c r="AJ16" s="643">
        <v>0</v>
      </c>
      <c r="AK16" s="645">
        <v>-81.208775340108602</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50.272309821560647</v>
      </c>
      <c r="E18" s="647">
        <v>551.4646517868191</v>
      </c>
      <c r="F18" s="647">
        <v>91.908412177851574</v>
      </c>
      <c r="G18" s="647">
        <v>351.80121464214682</v>
      </c>
      <c r="H18" s="647">
        <v>1190.909090909091</v>
      </c>
      <c r="I18" s="647">
        <v>172.65095069399246</v>
      </c>
      <c r="J18" s="647">
        <v>193.63496424369919</v>
      </c>
      <c r="K18" s="647">
        <v>22.859954043709436</v>
      </c>
      <c r="L18" s="647">
        <v>1.4204243160219152</v>
      </c>
      <c r="M18" s="647">
        <v>0.13461365170799597</v>
      </c>
      <c r="N18" s="647">
        <v>45.31680426782367</v>
      </c>
      <c r="O18" s="647">
        <v>7.2729377495964416</v>
      </c>
      <c r="P18" s="647">
        <v>-71.534753758802367</v>
      </c>
      <c r="Q18" s="647">
        <v>0</v>
      </c>
      <c r="R18" s="647">
        <v>0</v>
      </c>
      <c r="S18" s="647">
        <v>2608.111574545218</v>
      </c>
      <c r="U18" s="646" t="s">
        <v>65</v>
      </c>
      <c r="V18" s="647">
        <v>19.313313128242111</v>
      </c>
      <c r="W18" s="647">
        <v>449.50354116717102</v>
      </c>
      <c r="X18" s="647">
        <v>92.712633382751903</v>
      </c>
      <c r="Y18" s="647">
        <v>309.71678962200667</v>
      </c>
      <c r="Z18" s="647">
        <v>1083.7741046831957</v>
      </c>
      <c r="AA18" s="647">
        <v>180.88004160308333</v>
      </c>
      <c r="AB18" s="647">
        <v>182.46058470405345</v>
      </c>
      <c r="AC18" s="647">
        <v>35.233025744634077</v>
      </c>
      <c r="AD18" s="647">
        <v>-0.70632042934796635</v>
      </c>
      <c r="AE18" s="647">
        <v>0.13086812885804772</v>
      </c>
      <c r="AF18" s="647">
        <v>55.315214066923446</v>
      </c>
      <c r="AG18" s="647">
        <v>11.104217144375802</v>
      </c>
      <c r="AH18" s="647">
        <v>-59.869044369838548</v>
      </c>
      <c r="AI18" s="647">
        <v>0</v>
      </c>
      <c r="AJ18" s="647">
        <v>0</v>
      </c>
      <c r="AK18" s="647">
        <v>2359.5689685761085</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2.8283781870338589</v>
      </c>
      <c r="E21" s="642">
        <v>0</v>
      </c>
      <c r="F21" s="642">
        <v>7.6468438736280877</v>
      </c>
      <c r="G21" s="642">
        <v>18.081180811808117</v>
      </c>
      <c r="H21" s="642">
        <v>1190.909090909091</v>
      </c>
      <c r="I21" s="642">
        <v>172.65095069399246</v>
      </c>
      <c r="J21" s="651">
        <v>32.565743560582284</v>
      </c>
      <c r="K21" s="651">
        <v>8.5008344637363535</v>
      </c>
      <c r="L21" s="651">
        <v>2.2465763720546779</v>
      </c>
      <c r="M21" s="651">
        <v>0.47195886872926307</v>
      </c>
      <c r="N21" s="651">
        <v>0</v>
      </c>
      <c r="O21" s="651">
        <v>2.2844574579320316</v>
      </c>
      <c r="P21" s="642">
        <v>-595.37716565950768</v>
      </c>
      <c r="Q21" s="642">
        <v>0</v>
      </c>
      <c r="R21" s="642">
        <v>0</v>
      </c>
      <c r="S21" s="650">
        <v>842.80884953908037</v>
      </c>
      <c r="U21" s="648" t="s">
        <v>350</v>
      </c>
      <c r="V21" s="642">
        <v>1.5423887961183378</v>
      </c>
      <c r="W21" s="642">
        <v>0</v>
      </c>
      <c r="X21" s="642">
        <v>4.7336207331322191</v>
      </c>
      <c r="Y21" s="642">
        <v>50.521301576652128</v>
      </c>
      <c r="Z21" s="642">
        <v>1083.7741046831957</v>
      </c>
      <c r="AA21" s="642">
        <v>180.88004160308333</v>
      </c>
      <c r="AB21" s="651">
        <v>27.309071851402241</v>
      </c>
      <c r="AC21" s="651">
        <v>8.3886793509275197</v>
      </c>
      <c r="AD21" s="651">
        <v>2.2465763720546779</v>
      </c>
      <c r="AE21" s="651">
        <v>4.4961118375316795</v>
      </c>
      <c r="AF21" s="651">
        <v>0</v>
      </c>
      <c r="AG21" s="651">
        <v>2.2844574579320316</v>
      </c>
      <c r="AH21" s="642">
        <v>-585.94262020496217</v>
      </c>
      <c r="AI21" s="642">
        <v>0</v>
      </c>
      <c r="AJ21" s="642">
        <v>0</v>
      </c>
      <c r="AK21" s="650">
        <v>780.23373405706764</v>
      </c>
    </row>
    <row r="22" spans="3:37" ht="13.5">
      <c r="C22" s="648" t="s">
        <v>351</v>
      </c>
      <c r="D22" s="642">
        <v>4.9396474947490832E-2</v>
      </c>
      <c r="E22" s="642">
        <v>0</v>
      </c>
      <c r="F22" s="642">
        <v>0</v>
      </c>
      <c r="G22" s="642">
        <v>16.012530383781044</v>
      </c>
      <c r="H22" s="642">
        <v>0</v>
      </c>
      <c r="I22" s="642">
        <v>0</v>
      </c>
      <c r="J22" s="651">
        <v>13.847709445189022</v>
      </c>
      <c r="K22" s="651">
        <v>12.568399079785937</v>
      </c>
      <c r="L22" s="651">
        <v>0</v>
      </c>
      <c r="M22" s="651">
        <v>0.33966953640978992</v>
      </c>
      <c r="N22" s="651">
        <v>0</v>
      </c>
      <c r="O22" s="651">
        <v>2.2653429264336893</v>
      </c>
      <c r="P22" s="642">
        <v>0</v>
      </c>
      <c r="Q22" s="642">
        <v>-40.328896494092007</v>
      </c>
      <c r="R22" s="642">
        <v>0</v>
      </c>
      <c r="S22" s="650">
        <v>4.7541513524549677</v>
      </c>
      <c r="U22" s="648" t="s">
        <v>351</v>
      </c>
      <c r="V22" s="642">
        <v>9.8298985145506765E-2</v>
      </c>
      <c r="W22" s="642">
        <v>0</v>
      </c>
      <c r="X22" s="642">
        <v>0</v>
      </c>
      <c r="Y22" s="642">
        <v>18.159328264867909</v>
      </c>
      <c r="Z22" s="642">
        <v>0</v>
      </c>
      <c r="AA22" s="642">
        <v>0</v>
      </c>
      <c r="AB22" s="651">
        <v>24.238794590159831</v>
      </c>
      <c r="AC22" s="651">
        <v>21.035165918687227</v>
      </c>
      <c r="AD22" s="651">
        <v>0</v>
      </c>
      <c r="AE22" s="651">
        <v>1.5919552250789037</v>
      </c>
      <c r="AF22" s="651">
        <v>0</v>
      </c>
      <c r="AG22" s="651">
        <v>4.9326813925495161</v>
      </c>
      <c r="AH22" s="642">
        <v>0</v>
      </c>
      <c r="AI22" s="642">
        <v>-63.058158381408973</v>
      </c>
      <c r="AJ22" s="642">
        <v>0</v>
      </c>
      <c r="AK22" s="650">
        <v>6.9980659950799184</v>
      </c>
    </row>
    <row r="23" spans="3:37" ht="13.5">
      <c r="C23" s="648" t="s">
        <v>352</v>
      </c>
      <c r="D23" s="642">
        <v>0</v>
      </c>
      <c r="E23" s="642">
        <v>0</v>
      </c>
      <c r="F23" s="642">
        <v>0</v>
      </c>
      <c r="G23" s="642">
        <v>0</v>
      </c>
      <c r="H23" s="642">
        <v>0</v>
      </c>
      <c r="I23" s="642">
        <v>0</v>
      </c>
      <c r="J23" s="652">
        <v>7.7702715936307092</v>
      </c>
      <c r="K23" s="652">
        <v>0</v>
      </c>
      <c r="L23" s="652">
        <v>0</v>
      </c>
      <c r="M23" s="652">
        <v>-6.9252545578233695</v>
      </c>
      <c r="N23" s="652">
        <v>0</v>
      </c>
      <c r="O23" s="652">
        <v>0</v>
      </c>
      <c r="P23" s="642">
        <v>0</v>
      </c>
      <c r="Q23" s="642">
        <v>0</v>
      </c>
      <c r="R23" s="642">
        <v>0</v>
      </c>
      <c r="S23" s="650">
        <v>0.84501703580733967</v>
      </c>
      <c r="U23" s="648" t="s">
        <v>352</v>
      </c>
      <c r="V23" s="642">
        <v>0</v>
      </c>
      <c r="W23" s="642">
        <v>0</v>
      </c>
      <c r="X23" s="642">
        <v>0</v>
      </c>
      <c r="Y23" s="642">
        <v>0</v>
      </c>
      <c r="Z23" s="642">
        <v>0</v>
      </c>
      <c r="AA23" s="642">
        <v>0</v>
      </c>
      <c r="AB23" s="652">
        <v>30.043092797136723</v>
      </c>
      <c r="AC23" s="652">
        <v>0</v>
      </c>
      <c r="AD23" s="652">
        <v>0</v>
      </c>
      <c r="AE23" s="652">
        <v>-26.775906455448105</v>
      </c>
      <c r="AF23" s="652">
        <v>0</v>
      </c>
      <c r="AG23" s="652">
        <v>0</v>
      </c>
      <c r="AH23" s="642">
        <v>0</v>
      </c>
      <c r="AI23" s="642">
        <v>0</v>
      </c>
      <c r="AJ23" s="642">
        <v>0</v>
      </c>
      <c r="AK23" s="650">
        <v>3.2671863416886175</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571.25876810153738</v>
      </c>
      <c r="F25" s="642">
        <v>-565.54618042052198</v>
      </c>
      <c r="G25" s="642">
        <v>0</v>
      </c>
      <c r="H25" s="642">
        <v>0</v>
      </c>
      <c r="I25" s="642">
        <v>0</v>
      </c>
      <c r="J25" s="642">
        <v>0</v>
      </c>
      <c r="K25" s="642">
        <v>0</v>
      </c>
      <c r="L25" s="642">
        <v>0</v>
      </c>
      <c r="M25" s="642">
        <v>0</v>
      </c>
      <c r="N25" s="642">
        <v>0</v>
      </c>
      <c r="O25" s="642">
        <v>0</v>
      </c>
      <c r="P25" s="642">
        <v>0</v>
      </c>
      <c r="Q25" s="642">
        <v>0</v>
      </c>
      <c r="R25" s="642">
        <v>0</v>
      </c>
      <c r="S25" s="650">
        <v>5.7125876810154068</v>
      </c>
      <c r="U25" s="648" t="s">
        <v>72</v>
      </c>
      <c r="V25" s="642">
        <v>0</v>
      </c>
      <c r="W25" s="642">
        <v>465.63789420124414</v>
      </c>
      <c r="X25" s="642">
        <v>-460.98151525923168</v>
      </c>
      <c r="Y25" s="642">
        <v>0</v>
      </c>
      <c r="Z25" s="642">
        <v>0</v>
      </c>
      <c r="AA25" s="642">
        <v>0</v>
      </c>
      <c r="AB25" s="642">
        <v>0</v>
      </c>
      <c r="AC25" s="642">
        <v>0</v>
      </c>
      <c r="AD25" s="642">
        <v>0</v>
      </c>
      <c r="AE25" s="642">
        <v>0</v>
      </c>
      <c r="AF25" s="642">
        <v>0</v>
      </c>
      <c r="AG25" s="642">
        <v>0</v>
      </c>
      <c r="AH25" s="642">
        <v>0</v>
      </c>
      <c r="AI25" s="642">
        <v>0</v>
      </c>
      <c r="AJ25" s="642">
        <v>0</v>
      </c>
      <c r="AK25" s="650">
        <v>4.6563789420124522</v>
      </c>
    </row>
    <row r="26" spans="3:37" ht="13.5">
      <c r="C26" s="648" t="s">
        <v>354</v>
      </c>
      <c r="D26" s="642">
        <v>0</v>
      </c>
      <c r="E26" s="642">
        <v>0</v>
      </c>
      <c r="F26" s="642">
        <v>0</v>
      </c>
      <c r="G26" s="642">
        <v>0</v>
      </c>
      <c r="H26" s="642">
        <v>0</v>
      </c>
      <c r="I26" s="642">
        <v>0</v>
      </c>
      <c r="J26" s="642">
        <v>39.987714904046477</v>
      </c>
      <c r="K26" s="642">
        <v>0</v>
      </c>
      <c r="L26" s="642">
        <v>-39.987714904046477</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-45.567606807542596</v>
      </c>
      <c r="AE26" s="642">
        <v>0</v>
      </c>
      <c r="AF26" s="642">
        <v>0</v>
      </c>
      <c r="AG26" s="642">
        <v>0</v>
      </c>
      <c r="AH26" s="642">
        <v>0</v>
      </c>
      <c r="AI26" s="642">
        <v>0</v>
      </c>
      <c r="AJ26" s="642">
        <v>0</v>
      </c>
      <c r="AK26" s="650">
        <v>-45.567606807542596</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-3.4570377590144092</v>
      </c>
      <c r="AE27" s="642">
        <v>0</v>
      </c>
      <c r="AF27" s="642">
        <v>0</v>
      </c>
      <c r="AG27" s="642">
        <v>0</v>
      </c>
      <c r="AH27" s="642">
        <v>0</v>
      </c>
      <c r="AI27" s="642">
        <v>0</v>
      </c>
      <c r="AJ27" s="642">
        <v>0</v>
      </c>
      <c r="AK27" s="650">
        <v>-3.4570377590144092</v>
      </c>
    </row>
    <row r="28" spans="3:37" ht="13.5">
      <c r="C28" s="648" t="s">
        <v>73</v>
      </c>
      <c r="D28" s="642">
        <v>0</v>
      </c>
      <c r="E28" s="642">
        <v>0</v>
      </c>
      <c r="F28" s="642">
        <v>0</v>
      </c>
      <c r="G28" s="642">
        <v>0.75220280486673308</v>
      </c>
      <c r="H28" s="642">
        <v>0</v>
      </c>
      <c r="I28" s="642">
        <v>0</v>
      </c>
      <c r="J28" s="642">
        <v>0</v>
      </c>
      <c r="K28" s="642">
        <v>8.3794091977846576E-3</v>
      </c>
      <c r="L28" s="642">
        <v>0</v>
      </c>
      <c r="M28" s="642">
        <v>1.5351077650341492E-2</v>
      </c>
      <c r="N28" s="642">
        <v>0</v>
      </c>
      <c r="O28" s="642">
        <v>0</v>
      </c>
      <c r="P28" s="642">
        <v>6.6777445606960792E-2</v>
      </c>
      <c r="Q28" s="642">
        <v>0</v>
      </c>
      <c r="R28" s="642">
        <v>-0.58655864384492595</v>
      </c>
      <c r="S28" s="650">
        <v>0.25615209347689405</v>
      </c>
      <c r="U28" s="648" t="s">
        <v>73</v>
      </c>
      <c r="V28" s="642">
        <v>0</v>
      </c>
      <c r="W28" s="642">
        <v>0</v>
      </c>
      <c r="X28" s="642">
        <v>0</v>
      </c>
      <c r="Y28" s="642">
        <v>3.5795956147675603</v>
      </c>
      <c r="Z28" s="642">
        <v>0</v>
      </c>
      <c r="AA28" s="642">
        <v>0</v>
      </c>
      <c r="AB28" s="642">
        <v>0</v>
      </c>
      <c r="AC28" s="642">
        <v>7.7817295973207842E-2</v>
      </c>
      <c r="AD28" s="642">
        <v>0</v>
      </c>
      <c r="AE28" s="642">
        <v>0.31126918389283142</v>
      </c>
      <c r="AF28" s="642">
        <v>0</v>
      </c>
      <c r="AG28" s="642">
        <v>0</v>
      </c>
      <c r="AH28" s="642">
        <v>4.1063588490477363</v>
      </c>
      <c r="AI28" s="642">
        <v>0</v>
      </c>
      <c r="AJ28" s="642">
        <v>-5.4472107181245484</v>
      </c>
      <c r="AK28" s="650">
        <v>2.6278302255567869</v>
      </c>
    </row>
    <row r="29" spans="3:37" ht="13.5">
      <c r="C29" s="648" t="s">
        <v>356</v>
      </c>
      <c r="D29" s="642">
        <v>29.279348437500001</v>
      </c>
      <c r="E29" s="642">
        <v>-19.79411631471827</v>
      </c>
      <c r="F29" s="642">
        <v>25.889534996151326</v>
      </c>
      <c r="G29" s="642">
        <v>0</v>
      </c>
      <c r="H29" s="642">
        <v>0</v>
      </c>
      <c r="I29" s="642">
        <v>0</v>
      </c>
      <c r="J29" s="642">
        <v>0</v>
      </c>
      <c r="K29" s="642">
        <v>0</v>
      </c>
      <c r="L29" s="642">
        <v>0</v>
      </c>
      <c r="M29" s="642">
        <v>0</v>
      </c>
      <c r="N29" s="642">
        <v>0</v>
      </c>
      <c r="O29" s="642">
        <v>0</v>
      </c>
      <c r="P29" s="642">
        <v>0</v>
      </c>
      <c r="Q29" s="642">
        <v>0</v>
      </c>
      <c r="R29" s="642">
        <v>0</v>
      </c>
      <c r="S29" s="650">
        <v>35.374767118933057</v>
      </c>
      <c r="U29" s="648" t="s">
        <v>356</v>
      </c>
      <c r="V29" s="642">
        <v>8.1420534667968738</v>
      </c>
      <c r="W29" s="642">
        <v>-16.134353034073111</v>
      </c>
      <c r="X29" s="642">
        <v>21.102780789728897</v>
      </c>
      <c r="Y29" s="642">
        <v>0</v>
      </c>
      <c r="Z29" s="642">
        <v>0</v>
      </c>
      <c r="AA29" s="642">
        <v>0</v>
      </c>
      <c r="AB29" s="642">
        <v>0</v>
      </c>
      <c r="AC29" s="642">
        <v>0</v>
      </c>
      <c r="AD29" s="642">
        <v>0</v>
      </c>
      <c r="AE29" s="642">
        <v>0</v>
      </c>
      <c r="AF29" s="642">
        <v>0</v>
      </c>
      <c r="AG29" s="642">
        <v>0</v>
      </c>
      <c r="AH29" s="642">
        <v>0</v>
      </c>
      <c r="AI29" s="642">
        <v>0</v>
      </c>
      <c r="AJ29" s="642">
        <v>0</v>
      </c>
      <c r="AK29" s="650">
        <v>13.110481222452659</v>
      </c>
    </row>
    <row r="30" spans="3:37" ht="13.5">
      <c r="C30" s="648" t="s">
        <v>75</v>
      </c>
      <c r="D30" s="642">
        <v>11.386413281250002</v>
      </c>
      <c r="E30" s="642">
        <v>0</v>
      </c>
      <c r="F30" s="642">
        <v>19.422798115452274</v>
      </c>
      <c r="G30" s="642">
        <v>5.5423525681211148</v>
      </c>
      <c r="H30" s="642">
        <v>0</v>
      </c>
      <c r="I30" s="642">
        <v>0</v>
      </c>
      <c r="J30" s="642">
        <v>0</v>
      </c>
      <c r="K30" s="642">
        <v>0</v>
      </c>
      <c r="L30" s="642">
        <v>0</v>
      </c>
      <c r="M30" s="642">
        <v>0.11310923608410439</v>
      </c>
      <c r="N30" s="642">
        <v>0</v>
      </c>
      <c r="O30" s="642">
        <v>0</v>
      </c>
      <c r="P30" s="642">
        <v>36.293113930785914</v>
      </c>
      <c r="Q30" s="642">
        <v>0</v>
      </c>
      <c r="R30" s="642">
        <v>0</v>
      </c>
      <c r="S30" s="650">
        <v>72.757787131693405</v>
      </c>
      <c r="U30" s="648" t="s">
        <v>75</v>
      </c>
      <c r="V30" s="642">
        <v>7.5011909179687501</v>
      </c>
      <c r="W30" s="642">
        <v>0</v>
      </c>
      <c r="X30" s="642">
        <v>19.422798115452274</v>
      </c>
      <c r="Y30" s="642">
        <v>5.203024859868802</v>
      </c>
      <c r="Z30" s="642">
        <v>0</v>
      </c>
      <c r="AA30" s="642">
        <v>0</v>
      </c>
      <c r="AB30" s="642">
        <v>0</v>
      </c>
      <c r="AC30" s="642">
        <v>0</v>
      </c>
      <c r="AD30" s="642">
        <v>0</v>
      </c>
      <c r="AE30" s="642">
        <v>0.45243694433641768</v>
      </c>
      <c r="AF30" s="642">
        <v>0</v>
      </c>
      <c r="AG30" s="642">
        <v>0</v>
      </c>
      <c r="AH30" s="642">
        <v>32.151874261364433</v>
      </c>
      <c r="AI30" s="642">
        <v>0</v>
      </c>
      <c r="AJ30" s="642">
        <v>0</v>
      </c>
      <c r="AK30" s="650">
        <v>64.731325098990681</v>
      </c>
    </row>
    <row r="31" spans="3:37" ht="13.5">
      <c r="C31" s="648" t="s">
        <v>76</v>
      </c>
      <c r="D31" s="642">
        <v>0</v>
      </c>
      <c r="E31" s="642">
        <v>0</v>
      </c>
      <c r="F31" s="642">
        <v>0</v>
      </c>
      <c r="G31" s="642">
        <v>4.0237645059289928</v>
      </c>
      <c r="H31" s="642">
        <v>0</v>
      </c>
      <c r="I31" s="642">
        <v>0</v>
      </c>
      <c r="J31" s="642">
        <v>0</v>
      </c>
      <c r="K31" s="642">
        <v>0</v>
      </c>
      <c r="L31" s="642">
        <v>0</v>
      </c>
      <c r="M31" s="642">
        <v>8.211764297814271E-2</v>
      </c>
      <c r="N31" s="642">
        <v>0</v>
      </c>
      <c r="O31" s="642">
        <v>0</v>
      </c>
      <c r="P31" s="642">
        <v>40.115929077638647</v>
      </c>
      <c r="Q31" s="642">
        <v>3.1293610589936001</v>
      </c>
      <c r="R31" s="642">
        <v>0</v>
      </c>
      <c r="S31" s="650">
        <v>47.351172285539384</v>
      </c>
      <c r="U31" s="648" t="s">
        <v>76</v>
      </c>
      <c r="V31" s="642">
        <v>0</v>
      </c>
      <c r="W31" s="642">
        <v>0</v>
      </c>
      <c r="X31" s="642">
        <v>0</v>
      </c>
      <c r="Y31" s="642">
        <v>3.6512599711974678</v>
      </c>
      <c r="Z31" s="642">
        <v>0</v>
      </c>
      <c r="AA31" s="642">
        <v>0</v>
      </c>
      <c r="AB31" s="642">
        <v>0</v>
      </c>
      <c r="AC31" s="642">
        <v>0</v>
      </c>
      <c r="AD31" s="642">
        <v>0</v>
      </c>
      <c r="AE31" s="642">
        <v>0.31750086706064945</v>
      </c>
      <c r="AF31" s="642">
        <v>0</v>
      </c>
      <c r="AG31" s="642">
        <v>0</v>
      </c>
      <c r="AH31" s="642">
        <v>40.286923174182249</v>
      </c>
      <c r="AI31" s="642">
        <v>4.8906691757229597</v>
      </c>
      <c r="AJ31" s="642">
        <v>0</v>
      </c>
      <c r="AK31" s="650">
        <v>49.146353188163332</v>
      </c>
    </row>
    <row r="32" spans="3:37" ht="13.5">
      <c r="C32" s="646" t="s">
        <v>77</v>
      </c>
      <c r="D32" s="647">
        <v>43.543536380731354</v>
      </c>
      <c r="E32" s="647">
        <v>551.4646517868191</v>
      </c>
      <c r="F32" s="647">
        <v>-512.58700343529028</v>
      </c>
      <c r="G32" s="647">
        <v>44.412031074506011</v>
      </c>
      <c r="H32" s="647">
        <v>1190.909090909091</v>
      </c>
      <c r="I32" s="647">
        <v>172.65095069399246</v>
      </c>
      <c r="J32" s="647">
        <v>94.171439503448497</v>
      </c>
      <c r="K32" s="647">
        <v>21.077612952720074</v>
      </c>
      <c r="L32" s="647">
        <v>-37.741138531991801</v>
      </c>
      <c r="M32" s="647">
        <v>-5.9030481959717278</v>
      </c>
      <c r="N32" s="647">
        <v>0</v>
      </c>
      <c r="O32" s="647">
        <v>4.5498003843657209</v>
      </c>
      <c r="P32" s="647">
        <v>-518.9013452054761</v>
      </c>
      <c r="Q32" s="647">
        <v>-37.199535435098404</v>
      </c>
      <c r="R32" s="647">
        <v>-0.58655864384492595</v>
      </c>
      <c r="S32" s="647">
        <v>1009.8604842380009</v>
      </c>
      <c r="U32" s="646" t="s">
        <v>77</v>
      </c>
      <c r="V32" s="647">
        <v>17.283932166029469</v>
      </c>
      <c r="W32" s="647">
        <v>449.50354116717102</v>
      </c>
      <c r="X32" s="647">
        <v>-415.72231562091827</v>
      </c>
      <c r="Y32" s="647">
        <v>81.114510287353866</v>
      </c>
      <c r="Z32" s="647">
        <v>1083.7741046831957</v>
      </c>
      <c r="AA32" s="647">
        <v>180.88004160308333</v>
      </c>
      <c r="AB32" s="647">
        <v>81.590959238698787</v>
      </c>
      <c r="AC32" s="647">
        <v>29.501662565587953</v>
      </c>
      <c r="AD32" s="647">
        <v>-46.778068194502332</v>
      </c>
      <c r="AE32" s="647">
        <v>-19.606632397547621</v>
      </c>
      <c r="AF32" s="647">
        <v>0</v>
      </c>
      <c r="AG32" s="647">
        <v>7.2171388504815477</v>
      </c>
      <c r="AH32" s="647">
        <v>-509.39746392036778</v>
      </c>
      <c r="AI32" s="647">
        <v>-58.16748920568601</v>
      </c>
      <c r="AJ32" s="647">
        <v>-5.4472107181245484</v>
      </c>
      <c r="AK32" s="647">
        <v>875.74671050445522</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6.728773440829297</v>
      </c>
      <c r="E34" s="642">
        <v>0</v>
      </c>
      <c r="F34" s="642">
        <v>25.863549799477383</v>
      </c>
      <c r="G34" s="642">
        <v>106.8903340661312</v>
      </c>
      <c r="H34" s="642">
        <v>0</v>
      </c>
      <c r="I34" s="642">
        <v>0</v>
      </c>
      <c r="J34" s="642">
        <v>18.169859613838756</v>
      </c>
      <c r="K34" s="642">
        <v>1.7567698743130979</v>
      </c>
      <c r="L34" s="642">
        <v>0.84376959960937503</v>
      </c>
      <c r="M34" s="642">
        <v>2.2002106600734406</v>
      </c>
      <c r="N34" s="642">
        <v>0</v>
      </c>
      <c r="O34" s="642">
        <v>3.8276465550578692E-4</v>
      </c>
      <c r="P34" s="642">
        <v>109.87696924977793</v>
      </c>
      <c r="Q34" s="642">
        <v>16.590503969858354</v>
      </c>
      <c r="R34" s="642">
        <v>0.37438674926757814</v>
      </c>
      <c r="S34" s="650">
        <v>289.29550978783192</v>
      </c>
      <c r="U34" s="648" t="s">
        <v>78</v>
      </c>
      <c r="V34" s="642">
        <v>2.0293809622126395</v>
      </c>
      <c r="W34" s="642">
        <v>0</v>
      </c>
      <c r="X34" s="642">
        <v>19.296192618187902</v>
      </c>
      <c r="Y34" s="642">
        <v>85.841195035715842</v>
      </c>
      <c r="Z34" s="642">
        <v>0</v>
      </c>
      <c r="AA34" s="642">
        <v>0</v>
      </c>
      <c r="AB34" s="642">
        <v>17.65205880284368</v>
      </c>
      <c r="AC34" s="642">
        <v>5.7057919623698545</v>
      </c>
      <c r="AD34" s="642">
        <v>1.0576742773437502</v>
      </c>
      <c r="AE34" s="642">
        <v>7.4832270132048837</v>
      </c>
      <c r="AF34" s="642">
        <v>0</v>
      </c>
      <c r="AG34" s="642">
        <v>3.8276465550578692E-4</v>
      </c>
      <c r="AH34" s="642">
        <v>128.8590842242281</v>
      </c>
      <c r="AI34" s="642">
        <v>20.165819518520905</v>
      </c>
      <c r="AJ34" s="642">
        <v>3.3051525878906252</v>
      </c>
      <c r="AK34" s="650">
        <v>291.39595976717368</v>
      </c>
    </row>
    <row r="35" spans="3:37" ht="13.5">
      <c r="C35" s="648" t="s">
        <v>79</v>
      </c>
      <c r="D35" s="642">
        <v>0</v>
      </c>
      <c r="E35" s="642">
        <v>0</v>
      </c>
      <c r="F35" s="642">
        <v>369.9552310331793</v>
      </c>
      <c r="G35" s="642">
        <v>11.471553092100274</v>
      </c>
      <c r="H35" s="642">
        <v>0</v>
      </c>
      <c r="I35" s="642">
        <v>0</v>
      </c>
      <c r="J35" s="642">
        <v>0</v>
      </c>
      <c r="K35" s="642">
        <v>0</v>
      </c>
      <c r="L35" s="642">
        <v>35.942658929765898</v>
      </c>
      <c r="M35" s="642">
        <v>0.23411332841020971</v>
      </c>
      <c r="N35" s="642">
        <v>0</v>
      </c>
      <c r="O35" s="642">
        <v>0</v>
      </c>
      <c r="P35" s="642">
        <v>25.304787135555738</v>
      </c>
      <c r="Q35" s="642">
        <v>0</v>
      </c>
      <c r="R35" s="642">
        <v>0.21217189457734786</v>
      </c>
      <c r="S35" s="650">
        <v>443.12051541358881</v>
      </c>
      <c r="U35" s="648" t="s">
        <v>79</v>
      </c>
      <c r="V35" s="642">
        <v>0</v>
      </c>
      <c r="W35" s="642">
        <v>0</v>
      </c>
      <c r="X35" s="642">
        <v>313.43701377185255</v>
      </c>
      <c r="Y35" s="642">
        <v>10.638728179836399</v>
      </c>
      <c r="Z35" s="642">
        <v>0</v>
      </c>
      <c r="AA35" s="642">
        <v>0</v>
      </c>
      <c r="AB35" s="642">
        <v>0</v>
      </c>
      <c r="AC35" s="642">
        <v>0</v>
      </c>
      <c r="AD35" s="642">
        <v>37.80600606344305</v>
      </c>
      <c r="AE35" s="642">
        <v>1.0240500912331831</v>
      </c>
      <c r="AF35" s="642">
        <v>0</v>
      </c>
      <c r="AG35" s="642">
        <v>0</v>
      </c>
      <c r="AH35" s="642">
        <v>27.763643315903455</v>
      </c>
      <c r="AI35" s="642">
        <v>0</v>
      </c>
      <c r="AJ35" s="642">
        <v>0.49126373722019012</v>
      </c>
      <c r="AK35" s="650">
        <v>391.16070515948877</v>
      </c>
    </row>
    <row r="36" spans="3:37" ht="13.5">
      <c r="C36" s="648" t="s">
        <v>80</v>
      </c>
      <c r="D36" s="642">
        <v>0</v>
      </c>
      <c r="E36" s="642">
        <v>0</v>
      </c>
      <c r="F36" s="642">
        <v>35.339410591812062</v>
      </c>
      <c r="G36" s="642">
        <v>110.15178599375342</v>
      </c>
      <c r="H36" s="642">
        <v>0</v>
      </c>
      <c r="I36" s="642">
        <v>0</v>
      </c>
      <c r="J36" s="642">
        <v>76.439784825488388</v>
      </c>
      <c r="K36" s="642">
        <v>0</v>
      </c>
      <c r="L36" s="642">
        <v>0</v>
      </c>
      <c r="M36" s="642">
        <v>2.2479956325255803</v>
      </c>
      <c r="N36" s="642">
        <v>37.868836361528707</v>
      </c>
      <c r="O36" s="642">
        <v>1.7588356807089602</v>
      </c>
      <c r="P36" s="642">
        <v>172.83410671700432</v>
      </c>
      <c r="Q36" s="642">
        <v>15.866907360541454</v>
      </c>
      <c r="R36" s="642">
        <v>0</v>
      </c>
      <c r="S36" s="650">
        <v>452.50766316336285</v>
      </c>
      <c r="U36" s="648" t="s">
        <v>80</v>
      </c>
      <c r="V36" s="642">
        <v>0</v>
      </c>
      <c r="W36" s="642">
        <v>0</v>
      </c>
      <c r="X36" s="642">
        <v>15.561012749366258</v>
      </c>
      <c r="Y36" s="642">
        <v>82.553801475145548</v>
      </c>
      <c r="Z36" s="642">
        <v>0</v>
      </c>
      <c r="AA36" s="642">
        <v>0</v>
      </c>
      <c r="AB36" s="642">
        <v>74.889683173020046</v>
      </c>
      <c r="AC36" s="642">
        <v>0</v>
      </c>
      <c r="AD36" s="642">
        <v>0</v>
      </c>
      <c r="AE36" s="642">
        <v>7.1785914326213538</v>
      </c>
      <c r="AF36" s="642">
        <v>42.28245423809345</v>
      </c>
      <c r="AG36" s="642">
        <v>1.7308148603825539</v>
      </c>
      <c r="AH36" s="642">
        <v>160.19147139934566</v>
      </c>
      <c r="AI36" s="642">
        <v>30.044387556600874</v>
      </c>
      <c r="AJ36" s="642">
        <v>0</v>
      </c>
      <c r="AK36" s="650">
        <v>414.43221688457572</v>
      </c>
    </row>
    <row r="37" spans="3:37" ht="13.5">
      <c r="C37" s="648" t="s">
        <v>81</v>
      </c>
      <c r="D37" s="642">
        <v>0</v>
      </c>
      <c r="E37" s="642">
        <v>0</v>
      </c>
      <c r="F37" s="642">
        <v>16.364991401651867</v>
      </c>
      <c r="G37" s="642">
        <v>64.121059154218784</v>
      </c>
      <c r="H37" s="642">
        <v>0</v>
      </c>
      <c r="I37" s="642">
        <v>0</v>
      </c>
      <c r="J37" s="642">
        <v>3.7472623320410015</v>
      </c>
      <c r="K37" s="642">
        <v>2.5571216676264549E-2</v>
      </c>
      <c r="L37" s="642">
        <v>0</v>
      </c>
      <c r="M37" s="642">
        <v>1.3085930439636488</v>
      </c>
      <c r="N37" s="642">
        <v>7.447967906294962</v>
      </c>
      <c r="O37" s="642">
        <v>0.8772790781137545</v>
      </c>
      <c r="P37" s="642">
        <v>131.35942241830159</v>
      </c>
      <c r="Q37" s="642">
        <v>4.7421241046985951</v>
      </c>
      <c r="R37" s="642">
        <v>0</v>
      </c>
      <c r="S37" s="650">
        <v>229.99427065596046</v>
      </c>
      <c r="U37" s="648" t="s">
        <v>81</v>
      </c>
      <c r="V37" s="642">
        <v>0</v>
      </c>
      <c r="W37" s="642">
        <v>0</v>
      </c>
      <c r="X37" s="642">
        <v>8.4431338424639417</v>
      </c>
      <c r="Y37" s="642">
        <v>45.209877020113709</v>
      </c>
      <c r="Z37" s="642">
        <v>0</v>
      </c>
      <c r="AA37" s="642">
        <v>0</v>
      </c>
      <c r="AB37" s="642">
        <v>7.2212655206083989</v>
      </c>
      <c r="AC37" s="642">
        <v>2.5571216676264549E-2</v>
      </c>
      <c r="AD37" s="642">
        <v>0</v>
      </c>
      <c r="AE37" s="642">
        <v>3.9312936539229324</v>
      </c>
      <c r="AF37" s="642">
        <v>13.032759828829999</v>
      </c>
      <c r="AG37" s="642">
        <v>1.6365054019865546</v>
      </c>
      <c r="AH37" s="642">
        <v>124.3283929234443</v>
      </c>
      <c r="AI37" s="642">
        <v>7.9572821305642334</v>
      </c>
      <c r="AJ37" s="642">
        <v>0</v>
      </c>
      <c r="AK37" s="650">
        <v>211.78608153861032</v>
      </c>
    </row>
    <row r="38" spans="3:37" ht="13.5">
      <c r="C38" s="648" t="s">
        <v>82</v>
      </c>
      <c r="D38" s="642">
        <v>0</v>
      </c>
      <c r="E38" s="642">
        <v>0</v>
      </c>
      <c r="F38" s="642">
        <v>33.765533014074606</v>
      </c>
      <c r="G38" s="642">
        <v>2.2907099526353965</v>
      </c>
      <c r="H38" s="642">
        <v>0</v>
      </c>
      <c r="I38" s="642">
        <v>0</v>
      </c>
      <c r="J38" s="642">
        <v>1.1066179688825246</v>
      </c>
      <c r="K38" s="642">
        <v>0</v>
      </c>
      <c r="L38" s="642">
        <v>2.3728212231152073</v>
      </c>
      <c r="M38" s="642">
        <v>4.6749182706844826E-2</v>
      </c>
      <c r="N38" s="642">
        <v>0</v>
      </c>
      <c r="O38" s="642">
        <v>8.6639841752499475E-2</v>
      </c>
      <c r="P38" s="642">
        <v>7.9913059260342072</v>
      </c>
      <c r="Q38" s="642">
        <v>0</v>
      </c>
      <c r="R38" s="642">
        <v>0</v>
      </c>
      <c r="S38" s="650">
        <v>47.660377109201292</v>
      </c>
      <c r="U38" s="648" t="s">
        <v>82</v>
      </c>
      <c r="V38" s="642">
        <v>0</v>
      </c>
      <c r="W38" s="642">
        <v>0</v>
      </c>
      <c r="X38" s="642">
        <v>29.817412370685851</v>
      </c>
      <c r="Y38" s="642">
        <v>2.4393255997206347</v>
      </c>
      <c r="Z38" s="642">
        <v>0</v>
      </c>
      <c r="AA38" s="642">
        <v>0</v>
      </c>
      <c r="AB38" s="642">
        <v>1.1066179688825246</v>
      </c>
      <c r="AC38" s="642">
        <v>0</v>
      </c>
      <c r="AD38" s="642">
        <v>7.1577097724425283</v>
      </c>
      <c r="AE38" s="642">
        <v>0.2121152695409248</v>
      </c>
      <c r="AF38" s="642">
        <v>0</v>
      </c>
      <c r="AG38" s="642">
        <v>0.5193752668696392</v>
      </c>
      <c r="AH38" s="642">
        <v>8.0258276876076717</v>
      </c>
      <c r="AI38" s="642">
        <v>0</v>
      </c>
      <c r="AJ38" s="642">
        <v>0.13892990437736891</v>
      </c>
      <c r="AK38" s="650">
        <v>49.417313840127143</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v>
      </c>
      <c r="Q39" s="642">
        <v>0</v>
      </c>
      <c r="R39" s="642">
        <v>0</v>
      </c>
      <c r="S39" s="650">
        <v>0</v>
      </c>
      <c r="U39" s="648" t="s">
        <v>357</v>
      </c>
      <c r="V39" s="642">
        <v>0</v>
      </c>
      <c r="W39" s="642">
        <v>0</v>
      </c>
      <c r="X39" s="642">
        <v>0</v>
      </c>
      <c r="Y39" s="642">
        <v>0</v>
      </c>
      <c r="Z39" s="642">
        <v>0</v>
      </c>
      <c r="AA39" s="642">
        <v>0</v>
      </c>
      <c r="AB39" s="642">
        <v>0</v>
      </c>
      <c r="AC39" s="642">
        <v>0</v>
      </c>
      <c r="AD39" s="642">
        <v>0</v>
      </c>
      <c r="AE39" s="642">
        <v>0</v>
      </c>
      <c r="AF39" s="642">
        <v>0</v>
      </c>
      <c r="AG39" s="642">
        <v>0</v>
      </c>
      <c r="AH39" s="642">
        <v>0.36</v>
      </c>
      <c r="AI39" s="642">
        <v>0</v>
      </c>
      <c r="AJ39" s="642">
        <v>0</v>
      </c>
      <c r="AK39" s="650">
        <v>0.36</v>
      </c>
    </row>
    <row r="40" spans="3:37" ht="13.5">
      <c r="C40" s="646" t="s">
        <v>83</v>
      </c>
      <c r="D40" s="647">
        <v>6.728773440829297</v>
      </c>
      <c r="E40" s="647">
        <v>0</v>
      </c>
      <c r="F40" s="647">
        <v>481.28871584019521</v>
      </c>
      <c r="G40" s="647">
        <v>294.92544225883904</v>
      </c>
      <c r="H40" s="647">
        <v>0</v>
      </c>
      <c r="I40" s="647">
        <v>0</v>
      </c>
      <c r="J40" s="647">
        <v>99.463524740250691</v>
      </c>
      <c r="K40" s="647">
        <v>1.7823410909893624</v>
      </c>
      <c r="L40" s="647">
        <v>39.159249752490481</v>
      </c>
      <c r="M40" s="647">
        <v>6.0376618476797237</v>
      </c>
      <c r="N40" s="647">
        <v>45.31680426782367</v>
      </c>
      <c r="O40" s="647">
        <v>2.7231373652307198</v>
      </c>
      <c r="P40" s="647">
        <v>447.36659144667379</v>
      </c>
      <c r="Q40" s="647">
        <v>37.199535435098404</v>
      </c>
      <c r="R40" s="647">
        <v>0.58655864384492595</v>
      </c>
      <c r="S40" s="647">
        <v>1462.5783361299455</v>
      </c>
      <c r="U40" s="646" t="s">
        <v>83</v>
      </c>
      <c r="V40" s="647">
        <v>2.0293809622126395</v>
      </c>
      <c r="W40" s="647">
        <v>0</v>
      </c>
      <c r="X40" s="647">
        <v>386.5547653525565</v>
      </c>
      <c r="Y40" s="647">
        <v>226.68292731053214</v>
      </c>
      <c r="Z40" s="647">
        <v>0</v>
      </c>
      <c r="AA40" s="647">
        <v>0</v>
      </c>
      <c r="AB40" s="647">
        <v>100.86962546535466</v>
      </c>
      <c r="AC40" s="647">
        <v>5.7313631790461192</v>
      </c>
      <c r="AD40" s="647">
        <v>46.02139011322933</v>
      </c>
      <c r="AE40" s="647">
        <v>19.829277460523276</v>
      </c>
      <c r="AF40" s="647">
        <v>55.315214066923446</v>
      </c>
      <c r="AG40" s="647">
        <v>3.8870782938942541</v>
      </c>
      <c r="AH40" s="647">
        <v>449.52841955052912</v>
      </c>
      <c r="AI40" s="647">
        <v>58.16748920568601</v>
      </c>
      <c r="AJ40" s="647">
        <v>3.9353462294881845</v>
      </c>
      <c r="AK40" s="647">
        <v>1358.5522771899757</v>
      </c>
    </row>
    <row r="41" spans="3:37" ht="13.5">
      <c r="C41" s="641" t="s">
        <v>84</v>
      </c>
      <c r="D41" s="642">
        <v>0</v>
      </c>
      <c r="E41" s="642">
        <v>0</v>
      </c>
      <c r="F41" s="642">
        <v>123.20669977294675</v>
      </c>
      <c r="G41" s="642">
        <v>12.463741308801668</v>
      </c>
      <c r="H41" s="642">
        <v>0</v>
      </c>
      <c r="I41" s="642">
        <v>0</v>
      </c>
      <c r="J41" s="642">
        <v>0</v>
      </c>
      <c r="K41" s="642">
        <v>0</v>
      </c>
      <c r="L41" s="642">
        <v>0</v>
      </c>
      <c r="M41" s="642">
        <v>0</v>
      </c>
      <c r="N41" s="642">
        <v>0</v>
      </c>
      <c r="O41" s="642">
        <v>0</v>
      </c>
      <c r="P41" s="642">
        <v>0</v>
      </c>
      <c r="Q41" s="642">
        <v>0</v>
      </c>
      <c r="R41" s="642">
        <v>0</v>
      </c>
      <c r="S41" s="650">
        <v>135.67044108174841</v>
      </c>
      <c r="U41" s="641" t="s">
        <v>84</v>
      </c>
      <c r="V41" s="642">
        <v>0</v>
      </c>
      <c r="W41" s="642">
        <v>0</v>
      </c>
      <c r="X41" s="642">
        <v>121.88018365111382</v>
      </c>
      <c r="Y41" s="642">
        <v>1.8275750900030534</v>
      </c>
      <c r="Z41" s="642">
        <v>0</v>
      </c>
      <c r="AA41" s="642">
        <v>0</v>
      </c>
      <c r="AB41" s="642">
        <v>0</v>
      </c>
      <c r="AC41" s="642">
        <v>0</v>
      </c>
      <c r="AD41" s="642">
        <v>0.27491428444602273</v>
      </c>
      <c r="AE41" s="642">
        <v>0</v>
      </c>
      <c r="AF41" s="642">
        <v>0</v>
      </c>
      <c r="AG41" s="642">
        <v>0</v>
      </c>
      <c r="AH41" s="642">
        <v>0</v>
      </c>
      <c r="AI41" s="642">
        <v>0</v>
      </c>
      <c r="AJ41" s="642">
        <v>1.5118644886363639</v>
      </c>
      <c r="AK41" s="650">
        <v>125.49453751419927</v>
      </c>
    </row>
    <row r="42" spans="3:37" ht="13.5">
      <c r="C42" s="646" t="s">
        <v>85</v>
      </c>
      <c r="D42" s="647">
        <v>6.728773440829297</v>
      </c>
      <c r="E42" s="647">
        <v>0</v>
      </c>
      <c r="F42" s="647">
        <v>604.49541561314186</v>
      </c>
      <c r="G42" s="647">
        <v>307.38918356764071</v>
      </c>
      <c r="H42" s="647">
        <v>0</v>
      </c>
      <c r="I42" s="647">
        <v>0</v>
      </c>
      <c r="J42" s="647">
        <v>99.463524740250691</v>
      </c>
      <c r="K42" s="647">
        <v>1.7823410909893624</v>
      </c>
      <c r="L42" s="647">
        <v>39.159249752490481</v>
      </c>
      <c r="M42" s="647">
        <v>6.0376618476797237</v>
      </c>
      <c r="N42" s="647">
        <v>45.31680426782367</v>
      </c>
      <c r="O42" s="647">
        <v>2.7231373652307198</v>
      </c>
      <c r="P42" s="647">
        <v>447.36659144667379</v>
      </c>
      <c r="Q42" s="647">
        <v>37.199535435098404</v>
      </c>
      <c r="R42" s="647">
        <v>0.58655864384492595</v>
      </c>
      <c r="S42" s="647">
        <v>1598.2487772116938</v>
      </c>
      <c r="U42" s="646" t="s">
        <v>85</v>
      </c>
      <c r="V42" s="647">
        <v>2.0293809622126395</v>
      </c>
      <c r="W42" s="647">
        <v>0</v>
      </c>
      <c r="X42" s="647">
        <v>508.43494900367028</v>
      </c>
      <c r="Y42" s="647">
        <v>228.51050240053519</v>
      </c>
      <c r="Z42" s="647">
        <v>0</v>
      </c>
      <c r="AA42" s="647">
        <v>0</v>
      </c>
      <c r="AB42" s="647">
        <v>100.86962546535466</v>
      </c>
      <c r="AC42" s="647">
        <v>5.7313631790461192</v>
      </c>
      <c r="AD42" s="647">
        <v>46.29630439767535</v>
      </c>
      <c r="AE42" s="647">
        <v>19.829277460523276</v>
      </c>
      <c r="AF42" s="647">
        <v>55.315214066923446</v>
      </c>
      <c r="AG42" s="647">
        <v>3.8870782938942541</v>
      </c>
      <c r="AH42" s="647">
        <v>449.52841955052912</v>
      </c>
      <c r="AI42" s="647">
        <v>58.16748920568601</v>
      </c>
      <c r="AJ42" s="647">
        <v>5.4472107181245484</v>
      </c>
      <c r="AK42" s="647">
        <v>1484.0468147041749</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88</v>
      </c>
      <c r="D44" s="699"/>
      <c r="E44" s="699"/>
      <c r="F44" s="699"/>
      <c r="G44" s="699"/>
      <c r="H44" s="699"/>
      <c r="I44" s="699"/>
      <c r="J44" s="699"/>
      <c r="K44" s="699"/>
      <c r="L44" s="699"/>
      <c r="M44" s="699"/>
      <c r="N44" s="699"/>
      <c r="O44" s="699"/>
      <c r="P44" s="699"/>
      <c r="Q44" s="699"/>
      <c r="R44" s="699"/>
      <c r="S44" s="699"/>
      <c r="U44" s="699" t="s">
        <v>88</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9.7691999999999997</v>
      </c>
      <c r="F48" s="643">
        <v>0</v>
      </c>
      <c r="G48" s="642">
        <v>0.18608000000000002</v>
      </c>
      <c r="H48" s="643">
        <v>1190.909090909091</v>
      </c>
      <c r="I48" s="643">
        <v>182.7291074592973</v>
      </c>
      <c r="J48" s="643">
        <v>189.61507961766128</v>
      </c>
      <c r="K48" s="643">
        <v>22.268083551618652</v>
      </c>
      <c r="L48" s="643">
        <v>0.30256781050897086</v>
      </c>
      <c r="M48" s="643">
        <v>0.13616606414588689</v>
      </c>
      <c r="N48" s="643">
        <v>49.514351265721807</v>
      </c>
      <c r="O48" s="643">
        <v>8.1467195883110648</v>
      </c>
      <c r="P48" s="644">
        <v>0</v>
      </c>
      <c r="Q48" s="643">
        <v>0</v>
      </c>
      <c r="R48" s="643">
        <v>0</v>
      </c>
      <c r="S48" s="645">
        <v>1653.5764462663558</v>
      </c>
      <c r="U48" s="641" t="s">
        <v>59</v>
      </c>
      <c r="V48" s="642">
        <v>0</v>
      </c>
      <c r="W48" s="643">
        <v>9.7691999999999997</v>
      </c>
      <c r="X48" s="643">
        <v>0</v>
      </c>
      <c r="Y48" s="642">
        <v>0.18608000000000002</v>
      </c>
      <c r="Z48" s="643">
        <v>1069.3939393939395</v>
      </c>
      <c r="AA48" s="643">
        <v>197.24910745929728</v>
      </c>
      <c r="AB48" s="643">
        <v>182.13163745220285</v>
      </c>
      <c r="AC48" s="643">
        <v>36.932838973655407</v>
      </c>
      <c r="AD48" s="643">
        <v>0.30256781050897086</v>
      </c>
      <c r="AE48" s="643">
        <v>0.13616606414588689</v>
      </c>
      <c r="AF48" s="643">
        <v>61.091225724919909</v>
      </c>
      <c r="AG48" s="643">
        <v>13.043980364734779</v>
      </c>
      <c r="AH48" s="644">
        <v>0</v>
      </c>
      <c r="AI48" s="643">
        <v>0</v>
      </c>
      <c r="AJ48" s="643">
        <v>0</v>
      </c>
      <c r="AK48" s="645">
        <v>1570.2367432434044</v>
      </c>
    </row>
    <row r="49" spans="3:37" ht="13.5">
      <c r="C49" s="641" t="s">
        <v>60</v>
      </c>
      <c r="D49" s="642">
        <v>49.173561762123036</v>
      </c>
      <c r="E49" s="643">
        <v>533.81672423347197</v>
      </c>
      <c r="F49" s="643">
        <v>159.30055959731865</v>
      </c>
      <c r="G49" s="642">
        <v>343.82692763471942</v>
      </c>
      <c r="H49" s="643">
        <v>0</v>
      </c>
      <c r="I49" s="643">
        <v>0</v>
      </c>
      <c r="J49" s="643">
        <v>3.0754920838007731</v>
      </c>
      <c r="K49" s="643">
        <v>0</v>
      </c>
      <c r="L49" s="643">
        <v>1.7669821269916453</v>
      </c>
      <c r="M49" s="643">
        <v>0</v>
      </c>
      <c r="N49" s="643">
        <v>0</v>
      </c>
      <c r="O49" s="643">
        <v>0</v>
      </c>
      <c r="P49" s="644">
        <v>0</v>
      </c>
      <c r="Q49" s="643">
        <v>0</v>
      </c>
      <c r="R49" s="643">
        <v>0</v>
      </c>
      <c r="S49" s="645">
        <v>1090.9602474384255</v>
      </c>
      <c r="U49" s="641" t="s">
        <v>60</v>
      </c>
      <c r="V49" s="642">
        <v>12.56447967339157</v>
      </c>
      <c r="W49" s="643">
        <v>409.1975890316798</v>
      </c>
      <c r="X49" s="643">
        <v>146.83839951059079</v>
      </c>
      <c r="Y49" s="642">
        <v>277.07529977218445</v>
      </c>
      <c r="Z49" s="643">
        <v>0</v>
      </c>
      <c r="AA49" s="643">
        <v>0</v>
      </c>
      <c r="AB49" s="643">
        <v>3.0754920838007731</v>
      </c>
      <c r="AC49" s="643">
        <v>0</v>
      </c>
      <c r="AD49" s="643">
        <v>1.7669821269916453</v>
      </c>
      <c r="AE49" s="643">
        <v>0</v>
      </c>
      <c r="AF49" s="643">
        <v>0</v>
      </c>
      <c r="AG49" s="643">
        <v>0</v>
      </c>
      <c r="AH49" s="644">
        <v>0</v>
      </c>
      <c r="AI49" s="643">
        <v>0</v>
      </c>
      <c r="AJ49" s="643">
        <v>0</v>
      </c>
      <c r="AK49" s="645">
        <v>850.51824219863909</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-73.711460432822037</v>
      </c>
      <c r="Q50" s="643">
        <v>0</v>
      </c>
      <c r="R50" s="643">
        <v>0</v>
      </c>
      <c r="S50" s="645">
        <v>-73.711460432822037</v>
      </c>
      <c r="U50" s="641" t="s">
        <v>61</v>
      </c>
      <c r="V50" s="642">
        <v>0</v>
      </c>
      <c r="W50" s="643">
        <v>0</v>
      </c>
      <c r="X50" s="643">
        <v>0</v>
      </c>
      <c r="Y50" s="642">
        <v>0</v>
      </c>
      <c r="Z50" s="643">
        <v>0</v>
      </c>
      <c r="AA50" s="643">
        <v>0</v>
      </c>
      <c r="AB50" s="643">
        <v>0</v>
      </c>
      <c r="AC50" s="643">
        <v>0</v>
      </c>
      <c r="AD50" s="643">
        <v>0</v>
      </c>
      <c r="AE50" s="643">
        <v>0</v>
      </c>
      <c r="AF50" s="643">
        <v>0</v>
      </c>
      <c r="AG50" s="643">
        <v>0</v>
      </c>
      <c r="AH50" s="644">
        <v>-59.233927293838519</v>
      </c>
      <c r="AI50" s="643">
        <v>0</v>
      </c>
      <c r="AJ50" s="643">
        <v>0</v>
      </c>
      <c r="AK50" s="645">
        <v>-59.233927293838519</v>
      </c>
    </row>
    <row r="51" spans="3:37" ht="13.5">
      <c r="C51" s="641" t="s">
        <v>62</v>
      </c>
      <c r="D51" s="642">
        <v>0</v>
      </c>
      <c r="E51" s="643">
        <v>0</v>
      </c>
      <c r="F51" s="643">
        <v>-16.493151741791234</v>
      </c>
      <c r="G51" s="642">
        <v>0</v>
      </c>
      <c r="H51" s="643">
        <v>0</v>
      </c>
      <c r="I51" s="643">
        <v>0</v>
      </c>
      <c r="J51" s="643">
        <v>0</v>
      </c>
      <c r="K51" s="643">
        <v>0</v>
      </c>
      <c r="L51" s="643">
        <v>0</v>
      </c>
      <c r="M51" s="643">
        <v>0</v>
      </c>
      <c r="N51" s="643">
        <v>0</v>
      </c>
      <c r="O51" s="643">
        <v>0</v>
      </c>
      <c r="P51" s="644">
        <v>0</v>
      </c>
      <c r="Q51" s="643">
        <v>0</v>
      </c>
      <c r="R51" s="643">
        <v>0</v>
      </c>
      <c r="S51" s="645">
        <v>-16.493151741791234</v>
      </c>
      <c r="U51" s="641" t="s">
        <v>62</v>
      </c>
      <c r="V51" s="642">
        <v>0</v>
      </c>
      <c r="W51" s="643">
        <v>0</v>
      </c>
      <c r="X51" s="643">
        <v>-16.114280484636947</v>
      </c>
      <c r="Y51" s="642">
        <v>-5.618284274922395E-2</v>
      </c>
      <c r="Z51" s="643">
        <v>0</v>
      </c>
      <c r="AA51" s="643">
        <v>0</v>
      </c>
      <c r="AB51" s="643">
        <v>0</v>
      </c>
      <c r="AC51" s="643">
        <v>0</v>
      </c>
      <c r="AD51" s="643">
        <v>0</v>
      </c>
      <c r="AE51" s="643">
        <v>-6.2425380832471051E-3</v>
      </c>
      <c r="AF51" s="643">
        <v>0</v>
      </c>
      <c r="AG51" s="643">
        <v>0</v>
      </c>
      <c r="AH51" s="644">
        <v>0</v>
      </c>
      <c r="AI51" s="643">
        <v>0</v>
      </c>
      <c r="AJ51" s="643">
        <v>0</v>
      </c>
      <c r="AK51" s="645">
        <v>-16.176705865469415</v>
      </c>
    </row>
    <row r="52" spans="3:37" ht="13.5">
      <c r="C52" s="641" t="s">
        <v>63</v>
      </c>
      <c r="D52" s="642">
        <v>0</v>
      </c>
      <c r="E52" s="643">
        <v>0</v>
      </c>
      <c r="F52" s="643">
        <v>-80.583101554650298</v>
      </c>
      <c r="G52" s="642">
        <v>0</v>
      </c>
      <c r="H52" s="643">
        <v>0</v>
      </c>
      <c r="I52" s="643">
        <v>0</v>
      </c>
      <c r="J52" s="643">
        <v>0</v>
      </c>
      <c r="K52" s="643">
        <v>0</v>
      </c>
      <c r="L52" s="643">
        <v>-0.83510983775166403</v>
      </c>
      <c r="M52" s="643">
        <v>0</v>
      </c>
      <c r="N52" s="643">
        <v>0</v>
      </c>
      <c r="O52" s="643">
        <v>0</v>
      </c>
      <c r="P52" s="644">
        <v>0</v>
      </c>
      <c r="Q52" s="643">
        <v>0</v>
      </c>
      <c r="R52" s="643">
        <v>0</v>
      </c>
      <c r="S52" s="645">
        <v>-81.418211392401957</v>
      </c>
      <c r="U52" s="641" t="s">
        <v>63</v>
      </c>
      <c r="V52" s="642">
        <v>0</v>
      </c>
      <c r="W52" s="643">
        <v>0</v>
      </c>
      <c r="X52" s="643">
        <v>-78.29497747164686</v>
      </c>
      <c r="Y52" s="642">
        <v>0</v>
      </c>
      <c r="Z52" s="643">
        <v>0</v>
      </c>
      <c r="AA52" s="643">
        <v>0</v>
      </c>
      <c r="AB52" s="643">
        <v>0</v>
      </c>
      <c r="AC52" s="643">
        <v>0</v>
      </c>
      <c r="AD52" s="643">
        <v>-3.8806739722042796</v>
      </c>
      <c r="AE52" s="643">
        <v>0</v>
      </c>
      <c r="AF52" s="643">
        <v>0</v>
      </c>
      <c r="AG52" s="643">
        <v>0</v>
      </c>
      <c r="AH52" s="644">
        <v>0</v>
      </c>
      <c r="AI52" s="643">
        <v>0</v>
      </c>
      <c r="AJ52" s="643">
        <v>0</v>
      </c>
      <c r="AK52" s="645">
        <v>-82.175651443851137</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49.173561762123036</v>
      </c>
      <c r="E54" s="647">
        <v>543.58592423347193</v>
      </c>
      <c r="F54" s="647">
        <v>62.224306300877117</v>
      </c>
      <c r="G54" s="647">
        <v>344.01300763471943</v>
      </c>
      <c r="H54" s="647">
        <v>1190.909090909091</v>
      </c>
      <c r="I54" s="647">
        <v>182.7291074592973</v>
      </c>
      <c r="J54" s="647">
        <v>192.69057170146206</v>
      </c>
      <c r="K54" s="647">
        <v>22.268083551618652</v>
      </c>
      <c r="L54" s="647">
        <v>1.234440099748952</v>
      </c>
      <c r="M54" s="647">
        <v>0.13616606414588689</v>
      </c>
      <c r="N54" s="647">
        <v>49.514351265721807</v>
      </c>
      <c r="O54" s="647">
        <v>8.1467195883110648</v>
      </c>
      <c r="P54" s="647">
        <v>-73.711460432822037</v>
      </c>
      <c r="Q54" s="647">
        <v>0</v>
      </c>
      <c r="R54" s="647">
        <v>0</v>
      </c>
      <c r="S54" s="647">
        <v>2572.9138701377656</v>
      </c>
      <c r="U54" s="646" t="s">
        <v>65</v>
      </c>
      <c r="V54" s="647">
        <v>12.56447967339157</v>
      </c>
      <c r="W54" s="647">
        <v>418.96678903167981</v>
      </c>
      <c r="X54" s="647">
        <v>52.42914155430698</v>
      </c>
      <c r="Y54" s="647">
        <v>277.2051969294352</v>
      </c>
      <c r="Z54" s="647">
        <v>1069.3939393939395</v>
      </c>
      <c r="AA54" s="647">
        <v>197.24910745929728</v>
      </c>
      <c r="AB54" s="647">
        <v>185.20712953600363</v>
      </c>
      <c r="AC54" s="647">
        <v>36.932838973655407</v>
      </c>
      <c r="AD54" s="647">
        <v>-1.8111240347036635</v>
      </c>
      <c r="AE54" s="647">
        <v>0.12992352606263979</v>
      </c>
      <c r="AF54" s="647">
        <v>61.091225724919909</v>
      </c>
      <c r="AG54" s="647">
        <v>13.043980364734779</v>
      </c>
      <c r="AH54" s="647">
        <v>-59.233927293838519</v>
      </c>
      <c r="AI54" s="647">
        <v>0</v>
      </c>
      <c r="AJ54" s="647">
        <v>0</v>
      </c>
      <c r="AK54" s="647">
        <v>2263.168700838884</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7.5307695076515202</v>
      </c>
      <c r="G57" s="642">
        <v>17.818181818181817</v>
      </c>
      <c r="H57" s="642">
        <v>1190.909090909091</v>
      </c>
      <c r="I57" s="642">
        <v>182.7291074592973</v>
      </c>
      <c r="J57" s="651">
        <v>31.567770517320518</v>
      </c>
      <c r="K57" s="651">
        <v>7.9944017148664477</v>
      </c>
      <c r="L57" s="651">
        <v>2.0695499375006161</v>
      </c>
      <c r="M57" s="651">
        <v>0.46787592950723628</v>
      </c>
      <c r="N57" s="651">
        <v>0</v>
      </c>
      <c r="O57" s="651">
        <v>3.0833964576427819</v>
      </c>
      <c r="P57" s="642">
        <v>-605.52729840025461</v>
      </c>
      <c r="Q57" s="642">
        <v>0</v>
      </c>
      <c r="R57" s="642">
        <v>0</v>
      </c>
      <c r="S57" s="650">
        <v>841.46963149182989</v>
      </c>
      <c r="U57" s="648" t="s">
        <v>350</v>
      </c>
      <c r="V57" s="642">
        <v>0.62631490545869017</v>
      </c>
      <c r="W57" s="642">
        <v>0</v>
      </c>
      <c r="X57" s="642">
        <v>3.6671331440151573</v>
      </c>
      <c r="Y57" s="642">
        <v>45.490909090909085</v>
      </c>
      <c r="Z57" s="642">
        <v>1069.3939393939395</v>
      </c>
      <c r="AA57" s="642">
        <v>197.24910745929728</v>
      </c>
      <c r="AB57" s="651">
        <v>26.112388272824305</v>
      </c>
      <c r="AC57" s="651">
        <v>7.8557568383975527</v>
      </c>
      <c r="AD57" s="651">
        <v>2.0695499375006161</v>
      </c>
      <c r="AE57" s="651">
        <v>5.1587850204163272</v>
      </c>
      <c r="AF57" s="651">
        <v>0</v>
      </c>
      <c r="AG57" s="651">
        <v>3.0833964576427819</v>
      </c>
      <c r="AH57" s="642">
        <v>-594.94729840025457</v>
      </c>
      <c r="AI57" s="642">
        <v>0</v>
      </c>
      <c r="AJ57" s="642">
        <v>0</v>
      </c>
      <c r="AK57" s="650">
        <v>765.75998212014645</v>
      </c>
    </row>
    <row r="58" spans="3:37" ht="13.5">
      <c r="C58" s="648" t="s">
        <v>351</v>
      </c>
      <c r="D58" s="642">
        <v>0</v>
      </c>
      <c r="E58" s="642">
        <v>0</v>
      </c>
      <c r="F58" s="642">
        <v>0</v>
      </c>
      <c r="G58" s="642">
        <v>15.528976420917793</v>
      </c>
      <c r="H58" s="642">
        <v>0</v>
      </c>
      <c r="I58" s="642">
        <v>0</v>
      </c>
      <c r="J58" s="651">
        <v>13.425934567091144</v>
      </c>
      <c r="K58" s="651">
        <v>12.460813842705811</v>
      </c>
      <c r="L58" s="651">
        <v>0</v>
      </c>
      <c r="M58" s="651">
        <v>0.33007353312586968</v>
      </c>
      <c r="N58" s="651">
        <v>0</v>
      </c>
      <c r="O58" s="651">
        <v>2.2140049259569654</v>
      </c>
      <c r="P58" s="642">
        <v>0</v>
      </c>
      <c r="Q58" s="642">
        <v>-39.530815313914701</v>
      </c>
      <c r="R58" s="642">
        <v>0</v>
      </c>
      <c r="S58" s="650">
        <v>4.4289879758828699</v>
      </c>
      <c r="U58" s="648" t="s">
        <v>351</v>
      </c>
      <c r="V58" s="642">
        <v>0</v>
      </c>
      <c r="W58" s="642">
        <v>0</v>
      </c>
      <c r="X58" s="642">
        <v>0</v>
      </c>
      <c r="Y58" s="642">
        <v>17.633177295554518</v>
      </c>
      <c r="Z58" s="642">
        <v>0</v>
      </c>
      <c r="AA58" s="642">
        <v>0</v>
      </c>
      <c r="AB58" s="651">
        <v>25.59264276124566</v>
      </c>
      <c r="AC58" s="651">
        <v>22.938494140017696</v>
      </c>
      <c r="AD58" s="651">
        <v>0</v>
      </c>
      <c r="AE58" s="651">
        <v>1.9723975687129698</v>
      </c>
      <c r="AF58" s="651">
        <v>0</v>
      </c>
      <c r="AG58" s="651">
        <v>5.6361523989336151</v>
      </c>
      <c r="AH58" s="642">
        <v>0</v>
      </c>
      <c r="AI58" s="642">
        <v>-66.845421794322675</v>
      </c>
      <c r="AJ58" s="642">
        <v>0</v>
      </c>
      <c r="AK58" s="650">
        <v>6.927442370141784</v>
      </c>
    </row>
    <row r="59" spans="3:37" ht="13.5">
      <c r="C59" s="648" t="s">
        <v>352</v>
      </c>
      <c r="D59" s="642">
        <v>0</v>
      </c>
      <c r="E59" s="642">
        <v>0</v>
      </c>
      <c r="F59" s="642">
        <v>0</v>
      </c>
      <c r="G59" s="642">
        <v>0</v>
      </c>
      <c r="H59" s="642">
        <v>0</v>
      </c>
      <c r="I59" s="642">
        <v>0</v>
      </c>
      <c r="J59" s="652">
        <v>7.7785999169814284</v>
      </c>
      <c r="K59" s="652">
        <v>0</v>
      </c>
      <c r="L59" s="652">
        <v>0</v>
      </c>
      <c r="M59" s="652">
        <v>-6.767381927773843</v>
      </c>
      <c r="N59" s="652">
        <v>0</v>
      </c>
      <c r="O59" s="652">
        <v>0</v>
      </c>
      <c r="P59" s="642">
        <v>0</v>
      </c>
      <c r="Q59" s="642">
        <v>0</v>
      </c>
      <c r="R59" s="642">
        <v>0</v>
      </c>
      <c r="S59" s="650">
        <v>1.0112179892075854</v>
      </c>
      <c r="U59" s="648" t="s">
        <v>352</v>
      </c>
      <c r="V59" s="642">
        <v>0</v>
      </c>
      <c r="W59" s="642">
        <v>0</v>
      </c>
      <c r="X59" s="642">
        <v>0</v>
      </c>
      <c r="Y59" s="642">
        <v>0</v>
      </c>
      <c r="Z59" s="642">
        <v>0</v>
      </c>
      <c r="AA59" s="642">
        <v>0</v>
      </c>
      <c r="AB59" s="652">
        <v>35.178099528176176</v>
      </c>
      <c r="AC59" s="652">
        <v>0</v>
      </c>
      <c r="AD59" s="652">
        <v>0</v>
      </c>
      <c r="AE59" s="652">
        <v>-30.604946589513276</v>
      </c>
      <c r="AF59" s="652">
        <v>0</v>
      </c>
      <c r="AG59" s="652">
        <v>0</v>
      </c>
      <c r="AH59" s="642">
        <v>0</v>
      </c>
      <c r="AI59" s="642">
        <v>0</v>
      </c>
      <c r="AJ59" s="642">
        <v>0</v>
      </c>
      <c r="AK59" s="650">
        <v>4.5731529386629006</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563.09724372867038</v>
      </c>
      <c r="F61" s="642">
        <v>-557.46627129138369</v>
      </c>
      <c r="G61" s="642">
        <v>0</v>
      </c>
      <c r="H61" s="642">
        <v>0</v>
      </c>
      <c r="I61" s="642">
        <v>0</v>
      </c>
      <c r="J61" s="642">
        <v>0</v>
      </c>
      <c r="K61" s="642">
        <v>0</v>
      </c>
      <c r="L61" s="642">
        <v>0</v>
      </c>
      <c r="M61" s="642">
        <v>0</v>
      </c>
      <c r="N61" s="642">
        <v>0</v>
      </c>
      <c r="O61" s="642">
        <v>0</v>
      </c>
      <c r="P61" s="642">
        <v>0</v>
      </c>
      <c r="Q61" s="642">
        <v>0</v>
      </c>
      <c r="R61" s="642">
        <v>0</v>
      </c>
      <c r="S61" s="650">
        <v>5.6309724372866867</v>
      </c>
      <c r="U61" s="648" t="s">
        <v>72</v>
      </c>
      <c r="V61" s="642">
        <v>0</v>
      </c>
      <c r="W61" s="642">
        <v>434.00506451720082</v>
      </c>
      <c r="X61" s="642">
        <v>-429.66501387202879</v>
      </c>
      <c r="Y61" s="642">
        <v>0</v>
      </c>
      <c r="Z61" s="642">
        <v>0</v>
      </c>
      <c r="AA61" s="642">
        <v>0</v>
      </c>
      <c r="AB61" s="642">
        <v>0</v>
      </c>
      <c r="AC61" s="642">
        <v>0</v>
      </c>
      <c r="AD61" s="642">
        <v>0</v>
      </c>
      <c r="AE61" s="642">
        <v>0</v>
      </c>
      <c r="AF61" s="642">
        <v>0</v>
      </c>
      <c r="AG61" s="642">
        <v>0</v>
      </c>
      <c r="AH61" s="642">
        <v>0</v>
      </c>
      <c r="AI61" s="642">
        <v>0</v>
      </c>
      <c r="AJ61" s="642">
        <v>0</v>
      </c>
      <c r="AK61" s="650">
        <v>4.3400506451720275</v>
      </c>
    </row>
    <row r="62" spans="3:37" ht="13.5">
      <c r="C62" s="648" t="s">
        <v>354</v>
      </c>
      <c r="D62" s="642">
        <v>0</v>
      </c>
      <c r="E62" s="642">
        <v>0</v>
      </c>
      <c r="F62" s="642">
        <v>0</v>
      </c>
      <c r="G62" s="642">
        <v>0</v>
      </c>
      <c r="H62" s="642">
        <v>0</v>
      </c>
      <c r="I62" s="642">
        <v>0</v>
      </c>
      <c r="J62" s="642">
        <v>37.619415842848596</v>
      </c>
      <c r="K62" s="642">
        <v>0</v>
      </c>
      <c r="L62" s="642">
        <v>-37.619415842848596</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-46.213611225378862</v>
      </c>
      <c r="AE62" s="642">
        <v>0</v>
      </c>
      <c r="AF62" s="642">
        <v>0</v>
      </c>
      <c r="AG62" s="642">
        <v>0</v>
      </c>
      <c r="AH62" s="642">
        <v>0</v>
      </c>
      <c r="AI62" s="642">
        <v>0</v>
      </c>
      <c r="AJ62" s="642">
        <v>0</v>
      </c>
      <c r="AK62" s="650">
        <v>-46.213611225378862</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-5.5104572320471013</v>
      </c>
      <c r="AE63" s="642">
        <v>0</v>
      </c>
      <c r="AF63" s="642">
        <v>0</v>
      </c>
      <c r="AG63" s="642">
        <v>0</v>
      </c>
      <c r="AH63" s="642">
        <v>0</v>
      </c>
      <c r="AI63" s="642">
        <v>0</v>
      </c>
      <c r="AJ63" s="642">
        <v>0</v>
      </c>
      <c r="AK63" s="650">
        <v>-5.5104572320471013</v>
      </c>
    </row>
    <row r="64" spans="3:37" ht="13.5">
      <c r="C64" s="648" t="s">
        <v>73</v>
      </c>
      <c r="D64" s="642">
        <v>0</v>
      </c>
      <c r="E64" s="642">
        <v>0</v>
      </c>
      <c r="F64" s="642">
        <v>0</v>
      </c>
      <c r="G64" s="642">
        <v>0.90917311757834995</v>
      </c>
      <c r="H64" s="642">
        <v>0</v>
      </c>
      <c r="I64" s="642">
        <v>0</v>
      </c>
      <c r="J64" s="642">
        <v>0</v>
      </c>
      <c r="K64" s="642">
        <v>1.0194809571410069E-2</v>
      </c>
      <c r="L64" s="642">
        <v>0</v>
      </c>
      <c r="M64" s="642">
        <v>1.8554553419966327E-2</v>
      </c>
      <c r="N64" s="642">
        <v>0</v>
      </c>
      <c r="O64" s="642">
        <v>0</v>
      </c>
      <c r="P64" s="642">
        <v>8.7832205538302136E-2</v>
      </c>
      <c r="Q64" s="642">
        <v>0</v>
      </c>
      <c r="R64" s="642">
        <v>-0.71363666999870479</v>
      </c>
      <c r="S64" s="650">
        <v>0.31211801610932366</v>
      </c>
      <c r="U64" s="648" t="s">
        <v>73</v>
      </c>
      <c r="V64" s="642">
        <v>0</v>
      </c>
      <c r="W64" s="642">
        <v>0</v>
      </c>
      <c r="X64" s="642">
        <v>0</v>
      </c>
      <c r="Y64" s="642">
        <v>3.7406895887912213</v>
      </c>
      <c r="Z64" s="642">
        <v>0</v>
      </c>
      <c r="AA64" s="642">
        <v>0</v>
      </c>
      <c r="AB64" s="642">
        <v>0</v>
      </c>
      <c r="AC64" s="642">
        <v>0.10657235295701485</v>
      </c>
      <c r="AD64" s="642">
        <v>0</v>
      </c>
      <c r="AE64" s="642">
        <v>0.4156321765323579</v>
      </c>
      <c r="AF64" s="642">
        <v>0</v>
      </c>
      <c r="AG64" s="642">
        <v>0</v>
      </c>
      <c r="AH64" s="642">
        <v>6.8862135756840344</v>
      </c>
      <c r="AI64" s="642">
        <v>0</v>
      </c>
      <c r="AJ64" s="642">
        <v>-7.4600647069910382</v>
      </c>
      <c r="AK64" s="650">
        <v>3.6890429869735906</v>
      </c>
    </row>
    <row r="65" spans="3:37" ht="13.5">
      <c r="C65" s="648" t="s">
        <v>356</v>
      </c>
      <c r="D65" s="642">
        <v>28.68732140625</v>
      </c>
      <c r="E65" s="642">
        <v>-19.511319495198432</v>
      </c>
      <c r="F65" s="642">
        <v>25.519653459670948</v>
      </c>
      <c r="G65" s="642">
        <v>0</v>
      </c>
      <c r="H65" s="642">
        <v>0</v>
      </c>
      <c r="I65" s="642">
        <v>0</v>
      </c>
      <c r="J65" s="642">
        <v>0</v>
      </c>
      <c r="K65" s="642">
        <v>0</v>
      </c>
      <c r="L65" s="642">
        <v>0</v>
      </c>
      <c r="M65" s="642">
        <v>0</v>
      </c>
      <c r="N65" s="642">
        <v>0</v>
      </c>
      <c r="O65" s="642">
        <v>0</v>
      </c>
      <c r="P65" s="642">
        <v>0</v>
      </c>
      <c r="Q65" s="642">
        <v>0</v>
      </c>
      <c r="R65" s="642">
        <v>0</v>
      </c>
      <c r="S65" s="650">
        <v>34.69565537072252</v>
      </c>
      <c r="U65" s="648" t="s">
        <v>356</v>
      </c>
      <c r="V65" s="642">
        <v>5.4641713867187498</v>
      </c>
      <c r="W65" s="642">
        <v>-15.038275485521009</v>
      </c>
      <c r="X65" s="642">
        <v>19.669176096265762</v>
      </c>
      <c r="Y65" s="642">
        <v>0</v>
      </c>
      <c r="Z65" s="642">
        <v>0</v>
      </c>
      <c r="AA65" s="642">
        <v>0</v>
      </c>
      <c r="AB65" s="642">
        <v>0</v>
      </c>
      <c r="AC65" s="642">
        <v>0</v>
      </c>
      <c r="AD65" s="642">
        <v>0</v>
      </c>
      <c r="AE65" s="642">
        <v>0</v>
      </c>
      <c r="AF65" s="642">
        <v>0</v>
      </c>
      <c r="AG65" s="642">
        <v>0</v>
      </c>
      <c r="AH65" s="642">
        <v>0</v>
      </c>
      <c r="AI65" s="642">
        <v>0</v>
      </c>
      <c r="AJ65" s="642">
        <v>0</v>
      </c>
      <c r="AK65" s="650">
        <v>10.095071997463503</v>
      </c>
    </row>
    <row r="66" spans="3:37" ht="13.5">
      <c r="C66" s="648" t="s">
        <v>75</v>
      </c>
      <c r="D66" s="642">
        <v>11.156180546875001</v>
      </c>
      <c r="E66" s="642">
        <v>0</v>
      </c>
      <c r="F66" s="642">
        <v>19.145306286774794</v>
      </c>
      <c r="G66" s="642">
        <v>5.4631694586555604</v>
      </c>
      <c r="H66" s="642">
        <v>0</v>
      </c>
      <c r="I66" s="642">
        <v>0</v>
      </c>
      <c r="J66" s="642">
        <v>0</v>
      </c>
      <c r="K66" s="642">
        <v>0</v>
      </c>
      <c r="L66" s="642">
        <v>0</v>
      </c>
      <c r="M66" s="642">
        <v>0.11149325425827675</v>
      </c>
      <c r="N66" s="642">
        <v>0</v>
      </c>
      <c r="O66" s="642">
        <v>0</v>
      </c>
      <c r="P66" s="642">
        <v>36.294895286159367</v>
      </c>
      <c r="Q66" s="642">
        <v>0</v>
      </c>
      <c r="R66" s="642">
        <v>0</v>
      </c>
      <c r="S66" s="650">
        <v>72.171044832722998</v>
      </c>
      <c r="U66" s="648" t="s">
        <v>75</v>
      </c>
      <c r="V66" s="642">
        <v>5.6084375</v>
      </c>
      <c r="W66" s="642">
        <v>0</v>
      </c>
      <c r="X66" s="642">
        <v>19.145306286774794</v>
      </c>
      <c r="Y66" s="642">
        <v>5.0171964416224535</v>
      </c>
      <c r="Z66" s="642">
        <v>0</v>
      </c>
      <c r="AA66" s="642">
        <v>0</v>
      </c>
      <c r="AB66" s="642">
        <v>0</v>
      </c>
      <c r="AC66" s="642">
        <v>0</v>
      </c>
      <c r="AD66" s="642">
        <v>0</v>
      </c>
      <c r="AE66" s="642">
        <v>0.55746627129138371</v>
      </c>
      <c r="AF66" s="642">
        <v>0</v>
      </c>
      <c r="AG66" s="642">
        <v>0</v>
      </c>
      <c r="AH66" s="642">
        <v>31.128531649795733</v>
      </c>
      <c r="AI66" s="642">
        <v>0</v>
      </c>
      <c r="AJ66" s="642">
        <v>0</v>
      </c>
      <c r="AK66" s="650">
        <v>61.456938149484365</v>
      </c>
    </row>
    <row r="67" spans="3:37" ht="13.5">
      <c r="C67" s="648" t="s">
        <v>76</v>
      </c>
      <c r="D67" s="642">
        <v>0</v>
      </c>
      <c r="E67" s="642">
        <v>0</v>
      </c>
      <c r="F67" s="642">
        <v>0</v>
      </c>
      <c r="G67" s="642">
        <v>3.9320361398527859</v>
      </c>
      <c r="H67" s="642">
        <v>0</v>
      </c>
      <c r="I67" s="642">
        <v>0</v>
      </c>
      <c r="J67" s="642">
        <v>0</v>
      </c>
      <c r="K67" s="642">
        <v>0</v>
      </c>
      <c r="L67" s="642">
        <v>0</v>
      </c>
      <c r="M67" s="642">
        <v>8.0245635507199722E-2</v>
      </c>
      <c r="N67" s="642">
        <v>0</v>
      </c>
      <c r="O67" s="642">
        <v>0</v>
      </c>
      <c r="P67" s="642">
        <v>40.722330861669313</v>
      </c>
      <c r="Q67" s="642">
        <v>3.067587727965682</v>
      </c>
      <c r="R67" s="642">
        <v>0</v>
      </c>
      <c r="S67" s="650">
        <v>47.802200364994981</v>
      </c>
      <c r="U67" s="648" t="s">
        <v>76</v>
      </c>
      <c r="V67" s="642">
        <v>0</v>
      </c>
      <c r="W67" s="642">
        <v>0</v>
      </c>
      <c r="X67" s="642">
        <v>0</v>
      </c>
      <c r="Y67" s="642">
        <v>3.2661405451259231</v>
      </c>
      <c r="Z67" s="642">
        <v>0</v>
      </c>
      <c r="AA67" s="642">
        <v>0</v>
      </c>
      <c r="AB67" s="642">
        <v>0</v>
      </c>
      <c r="AC67" s="642">
        <v>0</v>
      </c>
      <c r="AD67" s="642">
        <v>0</v>
      </c>
      <c r="AE67" s="642">
        <v>0.36290450501399146</v>
      </c>
      <c r="AF67" s="642">
        <v>0</v>
      </c>
      <c r="AG67" s="642">
        <v>0</v>
      </c>
      <c r="AH67" s="642">
        <v>41.021033770751153</v>
      </c>
      <c r="AI67" s="642">
        <v>5.1842177504327198</v>
      </c>
      <c r="AJ67" s="642">
        <v>0</v>
      </c>
      <c r="AK67" s="650">
        <v>49.83429657132379</v>
      </c>
    </row>
    <row r="68" spans="3:37" ht="13.5">
      <c r="C68" s="646" t="s">
        <v>77</v>
      </c>
      <c r="D68" s="647">
        <v>42.670287594150253</v>
      </c>
      <c r="E68" s="647">
        <v>543.58592423347193</v>
      </c>
      <c r="F68" s="647">
        <v>-505.27054203728642</v>
      </c>
      <c r="G68" s="647">
        <v>43.651536955186302</v>
      </c>
      <c r="H68" s="647">
        <v>1190.909090909091</v>
      </c>
      <c r="I68" s="647">
        <v>182.7291074592973</v>
      </c>
      <c r="J68" s="647">
        <v>90.391720844241689</v>
      </c>
      <c r="K68" s="647">
        <v>20.465410367143665</v>
      </c>
      <c r="L68" s="647">
        <v>-35.549865905347978</v>
      </c>
      <c r="M68" s="647">
        <v>-5.7591390219552938</v>
      </c>
      <c r="N68" s="647">
        <v>0</v>
      </c>
      <c r="O68" s="647">
        <v>5.2974013835997482</v>
      </c>
      <c r="P68" s="647">
        <v>-528.42224004688751</v>
      </c>
      <c r="Q68" s="647">
        <v>-36.463227585949021</v>
      </c>
      <c r="R68" s="647">
        <v>-0.71363666999870479</v>
      </c>
      <c r="S68" s="647">
        <v>1007.5218284787569</v>
      </c>
      <c r="U68" s="646" t="s">
        <v>77</v>
      </c>
      <c r="V68" s="647">
        <v>11.698923792177441</v>
      </c>
      <c r="W68" s="647">
        <v>418.96678903167981</v>
      </c>
      <c r="X68" s="647">
        <v>-387.18339834497311</v>
      </c>
      <c r="Y68" s="647">
        <v>75.148112962003211</v>
      </c>
      <c r="Z68" s="647">
        <v>1069.3939393939395</v>
      </c>
      <c r="AA68" s="647">
        <v>197.24910745929728</v>
      </c>
      <c r="AB68" s="647">
        <v>86.883130562246151</v>
      </c>
      <c r="AC68" s="647">
        <v>30.900823331372262</v>
      </c>
      <c r="AD68" s="647">
        <v>-49.654518519925347</v>
      </c>
      <c r="AE68" s="647">
        <v>-22.137761047546249</v>
      </c>
      <c r="AF68" s="647">
        <v>0</v>
      </c>
      <c r="AG68" s="647">
        <v>8.719548856576397</v>
      </c>
      <c r="AH68" s="647">
        <v>-515.91151940402369</v>
      </c>
      <c r="AI68" s="647">
        <v>-61.66120404388996</v>
      </c>
      <c r="AJ68" s="647">
        <v>-7.4600647069910382</v>
      </c>
      <c r="AK68" s="647">
        <v>854.95190932194248</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6.5032741679727843</v>
      </c>
      <c r="E70" s="642">
        <v>0</v>
      </c>
      <c r="F70" s="642">
        <v>25.052429385041094</v>
      </c>
      <c r="G70" s="642">
        <v>105.0474497029609</v>
      </c>
      <c r="H70" s="642">
        <v>0</v>
      </c>
      <c r="I70" s="642">
        <v>0</v>
      </c>
      <c r="J70" s="642">
        <v>18.534460646102772</v>
      </c>
      <c r="K70" s="642">
        <v>1.777675824710524</v>
      </c>
      <c r="L70" s="642">
        <v>0.85092246484375</v>
      </c>
      <c r="M70" s="642">
        <v>2.1625963554323833</v>
      </c>
      <c r="N70" s="642">
        <v>0</v>
      </c>
      <c r="O70" s="642">
        <v>3.8267455312152764E-4</v>
      </c>
      <c r="P70" s="642">
        <v>109.51907717242362</v>
      </c>
      <c r="Q70" s="642">
        <v>16.327213841854732</v>
      </c>
      <c r="R70" s="642">
        <v>0.36001684570312498</v>
      </c>
      <c r="S70" s="650">
        <v>286.13549908159882</v>
      </c>
      <c r="U70" s="648" t="s">
        <v>78</v>
      </c>
      <c r="V70" s="642">
        <v>0.86555588121413052</v>
      </c>
      <c r="W70" s="642">
        <v>0</v>
      </c>
      <c r="X70" s="642">
        <v>16.762295336222397</v>
      </c>
      <c r="Y70" s="642">
        <v>79.095876477460209</v>
      </c>
      <c r="Z70" s="642">
        <v>0</v>
      </c>
      <c r="AA70" s="642">
        <v>0</v>
      </c>
      <c r="AB70" s="642">
        <v>17.089093863910584</v>
      </c>
      <c r="AC70" s="642">
        <v>6.0070182825186862</v>
      </c>
      <c r="AD70" s="642">
        <v>1.13006109375</v>
      </c>
      <c r="AE70" s="642">
        <v>8.8072015710081235</v>
      </c>
      <c r="AF70" s="642">
        <v>0</v>
      </c>
      <c r="AG70" s="642">
        <v>3.8267455312152764E-4</v>
      </c>
      <c r="AH70" s="642">
        <v>130.4568218783393</v>
      </c>
      <c r="AI70" s="642">
        <v>20.327951659562498</v>
      </c>
      <c r="AJ70" s="642">
        <v>4.7486479492187499</v>
      </c>
      <c r="AK70" s="650">
        <v>285.29090666775784</v>
      </c>
    </row>
    <row r="71" spans="3:37" ht="13.5">
      <c r="C71" s="648" t="s">
        <v>79</v>
      </c>
      <c r="D71" s="642">
        <v>0</v>
      </c>
      <c r="E71" s="642">
        <v>0</v>
      </c>
      <c r="F71" s="642">
        <v>344.1701238998171</v>
      </c>
      <c r="G71" s="642">
        <v>14.686948049507158</v>
      </c>
      <c r="H71" s="642">
        <v>0</v>
      </c>
      <c r="I71" s="642">
        <v>0</v>
      </c>
      <c r="J71" s="642">
        <v>0</v>
      </c>
      <c r="K71" s="642">
        <v>0</v>
      </c>
      <c r="L71" s="642">
        <v>33.466916874810835</v>
      </c>
      <c r="M71" s="642">
        <v>0.29973363366341144</v>
      </c>
      <c r="N71" s="642">
        <v>0</v>
      </c>
      <c r="O71" s="642">
        <v>0</v>
      </c>
      <c r="P71" s="642">
        <v>30.235692409435519</v>
      </c>
      <c r="Q71" s="642">
        <v>0</v>
      </c>
      <c r="R71" s="642">
        <v>0.35361982429557981</v>
      </c>
      <c r="S71" s="650">
        <v>423.21303469152963</v>
      </c>
      <c r="U71" s="648" t="s">
        <v>79</v>
      </c>
      <c r="V71" s="642">
        <v>0</v>
      </c>
      <c r="W71" s="642">
        <v>0</v>
      </c>
      <c r="X71" s="642">
        <v>271.88041786379415</v>
      </c>
      <c r="Y71" s="642">
        <v>13.227335330391124</v>
      </c>
      <c r="Z71" s="642">
        <v>0</v>
      </c>
      <c r="AA71" s="642">
        <v>0</v>
      </c>
      <c r="AB71" s="642">
        <v>0</v>
      </c>
      <c r="AC71" s="642">
        <v>0</v>
      </c>
      <c r="AD71" s="642">
        <v>36.694869225102572</v>
      </c>
      <c r="AE71" s="642">
        <v>1.4697039255990136</v>
      </c>
      <c r="AF71" s="642">
        <v>0</v>
      </c>
      <c r="AG71" s="642">
        <v>0</v>
      </c>
      <c r="AH71" s="642">
        <v>34.641740873286757</v>
      </c>
      <c r="AI71" s="642">
        <v>0</v>
      </c>
      <c r="AJ71" s="642">
        <v>0.81877289536698361</v>
      </c>
      <c r="AK71" s="650">
        <v>358.73284011354053</v>
      </c>
    </row>
    <row r="72" spans="3:37" ht="13.5">
      <c r="C72" s="648" t="s">
        <v>80</v>
      </c>
      <c r="D72" s="642">
        <v>0</v>
      </c>
      <c r="E72" s="642">
        <v>0</v>
      </c>
      <c r="F72" s="642">
        <v>31.509183869953784</v>
      </c>
      <c r="G72" s="642">
        <v>103.72357678672635</v>
      </c>
      <c r="H72" s="642">
        <v>0</v>
      </c>
      <c r="I72" s="642">
        <v>0</v>
      </c>
      <c r="J72" s="642">
        <v>78.735270640359559</v>
      </c>
      <c r="K72" s="642">
        <v>0</v>
      </c>
      <c r="L72" s="642">
        <v>0</v>
      </c>
      <c r="M72" s="642">
        <v>2.1168076895250278</v>
      </c>
      <c r="N72" s="642">
        <v>41.43976216997369</v>
      </c>
      <c r="O72" s="642">
        <v>1.9317269815068459</v>
      </c>
      <c r="P72" s="642">
        <v>175.94122104806229</v>
      </c>
      <c r="Q72" s="642">
        <v>15.783130887728015</v>
      </c>
      <c r="R72" s="642">
        <v>0</v>
      </c>
      <c r="S72" s="650">
        <v>451.18068007383562</v>
      </c>
      <c r="U72" s="648" t="s">
        <v>80</v>
      </c>
      <c r="V72" s="642">
        <v>0</v>
      </c>
      <c r="W72" s="642">
        <v>0</v>
      </c>
      <c r="X72" s="642">
        <v>2.7574808042030705</v>
      </c>
      <c r="Y72" s="642">
        <v>67.24718580242552</v>
      </c>
      <c r="Z72" s="642">
        <v>0</v>
      </c>
      <c r="AA72" s="642">
        <v>0</v>
      </c>
      <c r="AB72" s="642">
        <v>71.925876784938879</v>
      </c>
      <c r="AC72" s="642">
        <v>0</v>
      </c>
      <c r="AD72" s="642">
        <v>0</v>
      </c>
      <c r="AE72" s="642">
        <v>7.4719095336028349</v>
      </c>
      <c r="AF72" s="642">
        <v>46.984438986784113</v>
      </c>
      <c r="AG72" s="642">
        <v>1.9327369863094026</v>
      </c>
      <c r="AH72" s="642">
        <v>159.87092870367675</v>
      </c>
      <c r="AI72" s="642">
        <v>32.787807198116425</v>
      </c>
      <c r="AJ72" s="642">
        <v>0</v>
      </c>
      <c r="AK72" s="650">
        <v>390.97836480005702</v>
      </c>
    </row>
    <row r="73" spans="3:37" ht="13.5">
      <c r="C73" s="648" t="s">
        <v>81</v>
      </c>
      <c r="D73" s="642">
        <v>0</v>
      </c>
      <c r="E73" s="642">
        <v>0</v>
      </c>
      <c r="F73" s="642">
        <v>13.089485167364064</v>
      </c>
      <c r="G73" s="642">
        <v>62.329787012805554</v>
      </c>
      <c r="H73" s="642">
        <v>0</v>
      </c>
      <c r="I73" s="642">
        <v>0</v>
      </c>
      <c r="J73" s="642">
        <v>3.5803203712753549</v>
      </c>
      <c r="K73" s="642">
        <v>2.4997359764460676E-2</v>
      </c>
      <c r="L73" s="642">
        <v>0</v>
      </c>
      <c r="M73" s="642">
        <v>1.2720364696490929</v>
      </c>
      <c r="N73" s="642">
        <v>8.0745890957481183</v>
      </c>
      <c r="O73" s="642">
        <v>0.83294326034961275</v>
      </c>
      <c r="P73" s="642">
        <v>131.24016316985416</v>
      </c>
      <c r="Q73" s="642">
        <v>4.3528828563662758</v>
      </c>
      <c r="R73" s="642">
        <v>0</v>
      </c>
      <c r="S73" s="650">
        <v>224.79720476317669</v>
      </c>
      <c r="U73" s="648" t="s">
        <v>81</v>
      </c>
      <c r="V73" s="642">
        <v>0</v>
      </c>
      <c r="W73" s="642">
        <v>0</v>
      </c>
      <c r="X73" s="642">
        <v>3.9119597768221439</v>
      </c>
      <c r="Y73" s="642">
        <v>38.3508738706755</v>
      </c>
      <c r="Z73" s="642">
        <v>0</v>
      </c>
      <c r="AA73" s="642">
        <v>0</v>
      </c>
      <c r="AB73" s="642">
        <v>7.8602291254253389</v>
      </c>
      <c r="AC73" s="642">
        <v>2.4997359764460676E-2</v>
      </c>
      <c r="AD73" s="642">
        <v>0</v>
      </c>
      <c r="AE73" s="642">
        <v>4.2612082078528335</v>
      </c>
      <c r="AF73" s="642">
        <v>14.106786738135797</v>
      </c>
      <c r="AG73" s="642">
        <v>1.7661272775976942</v>
      </c>
      <c r="AH73" s="642">
        <v>123.29032263862543</v>
      </c>
      <c r="AI73" s="642">
        <v>8.5454451862110297</v>
      </c>
      <c r="AJ73" s="642">
        <v>0</v>
      </c>
      <c r="AK73" s="650">
        <v>202.11795018111022</v>
      </c>
    </row>
    <row r="74" spans="3:37" ht="13.5">
      <c r="C74" s="648" t="s">
        <v>82</v>
      </c>
      <c r="D74" s="642">
        <v>0</v>
      </c>
      <c r="E74" s="642">
        <v>0</v>
      </c>
      <c r="F74" s="642">
        <v>33.167847610565538</v>
      </c>
      <c r="G74" s="642">
        <v>2.1624159537319825</v>
      </c>
      <c r="H74" s="642">
        <v>0</v>
      </c>
      <c r="I74" s="642">
        <v>0</v>
      </c>
      <c r="J74" s="642">
        <v>1.4487991994826963</v>
      </c>
      <c r="K74" s="642">
        <v>0</v>
      </c>
      <c r="L74" s="642">
        <v>2.4657875210358444</v>
      </c>
      <c r="M74" s="642">
        <v>4.4130937831264955E-2</v>
      </c>
      <c r="N74" s="642">
        <v>0</v>
      </c>
      <c r="O74" s="642">
        <v>8.4265288301735436E-2</v>
      </c>
      <c r="P74" s="642">
        <v>7.7746258142900144</v>
      </c>
      <c r="Q74" s="642">
        <v>0</v>
      </c>
      <c r="R74" s="642">
        <v>0</v>
      </c>
      <c r="S74" s="650">
        <v>47.147872325239064</v>
      </c>
      <c r="U74" s="648" t="s">
        <v>82</v>
      </c>
      <c r="V74" s="642">
        <v>0</v>
      </c>
      <c r="W74" s="642">
        <v>0</v>
      </c>
      <c r="X74" s="642">
        <v>27.0175910939627</v>
      </c>
      <c r="Y74" s="642">
        <v>2.3189520199147382</v>
      </c>
      <c r="Z74" s="642">
        <v>0</v>
      </c>
      <c r="AA74" s="642">
        <v>0</v>
      </c>
      <c r="AB74" s="642">
        <v>1.4487991994826963</v>
      </c>
      <c r="AC74" s="642">
        <v>0</v>
      </c>
      <c r="AD74" s="642">
        <v>9.9723689588186737</v>
      </c>
      <c r="AE74" s="642">
        <v>0.257661335546082</v>
      </c>
      <c r="AF74" s="642">
        <v>0</v>
      </c>
      <c r="AG74" s="642">
        <v>0.62518456969816016</v>
      </c>
      <c r="AH74" s="642">
        <v>7.8177780162568453</v>
      </c>
      <c r="AI74" s="642">
        <v>0</v>
      </c>
      <c r="AJ74" s="642">
        <v>0.17366238047171115</v>
      </c>
      <c r="AK74" s="650">
        <v>49.631997574151612</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v>
      </c>
      <c r="Q75" s="642">
        <v>0</v>
      </c>
      <c r="R75" s="642">
        <v>0</v>
      </c>
      <c r="S75" s="650">
        <v>0</v>
      </c>
      <c r="U75" s="648" t="s">
        <v>357</v>
      </c>
      <c r="V75" s="642">
        <v>0</v>
      </c>
      <c r="W75" s="642">
        <v>0</v>
      </c>
      <c r="X75" s="642">
        <v>0</v>
      </c>
      <c r="Y75" s="642">
        <v>0</v>
      </c>
      <c r="Z75" s="642">
        <v>0</v>
      </c>
      <c r="AA75" s="642">
        <v>0</v>
      </c>
      <c r="AB75" s="642">
        <v>0</v>
      </c>
      <c r="AC75" s="642">
        <v>0</v>
      </c>
      <c r="AD75" s="642">
        <v>0</v>
      </c>
      <c r="AE75" s="642">
        <v>0</v>
      </c>
      <c r="AF75" s="642">
        <v>0</v>
      </c>
      <c r="AG75" s="642">
        <v>0</v>
      </c>
      <c r="AH75" s="642">
        <v>0.6</v>
      </c>
      <c r="AI75" s="642">
        <v>0</v>
      </c>
      <c r="AJ75" s="642">
        <v>0</v>
      </c>
      <c r="AK75" s="650">
        <v>0.6</v>
      </c>
    </row>
    <row r="76" spans="3:37" ht="13.5">
      <c r="C76" s="646" t="s">
        <v>83</v>
      </c>
      <c r="D76" s="647">
        <v>6.5032741679727843</v>
      </c>
      <c r="E76" s="647">
        <v>0</v>
      </c>
      <c r="F76" s="647">
        <v>446.98906993274153</v>
      </c>
      <c r="G76" s="647">
        <v>287.95017750573197</v>
      </c>
      <c r="H76" s="647">
        <v>0</v>
      </c>
      <c r="I76" s="647">
        <v>0</v>
      </c>
      <c r="J76" s="647">
        <v>102.29885085722037</v>
      </c>
      <c r="K76" s="647">
        <v>1.8026731844749846</v>
      </c>
      <c r="L76" s="647">
        <v>36.783626860690426</v>
      </c>
      <c r="M76" s="647">
        <v>5.8953050861011809</v>
      </c>
      <c r="N76" s="647">
        <v>49.514351265721807</v>
      </c>
      <c r="O76" s="647">
        <v>2.8493182047113157</v>
      </c>
      <c r="P76" s="647">
        <v>454.71077961406559</v>
      </c>
      <c r="Q76" s="647">
        <v>36.463227585949028</v>
      </c>
      <c r="R76" s="647">
        <v>0.71363666999870479</v>
      </c>
      <c r="S76" s="647">
        <v>1432.4742909353797</v>
      </c>
      <c r="U76" s="646" t="s">
        <v>83</v>
      </c>
      <c r="V76" s="647">
        <v>0.86555588121413052</v>
      </c>
      <c r="W76" s="647">
        <v>0</v>
      </c>
      <c r="X76" s="647">
        <v>322.32974487500439</v>
      </c>
      <c r="Y76" s="647">
        <v>200.24022350086713</v>
      </c>
      <c r="Z76" s="647">
        <v>0</v>
      </c>
      <c r="AA76" s="647">
        <v>0</v>
      </c>
      <c r="AB76" s="647">
        <v>98.323998973757497</v>
      </c>
      <c r="AC76" s="647">
        <v>6.032015642283147</v>
      </c>
      <c r="AD76" s="647">
        <v>47.797299277671243</v>
      </c>
      <c r="AE76" s="647">
        <v>22.267684573608886</v>
      </c>
      <c r="AF76" s="647">
        <v>61.091225724919909</v>
      </c>
      <c r="AG76" s="647">
        <v>4.3244315081583782</v>
      </c>
      <c r="AH76" s="647">
        <v>456.67759211018512</v>
      </c>
      <c r="AI76" s="647">
        <v>61.66120404388996</v>
      </c>
      <c r="AJ76" s="647">
        <v>5.7410832250574444</v>
      </c>
      <c r="AK76" s="647">
        <v>1287.352059336617</v>
      </c>
    </row>
    <row r="77" spans="3:37" ht="13.5">
      <c r="C77" s="641" t="s">
        <v>84</v>
      </c>
      <c r="D77" s="642">
        <v>0</v>
      </c>
      <c r="E77" s="642">
        <v>0</v>
      </c>
      <c r="F77" s="642">
        <v>120.50577840542185</v>
      </c>
      <c r="G77" s="642">
        <v>12.411293173801123</v>
      </c>
      <c r="H77" s="642">
        <v>0</v>
      </c>
      <c r="I77" s="642">
        <v>0</v>
      </c>
      <c r="J77" s="642">
        <v>0</v>
      </c>
      <c r="K77" s="642">
        <v>0</v>
      </c>
      <c r="L77" s="642">
        <v>0</v>
      </c>
      <c r="M77" s="642">
        <v>0</v>
      </c>
      <c r="N77" s="642">
        <v>0</v>
      </c>
      <c r="O77" s="642">
        <v>0</v>
      </c>
      <c r="P77" s="642">
        <v>0</v>
      </c>
      <c r="Q77" s="642">
        <v>0</v>
      </c>
      <c r="R77" s="642">
        <v>0</v>
      </c>
      <c r="S77" s="650">
        <v>132.91707157922298</v>
      </c>
      <c r="U77" s="641" t="s">
        <v>84</v>
      </c>
      <c r="V77" s="642">
        <v>0</v>
      </c>
      <c r="W77" s="642">
        <v>0</v>
      </c>
      <c r="X77" s="642">
        <v>117.28279502427566</v>
      </c>
      <c r="Y77" s="642">
        <v>1.8168604665649504</v>
      </c>
      <c r="Z77" s="642">
        <v>0</v>
      </c>
      <c r="AA77" s="642">
        <v>0</v>
      </c>
      <c r="AB77" s="642">
        <v>0</v>
      </c>
      <c r="AC77" s="642">
        <v>0</v>
      </c>
      <c r="AD77" s="642">
        <v>0.35207966308593752</v>
      </c>
      <c r="AE77" s="642">
        <v>0</v>
      </c>
      <c r="AF77" s="642">
        <v>0</v>
      </c>
      <c r="AG77" s="642">
        <v>0</v>
      </c>
      <c r="AH77" s="642">
        <v>0</v>
      </c>
      <c r="AI77" s="642">
        <v>0</v>
      </c>
      <c r="AJ77" s="642">
        <v>1.7189814819335938</v>
      </c>
      <c r="AK77" s="650">
        <v>121.17071663586013</v>
      </c>
    </row>
    <row r="78" spans="3:37" ht="13.5">
      <c r="C78" s="646" t="s">
        <v>85</v>
      </c>
      <c r="D78" s="647">
        <v>6.5032741679727843</v>
      </c>
      <c r="E78" s="647">
        <v>0</v>
      </c>
      <c r="F78" s="647">
        <v>567.49484833816337</v>
      </c>
      <c r="G78" s="647">
        <v>300.36147067953311</v>
      </c>
      <c r="H78" s="647">
        <v>0</v>
      </c>
      <c r="I78" s="647">
        <v>0</v>
      </c>
      <c r="J78" s="647">
        <v>102.29885085722037</v>
      </c>
      <c r="K78" s="647">
        <v>1.8026731844749846</v>
      </c>
      <c r="L78" s="647">
        <v>36.783626860690426</v>
      </c>
      <c r="M78" s="647">
        <v>5.8953050861011809</v>
      </c>
      <c r="N78" s="647">
        <v>49.514351265721807</v>
      </c>
      <c r="O78" s="647">
        <v>2.8493182047113157</v>
      </c>
      <c r="P78" s="647">
        <v>454.71077961406559</v>
      </c>
      <c r="Q78" s="647">
        <v>36.463227585949028</v>
      </c>
      <c r="R78" s="647">
        <v>0.71363666999870479</v>
      </c>
      <c r="S78" s="647">
        <v>1565.3913625146026</v>
      </c>
      <c r="U78" s="646" t="s">
        <v>85</v>
      </c>
      <c r="V78" s="647">
        <v>0.86555588121413052</v>
      </c>
      <c r="W78" s="647">
        <v>0</v>
      </c>
      <c r="X78" s="647">
        <v>439.61253989928008</v>
      </c>
      <c r="Y78" s="647">
        <v>202.05708396743208</v>
      </c>
      <c r="Z78" s="647">
        <v>0</v>
      </c>
      <c r="AA78" s="647">
        <v>0</v>
      </c>
      <c r="AB78" s="647">
        <v>98.323998973757497</v>
      </c>
      <c r="AC78" s="647">
        <v>6.032015642283147</v>
      </c>
      <c r="AD78" s="647">
        <v>48.149378940757181</v>
      </c>
      <c r="AE78" s="647">
        <v>22.267684573608886</v>
      </c>
      <c r="AF78" s="647">
        <v>61.091225724919909</v>
      </c>
      <c r="AG78" s="647">
        <v>4.3244315081583782</v>
      </c>
      <c r="AH78" s="647">
        <v>456.67759211018512</v>
      </c>
      <c r="AI78" s="647">
        <v>61.66120404388996</v>
      </c>
      <c r="AJ78" s="647">
        <v>7.4600647069910382</v>
      </c>
      <c r="AK78" s="647">
        <v>1408.5227759724771</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360</v>
      </c>
      <c r="D80" s="699"/>
      <c r="E80" s="699"/>
      <c r="F80" s="699"/>
      <c r="G80" s="699"/>
      <c r="H80" s="699"/>
      <c r="I80" s="699"/>
      <c r="J80" s="699"/>
      <c r="K80" s="699"/>
      <c r="L80" s="699"/>
      <c r="M80" s="699"/>
      <c r="N80" s="699"/>
      <c r="O80" s="699"/>
      <c r="P80" s="699"/>
      <c r="Q80" s="699"/>
      <c r="R80" s="699"/>
      <c r="S80" s="699"/>
      <c r="U80" s="699" t="s">
        <v>360</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7.3966799999999999</v>
      </c>
      <c r="F84" s="643">
        <v>0</v>
      </c>
      <c r="G84" s="642">
        <v>0.13025600000000001</v>
      </c>
      <c r="H84" s="643">
        <v>1121.3636363636365</v>
      </c>
      <c r="I84" s="643">
        <v>207.57369132422022</v>
      </c>
      <c r="J84" s="643">
        <v>190.75115787672021</v>
      </c>
      <c r="K84" s="643">
        <v>21.756321957796004</v>
      </c>
      <c r="L84" s="643">
        <v>0.34997737871272444</v>
      </c>
      <c r="M84" s="643">
        <v>0.14846473955328648</v>
      </c>
      <c r="N84" s="643">
        <v>54.409714472774652</v>
      </c>
      <c r="O84" s="643">
        <v>8.1015620286034657</v>
      </c>
      <c r="P84" s="644">
        <v>0</v>
      </c>
      <c r="Q84" s="643">
        <v>0</v>
      </c>
      <c r="R84" s="643">
        <v>0</v>
      </c>
      <c r="S84" s="645">
        <v>1611.9814621420169</v>
      </c>
      <c r="U84" s="641" t="s">
        <v>59</v>
      </c>
      <c r="V84" s="642">
        <v>0</v>
      </c>
      <c r="W84" s="643">
        <v>7.3966799999999999</v>
      </c>
      <c r="X84" s="643">
        <v>0</v>
      </c>
      <c r="Y84" s="642">
        <v>0.13025600000000001</v>
      </c>
      <c r="Z84" s="643">
        <v>1024.3939393939395</v>
      </c>
      <c r="AA84" s="643">
        <v>228.1236913242202</v>
      </c>
      <c r="AB84" s="643">
        <v>188.80425896422437</v>
      </c>
      <c r="AC84" s="643">
        <v>37.588366510920622</v>
      </c>
      <c r="AD84" s="643">
        <v>0.34997737871272444</v>
      </c>
      <c r="AE84" s="643">
        <v>0.14846473955328648</v>
      </c>
      <c r="AF84" s="643">
        <v>70.498567758341522</v>
      </c>
      <c r="AG84" s="643">
        <v>15.201618538088493</v>
      </c>
      <c r="AH84" s="644">
        <v>0</v>
      </c>
      <c r="AI84" s="643">
        <v>0</v>
      </c>
      <c r="AJ84" s="643">
        <v>0</v>
      </c>
      <c r="AK84" s="645">
        <v>1572.6358206080006</v>
      </c>
    </row>
    <row r="85" spans="3:37" ht="13.5">
      <c r="C85" s="641" t="s">
        <v>60</v>
      </c>
      <c r="D85" s="642">
        <v>48.993463204278932</v>
      </c>
      <c r="E85" s="643">
        <v>524.37115290345116</v>
      </c>
      <c r="F85" s="643">
        <v>128.47715148642752</v>
      </c>
      <c r="G85" s="642">
        <v>338.60190682175607</v>
      </c>
      <c r="H85" s="643">
        <v>0</v>
      </c>
      <c r="I85" s="643">
        <v>0</v>
      </c>
      <c r="J85" s="643">
        <v>3.4492102766833175</v>
      </c>
      <c r="K85" s="643">
        <v>0</v>
      </c>
      <c r="L85" s="643">
        <v>1.9497058389942057</v>
      </c>
      <c r="M85" s="643">
        <v>0</v>
      </c>
      <c r="N85" s="643">
        <v>0</v>
      </c>
      <c r="O85" s="643">
        <v>0</v>
      </c>
      <c r="P85" s="644">
        <v>0</v>
      </c>
      <c r="Q85" s="643">
        <v>0</v>
      </c>
      <c r="R85" s="643">
        <v>0</v>
      </c>
      <c r="S85" s="645">
        <v>1045.8425905315912</v>
      </c>
      <c r="U85" s="641" t="s">
        <v>60</v>
      </c>
      <c r="V85" s="642">
        <v>10.847134235204434</v>
      </c>
      <c r="W85" s="643">
        <v>365.76498082844296</v>
      </c>
      <c r="X85" s="643">
        <v>91.958139733680838</v>
      </c>
      <c r="Y85" s="642">
        <v>234.76100914366791</v>
      </c>
      <c r="Z85" s="643">
        <v>0</v>
      </c>
      <c r="AA85" s="643">
        <v>0</v>
      </c>
      <c r="AB85" s="643">
        <v>3.4492102766833175</v>
      </c>
      <c r="AC85" s="643">
        <v>0</v>
      </c>
      <c r="AD85" s="643">
        <v>1.9497058389942057</v>
      </c>
      <c r="AE85" s="643">
        <v>0</v>
      </c>
      <c r="AF85" s="643">
        <v>0</v>
      </c>
      <c r="AG85" s="643">
        <v>0</v>
      </c>
      <c r="AH85" s="644">
        <v>0</v>
      </c>
      <c r="AI85" s="643">
        <v>0</v>
      </c>
      <c r="AJ85" s="643">
        <v>0</v>
      </c>
      <c r="AK85" s="645">
        <v>708.7301800566737</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-60.003896317889257</v>
      </c>
      <c r="Q86" s="643">
        <v>0</v>
      </c>
      <c r="R86" s="643">
        <v>0</v>
      </c>
      <c r="S86" s="645">
        <v>-60.003896317889257</v>
      </c>
      <c r="U86" s="641" t="s">
        <v>61</v>
      </c>
      <c r="V86" s="642">
        <v>0</v>
      </c>
      <c r="W86" s="643">
        <v>0</v>
      </c>
      <c r="X86" s="643">
        <v>0</v>
      </c>
      <c r="Y86" s="642">
        <v>0</v>
      </c>
      <c r="Z86" s="643">
        <v>0</v>
      </c>
      <c r="AA86" s="643">
        <v>0</v>
      </c>
      <c r="AB86" s="643">
        <v>0</v>
      </c>
      <c r="AC86" s="643">
        <v>0</v>
      </c>
      <c r="AD86" s="643">
        <v>0</v>
      </c>
      <c r="AE86" s="643">
        <v>0</v>
      </c>
      <c r="AF86" s="643">
        <v>0</v>
      </c>
      <c r="AG86" s="643">
        <v>0</v>
      </c>
      <c r="AH86" s="644">
        <v>-43.289743938015249</v>
      </c>
      <c r="AI86" s="643">
        <v>0</v>
      </c>
      <c r="AJ86" s="643">
        <v>0</v>
      </c>
      <c r="AK86" s="645">
        <v>-43.289743938015249</v>
      </c>
    </row>
    <row r="87" spans="3:37" ht="13.5">
      <c r="C87" s="641" t="s">
        <v>62</v>
      </c>
      <c r="D87" s="642">
        <v>0</v>
      </c>
      <c r="E87" s="643">
        <v>0</v>
      </c>
      <c r="F87" s="643">
        <v>-16.352432750095883</v>
      </c>
      <c r="G87" s="642">
        <v>0</v>
      </c>
      <c r="H87" s="643">
        <v>0</v>
      </c>
      <c r="I87" s="643">
        <v>0</v>
      </c>
      <c r="J87" s="643">
        <v>0</v>
      </c>
      <c r="K87" s="643">
        <v>0</v>
      </c>
      <c r="L87" s="643">
        <v>0</v>
      </c>
      <c r="M87" s="643">
        <v>0</v>
      </c>
      <c r="N87" s="643">
        <v>0</v>
      </c>
      <c r="O87" s="643">
        <v>0</v>
      </c>
      <c r="P87" s="644">
        <v>0</v>
      </c>
      <c r="Q87" s="643">
        <v>0</v>
      </c>
      <c r="R87" s="643">
        <v>0</v>
      </c>
      <c r="S87" s="645">
        <v>-16.352432750095883</v>
      </c>
      <c r="U87" s="641" t="s">
        <v>62</v>
      </c>
      <c r="V87" s="642">
        <v>0</v>
      </c>
      <c r="W87" s="643">
        <v>0</v>
      </c>
      <c r="X87" s="643">
        <v>-14.208433022133823</v>
      </c>
      <c r="Y87" s="642">
        <v>-0.95675088928507923</v>
      </c>
      <c r="Z87" s="643">
        <v>0</v>
      </c>
      <c r="AA87" s="643">
        <v>0</v>
      </c>
      <c r="AB87" s="643">
        <v>0</v>
      </c>
      <c r="AC87" s="643">
        <v>0</v>
      </c>
      <c r="AD87" s="643">
        <v>0</v>
      </c>
      <c r="AE87" s="643">
        <v>-0.16736955973660289</v>
      </c>
      <c r="AF87" s="643">
        <v>0</v>
      </c>
      <c r="AG87" s="643">
        <v>0</v>
      </c>
      <c r="AH87" s="644">
        <v>0</v>
      </c>
      <c r="AI87" s="643">
        <v>0</v>
      </c>
      <c r="AJ87" s="643">
        <v>0</v>
      </c>
      <c r="AK87" s="645">
        <v>-15.332553471155505</v>
      </c>
    </row>
    <row r="88" spans="3:37" ht="13.5">
      <c r="C88" s="641" t="s">
        <v>63</v>
      </c>
      <c r="D88" s="642">
        <v>0</v>
      </c>
      <c r="E88" s="643">
        <v>0</v>
      </c>
      <c r="F88" s="643">
        <v>-82.364123594751035</v>
      </c>
      <c r="G88" s="642">
        <v>0</v>
      </c>
      <c r="H88" s="643">
        <v>0</v>
      </c>
      <c r="I88" s="643">
        <v>0</v>
      </c>
      <c r="J88" s="643">
        <v>0</v>
      </c>
      <c r="K88" s="643">
        <v>0</v>
      </c>
      <c r="L88" s="643">
        <v>-0.84952974503182688</v>
      </c>
      <c r="M88" s="643">
        <v>0</v>
      </c>
      <c r="N88" s="643">
        <v>0</v>
      </c>
      <c r="O88" s="643">
        <v>0</v>
      </c>
      <c r="P88" s="644">
        <v>0</v>
      </c>
      <c r="Q88" s="643">
        <v>0</v>
      </c>
      <c r="R88" s="643">
        <v>0</v>
      </c>
      <c r="S88" s="645">
        <v>-83.213653339782866</v>
      </c>
      <c r="U88" s="641" t="s">
        <v>63</v>
      </c>
      <c r="V88" s="642">
        <v>0</v>
      </c>
      <c r="W88" s="643">
        <v>0</v>
      </c>
      <c r="X88" s="643">
        <v>-71.599112277853877</v>
      </c>
      <c r="Y88" s="642">
        <v>0</v>
      </c>
      <c r="Z88" s="643">
        <v>0</v>
      </c>
      <c r="AA88" s="643">
        <v>0</v>
      </c>
      <c r="AB88" s="643">
        <v>0</v>
      </c>
      <c r="AC88" s="643">
        <v>0</v>
      </c>
      <c r="AD88" s="643">
        <v>-10.622786066784549</v>
      </c>
      <c r="AE88" s="643">
        <v>0</v>
      </c>
      <c r="AF88" s="643">
        <v>0</v>
      </c>
      <c r="AG88" s="643">
        <v>0</v>
      </c>
      <c r="AH88" s="644">
        <v>0</v>
      </c>
      <c r="AI88" s="643">
        <v>0</v>
      </c>
      <c r="AJ88" s="643">
        <v>0</v>
      </c>
      <c r="AK88" s="645">
        <v>-82.221898344638419</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48.993463204278932</v>
      </c>
      <c r="E90" s="647">
        <v>531.76783290345111</v>
      </c>
      <c r="F90" s="647">
        <v>29.760595141580591</v>
      </c>
      <c r="G90" s="647">
        <v>338.73216282175605</v>
      </c>
      <c r="H90" s="647">
        <v>1121.3636363636365</v>
      </c>
      <c r="I90" s="647">
        <v>207.57369132422022</v>
      </c>
      <c r="J90" s="647">
        <v>194.20036815340353</v>
      </c>
      <c r="K90" s="647">
        <v>21.756321957796004</v>
      </c>
      <c r="L90" s="647">
        <v>1.4501534726751033</v>
      </c>
      <c r="M90" s="647">
        <v>0.14846473955328648</v>
      </c>
      <c r="N90" s="647">
        <v>54.409714472774652</v>
      </c>
      <c r="O90" s="647">
        <v>8.1015620286034657</v>
      </c>
      <c r="P90" s="647">
        <v>-60.003896317889257</v>
      </c>
      <c r="Q90" s="647">
        <v>0</v>
      </c>
      <c r="R90" s="647">
        <v>0</v>
      </c>
      <c r="S90" s="647">
        <v>2498.2540702658398</v>
      </c>
      <c r="U90" s="646" t="s">
        <v>65</v>
      </c>
      <c r="V90" s="647">
        <v>10.847134235204434</v>
      </c>
      <c r="W90" s="647">
        <v>373.16166082844296</v>
      </c>
      <c r="X90" s="647">
        <v>6.1505944336931329</v>
      </c>
      <c r="Y90" s="647">
        <v>233.93451425438283</v>
      </c>
      <c r="Z90" s="647">
        <v>1024.3939393939395</v>
      </c>
      <c r="AA90" s="647">
        <v>228.1236913242202</v>
      </c>
      <c r="AB90" s="647">
        <v>192.25346924090769</v>
      </c>
      <c r="AC90" s="647">
        <v>37.588366510920622</v>
      </c>
      <c r="AD90" s="647">
        <v>-8.3231028490776193</v>
      </c>
      <c r="AE90" s="647">
        <v>-1.8904820183316406E-2</v>
      </c>
      <c r="AF90" s="647">
        <v>70.498567758341522</v>
      </c>
      <c r="AG90" s="647">
        <v>15.201618538088493</v>
      </c>
      <c r="AH90" s="647">
        <v>-43.289743938015249</v>
      </c>
      <c r="AI90" s="647">
        <v>0</v>
      </c>
      <c r="AJ90" s="647">
        <v>0</v>
      </c>
      <c r="AK90" s="647">
        <v>2140.5218049108653</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7.7941116668718937</v>
      </c>
      <c r="G93" s="642">
        <v>17.578475336322871</v>
      </c>
      <c r="H93" s="642">
        <v>1121.3636363636365</v>
      </c>
      <c r="I93" s="642">
        <v>207.57369132422022</v>
      </c>
      <c r="J93" s="651">
        <v>30.869450548245954</v>
      </c>
      <c r="K93" s="651">
        <v>7.6561165469613854</v>
      </c>
      <c r="L93" s="651">
        <v>2.2996832177069302</v>
      </c>
      <c r="M93" s="651">
        <v>0.47494016865067573</v>
      </c>
      <c r="N93" s="651">
        <v>0</v>
      </c>
      <c r="O93" s="651">
        <v>3.0833964576427819</v>
      </c>
      <c r="P93" s="642">
        <v>-607.79183020434141</v>
      </c>
      <c r="Q93" s="642">
        <v>0</v>
      </c>
      <c r="R93" s="642">
        <v>0</v>
      </c>
      <c r="S93" s="650">
        <v>793.72845706694284</v>
      </c>
      <c r="U93" s="648" t="s">
        <v>350</v>
      </c>
      <c r="V93" s="642">
        <v>0.62631490545869017</v>
      </c>
      <c r="W93" s="642">
        <v>0</v>
      </c>
      <c r="X93" s="642">
        <v>3.93047530323553</v>
      </c>
      <c r="Y93" s="642">
        <v>32.755695067264575</v>
      </c>
      <c r="Z93" s="642">
        <v>1024.3939393939395</v>
      </c>
      <c r="AA93" s="642">
        <v>228.1236913242202</v>
      </c>
      <c r="AB93" s="651">
        <v>25.192532039575013</v>
      </c>
      <c r="AC93" s="651">
        <v>7.1226809684101786</v>
      </c>
      <c r="AD93" s="651">
        <v>2.2996832177069302</v>
      </c>
      <c r="AE93" s="651">
        <v>5.010724922013905</v>
      </c>
      <c r="AF93" s="651">
        <v>0</v>
      </c>
      <c r="AG93" s="651">
        <v>3.0833964576427819</v>
      </c>
      <c r="AH93" s="642">
        <v>-605.04183020434141</v>
      </c>
      <c r="AI93" s="642">
        <v>0</v>
      </c>
      <c r="AJ93" s="642">
        <v>1.4249999999999998</v>
      </c>
      <c r="AK93" s="650">
        <v>728.92230339512548</v>
      </c>
    </row>
    <row r="94" spans="3:37" ht="13.5">
      <c r="C94" s="648" t="s">
        <v>351</v>
      </c>
      <c r="D94" s="642">
        <v>0</v>
      </c>
      <c r="E94" s="642">
        <v>0</v>
      </c>
      <c r="F94" s="642">
        <v>0</v>
      </c>
      <c r="G94" s="642">
        <v>15.306890454029709</v>
      </c>
      <c r="H94" s="642">
        <v>0</v>
      </c>
      <c r="I94" s="642">
        <v>0</v>
      </c>
      <c r="J94" s="651">
        <v>13.130836985616687</v>
      </c>
      <c r="K94" s="651">
        <v>12.274327089138302</v>
      </c>
      <c r="L94" s="651">
        <v>0</v>
      </c>
      <c r="M94" s="651">
        <v>0.32594257421966627</v>
      </c>
      <c r="N94" s="651">
        <v>0</v>
      </c>
      <c r="O94" s="651">
        <v>2.1777173090422202</v>
      </c>
      <c r="P94" s="642">
        <v>0</v>
      </c>
      <c r="Q94" s="642">
        <v>-38.962978394907431</v>
      </c>
      <c r="R94" s="642">
        <v>0</v>
      </c>
      <c r="S94" s="650">
        <v>4.2527360171391511</v>
      </c>
      <c r="U94" s="648" t="s">
        <v>351</v>
      </c>
      <c r="V94" s="642">
        <v>0</v>
      </c>
      <c r="W94" s="642">
        <v>0</v>
      </c>
      <c r="X94" s="642">
        <v>0</v>
      </c>
      <c r="Y94" s="642">
        <v>16.285163933286896</v>
      </c>
      <c r="Z94" s="642">
        <v>0</v>
      </c>
      <c r="AA94" s="642">
        <v>0</v>
      </c>
      <c r="AB94" s="651">
        <v>27.330859307935192</v>
      </c>
      <c r="AC94" s="651">
        <v>24.40929016388429</v>
      </c>
      <c r="AD94" s="651">
        <v>0</v>
      </c>
      <c r="AE94" s="651">
        <v>2.4469723551258755</v>
      </c>
      <c r="AF94" s="651">
        <v>0</v>
      </c>
      <c r="AG94" s="651">
        <v>7.1814032045118834</v>
      </c>
      <c r="AH94" s="642">
        <v>0</v>
      </c>
      <c r="AI94" s="642">
        <v>-70.686462815005612</v>
      </c>
      <c r="AJ94" s="642">
        <v>0</v>
      </c>
      <c r="AK94" s="650">
        <v>6.967226149738531</v>
      </c>
    </row>
    <row r="95" spans="3:37" ht="13.5">
      <c r="C95" s="648" t="s">
        <v>352</v>
      </c>
      <c r="D95" s="642">
        <v>0</v>
      </c>
      <c r="E95" s="642">
        <v>0</v>
      </c>
      <c r="F95" s="642">
        <v>0</v>
      </c>
      <c r="G95" s="642">
        <v>0</v>
      </c>
      <c r="H95" s="642">
        <v>0</v>
      </c>
      <c r="I95" s="642">
        <v>0</v>
      </c>
      <c r="J95" s="652">
        <v>7.549386302639002</v>
      </c>
      <c r="K95" s="652">
        <v>0</v>
      </c>
      <c r="L95" s="652">
        <v>0</v>
      </c>
      <c r="M95" s="652">
        <v>-6.6642207586545794</v>
      </c>
      <c r="N95" s="652">
        <v>0</v>
      </c>
      <c r="O95" s="652">
        <v>0</v>
      </c>
      <c r="P95" s="642">
        <v>0</v>
      </c>
      <c r="Q95" s="642">
        <v>0</v>
      </c>
      <c r="R95" s="642">
        <v>0</v>
      </c>
      <c r="S95" s="650">
        <v>0.8851655439844226</v>
      </c>
      <c r="U95" s="648" t="s">
        <v>352</v>
      </c>
      <c r="V95" s="642">
        <v>0</v>
      </c>
      <c r="W95" s="642">
        <v>0</v>
      </c>
      <c r="X95" s="642">
        <v>0</v>
      </c>
      <c r="Y95" s="642">
        <v>0</v>
      </c>
      <c r="Z95" s="642">
        <v>0</v>
      </c>
      <c r="AA95" s="642">
        <v>0</v>
      </c>
      <c r="AB95" s="652">
        <v>39.489443827479029</v>
      </c>
      <c r="AC95" s="652">
        <v>0</v>
      </c>
      <c r="AD95" s="652">
        <v>0</v>
      </c>
      <c r="AE95" s="652">
        <v>-34.859306538707116</v>
      </c>
      <c r="AF95" s="652">
        <v>0</v>
      </c>
      <c r="AG95" s="652">
        <v>0</v>
      </c>
      <c r="AH95" s="642">
        <v>0</v>
      </c>
      <c r="AI95" s="642">
        <v>0</v>
      </c>
      <c r="AJ95" s="642">
        <v>0</v>
      </c>
      <c r="AK95" s="650">
        <v>4.6301372887719126</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550.85495716936975</v>
      </c>
      <c r="F97" s="642">
        <v>-545.34640759767603</v>
      </c>
      <c r="G97" s="642">
        <v>0</v>
      </c>
      <c r="H97" s="642">
        <v>0</v>
      </c>
      <c r="I97" s="642">
        <v>0</v>
      </c>
      <c r="J97" s="642">
        <v>0</v>
      </c>
      <c r="K97" s="642">
        <v>0</v>
      </c>
      <c r="L97" s="642">
        <v>0</v>
      </c>
      <c r="M97" s="642">
        <v>0</v>
      </c>
      <c r="N97" s="642">
        <v>0</v>
      </c>
      <c r="O97" s="642">
        <v>0</v>
      </c>
      <c r="P97" s="642">
        <v>0</v>
      </c>
      <c r="Q97" s="642">
        <v>0</v>
      </c>
      <c r="R97" s="642">
        <v>0</v>
      </c>
      <c r="S97" s="650">
        <v>5.5085495716937203</v>
      </c>
      <c r="U97" s="648" t="s">
        <v>72</v>
      </c>
      <c r="V97" s="642">
        <v>0</v>
      </c>
      <c r="W97" s="642">
        <v>386.55581999113582</v>
      </c>
      <c r="X97" s="642">
        <v>-382.69026179122449</v>
      </c>
      <c r="Y97" s="642">
        <v>0</v>
      </c>
      <c r="Z97" s="642">
        <v>0</v>
      </c>
      <c r="AA97" s="642">
        <v>0</v>
      </c>
      <c r="AB97" s="642">
        <v>0</v>
      </c>
      <c r="AC97" s="642">
        <v>0</v>
      </c>
      <c r="AD97" s="642">
        <v>0</v>
      </c>
      <c r="AE97" s="642">
        <v>0</v>
      </c>
      <c r="AF97" s="642">
        <v>0</v>
      </c>
      <c r="AG97" s="642">
        <v>0</v>
      </c>
      <c r="AH97" s="642">
        <v>0</v>
      </c>
      <c r="AI97" s="642">
        <v>0</v>
      </c>
      <c r="AJ97" s="642">
        <v>0</v>
      </c>
      <c r="AK97" s="650">
        <v>3.8655581999113338</v>
      </c>
    </row>
    <row r="98" spans="3:37" ht="13.5">
      <c r="C98" s="648" t="s">
        <v>354</v>
      </c>
      <c r="D98" s="642">
        <v>0</v>
      </c>
      <c r="E98" s="642">
        <v>0</v>
      </c>
      <c r="F98" s="642">
        <v>0</v>
      </c>
      <c r="G98" s="642">
        <v>0</v>
      </c>
      <c r="H98" s="642">
        <v>0</v>
      </c>
      <c r="I98" s="642">
        <v>0</v>
      </c>
      <c r="J98" s="642">
        <v>34.694031238964726</v>
      </c>
      <c r="K98" s="642">
        <v>0</v>
      </c>
      <c r="L98" s="642">
        <v>-34.694031238964726</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-64.13008508665132</v>
      </c>
      <c r="AE98" s="642">
        <v>0</v>
      </c>
      <c r="AF98" s="642">
        <v>0</v>
      </c>
      <c r="AG98" s="642">
        <v>0</v>
      </c>
      <c r="AH98" s="642">
        <v>0</v>
      </c>
      <c r="AI98" s="642">
        <v>0</v>
      </c>
      <c r="AJ98" s="642">
        <v>0</v>
      </c>
      <c r="AK98" s="650">
        <v>-64.13008508665132</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-12.704571841330187</v>
      </c>
      <c r="AE99" s="642">
        <v>0</v>
      </c>
      <c r="AF99" s="642">
        <v>0</v>
      </c>
      <c r="AG99" s="642">
        <v>0</v>
      </c>
      <c r="AH99" s="642">
        <v>0</v>
      </c>
      <c r="AI99" s="642">
        <v>0</v>
      </c>
      <c r="AJ99" s="642">
        <v>0</v>
      </c>
      <c r="AK99" s="650">
        <v>-12.704571841330187</v>
      </c>
    </row>
    <row r="100" spans="3:37" ht="13.5">
      <c r="C100" s="648" t="s">
        <v>73</v>
      </c>
      <c r="D100" s="642">
        <v>0</v>
      </c>
      <c r="E100" s="642">
        <v>0</v>
      </c>
      <c r="F100" s="642">
        <v>0</v>
      </c>
      <c r="G100" s="642">
        <v>2.1153211001028303</v>
      </c>
      <c r="H100" s="642">
        <v>0</v>
      </c>
      <c r="I100" s="642">
        <v>0</v>
      </c>
      <c r="J100" s="642">
        <v>0</v>
      </c>
      <c r="K100" s="642">
        <v>2.387711193000305E-2</v>
      </c>
      <c r="L100" s="642">
        <v>0</v>
      </c>
      <c r="M100" s="642">
        <v>4.3169818369445515E-2</v>
      </c>
      <c r="N100" s="642">
        <v>0</v>
      </c>
      <c r="O100" s="642">
        <v>0</v>
      </c>
      <c r="P100" s="642">
        <v>0.21762333659139796</v>
      </c>
      <c r="Q100" s="642">
        <v>0</v>
      </c>
      <c r="R100" s="642">
        <v>-1.6713978351002134</v>
      </c>
      <c r="S100" s="650">
        <v>0.72859353189346332</v>
      </c>
      <c r="U100" s="648" t="s">
        <v>73</v>
      </c>
      <c r="V100" s="642">
        <v>0</v>
      </c>
      <c r="W100" s="642">
        <v>0</v>
      </c>
      <c r="X100" s="642">
        <v>0</v>
      </c>
      <c r="Y100" s="642">
        <v>5.6183676161021641</v>
      </c>
      <c r="Z100" s="642">
        <v>0</v>
      </c>
      <c r="AA100" s="642">
        <v>0</v>
      </c>
      <c r="AB100" s="642">
        <v>0</v>
      </c>
      <c r="AC100" s="642">
        <v>0.19393074509344391</v>
      </c>
      <c r="AD100" s="642">
        <v>0</v>
      </c>
      <c r="AE100" s="642">
        <v>0.83952619550951879</v>
      </c>
      <c r="AF100" s="642">
        <v>0</v>
      </c>
      <c r="AG100" s="642">
        <v>0</v>
      </c>
      <c r="AH100" s="642">
        <v>13.50321720945872</v>
      </c>
      <c r="AI100" s="642">
        <v>0</v>
      </c>
      <c r="AJ100" s="642">
        <v>-13.575152156541073</v>
      </c>
      <c r="AK100" s="650">
        <v>6.579889609622775</v>
      </c>
    </row>
    <row r="101" spans="3:37" ht="13.5">
      <c r="C101" s="648" t="s">
        <v>356</v>
      </c>
      <c r="D101" s="642">
        <v>28.669681406249996</v>
      </c>
      <c r="E101" s="642">
        <v>-19.087124265918664</v>
      </c>
      <c r="F101" s="642">
        <v>24.964831154950382</v>
      </c>
      <c r="G101" s="642">
        <v>0</v>
      </c>
      <c r="H101" s="642">
        <v>0</v>
      </c>
      <c r="I101" s="642">
        <v>0</v>
      </c>
      <c r="J101" s="642">
        <v>0</v>
      </c>
      <c r="K101" s="642">
        <v>0</v>
      </c>
      <c r="L101" s="642">
        <v>0</v>
      </c>
      <c r="M101" s="642">
        <v>0</v>
      </c>
      <c r="N101" s="642">
        <v>0</v>
      </c>
      <c r="O101" s="642">
        <v>0</v>
      </c>
      <c r="P101" s="642">
        <v>0</v>
      </c>
      <c r="Q101" s="642">
        <v>0</v>
      </c>
      <c r="R101" s="642">
        <v>0</v>
      </c>
      <c r="S101" s="650">
        <v>34.547388295281714</v>
      </c>
      <c r="U101" s="648" t="s">
        <v>356</v>
      </c>
      <c r="V101" s="642">
        <v>4.3307530517578128</v>
      </c>
      <c r="W101" s="642">
        <v>-13.394159162692858</v>
      </c>
      <c r="X101" s="642">
        <v>17.518769056071054</v>
      </c>
      <c r="Y101" s="642">
        <v>0</v>
      </c>
      <c r="Z101" s="642">
        <v>0</v>
      </c>
      <c r="AA101" s="642">
        <v>0</v>
      </c>
      <c r="AB101" s="642">
        <v>0</v>
      </c>
      <c r="AC101" s="642">
        <v>0</v>
      </c>
      <c r="AD101" s="642">
        <v>0</v>
      </c>
      <c r="AE101" s="642">
        <v>0</v>
      </c>
      <c r="AF101" s="642">
        <v>0</v>
      </c>
      <c r="AG101" s="642">
        <v>0</v>
      </c>
      <c r="AH101" s="642">
        <v>0</v>
      </c>
      <c r="AI101" s="642">
        <v>0</v>
      </c>
      <c r="AJ101" s="642">
        <v>0</v>
      </c>
      <c r="AK101" s="650">
        <v>8.4553629451360095</v>
      </c>
    </row>
    <row r="102" spans="3:37" ht="13.5">
      <c r="C102" s="648" t="s">
        <v>75</v>
      </c>
      <c r="D102" s="642">
        <v>11.149320546875</v>
      </c>
      <c r="E102" s="642">
        <v>0</v>
      </c>
      <c r="F102" s="642">
        <v>18.729068543758572</v>
      </c>
      <c r="G102" s="642">
        <v>5.3443947944572248</v>
      </c>
      <c r="H102" s="642">
        <v>0</v>
      </c>
      <c r="I102" s="642">
        <v>0</v>
      </c>
      <c r="J102" s="642">
        <v>0</v>
      </c>
      <c r="K102" s="642">
        <v>0</v>
      </c>
      <c r="L102" s="642">
        <v>0</v>
      </c>
      <c r="M102" s="642">
        <v>0.10906928151953521</v>
      </c>
      <c r="N102" s="642">
        <v>0</v>
      </c>
      <c r="O102" s="642">
        <v>0</v>
      </c>
      <c r="P102" s="642">
        <v>34.631314570260251</v>
      </c>
      <c r="Q102" s="642">
        <v>0</v>
      </c>
      <c r="R102" s="642">
        <v>0</v>
      </c>
      <c r="S102" s="650">
        <v>69.963167736870574</v>
      </c>
      <c r="U102" s="648" t="s">
        <v>75</v>
      </c>
      <c r="V102" s="642">
        <v>4.9205957031249996</v>
      </c>
      <c r="W102" s="642">
        <v>0</v>
      </c>
      <c r="X102" s="642">
        <v>18.729068543758572</v>
      </c>
      <c r="Y102" s="642">
        <v>4.7445137460997815</v>
      </c>
      <c r="Z102" s="642">
        <v>0</v>
      </c>
      <c r="AA102" s="642">
        <v>0</v>
      </c>
      <c r="AB102" s="642">
        <v>0</v>
      </c>
      <c r="AC102" s="642">
        <v>0</v>
      </c>
      <c r="AD102" s="642">
        <v>0</v>
      </c>
      <c r="AE102" s="642">
        <v>0.70895032987697881</v>
      </c>
      <c r="AF102" s="642">
        <v>0</v>
      </c>
      <c r="AG102" s="642">
        <v>0</v>
      </c>
      <c r="AH102" s="642">
        <v>32.716541842987525</v>
      </c>
      <c r="AI102" s="642">
        <v>0</v>
      </c>
      <c r="AJ102" s="642">
        <v>0</v>
      </c>
      <c r="AK102" s="650">
        <v>61.819670165847853</v>
      </c>
    </row>
    <row r="103" spans="3:37" ht="13.5">
      <c r="C103" s="648" t="s">
        <v>76</v>
      </c>
      <c r="D103" s="642">
        <v>0</v>
      </c>
      <c r="E103" s="642">
        <v>0</v>
      </c>
      <c r="F103" s="642">
        <v>0</v>
      </c>
      <c r="G103" s="642">
        <v>3.8720966463328983</v>
      </c>
      <c r="H103" s="642">
        <v>0</v>
      </c>
      <c r="I103" s="642">
        <v>0</v>
      </c>
      <c r="J103" s="642">
        <v>0</v>
      </c>
      <c r="K103" s="642">
        <v>0</v>
      </c>
      <c r="L103" s="642">
        <v>0</v>
      </c>
      <c r="M103" s="642">
        <v>7.9022380537406095E-2</v>
      </c>
      <c r="N103" s="642">
        <v>0</v>
      </c>
      <c r="O103" s="642">
        <v>0</v>
      </c>
      <c r="P103" s="642">
        <v>41.938968757160723</v>
      </c>
      <c r="Q103" s="642">
        <v>3.0236871210614171</v>
      </c>
      <c r="R103" s="642">
        <v>0</v>
      </c>
      <c r="S103" s="650">
        <v>48.913774905092438</v>
      </c>
      <c r="U103" s="648" t="s">
        <v>76</v>
      </c>
      <c r="V103" s="642">
        <v>0</v>
      </c>
      <c r="W103" s="642">
        <v>0</v>
      </c>
      <c r="X103" s="642">
        <v>0</v>
      </c>
      <c r="Y103" s="642">
        <v>2.7662751616304524</v>
      </c>
      <c r="Z103" s="642">
        <v>0</v>
      </c>
      <c r="AA103" s="642">
        <v>0</v>
      </c>
      <c r="AB103" s="642">
        <v>0</v>
      </c>
      <c r="AC103" s="642">
        <v>0</v>
      </c>
      <c r="AD103" s="642">
        <v>0</v>
      </c>
      <c r="AE103" s="642">
        <v>0.41335146093328595</v>
      </c>
      <c r="AF103" s="642">
        <v>0</v>
      </c>
      <c r="AG103" s="642">
        <v>0</v>
      </c>
      <c r="AH103" s="642">
        <v>43.009166954325586</v>
      </c>
      <c r="AI103" s="642">
        <v>5.481964511548731</v>
      </c>
      <c r="AJ103" s="642">
        <v>0</v>
      </c>
      <c r="AK103" s="650">
        <v>51.670758088438056</v>
      </c>
    </row>
    <row r="104" spans="3:37" ht="13.5">
      <c r="C104" s="646" t="s">
        <v>77</v>
      </c>
      <c r="D104" s="647">
        <v>42.645787594150242</v>
      </c>
      <c r="E104" s="647">
        <v>531.76783290345111</v>
      </c>
      <c r="F104" s="647">
        <v>-493.85839623209517</v>
      </c>
      <c r="G104" s="647">
        <v>44.217178331245535</v>
      </c>
      <c r="H104" s="647">
        <v>1121.3636363636365</v>
      </c>
      <c r="I104" s="647">
        <v>207.57369132422022</v>
      </c>
      <c r="J104" s="647">
        <v>86.243705075466366</v>
      </c>
      <c r="K104" s="647">
        <v>19.954320748029687</v>
      </c>
      <c r="L104" s="647">
        <v>-32.394348021257798</v>
      </c>
      <c r="M104" s="647">
        <v>-5.6320765353578501</v>
      </c>
      <c r="N104" s="647">
        <v>0</v>
      </c>
      <c r="O104" s="647">
        <v>5.2611137666850016</v>
      </c>
      <c r="P104" s="647">
        <v>-531.00392354032908</v>
      </c>
      <c r="Q104" s="647">
        <v>-35.939291273846017</v>
      </c>
      <c r="R104" s="647">
        <v>-1.6713978351002134</v>
      </c>
      <c r="S104" s="647">
        <v>958.52783266889833</v>
      </c>
      <c r="U104" s="646" t="s">
        <v>77</v>
      </c>
      <c r="V104" s="647">
        <v>9.8776636603415024</v>
      </c>
      <c r="W104" s="647">
        <v>373.16166082844296</v>
      </c>
      <c r="X104" s="647">
        <v>-342.51194888815934</v>
      </c>
      <c r="Y104" s="647">
        <v>62.170015524383871</v>
      </c>
      <c r="Z104" s="647">
        <v>1024.3939393939395</v>
      </c>
      <c r="AA104" s="647">
        <v>228.1236913242202</v>
      </c>
      <c r="AB104" s="647">
        <v>92.01283517498922</v>
      </c>
      <c r="AC104" s="647">
        <v>31.725901877387908</v>
      </c>
      <c r="AD104" s="647">
        <v>-74.534973710274585</v>
      </c>
      <c r="AE104" s="647">
        <v>-25.439781275247555</v>
      </c>
      <c r="AF104" s="647">
        <v>0</v>
      </c>
      <c r="AG104" s="647">
        <v>10.264799662154665</v>
      </c>
      <c r="AH104" s="647">
        <v>-515.81290419756954</v>
      </c>
      <c r="AI104" s="647">
        <v>-65.204498303456887</v>
      </c>
      <c r="AJ104" s="647">
        <v>-12.150152156541072</v>
      </c>
      <c r="AK104" s="647">
        <v>796.07624891461057</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6.3476756101286895</v>
      </c>
      <c r="E106" s="642">
        <v>0</v>
      </c>
      <c r="F106" s="642">
        <v>23.963924152830415</v>
      </c>
      <c r="G106" s="642">
        <v>102.72602750235836</v>
      </c>
      <c r="H106" s="642">
        <v>0</v>
      </c>
      <c r="I106" s="642">
        <v>0</v>
      </c>
      <c r="J106" s="642">
        <v>19.164817057512749</v>
      </c>
      <c r="K106" s="642">
        <v>1.7769703360109936</v>
      </c>
      <c r="L106" s="642">
        <v>0.86552810351562492</v>
      </c>
      <c r="M106" s="642">
        <v>2.1151614516362294</v>
      </c>
      <c r="N106" s="642">
        <v>0</v>
      </c>
      <c r="O106" s="642">
        <v>3.8147295409713907E-4</v>
      </c>
      <c r="P106" s="642">
        <v>109.69856944385172</v>
      </c>
      <c r="Q106" s="642">
        <v>16.190109766233334</v>
      </c>
      <c r="R106" s="642">
        <v>0.34118215942382812</v>
      </c>
      <c r="S106" s="650">
        <v>283.19034705645606</v>
      </c>
      <c r="U106" s="648" t="s">
        <v>78</v>
      </c>
      <c r="V106" s="642">
        <v>0.96947057486293287</v>
      </c>
      <c r="W106" s="642">
        <v>0</v>
      </c>
      <c r="X106" s="642">
        <v>14.423852836289303</v>
      </c>
      <c r="Y106" s="642">
        <v>71.911931163769523</v>
      </c>
      <c r="Z106" s="642">
        <v>0</v>
      </c>
      <c r="AA106" s="642">
        <v>0</v>
      </c>
      <c r="AB106" s="642">
        <v>16.641526349557349</v>
      </c>
      <c r="AC106" s="642">
        <v>5.8374337597773929</v>
      </c>
      <c r="AD106" s="642">
        <v>1.8190377949218752</v>
      </c>
      <c r="AE106" s="642">
        <v>10.764172889266069</v>
      </c>
      <c r="AF106" s="642">
        <v>0</v>
      </c>
      <c r="AG106" s="642">
        <v>3.8147295409713907E-4</v>
      </c>
      <c r="AH106" s="642">
        <v>133.35975359263318</v>
      </c>
      <c r="AI106" s="642">
        <v>21.024156518221293</v>
      </c>
      <c r="AJ106" s="642">
        <v>5.3802006835937499</v>
      </c>
      <c r="AK106" s="650">
        <v>282.13191763584672</v>
      </c>
    </row>
    <row r="107" spans="3:37" ht="13.5">
      <c r="C107" s="648" t="s">
        <v>79</v>
      </c>
      <c r="D107" s="642">
        <v>0</v>
      </c>
      <c r="E107" s="642">
        <v>0</v>
      </c>
      <c r="F107" s="642">
        <v>312.50052508879821</v>
      </c>
      <c r="G107" s="642">
        <v>20.28727706696608</v>
      </c>
      <c r="H107" s="642">
        <v>0</v>
      </c>
      <c r="I107" s="642">
        <v>0</v>
      </c>
      <c r="J107" s="642">
        <v>0</v>
      </c>
      <c r="K107" s="642">
        <v>0</v>
      </c>
      <c r="L107" s="642">
        <v>30.35479180755361</v>
      </c>
      <c r="M107" s="642">
        <v>0.41402606259114449</v>
      </c>
      <c r="N107" s="642">
        <v>0</v>
      </c>
      <c r="O107" s="642">
        <v>0</v>
      </c>
      <c r="P107" s="642">
        <v>40.087101502259863</v>
      </c>
      <c r="Q107" s="642">
        <v>0</v>
      </c>
      <c r="R107" s="642">
        <v>0.80956479691939642</v>
      </c>
      <c r="S107" s="650">
        <v>404.45328632508824</v>
      </c>
      <c r="U107" s="648" t="s">
        <v>79</v>
      </c>
      <c r="V107" s="642">
        <v>0</v>
      </c>
      <c r="W107" s="642">
        <v>0</v>
      </c>
      <c r="X107" s="642">
        <v>200.27592241910855</v>
      </c>
      <c r="Y107" s="642">
        <v>16.649550205830046</v>
      </c>
      <c r="Z107" s="642">
        <v>0</v>
      </c>
      <c r="AA107" s="642">
        <v>0</v>
      </c>
      <c r="AB107" s="642">
        <v>0</v>
      </c>
      <c r="AC107" s="642">
        <v>0</v>
      </c>
      <c r="AD107" s="642">
        <v>44.40579181284334</v>
      </c>
      <c r="AE107" s="642">
        <v>2.5923432302996523</v>
      </c>
      <c r="AF107" s="642">
        <v>0</v>
      </c>
      <c r="AG107" s="642">
        <v>0</v>
      </c>
      <c r="AH107" s="642">
        <v>50.411052136241274</v>
      </c>
      <c r="AI107" s="642">
        <v>0</v>
      </c>
      <c r="AJ107" s="642">
        <v>1.5849058336758</v>
      </c>
      <c r="AK107" s="650">
        <v>315.91956563799869</v>
      </c>
    </row>
    <row r="108" spans="3:37" ht="13.5">
      <c r="C108" s="648" t="s">
        <v>80</v>
      </c>
      <c r="D108" s="642">
        <v>0</v>
      </c>
      <c r="E108" s="642">
        <v>0</v>
      </c>
      <c r="F108" s="642">
        <v>27.223306395871116</v>
      </c>
      <c r="G108" s="642">
        <v>94.787807272791255</v>
      </c>
      <c r="H108" s="642">
        <v>0</v>
      </c>
      <c r="I108" s="642">
        <v>0</v>
      </c>
      <c r="J108" s="642">
        <v>83.273177408961004</v>
      </c>
      <c r="K108" s="642">
        <v>0</v>
      </c>
      <c r="L108" s="642">
        <v>0</v>
      </c>
      <c r="M108" s="642">
        <v>1.9344450463834952</v>
      </c>
      <c r="N108" s="642">
        <v>46.067590504591024</v>
      </c>
      <c r="O108" s="642">
        <v>1.9582561857397398</v>
      </c>
      <c r="P108" s="642">
        <v>180.22551264292704</v>
      </c>
      <c r="Q108" s="642">
        <v>15.690776641240536</v>
      </c>
      <c r="R108" s="642">
        <v>0</v>
      </c>
      <c r="S108" s="650">
        <v>451.16087209850519</v>
      </c>
      <c r="U108" s="648" t="s">
        <v>80</v>
      </c>
      <c r="V108" s="642">
        <v>0</v>
      </c>
      <c r="W108" s="642">
        <v>0</v>
      </c>
      <c r="X108" s="642">
        <v>2.015713666762446</v>
      </c>
      <c r="Y108" s="642">
        <v>47.341776252628989</v>
      </c>
      <c r="Z108" s="642">
        <v>0</v>
      </c>
      <c r="AA108" s="642">
        <v>0</v>
      </c>
      <c r="AB108" s="642">
        <v>73.879452654225247</v>
      </c>
      <c r="AC108" s="642">
        <v>0</v>
      </c>
      <c r="AD108" s="642">
        <v>0</v>
      </c>
      <c r="AE108" s="642">
        <v>7.0740585205077799</v>
      </c>
      <c r="AF108" s="642">
        <v>56.247445771865117</v>
      </c>
      <c r="AG108" s="642">
        <v>2.3917818193760598</v>
      </c>
      <c r="AH108" s="642">
        <v>158.99417861004727</v>
      </c>
      <c r="AI108" s="642">
        <v>34.672503342788303</v>
      </c>
      <c r="AJ108" s="642">
        <v>0</v>
      </c>
      <c r="AK108" s="650">
        <v>382.61691063820126</v>
      </c>
    </row>
    <row r="109" spans="3:37" ht="13.5">
      <c r="C109" s="648" t="s">
        <v>81</v>
      </c>
      <c r="D109" s="642">
        <v>0</v>
      </c>
      <c r="E109" s="642">
        <v>0</v>
      </c>
      <c r="F109" s="642">
        <v>10.721858440723695</v>
      </c>
      <c r="G109" s="642">
        <v>62.595656083836779</v>
      </c>
      <c r="H109" s="642">
        <v>0</v>
      </c>
      <c r="I109" s="642">
        <v>0</v>
      </c>
      <c r="J109" s="642">
        <v>3.4596715414798309</v>
      </c>
      <c r="K109" s="642">
        <v>2.5030873755322387E-2</v>
      </c>
      <c r="L109" s="642">
        <v>0</v>
      </c>
      <c r="M109" s="642">
        <v>1.2774623690578935</v>
      </c>
      <c r="N109" s="642">
        <v>8.3421239681836319</v>
      </c>
      <c r="O109" s="642">
        <v>0.80110714509903691</v>
      </c>
      <c r="P109" s="642">
        <v>133.46461699259584</v>
      </c>
      <c r="Q109" s="642">
        <v>4.0584048663721433</v>
      </c>
      <c r="R109" s="642">
        <v>0</v>
      </c>
      <c r="S109" s="650">
        <v>224.74593228110413</v>
      </c>
      <c r="U109" s="648" t="s">
        <v>81</v>
      </c>
      <c r="V109" s="642">
        <v>0</v>
      </c>
      <c r="W109" s="642">
        <v>0</v>
      </c>
      <c r="X109" s="642">
        <v>3.1096233693990798</v>
      </c>
      <c r="Y109" s="642">
        <v>32.055438404613625</v>
      </c>
      <c r="Z109" s="642">
        <v>0</v>
      </c>
      <c r="AA109" s="642">
        <v>0</v>
      </c>
      <c r="AB109" s="642">
        <v>7.6606579921523004</v>
      </c>
      <c r="AC109" s="642">
        <v>2.5030873755322387E-2</v>
      </c>
      <c r="AD109" s="642">
        <v>0</v>
      </c>
      <c r="AE109" s="642">
        <v>4.7898930949422658</v>
      </c>
      <c r="AF109" s="642">
        <v>14.251121986476408</v>
      </c>
      <c r="AG109" s="642">
        <v>1.7168402703934114</v>
      </c>
      <c r="AH109" s="642">
        <v>121.34906004798763</v>
      </c>
      <c r="AI109" s="642">
        <v>9.5078384424472873</v>
      </c>
      <c r="AJ109" s="642">
        <v>0</v>
      </c>
      <c r="AK109" s="650">
        <v>194.46550448216732</v>
      </c>
    </row>
    <row r="110" spans="3:37" ht="13.5">
      <c r="C110" s="648" t="s">
        <v>82</v>
      </c>
      <c r="D110" s="642">
        <v>0</v>
      </c>
      <c r="E110" s="642">
        <v>0</v>
      </c>
      <c r="F110" s="642">
        <v>32.13207144146056</v>
      </c>
      <c r="G110" s="642">
        <v>1.9328709168763656</v>
      </c>
      <c r="H110" s="642">
        <v>0</v>
      </c>
      <c r="I110" s="642">
        <v>0</v>
      </c>
      <c r="J110" s="642">
        <v>2.05899706998358</v>
      </c>
      <c r="K110" s="642">
        <v>0</v>
      </c>
      <c r="L110" s="642">
        <v>2.6244824682898504</v>
      </c>
      <c r="M110" s="642">
        <v>3.9446345242374808E-2</v>
      </c>
      <c r="N110" s="642">
        <v>0</v>
      </c>
      <c r="O110" s="642">
        <v>8.070345812558942E-2</v>
      </c>
      <c r="P110" s="642">
        <v>7.3892266408052469</v>
      </c>
      <c r="Q110" s="642">
        <v>0</v>
      </c>
      <c r="R110" s="642">
        <v>0</v>
      </c>
      <c r="S110" s="650">
        <v>46.257798340783566</v>
      </c>
      <c r="U110" s="648" t="s">
        <v>82</v>
      </c>
      <c r="V110" s="642">
        <v>0</v>
      </c>
      <c r="W110" s="642">
        <v>0</v>
      </c>
      <c r="X110" s="642">
        <v>22.167558461996123</v>
      </c>
      <c r="Y110" s="642">
        <v>2.0916118720237509</v>
      </c>
      <c r="Z110" s="642">
        <v>0</v>
      </c>
      <c r="AA110" s="642">
        <v>0</v>
      </c>
      <c r="AB110" s="642">
        <v>2.05899706998358</v>
      </c>
      <c r="AC110" s="642">
        <v>0</v>
      </c>
      <c r="AD110" s="642">
        <v>14.821446231272425</v>
      </c>
      <c r="AE110" s="642">
        <v>0.31253970501504325</v>
      </c>
      <c r="AF110" s="642">
        <v>0</v>
      </c>
      <c r="AG110" s="642">
        <v>0.82781531321025892</v>
      </c>
      <c r="AH110" s="642">
        <v>7.4491158726448985</v>
      </c>
      <c r="AI110" s="642">
        <v>0</v>
      </c>
      <c r="AJ110" s="642">
        <v>0.21911019493558448</v>
      </c>
      <c r="AK110" s="650">
        <v>49.948194721081656</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0.13500000000000001</v>
      </c>
      <c r="Q111" s="642">
        <v>0</v>
      </c>
      <c r="R111" s="642">
        <v>0</v>
      </c>
      <c r="S111" s="650">
        <v>0.13500000000000001</v>
      </c>
      <c r="U111" s="648" t="s">
        <v>357</v>
      </c>
      <c r="V111" s="642">
        <v>0</v>
      </c>
      <c r="W111" s="642">
        <v>0</v>
      </c>
      <c r="X111" s="642">
        <v>0</v>
      </c>
      <c r="Y111" s="642">
        <v>0</v>
      </c>
      <c r="Z111" s="642">
        <v>0</v>
      </c>
      <c r="AA111" s="642">
        <v>0</v>
      </c>
      <c r="AB111" s="642">
        <v>0</v>
      </c>
      <c r="AC111" s="642">
        <v>0</v>
      </c>
      <c r="AD111" s="642">
        <v>0</v>
      </c>
      <c r="AE111" s="642">
        <v>0</v>
      </c>
      <c r="AF111" s="642">
        <v>0</v>
      </c>
      <c r="AG111" s="642">
        <v>0</v>
      </c>
      <c r="AH111" s="642">
        <v>0.96</v>
      </c>
      <c r="AI111" s="642">
        <v>0</v>
      </c>
      <c r="AJ111" s="642">
        <v>0</v>
      </c>
      <c r="AK111" s="650">
        <v>0.96</v>
      </c>
    </row>
    <row r="112" spans="3:37" ht="13.5">
      <c r="C112" s="646" t="s">
        <v>83</v>
      </c>
      <c r="D112" s="647">
        <v>6.3476756101286895</v>
      </c>
      <c r="E112" s="647">
        <v>0</v>
      </c>
      <c r="F112" s="647">
        <v>406.54168551968399</v>
      </c>
      <c r="G112" s="647">
        <v>282.32963884282884</v>
      </c>
      <c r="H112" s="647">
        <v>0</v>
      </c>
      <c r="I112" s="647">
        <v>0</v>
      </c>
      <c r="J112" s="647">
        <v>107.95666307793715</v>
      </c>
      <c r="K112" s="647">
        <v>1.8020012097663161</v>
      </c>
      <c r="L112" s="647">
        <v>33.844802379359088</v>
      </c>
      <c r="M112" s="647">
        <v>5.7805412749111369</v>
      </c>
      <c r="N112" s="647">
        <v>54.409714472774652</v>
      </c>
      <c r="O112" s="647">
        <v>2.8404482619184632</v>
      </c>
      <c r="P112" s="647">
        <v>471.00002722243971</v>
      </c>
      <c r="Q112" s="647">
        <v>35.93929127384601</v>
      </c>
      <c r="R112" s="647">
        <v>1.1507469563432244</v>
      </c>
      <c r="S112" s="647">
        <v>1409.9432361019371</v>
      </c>
      <c r="U112" s="646" t="s">
        <v>83</v>
      </c>
      <c r="V112" s="647">
        <v>0.96947057486293287</v>
      </c>
      <c r="W112" s="647">
        <v>0</v>
      </c>
      <c r="X112" s="647">
        <v>241.9926707535555</v>
      </c>
      <c r="Y112" s="647">
        <v>170.05030789886592</v>
      </c>
      <c r="Z112" s="647">
        <v>0</v>
      </c>
      <c r="AA112" s="647">
        <v>0</v>
      </c>
      <c r="AB112" s="647">
        <v>100.24063406591846</v>
      </c>
      <c r="AC112" s="647">
        <v>5.8624646335327153</v>
      </c>
      <c r="AD112" s="647">
        <v>61.046275839037641</v>
      </c>
      <c r="AE112" s="647">
        <v>25.533007440030815</v>
      </c>
      <c r="AF112" s="647">
        <v>70.498567758341522</v>
      </c>
      <c r="AG112" s="647">
        <v>4.9368188759338274</v>
      </c>
      <c r="AH112" s="647">
        <v>472.52316025955423</v>
      </c>
      <c r="AI112" s="647">
        <v>65.204498303456901</v>
      </c>
      <c r="AJ112" s="647">
        <v>7.184216712205135</v>
      </c>
      <c r="AK112" s="647">
        <v>1226.0420931152958</v>
      </c>
    </row>
    <row r="113" spans="3:37" ht="13.5">
      <c r="C113" s="641" t="s">
        <v>84</v>
      </c>
      <c r="D113" s="642">
        <v>0</v>
      </c>
      <c r="E113" s="642">
        <v>0</v>
      </c>
      <c r="F113" s="642">
        <v>117.0773058539918</v>
      </c>
      <c r="G113" s="642">
        <v>12.185345647681713</v>
      </c>
      <c r="H113" s="642">
        <v>0</v>
      </c>
      <c r="I113" s="642">
        <v>0</v>
      </c>
      <c r="J113" s="642">
        <v>0</v>
      </c>
      <c r="K113" s="642">
        <v>0</v>
      </c>
      <c r="L113" s="642">
        <v>0</v>
      </c>
      <c r="M113" s="642">
        <v>0</v>
      </c>
      <c r="N113" s="642">
        <v>0</v>
      </c>
      <c r="O113" s="642">
        <v>0</v>
      </c>
      <c r="P113" s="642">
        <v>0</v>
      </c>
      <c r="Q113" s="642">
        <v>0</v>
      </c>
      <c r="R113" s="642">
        <v>0.52065087875698901</v>
      </c>
      <c r="S113" s="650">
        <v>129.78330238043051</v>
      </c>
      <c r="U113" s="641" t="s">
        <v>84</v>
      </c>
      <c r="V113" s="642">
        <v>0</v>
      </c>
      <c r="W113" s="642">
        <v>0</v>
      </c>
      <c r="X113" s="642">
        <v>106.669872568297</v>
      </c>
      <c r="Y113" s="642">
        <v>1.6020598461664441</v>
      </c>
      <c r="Z113" s="642">
        <v>0</v>
      </c>
      <c r="AA113" s="642">
        <v>0</v>
      </c>
      <c r="AB113" s="642">
        <v>0</v>
      </c>
      <c r="AC113" s="642">
        <v>0</v>
      </c>
      <c r="AD113" s="642">
        <v>6.1061434912109362</v>
      </c>
      <c r="AE113" s="642">
        <v>0</v>
      </c>
      <c r="AF113" s="642">
        <v>0</v>
      </c>
      <c r="AG113" s="642">
        <v>0</v>
      </c>
      <c r="AH113" s="642">
        <v>0</v>
      </c>
      <c r="AI113" s="642">
        <v>0</v>
      </c>
      <c r="AJ113" s="642">
        <v>4.9659354443359369</v>
      </c>
      <c r="AK113" s="650">
        <v>119.34401135001032</v>
      </c>
    </row>
    <row r="114" spans="3:37" ht="13.5">
      <c r="C114" s="646" t="s">
        <v>85</v>
      </c>
      <c r="D114" s="647">
        <v>6.3476756101286895</v>
      </c>
      <c r="E114" s="647">
        <v>0</v>
      </c>
      <c r="F114" s="647">
        <v>523.61899137367573</v>
      </c>
      <c r="G114" s="647">
        <v>294.51498449051053</v>
      </c>
      <c r="H114" s="647">
        <v>0</v>
      </c>
      <c r="I114" s="647">
        <v>0</v>
      </c>
      <c r="J114" s="647">
        <v>107.95666307793715</v>
      </c>
      <c r="K114" s="647">
        <v>1.8020012097663161</v>
      </c>
      <c r="L114" s="647">
        <v>33.844802379359088</v>
      </c>
      <c r="M114" s="647">
        <v>5.7805412749111369</v>
      </c>
      <c r="N114" s="647">
        <v>54.409714472774652</v>
      </c>
      <c r="O114" s="647">
        <v>2.8404482619184632</v>
      </c>
      <c r="P114" s="647">
        <v>471.00002722243971</v>
      </c>
      <c r="Q114" s="647">
        <v>35.93929127384601</v>
      </c>
      <c r="R114" s="647">
        <v>1.6713978351002134</v>
      </c>
      <c r="S114" s="647">
        <v>1539.7265384823679</v>
      </c>
      <c r="U114" s="646" t="s">
        <v>85</v>
      </c>
      <c r="V114" s="647">
        <v>0.96947057486293287</v>
      </c>
      <c r="W114" s="647">
        <v>0</v>
      </c>
      <c r="X114" s="647">
        <v>348.66254332185252</v>
      </c>
      <c r="Y114" s="647">
        <v>171.65236774503236</v>
      </c>
      <c r="Z114" s="647">
        <v>0</v>
      </c>
      <c r="AA114" s="647">
        <v>0</v>
      </c>
      <c r="AB114" s="647">
        <v>100.24063406591846</v>
      </c>
      <c r="AC114" s="647">
        <v>5.8624646335327153</v>
      </c>
      <c r="AD114" s="647">
        <v>67.152419330248577</v>
      </c>
      <c r="AE114" s="647">
        <v>25.533007440030815</v>
      </c>
      <c r="AF114" s="647">
        <v>70.498567758341522</v>
      </c>
      <c r="AG114" s="647">
        <v>4.9368188759338274</v>
      </c>
      <c r="AH114" s="647">
        <v>472.52316025955423</v>
      </c>
      <c r="AI114" s="647">
        <v>65.204498303456901</v>
      </c>
      <c r="AJ114" s="647">
        <v>12.150152156541072</v>
      </c>
      <c r="AK114" s="647">
        <v>1345.3861044653063</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361</v>
      </c>
      <c r="D116" s="699"/>
      <c r="E116" s="699"/>
      <c r="F116" s="699"/>
      <c r="G116" s="699"/>
      <c r="H116" s="699"/>
      <c r="I116" s="699"/>
      <c r="J116" s="699"/>
      <c r="K116" s="699"/>
      <c r="L116" s="699"/>
      <c r="M116" s="699"/>
      <c r="N116" s="699"/>
      <c r="O116" s="699"/>
      <c r="P116" s="699"/>
      <c r="Q116" s="699"/>
      <c r="R116" s="699"/>
      <c r="S116" s="699"/>
      <c r="U116" s="699" t="s">
        <v>361</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5.8150000000000004</v>
      </c>
      <c r="F120" s="643">
        <v>0</v>
      </c>
      <c r="G120" s="642">
        <v>9.3040000000000012E-2</v>
      </c>
      <c r="H120" s="643">
        <v>1075.0000000000002</v>
      </c>
      <c r="I120" s="643">
        <v>224.13674723416887</v>
      </c>
      <c r="J120" s="643">
        <v>191.59942379122555</v>
      </c>
      <c r="K120" s="643">
        <v>21.432553878964274</v>
      </c>
      <c r="L120" s="643">
        <v>0.38158375751522683</v>
      </c>
      <c r="M120" s="643">
        <v>0.1566638564915529</v>
      </c>
      <c r="N120" s="643">
        <v>57.826394702164251</v>
      </c>
      <c r="O120" s="643">
        <v>8.0717549324466145</v>
      </c>
      <c r="P120" s="644">
        <v>0</v>
      </c>
      <c r="Q120" s="643">
        <v>0</v>
      </c>
      <c r="R120" s="643">
        <v>0</v>
      </c>
      <c r="S120" s="645">
        <v>1584.5131621529763</v>
      </c>
      <c r="U120" s="641" t="s">
        <v>59</v>
      </c>
      <c r="V120" s="642">
        <v>0</v>
      </c>
      <c r="W120" s="643">
        <v>5.8150000000000004</v>
      </c>
      <c r="X120" s="643">
        <v>0</v>
      </c>
      <c r="Y120" s="642">
        <v>9.3040000000000012E-2</v>
      </c>
      <c r="Z120" s="643">
        <v>994.39393939393949</v>
      </c>
      <c r="AA120" s="643">
        <v>248.70674723416883</v>
      </c>
      <c r="AB120" s="643">
        <v>191.76566332259941</v>
      </c>
      <c r="AC120" s="643">
        <v>38.031253697312572</v>
      </c>
      <c r="AD120" s="643">
        <v>0.38158375751522683</v>
      </c>
      <c r="AE120" s="643">
        <v>0.1566638564915529</v>
      </c>
      <c r="AF120" s="643">
        <v>76.992812580470769</v>
      </c>
      <c r="AG120" s="643">
        <v>16.738826185514363</v>
      </c>
      <c r="AH120" s="644">
        <v>0</v>
      </c>
      <c r="AI120" s="643">
        <v>0</v>
      </c>
      <c r="AJ120" s="643">
        <v>0</v>
      </c>
      <c r="AK120" s="645">
        <v>1573.0755300280123</v>
      </c>
    </row>
    <row r="121" spans="3:37" ht="13.5">
      <c r="C121" s="641" t="s">
        <v>60</v>
      </c>
      <c r="D121" s="642">
        <v>48.827265231041785</v>
      </c>
      <c r="E121" s="643">
        <v>518.07410535010388</v>
      </c>
      <c r="F121" s="643">
        <v>107.87457071926454</v>
      </c>
      <c r="G121" s="642">
        <v>335.04873882059013</v>
      </c>
      <c r="H121" s="643">
        <v>0</v>
      </c>
      <c r="I121" s="643">
        <v>0</v>
      </c>
      <c r="J121" s="643">
        <v>3.6983557386050134</v>
      </c>
      <c r="K121" s="643">
        <v>0</v>
      </c>
      <c r="L121" s="643">
        <v>2.0715216469959126</v>
      </c>
      <c r="M121" s="643">
        <v>0</v>
      </c>
      <c r="N121" s="643">
        <v>0</v>
      </c>
      <c r="O121" s="643">
        <v>0</v>
      </c>
      <c r="P121" s="644">
        <v>0</v>
      </c>
      <c r="Q121" s="643">
        <v>0</v>
      </c>
      <c r="R121" s="643">
        <v>0</v>
      </c>
      <c r="S121" s="645">
        <v>1015.5945575066012</v>
      </c>
      <c r="U121" s="641" t="s">
        <v>60</v>
      </c>
      <c r="V121" s="642">
        <v>9.7783497021920969</v>
      </c>
      <c r="W121" s="643">
        <v>336.80990869295175</v>
      </c>
      <c r="X121" s="643">
        <v>55.498271181254346</v>
      </c>
      <c r="Y121" s="642">
        <v>207.3573846689826</v>
      </c>
      <c r="Z121" s="643">
        <v>0</v>
      </c>
      <c r="AA121" s="643">
        <v>0</v>
      </c>
      <c r="AB121" s="643">
        <v>3.6983557386050134</v>
      </c>
      <c r="AC121" s="643">
        <v>0</v>
      </c>
      <c r="AD121" s="643">
        <v>2.0715216469959126</v>
      </c>
      <c r="AE121" s="643">
        <v>0</v>
      </c>
      <c r="AF121" s="643">
        <v>0</v>
      </c>
      <c r="AG121" s="643">
        <v>0</v>
      </c>
      <c r="AH121" s="644">
        <v>0</v>
      </c>
      <c r="AI121" s="643">
        <v>0</v>
      </c>
      <c r="AJ121" s="643">
        <v>0</v>
      </c>
      <c r="AK121" s="645">
        <v>615.21379163098163</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-50.941346245748719</v>
      </c>
      <c r="Q122" s="643">
        <v>0</v>
      </c>
      <c r="R122" s="643">
        <v>0</v>
      </c>
      <c r="S122" s="645">
        <v>-50.941346245748719</v>
      </c>
      <c r="U122" s="641" t="s">
        <v>61</v>
      </c>
      <c r="V122" s="642">
        <v>0</v>
      </c>
      <c r="W122" s="643">
        <v>0</v>
      </c>
      <c r="X122" s="643">
        <v>0</v>
      </c>
      <c r="Y122" s="642">
        <v>0</v>
      </c>
      <c r="Z122" s="643">
        <v>0</v>
      </c>
      <c r="AA122" s="643">
        <v>0</v>
      </c>
      <c r="AB122" s="643">
        <v>0</v>
      </c>
      <c r="AC122" s="643">
        <v>0</v>
      </c>
      <c r="AD122" s="643">
        <v>0</v>
      </c>
      <c r="AE122" s="643">
        <v>0</v>
      </c>
      <c r="AF122" s="643">
        <v>0</v>
      </c>
      <c r="AG122" s="643">
        <v>0</v>
      </c>
      <c r="AH122" s="644">
        <v>-32.476172245636349</v>
      </c>
      <c r="AI122" s="643">
        <v>0</v>
      </c>
      <c r="AJ122" s="643">
        <v>0</v>
      </c>
      <c r="AK122" s="645">
        <v>-32.476172245636349</v>
      </c>
    </row>
    <row r="123" spans="3:37" ht="13.5">
      <c r="C123" s="641" t="s">
        <v>62</v>
      </c>
      <c r="D123" s="642">
        <v>0</v>
      </c>
      <c r="E123" s="643">
        <v>0</v>
      </c>
      <c r="F123" s="643">
        <v>-16.25862008896565</v>
      </c>
      <c r="G123" s="642">
        <v>0</v>
      </c>
      <c r="H123" s="643">
        <v>0</v>
      </c>
      <c r="I123" s="643">
        <v>0</v>
      </c>
      <c r="J123" s="643">
        <v>0</v>
      </c>
      <c r="K123" s="643">
        <v>0</v>
      </c>
      <c r="L123" s="643">
        <v>0</v>
      </c>
      <c r="M123" s="643">
        <v>0</v>
      </c>
      <c r="N123" s="643">
        <v>0</v>
      </c>
      <c r="O123" s="643">
        <v>0</v>
      </c>
      <c r="P123" s="644">
        <v>0</v>
      </c>
      <c r="Q123" s="643">
        <v>0</v>
      </c>
      <c r="R123" s="643">
        <v>0</v>
      </c>
      <c r="S123" s="645">
        <v>-16.25862008896565</v>
      </c>
      <c r="U123" s="641" t="s">
        <v>62</v>
      </c>
      <c r="V123" s="642">
        <v>0</v>
      </c>
      <c r="W123" s="643">
        <v>0</v>
      </c>
      <c r="X123" s="643">
        <v>-12.937868047131742</v>
      </c>
      <c r="Y123" s="642">
        <v>-1.5571295869756494</v>
      </c>
      <c r="Z123" s="643">
        <v>0</v>
      </c>
      <c r="AA123" s="643">
        <v>0</v>
      </c>
      <c r="AB123" s="643">
        <v>0</v>
      </c>
      <c r="AC123" s="643">
        <v>0</v>
      </c>
      <c r="AD123" s="643">
        <v>0</v>
      </c>
      <c r="AE123" s="643">
        <v>-0.27478757417217342</v>
      </c>
      <c r="AF123" s="643">
        <v>0</v>
      </c>
      <c r="AG123" s="643">
        <v>0</v>
      </c>
      <c r="AH123" s="644">
        <v>0</v>
      </c>
      <c r="AI123" s="643">
        <v>0</v>
      </c>
      <c r="AJ123" s="643">
        <v>0</v>
      </c>
      <c r="AK123" s="645">
        <v>-14.769785208279565</v>
      </c>
    </row>
    <row r="124" spans="3:37" ht="13.5">
      <c r="C124" s="641" t="s">
        <v>63</v>
      </c>
      <c r="D124" s="642">
        <v>0</v>
      </c>
      <c r="E124" s="643">
        <v>0</v>
      </c>
      <c r="F124" s="643">
        <v>-83.551471621484865</v>
      </c>
      <c r="G124" s="642">
        <v>0</v>
      </c>
      <c r="H124" s="643">
        <v>0</v>
      </c>
      <c r="I124" s="643">
        <v>0</v>
      </c>
      <c r="J124" s="643">
        <v>0</v>
      </c>
      <c r="K124" s="643">
        <v>0</v>
      </c>
      <c r="L124" s="643">
        <v>-0.85914301655193537</v>
      </c>
      <c r="M124" s="643">
        <v>0</v>
      </c>
      <c r="N124" s="643">
        <v>0</v>
      </c>
      <c r="O124" s="643">
        <v>0</v>
      </c>
      <c r="P124" s="644">
        <v>0</v>
      </c>
      <c r="Q124" s="643">
        <v>0</v>
      </c>
      <c r="R124" s="643">
        <v>0</v>
      </c>
      <c r="S124" s="645">
        <v>-84.410614638036805</v>
      </c>
      <c r="U124" s="641" t="s">
        <v>63</v>
      </c>
      <c r="V124" s="642">
        <v>0</v>
      </c>
      <c r="W124" s="643">
        <v>0</v>
      </c>
      <c r="X124" s="643">
        <v>-67.135202148658564</v>
      </c>
      <c r="Y124" s="642">
        <v>0</v>
      </c>
      <c r="Z124" s="643">
        <v>0</v>
      </c>
      <c r="AA124" s="643">
        <v>0</v>
      </c>
      <c r="AB124" s="643">
        <v>0</v>
      </c>
      <c r="AC124" s="643">
        <v>0</v>
      </c>
      <c r="AD124" s="643">
        <v>-15.117527463171397</v>
      </c>
      <c r="AE124" s="643">
        <v>0</v>
      </c>
      <c r="AF124" s="643">
        <v>0</v>
      </c>
      <c r="AG124" s="643">
        <v>0</v>
      </c>
      <c r="AH124" s="644">
        <v>0</v>
      </c>
      <c r="AI124" s="643">
        <v>0</v>
      </c>
      <c r="AJ124" s="643">
        <v>0</v>
      </c>
      <c r="AK124" s="645">
        <v>-82.252729611829963</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48.827265231041785</v>
      </c>
      <c r="E126" s="647">
        <v>523.88910535010393</v>
      </c>
      <c r="F126" s="647">
        <v>8.0644790088140255</v>
      </c>
      <c r="G126" s="647">
        <v>335.1417788205901</v>
      </c>
      <c r="H126" s="647">
        <v>1075.0000000000002</v>
      </c>
      <c r="I126" s="647">
        <v>224.13674723416887</v>
      </c>
      <c r="J126" s="647">
        <v>195.29777952983056</v>
      </c>
      <c r="K126" s="647">
        <v>21.432553878964274</v>
      </c>
      <c r="L126" s="647">
        <v>1.5939623879592042</v>
      </c>
      <c r="M126" s="647">
        <v>0.1566638564915529</v>
      </c>
      <c r="N126" s="647">
        <v>57.826394702164251</v>
      </c>
      <c r="O126" s="647">
        <v>8.0717549324466145</v>
      </c>
      <c r="P126" s="647">
        <v>-50.941346245748719</v>
      </c>
      <c r="Q126" s="647">
        <v>0</v>
      </c>
      <c r="R126" s="647">
        <v>0</v>
      </c>
      <c r="S126" s="647">
        <v>2448.4971386868265</v>
      </c>
      <c r="U126" s="646" t="s">
        <v>65</v>
      </c>
      <c r="V126" s="647">
        <v>9.7783497021920969</v>
      </c>
      <c r="W126" s="647">
        <v>342.62490869295175</v>
      </c>
      <c r="X126" s="647">
        <v>-24.574799014535962</v>
      </c>
      <c r="Y126" s="647">
        <v>205.89329508200694</v>
      </c>
      <c r="Z126" s="647">
        <v>994.39393939393949</v>
      </c>
      <c r="AA126" s="647">
        <v>248.70674723416883</v>
      </c>
      <c r="AB126" s="647">
        <v>195.46401906120443</v>
      </c>
      <c r="AC126" s="647">
        <v>38.031253697312572</v>
      </c>
      <c r="AD126" s="647">
        <v>-12.664422058660257</v>
      </c>
      <c r="AE126" s="647">
        <v>-0.11812371768062052</v>
      </c>
      <c r="AF126" s="647">
        <v>76.992812580470769</v>
      </c>
      <c r="AG126" s="647">
        <v>16.738826185514363</v>
      </c>
      <c r="AH126" s="647">
        <v>-32.476172245636349</v>
      </c>
      <c r="AI126" s="647">
        <v>0</v>
      </c>
      <c r="AJ126" s="647">
        <v>0</v>
      </c>
      <c r="AK126" s="647">
        <v>2058.7906345932479</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7.9696731063521415</v>
      </c>
      <c r="G129" s="642">
        <v>17.422222222222224</v>
      </c>
      <c r="H129" s="642">
        <v>1075.0000000000002</v>
      </c>
      <c r="I129" s="642">
        <v>224.13674723416887</v>
      </c>
      <c r="J129" s="651">
        <v>30.45355250478201</v>
      </c>
      <c r="K129" s="651">
        <v>7.4482212846984126</v>
      </c>
      <c r="L129" s="651">
        <v>2.4531054045111396</v>
      </c>
      <c r="M129" s="651">
        <v>0.47972213502804317</v>
      </c>
      <c r="N129" s="651">
        <v>0</v>
      </c>
      <c r="O129" s="651">
        <v>3.0833964576427819</v>
      </c>
      <c r="P129" s="642">
        <v>-609.30151807373261</v>
      </c>
      <c r="Q129" s="642">
        <v>0</v>
      </c>
      <c r="R129" s="642">
        <v>0</v>
      </c>
      <c r="S129" s="650">
        <v>761.97190791669834</v>
      </c>
      <c r="U129" s="648" t="s">
        <v>350</v>
      </c>
      <c r="V129" s="642">
        <v>0.62631490545869017</v>
      </c>
      <c r="W129" s="642">
        <v>0</v>
      </c>
      <c r="X129" s="642">
        <v>4.1060367427157782</v>
      </c>
      <c r="Y129" s="642">
        <v>24.857777777777773</v>
      </c>
      <c r="Z129" s="642">
        <v>994.39393939393949</v>
      </c>
      <c r="AA129" s="642">
        <v>248.70674723416883</v>
      </c>
      <c r="AB129" s="651">
        <v>24.641197042508384</v>
      </c>
      <c r="AC129" s="651">
        <v>6.6719525843779666</v>
      </c>
      <c r="AD129" s="651">
        <v>2.4531054045111396</v>
      </c>
      <c r="AE129" s="651">
        <v>4.5108332461391543</v>
      </c>
      <c r="AF129" s="651">
        <v>0</v>
      </c>
      <c r="AG129" s="651">
        <v>3.0833964576427819</v>
      </c>
      <c r="AH129" s="642">
        <v>-611.77151807373264</v>
      </c>
      <c r="AI129" s="642">
        <v>0</v>
      </c>
      <c r="AJ129" s="642">
        <v>2.3749999999999996</v>
      </c>
      <c r="AK129" s="650">
        <v>704.65478271550762</v>
      </c>
    </row>
    <row r="130" spans="3:37" ht="13.5">
      <c r="C130" s="648" t="s">
        <v>351</v>
      </c>
      <c r="D130" s="642">
        <v>0</v>
      </c>
      <c r="E130" s="642">
        <v>0</v>
      </c>
      <c r="F130" s="642">
        <v>0</v>
      </c>
      <c r="G130" s="642">
        <v>15.160725636684646</v>
      </c>
      <c r="H130" s="642">
        <v>0</v>
      </c>
      <c r="I130" s="642">
        <v>0</v>
      </c>
      <c r="J130" s="651">
        <v>12.939045348987106</v>
      </c>
      <c r="K130" s="651">
        <v>12.151724678588742</v>
      </c>
      <c r="L130" s="651">
        <v>0</v>
      </c>
      <c r="M130" s="651">
        <v>0.32322722394029924</v>
      </c>
      <c r="N130" s="651">
        <v>0</v>
      </c>
      <c r="O130" s="651">
        <v>2.1538235080806043</v>
      </c>
      <c r="P130" s="642">
        <v>0</v>
      </c>
      <c r="Q130" s="642">
        <v>-38.589386176372813</v>
      </c>
      <c r="R130" s="642">
        <v>0</v>
      </c>
      <c r="S130" s="650">
        <v>4.1391602199085806</v>
      </c>
      <c r="U130" s="648" t="s">
        <v>351</v>
      </c>
      <c r="V130" s="642">
        <v>0</v>
      </c>
      <c r="W130" s="642">
        <v>0</v>
      </c>
      <c r="X130" s="642">
        <v>0</v>
      </c>
      <c r="Y130" s="642">
        <v>15.290780965453443</v>
      </c>
      <c r="Z130" s="642">
        <v>0</v>
      </c>
      <c r="AA130" s="642">
        <v>0</v>
      </c>
      <c r="AB130" s="651">
        <v>28.500378674784677</v>
      </c>
      <c r="AC130" s="651">
        <v>25.381229817913329</v>
      </c>
      <c r="AD130" s="651">
        <v>0</v>
      </c>
      <c r="AE130" s="651">
        <v>2.712197771476935</v>
      </c>
      <c r="AF130" s="651">
        <v>0</v>
      </c>
      <c r="AG130" s="651">
        <v>8.3103526067541207</v>
      </c>
      <c r="AH130" s="642">
        <v>0</v>
      </c>
      <c r="AI130" s="642">
        <v>-73.223954421682024</v>
      </c>
      <c r="AJ130" s="642">
        <v>0</v>
      </c>
      <c r="AK130" s="650">
        <v>6.9709854147004844</v>
      </c>
    </row>
    <row r="131" spans="3:37" ht="13.5">
      <c r="C131" s="648" t="s">
        <v>352</v>
      </c>
      <c r="D131" s="642">
        <v>0</v>
      </c>
      <c r="E131" s="642">
        <v>0</v>
      </c>
      <c r="F131" s="642">
        <v>0</v>
      </c>
      <c r="G131" s="642">
        <v>0</v>
      </c>
      <c r="H131" s="642">
        <v>0</v>
      </c>
      <c r="I131" s="642">
        <v>0</v>
      </c>
      <c r="J131" s="652">
        <v>7.3987592400222235</v>
      </c>
      <c r="K131" s="652">
        <v>0</v>
      </c>
      <c r="L131" s="652">
        <v>0</v>
      </c>
      <c r="M131" s="652">
        <v>-6.5941441726698065</v>
      </c>
      <c r="N131" s="652">
        <v>0</v>
      </c>
      <c r="O131" s="652">
        <v>0</v>
      </c>
      <c r="P131" s="642">
        <v>0</v>
      </c>
      <c r="Q131" s="642">
        <v>0</v>
      </c>
      <c r="R131" s="642">
        <v>0</v>
      </c>
      <c r="S131" s="650">
        <v>0.80461506735241706</v>
      </c>
      <c r="U131" s="648" t="s">
        <v>352</v>
      </c>
      <c r="V131" s="642">
        <v>0</v>
      </c>
      <c r="W131" s="642">
        <v>0</v>
      </c>
      <c r="X131" s="642">
        <v>0</v>
      </c>
      <c r="Y131" s="642">
        <v>0</v>
      </c>
      <c r="Z131" s="642">
        <v>0</v>
      </c>
      <c r="AA131" s="642">
        <v>0</v>
      </c>
      <c r="AB131" s="652">
        <v>40.786473386605621</v>
      </c>
      <c r="AC131" s="652">
        <v>0</v>
      </c>
      <c r="AD131" s="652">
        <v>0</v>
      </c>
      <c r="AE131" s="652">
        <v>-36.350944405812257</v>
      </c>
      <c r="AF131" s="652">
        <v>0</v>
      </c>
      <c r="AG131" s="652">
        <v>0</v>
      </c>
      <c r="AH131" s="642">
        <v>0</v>
      </c>
      <c r="AI131" s="642">
        <v>0</v>
      </c>
      <c r="AJ131" s="642">
        <v>0</v>
      </c>
      <c r="AK131" s="650">
        <v>4.4355289807933644</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542.69343279650275</v>
      </c>
      <c r="F133" s="642">
        <v>-537.26649846853775</v>
      </c>
      <c r="G133" s="642">
        <v>0</v>
      </c>
      <c r="H133" s="642">
        <v>0</v>
      </c>
      <c r="I133" s="642">
        <v>0</v>
      </c>
      <c r="J133" s="642">
        <v>0</v>
      </c>
      <c r="K133" s="642">
        <v>0</v>
      </c>
      <c r="L133" s="642">
        <v>0</v>
      </c>
      <c r="M133" s="642">
        <v>0</v>
      </c>
      <c r="N133" s="642">
        <v>0</v>
      </c>
      <c r="O133" s="642">
        <v>0</v>
      </c>
      <c r="P133" s="642">
        <v>0</v>
      </c>
      <c r="Q133" s="642">
        <v>0</v>
      </c>
      <c r="R133" s="642">
        <v>0</v>
      </c>
      <c r="S133" s="650">
        <v>5.4269343279650002</v>
      </c>
      <c r="U133" s="648" t="s">
        <v>72</v>
      </c>
      <c r="V133" s="642">
        <v>0</v>
      </c>
      <c r="W133" s="642">
        <v>354.9229903070925</v>
      </c>
      <c r="X133" s="642">
        <v>-351.3737604040216</v>
      </c>
      <c r="Y133" s="642">
        <v>0</v>
      </c>
      <c r="Z133" s="642">
        <v>0</v>
      </c>
      <c r="AA133" s="642">
        <v>0</v>
      </c>
      <c r="AB133" s="642">
        <v>0</v>
      </c>
      <c r="AC133" s="642">
        <v>0</v>
      </c>
      <c r="AD133" s="642">
        <v>0</v>
      </c>
      <c r="AE133" s="642">
        <v>0</v>
      </c>
      <c r="AF133" s="642">
        <v>0</v>
      </c>
      <c r="AG133" s="642">
        <v>0</v>
      </c>
      <c r="AH133" s="642">
        <v>0</v>
      </c>
      <c r="AI133" s="642">
        <v>0</v>
      </c>
      <c r="AJ133" s="642">
        <v>0</v>
      </c>
      <c r="AK133" s="650">
        <v>3.5492299030709091</v>
      </c>
    </row>
    <row r="134" spans="3:37" ht="13.5">
      <c r="C134" s="648" t="s">
        <v>354</v>
      </c>
      <c r="D134" s="642">
        <v>0</v>
      </c>
      <c r="E134" s="642">
        <v>0</v>
      </c>
      <c r="F134" s="642">
        <v>0</v>
      </c>
      <c r="G134" s="642">
        <v>0</v>
      </c>
      <c r="H134" s="642">
        <v>0</v>
      </c>
      <c r="I134" s="642">
        <v>0</v>
      </c>
      <c r="J134" s="642">
        <v>32.75009012852766</v>
      </c>
      <c r="K134" s="642">
        <v>0</v>
      </c>
      <c r="L134" s="642">
        <v>-32.75009012852766</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-76.638831624044727</v>
      </c>
      <c r="AE134" s="642">
        <v>0</v>
      </c>
      <c r="AF134" s="642">
        <v>0</v>
      </c>
      <c r="AG134" s="642">
        <v>0</v>
      </c>
      <c r="AH134" s="642">
        <v>0</v>
      </c>
      <c r="AI134" s="642">
        <v>0</v>
      </c>
      <c r="AJ134" s="642">
        <v>0</v>
      </c>
      <c r="AK134" s="650">
        <v>-76.638831624044727</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-16.893833779014706</v>
      </c>
      <c r="AE135" s="642">
        <v>0</v>
      </c>
      <c r="AF135" s="642">
        <v>0</v>
      </c>
      <c r="AG135" s="642">
        <v>0</v>
      </c>
      <c r="AH135" s="642">
        <v>0</v>
      </c>
      <c r="AI135" s="642">
        <v>0</v>
      </c>
      <c r="AJ135" s="642">
        <v>0</v>
      </c>
      <c r="AK135" s="650">
        <v>-16.893833779014706</v>
      </c>
    </row>
    <row r="136" spans="3:37" ht="13.5">
      <c r="C136" s="648" t="s">
        <v>73</v>
      </c>
      <c r="D136" s="642">
        <v>0</v>
      </c>
      <c r="E136" s="642">
        <v>0</v>
      </c>
      <c r="F136" s="642">
        <v>0</v>
      </c>
      <c r="G136" s="642">
        <v>2.9190475912378031</v>
      </c>
      <c r="H136" s="642">
        <v>0</v>
      </c>
      <c r="I136" s="642">
        <v>0</v>
      </c>
      <c r="J136" s="642">
        <v>0</v>
      </c>
      <c r="K136" s="642">
        <v>3.3095777678433143E-2</v>
      </c>
      <c r="L136" s="642">
        <v>0</v>
      </c>
      <c r="M136" s="642">
        <v>5.9572399821179664E-2</v>
      </c>
      <c r="N136" s="642">
        <v>0</v>
      </c>
      <c r="O136" s="642">
        <v>0</v>
      </c>
      <c r="P136" s="642">
        <v>0.31236464325712177</v>
      </c>
      <c r="Q136" s="642">
        <v>0</v>
      </c>
      <c r="R136" s="642">
        <v>-2.3167044374903201</v>
      </c>
      <c r="S136" s="650">
        <v>1.0073759745042175</v>
      </c>
      <c r="U136" s="648" t="s">
        <v>73</v>
      </c>
      <c r="V136" s="642">
        <v>0</v>
      </c>
      <c r="W136" s="642">
        <v>0</v>
      </c>
      <c r="X136" s="642">
        <v>0</v>
      </c>
      <c r="Y136" s="642">
        <v>6.287229939138852</v>
      </c>
      <c r="Z136" s="642">
        <v>0</v>
      </c>
      <c r="AA136" s="642">
        <v>0</v>
      </c>
      <c r="AB136" s="642">
        <v>0</v>
      </c>
      <c r="AC136" s="642">
        <v>0.25073698660573684</v>
      </c>
      <c r="AD136" s="642">
        <v>0</v>
      </c>
      <c r="AE136" s="642">
        <v>1.1095111657303856</v>
      </c>
      <c r="AF136" s="642">
        <v>0</v>
      </c>
      <c r="AG136" s="642">
        <v>0</v>
      </c>
      <c r="AH136" s="642">
        <v>18.274688237257074</v>
      </c>
      <c r="AI136" s="642">
        <v>0</v>
      </c>
      <c r="AJ136" s="642">
        <v>-17.551589062401579</v>
      </c>
      <c r="AK136" s="650">
        <v>8.3705772663304678</v>
      </c>
    </row>
    <row r="137" spans="3:37" ht="13.5">
      <c r="C137" s="648" t="s">
        <v>356</v>
      </c>
      <c r="D137" s="642">
        <v>28.656195468750003</v>
      </c>
      <c r="E137" s="642">
        <v>-18.804327446398823</v>
      </c>
      <c r="F137" s="642">
        <v>24.594949618470011</v>
      </c>
      <c r="G137" s="642">
        <v>0</v>
      </c>
      <c r="H137" s="642">
        <v>0</v>
      </c>
      <c r="I137" s="642">
        <v>0</v>
      </c>
      <c r="J137" s="642">
        <v>0</v>
      </c>
      <c r="K137" s="642">
        <v>0</v>
      </c>
      <c r="L137" s="642">
        <v>0</v>
      </c>
      <c r="M137" s="642">
        <v>0</v>
      </c>
      <c r="N137" s="642">
        <v>0</v>
      </c>
      <c r="O137" s="642">
        <v>0</v>
      </c>
      <c r="P137" s="642">
        <v>0</v>
      </c>
      <c r="Q137" s="642">
        <v>0</v>
      </c>
      <c r="R137" s="642">
        <v>0</v>
      </c>
      <c r="S137" s="650">
        <v>34.446817640821195</v>
      </c>
      <c r="U137" s="648" t="s">
        <v>356</v>
      </c>
      <c r="V137" s="642">
        <v>3.6632235107421875</v>
      </c>
      <c r="W137" s="642">
        <v>-12.298081614140758</v>
      </c>
      <c r="X137" s="642">
        <v>16.085164362607916</v>
      </c>
      <c r="Y137" s="642">
        <v>0</v>
      </c>
      <c r="Z137" s="642">
        <v>0</v>
      </c>
      <c r="AA137" s="642">
        <v>0</v>
      </c>
      <c r="AB137" s="642">
        <v>0</v>
      </c>
      <c r="AC137" s="642">
        <v>0</v>
      </c>
      <c r="AD137" s="642">
        <v>0</v>
      </c>
      <c r="AE137" s="642">
        <v>0</v>
      </c>
      <c r="AF137" s="642">
        <v>0</v>
      </c>
      <c r="AG137" s="642">
        <v>0</v>
      </c>
      <c r="AH137" s="642">
        <v>0</v>
      </c>
      <c r="AI137" s="642">
        <v>0</v>
      </c>
      <c r="AJ137" s="642">
        <v>0</v>
      </c>
      <c r="AK137" s="650">
        <v>7.450306259209345</v>
      </c>
    </row>
    <row r="138" spans="3:37" ht="13.5">
      <c r="C138" s="648" t="s">
        <v>75</v>
      </c>
      <c r="D138" s="642">
        <v>11.144076015625002</v>
      </c>
      <c r="E138" s="642">
        <v>0</v>
      </c>
      <c r="F138" s="642">
        <v>18.451576715081096</v>
      </c>
      <c r="G138" s="642">
        <v>5.2652116849916704</v>
      </c>
      <c r="H138" s="642">
        <v>0</v>
      </c>
      <c r="I138" s="642">
        <v>0</v>
      </c>
      <c r="J138" s="642">
        <v>0</v>
      </c>
      <c r="K138" s="642">
        <v>0</v>
      </c>
      <c r="L138" s="642">
        <v>0</v>
      </c>
      <c r="M138" s="642">
        <v>0.10745329969370757</v>
      </c>
      <c r="N138" s="642">
        <v>0</v>
      </c>
      <c r="O138" s="642">
        <v>0</v>
      </c>
      <c r="P138" s="642">
        <v>33.522260759660846</v>
      </c>
      <c r="Q138" s="642">
        <v>0</v>
      </c>
      <c r="R138" s="642">
        <v>0</v>
      </c>
      <c r="S138" s="650">
        <v>68.490578475052317</v>
      </c>
      <c r="U138" s="648" t="s">
        <v>75</v>
      </c>
      <c r="V138" s="642">
        <v>4.4693862304687499</v>
      </c>
      <c r="W138" s="642">
        <v>0</v>
      </c>
      <c r="X138" s="642">
        <v>18.451576715081096</v>
      </c>
      <c r="Y138" s="642">
        <v>4.5667652369825715</v>
      </c>
      <c r="Z138" s="642">
        <v>0</v>
      </c>
      <c r="AA138" s="642">
        <v>0</v>
      </c>
      <c r="AB138" s="642">
        <v>0</v>
      </c>
      <c r="AC138" s="642">
        <v>0</v>
      </c>
      <c r="AD138" s="642">
        <v>0</v>
      </c>
      <c r="AE138" s="642">
        <v>0.8058997477028067</v>
      </c>
      <c r="AF138" s="642">
        <v>0</v>
      </c>
      <c r="AG138" s="642">
        <v>0</v>
      </c>
      <c r="AH138" s="642">
        <v>33.775215305115388</v>
      </c>
      <c r="AI138" s="642">
        <v>0</v>
      </c>
      <c r="AJ138" s="642">
        <v>0</v>
      </c>
      <c r="AK138" s="650">
        <v>62.068843235350613</v>
      </c>
    </row>
    <row r="139" spans="3:37" ht="13.5">
      <c r="C139" s="648" t="s">
        <v>76</v>
      </c>
      <c r="D139" s="642">
        <v>0</v>
      </c>
      <c r="E139" s="642">
        <v>0</v>
      </c>
      <c r="F139" s="642">
        <v>0</v>
      </c>
      <c r="G139" s="642">
        <v>3.8313802109978718</v>
      </c>
      <c r="H139" s="642">
        <v>0</v>
      </c>
      <c r="I139" s="642">
        <v>0</v>
      </c>
      <c r="J139" s="642">
        <v>0</v>
      </c>
      <c r="K139" s="642">
        <v>0</v>
      </c>
      <c r="L139" s="642">
        <v>0</v>
      </c>
      <c r="M139" s="642">
        <v>7.8191432877507586E-2</v>
      </c>
      <c r="N139" s="642">
        <v>0</v>
      </c>
      <c r="O139" s="642">
        <v>0</v>
      </c>
      <c r="P139" s="642">
        <v>42.744249460921445</v>
      </c>
      <c r="Q139" s="642">
        <v>2.9948048478615572</v>
      </c>
      <c r="R139" s="642">
        <v>0</v>
      </c>
      <c r="S139" s="650">
        <v>49.648625952658385</v>
      </c>
      <c r="U139" s="648" t="s">
        <v>76</v>
      </c>
      <c r="V139" s="642">
        <v>0</v>
      </c>
      <c r="W139" s="642">
        <v>0</v>
      </c>
      <c r="X139" s="642">
        <v>0</v>
      </c>
      <c r="Y139" s="642">
        <v>2.4425535766751323</v>
      </c>
      <c r="Z139" s="642">
        <v>0</v>
      </c>
      <c r="AA139" s="642">
        <v>0</v>
      </c>
      <c r="AB139" s="642">
        <v>0</v>
      </c>
      <c r="AC139" s="642">
        <v>0</v>
      </c>
      <c r="AD139" s="642">
        <v>0</v>
      </c>
      <c r="AE139" s="642">
        <v>0.43103886647208217</v>
      </c>
      <c r="AF139" s="642">
        <v>0</v>
      </c>
      <c r="AG139" s="642">
        <v>0</v>
      </c>
      <c r="AH139" s="642">
        <v>44.348699545879278</v>
      </c>
      <c r="AI139" s="642">
        <v>5.6786643797858867</v>
      </c>
      <c r="AJ139" s="642">
        <v>0</v>
      </c>
      <c r="AK139" s="650">
        <v>52.900956368812388</v>
      </c>
    </row>
    <row r="140" spans="3:37" ht="13.5">
      <c r="C140" s="646" t="s">
        <v>77</v>
      </c>
      <c r="D140" s="647">
        <v>42.627057125400256</v>
      </c>
      <c r="E140" s="647">
        <v>523.88910535010393</v>
      </c>
      <c r="F140" s="647">
        <v>-486.25029902863446</v>
      </c>
      <c r="G140" s="647">
        <v>44.598587346134217</v>
      </c>
      <c r="H140" s="647">
        <v>1075.0000000000002</v>
      </c>
      <c r="I140" s="647">
        <v>224.13674723416887</v>
      </c>
      <c r="J140" s="647">
        <v>83.541447222318993</v>
      </c>
      <c r="K140" s="647">
        <v>19.633041740965588</v>
      </c>
      <c r="L140" s="647">
        <v>-30.296984724016522</v>
      </c>
      <c r="M140" s="647">
        <v>-5.5459776813090693</v>
      </c>
      <c r="N140" s="647">
        <v>0</v>
      </c>
      <c r="O140" s="647">
        <v>5.2372199657233862</v>
      </c>
      <c r="P140" s="647">
        <v>-532.72264320989325</v>
      </c>
      <c r="Q140" s="647">
        <v>-35.594581328511254</v>
      </c>
      <c r="R140" s="647">
        <v>-2.3167044374903201</v>
      </c>
      <c r="S140" s="647">
        <v>925.93601557496061</v>
      </c>
      <c r="U140" s="646" t="s">
        <v>77</v>
      </c>
      <c r="V140" s="647">
        <v>8.7589246466696284</v>
      </c>
      <c r="W140" s="647">
        <v>342.62490869295175</v>
      </c>
      <c r="X140" s="647">
        <v>-312.73098258361676</v>
      </c>
      <c r="Y140" s="647">
        <v>53.445107496027774</v>
      </c>
      <c r="Z140" s="647">
        <v>994.39393939393949</v>
      </c>
      <c r="AA140" s="647">
        <v>248.70674723416883</v>
      </c>
      <c r="AB140" s="647">
        <v>93.928049103898687</v>
      </c>
      <c r="AC140" s="647">
        <v>32.303919388897036</v>
      </c>
      <c r="AD140" s="647">
        <v>-91.079559998548305</v>
      </c>
      <c r="AE140" s="647">
        <v>-26.781463608290892</v>
      </c>
      <c r="AF140" s="647">
        <v>0</v>
      </c>
      <c r="AG140" s="647">
        <v>11.393749064396903</v>
      </c>
      <c r="AH140" s="647">
        <v>-515.37291498548086</v>
      </c>
      <c r="AI140" s="647">
        <v>-67.545290041896138</v>
      </c>
      <c r="AJ140" s="647">
        <v>-15.176589062401579</v>
      </c>
      <c r="AK140" s="647">
        <v>756.86854474071572</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6.2002081056415257</v>
      </c>
      <c r="E142" s="642">
        <v>0</v>
      </c>
      <c r="F142" s="642">
        <v>23.255205938178186</v>
      </c>
      <c r="G142" s="642">
        <v>101.12865293850786</v>
      </c>
      <c r="H142" s="642">
        <v>0</v>
      </c>
      <c r="I142" s="642">
        <v>0</v>
      </c>
      <c r="J142" s="642">
        <v>19.565687098295676</v>
      </c>
      <c r="K142" s="642">
        <v>1.7744589215827917</v>
      </c>
      <c r="L142" s="642">
        <v>0.87520713476562495</v>
      </c>
      <c r="M142" s="642">
        <v>2.0825226770622867</v>
      </c>
      <c r="N142" s="642">
        <v>0</v>
      </c>
      <c r="O142" s="642">
        <v>3.8067188808088001E-4</v>
      </c>
      <c r="P142" s="642">
        <v>109.76937284793219</v>
      </c>
      <c r="Q142" s="642">
        <v>16.103287978552984</v>
      </c>
      <c r="R142" s="642">
        <v>0.32868640136718752</v>
      </c>
      <c r="S142" s="650">
        <v>281.08367071377444</v>
      </c>
      <c r="U142" s="648" t="s">
        <v>78</v>
      </c>
      <c r="V142" s="642">
        <v>1.01942505552247</v>
      </c>
      <c r="W142" s="642">
        <v>0</v>
      </c>
      <c r="X142" s="642">
        <v>12.936117077553076</v>
      </c>
      <c r="Y142" s="642">
        <v>67.349539979102474</v>
      </c>
      <c r="Z142" s="642">
        <v>0</v>
      </c>
      <c r="AA142" s="642">
        <v>0</v>
      </c>
      <c r="AB142" s="642">
        <v>16.313565187348217</v>
      </c>
      <c r="AC142" s="642">
        <v>5.7022810919996436</v>
      </c>
      <c r="AD142" s="642">
        <v>2.2588896484375001</v>
      </c>
      <c r="AE142" s="642">
        <v>11.903885554581411</v>
      </c>
      <c r="AF142" s="642">
        <v>0</v>
      </c>
      <c r="AG142" s="642">
        <v>3.8067188808088001E-4</v>
      </c>
      <c r="AH142" s="642">
        <v>135.13428233654639</v>
      </c>
      <c r="AI142" s="642">
        <v>21.466888656055119</v>
      </c>
      <c r="AJ142" s="642">
        <v>5.7972734375000003</v>
      </c>
      <c r="AK142" s="650">
        <v>279.88252869653439</v>
      </c>
    </row>
    <row r="143" spans="3:37" ht="13.5">
      <c r="C143" s="648" t="s">
        <v>79</v>
      </c>
      <c r="D143" s="642">
        <v>0</v>
      </c>
      <c r="E143" s="642">
        <v>0</v>
      </c>
      <c r="F143" s="642">
        <v>291.38745921478562</v>
      </c>
      <c r="G143" s="642">
        <v>24.020829745272028</v>
      </c>
      <c r="H143" s="642">
        <v>0</v>
      </c>
      <c r="I143" s="642">
        <v>0</v>
      </c>
      <c r="J143" s="642">
        <v>0</v>
      </c>
      <c r="K143" s="642">
        <v>0</v>
      </c>
      <c r="L143" s="642">
        <v>28.280041762715456</v>
      </c>
      <c r="M143" s="642">
        <v>0.49022101520963324</v>
      </c>
      <c r="N143" s="642">
        <v>0</v>
      </c>
      <c r="O143" s="642">
        <v>0</v>
      </c>
      <c r="P143" s="642">
        <v>46.654707564142761</v>
      </c>
      <c r="Q143" s="642">
        <v>0</v>
      </c>
      <c r="R143" s="642">
        <v>1.1135281120019407</v>
      </c>
      <c r="S143" s="650">
        <v>391.94678741412741</v>
      </c>
      <c r="U143" s="648" t="s">
        <v>79</v>
      </c>
      <c r="V143" s="642">
        <v>0</v>
      </c>
      <c r="W143" s="642">
        <v>0</v>
      </c>
      <c r="X143" s="642">
        <v>152.5395921226515</v>
      </c>
      <c r="Y143" s="642">
        <v>18.931026789455995</v>
      </c>
      <c r="Z143" s="642">
        <v>0</v>
      </c>
      <c r="AA143" s="642">
        <v>0</v>
      </c>
      <c r="AB143" s="642">
        <v>0</v>
      </c>
      <c r="AC143" s="642">
        <v>0</v>
      </c>
      <c r="AD143" s="642">
        <v>49.546406871337183</v>
      </c>
      <c r="AE143" s="642">
        <v>3.3407694334334113</v>
      </c>
      <c r="AF143" s="642">
        <v>0</v>
      </c>
      <c r="AG143" s="642">
        <v>0</v>
      </c>
      <c r="AH143" s="642">
        <v>60.923926311544285</v>
      </c>
      <c r="AI143" s="642">
        <v>0</v>
      </c>
      <c r="AJ143" s="642">
        <v>2.0956611258816777</v>
      </c>
      <c r="AK143" s="650">
        <v>287.37738265430403</v>
      </c>
    </row>
    <row r="144" spans="3:37" ht="13.5">
      <c r="C144" s="648" t="s">
        <v>80</v>
      </c>
      <c r="D144" s="642">
        <v>0</v>
      </c>
      <c r="E144" s="642">
        <v>0</v>
      </c>
      <c r="F144" s="642">
        <v>24.366054746482678</v>
      </c>
      <c r="G144" s="642">
        <v>88.830627596834503</v>
      </c>
      <c r="H144" s="642">
        <v>0</v>
      </c>
      <c r="I144" s="642">
        <v>0</v>
      </c>
      <c r="J144" s="642">
        <v>86.298448588028648</v>
      </c>
      <c r="K144" s="642">
        <v>0</v>
      </c>
      <c r="L144" s="642">
        <v>0</v>
      </c>
      <c r="M144" s="642">
        <v>1.8128699509558064</v>
      </c>
      <c r="N144" s="642">
        <v>49.305914152356948</v>
      </c>
      <c r="O144" s="642">
        <v>1.9759423218950023</v>
      </c>
      <c r="P144" s="642">
        <v>183.08170703950353</v>
      </c>
      <c r="Q144" s="642">
        <v>15.629207143582217</v>
      </c>
      <c r="R144" s="642">
        <v>0</v>
      </c>
      <c r="S144" s="650">
        <v>451.3007715396393</v>
      </c>
      <c r="U144" s="648" t="s">
        <v>80</v>
      </c>
      <c r="V144" s="642">
        <v>0</v>
      </c>
      <c r="W144" s="642">
        <v>0</v>
      </c>
      <c r="X144" s="642">
        <v>1.5212022418020299</v>
      </c>
      <c r="Y144" s="642">
        <v>34.748278571527685</v>
      </c>
      <c r="Z144" s="642">
        <v>0</v>
      </c>
      <c r="AA144" s="642">
        <v>0</v>
      </c>
      <c r="AB144" s="642">
        <v>75.181836567082826</v>
      </c>
      <c r="AC144" s="642">
        <v>0</v>
      </c>
      <c r="AD144" s="642">
        <v>0</v>
      </c>
      <c r="AE144" s="642">
        <v>6.1320491596813564</v>
      </c>
      <c r="AF144" s="642">
        <v>62.645467095100628</v>
      </c>
      <c r="AG144" s="642">
        <v>2.6978117080871646</v>
      </c>
      <c r="AH144" s="642">
        <v>158.40967854762758</v>
      </c>
      <c r="AI144" s="642">
        <v>35.928967439236224</v>
      </c>
      <c r="AJ144" s="642">
        <v>0</v>
      </c>
      <c r="AK144" s="650">
        <v>377.26529133014549</v>
      </c>
    </row>
    <row r="145" spans="3:37" ht="13.5">
      <c r="C145" s="648" t="s">
        <v>81</v>
      </c>
      <c r="D145" s="642">
        <v>0</v>
      </c>
      <c r="E145" s="642">
        <v>0</v>
      </c>
      <c r="F145" s="642">
        <v>9.1434406229634497</v>
      </c>
      <c r="G145" s="642">
        <v>62.772902131190932</v>
      </c>
      <c r="H145" s="642">
        <v>0</v>
      </c>
      <c r="I145" s="642">
        <v>0</v>
      </c>
      <c r="J145" s="642">
        <v>3.3792389882828151</v>
      </c>
      <c r="K145" s="642">
        <v>2.5053216415896862E-2</v>
      </c>
      <c r="L145" s="642">
        <v>0</v>
      </c>
      <c r="M145" s="642">
        <v>1.2810796353304272</v>
      </c>
      <c r="N145" s="642">
        <v>8.5204805498073064</v>
      </c>
      <c r="O145" s="642">
        <v>0.77988306826531983</v>
      </c>
      <c r="P145" s="642">
        <v>134.9475862077569</v>
      </c>
      <c r="Q145" s="642">
        <v>3.8620862063760555</v>
      </c>
      <c r="R145" s="642">
        <v>0</v>
      </c>
      <c r="S145" s="650">
        <v>224.71175062638912</v>
      </c>
      <c r="U145" s="648" t="s">
        <v>81</v>
      </c>
      <c r="V145" s="642">
        <v>0</v>
      </c>
      <c r="W145" s="642">
        <v>0</v>
      </c>
      <c r="X145" s="642">
        <v>2.5747324311170368</v>
      </c>
      <c r="Y145" s="642">
        <v>28.050706446538126</v>
      </c>
      <c r="Z145" s="642">
        <v>0</v>
      </c>
      <c r="AA145" s="642">
        <v>0</v>
      </c>
      <c r="AB145" s="642">
        <v>7.5276105699702738</v>
      </c>
      <c r="AC145" s="642">
        <v>2.5053216415896862E-2</v>
      </c>
      <c r="AD145" s="642">
        <v>0</v>
      </c>
      <c r="AE145" s="642">
        <v>4.9501246670361398</v>
      </c>
      <c r="AF145" s="642">
        <v>14.347345485370148</v>
      </c>
      <c r="AG145" s="642">
        <v>1.6839822655905561</v>
      </c>
      <c r="AH145" s="642">
        <v>120.05488498756245</v>
      </c>
      <c r="AI145" s="642">
        <v>10.149433946604795</v>
      </c>
      <c r="AJ145" s="642">
        <v>0</v>
      </c>
      <c r="AK145" s="650">
        <v>189.36387401620541</v>
      </c>
    </row>
    <row r="146" spans="3:37" ht="13.5">
      <c r="C146" s="648" t="s">
        <v>82</v>
      </c>
      <c r="D146" s="642">
        <v>0</v>
      </c>
      <c r="E146" s="642">
        <v>0</v>
      </c>
      <c r="F146" s="642">
        <v>31.378359933180146</v>
      </c>
      <c r="G146" s="642">
        <v>1.761464702880946</v>
      </c>
      <c r="H146" s="642">
        <v>0</v>
      </c>
      <c r="I146" s="642">
        <v>0</v>
      </c>
      <c r="J146" s="642">
        <v>2.5129576329044134</v>
      </c>
      <c r="K146" s="642">
        <v>0</v>
      </c>
      <c r="L146" s="642">
        <v>2.7366524531426237</v>
      </c>
      <c r="M146" s="642">
        <v>3.5948259242468285E-2</v>
      </c>
      <c r="N146" s="642">
        <v>0</v>
      </c>
      <c r="O146" s="642">
        <v>7.8328904674825409E-2</v>
      </c>
      <c r="P146" s="642">
        <v>7.1029233048090266</v>
      </c>
      <c r="Q146" s="642">
        <v>0</v>
      </c>
      <c r="R146" s="642">
        <v>0</v>
      </c>
      <c r="S146" s="650">
        <v>45.606635190834446</v>
      </c>
      <c r="U146" s="648" t="s">
        <v>82</v>
      </c>
      <c r="V146" s="642">
        <v>0</v>
      </c>
      <c r="W146" s="642">
        <v>0</v>
      </c>
      <c r="X146" s="642">
        <v>18.696617357576709</v>
      </c>
      <c r="Y146" s="642">
        <v>1.906896096641761</v>
      </c>
      <c r="Z146" s="642">
        <v>0</v>
      </c>
      <c r="AA146" s="642">
        <v>0</v>
      </c>
      <c r="AB146" s="642">
        <v>2.5129576329044134</v>
      </c>
      <c r="AC146" s="642">
        <v>0</v>
      </c>
      <c r="AD146" s="642">
        <v>18.28747352858748</v>
      </c>
      <c r="AE146" s="642">
        <v>0.33651107587795781</v>
      </c>
      <c r="AF146" s="642">
        <v>0</v>
      </c>
      <c r="AG146" s="642">
        <v>0.96290247555165809</v>
      </c>
      <c r="AH146" s="642">
        <v>7.1739705565638916</v>
      </c>
      <c r="AI146" s="642">
        <v>0</v>
      </c>
      <c r="AJ146" s="642">
        <v>0.24940873791150003</v>
      </c>
      <c r="AK146" s="650">
        <v>50.12673746161537</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0.22499999999999998</v>
      </c>
      <c r="Q147" s="642">
        <v>0</v>
      </c>
      <c r="R147" s="642">
        <v>0</v>
      </c>
      <c r="S147" s="650">
        <v>0.22499999999999998</v>
      </c>
      <c r="U147" s="648" t="s">
        <v>357</v>
      </c>
      <c r="V147" s="642">
        <v>0</v>
      </c>
      <c r="W147" s="642">
        <v>0</v>
      </c>
      <c r="X147" s="642">
        <v>0</v>
      </c>
      <c r="Y147" s="642">
        <v>0</v>
      </c>
      <c r="Z147" s="642">
        <v>0</v>
      </c>
      <c r="AA147" s="642">
        <v>0</v>
      </c>
      <c r="AB147" s="642">
        <v>0</v>
      </c>
      <c r="AC147" s="642">
        <v>0</v>
      </c>
      <c r="AD147" s="642">
        <v>0</v>
      </c>
      <c r="AE147" s="642">
        <v>0</v>
      </c>
      <c r="AF147" s="642">
        <v>0</v>
      </c>
      <c r="AG147" s="642">
        <v>0</v>
      </c>
      <c r="AH147" s="642">
        <v>1.2</v>
      </c>
      <c r="AI147" s="642">
        <v>0</v>
      </c>
      <c r="AJ147" s="642">
        <v>0</v>
      </c>
      <c r="AK147" s="650">
        <v>1.2</v>
      </c>
    </row>
    <row r="148" spans="3:37" ht="13.5">
      <c r="C148" s="646" t="s">
        <v>83</v>
      </c>
      <c r="D148" s="647">
        <v>6.2002081056415257</v>
      </c>
      <c r="E148" s="647">
        <v>0</v>
      </c>
      <c r="F148" s="647">
        <v>379.53052045559002</v>
      </c>
      <c r="G148" s="647">
        <v>278.51447711468631</v>
      </c>
      <c r="H148" s="647">
        <v>0</v>
      </c>
      <c r="I148" s="647">
        <v>0</v>
      </c>
      <c r="J148" s="647">
        <v>111.75633230751156</v>
      </c>
      <c r="K148" s="647">
        <v>1.7995121379986885</v>
      </c>
      <c r="L148" s="647">
        <v>31.891901350623705</v>
      </c>
      <c r="M148" s="647">
        <v>5.7026415378006226</v>
      </c>
      <c r="N148" s="647">
        <v>57.826394702164251</v>
      </c>
      <c r="O148" s="647">
        <v>2.8345349667232282</v>
      </c>
      <c r="P148" s="647">
        <v>481.78129696414442</v>
      </c>
      <c r="Q148" s="647">
        <v>35.594581328511254</v>
      </c>
      <c r="R148" s="647">
        <v>1.4422145133691282</v>
      </c>
      <c r="S148" s="647">
        <v>1394.8746154847647</v>
      </c>
      <c r="U148" s="646" t="s">
        <v>83</v>
      </c>
      <c r="V148" s="647">
        <v>1.01942505552247</v>
      </c>
      <c r="W148" s="647">
        <v>0</v>
      </c>
      <c r="X148" s="647">
        <v>188.26826123070035</v>
      </c>
      <c r="Y148" s="647">
        <v>150.98644788326604</v>
      </c>
      <c r="Z148" s="647">
        <v>0</v>
      </c>
      <c r="AA148" s="647">
        <v>0</v>
      </c>
      <c r="AB148" s="647">
        <v>101.53596995730574</v>
      </c>
      <c r="AC148" s="647">
        <v>5.727334308415541</v>
      </c>
      <c r="AD148" s="647">
        <v>70.092770048362169</v>
      </c>
      <c r="AE148" s="647">
        <v>26.663339890610278</v>
      </c>
      <c r="AF148" s="647">
        <v>76.992812580470769</v>
      </c>
      <c r="AG148" s="647">
        <v>5.3450771211174599</v>
      </c>
      <c r="AH148" s="647">
        <v>482.89674273984457</v>
      </c>
      <c r="AI148" s="647">
        <v>67.545290041896138</v>
      </c>
      <c r="AJ148" s="647">
        <v>8.1423433012931774</v>
      </c>
      <c r="AK148" s="647">
        <v>1185.2158141588047</v>
      </c>
    </row>
    <row r="149" spans="3:37" ht="13.5">
      <c r="C149" s="641" t="s">
        <v>84</v>
      </c>
      <c r="D149" s="642">
        <v>0</v>
      </c>
      <c r="E149" s="642">
        <v>0</v>
      </c>
      <c r="F149" s="642">
        <v>114.78425758185857</v>
      </c>
      <c r="G149" s="642">
        <v>12.028714359769619</v>
      </c>
      <c r="H149" s="642">
        <v>0</v>
      </c>
      <c r="I149" s="642">
        <v>0</v>
      </c>
      <c r="J149" s="642">
        <v>0</v>
      </c>
      <c r="K149" s="642">
        <v>0</v>
      </c>
      <c r="L149" s="642">
        <v>0</v>
      </c>
      <c r="M149" s="642">
        <v>0</v>
      </c>
      <c r="N149" s="642">
        <v>0</v>
      </c>
      <c r="O149" s="642">
        <v>0</v>
      </c>
      <c r="P149" s="642">
        <v>0</v>
      </c>
      <c r="Q149" s="642">
        <v>0</v>
      </c>
      <c r="R149" s="642">
        <v>0.87448992412119186</v>
      </c>
      <c r="S149" s="650">
        <v>127.68746186574938</v>
      </c>
      <c r="U149" s="641" t="s">
        <v>84</v>
      </c>
      <c r="V149" s="642">
        <v>0</v>
      </c>
      <c r="W149" s="642">
        <v>0</v>
      </c>
      <c r="X149" s="642">
        <v>99.887922338380434</v>
      </c>
      <c r="Y149" s="642">
        <v>1.4617397027131513</v>
      </c>
      <c r="Z149" s="642">
        <v>0</v>
      </c>
      <c r="AA149" s="642">
        <v>0</v>
      </c>
      <c r="AB149" s="642">
        <v>0</v>
      </c>
      <c r="AC149" s="642">
        <v>0</v>
      </c>
      <c r="AD149" s="642">
        <v>9.6859590362548822</v>
      </c>
      <c r="AE149" s="642">
        <v>0</v>
      </c>
      <c r="AF149" s="642">
        <v>0</v>
      </c>
      <c r="AG149" s="642">
        <v>0</v>
      </c>
      <c r="AH149" s="642">
        <v>0</v>
      </c>
      <c r="AI149" s="642">
        <v>0</v>
      </c>
      <c r="AJ149" s="642">
        <v>7.0342457611083988</v>
      </c>
      <c r="AK149" s="650">
        <v>118.06986683845686</v>
      </c>
    </row>
    <row r="150" spans="3:37" ht="13.5">
      <c r="C150" s="646" t="s">
        <v>85</v>
      </c>
      <c r="D150" s="647">
        <v>6.2002081056415257</v>
      </c>
      <c r="E150" s="647">
        <v>0</v>
      </c>
      <c r="F150" s="647">
        <v>494.3147780374486</v>
      </c>
      <c r="G150" s="647">
        <v>290.54319147445591</v>
      </c>
      <c r="H150" s="647">
        <v>0</v>
      </c>
      <c r="I150" s="647">
        <v>0</v>
      </c>
      <c r="J150" s="647">
        <v>111.75633230751156</v>
      </c>
      <c r="K150" s="647">
        <v>1.7995121379986885</v>
      </c>
      <c r="L150" s="647">
        <v>31.891901350623705</v>
      </c>
      <c r="M150" s="647">
        <v>5.7026415378006226</v>
      </c>
      <c r="N150" s="647">
        <v>57.826394702164251</v>
      </c>
      <c r="O150" s="647">
        <v>2.8345349667232282</v>
      </c>
      <c r="P150" s="647">
        <v>481.78129696414442</v>
      </c>
      <c r="Q150" s="647">
        <v>35.594581328511254</v>
      </c>
      <c r="R150" s="647">
        <v>2.3167044374903201</v>
      </c>
      <c r="S150" s="647">
        <v>1522.5620773505141</v>
      </c>
      <c r="U150" s="646" t="s">
        <v>85</v>
      </c>
      <c r="V150" s="647">
        <v>1.01942505552247</v>
      </c>
      <c r="W150" s="647">
        <v>0</v>
      </c>
      <c r="X150" s="647">
        <v>288.15618356908084</v>
      </c>
      <c r="Y150" s="647">
        <v>152.44818758597918</v>
      </c>
      <c r="Z150" s="647">
        <v>0</v>
      </c>
      <c r="AA150" s="647">
        <v>0</v>
      </c>
      <c r="AB150" s="647">
        <v>101.53596995730574</v>
      </c>
      <c r="AC150" s="647">
        <v>5.727334308415541</v>
      </c>
      <c r="AD150" s="647">
        <v>79.778729084617055</v>
      </c>
      <c r="AE150" s="647">
        <v>26.663339890610278</v>
      </c>
      <c r="AF150" s="647">
        <v>76.992812580470769</v>
      </c>
      <c r="AG150" s="647">
        <v>5.3450771211174599</v>
      </c>
      <c r="AH150" s="647">
        <v>482.89674273984457</v>
      </c>
      <c r="AI150" s="647">
        <v>67.545290041896138</v>
      </c>
      <c r="AJ150" s="647">
        <v>15.176589062401575</v>
      </c>
      <c r="AK150" s="647">
        <v>1303.2856809972616</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22.5">
      <c r="C152" s="699" t="s">
        <v>362</v>
      </c>
      <c r="D152" s="699"/>
      <c r="E152" s="699"/>
      <c r="F152" s="699"/>
      <c r="G152" s="699"/>
      <c r="H152" s="699"/>
      <c r="I152" s="699"/>
      <c r="J152" s="699"/>
      <c r="K152" s="699"/>
      <c r="L152" s="699"/>
      <c r="M152" s="699"/>
      <c r="N152" s="699"/>
      <c r="O152" s="699"/>
      <c r="P152" s="699"/>
      <c r="Q152" s="699"/>
      <c r="R152" s="699"/>
      <c r="S152" s="699"/>
      <c r="U152" s="699" t="s">
        <v>362</v>
      </c>
      <c r="V152" s="699"/>
      <c r="W152" s="699"/>
      <c r="X152" s="699"/>
      <c r="Y152" s="699"/>
      <c r="Z152" s="699"/>
      <c r="AA152" s="699"/>
      <c r="AB152" s="699"/>
      <c r="AC152" s="699"/>
      <c r="AD152" s="699"/>
      <c r="AE152" s="699"/>
      <c r="AF152" s="699"/>
      <c r="AG152" s="699"/>
      <c r="AH152" s="699"/>
      <c r="AI152" s="699"/>
      <c r="AJ152" s="699"/>
      <c r="AK152" s="699"/>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13" customHeight="1">
      <c r="C154" s="700" t="s">
        <v>128</v>
      </c>
      <c r="D154" s="701" t="s">
        <v>42</v>
      </c>
      <c r="E154" s="701" t="s">
        <v>52</v>
      </c>
      <c r="F154" s="701" t="s">
        <v>53</v>
      </c>
      <c r="G154" s="701" t="s">
        <v>32</v>
      </c>
      <c r="H154" s="701" t="s">
        <v>20</v>
      </c>
      <c r="I154" s="701" t="s">
        <v>55</v>
      </c>
      <c r="J154" s="701" t="s">
        <v>56</v>
      </c>
      <c r="K154" s="701"/>
      <c r="L154" s="701"/>
      <c r="M154" s="701"/>
      <c r="N154" s="701"/>
      <c r="O154" s="701"/>
      <c r="P154" s="701" t="s">
        <v>57</v>
      </c>
      <c r="Q154" s="701" t="s">
        <v>58</v>
      </c>
      <c r="R154" s="701" t="s">
        <v>31</v>
      </c>
      <c r="S154" s="701" t="s">
        <v>10</v>
      </c>
      <c r="U154" s="700" t="s">
        <v>128</v>
      </c>
      <c r="V154" s="701" t="s">
        <v>42</v>
      </c>
      <c r="W154" s="701" t="s">
        <v>52</v>
      </c>
      <c r="X154" s="701" t="s">
        <v>53</v>
      </c>
      <c r="Y154" s="701" t="s">
        <v>32</v>
      </c>
      <c r="Z154" s="701" t="s">
        <v>20</v>
      </c>
      <c r="AA154" s="701" t="s">
        <v>55</v>
      </c>
      <c r="AB154" s="701" t="s">
        <v>56</v>
      </c>
      <c r="AC154" s="701"/>
      <c r="AD154" s="701"/>
      <c r="AE154" s="701"/>
      <c r="AF154" s="701"/>
      <c r="AG154" s="701"/>
      <c r="AH154" s="701" t="s">
        <v>57</v>
      </c>
      <c r="AI154" s="701" t="s">
        <v>58</v>
      </c>
      <c r="AJ154" s="701" t="s">
        <v>31</v>
      </c>
      <c r="AK154" s="701" t="s">
        <v>10</v>
      </c>
    </row>
    <row r="155" spans="3:37" ht="46">
      <c r="C155" s="700"/>
      <c r="D155" s="701"/>
      <c r="E155" s="701"/>
      <c r="F155" s="701"/>
      <c r="G155" s="701"/>
      <c r="H155" s="701"/>
      <c r="I155" s="701"/>
      <c r="J155" s="640" t="s">
        <v>338</v>
      </c>
      <c r="K155" s="640" t="s">
        <v>40</v>
      </c>
      <c r="L155" s="640" t="s">
        <v>346</v>
      </c>
      <c r="M155" s="640" t="s">
        <v>347</v>
      </c>
      <c r="N155" s="640" t="s">
        <v>348</v>
      </c>
      <c r="O155" s="640" t="s">
        <v>349</v>
      </c>
      <c r="P155" s="701"/>
      <c r="Q155" s="701"/>
      <c r="R155" s="701"/>
      <c r="S155" s="701"/>
      <c r="U155" s="700"/>
      <c r="V155" s="701"/>
      <c r="W155" s="701"/>
      <c r="X155" s="701"/>
      <c r="Y155" s="701"/>
      <c r="Z155" s="701"/>
      <c r="AA155" s="701"/>
      <c r="AB155" s="640" t="s">
        <v>338</v>
      </c>
      <c r="AC155" s="640" t="s">
        <v>40</v>
      </c>
      <c r="AD155" s="640" t="s">
        <v>346</v>
      </c>
      <c r="AE155" s="640" t="s">
        <v>347</v>
      </c>
      <c r="AF155" s="640" t="s">
        <v>348</v>
      </c>
      <c r="AG155" s="640" t="s">
        <v>349</v>
      </c>
      <c r="AH155" s="701"/>
      <c r="AI155" s="701"/>
      <c r="AJ155" s="701"/>
      <c r="AK155" s="701"/>
    </row>
    <row r="156" spans="3:37" ht="13.5">
      <c r="C156" s="641" t="s">
        <v>59</v>
      </c>
      <c r="D156" s="642">
        <v>0</v>
      </c>
      <c r="E156" s="643">
        <v>2.3260000000000005</v>
      </c>
      <c r="F156" s="643">
        <v>0</v>
      </c>
      <c r="G156" s="642">
        <v>3.7216000000000006E-2</v>
      </c>
      <c r="H156" s="643">
        <v>1005.4545454545456</v>
      </c>
      <c r="I156" s="643">
        <v>248.9826967827097</v>
      </c>
      <c r="J156" s="643">
        <v>189.82090717884753</v>
      </c>
      <c r="K156" s="643">
        <v>21.067323208066789</v>
      </c>
      <c r="L156" s="643">
        <v>0.444514092196865</v>
      </c>
      <c r="M156" s="643">
        <v>0.15770970126630299</v>
      </c>
      <c r="N156" s="643">
        <v>60.832905155553725</v>
      </c>
      <c r="O156" s="643">
        <v>10.347989753579439</v>
      </c>
      <c r="P156" s="644">
        <v>0</v>
      </c>
      <c r="Q156" s="643">
        <v>0</v>
      </c>
      <c r="R156" s="643">
        <v>0</v>
      </c>
      <c r="S156" s="645">
        <v>1539.4718073267661</v>
      </c>
      <c r="U156" s="641" t="s">
        <v>59</v>
      </c>
      <c r="V156" s="642">
        <v>0</v>
      </c>
      <c r="W156" s="643">
        <v>2.3260000000000005</v>
      </c>
      <c r="X156" s="643">
        <v>0</v>
      </c>
      <c r="Y156" s="642">
        <v>3.7216000000000006E-2</v>
      </c>
      <c r="Z156" s="643">
        <v>949.39393939393938</v>
      </c>
      <c r="AA156" s="643">
        <v>279.58269678270966</v>
      </c>
      <c r="AB156" s="643">
        <v>196.53145821434362</v>
      </c>
      <c r="AC156" s="643">
        <v>37.828582612394825</v>
      </c>
      <c r="AD156" s="643">
        <v>0.444514092196865</v>
      </c>
      <c r="AE156" s="643">
        <v>0.15770970126630299</v>
      </c>
      <c r="AF156" s="643">
        <v>86.476611770328219</v>
      </c>
      <c r="AG156" s="643">
        <v>21.065809354780896</v>
      </c>
      <c r="AH156" s="644">
        <v>0</v>
      </c>
      <c r="AI156" s="643">
        <v>0</v>
      </c>
      <c r="AJ156" s="643">
        <v>0</v>
      </c>
      <c r="AK156" s="645">
        <v>1573.8445379219597</v>
      </c>
    </row>
    <row r="157" spans="3:37" ht="13.5">
      <c r="C157" s="641" t="s">
        <v>60</v>
      </c>
      <c r="D157" s="642">
        <v>48.372001461449948</v>
      </c>
      <c r="E157" s="643">
        <v>509.74501402008315</v>
      </c>
      <c r="F157" s="643">
        <v>84.255119008679685</v>
      </c>
      <c r="G157" s="642">
        <v>333.85211586331565</v>
      </c>
      <c r="H157" s="643">
        <v>0</v>
      </c>
      <c r="I157" s="643">
        <v>0</v>
      </c>
      <c r="J157" s="643">
        <v>4.1218275156281265</v>
      </c>
      <c r="K157" s="643">
        <v>0</v>
      </c>
      <c r="L157" s="643">
        <v>2.2815668000430724</v>
      </c>
      <c r="M157" s="643">
        <v>0</v>
      </c>
      <c r="N157" s="643">
        <v>0</v>
      </c>
      <c r="O157" s="643">
        <v>0</v>
      </c>
      <c r="P157" s="644">
        <v>0</v>
      </c>
      <c r="Q157" s="643">
        <v>0</v>
      </c>
      <c r="R157" s="643">
        <v>0</v>
      </c>
      <c r="S157" s="645">
        <v>982.62764466919975</v>
      </c>
      <c r="U157" s="641" t="s">
        <v>60</v>
      </c>
      <c r="V157" s="642">
        <v>8.3965846696126416</v>
      </c>
      <c r="W157" s="643">
        <v>294.49378048971494</v>
      </c>
      <c r="X157" s="643">
        <v>18.517216360631103</v>
      </c>
      <c r="Y157" s="642">
        <v>163.11536747865699</v>
      </c>
      <c r="Z157" s="643">
        <v>0</v>
      </c>
      <c r="AA157" s="643">
        <v>0</v>
      </c>
      <c r="AB157" s="643">
        <v>4.1218275156281265</v>
      </c>
      <c r="AC157" s="643">
        <v>0</v>
      </c>
      <c r="AD157" s="643">
        <v>2.2815668000430724</v>
      </c>
      <c r="AE157" s="643">
        <v>0</v>
      </c>
      <c r="AF157" s="643">
        <v>0</v>
      </c>
      <c r="AG157" s="643">
        <v>0</v>
      </c>
      <c r="AH157" s="644">
        <v>0</v>
      </c>
      <c r="AI157" s="643">
        <v>0</v>
      </c>
      <c r="AJ157" s="643">
        <v>0</v>
      </c>
      <c r="AK157" s="645">
        <v>490.9263433142869</v>
      </c>
    </row>
    <row r="158" spans="3:37" ht="13.5">
      <c r="C158" s="641" t="s">
        <v>61</v>
      </c>
      <c r="D158" s="642">
        <v>0</v>
      </c>
      <c r="E158" s="643">
        <v>0</v>
      </c>
      <c r="F158" s="643">
        <v>0</v>
      </c>
      <c r="G158" s="642">
        <v>0</v>
      </c>
      <c r="H158" s="643">
        <v>0</v>
      </c>
      <c r="I158" s="643">
        <v>0</v>
      </c>
      <c r="J158" s="643">
        <v>0</v>
      </c>
      <c r="K158" s="643">
        <v>0</v>
      </c>
      <c r="L158" s="643">
        <v>0</v>
      </c>
      <c r="M158" s="643">
        <v>0</v>
      </c>
      <c r="N158" s="643">
        <v>0</v>
      </c>
      <c r="O158" s="643">
        <v>0</v>
      </c>
      <c r="P158" s="644">
        <v>-38.942042128507637</v>
      </c>
      <c r="Q158" s="643">
        <v>0</v>
      </c>
      <c r="R158" s="643">
        <v>0</v>
      </c>
      <c r="S158" s="645">
        <v>-38.942042128507637</v>
      </c>
      <c r="U158" s="641" t="s">
        <v>61</v>
      </c>
      <c r="V158" s="642">
        <v>0</v>
      </c>
      <c r="W158" s="643">
        <v>0</v>
      </c>
      <c r="X158" s="643">
        <v>0</v>
      </c>
      <c r="Y158" s="642">
        <v>0</v>
      </c>
      <c r="Z158" s="643">
        <v>0</v>
      </c>
      <c r="AA158" s="643">
        <v>0</v>
      </c>
      <c r="AB158" s="643">
        <v>0</v>
      </c>
      <c r="AC158" s="643">
        <v>0</v>
      </c>
      <c r="AD158" s="643">
        <v>0</v>
      </c>
      <c r="AE158" s="643">
        <v>0</v>
      </c>
      <c r="AF158" s="643">
        <v>0</v>
      </c>
      <c r="AG158" s="643">
        <v>0</v>
      </c>
      <c r="AH158" s="644">
        <v>-20.693548582118865</v>
      </c>
      <c r="AI158" s="643">
        <v>0</v>
      </c>
      <c r="AJ158" s="643">
        <v>0</v>
      </c>
      <c r="AK158" s="645">
        <v>-20.693548582118865</v>
      </c>
    </row>
    <row r="159" spans="3:37" ht="13.5">
      <c r="C159" s="641" t="s">
        <v>62</v>
      </c>
      <c r="D159" s="642">
        <v>0</v>
      </c>
      <c r="E159" s="643">
        <v>0</v>
      </c>
      <c r="F159" s="643">
        <v>-16.016991189558784</v>
      </c>
      <c r="G159" s="642">
        <v>0</v>
      </c>
      <c r="H159" s="643">
        <v>0</v>
      </c>
      <c r="I159" s="643">
        <v>0</v>
      </c>
      <c r="J159" s="643">
        <v>0</v>
      </c>
      <c r="K159" s="643">
        <v>0</v>
      </c>
      <c r="L159" s="643">
        <v>0</v>
      </c>
      <c r="M159" s="643">
        <v>0</v>
      </c>
      <c r="N159" s="643">
        <v>0</v>
      </c>
      <c r="O159" s="643">
        <v>0</v>
      </c>
      <c r="P159" s="644">
        <v>0</v>
      </c>
      <c r="Q159" s="643">
        <v>0</v>
      </c>
      <c r="R159" s="643">
        <v>0</v>
      </c>
      <c r="S159" s="645">
        <v>-16.016991189558784</v>
      </c>
      <c r="U159" s="641" t="s">
        <v>62</v>
      </c>
      <c r="V159" s="642">
        <v>0</v>
      </c>
      <c r="W159" s="643">
        <v>0</v>
      </c>
      <c r="X159" s="643">
        <v>-11.216317309287092</v>
      </c>
      <c r="Y159" s="642">
        <v>-1.9971079411498778</v>
      </c>
      <c r="Z159" s="643">
        <v>0</v>
      </c>
      <c r="AA159" s="643">
        <v>0</v>
      </c>
      <c r="AB159" s="643">
        <v>0</v>
      </c>
      <c r="AC159" s="643">
        <v>0</v>
      </c>
      <c r="AD159" s="643">
        <v>0</v>
      </c>
      <c r="AE159" s="643">
        <v>-0.69888193239441998</v>
      </c>
      <c r="AF159" s="643">
        <v>0</v>
      </c>
      <c r="AG159" s="643">
        <v>0</v>
      </c>
      <c r="AH159" s="644">
        <v>0</v>
      </c>
      <c r="AI159" s="643">
        <v>0</v>
      </c>
      <c r="AJ159" s="643">
        <v>0</v>
      </c>
      <c r="AK159" s="645">
        <v>-13.912307182831389</v>
      </c>
    </row>
    <row r="160" spans="3:37" ht="13.5">
      <c r="C160" s="641" t="s">
        <v>63</v>
      </c>
      <c r="D160" s="642">
        <v>0</v>
      </c>
      <c r="E160" s="643">
        <v>0</v>
      </c>
      <c r="F160" s="643">
        <v>-85.676103269538828</v>
      </c>
      <c r="G160" s="642">
        <v>0</v>
      </c>
      <c r="H160" s="643">
        <v>0</v>
      </c>
      <c r="I160" s="643">
        <v>0</v>
      </c>
      <c r="J160" s="643">
        <v>0</v>
      </c>
      <c r="K160" s="643">
        <v>0</v>
      </c>
      <c r="L160" s="643">
        <v>-0.88445591317339634</v>
      </c>
      <c r="M160" s="643">
        <v>0</v>
      </c>
      <c r="N160" s="643">
        <v>0</v>
      </c>
      <c r="O160" s="643">
        <v>0</v>
      </c>
      <c r="P160" s="644">
        <v>0</v>
      </c>
      <c r="Q160" s="643">
        <v>0</v>
      </c>
      <c r="R160" s="643">
        <v>0</v>
      </c>
      <c r="S160" s="645">
        <v>-86.560559182712225</v>
      </c>
      <c r="U160" s="641" t="s">
        <v>63</v>
      </c>
      <c r="V160" s="642">
        <v>0</v>
      </c>
      <c r="W160" s="643">
        <v>0</v>
      </c>
      <c r="X160" s="643">
        <v>-61.793178017106612</v>
      </c>
      <c r="Y160" s="642">
        <v>0</v>
      </c>
      <c r="Z160" s="643">
        <v>0</v>
      </c>
      <c r="AA160" s="643">
        <v>0</v>
      </c>
      <c r="AB160" s="643">
        <v>0</v>
      </c>
      <c r="AC160" s="643">
        <v>0</v>
      </c>
      <c r="AD160" s="643">
        <v>-20.442150229714262</v>
      </c>
      <c r="AE160" s="643">
        <v>0</v>
      </c>
      <c r="AF160" s="643">
        <v>0</v>
      </c>
      <c r="AG160" s="643">
        <v>0</v>
      </c>
      <c r="AH160" s="644">
        <v>0</v>
      </c>
      <c r="AI160" s="643">
        <v>0</v>
      </c>
      <c r="AJ160" s="643">
        <v>0</v>
      </c>
      <c r="AK160" s="645">
        <v>-82.23532824682087</v>
      </c>
    </row>
    <row r="161" spans="3:37" ht="13.5">
      <c r="C161" s="641" t="s">
        <v>64</v>
      </c>
      <c r="D161" s="642">
        <v>0</v>
      </c>
      <c r="E161" s="643">
        <v>0</v>
      </c>
      <c r="F161" s="643">
        <v>0</v>
      </c>
      <c r="G161" s="642">
        <v>0</v>
      </c>
      <c r="H161" s="643">
        <v>0</v>
      </c>
      <c r="I161" s="643">
        <v>0</v>
      </c>
      <c r="J161" s="643">
        <v>0</v>
      </c>
      <c r="K161" s="643">
        <v>0</v>
      </c>
      <c r="L161" s="643">
        <v>0</v>
      </c>
      <c r="M161" s="643">
        <v>0</v>
      </c>
      <c r="N161" s="643">
        <v>0</v>
      </c>
      <c r="O161" s="643">
        <v>0</v>
      </c>
      <c r="P161" s="644">
        <v>0</v>
      </c>
      <c r="Q161" s="643">
        <v>0</v>
      </c>
      <c r="R161" s="643">
        <v>0</v>
      </c>
      <c r="S161" s="645">
        <v>0</v>
      </c>
      <c r="U161" s="641" t="s">
        <v>64</v>
      </c>
      <c r="V161" s="642">
        <v>0</v>
      </c>
      <c r="W161" s="643">
        <v>0</v>
      </c>
      <c r="X161" s="643">
        <v>0</v>
      </c>
      <c r="Y161" s="642">
        <v>0</v>
      </c>
      <c r="Z161" s="643">
        <v>0</v>
      </c>
      <c r="AA161" s="643">
        <v>0</v>
      </c>
      <c r="AB161" s="643">
        <v>0</v>
      </c>
      <c r="AC161" s="643">
        <v>0</v>
      </c>
      <c r="AD161" s="643">
        <v>0</v>
      </c>
      <c r="AE161" s="643">
        <v>0</v>
      </c>
      <c r="AF161" s="643">
        <v>0</v>
      </c>
      <c r="AG161" s="643">
        <v>0</v>
      </c>
      <c r="AH161" s="644">
        <v>0</v>
      </c>
      <c r="AI161" s="643">
        <v>0</v>
      </c>
      <c r="AJ161" s="643">
        <v>0</v>
      </c>
      <c r="AK161" s="645">
        <v>0</v>
      </c>
    </row>
    <row r="162" spans="3:37" ht="13.5">
      <c r="C162" s="646" t="s">
        <v>65</v>
      </c>
      <c r="D162" s="647">
        <v>48.372001461449948</v>
      </c>
      <c r="E162" s="647">
        <v>512.07101402008311</v>
      </c>
      <c r="F162" s="647">
        <v>-17.437975450417916</v>
      </c>
      <c r="G162" s="647">
        <v>333.88933186331565</v>
      </c>
      <c r="H162" s="647">
        <v>1005.4545454545456</v>
      </c>
      <c r="I162" s="647">
        <v>248.9826967827097</v>
      </c>
      <c r="J162" s="647">
        <v>193.94273469447566</v>
      </c>
      <c r="K162" s="647">
        <v>21.067323208066789</v>
      </c>
      <c r="L162" s="647">
        <v>1.8416249790665411</v>
      </c>
      <c r="M162" s="647">
        <v>0.15770970126630299</v>
      </c>
      <c r="N162" s="647">
        <v>60.832905155553725</v>
      </c>
      <c r="O162" s="647">
        <v>10.347989753579439</v>
      </c>
      <c r="P162" s="647">
        <v>-38.942042128507637</v>
      </c>
      <c r="Q162" s="647">
        <v>0</v>
      </c>
      <c r="R162" s="647">
        <v>0</v>
      </c>
      <c r="S162" s="647">
        <v>2380.5798594951875</v>
      </c>
      <c r="U162" s="646" t="s">
        <v>65</v>
      </c>
      <c r="V162" s="647">
        <v>8.3965846696126416</v>
      </c>
      <c r="W162" s="647">
        <v>296.81978048971496</v>
      </c>
      <c r="X162" s="647">
        <v>-54.492278965762601</v>
      </c>
      <c r="Y162" s="647">
        <v>161.15547553750713</v>
      </c>
      <c r="Z162" s="647">
        <v>949.39393939393938</v>
      </c>
      <c r="AA162" s="647">
        <v>279.58269678270966</v>
      </c>
      <c r="AB162" s="647">
        <v>200.65328572997174</v>
      </c>
      <c r="AC162" s="647">
        <v>37.828582612394825</v>
      </c>
      <c r="AD162" s="647">
        <v>-17.716069337474323</v>
      </c>
      <c r="AE162" s="647">
        <v>-0.54117223112811697</v>
      </c>
      <c r="AF162" s="647">
        <v>86.476611770328219</v>
      </c>
      <c r="AG162" s="647">
        <v>21.065809354780896</v>
      </c>
      <c r="AH162" s="647">
        <v>-20.693548582118865</v>
      </c>
      <c r="AI162" s="647">
        <v>0</v>
      </c>
      <c r="AJ162" s="647">
        <v>0</v>
      </c>
      <c r="AK162" s="647">
        <v>1947.9296972244754</v>
      </c>
    </row>
    <row r="163" spans="3:37" ht="13">
      <c r="C163" s="636"/>
      <c r="D163" s="636">
        <v>0</v>
      </c>
      <c r="E163" s="636">
        <v>0</v>
      </c>
      <c r="F163" s="636">
        <v>0</v>
      </c>
      <c r="G163" s="636">
        <v>0</v>
      </c>
      <c r="H163" s="636">
        <v>0</v>
      </c>
      <c r="I163" s="636">
        <v>0</v>
      </c>
      <c r="J163" s="636">
        <v>0</v>
      </c>
      <c r="K163" s="636">
        <v>0</v>
      </c>
      <c r="L163" s="636">
        <v>0</v>
      </c>
      <c r="M163" s="636">
        <v>0</v>
      </c>
      <c r="N163" s="636">
        <v>0</v>
      </c>
      <c r="O163" s="636">
        <v>0</v>
      </c>
      <c r="P163" s="636">
        <v>0</v>
      </c>
      <c r="Q163" s="636">
        <v>0</v>
      </c>
      <c r="R163" s="636">
        <v>0</v>
      </c>
      <c r="S163" s="636">
        <v>0</v>
      </c>
      <c r="U163" s="636"/>
      <c r="V163" s="636">
        <v>0</v>
      </c>
      <c r="W163" s="636">
        <v>0</v>
      </c>
      <c r="X163" s="636">
        <v>0</v>
      </c>
      <c r="Y163" s="636">
        <v>0</v>
      </c>
      <c r="Z163" s="636">
        <v>0</v>
      </c>
      <c r="AA163" s="636">
        <v>0</v>
      </c>
      <c r="AB163" s="636">
        <v>0</v>
      </c>
      <c r="AC163" s="636">
        <v>0</v>
      </c>
      <c r="AD163" s="636">
        <v>0</v>
      </c>
      <c r="AE163" s="636">
        <v>0</v>
      </c>
      <c r="AF163" s="636">
        <v>0</v>
      </c>
      <c r="AG163" s="636">
        <v>0</v>
      </c>
      <c r="AH163" s="636">
        <v>0</v>
      </c>
      <c r="AI163" s="636">
        <v>0</v>
      </c>
      <c r="AJ163" s="636">
        <v>0</v>
      </c>
      <c r="AK163" s="636">
        <v>0</v>
      </c>
    </row>
    <row r="164" spans="3:37" ht="13.5">
      <c r="C164" s="648" t="s">
        <v>67</v>
      </c>
      <c r="D164" s="642">
        <v>0</v>
      </c>
      <c r="E164" s="649">
        <v>0</v>
      </c>
      <c r="F164" s="649">
        <v>0</v>
      </c>
      <c r="G164" s="642">
        <v>0</v>
      </c>
      <c r="H164" s="642">
        <v>0</v>
      </c>
      <c r="I164" s="642">
        <v>0</v>
      </c>
      <c r="J164" s="642">
        <v>0</v>
      </c>
      <c r="K164" s="642">
        <v>0</v>
      </c>
      <c r="L164" s="642">
        <v>0</v>
      </c>
      <c r="M164" s="642">
        <v>0</v>
      </c>
      <c r="N164" s="642">
        <v>0</v>
      </c>
      <c r="O164" s="642">
        <v>0</v>
      </c>
      <c r="P164" s="642">
        <v>0</v>
      </c>
      <c r="Q164" s="642">
        <v>0</v>
      </c>
      <c r="R164" s="642">
        <v>0</v>
      </c>
      <c r="S164" s="650">
        <v>0</v>
      </c>
      <c r="U164" s="648" t="s">
        <v>67</v>
      </c>
      <c r="V164" s="642">
        <v>0</v>
      </c>
      <c r="W164" s="649">
        <v>0</v>
      </c>
      <c r="X164" s="649">
        <v>0</v>
      </c>
      <c r="Y164" s="642">
        <v>0</v>
      </c>
      <c r="Z164" s="642">
        <v>0</v>
      </c>
      <c r="AA164" s="642">
        <v>0</v>
      </c>
      <c r="AB164" s="642">
        <v>0</v>
      </c>
      <c r="AC164" s="642">
        <v>0</v>
      </c>
      <c r="AD164" s="642">
        <v>0</v>
      </c>
      <c r="AE164" s="642">
        <v>0</v>
      </c>
      <c r="AF164" s="642">
        <v>0</v>
      </c>
      <c r="AG164" s="642">
        <v>0</v>
      </c>
      <c r="AH164" s="642">
        <v>0</v>
      </c>
      <c r="AI164" s="642">
        <v>0</v>
      </c>
      <c r="AJ164" s="642">
        <v>0</v>
      </c>
      <c r="AK164" s="650">
        <v>0</v>
      </c>
    </row>
    <row r="165" spans="3:37" ht="13.5">
      <c r="C165" s="648" t="s">
        <v>350</v>
      </c>
      <c r="D165" s="642">
        <v>2.8267856410252494</v>
      </c>
      <c r="E165" s="642">
        <v>0</v>
      </c>
      <c r="F165" s="642">
        <v>7.7008933134364401</v>
      </c>
      <c r="G165" s="642">
        <v>17.192982456140349</v>
      </c>
      <c r="H165" s="642">
        <v>1005.4545454545456</v>
      </c>
      <c r="I165" s="642">
        <v>248.9826967827097</v>
      </c>
      <c r="J165" s="651">
        <v>29.95115714704033</v>
      </c>
      <c r="K165" s="651">
        <v>7.1699357941539494</v>
      </c>
      <c r="L165" s="651">
        <v>2.7260808922399375</v>
      </c>
      <c r="M165" s="651">
        <v>0.47574727688811397</v>
      </c>
      <c r="N165" s="651">
        <v>0</v>
      </c>
      <c r="O165" s="651">
        <v>5.3758847536792693</v>
      </c>
      <c r="P165" s="642">
        <v>-611.6040304377284</v>
      </c>
      <c r="Q165" s="642">
        <v>0</v>
      </c>
      <c r="R165" s="642">
        <v>0</v>
      </c>
      <c r="S165" s="650">
        <v>716.25267907413024</v>
      </c>
      <c r="U165" s="648" t="s">
        <v>350</v>
      </c>
      <c r="V165" s="642">
        <v>0.62631490545869017</v>
      </c>
      <c r="W165" s="642">
        <v>0</v>
      </c>
      <c r="X165" s="642">
        <v>3.8372569498000768</v>
      </c>
      <c r="Y165" s="642">
        <v>12.853333333333333</v>
      </c>
      <c r="Z165" s="642">
        <v>949.39393939393938</v>
      </c>
      <c r="AA165" s="642">
        <v>279.58269678270966</v>
      </c>
      <c r="AB165" s="651">
        <v>24.143657694158538</v>
      </c>
      <c r="AC165" s="651">
        <v>6.0680800758314266</v>
      </c>
      <c r="AD165" s="651">
        <v>2.7260808922399375</v>
      </c>
      <c r="AE165" s="651">
        <v>4.1838174523267107</v>
      </c>
      <c r="AF165" s="651">
        <v>0</v>
      </c>
      <c r="AG165" s="651">
        <v>5.3758847536792693</v>
      </c>
      <c r="AH165" s="642">
        <v>-621.90403043772824</v>
      </c>
      <c r="AI165" s="642">
        <v>0</v>
      </c>
      <c r="AJ165" s="642">
        <v>3.8</v>
      </c>
      <c r="AK165" s="650">
        <v>670.68703179574891</v>
      </c>
    </row>
    <row r="166" spans="3:37" ht="13.5">
      <c r="C166" s="648" t="s">
        <v>351</v>
      </c>
      <c r="D166" s="642">
        <v>0</v>
      </c>
      <c r="E166" s="642">
        <v>0</v>
      </c>
      <c r="F166" s="642">
        <v>0</v>
      </c>
      <c r="G166" s="642">
        <v>15.048436077523924</v>
      </c>
      <c r="H166" s="642">
        <v>0</v>
      </c>
      <c r="I166" s="642">
        <v>0</v>
      </c>
      <c r="J166" s="651">
        <v>12.74533322609016</v>
      </c>
      <c r="K166" s="651">
        <v>12.056480951460374</v>
      </c>
      <c r="L166" s="651">
        <v>0</v>
      </c>
      <c r="M166" s="651">
        <v>0.32133708059977345</v>
      </c>
      <c r="N166" s="651">
        <v>0</v>
      </c>
      <c r="O166" s="651">
        <v>2.1348201063802894</v>
      </c>
      <c r="P166" s="642">
        <v>0</v>
      </c>
      <c r="Q166" s="642">
        <v>-38.309646115177976</v>
      </c>
      <c r="R166" s="642">
        <v>0</v>
      </c>
      <c r="S166" s="650">
        <v>3.9967613268765492</v>
      </c>
      <c r="U166" s="648" t="s">
        <v>351</v>
      </c>
      <c r="V166" s="642">
        <v>0</v>
      </c>
      <c r="W166" s="642">
        <v>0</v>
      </c>
      <c r="X166" s="642">
        <v>0</v>
      </c>
      <c r="Y166" s="642">
        <v>12.803359009118745</v>
      </c>
      <c r="Z166" s="642">
        <v>0</v>
      </c>
      <c r="AA166" s="642">
        <v>0</v>
      </c>
      <c r="AB166" s="651">
        <v>28.717481814983032</v>
      </c>
      <c r="AC166" s="651">
        <v>25.924008984647354</v>
      </c>
      <c r="AD166" s="651">
        <v>0</v>
      </c>
      <c r="AE166" s="651">
        <v>4.0573921431217457</v>
      </c>
      <c r="AF166" s="651">
        <v>0</v>
      </c>
      <c r="AG166" s="651">
        <v>9.7357518308203428</v>
      </c>
      <c r="AH166" s="642">
        <v>0</v>
      </c>
      <c r="AI166" s="642">
        <v>-74.504230286476243</v>
      </c>
      <c r="AJ166" s="642">
        <v>0</v>
      </c>
      <c r="AK166" s="650">
        <v>6.7337634962149808</v>
      </c>
    </row>
    <row r="167" spans="3:37" ht="13.5">
      <c r="C167" s="648" t="s">
        <v>352</v>
      </c>
      <c r="D167" s="642">
        <v>0</v>
      </c>
      <c r="E167" s="642">
        <v>0</v>
      </c>
      <c r="F167" s="642">
        <v>0</v>
      </c>
      <c r="G167" s="642">
        <v>0</v>
      </c>
      <c r="H167" s="642">
        <v>0</v>
      </c>
      <c r="I167" s="642">
        <v>0</v>
      </c>
      <c r="J167" s="652">
        <v>7.2695194025067336</v>
      </c>
      <c r="K167" s="652">
        <v>0</v>
      </c>
      <c r="L167" s="652">
        <v>0</v>
      </c>
      <c r="M167" s="652">
        <v>-6.5716455398660871</v>
      </c>
      <c r="N167" s="652">
        <v>0</v>
      </c>
      <c r="O167" s="652">
        <v>0</v>
      </c>
      <c r="P167" s="642">
        <v>0</v>
      </c>
      <c r="Q167" s="642">
        <v>0</v>
      </c>
      <c r="R167" s="642">
        <v>0</v>
      </c>
      <c r="S167" s="650">
        <v>0.69787386264064644</v>
      </c>
      <c r="U167" s="648" t="s">
        <v>352</v>
      </c>
      <c r="V167" s="642">
        <v>0</v>
      </c>
      <c r="W167" s="642">
        <v>0</v>
      </c>
      <c r="X167" s="642">
        <v>0</v>
      </c>
      <c r="Y167" s="642">
        <v>0</v>
      </c>
      <c r="Z167" s="642">
        <v>0</v>
      </c>
      <c r="AA167" s="642">
        <v>0</v>
      </c>
      <c r="AB167" s="652">
        <v>56.55251118568826</v>
      </c>
      <c r="AC167" s="652">
        <v>0</v>
      </c>
      <c r="AD167" s="652">
        <v>0</v>
      </c>
      <c r="AE167" s="652">
        <v>-51.12347011186219</v>
      </c>
      <c r="AF167" s="652">
        <v>0</v>
      </c>
      <c r="AG167" s="652">
        <v>0</v>
      </c>
      <c r="AH167" s="642">
        <v>0</v>
      </c>
      <c r="AI167" s="642">
        <v>0</v>
      </c>
      <c r="AJ167" s="642">
        <v>0</v>
      </c>
      <c r="AK167" s="650">
        <v>5.4290410738260704</v>
      </c>
    </row>
    <row r="168" spans="3:37" ht="13.5">
      <c r="C168" s="648" t="s">
        <v>353</v>
      </c>
      <c r="D168" s="642">
        <v>0</v>
      </c>
      <c r="E168" s="642">
        <v>0</v>
      </c>
      <c r="F168" s="642">
        <v>0</v>
      </c>
      <c r="G168" s="642">
        <v>0</v>
      </c>
      <c r="H168" s="642">
        <v>0</v>
      </c>
      <c r="I168" s="642">
        <v>0</v>
      </c>
      <c r="J168" s="642">
        <v>0</v>
      </c>
      <c r="K168" s="642">
        <v>0</v>
      </c>
      <c r="L168" s="642">
        <v>0</v>
      </c>
      <c r="M168" s="642">
        <v>0</v>
      </c>
      <c r="N168" s="642">
        <v>0</v>
      </c>
      <c r="O168" s="642">
        <v>0</v>
      </c>
      <c r="P168" s="642">
        <v>0</v>
      </c>
      <c r="Q168" s="642">
        <v>0</v>
      </c>
      <c r="R168" s="642">
        <v>0</v>
      </c>
      <c r="S168" s="650">
        <v>0</v>
      </c>
      <c r="U168" s="648" t="s">
        <v>353</v>
      </c>
      <c r="V168" s="642">
        <v>0</v>
      </c>
      <c r="W168" s="642">
        <v>0</v>
      </c>
      <c r="X168" s="642">
        <v>0</v>
      </c>
      <c r="Y168" s="642">
        <v>0</v>
      </c>
      <c r="Z168" s="642">
        <v>0</v>
      </c>
      <c r="AA168" s="642">
        <v>0</v>
      </c>
      <c r="AB168" s="642">
        <v>0</v>
      </c>
      <c r="AC168" s="642">
        <v>0</v>
      </c>
      <c r="AD168" s="642">
        <v>0</v>
      </c>
      <c r="AE168" s="642">
        <v>0</v>
      </c>
      <c r="AF168" s="642">
        <v>0</v>
      </c>
      <c r="AG168" s="642">
        <v>0</v>
      </c>
      <c r="AH168" s="642">
        <v>0</v>
      </c>
      <c r="AI168" s="642">
        <v>0</v>
      </c>
      <c r="AJ168" s="642">
        <v>0</v>
      </c>
      <c r="AK168" s="650">
        <v>0</v>
      </c>
    </row>
    <row r="169" spans="3:37" ht="13.5">
      <c r="C169" s="648" t="s">
        <v>72</v>
      </c>
      <c r="D169" s="642">
        <v>0</v>
      </c>
      <c r="E169" s="642">
        <v>530.45114623720224</v>
      </c>
      <c r="F169" s="642">
        <v>-525.1466347748302</v>
      </c>
      <c r="G169" s="642">
        <v>0</v>
      </c>
      <c r="H169" s="642">
        <v>0</v>
      </c>
      <c r="I169" s="642">
        <v>0</v>
      </c>
      <c r="J169" s="642">
        <v>0</v>
      </c>
      <c r="K169" s="642">
        <v>0</v>
      </c>
      <c r="L169" s="642">
        <v>0</v>
      </c>
      <c r="M169" s="642">
        <v>0</v>
      </c>
      <c r="N169" s="642">
        <v>0</v>
      </c>
      <c r="O169" s="642">
        <v>0</v>
      </c>
      <c r="P169" s="642">
        <v>0</v>
      </c>
      <c r="Q169" s="642">
        <v>0</v>
      </c>
      <c r="R169" s="642">
        <v>0</v>
      </c>
      <c r="S169" s="650">
        <v>5.3045114623720337</v>
      </c>
      <c r="U169" s="648" t="s">
        <v>72</v>
      </c>
      <c r="V169" s="642">
        <v>0</v>
      </c>
      <c r="W169" s="642">
        <v>307.47374578102756</v>
      </c>
      <c r="X169" s="642">
        <v>-304.39900832321729</v>
      </c>
      <c r="Y169" s="642">
        <v>0</v>
      </c>
      <c r="Z169" s="642">
        <v>0</v>
      </c>
      <c r="AA169" s="642">
        <v>0</v>
      </c>
      <c r="AB169" s="642">
        <v>0</v>
      </c>
      <c r="AC169" s="642">
        <v>0</v>
      </c>
      <c r="AD169" s="642">
        <v>0</v>
      </c>
      <c r="AE169" s="642">
        <v>0</v>
      </c>
      <c r="AF169" s="642">
        <v>0</v>
      </c>
      <c r="AG169" s="642">
        <v>0</v>
      </c>
      <c r="AH169" s="642">
        <v>0</v>
      </c>
      <c r="AI169" s="642">
        <v>0</v>
      </c>
      <c r="AJ169" s="642">
        <v>0</v>
      </c>
      <c r="AK169" s="650">
        <v>3.0747374578102722</v>
      </c>
    </row>
    <row r="170" spans="3:37" ht="13.5">
      <c r="C170" s="648" t="s">
        <v>354</v>
      </c>
      <c r="D170" s="642">
        <v>0</v>
      </c>
      <c r="E170" s="642">
        <v>0</v>
      </c>
      <c r="F170" s="642">
        <v>0</v>
      </c>
      <c r="G170" s="642">
        <v>0</v>
      </c>
      <c r="H170" s="642">
        <v>0</v>
      </c>
      <c r="I170" s="642">
        <v>0</v>
      </c>
      <c r="J170" s="642">
        <v>30.470996070194996</v>
      </c>
      <c r="K170" s="642">
        <v>0</v>
      </c>
      <c r="L170" s="642">
        <v>-30.470996070194996</v>
      </c>
      <c r="M170" s="642">
        <v>0</v>
      </c>
      <c r="N170" s="642">
        <v>0</v>
      </c>
      <c r="O170" s="642">
        <v>0</v>
      </c>
      <c r="P170" s="642">
        <v>0</v>
      </c>
      <c r="Q170" s="642">
        <v>0</v>
      </c>
      <c r="R170" s="642">
        <v>0</v>
      </c>
      <c r="S170" s="650">
        <v>0</v>
      </c>
      <c r="U170" s="648" t="s">
        <v>354</v>
      </c>
      <c r="V170" s="642">
        <v>0</v>
      </c>
      <c r="W170" s="642">
        <v>0</v>
      </c>
      <c r="X170" s="642">
        <v>0</v>
      </c>
      <c r="Y170" s="642">
        <v>0</v>
      </c>
      <c r="Z170" s="642">
        <v>0</v>
      </c>
      <c r="AA170" s="642">
        <v>0</v>
      </c>
      <c r="AB170" s="642" t="e">
        <v>#VALUE!</v>
      </c>
      <c r="AC170" s="642">
        <v>0</v>
      </c>
      <c r="AD170" s="642">
        <v>-92.079399970639116</v>
      </c>
      <c r="AE170" s="642">
        <v>0</v>
      </c>
      <c r="AF170" s="642">
        <v>0</v>
      </c>
      <c r="AG170" s="642">
        <v>0</v>
      </c>
      <c r="AH170" s="642">
        <v>0</v>
      </c>
      <c r="AI170" s="642">
        <v>0</v>
      </c>
      <c r="AJ170" s="642">
        <v>0</v>
      </c>
      <c r="AK170" s="650">
        <v>-92.079399970639116</v>
      </c>
    </row>
    <row r="171" spans="3:37" ht="13.5">
      <c r="C171" s="648" t="s">
        <v>355</v>
      </c>
      <c r="D171" s="642">
        <v>0</v>
      </c>
      <c r="E171" s="642">
        <v>0</v>
      </c>
      <c r="F171" s="642">
        <v>0</v>
      </c>
      <c r="G171" s="642">
        <v>0</v>
      </c>
      <c r="H171" s="642">
        <v>0</v>
      </c>
      <c r="I171" s="642">
        <v>0</v>
      </c>
      <c r="J171" s="642">
        <v>0</v>
      </c>
      <c r="K171" s="642">
        <v>0</v>
      </c>
      <c r="L171" s="642">
        <v>0</v>
      </c>
      <c r="M171" s="642">
        <v>0</v>
      </c>
      <c r="N171" s="642">
        <v>0</v>
      </c>
      <c r="O171" s="642">
        <v>0</v>
      </c>
      <c r="P171" s="642">
        <v>0</v>
      </c>
      <c r="Q171" s="642">
        <v>0</v>
      </c>
      <c r="R171" s="642">
        <v>0</v>
      </c>
      <c r="S171" s="650">
        <v>0</v>
      </c>
      <c r="U171" s="648" t="s">
        <v>355</v>
      </c>
      <c r="V171" s="642">
        <v>0</v>
      </c>
      <c r="W171" s="642">
        <v>0</v>
      </c>
      <c r="X171" s="642">
        <v>0</v>
      </c>
      <c r="Y171" s="642">
        <v>0</v>
      </c>
      <c r="Z171" s="642">
        <v>0</v>
      </c>
      <c r="AA171" s="642">
        <v>0</v>
      </c>
      <c r="AB171" s="642">
        <v>0</v>
      </c>
      <c r="AC171" s="642">
        <v>0</v>
      </c>
      <c r="AD171" s="642">
        <v>-18.857582137623396</v>
      </c>
      <c r="AE171" s="642">
        <v>0</v>
      </c>
      <c r="AF171" s="642">
        <v>0</v>
      </c>
      <c r="AG171" s="642">
        <v>0</v>
      </c>
      <c r="AH171" s="642">
        <v>0</v>
      </c>
      <c r="AI171" s="642">
        <v>0</v>
      </c>
      <c r="AJ171" s="642">
        <v>0</v>
      </c>
      <c r="AK171" s="650">
        <v>-18.857582137623396</v>
      </c>
    </row>
    <row r="172" spans="3:37" ht="13.5">
      <c r="C172" s="648" t="s">
        <v>73</v>
      </c>
      <c r="D172" s="642">
        <v>0</v>
      </c>
      <c r="E172" s="642">
        <v>0</v>
      </c>
      <c r="F172" s="642">
        <v>0</v>
      </c>
      <c r="G172" s="642">
        <v>4.2253053989858387</v>
      </c>
      <c r="H172" s="642">
        <v>0</v>
      </c>
      <c r="I172" s="642">
        <v>0</v>
      </c>
      <c r="J172" s="642">
        <v>0</v>
      </c>
      <c r="K172" s="642">
        <v>4.8227473393893973E-2</v>
      </c>
      <c r="L172" s="642">
        <v>0</v>
      </c>
      <c r="M172" s="642">
        <v>8.6230722428282419E-2</v>
      </c>
      <c r="N172" s="642">
        <v>0</v>
      </c>
      <c r="O172" s="642">
        <v>0</v>
      </c>
      <c r="P172" s="642">
        <v>0.47800681593948002</v>
      </c>
      <c r="Q172" s="642">
        <v>0</v>
      </c>
      <c r="R172" s="642">
        <v>-3.3759231375725771</v>
      </c>
      <c r="S172" s="650">
        <v>1.4618472731749175</v>
      </c>
      <c r="U172" s="648" t="s">
        <v>73</v>
      </c>
      <c r="V172" s="642">
        <v>0</v>
      </c>
      <c r="W172" s="642">
        <v>0</v>
      </c>
      <c r="X172" s="642">
        <v>0</v>
      </c>
      <c r="Y172" s="642">
        <v>6.2430459874299995</v>
      </c>
      <c r="Z172" s="642">
        <v>0</v>
      </c>
      <c r="AA172" s="642">
        <v>0</v>
      </c>
      <c r="AB172" s="642">
        <v>0</v>
      </c>
      <c r="AC172" s="642">
        <v>0.34514849554566557</v>
      </c>
      <c r="AD172" s="642">
        <v>0</v>
      </c>
      <c r="AE172" s="642">
        <v>1.9714882065568418</v>
      </c>
      <c r="AF172" s="642">
        <v>0</v>
      </c>
      <c r="AG172" s="642">
        <v>0</v>
      </c>
      <c r="AH172" s="642">
        <v>26.797369919651668</v>
      </c>
      <c r="AI172" s="642">
        <v>0</v>
      </c>
      <c r="AJ172" s="642">
        <v>-24.160394688196586</v>
      </c>
      <c r="AK172" s="650">
        <v>11.196657920987594</v>
      </c>
    </row>
    <row r="173" spans="3:37" ht="13.5">
      <c r="C173" s="648" t="s">
        <v>356</v>
      </c>
      <c r="D173" s="642">
        <v>28.633394531250001</v>
      </c>
      <c r="E173" s="642">
        <v>-18.380132217119058</v>
      </c>
      <c r="F173" s="642">
        <v>24.040127313749448</v>
      </c>
      <c r="G173" s="642">
        <v>0</v>
      </c>
      <c r="H173" s="642">
        <v>0</v>
      </c>
      <c r="I173" s="642">
        <v>0</v>
      </c>
      <c r="J173" s="642">
        <v>0</v>
      </c>
      <c r="K173" s="642">
        <v>0</v>
      </c>
      <c r="L173" s="642">
        <v>0</v>
      </c>
      <c r="M173" s="642">
        <v>0</v>
      </c>
      <c r="N173" s="642">
        <v>0</v>
      </c>
      <c r="O173" s="642">
        <v>0</v>
      </c>
      <c r="P173" s="642">
        <v>0</v>
      </c>
      <c r="Q173" s="642">
        <v>0</v>
      </c>
      <c r="R173" s="642">
        <v>0</v>
      </c>
      <c r="S173" s="650">
        <v>34.293389627880387</v>
      </c>
      <c r="U173" s="648" t="s">
        <v>356</v>
      </c>
      <c r="V173" s="642">
        <v>2.8339389038085936</v>
      </c>
      <c r="W173" s="642">
        <v>-10.653965291312606</v>
      </c>
      <c r="X173" s="642">
        <v>13.93475732241321</v>
      </c>
      <c r="Y173" s="642">
        <v>0</v>
      </c>
      <c r="Z173" s="642">
        <v>0</v>
      </c>
      <c r="AA173" s="642">
        <v>0</v>
      </c>
      <c r="AB173" s="642">
        <v>0</v>
      </c>
      <c r="AC173" s="642">
        <v>0</v>
      </c>
      <c r="AD173" s="642">
        <v>0</v>
      </c>
      <c r="AE173" s="642">
        <v>0</v>
      </c>
      <c r="AF173" s="642">
        <v>0</v>
      </c>
      <c r="AG173" s="642">
        <v>0</v>
      </c>
      <c r="AH173" s="642">
        <v>0</v>
      </c>
      <c r="AI173" s="642">
        <v>0</v>
      </c>
      <c r="AJ173" s="642">
        <v>0</v>
      </c>
      <c r="AK173" s="650">
        <v>6.1147309349091987</v>
      </c>
    </row>
    <row r="174" spans="3:37" ht="13.5">
      <c r="C174" s="648" t="s">
        <v>75</v>
      </c>
      <c r="D174" s="642">
        <v>11.135208984375002</v>
      </c>
      <c r="E174" s="642">
        <v>0</v>
      </c>
      <c r="F174" s="642">
        <v>18.035338972064878</v>
      </c>
      <c r="G174" s="642">
        <v>5.1464370207933356</v>
      </c>
      <c r="H174" s="642">
        <v>0</v>
      </c>
      <c r="I174" s="642">
        <v>0</v>
      </c>
      <c r="J174" s="642">
        <v>0</v>
      </c>
      <c r="K174" s="642">
        <v>0</v>
      </c>
      <c r="L174" s="642">
        <v>0</v>
      </c>
      <c r="M174" s="642">
        <v>0.10502932695496604</v>
      </c>
      <c r="N174" s="642">
        <v>0</v>
      </c>
      <c r="O174" s="642">
        <v>0</v>
      </c>
      <c r="P174" s="642">
        <v>31.859130537431355</v>
      </c>
      <c r="Q174" s="642">
        <v>0</v>
      </c>
      <c r="R174" s="642">
        <v>0</v>
      </c>
      <c r="S174" s="650">
        <v>66.281144841619536</v>
      </c>
      <c r="U174" s="648" t="s">
        <v>75</v>
      </c>
      <c r="V174" s="642">
        <v>3.871097900390625</v>
      </c>
      <c r="W174" s="642">
        <v>0</v>
      </c>
      <c r="X174" s="642">
        <v>18.035338972064878</v>
      </c>
      <c r="Y174" s="642">
        <v>3.9911144242887096</v>
      </c>
      <c r="Z174" s="642">
        <v>0</v>
      </c>
      <c r="AA174" s="642">
        <v>0</v>
      </c>
      <c r="AB174" s="642">
        <v>0</v>
      </c>
      <c r="AC174" s="642">
        <v>0</v>
      </c>
      <c r="AD174" s="642">
        <v>0</v>
      </c>
      <c r="AE174" s="642">
        <v>1.2603519234595923</v>
      </c>
      <c r="AF174" s="642">
        <v>0</v>
      </c>
      <c r="AG174" s="642">
        <v>0</v>
      </c>
      <c r="AH174" s="642">
        <v>35.363675991976798</v>
      </c>
      <c r="AI174" s="642">
        <v>0</v>
      </c>
      <c r="AJ174" s="642">
        <v>0</v>
      </c>
      <c r="AK174" s="650">
        <v>62.521579212180605</v>
      </c>
    </row>
    <row r="175" spans="3:37" ht="13.5">
      <c r="C175" s="648" t="s">
        <v>76</v>
      </c>
      <c r="D175" s="642">
        <v>0</v>
      </c>
      <c r="E175" s="642">
        <v>0</v>
      </c>
      <c r="F175" s="642">
        <v>0</v>
      </c>
      <c r="G175" s="642">
        <v>3.818307882847094</v>
      </c>
      <c r="H175" s="642">
        <v>0</v>
      </c>
      <c r="I175" s="642">
        <v>0</v>
      </c>
      <c r="J175" s="642">
        <v>0</v>
      </c>
      <c r="K175" s="642">
        <v>0</v>
      </c>
      <c r="L175" s="642">
        <v>0</v>
      </c>
      <c r="M175" s="642">
        <v>7.7924650670348858E-2</v>
      </c>
      <c r="N175" s="642">
        <v>0</v>
      </c>
      <c r="O175" s="642">
        <v>0</v>
      </c>
      <c r="P175" s="642">
        <v>43.831436480126726</v>
      </c>
      <c r="Q175" s="642">
        <v>2.9732290990631256</v>
      </c>
      <c r="R175" s="642">
        <v>0</v>
      </c>
      <c r="S175" s="650">
        <v>50.700898112707293</v>
      </c>
      <c r="U175" s="648" t="s">
        <v>76</v>
      </c>
      <c r="V175" s="642">
        <v>0</v>
      </c>
      <c r="W175" s="642">
        <v>0</v>
      </c>
      <c r="X175" s="642">
        <v>0</v>
      </c>
      <c r="Y175" s="642">
        <v>1.9196559923426515</v>
      </c>
      <c r="Z175" s="642">
        <v>0</v>
      </c>
      <c r="AA175" s="642">
        <v>0</v>
      </c>
      <c r="AB175" s="642">
        <v>0</v>
      </c>
      <c r="AC175" s="642">
        <v>0</v>
      </c>
      <c r="AD175" s="642">
        <v>0</v>
      </c>
      <c r="AE175" s="642">
        <v>0.60620715547662674</v>
      </c>
      <c r="AF175" s="642">
        <v>0</v>
      </c>
      <c r="AG175" s="642">
        <v>0</v>
      </c>
      <c r="AH175" s="642">
        <v>46.019363501687437</v>
      </c>
      <c r="AI175" s="642">
        <v>5.777975473960776</v>
      </c>
      <c r="AJ175" s="642">
        <v>0</v>
      </c>
      <c r="AK175" s="650">
        <v>54.323202123467496</v>
      </c>
    </row>
    <row r="176" spans="3:37" ht="13.5">
      <c r="C176" s="646" t="s">
        <v>77</v>
      </c>
      <c r="D176" s="647">
        <v>42.595389156650249</v>
      </c>
      <c r="E176" s="647">
        <v>512.07101402008323</v>
      </c>
      <c r="F176" s="647">
        <v>-475.37027517557942</v>
      </c>
      <c r="G176" s="647">
        <v>45.431468836290541</v>
      </c>
      <c r="H176" s="647">
        <v>1005.4545454545456</v>
      </c>
      <c r="I176" s="647">
        <v>248.9826967827097</v>
      </c>
      <c r="J176" s="647">
        <v>80.437005845832218</v>
      </c>
      <c r="K176" s="647">
        <v>19.274644219008216</v>
      </c>
      <c r="L176" s="647">
        <v>-27.744915177955058</v>
      </c>
      <c r="M176" s="647">
        <v>-5.5053764823246025</v>
      </c>
      <c r="N176" s="647">
        <v>0</v>
      </c>
      <c r="O176" s="647">
        <v>7.5107048600595583</v>
      </c>
      <c r="P176" s="647">
        <v>-535.43545660423092</v>
      </c>
      <c r="Q176" s="647">
        <v>-35.336417016114851</v>
      </c>
      <c r="R176" s="647">
        <v>-3.3759231375725771</v>
      </c>
      <c r="S176" s="647">
        <v>878.98910558140176</v>
      </c>
      <c r="U176" s="646" t="s">
        <v>77</v>
      </c>
      <c r="V176" s="647">
        <v>7.3313517096579091</v>
      </c>
      <c r="W176" s="647">
        <v>296.81978048971496</v>
      </c>
      <c r="X176" s="647">
        <v>-268.59165507893914</v>
      </c>
      <c r="Y176" s="647">
        <v>37.810508746513442</v>
      </c>
      <c r="Z176" s="647">
        <v>949.39393939393938</v>
      </c>
      <c r="AA176" s="647">
        <v>279.58269678270966</v>
      </c>
      <c r="AB176" s="647">
        <v>109.41365069482983</v>
      </c>
      <c r="AC176" s="647">
        <v>32.337237556024441</v>
      </c>
      <c r="AD176" s="647">
        <v>-108.21090121602258</v>
      </c>
      <c r="AE176" s="647">
        <v>-39.044213230920668</v>
      </c>
      <c r="AF176" s="647">
        <v>0</v>
      </c>
      <c r="AG176" s="647">
        <v>15.111636584499612</v>
      </c>
      <c r="AH176" s="647">
        <v>-513.7236210244123</v>
      </c>
      <c r="AI176" s="647">
        <v>-68.726254812515464</v>
      </c>
      <c r="AJ176" s="647">
        <v>-20.360394688196585</v>
      </c>
      <c r="AK176" s="647">
        <v>709.14376190688279</v>
      </c>
    </row>
    <row r="177" spans="3:37" ht="13">
      <c r="C177" s="636"/>
      <c r="D177" s="636">
        <v>0</v>
      </c>
      <c r="E177" s="636">
        <v>0</v>
      </c>
      <c r="F177" s="636">
        <v>0</v>
      </c>
      <c r="G177" s="636">
        <v>0</v>
      </c>
      <c r="H177" s="636">
        <v>0</v>
      </c>
      <c r="I177" s="636">
        <v>0</v>
      </c>
      <c r="J177" s="636">
        <v>0</v>
      </c>
      <c r="K177" s="636">
        <v>0</v>
      </c>
      <c r="L177" s="636">
        <v>0</v>
      </c>
      <c r="M177" s="636">
        <v>0</v>
      </c>
      <c r="N177" s="636">
        <v>0</v>
      </c>
      <c r="O177" s="636">
        <v>0</v>
      </c>
      <c r="P177" s="636">
        <v>0</v>
      </c>
      <c r="Q177" s="636">
        <v>0</v>
      </c>
      <c r="R177" s="636">
        <v>0</v>
      </c>
      <c r="S177" s="636">
        <v>0</v>
      </c>
      <c r="U177" s="636"/>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row>
    <row r="178" spans="3:37" ht="13.5">
      <c r="C178" s="648" t="s">
        <v>78</v>
      </c>
      <c r="D178" s="642">
        <v>5.7766123047996905</v>
      </c>
      <c r="E178" s="642">
        <v>0</v>
      </c>
      <c r="F178" s="642">
        <v>22.402619678599791</v>
      </c>
      <c r="G178" s="642">
        <v>99.281124041468402</v>
      </c>
      <c r="H178" s="642">
        <v>0</v>
      </c>
      <c r="I178" s="642">
        <v>0</v>
      </c>
      <c r="J178" s="642">
        <v>20.258622771310847</v>
      </c>
      <c r="K178" s="642">
        <v>1.7675748663376085</v>
      </c>
      <c r="L178" s="642">
        <v>0.898333240234375</v>
      </c>
      <c r="M178" s="642">
        <v>2.0447588657198987</v>
      </c>
      <c r="N178" s="642">
        <v>0</v>
      </c>
      <c r="O178" s="642">
        <v>3.7946622282562846E-4</v>
      </c>
      <c r="P178" s="642">
        <v>110.87393457022205</v>
      </c>
      <c r="Q178" s="642">
        <v>16.091742927144434</v>
      </c>
      <c r="R178" s="642">
        <v>0.31004003906249999</v>
      </c>
      <c r="S178" s="650">
        <v>279.70574277112252</v>
      </c>
      <c r="U178" s="648" t="s">
        <v>78</v>
      </c>
      <c r="V178" s="642">
        <v>1.065232959954733</v>
      </c>
      <c r="W178" s="642">
        <v>0</v>
      </c>
      <c r="X178" s="642">
        <v>10.225742404389669</v>
      </c>
      <c r="Y178" s="642">
        <v>56.981112862578769</v>
      </c>
      <c r="Z178" s="642">
        <v>0</v>
      </c>
      <c r="AA178" s="642">
        <v>0</v>
      </c>
      <c r="AB178" s="642">
        <v>15.894636498884354</v>
      </c>
      <c r="AC178" s="642">
        <v>5.4662409336494147</v>
      </c>
      <c r="AD178" s="642">
        <v>3.5459101562500011</v>
      </c>
      <c r="AE178" s="642">
        <v>18.012649117932849</v>
      </c>
      <c r="AF178" s="642">
        <v>0</v>
      </c>
      <c r="AG178" s="642">
        <v>3.7946622282562846E-4</v>
      </c>
      <c r="AH178" s="642">
        <v>139.02742097426295</v>
      </c>
      <c r="AI178" s="642">
        <v>22.276590949645215</v>
      </c>
      <c r="AJ178" s="642">
        <v>6.4302626953124999</v>
      </c>
      <c r="AK178" s="650">
        <v>278.92617901908329</v>
      </c>
    </row>
    <row r="179" spans="3:37" ht="13.5">
      <c r="C179" s="648" t="s">
        <v>79</v>
      </c>
      <c r="D179" s="642">
        <v>0</v>
      </c>
      <c r="E179" s="642">
        <v>0</v>
      </c>
      <c r="F179" s="642">
        <v>266.09529408288529</v>
      </c>
      <c r="G179" s="642">
        <v>27.519674276690072</v>
      </c>
      <c r="H179" s="642">
        <v>0</v>
      </c>
      <c r="I179" s="642">
        <v>0</v>
      </c>
      <c r="J179" s="642">
        <v>0</v>
      </c>
      <c r="K179" s="642">
        <v>0</v>
      </c>
      <c r="L179" s="642">
        <v>25.787483151262677</v>
      </c>
      <c r="M179" s="642">
        <v>0.56162600564673626</v>
      </c>
      <c r="N179" s="642">
        <v>0</v>
      </c>
      <c r="O179" s="642">
        <v>0</v>
      </c>
      <c r="P179" s="642">
        <v>55.913522242788574</v>
      </c>
      <c r="Q179" s="642">
        <v>0</v>
      </c>
      <c r="R179" s="642">
        <v>1.6351140344190074</v>
      </c>
      <c r="S179" s="650">
        <v>377.5127137936924</v>
      </c>
      <c r="U179" s="648" t="s">
        <v>79</v>
      </c>
      <c r="V179" s="642">
        <v>0</v>
      </c>
      <c r="W179" s="642">
        <v>0</v>
      </c>
      <c r="X179" s="642">
        <v>96.606255591578162</v>
      </c>
      <c r="Y179" s="642">
        <v>18.337650579977414</v>
      </c>
      <c r="Z179" s="642">
        <v>0</v>
      </c>
      <c r="AA179" s="642">
        <v>0</v>
      </c>
      <c r="AB179" s="642">
        <v>0</v>
      </c>
      <c r="AC179" s="642">
        <v>0</v>
      </c>
      <c r="AD179" s="642">
        <v>50.618247990049454</v>
      </c>
      <c r="AE179" s="642">
        <v>5.9499820008855142</v>
      </c>
      <c r="AF179" s="642">
        <v>0</v>
      </c>
      <c r="AG179" s="642">
        <v>0</v>
      </c>
      <c r="AH179" s="642">
        <v>73.690348279738799</v>
      </c>
      <c r="AI179" s="642">
        <v>0</v>
      </c>
      <c r="AJ179" s="642">
        <v>3.6092463767880076</v>
      </c>
      <c r="AK179" s="650">
        <v>248.81173081901736</v>
      </c>
    </row>
    <row r="180" spans="3:37" ht="13.5">
      <c r="C180" s="648" t="s">
        <v>80</v>
      </c>
      <c r="D180" s="642">
        <v>0</v>
      </c>
      <c r="E180" s="642">
        <v>0</v>
      </c>
      <c r="F180" s="642">
        <v>20.365336948925044</v>
      </c>
      <c r="G180" s="642">
        <v>85.23124323075227</v>
      </c>
      <c r="H180" s="642">
        <v>0</v>
      </c>
      <c r="I180" s="642">
        <v>0</v>
      </c>
      <c r="J180" s="642">
        <v>86.726820353783026</v>
      </c>
      <c r="K180" s="642">
        <v>0</v>
      </c>
      <c r="L180" s="642">
        <v>0</v>
      </c>
      <c r="M180" s="642">
        <v>1.7394131271582098</v>
      </c>
      <c r="N180" s="642">
        <v>52.217429119397167</v>
      </c>
      <c r="O180" s="642">
        <v>2.0042749347218733</v>
      </c>
      <c r="P180" s="642">
        <v>185.58174281281848</v>
      </c>
      <c r="Q180" s="642">
        <v>15.554343379011728</v>
      </c>
      <c r="R180" s="642">
        <v>0</v>
      </c>
      <c r="S180" s="650">
        <v>449.42060390656781</v>
      </c>
      <c r="U180" s="648" t="s">
        <v>80</v>
      </c>
      <c r="V180" s="642">
        <v>0</v>
      </c>
      <c r="W180" s="642">
        <v>0</v>
      </c>
      <c r="X180" s="642">
        <v>1.2585168598114169</v>
      </c>
      <c r="Y180" s="642">
        <v>24.208168890995722</v>
      </c>
      <c r="Z180" s="642">
        <v>0</v>
      </c>
      <c r="AA180" s="642">
        <v>0</v>
      </c>
      <c r="AB180" s="642">
        <v>64.793825414524548</v>
      </c>
      <c r="AC180" s="642">
        <v>0</v>
      </c>
      <c r="AD180" s="642">
        <v>0</v>
      </c>
      <c r="AE180" s="642">
        <v>7.6446849129460164</v>
      </c>
      <c r="AF180" s="642">
        <v>71.984931036617454</v>
      </c>
      <c r="AG180" s="642">
        <v>3.153558114778761</v>
      </c>
      <c r="AH180" s="642">
        <v>153.74527198137548</v>
      </c>
      <c r="AI180" s="642">
        <v>35.336807466581455</v>
      </c>
      <c r="AJ180" s="642">
        <v>0</v>
      </c>
      <c r="AK180" s="650">
        <v>362.12576467763085</v>
      </c>
    </row>
    <row r="181" spans="3:37" ht="13.5">
      <c r="C181" s="648" t="s">
        <v>81</v>
      </c>
      <c r="D181" s="642">
        <v>0</v>
      </c>
      <c r="E181" s="642">
        <v>0</v>
      </c>
      <c r="F181" s="642">
        <v>7.1130915409553364</v>
      </c>
      <c r="G181" s="642">
        <v>63.054682395398032</v>
      </c>
      <c r="H181" s="642">
        <v>0</v>
      </c>
      <c r="I181" s="642">
        <v>0</v>
      </c>
      <c r="J181" s="642">
        <v>3.2976998041276677</v>
      </c>
      <c r="K181" s="642">
        <v>2.5104122720965388E-2</v>
      </c>
      <c r="L181" s="642">
        <v>0</v>
      </c>
      <c r="M181" s="642">
        <v>1.2868302529673068</v>
      </c>
      <c r="N181" s="642">
        <v>8.6154760361565579</v>
      </c>
      <c r="O181" s="642">
        <v>0.75786341807650337</v>
      </c>
      <c r="P181" s="642">
        <v>137.18962935697431</v>
      </c>
      <c r="Q181" s="642">
        <v>3.6903307099586842</v>
      </c>
      <c r="R181" s="642">
        <v>0</v>
      </c>
      <c r="S181" s="650">
        <v>225.03070763733538</v>
      </c>
      <c r="U181" s="648" t="s">
        <v>81</v>
      </c>
      <c r="V181" s="642">
        <v>0</v>
      </c>
      <c r="W181" s="642">
        <v>0</v>
      </c>
      <c r="X181" s="642">
        <v>2.1697022188790429</v>
      </c>
      <c r="Y181" s="642">
        <v>20.911765460712612</v>
      </c>
      <c r="Z181" s="642">
        <v>0</v>
      </c>
      <c r="AA181" s="642">
        <v>0</v>
      </c>
      <c r="AB181" s="642">
        <v>7.3285872023111214</v>
      </c>
      <c r="AC181" s="642">
        <v>2.5104122720965388E-2</v>
      </c>
      <c r="AD181" s="642">
        <v>0</v>
      </c>
      <c r="AE181" s="642">
        <v>6.6037154086460879</v>
      </c>
      <c r="AF181" s="642">
        <v>14.491680733710758</v>
      </c>
      <c r="AG181" s="642">
        <v>1.6347019702159422</v>
      </c>
      <c r="AH181" s="642">
        <v>117.90366143236871</v>
      </c>
      <c r="AI181" s="642">
        <v>11.11285639628878</v>
      </c>
      <c r="AJ181" s="642">
        <v>0</v>
      </c>
      <c r="AK181" s="650">
        <v>182.18177494585402</v>
      </c>
    </row>
    <row r="182" spans="3:37" ht="13.5">
      <c r="C182" s="648" t="s">
        <v>82</v>
      </c>
      <c r="D182" s="642">
        <v>0</v>
      </c>
      <c r="E182" s="642">
        <v>0</v>
      </c>
      <c r="F182" s="642">
        <v>30.218764596795413</v>
      </c>
      <c r="G182" s="642">
        <v>1.4924386728389218</v>
      </c>
      <c r="H182" s="642">
        <v>0</v>
      </c>
      <c r="I182" s="642">
        <v>0</v>
      </c>
      <c r="J182" s="642">
        <v>3.2225859194218685</v>
      </c>
      <c r="K182" s="642">
        <v>0</v>
      </c>
      <c r="L182" s="642">
        <v>2.9019247412329854</v>
      </c>
      <c r="M182" s="642">
        <v>3.0457932098753505E-2</v>
      </c>
      <c r="N182" s="642">
        <v>0</v>
      </c>
      <c r="O182" s="642">
        <v>7.4767074498679406E-2</v>
      </c>
      <c r="P182" s="642">
        <v>6.6555854929198803</v>
      </c>
      <c r="Q182" s="642">
        <v>0</v>
      </c>
      <c r="R182" s="642">
        <v>0</v>
      </c>
      <c r="S182" s="650">
        <v>44.596524429806507</v>
      </c>
      <c r="U182" s="648" t="s">
        <v>82</v>
      </c>
      <c r="V182" s="642">
        <v>0</v>
      </c>
      <c r="W182" s="642">
        <v>0</v>
      </c>
      <c r="X182" s="642">
        <v>13.476198254352189</v>
      </c>
      <c r="Y182" s="642">
        <v>1.4718796614135594</v>
      </c>
      <c r="Z182" s="642">
        <v>0</v>
      </c>
      <c r="AA182" s="642">
        <v>0</v>
      </c>
      <c r="AB182" s="642">
        <v>3.2225859194218685</v>
      </c>
      <c r="AC182" s="642">
        <v>0</v>
      </c>
      <c r="AD182" s="642">
        <v>23.463730160224294</v>
      </c>
      <c r="AE182" s="642">
        <v>0.46480410360428193</v>
      </c>
      <c r="AF182" s="642">
        <v>0</v>
      </c>
      <c r="AG182" s="642">
        <v>1.1655332190637568</v>
      </c>
      <c r="AH182" s="642">
        <v>6.7433697745475678</v>
      </c>
      <c r="AI182" s="642">
        <v>0</v>
      </c>
      <c r="AJ182" s="642">
        <v>0.29485655237537339</v>
      </c>
      <c r="AK182" s="650">
        <v>50.302957645002891</v>
      </c>
    </row>
    <row r="183" spans="3:37" ht="13.5">
      <c r="C183" s="648" t="s">
        <v>357</v>
      </c>
      <c r="D183" s="642">
        <v>0</v>
      </c>
      <c r="E183" s="642">
        <v>0</v>
      </c>
      <c r="F183" s="642">
        <v>0</v>
      </c>
      <c r="G183" s="642">
        <v>0</v>
      </c>
      <c r="H183" s="642">
        <v>0</v>
      </c>
      <c r="I183" s="642">
        <v>0</v>
      </c>
      <c r="J183" s="642">
        <v>0</v>
      </c>
      <c r="K183" s="642">
        <v>0</v>
      </c>
      <c r="L183" s="642">
        <v>0</v>
      </c>
      <c r="M183" s="642">
        <v>0</v>
      </c>
      <c r="N183" s="642">
        <v>0</v>
      </c>
      <c r="O183" s="642">
        <v>0</v>
      </c>
      <c r="P183" s="642">
        <v>0.27899999999999997</v>
      </c>
      <c r="Q183" s="642">
        <v>0</v>
      </c>
      <c r="R183" s="642">
        <v>0</v>
      </c>
      <c r="S183" s="650">
        <v>0.27899999999999997</v>
      </c>
      <c r="U183" s="648" t="s">
        <v>357</v>
      </c>
      <c r="V183" s="642">
        <v>0</v>
      </c>
      <c r="W183" s="642">
        <v>0</v>
      </c>
      <c r="X183" s="642">
        <v>0</v>
      </c>
      <c r="Y183" s="642">
        <v>0</v>
      </c>
      <c r="Z183" s="642">
        <v>0</v>
      </c>
      <c r="AA183" s="642">
        <v>0</v>
      </c>
      <c r="AB183" s="642">
        <v>0</v>
      </c>
      <c r="AC183" s="642">
        <v>0</v>
      </c>
      <c r="AD183" s="642">
        <v>0</v>
      </c>
      <c r="AE183" s="642">
        <v>0</v>
      </c>
      <c r="AF183" s="642">
        <v>0</v>
      </c>
      <c r="AG183" s="642">
        <v>0</v>
      </c>
      <c r="AH183" s="642">
        <v>1.92</v>
      </c>
      <c r="AI183" s="642">
        <v>0</v>
      </c>
      <c r="AJ183" s="642">
        <v>0</v>
      </c>
      <c r="AK183" s="650">
        <v>1.92</v>
      </c>
    </row>
    <row r="184" spans="3:37" ht="13.5">
      <c r="C184" s="646" t="s">
        <v>83</v>
      </c>
      <c r="D184" s="647">
        <v>5.7766123047996905</v>
      </c>
      <c r="E184" s="647">
        <v>0</v>
      </c>
      <c r="F184" s="647">
        <v>346.19510684816078</v>
      </c>
      <c r="G184" s="647">
        <v>276.57916261714774</v>
      </c>
      <c r="H184" s="647">
        <v>0</v>
      </c>
      <c r="I184" s="647">
        <v>0</v>
      </c>
      <c r="J184" s="647">
        <v>113.50572884864343</v>
      </c>
      <c r="K184" s="647">
        <v>1.7926789890585739</v>
      </c>
      <c r="L184" s="647">
        <v>29.587741132730038</v>
      </c>
      <c r="M184" s="647">
        <v>5.6630861835909059</v>
      </c>
      <c r="N184" s="647">
        <v>60.832905155553725</v>
      </c>
      <c r="O184" s="647">
        <v>2.8372848935198816</v>
      </c>
      <c r="P184" s="647">
        <v>496.49341447572323</v>
      </c>
      <c r="Q184" s="647">
        <v>35.336417016114851</v>
      </c>
      <c r="R184" s="647">
        <v>1.9451540734815074</v>
      </c>
      <c r="S184" s="647">
        <v>1376.5452925385248</v>
      </c>
      <c r="U184" s="646" t="s">
        <v>83</v>
      </c>
      <c r="V184" s="647">
        <v>1.065232959954733</v>
      </c>
      <c r="W184" s="647">
        <v>0</v>
      </c>
      <c r="X184" s="647">
        <v>123.73641532901047</v>
      </c>
      <c r="Y184" s="647">
        <v>121.91057745567808</v>
      </c>
      <c r="Z184" s="647">
        <v>0</v>
      </c>
      <c r="AA184" s="647">
        <v>0</v>
      </c>
      <c r="AB184" s="647">
        <v>91.239635035141916</v>
      </c>
      <c r="AC184" s="647">
        <v>5.4913450563703794</v>
      </c>
      <c r="AD184" s="647">
        <v>77.627888306523744</v>
      </c>
      <c r="AE184" s="647">
        <v>38.675835544014738</v>
      </c>
      <c r="AF184" s="647">
        <v>86.476611770328219</v>
      </c>
      <c r="AG184" s="647">
        <v>5.9541727702812857</v>
      </c>
      <c r="AH184" s="647">
        <v>493.03007244229349</v>
      </c>
      <c r="AI184" s="647">
        <v>68.72625481251545</v>
      </c>
      <c r="AJ184" s="647">
        <v>10.334365624475881</v>
      </c>
      <c r="AK184" s="647">
        <v>1124.2684071065887</v>
      </c>
    </row>
    <row r="185" spans="3:37" ht="13.5">
      <c r="C185" s="641" t="s">
        <v>84</v>
      </c>
      <c r="D185" s="642">
        <v>0</v>
      </c>
      <c r="E185" s="642">
        <v>0</v>
      </c>
      <c r="F185" s="642">
        <v>111.73719287700069</v>
      </c>
      <c r="G185" s="642">
        <v>11.878700409877391</v>
      </c>
      <c r="H185" s="642">
        <v>0</v>
      </c>
      <c r="I185" s="642">
        <v>0</v>
      </c>
      <c r="J185" s="642">
        <v>0</v>
      </c>
      <c r="K185" s="642">
        <v>0</v>
      </c>
      <c r="L185" s="642">
        <v>0</v>
      </c>
      <c r="M185" s="642">
        <v>0</v>
      </c>
      <c r="N185" s="642">
        <v>0</v>
      </c>
      <c r="O185" s="642">
        <v>0</v>
      </c>
      <c r="P185" s="642">
        <v>0</v>
      </c>
      <c r="Q185" s="642">
        <v>0</v>
      </c>
      <c r="R185" s="642">
        <v>1.43076906409107</v>
      </c>
      <c r="S185" s="650">
        <v>125.04666235096916</v>
      </c>
      <c r="U185" s="641" t="s">
        <v>84</v>
      </c>
      <c r="V185" s="642">
        <v>0</v>
      </c>
      <c r="W185" s="642">
        <v>0</v>
      </c>
      <c r="X185" s="642">
        <v>90.362960784166091</v>
      </c>
      <c r="Y185" s="642">
        <v>1.2615947910933976</v>
      </c>
      <c r="Z185" s="642">
        <v>0</v>
      </c>
      <c r="AA185" s="642">
        <v>0</v>
      </c>
      <c r="AB185" s="642">
        <v>0</v>
      </c>
      <c r="AC185" s="642">
        <v>0</v>
      </c>
      <c r="AD185" s="642">
        <v>14.679117373046875</v>
      </c>
      <c r="AE185" s="642">
        <v>0</v>
      </c>
      <c r="AF185" s="642">
        <v>0</v>
      </c>
      <c r="AG185" s="642">
        <v>0</v>
      </c>
      <c r="AH185" s="642">
        <v>0</v>
      </c>
      <c r="AI185" s="642">
        <v>0</v>
      </c>
      <c r="AJ185" s="642">
        <v>10.026029063720703</v>
      </c>
      <c r="AK185" s="650">
        <v>116.32970201202707</v>
      </c>
    </row>
    <row r="186" spans="3:37" ht="13.5">
      <c r="C186" s="646" t="s">
        <v>85</v>
      </c>
      <c r="D186" s="647">
        <v>5.7766123047996905</v>
      </c>
      <c r="E186" s="647">
        <v>0</v>
      </c>
      <c r="F186" s="647">
        <v>457.9322997251615</v>
      </c>
      <c r="G186" s="647">
        <v>288.45786302702516</v>
      </c>
      <c r="H186" s="647">
        <v>0</v>
      </c>
      <c r="I186" s="647">
        <v>0</v>
      </c>
      <c r="J186" s="647">
        <v>113.50572884864343</v>
      </c>
      <c r="K186" s="647">
        <v>1.7926789890585739</v>
      </c>
      <c r="L186" s="647">
        <v>29.587741132730038</v>
      </c>
      <c r="M186" s="647">
        <v>5.6630861835909059</v>
      </c>
      <c r="N186" s="647">
        <v>60.832905155553725</v>
      </c>
      <c r="O186" s="647">
        <v>2.8372848935198816</v>
      </c>
      <c r="P186" s="647">
        <v>496.49341447572323</v>
      </c>
      <c r="Q186" s="647">
        <v>35.336417016114851</v>
      </c>
      <c r="R186" s="647">
        <v>3.3759231375725776</v>
      </c>
      <c r="S186" s="647">
        <v>1501.5919548894938</v>
      </c>
      <c r="U186" s="646" t="s">
        <v>85</v>
      </c>
      <c r="V186" s="647">
        <v>1.065232959954733</v>
      </c>
      <c r="W186" s="647">
        <v>0</v>
      </c>
      <c r="X186" s="647">
        <v>214.09937611317656</v>
      </c>
      <c r="Y186" s="647">
        <v>123.17217224677148</v>
      </c>
      <c r="Z186" s="647">
        <v>0</v>
      </c>
      <c r="AA186" s="647">
        <v>0</v>
      </c>
      <c r="AB186" s="647">
        <v>91.239635035141916</v>
      </c>
      <c r="AC186" s="647">
        <v>5.4913450563703794</v>
      </c>
      <c r="AD186" s="647">
        <v>92.307005679570622</v>
      </c>
      <c r="AE186" s="647">
        <v>38.675835544014738</v>
      </c>
      <c r="AF186" s="647">
        <v>86.476611770328219</v>
      </c>
      <c r="AG186" s="647">
        <v>5.9541727702812857</v>
      </c>
      <c r="AH186" s="647">
        <v>493.03007244229349</v>
      </c>
      <c r="AI186" s="647">
        <v>68.72625481251545</v>
      </c>
      <c r="AJ186" s="647">
        <v>20.360394688196585</v>
      </c>
      <c r="AK186" s="647">
        <v>1240.5981091186156</v>
      </c>
    </row>
    <row r="187" spans="3:37" ht="13">
      <c r="C187" s="636"/>
      <c r="D187" s="636"/>
      <c r="E187" s="636"/>
      <c r="F187" s="636"/>
      <c r="G187" s="636"/>
      <c r="H187" s="636"/>
      <c r="I187" s="636"/>
      <c r="J187" s="636"/>
      <c r="K187" s="636"/>
      <c r="L187" s="636"/>
      <c r="M187" s="636"/>
      <c r="N187" s="636"/>
      <c r="O187" s="636"/>
      <c r="P187" s="636"/>
      <c r="Q187" s="636"/>
      <c r="R187" s="636"/>
      <c r="S187" s="636"/>
      <c r="U187" s="636"/>
      <c r="V187" s="636"/>
      <c r="W187" s="636"/>
      <c r="X187" s="636"/>
      <c r="Y187" s="636"/>
      <c r="Z187" s="636"/>
      <c r="AA187" s="636"/>
      <c r="AB187" s="636"/>
      <c r="AC187" s="636"/>
      <c r="AD187" s="636"/>
      <c r="AE187" s="636"/>
      <c r="AF187" s="636"/>
      <c r="AG187" s="636"/>
      <c r="AH187" s="636"/>
      <c r="AI187" s="636"/>
      <c r="AJ187" s="636"/>
      <c r="AK187" s="636"/>
    </row>
    <row r="188" spans="3:37" ht="22.5">
      <c r="C188" s="699" t="s">
        <v>363</v>
      </c>
      <c r="D188" s="699"/>
      <c r="E188" s="699"/>
      <c r="F188" s="699"/>
      <c r="G188" s="699"/>
      <c r="H188" s="699"/>
      <c r="I188" s="699"/>
      <c r="J188" s="699"/>
      <c r="K188" s="699"/>
      <c r="L188" s="699"/>
      <c r="M188" s="699"/>
      <c r="N188" s="699"/>
      <c r="O188" s="699"/>
      <c r="P188" s="699"/>
      <c r="Q188" s="699"/>
      <c r="R188" s="699"/>
      <c r="S188" s="699"/>
      <c r="U188" s="699" t="s">
        <v>363</v>
      </c>
      <c r="V188" s="699"/>
      <c r="W188" s="699"/>
      <c r="X188" s="699"/>
      <c r="Y188" s="699"/>
      <c r="Z188" s="699"/>
      <c r="AA188" s="699"/>
      <c r="AB188" s="699"/>
      <c r="AC188" s="699"/>
      <c r="AD188" s="699"/>
      <c r="AE188" s="699"/>
      <c r="AF188" s="699"/>
      <c r="AG188" s="699"/>
      <c r="AH188" s="699"/>
      <c r="AI188" s="699"/>
      <c r="AJ188" s="699"/>
      <c r="AK188" s="699"/>
    </row>
    <row r="189" spans="3:37" ht="13">
      <c r="C189" s="636"/>
      <c r="D189" s="636"/>
      <c r="E189" s="636"/>
      <c r="F189" s="636"/>
      <c r="G189" s="636"/>
      <c r="H189" s="636"/>
      <c r="I189" s="636"/>
      <c r="J189" s="636"/>
      <c r="K189" s="636"/>
      <c r="L189" s="636"/>
      <c r="M189" s="636"/>
      <c r="N189" s="636"/>
      <c r="O189" s="636"/>
      <c r="P189" s="636"/>
      <c r="Q189" s="636"/>
      <c r="R189" s="636"/>
      <c r="S189" s="636"/>
      <c r="U189" s="636"/>
      <c r="V189" s="636"/>
      <c r="W189" s="636"/>
      <c r="X189" s="636"/>
      <c r="Y189" s="636"/>
      <c r="Z189" s="636"/>
      <c r="AA189" s="636"/>
      <c r="AB189" s="636"/>
      <c r="AC189" s="636"/>
      <c r="AD189" s="636"/>
      <c r="AE189" s="636"/>
      <c r="AF189" s="636"/>
      <c r="AG189" s="636"/>
      <c r="AH189" s="636"/>
      <c r="AI189" s="636"/>
      <c r="AJ189" s="636"/>
      <c r="AK189" s="636"/>
    </row>
    <row r="190" spans="3:37" ht="13" customHeight="1">
      <c r="C190" s="700" t="s">
        <v>128</v>
      </c>
      <c r="D190" s="701" t="s">
        <v>42</v>
      </c>
      <c r="E190" s="701" t="s">
        <v>52</v>
      </c>
      <c r="F190" s="701" t="s">
        <v>53</v>
      </c>
      <c r="G190" s="701" t="s">
        <v>32</v>
      </c>
      <c r="H190" s="701" t="s">
        <v>20</v>
      </c>
      <c r="I190" s="701" t="s">
        <v>55</v>
      </c>
      <c r="J190" s="701" t="s">
        <v>56</v>
      </c>
      <c r="K190" s="701"/>
      <c r="L190" s="701"/>
      <c r="M190" s="701"/>
      <c r="N190" s="701"/>
      <c r="O190" s="701"/>
      <c r="P190" s="701" t="s">
        <v>57</v>
      </c>
      <c r="Q190" s="701" t="s">
        <v>58</v>
      </c>
      <c r="R190" s="701" t="s">
        <v>31</v>
      </c>
      <c r="S190" s="701" t="s">
        <v>10</v>
      </c>
      <c r="U190" s="700" t="s">
        <v>128</v>
      </c>
      <c r="V190" s="701" t="s">
        <v>42</v>
      </c>
      <c r="W190" s="701" t="s">
        <v>52</v>
      </c>
      <c r="X190" s="701" t="s">
        <v>53</v>
      </c>
      <c r="Y190" s="701" t="s">
        <v>32</v>
      </c>
      <c r="Z190" s="701" t="s">
        <v>20</v>
      </c>
      <c r="AA190" s="701" t="s">
        <v>55</v>
      </c>
      <c r="AB190" s="701" t="s">
        <v>56</v>
      </c>
      <c r="AC190" s="701"/>
      <c r="AD190" s="701"/>
      <c r="AE190" s="701"/>
      <c r="AF190" s="701"/>
      <c r="AG190" s="701"/>
      <c r="AH190" s="701" t="s">
        <v>57</v>
      </c>
      <c r="AI190" s="701" t="s">
        <v>58</v>
      </c>
      <c r="AJ190" s="701" t="s">
        <v>31</v>
      </c>
      <c r="AK190" s="701" t="s">
        <v>10</v>
      </c>
    </row>
    <row r="191" spans="3:37" ht="46">
      <c r="C191" s="700"/>
      <c r="D191" s="701"/>
      <c r="E191" s="701"/>
      <c r="F191" s="701"/>
      <c r="G191" s="701"/>
      <c r="H191" s="701"/>
      <c r="I191" s="701"/>
      <c r="J191" s="640" t="s">
        <v>338</v>
      </c>
      <c r="K191" s="640" t="s">
        <v>40</v>
      </c>
      <c r="L191" s="640" t="s">
        <v>346</v>
      </c>
      <c r="M191" s="640" t="s">
        <v>347</v>
      </c>
      <c r="N191" s="640" t="s">
        <v>348</v>
      </c>
      <c r="O191" s="640" t="s">
        <v>349</v>
      </c>
      <c r="P191" s="701"/>
      <c r="Q191" s="701"/>
      <c r="R191" s="701"/>
      <c r="S191" s="701"/>
      <c r="U191" s="700"/>
      <c r="V191" s="701"/>
      <c r="W191" s="701"/>
      <c r="X191" s="701"/>
      <c r="Y191" s="701"/>
      <c r="Z191" s="701"/>
      <c r="AA191" s="701"/>
      <c r="AB191" s="640" t="s">
        <v>338</v>
      </c>
      <c r="AC191" s="640" t="s">
        <v>40</v>
      </c>
      <c r="AD191" s="640" t="s">
        <v>346</v>
      </c>
      <c r="AE191" s="640" t="s">
        <v>347</v>
      </c>
      <c r="AF191" s="640" t="s">
        <v>348</v>
      </c>
      <c r="AG191" s="640" t="s">
        <v>349</v>
      </c>
      <c r="AH191" s="701"/>
      <c r="AI191" s="701"/>
      <c r="AJ191" s="701"/>
      <c r="AK191" s="701"/>
    </row>
    <row r="192" spans="3:37" ht="13.5">
      <c r="C192" s="641" t="s">
        <v>59</v>
      </c>
      <c r="D192" s="642">
        <v>0</v>
      </c>
      <c r="E192" s="643">
        <v>0</v>
      </c>
      <c r="F192" s="643">
        <v>0</v>
      </c>
      <c r="G192" s="642">
        <v>0</v>
      </c>
      <c r="H192" s="643">
        <v>959.09090909090924</v>
      </c>
      <c r="I192" s="643">
        <v>265.54666314840352</v>
      </c>
      <c r="J192" s="643">
        <v>188.6372712469306</v>
      </c>
      <c r="K192" s="643">
        <v>20.835963621356942</v>
      </c>
      <c r="L192" s="643">
        <v>0.48646764865129044</v>
      </c>
      <c r="M192" s="643">
        <v>0.15840693111613638</v>
      </c>
      <c r="N192" s="643">
        <v>62.897832024028709</v>
      </c>
      <c r="O192" s="643">
        <v>11.865462020109925</v>
      </c>
      <c r="P192" s="644">
        <v>0</v>
      </c>
      <c r="Q192" s="643">
        <v>0</v>
      </c>
      <c r="R192" s="643">
        <v>0</v>
      </c>
      <c r="S192" s="645">
        <v>1509.5189757315065</v>
      </c>
      <c r="U192" s="641" t="s">
        <v>59</v>
      </c>
      <c r="V192" s="642">
        <v>0</v>
      </c>
      <c r="W192" s="643">
        <v>0</v>
      </c>
      <c r="X192" s="643">
        <v>0</v>
      </c>
      <c r="Y192" s="642">
        <v>0</v>
      </c>
      <c r="Z192" s="643">
        <v>919.39393939393949</v>
      </c>
      <c r="AA192" s="643">
        <v>300.16666314840353</v>
      </c>
      <c r="AB192" s="643">
        <v>196.07210414009427</v>
      </c>
      <c r="AC192" s="643">
        <v>37.690284018354092</v>
      </c>
      <c r="AD192" s="643">
        <v>0.48646764865129044</v>
      </c>
      <c r="AE192" s="643">
        <v>0.15840693111613638</v>
      </c>
      <c r="AF192" s="643">
        <v>92.901000398225491</v>
      </c>
      <c r="AG192" s="643">
        <v>23.979405132943342</v>
      </c>
      <c r="AH192" s="644">
        <v>0</v>
      </c>
      <c r="AI192" s="643">
        <v>0</v>
      </c>
      <c r="AJ192" s="643">
        <v>0</v>
      </c>
      <c r="AK192" s="645">
        <v>1570.8482708117278</v>
      </c>
    </row>
    <row r="193" spans="3:37" ht="13.5">
      <c r="C193" s="641" t="s">
        <v>60</v>
      </c>
      <c r="D193" s="642">
        <v>48.037640466799544</v>
      </c>
      <c r="E193" s="643">
        <v>504.19228646673599</v>
      </c>
      <c r="F193" s="643">
        <v>68.527294255032075</v>
      </c>
      <c r="G193" s="642">
        <v>332.96357284387591</v>
      </c>
      <c r="H193" s="643">
        <v>0</v>
      </c>
      <c r="I193" s="643">
        <v>0</v>
      </c>
      <c r="J193" s="643">
        <v>4.4041420336435353</v>
      </c>
      <c r="K193" s="643">
        <v>0</v>
      </c>
      <c r="L193" s="643">
        <v>2.4215969020745125</v>
      </c>
      <c r="M193" s="643">
        <v>0</v>
      </c>
      <c r="N193" s="643">
        <v>0</v>
      </c>
      <c r="O193" s="643">
        <v>0</v>
      </c>
      <c r="P193" s="644">
        <v>0</v>
      </c>
      <c r="Q193" s="643">
        <v>0</v>
      </c>
      <c r="R193" s="643">
        <v>0</v>
      </c>
      <c r="S193" s="645">
        <v>960.54653296816161</v>
      </c>
      <c r="U193" s="641" t="s">
        <v>60</v>
      </c>
      <c r="V193" s="642">
        <v>7.5315222042138927</v>
      </c>
      <c r="W193" s="643">
        <v>266.28302835422375</v>
      </c>
      <c r="X193" s="643">
        <v>14.660534841020075</v>
      </c>
      <c r="Y193" s="642">
        <v>136.19700966140181</v>
      </c>
      <c r="Z193" s="643">
        <v>0</v>
      </c>
      <c r="AA193" s="643">
        <v>0</v>
      </c>
      <c r="AB193" s="643">
        <v>4.4041420336435353</v>
      </c>
      <c r="AC193" s="643">
        <v>0</v>
      </c>
      <c r="AD193" s="643">
        <v>2.4215969020745125</v>
      </c>
      <c r="AE193" s="643">
        <v>0</v>
      </c>
      <c r="AF193" s="643">
        <v>0</v>
      </c>
      <c r="AG193" s="643">
        <v>0</v>
      </c>
      <c r="AH193" s="644">
        <v>0</v>
      </c>
      <c r="AI193" s="643">
        <v>0</v>
      </c>
      <c r="AJ193" s="643">
        <v>0</v>
      </c>
      <c r="AK193" s="645">
        <v>431.49783399657758</v>
      </c>
    </row>
    <row r="194" spans="3:37" ht="13.5">
      <c r="C194" s="641" t="s">
        <v>61</v>
      </c>
      <c r="D194" s="642">
        <v>0</v>
      </c>
      <c r="E194" s="643">
        <v>0</v>
      </c>
      <c r="F194" s="643">
        <v>0</v>
      </c>
      <c r="G194" s="642">
        <v>0</v>
      </c>
      <c r="H194" s="643">
        <v>0</v>
      </c>
      <c r="I194" s="643">
        <v>0</v>
      </c>
      <c r="J194" s="643">
        <v>0</v>
      </c>
      <c r="K194" s="643">
        <v>0</v>
      </c>
      <c r="L194" s="643">
        <v>0</v>
      </c>
      <c r="M194" s="643">
        <v>0</v>
      </c>
      <c r="N194" s="643">
        <v>0</v>
      </c>
      <c r="O194" s="643">
        <v>0</v>
      </c>
      <c r="P194" s="644">
        <v>-31.055970799843635</v>
      </c>
      <c r="Q194" s="643">
        <v>0</v>
      </c>
      <c r="R194" s="643">
        <v>0</v>
      </c>
      <c r="S194" s="645">
        <v>-31.055970799843635</v>
      </c>
      <c r="U194" s="641" t="s">
        <v>61</v>
      </c>
      <c r="V194" s="642">
        <v>0</v>
      </c>
      <c r="W194" s="643">
        <v>0</v>
      </c>
      <c r="X194" s="643">
        <v>-20.238165107819981</v>
      </c>
      <c r="Y194" s="642">
        <v>0</v>
      </c>
      <c r="Z194" s="643">
        <v>0</v>
      </c>
      <c r="AA194" s="643">
        <v>0</v>
      </c>
      <c r="AB194" s="643">
        <v>0</v>
      </c>
      <c r="AC194" s="643">
        <v>0</v>
      </c>
      <c r="AD194" s="643">
        <v>0</v>
      </c>
      <c r="AE194" s="643">
        <v>0</v>
      </c>
      <c r="AF194" s="643">
        <v>0</v>
      </c>
      <c r="AG194" s="643">
        <v>0</v>
      </c>
      <c r="AH194" s="644">
        <v>-12.632253344037395</v>
      </c>
      <c r="AI194" s="643">
        <v>0</v>
      </c>
      <c r="AJ194" s="643">
        <v>0</v>
      </c>
      <c r="AK194" s="645">
        <v>-32.870418451857375</v>
      </c>
    </row>
    <row r="195" spans="3:37" ht="13.5">
      <c r="C195" s="641" t="s">
        <v>62</v>
      </c>
      <c r="D195" s="642">
        <v>0</v>
      </c>
      <c r="E195" s="643">
        <v>0</v>
      </c>
      <c r="F195" s="643">
        <v>-15.855905256620872</v>
      </c>
      <c r="G195" s="642">
        <v>0</v>
      </c>
      <c r="H195" s="643">
        <v>0</v>
      </c>
      <c r="I195" s="643">
        <v>0</v>
      </c>
      <c r="J195" s="643">
        <v>0</v>
      </c>
      <c r="K195" s="643">
        <v>0</v>
      </c>
      <c r="L195" s="643">
        <v>0</v>
      </c>
      <c r="M195" s="643">
        <v>0</v>
      </c>
      <c r="N195" s="643">
        <v>0</v>
      </c>
      <c r="O195" s="643">
        <v>0</v>
      </c>
      <c r="P195" s="644">
        <v>0</v>
      </c>
      <c r="Q195" s="643">
        <v>0</v>
      </c>
      <c r="R195" s="643">
        <v>0</v>
      </c>
      <c r="S195" s="645">
        <v>-15.855905256620872</v>
      </c>
      <c r="U195" s="641" t="s">
        <v>62</v>
      </c>
      <c r="V195" s="642">
        <v>0</v>
      </c>
      <c r="W195" s="643">
        <v>0</v>
      </c>
      <c r="X195" s="643">
        <v>-10.068616817390659</v>
      </c>
      <c r="Y195" s="642">
        <v>-2.2904268439326967</v>
      </c>
      <c r="Z195" s="643">
        <v>0</v>
      </c>
      <c r="AA195" s="643">
        <v>0</v>
      </c>
      <c r="AB195" s="643">
        <v>0</v>
      </c>
      <c r="AC195" s="643">
        <v>0</v>
      </c>
      <c r="AD195" s="643">
        <v>0</v>
      </c>
      <c r="AE195" s="643">
        <v>-0.98161150454258428</v>
      </c>
      <c r="AF195" s="643">
        <v>0</v>
      </c>
      <c r="AG195" s="643">
        <v>0</v>
      </c>
      <c r="AH195" s="644">
        <v>0</v>
      </c>
      <c r="AI195" s="643">
        <v>0</v>
      </c>
      <c r="AJ195" s="643">
        <v>0</v>
      </c>
      <c r="AK195" s="645">
        <v>-13.34065516586594</v>
      </c>
    </row>
    <row r="196" spans="3:37" ht="13.5">
      <c r="C196" s="641" t="s">
        <v>63</v>
      </c>
      <c r="D196" s="642">
        <v>0</v>
      </c>
      <c r="E196" s="643">
        <v>0</v>
      </c>
      <c r="F196" s="643">
        <v>-87.092524368241456</v>
      </c>
      <c r="G196" s="642">
        <v>0</v>
      </c>
      <c r="H196" s="643">
        <v>0</v>
      </c>
      <c r="I196" s="643">
        <v>0</v>
      </c>
      <c r="J196" s="643">
        <v>0</v>
      </c>
      <c r="K196" s="643">
        <v>0</v>
      </c>
      <c r="L196" s="643">
        <v>-0.90133117758770376</v>
      </c>
      <c r="M196" s="643">
        <v>0</v>
      </c>
      <c r="N196" s="643">
        <v>0</v>
      </c>
      <c r="O196" s="643">
        <v>0</v>
      </c>
      <c r="P196" s="644">
        <v>0</v>
      </c>
      <c r="Q196" s="643">
        <v>0</v>
      </c>
      <c r="R196" s="643">
        <v>0</v>
      </c>
      <c r="S196" s="645">
        <v>-87.993855545829163</v>
      </c>
      <c r="U196" s="641" t="s">
        <v>63</v>
      </c>
      <c r="V196" s="642">
        <v>0</v>
      </c>
      <c r="W196" s="643">
        <v>0</v>
      </c>
      <c r="X196" s="643">
        <v>-58.231828596071985</v>
      </c>
      <c r="Y196" s="642">
        <v>0</v>
      </c>
      <c r="Z196" s="643">
        <v>0</v>
      </c>
      <c r="AA196" s="643">
        <v>0</v>
      </c>
      <c r="AB196" s="643">
        <v>0</v>
      </c>
      <c r="AC196" s="643">
        <v>0</v>
      </c>
      <c r="AD196" s="643">
        <v>-23.991898740742837</v>
      </c>
      <c r="AE196" s="643">
        <v>0</v>
      </c>
      <c r="AF196" s="643">
        <v>0</v>
      </c>
      <c r="AG196" s="643">
        <v>0</v>
      </c>
      <c r="AH196" s="644">
        <v>0</v>
      </c>
      <c r="AI196" s="643">
        <v>0</v>
      </c>
      <c r="AJ196" s="643">
        <v>0</v>
      </c>
      <c r="AK196" s="645">
        <v>-82.223727336814818</v>
      </c>
    </row>
    <row r="197" spans="3:37" ht="13.5">
      <c r="C197" s="641" t="s">
        <v>64</v>
      </c>
      <c r="D197" s="642">
        <v>0</v>
      </c>
      <c r="E197" s="643">
        <v>0</v>
      </c>
      <c r="F197" s="643">
        <v>0</v>
      </c>
      <c r="G197" s="642">
        <v>0</v>
      </c>
      <c r="H197" s="643">
        <v>0</v>
      </c>
      <c r="I197" s="643">
        <v>0</v>
      </c>
      <c r="J197" s="643">
        <v>0</v>
      </c>
      <c r="K197" s="643">
        <v>0</v>
      </c>
      <c r="L197" s="643">
        <v>0</v>
      </c>
      <c r="M197" s="643">
        <v>0</v>
      </c>
      <c r="N197" s="643">
        <v>0</v>
      </c>
      <c r="O197" s="643">
        <v>0</v>
      </c>
      <c r="P197" s="644">
        <v>0</v>
      </c>
      <c r="Q197" s="643">
        <v>0</v>
      </c>
      <c r="R197" s="643">
        <v>0</v>
      </c>
      <c r="S197" s="645">
        <v>0</v>
      </c>
      <c r="U197" s="641" t="s">
        <v>64</v>
      </c>
      <c r="V197" s="642">
        <v>0</v>
      </c>
      <c r="W197" s="643">
        <v>0</v>
      </c>
      <c r="X197" s="643">
        <v>0</v>
      </c>
      <c r="Y197" s="642">
        <v>0</v>
      </c>
      <c r="Z197" s="643">
        <v>0</v>
      </c>
      <c r="AA197" s="643">
        <v>0</v>
      </c>
      <c r="AB197" s="643">
        <v>0</v>
      </c>
      <c r="AC197" s="643">
        <v>0</v>
      </c>
      <c r="AD197" s="643">
        <v>0</v>
      </c>
      <c r="AE197" s="643">
        <v>0</v>
      </c>
      <c r="AF197" s="643">
        <v>0</v>
      </c>
      <c r="AG197" s="643">
        <v>0</v>
      </c>
      <c r="AH197" s="644">
        <v>0</v>
      </c>
      <c r="AI197" s="643">
        <v>0</v>
      </c>
      <c r="AJ197" s="643">
        <v>0</v>
      </c>
      <c r="AK197" s="645">
        <v>0</v>
      </c>
    </row>
    <row r="198" spans="3:37" ht="13.5">
      <c r="C198" s="646" t="s">
        <v>65</v>
      </c>
      <c r="D198" s="647">
        <v>48.037640466799544</v>
      </c>
      <c r="E198" s="647">
        <v>504.19228646673599</v>
      </c>
      <c r="F198" s="647">
        <v>-34.42113536983026</v>
      </c>
      <c r="G198" s="647">
        <v>332.96357284387591</v>
      </c>
      <c r="H198" s="647">
        <v>959.09090909090924</v>
      </c>
      <c r="I198" s="647">
        <v>265.54666314840352</v>
      </c>
      <c r="J198" s="647">
        <v>193.04141328057412</v>
      </c>
      <c r="K198" s="647">
        <v>20.835963621356942</v>
      </c>
      <c r="L198" s="647">
        <v>2.0067333731380987</v>
      </c>
      <c r="M198" s="647">
        <v>0.15840693111613638</v>
      </c>
      <c r="N198" s="647">
        <v>62.897832024028709</v>
      </c>
      <c r="O198" s="647">
        <v>11.865462020109925</v>
      </c>
      <c r="P198" s="647">
        <v>-31.055970799843635</v>
      </c>
      <c r="Q198" s="647">
        <v>0</v>
      </c>
      <c r="R198" s="647">
        <v>0</v>
      </c>
      <c r="S198" s="647">
        <v>2335.159777097374</v>
      </c>
      <c r="U198" s="646" t="s">
        <v>65</v>
      </c>
      <c r="V198" s="647">
        <v>7.5315222042138927</v>
      </c>
      <c r="W198" s="647">
        <v>266.28302835422375</v>
      </c>
      <c r="X198" s="647">
        <v>-73.87807568026254</v>
      </c>
      <c r="Y198" s="647">
        <v>133.90658281746911</v>
      </c>
      <c r="Z198" s="647">
        <v>919.39393939393949</v>
      </c>
      <c r="AA198" s="647">
        <v>300.16666314840353</v>
      </c>
      <c r="AB198" s="647">
        <v>200.47624617373779</v>
      </c>
      <c r="AC198" s="647">
        <v>37.690284018354092</v>
      </c>
      <c r="AD198" s="647">
        <v>-21.083834190017033</v>
      </c>
      <c r="AE198" s="647">
        <v>-0.82320457342644793</v>
      </c>
      <c r="AF198" s="647">
        <v>92.901000398225491</v>
      </c>
      <c r="AG198" s="647">
        <v>23.979405132943342</v>
      </c>
      <c r="AH198" s="647">
        <v>-12.632253344037395</v>
      </c>
      <c r="AI198" s="647">
        <v>0</v>
      </c>
      <c r="AJ198" s="647">
        <v>0</v>
      </c>
      <c r="AK198" s="647">
        <v>1873.9113038537675</v>
      </c>
    </row>
    <row r="199" spans="3:37" ht="13">
      <c r="C199" s="636"/>
      <c r="D199" s="636">
        <v>0</v>
      </c>
      <c r="E199" s="636">
        <v>0</v>
      </c>
      <c r="F199" s="636">
        <v>0</v>
      </c>
      <c r="G199" s="636">
        <v>0</v>
      </c>
      <c r="H199" s="636">
        <v>0</v>
      </c>
      <c r="I199" s="636">
        <v>0</v>
      </c>
      <c r="J199" s="636">
        <v>0</v>
      </c>
      <c r="K199" s="636">
        <v>0</v>
      </c>
      <c r="L199" s="636">
        <v>0</v>
      </c>
      <c r="M199" s="636">
        <v>0</v>
      </c>
      <c r="N199" s="636">
        <v>0</v>
      </c>
      <c r="O199" s="636">
        <v>0</v>
      </c>
      <c r="P199" s="636">
        <v>0</v>
      </c>
      <c r="Q199" s="636">
        <v>0</v>
      </c>
      <c r="R199" s="636">
        <v>0</v>
      </c>
      <c r="S199" s="636">
        <v>0</v>
      </c>
      <c r="U199" s="636"/>
      <c r="V199" s="636">
        <v>0</v>
      </c>
      <c r="W199" s="636">
        <v>0</v>
      </c>
      <c r="X199" s="636">
        <v>0</v>
      </c>
      <c r="Y199" s="636">
        <v>0</v>
      </c>
      <c r="Z199" s="636">
        <v>0</v>
      </c>
      <c r="AA199" s="636">
        <v>0</v>
      </c>
      <c r="AB199" s="636">
        <v>0</v>
      </c>
      <c r="AC199" s="636">
        <v>0</v>
      </c>
      <c r="AD199" s="636">
        <v>0</v>
      </c>
      <c r="AE199" s="636">
        <v>0</v>
      </c>
      <c r="AF199" s="636">
        <v>0</v>
      </c>
      <c r="AG199" s="636">
        <v>0</v>
      </c>
      <c r="AH199" s="636">
        <v>0</v>
      </c>
      <c r="AI199" s="636">
        <v>0</v>
      </c>
      <c r="AJ199" s="636">
        <v>0</v>
      </c>
      <c r="AK199" s="636">
        <v>0</v>
      </c>
    </row>
    <row r="200" spans="3:37" ht="13.5">
      <c r="C200" s="648" t="s">
        <v>67</v>
      </c>
      <c r="D200" s="642">
        <v>0</v>
      </c>
      <c r="E200" s="649">
        <v>0</v>
      </c>
      <c r="F200" s="649">
        <v>0</v>
      </c>
      <c r="G200" s="642">
        <v>0</v>
      </c>
      <c r="H200" s="642">
        <v>0</v>
      </c>
      <c r="I200" s="642">
        <v>0</v>
      </c>
      <c r="J200" s="642">
        <v>0</v>
      </c>
      <c r="K200" s="642">
        <v>0</v>
      </c>
      <c r="L200" s="642">
        <v>0</v>
      </c>
      <c r="M200" s="642">
        <v>0</v>
      </c>
      <c r="N200" s="642">
        <v>0</v>
      </c>
      <c r="O200" s="642">
        <v>0</v>
      </c>
      <c r="P200" s="642">
        <v>0</v>
      </c>
      <c r="Q200" s="642">
        <v>0</v>
      </c>
      <c r="R200" s="642">
        <v>0</v>
      </c>
      <c r="S200" s="650">
        <v>0</v>
      </c>
      <c r="U200" s="648" t="s">
        <v>67</v>
      </c>
      <c r="V200" s="642">
        <v>0</v>
      </c>
      <c r="W200" s="649">
        <v>0</v>
      </c>
      <c r="X200" s="649">
        <v>0</v>
      </c>
      <c r="Y200" s="642">
        <v>0</v>
      </c>
      <c r="Z200" s="642">
        <v>0</v>
      </c>
      <c r="AA200" s="642">
        <v>0</v>
      </c>
      <c r="AB200" s="642">
        <v>0</v>
      </c>
      <c r="AC200" s="642">
        <v>0</v>
      </c>
      <c r="AD200" s="642">
        <v>0</v>
      </c>
      <c r="AE200" s="642">
        <v>0</v>
      </c>
      <c r="AF200" s="642">
        <v>0</v>
      </c>
      <c r="AG200" s="642">
        <v>0</v>
      </c>
      <c r="AH200" s="642">
        <v>0</v>
      </c>
      <c r="AI200" s="642">
        <v>0</v>
      </c>
      <c r="AJ200" s="642">
        <v>0</v>
      </c>
      <c r="AK200" s="650">
        <v>0</v>
      </c>
    </row>
    <row r="201" spans="3:37" ht="13.5">
      <c r="C201" s="648" t="s">
        <v>350</v>
      </c>
      <c r="D201" s="642">
        <v>2.8267856410252494</v>
      </c>
      <c r="E201" s="642">
        <v>0</v>
      </c>
      <c r="F201" s="642">
        <v>7.5217067848259731</v>
      </c>
      <c r="G201" s="642">
        <v>17.043478260869566</v>
      </c>
      <c r="H201" s="642">
        <v>959.09090909090924</v>
      </c>
      <c r="I201" s="642">
        <v>265.54666314840352</v>
      </c>
      <c r="J201" s="651">
        <v>29.657322749860491</v>
      </c>
      <c r="K201" s="651">
        <v>6.9984717304001904</v>
      </c>
      <c r="L201" s="651">
        <v>2.9080645507258027</v>
      </c>
      <c r="M201" s="651">
        <v>0.47316517381762646</v>
      </c>
      <c r="N201" s="651">
        <v>0</v>
      </c>
      <c r="O201" s="651">
        <v>6.9042102843702597</v>
      </c>
      <c r="P201" s="642">
        <v>-613.13903868039233</v>
      </c>
      <c r="Q201" s="642">
        <v>0</v>
      </c>
      <c r="R201" s="642">
        <v>0</v>
      </c>
      <c r="S201" s="650">
        <v>685.83173873481564</v>
      </c>
      <c r="U201" s="648" t="s">
        <v>350</v>
      </c>
      <c r="V201" s="642">
        <v>0.62631490545869017</v>
      </c>
      <c r="W201" s="642">
        <v>0</v>
      </c>
      <c r="X201" s="642">
        <v>3.6580704211896093</v>
      </c>
      <c r="Y201" s="642">
        <v>6.2086956521739127</v>
      </c>
      <c r="Z201" s="642">
        <v>919.39393939393949</v>
      </c>
      <c r="AA201" s="642">
        <v>300.16666314840353</v>
      </c>
      <c r="AB201" s="651">
        <v>23.86094386593884</v>
      </c>
      <c r="AC201" s="651">
        <v>5.6952120200596408</v>
      </c>
      <c r="AD201" s="651">
        <v>2.9080645507258027</v>
      </c>
      <c r="AE201" s="651">
        <v>2.7862086520784959</v>
      </c>
      <c r="AF201" s="651">
        <v>0</v>
      </c>
      <c r="AG201" s="651">
        <v>6.9042102843702597</v>
      </c>
      <c r="AH201" s="642">
        <v>-628.6590386803922</v>
      </c>
      <c r="AI201" s="642">
        <v>0</v>
      </c>
      <c r="AJ201" s="642">
        <v>4.7499999999999991</v>
      </c>
      <c r="AK201" s="650">
        <v>648.29928421394618</v>
      </c>
    </row>
    <row r="202" spans="3:37" ht="13.5">
      <c r="C202" s="648" t="s">
        <v>351</v>
      </c>
      <c r="D202" s="642">
        <v>0</v>
      </c>
      <c r="E202" s="642">
        <v>0</v>
      </c>
      <c r="F202" s="642">
        <v>0</v>
      </c>
      <c r="G202" s="642">
        <v>14.973464488470796</v>
      </c>
      <c r="H202" s="642">
        <v>0</v>
      </c>
      <c r="I202" s="642">
        <v>0</v>
      </c>
      <c r="J202" s="651">
        <v>12.61885930635281</v>
      </c>
      <c r="K202" s="651">
        <v>11.992989190910333</v>
      </c>
      <c r="L202" s="651">
        <v>0</v>
      </c>
      <c r="M202" s="651">
        <v>0.32007470171399477</v>
      </c>
      <c r="N202" s="651">
        <v>0</v>
      </c>
      <c r="O202" s="651">
        <v>2.1221335576886813</v>
      </c>
      <c r="P202" s="642">
        <v>0</v>
      </c>
      <c r="Q202" s="642">
        <v>-38.122859170635891</v>
      </c>
      <c r="R202" s="642">
        <v>0</v>
      </c>
      <c r="S202" s="650">
        <v>3.9046620745007217</v>
      </c>
      <c r="U202" s="648" t="s">
        <v>351</v>
      </c>
      <c r="V202" s="642">
        <v>0</v>
      </c>
      <c r="W202" s="642">
        <v>0</v>
      </c>
      <c r="X202" s="642">
        <v>0</v>
      </c>
      <c r="Y202" s="642">
        <v>11.236128743190402</v>
      </c>
      <c r="Z202" s="642">
        <v>0</v>
      </c>
      <c r="AA202" s="642">
        <v>0</v>
      </c>
      <c r="AB202" s="651">
        <v>28.835017835425074</v>
      </c>
      <c r="AC202" s="651">
        <v>26.276566272731909</v>
      </c>
      <c r="AD202" s="651">
        <v>0</v>
      </c>
      <c r="AE202" s="651">
        <v>4.8299775408676195</v>
      </c>
      <c r="AF202" s="651">
        <v>0</v>
      </c>
      <c r="AG202" s="651">
        <v>10.71495831218258</v>
      </c>
      <c r="AH202" s="642">
        <v>0</v>
      </c>
      <c r="AI202" s="642">
        <v>-75.331063655699538</v>
      </c>
      <c r="AJ202" s="642">
        <v>0</v>
      </c>
      <c r="AK202" s="650">
        <v>6.561585048698058</v>
      </c>
    </row>
    <row r="203" spans="3:37" ht="13.5">
      <c r="C203" s="648" t="s">
        <v>352</v>
      </c>
      <c r="D203" s="642">
        <v>0</v>
      </c>
      <c r="E203" s="642">
        <v>0</v>
      </c>
      <c r="F203" s="642">
        <v>0</v>
      </c>
      <c r="G203" s="642">
        <v>0</v>
      </c>
      <c r="H203" s="642">
        <v>0</v>
      </c>
      <c r="I203" s="642">
        <v>0</v>
      </c>
      <c r="J203" s="652">
        <v>7.1836152532588793</v>
      </c>
      <c r="K203" s="652">
        <v>0</v>
      </c>
      <c r="L203" s="652">
        <v>0</v>
      </c>
      <c r="M203" s="652">
        <v>-6.5550489185987271</v>
      </c>
      <c r="N203" s="652">
        <v>0</v>
      </c>
      <c r="O203" s="652">
        <v>0</v>
      </c>
      <c r="P203" s="642">
        <v>0</v>
      </c>
      <c r="Q203" s="642">
        <v>0</v>
      </c>
      <c r="R203" s="642">
        <v>0</v>
      </c>
      <c r="S203" s="650">
        <v>0.62856633466015222</v>
      </c>
      <c r="U203" s="648" t="s">
        <v>352</v>
      </c>
      <c r="V203" s="642">
        <v>0</v>
      </c>
      <c r="W203" s="642">
        <v>0</v>
      </c>
      <c r="X203" s="642">
        <v>0</v>
      </c>
      <c r="Y203" s="642">
        <v>0</v>
      </c>
      <c r="Z203" s="642">
        <v>0</v>
      </c>
      <c r="AA203" s="642">
        <v>0</v>
      </c>
      <c r="AB203" s="652">
        <v>63.436450079223192</v>
      </c>
      <c r="AC203" s="652">
        <v>0</v>
      </c>
      <c r="AD203" s="652">
        <v>0</v>
      </c>
      <c r="AE203" s="652">
        <v>-57.885760697291161</v>
      </c>
      <c r="AF203" s="652">
        <v>0</v>
      </c>
      <c r="AG203" s="652">
        <v>0</v>
      </c>
      <c r="AH203" s="642">
        <v>0</v>
      </c>
      <c r="AI203" s="642">
        <v>0</v>
      </c>
      <c r="AJ203" s="642">
        <v>0</v>
      </c>
      <c r="AK203" s="650">
        <v>5.5506893819320311</v>
      </c>
    </row>
    <row r="204" spans="3:37" ht="13.5">
      <c r="C204" s="648" t="s">
        <v>353</v>
      </c>
      <c r="D204" s="642">
        <v>0</v>
      </c>
      <c r="E204" s="642">
        <v>0</v>
      </c>
      <c r="F204" s="642">
        <v>0</v>
      </c>
      <c r="G204" s="642">
        <v>0</v>
      </c>
      <c r="H204" s="642">
        <v>0</v>
      </c>
      <c r="I204" s="642">
        <v>0</v>
      </c>
      <c r="J204" s="642">
        <v>0</v>
      </c>
      <c r="K204" s="642">
        <v>0</v>
      </c>
      <c r="L204" s="642">
        <v>0</v>
      </c>
      <c r="M204" s="642">
        <v>0</v>
      </c>
      <c r="N204" s="642">
        <v>0</v>
      </c>
      <c r="O204" s="642">
        <v>0</v>
      </c>
      <c r="P204" s="642">
        <v>0</v>
      </c>
      <c r="Q204" s="642">
        <v>0</v>
      </c>
      <c r="R204" s="642">
        <v>0</v>
      </c>
      <c r="S204" s="650">
        <v>0</v>
      </c>
      <c r="U204" s="648" t="s">
        <v>353</v>
      </c>
      <c r="V204" s="642">
        <v>0</v>
      </c>
      <c r="W204" s="642">
        <v>0</v>
      </c>
      <c r="X204" s="642">
        <v>0</v>
      </c>
      <c r="Y204" s="642">
        <v>0</v>
      </c>
      <c r="Z204" s="642">
        <v>0</v>
      </c>
      <c r="AA204" s="642">
        <v>0</v>
      </c>
      <c r="AB204" s="642">
        <v>0</v>
      </c>
      <c r="AC204" s="642">
        <v>0</v>
      </c>
      <c r="AD204" s="642">
        <v>0</v>
      </c>
      <c r="AE204" s="642">
        <v>0</v>
      </c>
      <c r="AF204" s="642">
        <v>0</v>
      </c>
      <c r="AG204" s="642">
        <v>0</v>
      </c>
      <c r="AH204" s="642">
        <v>0</v>
      </c>
      <c r="AI204" s="642">
        <v>0</v>
      </c>
      <c r="AJ204" s="642">
        <v>0</v>
      </c>
      <c r="AK204" s="650">
        <v>0</v>
      </c>
    </row>
    <row r="205" spans="3:37" ht="13.5">
      <c r="C205" s="648" t="s">
        <v>72</v>
      </c>
      <c r="D205" s="642">
        <v>0</v>
      </c>
      <c r="E205" s="642">
        <v>522.28962186433523</v>
      </c>
      <c r="F205" s="642">
        <v>-517.06672564569192</v>
      </c>
      <c r="G205" s="642">
        <v>0</v>
      </c>
      <c r="H205" s="642">
        <v>0</v>
      </c>
      <c r="I205" s="642">
        <v>0</v>
      </c>
      <c r="J205" s="642">
        <v>0</v>
      </c>
      <c r="K205" s="642">
        <v>0</v>
      </c>
      <c r="L205" s="642">
        <v>0</v>
      </c>
      <c r="M205" s="642">
        <v>0</v>
      </c>
      <c r="N205" s="642">
        <v>0</v>
      </c>
      <c r="O205" s="642">
        <v>0</v>
      </c>
      <c r="P205" s="642">
        <v>0</v>
      </c>
      <c r="Q205" s="642">
        <v>0</v>
      </c>
      <c r="R205" s="642">
        <v>0</v>
      </c>
      <c r="S205" s="650">
        <v>5.2228962186433137</v>
      </c>
      <c r="U205" s="648" t="s">
        <v>72</v>
      </c>
      <c r="V205" s="642">
        <v>0</v>
      </c>
      <c r="W205" s="642">
        <v>275.84091609698424</v>
      </c>
      <c r="X205" s="642">
        <v>-273.0825069360144</v>
      </c>
      <c r="Y205" s="642">
        <v>0</v>
      </c>
      <c r="Z205" s="642">
        <v>0</v>
      </c>
      <c r="AA205" s="642">
        <v>0</v>
      </c>
      <c r="AB205" s="642">
        <v>0</v>
      </c>
      <c r="AC205" s="642">
        <v>0</v>
      </c>
      <c r="AD205" s="642">
        <v>0</v>
      </c>
      <c r="AE205" s="642">
        <v>0</v>
      </c>
      <c r="AF205" s="642">
        <v>0</v>
      </c>
      <c r="AG205" s="642">
        <v>0</v>
      </c>
      <c r="AH205" s="642">
        <v>0</v>
      </c>
      <c r="AI205" s="642">
        <v>0</v>
      </c>
      <c r="AJ205" s="642">
        <v>0</v>
      </c>
      <c r="AK205" s="650">
        <v>2.7584091609698476</v>
      </c>
    </row>
    <row r="206" spans="3:37" ht="13.5">
      <c r="C206" s="648" t="s">
        <v>354</v>
      </c>
      <c r="D206" s="642">
        <v>0</v>
      </c>
      <c r="E206" s="642">
        <v>0</v>
      </c>
      <c r="F206" s="642">
        <v>0</v>
      </c>
      <c r="G206" s="642">
        <v>0</v>
      </c>
      <c r="H206" s="642">
        <v>0</v>
      </c>
      <c r="I206" s="642">
        <v>0</v>
      </c>
      <c r="J206" s="642">
        <v>28.942309114060045</v>
      </c>
      <c r="K206" s="642">
        <v>0</v>
      </c>
      <c r="L206" s="642">
        <v>-28.942309114060045</v>
      </c>
      <c r="M206" s="642">
        <v>0</v>
      </c>
      <c r="N206" s="642">
        <v>0</v>
      </c>
      <c r="O206" s="642">
        <v>0</v>
      </c>
      <c r="P206" s="642">
        <v>0</v>
      </c>
      <c r="Q206" s="642">
        <v>0</v>
      </c>
      <c r="R206" s="642">
        <v>0</v>
      </c>
      <c r="S206" s="650">
        <v>0</v>
      </c>
      <c r="U206" s="648" t="s">
        <v>354</v>
      </c>
      <c r="V206" s="642">
        <v>0</v>
      </c>
      <c r="W206" s="642">
        <v>0</v>
      </c>
      <c r="X206" s="642">
        <v>0</v>
      </c>
      <c r="Y206" s="642">
        <v>0</v>
      </c>
      <c r="Z206" s="642">
        <v>0</v>
      </c>
      <c r="AA206" s="642">
        <v>0</v>
      </c>
      <c r="AB206" s="642" t="e">
        <v>#VALUE!</v>
      </c>
      <c r="AC206" s="642">
        <v>0</v>
      </c>
      <c r="AD206" s="642">
        <v>-101.68735143023177</v>
      </c>
      <c r="AE206" s="642">
        <v>0</v>
      </c>
      <c r="AF206" s="642">
        <v>0</v>
      </c>
      <c r="AG206" s="642">
        <v>0</v>
      </c>
      <c r="AH206" s="642">
        <v>0</v>
      </c>
      <c r="AI206" s="642">
        <v>0</v>
      </c>
      <c r="AJ206" s="642">
        <v>0</v>
      </c>
      <c r="AK206" s="650">
        <v>-101.68735143023177</v>
      </c>
    </row>
    <row r="207" spans="3:37" ht="13.5">
      <c r="C207" s="648" t="s">
        <v>355</v>
      </c>
      <c r="D207" s="642">
        <v>0</v>
      </c>
      <c r="E207" s="642">
        <v>0</v>
      </c>
      <c r="F207" s="642">
        <v>0</v>
      </c>
      <c r="G207" s="642">
        <v>0</v>
      </c>
      <c r="H207" s="642">
        <v>0</v>
      </c>
      <c r="I207" s="642">
        <v>0</v>
      </c>
      <c r="J207" s="642">
        <v>0</v>
      </c>
      <c r="K207" s="642">
        <v>0</v>
      </c>
      <c r="L207" s="642">
        <v>0</v>
      </c>
      <c r="M207" s="642">
        <v>0</v>
      </c>
      <c r="N207" s="642">
        <v>0</v>
      </c>
      <c r="O207" s="642">
        <v>0</v>
      </c>
      <c r="P207" s="642">
        <v>0</v>
      </c>
      <c r="Q207" s="642">
        <v>0</v>
      </c>
      <c r="R207" s="642">
        <v>0</v>
      </c>
      <c r="S207" s="650">
        <v>0</v>
      </c>
      <c r="U207" s="648" t="s">
        <v>355</v>
      </c>
      <c r="V207" s="642">
        <v>0</v>
      </c>
      <c r="W207" s="642">
        <v>0</v>
      </c>
      <c r="X207" s="642">
        <v>0</v>
      </c>
      <c r="Y207" s="642">
        <v>0</v>
      </c>
      <c r="Z207" s="642">
        <v>0</v>
      </c>
      <c r="AA207" s="642">
        <v>0</v>
      </c>
      <c r="AB207" s="642">
        <v>0</v>
      </c>
      <c r="AC207" s="642">
        <v>0</v>
      </c>
      <c r="AD207" s="642">
        <v>-20.330518764117095</v>
      </c>
      <c r="AE207" s="642">
        <v>0</v>
      </c>
      <c r="AF207" s="642">
        <v>0</v>
      </c>
      <c r="AG207" s="642">
        <v>0</v>
      </c>
      <c r="AH207" s="642">
        <v>0</v>
      </c>
      <c r="AI207" s="642">
        <v>0</v>
      </c>
      <c r="AJ207" s="642">
        <v>0</v>
      </c>
      <c r="AK207" s="650">
        <v>-20.330518764117095</v>
      </c>
    </row>
    <row r="208" spans="3:37" ht="13.5">
      <c r="C208" s="648" t="s">
        <v>73</v>
      </c>
      <c r="D208" s="642">
        <v>0</v>
      </c>
      <c r="E208" s="642">
        <v>0</v>
      </c>
      <c r="F208" s="642">
        <v>0</v>
      </c>
      <c r="G208" s="642">
        <v>5.1012543356530031</v>
      </c>
      <c r="H208" s="642">
        <v>0</v>
      </c>
      <c r="I208" s="642">
        <v>0</v>
      </c>
      <c r="J208" s="642">
        <v>0</v>
      </c>
      <c r="K208" s="642">
        <v>5.8487208617897309E-2</v>
      </c>
      <c r="L208" s="642">
        <v>0</v>
      </c>
      <c r="M208" s="642">
        <v>0.10410723133985722</v>
      </c>
      <c r="N208" s="642">
        <v>0</v>
      </c>
      <c r="O208" s="642">
        <v>0</v>
      </c>
      <c r="P208" s="642">
        <v>0.59767950412449788</v>
      </c>
      <c r="Q208" s="642">
        <v>0</v>
      </c>
      <c r="R208" s="642">
        <v>-4.094104603252811</v>
      </c>
      <c r="S208" s="650">
        <v>1.7674236764824451</v>
      </c>
      <c r="U208" s="648" t="s">
        <v>73</v>
      </c>
      <c r="V208" s="642">
        <v>0</v>
      </c>
      <c r="W208" s="642">
        <v>0</v>
      </c>
      <c r="X208" s="642">
        <v>0</v>
      </c>
      <c r="Y208" s="642">
        <v>5.6948243223481816</v>
      </c>
      <c r="Z208" s="642">
        <v>0</v>
      </c>
      <c r="AA208" s="642">
        <v>0</v>
      </c>
      <c r="AB208" s="642">
        <v>0</v>
      </c>
      <c r="AC208" s="642">
        <v>0.40677316588201312</v>
      </c>
      <c r="AD208" s="642">
        <v>0</v>
      </c>
      <c r="AE208" s="642">
        <v>2.440638995292078</v>
      </c>
      <c r="AF208" s="642">
        <v>0</v>
      </c>
      <c r="AG208" s="642">
        <v>0</v>
      </c>
      <c r="AH208" s="642">
        <v>32.838767990182951</v>
      </c>
      <c r="AI208" s="642">
        <v>0</v>
      </c>
      <c r="AJ208" s="642">
        <v>-28.474121611740912</v>
      </c>
      <c r="AK208" s="650">
        <v>12.906882861964313</v>
      </c>
    </row>
    <row r="209" spans="3:37" ht="13.5">
      <c r="C209" s="648" t="s">
        <v>356</v>
      </c>
      <c r="D209" s="642">
        <v>28.616489999999999</v>
      </c>
      <c r="E209" s="642">
        <v>-18.09733539759922</v>
      </c>
      <c r="F209" s="642">
        <v>23.670245777269074</v>
      </c>
      <c r="G209" s="642">
        <v>0</v>
      </c>
      <c r="H209" s="642">
        <v>0</v>
      </c>
      <c r="I209" s="642">
        <v>0</v>
      </c>
      <c r="J209" s="642">
        <v>0</v>
      </c>
      <c r="K209" s="642">
        <v>0</v>
      </c>
      <c r="L209" s="642">
        <v>0</v>
      </c>
      <c r="M209" s="642">
        <v>0</v>
      </c>
      <c r="N209" s="642">
        <v>0</v>
      </c>
      <c r="O209" s="642">
        <v>0</v>
      </c>
      <c r="P209" s="642">
        <v>0</v>
      </c>
      <c r="Q209" s="642">
        <v>0</v>
      </c>
      <c r="R209" s="642">
        <v>0</v>
      </c>
      <c r="S209" s="650">
        <v>34.189400379669848</v>
      </c>
      <c r="U209" s="648" t="s">
        <v>356</v>
      </c>
      <c r="V209" s="642">
        <v>2.3505202026367185</v>
      </c>
      <c r="W209" s="642">
        <v>-9.5578877427605047</v>
      </c>
      <c r="X209" s="642">
        <v>12.501152628950074</v>
      </c>
      <c r="Y209" s="642">
        <v>0</v>
      </c>
      <c r="Z209" s="642">
        <v>0</v>
      </c>
      <c r="AA209" s="642">
        <v>0</v>
      </c>
      <c r="AB209" s="642">
        <v>0</v>
      </c>
      <c r="AC209" s="642">
        <v>0</v>
      </c>
      <c r="AD209" s="642">
        <v>0</v>
      </c>
      <c r="AE209" s="642">
        <v>0</v>
      </c>
      <c r="AF209" s="642">
        <v>0</v>
      </c>
      <c r="AG209" s="642">
        <v>0</v>
      </c>
      <c r="AH209" s="642">
        <v>0</v>
      </c>
      <c r="AI209" s="642">
        <v>0</v>
      </c>
      <c r="AJ209" s="642">
        <v>0</v>
      </c>
      <c r="AK209" s="650">
        <v>5.2937850888262874</v>
      </c>
    </row>
    <row r="210" spans="3:37" ht="13.5">
      <c r="C210" s="648" t="s">
        <v>75</v>
      </c>
      <c r="D210" s="642">
        <v>11.128635000000001</v>
      </c>
      <c r="E210" s="642">
        <v>0</v>
      </c>
      <c r="F210" s="642">
        <v>17.757847143387398</v>
      </c>
      <c r="G210" s="642">
        <v>5.0672539113277812</v>
      </c>
      <c r="H210" s="642">
        <v>0</v>
      </c>
      <c r="I210" s="642">
        <v>0</v>
      </c>
      <c r="J210" s="642">
        <v>0</v>
      </c>
      <c r="K210" s="642">
        <v>0</v>
      </c>
      <c r="L210" s="642">
        <v>0</v>
      </c>
      <c r="M210" s="642">
        <v>0.1034133451291384</v>
      </c>
      <c r="N210" s="642">
        <v>0</v>
      </c>
      <c r="O210" s="642">
        <v>0</v>
      </c>
      <c r="P210" s="642">
        <v>30.750377055945027</v>
      </c>
      <c r="Q210" s="642">
        <v>0</v>
      </c>
      <c r="R210" s="642">
        <v>0</v>
      </c>
      <c r="S210" s="650">
        <v>64.807526455789343</v>
      </c>
      <c r="U210" s="648" t="s">
        <v>75</v>
      </c>
      <c r="V210" s="642">
        <v>3.4784289550781251</v>
      </c>
      <c r="W210" s="642">
        <v>0</v>
      </c>
      <c r="X210" s="642">
        <v>17.757847143387398</v>
      </c>
      <c r="Y210" s="642">
        <v>3.6194670795198434</v>
      </c>
      <c r="Z210" s="642">
        <v>0</v>
      </c>
      <c r="AA210" s="642">
        <v>0</v>
      </c>
      <c r="AB210" s="642">
        <v>0</v>
      </c>
      <c r="AC210" s="642">
        <v>0</v>
      </c>
      <c r="AD210" s="642">
        <v>0</v>
      </c>
      <c r="AE210" s="642">
        <v>1.5512001769370758</v>
      </c>
      <c r="AF210" s="642">
        <v>0</v>
      </c>
      <c r="AG210" s="642">
        <v>0</v>
      </c>
      <c r="AH210" s="642">
        <v>36.42264978321775</v>
      </c>
      <c r="AI210" s="642">
        <v>0</v>
      </c>
      <c r="AJ210" s="642">
        <v>0</v>
      </c>
      <c r="AK210" s="650">
        <v>62.829593138140197</v>
      </c>
    </row>
    <row r="211" spans="3:37" ht="13.5">
      <c r="C211" s="648" t="s">
        <v>76</v>
      </c>
      <c r="D211" s="642">
        <v>0</v>
      </c>
      <c r="E211" s="642">
        <v>0</v>
      </c>
      <c r="F211" s="642">
        <v>0</v>
      </c>
      <c r="G211" s="642">
        <v>3.8086647866957031</v>
      </c>
      <c r="H211" s="642">
        <v>0</v>
      </c>
      <c r="I211" s="642">
        <v>0</v>
      </c>
      <c r="J211" s="642">
        <v>0</v>
      </c>
      <c r="K211" s="642">
        <v>0</v>
      </c>
      <c r="L211" s="642">
        <v>0</v>
      </c>
      <c r="M211" s="642">
        <v>7.7727852789708229E-2</v>
      </c>
      <c r="N211" s="642">
        <v>0</v>
      </c>
      <c r="O211" s="642">
        <v>0</v>
      </c>
      <c r="P211" s="642">
        <v>44.547532005203358</v>
      </c>
      <c r="Q211" s="642">
        <v>2.958822517532107</v>
      </c>
      <c r="R211" s="642">
        <v>0</v>
      </c>
      <c r="S211" s="650">
        <v>51.392747162220878</v>
      </c>
      <c r="U211" s="648" t="s">
        <v>76</v>
      </c>
      <c r="V211" s="642">
        <v>0</v>
      </c>
      <c r="W211" s="642">
        <v>0</v>
      </c>
      <c r="X211" s="642">
        <v>0</v>
      </c>
      <c r="Y211" s="642">
        <v>1.6015823117827594</v>
      </c>
      <c r="Z211" s="642">
        <v>0</v>
      </c>
      <c r="AA211" s="642">
        <v>0</v>
      </c>
      <c r="AB211" s="642">
        <v>0</v>
      </c>
      <c r="AC211" s="642">
        <v>0</v>
      </c>
      <c r="AD211" s="642">
        <v>0</v>
      </c>
      <c r="AE211" s="642">
        <v>0.68639241933546835</v>
      </c>
      <c r="AF211" s="642">
        <v>0</v>
      </c>
      <c r="AG211" s="642">
        <v>0</v>
      </c>
      <c r="AH211" s="642">
        <v>47.148943407633553</v>
      </c>
      <c r="AI211" s="642">
        <v>5.8421151160056723</v>
      </c>
      <c r="AJ211" s="642">
        <v>0</v>
      </c>
      <c r="AK211" s="650">
        <v>55.279033254757444</v>
      </c>
    </row>
    <row r="212" spans="3:37" ht="13.5">
      <c r="C212" s="646" t="s">
        <v>77</v>
      </c>
      <c r="D212" s="647">
        <v>42.571910641025248</v>
      </c>
      <c r="E212" s="647">
        <v>504.19228646673599</v>
      </c>
      <c r="F212" s="647">
        <v>-468.11692594020946</v>
      </c>
      <c r="G212" s="647">
        <v>45.994115783016845</v>
      </c>
      <c r="H212" s="647">
        <v>959.09090909090924</v>
      </c>
      <c r="I212" s="647">
        <v>265.54666314840352</v>
      </c>
      <c r="J212" s="647">
        <v>78.402106423532217</v>
      </c>
      <c r="K212" s="647">
        <v>19.049948129928421</v>
      </c>
      <c r="L212" s="647">
        <v>-26.034244563334241</v>
      </c>
      <c r="M212" s="647">
        <v>-5.4765606138084015</v>
      </c>
      <c r="N212" s="647">
        <v>0</v>
      </c>
      <c r="O212" s="647">
        <v>9.0263438420589424</v>
      </c>
      <c r="P212" s="647">
        <v>-537.24345011511946</v>
      </c>
      <c r="Q212" s="647">
        <v>-35.164036653103786</v>
      </c>
      <c r="R212" s="647">
        <v>-4.094104603252811</v>
      </c>
      <c r="S212" s="647">
        <v>847.74496103678234</v>
      </c>
      <c r="U212" s="646" t="s">
        <v>77</v>
      </c>
      <c r="V212" s="647">
        <v>6.4552640631735336</v>
      </c>
      <c r="W212" s="647">
        <v>266.28302835422375</v>
      </c>
      <c r="X212" s="647">
        <v>-239.16543674248729</v>
      </c>
      <c r="Y212" s="647">
        <v>28.3606981090151</v>
      </c>
      <c r="Z212" s="647">
        <v>919.39393939393949</v>
      </c>
      <c r="AA212" s="647">
        <v>300.16666314840353</v>
      </c>
      <c r="AB212" s="647">
        <v>116.13241178058709</v>
      </c>
      <c r="AC212" s="647">
        <v>32.378551458673563</v>
      </c>
      <c r="AD212" s="647">
        <v>-119.10980564362306</v>
      </c>
      <c r="AE212" s="647">
        <v>-45.591342912780426</v>
      </c>
      <c r="AF212" s="647">
        <v>0</v>
      </c>
      <c r="AG212" s="647">
        <v>17.619168596552839</v>
      </c>
      <c r="AH212" s="647">
        <v>-512.24867749935788</v>
      </c>
      <c r="AI212" s="647">
        <v>-69.488948539693865</v>
      </c>
      <c r="AJ212" s="647">
        <v>-23.724121611740912</v>
      </c>
      <c r="AK212" s="647">
        <v>677.46139195488558</v>
      </c>
    </row>
    <row r="213" spans="3:37" ht="13">
      <c r="C213" s="636"/>
      <c r="D213" s="636">
        <v>0</v>
      </c>
      <c r="E213" s="636">
        <v>0</v>
      </c>
      <c r="F213" s="636">
        <v>0</v>
      </c>
      <c r="G213" s="636">
        <v>0</v>
      </c>
      <c r="H213" s="636">
        <v>0</v>
      </c>
      <c r="I213" s="636">
        <v>0</v>
      </c>
      <c r="J213" s="636">
        <v>0</v>
      </c>
      <c r="K213" s="636">
        <v>0</v>
      </c>
      <c r="L213" s="636">
        <v>0</v>
      </c>
      <c r="M213" s="636">
        <v>0</v>
      </c>
      <c r="N213" s="636">
        <v>0</v>
      </c>
      <c r="O213" s="636">
        <v>0</v>
      </c>
      <c r="P213" s="636">
        <v>0</v>
      </c>
      <c r="Q213" s="636">
        <v>0</v>
      </c>
      <c r="R213" s="636">
        <v>0</v>
      </c>
      <c r="S213" s="636">
        <v>0</v>
      </c>
      <c r="U213" s="636"/>
      <c r="V213" s="636">
        <v>0</v>
      </c>
      <c r="W213" s="636">
        <v>0</v>
      </c>
      <c r="X213" s="636">
        <v>0</v>
      </c>
      <c r="Y213" s="636">
        <v>0</v>
      </c>
      <c r="Z213" s="636">
        <v>0</v>
      </c>
      <c r="AA213" s="636">
        <v>0</v>
      </c>
      <c r="AB213" s="636">
        <v>0</v>
      </c>
      <c r="AC213" s="636">
        <v>0</v>
      </c>
      <c r="AD213" s="636">
        <v>0</v>
      </c>
      <c r="AE213" s="636">
        <v>0</v>
      </c>
      <c r="AF213" s="636">
        <v>0</v>
      </c>
      <c r="AG213" s="636">
        <v>0</v>
      </c>
      <c r="AH213" s="636">
        <v>0</v>
      </c>
      <c r="AI213" s="636">
        <v>0</v>
      </c>
      <c r="AJ213" s="636">
        <v>0</v>
      </c>
      <c r="AK213" s="636">
        <v>0</v>
      </c>
    </row>
    <row r="214" spans="3:37" ht="13.5">
      <c r="C214" s="648" t="s">
        <v>78</v>
      </c>
      <c r="D214" s="642">
        <v>5.4657298257742912</v>
      </c>
      <c r="E214" s="642">
        <v>0</v>
      </c>
      <c r="F214" s="642">
        <v>21.83935294215906</v>
      </c>
      <c r="G214" s="642">
        <v>97.960240418883188</v>
      </c>
      <c r="H214" s="642">
        <v>0</v>
      </c>
      <c r="I214" s="642">
        <v>0</v>
      </c>
      <c r="J214" s="642">
        <v>20.699069714826329</v>
      </c>
      <c r="K214" s="642">
        <v>1.7608774311708451</v>
      </c>
      <c r="L214" s="642">
        <v>0.9136629082031249</v>
      </c>
      <c r="M214" s="642">
        <v>2.0177626304462204</v>
      </c>
      <c r="N214" s="642">
        <v>0</v>
      </c>
      <c r="O214" s="642">
        <v>3.7866244598879411E-4</v>
      </c>
      <c r="P214" s="642">
        <v>111.48933548215857</v>
      </c>
      <c r="Q214" s="642">
        <v>16.083775404791947</v>
      </c>
      <c r="R214" s="642">
        <v>0.29766925048828125</v>
      </c>
      <c r="S214" s="650">
        <v>278.52785467134788</v>
      </c>
      <c r="U214" s="648" t="s">
        <v>78</v>
      </c>
      <c r="V214" s="642">
        <v>1.0762581410403587</v>
      </c>
      <c r="W214" s="642">
        <v>0</v>
      </c>
      <c r="X214" s="642">
        <v>8.4892491154216376</v>
      </c>
      <c r="Y214" s="642">
        <v>50.497915430959594</v>
      </c>
      <c r="Z214" s="642">
        <v>0</v>
      </c>
      <c r="AA214" s="642">
        <v>0</v>
      </c>
      <c r="AB214" s="642">
        <v>15.594949526554588</v>
      </c>
      <c r="AC214" s="642">
        <v>5.2865944994228578</v>
      </c>
      <c r="AD214" s="642">
        <v>4.3757583007812499</v>
      </c>
      <c r="AE214" s="642">
        <v>21.660537806594554</v>
      </c>
      <c r="AF214" s="642">
        <v>0</v>
      </c>
      <c r="AG214" s="642">
        <v>3.7866244598879411E-4</v>
      </c>
      <c r="AH214" s="642">
        <v>141.44668524271188</v>
      </c>
      <c r="AI214" s="642">
        <v>22.79177635880415</v>
      </c>
      <c r="AJ214" s="642">
        <v>6.850041015625</v>
      </c>
      <c r="AK214" s="650">
        <v>278.07014410036186</v>
      </c>
    </row>
    <row r="215" spans="3:37" ht="13.5">
      <c r="C215" s="648" t="s">
        <v>79</v>
      </c>
      <c r="D215" s="642">
        <v>0</v>
      </c>
      <c r="E215" s="642">
        <v>0</v>
      </c>
      <c r="F215" s="642">
        <v>249.23385066161848</v>
      </c>
      <c r="G215" s="642">
        <v>29.852237297635437</v>
      </c>
      <c r="H215" s="642">
        <v>0</v>
      </c>
      <c r="I215" s="642">
        <v>0</v>
      </c>
      <c r="J215" s="642">
        <v>0</v>
      </c>
      <c r="K215" s="642">
        <v>0</v>
      </c>
      <c r="L215" s="642">
        <v>24.125777410294155</v>
      </c>
      <c r="M215" s="642">
        <v>0.60922933260480494</v>
      </c>
      <c r="N215" s="642">
        <v>0</v>
      </c>
      <c r="O215" s="642">
        <v>0</v>
      </c>
      <c r="P215" s="642">
        <v>62.086065361885787</v>
      </c>
      <c r="Q215" s="642">
        <v>0</v>
      </c>
      <c r="R215" s="642">
        <v>1.9828379826970517</v>
      </c>
      <c r="S215" s="650">
        <v>367.88999804673568</v>
      </c>
      <c r="U215" s="648" t="s">
        <v>79</v>
      </c>
      <c r="V215" s="642">
        <v>0</v>
      </c>
      <c r="W215" s="642">
        <v>0</v>
      </c>
      <c r="X215" s="642">
        <v>59.317364570862594</v>
      </c>
      <c r="Y215" s="642">
        <v>17.942066440325025</v>
      </c>
      <c r="Z215" s="642">
        <v>0</v>
      </c>
      <c r="AA215" s="642">
        <v>0</v>
      </c>
      <c r="AB215" s="642">
        <v>0</v>
      </c>
      <c r="AC215" s="642">
        <v>0</v>
      </c>
      <c r="AD215" s="642">
        <v>51.332808735857633</v>
      </c>
      <c r="AE215" s="642">
        <v>7.6894570458535831</v>
      </c>
      <c r="AF215" s="642">
        <v>0</v>
      </c>
      <c r="AG215" s="642">
        <v>0</v>
      </c>
      <c r="AH215" s="642">
        <v>82.201296258535137</v>
      </c>
      <c r="AI215" s="642">
        <v>0</v>
      </c>
      <c r="AJ215" s="642">
        <v>4.6183032107255606</v>
      </c>
      <c r="AK215" s="650">
        <v>223.10129626215951</v>
      </c>
    </row>
    <row r="216" spans="3:37" ht="13.5">
      <c r="C216" s="648" t="s">
        <v>80</v>
      </c>
      <c r="D216" s="642">
        <v>0</v>
      </c>
      <c r="E216" s="642">
        <v>0</v>
      </c>
      <c r="F216" s="642">
        <v>17.698191750553285</v>
      </c>
      <c r="G216" s="642">
        <v>82.8316536533641</v>
      </c>
      <c r="H216" s="642">
        <v>0</v>
      </c>
      <c r="I216" s="642">
        <v>0</v>
      </c>
      <c r="J216" s="642">
        <v>87.012401530952616</v>
      </c>
      <c r="K216" s="642">
        <v>0</v>
      </c>
      <c r="L216" s="642">
        <v>0</v>
      </c>
      <c r="M216" s="642">
        <v>1.690441911293145</v>
      </c>
      <c r="N216" s="642">
        <v>54.219025663639314</v>
      </c>
      <c r="O216" s="642">
        <v>2.0231633432731213</v>
      </c>
      <c r="P216" s="642">
        <v>187.24843332836184</v>
      </c>
      <c r="Q216" s="642">
        <v>15.504434202631401</v>
      </c>
      <c r="R216" s="642">
        <v>0</v>
      </c>
      <c r="S216" s="650">
        <v>448.22774538406884</v>
      </c>
      <c r="U216" s="648" t="s">
        <v>80</v>
      </c>
      <c r="V216" s="642">
        <v>0</v>
      </c>
      <c r="W216" s="642">
        <v>0</v>
      </c>
      <c r="X216" s="642">
        <v>1.0833932718176746</v>
      </c>
      <c r="Y216" s="642">
        <v>18.084176496701136</v>
      </c>
      <c r="Z216" s="642">
        <v>0</v>
      </c>
      <c r="AA216" s="642">
        <v>0</v>
      </c>
      <c r="AB216" s="642">
        <v>57.868484646152382</v>
      </c>
      <c r="AC216" s="642">
        <v>0</v>
      </c>
      <c r="AD216" s="642">
        <v>0</v>
      </c>
      <c r="AE216" s="642">
        <v>7.7503613557290594</v>
      </c>
      <c r="AF216" s="642">
        <v>78.313096165620991</v>
      </c>
      <c r="AG216" s="642">
        <v>3.4573890525731583</v>
      </c>
      <c r="AH216" s="642">
        <v>150.63566760387405</v>
      </c>
      <c r="AI216" s="642">
        <v>34.942034151478268</v>
      </c>
      <c r="AJ216" s="642">
        <v>0</v>
      </c>
      <c r="AK216" s="650">
        <v>352.13460274394669</v>
      </c>
    </row>
    <row r="217" spans="3:37" ht="13.5">
      <c r="C217" s="648" t="s">
        <v>81</v>
      </c>
      <c r="D217" s="642">
        <v>0</v>
      </c>
      <c r="E217" s="642">
        <v>0</v>
      </c>
      <c r="F217" s="642">
        <v>5.759525486283259</v>
      </c>
      <c r="G217" s="642">
        <v>63.242535904869413</v>
      </c>
      <c r="H217" s="642">
        <v>0</v>
      </c>
      <c r="I217" s="642">
        <v>0</v>
      </c>
      <c r="J217" s="642">
        <v>3.243340348024236</v>
      </c>
      <c r="K217" s="642">
        <v>2.5138060257677737E-2</v>
      </c>
      <c r="L217" s="642">
        <v>0</v>
      </c>
      <c r="M217" s="642">
        <v>1.2906639980585595</v>
      </c>
      <c r="N217" s="642">
        <v>8.6788063603893928</v>
      </c>
      <c r="O217" s="642">
        <v>0.74318365128395913</v>
      </c>
      <c r="P217" s="642">
        <v>138.68432478978596</v>
      </c>
      <c r="Q217" s="642">
        <v>3.5758270456804375</v>
      </c>
      <c r="R217" s="642">
        <v>0</v>
      </c>
      <c r="S217" s="650">
        <v>225.24334564463288</v>
      </c>
      <c r="U217" s="648" t="s">
        <v>81</v>
      </c>
      <c r="V217" s="642">
        <v>0</v>
      </c>
      <c r="W217" s="642">
        <v>0</v>
      </c>
      <c r="X217" s="642">
        <v>1.8996820773870462</v>
      </c>
      <c r="Y217" s="642">
        <v>16.701006494583829</v>
      </c>
      <c r="Z217" s="642">
        <v>0</v>
      </c>
      <c r="AA217" s="642">
        <v>0</v>
      </c>
      <c r="AB217" s="642">
        <v>7.1959049572050198</v>
      </c>
      <c r="AC217" s="642">
        <v>2.5138060257677737E-2</v>
      </c>
      <c r="AD217" s="642">
        <v>0</v>
      </c>
      <c r="AE217" s="642">
        <v>7.1575742119644987</v>
      </c>
      <c r="AF217" s="642">
        <v>14.587904232604497</v>
      </c>
      <c r="AG217" s="642">
        <v>1.6018484399661996</v>
      </c>
      <c r="AH217" s="642">
        <v>116.46951239557291</v>
      </c>
      <c r="AI217" s="642">
        <v>11.755138029411436</v>
      </c>
      <c r="AJ217" s="642">
        <v>0</v>
      </c>
      <c r="AK217" s="650">
        <v>177.39370889895312</v>
      </c>
    </row>
    <row r="218" spans="3:37" ht="13.5">
      <c r="C218" s="648" t="s">
        <v>82</v>
      </c>
      <c r="D218" s="642">
        <v>0</v>
      </c>
      <c r="E218" s="642">
        <v>0</v>
      </c>
      <c r="F218" s="642">
        <v>29.471786733039881</v>
      </c>
      <c r="G218" s="642">
        <v>1.3166139535686423</v>
      </c>
      <c r="H218" s="642">
        <v>0</v>
      </c>
      <c r="I218" s="642">
        <v>0</v>
      </c>
      <c r="J218" s="642">
        <v>3.6844952632387193</v>
      </c>
      <c r="K218" s="642">
        <v>0</v>
      </c>
      <c r="L218" s="642">
        <v>3.0029030850571363</v>
      </c>
      <c r="M218" s="642">
        <v>2.6869672521809031E-2</v>
      </c>
      <c r="N218" s="642">
        <v>0</v>
      </c>
      <c r="O218" s="642">
        <v>7.2392521047915395E-2</v>
      </c>
      <c r="P218" s="642">
        <v>6.3643203530837074</v>
      </c>
      <c r="Q218" s="642">
        <v>0</v>
      </c>
      <c r="R218" s="642">
        <v>0</v>
      </c>
      <c r="S218" s="650">
        <v>43.939381581557811</v>
      </c>
      <c r="U218" s="648" t="s">
        <v>82</v>
      </c>
      <c r="V218" s="642">
        <v>0</v>
      </c>
      <c r="W218" s="642">
        <v>0</v>
      </c>
      <c r="X218" s="642">
        <v>10.199143313422546</v>
      </c>
      <c r="Y218" s="642">
        <v>1.1904851448286324</v>
      </c>
      <c r="Z218" s="642">
        <v>0</v>
      </c>
      <c r="AA218" s="642">
        <v>0</v>
      </c>
      <c r="AB218" s="642">
        <v>3.6844952632387193</v>
      </c>
      <c r="AC218" s="642">
        <v>0</v>
      </c>
      <c r="AD218" s="642">
        <v>26.674568203776872</v>
      </c>
      <c r="AE218" s="642">
        <v>0.51020791921227104</v>
      </c>
      <c r="AF218" s="642">
        <v>0</v>
      </c>
      <c r="AG218" s="642">
        <v>1.300620381405156</v>
      </c>
      <c r="AH218" s="642">
        <v>6.4632626546266092</v>
      </c>
      <c r="AI218" s="642">
        <v>0</v>
      </c>
      <c r="AJ218" s="642">
        <v>0.325155095351289</v>
      </c>
      <c r="AK218" s="650">
        <v>50.347937975862088</v>
      </c>
    </row>
    <row r="219" spans="3:37" ht="13.5">
      <c r="C219" s="648" t="s">
        <v>357</v>
      </c>
      <c r="D219" s="642">
        <v>0</v>
      </c>
      <c r="E219" s="642">
        <v>0</v>
      </c>
      <c r="F219" s="642">
        <v>0</v>
      </c>
      <c r="G219" s="642">
        <v>0</v>
      </c>
      <c r="H219" s="642">
        <v>0</v>
      </c>
      <c r="I219" s="642">
        <v>0</v>
      </c>
      <c r="J219" s="642">
        <v>0</v>
      </c>
      <c r="K219" s="642">
        <v>0</v>
      </c>
      <c r="L219" s="642">
        <v>0</v>
      </c>
      <c r="M219" s="642">
        <v>0</v>
      </c>
      <c r="N219" s="642">
        <v>0</v>
      </c>
      <c r="O219" s="642">
        <v>0</v>
      </c>
      <c r="P219" s="642">
        <v>0.31499999999999995</v>
      </c>
      <c r="Q219" s="642">
        <v>0</v>
      </c>
      <c r="R219" s="642">
        <v>0</v>
      </c>
      <c r="S219" s="650">
        <v>0.31499999999999995</v>
      </c>
      <c r="U219" s="648" t="s">
        <v>357</v>
      </c>
      <c r="V219" s="642">
        <v>0</v>
      </c>
      <c r="W219" s="642">
        <v>0</v>
      </c>
      <c r="X219" s="642">
        <v>0</v>
      </c>
      <c r="Y219" s="642">
        <v>0</v>
      </c>
      <c r="Z219" s="642">
        <v>0</v>
      </c>
      <c r="AA219" s="642">
        <v>0</v>
      </c>
      <c r="AB219" s="642">
        <v>0</v>
      </c>
      <c r="AC219" s="642">
        <v>0</v>
      </c>
      <c r="AD219" s="642">
        <v>0</v>
      </c>
      <c r="AE219" s="642">
        <v>0</v>
      </c>
      <c r="AF219" s="642">
        <v>0</v>
      </c>
      <c r="AG219" s="642">
        <v>0</v>
      </c>
      <c r="AH219" s="642">
        <v>2.4</v>
      </c>
      <c r="AI219" s="642">
        <v>0</v>
      </c>
      <c r="AJ219" s="642">
        <v>0</v>
      </c>
      <c r="AK219" s="650">
        <v>2.4</v>
      </c>
    </row>
    <row r="220" spans="3:37" ht="13.5">
      <c r="C220" s="646" t="s">
        <v>83</v>
      </c>
      <c r="D220" s="647">
        <v>5.4657298257742912</v>
      </c>
      <c r="E220" s="647">
        <v>0</v>
      </c>
      <c r="F220" s="647">
        <v>324.00270757365394</v>
      </c>
      <c r="G220" s="647">
        <v>275.2032812283208</v>
      </c>
      <c r="H220" s="647">
        <v>0</v>
      </c>
      <c r="I220" s="647">
        <v>0</v>
      </c>
      <c r="J220" s="647">
        <v>114.6393068570419</v>
      </c>
      <c r="K220" s="647">
        <v>1.7860154914285227</v>
      </c>
      <c r="L220" s="647">
        <v>28.042343403554419</v>
      </c>
      <c r="M220" s="647">
        <v>5.6349675449245389</v>
      </c>
      <c r="N220" s="647">
        <v>62.897832024028709</v>
      </c>
      <c r="O220" s="647">
        <v>2.8391181780509842</v>
      </c>
      <c r="P220" s="647">
        <v>506.18747931527582</v>
      </c>
      <c r="Q220" s="647">
        <v>35.164036653103793</v>
      </c>
      <c r="R220" s="647">
        <v>2.2805072331853329</v>
      </c>
      <c r="S220" s="647">
        <v>1364.1433253283431</v>
      </c>
      <c r="U220" s="646" t="s">
        <v>83</v>
      </c>
      <c r="V220" s="647">
        <v>1.0762581410403587</v>
      </c>
      <c r="W220" s="647">
        <v>0</v>
      </c>
      <c r="X220" s="647">
        <v>80.988832348911515</v>
      </c>
      <c r="Y220" s="647">
        <v>104.41565000739821</v>
      </c>
      <c r="Z220" s="647">
        <v>0</v>
      </c>
      <c r="AA220" s="647">
        <v>0</v>
      </c>
      <c r="AB220" s="647">
        <v>84.343834393150701</v>
      </c>
      <c r="AC220" s="647">
        <v>5.3117325596805349</v>
      </c>
      <c r="AD220" s="647">
        <v>82.383135240415754</v>
      </c>
      <c r="AE220" s="647">
        <v>44.768138339353968</v>
      </c>
      <c r="AF220" s="647">
        <v>92.901000398225491</v>
      </c>
      <c r="AG220" s="647">
        <v>6.3602365363905022</v>
      </c>
      <c r="AH220" s="647">
        <v>499.61642415532054</v>
      </c>
      <c r="AI220" s="647">
        <v>69.488948539693865</v>
      </c>
      <c r="AJ220" s="647">
        <v>11.793499321701848</v>
      </c>
      <c r="AK220" s="647">
        <v>1083.4476899812832</v>
      </c>
    </row>
    <row r="221" spans="3:37" ht="13.5">
      <c r="C221" s="641" t="s">
        <v>84</v>
      </c>
      <c r="D221" s="642">
        <v>0</v>
      </c>
      <c r="E221" s="642">
        <v>0</v>
      </c>
      <c r="F221" s="642">
        <v>109.69308299672531</v>
      </c>
      <c r="G221" s="642">
        <v>11.766175832538266</v>
      </c>
      <c r="H221" s="642">
        <v>0</v>
      </c>
      <c r="I221" s="642">
        <v>0</v>
      </c>
      <c r="J221" s="642">
        <v>0</v>
      </c>
      <c r="K221" s="642">
        <v>0</v>
      </c>
      <c r="L221" s="642">
        <v>0</v>
      </c>
      <c r="M221" s="642">
        <v>0</v>
      </c>
      <c r="N221" s="642">
        <v>0</v>
      </c>
      <c r="O221" s="642">
        <v>0</v>
      </c>
      <c r="P221" s="642">
        <v>0</v>
      </c>
      <c r="Q221" s="642">
        <v>0</v>
      </c>
      <c r="R221" s="642">
        <v>1.8135973700674786</v>
      </c>
      <c r="S221" s="650">
        <v>123.27285619933106</v>
      </c>
      <c r="U221" s="641" t="s">
        <v>84</v>
      </c>
      <c r="V221" s="642">
        <v>0</v>
      </c>
      <c r="W221" s="642">
        <v>0</v>
      </c>
      <c r="X221" s="642">
        <v>84.298528713313246</v>
      </c>
      <c r="Y221" s="642">
        <v>1.1302347010557652</v>
      </c>
      <c r="Z221" s="642">
        <v>0</v>
      </c>
      <c r="AA221" s="642">
        <v>0</v>
      </c>
      <c r="AB221" s="642">
        <v>0</v>
      </c>
      <c r="AC221" s="642">
        <v>0</v>
      </c>
      <c r="AD221" s="642">
        <v>17.754065118408207</v>
      </c>
      <c r="AE221" s="642">
        <v>0</v>
      </c>
      <c r="AF221" s="642">
        <v>0</v>
      </c>
      <c r="AG221" s="642">
        <v>0</v>
      </c>
      <c r="AH221" s="642">
        <v>0</v>
      </c>
      <c r="AI221" s="642">
        <v>0</v>
      </c>
      <c r="AJ221" s="642">
        <v>11.930622290039064</v>
      </c>
      <c r="AK221" s="650">
        <v>115.11345082281629</v>
      </c>
    </row>
    <row r="222" spans="3:37" ht="13.5">
      <c r="C222" s="646" t="s">
        <v>85</v>
      </c>
      <c r="D222" s="647">
        <v>5.4657298257742912</v>
      </c>
      <c r="E222" s="647">
        <v>0</v>
      </c>
      <c r="F222" s="647">
        <v>433.69579057037924</v>
      </c>
      <c r="G222" s="647">
        <v>286.9694570608591</v>
      </c>
      <c r="H222" s="647">
        <v>0</v>
      </c>
      <c r="I222" s="647">
        <v>0</v>
      </c>
      <c r="J222" s="647">
        <v>114.6393068570419</v>
      </c>
      <c r="K222" s="647">
        <v>1.7860154914285227</v>
      </c>
      <c r="L222" s="647">
        <v>28.042343403554419</v>
      </c>
      <c r="M222" s="647">
        <v>5.6349675449245389</v>
      </c>
      <c r="N222" s="647">
        <v>62.897832024028709</v>
      </c>
      <c r="O222" s="647">
        <v>2.8391181780509842</v>
      </c>
      <c r="P222" s="647">
        <v>506.18747931527582</v>
      </c>
      <c r="Q222" s="647">
        <v>35.164036653103793</v>
      </c>
      <c r="R222" s="647">
        <v>4.094104603252811</v>
      </c>
      <c r="S222" s="647">
        <v>1487.4161815276743</v>
      </c>
      <c r="U222" s="646" t="s">
        <v>85</v>
      </c>
      <c r="V222" s="647">
        <v>1.0762581410403587</v>
      </c>
      <c r="W222" s="647">
        <v>0</v>
      </c>
      <c r="X222" s="647">
        <v>165.28736106222476</v>
      </c>
      <c r="Y222" s="647">
        <v>105.54588470845398</v>
      </c>
      <c r="Z222" s="647">
        <v>0</v>
      </c>
      <c r="AA222" s="647">
        <v>0</v>
      </c>
      <c r="AB222" s="647">
        <v>84.343834393150701</v>
      </c>
      <c r="AC222" s="647">
        <v>5.3117325596805349</v>
      </c>
      <c r="AD222" s="647">
        <v>100.13720035882396</v>
      </c>
      <c r="AE222" s="647">
        <v>44.768138339353968</v>
      </c>
      <c r="AF222" s="647">
        <v>92.901000398225491</v>
      </c>
      <c r="AG222" s="647">
        <v>6.3602365363905022</v>
      </c>
      <c r="AH222" s="647">
        <v>499.61642415532054</v>
      </c>
      <c r="AI222" s="647">
        <v>69.488948539693865</v>
      </c>
      <c r="AJ222" s="647">
        <v>23.724121611740912</v>
      </c>
      <c r="AK222" s="647">
        <v>1198.5611408040995</v>
      </c>
    </row>
    <row r="223" spans="3:37" ht="13">
      <c r="C223" s="636"/>
      <c r="D223" s="636"/>
      <c r="E223" s="636"/>
      <c r="F223" s="636"/>
      <c r="G223" s="636"/>
      <c r="H223" s="636"/>
      <c r="I223" s="636"/>
      <c r="J223" s="636"/>
      <c r="K223" s="636"/>
      <c r="L223" s="636"/>
      <c r="M223" s="636"/>
      <c r="N223" s="636"/>
      <c r="O223" s="636"/>
      <c r="P223" s="636"/>
      <c r="Q223" s="636"/>
      <c r="R223" s="636"/>
      <c r="S223" s="636"/>
      <c r="U223" s="636"/>
      <c r="V223" s="636"/>
      <c r="W223" s="636"/>
      <c r="X223" s="636"/>
      <c r="Y223" s="636"/>
      <c r="Z223" s="636"/>
      <c r="AA223" s="636"/>
      <c r="AB223" s="636"/>
      <c r="AC223" s="636"/>
      <c r="AD223" s="636"/>
      <c r="AE223" s="636"/>
      <c r="AF223" s="636"/>
      <c r="AG223" s="636"/>
      <c r="AH223" s="636"/>
      <c r="AI223" s="636"/>
      <c r="AJ223" s="636"/>
      <c r="AK223" s="636"/>
    </row>
    <row r="224" spans="3:37" ht="22.5">
      <c r="C224" s="699" t="s">
        <v>523</v>
      </c>
      <c r="D224" s="699"/>
      <c r="E224" s="699"/>
      <c r="F224" s="699"/>
      <c r="G224" s="699"/>
      <c r="H224" s="699"/>
      <c r="I224" s="699"/>
      <c r="J224" s="699"/>
      <c r="K224" s="699"/>
      <c r="L224" s="699"/>
      <c r="M224" s="699"/>
      <c r="N224" s="699"/>
      <c r="O224" s="699"/>
      <c r="P224" s="699"/>
      <c r="Q224" s="699"/>
      <c r="R224" s="699"/>
      <c r="S224" s="699"/>
      <c r="U224" s="699" t="s">
        <v>523</v>
      </c>
      <c r="V224" s="699"/>
      <c r="W224" s="699"/>
      <c r="X224" s="699"/>
      <c r="Y224" s="699"/>
      <c r="Z224" s="699"/>
      <c r="AA224" s="699"/>
      <c r="AB224" s="699"/>
      <c r="AC224" s="699"/>
      <c r="AD224" s="699"/>
      <c r="AE224" s="699"/>
      <c r="AF224" s="699"/>
      <c r="AG224" s="699"/>
      <c r="AH224" s="699"/>
      <c r="AI224" s="699"/>
      <c r="AJ224" s="699"/>
      <c r="AK224" s="699"/>
    </row>
    <row r="225" spans="3:37" ht="13">
      <c r="C225" s="636"/>
      <c r="D225" s="636"/>
      <c r="E225" s="636"/>
      <c r="F225" s="636"/>
      <c r="G225" s="636"/>
      <c r="H225" s="636"/>
      <c r="I225" s="636"/>
      <c r="J225" s="636"/>
      <c r="K225" s="636"/>
      <c r="L225" s="636"/>
      <c r="M225" s="636"/>
      <c r="N225" s="636"/>
      <c r="O225" s="636"/>
      <c r="P225" s="636"/>
      <c r="Q225" s="636"/>
      <c r="R225" s="636"/>
      <c r="S225" s="636"/>
      <c r="U225" s="636"/>
      <c r="V225" s="636"/>
      <c r="W225" s="636"/>
      <c r="X225" s="636"/>
      <c r="Y225" s="636"/>
      <c r="Z225" s="636"/>
      <c r="AA225" s="636"/>
      <c r="AB225" s="636"/>
      <c r="AC225" s="636"/>
      <c r="AD225" s="636"/>
      <c r="AE225" s="636"/>
      <c r="AF225" s="636"/>
      <c r="AG225" s="636"/>
      <c r="AH225" s="636"/>
      <c r="AI225" s="636"/>
      <c r="AJ225" s="636"/>
      <c r="AK225" s="636"/>
    </row>
    <row r="226" spans="3:37" ht="13" customHeight="1">
      <c r="C226" s="700" t="s">
        <v>128</v>
      </c>
      <c r="D226" s="701" t="s">
        <v>42</v>
      </c>
      <c r="E226" s="701" t="s">
        <v>52</v>
      </c>
      <c r="F226" s="701" t="s">
        <v>53</v>
      </c>
      <c r="G226" s="701" t="s">
        <v>32</v>
      </c>
      <c r="H226" s="701" t="s">
        <v>20</v>
      </c>
      <c r="I226" s="701" t="s">
        <v>55</v>
      </c>
      <c r="J226" s="701" t="s">
        <v>56</v>
      </c>
      <c r="K226" s="701"/>
      <c r="L226" s="701"/>
      <c r="M226" s="701"/>
      <c r="N226" s="701"/>
      <c r="O226" s="701"/>
      <c r="P226" s="701" t="s">
        <v>57</v>
      </c>
      <c r="Q226" s="701" t="s">
        <v>58</v>
      </c>
      <c r="R226" s="701" t="s">
        <v>31</v>
      </c>
      <c r="S226" s="701" t="s">
        <v>10</v>
      </c>
      <c r="U226" s="700" t="s">
        <v>128</v>
      </c>
      <c r="V226" s="701" t="s">
        <v>42</v>
      </c>
      <c r="W226" s="701" t="s">
        <v>52</v>
      </c>
      <c r="X226" s="701" t="s">
        <v>53</v>
      </c>
      <c r="Y226" s="701" t="s">
        <v>32</v>
      </c>
      <c r="Z226" s="701" t="s">
        <v>20</v>
      </c>
      <c r="AA226" s="701" t="s">
        <v>55</v>
      </c>
      <c r="AB226" s="701" t="s">
        <v>56</v>
      </c>
      <c r="AC226" s="701"/>
      <c r="AD226" s="701"/>
      <c r="AE226" s="701"/>
      <c r="AF226" s="701"/>
      <c r="AG226" s="701"/>
      <c r="AH226" s="701" t="s">
        <v>57</v>
      </c>
      <c r="AI226" s="701" t="s">
        <v>58</v>
      </c>
      <c r="AJ226" s="701" t="s">
        <v>31</v>
      </c>
      <c r="AK226" s="701" t="s">
        <v>10</v>
      </c>
    </row>
    <row r="227" spans="3:37" ht="46">
      <c r="C227" s="700"/>
      <c r="D227" s="701"/>
      <c r="E227" s="701"/>
      <c r="F227" s="701"/>
      <c r="G227" s="701"/>
      <c r="H227" s="701"/>
      <c r="I227" s="701"/>
      <c r="J227" s="640" t="s">
        <v>338</v>
      </c>
      <c r="K227" s="640" t="s">
        <v>40</v>
      </c>
      <c r="L227" s="640" t="s">
        <v>346</v>
      </c>
      <c r="M227" s="640" t="s">
        <v>347</v>
      </c>
      <c r="N227" s="640" t="s">
        <v>348</v>
      </c>
      <c r="O227" s="640" t="s">
        <v>349</v>
      </c>
      <c r="P227" s="701"/>
      <c r="Q227" s="701"/>
      <c r="R227" s="701"/>
      <c r="S227" s="701"/>
      <c r="U227" s="700"/>
      <c r="V227" s="701"/>
      <c r="W227" s="701"/>
      <c r="X227" s="701"/>
      <c r="Y227" s="701"/>
      <c r="Z227" s="701"/>
      <c r="AA227" s="701"/>
      <c r="AB227" s="640" t="s">
        <v>338</v>
      </c>
      <c r="AC227" s="640" t="s">
        <v>40</v>
      </c>
      <c r="AD227" s="640" t="s">
        <v>346</v>
      </c>
      <c r="AE227" s="640" t="s">
        <v>347</v>
      </c>
      <c r="AF227" s="640" t="s">
        <v>348</v>
      </c>
      <c r="AG227" s="640" t="s">
        <v>349</v>
      </c>
      <c r="AH227" s="701"/>
      <c r="AI227" s="701"/>
      <c r="AJ227" s="701"/>
      <c r="AK227" s="701"/>
    </row>
    <row r="228" spans="3:37" ht="13.5">
      <c r="C228" s="641" t="s">
        <v>59</v>
      </c>
      <c r="D228" s="642">
        <v>0</v>
      </c>
      <c r="E228" s="643">
        <v>0</v>
      </c>
      <c r="F228" s="643">
        <v>0</v>
      </c>
      <c r="G228" s="642">
        <v>0</v>
      </c>
      <c r="H228" s="643">
        <v>889.54545454545473</v>
      </c>
      <c r="I228" s="643">
        <v>290.38619522472999</v>
      </c>
      <c r="J228" s="643">
        <v>188.26463769943669</v>
      </c>
      <c r="K228" s="643">
        <v>20.519346122490408</v>
      </c>
      <c r="L228" s="643">
        <v>0.54648995449606019</v>
      </c>
      <c r="M228" s="643">
        <v>0.15914693380563083</v>
      </c>
      <c r="N228" s="643">
        <v>65.898689554178929</v>
      </c>
      <c r="O228" s="643">
        <v>11.930124482632028</v>
      </c>
      <c r="P228" s="644">
        <v>0</v>
      </c>
      <c r="Q228" s="643">
        <v>0</v>
      </c>
      <c r="R228" s="643">
        <v>0</v>
      </c>
      <c r="S228" s="645">
        <v>1467.2500845172242</v>
      </c>
      <c r="U228" s="641" t="s">
        <v>59</v>
      </c>
      <c r="V228" s="642">
        <v>0</v>
      </c>
      <c r="W228" s="643">
        <v>0</v>
      </c>
      <c r="X228" s="643">
        <v>0</v>
      </c>
      <c r="Y228" s="642">
        <v>0</v>
      </c>
      <c r="Z228" s="643">
        <v>873.030303030303</v>
      </c>
      <c r="AA228" s="643">
        <v>337.06619522473</v>
      </c>
      <c r="AB228" s="643">
        <v>206.15489309499102</v>
      </c>
      <c r="AC228" s="643">
        <v>37.137182251794961</v>
      </c>
      <c r="AD228" s="643">
        <v>0.54648995449606019</v>
      </c>
      <c r="AE228" s="643">
        <v>0.15914693380563083</v>
      </c>
      <c r="AF228" s="643">
        <v>103.02458403584798</v>
      </c>
      <c r="AG228" s="643">
        <v>25.833176078824131</v>
      </c>
      <c r="AH228" s="644">
        <v>0</v>
      </c>
      <c r="AI228" s="643">
        <v>0</v>
      </c>
      <c r="AJ228" s="643">
        <v>0</v>
      </c>
      <c r="AK228" s="645">
        <v>1582.9519706047927</v>
      </c>
    </row>
    <row r="229" spans="3:37" ht="13.5">
      <c r="C229" s="641" t="s">
        <v>60</v>
      </c>
      <c r="D229" s="642">
        <v>47.523331421865407</v>
      </c>
      <c r="E229" s="643">
        <v>492.37419513671523</v>
      </c>
      <c r="F229" s="643">
        <v>57.352326080251387</v>
      </c>
      <c r="G229" s="642">
        <v>328.8885225556333</v>
      </c>
      <c r="H229" s="643">
        <v>0</v>
      </c>
      <c r="I229" s="643">
        <v>0</v>
      </c>
      <c r="J229" s="643">
        <v>4.8075322078390377</v>
      </c>
      <c r="K229" s="643">
        <v>0</v>
      </c>
      <c r="L229" s="643">
        <v>2.6229179175778925</v>
      </c>
      <c r="M229" s="643">
        <v>0</v>
      </c>
      <c r="N229" s="643">
        <v>0</v>
      </c>
      <c r="O229" s="643">
        <v>0</v>
      </c>
      <c r="P229" s="644">
        <v>0</v>
      </c>
      <c r="Q229" s="643">
        <v>0</v>
      </c>
      <c r="R229" s="643">
        <v>0</v>
      </c>
      <c r="S229" s="645">
        <v>933.56882531988219</v>
      </c>
      <c r="U229" s="641" t="s">
        <v>60</v>
      </c>
      <c r="V229" s="642">
        <v>6.5260336126681251</v>
      </c>
      <c r="W229" s="643">
        <v>220.47790015098695</v>
      </c>
      <c r="X229" s="643">
        <v>14.513856185365357</v>
      </c>
      <c r="Y229" s="642">
        <v>102.1346675179243</v>
      </c>
      <c r="Z229" s="643">
        <v>0</v>
      </c>
      <c r="AA229" s="643">
        <v>0</v>
      </c>
      <c r="AB229" s="643">
        <v>4.8075322078390377</v>
      </c>
      <c r="AC229" s="643">
        <v>0</v>
      </c>
      <c r="AD229" s="643">
        <v>2.6229179175778925</v>
      </c>
      <c r="AE229" s="643">
        <v>0</v>
      </c>
      <c r="AF229" s="643">
        <v>0</v>
      </c>
      <c r="AG229" s="643">
        <v>0</v>
      </c>
      <c r="AH229" s="644">
        <v>0</v>
      </c>
      <c r="AI229" s="643">
        <v>0</v>
      </c>
      <c r="AJ229" s="643">
        <v>0</v>
      </c>
      <c r="AK229" s="645">
        <v>351.08290759236166</v>
      </c>
    </row>
    <row r="230" spans="3:37" ht="13.5">
      <c r="C230" s="641" t="s">
        <v>61</v>
      </c>
      <c r="D230" s="642">
        <v>0</v>
      </c>
      <c r="E230" s="643">
        <v>0</v>
      </c>
      <c r="F230" s="643">
        <v>0</v>
      </c>
      <c r="G230" s="642">
        <v>0</v>
      </c>
      <c r="H230" s="643">
        <v>0</v>
      </c>
      <c r="I230" s="643">
        <v>0</v>
      </c>
      <c r="J230" s="643">
        <v>0</v>
      </c>
      <c r="K230" s="643">
        <v>0</v>
      </c>
      <c r="L230" s="643">
        <v>0</v>
      </c>
      <c r="M230" s="643">
        <v>0</v>
      </c>
      <c r="N230" s="643">
        <v>0</v>
      </c>
      <c r="O230" s="643">
        <v>0</v>
      </c>
      <c r="P230" s="644">
        <v>-22.391147784534837</v>
      </c>
      <c r="Q230" s="643">
        <v>0</v>
      </c>
      <c r="R230" s="643">
        <v>0</v>
      </c>
      <c r="S230" s="645">
        <v>-22.391147784534837</v>
      </c>
      <c r="U230" s="641" t="s">
        <v>61</v>
      </c>
      <c r="V230" s="642">
        <v>0</v>
      </c>
      <c r="W230" s="643">
        <v>0</v>
      </c>
      <c r="X230" s="643">
        <v>-19.691193817618341</v>
      </c>
      <c r="Y230" s="642">
        <v>0</v>
      </c>
      <c r="Z230" s="643">
        <v>0</v>
      </c>
      <c r="AA230" s="643">
        <v>0</v>
      </c>
      <c r="AB230" s="643">
        <v>0</v>
      </c>
      <c r="AC230" s="643">
        <v>0</v>
      </c>
      <c r="AD230" s="643">
        <v>0</v>
      </c>
      <c r="AE230" s="643">
        <v>0</v>
      </c>
      <c r="AF230" s="643">
        <v>0</v>
      </c>
      <c r="AG230" s="643">
        <v>0</v>
      </c>
      <c r="AH230" s="644">
        <v>-17.389600315785174</v>
      </c>
      <c r="AI230" s="643">
        <v>0</v>
      </c>
      <c r="AJ230" s="643">
        <v>0</v>
      </c>
      <c r="AK230" s="645">
        <v>-37.080794133403515</v>
      </c>
    </row>
    <row r="231" spans="3:37" ht="13.5">
      <c r="C231" s="641" t="s">
        <v>62</v>
      </c>
      <c r="D231" s="642">
        <v>0</v>
      </c>
      <c r="E231" s="643">
        <v>0</v>
      </c>
      <c r="F231" s="643">
        <v>-15.496739011683466</v>
      </c>
      <c r="G231" s="642">
        <v>0</v>
      </c>
      <c r="H231" s="643">
        <v>0</v>
      </c>
      <c r="I231" s="643">
        <v>0</v>
      </c>
      <c r="J231" s="643">
        <v>0</v>
      </c>
      <c r="K231" s="643">
        <v>0</v>
      </c>
      <c r="L231" s="643">
        <v>0</v>
      </c>
      <c r="M231" s="643">
        <v>0</v>
      </c>
      <c r="N231" s="643">
        <v>0</v>
      </c>
      <c r="O231" s="643">
        <v>0</v>
      </c>
      <c r="P231" s="644">
        <v>0</v>
      </c>
      <c r="Q231" s="643">
        <v>0</v>
      </c>
      <c r="R231" s="643">
        <v>0</v>
      </c>
      <c r="S231" s="645">
        <v>-15.496739011683466</v>
      </c>
      <c r="U231" s="641" t="s">
        <v>62</v>
      </c>
      <c r="V231" s="642">
        <v>0</v>
      </c>
      <c r="W231" s="643">
        <v>0</v>
      </c>
      <c r="X231" s="643">
        <v>-8.5387827474702789</v>
      </c>
      <c r="Y231" s="642">
        <v>-2.2272473327152178</v>
      </c>
      <c r="Z231" s="643">
        <v>0</v>
      </c>
      <c r="AA231" s="643">
        <v>0</v>
      </c>
      <c r="AB231" s="643">
        <v>0</v>
      </c>
      <c r="AC231" s="643">
        <v>0</v>
      </c>
      <c r="AD231" s="643">
        <v>0</v>
      </c>
      <c r="AE231" s="643">
        <v>-1.7037211969591732</v>
      </c>
      <c r="AF231" s="643">
        <v>0</v>
      </c>
      <c r="AG231" s="643">
        <v>0</v>
      </c>
      <c r="AH231" s="644">
        <v>0</v>
      </c>
      <c r="AI231" s="643">
        <v>0</v>
      </c>
      <c r="AJ231" s="643">
        <v>0</v>
      </c>
      <c r="AK231" s="645">
        <v>-12.46975127714467</v>
      </c>
    </row>
    <row r="232" spans="3:37" ht="13.5">
      <c r="C232" s="641" t="s">
        <v>63</v>
      </c>
      <c r="D232" s="642">
        <v>0</v>
      </c>
      <c r="E232" s="643">
        <v>0</v>
      </c>
      <c r="F232" s="643">
        <v>-89.42656352071144</v>
      </c>
      <c r="G232" s="642">
        <v>0</v>
      </c>
      <c r="H232" s="643">
        <v>0</v>
      </c>
      <c r="I232" s="643">
        <v>0</v>
      </c>
      <c r="J232" s="643">
        <v>0</v>
      </c>
      <c r="K232" s="643">
        <v>0</v>
      </c>
      <c r="L232" s="643">
        <v>-0.92190198395554845</v>
      </c>
      <c r="M232" s="643">
        <v>0</v>
      </c>
      <c r="N232" s="643">
        <v>0</v>
      </c>
      <c r="O232" s="643">
        <v>0</v>
      </c>
      <c r="P232" s="644">
        <v>0</v>
      </c>
      <c r="Q232" s="643">
        <v>0</v>
      </c>
      <c r="R232" s="643">
        <v>0</v>
      </c>
      <c r="S232" s="645">
        <v>-90.34846550466699</v>
      </c>
      <c r="U232" s="641" t="s">
        <v>63</v>
      </c>
      <c r="V232" s="642">
        <v>0</v>
      </c>
      <c r="W232" s="643">
        <v>0</v>
      </c>
      <c r="X232" s="643">
        <v>-55.486888716289528</v>
      </c>
      <c r="Y232" s="642">
        <v>0</v>
      </c>
      <c r="Z232" s="643">
        <v>0</v>
      </c>
      <c r="AA232" s="643">
        <v>0</v>
      </c>
      <c r="AB232" s="643">
        <v>0</v>
      </c>
      <c r="AC232" s="643">
        <v>0</v>
      </c>
      <c r="AD232" s="643">
        <v>-26.575233608452013</v>
      </c>
      <c r="AE232" s="643">
        <v>0</v>
      </c>
      <c r="AF232" s="643">
        <v>0</v>
      </c>
      <c r="AG232" s="643">
        <v>0</v>
      </c>
      <c r="AH232" s="644">
        <v>0</v>
      </c>
      <c r="AI232" s="643">
        <v>0</v>
      </c>
      <c r="AJ232" s="643">
        <v>0</v>
      </c>
      <c r="AK232" s="645">
        <v>-82.062122324741537</v>
      </c>
    </row>
    <row r="233" spans="3:37" ht="13.5">
      <c r="C233" s="641" t="s">
        <v>64</v>
      </c>
      <c r="D233" s="642">
        <v>0</v>
      </c>
      <c r="E233" s="643">
        <v>0</v>
      </c>
      <c r="F233" s="643">
        <v>0</v>
      </c>
      <c r="G233" s="642">
        <v>0</v>
      </c>
      <c r="H233" s="643">
        <v>0</v>
      </c>
      <c r="I233" s="643">
        <v>0</v>
      </c>
      <c r="J233" s="643">
        <v>0</v>
      </c>
      <c r="K233" s="643">
        <v>0</v>
      </c>
      <c r="L233" s="643">
        <v>0</v>
      </c>
      <c r="M233" s="643">
        <v>0</v>
      </c>
      <c r="N233" s="643">
        <v>0</v>
      </c>
      <c r="O233" s="643">
        <v>0</v>
      </c>
      <c r="P233" s="644">
        <v>0</v>
      </c>
      <c r="Q233" s="643">
        <v>0</v>
      </c>
      <c r="R233" s="643">
        <v>0</v>
      </c>
      <c r="S233" s="645">
        <v>0</v>
      </c>
      <c r="U233" s="641" t="s">
        <v>64</v>
      </c>
      <c r="V233" s="642">
        <v>0</v>
      </c>
      <c r="W233" s="643">
        <v>0</v>
      </c>
      <c r="X233" s="643">
        <v>0</v>
      </c>
      <c r="Y233" s="642">
        <v>0</v>
      </c>
      <c r="Z233" s="643">
        <v>0</v>
      </c>
      <c r="AA233" s="643">
        <v>0</v>
      </c>
      <c r="AB233" s="643">
        <v>0</v>
      </c>
      <c r="AC233" s="643">
        <v>0</v>
      </c>
      <c r="AD233" s="643">
        <v>0</v>
      </c>
      <c r="AE233" s="643">
        <v>0</v>
      </c>
      <c r="AF233" s="643">
        <v>0</v>
      </c>
      <c r="AG233" s="643">
        <v>0</v>
      </c>
      <c r="AH233" s="644">
        <v>0</v>
      </c>
      <c r="AI233" s="643">
        <v>0</v>
      </c>
      <c r="AJ233" s="643">
        <v>0</v>
      </c>
      <c r="AK233" s="645">
        <v>0</v>
      </c>
    </row>
    <row r="234" spans="3:37" ht="13.5">
      <c r="C234" s="646" t="s">
        <v>65</v>
      </c>
      <c r="D234" s="647">
        <v>47.523331421865407</v>
      </c>
      <c r="E234" s="647">
        <v>492.37419513671523</v>
      </c>
      <c r="F234" s="647">
        <v>-47.570976452143519</v>
      </c>
      <c r="G234" s="647">
        <v>328.8885225556333</v>
      </c>
      <c r="H234" s="647">
        <v>889.54545454545473</v>
      </c>
      <c r="I234" s="647">
        <v>290.38619522472999</v>
      </c>
      <c r="J234" s="647">
        <v>193.07216990727574</v>
      </c>
      <c r="K234" s="647">
        <v>20.519346122490408</v>
      </c>
      <c r="L234" s="647">
        <v>2.247505888118404</v>
      </c>
      <c r="M234" s="647">
        <v>0.15914693380563083</v>
      </c>
      <c r="N234" s="647">
        <v>65.898689554178929</v>
      </c>
      <c r="O234" s="647">
        <v>11.930124482632028</v>
      </c>
      <c r="P234" s="647">
        <v>-22.391147784534837</v>
      </c>
      <c r="Q234" s="647">
        <v>0</v>
      </c>
      <c r="R234" s="647">
        <v>0</v>
      </c>
      <c r="S234" s="647">
        <v>2272.5825575362214</v>
      </c>
      <c r="U234" s="646" t="s">
        <v>65</v>
      </c>
      <c r="V234" s="647">
        <v>6.5260336126681251</v>
      </c>
      <c r="W234" s="647">
        <v>220.47790015098695</v>
      </c>
      <c r="X234" s="647">
        <v>-69.203009096012792</v>
      </c>
      <c r="Y234" s="647">
        <v>99.907420185209077</v>
      </c>
      <c r="Z234" s="647">
        <v>873.030303030303</v>
      </c>
      <c r="AA234" s="647">
        <v>337.06619522473</v>
      </c>
      <c r="AB234" s="647">
        <v>210.96242530283007</v>
      </c>
      <c r="AC234" s="647">
        <v>37.137182251794961</v>
      </c>
      <c r="AD234" s="647">
        <v>-23.405825736378059</v>
      </c>
      <c r="AE234" s="647">
        <v>-1.5445742631535424</v>
      </c>
      <c r="AF234" s="647">
        <v>103.02458403584798</v>
      </c>
      <c r="AG234" s="647">
        <v>25.833176078824131</v>
      </c>
      <c r="AH234" s="647">
        <v>-17.389600315785174</v>
      </c>
      <c r="AI234" s="647">
        <v>0</v>
      </c>
      <c r="AJ234" s="647">
        <v>0</v>
      </c>
      <c r="AK234" s="647">
        <v>1802.4222104618648</v>
      </c>
    </row>
    <row r="235" spans="3:37" ht="13">
      <c r="C235" s="636"/>
      <c r="D235" s="636">
        <v>0</v>
      </c>
      <c r="E235" s="636">
        <v>0</v>
      </c>
      <c r="F235" s="636">
        <v>0</v>
      </c>
      <c r="G235" s="636">
        <v>0</v>
      </c>
      <c r="H235" s="636">
        <v>0</v>
      </c>
      <c r="I235" s="636">
        <v>0</v>
      </c>
      <c r="J235" s="636">
        <v>0</v>
      </c>
      <c r="K235" s="636">
        <v>0</v>
      </c>
      <c r="L235" s="636">
        <v>0</v>
      </c>
      <c r="M235" s="636">
        <v>0</v>
      </c>
      <c r="N235" s="636">
        <v>0</v>
      </c>
      <c r="O235" s="636">
        <v>0</v>
      </c>
      <c r="P235" s="636">
        <v>0</v>
      </c>
      <c r="Q235" s="636">
        <v>0</v>
      </c>
      <c r="R235" s="636">
        <v>0</v>
      </c>
      <c r="S235" s="636">
        <v>0</v>
      </c>
      <c r="U235" s="636"/>
      <c r="V235" s="636">
        <v>0</v>
      </c>
      <c r="W235" s="636">
        <v>0</v>
      </c>
      <c r="X235" s="636">
        <v>0</v>
      </c>
      <c r="Y235" s="636">
        <v>0</v>
      </c>
      <c r="Z235" s="636">
        <v>0</v>
      </c>
      <c r="AA235" s="636">
        <v>0</v>
      </c>
      <c r="AB235" s="636">
        <v>0</v>
      </c>
      <c r="AC235" s="636">
        <v>0</v>
      </c>
      <c r="AD235" s="636">
        <v>0</v>
      </c>
      <c r="AE235" s="636">
        <v>0</v>
      </c>
      <c r="AF235" s="636">
        <v>0</v>
      </c>
      <c r="AG235" s="636">
        <v>0</v>
      </c>
      <c r="AH235" s="636">
        <v>0</v>
      </c>
      <c r="AI235" s="636">
        <v>0</v>
      </c>
      <c r="AJ235" s="636">
        <v>0</v>
      </c>
      <c r="AK235" s="636">
        <v>0</v>
      </c>
    </row>
    <row r="236" spans="3:37" ht="13.5">
      <c r="C236" s="648" t="s">
        <v>67</v>
      </c>
      <c r="D236" s="642">
        <v>0</v>
      </c>
      <c r="E236" s="649">
        <v>0</v>
      </c>
      <c r="F236" s="649">
        <v>0</v>
      </c>
      <c r="G236" s="642">
        <v>0</v>
      </c>
      <c r="H236" s="642">
        <v>0</v>
      </c>
      <c r="I236" s="642">
        <v>0</v>
      </c>
      <c r="J236" s="642">
        <v>0</v>
      </c>
      <c r="K236" s="642">
        <v>0</v>
      </c>
      <c r="L236" s="642">
        <v>0</v>
      </c>
      <c r="M236" s="642">
        <v>0</v>
      </c>
      <c r="N236" s="642">
        <v>0</v>
      </c>
      <c r="O236" s="642">
        <v>0</v>
      </c>
      <c r="P236" s="642">
        <v>0</v>
      </c>
      <c r="Q236" s="642">
        <v>0</v>
      </c>
      <c r="R236" s="642">
        <v>0</v>
      </c>
      <c r="S236" s="650">
        <v>0</v>
      </c>
      <c r="U236" s="648" t="s">
        <v>67</v>
      </c>
      <c r="V236" s="642">
        <v>0</v>
      </c>
      <c r="W236" s="649">
        <v>0</v>
      </c>
      <c r="X236" s="649">
        <v>0</v>
      </c>
      <c r="Y236" s="642">
        <v>0</v>
      </c>
      <c r="Z236" s="642">
        <v>0</v>
      </c>
      <c r="AA236" s="642">
        <v>0</v>
      </c>
      <c r="AB236" s="642">
        <v>0</v>
      </c>
      <c r="AC236" s="642">
        <v>0</v>
      </c>
      <c r="AD236" s="642">
        <v>0</v>
      </c>
      <c r="AE236" s="642">
        <v>0</v>
      </c>
      <c r="AF236" s="642">
        <v>0</v>
      </c>
      <c r="AG236" s="642">
        <v>0</v>
      </c>
      <c r="AH236" s="642">
        <v>0</v>
      </c>
      <c r="AI236" s="642">
        <v>0</v>
      </c>
      <c r="AJ236" s="642">
        <v>0</v>
      </c>
      <c r="AK236" s="650">
        <v>0</v>
      </c>
    </row>
    <row r="237" spans="3:37" ht="13.5">
      <c r="C237" s="648" t="s">
        <v>350</v>
      </c>
      <c r="D237" s="642">
        <v>2.8267856410252494</v>
      </c>
      <c r="E237" s="642">
        <v>0</v>
      </c>
      <c r="F237" s="642">
        <v>7.7625293209280457</v>
      </c>
      <c r="G237" s="642">
        <v>16.824034334763951</v>
      </c>
      <c r="H237" s="642">
        <v>889.54545454545473</v>
      </c>
      <c r="I237" s="642">
        <v>290.38619522472999</v>
      </c>
      <c r="J237" s="651">
        <v>29.234857813431841</v>
      </c>
      <c r="K237" s="651">
        <v>6.7467623730381456</v>
      </c>
      <c r="L237" s="651">
        <v>3.1694078720739522</v>
      </c>
      <c r="M237" s="651">
        <v>0.46915285357606595</v>
      </c>
      <c r="N237" s="651">
        <v>0</v>
      </c>
      <c r="O237" s="651">
        <v>6.9727309871777221</v>
      </c>
      <c r="P237" s="642">
        <v>-615.41357369902562</v>
      </c>
      <c r="Q237" s="642">
        <v>0</v>
      </c>
      <c r="R237" s="642">
        <v>0</v>
      </c>
      <c r="S237" s="650">
        <v>638.52433726717402</v>
      </c>
      <c r="U237" s="648" t="s">
        <v>350</v>
      </c>
      <c r="V237" s="642">
        <v>0.62631490545869017</v>
      </c>
      <c r="W237" s="642">
        <v>0</v>
      </c>
      <c r="X237" s="642">
        <v>3.8988929572916824</v>
      </c>
      <c r="Y237" s="642">
        <v>3.6741630901287547</v>
      </c>
      <c r="Z237" s="642">
        <v>873.030303030303</v>
      </c>
      <c r="AA237" s="642">
        <v>337.06619522473</v>
      </c>
      <c r="AB237" s="651">
        <v>23.429523439383615</v>
      </c>
      <c r="AC237" s="651">
        <v>5.4991881500691626</v>
      </c>
      <c r="AD237" s="651">
        <v>3.1694078720739522</v>
      </c>
      <c r="AE237" s="651">
        <v>2.7864060724601858</v>
      </c>
      <c r="AF237" s="651">
        <v>0</v>
      </c>
      <c r="AG237" s="651">
        <v>6.9727309871777221</v>
      </c>
      <c r="AH237" s="642">
        <v>-649.11357369902544</v>
      </c>
      <c r="AI237" s="642">
        <v>0</v>
      </c>
      <c r="AJ237" s="642">
        <v>4.45</v>
      </c>
      <c r="AK237" s="650">
        <v>615.48955203005141</v>
      </c>
    </row>
    <row r="238" spans="3:37" ht="13.5">
      <c r="C238" s="648" t="s">
        <v>351</v>
      </c>
      <c r="D238" s="642">
        <v>0</v>
      </c>
      <c r="E238" s="642">
        <v>0</v>
      </c>
      <c r="F238" s="642">
        <v>0</v>
      </c>
      <c r="G238" s="642">
        <v>14.896462034387394</v>
      </c>
      <c r="H238" s="642">
        <v>0</v>
      </c>
      <c r="I238" s="642">
        <v>0</v>
      </c>
      <c r="J238" s="651">
        <v>12.461036592610267</v>
      </c>
      <c r="K238" s="651">
        <v>11.927183871567582</v>
      </c>
      <c r="L238" s="651">
        <v>0</v>
      </c>
      <c r="M238" s="651">
        <v>0.3188738120209938</v>
      </c>
      <c r="N238" s="651">
        <v>0</v>
      </c>
      <c r="O238" s="651">
        <v>2.1085025260592274</v>
      </c>
      <c r="P238" s="642">
        <v>0</v>
      </c>
      <c r="Q238" s="642">
        <v>-37.934258390495422</v>
      </c>
      <c r="R238" s="642">
        <v>0</v>
      </c>
      <c r="S238" s="650">
        <v>3.7778004461500441</v>
      </c>
      <c r="U238" s="648" t="s">
        <v>351</v>
      </c>
      <c r="V238" s="642">
        <v>0</v>
      </c>
      <c r="W238" s="642">
        <v>0</v>
      </c>
      <c r="X238" s="642">
        <v>0</v>
      </c>
      <c r="Y238" s="642">
        <v>8.218662070491261</v>
      </c>
      <c r="Z238" s="642">
        <v>0</v>
      </c>
      <c r="AA238" s="642">
        <v>0</v>
      </c>
      <c r="AB238" s="651">
        <v>28.560818034272483</v>
      </c>
      <c r="AC238" s="651">
        <v>26.163217208510932</v>
      </c>
      <c r="AD238" s="651">
        <v>0</v>
      </c>
      <c r="AE238" s="651">
        <v>5.9663093303449024</v>
      </c>
      <c r="AF238" s="651">
        <v>0</v>
      </c>
      <c r="AG238" s="651">
        <v>11.832895483778962</v>
      </c>
      <c r="AH238" s="642">
        <v>0</v>
      </c>
      <c r="AI238" s="642">
        <v>-74.578675527513624</v>
      </c>
      <c r="AJ238" s="642">
        <v>0</v>
      </c>
      <c r="AK238" s="650">
        <v>6.1632265998849274</v>
      </c>
    </row>
    <row r="239" spans="3:37" ht="13.5">
      <c r="C239" s="648" t="s">
        <v>352</v>
      </c>
      <c r="D239" s="642">
        <v>0</v>
      </c>
      <c r="E239" s="642">
        <v>0</v>
      </c>
      <c r="F239" s="642">
        <v>0</v>
      </c>
      <c r="G239" s="642">
        <v>0</v>
      </c>
      <c r="H239" s="642">
        <v>0</v>
      </c>
      <c r="I239" s="642">
        <v>0</v>
      </c>
      <c r="J239" s="652">
        <v>6.9979956174374891</v>
      </c>
      <c r="K239" s="652">
        <v>0</v>
      </c>
      <c r="L239" s="652">
        <v>0</v>
      </c>
      <c r="M239" s="652">
        <v>-6.4748954450340372</v>
      </c>
      <c r="N239" s="652">
        <v>0</v>
      </c>
      <c r="O239" s="652">
        <v>0</v>
      </c>
      <c r="P239" s="642">
        <v>0</v>
      </c>
      <c r="Q239" s="642">
        <v>0</v>
      </c>
      <c r="R239" s="642">
        <v>0</v>
      </c>
      <c r="S239" s="650">
        <v>0.52310017240345186</v>
      </c>
      <c r="U239" s="648" t="s">
        <v>352</v>
      </c>
      <c r="V239" s="642">
        <v>0</v>
      </c>
      <c r="W239" s="642">
        <v>0</v>
      </c>
      <c r="X239" s="642">
        <v>0</v>
      </c>
      <c r="Y239" s="642">
        <v>0</v>
      </c>
      <c r="Z239" s="642">
        <v>0</v>
      </c>
      <c r="AA239" s="642">
        <v>0</v>
      </c>
      <c r="AB239" s="652">
        <v>79.198989478899776</v>
      </c>
      <c r="AC239" s="652">
        <v>0</v>
      </c>
      <c r="AD239" s="652">
        <v>0</v>
      </c>
      <c r="AE239" s="652">
        <v>-73.278865015352025</v>
      </c>
      <c r="AF239" s="652">
        <v>0</v>
      </c>
      <c r="AG239" s="652">
        <v>0</v>
      </c>
      <c r="AH239" s="642">
        <v>0</v>
      </c>
      <c r="AI239" s="642">
        <v>0</v>
      </c>
      <c r="AJ239" s="642">
        <v>0</v>
      </c>
      <c r="AK239" s="650">
        <v>5.9201244635477508</v>
      </c>
    </row>
    <row r="240" spans="3:37" ht="13.5">
      <c r="C240" s="648" t="s">
        <v>353</v>
      </c>
      <c r="D240" s="642">
        <v>0</v>
      </c>
      <c r="E240" s="642">
        <v>0</v>
      </c>
      <c r="F240" s="642">
        <v>0</v>
      </c>
      <c r="G240" s="642">
        <v>0</v>
      </c>
      <c r="H240" s="642">
        <v>0</v>
      </c>
      <c r="I240" s="642">
        <v>0</v>
      </c>
      <c r="J240" s="642">
        <v>0</v>
      </c>
      <c r="K240" s="642">
        <v>0</v>
      </c>
      <c r="L240" s="642">
        <v>0</v>
      </c>
      <c r="M240" s="642">
        <v>0</v>
      </c>
      <c r="N240" s="642">
        <v>0</v>
      </c>
      <c r="O240" s="642">
        <v>0</v>
      </c>
      <c r="P240" s="642">
        <v>0</v>
      </c>
      <c r="Q240" s="642">
        <v>0</v>
      </c>
      <c r="R240" s="642">
        <v>0</v>
      </c>
      <c r="S240" s="650">
        <v>0</v>
      </c>
      <c r="U240" s="648" t="s">
        <v>353</v>
      </c>
      <c r="V240" s="642">
        <v>0</v>
      </c>
      <c r="W240" s="642">
        <v>0</v>
      </c>
      <c r="X240" s="642">
        <v>0</v>
      </c>
      <c r="Y240" s="642">
        <v>0</v>
      </c>
      <c r="Z240" s="642">
        <v>0</v>
      </c>
      <c r="AA240" s="642">
        <v>0</v>
      </c>
      <c r="AB240" s="642">
        <v>0</v>
      </c>
      <c r="AC240" s="642">
        <v>0</v>
      </c>
      <c r="AD240" s="642">
        <v>0</v>
      </c>
      <c r="AE240" s="642">
        <v>0</v>
      </c>
      <c r="AF240" s="642">
        <v>0</v>
      </c>
      <c r="AG240" s="642">
        <v>0</v>
      </c>
      <c r="AH240" s="642">
        <v>0</v>
      </c>
      <c r="AI240" s="642">
        <v>0</v>
      </c>
      <c r="AJ240" s="642">
        <v>0</v>
      </c>
      <c r="AK240" s="650">
        <v>0</v>
      </c>
    </row>
    <row r="241" spans="3:37" ht="13.5">
      <c r="C241" s="648" t="s">
        <v>72</v>
      </c>
      <c r="D241" s="642">
        <v>0</v>
      </c>
      <c r="E241" s="642">
        <v>510.04733530503466</v>
      </c>
      <c r="F241" s="642">
        <v>-504.94686195198432</v>
      </c>
      <c r="G241" s="642">
        <v>0</v>
      </c>
      <c r="H241" s="642">
        <v>0</v>
      </c>
      <c r="I241" s="642">
        <v>0</v>
      </c>
      <c r="J241" s="642">
        <v>0</v>
      </c>
      <c r="K241" s="642">
        <v>0</v>
      </c>
      <c r="L241" s="642">
        <v>0</v>
      </c>
      <c r="M241" s="642">
        <v>0</v>
      </c>
      <c r="N241" s="642">
        <v>0</v>
      </c>
      <c r="O241" s="642">
        <v>0</v>
      </c>
      <c r="P241" s="642">
        <v>0</v>
      </c>
      <c r="Q241" s="642">
        <v>0</v>
      </c>
      <c r="R241" s="642">
        <v>0</v>
      </c>
      <c r="S241" s="650">
        <v>5.1004733530503472</v>
      </c>
      <c r="U241" s="648" t="s">
        <v>72</v>
      </c>
      <c r="V241" s="642">
        <v>0</v>
      </c>
      <c r="W241" s="642">
        <v>228.3916715709193</v>
      </c>
      <c r="X241" s="642">
        <v>-226.10775485521012</v>
      </c>
      <c r="Y241" s="642">
        <v>0</v>
      </c>
      <c r="Z241" s="642">
        <v>0</v>
      </c>
      <c r="AA241" s="642">
        <v>0</v>
      </c>
      <c r="AB241" s="642">
        <v>0</v>
      </c>
      <c r="AC241" s="642">
        <v>0</v>
      </c>
      <c r="AD241" s="642">
        <v>0</v>
      </c>
      <c r="AE241" s="642">
        <v>0</v>
      </c>
      <c r="AF241" s="642">
        <v>0</v>
      </c>
      <c r="AG241" s="642">
        <v>0</v>
      </c>
      <c r="AH241" s="642">
        <v>0</v>
      </c>
      <c r="AI241" s="642">
        <v>0</v>
      </c>
      <c r="AJ241" s="642">
        <v>0</v>
      </c>
      <c r="AK241" s="650">
        <v>2.2839167157091822</v>
      </c>
    </row>
    <row r="242" spans="3:37" ht="13.5">
      <c r="C242" s="648" t="s">
        <v>354</v>
      </c>
      <c r="D242" s="642">
        <v>0</v>
      </c>
      <c r="E242" s="642">
        <v>0</v>
      </c>
      <c r="F242" s="642">
        <v>0</v>
      </c>
      <c r="G242" s="642">
        <v>0</v>
      </c>
      <c r="H242" s="642">
        <v>0</v>
      </c>
      <c r="I242" s="642">
        <v>0</v>
      </c>
      <c r="J242" s="642">
        <v>27.710201800923624</v>
      </c>
      <c r="K242" s="642">
        <v>0</v>
      </c>
      <c r="L242" s="642">
        <v>-27.710201800923624</v>
      </c>
      <c r="M242" s="642">
        <v>0</v>
      </c>
      <c r="N242" s="642">
        <v>0</v>
      </c>
      <c r="O242" s="642">
        <v>0</v>
      </c>
      <c r="P242" s="642">
        <v>0</v>
      </c>
      <c r="Q242" s="642">
        <v>0</v>
      </c>
      <c r="R242" s="642">
        <v>0</v>
      </c>
      <c r="S242" s="650">
        <v>0</v>
      </c>
      <c r="U242" s="648" t="s">
        <v>354</v>
      </c>
      <c r="V242" s="642">
        <v>0</v>
      </c>
      <c r="W242" s="642">
        <v>0</v>
      </c>
      <c r="X242" s="642">
        <v>0</v>
      </c>
      <c r="Y242" s="642">
        <v>0</v>
      </c>
      <c r="Z242" s="642">
        <v>0</v>
      </c>
      <c r="AA242" s="642">
        <v>0</v>
      </c>
      <c r="AB242" s="642" t="e">
        <v>#VALUE!</v>
      </c>
      <c r="AC242" s="642">
        <v>0</v>
      </c>
      <c r="AD242" s="642">
        <v>-101.17003146857277</v>
      </c>
      <c r="AE242" s="642">
        <v>0</v>
      </c>
      <c r="AF242" s="642">
        <v>0</v>
      </c>
      <c r="AG242" s="642">
        <v>0</v>
      </c>
      <c r="AH242" s="642">
        <v>0</v>
      </c>
      <c r="AI242" s="642">
        <v>0</v>
      </c>
      <c r="AJ242" s="642">
        <v>0</v>
      </c>
      <c r="AK242" s="650">
        <v>-101.17003146857277</v>
      </c>
    </row>
    <row r="243" spans="3:37" ht="13.5">
      <c r="C243" s="648" t="s">
        <v>355</v>
      </c>
      <c r="D243" s="642">
        <v>0</v>
      </c>
      <c r="E243" s="642">
        <v>0</v>
      </c>
      <c r="F243" s="642">
        <v>0</v>
      </c>
      <c r="G243" s="642">
        <v>0</v>
      </c>
      <c r="H243" s="642">
        <v>0</v>
      </c>
      <c r="I243" s="642">
        <v>0</v>
      </c>
      <c r="J243" s="642">
        <v>0</v>
      </c>
      <c r="K243" s="642">
        <v>0</v>
      </c>
      <c r="L243" s="642">
        <v>0</v>
      </c>
      <c r="M243" s="642">
        <v>0</v>
      </c>
      <c r="N243" s="642">
        <v>0</v>
      </c>
      <c r="O243" s="642">
        <v>0</v>
      </c>
      <c r="P243" s="642">
        <v>0</v>
      </c>
      <c r="Q243" s="642">
        <v>0</v>
      </c>
      <c r="R243" s="642">
        <v>0</v>
      </c>
      <c r="S243" s="650">
        <v>0</v>
      </c>
      <c r="U243" s="648" t="s">
        <v>355</v>
      </c>
      <c r="V243" s="642">
        <v>0</v>
      </c>
      <c r="W243" s="642">
        <v>0</v>
      </c>
      <c r="X243" s="642">
        <v>0</v>
      </c>
      <c r="Y243" s="642">
        <v>0</v>
      </c>
      <c r="Z243" s="642">
        <v>0</v>
      </c>
      <c r="AA243" s="642">
        <v>0</v>
      </c>
      <c r="AB243" s="642">
        <v>0</v>
      </c>
      <c r="AC243" s="642">
        <v>0</v>
      </c>
      <c r="AD243" s="642">
        <v>-18.691082885283098</v>
      </c>
      <c r="AE243" s="642">
        <v>0</v>
      </c>
      <c r="AF243" s="642">
        <v>0</v>
      </c>
      <c r="AG243" s="642">
        <v>0</v>
      </c>
      <c r="AH243" s="642">
        <v>0</v>
      </c>
      <c r="AI243" s="642">
        <v>0</v>
      </c>
      <c r="AJ243" s="642">
        <v>0</v>
      </c>
      <c r="AK243" s="650">
        <v>-18.691082885283098</v>
      </c>
    </row>
    <row r="244" spans="3:37" ht="13.5">
      <c r="C244" s="648" t="s">
        <v>73</v>
      </c>
      <c r="D244" s="642">
        <v>0</v>
      </c>
      <c r="E244" s="642">
        <v>0</v>
      </c>
      <c r="F244" s="642">
        <v>0</v>
      </c>
      <c r="G244" s="642">
        <v>6.2864428714474423</v>
      </c>
      <c r="H244" s="642">
        <v>0</v>
      </c>
      <c r="I244" s="642">
        <v>0</v>
      </c>
      <c r="J244" s="642">
        <v>0</v>
      </c>
      <c r="K244" s="642">
        <v>7.2564905248031233E-2</v>
      </c>
      <c r="L244" s="642">
        <v>0</v>
      </c>
      <c r="M244" s="642">
        <v>0.12829475247851924</v>
      </c>
      <c r="N244" s="642">
        <v>0</v>
      </c>
      <c r="O244" s="642">
        <v>0</v>
      </c>
      <c r="P244" s="642">
        <v>0.77416476914506349</v>
      </c>
      <c r="Q244" s="642">
        <v>0</v>
      </c>
      <c r="R244" s="642">
        <v>-5.0795433673621861</v>
      </c>
      <c r="S244" s="650">
        <v>2.1819239309568701</v>
      </c>
      <c r="U244" s="648" t="s">
        <v>73</v>
      </c>
      <c r="V244" s="642">
        <v>0</v>
      </c>
      <c r="W244" s="642">
        <v>0</v>
      </c>
      <c r="X244" s="642">
        <v>0</v>
      </c>
      <c r="Y244" s="642">
        <v>3.7837340239051791</v>
      </c>
      <c r="Z244" s="642">
        <v>0</v>
      </c>
      <c r="AA244" s="642">
        <v>0</v>
      </c>
      <c r="AB244" s="642">
        <v>0</v>
      </c>
      <c r="AC244" s="642">
        <v>0.46597709654004676</v>
      </c>
      <c r="AD244" s="642">
        <v>0</v>
      </c>
      <c r="AE244" s="642">
        <v>2.7399453276554748</v>
      </c>
      <c r="AF244" s="642">
        <v>0</v>
      </c>
      <c r="AG244" s="642">
        <v>0</v>
      </c>
      <c r="AH244" s="642">
        <v>39.864323859285086</v>
      </c>
      <c r="AI244" s="642">
        <v>0</v>
      </c>
      <c r="AJ244" s="642">
        <v>-32.618396757803268</v>
      </c>
      <c r="AK244" s="650">
        <v>14.235583549582522</v>
      </c>
    </row>
    <row r="245" spans="3:37" ht="13.5">
      <c r="C245" s="648" t="s">
        <v>356</v>
      </c>
      <c r="D245" s="642">
        <v>28.588592812499996</v>
      </c>
      <c r="E245" s="642">
        <v>-17.673140168319453</v>
      </c>
      <c r="F245" s="642">
        <v>23.11542347254851</v>
      </c>
      <c r="G245" s="642">
        <v>0</v>
      </c>
      <c r="H245" s="642">
        <v>0</v>
      </c>
      <c r="I245" s="642">
        <v>0</v>
      </c>
      <c r="J245" s="642">
        <v>0</v>
      </c>
      <c r="K245" s="642">
        <v>0</v>
      </c>
      <c r="L245" s="642">
        <v>0</v>
      </c>
      <c r="M245" s="642">
        <v>0</v>
      </c>
      <c r="N245" s="642">
        <v>0</v>
      </c>
      <c r="O245" s="642">
        <v>0</v>
      </c>
      <c r="P245" s="642">
        <v>0</v>
      </c>
      <c r="Q245" s="642">
        <v>0</v>
      </c>
      <c r="R245" s="642">
        <v>0</v>
      </c>
      <c r="S245" s="650">
        <v>34.030876116729054</v>
      </c>
      <c r="U245" s="648" t="s">
        <v>356</v>
      </c>
      <c r="V245" s="642">
        <v>1.7459712219238281</v>
      </c>
      <c r="W245" s="642">
        <v>-7.9137714199323552</v>
      </c>
      <c r="X245" s="642">
        <v>10.35074558875537</v>
      </c>
      <c r="Y245" s="642">
        <v>0</v>
      </c>
      <c r="Z245" s="642">
        <v>0</v>
      </c>
      <c r="AA245" s="642">
        <v>0</v>
      </c>
      <c r="AB245" s="642">
        <v>0</v>
      </c>
      <c r="AC245" s="642">
        <v>0</v>
      </c>
      <c r="AD245" s="642">
        <v>0</v>
      </c>
      <c r="AE245" s="642">
        <v>0</v>
      </c>
      <c r="AF245" s="642">
        <v>0</v>
      </c>
      <c r="AG245" s="642">
        <v>0</v>
      </c>
      <c r="AH245" s="642">
        <v>0</v>
      </c>
      <c r="AI245" s="642">
        <v>0</v>
      </c>
      <c r="AJ245" s="642">
        <v>0</v>
      </c>
      <c r="AK245" s="650">
        <v>4.182945390746843</v>
      </c>
    </row>
    <row r="246" spans="3:37" ht="13.5">
      <c r="C246" s="648" t="s">
        <v>75</v>
      </c>
      <c r="D246" s="642">
        <v>11.11778609375</v>
      </c>
      <c r="E246" s="642">
        <v>0</v>
      </c>
      <c r="F246" s="642">
        <v>17.34160940037118</v>
      </c>
      <c r="G246" s="642">
        <v>4.9484792471294465</v>
      </c>
      <c r="H246" s="642">
        <v>0</v>
      </c>
      <c r="I246" s="642">
        <v>0</v>
      </c>
      <c r="J246" s="642">
        <v>0</v>
      </c>
      <c r="K246" s="642">
        <v>0</v>
      </c>
      <c r="L246" s="642">
        <v>0</v>
      </c>
      <c r="M246" s="642">
        <v>0.10098937239039688</v>
      </c>
      <c r="N246" s="642">
        <v>0</v>
      </c>
      <c r="O246" s="642">
        <v>0</v>
      </c>
      <c r="P246" s="642">
        <v>29.08691491128284</v>
      </c>
      <c r="Q246" s="642">
        <v>0</v>
      </c>
      <c r="R246" s="642">
        <v>0</v>
      </c>
      <c r="S246" s="650">
        <v>62.595779024923864</v>
      </c>
      <c r="U246" s="648" t="s">
        <v>75</v>
      </c>
      <c r="V246" s="642">
        <v>2.938742431640625</v>
      </c>
      <c r="W246" s="642">
        <v>0</v>
      </c>
      <c r="X246" s="642">
        <v>17.34160940037118</v>
      </c>
      <c r="Y246" s="642">
        <v>2.9286917993215091</v>
      </c>
      <c r="Z246" s="642">
        <v>0</v>
      </c>
      <c r="AA246" s="642">
        <v>0</v>
      </c>
      <c r="AB246" s="642">
        <v>0</v>
      </c>
      <c r="AC246" s="642">
        <v>0</v>
      </c>
      <c r="AD246" s="642">
        <v>0</v>
      </c>
      <c r="AE246" s="642">
        <v>2.1207768201983344</v>
      </c>
      <c r="AF246" s="642">
        <v>0</v>
      </c>
      <c r="AG246" s="642">
        <v>0</v>
      </c>
      <c r="AH246" s="642">
        <v>36.505051274919204</v>
      </c>
      <c r="AI246" s="642">
        <v>0</v>
      </c>
      <c r="AJ246" s="642">
        <v>0</v>
      </c>
      <c r="AK246" s="650">
        <v>61.834871726450849</v>
      </c>
    </row>
    <row r="247" spans="3:37" ht="13.5">
      <c r="C247" s="648" t="s">
        <v>76</v>
      </c>
      <c r="D247" s="642">
        <v>0</v>
      </c>
      <c r="E247" s="642">
        <v>0</v>
      </c>
      <c r="F247" s="642">
        <v>0</v>
      </c>
      <c r="G247" s="642">
        <v>3.7620934008695794</v>
      </c>
      <c r="H247" s="642">
        <v>0</v>
      </c>
      <c r="I247" s="642">
        <v>0</v>
      </c>
      <c r="J247" s="642">
        <v>0</v>
      </c>
      <c r="K247" s="642">
        <v>0</v>
      </c>
      <c r="L247" s="642">
        <v>0</v>
      </c>
      <c r="M247" s="642">
        <v>7.6777416344277136E-2</v>
      </c>
      <c r="N247" s="642">
        <v>0</v>
      </c>
      <c r="O247" s="642">
        <v>0</v>
      </c>
      <c r="P247" s="642">
        <v>45.374638558517056</v>
      </c>
      <c r="Q247" s="642">
        <v>2.9442994019327013</v>
      </c>
      <c r="R247" s="642">
        <v>0</v>
      </c>
      <c r="S247" s="650">
        <v>52.157808777663611</v>
      </c>
      <c r="U247" s="648" t="s">
        <v>76</v>
      </c>
      <c r="V247" s="642">
        <v>0</v>
      </c>
      <c r="W247" s="642">
        <v>0</v>
      </c>
      <c r="X247" s="642">
        <v>0</v>
      </c>
      <c r="Y247" s="642">
        <v>1.1999362424874132</v>
      </c>
      <c r="Z247" s="642">
        <v>0</v>
      </c>
      <c r="AA247" s="642">
        <v>0</v>
      </c>
      <c r="AB247" s="642">
        <v>0</v>
      </c>
      <c r="AC247" s="642">
        <v>0</v>
      </c>
      <c r="AD247" s="642">
        <v>0</v>
      </c>
      <c r="AE247" s="642">
        <v>0.86891934800812698</v>
      </c>
      <c r="AF247" s="642">
        <v>0</v>
      </c>
      <c r="AG247" s="642">
        <v>0</v>
      </c>
      <c r="AH247" s="642">
        <v>48.340685132761017</v>
      </c>
      <c r="AI247" s="642">
        <v>5.7839036819230412</v>
      </c>
      <c r="AJ247" s="642">
        <v>0</v>
      </c>
      <c r="AK247" s="650">
        <v>56.193444405179591</v>
      </c>
    </row>
    <row r="248" spans="3:37" ht="13.5">
      <c r="C248" s="646" t="s">
        <v>77</v>
      </c>
      <c r="D248" s="647">
        <v>42.533164547275248</v>
      </c>
      <c r="E248" s="647">
        <v>492.37419513671523</v>
      </c>
      <c r="F248" s="647">
        <v>-456.72729975813655</v>
      </c>
      <c r="G248" s="647">
        <v>46.717511888597819</v>
      </c>
      <c r="H248" s="647">
        <v>889.54545454545473</v>
      </c>
      <c r="I248" s="647">
        <v>290.38619522472999</v>
      </c>
      <c r="J248" s="647">
        <v>76.404091824403224</v>
      </c>
      <c r="K248" s="647">
        <v>18.74651114985376</v>
      </c>
      <c r="L248" s="647">
        <v>-24.540793928849673</v>
      </c>
      <c r="M248" s="647">
        <v>-5.3808072382237846</v>
      </c>
      <c r="N248" s="647">
        <v>0</v>
      </c>
      <c r="O248" s="647">
        <v>9.0812335132369491</v>
      </c>
      <c r="P248" s="647">
        <v>-540.17785546008065</v>
      </c>
      <c r="Q248" s="647">
        <v>-34.989958988562719</v>
      </c>
      <c r="R248" s="647">
        <v>-5.0795433673621861</v>
      </c>
      <c r="S248" s="647">
        <v>798.89209908905127</v>
      </c>
      <c r="U248" s="646" t="s">
        <v>77</v>
      </c>
      <c r="V248" s="647">
        <v>5.3110285590231427</v>
      </c>
      <c r="W248" s="647">
        <v>220.47790015098695</v>
      </c>
      <c r="X248" s="647">
        <v>-194.51650690879191</v>
      </c>
      <c r="Y248" s="647">
        <v>19.805187226334116</v>
      </c>
      <c r="Z248" s="647">
        <v>873.030303030303</v>
      </c>
      <c r="AA248" s="647">
        <v>337.06619522473</v>
      </c>
      <c r="AB248" s="647">
        <v>131.18933095255588</v>
      </c>
      <c r="AC248" s="647">
        <v>32.128382455120146</v>
      </c>
      <c r="AD248" s="647">
        <v>-116.69170648178192</v>
      </c>
      <c r="AE248" s="647">
        <v>-58.796508116684997</v>
      </c>
      <c r="AF248" s="647">
        <v>0</v>
      </c>
      <c r="AG248" s="647">
        <v>18.805626470956682</v>
      </c>
      <c r="AH248" s="647">
        <v>-524.40351343206009</v>
      </c>
      <c r="AI248" s="647">
        <v>-68.794771845590574</v>
      </c>
      <c r="AJ248" s="647">
        <v>-28.168396757803269</v>
      </c>
      <c r="AK248" s="647">
        <v>646.44255052729716</v>
      </c>
    </row>
    <row r="249" spans="3:37" ht="13">
      <c r="C249" s="636"/>
      <c r="D249" s="636">
        <v>0</v>
      </c>
      <c r="E249" s="636">
        <v>0</v>
      </c>
      <c r="F249" s="636">
        <v>0</v>
      </c>
      <c r="G249" s="636">
        <v>0</v>
      </c>
      <c r="H249" s="636">
        <v>0</v>
      </c>
      <c r="I249" s="636">
        <v>0</v>
      </c>
      <c r="J249" s="636">
        <v>0</v>
      </c>
      <c r="K249" s="636">
        <v>0</v>
      </c>
      <c r="L249" s="636">
        <v>0</v>
      </c>
      <c r="M249" s="636">
        <v>0</v>
      </c>
      <c r="N249" s="636">
        <v>0</v>
      </c>
      <c r="O249" s="636">
        <v>0</v>
      </c>
      <c r="P249" s="636">
        <v>0</v>
      </c>
      <c r="Q249" s="636">
        <v>0</v>
      </c>
      <c r="R249" s="636">
        <v>0</v>
      </c>
      <c r="S249" s="636">
        <v>0</v>
      </c>
      <c r="U249" s="636"/>
      <c r="V249" s="636">
        <v>0</v>
      </c>
      <c r="W249" s="636">
        <v>0</v>
      </c>
      <c r="X249" s="636">
        <v>0</v>
      </c>
      <c r="Y249" s="636">
        <v>0</v>
      </c>
      <c r="Z249" s="636">
        <v>0</v>
      </c>
      <c r="AA249" s="636">
        <v>0</v>
      </c>
      <c r="AB249" s="636">
        <v>0</v>
      </c>
      <c r="AC249" s="636">
        <v>0</v>
      </c>
      <c r="AD249" s="636">
        <v>0</v>
      </c>
      <c r="AE249" s="636">
        <v>0</v>
      </c>
      <c r="AF249" s="636">
        <v>0</v>
      </c>
      <c r="AG249" s="636">
        <v>0</v>
      </c>
      <c r="AH249" s="636">
        <v>0</v>
      </c>
      <c r="AI249" s="636">
        <v>0</v>
      </c>
      <c r="AJ249" s="636">
        <v>0</v>
      </c>
      <c r="AK249" s="636">
        <v>0</v>
      </c>
    </row>
    <row r="250" spans="3:37" ht="13.5">
      <c r="C250" s="648" t="s">
        <v>78</v>
      </c>
      <c r="D250" s="642">
        <v>4.9901668745901624</v>
      </c>
      <c r="E250" s="642">
        <v>0</v>
      </c>
      <c r="F250" s="642">
        <v>21.091530324656198</v>
      </c>
      <c r="G250" s="642">
        <v>96.151700548391091</v>
      </c>
      <c r="H250" s="642">
        <v>0</v>
      </c>
      <c r="I250" s="642">
        <v>0</v>
      </c>
      <c r="J250" s="642">
        <v>21.387862541024852</v>
      </c>
      <c r="K250" s="642">
        <v>1.7476152779545906</v>
      </c>
      <c r="L250" s="642">
        <v>0.94211085156249985</v>
      </c>
      <c r="M250" s="642">
        <v>1.9807569399951515</v>
      </c>
      <c r="N250" s="642">
        <v>0</v>
      </c>
      <c r="O250" s="642">
        <v>3.7669078281368638E-4</v>
      </c>
      <c r="P250" s="642">
        <v>112.73505933145552</v>
      </c>
      <c r="Q250" s="642">
        <v>16.12568637832603</v>
      </c>
      <c r="R250" s="642">
        <v>0.27920700073242188</v>
      </c>
      <c r="S250" s="650">
        <v>277.43207275947128</v>
      </c>
      <c r="U250" s="648" t="s">
        <v>78</v>
      </c>
      <c r="V250" s="642">
        <v>1.2150050536449819</v>
      </c>
      <c r="W250" s="642">
        <v>0</v>
      </c>
      <c r="X250" s="642">
        <v>6.016341039248414</v>
      </c>
      <c r="Y250" s="642">
        <v>39.709503776891196</v>
      </c>
      <c r="Z250" s="642">
        <v>0</v>
      </c>
      <c r="AA250" s="642">
        <v>0</v>
      </c>
      <c r="AB250" s="642">
        <v>15.202189846170386</v>
      </c>
      <c r="AC250" s="642">
        <v>4.9835801019927617</v>
      </c>
      <c r="AD250" s="642">
        <v>5.6103854980468748</v>
      </c>
      <c r="AE250" s="642">
        <v>28.773635244370734</v>
      </c>
      <c r="AF250" s="642">
        <v>0</v>
      </c>
      <c r="AG250" s="642">
        <v>3.7669078281368638E-4</v>
      </c>
      <c r="AH250" s="642">
        <v>146.07653830614987</v>
      </c>
      <c r="AI250" s="642">
        <v>23.647869298816833</v>
      </c>
      <c r="AJ250" s="642">
        <v>7.4826708984375001</v>
      </c>
      <c r="AK250" s="650">
        <v>278.71809575455239</v>
      </c>
    </row>
    <row r="251" spans="3:37" ht="13.5">
      <c r="C251" s="648" t="s">
        <v>79</v>
      </c>
      <c r="D251" s="642">
        <v>0</v>
      </c>
      <c r="E251" s="642">
        <v>0</v>
      </c>
      <c r="F251" s="642">
        <v>235.12748928743429</v>
      </c>
      <c r="G251" s="642">
        <v>31.099379517950805</v>
      </c>
      <c r="H251" s="642">
        <v>0</v>
      </c>
      <c r="I251" s="642">
        <v>0</v>
      </c>
      <c r="J251" s="642">
        <v>0</v>
      </c>
      <c r="K251" s="642">
        <v>0</v>
      </c>
      <c r="L251" s="642">
        <v>22.716725008445675</v>
      </c>
      <c r="M251" s="642">
        <v>0.63468121465205729</v>
      </c>
      <c r="N251" s="642">
        <v>0</v>
      </c>
      <c r="O251" s="642">
        <v>0</v>
      </c>
      <c r="P251" s="642">
        <v>68.565930798083699</v>
      </c>
      <c r="Q251" s="642">
        <v>0</v>
      </c>
      <c r="R251" s="642">
        <v>2.3844112104980786</v>
      </c>
      <c r="S251" s="650">
        <v>360.52861703706463</v>
      </c>
      <c r="U251" s="648" t="s">
        <v>79</v>
      </c>
      <c r="V251" s="642">
        <v>0</v>
      </c>
      <c r="W251" s="642">
        <v>0</v>
      </c>
      <c r="X251" s="642">
        <v>35.128929389637456</v>
      </c>
      <c r="Y251" s="642">
        <v>15.137064293513523</v>
      </c>
      <c r="Z251" s="642">
        <v>0</v>
      </c>
      <c r="AA251" s="642">
        <v>0</v>
      </c>
      <c r="AB251" s="642">
        <v>0</v>
      </c>
      <c r="AC251" s="642">
        <v>0</v>
      </c>
      <c r="AD251" s="642">
        <v>37.187580566982817</v>
      </c>
      <c r="AE251" s="642">
        <v>11.036020535724948</v>
      </c>
      <c r="AF251" s="642">
        <v>0</v>
      </c>
      <c r="AG251" s="642">
        <v>0</v>
      </c>
      <c r="AH251" s="642">
        <v>89.614524523742418</v>
      </c>
      <c r="AI251" s="642">
        <v>0</v>
      </c>
      <c r="AJ251" s="642">
        <v>5.6351763144479268</v>
      </c>
      <c r="AK251" s="650">
        <v>193.73929562404911</v>
      </c>
    </row>
    <row r="252" spans="3:37" ht="13.5">
      <c r="C252" s="648" t="s">
        <v>80</v>
      </c>
      <c r="D252" s="642">
        <v>0</v>
      </c>
      <c r="E252" s="642">
        <v>0</v>
      </c>
      <c r="F252" s="642">
        <v>13.724834206032371</v>
      </c>
      <c r="G252" s="642">
        <v>79.131512261322683</v>
      </c>
      <c r="H252" s="642">
        <v>0</v>
      </c>
      <c r="I252" s="642">
        <v>0</v>
      </c>
      <c r="J252" s="642">
        <v>87.797108848078949</v>
      </c>
      <c r="K252" s="642">
        <v>0</v>
      </c>
      <c r="L252" s="642">
        <v>0</v>
      </c>
      <c r="M252" s="642">
        <v>1.6149288216596467</v>
      </c>
      <c r="N252" s="642">
        <v>57.41835645436403</v>
      </c>
      <c r="O252" s="642">
        <v>2.0533643919476137</v>
      </c>
      <c r="P252" s="642">
        <v>189.45880926265392</v>
      </c>
      <c r="Q252" s="642">
        <v>15.417775800116472</v>
      </c>
      <c r="R252" s="642">
        <v>0</v>
      </c>
      <c r="S252" s="650">
        <v>446.61669004617568</v>
      </c>
      <c r="U252" s="648" t="s">
        <v>80</v>
      </c>
      <c r="V252" s="642">
        <v>0</v>
      </c>
      <c r="W252" s="642">
        <v>0</v>
      </c>
      <c r="X252" s="642">
        <v>1.0209129157283405</v>
      </c>
      <c r="Y252" s="642">
        <v>12.832027751754538</v>
      </c>
      <c r="Z252" s="642">
        <v>0</v>
      </c>
      <c r="AA252" s="642">
        <v>0</v>
      </c>
      <c r="AB252" s="642">
        <v>53.270322236782164</v>
      </c>
      <c r="AC252" s="642">
        <v>0</v>
      </c>
      <c r="AD252" s="642">
        <v>0</v>
      </c>
      <c r="AE252" s="642">
        <v>9.2921580271325972</v>
      </c>
      <c r="AF252" s="642">
        <v>88.292344554902868</v>
      </c>
      <c r="AG252" s="642">
        <v>3.9079432862869607</v>
      </c>
      <c r="AH252" s="642">
        <v>146.88666477766319</v>
      </c>
      <c r="AI252" s="642">
        <v>32.427264426374379</v>
      </c>
      <c r="AJ252" s="642">
        <v>0</v>
      </c>
      <c r="AK252" s="650">
        <v>347.92963797662509</v>
      </c>
    </row>
    <row r="253" spans="3:37" ht="13.5">
      <c r="C253" s="648" t="s">
        <v>81</v>
      </c>
      <c r="D253" s="642">
        <v>0</v>
      </c>
      <c r="E253" s="642">
        <v>0</v>
      </c>
      <c r="F253" s="642">
        <v>3.9083972405176572</v>
      </c>
      <c r="G253" s="642">
        <v>63.089348266301698</v>
      </c>
      <c r="H253" s="642">
        <v>0</v>
      </c>
      <c r="I253" s="642">
        <v>0</v>
      </c>
      <c r="J253" s="642">
        <v>3.1804221278939271</v>
      </c>
      <c r="K253" s="642">
        <v>2.5219694682056978E-2</v>
      </c>
      <c r="L253" s="642">
        <v>0</v>
      </c>
      <c r="M253" s="642">
        <v>1.287537719720443</v>
      </c>
      <c r="N253" s="642">
        <v>8.4803330998149011</v>
      </c>
      <c r="O253" s="642">
        <v>0.72631919579288284</v>
      </c>
      <c r="P253" s="642">
        <v>140.69299872549993</v>
      </c>
      <c r="Q253" s="642">
        <v>3.4464968101202174</v>
      </c>
      <c r="R253" s="642">
        <v>0</v>
      </c>
      <c r="S253" s="650">
        <v>224.8370728803437</v>
      </c>
      <c r="U253" s="648" t="s">
        <v>81</v>
      </c>
      <c r="V253" s="642">
        <v>0</v>
      </c>
      <c r="W253" s="642">
        <v>0</v>
      </c>
      <c r="X253" s="642">
        <v>1.4952361732398858</v>
      </c>
      <c r="Y253" s="642">
        <v>10.610341518374359</v>
      </c>
      <c r="Z253" s="642">
        <v>0</v>
      </c>
      <c r="AA253" s="642">
        <v>0</v>
      </c>
      <c r="AB253" s="642">
        <v>6.9978977014468793</v>
      </c>
      <c r="AC253" s="642">
        <v>2.5219694682056978E-2</v>
      </c>
      <c r="AD253" s="642">
        <v>0</v>
      </c>
      <c r="AE253" s="642">
        <v>7.6833507546848816</v>
      </c>
      <c r="AF253" s="642">
        <v>14.732239480945108</v>
      </c>
      <c r="AG253" s="642">
        <v>1.5525732622869153</v>
      </c>
      <c r="AH253" s="642">
        <v>115.23036268987886</v>
      </c>
      <c r="AI253" s="642">
        <v>12.719638120399363</v>
      </c>
      <c r="AJ253" s="642">
        <v>0</v>
      </c>
      <c r="AK253" s="650">
        <v>171.04685939593833</v>
      </c>
    </row>
    <row r="254" spans="3:37" ht="13.5">
      <c r="C254" s="648" t="s">
        <v>82</v>
      </c>
      <c r="D254" s="642">
        <v>0</v>
      </c>
      <c r="E254" s="642">
        <v>0</v>
      </c>
      <c r="F254" s="642">
        <v>28.471648080197657</v>
      </c>
      <c r="G254" s="642">
        <v>1.0804243241036344</v>
      </c>
      <c r="H254" s="642">
        <v>0</v>
      </c>
      <c r="I254" s="642">
        <v>0</v>
      </c>
      <c r="J254" s="642">
        <v>4.3026845658747828</v>
      </c>
      <c r="K254" s="642">
        <v>0</v>
      </c>
      <c r="L254" s="642">
        <v>3.1299020072385213</v>
      </c>
      <c r="M254" s="642">
        <v>2.2049476002114991E-2</v>
      </c>
      <c r="N254" s="642">
        <v>0</v>
      </c>
      <c r="O254" s="642">
        <v>6.8830690871769351E-2</v>
      </c>
      <c r="P254" s="642">
        <v>5.9739095578527968</v>
      </c>
      <c r="Q254" s="642">
        <v>0</v>
      </c>
      <c r="R254" s="642">
        <v>0</v>
      </c>
      <c r="S254" s="650">
        <v>43.049448702141277</v>
      </c>
      <c r="U254" s="648" t="s">
        <v>82</v>
      </c>
      <c r="V254" s="642">
        <v>0</v>
      </c>
      <c r="W254" s="642">
        <v>0</v>
      </c>
      <c r="X254" s="642">
        <v>5.8604701162543282</v>
      </c>
      <c r="Y254" s="642">
        <v>0.77721189491485598</v>
      </c>
      <c r="Z254" s="642">
        <v>0</v>
      </c>
      <c r="AA254" s="642">
        <v>0</v>
      </c>
      <c r="AB254" s="642">
        <v>4.3026845658747828</v>
      </c>
      <c r="AC254" s="642">
        <v>0</v>
      </c>
      <c r="AD254" s="642">
        <v>30.776202948565647</v>
      </c>
      <c r="AE254" s="642">
        <v>0.56280861355903367</v>
      </c>
      <c r="AF254" s="642">
        <v>0</v>
      </c>
      <c r="AG254" s="642">
        <v>1.5666563685107562</v>
      </c>
      <c r="AH254" s="642">
        <v>6.0858228188406986</v>
      </c>
      <c r="AI254" s="642">
        <v>0</v>
      </c>
      <c r="AJ254" s="642">
        <v>0.36062656029870238</v>
      </c>
      <c r="AK254" s="650">
        <v>50.292483886818808</v>
      </c>
    </row>
    <row r="255" spans="3:37" ht="13.5">
      <c r="C255" s="648" t="s">
        <v>357</v>
      </c>
      <c r="D255" s="642">
        <v>0</v>
      </c>
      <c r="E255" s="642">
        <v>0</v>
      </c>
      <c r="F255" s="642">
        <v>0</v>
      </c>
      <c r="G255" s="642">
        <v>0</v>
      </c>
      <c r="H255" s="642">
        <v>0</v>
      </c>
      <c r="I255" s="642">
        <v>0</v>
      </c>
      <c r="J255" s="642">
        <v>0</v>
      </c>
      <c r="K255" s="642">
        <v>0</v>
      </c>
      <c r="L255" s="642">
        <v>0</v>
      </c>
      <c r="M255" s="642">
        <v>0</v>
      </c>
      <c r="N255" s="642">
        <v>0</v>
      </c>
      <c r="O255" s="642">
        <v>0</v>
      </c>
      <c r="P255" s="642">
        <v>0.36</v>
      </c>
      <c r="Q255" s="642">
        <v>0</v>
      </c>
      <c r="R255" s="642">
        <v>0</v>
      </c>
      <c r="S255" s="650">
        <v>0.36</v>
      </c>
      <c r="U255" s="648" t="s">
        <v>357</v>
      </c>
      <c r="V255" s="642">
        <v>0</v>
      </c>
      <c r="W255" s="642">
        <v>0</v>
      </c>
      <c r="X255" s="642">
        <v>0</v>
      </c>
      <c r="Y255" s="642">
        <v>0</v>
      </c>
      <c r="Z255" s="642">
        <v>0</v>
      </c>
      <c r="AA255" s="642">
        <v>0</v>
      </c>
      <c r="AB255" s="642">
        <v>0</v>
      </c>
      <c r="AC255" s="642">
        <v>0</v>
      </c>
      <c r="AD255" s="642">
        <v>0</v>
      </c>
      <c r="AE255" s="642">
        <v>0</v>
      </c>
      <c r="AF255" s="642">
        <v>0</v>
      </c>
      <c r="AG255" s="642">
        <v>0</v>
      </c>
      <c r="AH255" s="642">
        <v>3.12</v>
      </c>
      <c r="AI255" s="642">
        <v>0</v>
      </c>
      <c r="AJ255" s="642">
        <v>0</v>
      </c>
      <c r="AK255" s="650">
        <v>3.12</v>
      </c>
    </row>
    <row r="256" spans="3:37" ht="13.5">
      <c r="C256" s="646" t="s">
        <v>83</v>
      </c>
      <c r="D256" s="647">
        <v>4.9901668745901624</v>
      </c>
      <c r="E256" s="647">
        <v>0</v>
      </c>
      <c r="F256" s="647">
        <v>302.32389913883821</v>
      </c>
      <c r="G256" s="647">
        <v>270.55236491806994</v>
      </c>
      <c r="H256" s="647">
        <v>0</v>
      </c>
      <c r="I256" s="647">
        <v>0</v>
      </c>
      <c r="J256" s="647">
        <v>116.66807808287251</v>
      </c>
      <c r="K256" s="647">
        <v>1.7728349726366477</v>
      </c>
      <c r="L256" s="647">
        <v>26.788737867246695</v>
      </c>
      <c r="M256" s="647">
        <v>5.5399541720294136</v>
      </c>
      <c r="N256" s="647">
        <v>65.898689554178929</v>
      </c>
      <c r="O256" s="647">
        <v>2.8488909693950797</v>
      </c>
      <c r="P256" s="647">
        <v>517.78670767554593</v>
      </c>
      <c r="Q256" s="647">
        <v>34.989958988562719</v>
      </c>
      <c r="R256" s="647">
        <v>2.6636182112305002</v>
      </c>
      <c r="S256" s="647">
        <v>1352.8239014251965</v>
      </c>
      <c r="U256" s="646" t="s">
        <v>83</v>
      </c>
      <c r="V256" s="647">
        <v>1.2150050536449819</v>
      </c>
      <c r="W256" s="647">
        <v>0</v>
      </c>
      <c r="X256" s="647">
        <v>49.521889634108419</v>
      </c>
      <c r="Y256" s="647">
        <v>79.066149235448464</v>
      </c>
      <c r="Z256" s="647">
        <v>0</v>
      </c>
      <c r="AA256" s="647">
        <v>0</v>
      </c>
      <c r="AB256" s="647">
        <v>79.773094350274206</v>
      </c>
      <c r="AC256" s="647">
        <v>5.0087997966748192</v>
      </c>
      <c r="AD256" s="647">
        <v>73.574169013595338</v>
      </c>
      <c r="AE256" s="647">
        <v>57.347973175472191</v>
      </c>
      <c r="AF256" s="647">
        <v>103.02458403584798</v>
      </c>
      <c r="AG256" s="647">
        <v>7.0275496078674458</v>
      </c>
      <c r="AH256" s="647">
        <v>507.01391311627498</v>
      </c>
      <c r="AI256" s="647">
        <v>68.794771845590574</v>
      </c>
      <c r="AJ256" s="647">
        <v>13.478473773184128</v>
      </c>
      <c r="AK256" s="647">
        <v>1044.8463726379837</v>
      </c>
    </row>
    <row r="257" spans="3:37" ht="13.5">
      <c r="C257" s="641" t="s">
        <v>84</v>
      </c>
      <c r="D257" s="642">
        <v>0</v>
      </c>
      <c r="E257" s="642">
        <v>0</v>
      </c>
      <c r="F257" s="642">
        <v>106.83242416715484</v>
      </c>
      <c r="G257" s="642">
        <v>11.6186457489655</v>
      </c>
      <c r="H257" s="642">
        <v>0</v>
      </c>
      <c r="I257" s="642">
        <v>0</v>
      </c>
      <c r="J257" s="642">
        <v>0</v>
      </c>
      <c r="K257" s="642">
        <v>0</v>
      </c>
      <c r="L257" s="642">
        <v>0</v>
      </c>
      <c r="M257" s="642">
        <v>0</v>
      </c>
      <c r="N257" s="642">
        <v>0</v>
      </c>
      <c r="O257" s="642">
        <v>0</v>
      </c>
      <c r="P257" s="642">
        <v>0</v>
      </c>
      <c r="Q257" s="642">
        <v>0</v>
      </c>
      <c r="R257" s="642">
        <v>2.4159251561316859</v>
      </c>
      <c r="S257" s="650">
        <v>120.86699507225204</v>
      </c>
      <c r="U257" s="641" t="s">
        <v>84</v>
      </c>
      <c r="V257" s="642">
        <v>0</v>
      </c>
      <c r="W257" s="642">
        <v>0</v>
      </c>
      <c r="X257" s="642">
        <v>75.791608178670685</v>
      </c>
      <c r="Y257" s="642">
        <v>0.94004440148578539</v>
      </c>
      <c r="Z257" s="642">
        <v>0</v>
      </c>
      <c r="AA257" s="642">
        <v>0</v>
      </c>
      <c r="AB257" s="642">
        <v>0</v>
      </c>
      <c r="AC257" s="642">
        <v>0</v>
      </c>
      <c r="AD257" s="642">
        <v>21.99170920776367</v>
      </c>
      <c r="AE257" s="642">
        <v>0</v>
      </c>
      <c r="AF257" s="642">
        <v>0</v>
      </c>
      <c r="AG257" s="642">
        <v>0</v>
      </c>
      <c r="AH257" s="642">
        <v>0</v>
      </c>
      <c r="AI257" s="642">
        <v>0</v>
      </c>
      <c r="AJ257" s="642">
        <v>14.689922984619141</v>
      </c>
      <c r="AK257" s="650">
        <v>113.41328477253928</v>
      </c>
    </row>
    <row r="258" spans="3:37" ht="13.5">
      <c r="C258" s="646" t="s">
        <v>85</v>
      </c>
      <c r="D258" s="647">
        <v>4.9901668745901624</v>
      </c>
      <c r="E258" s="647">
        <v>0</v>
      </c>
      <c r="F258" s="647">
        <v>409.15632330599311</v>
      </c>
      <c r="G258" s="647">
        <v>282.17101066703543</v>
      </c>
      <c r="H258" s="647">
        <v>0</v>
      </c>
      <c r="I258" s="647">
        <v>0</v>
      </c>
      <c r="J258" s="647">
        <v>116.66807808287251</v>
      </c>
      <c r="K258" s="647">
        <v>1.7728349726366477</v>
      </c>
      <c r="L258" s="647">
        <v>26.788737867246695</v>
      </c>
      <c r="M258" s="647">
        <v>5.5399541720294136</v>
      </c>
      <c r="N258" s="647">
        <v>65.898689554178929</v>
      </c>
      <c r="O258" s="647">
        <v>2.8488909693950797</v>
      </c>
      <c r="P258" s="647">
        <v>517.78670767554593</v>
      </c>
      <c r="Q258" s="647">
        <v>34.989958988562719</v>
      </c>
      <c r="R258" s="647">
        <v>5.0795433673621861</v>
      </c>
      <c r="S258" s="647">
        <v>1473.6908964974484</v>
      </c>
      <c r="U258" s="646" t="s">
        <v>85</v>
      </c>
      <c r="V258" s="647">
        <v>1.2150050536449819</v>
      </c>
      <c r="W258" s="647">
        <v>0</v>
      </c>
      <c r="X258" s="647">
        <v>125.31349781277912</v>
      </c>
      <c r="Y258" s="647">
        <v>80.006193636934256</v>
      </c>
      <c r="Z258" s="647">
        <v>0</v>
      </c>
      <c r="AA258" s="647">
        <v>0</v>
      </c>
      <c r="AB258" s="647">
        <v>79.773094350274206</v>
      </c>
      <c r="AC258" s="647">
        <v>5.0087997966748192</v>
      </c>
      <c r="AD258" s="647">
        <v>95.565878221359014</v>
      </c>
      <c r="AE258" s="647">
        <v>57.347973175472191</v>
      </c>
      <c r="AF258" s="647">
        <v>103.02458403584798</v>
      </c>
      <c r="AG258" s="647">
        <v>7.0275496078674458</v>
      </c>
      <c r="AH258" s="647">
        <v>507.01391311627498</v>
      </c>
      <c r="AI258" s="647">
        <v>68.794771845590574</v>
      </c>
      <c r="AJ258" s="647">
        <v>28.168396757803269</v>
      </c>
      <c r="AK258" s="647">
        <v>1158.2596574105228</v>
      </c>
    </row>
    <row r="259" spans="3:37" ht="13">
      <c r="C259" s="636"/>
      <c r="D259" s="636"/>
      <c r="E259" s="636"/>
      <c r="F259" s="636"/>
      <c r="G259" s="636"/>
      <c r="H259" s="636"/>
      <c r="I259" s="636"/>
      <c r="J259" s="636"/>
      <c r="K259" s="636"/>
      <c r="L259" s="636"/>
      <c r="M259" s="636"/>
      <c r="N259" s="636"/>
      <c r="O259" s="636"/>
      <c r="P259" s="636"/>
      <c r="Q259" s="636"/>
      <c r="R259" s="636"/>
      <c r="S259" s="636"/>
      <c r="U259" s="636"/>
      <c r="V259" s="636"/>
      <c r="W259" s="636"/>
      <c r="X259" s="636"/>
      <c r="Y259" s="636"/>
      <c r="Z259" s="636"/>
      <c r="AA259" s="636"/>
      <c r="AB259" s="636"/>
      <c r="AC259" s="636"/>
      <c r="AD259" s="636"/>
      <c r="AE259" s="636"/>
      <c r="AF259" s="636"/>
      <c r="AG259" s="636"/>
      <c r="AH259" s="636"/>
      <c r="AI259" s="636"/>
      <c r="AJ259" s="636"/>
      <c r="AK259" s="636"/>
    </row>
    <row r="260" spans="3:37" ht="22.5">
      <c r="C260" s="699" t="s">
        <v>364</v>
      </c>
      <c r="D260" s="699"/>
      <c r="E260" s="699"/>
      <c r="F260" s="699"/>
      <c r="G260" s="699"/>
      <c r="H260" s="699"/>
      <c r="I260" s="699"/>
      <c r="J260" s="699"/>
      <c r="K260" s="699"/>
      <c r="L260" s="699"/>
      <c r="M260" s="699"/>
      <c r="N260" s="699"/>
      <c r="O260" s="699"/>
      <c r="P260" s="699"/>
      <c r="Q260" s="699"/>
      <c r="R260" s="699"/>
      <c r="S260" s="699"/>
      <c r="U260" s="699" t="s">
        <v>364</v>
      </c>
      <c r="V260" s="699"/>
      <c r="W260" s="699"/>
      <c r="X260" s="699"/>
      <c r="Y260" s="699"/>
      <c r="Z260" s="699"/>
      <c r="AA260" s="699"/>
      <c r="AB260" s="699"/>
      <c r="AC260" s="699"/>
      <c r="AD260" s="699"/>
      <c r="AE260" s="699"/>
      <c r="AF260" s="699"/>
      <c r="AG260" s="699"/>
      <c r="AH260" s="699"/>
      <c r="AI260" s="699"/>
      <c r="AJ260" s="699"/>
      <c r="AK260" s="699"/>
    </row>
    <row r="261" spans="3:37" ht="13">
      <c r="C261" s="636"/>
      <c r="D261" s="636"/>
      <c r="E261" s="636"/>
      <c r="F261" s="636"/>
      <c r="G261" s="636"/>
      <c r="H261" s="636"/>
      <c r="I261" s="636"/>
      <c r="J261" s="636"/>
      <c r="K261" s="636"/>
      <c r="L261" s="636"/>
      <c r="M261" s="636"/>
      <c r="N261" s="636"/>
      <c r="O261" s="636"/>
      <c r="P261" s="636"/>
      <c r="Q261" s="636"/>
      <c r="R261" s="636"/>
      <c r="S261" s="636"/>
      <c r="U261" s="636"/>
      <c r="V261" s="636"/>
      <c r="W261" s="636"/>
      <c r="X261" s="636"/>
      <c r="Y261" s="636"/>
      <c r="Z261" s="636"/>
      <c r="AA261" s="636"/>
      <c r="AB261" s="636"/>
      <c r="AC261" s="636"/>
      <c r="AD261" s="636"/>
      <c r="AE261" s="636"/>
      <c r="AF261" s="636"/>
      <c r="AG261" s="636"/>
      <c r="AH261" s="636"/>
      <c r="AI261" s="636"/>
      <c r="AJ261" s="636"/>
      <c r="AK261" s="636"/>
    </row>
    <row r="262" spans="3:37" ht="13" customHeight="1">
      <c r="C262" s="700" t="s">
        <v>128</v>
      </c>
      <c r="D262" s="701" t="s">
        <v>42</v>
      </c>
      <c r="E262" s="701" t="s">
        <v>52</v>
      </c>
      <c r="F262" s="701" t="s">
        <v>53</v>
      </c>
      <c r="G262" s="701" t="s">
        <v>32</v>
      </c>
      <c r="H262" s="701" t="s">
        <v>20</v>
      </c>
      <c r="I262" s="701" t="s">
        <v>55</v>
      </c>
      <c r="J262" s="701" t="s">
        <v>56</v>
      </c>
      <c r="K262" s="701"/>
      <c r="L262" s="701"/>
      <c r="M262" s="701"/>
      <c r="N262" s="701"/>
      <c r="O262" s="701"/>
      <c r="P262" s="701" t="s">
        <v>57</v>
      </c>
      <c r="Q262" s="701" t="s">
        <v>58</v>
      </c>
      <c r="R262" s="701" t="s">
        <v>31</v>
      </c>
      <c r="S262" s="701" t="s">
        <v>10</v>
      </c>
      <c r="U262" s="700" t="s">
        <v>128</v>
      </c>
      <c r="V262" s="701" t="s">
        <v>42</v>
      </c>
      <c r="W262" s="701" t="s">
        <v>52</v>
      </c>
      <c r="X262" s="701" t="s">
        <v>53</v>
      </c>
      <c r="Y262" s="701" t="s">
        <v>32</v>
      </c>
      <c r="Z262" s="701" t="s">
        <v>20</v>
      </c>
      <c r="AA262" s="701" t="s">
        <v>55</v>
      </c>
      <c r="AB262" s="701" t="s">
        <v>56</v>
      </c>
      <c r="AC262" s="701"/>
      <c r="AD262" s="701"/>
      <c r="AE262" s="701"/>
      <c r="AF262" s="701"/>
      <c r="AG262" s="701"/>
      <c r="AH262" s="701" t="s">
        <v>57</v>
      </c>
      <c r="AI262" s="701" t="s">
        <v>58</v>
      </c>
      <c r="AJ262" s="701" t="s">
        <v>31</v>
      </c>
      <c r="AK262" s="701" t="s">
        <v>10</v>
      </c>
    </row>
    <row r="263" spans="3:37" ht="46">
      <c r="C263" s="700"/>
      <c r="D263" s="701"/>
      <c r="E263" s="701"/>
      <c r="F263" s="701"/>
      <c r="G263" s="701"/>
      <c r="H263" s="701"/>
      <c r="I263" s="701"/>
      <c r="J263" s="640" t="s">
        <v>338</v>
      </c>
      <c r="K263" s="640" t="s">
        <v>40</v>
      </c>
      <c r="L263" s="640" t="s">
        <v>346</v>
      </c>
      <c r="M263" s="640" t="s">
        <v>347</v>
      </c>
      <c r="N263" s="640" t="s">
        <v>348</v>
      </c>
      <c r="O263" s="640" t="s">
        <v>349</v>
      </c>
      <c r="P263" s="701"/>
      <c r="Q263" s="701"/>
      <c r="R263" s="701"/>
      <c r="S263" s="701"/>
      <c r="U263" s="700"/>
      <c r="V263" s="701"/>
      <c r="W263" s="701"/>
      <c r="X263" s="701"/>
      <c r="Y263" s="701"/>
      <c r="Z263" s="701"/>
      <c r="AA263" s="701"/>
      <c r="AB263" s="640" t="s">
        <v>338</v>
      </c>
      <c r="AC263" s="640" t="s">
        <v>40</v>
      </c>
      <c r="AD263" s="640" t="s">
        <v>346</v>
      </c>
      <c r="AE263" s="640" t="s">
        <v>347</v>
      </c>
      <c r="AF263" s="640" t="s">
        <v>348</v>
      </c>
      <c r="AG263" s="640" t="s">
        <v>349</v>
      </c>
      <c r="AH263" s="701"/>
      <c r="AI263" s="701"/>
      <c r="AJ263" s="701"/>
      <c r="AK263" s="701"/>
    </row>
    <row r="264" spans="3:37" ht="13.5">
      <c r="C264" s="641" t="s">
        <v>59</v>
      </c>
      <c r="D264" s="642">
        <v>0</v>
      </c>
      <c r="E264" s="643">
        <v>0</v>
      </c>
      <c r="F264" s="643">
        <v>0</v>
      </c>
      <c r="G264" s="642">
        <v>0</v>
      </c>
      <c r="H264" s="643">
        <v>843.18181818181824</v>
      </c>
      <c r="I264" s="643">
        <v>306.94588327561422</v>
      </c>
      <c r="J264" s="643">
        <v>187.92158364867245</v>
      </c>
      <c r="K264" s="643">
        <v>20.316638839186872</v>
      </c>
      <c r="L264" s="643">
        <v>0.58650482505924006</v>
      </c>
      <c r="M264" s="643">
        <v>0.15964026893196048</v>
      </c>
      <c r="N264" s="643">
        <v>67.964408038916218</v>
      </c>
      <c r="O264" s="643">
        <v>11.973026235836867</v>
      </c>
      <c r="P264" s="644">
        <v>0</v>
      </c>
      <c r="Q264" s="643">
        <v>0</v>
      </c>
      <c r="R264" s="643">
        <v>0</v>
      </c>
      <c r="S264" s="645">
        <v>1439.0495033140362</v>
      </c>
      <c r="U264" s="641" t="s">
        <v>59</v>
      </c>
      <c r="V264" s="642">
        <v>0</v>
      </c>
      <c r="W264" s="643">
        <v>0</v>
      </c>
      <c r="X264" s="643">
        <v>0</v>
      </c>
      <c r="Y264" s="642">
        <v>0</v>
      </c>
      <c r="Z264" s="643">
        <v>842.12121212121212</v>
      </c>
      <c r="AA264" s="643">
        <v>361.66588327561419</v>
      </c>
      <c r="AB264" s="643">
        <v>209.7499476733077</v>
      </c>
      <c r="AC264" s="643">
        <v>36.742499370225779</v>
      </c>
      <c r="AD264" s="643">
        <v>0.58650482505924006</v>
      </c>
      <c r="AE264" s="643">
        <v>0.15964026893196048</v>
      </c>
      <c r="AF264" s="643">
        <v>109.8518848230913</v>
      </c>
      <c r="AG264" s="643">
        <v>27.041217028647232</v>
      </c>
      <c r="AH264" s="644">
        <v>0</v>
      </c>
      <c r="AI264" s="643">
        <v>0</v>
      </c>
      <c r="AJ264" s="643">
        <v>0</v>
      </c>
      <c r="AK264" s="645">
        <v>1587.9187893860897</v>
      </c>
    </row>
    <row r="265" spans="3:37" ht="13.5">
      <c r="C265" s="641" t="s">
        <v>60</v>
      </c>
      <c r="D265" s="642">
        <v>47.14481987923083</v>
      </c>
      <c r="E265" s="643">
        <v>484.495467583368</v>
      </c>
      <c r="F265" s="643">
        <v>50.019697053221719</v>
      </c>
      <c r="G265" s="642">
        <v>326.09010493911637</v>
      </c>
      <c r="H265" s="643">
        <v>0</v>
      </c>
      <c r="I265" s="643">
        <v>0</v>
      </c>
      <c r="J265" s="643">
        <v>5.0764589906360387</v>
      </c>
      <c r="K265" s="643">
        <v>0</v>
      </c>
      <c r="L265" s="643">
        <v>2.7571319279134792</v>
      </c>
      <c r="M265" s="643">
        <v>0</v>
      </c>
      <c r="N265" s="643">
        <v>0</v>
      </c>
      <c r="O265" s="643">
        <v>0</v>
      </c>
      <c r="P265" s="644">
        <v>0</v>
      </c>
      <c r="Q265" s="643">
        <v>0</v>
      </c>
      <c r="R265" s="643">
        <v>0</v>
      </c>
      <c r="S265" s="645">
        <v>915.58368037348657</v>
      </c>
      <c r="U265" s="641" t="s">
        <v>60</v>
      </c>
      <c r="V265" s="642">
        <v>5.8768320762591904</v>
      </c>
      <c r="W265" s="643">
        <v>189.94114801549574</v>
      </c>
      <c r="X265" s="643">
        <v>14.41607041492888</v>
      </c>
      <c r="Y265" s="642">
        <v>81.728531694283333</v>
      </c>
      <c r="Z265" s="643">
        <v>0</v>
      </c>
      <c r="AA265" s="643">
        <v>0</v>
      </c>
      <c r="AB265" s="643">
        <v>5.0764589906360387</v>
      </c>
      <c r="AC265" s="643">
        <v>0</v>
      </c>
      <c r="AD265" s="643">
        <v>2.7571319279134792</v>
      </c>
      <c r="AE265" s="643">
        <v>0</v>
      </c>
      <c r="AF265" s="643">
        <v>0</v>
      </c>
      <c r="AG265" s="643">
        <v>0</v>
      </c>
      <c r="AH265" s="644">
        <v>0</v>
      </c>
      <c r="AI265" s="643">
        <v>0</v>
      </c>
      <c r="AJ265" s="643">
        <v>0</v>
      </c>
      <c r="AK265" s="645">
        <v>299.79617311951665</v>
      </c>
    </row>
    <row r="266" spans="3:37" ht="13.5">
      <c r="C266" s="641" t="s">
        <v>61</v>
      </c>
      <c r="D266" s="642">
        <v>0</v>
      </c>
      <c r="E266" s="643">
        <v>0</v>
      </c>
      <c r="F266" s="643">
        <v>0</v>
      </c>
      <c r="G266" s="642">
        <v>0</v>
      </c>
      <c r="H266" s="643">
        <v>0</v>
      </c>
      <c r="I266" s="643">
        <v>0</v>
      </c>
      <c r="J266" s="643">
        <v>0</v>
      </c>
      <c r="K266" s="643">
        <v>0</v>
      </c>
      <c r="L266" s="643">
        <v>0</v>
      </c>
      <c r="M266" s="643">
        <v>0</v>
      </c>
      <c r="N266" s="643">
        <v>0</v>
      </c>
      <c r="O266" s="643">
        <v>0</v>
      </c>
      <c r="P266" s="644">
        <v>-16.706363002811486</v>
      </c>
      <c r="Q266" s="643">
        <v>0</v>
      </c>
      <c r="R266" s="643">
        <v>0</v>
      </c>
      <c r="S266" s="645">
        <v>-16.706363002811486</v>
      </c>
      <c r="U266" s="641" t="s">
        <v>61</v>
      </c>
      <c r="V266" s="642">
        <v>0</v>
      </c>
      <c r="W266" s="643">
        <v>0</v>
      </c>
      <c r="X266" s="643">
        <v>-18.378136852904419</v>
      </c>
      <c r="Y266" s="642">
        <v>0</v>
      </c>
      <c r="Z266" s="643">
        <v>0</v>
      </c>
      <c r="AA266" s="643">
        <v>0</v>
      </c>
      <c r="AB266" s="643">
        <v>0</v>
      </c>
      <c r="AC266" s="643">
        <v>0</v>
      </c>
      <c r="AD266" s="643">
        <v>0</v>
      </c>
      <c r="AE266" s="643">
        <v>0</v>
      </c>
      <c r="AF266" s="643">
        <v>0</v>
      </c>
      <c r="AG266" s="643">
        <v>0</v>
      </c>
      <c r="AH266" s="644">
        <v>-20.522831714543145</v>
      </c>
      <c r="AI266" s="643">
        <v>0</v>
      </c>
      <c r="AJ266" s="643">
        <v>0</v>
      </c>
      <c r="AK266" s="645">
        <v>-38.900968567447563</v>
      </c>
    </row>
    <row r="267" spans="3:37" ht="13.5">
      <c r="C267" s="641" t="s">
        <v>62</v>
      </c>
      <c r="D267" s="642">
        <v>0</v>
      </c>
      <c r="E267" s="643">
        <v>0</v>
      </c>
      <c r="F267" s="643">
        <v>-15.257294848391862</v>
      </c>
      <c r="G267" s="642">
        <v>0</v>
      </c>
      <c r="H267" s="643">
        <v>0</v>
      </c>
      <c r="I267" s="643">
        <v>0</v>
      </c>
      <c r="J267" s="643">
        <v>0</v>
      </c>
      <c r="K267" s="643">
        <v>0</v>
      </c>
      <c r="L267" s="643">
        <v>0</v>
      </c>
      <c r="M267" s="643">
        <v>0</v>
      </c>
      <c r="N267" s="643">
        <v>0</v>
      </c>
      <c r="O267" s="643">
        <v>0</v>
      </c>
      <c r="P267" s="644">
        <v>0</v>
      </c>
      <c r="Q267" s="643">
        <v>0</v>
      </c>
      <c r="R267" s="643">
        <v>0</v>
      </c>
      <c r="S267" s="645">
        <v>-15.257294848391862</v>
      </c>
      <c r="U267" s="641" t="s">
        <v>62</v>
      </c>
      <c r="V267" s="642">
        <v>0</v>
      </c>
      <c r="W267" s="643">
        <v>0</v>
      </c>
      <c r="X267" s="643">
        <v>-7.5188933675233587</v>
      </c>
      <c r="Y267" s="642">
        <v>-2.1851276585702322</v>
      </c>
      <c r="Z267" s="643">
        <v>0</v>
      </c>
      <c r="AA267" s="643">
        <v>0</v>
      </c>
      <c r="AB267" s="643">
        <v>0</v>
      </c>
      <c r="AC267" s="643">
        <v>0</v>
      </c>
      <c r="AD267" s="643">
        <v>0</v>
      </c>
      <c r="AE267" s="643">
        <v>-2.1851276585702322</v>
      </c>
      <c r="AF267" s="643">
        <v>0</v>
      </c>
      <c r="AG267" s="643">
        <v>0</v>
      </c>
      <c r="AH267" s="644">
        <v>0</v>
      </c>
      <c r="AI267" s="643">
        <v>0</v>
      </c>
      <c r="AJ267" s="643">
        <v>0</v>
      </c>
      <c r="AK267" s="645">
        <v>-11.889148684663823</v>
      </c>
    </row>
    <row r="268" spans="3:37" ht="13.5">
      <c r="C268" s="641" t="s">
        <v>63</v>
      </c>
      <c r="D268" s="642">
        <v>0</v>
      </c>
      <c r="E268" s="643">
        <v>0</v>
      </c>
      <c r="F268" s="643">
        <v>-90.982589622358091</v>
      </c>
      <c r="G268" s="642">
        <v>0</v>
      </c>
      <c r="H268" s="643">
        <v>0</v>
      </c>
      <c r="I268" s="643">
        <v>0</v>
      </c>
      <c r="J268" s="643">
        <v>0</v>
      </c>
      <c r="K268" s="643">
        <v>0</v>
      </c>
      <c r="L268" s="643">
        <v>-0.93561585486744514</v>
      </c>
      <c r="M268" s="643">
        <v>0</v>
      </c>
      <c r="N268" s="643">
        <v>0</v>
      </c>
      <c r="O268" s="643">
        <v>0</v>
      </c>
      <c r="P268" s="644">
        <v>0</v>
      </c>
      <c r="Q268" s="643">
        <v>0</v>
      </c>
      <c r="R268" s="643">
        <v>0</v>
      </c>
      <c r="S268" s="645">
        <v>-91.918205477225541</v>
      </c>
      <c r="U268" s="641" t="s">
        <v>63</v>
      </c>
      <c r="V268" s="642">
        <v>0</v>
      </c>
      <c r="W268" s="643">
        <v>0</v>
      </c>
      <c r="X268" s="643">
        <v>-53.656928796434556</v>
      </c>
      <c r="Y268" s="642">
        <v>0</v>
      </c>
      <c r="Z268" s="643">
        <v>0</v>
      </c>
      <c r="AA268" s="643">
        <v>0</v>
      </c>
      <c r="AB268" s="643">
        <v>0</v>
      </c>
      <c r="AC268" s="643">
        <v>0</v>
      </c>
      <c r="AD268" s="643">
        <v>-28.297456853591466</v>
      </c>
      <c r="AE268" s="643">
        <v>0</v>
      </c>
      <c r="AF268" s="643">
        <v>0</v>
      </c>
      <c r="AG268" s="643">
        <v>0</v>
      </c>
      <c r="AH268" s="644">
        <v>0</v>
      </c>
      <c r="AI268" s="643">
        <v>0</v>
      </c>
      <c r="AJ268" s="643">
        <v>0</v>
      </c>
      <c r="AK268" s="645">
        <v>-81.954385650026026</v>
      </c>
    </row>
    <row r="269" spans="3:37" ht="13.5">
      <c r="C269" s="641" t="s">
        <v>64</v>
      </c>
      <c r="D269" s="642">
        <v>0</v>
      </c>
      <c r="E269" s="643">
        <v>0</v>
      </c>
      <c r="F269" s="643">
        <v>0</v>
      </c>
      <c r="G269" s="642">
        <v>0</v>
      </c>
      <c r="H269" s="643">
        <v>0</v>
      </c>
      <c r="I269" s="643">
        <v>0</v>
      </c>
      <c r="J269" s="643">
        <v>0</v>
      </c>
      <c r="K269" s="643">
        <v>0</v>
      </c>
      <c r="L269" s="643">
        <v>0</v>
      </c>
      <c r="M269" s="643">
        <v>0</v>
      </c>
      <c r="N269" s="643">
        <v>0</v>
      </c>
      <c r="O269" s="643">
        <v>0</v>
      </c>
      <c r="P269" s="644">
        <v>0</v>
      </c>
      <c r="Q269" s="643">
        <v>0</v>
      </c>
      <c r="R269" s="643">
        <v>0</v>
      </c>
      <c r="S269" s="645">
        <v>0</v>
      </c>
      <c r="U269" s="641" t="s">
        <v>64</v>
      </c>
      <c r="V269" s="642">
        <v>0</v>
      </c>
      <c r="W269" s="643">
        <v>0</v>
      </c>
      <c r="X269" s="643">
        <v>0</v>
      </c>
      <c r="Y269" s="642">
        <v>0</v>
      </c>
      <c r="Z269" s="643">
        <v>0</v>
      </c>
      <c r="AA269" s="643">
        <v>0</v>
      </c>
      <c r="AB269" s="643">
        <v>0</v>
      </c>
      <c r="AC269" s="643">
        <v>0</v>
      </c>
      <c r="AD269" s="643">
        <v>0</v>
      </c>
      <c r="AE269" s="643">
        <v>0</v>
      </c>
      <c r="AF269" s="643">
        <v>0</v>
      </c>
      <c r="AG269" s="643">
        <v>0</v>
      </c>
      <c r="AH269" s="644">
        <v>0</v>
      </c>
      <c r="AI269" s="643">
        <v>0</v>
      </c>
      <c r="AJ269" s="643">
        <v>0</v>
      </c>
      <c r="AK269" s="645">
        <v>0</v>
      </c>
    </row>
    <row r="270" spans="3:37" ht="13.5">
      <c r="C270" s="646" t="s">
        <v>65</v>
      </c>
      <c r="D270" s="647">
        <v>47.14481987923083</v>
      </c>
      <c r="E270" s="647">
        <v>484.495467583368</v>
      </c>
      <c r="F270" s="647">
        <v>-56.220187417528237</v>
      </c>
      <c r="G270" s="647">
        <v>326.09010493911637</v>
      </c>
      <c r="H270" s="647">
        <v>843.18181818181824</v>
      </c>
      <c r="I270" s="647">
        <v>306.94588327561422</v>
      </c>
      <c r="J270" s="647">
        <v>192.99804263930849</v>
      </c>
      <c r="K270" s="647">
        <v>20.316638839186872</v>
      </c>
      <c r="L270" s="647">
        <v>2.4080208981052738</v>
      </c>
      <c r="M270" s="647">
        <v>0.15964026893196048</v>
      </c>
      <c r="N270" s="647">
        <v>67.964408038916218</v>
      </c>
      <c r="O270" s="647">
        <v>11.973026235836867</v>
      </c>
      <c r="P270" s="647">
        <v>-16.706363002811486</v>
      </c>
      <c r="Q270" s="647">
        <v>0</v>
      </c>
      <c r="R270" s="647">
        <v>0</v>
      </c>
      <c r="S270" s="647">
        <v>2230.7513203590943</v>
      </c>
      <c r="U270" s="646" t="s">
        <v>65</v>
      </c>
      <c r="V270" s="647">
        <v>5.8768320762591904</v>
      </c>
      <c r="W270" s="647">
        <v>189.94114801549574</v>
      </c>
      <c r="X270" s="647">
        <v>-65.137888601933454</v>
      </c>
      <c r="Y270" s="647">
        <v>79.543404035713095</v>
      </c>
      <c r="Z270" s="647">
        <v>842.12121212121212</v>
      </c>
      <c r="AA270" s="647">
        <v>361.66588327561419</v>
      </c>
      <c r="AB270" s="647">
        <v>214.82640666394374</v>
      </c>
      <c r="AC270" s="647">
        <v>36.742499370225779</v>
      </c>
      <c r="AD270" s="647">
        <v>-24.953820100618749</v>
      </c>
      <c r="AE270" s="647">
        <v>-2.0254873896382719</v>
      </c>
      <c r="AF270" s="647">
        <v>109.8518848230913</v>
      </c>
      <c r="AG270" s="647">
        <v>27.041217028647232</v>
      </c>
      <c r="AH270" s="647">
        <v>-20.522831714543145</v>
      </c>
      <c r="AI270" s="647">
        <v>0</v>
      </c>
      <c r="AJ270" s="647">
        <v>0</v>
      </c>
      <c r="AK270" s="647">
        <v>1754.970459603469</v>
      </c>
    </row>
    <row r="271" spans="3:37" ht="13">
      <c r="C271" s="636"/>
      <c r="D271" s="636">
        <v>0</v>
      </c>
      <c r="E271" s="636">
        <v>0</v>
      </c>
      <c r="F271" s="636">
        <v>0</v>
      </c>
      <c r="G271" s="636">
        <v>0</v>
      </c>
      <c r="H271" s="636">
        <v>0</v>
      </c>
      <c r="I271" s="636">
        <v>0</v>
      </c>
      <c r="J271" s="636">
        <v>0</v>
      </c>
      <c r="K271" s="636">
        <v>0</v>
      </c>
      <c r="L271" s="636">
        <v>0</v>
      </c>
      <c r="M271" s="636">
        <v>0</v>
      </c>
      <c r="N271" s="636">
        <v>0</v>
      </c>
      <c r="O271" s="636">
        <v>0</v>
      </c>
      <c r="P271" s="636">
        <v>0</v>
      </c>
      <c r="Q271" s="636">
        <v>0</v>
      </c>
      <c r="R271" s="636">
        <v>0</v>
      </c>
      <c r="S271" s="636">
        <v>0</v>
      </c>
      <c r="U271" s="636"/>
      <c r="V271" s="636">
        <v>0</v>
      </c>
      <c r="W271" s="636">
        <v>0</v>
      </c>
      <c r="X271" s="636">
        <v>0</v>
      </c>
      <c r="Y271" s="636">
        <v>0</v>
      </c>
      <c r="Z271" s="636">
        <v>0</v>
      </c>
      <c r="AA271" s="636">
        <v>0</v>
      </c>
      <c r="AB271" s="636">
        <v>0</v>
      </c>
      <c r="AC271" s="636">
        <v>0</v>
      </c>
      <c r="AD271" s="636">
        <v>0</v>
      </c>
      <c r="AE271" s="636">
        <v>0</v>
      </c>
      <c r="AF271" s="636">
        <v>0</v>
      </c>
      <c r="AG271" s="636">
        <v>0</v>
      </c>
      <c r="AH271" s="636">
        <v>0</v>
      </c>
      <c r="AI271" s="636">
        <v>0</v>
      </c>
      <c r="AJ271" s="636">
        <v>0</v>
      </c>
      <c r="AK271" s="636">
        <v>0</v>
      </c>
    </row>
    <row r="272" spans="3:37" ht="13.5">
      <c r="C272" s="648" t="s">
        <v>67</v>
      </c>
      <c r="D272" s="642">
        <v>0</v>
      </c>
      <c r="E272" s="649">
        <v>0</v>
      </c>
      <c r="F272" s="649">
        <v>0</v>
      </c>
      <c r="G272" s="642">
        <v>0</v>
      </c>
      <c r="H272" s="642">
        <v>0</v>
      </c>
      <c r="I272" s="642">
        <v>0</v>
      </c>
      <c r="J272" s="642">
        <v>0</v>
      </c>
      <c r="K272" s="642">
        <v>0</v>
      </c>
      <c r="L272" s="642">
        <v>0</v>
      </c>
      <c r="M272" s="642">
        <v>0</v>
      </c>
      <c r="N272" s="642">
        <v>0</v>
      </c>
      <c r="O272" s="642">
        <v>0</v>
      </c>
      <c r="P272" s="642">
        <v>0</v>
      </c>
      <c r="Q272" s="642">
        <v>0</v>
      </c>
      <c r="R272" s="642">
        <v>0</v>
      </c>
      <c r="S272" s="650">
        <v>0</v>
      </c>
      <c r="U272" s="648" t="s">
        <v>67</v>
      </c>
      <c r="V272" s="642">
        <v>0</v>
      </c>
      <c r="W272" s="649">
        <v>0</v>
      </c>
      <c r="X272" s="649">
        <v>0</v>
      </c>
      <c r="Y272" s="642">
        <v>0</v>
      </c>
      <c r="Z272" s="642">
        <v>0</v>
      </c>
      <c r="AA272" s="642">
        <v>0</v>
      </c>
      <c r="AB272" s="642">
        <v>0</v>
      </c>
      <c r="AC272" s="642">
        <v>0</v>
      </c>
      <c r="AD272" s="642">
        <v>0</v>
      </c>
      <c r="AE272" s="642">
        <v>0</v>
      </c>
      <c r="AF272" s="642">
        <v>0</v>
      </c>
      <c r="AG272" s="642">
        <v>0</v>
      </c>
      <c r="AH272" s="642">
        <v>0</v>
      </c>
      <c r="AI272" s="642">
        <v>0</v>
      </c>
      <c r="AJ272" s="642">
        <v>0</v>
      </c>
      <c r="AK272" s="650">
        <v>0</v>
      </c>
    </row>
    <row r="273" spans="3:37" ht="13.5">
      <c r="C273" s="648" t="s">
        <v>350</v>
      </c>
      <c r="D273" s="642">
        <v>2.8267856410252494</v>
      </c>
      <c r="E273" s="642">
        <v>0</v>
      </c>
      <c r="F273" s="642">
        <v>7.9230776783294274</v>
      </c>
      <c r="G273" s="642">
        <v>16.680851063829788</v>
      </c>
      <c r="H273" s="642">
        <v>843.18181818181824</v>
      </c>
      <c r="I273" s="642">
        <v>306.94588327561422</v>
      </c>
      <c r="J273" s="651">
        <v>28.98717588629853</v>
      </c>
      <c r="K273" s="651">
        <v>6.5903281241207718</v>
      </c>
      <c r="L273" s="651">
        <v>3.3436367529727189</v>
      </c>
      <c r="M273" s="651">
        <v>0.46654149749263618</v>
      </c>
      <c r="N273" s="651">
        <v>0</v>
      </c>
      <c r="O273" s="651">
        <v>7.0184114557160298</v>
      </c>
      <c r="P273" s="642">
        <v>-616.92993037811448</v>
      </c>
      <c r="Q273" s="642">
        <v>0</v>
      </c>
      <c r="R273" s="642">
        <v>0</v>
      </c>
      <c r="S273" s="650">
        <v>607.03457917910316</v>
      </c>
      <c r="U273" s="648" t="s">
        <v>350</v>
      </c>
      <c r="V273" s="642">
        <v>0.62631490545869017</v>
      </c>
      <c r="W273" s="642">
        <v>0</v>
      </c>
      <c r="X273" s="642">
        <v>4.0594413146930641</v>
      </c>
      <c r="Y273" s="642">
        <v>2.3404255319148937</v>
      </c>
      <c r="Z273" s="642">
        <v>842.12121212121212</v>
      </c>
      <c r="AA273" s="642">
        <v>361.66588327561419</v>
      </c>
      <c r="AB273" s="651">
        <v>23.182357378111952</v>
      </c>
      <c r="AC273" s="651">
        <v>5.3775678130216455</v>
      </c>
      <c r="AD273" s="651">
        <v>3.3436367529727189</v>
      </c>
      <c r="AE273" s="651">
        <v>2.4665414974926363</v>
      </c>
      <c r="AF273" s="651">
        <v>0</v>
      </c>
      <c r="AG273" s="651">
        <v>7.0184114557160298</v>
      </c>
      <c r="AH273" s="642">
        <v>-662.7499303781143</v>
      </c>
      <c r="AI273" s="642">
        <v>0</v>
      </c>
      <c r="AJ273" s="642">
        <v>4.25</v>
      </c>
      <c r="AK273" s="650">
        <v>593.70186166809344</v>
      </c>
    </row>
    <row r="274" spans="3:37" ht="13.5">
      <c r="C274" s="648" t="s">
        <v>351</v>
      </c>
      <c r="D274" s="642">
        <v>0</v>
      </c>
      <c r="E274" s="642">
        <v>0</v>
      </c>
      <c r="F274" s="642">
        <v>0</v>
      </c>
      <c r="G274" s="642">
        <v>14.843815057329421</v>
      </c>
      <c r="H274" s="642">
        <v>0</v>
      </c>
      <c r="I274" s="642">
        <v>0</v>
      </c>
      <c r="J274" s="651">
        <v>12.357161229114668</v>
      </c>
      <c r="K274" s="651">
        <v>11.882304060636951</v>
      </c>
      <c r="L274" s="651">
        <v>0</v>
      </c>
      <c r="M274" s="651">
        <v>0.31804644322561132</v>
      </c>
      <c r="N274" s="651">
        <v>0</v>
      </c>
      <c r="O274" s="651">
        <v>2.0992086164963606</v>
      </c>
      <c r="P274" s="642">
        <v>0</v>
      </c>
      <c r="Q274" s="642">
        <v>-37.805081951347923</v>
      </c>
      <c r="R274" s="642">
        <v>0</v>
      </c>
      <c r="S274" s="650">
        <v>3.6954534554550835</v>
      </c>
      <c r="U274" s="648" t="s">
        <v>351</v>
      </c>
      <c r="V274" s="642">
        <v>0</v>
      </c>
      <c r="W274" s="642">
        <v>0</v>
      </c>
      <c r="X274" s="642">
        <v>0</v>
      </c>
      <c r="Y274" s="642">
        <v>6.4668066457611202</v>
      </c>
      <c r="Z274" s="642">
        <v>0</v>
      </c>
      <c r="AA274" s="642">
        <v>0</v>
      </c>
      <c r="AB274" s="651">
        <v>28.361573193229066</v>
      </c>
      <c r="AC274" s="651">
        <v>26.076316433417247</v>
      </c>
      <c r="AD274" s="651">
        <v>0</v>
      </c>
      <c r="AE274" s="651">
        <v>6.4819180878167435</v>
      </c>
      <c r="AF274" s="651">
        <v>0</v>
      </c>
      <c r="AG274" s="651">
        <v>12.550380584079129</v>
      </c>
      <c r="AH274" s="642">
        <v>0</v>
      </c>
      <c r="AI274" s="642">
        <v>-74.043519390541746</v>
      </c>
      <c r="AJ274" s="642">
        <v>0</v>
      </c>
      <c r="AK274" s="650">
        <v>5.8934755537615651</v>
      </c>
    </row>
    <row r="275" spans="3:37" ht="13.5">
      <c r="C275" s="648" t="s">
        <v>352</v>
      </c>
      <c r="D275" s="642">
        <v>0</v>
      </c>
      <c r="E275" s="642">
        <v>0</v>
      </c>
      <c r="F275" s="642">
        <v>0</v>
      </c>
      <c r="G275" s="642">
        <v>0</v>
      </c>
      <c r="H275" s="642">
        <v>0</v>
      </c>
      <c r="I275" s="642">
        <v>0</v>
      </c>
      <c r="J275" s="652">
        <v>6.8755991242523775</v>
      </c>
      <c r="K275" s="652">
        <v>0</v>
      </c>
      <c r="L275" s="652">
        <v>0</v>
      </c>
      <c r="M275" s="652">
        <v>-6.4200906822706569</v>
      </c>
      <c r="N275" s="652">
        <v>0</v>
      </c>
      <c r="O275" s="652">
        <v>0</v>
      </c>
      <c r="P275" s="642">
        <v>0</v>
      </c>
      <c r="Q275" s="642">
        <v>0</v>
      </c>
      <c r="R275" s="642">
        <v>0</v>
      </c>
      <c r="S275" s="650">
        <v>0.45550844198172058</v>
      </c>
      <c r="U275" s="648" t="s">
        <v>352</v>
      </c>
      <c r="V275" s="642">
        <v>0</v>
      </c>
      <c r="W275" s="642">
        <v>0</v>
      </c>
      <c r="X275" s="642">
        <v>0</v>
      </c>
      <c r="Y275" s="642">
        <v>0</v>
      </c>
      <c r="Z275" s="642">
        <v>0</v>
      </c>
      <c r="AA275" s="642">
        <v>0</v>
      </c>
      <c r="AB275" s="652">
        <v>86.654179241552072</v>
      </c>
      <c r="AC275" s="652">
        <v>0</v>
      </c>
      <c r="AD275" s="652">
        <v>0</v>
      </c>
      <c r="AE275" s="652">
        <v>-80.913339866799248</v>
      </c>
      <c r="AF275" s="652">
        <v>0</v>
      </c>
      <c r="AG275" s="652">
        <v>0</v>
      </c>
      <c r="AH275" s="642">
        <v>0</v>
      </c>
      <c r="AI275" s="642">
        <v>0</v>
      </c>
      <c r="AJ275" s="642">
        <v>0</v>
      </c>
      <c r="AK275" s="650">
        <v>5.7408393747528237</v>
      </c>
    </row>
    <row r="276" spans="3:37" ht="13.5">
      <c r="C276" s="648" t="s">
        <v>353</v>
      </c>
      <c r="D276" s="642">
        <v>0</v>
      </c>
      <c r="E276" s="642">
        <v>0</v>
      </c>
      <c r="F276" s="642">
        <v>0</v>
      </c>
      <c r="G276" s="642">
        <v>0</v>
      </c>
      <c r="H276" s="642">
        <v>0</v>
      </c>
      <c r="I276" s="642">
        <v>0</v>
      </c>
      <c r="J276" s="642">
        <v>0</v>
      </c>
      <c r="K276" s="642">
        <v>0</v>
      </c>
      <c r="L276" s="642">
        <v>0</v>
      </c>
      <c r="M276" s="642">
        <v>0</v>
      </c>
      <c r="N276" s="642">
        <v>0</v>
      </c>
      <c r="O276" s="642">
        <v>0</v>
      </c>
      <c r="P276" s="642">
        <v>0</v>
      </c>
      <c r="Q276" s="642">
        <v>0</v>
      </c>
      <c r="R276" s="642">
        <v>0</v>
      </c>
      <c r="S276" s="650">
        <v>0</v>
      </c>
      <c r="U276" s="648" t="s">
        <v>353</v>
      </c>
      <c r="V276" s="642">
        <v>0</v>
      </c>
      <c r="W276" s="642">
        <v>0</v>
      </c>
      <c r="X276" s="642">
        <v>0</v>
      </c>
      <c r="Y276" s="642">
        <v>0</v>
      </c>
      <c r="Z276" s="642">
        <v>0</v>
      </c>
      <c r="AA276" s="642">
        <v>0</v>
      </c>
      <c r="AB276" s="642">
        <v>0</v>
      </c>
      <c r="AC276" s="642">
        <v>0</v>
      </c>
      <c r="AD276" s="642">
        <v>0</v>
      </c>
      <c r="AE276" s="642">
        <v>0</v>
      </c>
      <c r="AF276" s="642">
        <v>0</v>
      </c>
      <c r="AG276" s="642">
        <v>0</v>
      </c>
      <c r="AH276" s="642">
        <v>0</v>
      </c>
      <c r="AI276" s="642">
        <v>0</v>
      </c>
      <c r="AJ276" s="642">
        <v>0</v>
      </c>
      <c r="AK276" s="650">
        <v>0</v>
      </c>
    </row>
    <row r="277" spans="3:37" ht="13.5">
      <c r="C277" s="648" t="s">
        <v>72</v>
      </c>
      <c r="D277" s="642">
        <v>0</v>
      </c>
      <c r="E277" s="642">
        <v>501.8858109321676</v>
      </c>
      <c r="F277" s="642">
        <v>-496.86695282284592</v>
      </c>
      <c r="G277" s="642">
        <v>0</v>
      </c>
      <c r="H277" s="642">
        <v>0</v>
      </c>
      <c r="I277" s="642">
        <v>0</v>
      </c>
      <c r="J277" s="642">
        <v>0</v>
      </c>
      <c r="K277" s="642">
        <v>0</v>
      </c>
      <c r="L277" s="642">
        <v>0</v>
      </c>
      <c r="M277" s="642">
        <v>0</v>
      </c>
      <c r="N277" s="642">
        <v>0</v>
      </c>
      <c r="O277" s="642">
        <v>0</v>
      </c>
      <c r="P277" s="642">
        <v>0</v>
      </c>
      <c r="Q277" s="642">
        <v>0</v>
      </c>
      <c r="R277" s="642">
        <v>0</v>
      </c>
      <c r="S277" s="650">
        <v>5.018858109321684</v>
      </c>
      <c r="U277" s="648" t="s">
        <v>72</v>
      </c>
      <c r="V277" s="642">
        <v>0</v>
      </c>
      <c r="W277" s="642">
        <v>196.75884188687598</v>
      </c>
      <c r="X277" s="642">
        <v>-194.79125346800723</v>
      </c>
      <c r="Y277" s="642">
        <v>0</v>
      </c>
      <c r="Z277" s="642">
        <v>0</v>
      </c>
      <c r="AA277" s="642">
        <v>0</v>
      </c>
      <c r="AB277" s="642">
        <v>0</v>
      </c>
      <c r="AC277" s="642">
        <v>0</v>
      </c>
      <c r="AD277" s="642">
        <v>0</v>
      </c>
      <c r="AE277" s="642">
        <v>0</v>
      </c>
      <c r="AF277" s="642">
        <v>0</v>
      </c>
      <c r="AG277" s="642">
        <v>0</v>
      </c>
      <c r="AH277" s="642">
        <v>0</v>
      </c>
      <c r="AI277" s="642">
        <v>0</v>
      </c>
      <c r="AJ277" s="642">
        <v>0</v>
      </c>
      <c r="AK277" s="650">
        <v>1.9675884188687576</v>
      </c>
    </row>
    <row r="278" spans="3:37" ht="13.5">
      <c r="C278" s="648" t="s">
        <v>354</v>
      </c>
      <c r="D278" s="642">
        <v>0</v>
      </c>
      <c r="E278" s="642">
        <v>0</v>
      </c>
      <c r="F278" s="642">
        <v>0</v>
      </c>
      <c r="G278" s="642">
        <v>0</v>
      </c>
      <c r="H278" s="642">
        <v>0</v>
      </c>
      <c r="I278" s="642">
        <v>0</v>
      </c>
      <c r="J278" s="642">
        <v>26.867608526350821</v>
      </c>
      <c r="K278" s="642">
        <v>0</v>
      </c>
      <c r="L278" s="642">
        <v>-26.867608526350821</v>
      </c>
      <c r="M278" s="642">
        <v>0</v>
      </c>
      <c r="N278" s="642">
        <v>0</v>
      </c>
      <c r="O278" s="642">
        <v>0</v>
      </c>
      <c r="P278" s="642">
        <v>0</v>
      </c>
      <c r="Q278" s="642">
        <v>0</v>
      </c>
      <c r="R278" s="642">
        <v>0</v>
      </c>
      <c r="S278" s="650">
        <v>0</v>
      </c>
      <c r="U278" s="648" t="s">
        <v>354</v>
      </c>
      <c r="V278" s="642">
        <v>0</v>
      </c>
      <c r="W278" s="642">
        <v>0</v>
      </c>
      <c r="X278" s="642">
        <v>0</v>
      </c>
      <c r="Y278" s="642">
        <v>0</v>
      </c>
      <c r="Z278" s="642">
        <v>0</v>
      </c>
      <c r="AA278" s="642">
        <v>0</v>
      </c>
      <c r="AB278" s="642" t="e">
        <v>#VALUE!</v>
      </c>
      <c r="AC278" s="642">
        <v>0</v>
      </c>
      <c r="AD278" s="642">
        <v>-99.513749603669936</v>
      </c>
      <c r="AE278" s="642">
        <v>0</v>
      </c>
      <c r="AF278" s="642">
        <v>0</v>
      </c>
      <c r="AG278" s="642">
        <v>0</v>
      </c>
      <c r="AH278" s="642">
        <v>0</v>
      </c>
      <c r="AI278" s="642">
        <v>0</v>
      </c>
      <c r="AJ278" s="642">
        <v>0</v>
      </c>
      <c r="AK278" s="650">
        <v>-99.513749603669936</v>
      </c>
    </row>
    <row r="279" spans="3:37" ht="13.5">
      <c r="C279" s="648" t="s">
        <v>355</v>
      </c>
      <c r="D279" s="642">
        <v>0</v>
      </c>
      <c r="E279" s="642">
        <v>0</v>
      </c>
      <c r="F279" s="642">
        <v>0</v>
      </c>
      <c r="G279" s="642">
        <v>0</v>
      </c>
      <c r="H279" s="642">
        <v>0</v>
      </c>
      <c r="I279" s="642">
        <v>0</v>
      </c>
      <c r="J279" s="642">
        <v>0</v>
      </c>
      <c r="K279" s="642">
        <v>0</v>
      </c>
      <c r="L279" s="642">
        <v>0</v>
      </c>
      <c r="M279" s="642">
        <v>0</v>
      </c>
      <c r="N279" s="642">
        <v>0</v>
      </c>
      <c r="O279" s="642">
        <v>0</v>
      </c>
      <c r="P279" s="642">
        <v>0</v>
      </c>
      <c r="Q279" s="642">
        <v>0</v>
      </c>
      <c r="R279" s="642">
        <v>0</v>
      </c>
      <c r="S279" s="650">
        <v>0</v>
      </c>
      <c r="U279" s="648" t="s">
        <v>355</v>
      </c>
      <c r="V279" s="642">
        <v>0</v>
      </c>
      <c r="W279" s="642">
        <v>0</v>
      </c>
      <c r="X279" s="642">
        <v>0</v>
      </c>
      <c r="Y279" s="642">
        <v>0</v>
      </c>
      <c r="Z279" s="642">
        <v>0</v>
      </c>
      <c r="AA279" s="642">
        <v>0</v>
      </c>
      <c r="AB279" s="642">
        <v>0</v>
      </c>
      <c r="AC279" s="642">
        <v>0</v>
      </c>
      <c r="AD279" s="642">
        <v>-17.985934640167208</v>
      </c>
      <c r="AE279" s="642">
        <v>0</v>
      </c>
      <c r="AF279" s="642">
        <v>0</v>
      </c>
      <c r="AG279" s="642">
        <v>0</v>
      </c>
      <c r="AH279" s="642">
        <v>0</v>
      </c>
      <c r="AI279" s="642">
        <v>0</v>
      </c>
      <c r="AJ279" s="642">
        <v>0</v>
      </c>
      <c r="AK279" s="650">
        <v>-17.985934640167208</v>
      </c>
    </row>
    <row r="280" spans="3:37" ht="13.5">
      <c r="C280" s="648" t="s">
        <v>73</v>
      </c>
      <c r="D280" s="642">
        <v>0</v>
      </c>
      <c r="E280" s="642">
        <v>0</v>
      </c>
      <c r="F280" s="642">
        <v>0</v>
      </c>
      <c r="G280" s="642">
        <v>7.0830222331165276</v>
      </c>
      <c r="H280" s="642">
        <v>0</v>
      </c>
      <c r="I280" s="642">
        <v>0</v>
      </c>
      <c r="J280" s="642">
        <v>0</v>
      </c>
      <c r="K280" s="642">
        <v>8.2131519400701847E-2</v>
      </c>
      <c r="L280" s="642">
        <v>0</v>
      </c>
      <c r="M280" s="642">
        <v>0.14455147414523528</v>
      </c>
      <c r="N280" s="642">
        <v>0</v>
      </c>
      <c r="O280" s="642">
        <v>0</v>
      </c>
      <c r="P280" s="642">
        <v>0.90023160054861806</v>
      </c>
      <c r="Q280" s="642">
        <v>0</v>
      </c>
      <c r="R280" s="642">
        <v>-5.7492063580491291</v>
      </c>
      <c r="S280" s="650">
        <v>2.4607304691619536</v>
      </c>
      <c r="U280" s="648" t="s">
        <v>73</v>
      </c>
      <c r="V280" s="642">
        <v>0</v>
      </c>
      <c r="W280" s="642">
        <v>0</v>
      </c>
      <c r="X280" s="642">
        <v>0</v>
      </c>
      <c r="Y280" s="642">
        <v>2.5209228009552263</v>
      </c>
      <c r="Z280" s="642">
        <v>0</v>
      </c>
      <c r="AA280" s="642">
        <v>0</v>
      </c>
      <c r="AB280" s="642">
        <v>0</v>
      </c>
      <c r="AC280" s="642">
        <v>0.50418456019104518</v>
      </c>
      <c r="AD280" s="642">
        <v>0</v>
      </c>
      <c r="AE280" s="642">
        <v>2.5209228009552263</v>
      </c>
      <c r="AF280" s="642">
        <v>0</v>
      </c>
      <c r="AG280" s="642">
        <v>0</v>
      </c>
      <c r="AH280" s="642">
        <v>44.712737508757456</v>
      </c>
      <c r="AI280" s="642">
        <v>0</v>
      </c>
      <c r="AJ280" s="642">
        <v>-35.29291921337316</v>
      </c>
      <c r="AK280" s="650">
        <v>14.965848457485791</v>
      </c>
    </row>
    <row r="281" spans="3:37" ht="13.5">
      <c r="C281" s="648" t="s">
        <v>356</v>
      </c>
      <c r="D281" s="642">
        <v>28.568314687499999</v>
      </c>
      <c r="E281" s="642">
        <v>-17.390343348799608</v>
      </c>
      <c r="F281" s="642">
        <v>22.745541936068136</v>
      </c>
      <c r="G281" s="642">
        <v>0</v>
      </c>
      <c r="H281" s="642">
        <v>0</v>
      </c>
      <c r="I281" s="642">
        <v>0</v>
      </c>
      <c r="J281" s="642">
        <v>0</v>
      </c>
      <c r="K281" s="642">
        <v>0</v>
      </c>
      <c r="L281" s="642">
        <v>0</v>
      </c>
      <c r="M281" s="642">
        <v>0</v>
      </c>
      <c r="N281" s="642">
        <v>0</v>
      </c>
      <c r="O281" s="642">
        <v>0</v>
      </c>
      <c r="P281" s="642">
        <v>0</v>
      </c>
      <c r="Q281" s="642">
        <v>0</v>
      </c>
      <c r="R281" s="642">
        <v>0</v>
      </c>
      <c r="S281" s="650">
        <v>33.923513274768524</v>
      </c>
      <c r="U281" s="648" t="s">
        <v>356</v>
      </c>
      <c r="V281" s="642">
        <v>1.4001075134277343</v>
      </c>
      <c r="W281" s="642">
        <v>-6.8176938713802535</v>
      </c>
      <c r="X281" s="642">
        <v>8.9171408952922331</v>
      </c>
      <c r="Y281" s="642">
        <v>0</v>
      </c>
      <c r="Z281" s="642">
        <v>0</v>
      </c>
      <c r="AA281" s="642">
        <v>0</v>
      </c>
      <c r="AB281" s="642">
        <v>0</v>
      </c>
      <c r="AC281" s="642">
        <v>0</v>
      </c>
      <c r="AD281" s="642">
        <v>0</v>
      </c>
      <c r="AE281" s="642">
        <v>0</v>
      </c>
      <c r="AF281" s="642">
        <v>0</v>
      </c>
      <c r="AG281" s="642">
        <v>0</v>
      </c>
      <c r="AH281" s="642">
        <v>0</v>
      </c>
      <c r="AI281" s="642">
        <v>0</v>
      </c>
      <c r="AJ281" s="642">
        <v>0</v>
      </c>
      <c r="AK281" s="650">
        <v>3.4995545373397139</v>
      </c>
    </row>
    <row r="282" spans="3:37" ht="13.5">
      <c r="C282" s="648" t="s">
        <v>75</v>
      </c>
      <c r="D282" s="642">
        <v>11.109900156250001</v>
      </c>
      <c r="E282" s="642">
        <v>0</v>
      </c>
      <c r="F282" s="642">
        <v>17.0641175716937</v>
      </c>
      <c r="G282" s="642">
        <v>4.8692961376638904</v>
      </c>
      <c r="H282" s="642">
        <v>0</v>
      </c>
      <c r="I282" s="642">
        <v>0</v>
      </c>
      <c r="J282" s="642">
        <v>0</v>
      </c>
      <c r="K282" s="642">
        <v>0</v>
      </c>
      <c r="L282" s="642">
        <v>0</v>
      </c>
      <c r="M282" s="642">
        <v>9.9373390564569189E-2</v>
      </c>
      <c r="N282" s="642">
        <v>0</v>
      </c>
      <c r="O282" s="642">
        <v>0</v>
      </c>
      <c r="P282" s="642">
        <v>27.977940148174714</v>
      </c>
      <c r="Q282" s="642">
        <v>0</v>
      </c>
      <c r="R282" s="642">
        <v>0</v>
      </c>
      <c r="S282" s="650">
        <v>61.12062740434687</v>
      </c>
      <c r="U282" s="648" t="s">
        <v>75</v>
      </c>
      <c r="V282" s="642">
        <v>2.585423095703125</v>
      </c>
      <c r="W282" s="642">
        <v>0</v>
      </c>
      <c r="X282" s="642">
        <v>17.0641175716937</v>
      </c>
      <c r="Y282" s="642">
        <v>2.4843347641142297</v>
      </c>
      <c r="Z282" s="642">
        <v>0</v>
      </c>
      <c r="AA282" s="642">
        <v>0</v>
      </c>
      <c r="AB282" s="642">
        <v>0</v>
      </c>
      <c r="AC282" s="642">
        <v>0</v>
      </c>
      <c r="AD282" s="642">
        <v>0</v>
      </c>
      <c r="AE282" s="642">
        <v>2.4843347641142297</v>
      </c>
      <c r="AF282" s="642">
        <v>0</v>
      </c>
      <c r="AG282" s="642">
        <v>0</v>
      </c>
      <c r="AH282" s="642">
        <v>36.559985602720168</v>
      </c>
      <c r="AI282" s="642">
        <v>0</v>
      </c>
      <c r="AJ282" s="642">
        <v>0</v>
      </c>
      <c r="AK282" s="650">
        <v>61.178195798345449</v>
      </c>
    </row>
    <row r="283" spans="3:37" ht="13.5">
      <c r="C283" s="648" t="s">
        <v>76</v>
      </c>
      <c r="D283" s="642">
        <v>0</v>
      </c>
      <c r="E283" s="642">
        <v>0</v>
      </c>
      <c r="F283" s="642">
        <v>0</v>
      </c>
      <c r="G283" s="642">
        <v>3.7302503173667452</v>
      </c>
      <c r="H283" s="642">
        <v>0</v>
      </c>
      <c r="I283" s="642">
        <v>0</v>
      </c>
      <c r="J283" s="642">
        <v>0</v>
      </c>
      <c r="K283" s="642">
        <v>0</v>
      </c>
      <c r="L283" s="642">
        <v>0</v>
      </c>
      <c r="M283" s="642">
        <v>7.6127557497280507E-2</v>
      </c>
      <c r="N283" s="642">
        <v>0</v>
      </c>
      <c r="O283" s="642">
        <v>0</v>
      </c>
      <c r="P283" s="642">
        <v>45.919010237367587</v>
      </c>
      <c r="Q283" s="642">
        <v>2.9343505562312622</v>
      </c>
      <c r="R283" s="642">
        <v>0</v>
      </c>
      <c r="S283" s="650">
        <v>52.659738668462872</v>
      </c>
      <c r="U283" s="648" t="s">
        <v>76</v>
      </c>
      <c r="V283" s="642">
        <v>0</v>
      </c>
      <c r="W283" s="642">
        <v>0</v>
      </c>
      <c r="X283" s="642">
        <v>0</v>
      </c>
      <c r="Y283" s="642">
        <v>0.95944671778813329</v>
      </c>
      <c r="Z283" s="642">
        <v>0</v>
      </c>
      <c r="AA283" s="642">
        <v>0</v>
      </c>
      <c r="AB283" s="642">
        <v>0</v>
      </c>
      <c r="AC283" s="642">
        <v>0</v>
      </c>
      <c r="AD283" s="642">
        <v>0</v>
      </c>
      <c r="AE283" s="642">
        <v>0.95944671778813329</v>
      </c>
      <c r="AF283" s="642">
        <v>0</v>
      </c>
      <c r="AG283" s="642">
        <v>0</v>
      </c>
      <c r="AH283" s="642">
        <v>49.138117436745475</v>
      </c>
      <c r="AI283" s="642">
        <v>5.7424951548403769</v>
      </c>
      <c r="AJ283" s="642">
        <v>0</v>
      </c>
      <c r="AK283" s="650">
        <v>56.799506027162117</v>
      </c>
    </row>
    <row r="284" spans="3:37" ht="13.5">
      <c r="C284" s="646" t="s">
        <v>77</v>
      </c>
      <c r="D284" s="647">
        <v>42.505000484775252</v>
      </c>
      <c r="E284" s="647">
        <v>484.495467583368</v>
      </c>
      <c r="F284" s="647">
        <v>-449.13421563675462</v>
      </c>
      <c r="G284" s="647">
        <v>47.207234809306371</v>
      </c>
      <c r="H284" s="647">
        <v>843.18181818181824</v>
      </c>
      <c r="I284" s="647">
        <v>306.94588327561422</v>
      </c>
      <c r="J284" s="647">
        <v>75.087544766016393</v>
      </c>
      <c r="K284" s="647">
        <v>18.554763704158422</v>
      </c>
      <c r="L284" s="647">
        <v>-23.523971773378101</v>
      </c>
      <c r="M284" s="647">
        <v>-5.3154503193453246</v>
      </c>
      <c r="N284" s="647">
        <v>0</v>
      </c>
      <c r="O284" s="647">
        <v>9.1176200722123912</v>
      </c>
      <c r="P284" s="647">
        <v>-542.13274839202359</v>
      </c>
      <c r="Q284" s="647">
        <v>-34.870731395116664</v>
      </c>
      <c r="R284" s="647">
        <v>-5.7492063580491291</v>
      </c>
      <c r="S284" s="647">
        <v>766.36900900260184</v>
      </c>
      <c r="U284" s="646" t="s">
        <v>77</v>
      </c>
      <c r="V284" s="647">
        <v>4.6118455145895494</v>
      </c>
      <c r="W284" s="647">
        <v>189.94114801549574</v>
      </c>
      <c r="X284" s="647">
        <v>-164.75055368632826</v>
      </c>
      <c r="Y284" s="647">
        <v>14.771936460533603</v>
      </c>
      <c r="Z284" s="647">
        <v>842.12121212121212</v>
      </c>
      <c r="AA284" s="647">
        <v>361.66588327561419</v>
      </c>
      <c r="AB284" s="647">
        <v>138.19810981289308</v>
      </c>
      <c r="AC284" s="647">
        <v>31.958068806629939</v>
      </c>
      <c r="AD284" s="647">
        <v>-114.15604749086444</v>
      </c>
      <c r="AE284" s="647">
        <v>-66.000175998632287</v>
      </c>
      <c r="AF284" s="647">
        <v>0</v>
      </c>
      <c r="AG284" s="647">
        <v>19.568792039795159</v>
      </c>
      <c r="AH284" s="647">
        <v>-532.33908982989124</v>
      </c>
      <c r="AI284" s="647">
        <v>-68.301024235701377</v>
      </c>
      <c r="AJ284" s="647">
        <v>-31.04291921337316</v>
      </c>
      <c r="AK284" s="647">
        <v>626.24718559197242</v>
      </c>
    </row>
    <row r="285" spans="3:37" ht="13">
      <c r="C285" s="636"/>
      <c r="D285" s="636">
        <v>0</v>
      </c>
      <c r="E285" s="636">
        <v>0</v>
      </c>
      <c r="F285" s="636">
        <v>0</v>
      </c>
      <c r="G285" s="636">
        <v>0</v>
      </c>
      <c r="H285" s="636">
        <v>0</v>
      </c>
      <c r="I285" s="636">
        <v>0</v>
      </c>
      <c r="J285" s="636">
        <v>0</v>
      </c>
      <c r="K285" s="636">
        <v>0</v>
      </c>
      <c r="L285" s="636">
        <v>0</v>
      </c>
      <c r="M285" s="636">
        <v>0</v>
      </c>
      <c r="N285" s="636">
        <v>0</v>
      </c>
      <c r="O285" s="636">
        <v>0</v>
      </c>
      <c r="P285" s="636">
        <v>0</v>
      </c>
      <c r="Q285" s="636">
        <v>0</v>
      </c>
      <c r="R285" s="636">
        <v>0</v>
      </c>
      <c r="S285" s="636">
        <v>0</v>
      </c>
      <c r="U285" s="636"/>
      <c r="V285" s="636">
        <v>0</v>
      </c>
      <c r="W285" s="636">
        <v>0</v>
      </c>
      <c r="X285" s="636">
        <v>0</v>
      </c>
      <c r="Y285" s="636">
        <v>0</v>
      </c>
      <c r="Z285" s="636">
        <v>0</v>
      </c>
      <c r="AA285" s="636">
        <v>0</v>
      </c>
      <c r="AB285" s="636">
        <v>0</v>
      </c>
      <c r="AC285" s="636">
        <v>0</v>
      </c>
      <c r="AD285" s="636">
        <v>0</v>
      </c>
      <c r="AE285" s="636">
        <v>0</v>
      </c>
      <c r="AF285" s="636">
        <v>0</v>
      </c>
      <c r="AG285" s="636">
        <v>0</v>
      </c>
      <c r="AH285" s="636">
        <v>0</v>
      </c>
      <c r="AI285" s="636">
        <v>0</v>
      </c>
      <c r="AJ285" s="636">
        <v>0</v>
      </c>
      <c r="AK285" s="636">
        <v>0</v>
      </c>
    </row>
    <row r="286" spans="3:37" ht="13.5">
      <c r="C286" s="648" t="s">
        <v>78</v>
      </c>
      <c r="D286" s="642">
        <v>4.6398193944555786</v>
      </c>
      <c r="E286" s="642">
        <v>0</v>
      </c>
      <c r="F286" s="642">
        <v>20.598782441852151</v>
      </c>
      <c r="G286" s="642">
        <v>94.839699954986926</v>
      </c>
      <c r="H286" s="642">
        <v>0</v>
      </c>
      <c r="I286" s="642">
        <v>0</v>
      </c>
      <c r="J286" s="642">
        <v>21.821162214793436</v>
      </c>
      <c r="K286" s="642">
        <v>1.7366010173968038</v>
      </c>
      <c r="L286" s="642">
        <v>0.96096945898437491</v>
      </c>
      <c r="M286" s="642">
        <v>1.9539169420126139</v>
      </c>
      <c r="N286" s="642">
        <v>0</v>
      </c>
      <c r="O286" s="642">
        <v>3.7537634069694789E-4</v>
      </c>
      <c r="P286" s="642">
        <v>113.419965125608</v>
      </c>
      <c r="Q286" s="642">
        <v>16.150451210263412</v>
      </c>
      <c r="R286" s="642">
        <v>0.26695886230468752</v>
      </c>
      <c r="S286" s="650">
        <v>276.38870199899873</v>
      </c>
      <c r="U286" s="648" t="s">
        <v>78</v>
      </c>
      <c r="V286" s="642">
        <v>1.264986561669641</v>
      </c>
      <c r="W286" s="642">
        <v>0</v>
      </c>
      <c r="X286" s="642">
        <v>4.4259635061357878</v>
      </c>
      <c r="Y286" s="642">
        <v>33.008089674756327</v>
      </c>
      <c r="Z286" s="642">
        <v>0</v>
      </c>
      <c r="AA286" s="642">
        <v>0</v>
      </c>
      <c r="AB286" s="642">
        <v>14.926911405045434</v>
      </c>
      <c r="AC286" s="642">
        <v>4.7591564459641997</v>
      </c>
      <c r="AD286" s="642">
        <v>6.4130046386718744</v>
      </c>
      <c r="AE286" s="642">
        <v>33.02650253605492</v>
      </c>
      <c r="AF286" s="642">
        <v>0</v>
      </c>
      <c r="AG286" s="642">
        <v>3.7537634069694789E-4</v>
      </c>
      <c r="AH286" s="642">
        <v>148.98135712801343</v>
      </c>
      <c r="AI286" s="642">
        <v>24.187634778338289</v>
      </c>
      <c r="AJ286" s="642">
        <v>7.9027373046875002</v>
      </c>
      <c r="AK286" s="650">
        <v>278.8967193556781</v>
      </c>
    </row>
    <row r="287" spans="3:37" ht="13.5">
      <c r="C287" s="648" t="s">
        <v>79</v>
      </c>
      <c r="D287" s="642">
        <v>0</v>
      </c>
      <c r="E287" s="642">
        <v>0</v>
      </c>
      <c r="F287" s="642">
        <v>225.72324837131151</v>
      </c>
      <c r="G287" s="642">
        <v>31.930807664827714</v>
      </c>
      <c r="H287" s="642">
        <v>0</v>
      </c>
      <c r="I287" s="642">
        <v>0</v>
      </c>
      <c r="J287" s="642">
        <v>0</v>
      </c>
      <c r="K287" s="642">
        <v>0</v>
      </c>
      <c r="L287" s="642">
        <v>21.777356740546686</v>
      </c>
      <c r="M287" s="642">
        <v>0.65164913601689212</v>
      </c>
      <c r="N287" s="642">
        <v>0</v>
      </c>
      <c r="O287" s="642">
        <v>0</v>
      </c>
      <c r="P287" s="642">
        <v>72.885841088882287</v>
      </c>
      <c r="Q287" s="642">
        <v>0</v>
      </c>
      <c r="R287" s="642">
        <v>2.6521266956987635</v>
      </c>
      <c r="S287" s="650">
        <v>355.62102969728386</v>
      </c>
      <c r="U287" s="648" t="s">
        <v>79</v>
      </c>
      <c r="V287" s="642">
        <v>0</v>
      </c>
      <c r="W287" s="642">
        <v>0</v>
      </c>
      <c r="X287" s="642">
        <v>19.003305935487372</v>
      </c>
      <c r="Y287" s="642">
        <v>13.267062862305856</v>
      </c>
      <c r="Z287" s="642">
        <v>0</v>
      </c>
      <c r="AA287" s="642">
        <v>0</v>
      </c>
      <c r="AB287" s="642">
        <v>0</v>
      </c>
      <c r="AC287" s="642">
        <v>0</v>
      </c>
      <c r="AD287" s="642">
        <v>27.757428454399612</v>
      </c>
      <c r="AE287" s="642">
        <v>13.267062862305856</v>
      </c>
      <c r="AF287" s="642">
        <v>0</v>
      </c>
      <c r="AG287" s="642">
        <v>0</v>
      </c>
      <c r="AH287" s="642">
        <v>94.556676700547257</v>
      </c>
      <c r="AI287" s="642">
        <v>0</v>
      </c>
      <c r="AJ287" s="642">
        <v>6.3130917169295051</v>
      </c>
      <c r="AK287" s="650">
        <v>174.16462853197544</v>
      </c>
    </row>
    <row r="288" spans="3:37" ht="13.5">
      <c r="C288" s="648" t="s">
        <v>80</v>
      </c>
      <c r="D288" s="642">
        <v>0</v>
      </c>
      <c r="E288" s="642">
        <v>0</v>
      </c>
      <c r="F288" s="642">
        <v>11.075929176351762</v>
      </c>
      <c r="G288" s="642">
        <v>76.664751333295058</v>
      </c>
      <c r="H288" s="642">
        <v>0</v>
      </c>
      <c r="I288" s="642">
        <v>0</v>
      </c>
      <c r="J288" s="642">
        <v>88.320247059496523</v>
      </c>
      <c r="K288" s="642">
        <v>0</v>
      </c>
      <c r="L288" s="642">
        <v>0</v>
      </c>
      <c r="M288" s="642">
        <v>1.5645867619039808</v>
      </c>
      <c r="N288" s="642">
        <v>59.616390446150973</v>
      </c>
      <c r="O288" s="642">
        <v>2.0734984243972754</v>
      </c>
      <c r="P288" s="642">
        <v>190.93239321884863</v>
      </c>
      <c r="Q288" s="642">
        <v>15.360003531773184</v>
      </c>
      <c r="R288" s="642">
        <v>0</v>
      </c>
      <c r="S288" s="650">
        <v>445.60779995221742</v>
      </c>
      <c r="U288" s="648" t="s">
        <v>80</v>
      </c>
      <c r="V288" s="642">
        <v>0</v>
      </c>
      <c r="W288" s="642">
        <v>0</v>
      </c>
      <c r="X288" s="642">
        <v>0.97925934500211753</v>
      </c>
      <c r="Y288" s="642">
        <v>9.8253088649292142</v>
      </c>
      <c r="Z288" s="642">
        <v>0</v>
      </c>
      <c r="AA288" s="642">
        <v>0</v>
      </c>
      <c r="AB288" s="642">
        <v>50.204880630535357</v>
      </c>
      <c r="AC288" s="642">
        <v>0</v>
      </c>
      <c r="AD288" s="642">
        <v>0</v>
      </c>
      <c r="AE288" s="642">
        <v>9.8253088649292142</v>
      </c>
      <c r="AF288" s="642">
        <v>95.02342184325245</v>
      </c>
      <c r="AG288" s="642">
        <v>4.208312775429496</v>
      </c>
      <c r="AH288" s="642">
        <v>144.38732956018927</v>
      </c>
      <c r="AI288" s="642">
        <v>30.75075127630511</v>
      </c>
      <c r="AJ288" s="642">
        <v>0</v>
      </c>
      <c r="AK288" s="650">
        <v>345.20457316057224</v>
      </c>
    </row>
    <row r="289" spans="3:37" ht="13.5">
      <c r="C289" s="648" t="s">
        <v>81</v>
      </c>
      <c r="D289" s="642">
        <v>0</v>
      </c>
      <c r="E289" s="642">
        <v>0</v>
      </c>
      <c r="F289" s="642">
        <v>2.6743117433405894</v>
      </c>
      <c r="G289" s="642">
        <v>62.987223173923248</v>
      </c>
      <c r="H289" s="642">
        <v>0</v>
      </c>
      <c r="I289" s="642">
        <v>0</v>
      </c>
      <c r="J289" s="642">
        <v>3.1384766478070549</v>
      </c>
      <c r="K289" s="642">
        <v>2.5274117631643136E-2</v>
      </c>
      <c r="L289" s="642">
        <v>0</v>
      </c>
      <c r="M289" s="642">
        <v>1.2854535341616988</v>
      </c>
      <c r="N289" s="642">
        <v>8.34801759276524</v>
      </c>
      <c r="O289" s="642">
        <v>0.71507622546549865</v>
      </c>
      <c r="P289" s="642">
        <v>142.0321146826426</v>
      </c>
      <c r="Q289" s="642">
        <v>3.3602766530800707</v>
      </c>
      <c r="R289" s="642">
        <v>0</v>
      </c>
      <c r="S289" s="650">
        <v>224.56622437081765</v>
      </c>
      <c r="U289" s="648" t="s">
        <v>81</v>
      </c>
      <c r="V289" s="642">
        <v>0</v>
      </c>
      <c r="W289" s="642">
        <v>0</v>
      </c>
      <c r="X289" s="642">
        <v>1.2256055704751125</v>
      </c>
      <c r="Y289" s="642">
        <v>7.2918833253665882</v>
      </c>
      <c r="Z289" s="642">
        <v>0</v>
      </c>
      <c r="AA289" s="642">
        <v>0</v>
      </c>
      <c r="AB289" s="642">
        <v>6.8658928642747856</v>
      </c>
      <c r="AC289" s="642">
        <v>2.5274117631643136E-2</v>
      </c>
      <c r="AD289" s="642">
        <v>0</v>
      </c>
      <c r="AE289" s="642">
        <v>7.2918833253665882</v>
      </c>
      <c r="AF289" s="642">
        <v>14.828462979838848</v>
      </c>
      <c r="AG289" s="642">
        <v>1.5197231438340593</v>
      </c>
      <c r="AH289" s="642">
        <v>114.40426288608282</v>
      </c>
      <c r="AI289" s="642">
        <v>13.362638181057982</v>
      </c>
      <c r="AJ289" s="642">
        <v>0</v>
      </c>
      <c r="AK289" s="650">
        <v>166.8156263939284</v>
      </c>
    </row>
    <row r="290" spans="3:37" ht="13.5">
      <c r="C290" s="648" t="s">
        <v>82</v>
      </c>
      <c r="D290" s="642">
        <v>0</v>
      </c>
      <c r="E290" s="642">
        <v>0</v>
      </c>
      <c r="F290" s="642">
        <v>27.931723909553636</v>
      </c>
      <c r="G290" s="642">
        <v>0.95472649492283324</v>
      </c>
      <c r="H290" s="642">
        <v>0</v>
      </c>
      <c r="I290" s="642">
        <v>0</v>
      </c>
      <c r="J290" s="642">
        <v>4.6306119511950978</v>
      </c>
      <c r="K290" s="642">
        <v>0</v>
      </c>
      <c r="L290" s="642">
        <v>3.1934862443619529</v>
      </c>
      <c r="M290" s="642">
        <v>1.9484214182098638E-2</v>
      </c>
      <c r="N290" s="642">
        <v>0</v>
      </c>
      <c r="O290" s="642">
        <v>6.6456137421005312E-2</v>
      </c>
      <c r="P290" s="642">
        <v>5.7660712732306445</v>
      </c>
      <c r="Q290" s="642">
        <v>0</v>
      </c>
      <c r="R290" s="642">
        <v>0</v>
      </c>
      <c r="S290" s="650">
        <v>42.562560224867276</v>
      </c>
      <c r="U290" s="648" t="s">
        <v>82</v>
      </c>
      <c r="V290" s="642">
        <v>0</v>
      </c>
      <c r="W290" s="642">
        <v>0</v>
      </c>
      <c r="X290" s="642">
        <v>3.5775053425595864</v>
      </c>
      <c r="Y290" s="642">
        <v>0.56393102033742082</v>
      </c>
      <c r="Z290" s="642">
        <v>0</v>
      </c>
      <c r="AA290" s="642">
        <v>0</v>
      </c>
      <c r="AB290" s="642">
        <v>4.6306119511950978</v>
      </c>
      <c r="AC290" s="642">
        <v>0</v>
      </c>
      <c r="AD290" s="642">
        <v>32.861113305842508</v>
      </c>
      <c r="AE290" s="642">
        <v>0.56393102033742082</v>
      </c>
      <c r="AF290" s="642">
        <v>0</v>
      </c>
      <c r="AG290" s="642">
        <v>1.7440136932478227</v>
      </c>
      <c r="AH290" s="642">
        <v>5.8866318405152116</v>
      </c>
      <c r="AI290" s="642">
        <v>0</v>
      </c>
      <c r="AJ290" s="642">
        <v>0.38427420359697795</v>
      </c>
      <c r="AK290" s="650">
        <v>50.21201237763205</v>
      </c>
    </row>
    <row r="291" spans="3:37" ht="13.5">
      <c r="C291" s="648" t="s">
        <v>357</v>
      </c>
      <c r="D291" s="642">
        <v>0</v>
      </c>
      <c r="E291" s="642">
        <v>0</v>
      </c>
      <c r="F291" s="642">
        <v>0</v>
      </c>
      <c r="G291" s="642">
        <v>0</v>
      </c>
      <c r="H291" s="642">
        <v>0</v>
      </c>
      <c r="I291" s="642">
        <v>0</v>
      </c>
      <c r="J291" s="642">
        <v>0</v>
      </c>
      <c r="K291" s="642">
        <v>0</v>
      </c>
      <c r="L291" s="642">
        <v>0</v>
      </c>
      <c r="M291" s="642">
        <v>0</v>
      </c>
      <c r="N291" s="642">
        <v>0</v>
      </c>
      <c r="O291" s="642">
        <v>0</v>
      </c>
      <c r="P291" s="642">
        <v>0.39</v>
      </c>
      <c r="Q291" s="642">
        <v>0</v>
      </c>
      <c r="R291" s="642">
        <v>0</v>
      </c>
      <c r="S291" s="650">
        <v>0.39</v>
      </c>
      <c r="U291" s="648" t="s">
        <v>357</v>
      </c>
      <c r="V291" s="642">
        <v>0</v>
      </c>
      <c r="W291" s="642">
        <v>0</v>
      </c>
      <c r="X291" s="642">
        <v>0</v>
      </c>
      <c r="Y291" s="642">
        <v>0</v>
      </c>
      <c r="Z291" s="642">
        <v>0</v>
      </c>
      <c r="AA291" s="642">
        <v>0</v>
      </c>
      <c r="AB291" s="642">
        <v>0</v>
      </c>
      <c r="AC291" s="642">
        <v>0</v>
      </c>
      <c r="AD291" s="642">
        <v>0</v>
      </c>
      <c r="AE291" s="642">
        <v>0</v>
      </c>
      <c r="AF291" s="642">
        <v>0</v>
      </c>
      <c r="AG291" s="642">
        <v>0</v>
      </c>
      <c r="AH291" s="642">
        <v>3.5999999999999996</v>
      </c>
      <c r="AI291" s="642">
        <v>0</v>
      </c>
      <c r="AJ291" s="642">
        <v>0</v>
      </c>
      <c r="AK291" s="650">
        <v>3.5999999999999996</v>
      </c>
    </row>
    <row r="292" spans="3:37" ht="13.5">
      <c r="C292" s="646" t="s">
        <v>83</v>
      </c>
      <c r="D292" s="647">
        <v>4.6398193944555786</v>
      </c>
      <c r="E292" s="647">
        <v>0</v>
      </c>
      <c r="F292" s="647">
        <v>288.00399564240968</v>
      </c>
      <c r="G292" s="647">
        <v>267.37720862195579</v>
      </c>
      <c r="H292" s="647">
        <v>0</v>
      </c>
      <c r="I292" s="647">
        <v>0</v>
      </c>
      <c r="J292" s="647">
        <v>117.91049787329212</v>
      </c>
      <c r="K292" s="647">
        <v>1.7618751350284469</v>
      </c>
      <c r="L292" s="647">
        <v>25.931812443893016</v>
      </c>
      <c r="M292" s="647">
        <v>5.4750905882772853</v>
      </c>
      <c r="N292" s="647">
        <v>67.964408038916218</v>
      </c>
      <c r="O292" s="647">
        <v>2.8554061636244761</v>
      </c>
      <c r="P292" s="647">
        <v>525.4263853892121</v>
      </c>
      <c r="Q292" s="647">
        <v>34.870731395116664</v>
      </c>
      <c r="R292" s="647">
        <v>2.9190855580034509</v>
      </c>
      <c r="S292" s="647">
        <v>1345.1363162441851</v>
      </c>
      <c r="U292" s="646" t="s">
        <v>83</v>
      </c>
      <c r="V292" s="647">
        <v>1.264986561669641</v>
      </c>
      <c r="W292" s="647">
        <v>0</v>
      </c>
      <c r="X292" s="647">
        <v>29.211639699659976</v>
      </c>
      <c r="Y292" s="647">
        <v>63.956275747695408</v>
      </c>
      <c r="Z292" s="647">
        <v>0</v>
      </c>
      <c r="AA292" s="647">
        <v>0</v>
      </c>
      <c r="AB292" s="647">
        <v>76.628296851050663</v>
      </c>
      <c r="AC292" s="647">
        <v>4.7844305635958433</v>
      </c>
      <c r="AD292" s="647">
        <v>67.031546398914003</v>
      </c>
      <c r="AE292" s="647">
        <v>63.974688608994001</v>
      </c>
      <c r="AF292" s="647">
        <v>109.8518848230913</v>
      </c>
      <c r="AG292" s="647">
        <v>7.4724249888520751</v>
      </c>
      <c r="AH292" s="647">
        <v>511.81625811534803</v>
      </c>
      <c r="AI292" s="647">
        <v>68.301024235701377</v>
      </c>
      <c r="AJ292" s="647">
        <v>14.600103225213982</v>
      </c>
      <c r="AK292" s="647">
        <v>1018.8935598197862</v>
      </c>
    </row>
    <row r="293" spans="3:37" ht="13.5">
      <c r="C293" s="641" t="s">
        <v>84</v>
      </c>
      <c r="D293" s="642">
        <v>0</v>
      </c>
      <c r="E293" s="642">
        <v>0</v>
      </c>
      <c r="F293" s="642">
        <v>104.91003257681685</v>
      </c>
      <c r="G293" s="642">
        <v>11.505661507854215</v>
      </c>
      <c r="H293" s="642">
        <v>0</v>
      </c>
      <c r="I293" s="642">
        <v>0</v>
      </c>
      <c r="J293" s="642">
        <v>0</v>
      </c>
      <c r="K293" s="642">
        <v>0</v>
      </c>
      <c r="L293" s="642">
        <v>0</v>
      </c>
      <c r="M293" s="642">
        <v>0</v>
      </c>
      <c r="N293" s="642">
        <v>0</v>
      </c>
      <c r="O293" s="642">
        <v>0</v>
      </c>
      <c r="P293" s="642">
        <v>0</v>
      </c>
      <c r="Q293" s="642">
        <v>0</v>
      </c>
      <c r="R293" s="642">
        <v>2.8301208000456781</v>
      </c>
      <c r="S293" s="650">
        <v>119.24581488471674</v>
      </c>
      <c r="U293" s="641" t="s">
        <v>84</v>
      </c>
      <c r="V293" s="642">
        <v>0</v>
      </c>
      <c r="W293" s="642">
        <v>0</v>
      </c>
      <c r="X293" s="642">
        <v>70.401025384734808</v>
      </c>
      <c r="Y293" s="642">
        <v>0.81519182748409058</v>
      </c>
      <c r="Z293" s="642">
        <v>0</v>
      </c>
      <c r="AA293" s="642">
        <v>0</v>
      </c>
      <c r="AB293" s="642">
        <v>0</v>
      </c>
      <c r="AC293" s="642">
        <v>0</v>
      </c>
      <c r="AD293" s="642">
        <v>24.563190847778323</v>
      </c>
      <c r="AE293" s="642">
        <v>0</v>
      </c>
      <c r="AF293" s="642">
        <v>0</v>
      </c>
      <c r="AG293" s="642">
        <v>0</v>
      </c>
      <c r="AH293" s="642">
        <v>0</v>
      </c>
      <c r="AI293" s="642">
        <v>0</v>
      </c>
      <c r="AJ293" s="642">
        <v>16.442815988159179</v>
      </c>
      <c r="AK293" s="650">
        <v>112.22222404815641</v>
      </c>
    </row>
    <row r="294" spans="3:37" ht="13.5">
      <c r="C294" s="646" t="s">
        <v>85</v>
      </c>
      <c r="D294" s="647">
        <v>4.6398193944555786</v>
      </c>
      <c r="E294" s="647">
        <v>0</v>
      </c>
      <c r="F294" s="647">
        <v>392.91402821922651</v>
      </c>
      <c r="G294" s="647">
        <v>278.88287012980999</v>
      </c>
      <c r="H294" s="647">
        <v>0</v>
      </c>
      <c r="I294" s="647">
        <v>0</v>
      </c>
      <c r="J294" s="647">
        <v>117.91049787329212</v>
      </c>
      <c r="K294" s="647">
        <v>1.7618751350284469</v>
      </c>
      <c r="L294" s="647">
        <v>25.931812443893016</v>
      </c>
      <c r="M294" s="647">
        <v>5.4750905882772853</v>
      </c>
      <c r="N294" s="647">
        <v>67.964408038916218</v>
      </c>
      <c r="O294" s="647">
        <v>2.8554061636244761</v>
      </c>
      <c r="P294" s="647">
        <v>525.4263853892121</v>
      </c>
      <c r="Q294" s="647">
        <v>34.870731395116664</v>
      </c>
      <c r="R294" s="647">
        <v>5.7492063580491291</v>
      </c>
      <c r="S294" s="647">
        <v>1464.3821311289018</v>
      </c>
      <c r="U294" s="646" t="s">
        <v>85</v>
      </c>
      <c r="V294" s="647">
        <v>1.264986561669641</v>
      </c>
      <c r="W294" s="647">
        <v>0</v>
      </c>
      <c r="X294" s="647">
        <v>99.612665084394791</v>
      </c>
      <c r="Y294" s="647">
        <v>64.7714675751795</v>
      </c>
      <c r="Z294" s="647">
        <v>0</v>
      </c>
      <c r="AA294" s="647">
        <v>0</v>
      </c>
      <c r="AB294" s="647">
        <v>76.628296851050663</v>
      </c>
      <c r="AC294" s="647">
        <v>4.7844305635958433</v>
      </c>
      <c r="AD294" s="647">
        <v>91.594737246692318</v>
      </c>
      <c r="AE294" s="647">
        <v>63.974688608994001</v>
      </c>
      <c r="AF294" s="647">
        <v>109.8518848230913</v>
      </c>
      <c r="AG294" s="647">
        <v>7.4724249888520751</v>
      </c>
      <c r="AH294" s="647">
        <v>511.81625811534803</v>
      </c>
      <c r="AI294" s="647">
        <v>68.301024235701377</v>
      </c>
      <c r="AJ294" s="647">
        <v>31.04291921337316</v>
      </c>
      <c r="AK294" s="647">
        <v>1131.1157838679426</v>
      </c>
    </row>
    <row r="295" spans="3:37" ht="13">
      <c r="C295" s="636"/>
      <c r="D295" s="636"/>
      <c r="E295" s="636"/>
      <c r="F295" s="636"/>
      <c r="G295" s="636"/>
      <c r="H295" s="636"/>
      <c r="I295" s="636"/>
      <c r="J295" s="636"/>
      <c r="K295" s="636"/>
      <c r="L295" s="636"/>
      <c r="M295" s="636"/>
      <c r="N295" s="636"/>
      <c r="O295" s="636"/>
      <c r="P295" s="636"/>
      <c r="Q295" s="636"/>
      <c r="R295" s="636"/>
      <c r="S295" s="636"/>
      <c r="U295" s="636"/>
      <c r="V295" s="636"/>
      <c r="W295" s="636"/>
      <c r="X295" s="636"/>
      <c r="Y295" s="636"/>
      <c r="Z295" s="636"/>
      <c r="AA295" s="636"/>
      <c r="AB295" s="636"/>
      <c r="AC295" s="636"/>
      <c r="AD295" s="636"/>
      <c r="AE295" s="636"/>
      <c r="AF295" s="636"/>
      <c r="AG295" s="636"/>
      <c r="AH295" s="636"/>
      <c r="AI295" s="636"/>
      <c r="AJ295" s="636"/>
      <c r="AK295" s="636"/>
    </row>
    <row r="296" spans="3:37" ht="22.5">
      <c r="C296" s="699" t="s">
        <v>89</v>
      </c>
      <c r="D296" s="699"/>
      <c r="E296" s="699"/>
      <c r="F296" s="699"/>
      <c r="G296" s="699"/>
      <c r="H296" s="699"/>
      <c r="I296" s="699"/>
      <c r="J296" s="699"/>
      <c r="K296" s="699"/>
      <c r="L296" s="699"/>
      <c r="M296" s="699"/>
      <c r="N296" s="699"/>
      <c r="O296" s="699"/>
      <c r="P296" s="699"/>
      <c r="Q296" s="699"/>
      <c r="R296" s="699"/>
      <c r="S296" s="699"/>
      <c r="U296" s="699" t="s">
        <v>89</v>
      </c>
      <c r="V296" s="699"/>
      <c r="W296" s="699"/>
      <c r="X296" s="699"/>
      <c r="Y296" s="699"/>
      <c r="Z296" s="699"/>
      <c r="AA296" s="699"/>
      <c r="AB296" s="699"/>
      <c r="AC296" s="699"/>
      <c r="AD296" s="699"/>
      <c r="AE296" s="699"/>
      <c r="AF296" s="699"/>
      <c r="AG296" s="699"/>
      <c r="AH296" s="699"/>
      <c r="AI296" s="699"/>
      <c r="AJ296" s="699"/>
      <c r="AK296" s="699"/>
    </row>
    <row r="297" spans="3:37" ht="13">
      <c r="C297" s="636"/>
      <c r="D297" s="636"/>
      <c r="E297" s="636"/>
      <c r="F297" s="636"/>
      <c r="G297" s="636"/>
      <c r="H297" s="636"/>
      <c r="I297" s="636"/>
      <c r="J297" s="636"/>
      <c r="K297" s="636"/>
      <c r="L297" s="636"/>
      <c r="M297" s="636"/>
      <c r="N297" s="636"/>
      <c r="O297" s="636"/>
      <c r="P297" s="636"/>
      <c r="Q297" s="636"/>
      <c r="R297" s="636"/>
      <c r="S297" s="636"/>
      <c r="U297" s="636"/>
      <c r="V297" s="636"/>
      <c r="W297" s="636"/>
      <c r="X297" s="636"/>
      <c r="Y297" s="636"/>
      <c r="Z297" s="636"/>
      <c r="AA297" s="636"/>
      <c r="AB297" s="636"/>
      <c r="AC297" s="636"/>
      <c r="AD297" s="636"/>
      <c r="AE297" s="636"/>
      <c r="AF297" s="636"/>
      <c r="AG297" s="636"/>
      <c r="AH297" s="636"/>
      <c r="AI297" s="636"/>
      <c r="AJ297" s="636"/>
      <c r="AK297" s="636"/>
    </row>
    <row r="298" spans="3:37" ht="13" customHeight="1">
      <c r="C298" s="700" t="s">
        <v>128</v>
      </c>
      <c r="D298" s="701" t="s">
        <v>42</v>
      </c>
      <c r="E298" s="701" t="s">
        <v>52</v>
      </c>
      <c r="F298" s="701" t="s">
        <v>53</v>
      </c>
      <c r="G298" s="701" t="s">
        <v>32</v>
      </c>
      <c r="H298" s="701" t="s">
        <v>20</v>
      </c>
      <c r="I298" s="701" t="s">
        <v>55</v>
      </c>
      <c r="J298" s="701" t="s">
        <v>56</v>
      </c>
      <c r="K298" s="701"/>
      <c r="L298" s="701"/>
      <c r="M298" s="701"/>
      <c r="N298" s="701"/>
      <c r="O298" s="701"/>
      <c r="P298" s="701" t="s">
        <v>57</v>
      </c>
      <c r="Q298" s="701" t="s">
        <v>58</v>
      </c>
      <c r="R298" s="701" t="s">
        <v>31</v>
      </c>
      <c r="S298" s="701" t="s">
        <v>10</v>
      </c>
      <c r="U298" s="700" t="s">
        <v>128</v>
      </c>
      <c r="V298" s="701" t="s">
        <v>42</v>
      </c>
      <c r="W298" s="701" t="s">
        <v>52</v>
      </c>
      <c r="X298" s="701" t="s">
        <v>53</v>
      </c>
      <c r="Y298" s="701" t="s">
        <v>32</v>
      </c>
      <c r="Z298" s="701" t="s">
        <v>20</v>
      </c>
      <c r="AA298" s="701" t="s">
        <v>55</v>
      </c>
      <c r="AB298" s="701" t="s">
        <v>56</v>
      </c>
      <c r="AC298" s="701"/>
      <c r="AD298" s="701"/>
      <c r="AE298" s="701"/>
      <c r="AF298" s="701"/>
      <c r="AG298" s="701"/>
      <c r="AH298" s="701" t="s">
        <v>57</v>
      </c>
      <c r="AI298" s="701" t="s">
        <v>58</v>
      </c>
      <c r="AJ298" s="701" t="s">
        <v>31</v>
      </c>
      <c r="AK298" s="701" t="s">
        <v>10</v>
      </c>
    </row>
    <row r="299" spans="3:37" ht="46">
      <c r="C299" s="700"/>
      <c r="D299" s="701"/>
      <c r="E299" s="701"/>
      <c r="F299" s="701"/>
      <c r="G299" s="701"/>
      <c r="H299" s="701"/>
      <c r="I299" s="701"/>
      <c r="J299" s="640" t="s">
        <v>338</v>
      </c>
      <c r="K299" s="640" t="s">
        <v>40</v>
      </c>
      <c r="L299" s="640" t="s">
        <v>346</v>
      </c>
      <c r="M299" s="640" t="s">
        <v>347</v>
      </c>
      <c r="N299" s="640" t="s">
        <v>348</v>
      </c>
      <c r="O299" s="640" t="s">
        <v>349</v>
      </c>
      <c r="P299" s="701"/>
      <c r="Q299" s="701"/>
      <c r="R299" s="701"/>
      <c r="S299" s="701"/>
      <c r="U299" s="700"/>
      <c r="V299" s="701"/>
      <c r="W299" s="701"/>
      <c r="X299" s="701"/>
      <c r="Y299" s="701"/>
      <c r="Z299" s="701"/>
      <c r="AA299" s="701"/>
      <c r="AB299" s="640" t="s">
        <v>338</v>
      </c>
      <c r="AC299" s="640" t="s">
        <v>40</v>
      </c>
      <c r="AD299" s="640" t="s">
        <v>346</v>
      </c>
      <c r="AE299" s="640" t="s">
        <v>347</v>
      </c>
      <c r="AF299" s="640" t="s">
        <v>348</v>
      </c>
      <c r="AG299" s="640" t="s">
        <v>349</v>
      </c>
      <c r="AH299" s="701"/>
      <c r="AI299" s="701"/>
      <c r="AJ299" s="701"/>
      <c r="AK299" s="701"/>
    </row>
    <row r="300" spans="3:37" ht="13.5">
      <c r="C300" s="641" t="s">
        <v>59</v>
      </c>
      <c r="D300" s="642">
        <v>0</v>
      </c>
      <c r="E300" s="643">
        <v>0</v>
      </c>
      <c r="F300" s="643">
        <v>0</v>
      </c>
      <c r="G300" s="642">
        <v>0</v>
      </c>
      <c r="H300" s="643">
        <v>727.27272727272737</v>
      </c>
      <c r="I300" s="643">
        <v>338.37995078139568</v>
      </c>
      <c r="J300" s="643">
        <v>185.12606679296266</v>
      </c>
      <c r="K300" s="643">
        <v>19.887492227897642</v>
      </c>
      <c r="L300" s="643">
        <v>0.67629573379861951</v>
      </c>
      <c r="M300" s="643">
        <v>0.16041590589481752</v>
      </c>
      <c r="N300" s="643">
        <v>75.083762899489528</v>
      </c>
      <c r="O300" s="643">
        <v>12.515766779598991</v>
      </c>
      <c r="P300" s="644">
        <v>0</v>
      </c>
      <c r="Q300" s="643">
        <v>0</v>
      </c>
      <c r="R300" s="643">
        <v>0</v>
      </c>
      <c r="S300" s="645">
        <v>1359.1024783937653</v>
      </c>
      <c r="U300" s="641" t="s">
        <v>59</v>
      </c>
      <c r="V300" s="642">
        <v>0</v>
      </c>
      <c r="W300" s="643">
        <v>0</v>
      </c>
      <c r="X300" s="643">
        <v>0</v>
      </c>
      <c r="Y300" s="642">
        <v>0</v>
      </c>
      <c r="Z300" s="643">
        <v>764.84848484848499</v>
      </c>
      <c r="AA300" s="643">
        <v>423.19995078139567</v>
      </c>
      <c r="AB300" s="643">
        <v>256.09062969225096</v>
      </c>
      <c r="AC300" s="643">
        <v>36.108430969743218</v>
      </c>
      <c r="AD300" s="643">
        <v>0.67629573379861951</v>
      </c>
      <c r="AE300" s="643">
        <v>0.16041590589481752</v>
      </c>
      <c r="AF300" s="643">
        <v>123.16818516374138</v>
      </c>
      <c r="AG300" s="643">
        <v>30.250193334526926</v>
      </c>
      <c r="AH300" s="644">
        <v>0</v>
      </c>
      <c r="AI300" s="643">
        <v>0</v>
      </c>
      <c r="AJ300" s="643">
        <v>0</v>
      </c>
      <c r="AK300" s="645">
        <v>1634.5025864298366</v>
      </c>
    </row>
    <row r="301" spans="3:37" ht="13.5">
      <c r="C301" s="641" t="s">
        <v>60</v>
      </c>
      <c r="D301" s="642">
        <v>46.099891323621534</v>
      </c>
      <c r="E301" s="643">
        <v>464.7986487</v>
      </c>
      <c r="F301" s="643">
        <v>48.534128715927544</v>
      </c>
      <c r="G301" s="642">
        <v>345.55093723566335</v>
      </c>
      <c r="H301" s="643">
        <v>0</v>
      </c>
      <c r="I301" s="643">
        <v>0</v>
      </c>
      <c r="J301" s="643">
        <v>5.7213435879484642</v>
      </c>
      <c r="K301" s="643">
        <v>0</v>
      </c>
      <c r="L301" s="643">
        <v>3.0565993326094723</v>
      </c>
      <c r="M301" s="643">
        <v>0</v>
      </c>
      <c r="N301" s="643">
        <v>0</v>
      </c>
      <c r="O301" s="643">
        <v>0</v>
      </c>
      <c r="P301" s="644">
        <v>0</v>
      </c>
      <c r="Q301" s="643">
        <v>0</v>
      </c>
      <c r="R301" s="643">
        <v>0</v>
      </c>
      <c r="S301" s="645">
        <v>913.76154889577037</v>
      </c>
      <c r="U301" s="641" t="s">
        <v>60</v>
      </c>
      <c r="V301" s="642">
        <v>4.5871215860372576</v>
      </c>
      <c r="W301" s="643">
        <v>113.59926767676768</v>
      </c>
      <c r="X301" s="643">
        <v>20.138935454909394</v>
      </c>
      <c r="Y301" s="642">
        <v>0.51452681198611927</v>
      </c>
      <c r="Z301" s="643">
        <v>0</v>
      </c>
      <c r="AA301" s="643">
        <v>0</v>
      </c>
      <c r="AB301" s="643">
        <v>5.7213435879484642</v>
      </c>
      <c r="AC301" s="643">
        <v>0</v>
      </c>
      <c r="AD301" s="643">
        <v>3.0565993326094723</v>
      </c>
      <c r="AE301" s="643">
        <v>0</v>
      </c>
      <c r="AF301" s="643">
        <v>0</v>
      </c>
      <c r="AG301" s="643">
        <v>0</v>
      </c>
      <c r="AH301" s="644">
        <v>0</v>
      </c>
      <c r="AI301" s="643">
        <v>0</v>
      </c>
      <c r="AJ301" s="643">
        <v>0</v>
      </c>
      <c r="AK301" s="645">
        <v>147.6177944502584</v>
      </c>
    </row>
    <row r="302" spans="3:37" ht="13.5">
      <c r="C302" s="641" t="s">
        <v>61</v>
      </c>
      <c r="D302" s="642">
        <v>0</v>
      </c>
      <c r="E302" s="643">
        <v>0</v>
      </c>
      <c r="F302" s="643">
        <v>0</v>
      </c>
      <c r="G302" s="642">
        <v>0</v>
      </c>
      <c r="H302" s="643">
        <v>0</v>
      </c>
      <c r="I302" s="643">
        <v>0</v>
      </c>
      <c r="J302" s="643">
        <v>0</v>
      </c>
      <c r="K302" s="643">
        <v>0</v>
      </c>
      <c r="L302" s="643">
        <v>0</v>
      </c>
      <c r="M302" s="643">
        <v>0</v>
      </c>
      <c r="N302" s="643">
        <v>0</v>
      </c>
      <c r="O302" s="643">
        <v>0</v>
      </c>
      <c r="P302" s="644">
        <v>-12.7985093299136</v>
      </c>
      <c r="Q302" s="643">
        <v>0</v>
      </c>
      <c r="R302" s="643">
        <v>0</v>
      </c>
      <c r="S302" s="645">
        <v>-12.7985093299136</v>
      </c>
      <c r="U302" s="641" t="s">
        <v>61</v>
      </c>
      <c r="V302" s="642">
        <v>0</v>
      </c>
      <c r="W302" s="643">
        <v>0</v>
      </c>
      <c r="X302" s="643">
        <v>0</v>
      </c>
      <c r="Y302" s="642">
        <v>0</v>
      </c>
      <c r="Z302" s="643">
        <v>0</v>
      </c>
      <c r="AA302" s="643">
        <v>0</v>
      </c>
      <c r="AB302" s="643">
        <v>0</v>
      </c>
      <c r="AC302" s="643">
        <v>0</v>
      </c>
      <c r="AD302" s="643">
        <v>0</v>
      </c>
      <c r="AE302" s="643">
        <v>0</v>
      </c>
      <c r="AF302" s="643">
        <v>0</v>
      </c>
      <c r="AG302" s="643">
        <v>0</v>
      </c>
      <c r="AH302" s="644">
        <v>-41.639986107117011</v>
      </c>
      <c r="AI302" s="643">
        <v>0</v>
      </c>
      <c r="AJ302" s="643">
        <v>0</v>
      </c>
      <c r="AK302" s="645">
        <v>-41.639986107117011</v>
      </c>
    </row>
    <row r="303" spans="3:37" ht="13.5">
      <c r="C303" s="641" t="s">
        <v>62</v>
      </c>
      <c r="D303" s="642">
        <v>0</v>
      </c>
      <c r="E303" s="643">
        <v>0</v>
      </c>
      <c r="F303" s="643">
        <v>-14.431507774067331</v>
      </c>
      <c r="G303" s="642">
        <v>0</v>
      </c>
      <c r="H303" s="643">
        <v>0</v>
      </c>
      <c r="I303" s="643">
        <v>0</v>
      </c>
      <c r="J303" s="643">
        <v>0</v>
      </c>
      <c r="K303" s="643">
        <v>0</v>
      </c>
      <c r="L303" s="643">
        <v>0</v>
      </c>
      <c r="M303" s="643">
        <v>0</v>
      </c>
      <c r="N303" s="643">
        <v>0</v>
      </c>
      <c r="O303" s="643">
        <v>0</v>
      </c>
      <c r="P303" s="644">
        <v>0</v>
      </c>
      <c r="Q303" s="643">
        <v>0</v>
      </c>
      <c r="R303" s="643">
        <v>0</v>
      </c>
      <c r="S303" s="645">
        <v>-14.431507774067331</v>
      </c>
      <c r="U303" s="641" t="s">
        <v>62</v>
      </c>
      <c r="V303" s="642">
        <v>0</v>
      </c>
      <c r="W303" s="643">
        <v>0</v>
      </c>
      <c r="X303" s="643">
        <v>-5.3013702027186111</v>
      </c>
      <c r="Y303" s="642">
        <v>0</v>
      </c>
      <c r="Z303" s="643">
        <v>0</v>
      </c>
      <c r="AA303" s="643">
        <v>0</v>
      </c>
      <c r="AB303" s="643">
        <v>0</v>
      </c>
      <c r="AC303" s="643">
        <v>0</v>
      </c>
      <c r="AD303" s="643">
        <v>0</v>
      </c>
      <c r="AE303" s="643">
        <v>-5.1137296191648005</v>
      </c>
      <c r="AF303" s="643">
        <v>0</v>
      </c>
      <c r="AG303" s="643">
        <v>0</v>
      </c>
      <c r="AH303" s="644">
        <v>0</v>
      </c>
      <c r="AI303" s="643">
        <v>0</v>
      </c>
      <c r="AJ303" s="643">
        <v>0</v>
      </c>
      <c r="AK303" s="645">
        <v>-10.415099821883413</v>
      </c>
    </row>
    <row r="304" spans="3:37" ht="13.5">
      <c r="C304" s="641" t="s">
        <v>63</v>
      </c>
      <c r="D304" s="642">
        <v>0</v>
      </c>
      <c r="E304" s="643">
        <v>0</v>
      </c>
      <c r="F304" s="643">
        <v>-93.443844381495637</v>
      </c>
      <c r="G304" s="642">
        <v>0</v>
      </c>
      <c r="H304" s="643">
        <v>0</v>
      </c>
      <c r="I304" s="643">
        <v>0</v>
      </c>
      <c r="J304" s="643">
        <v>0</v>
      </c>
      <c r="K304" s="643">
        <v>0</v>
      </c>
      <c r="L304" s="643">
        <v>-0.96889726774865159</v>
      </c>
      <c r="M304" s="643">
        <v>0</v>
      </c>
      <c r="N304" s="643">
        <v>0</v>
      </c>
      <c r="O304" s="643">
        <v>0</v>
      </c>
      <c r="P304" s="644">
        <v>0</v>
      </c>
      <c r="Q304" s="643">
        <v>0</v>
      </c>
      <c r="R304" s="643">
        <v>0</v>
      </c>
      <c r="S304" s="645">
        <v>-94.412741649244282</v>
      </c>
      <c r="U304" s="641" t="s">
        <v>63</v>
      </c>
      <c r="V304" s="642">
        <v>0</v>
      </c>
      <c r="W304" s="643">
        <v>0</v>
      </c>
      <c r="X304" s="643">
        <v>-35.841594545498886</v>
      </c>
      <c r="Y304" s="642">
        <v>0</v>
      </c>
      <c r="Z304" s="643">
        <v>0</v>
      </c>
      <c r="AA304" s="643">
        <v>0</v>
      </c>
      <c r="AB304" s="643">
        <v>0</v>
      </c>
      <c r="AC304" s="643">
        <v>0</v>
      </c>
      <c r="AD304" s="643">
        <v>-46.567340427053182</v>
      </c>
      <c r="AE304" s="643">
        <v>0</v>
      </c>
      <c r="AF304" s="643">
        <v>0</v>
      </c>
      <c r="AG304" s="643">
        <v>0</v>
      </c>
      <c r="AH304" s="644">
        <v>0</v>
      </c>
      <c r="AI304" s="643">
        <v>0</v>
      </c>
      <c r="AJ304" s="643">
        <v>0</v>
      </c>
      <c r="AK304" s="645">
        <v>-82.408934972552061</v>
      </c>
    </row>
    <row r="305" spans="3:37" ht="13.5">
      <c r="C305" s="641" t="s">
        <v>64</v>
      </c>
      <c r="D305" s="642">
        <v>0</v>
      </c>
      <c r="E305" s="643">
        <v>0</v>
      </c>
      <c r="F305" s="643">
        <v>0</v>
      </c>
      <c r="G305" s="642">
        <v>0</v>
      </c>
      <c r="H305" s="643">
        <v>0</v>
      </c>
      <c r="I305" s="643">
        <v>0</v>
      </c>
      <c r="J305" s="643">
        <v>0</v>
      </c>
      <c r="K305" s="643">
        <v>0</v>
      </c>
      <c r="L305" s="643">
        <v>0</v>
      </c>
      <c r="M305" s="643">
        <v>0</v>
      </c>
      <c r="N305" s="643">
        <v>0</v>
      </c>
      <c r="O305" s="643">
        <v>0</v>
      </c>
      <c r="P305" s="644">
        <v>0</v>
      </c>
      <c r="Q305" s="643">
        <v>0</v>
      </c>
      <c r="R305" s="643">
        <v>0</v>
      </c>
      <c r="S305" s="645">
        <v>0</v>
      </c>
      <c r="U305" s="641" t="s">
        <v>64</v>
      </c>
      <c r="V305" s="642">
        <v>0</v>
      </c>
      <c r="W305" s="643">
        <v>0</v>
      </c>
      <c r="X305" s="643">
        <v>0</v>
      </c>
      <c r="Y305" s="642">
        <v>0</v>
      </c>
      <c r="Z305" s="643">
        <v>0</v>
      </c>
      <c r="AA305" s="643">
        <v>0</v>
      </c>
      <c r="AB305" s="643">
        <v>0</v>
      </c>
      <c r="AC305" s="643">
        <v>0</v>
      </c>
      <c r="AD305" s="643">
        <v>0</v>
      </c>
      <c r="AE305" s="643">
        <v>0</v>
      </c>
      <c r="AF305" s="643">
        <v>0</v>
      </c>
      <c r="AG305" s="643">
        <v>0</v>
      </c>
      <c r="AH305" s="644">
        <v>0</v>
      </c>
      <c r="AI305" s="643">
        <v>0</v>
      </c>
      <c r="AJ305" s="643">
        <v>0</v>
      </c>
      <c r="AK305" s="645">
        <v>0</v>
      </c>
    </row>
    <row r="306" spans="3:37" ht="13.5">
      <c r="C306" s="646" t="s">
        <v>65</v>
      </c>
      <c r="D306" s="647">
        <v>46.099891323621534</v>
      </c>
      <c r="E306" s="647">
        <v>464.7986487</v>
      </c>
      <c r="F306" s="647">
        <v>-59.341223439635421</v>
      </c>
      <c r="G306" s="647">
        <v>345.55093723566335</v>
      </c>
      <c r="H306" s="647">
        <v>727.27272727272737</v>
      </c>
      <c r="I306" s="647">
        <v>338.37995078139568</v>
      </c>
      <c r="J306" s="647">
        <v>190.84741038091113</v>
      </c>
      <c r="K306" s="647">
        <v>19.887492227897642</v>
      </c>
      <c r="L306" s="647">
        <v>2.7639977986594397</v>
      </c>
      <c r="M306" s="647">
        <v>0.16041590589481752</v>
      </c>
      <c r="N306" s="647">
        <v>75.083762899489528</v>
      </c>
      <c r="O306" s="647">
        <v>12.515766779598991</v>
      </c>
      <c r="P306" s="647">
        <v>-12.7985093299136</v>
      </c>
      <c r="Q306" s="647">
        <v>0</v>
      </c>
      <c r="R306" s="647">
        <v>0</v>
      </c>
      <c r="S306" s="647">
        <v>2151.2212685363102</v>
      </c>
      <c r="U306" s="646" t="s">
        <v>65</v>
      </c>
      <c r="V306" s="647">
        <v>4.5871215860372576</v>
      </c>
      <c r="W306" s="647">
        <v>113.59926767676768</v>
      </c>
      <c r="X306" s="647">
        <v>-21.004029293308101</v>
      </c>
      <c r="Y306" s="647">
        <v>0.51452681198611927</v>
      </c>
      <c r="Z306" s="647">
        <v>764.84848484848499</v>
      </c>
      <c r="AA306" s="647">
        <v>423.19995078139567</v>
      </c>
      <c r="AB306" s="647">
        <v>261.81197328019942</v>
      </c>
      <c r="AC306" s="647">
        <v>36.108430969743218</v>
      </c>
      <c r="AD306" s="647">
        <v>-42.834445360645091</v>
      </c>
      <c r="AE306" s="647">
        <v>-4.9533137132699832</v>
      </c>
      <c r="AF306" s="647">
        <v>123.16818516374138</v>
      </c>
      <c r="AG306" s="647">
        <v>30.250193334526926</v>
      </c>
      <c r="AH306" s="647">
        <v>-41.639986107117011</v>
      </c>
      <c r="AI306" s="647">
        <v>0</v>
      </c>
      <c r="AJ306" s="647">
        <v>0</v>
      </c>
      <c r="AK306" s="647">
        <v>1647.6563599785427</v>
      </c>
    </row>
    <row r="307" spans="3:37" ht="13">
      <c r="C307" s="636"/>
      <c r="D307" s="636">
        <v>0</v>
      </c>
      <c r="E307" s="636">
        <v>0</v>
      </c>
      <c r="F307" s="636">
        <v>0</v>
      </c>
      <c r="G307" s="636">
        <v>0</v>
      </c>
      <c r="H307" s="636">
        <v>0</v>
      </c>
      <c r="I307" s="636">
        <v>0</v>
      </c>
      <c r="J307" s="636">
        <v>0</v>
      </c>
      <c r="K307" s="636">
        <v>0</v>
      </c>
      <c r="L307" s="636">
        <v>0</v>
      </c>
      <c r="M307" s="636">
        <v>0</v>
      </c>
      <c r="N307" s="636">
        <v>0</v>
      </c>
      <c r="O307" s="636">
        <v>0</v>
      </c>
      <c r="P307" s="636">
        <v>0</v>
      </c>
      <c r="Q307" s="636">
        <v>0</v>
      </c>
      <c r="R307" s="636">
        <v>0</v>
      </c>
      <c r="S307" s="636">
        <v>0</v>
      </c>
      <c r="U307" s="636"/>
      <c r="V307" s="636">
        <v>0</v>
      </c>
      <c r="W307" s="636">
        <v>0</v>
      </c>
      <c r="X307" s="636">
        <v>0</v>
      </c>
      <c r="Y307" s="636">
        <v>0</v>
      </c>
      <c r="Z307" s="636">
        <v>0</v>
      </c>
      <c r="AA307" s="636">
        <v>0</v>
      </c>
      <c r="AB307" s="636">
        <v>0</v>
      </c>
      <c r="AC307" s="636">
        <v>0</v>
      </c>
      <c r="AD307" s="636">
        <v>0</v>
      </c>
      <c r="AE307" s="636">
        <v>0</v>
      </c>
      <c r="AF307" s="636">
        <v>0</v>
      </c>
      <c r="AG307" s="636">
        <v>0</v>
      </c>
      <c r="AH307" s="636">
        <v>0</v>
      </c>
      <c r="AI307" s="636">
        <v>0</v>
      </c>
      <c r="AJ307" s="636">
        <v>0</v>
      </c>
      <c r="AK307" s="636">
        <v>0</v>
      </c>
    </row>
    <row r="308" spans="3:37" ht="13.5">
      <c r="C308" s="648" t="s">
        <v>67</v>
      </c>
      <c r="D308" s="642">
        <v>0</v>
      </c>
      <c r="E308" s="649">
        <v>0</v>
      </c>
      <c r="F308" s="649">
        <v>0</v>
      </c>
      <c r="G308" s="642">
        <v>0</v>
      </c>
      <c r="H308" s="642">
        <v>0</v>
      </c>
      <c r="I308" s="642">
        <v>0</v>
      </c>
      <c r="J308" s="642">
        <v>0</v>
      </c>
      <c r="K308" s="642">
        <v>0</v>
      </c>
      <c r="L308" s="642">
        <v>0</v>
      </c>
      <c r="M308" s="642">
        <v>0</v>
      </c>
      <c r="N308" s="642">
        <v>0</v>
      </c>
      <c r="O308" s="642">
        <v>0</v>
      </c>
      <c r="P308" s="642">
        <v>0</v>
      </c>
      <c r="Q308" s="642">
        <v>0</v>
      </c>
      <c r="R308" s="642">
        <v>0</v>
      </c>
      <c r="S308" s="650">
        <v>0</v>
      </c>
      <c r="U308" s="648" t="s">
        <v>67</v>
      </c>
      <c r="V308" s="642">
        <v>0</v>
      </c>
      <c r="W308" s="649">
        <v>0</v>
      </c>
      <c r="X308" s="649">
        <v>0</v>
      </c>
      <c r="Y308" s="642">
        <v>0</v>
      </c>
      <c r="Z308" s="642">
        <v>0</v>
      </c>
      <c r="AA308" s="642">
        <v>0</v>
      </c>
      <c r="AB308" s="642">
        <v>0</v>
      </c>
      <c r="AC308" s="642">
        <v>0</v>
      </c>
      <c r="AD308" s="642">
        <v>0</v>
      </c>
      <c r="AE308" s="642">
        <v>0</v>
      </c>
      <c r="AF308" s="642">
        <v>0</v>
      </c>
      <c r="AG308" s="642">
        <v>0</v>
      </c>
      <c r="AH308" s="642">
        <v>0</v>
      </c>
      <c r="AI308" s="642">
        <v>0</v>
      </c>
      <c r="AJ308" s="642">
        <v>0</v>
      </c>
      <c r="AK308" s="650">
        <v>0</v>
      </c>
    </row>
    <row r="309" spans="3:37" ht="13.5">
      <c r="C309" s="648" t="s">
        <v>350</v>
      </c>
      <c r="D309" s="642">
        <v>2.8267856410252494</v>
      </c>
      <c r="E309" s="642">
        <v>0</v>
      </c>
      <c r="F309" s="642">
        <v>8.0599105831015567</v>
      </c>
      <c r="G309" s="642">
        <v>46.530346198952707</v>
      </c>
      <c r="H309" s="642">
        <v>727.27272727272737</v>
      </c>
      <c r="I309" s="642">
        <v>338.37995078139568</v>
      </c>
      <c r="J309" s="651">
        <v>28.452469116356035</v>
      </c>
      <c r="K309" s="651">
        <v>6.2305848357200952</v>
      </c>
      <c r="L309" s="651">
        <v>3.7328950664080915</v>
      </c>
      <c r="M309" s="651">
        <v>1.0761160081227215</v>
      </c>
      <c r="N309" s="651">
        <v>0</v>
      </c>
      <c r="O309" s="651">
        <v>7.5664382136221358</v>
      </c>
      <c r="P309" s="642">
        <v>-629.14515201417555</v>
      </c>
      <c r="Q309" s="642">
        <v>0</v>
      </c>
      <c r="R309" s="642">
        <v>0</v>
      </c>
      <c r="S309" s="650">
        <v>540.98307170325586</v>
      </c>
      <c r="U309" s="648" t="s">
        <v>350</v>
      </c>
      <c r="V309" s="642">
        <v>0.62631490545869017</v>
      </c>
      <c r="W309" s="642">
        <v>0</v>
      </c>
      <c r="X309" s="642">
        <v>4.1962742194651934</v>
      </c>
      <c r="Y309" s="642">
        <v>0</v>
      </c>
      <c r="Z309" s="642">
        <v>764.84848484848499</v>
      </c>
      <c r="AA309" s="642">
        <v>423.19995078139567</v>
      </c>
      <c r="AB309" s="651">
        <v>22.478183728982629</v>
      </c>
      <c r="AC309" s="651">
        <v>5.0926371917675839</v>
      </c>
      <c r="AD309" s="651">
        <v>3.7328950664080915</v>
      </c>
      <c r="AE309" s="651">
        <v>0.79318377276994545</v>
      </c>
      <c r="AF309" s="651">
        <v>0</v>
      </c>
      <c r="AG309" s="651">
        <v>7.5664382136221358</v>
      </c>
      <c r="AH309" s="642">
        <v>-696.77718495359215</v>
      </c>
      <c r="AI309" s="642">
        <v>0</v>
      </c>
      <c r="AJ309" s="642">
        <v>3.75</v>
      </c>
      <c r="AK309" s="650">
        <v>539.50717777476291</v>
      </c>
    </row>
    <row r="310" spans="3:37" ht="13.5">
      <c r="C310" s="648" t="s">
        <v>351</v>
      </c>
      <c r="D310" s="642">
        <v>0</v>
      </c>
      <c r="E310" s="642">
        <v>0</v>
      </c>
      <c r="F310" s="642">
        <v>0</v>
      </c>
      <c r="G310" s="642">
        <v>14.783508517784153</v>
      </c>
      <c r="H310" s="642">
        <v>0</v>
      </c>
      <c r="I310" s="642">
        <v>0</v>
      </c>
      <c r="J310" s="651">
        <v>12.163067049530284</v>
      </c>
      <c r="K310" s="651">
        <v>11.829214997579474</v>
      </c>
      <c r="L310" s="651">
        <v>0</v>
      </c>
      <c r="M310" s="651">
        <v>0.31740804730172578</v>
      </c>
      <c r="N310" s="651">
        <v>0</v>
      </c>
      <c r="O310" s="651">
        <v>2.086875550337155</v>
      </c>
      <c r="P310" s="642">
        <v>0</v>
      </c>
      <c r="Q310" s="642">
        <v>-37.667878685561853</v>
      </c>
      <c r="R310" s="642">
        <v>0</v>
      </c>
      <c r="S310" s="650">
        <v>3.5121954769709394</v>
      </c>
      <c r="U310" s="648" t="s">
        <v>351</v>
      </c>
      <c r="V310" s="642">
        <v>0</v>
      </c>
      <c r="W310" s="642">
        <v>0</v>
      </c>
      <c r="X310" s="642">
        <v>0</v>
      </c>
      <c r="Y310" s="642">
        <v>0</v>
      </c>
      <c r="Z310" s="642">
        <v>0</v>
      </c>
      <c r="AA310" s="642">
        <v>0</v>
      </c>
      <c r="AB310" s="651">
        <v>28.523630086620891</v>
      </c>
      <c r="AC310" s="651">
        <v>26.288013396118924</v>
      </c>
      <c r="AD310" s="651">
        <v>0</v>
      </c>
      <c r="AE310" s="651">
        <v>10.611192177482708</v>
      </c>
      <c r="AF310" s="651">
        <v>0</v>
      </c>
      <c r="AG310" s="651">
        <v>14.121402979798832</v>
      </c>
      <c r="AH310" s="642">
        <v>0</v>
      </c>
      <c r="AI310" s="642">
        <v>-74.176724382187018</v>
      </c>
      <c r="AJ310" s="642">
        <v>0</v>
      </c>
      <c r="AK310" s="650">
        <v>5.3675142578343316</v>
      </c>
    </row>
    <row r="311" spans="3:37" ht="13.5">
      <c r="C311" s="648" t="s">
        <v>352</v>
      </c>
      <c r="D311" s="642">
        <v>0</v>
      </c>
      <c r="E311" s="642">
        <v>0</v>
      </c>
      <c r="F311" s="642">
        <v>0</v>
      </c>
      <c r="G311" s="642">
        <v>0</v>
      </c>
      <c r="H311" s="642">
        <v>0</v>
      </c>
      <c r="I311" s="642">
        <v>0</v>
      </c>
      <c r="J311" s="652">
        <v>7.1450792385721682</v>
      </c>
      <c r="K311" s="652">
        <v>0</v>
      </c>
      <c r="L311" s="652">
        <v>0</v>
      </c>
      <c r="M311" s="652">
        <v>-6.8235506728364204</v>
      </c>
      <c r="N311" s="652">
        <v>0</v>
      </c>
      <c r="O311" s="652">
        <v>0</v>
      </c>
      <c r="P311" s="642">
        <v>0</v>
      </c>
      <c r="Q311" s="642">
        <v>0</v>
      </c>
      <c r="R311" s="642">
        <v>0</v>
      </c>
      <c r="S311" s="650">
        <v>0.32152856573574784</v>
      </c>
      <c r="U311" s="648" t="s">
        <v>352</v>
      </c>
      <c r="V311" s="642">
        <v>0</v>
      </c>
      <c r="W311" s="642">
        <v>0</v>
      </c>
      <c r="X311" s="642">
        <v>0</v>
      </c>
      <c r="Y311" s="642">
        <v>0</v>
      </c>
      <c r="Z311" s="642">
        <v>0</v>
      </c>
      <c r="AA311" s="642">
        <v>0</v>
      </c>
      <c r="AB311" s="652">
        <v>137.81211213320262</v>
      </c>
      <c r="AC311" s="652">
        <v>0</v>
      </c>
      <c r="AD311" s="652">
        <v>0</v>
      </c>
      <c r="AE311" s="652">
        <v>-131.61056708720849</v>
      </c>
      <c r="AF311" s="652">
        <v>0</v>
      </c>
      <c r="AG311" s="652">
        <v>0</v>
      </c>
      <c r="AH311" s="642">
        <v>0</v>
      </c>
      <c r="AI311" s="642">
        <v>0</v>
      </c>
      <c r="AJ311" s="642">
        <v>0</v>
      </c>
      <c r="AK311" s="650">
        <v>6.2015450459941235</v>
      </c>
    </row>
    <row r="312" spans="3:37" ht="13.5">
      <c r="C312" s="648" t="s">
        <v>353</v>
      </c>
      <c r="D312" s="642">
        <v>0</v>
      </c>
      <c r="E312" s="642">
        <v>0</v>
      </c>
      <c r="F312" s="642">
        <v>0</v>
      </c>
      <c r="G312" s="642">
        <v>0</v>
      </c>
      <c r="H312" s="642">
        <v>0</v>
      </c>
      <c r="I312" s="642">
        <v>0</v>
      </c>
      <c r="J312" s="642">
        <v>0</v>
      </c>
      <c r="K312" s="642">
        <v>0</v>
      </c>
      <c r="L312" s="642">
        <v>0</v>
      </c>
      <c r="M312" s="642">
        <v>0</v>
      </c>
      <c r="N312" s="642">
        <v>0</v>
      </c>
      <c r="O312" s="642">
        <v>0</v>
      </c>
      <c r="P312" s="642">
        <v>0</v>
      </c>
      <c r="Q312" s="642">
        <v>0</v>
      </c>
      <c r="R312" s="642">
        <v>0</v>
      </c>
      <c r="S312" s="650">
        <v>0</v>
      </c>
      <c r="U312" s="648" t="s">
        <v>353</v>
      </c>
      <c r="V312" s="642">
        <v>0</v>
      </c>
      <c r="W312" s="642">
        <v>0</v>
      </c>
      <c r="X312" s="642">
        <v>0</v>
      </c>
      <c r="Y312" s="642">
        <v>0</v>
      </c>
      <c r="Z312" s="642">
        <v>0</v>
      </c>
      <c r="AA312" s="642">
        <v>0</v>
      </c>
      <c r="AB312" s="642">
        <v>0</v>
      </c>
      <c r="AC312" s="642">
        <v>0</v>
      </c>
      <c r="AD312" s="642">
        <v>0</v>
      </c>
      <c r="AE312" s="642">
        <v>0</v>
      </c>
      <c r="AF312" s="642">
        <v>0</v>
      </c>
      <c r="AG312" s="642">
        <v>0</v>
      </c>
      <c r="AH312" s="642">
        <v>0</v>
      </c>
      <c r="AI312" s="642">
        <v>0</v>
      </c>
      <c r="AJ312" s="642">
        <v>0</v>
      </c>
      <c r="AK312" s="650">
        <v>0</v>
      </c>
    </row>
    <row r="313" spans="3:37" ht="13.5">
      <c r="C313" s="648" t="s">
        <v>72</v>
      </c>
      <c r="D313" s="642">
        <v>0</v>
      </c>
      <c r="E313" s="642">
        <v>481.48200000000003</v>
      </c>
      <c r="F313" s="642">
        <v>-476.66718000000003</v>
      </c>
      <c r="G313" s="642">
        <v>0</v>
      </c>
      <c r="H313" s="642">
        <v>0</v>
      </c>
      <c r="I313" s="642">
        <v>0</v>
      </c>
      <c r="J313" s="642">
        <v>0</v>
      </c>
      <c r="K313" s="642">
        <v>0</v>
      </c>
      <c r="L313" s="642">
        <v>0</v>
      </c>
      <c r="M313" s="642">
        <v>0</v>
      </c>
      <c r="N313" s="642">
        <v>0</v>
      </c>
      <c r="O313" s="642">
        <v>0</v>
      </c>
      <c r="P313" s="642">
        <v>0</v>
      </c>
      <c r="Q313" s="642">
        <v>0</v>
      </c>
      <c r="R313" s="642">
        <v>0</v>
      </c>
      <c r="S313" s="650">
        <v>4.8148199999999974</v>
      </c>
      <c r="U313" s="648" t="s">
        <v>72</v>
      </c>
      <c r="V313" s="642">
        <v>0</v>
      </c>
      <c r="W313" s="642">
        <v>117.67676767676768</v>
      </c>
      <c r="X313" s="642">
        <v>-116.5</v>
      </c>
      <c r="Y313" s="642">
        <v>0</v>
      </c>
      <c r="Z313" s="642">
        <v>0</v>
      </c>
      <c r="AA313" s="642">
        <v>0</v>
      </c>
      <c r="AB313" s="642">
        <v>0</v>
      </c>
      <c r="AC313" s="642">
        <v>0</v>
      </c>
      <c r="AD313" s="642">
        <v>0</v>
      </c>
      <c r="AE313" s="642">
        <v>0</v>
      </c>
      <c r="AF313" s="642">
        <v>0</v>
      </c>
      <c r="AG313" s="642">
        <v>0</v>
      </c>
      <c r="AH313" s="642">
        <v>0</v>
      </c>
      <c r="AI313" s="642">
        <v>0</v>
      </c>
      <c r="AJ313" s="642">
        <v>0</v>
      </c>
      <c r="AK313" s="650">
        <v>1.1767676767676818</v>
      </c>
    </row>
    <row r="314" spans="3:37" ht="13.5">
      <c r="C314" s="648" t="s">
        <v>354</v>
      </c>
      <c r="D314" s="642">
        <v>0</v>
      </c>
      <c r="E314" s="642">
        <v>0</v>
      </c>
      <c r="F314" s="642">
        <v>0</v>
      </c>
      <c r="G314" s="642">
        <v>0</v>
      </c>
      <c r="H314" s="642">
        <v>0</v>
      </c>
      <c r="I314" s="642">
        <v>0</v>
      </c>
      <c r="J314" s="642">
        <v>26.125483595276659</v>
      </c>
      <c r="K314" s="642">
        <v>0</v>
      </c>
      <c r="L314" s="642">
        <v>-26.125483595276659</v>
      </c>
      <c r="M314" s="642">
        <v>0</v>
      </c>
      <c r="N314" s="642">
        <v>0</v>
      </c>
      <c r="O314" s="642">
        <v>0</v>
      </c>
      <c r="P314" s="642">
        <v>0</v>
      </c>
      <c r="Q314" s="642">
        <v>0</v>
      </c>
      <c r="R314" s="642">
        <v>0</v>
      </c>
      <c r="S314" s="650">
        <v>0</v>
      </c>
      <c r="U314" s="648" t="s">
        <v>354</v>
      </c>
      <c r="V314" s="642">
        <v>0</v>
      </c>
      <c r="W314" s="642">
        <v>0</v>
      </c>
      <c r="X314" s="642">
        <v>0</v>
      </c>
      <c r="Y314" s="642">
        <v>0</v>
      </c>
      <c r="Z314" s="642">
        <v>0</v>
      </c>
      <c r="AA314" s="642">
        <v>0</v>
      </c>
      <c r="AB314" s="642" t="e">
        <v>#VALUE!</v>
      </c>
      <c r="AC314" s="642">
        <v>0</v>
      </c>
      <c r="AD314" s="642">
        <v>-100.69655001825291</v>
      </c>
      <c r="AE314" s="642">
        <v>0</v>
      </c>
      <c r="AF314" s="642">
        <v>0</v>
      </c>
      <c r="AG314" s="642">
        <v>0</v>
      </c>
      <c r="AH314" s="642">
        <v>0</v>
      </c>
      <c r="AI314" s="642">
        <v>0</v>
      </c>
      <c r="AJ314" s="642">
        <v>0</v>
      </c>
      <c r="AK314" s="650">
        <v>-100.69655001825291</v>
      </c>
    </row>
    <row r="315" spans="3:37" ht="13.5">
      <c r="C315" s="648" t="s">
        <v>355</v>
      </c>
      <c r="D315" s="642">
        <v>0</v>
      </c>
      <c r="E315" s="642">
        <v>0</v>
      </c>
      <c r="F315" s="642">
        <v>0</v>
      </c>
      <c r="G315" s="642">
        <v>0</v>
      </c>
      <c r="H315" s="642">
        <v>0</v>
      </c>
      <c r="I315" s="642">
        <v>0</v>
      </c>
      <c r="J315" s="642">
        <v>0</v>
      </c>
      <c r="K315" s="642">
        <v>0</v>
      </c>
      <c r="L315" s="642">
        <v>0</v>
      </c>
      <c r="M315" s="642">
        <v>0</v>
      </c>
      <c r="N315" s="642">
        <v>0</v>
      </c>
      <c r="O315" s="642">
        <v>0</v>
      </c>
      <c r="P315" s="642">
        <v>0</v>
      </c>
      <c r="Q315" s="642">
        <v>0</v>
      </c>
      <c r="R315" s="642">
        <v>0</v>
      </c>
      <c r="S315" s="650">
        <v>0</v>
      </c>
      <c r="U315" s="648" t="s">
        <v>355</v>
      </c>
      <c r="V315" s="642">
        <v>0</v>
      </c>
      <c r="W315" s="642">
        <v>0</v>
      </c>
      <c r="X315" s="642">
        <v>0</v>
      </c>
      <c r="Y315" s="642">
        <v>0</v>
      </c>
      <c r="Z315" s="642">
        <v>0</v>
      </c>
      <c r="AA315" s="642">
        <v>0</v>
      </c>
      <c r="AB315" s="642">
        <v>0</v>
      </c>
      <c r="AC315" s="642">
        <v>0</v>
      </c>
      <c r="AD315" s="642">
        <v>-28.460377640694865</v>
      </c>
      <c r="AE315" s="642">
        <v>0</v>
      </c>
      <c r="AF315" s="642">
        <v>0</v>
      </c>
      <c r="AG315" s="642">
        <v>0</v>
      </c>
      <c r="AH315" s="642">
        <v>0</v>
      </c>
      <c r="AI315" s="642">
        <v>0</v>
      </c>
      <c r="AJ315" s="642">
        <v>0</v>
      </c>
      <c r="AK315" s="650">
        <v>-28.460377640694865</v>
      </c>
    </row>
    <row r="316" spans="3:37" ht="13.5">
      <c r="C316" s="648" t="s">
        <v>73</v>
      </c>
      <c r="D316" s="642">
        <v>0</v>
      </c>
      <c r="E316" s="642">
        <v>0</v>
      </c>
      <c r="F316" s="642">
        <v>0</v>
      </c>
      <c r="G316" s="642">
        <v>8.6128889644156494</v>
      </c>
      <c r="H316" s="642">
        <v>0</v>
      </c>
      <c r="I316" s="642">
        <v>0</v>
      </c>
      <c r="J316" s="642">
        <v>0</v>
      </c>
      <c r="K316" s="642">
        <v>0.10101910584583218</v>
      </c>
      <c r="L316" s="642">
        <v>0</v>
      </c>
      <c r="M316" s="642">
        <v>0.17577324417174797</v>
      </c>
      <c r="N316" s="642">
        <v>0</v>
      </c>
      <c r="O316" s="642">
        <v>0</v>
      </c>
      <c r="P316" s="642">
        <v>1.1785562348680418</v>
      </c>
      <c r="Q316" s="642">
        <v>0</v>
      </c>
      <c r="R316" s="642">
        <v>-7.071337409208251</v>
      </c>
      <c r="S316" s="650">
        <v>2.99690014009302</v>
      </c>
      <c r="U316" s="648" t="s">
        <v>73</v>
      </c>
      <c r="V316" s="642">
        <v>0</v>
      </c>
      <c r="W316" s="642">
        <v>0</v>
      </c>
      <c r="X316" s="642">
        <v>0</v>
      </c>
      <c r="Y316" s="642">
        <v>0</v>
      </c>
      <c r="Z316" s="642">
        <v>0</v>
      </c>
      <c r="AA316" s="642">
        <v>0</v>
      </c>
      <c r="AB316" s="642">
        <v>0</v>
      </c>
      <c r="AC316" s="642">
        <v>0.58294529496624936</v>
      </c>
      <c r="AD316" s="642">
        <v>0</v>
      </c>
      <c r="AE316" s="642">
        <v>0</v>
      </c>
      <c r="AF316" s="642">
        <v>0</v>
      </c>
      <c r="AG316" s="642">
        <v>0</v>
      </c>
      <c r="AH316" s="642">
        <v>56.108484640501494</v>
      </c>
      <c r="AI316" s="642">
        <v>0</v>
      </c>
      <c r="AJ316" s="642">
        <v>-40.806170647637451</v>
      </c>
      <c r="AK316" s="650">
        <v>15.885259287830294</v>
      </c>
    </row>
    <row r="317" spans="3:37" ht="13.5">
      <c r="C317" s="648" t="s">
        <v>356</v>
      </c>
      <c r="D317" s="642">
        <v>28.51179328125</v>
      </c>
      <c r="E317" s="642">
        <v>-16.683351300000002</v>
      </c>
      <c r="F317" s="642">
        <v>21.820838094867195</v>
      </c>
      <c r="G317" s="642">
        <v>0</v>
      </c>
      <c r="H317" s="642">
        <v>0</v>
      </c>
      <c r="I317" s="642">
        <v>0</v>
      </c>
      <c r="J317" s="642">
        <v>0</v>
      </c>
      <c r="K317" s="642">
        <v>0</v>
      </c>
      <c r="L317" s="642">
        <v>0</v>
      </c>
      <c r="M317" s="642">
        <v>0</v>
      </c>
      <c r="N317" s="642">
        <v>0</v>
      </c>
      <c r="O317" s="642">
        <v>0</v>
      </c>
      <c r="P317" s="642">
        <v>0</v>
      </c>
      <c r="Q317" s="642">
        <v>0</v>
      </c>
      <c r="R317" s="642">
        <v>0</v>
      </c>
      <c r="S317" s="650">
        <v>33.649280076117194</v>
      </c>
      <c r="U317" s="648" t="s">
        <v>356</v>
      </c>
      <c r="V317" s="642">
        <v>0.72303211975097659</v>
      </c>
      <c r="W317" s="642">
        <v>-4.0775000000000006</v>
      </c>
      <c r="X317" s="642">
        <v>5.333129161634389</v>
      </c>
      <c r="Y317" s="642">
        <v>0</v>
      </c>
      <c r="Z317" s="642">
        <v>0</v>
      </c>
      <c r="AA317" s="642">
        <v>0</v>
      </c>
      <c r="AB317" s="642">
        <v>0</v>
      </c>
      <c r="AC317" s="642">
        <v>0</v>
      </c>
      <c r="AD317" s="642">
        <v>0</v>
      </c>
      <c r="AE317" s="642">
        <v>0</v>
      </c>
      <c r="AF317" s="642">
        <v>0</v>
      </c>
      <c r="AG317" s="642">
        <v>0</v>
      </c>
      <c r="AH317" s="642">
        <v>0</v>
      </c>
      <c r="AI317" s="642">
        <v>0</v>
      </c>
      <c r="AJ317" s="642">
        <v>0</v>
      </c>
      <c r="AK317" s="650">
        <v>1.978661281385365</v>
      </c>
    </row>
    <row r="318" spans="3:37" ht="13.5">
      <c r="C318" s="648" t="s">
        <v>75</v>
      </c>
      <c r="D318" s="642">
        <v>11.087919609375001</v>
      </c>
      <c r="E318" s="642">
        <v>0</v>
      </c>
      <c r="F318" s="642">
        <v>16.370388000000002</v>
      </c>
      <c r="G318" s="642">
        <v>4.6713383640000004</v>
      </c>
      <c r="H318" s="642">
        <v>0</v>
      </c>
      <c r="I318" s="642">
        <v>0</v>
      </c>
      <c r="J318" s="642">
        <v>0</v>
      </c>
      <c r="K318" s="642">
        <v>0</v>
      </c>
      <c r="L318" s="642">
        <v>0</v>
      </c>
      <c r="M318" s="642">
        <v>9.5333436000000008E-2</v>
      </c>
      <c r="N318" s="642">
        <v>0</v>
      </c>
      <c r="O318" s="642">
        <v>0</v>
      </c>
      <c r="P318" s="642">
        <v>26.129145836866744</v>
      </c>
      <c r="Q318" s="642">
        <v>0</v>
      </c>
      <c r="R318" s="642">
        <v>0</v>
      </c>
      <c r="S318" s="650">
        <v>58.35412524624175</v>
      </c>
      <c r="U318" s="648" t="s">
        <v>75</v>
      </c>
      <c r="V318" s="642">
        <v>1.73775830078125</v>
      </c>
      <c r="W318" s="642">
        <v>0</v>
      </c>
      <c r="X318" s="642">
        <v>16.370388000000002</v>
      </c>
      <c r="Y318" s="642">
        <v>0</v>
      </c>
      <c r="Z318" s="642">
        <v>0</v>
      </c>
      <c r="AA318" s="642">
        <v>0</v>
      </c>
      <c r="AB318" s="642">
        <v>0</v>
      </c>
      <c r="AC318" s="642">
        <v>0</v>
      </c>
      <c r="AD318" s="642">
        <v>0</v>
      </c>
      <c r="AE318" s="642">
        <v>4.7666718000000001</v>
      </c>
      <c r="AF318" s="642">
        <v>0</v>
      </c>
      <c r="AG318" s="642">
        <v>0</v>
      </c>
      <c r="AH318" s="642">
        <v>36.696565665655768</v>
      </c>
      <c r="AI318" s="642">
        <v>0</v>
      </c>
      <c r="AJ318" s="642">
        <v>0</v>
      </c>
      <c r="AK318" s="650">
        <v>59.571383766437016</v>
      </c>
    </row>
    <row r="319" spans="3:37" ht="13.5">
      <c r="C319" s="648" t="s">
        <v>76</v>
      </c>
      <c r="D319" s="642">
        <v>0</v>
      </c>
      <c r="E319" s="642">
        <v>0</v>
      </c>
      <c r="F319" s="642">
        <v>0</v>
      </c>
      <c r="G319" s="642">
        <v>3.9646717348100942</v>
      </c>
      <c r="H319" s="642">
        <v>0</v>
      </c>
      <c r="I319" s="642">
        <v>0</v>
      </c>
      <c r="J319" s="642">
        <v>0</v>
      </c>
      <c r="K319" s="642">
        <v>0</v>
      </c>
      <c r="L319" s="642">
        <v>0</v>
      </c>
      <c r="M319" s="642">
        <v>8.0911668057348868E-2</v>
      </c>
      <c r="N319" s="642">
        <v>0</v>
      </c>
      <c r="O319" s="642">
        <v>0</v>
      </c>
      <c r="P319" s="642">
        <v>47.131742012269626</v>
      </c>
      <c r="Q319" s="642">
        <v>2.9238621334994321</v>
      </c>
      <c r="R319" s="642">
        <v>0</v>
      </c>
      <c r="S319" s="650">
        <v>54.101187548636503</v>
      </c>
      <c r="U319" s="648" t="s">
        <v>76</v>
      </c>
      <c r="V319" s="642">
        <v>0</v>
      </c>
      <c r="W319" s="642">
        <v>0</v>
      </c>
      <c r="X319" s="642">
        <v>0</v>
      </c>
      <c r="Y319" s="642">
        <v>0</v>
      </c>
      <c r="Z319" s="642">
        <v>0</v>
      </c>
      <c r="AA319" s="642">
        <v>0</v>
      </c>
      <c r="AB319" s="642">
        <v>0</v>
      </c>
      <c r="AC319" s="642">
        <v>0</v>
      </c>
      <c r="AD319" s="642">
        <v>0</v>
      </c>
      <c r="AE319" s="642">
        <v>1.5605996097297452</v>
      </c>
      <c r="AF319" s="642">
        <v>0</v>
      </c>
      <c r="AG319" s="642">
        <v>0</v>
      </c>
      <c r="AH319" s="642">
        <v>50.104610120731024</v>
      </c>
      <c r="AI319" s="642">
        <v>5.7529608775183565</v>
      </c>
      <c r="AJ319" s="642">
        <v>0</v>
      </c>
      <c r="AK319" s="650">
        <v>57.418170607979121</v>
      </c>
    </row>
    <row r="320" spans="3:37" ht="13.5">
      <c r="C320" s="646" t="s">
        <v>77</v>
      </c>
      <c r="D320" s="647">
        <v>42.426498531650253</v>
      </c>
      <c r="E320" s="647">
        <v>464.7986487</v>
      </c>
      <c r="F320" s="647">
        <v>-430.41604332203127</v>
      </c>
      <c r="G320" s="647">
        <v>78.562753779962591</v>
      </c>
      <c r="H320" s="647">
        <v>727.27272727272737</v>
      </c>
      <c r="I320" s="647">
        <v>338.37995078139568</v>
      </c>
      <c r="J320" s="647">
        <v>73.88609899973514</v>
      </c>
      <c r="K320" s="647">
        <v>18.1608189391454</v>
      </c>
      <c r="L320" s="647">
        <v>-22.392588528868568</v>
      </c>
      <c r="M320" s="647">
        <v>-5.0780082691828765</v>
      </c>
      <c r="N320" s="647">
        <v>0</v>
      </c>
      <c r="O320" s="647">
        <v>9.6533137639592894</v>
      </c>
      <c r="P320" s="647">
        <v>-554.70570793017112</v>
      </c>
      <c r="Q320" s="647">
        <v>-34.744016552062419</v>
      </c>
      <c r="R320" s="647">
        <v>-7.071337409208251</v>
      </c>
      <c r="S320" s="647">
        <v>698.73310875705101</v>
      </c>
      <c r="U320" s="646" t="s">
        <v>77</v>
      </c>
      <c r="V320" s="647">
        <v>3.0871053259909167</v>
      </c>
      <c r="W320" s="647">
        <v>113.59926767676768</v>
      </c>
      <c r="X320" s="647">
        <v>-90.60020861890041</v>
      </c>
      <c r="Y320" s="647">
        <v>0</v>
      </c>
      <c r="Z320" s="647">
        <v>764.84848484848499</v>
      </c>
      <c r="AA320" s="647">
        <v>423.19995078139567</v>
      </c>
      <c r="AB320" s="647">
        <v>188.81392594880614</v>
      </c>
      <c r="AC320" s="647">
        <v>31.963595882852758</v>
      </c>
      <c r="AD320" s="647">
        <v>-125.42403259253969</v>
      </c>
      <c r="AE320" s="647">
        <v>-113.87891972722609</v>
      </c>
      <c r="AF320" s="647">
        <v>0</v>
      </c>
      <c r="AG320" s="647">
        <v>21.687841193420969</v>
      </c>
      <c r="AH320" s="647">
        <v>-553.86752452670385</v>
      </c>
      <c r="AI320" s="647">
        <v>-68.423763504668656</v>
      </c>
      <c r="AJ320" s="647">
        <v>-37.056170647637451</v>
      </c>
      <c r="AK320" s="647">
        <v>557.94955204004305</v>
      </c>
    </row>
    <row r="321" spans="3:37" ht="13">
      <c r="C321" s="636"/>
      <c r="D321" s="636">
        <v>0</v>
      </c>
      <c r="E321" s="636">
        <v>0</v>
      </c>
      <c r="F321" s="636">
        <v>0</v>
      </c>
      <c r="G321" s="636">
        <v>0</v>
      </c>
      <c r="H321" s="636">
        <v>0</v>
      </c>
      <c r="I321" s="636">
        <v>0</v>
      </c>
      <c r="J321" s="636">
        <v>0</v>
      </c>
      <c r="K321" s="636">
        <v>0</v>
      </c>
      <c r="L321" s="636">
        <v>0</v>
      </c>
      <c r="M321" s="636">
        <v>0</v>
      </c>
      <c r="N321" s="636">
        <v>0</v>
      </c>
      <c r="O321" s="636">
        <v>0</v>
      </c>
      <c r="P321" s="636">
        <v>0</v>
      </c>
      <c r="Q321" s="636">
        <v>0</v>
      </c>
      <c r="R321" s="636">
        <v>0</v>
      </c>
      <c r="S321" s="636">
        <v>0</v>
      </c>
      <c r="U321" s="636"/>
      <c r="V321" s="636">
        <v>0</v>
      </c>
      <c r="W321" s="636">
        <v>0</v>
      </c>
      <c r="X321" s="636">
        <v>0</v>
      </c>
      <c r="Y321" s="636">
        <v>0</v>
      </c>
      <c r="Z321" s="636">
        <v>0</v>
      </c>
      <c r="AA321" s="636">
        <v>0</v>
      </c>
      <c r="AB321" s="636">
        <v>0</v>
      </c>
      <c r="AC321" s="636">
        <v>0</v>
      </c>
      <c r="AD321" s="636">
        <v>0</v>
      </c>
      <c r="AE321" s="636">
        <v>0</v>
      </c>
      <c r="AF321" s="636">
        <v>0</v>
      </c>
      <c r="AG321" s="636">
        <v>0</v>
      </c>
      <c r="AH321" s="636">
        <v>0</v>
      </c>
      <c r="AI321" s="636">
        <v>0</v>
      </c>
      <c r="AJ321" s="636">
        <v>0</v>
      </c>
      <c r="AK321" s="636">
        <v>0</v>
      </c>
    </row>
    <row r="322" spans="3:37" ht="13.5">
      <c r="C322" s="648" t="s">
        <v>78</v>
      </c>
      <c r="D322" s="642">
        <v>3.6733927919712848</v>
      </c>
      <c r="E322" s="642">
        <v>0</v>
      </c>
      <c r="F322" s="642">
        <v>19.397200033553816</v>
      </c>
      <c r="G322" s="642">
        <v>91.130108310207916</v>
      </c>
      <c r="H322" s="642">
        <v>0</v>
      </c>
      <c r="I322" s="642">
        <v>0</v>
      </c>
      <c r="J322" s="642">
        <v>22.791437377983073</v>
      </c>
      <c r="K322" s="642">
        <v>1.7013098714668424</v>
      </c>
      <c r="L322" s="642">
        <v>1.007010953125</v>
      </c>
      <c r="M322" s="642">
        <v>1.8779931367345493</v>
      </c>
      <c r="N322" s="642">
        <v>0</v>
      </c>
      <c r="O322" s="642">
        <v>3.7093504340600874E-4</v>
      </c>
      <c r="P322" s="642">
        <v>114.54790196708234</v>
      </c>
      <c r="Q322" s="642">
        <v>16.21056036467343</v>
      </c>
      <c r="R322" s="642">
        <v>0.23655174255371095</v>
      </c>
      <c r="S322" s="650">
        <v>272.57383748439537</v>
      </c>
      <c r="U322" s="648" t="s">
        <v>78</v>
      </c>
      <c r="V322" s="642">
        <v>1.5000162600463405</v>
      </c>
      <c r="W322" s="642">
        <v>0</v>
      </c>
      <c r="X322" s="642">
        <v>0.65820239923796242</v>
      </c>
      <c r="Y322" s="642">
        <v>0</v>
      </c>
      <c r="Z322" s="642">
        <v>0</v>
      </c>
      <c r="AA322" s="642">
        <v>0</v>
      </c>
      <c r="AB322" s="642">
        <v>14.22856522114639</v>
      </c>
      <c r="AC322" s="642">
        <v>4.1194716696050602</v>
      </c>
      <c r="AD322" s="642">
        <v>8.3494072265624997</v>
      </c>
      <c r="AE322" s="642">
        <v>60.539358802903692</v>
      </c>
      <c r="AF322" s="642">
        <v>0</v>
      </c>
      <c r="AG322" s="642">
        <v>3.7093504340600874E-4</v>
      </c>
      <c r="AH322" s="642">
        <v>157.01971492382648</v>
      </c>
      <c r="AI322" s="642">
        <v>25.540840498351418</v>
      </c>
      <c r="AJ322" s="642">
        <v>8.9542294921874994</v>
      </c>
      <c r="AK322" s="650">
        <v>280.91017742891074</v>
      </c>
    </row>
    <row r="323" spans="3:37" ht="13.5">
      <c r="C323" s="648" t="s">
        <v>79</v>
      </c>
      <c r="D323" s="642">
        <v>0</v>
      </c>
      <c r="E323" s="642">
        <v>0</v>
      </c>
      <c r="F323" s="642">
        <v>216.8751541495462</v>
      </c>
      <c r="G323" s="642">
        <v>32.745585882615877</v>
      </c>
      <c r="H323" s="642">
        <v>0</v>
      </c>
      <c r="I323" s="642">
        <v>0</v>
      </c>
      <c r="J323" s="642">
        <v>0</v>
      </c>
      <c r="K323" s="642">
        <v>0</v>
      </c>
      <c r="L323" s="642">
        <v>20.896591906701669</v>
      </c>
      <c r="M323" s="642">
        <v>0.66827726291052814</v>
      </c>
      <c r="N323" s="642">
        <v>0</v>
      </c>
      <c r="O323" s="642">
        <v>0</v>
      </c>
      <c r="P323" s="642">
        <v>80.819270278256823</v>
      </c>
      <c r="Q323" s="642">
        <v>0</v>
      </c>
      <c r="R323" s="642">
        <v>2.9193508940431485</v>
      </c>
      <c r="S323" s="650">
        <v>354.92423037407423</v>
      </c>
      <c r="U323" s="648" t="s">
        <v>79</v>
      </c>
      <c r="V323" s="642">
        <v>0</v>
      </c>
      <c r="W323" s="642">
        <v>0</v>
      </c>
      <c r="X323" s="642">
        <v>8.8339079607242379</v>
      </c>
      <c r="Y323" s="642">
        <v>0</v>
      </c>
      <c r="Z323" s="642">
        <v>0</v>
      </c>
      <c r="AA323" s="642">
        <v>0</v>
      </c>
      <c r="AB323" s="642">
        <v>0</v>
      </c>
      <c r="AC323" s="642">
        <v>0</v>
      </c>
      <c r="AD323" s="642">
        <v>12.788272739607951</v>
      </c>
      <c r="AE323" s="642">
        <v>24.887279738493259</v>
      </c>
      <c r="AF323" s="642">
        <v>0</v>
      </c>
      <c r="AG323" s="642">
        <v>0</v>
      </c>
      <c r="AH323" s="642">
        <v>93.844452584108197</v>
      </c>
      <c r="AI323" s="642">
        <v>0</v>
      </c>
      <c r="AJ323" s="642">
        <v>7.1149935986121697</v>
      </c>
      <c r="AK323" s="650">
        <v>147.46890662154581</v>
      </c>
    </row>
    <row r="324" spans="3:37" ht="13.5">
      <c r="C324" s="648" t="s">
        <v>80</v>
      </c>
      <c r="D324" s="642">
        <v>0</v>
      </c>
      <c r="E324" s="642">
        <v>0</v>
      </c>
      <c r="F324" s="642">
        <v>5.2094674308398901</v>
      </c>
      <c r="G324" s="642">
        <v>68.551385920257417</v>
      </c>
      <c r="H324" s="642">
        <v>0</v>
      </c>
      <c r="I324" s="642">
        <v>0</v>
      </c>
      <c r="J324" s="642">
        <v>86.155325304334795</v>
      </c>
      <c r="K324" s="642">
        <v>0</v>
      </c>
      <c r="L324" s="642">
        <v>0</v>
      </c>
      <c r="M324" s="642">
        <v>1.3990078759236206</v>
      </c>
      <c r="N324" s="642">
        <v>66.478227859390046</v>
      </c>
      <c r="O324" s="642">
        <v>2.1206229173139883</v>
      </c>
      <c r="P324" s="642">
        <v>194.47767196350526</v>
      </c>
      <c r="Q324" s="642">
        <v>15.182773802844931</v>
      </c>
      <c r="R324" s="642">
        <v>0</v>
      </c>
      <c r="S324" s="650">
        <v>439.5744830744099</v>
      </c>
      <c r="U324" s="648" t="s">
        <v>80</v>
      </c>
      <c r="V324" s="642">
        <v>0</v>
      </c>
      <c r="W324" s="642">
        <v>0</v>
      </c>
      <c r="X324" s="642">
        <v>0.92826525658471626</v>
      </c>
      <c r="Y324" s="642">
        <v>0</v>
      </c>
      <c r="Z324" s="642">
        <v>0</v>
      </c>
      <c r="AA324" s="642">
        <v>0</v>
      </c>
      <c r="AB324" s="642">
        <v>47.227858114444189</v>
      </c>
      <c r="AC324" s="642">
        <v>0</v>
      </c>
      <c r="AD324" s="642">
        <v>0</v>
      </c>
      <c r="AE324" s="642">
        <v>17.293312779197663</v>
      </c>
      <c r="AF324" s="642">
        <v>108.09916343666818</v>
      </c>
      <c r="AG324" s="642">
        <v>4.9369795689122755</v>
      </c>
      <c r="AH324" s="642">
        <v>137.38519988829395</v>
      </c>
      <c r="AI324" s="642">
        <v>27.91071693101145</v>
      </c>
      <c r="AJ324" s="642">
        <v>0</v>
      </c>
      <c r="AK324" s="650">
        <v>343.78149597511242</v>
      </c>
    </row>
    <row r="325" spans="3:37" ht="13.5">
      <c r="C325" s="648" t="s">
        <v>81</v>
      </c>
      <c r="D325" s="642">
        <v>0</v>
      </c>
      <c r="E325" s="642">
        <v>0</v>
      </c>
      <c r="F325" s="642">
        <v>2.3181271880740835</v>
      </c>
      <c r="G325" s="642">
        <v>62.553452404821357</v>
      </c>
      <c r="H325" s="642">
        <v>0</v>
      </c>
      <c r="I325" s="642">
        <v>0</v>
      </c>
      <c r="J325" s="642">
        <v>3.0090868580403627</v>
      </c>
      <c r="K325" s="642">
        <v>2.5363417285398034E-2</v>
      </c>
      <c r="L325" s="642">
        <v>0</v>
      </c>
      <c r="M325" s="642">
        <v>1.27660106948615</v>
      </c>
      <c r="N325" s="642">
        <v>8.6055350400994808</v>
      </c>
      <c r="O325" s="642">
        <v>0.68093940948821108</v>
      </c>
      <c r="P325" s="642">
        <v>146.08879967332064</v>
      </c>
      <c r="Q325" s="642">
        <v>3.3506823845440552</v>
      </c>
      <c r="R325" s="642">
        <v>0</v>
      </c>
      <c r="S325" s="650">
        <v>227.90858744515972</v>
      </c>
      <c r="U325" s="648" t="s">
        <v>81</v>
      </c>
      <c r="V325" s="642">
        <v>0</v>
      </c>
      <c r="W325" s="642">
        <v>0</v>
      </c>
      <c r="X325" s="642">
        <v>0.55102356567889155</v>
      </c>
      <c r="Y325" s="642">
        <v>0</v>
      </c>
      <c r="Z325" s="642">
        <v>0</v>
      </c>
      <c r="AA325" s="642">
        <v>0</v>
      </c>
      <c r="AB325" s="642">
        <v>6.5361621549849476</v>
      </c>
      <c r="AC325" s="642">
        <v>2.5363417285398034E-2</v>
      </c>
      <c r="AD325" s="642">
        <v>0</v>
      </c>
      <c r="AE325" s="642">
        <v>5.3379988256415478</v>
      </c>
      <c r="AF325" s="642">
        <v>15.069021727073199</v>
      </c>
      <c r="AG325" s="642">
        <v>1.4375946320597892</v>
      </c>
      <c r="AH325" s="642">
        <v>112.31243747223964</v>
      </c>
      <c r="AI325" s="642">
        <v>14.972206075305797</v>
      </c>
      <c r="AJ325" s="642">
        <v>0</v>
      </c>
      <c r="AK325" s="650">
        <v>156.24180787026921</v>
      </c>
    </row>
    <row r="326" spans="3:37" ht="13.5">
      <c r="C326" s="648" t="s">
        <v>82</v>
      </c>
      <c r="D326" s="642">
        <v>0</v>
      </c>
      <c r="E326" s="642">
        <v>0</v>
      </c>
      <c r="F326" s="642">
        <v>27.219719362233906</v>
      </c>
      <c r="G326" s="642">
        <v>0.81069667111944488</v>
      </c>
      <c r="H326" s="642">
        <v>0</v>
      </c>
      <c r="I326" s="642">
        <v>0</v>
      </c>
      <c r="J326" s="642">
        <v>5.0054618408177598</v>
      </c>
      <c r="K326" s="642">
        <v>0</v>
      </c>
      <c r="L326" s="642">
        <v>3.2629555410385191</v>
      </c>
      <c r="M326" s="642">
        <v>1.6544830022845812E-2</v>
      </c>
      <c r="N326" s="642">
        <v>0</v>
      </c>
      <c r="O326" s="642">
        <v>6.051975379409523E-2</v>
      </c>
      <c r="P326" s="642">
        <v>5.5235547180923223</v>
      </c>
      <c r="Q326" s="642">
        <v>0</v>
      </c>
      <c r="R326" s="642">
        <v>0</v>
      </c>
      <c r="S326" s="650">
        <v>41.899452717118898</v>
      </c>
      <c r="U326" s="648" t="s">
        <v>82</v>
      </c>
      <c r="V326" s="642">
        <v>0</v>
      </c>
      <c r="W326" s="642">
        <v>0</v>
      </c>
      <c r="X326" s="642">
        <v>0.67158967449506357</v>
      </c>
      <c r="Y326" s="642">
        <v>0</v>
      </c>
      <c r="Z326" s="642">
        <v>0</v>
      </c>
      <c r="AA326" s="642">
        <v>0</v>
      </c>
      <c r="AB326" s="642">
        <v>5.0054618408177598</v>
      </c>
      <c r="AC326" s="642">
        <v>0</v>
      </c>
      <c r="AD326" s="642">
        <v>35.167200828266267</v>
      </c>
      <c r="AE326" s="642">
        <v>0.86765586771995196</v>
      </c>
      <c r="AF326" s="642">
        <v>0</v>
      </c>
      <c r="AG326" s="642">
        <v>2.1874070050904897</v>
      </c>
      <c r="AH326" s="642">
        <v>5.6657335511185538</v>
      </c>
      <c r="AI326" s="642">
        <v>0</v>
      </c>
      <c r="AJ326" s="642">
        <v>0.44339331184266689</v>
      </c>
      <c r="AK326" s="650">
        <v>50.008442079350758</v>
      </c>
    </row>
    <row r="327" spans="3:37" ht="13.5">
      <c r="C327" s="648" t="s">
        <v>357</v>
      </c>
      <c r="D327" s="642">
        <v>0</v>
      </c>
      <c r="E327" s="642">
        <v>0</v>
      </c>
      <c r="F327" s="642">
        <v>0</v>
      </c>
      <c r="G327" s="642">
        <v>0</v>
      </c>
      <c r="H327" s="642">
        <v>0</v>
      </c>
      <c r="I327" s="642">
        <v>0</v>
      </c>
      <c r="J327" s="642">
        <v>0</v>
      </c>
      <c r="K327" s="642">
        <v>0</v>
      </c>
      <c r="L327" s="642">
        <v>0</v>
      </c>
      <c r="M327" s="642">
        <v>0</v>
      </c>
      <c r="N327" s="642">
        <v>0</v>
      </c>
      <c r="O327" s="642">
        <v>0</v>
      </c>
      <c r="P327" s="642">
        <v>0.44999999999999996</v>
      </c>
      <c r="Q327" s="642">
        <v>0</v>
      </c>
      <c r="R327" s="642">
        <v>0</v>
      </c>
      <c r="S327" s="650">
        <v>0.44999999999999996</v>
      </c>
      <c r="U327" s="648" t="s">
        <v>357</v>
      </c>
      <c r="V327" s="642">
        <v>0</v>
      </c>
      <c r="W327" s="642">
        <v>0</v>
      </c>
      <c r="X327" s="642">
        <v>0</v>
      </c>
      <c r="Y327" s="642">
        <v>0</v>
      </c>
      <c r="Z327" s="642">
        <v>0</v>
      </c>
      <c r="AA327" s="642">
        <v>0</v>
      </c>
      <c r="AB327" s="642">
        <v>0</v>
      </c>
      <c r="AC327" s="642">
        <v>0</v>
      </c>
      <c r="AD327" s="642">
        <v>0</v>
      </c>
      <c r="AE327" s="642">
        <v>0</v>
      </c>
      <c r="AF327" s="642">
        <v>0</v>
      </c>
      <c r="AG327" s="642">
        <v>0</v>
      </c>
      <c r="AH327" s="642">
        <v>6</v>
      </c>
      <c r="AI327" s="642">
        <v>0</v>
      </c>
      <c r="AJ327" s="642">
        <v>0</v>
      </c>
      <c r="AK327" s="650">
        <v>6</v>
      </c>
    </row>
    <row r="328" spans="3:37" ht="13.5">
      <c r="C328" s="646" t="s">
        <v>83</v>
      </c>
      <c r="D328" s="647">
        <v>3.6733927919712848</v>
      </c>
      <c r="E328" s="647">
        <v>0</v>
      </c>
      <c r="F328" s="647">
        <v>271.01966816424783</v>
      </c>
      <c r="G328" s="647">
        <v>255.79122918902203</v>
      </c>
      <c r="H328" s="647">
        <v>0</v>
      </c>
      <c r="I328" s="647">
        <v>0</v>
      </c>
      <c r="J328" s="647">
        <v>116.96131138117599</v>
      </c>
      <c r="K328" s="647">
        <v>1.7266732887522405</v>
      </c>
      <c r="L328" s="647">
        <v>25.166558400865188</v>
      </c>
      <c r="M328" s="647">
        <v>5.238424175077693</v>
      </c>
      <c r="N328" s="647">
        <v>75.083762899489528</v>
      </c>
      <c r="O328" s="647">
        <v>2.8624530156397006</v>
      </c>
      <c r="P328" s="647">
        <v>541.90719860025752</v>
      </c>
      <c r="Q328" s="647">
        <v>34.744016552062419</v>
      </c>
      <c r="R328" s="647">
        <v>3.1559026365968594</v>
      </c>
      <c r="S328" s="647">
        <v>1337.3305910951583</v>
      </c>
      <c r="U328" s="646" t="s">
        <v>83</v>
      </c>
      <c r="V328" s="647">
        <v>1.5000162600463405</v>
      </c>
      <c r="W328" s="647">
        <v>0</v>
      </c>
      <c r="X328" s="647">
        <v>11.642988856720871</v>
      </c>
      <c r="Y328" s="647">
        <v>0</v>
      </c>
      <c r="Z328" s="647">
        <v>0</v>
      </c>
      <c r="AA328" s="647">
        <v>0</v>
      </c>
      <c r="AB328" s="647">
        <v>72.998047331393281</v>
      </c>
      <c r="AC328" s="647">
        <v>4.1448350868904589</v>
      </c>
      <c r="AD328" s="647">
        <v>56.30488079443672</v>
      </c>
      <c r="AE328" s="647">
        <v>108.92560601395611</v>
      </c>
      <c r="AF328" s="647">
        <v>123.16818516374138</v>
      </c>
      <c r="AG328" s="647">
        <v>8.5623521411059595</v>
      </c>
      <c r="AH328" s="647">
        <v>512.22753841958684</v>
      </c>
      <c r="AI328" s="647">
        <v>68.423763504668656</v>
      </c>
      <c r="AJ328" s="647">
        <v>16.512616402642333</v>
      </c>
      <c r="AK328" s="647">
        <v>984.4108299751889</v>
      </c>
    </row>
    <row r="329" spans="3:37" ht="13.5">
      <c r="C329" s="641" t="s">
        <v>84</v>
      </c>
      <c r="D329" s="642">
        <v>0</v>
      </c>
      <c r="E329" s="642">
        <v>0</v>
      </c>
      <c r="F329" s="642">
        <v>100.05515171814793</v>
      </c>
      <c r="G329" s="642">
        <v>11.196954266678716</v>
      </c>
      <c r="H329" s="642">
        <v>0</v>
      </c>
      <c r="I329" s="642">
        <v>0</v>
      </c>
      <c r="J329" s="642">
        <v>0</v>
      </c>
      <c r="K329" s="642">
        <v>0</v>
      </c>
      <c r="L329" s="642">
        <v>0</v>
      </c>
      <c r="M329" s="642">
        <v>0</v>
      </c>
      <c r="N329" s="642">
        <v>0</v>
      </c>
      <c r="O329" s="642">
        <v>0</v>
      </c>
      <c r="P329" s="642">
        <v>0</v>
      </c>
      <c r="Q329" s="642">
        <v>0</v>
      </c>
      <c r="R329" s="642">
        <v>3.9154347726113912</v>
      </c>
      <c r="S329" s="650">
        <v>115.16754075743803</v>
      </c>
      <c r="U329" s="641" t="s">
        <v>84</v>
      </c>
      <c r="V329" s="642">
        <v>0</v>
      </c>
      <c r="W329" s="642">
        <v>0</v>
      </c>
      <c r="X329" s="642">
        <v>57.953190468871433</v>
      </c>
      <c r="Y329" s="642">
        <v>0.51452681198611927</v>
      </c>
      <c r="Z329" s="642">
        <v>0</v>
      </c>
      <c r="AA329" s="642">
        <v>0</v>
      </c>
      <c r="AB329" s="642">
        <v>0</v>
      </c>
      <c r="AC329" s="642">
        <v>0</v>
      </c>
      <c r="AD329" s="642">
        <v>30.108432000732424</v>
      </c>
      <c r="AE329" s="642">
        <v>0</v>
      </c>
      <c r="AF329" s="642">
        <v>0</v>
      </c>
      <c r="AG329" s="642">
        <v>0</v>
      </c>
      <c r="AH329" s="642">
        <v>0</v>
      </c>
      <c r="AI329" s="642">
        <v>0</v>
      </c>
      <c r="AJ329" s="642">
        <v>20.543554244995118</v>
      </c>
      <c r="AK329" s="650">
        <v>109.1197035265851</v>
      </c>
    </row>
    <row r="330" spans="3:37" ht="13.5">
      <c r="C330" s="646" t="s">
        <v>85</v>
      </c>
      <c r="D330" s="647">
        <v>3.6733927919712848</v>
      </c>
      <c r="E330" s="647">
        <v>0</v>
      </c>
      <c r="F330" s="647">
        <v>371.07481988239573</v>
      </c>
      <c r="G330" s="647">
        <v>266.98818345570078</v>
      </c>
      <c r="H330" s="647">
        <v>0</v>
      </c>
      <c r="I330" s="647">
        <v>0</v>
      </c>
      <c r="J330" s="647">
        <v>116.96131138117599</v>
      </c>
      <c r="K330" s="647">
        <v>1.7266732887522405</v>
      </c>
      <c r="L330" s="647">
        <v>25.166558400865188</v>
      </c>
      <c r="M330" s="647">
        <v>5.238424175077693</v>
      </c>
      <c r="N330" s="647">
        <v>75.083762899489528</v>
      </c>
      <c r="O330" s="647">
        <v>2.8624530156397006</v>
      </c>
      <c r="P330" s="647">
        <v>541.90719860025752</v>
      </c>
      <c r="Q330" s="647">
        <v>34.744016552062419</v>
      </c>
      <c r="R330" s="647">
        <v>7.071337409208251</v>
      </c>
      <c r="S330" s="647">
        <v>1452.4981318525963</v>
      </c>
      <c r="U330" s="646" t="s">
        <v>85</v>
      </c>
      <c r="V330" s="647">
        <v>1.5000162600463405</v>
      </c>
      <c r="W330" s="647">
        <v>0</v>
      </c>
      <c r="X330" s="647">
        <v>69.596179325592303</v>
      </c>
      <c r="Y330" s="647">
        <v>0.51452681198611927</v>
      </c>
      <c r="Z330" s="647">
        <v>0</v>
      </c>
      <c r="AA330" s="647">
        <v>0</v>
      </c>
      <c r="AB330" s="647">
        <v>72.998047331393281</v>
      </c>
      <c r="AC330" s="647">
        <v>4.1448350868904589</v>
      </c>
      <c r="AD330" s="647">
        <v>86.413312795169148</v>
      </c>
      <c r="AE330" s="647">
        <v>108.92560601395611</v>
      </c>
      <c r="AF330" s="647">
        <v>123.16818516374138</v>
      </c>
      <c r="AG330" s="647">
        <v>8.5623521411059595</v>
      </c>
      <c r="AH330" s="647">
        <v>512.22753841958684</v>
      </c>
      <c r="AI330" s="647">
        <v>68.423763504668656</v>
      </c>
      <c r="AJ330" s="647">
        <v>37.056170647637451</v>
      </c>
      <c r="AK330" s="647">
        <v>1093.530533501774</v>
      </c>
    </row>
    <row r="331" spans="3:37" ht="13">
      <c r="C331" s="636"/>
      <c r="D331" s="636"/>
      <c r="E331" s="636"/>
      <c r="F331" s="636"/>
      <c r="G331" s="636"/>
      <c r="H331" s="636"/>
      <c r="I331" s="636"/>
      <c r="J331" s="636"/>
      <c r="K331" s="636"/>
      <c r="L331" s="636"/>
      <c r="M331" s="636"/>
      <c r="N331" s="636"/>
      <c r="O331" s="636"/>
      <c r="P331" s="636"/>
      <c r="Q331" s="636"/>
      <c r="R331" s="636"/>
      <c r="S331" s="636"/>
      <c r="U331" s="636"/>
      <c r="V331" s="636"/>
      <c r="W331" s="636"/>
      <c r="X331" s="636"/>
      <c r="Y331" s="636"/>
      <c r="Z331" s="636"/>
      <c r="AA331" s="636"/>
      <c r="AB331" s="636"/>
      <c r="AC331" s="636"/>
      <c r="AD331" s="636"/>
      <c r="AE331" s="636"/>
      <c r="AF331" s="636"/>
      <c r="AG331" s="636"/>
      <c r="AH331" s="636"/>
      <c r="AI331" s="636"/>
      <c r="AJ331" s="636"/>
      <c r="AK331" s="636"/>
    </row>
    <row r="332" spans="3:37" ht="13">
      <c r="C332" s="636"/>
      <c r="D332" s="636"/>
      <c r="E332" s="636"/>
      <c r="F332" s="636"/>
      <c r="G332" s="636"/>
      <c r="H332" s="636"/>
      <c r="I332" s="636"/>
      <c r="J332" s="636"/>
      <c r="K332" s="636"/>
      <c r="L332" s="636"/>
      <c r="M332" s="636"/>
      <c r="N332" s="636"/>
      <c r="O332" s="636"/>
      <c r="P332" s="636"/>
      <c r="Q332" s="636"/>
      <c r="R332" s="636"/>
      <c r="S332" s="636"/>
      <c r="U332" s="636"/>
      <c r="V332" s="636"/>
      <c r="W332" s="636"/>
      <c r="X332" s="636"/>
      <c r="Y332" s="636"/>
      <c r="Z332" s="636"/>
      <c r="AA332" s="636"/>
      <c r="AB332" s="636"/>
      <c r="AC332" s="636"/>
      <c r="AD332" s="636"/>
      <c r="AE332" s="636"/>
      <c r="AF332" s="636"/>
      <c r="AG332" s="636"/>
      <c r="AH332" s="636"/>
      <c r="AI332" s="636"/>
      <c r="AJ332" s="636"/>
      <c r="AK332" s="636"/>
    </row>
  </sheetData>
  <mergeCells count="236">
    <mergeCell ref="AI298:AI299"/>
    <mergeCell ref="AJ298:AJ299"/>
    <mergeCell ref="AK298:AK299"/>
    <mergeCell ref="W298:W299"/>
    <mergeCell ref="X298:X299"/>
    <mergeCell ref="Y298:Y299"/>
    <mergeCell ref="Z298:Z299"/>
    <mergeCell ref="C298:C299"/>
    <mergeCell ref="D298:D299"/>
    <mergeCell ref="E298:E299"/>
    <mergeCell ref="F298:F299"/>
    <mergeCell ref="G298:G299"/>
    <mergeCell ref="H298:H299"/>
    <mergeCell ref="I298:I299"/>
    <mergeCell ref="J298:O298"/>
    <mergeCell ref="AH298:AH299"/>
    <mergeCell ref="AH262:AH263"/>
    <mergeCell ref="AI262:AI263"/>
    <mergeCell ref="AJ262:AJ263"/>
    <mergeCell ref="AK262:AK263"/>
    <mergeCell ref="U262:U263"/>
    <mergeCell ref="V262:V263"/>
    <mergeCell ref="W262:W263"/>
    <mergeCell ref="X262:X263"/>
    <mergeCell ref="Y262:Y263"/>
    <mergeCell ref="Z262:Z263"/>
    <mergeCell ref="AA298:AA299"/>
    <mergeCell ref="AB298:AG298"/>
    <mergeCell ref="I262:I263"/>
    <mergeCell ref="J262:O262"/>
    <mergeCell ref="P262:P263"/>
    <mergeCell ref="Q262:Q263"/>
    <mergeCell ref="R262:R263"/>
    <mergeCell ref="S262:S263"/>
    <mergeCell ref="C262:C263"/>
    <mergeCell ref="D262:D263"/>
    <mergeCell ref="E262:E263"/>
    <mergeCell ref="F262:F263"/>
    <mergeCell ref="G262:G263"/>
    <mergeCell ref="H262:H263"/>
    <mergeCell ref="AA262:AA263"/>
    <mergeCell ref="AB262:AG262"/>
    <mergeCell ref="P298:P299"/>
    <mergeCell ref="Q298:Q299"/>
    <mergeCell ref="R298:R299"/>
    <mergeCell ref="S298:S299"/>
    <mergeCell ref="U298:U299"/>
    <mergeCell ref="V298:V299"/>
    <mergeCell ref="C296:S296"/>
    <mergeCell ref="U296:AK296"/>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299">
    <cfRule type="cellIs" dxfId="17415" priority="1" operator="equal">
      <formula>0</formula>
    </cfRule>
  </conditionalFormatting>
  <conditionalFormatting sqref="P15:S17 E15:I17 J15:O16 Q12:S14 G12:G14 D12:D17 D18:S18">
    <cfRule type="cellIs" dxfId="17414" priority="879" operator="equal">
      <formula>0</formula>
    </cfRule>
  </conditionalFormatting>
  <conditionalFormatting sqref="P12:P17">
    <cfRule type="cellIs" dxfId="17413" priority="880" operator="equal">
      <formula>0</formula>
    </cfRule>
  </conditionalFormatting>
  <conditionalFormatting sqref="D12:E17 H12:I17">
    <cfRule type="cellIs" dxfId="17412" priority="881" operator="equal">
      <formula>0</formula>
    </cfRule>
  </conditionalFormatting>
  <conditionalFormatting sqref="F12:F17">
    <cfRule type="cellIs" dxfId="17411" priority="882" operator="equal">
      <formula>0</formula>
    </cfRule>
  </conditionalFormatting>
  <conditionalFormatting sqref="J15:J17">
    <cfRule type="cellIs" dxfId="17410" priority="883" operator="equal">
      <formula>0</formula>
    </cfRule>
  </conditionalFormatting>
  <conditionalFormatting sqref="J12:J17 K12:O12">
    <cfRule type="cellIs" dxfId="17409" priority="884" operator="equal">
      <formula>0</formula>
    </cfRule>
  </conditionalFormatting>
  <conditionalFormatting sqref="K15:K17">
    <cfRule type="cellIs" dxfId="17408" priority="885" operator="equal">
      <formula>0</formula>
    </cfRule>
  </conditionalFormatting>
  <conditionalFormatting sqref="K12:K17">
    <cfRule type="cellIs" dxfId="17407" priority="886" operator="equal">
      <formula>0</formula>
    </cfRule>
  </conditionalFormatting>
  <conditionalFormatting sqref="L15:L17">
    <cfRule type="cellIs" dxfId="17406" priority="887" operator="equal">
      <formula>0</formula>
    </cfRule>
  </conditionalFormatting>
  <conditionalFormatting sqref="L12:L17">
    <cfRule type="cellIs" dxfId="17405" priority="888" operator="equal">
      <formula>0</formula>
    </cfRule>
  </conditionalFormatting>
  <conditionalFormatting sqref="M15:M17">
    <cfRule type="cellIs" dxfId="17404" priority="889" operator="equal">
      <formula>0</formula>
    </cfRule>
  </conditionalFormatting>
  <conditionalFormatting sqref="M12:M17">
    <cfRule type="cellIs" dxfId="17403" priority="890" operator="equal">
      <formula>0</formula>
    </cfRule>
  </conditionalFormatting>
  <conditionalFormatting sqref="N15:N17">
    <cfRule type="cellIs" dxfId="17402" priority="891" operator="equal">
      <formula>0</formula>
    </cfRule>
  </conditionalFormatting>
  <conditionalFormatting sqref="N12:N17">
    <cfRule type="cellIs" dxfId="17401" priority="892" operator="equal">
      <formula>0</formula>
    </cfRule>
  </conditionalFormatting>
  <conditionalFormatting sqref="O15:O17">
    <cfRule type="cellIs" dxfId="17400" priority="893" operator="equal">
      <formula>0</formula>
    </cfRule>
  </conditionalFormatting>
  <conditionalFormatting sqref="O12:O17">
    <cfRule type="cellIs" dxfId="17399" priority="894" operator="equal">
      <formula>0</formula>
    </cfRule>
  </conditionalFormatting>
  <conditionalFormatting sqref="D12:S18">
    <cfRule type="expression" dxfId="17398" priority="895">
      <formula>LEN(TRIM(D12))=0</formula>
    </cfRule>
  </conditionalFormatting>
  <conditionalFormatting sqref="L15:L16">
    <cfRule type="cellIs" dxfId="17397" priority="896" operator="equal">
      <formula>0</formula>
    </cfRule>
  </conditionalFormatting>
  <conditionalFormatting sqref="M15:M16">
    <cfRule type="cellIs" dxfId="17396" priority="897" operator="equal">
      <formula>0</formula>
    </cfRule>
  </conditionalFormatting>
  <conditionalFormatting sqref="N15:O15">
    <cfRule type="cellIs" dxfId="17395" priority="898" operator="equal">
      <formula>0</formula>
    </cfRule>
  </conditionalFormatting>
  <conditionalFormatting sqref="N16:O16">
    <cfRule type="cellIs" dxfId="17394" priority="899" operator="equal">
      <formula>0</formula>
    </cfRule>
  </conditionalFormatting>
  <conditionalFormatting sqref="E29:G29 D30:G31 H29:I31 D25:I28 J25:R31 D20:S20 D32:R32 D21:I22 S21:S32 P21:R22">
    <cfRule type="cellIs" dxfId="17393" priority="873" operator="equal">
      <formula>0</formula>
    </cfRule>
  </conditionalFormatting>
  <conditionalFormatting sqref="D29">
    <cfRule type="cellIs" dxfId="17392" priority="874" operator="equal">
      <formula>0</formula>
    </cfRule>
  </conditionalFormatting>
  <conditionalFormatting sqref="D20:S20 D25:R32 D21:I22 S21:S32 P21:R22">
    <cfRule type="expression" dxfId="17391" priority="875">
      <formula>LEN(TRIM(D20))=0</formula>
    </cfRule>
  </conditionalFormatting>
  <conditionalFormatting sqref="D23:R24">
    <cfRule type="cellIs" dxfId="17390" priority="876" operator="equal">
      <formula>0</formula>
    </cfRule>
  </conditionalFormatting>
  <conditionalFormatting sqref="P23:P24">
    <cfRule type="cellIs" dxfId="17389" priority="877" operator="equal">
      <formula>0</formula>
    </cfRule>
  </conditionalFormatting>
  <conditionalFormatting sqref="D23:R24">
    <cfRule type="expression" dxfId="17388" priority="878">
      <formula>LEN(TRIM(D23))=0</formula>
    </cfRule>
  </conditionalFormatting>
  <conditionalFormatting sqref="J21:O22">
    <cfRule type="cellIs" dxfId="17387" priority="871" operator="equal">
      <formula>0</formula>
    </cfRule>
  </conditionalFormatting>
  <conditionalFormatting sqref="J21:O22">
    <cfRule type="expression" dxfId="17386" priority="872">
      <formula>LEN(TRIM(J21))=0</formula>
    </cfRule>
  </conditionalFormatting>
  <conditionalFormatting sqref="D35:R40 S34:S39 S41 D34:I34 P34:R34">
    <cfRule type="cellIs" dxfId="17385" priority="865" operator="equal">
      <formula>0</formula>
    </cfRule>
  </conditionalFormatting>
  <conditionalFormatting sqref="D41:R41">
    <cfRule type="cellIs" dxfId="17384" priority="866" operator="equal">
      <formula>0</formula>
    </cfRule>
  </conditionalFormatting>
  <conditionalFormatting sqref="D35:S39 D41:S41 D40:R40 D34:I34 P34:S34">
    <cfRule type="expression" dxfId="17383" priority="867">
      <formula>LEN(TRIM(D34))=0</formula>
    </cfRule>
  </conditionalFormatting>
  <conditionalFormatting sqref="D41:R41">
    <cfRule type="cellIs" dxfId="17382" priority="868" operator="equal">
      <formula>0</formula>
    </cfRule>
  </conditionalFormatting>
  <conditionalFormatting sqref="D42:R42">
    <cfRule type="cellIs" dxfId="17381" priority="869" operator="equal">
      <formula>0</formula>
    </cfRule>
  </conditionalFormatting>
  <conditionalFormatting sqref="D42:R42">
    <cfRule type="expression" dxfId="17380" priority="870">
      <formula>LEN(TRIM(D42))=0</formula>
    </cfRule>
  </conditionalFormatting>
  <conditionalFormatting sqref="S42">
    <cfRule type="cellIs" dxfId="17379" priority="863" operator="equal">
      <formula>0</formula>
    </cfRule>
  </conditionalFormatting>
  <conditionalFormatting sqref="S42">
    <cfRule type="expression" dxfId="17378" priority="864">
      <formula>LEN(TRIM(S42))=0</formula>
    </cfRule>
  </conditionalFormatting>
  <conditionalFormatting sqref="S40">
    <cfRule type="cellIs" dxfId="17377" priority="861" operator="equal">
      <formula>0</formula>
    </cfRule>
  </conditionalFormatting>
  <conditionalFormatting sqref="S40">
    <cfRule type="expression" dxfId="17376" priority="862">
      <formula>LEN(TRIM(S40))=0</formula>
    </cfRule>
  </conditionalFormatting>
  <conditionalFormatting sqref="J34:O34">
    <cfRule type="cellIs" dxfId="17375" priority="859" operator="equal">
      <formula>0</formula>
    </cfRule>
  </conditionalFormatting>
  <conditionalFormatting sqref="J34:O34">
    <cfRule type="expression" dxfId="17374" priority="860">
      <formula>LEN(TRIM(J34))=0</formula>
    </cfRule>
  </conditionalFormatting>
  <conditionalFormatting sqref="P51:S53 E51:I53 J51:O52 Q48:S50 G48:G50 D48:D53 D54:S54">
    <cfRule type="cellIs" dxfId="17373" priority="838" operator="equal">
      <formula>0</formula>
    </cfRule>
  </conditionalFormatting>
  <conditionalFormatting sqref="P48:P53">
    <cfRule type="cellIs" dxfId="17372" priority="839" operator="equal">
      <formula>0</formula>
    </cfRule>
  </conditionalFormatting>
  <conditionalFormatting sqref="D48:E53 H48:I53">
    <cfRule type="cellIs" dxfId="17371" priority="840" operator="equal">
      <formula>0</formula>
    </cfRule>
  </conditionalFormatting>
  <conditionalFormatting sqref="F48:F53">
    <cfRule type="cellIs" dxfId="17370" priority="841" operator="equal">
      <formula>0</formula>
    </cfRule>
  </conditionalFormatting>
  <conditionalFormatting sqref="J51:J53">
    <cfRule type="cellIs" dxfId="17369" priority="842" operator="equal">
      <formula>0</formula>
    </cfRule>
  </conditionalFormatting>
  <conditionalFormatting sqref="J48:J53 K48:O48">
    <cfRule type="cellIs" dxfId="17368" priority="843" operator="equal">
      <formula>0</formula>
    </cfRule>
  </conditionalFormatting>
  <conditionalFormatting sqref="K51:K53">
    <cfRule type="cellIs" dxfId="17367" priority="844" operator="equal">
      <formula>0</formula>
    </cfRule>
  </conditionalFormatting>
  <conditionalFormatting sqref="K48:K53">
    <cfRule type="cellIs" dxfId="17366" priority="845" operator="equal">
      <formula>0</formula>
    </cfRule>
  </conditionalFormatting>
  <conditionalFormatting sqref="L51:L53">
    <cfRule type="cellIs" dxfId="17365" priority="846" operator="equal">
      <formula>0</formula>
    </cfRule>
  </conditionalFormatting>
  <conditionalFormatting sqref="L48:L53">
    <cfRule type="cellIs" dxfId="17364" priority="847" operator="equal">
      <formula>0</formula>
    </cfRule>
  </conditionalFormatting>
  <conditionalFormatting sqref="M51:M53">
    <cfRule type="cellIs" dxfId="17363" priority="848" operator="equal">
      <formula>0</formula>
    </cfRule>
  </conditionalFormatting>
  <conditionalFormatting sqref="M48:M53">
    <cfRule type="cellIs" dxfId="17362" priority="849" operator="equal">
      <formula>0</formula>
    </cfRule>
  </conditionalFormatting>
  <conditionalFormatting sqref="N51:N53">
    <cfRule type="cellIs" dxfId="17361" priority="850" operator="equal">
      <formula>0</formula>
    </cfRule>
  </conditionalFormatting>
  <conditionalFormatting sqref="N48:N53">
    <cfRule type="cellIs" dxfId="17360" priority="851" operator="equal">
      <formula>0</formula>
    </cfRule>
  </conditionalFormatting>
  <conditionalFormatting sqref="O51:O53">
    <cfRule type="cellIs" dxfId="17359" priority="852" operator="equal">
      <formula>0</formula>
    </cfRule>
  </conditionalFormatting>
  <conditionalFormatting sqref="O48:O53">
    <cfRule type="cellIs" dxfId="17358" priority="853" operator="equal">
      <formula>0</formula>
    </cfRule>
  </conditionalFormatting>
  <conditionalFormatting sqref="D48:S54">
    <cfRule type="expression" dxfId="17357" priority="854">
      <formula>LEN(TRIM(D48))=0</formula>
    </cfRule>
  </conditionalFormatting>
  <conditionalFormatting sqref="L51:L52">
    <cfRule type="cellIs" dxfId="17356" priority="855" operator="equal">
      <formula>0</formula>
    </cfRule>
  </conditionalFormatting>
  <conditionalFormatting sqref="M51:M52">
    <cfRule type="cellIs" dxfId="17355" priority="856" operator="equal">
      <formula>0</formula>
    </cfRule>
  </conditionalFormatting>
  <conditionalFormatting sqref="N51:O51">
    <cfRule type="cellIs" dxfId="17354" priority="857" operator="equal">
      <formula>0</formula>
    </cfRule>
  </conditionalFormatting>
  <conditionalFormatting sqref="N52:O52">
    <cfRule type="cellIs" dxfId="17353" priority="858" operator="equal">
      <formula>0</formula>
    </cfRule>
  </conditionalFormatting>
  <conditionalFormatting sqref="E65:G65 D66:G67 H65:I67 D61:I64 J61:R67 D56:S56 D68:R68 D57:I58 S57:S68 P57:R58">
    <cfRule type="cellIs" dxfId="17352" priority="832" operator="equal">
      <formula>0</formula>
    </cfRule>
  </conditionalFormatting>
  <conditionalFormatting sqref="D65">
    <cfRule type="cellIs" dxfId="17351" priority="833" operator="equal">
      <formula>0</formula>
    </cfRule>
  </conditionalFormatting>
  <conditionalFormatting sqref="D56:S56 D61:R68 D57:I58 S57:S68 P57:R58">
    <cfRule type="expression" dxfId="17350" priority="834">
      <formula>LEN(TRIM(D56))=0</formula>
    </cfRule>
  </conditionalFormatting>
  <conditionalFormatting sqref="D59:R60">
    <cfRule type="cellIs" dxfId="17349" priority="835" operator="equal">
      <formula>0</formula>
    </cfRule>
  </conditionalFormatting>
  <conditionalFormatting sqref="P59:P60">
    <cfRule type="cellIs" dxfId="17348" priority="836" operator="equal">
      <formula>0</formula>
    </cfRule>
  </conditionalFormatting>
  <conditionalFormatting sqref="D59:R60">
    <cfRule type="expression" dxfId="17347" priority="837">
      <formula>LEN(TRIM(D59))=0</formula>
    </cfRule>
  </conditionalFormatting>
  <conditionalFormatting sqref="J57:O58">
    <cfRule type="cellIs" dxfId="17346" priority="830" operator="equal">
      <formula>0</formula>
    </cfRule>
  </conditionalFormatting>
  <conditionalFormatting sqref="J57:O58">
    <cfRule type="expression" dxfId="17345" priority="831">
      <formula>LEN(TRIM(J57))=0</formula>
    </cfRule>
  </conditionalFormatting>
  <conditionalFormatting sqref="D71:R76 S70:S75 S77 D70:I70 P70:R70">
    <cfRule type="cellIs" dxfId="17344" priority="824" operator="equal">
      <formula>0</formula>
    </cfRule>
  </conditionalFormatting>
  <conditionalFormatting sqref="D77:R77">
    <cfRule type="cellIs" dxfId="17343" priority="825" operator="equal">
      <formula>0</formula>
    </cfRule>
  </conditionalFormatting>
  <conditionalFormatting sqref="D71:S75 D77:S77 D76:R76 D70:I70 P70:S70">
    <cfRule type="expression" dxfId="17342" priority="826">
      <formula>LEN(TRIM(D70))=0</formula>
    </cfRule>
  </conditionalFormatting>
  <conditionalFormatting sqref="D77:R77">
    <cfRule type="cellIs" dxfId="17341" priority="827" operator="equal">
      <formula>0</formula>
    </cfRule>
  </conditionalFormatting>
  <conditionalFormatting sqref="D78:R78">
    <cfRule type="cellIs" dxfId="17340" priority="828" operator="equal">
      <formula>0</formula>
    </cfRule>
  </conditionalFormatting>
  <conditionalFormatting sqref="D78:R78">
    <cfRule type="expression" dxfId="17339" priority="829">
      <formula>LEN(TRIM(D78))=0</formula>
    </cfRule>
  </conditionalFormatting>
  <conditionalFormatting sqref="S78">
    <cfRule type="cellIs" dxfId="17338" priority="822" operator="equal">
      <formula>0</formula>
    </cfRule>
  </conditionalFormatting>
  <conditionalFormatting sqref="S78">
    <cfRule type="expression" dxfId="17337" priority="823">
      <formula>LEN(TRIM(S78))=0</formula>
    </cfRule>
  </conditionalFormatting>
  <conditionalFormatting sqref="S76">
    <cfRule type="cellIs" dxfId="17336" priority="820" operator="equal">
      <formula>0</formula>
    </cfRule>
  </conditionalFormatting>
  <conditionalFormatting sqref="S76">
    <cfRule type="expression" dxfId="17335" priority="821">
      <formula>LEN(TRIM(S76))=0</formula>
    </cfRule>
  </conditionalFormatting>
  <conditionalFormatting sqref="J70:O70">
    <cfRule type="cellIs" dxfId="17334" priority="818" operator="equal">
      <formula>0</formula>
    </cfRule>
  </conditionalFormatting>
  <conditionalFormatting sqref="J70:O70">
    <cfRule type="expression" dxfId="17333" priority="819">
      <formula>LEN(TRIM(J70))=0</formula>
    </cfRule>
  </conditionalFormatting>
  <conditionalFormatting sqref="P87:S89 E87:I89 J87:O88 Q84:S86 G84:G86 D84:D89 D90:S90">
    <cfRule type="cellIs" dxfId="17332" priority="797" operator="equal">
      <formula>0</formula>
    </cfRule>
  </conditionalFormatting>
  <conditionalFormatting sqref="P84:P89">
    <cfRule type="cellIs" dxfId="17331" priority="798" operator="equal">
      <formula>0</formula>
    </cfRule>
  </conditionalFormatting>
  <conditionalFormatting sqref="D84:E89 H84:I89">
    <cfRule type="cellIs" dxfId="17330" priority="799" operator="equal">
      <formula>0</formula>
    </cfRule>
  </conditionalFormatting>
  <conditionalFormatting sqref="F84:F89">
    <cfRule type="cellIs" dxfId="17329" priority="800" operator="equal">
      <formula>0</formula>
    </cfRule>
  </conditionalFormatting>
  <conditionalFormatting sqref="J87:J89">
    <cfRule type="cellIs" dxfId="17328" priority="801" operator="equal">
      <formula>0</formula>
    </cfRule>
  </conditionalFormatting>
  <conditionalFormatting sqref="J84:J89 K84:O84">
    <cfRule type="cellIs" dxfId="17327" priority="802" operator="equal">
      <formula>0</formula>
    </cfRule>
  </conditionalFormatting>
  <conditionalFormatting sqref="K87:K89">
    <cfRule type="cellIs" dxfId="17326" priority="803" operator="equal">
      <formula>0</formula>
    </cfRule>
  </conditionalFormatting>
  <conditionalFormatting sqref="K84:K89">
    <cfRule type="cellIs" dxfId="17325" priority="804" operator="equal">
      <formula>0</formula>
    </cfRule>
  </conditionalFormatting>
  <conditionalFormatting sqref="L87:L89">
    <cfRule type="cellIs" dxfId="17324" priority="805" operator="equal">
      <formula>0</formula>
    </cfRule>
  </conditionalFormatting>
  <conditionalFormatting sqref="L84:L89">
    <cfRule type="cellIs" dxfId="17323" priority="806" operator="equal">
      <formula>0</formula>
    </cfRule>
  </conditionalFormatting>
  <conditionalFormatting sqref="M87:M89">
    <cfRule type="cellIs" dxfId="17322" priority="807" operator="equal">
      <formula>0</formula>
    </cfRule>
  </conditionalFormatting>
  <conditionalFormatting sqref="M84:M89">
    <cfRule type="cellIs" dxfId="17321" priority="808" operator="equal">
      <formula>0</formula>
    </cfRule>
  </conditionalFormatting>
  <conditionalFormatting sqref="N87:N89">
    <cfRule type="cellIs" dxfId="17320" priority="809" operator="equal">
      <formula>0</formula>
    </cfRule>
  </conditionalFormatting>
  <conditionalFormatting sqref="N84:N89">
    <cfRule type="cellIs" dxfId="17319" priority="810" operator="equal">
      <formula>0</formula>
    </cfRule>
  </conditionalFormatting>
  <conditionalFormatting sqref="O87:O89">
    <cfRule type="cellIs" dxfId="17318" priority="811" operator="equal">
      <formula>0</formula>
    </cfRule>
  </conditionalFormatting>
  <conditionalFormatting sqref="O84:O89">
    <cfRule type="cellIs" dxfId="17317" priority="812" operator="equal">
      <formula>0</formula>
    </cfRule>
  </conditionalFormatting>
  <conditionalFormatting sqref="D84:S90">
    <cfRule type="expression" dxfId="17316" priority="813">
      <formula>LEN(TRIM(D84))=0</formula>
    </cfRule>
  </conditionalFormatting>
  <conditionalFormatting sqref="L87:L88">
    <cfRule type="cellIs" dxfId="17315" priority="814" operator="equal">
      <formula>0</formula>
    </cfRule>
  </conditionalFormatting>
  <conditionalFormatting sqref="M87:M88">
    <cfRule type="cellIs" dxfId="17314" priority="815" operator="equal">
      <formula>0</formula>
    </cfRule>
  </conditionalFormatting>
  <conditionalFormatting sqref="N87:O87">
    <cfRule type="cellIs" dxfId="17313" priority="816" operator="equal">
      <formula>0</formula>
    </cfRule>
  </conditionalFormatting>
  <conditionalFormatting sqref="N88:O88">
    <cfRule type="cellIs" dxfId="17312" priority="817" operator="equal">
      <formula>0</formula>
    </cfRule>
  </conditionalFormatting>
  <conditionalFormatting sqref="E101:G101 D102:G103 H101:I103 D97:I100 J97:R103 D92:S92 D104:R104 D93:I94 S93:S104 P93:R94">
    <cfRule type="cellIs" dxfId="17311" priority="791" operator="equal">
      <formula>0</formula>
    </cfRule>
  </conditionalFormatting>
  <conditionalFormatting sqref="D101">
    <cfRule type="cellIs" dxfId="17310" priority="792" operator="equal">
      <formula>0</formula>
    </cfRule>
  </conditionalFormatting>
  <conditionalFormatting sqref="D92:S92 D97:R104 D93:I94 S93:S104 P93:R94">
    <cfRule type="expression" dxfId="17309" priority="793">
      <formula>LEN(TRIM(D92))=0</formula>
    </cfRule>
  </conditionalFormatting>
  <conditionalFormatting sqref="D95:R96">
    <cfRule type="cellIs" dxfId="17308" priority="794" operator="equal">
      <formula>0</formula>
    </cfRule>
  </conditionalFormatting>
  <conditionalFormatting sqref="P95:P96">
    <cfRule type="cellIs" dxfId="17307" priority="795" operator="equal">
      <formula>0</formula>
    </cfRule>
  </conditionalFormatting>
  <conditionalFormatting sqref="D95:R96">
    <cfRule type="expression" dxfId="17306" priority="796">
      <formula>LEN(TRIM(D95))=0</formula>
    </cfRule>
  </conditionalFormatting>
  <conditionalFormatting sqref="J93:O94">
    <cfRule type="cellIs" dxfId="17305" priority="789" operator="equal">
      <formula>0</formula>
    </cfRule>
  </conditionalFormatting>
  <conditionalFormatting sqref="J93:O94">
    <cfRule type="expression" dxfId="17304" priority="790">
      <formula>LEN(TRIM(J93))=0</formula>
    </cfRule>
  </conditionalFormatting>
  <conditionalFormatting sqref="D107:R112 S106:S111 S113 D106:I106 P106:R106">
    <cfRule type="cellIs" dxfId="17303" priority="783" operator="equal">
      <formula>0</formula>
    </cfRule>
  </conditionalFormatting>
  <conditionalFormatting sqref="D113:R113">
    <cfRule type="cellIs" dxfId="17302" priority="784" operator="equal">
      <formula>0</formula>
    </cfRule>
  </conditionalFormatting>
  <conditionalFormatting sqref="D107:S111 D113:S113 D112:R112 D106:I106 P106:S106">
    <cfRule type="expression" dxfId="17301" priority="785">
      <formula>LEN(TRIM(D106))=0</formula>
    </cfRule>
  </conditionalFormatting>
  <conditionalFormatting sqref="D113:R113">
    <cfRule type="cellIs" dxfId="17300" priority="786" operator="equal">
      <formula>0</formula>
    </cfRule>
  </conditionalFormatting>
  <conditionalFormatting sqref="D114:R114">
    <cfRule type="cellIs" dxfId="17299" priority="787" operator="equal">
      <formula>0</formula>
    </cfRule>
  </conditionalFormatting>
  <conditionalFormatting sqref="D114:R114">
    <cfRule type="expression" dxfId="17298" priority="788">
      <formula>LEN(TRIM(D114))=0</formula>
    </cfRule>
  </conditionalFormatting>
  <conditionalFormatting sqref="S114">
    <cfRule type="cellIs" dxfId="17297" priority="781" operator="equal">
      <formula>0</formula>
    </cfRule>
  </conditionalFormatting>
  <conditionalFormatting sqref="S114">
    <cfRule type="expression" dxfId="17296" priority="782">
      <formula>LEN(TRIM(S114))=0</formula>
    </cfRule>
  </conditionalFormatting>
  <conditionalFormatting sqref="S112">
    <cfRule type="cellIs" dxfId="17295" priority="779" operator="equal">
      <formula>0</formula>
    </cfRule>
  </conditionalFormatting>
  <conditionalFormatting sqref="S112">
    <cfRule type="expression" dxfId="17294" priority="780">
      <formula>LEN(TRIM(S112))=0</formula>
    </cfRule>
  </conditionalFormatting>
  <conditionalFormatting sqref="J106:O106">
    <cfRule type="cellIs" dxfId="17293" priority="777" operator="equal">
      <formula>0</formula>
    </cfRule>
  </conditionalFormatting>
  <conditionalFormatting sqref="J106:O106">
    <cfRule type="expression" dxfId="17292" priority="778">
      <formula>LEN(TRIM(J106))=0</formula>
    </cfRule>
  </conditionalFormatting>
  <conditionalFormatting sqref="P123:S125 E123:I125 J123:O124 Q120:S122 G120:G122 D120:D125 D126:S126">
    <cfRule type="cellIs" dxfId="17291" priority="756" operator="equal">
      <formula>0</formula>
    </cfRule>
  </conditionalFormatting>
  <conditionalFormatting sqref="P120:P125">
    <cfRule type="cellIs" dxfId="17290" priority="757" operator="equal">
      <formula>0</formula>
    </cfRule>
  </conditionalFormatting>
  <conditionalFormatting sqref="D120:E125 H120:I125">
    <cfRule type="cellIs" dxfId="17289" priority="758" operator="equal">
      <formula>0</formula>
    </cfRule>
  </conditionalFormatting>
  <conditionalFormatting sqref="F120:F125">
    <cfRule type="cellIs" dxfId="17288" priority="759" operator="equal">
      <formula>0</formula>
    </cfRule>
  </conditionalFormatting>
  <conditionalFormatting sqref="J123:J125">
    <cfRule type="cellIs" dxfId="17287" priority="760" operator="equal">
      <formula>0</formula>
    </cfRule>
  </conditionalFormatting>
  <conditionalFormatting sqref="J120:J125 K120:O120">
    <cfRule type="cellIs" dxfId="17286" priority="761" operator="equal">
      <formula>0</formula>
    </cfRule>
  </conditionalFormatting>
  <conditionalFormatting sqref="K123:K125">
    <cfRule type="cellIs" dxfId="17285" priority="762" operator="equal">
      <formula>0</formula>
    </cfRule>
  </conditionalFormatting>
  <conditionalFormatting sqref="K120:K125">
    <cfRule type="cellIs" dxfId="17284" priority="763" operator="equal">
      <formula>0</formula>
    </cfRule>
  </conditionalFormatting>
  <conditionalFormatting sqref="L123:L125">
    <cfRule type="cellIs" dxfId="17283" priority="764" operator="equal">
      <formula>0</formula>
    </cfRule>
  </conditionalFormatting>
  <conditionalFormatting sqref="L120:L125">
    <cfRule type="cellIs" dxfId="17282" priority="765" operator="equal">
      <formula>0</formula>
    </cfRule>
  </conditionalFormatting>
  <conditionalFormatting sqref="M123:M125">
    <cfRule type="cellIs" dxfId="17281" priority="766" operator="equal">
      <formula>0</formula>
    </cfRule>
  </conditionalFormatting>
  <conditionalFormatting sqref="M120:M125">
    <cfRule type="cellIs" dxfId="17280" priority="767" operator="equal">
      <formula>0</formula>
    </cfRule>
  </conditionalFormatting>
  <conditionalFormatting sqref="N123:N125">
    <cfRule type="cellIs" dxfId="17279" priority="768" operator="equal">
      <formula>0</formula>
    </cfRule>
  </conditionalFormatting>
  <conditionalFormatting sqref="N120:N125">
    <cfRule type="cellIs" dxfId="17278" priority="769" operator="equal">
      <formula>0</formula>
    </cfRule>
  </conditionalFormatting>
  <conditionalFormatting sqref="O123:O125">
    <cfRule type="cellIs" dxfId="17277" priority="770" operator="equal">
      <formula>0</formula>
    </cfRule>
  </conditionalFormatting>
  <conditionalFormatting sqref="O120:O125">
    <cfRule type="cellIs" dxfId="17276" priority="771" operator="equal">
      <formula>0</formula>
    </cfRule>
  </conditionalFormatting>
  <conditionalFormatting sqref="D120:S126">
    <cfRule type="expression" dxfId="17275" priority="772">
      <formula>LEN(TRIM(D120))=0</formula>
    </cfRule>
  </conditionalFormatting>
  <conditionalFormatting sqref="L123:L124">
    <cfRule type="cellIs" dxfId="17274" priority="773" operator="equal">
      <formula>0</formula>
    </cfRule>
  </conditionalFormatting>
  <conditionalFormatting sqref="M123:M124">
    <cfRule type="cellIs" dxfId="17273" priority="774" operator="equal">
      <formula>0</formula>
    </cfRule>
  </conditionalFormatting>
  <conditionalFormatting sqref="N123:O123">
    <cfRule type="cellIs" dxfId="17272" priority="775" operator="equal">
      <formula>0</formula>
    </cfRule>
  </conditionalFormatting>
  <conditionalFormatting sqref="N124:O124">
    <cfRule type="cellIs" dxfId="17271" priority="776" operator="equal">
      <formula>0</formula>
    </cfRule>
  </conditionalFormatting>
  <conditionalFormatting sqref="E137:G137 D138:G139 H137:I139 D133:I136 J133:R139 D128:S128 D140:R140 D129:I130 S129:S140 P129:R130">
    <cfRule type="cellIs" dxfId="17270" priority="750" operator="equal">
      <formula>0</formula>
    </cfRule>
  </conditionalFormatting>
  <conditionalFormatting sqref="D137">
    <cfRule type="cellIs" dxfId="17269" priority="751" operator="equal">
      <formula>0</formula>
    </cfRule>
  </conditionalFormatting>
  <conditionalFormatting sqref="D128:S128 D133:R140 D129:I130 S129:S140 P129:R130">
    <cfRule type="expression" dxfId="17268" priority="752">
      <formula>LEN(TRIM(D128))=0</formula>
    </cfRule>
  </conditionalFormatting>
  <conditionalFormatting sqref="D131:R132">
    <cfRule type="cellIs" dxfId="17267" priority="753" operator="equal">
      <formula>0</formula>
    </cfRule>
  </conditionalFormatting>
  <conditionalFormatting sqref="P131:P132">
    <cfRule type="cellIs" dxfId="17266" priority="754" operator="equal">
      <formula>0</formula>
    </cfRule>
  </conditionalFormatting>
  <conditionalFormatting sqref="D131:R132">
    <cfRule type="expression" dxfId="17265" priority="755">
      <formula>LEN(TRIM(D131))=0</formula>
    </cfRule>
  </conditionalFormatting>
  <conditionalFormatting sqref="J129:O130">
    <cfRule type="cellIs" dxfId="17264" priority="748" operator="equal">
      <formula>0</formula>
    </cfRule>
  </conditionalFormatting>
  <conditionalFormatting sqref="J129:O130">
    <cfRule type="expression" dxfId="17263" priority="749">
      <formula>LEN(TRIM(J129))=0</formula>
    </cfRule>
  </conditionalFormatting>
  <conditionalFormatting sqref="D143:R148 S142:S147 S149 D142:I142 P142:R142">
    <cfRule type="cellIs" dxfId="17262" priority="742" operator="equal">
      <formula>0</formula>
    </cfRule>
  </conditionalFormatting>
  <conditionalFormatting sqref="D149:R149">
    <cfRule type="cellIs" dxfId="17261" priority="743" operator="equal">
      <formula>0</formula>
    </cfRule>
  </conditionalFormatting>
  <conditionalFormatting sqref="D143:S147 D149:S149 D148:R148 D142:I142 P142:S142">
    <cfRule type="expression" dxfId="17260" priority="744">
      <formula>LEN(TRIM(D142))=0</formula>
    </cfRule>
  </conditionalFormatting>
  <conditionalFormatting sqref="D149:R149">
    <cfRule type="cellIs" dxfId="17259" priority="745" operator="equal">
      <formula>0</formula>
    </cfRule>
  </conditionalFormatting>
  <conditionalFormatting sqref="D150:R150">
    <cfRule type="cellIs" dxfId="17258" priority="746" operator="equal">
      <formula>0</formula>
    </cfRule>
  </conditionalFormatting>
  <conditionalFormatting sqref="D150:R150">
    <cfRule type="expression" dxfId="17257" priority="747">
      <formula>LEN(TRIM(D150))=0</formula>
    </cfRule>
  </conditionalFormatting>
  <conditionalFormatting sqref="S150">
    <cfRule type="cellIs" dxfId="17256" priority="740" operator="equal">
      <formula>0</formula>
    </cfRule>
  </conditionalFormatting>
  <conditionalFormatting sqref="S150">
    <cfRule type="expression" dxfId="17255" priority="741">
      <formula>LEN(TRIM(S150))=0</formula>
    </cfRule>
  </conditionalFormatting>
  <conditionalFormatting sqref="S148">
    <cfRule type="cellIs" dxfId="17254" priority="738" operator="equal">
      <formula>0</formula>
    </cfRule>
  </conditionalFormatting>
  <conditionalFormatting sqref="S148">
    <cfRule type="expression" dxfId="17253" priority="739">
      <formula>LEN(TRIM(S148))=0</formula>
    </cfRule>
  </conditionalFormatting>
  <conditionalFormatting sqref="J142:O142">
    <cfRule type="cellIs" dxfId="17252" priority="736" operator="equal">
      <formula>0</formula>
    </cfRule>
  </conditionalFormatting>
  <conditionalFormatting sqref="J142:O142">
    <cfRule type="expression" dxfId="17251" priority="737">
      <formula>LEN(TRIM(J142))=0</formula>
    </cfRule>
  </conditionalFormatting>
  <conditionalFormatting sqref="P159:S161 E159:I161 J159:O160 Q156:S158 G156:G158 D156:D161 D162:S162">
    <cfRule type="cellIs" dxfId="17250" priority="715" operator="equal">
      <formula>0</formula>
    </cfRule>
  </conditionalFormatting>
  <conditionalFormatting sqref="P156:P161">
    <cfRule type="cellIs" dxfId="17249" priority="716" operator="equal">
      <formula>0</formula>
    </cfRule>
  </conditionalFormatting>
  <conditionalFormatting sqref="D156:E161 H156:I161">
    <cfRule type="cellIs" dxfId="17248" priority="717" operator="equal">
      <formula>0</formula>
    </cfRule>
  </conditionalFormatting>
  <conditionalFormatting sqref="F156:F161">
    <cfRule type="cellIs" dxfId="17247" priority="718" operator="equal">
      <formula>0</formula>
    </cfRule>
  </conditionalFormatting>
  <conditionalFormatting sqref="J159:J161">
    <cfRule type="cellIs" dxfId="17246" priority="719" operator="equal">
      <formula>0</formula>
    </cfRule>
  </conditionalFormatting>
  <conditionalFormatting sqref="J156:J161 K156:O156">
    <cfRule type="cellIs" dxfId="17245" priority="720" operator="equal">
      <formula>0</formula>
    </cfRule>
  </conditionalFormatting>
  <conditionalFormatting sqref="K159:K161">
    <cfRule type="cellIs" dxfId="17244" priority="721" operator="equal">
      <formula>0</formula>
    </cfRule>
  </conditionalFormatting>
  <conditionalFormatting sqref="K156:K161">
    <cfRule type="cellIs" dxfId="17243" priority="722" operator="equal">
      <formula>0</formula>
    </cfRule>
  </conditionalFormatting>
  <conditionalFormatting sqref="L159:L161">
    <cfRule type="cellIs" dxfId="17242" priority="723" operator="equal">
      <formula>0</formula>
    </cfRule>
  </conditionalFormatting>
  <conditionalFormatting sqref="L156:L161">
    <cfRule type="cellIs" dxfId="17241" priority="724" operator="equal">
      <formula>0</formula>
    </cfRule>
  </conditionalFormatting>
  <conditionalFormatting sqref="M159:M161">
    <cfRule type="cellIs" dxfId="17240" priority="725" operator="equal">
      <formula>0</formula>
    </cfRule>
  </conditionalFormatting>
  <conditionalFormatting sqref="M156:M161">
    <cfRule type="cellIs" dxfId="17239" priority="726" operator="equal">
      <formula>0</formula>
    </cfRule>
  </conditionalFormatting>
  <conditionalFormatting sqref="N159:N161">
    <cfRule type="cellIs" dxfId="17238" priority="727" operator="equal">
      <formula>0</formula>
    </cfRule>
  </conditionalFormatting>
  <conditionalFormatting sqref="N156:N161">
    <cfRule type="cellIs" dxfId="17237" priority="728" operator="equal">
      <formula>0</formula>
    </cfRule>
  </conditionalFormatting>
  <conditionalFormatting sqref="O159:O161">
    <cfRule type="cellIs" dxfId="17236" priority="729" operator="equal">
      <formula>0</formula>
    </cfRule>
  </conditionalFormatting>
  <conditionalFormatting sqref="O156:O161">
    <cfRule type="cellIs" dxfId="17235" priority="730" operator="equal">
      <formula>0</formula>
    </cfRule>
  </conditionalFormatting>
  <conditionalFormatting sqref="D156:S162">
    <cfRule type="expression" dxfId="17234" priority="731">
      <formula>LEN(TRIM(D156))=0</formula>
    </cfRule>
  </conditionalFormatting>
  <conditionalFormatting sqref="L159:L160">
    <cfRule type="cellIs" dxfId="17233" priority="732" operator="equal">
      <formula>0</formula>
    </cfRule>
  </conditionalFormatting>
  <conditionalFormatting sqref="M159:M160">
    <cfRule type="cellIs" dxfId="17232" priority="733" operator="equal">
      <formula>0</formula>
    </cfRule>
  </conditionalFormatting>
  <conditionalFormatting sqref="N159:O159">
    <cfRule type="cellIs" dxfId="17231" priority="734" operator="equal">
      <formula>0</formula>
    </cfRule>
  </conditionalFormatting>
  <conditionalFormatting sqref="N160:O160">
    <cfRule type="cellIs" dxfId="17230" priority="735" operator="equal">
      <formula>0</formula>
    </cfRule>
  </conditionalFormatting>
  <conditionalFormatting sqref="E173:G173 D174:G175 H173:I175 D169:I172 J169:R175 D164:S164 D176:R176 D165:I166 S165:S176 P165:R166">
    <cfRule type="cellIs" dxfId="17229" priority="709" operator="equal">
      <formula>0</formula>
    </cfRule>
  </conditionalFormatting>
  <conditionalFormatting sqref="D173">
    <cfRule type="cellIs" dxfId="17228" priority="710" operator="equal">
      <formula>0</formula>
    </cfRule>
  </conditionalFormatting>
  <conditionalFormatting sqref="D164:S164 D169:R176 D165:I166 S165:S176 P165:R166">
    <cfRule type="expression" dxfId="17227" priority="711">
      <formula>LEN(TRIM(D164))=0</formula>
    </cfRule>
  </conditionalFormatting>
  <conditionalFormatting sqref="D167:R168">
    <cfRule type="cellIs" dxfId="17226" priority="712" operator="equal">
      <formula>0</formula>
    </cfRule>
  </conditionalFormatting>
  <conditionalFormatting sqref="P167:P168">
    <cfRule type="cellIs" dxfId="17225" priority="713" operator="equal">
      <formula>0</formula>
    </cfRule>
  </conditionalFormatting>
  <conditionalFormatting sqref="D167:R168">
    <cfRule type="expression" dxfId="17224" priority="714">
      <formula>LEN(TRIM(D167))=0</formula>
    </cfRule>
  </conditionalFormatting>
  <conditionalFormatting sqref="J165:O166">
    <cfRule type="cellIs" dxfId="17223" priority="707" operator="equal">
      <formula>0</formula>
    </cfRule>
  </conditionalFormatting>
  <conditionalFormatting sqref="J165:O166">
    <cfRule type="expression" dxfId="17222" priority="708">
      <formula>LEN(TRIM(J165))=0</formula>
    </cfRule>
  </conditionalFormatting>
  <conditionalFormatting sqref="D179:R184 S178:S183 S185 D178:I178 P178:R178">
    <cfRule type="cellIs" dxfId="17221" priority="701" operator="equal">
      <formula>0</formula>
    </cfRule>
  </conditionalFormatting>
  <conditionalFormatting sqref="D185:R185">
    <cfRule type="cellIs" dxfId="17220" priority="702" operator="equal">
      <formula>0</formula>
    </cfRule>
  </conditionalFormatting>
  <conditionalFormatting sqref="D179:S183 D185:S185 D184:R184 D178:I178 P178:S178">
    <cfRule type="expression" dxfId="17219" priority="703">
      <formula>LEN(TRIM(D178))=0</formula>
    </cfRule>
  </conditionalFormatting>
  <conditionalFormatting sqref="D185:R185">
    <cfRule type="cellIs" dxfId="17218" priority="704" operator="equal">
      <formula>0</formula>
    </cfRule>
  </conditionalFormatting>
  <conditionalFormatting sqref="D186:R186">
    <cfRule type="cellIs" dxfId="17217" priority="705" operator="equal">
      <formula>0</formula>
    </cfRule>
  </conditionalFormatting>
  <conditionalFormatting sqref="D186:R186">
    <cfRule type="expression" dxfId="17216" priority="706">
      <formula>LEN(TRIM(D186))=0</formula>
    </cfRule>
  </conditionalFormatting>
  <conditionalFormatting sqref="S186">
    <cfRule type="cellIs" dxfId="17215" priority="699" operator="equal">
      <formula>0</formula>
    </cfRule>
  </conditionalFormatting>
  <conditionalFormatting sqref="S186">
    <cfRule type="expression" dxfId="17214" priority="700">
      <formula>LEN(TRIM(S186))=0</formula>
    </cfRule>
  </conditionalFormatting>
  <conditionalFormatting sqref="S184">
    <cfRule type="cellIs" dxfId="17213" priority="697" operator="equal">
      <formula>0</formula>
    </cfRule>
  </conditionalFormatting>
  <conditionalFormatting sqref="S184">
    <cfRule type="expression" dxfId="17212" priority="698">
      <formula>LEN(TRIM(S184))=0</formula>
    </cfRule>
  </conditionalFormatting>
  <conditionalFormatting sqref="J178:O178">
    <cfRule type="cellIs" dxfId="17211" priority="695" operator="equal">
      <formula>0</formula>
    </cfRule>
  </conditionalFormatting>
  <conditionalFormatting sqref="J178:O178">
    <cfRule type="expression" dxfId="17210" priority="696">
      <formula>LEN(TRIM(J178))=0</formula>
    </cfRule>
  </conditionalFormatting>
  <conditionalFormatting sqref="P195:S197 E195:I197 J195:O196 Q192:S194 G192:G194 D192:D197 D198:S198">
    <cfRule type="cellIs" dxfId="17209" priority="674" operator="equal">
      <formula>0</formula>
    </cfRule>
  </conditionalFormatting>
  <conditionalFormatting sqref="P192:P197">
    <cfRule type="cellIs" dxfId="17208" priority="675" operator="equal">
      <formula>0</formula>
    </cfRule>
  </conditionalFormatting>
  <conditionalFormatting sqref="D192:E197 H192:I197">
    <cfRule type="cellIs" dxfId="17207" priority="676" operator="equal">
      <formula>0</formula>
    </cfRule>
  </conditionalFormatting>
  <conditionalFormatting sqref="F192:F197">
    <cfRule type="cellIs" dxfId="17206" priority="677" operator="equal">
      <formula>0</formula>
    </cfRule>
  </conditionalFormatting>
  <conditionalFormatting sqref="J195:J197">
    <cfRule type="cellIs" dxfId="17205" priority="678" operator="equal">
      <formula>0</formula>
    </cfRule>
  </conditionalFormatting>
  <conditionalFormatting sqref="J192:J197 K192:O192">
    <cfRule type="cellIs" dxfId="17204" priority="679" operator="equal">
      <formula>0</formula>
    </cfRule>
  </conditionalFormatting>
  <conditionalFormatting sqref="K195:K197">
    <cfRule type="cellIs" dxfId="17203" priority="680" operator="equal">
      <formula>0</formula>
    </cfRule>
  </conditionalFormatting>
  <conditionalFormatting sqref="K192:K197">
    <cfRule type="cellIs" dxfId="17202" priority="681" operator="equal">
      <formula>0</formula>
    </cfRule>
  </conditionalFormatting>
  <conditionalFormatting sqref="L195:L197">
    <cfRule type="cellIs" dxfId="17201" priority="682" operator="equal">
      <formula>0</formula>
    </cfRule>
  </conditionalFormatting>
  <conditionalFormatting sqref="L192:L197">
    <cfRule type="cellIs" dxfId="17200" priority="683" operator="equal">
      <formula>0</formula>
    </cfRule>
  </conditionalFormatting>
  <conditionalFormatting sqref="M195:M197">
    <cfRule type="cellIs" dxfId="17199" priority="684" operator="equal">
      <formula>0</formula>
    </cfRule>
  </conditionalFormatting>
  <conditionalFormatting sqref="M192:M197">
    <cfRule type="cellIs" dxfId="17198" priority="685" operator="equal">
      <formula>0</formula>
    </cfRule>
  </conditionalFormatting>
  <conditionalFormatting sqref="N195:N197">
    <cfRule type="cellIs" dxfId="17197" priority="686" operator="equal">
      <formula>0</formula>
    </cfRule>
  </conditionalFormatting>
  <conditionalFormatting sqref="N192:N197">
    <cfRule type="cellIs" dxfId="17196" priority="687" operator="equal">
      <formula>0</formula>
    </cfRule>
  </conditionalFormatting>
  <conditionalFormatting sqref="O195:O197">
    <cfRule type="cellIs" dxfId="17195" priority="688" operator="equal">
      <formula>0</formula>
    </cfRule>
  </conditionalFormatting>
  <conditionalFormatting sqref="O192:O197">
    <cfRule type="cellIs" dxfId="17194" priority="689" operator="equal">
      <formula>0</formula>
    </cfRule>
  </conditionalFormatting>
  <conditionalFormatting sqref="D192:S198">
    <cfRule type="expression" dxfId="17193" priority="690">
      <formula>LEN(TRIM(D192))=0</formula>
    </cfRule>
  </conditionalFormatting>
  <conditionalFormatting sqref="L195:L196">
    <cfRule type="cellIs" dxfId="17192" priority="691" operator="equal">
      <formula>0</formula>
    </cfRule>
  </conditionalFormatting>
  <conditionalFormatting sqref="M195:M196">
    <cfRule type="cellIs" dxfId="17191" priority="692" operator="equal">
      <formula>0</formula>
    </cfRule>
  </conditionalFormatting>
  <conditionalFormatting sqref="N195:O195">
    <cfRule type="cellIs" dxfId="17190" priority="693" operator="equal">
      <formula>0</formula>
    </cfRule>
  </conditionalFormatting>
  <conditionalFormatting sqref="N196:O196">
    <cfRule type="cellIs" dxfId="17189" priority="694" operator="equal">
      <formula>0</formula>
    </cfRule>
  </conditionalFormatting>
  <conditionalFormatting sqref="E209:G209 D210:G211 H209:I211 D205:I208 J205:R211 D200:S200 D212:R212 D201:I202 S201:S212 P201:R202">
    <cfRule type="cellIs" dxfId="17188" priority="668" operator="equal">
      <formula>0</formula>
    </cfRule>
  </conditionalFormatting>
  <conditionalFormatting sqref="D209">
    <cfRule type="cellIs" dxfId="17187" priority="669" operator="equal">
      <formula>0</formula>
    </cfRule>
  </conditionalFormatting>
  <conditionalFormatting sqref="D200:S200 D205:R212 D201:I202 S201:S212 P201:R202">
    <cfRule type="expression" dxfId="17186" priority="670">
      <formula>LEN(TRIM(D200))=0</formula>
    </cfRule>
  </conditionalFormatting>
  <conditionalFormatting sqref="D203:R204">
    <cfRule type="cellIs" dxfId="17185" priority="671" operator="equal">
      <formula>0</formula>
    </cfRule>
  </conditionalFormatting>
  <conditionalFormatting sqref="P203:P204">
    <cfRule type="cellIs" dxfId="17184" priority="672" operator="equal">
      <formula>0</formula>
    </cfRule>
  </conditionalFormatting>
  <conditionalFormatting sqref="D203:R204">
    <cfRule type="expression" dxfId="17183" priority="673">
      <formula>LEN(TRIM(D203))=0</formula>
    </cfRule>
  </conditionalFormatting>
  <conditionalFormatting sqref="J201:O202">
    <cfRule type="cellIs" dxfId="17182" priority="666" operator="equal">
      <formula>0</formula>
    </cfRule>
  </conditionalFormatting>
  <conditionalFormatting sqref="J201:O202">
    <cfRule type="expression" dxfId="17181" priority="667">
      <formula>LEN(TRIM(J201))=0</formula>
    </cfRule>
  </conditionalFormatting>
  <conditionalFormatting sqref="D215:R220 S214:S219 S221 D214:I214 P214:R214">
    <cfRule type="cellIs" dxfId="17180" priority="660" operator="equal">
      <formula>0</formula>
    </cfRule>
  </conditionalFormatting>
  <conditionalFormatting sqref="D221:R221">
    <cfRule type="cellIs" dxfId="17179" priority="661" operator="equal">
      <formula>0</formula>
    </cfRule>
  </conditionalFormatting>
  <conditionalFormatting sqref="D215:S219 D221:S221 D220:R220 D214:I214 P214:S214">
    <cfRule type="expression" dxfId="17178" priority="662">
      <formula>LEN(TRIM(D214))=0</formula>
    </cfRule>
  </conditionalFormatting>
  <conditionalFormatting sqref="D221:R221">
    <cfRule type="cellIs" dxfId="17177" priority="663" operator="equal">
      <formula>0</formula>
    </cfRule>
  </conditionalFormatting>
  <conditionalFormatting sqref="D222:R222">
    <cfRule type="cellIs" dxfId="17176" priority="664" operator="equal">
      <formula>0</formula>
    </cfRule>
  </conditionalFormatting>
  <conditionalFormatting sqref="D222:R222">
    <cfRule type="expression" dxfId="17175" priority="665">
      <formula>LEN(TRIM(D222))=0</formula>
    </cfRule>
  </conditionalFormatting>
  <conditionalFormatting sqref="S222">
    <cfRule type="cellIs" dxfId="17174" priority="658" operator="equal">
      <formula>0</formula>
    </cfRule>
  </conditionalFormatting>
  <conditionalFormatting sqref="S222">
    <cfRule type="expression" dxfId="17173" priority="659">
      <formula>LEN(TRIM(S222))=0</formula>
    </cfRule>
  </conditionalFormatting>
  <conditionalFormatting sqref="S220">
    <cfRule type="cellIs" dxfId="17172" priority="656" operator="equal">
      <formula>0</formula>
    </cfRule>
  </conditionalFormatting>
  <conditionalFormatting sqref="S220">
    <cfRule type="expression" dxfId="17171" priority="657">
      <formula>LEN(TRIM(S220))=0</formula>
    </cfRule>
  </conditionalFormatting>
  <conditionalFormatting sqref="J214:O214">
    <cfRule type="cellIs" dxfId="17170" priority="654" operator="equal">
      <formula>0</formula>
    </cfRule>
  </conditionalFormatting>
  <conditionalFormatting sqref="J214:O214">
    <cfRule type="expression" dxfId="17169" priority="655">
      <formula>LEN(TRIM(J214))=0</formula>
    </cfRule>
  </conditionalFormatting>
  <conditionalFormatting sqref="P231:S233 E231:I233 J231:O232 Q228:S230 G228:G230 D228:D233 D234:S234">
    <cfRule type="cellIs" dxfId="17168" priority="633" operator="equal">
      <formula>0</formula>
    </cfRule>
  </conditionalFormatting>
  <conditionalFormatting sqref="P228:P233">
    <cfRule type="cellIs" dxfId="17167" priority="634" operator="equal">
      <formula>0</formula>
    </cfRule>
  </conditionalFormatting>
  <conditionalFormatting sqref="D228:E233 H228:I233">
    <cfRule type="cellIs" dxfId="17166" priority="635" operator="equal">
      <formula>0</formula>
    </cfRule>
  </conditionalFormatting>
  <conditionalFormatting sqref="F228:F233">
    <cfRule type="cellIs" dxfId="17165" priority="636" operator="equal">
      <formula>0</formula>
    </cfRule>
  </conditionalFormatting>
  <conditionalFormatting sqref="J231:J233">
    <cfRule type="cellIs" dxfId="17164" priority="637" operator="equal">
      <formula>0</formula>
    </cfRule>
  </conditionalFormatting>
  <conditionalFormatting sqref="J228:J233 K228:O228">
    <cfRule type="cellIs" dxfId="17163" priority="638" operator="equal">
      <formula>0</formula>
    </cfRule>
  </conditionalFormatting>
  <conditionalFormatting sqref="K231:K233">
    <cfRule type="cellIs" dxfId="17162" priority="639" operator="equal">
      <formula>0</formula>
    </cfRule>
  </conditionalFormatting>
  <conditionalFormatting sqref="K228:K233">
    <cfRule type="cellIs" dxfId="17161" priority="640" operator="equal">
      <formula>0</formula>
    </cfRule>
  </conditionalFormatting>
  <conditionalFormatting sqref="L231:L233">
    <cfRule type="cellIs" dxfId="17160" priority="641" operator="equal">
      <formula>0</formula>
    </cfRule>
  </conditionalFormatting>
  <conditionalFormatting sqref="L228:L233">
    <cfRule type="cellIs" dxfId="17159" priority="642" operator="equal">
      <formula>0</formula>
    </cfRule>
  </conditionalFormatting>
  <conditionalFormatting sqref="M231:M233">
    <cfRule type="cellIs" dxfId="17158" priority="643" operator="equal">
      <formula>0</formula>
    </cfRule>
  </conditionalFormatting>
  <conditionalFormatting sqref="M228:M233">
    <cfRule type="cellIs" dxfId="17157" priority="644" operator="equal">
      <formula>0</formula>
    </cfRule>
  </conditionalFormatting>
  <conditionalFormatting sqref="N231:N233">
    <cfRule type="cellIs" dxfId="17156" priority="645" operator="equal">
      <formula>0</formula>
    </cfRule>
  </conditionalFormatting>
  <conditionalFormatting sqref="N228:N233">
    <cfRule type="cellIs" dxfId="17155" priority="646" operator="equal">
      <formula>0</formula>
    </cfRule>
  </conditionalFormatting>
  <conditionalFormatting sqref="O231:O233">
    <cfRule type="cellIs" dxfId="17154" priority="647" operator="equal">
      <formula>0</formula>
    </cfRule>
  </conditionalFormatting>
  <conditionalFormatting sqref="O228:O233">
    <cfRule type="cellIs" dxfId="17153" priority="648" operator="equal">
      <formula>0</formula>
    </cfRule>
  </conditionalFormatting>
  <conditionalFormatting sqref="D228:S234">
    <cfRule type="expression" dxfId="17152" priority="649">
      <formula>LEN(TRIM(D228))=0</formula>
    </cfRule>
  </conditionalFormatting>
  <conditionalFormatting sqref="L231:L232">
    <cfRule type="cellIs" dxfId="17151" priority="650" operator="equal">
      <formula>0</formula>
    </cfRule>
  </conditionalFormatting>
  <conditionalFormatting sqref="M231:M232">
    <cfRule type="cellIs" dxfId="17150" priority="651" operator="equal">
      <formula>0</formula>
    </cfRule>
  </conditionalFormatting>
  <conditionalFormatting sqref="N231:O231">
    <cfRule type="cellIs" dxfId="17149" priority="652" operator="equal">
      <formula>0</formula>
    </cfRule>
  </conditionalFormatting>
  <conditionalFormatting sqref="N232:O232">
    <cfRule type="cellIs" dxfId="17148" priority="653" operator="equal">
      <formula>0</formula>
    </cfRule>
  </conditionalFormatting>
  <conditionalFormatting sqref="E245:G245 D246:G247 H245:I247 D241:I244 J241:R247 D236:S236 D248:R248 D237:I238 S237:S248 P237:R238">
    <cfRule type="cellIs" dxfId="17147" priority="627" operator="equal">
      <formula>0</formula>
    </cfRule>
  </conditionalFormatting>
  <conditionalFormatting sqref="D245">
    <cfRule type="cellIs" dxfId="17146" priority="628" operator="equal">
      <formula>0</formula>
    </cfRule>
  </conditionalFormatting>
  <conditionalFormatting sqref="D236:S236 D241:R248 D237:I238 S237:S248 P237:R238">
    <cfRule type="expression" dxfId="17145" priority="629">
      <formula>LEN(TRIM(D236))=0</formula>
    </cfRule>
  </conditionalFormatting>
  <conditionalFormatting sqref="D239:R240">
    <cfRule type="cellIs" dxfId="17144" priority="630" operator="equal">
      <formula>0</formula>
    </cfRule>
  </conditionalFormatting>
  <conditionalFormatting sqref="P239:P240">
    <cfRule type="cellIs" dxfId="17143" priority="631" operator="equal">
      <formula>0</formula>
    </cfRule>
  </conditionalFormatting>
  <conditionalFormatting sqref="D239:R240">
    <cfRule type="expression" dxfId="17142" priority="632">
      <formula>LEN(TRIM(D239))=0</formula>
    </cfRule>
  </conditionalFormatting>
  <conditionalFormatting sqref="J237:O238">
    <cfRule type="cellIs" dxfId="17141" priority="625" operator="equal">
      <formula>0</formula>
    </cfRule>
  </conditionalFormatting>
  <conditionalFormatting sqref="J237:O238">
    <cfRule type="expression" dxfId="17140" priority="626">
      <formula>LEN(TRIM(J237))=0</formula>
    </cfRule>
  </conditionalFormatting>
  <conditionalFormatting sqref="D251:R256 S250:S255 S257 D250:I250 P250:R250">
    <cfRule type="cellIs" dxfId="17139" priority="619" operator="equal">
      <formula>0</formula>
    </cfRule>
  </conditionalFormatting>
  <conditionalFormatting sqref="D257:R257">
    <cfRule type="cellIs" dxfId="17138" priority="620" operator="equal">
      <formula>0</formula>
    </cfRule>
  </conditionalFormatting>
  <conditionalFormatting sqref="D251:S255 D257:S257 D256:R256 D250:I250 P250:S250">
    <cfRule type="expression" dxfId="17137" priority="621">
      <formula>LEN(TRIM(D250))=0</formula>
    </cfRule>
  </conditionalFormatting>
  <conditionalFormatting sqref="D257:R257">
    <cfRule type="cellIs" dxfId="17136" priority="622" operator="equal">
      <formula>0</formula>
    </cfRule>
  </conditionalFormatting>
  <conditionalFormatting sqref="D258:R258">
    <cfRule type="cellIs" dxfId="17135" priority="623" operator="equal">
      <formula>0</formula>
    </cfRule>
  </conditionalFormatting>
  <conditionalFormatting sqref="D258:R258">
    <cfRule type="expression" dxfId="17134" priority="624">
      <formula>LEN(TRIM(D258))=0</formula>
    </cfRule>
  </conditionalFormatting>
  <conditionalFormatting sqref="S258">
    <cfRule type="cellIs" dxfId="17133" priority="617" operator="equal">
      <formula>0</formula>
    </cfRule>
  </conditionalFormatting>
  <conditionalFormatting sqref="S258">
    <cfRule type="expression" dxfId="17132" priority="618">
      <formula>LEN(TRIM(S258))=0</formula>
    </cfRule>
  </conditionalFormatting>
  <conditionalFormatting sqref="S256">
    <cfRule type="cellIs" dxfId="17131" priority="615" operator="equal">
      <formula>0</formula>
    </cfRule>
  </conditionalFormatting>
  <conditionalFormatting sqref="S256">
    <cfRule type="expression" dxfId="17130" priority="616">
      <formula>LEN(TRIM(S256))=0</formula>
    </cfRule>
  </conditionalFormatting>
  <conditionalFormatting sqref="J250:O250">
    <cfRule type="cellIs" dxfId="17129" priority="613" operator="equal">
      <formula>0</formula>
    </cfRule>
  </conditionalFormatting>
  <conditionalFormatting sqref="J250:O250">
    <cfRule type="expression" dxfId="17128" priority="614">
      <formula>LEN(TRIM(J250))=0</formula>
    </cfRule>
  </conditionalFormatting>
  <conditionalFormatting sqref="P267:S269 E267:I269 J267:O268 Q264:S266 G264:G266 D264:D269 D270:S270">
    <cfRule type="cellIs" dxfId="17127" priority="592" operator="equal">
      <formula>0</formula>
    </cfRule>
  </conditionalFormatting>
  <conditionalFormatting sqref="P264:P269">
    <cfRule type="cellIs" dxfId="17126" priority="593" operator="equal">
      <formula>0</formula>
    </cfRule>
  </conditionalFormatting>
  <conditionalFormatting sqref="D264:E269 H264:I269">
    <cfRule type="cellIs" dxfId="17125" priority="594" operator="equal">
      <formula>0</formula>
    </cfRule>
  </conditionalFormatting>
  <conditionalFormatting sqref="F264:F269">
    <cfRule type="cellIs" dxfId="17124" priority="595" operator="equal">
      <formula>0</formula>
    </cfRule>
  </conditionalFormatting>
  <conditionalFormatting sqref="J267:J269">
    <cfRule type="cellIs" dxfId="17123" priority="596" operator="equal">
      <formula>0</formula>
    </cfRule>
  </conditionalFormatting>
  <conditionalFormatting sqref="J264:J269 K264:O264">
    <cfRule type="cellIs" dxfId="17122" priority="597" operator="equal">
      <formula>0</formula>
    </cfRule>
  </conditionalFormatting>
  <conditionalFormatting sqref="K267:K269">
    <cfRule type="cellIs" dxfId="17121" priority="598" operator="equal">
      <formula>0</formula>
    </cfRule>
  </conditionalFormatting>
  <conditionalFormatting sqref="K264:K269">
    <cfRule type="cellIs" dxfId="17120" priority="599" operator="equal">
      <formula>0</formula>
    </cfRule>
  </conditionalFormatting>
  <conditionalFormatting sqref="L267:L269">
    <cfRule type="cellIs" dxfId="17119" priority="600" operator="equal">
      <formula>0</formula>
    </cfRule>
  </conditionalFormatting>
  <conditionalFormatting sqref="L264:L269">
    <cfRule type="cellIs" dxfId="17118" priority="601" operator="equal">
      <formula>0</formula>
    </cfRule>
  </conditionalFormatting>
  <conditionalFormatting sqref="M267:M269">
    <cfRule type="cellIs" dxfId="17117" priority="602" operator="equal">
      <formula>0</formula>
    </cfRule>
  </conditionalFormatting>
  <conditionalFormatting sqref="M264:M269">
    <cfRule type="cellIs" dxfId="17116" priority="603" operator="equal">
      <formula>0</formula>
    </cfRule>
  </conditionalFormatting>
  <conditionalFormatting sqref="N267:N269">
    <cfRule type="cellIs" dxfId="17115" priority="604" operator="equal">
      <formula>0</formula>
    </cfRule>
  </conditionalFormatting>
  <conditionalFormatting sqref="N264:N269">
    <cfRule type="cellIs" dxfId="17114" priority="605" operator="equal">
      <formula>0</formula>
    </cfRule>
  </conditionalFormatting>
  <conditionalFormatting sqref="O267:O269">
    <cfRule type="cellIs" dxfId="17113" priority="606" operator="equal">
      <formula>0</formula>
    </cfRule>
  </conditionalFormatting>
  <conditionalFormatting sqref="O264:O269">
    <cfRule type="cellIs" dxfId="17112" priority="607" operator="equal">
      <formula>0</formula>
    </cfRule>
  </conditionalFormatting>
  <conditionalFormatting sqref="D264:S270">
    <cfRule type="expression" dxfId="17111" priority="608">
      <formula>LEN(TRIM(D264))=0</formula>
    </cfRule>
  </conditionalFormatting>
  <conditionalFormatting sqref="L267:L268">
    <cfRule type="cellIs" dxfId="17110" priority="609" operator="equal">
      <formula>0</formula>
    </cfRule>
  </conditionalFormatting>
  <conditionalFormatting sqref="M267:M268">
    <cfRule type="cellIs" dxfId="17109" priority="610" operator="equal">
      <formula>0</formula>
    </cfRule>
  </conditionalFormatting>
  <conditionalFormatting sqref="N267:O267">
    <cfRule type="cellIs" dxfId="17108" priority="611" operator="equal">
      <formula>0</formula>
    </cfRule>
  </conditionalFormatting>
  <conditionalFormatting sqref="N268:O268">
    <cfRule type="cellIs" dxfId="17107" priority="612" operator="equal">
      <formula>0</formula>
    </cfRule>
  </conditionalFormatting>
  <conditionalFormatting sqref="E281:G281 D282:G283 H281:I283 D277:I280 J277:R283 D272:S272 D284:R284 D273:I274 S273:S284 P273:R274">
    <cfRule type="cellIs" dxfId="17106" priority="586" operator="equal">
      <formula>0</formula>
    </cfRule>
  </conditionalFormatting>
  <conditionalFormatting sqref="D281">
    <cfRule type="cellIs" dxfId="17105" priority="587" operator="equal">
      <formula>0</formula>
    </cfRule>
  </conditionalFormatting>
  <conditionalFormatting sqref="D272:S272 D277:R284 D273:I274 S273:S284 P273:R274">
    <cfRule type="expression" dxfId="17104" priority="588">
      <formula>LEN(TRIM(D272))=0</formula>
    </cfRule>
  </conditionalFormatting>
  <conditionalFormatting sqref="D275:R276">
    <cfRule type="cellIs" dxfId="17103" priority="589" operator="equal">
      <formula>0</formula>
    </cfRule>
  </conditionalFormatting>
  <conditionalFormatting sqref="P275:P276">
    <cfRule type="cellIs" dxfId="17102" priority="590" operator="equal">
      <formula>0</formula>
    </cfRule>
  </conditionalFormatting>
  <conditionalFormatting sqref="D275:R276">
    <cfRule type="expression" dxfId="17101" priority="591">
      <formula>LEN(TRIM(D275))=0</formula>
    </cfRule>
  </conditionalFormatting>
  <conditionalFormatting sqref="J273:O274">
    <cfRule type="cellIs" dxfId="17100" priority="584" operator="equal">
      <formula>0</formula>
    </cfRule>
  </conditionalFormatting>
  <conditionalFormatting sqref="J273:O274">
    <cfRule type="expression" dxfId="17099" priority="585">
      <formula>LEN(TRIM(J273))=0</formula>
    </cfRule>
  </conditionalFormatting>
  <conditionalFormatting sqref="D287:R292 S286:S291 S293 D286:I286 P286:R286">
    <cfRule type="cellIs" dxfId="17098" priority="578" operator="equal">
      <formula>0</formula>
    </cfRule>
  </conditionalFormatting>
  <conditionalFormatting sqref="D293:R293">
    <cfRule type="cellIs" dxfId="17097" priority="579" operator="equal">
      <formula>0</formula>
    </cfRule>
  </conditionalFormatting>
  <conditionalFormatting sqref="D287:S291 D293:S293 D292:R292 D286:I286 P286:S286">
    <cfRule type="expression" dxfId="17096" priority="580">
      <formula>LEN(TRIM(D286))=0</formula>
    </cfRule>
  </conditionalFormatting>
  <conditionalFormatting sqref="D293:R293">
    <cfRule type="cellIs" dxfId="17095" priority="581" operator="equal">
      <formula>0</formula>
    </cfRule>
  </conditionalFormatting>
  <conditionalFormatting sqref="D294:R294">
    <cfRule type="cellIs" dxfId="17094" priority="582" operator="equal">
      <formula>0</formula>
    </cfRule>
  </conditionalFormatting>
  <conditionalFormatting sqref="D294:R294">
    <cfRule type="expression" dxfId="17093" priority="583">
      <formula>LEN(TRIM(D294))=0</formula>
    </cfRule>
  </conditionalFormatting>
  <conditionalFormatting sqref="S294">
    <cfRule type="cellIs" dxfId="17092" priority="576" operator="equal">
      <formula>0</formula>
    </cfRule>
  </conditionalFormatting>
  <conditionalFormatting sqref="S294">
    <cfRule type="expression" dxfId="17091" priority="577">
      <formula>LEN(TRIM(S294))=0</formula>
    </cfRule>
  </conditionalFormatting>
  <conditionalFormatting sqref="S292">
    <cfRule type="cellIs" dxfId="17090" priority="574" operator="equal">
      <formula>0</formula>
    </cfRule>
  </conditionalFormatting>
  <conditionalFormatting sqref="S292">
    <cfRule type="expression" dxfId="17089" priority="575">
      <formula>LEN(TRIM(S292))=0</formula>
    </cfRule>
  </conditionalFormatting>
  <conditionalFormatting sqref="J286:O286">
    <cfRule type="cellIs" dxfId="17088" priority="572" operator="equal">
      <formula>0</formula>
    </cfRule>
  </conditionalFormatting>
  <conditionalFormatting sqref="J286:O286">
    <cfRule type="expression" dxfId="17087" priority="573">
      <formula>LEN(TRIM(J286))=0</formula>
    </cfRule>
  </conditionalFormatting>
  <conditionalFormatting sqref="P303:S305 E303:I305 J303:O304 Q300:S302 G300:G302 D300:D305 D306:S306">
    <cfRule type="cellIs" dxfId="17086" priority="551" operator="equal">
      <formula>0</formula>
    </cfRule>
  </conditionalFormatting>
  <conditionalFormatting sqref="P300:P305">
    <cfRule type="cellIs" dxfId="17085" priority="552" operator="equal">
      <formula>0</formula>
    </cfRule>
  </conditionalFormatting>
  <conditionalFormatting sqref="D300:E305 H300:I305">
    <cfRule type="cellIs" dxfId="17084" priority="553" operator="equal">
      <formula>0</formula>
    </cfRule>
  </conditionalFormatting>
  <conditionalFormatting sqref="F300:F305">
    <cfRule type="cellIs" dxfId="17083" priority="554" operator="equal">
      <formula>0</formula>
    </cfRule>
  </conditionalFormatting>
  <conditionalFormatting sqref="J303:J305">
    <cfRule type="cellIs" dxfId="17082" priority="555" operator="equal">
      <formula>0</formula>
    </cfRule>
  </conditionalFormatting>
  <conditionalFormatting sqref="J300:J305 K300:O300">
    <cfRule type="cellIs" dxfId="17081" priority="556" operator="equal">
      <formula>0</formula>
    </cfRule>
  </conditionalFormatting>
  <conditionalFormatting sqref="K303:K305">
    <cfRule type="cellIs" dxfId="17080" priority="557" operator="equal">
      <formula>0</formula>
    </cfRule>
  </conditionalFormatting>
  <conditionalFormatting sqref="K300:K305">
    <cfRule type="cellIs" dxfId="17079" priority="558" operator="equal">
      <formula>0</formula>
    </cfRule>
  </conditionalFormatting>
  <conditionalFormatting sqref="L303:L305">
    <cfRule type="cellIs" dxfId="17078" priority="559" operator="equal">
      <formula>0</formula>
    </cfRule>
  </conditionalFormatting>
  <conditionalFormatting sqref="L300:L305">
    <cfRule type="cellIs" dxfId="17077" priority="560" operator="equal">
      <formula>0</formula>
    </cfRule>
  </conditionalFormatting>
  <conditionalFormatting sqref="M303:M305">
    <cfRule type="cellIs" dxfId="17076" priority="561" operator="equal">
      <formula>0</formula>
    </cfRule>
  </conditionalFormatting>
  <conditionalFormatting sqref="M300:M305">
    <cfRule type="cellIs" dxfId="17075" priority="562" operator="equal">
      <formula>0</formula>
    </cfRule>
  </conditionalFormatting>
  <conditionalFormatting sqref="N303:N305">
    <cfRule type="cellIs" dxfId="17074" priority="563" operator="equal">
      <formula>0</formula>
    </cfRule>
  </conditionalFormatting>
  <conditionalFormatting sqref="N300:N305">
    <cfRule type="cellIs" dxfId="17073" priority="564" operator="equal">
      <formula>0</formula>
    </cfRule>
  </conditionalFormatting>
  <conditionalFormatting sqref="O303:O305">
    <cfRule type="cellIs" dxfId="17072" priority="565" operator="equal">
      <formula>0</formula>
    </cfRule>
  </conditionalFormatting>
  <conditionalFormatting sqref="O300:O305">
    <cfRule type="cellIs" dxfId="17071" priority="566" operator="equal">
      <formula>0</formula>
    </cfRule>
  </conditionalFormatting>
  <conditionalFormatting sqref="D300:S306">
    <cfRule type="expression" dxfId="17070" priority="567">
      <formula>LEN(TRIM(D300))=0</formula>
    </cfRule>
  </conditionalFormatting>
  <conditionalFormatting sqref="L303:L304">
    <cfRule type="cellIs" dxfId="17069" priority="568" operator="equal">
      <formula>0</formula>
    </cfRule>
  </conditionalFormatting>
  <conditionalFormatting sqref="M303:M304">
    <cfRule type="cellIs" dxfId="17068" priority="569" operator="equal">
      <formula>0</formula>
    </cfRule>
  </conditionalFormatting>
  <conditionalFormatting sqref="N303:O303">
    <cfRule type="cellIs" dxfId="17067" priority="570" operator="equal">
      <formula>0</formula>
    </cfRule>
  </conditionalFormatting>
  <conditionalFormatting sqref="N304:O304">
    <cfRule type="cellIs" dxfId="17066" priority="571" operator="equal">
      <formula>0</formula>
    </cfRule>
  </conditionalFormatting>
  <conditionalFormatting sqref="E317:G317 D318:G319 H317:I319 D313:I316 J313:R319 D308:S308 D320:R320 D309:I310 S309:S320 P309:R310">
    <cfRule type="cellIs" dxfId="17065" priority="545" operator="equal">
      <formula>0</formula>
    </cfRule>
  </conditionalFormatting>
  <conditionalFormatting sqref="D317">
    <cfRule type="cellIs" dxfId="17064" priority="546" operator="equal">
      <formula>0</formula>
    </cfRule>
  </conditionalFormatting>
  <conditionalFormatting sqref="D308:S308 D313:R320 D309:I310 S309:S320 P309:R310">
    <cfRule type="expression" dxfId="17063" priority="547">
      <formula>LEN(TRIM(D308))=0</formula>
    </cfRule>
  </conditionalFormatting>
  <conditionalFormatting sqref="D311:R312">
    <cfRule type="cellIs" dxfId="17062" priority="548" operator="equal">
      <formula>0</formula>
    </cfRule>
  </conditionalFormatting>
  <conditionalFormatting sqref="P311:P312">
    <cfRule type="cellIs" dxfId="17061" priority="549" operator="equal">
      <formula>0</formula>
    </cfRule>
  </conditionalFormatting>
  <conditionalFormatting sqref="D311:R312">
    <cfRule type="expression" dxfId="17060" priority="550">
      <formula>LEN(TRIM(D311))=0</formula>
    </cfRule>
  </conditionalFormatting>
  <conditionalFormatting sqref="J309:O310">
    <cfRule type="cellIs" dxfId="17059" priority="543" operator="equal">
      <formula>0</formula>
    </cfRule>
  </conditionalFormatting>
  <conditionalFormatting sqref="J309:O310">
    <cfRule type="expression" dxfId="17058" priority="544">
      <formula>LEN(TRIM(J309))=0</formula>
    </cfRule>
  </conditionalFormatting>
  <conditionalFormatting sqref="D323:R328 S322:S327 S329 D322:I322 P322:R322">
    <cfRule type="cellIs" dxfId="17057" priority="537" operator="equal">
      <formula>0</formula>
    </cfRule>
  </conditionalFormatting>
  <conditionalFormatting sqref="D329:R329">
    <cfRule type="cellIs" dxfId="17056" priority="538" operator="equal">
      <formula>0</formula>
    </cfRule>
  </conditionalFormatting>
  <conditionalFormatting sqref="D323:S327 D329:S329 D328:R328 D322:I322 P322:S322">
    <cfRule type="expression" dxfId="17055" priority="539">
      <formula>LEN(TRIM(D322))=0</formula>
    </cfRule>
  </conditionalFormatting>
  <conditionalFormatting sqref="D329:R329">
    <cfRule type="cellIs" dxfId="17054" priority="540" operator="equal">
      <formula>0</formula>
    </cfRule>
  </conditionalFormatting>
  <conditionalFormatting sqref="D330:R330">
    <cfRule type="cellIs" dxfId="17053" priority="541" operator="equal">
      <formula>0</formula>
    </cfRule>
  </conditionalFormatting>
  <conditionalFormatting sqref="D330:R330">
    <cfRule type="expression" dxfId="17052" priority="542">
      <formula>LEN(TRIM(D330))=0</formula>
    </cfRule>
  </conditionalFormatting>
  <conditionalFormatting sqref="S330">
    <cfRule type="cellIs" dxfId="17051" priority="535" operator="equal">
      <formula>0</formula>
    </cfRule>
  </conditionalFormatting>
  <conditionalFormatting sqref="S330">
    <cfRule type="expression" dxfId="17050" priority="536">
      <formula>LEN(TRIM(S330))=0</formula>
    </cfRule>
  </conditionalFormatting>
  <conditionalFormatting sqref="S328">
    <cfRule type="cellIs" dxfId="17049" priority="533" operator="equal">
      <formula>0</formula>
    </cfRule>
  </conditionalFormatting>
  <conditionalFormatting sqref="S328">
    <cfRule type="expression" dxfId="17048" priority="534">
      <formula>LEN(TRIM(S328))=0</formula>
    </cfRule>
  </conditionalFormatting>
  <conditionalFormatting sqref="J322:O322">
    <cfRule type="cellIs" dxfId="17047" priority="531" operator="equal">
      <formula>0</formula>
    </cfRule>
  </conditionalFormatting>
  <conditionalFormatting sqref="J322:O322">
    <cfRule type="expression" dxfId="17046" priority="532">
      <formula>LEN(TRIM(J322))=0</formula>
    </cfRule>
  </conditionalFormatting>
  <conditionalFormatting sqref="AH15:AK17 W15:AA17 AB15:AG16 AI12:AK14 Y12:Y14 V12:V17 V18:AK18">
    <cfRule type="cellIs" dxfId="17045" priority="469" operator="equal">
      <formula>0</formula>
    </cfRule>
  </conditionalFormatting>
  <conditionalFormatting sqref="AH12:AH17">
    <cfRule type="cellIs" dxfId="17044" priority="470" operator="equal">
      <formula>0</formula>
    </cfRule>
  </conditionalFormatting>
  <conditionalFormatting sqref="V12:W17 Z12:AA17">
    <cfRule type="cellIs" dxfId="17043" priority="471" operator="equal">
      <formula>0</formula>
    </cfRule>
  </conditionalFormatting>
  <conditionalFormatting sqref="X12:X17">
    <cfRule type="cellIs" dxfId="17042" priority="472" operator="equal">
      <formula>0</formula>
    </cfRule>
  </conditionalFormatting>
  <conditionalFormatting sqref="AB15:AB17">
    <cfRule type="cellIs" dxfId="17041" priority="473" operator="equal">
      <formula>0</formula>
    </cfRule>
  </conditionalFormatting>
  <conditionalFormatting sqref="AB12:AB17 AC12:AG12">
    <cfRule type="cellIs" dxfId="17040" priority="474" operator="equal">
      <formula>0</formula>
    </cfRule>
  </conditionalFormatting>
  <conditionalFormatting sqref="AC15:AC17">
    <cfRule type="cellIs" dxfId="17039" priority="475" operator="equal">
      <formula>0</formula>
    </cfRule>
  </conditionalFormatting>
  <conditionalFormatting sqref="AC12:AC17">
    <cfRule type="cellIs" dxfId="17038" priority="476" operator="equal">
      <formula>0</formula>
    </cfRule>
  </conditionalFormatting>
  <conditionalFormatting sqref="AD15:AD17">
    <cfRule type="cellIs" dxfId="17037" priority="477" operator="equal">
      <formula>0</formula>
    </cfRule>
  </conditionalFormatting>
  <conditionalFormatting sqref="AD12:AD17">
    <cfRule type="cellIs" dxfId="17036" priority="478" operator="equal">
      <formula>0</formula>
    </cfRule>
  </conditionalFormatting>
  <conditionalFormatting sqref="AE15:AE17">
    <cfRule type="cellIs" dxfId="17035" priority="479" operator="equal">
      <formula>0</formula>
    </cfRule>
  </conditionalFormatting>
  <conditionalFormatting sqref="AE12:AE17">
    <cfRule type="cellIs" dxfId="17034" priority="480" operator="equal">
      <formula>0</formula>
    </cfRule>
  </conditionalFormatting>
  <conditionalFormatting sqref="AF15:AF17">
    <cfRule type="cellIs" dxfId="17033" priority="481" operator="equal">
      <formula>0</formula>
    </cfRule>
  </conditionalFormatting>
  <conditionalFormatting sqref="AF12:AF17">
    <cfRule type="cellIs" dxfId="17032" priority="482" operator="equal">
      <formula>0</formula>
    </cfRule>
  </conditionalFormatting>
  <conditionalFormatting sqref="AG15:AG17">
    <cfRule type="cellIs" dxfId="17031" priority="483" operator="equal">
      <formula>0</formula>
    </cfRule>
  </conditionalFormatting>
  <conditionalFormatting sqref="AG12:AG17">
    <cfRule type="cellIs" dxfId="17030" priority="484" operator="equal">
      <formula>0</formula>
    </cfRule>
  </conditionalFormatting>
  <conditionalFormatting sqref="V12:AK18">
    <cfRule type="expression" dxfId="17029" priority="485">
      <formula>LEN(TRIM(V12))=0</formula>
    </cfRule>
  </conditionalFormatting>
  <conditionalFormatting sqref="AD15:AD16">
    <cfRule type="cellIs" dxfId="17028" priority="486" operator="equal">
      <formula>0</formula>
    </cfRule>
  </conditionalFormatting>
  <conditionalFormatting sqref="AE15:AE16">
    <cfRule type="cellIs" dxfId="17027" priority="487" operator="equal">
      <formula>0</formula>
    </cfRule>
  </conditionalFormatting>
  <conditionalFormatting sqref="AF15:AG15">
    <cfRule type="cellIs" dxfId="17026" priority="488" operator="equal">
      <formula>0</formula>
    </cfRule>
  </conditionalFormatting>
  <conditionalFormatting sqref="AF16:AG16">
    <cfRule type="cellIs" dxfId="17025" priority="489" operator="equal">
      <formula>0</formula>
    </cfRule>
  </conditionalFormatting>
  <conditionalFormatting sqref="W29:Y29 V30:Y31 Z29:AA31 V25:AA28 AB25:AJ31 V20:AK20 V32:AJ32 V21:AA22 AK21:AK32 AH21:AJ22">
    <cfRule type="cellIs" dxfId="17024" priority="463" operator="equal">
      <formula>0</formula>
    </cfRule>
  </conditionalFormatting>
  <conditionalFormatting sqref="V29">
    <cfRule type="cellIs" dxfId="17023" priority="464" operator="equal">
      <formula>0</formula>
    </cfRule>
  </conditionalFormatting>
  <conditionalFormatting sqref="V20:AK20 V25:AJ32 V21:AA22 AK21:AK32 AH21:AJ22">
    <cfRule type="expression" dxfId="17022" priority="465">
      <formula>LEN(TRIM(V20))=0</formula>
    </cfRule>
  </conditionalFormatting>
  <conditionalFormatting sqref="V23:AJ24">
    <cfRule type="cellIs" dxfId="17021" priority="466" operator="equal">
      <formula>0</formula>
    </cfRule>
  </conditionalFormatting>
  <conditionalFormatting sqref="AH23:AH24">
    <cfRule type="cellIs" dxfId="17020" priority="467" operator="equal">
      <formula>0</formula>
    </cfRule>
  </conditionalFormatting>
  <conditionalFormatting sqref="V23:AJ24">
    <cfRule type="expression" dxfId="17019" priority="468">
      <formula>LEN(TRIM(V23))=0</formula>
    </cfRule>
  </conditionalFormatting>
  <conditionalFormatting sqref="AB21:AG22">
    <cfRule type="cellIs" dxfId="17018" priority="461" operator="equal">
      <formula>0</formula>
    </cfRule>
  </conditionalFormatting>
  <conditionalFormatting sqref="AB21:AG22">
    <cfRule type="expression" dxfId="17017" priority="462">
      <formula>LEN(TRIM(AB21))=0</formula>
    </cfRule>
  </conditionalFormatting>
  <conditionalFormatting sqref="V35:AJ40 AK34:AK39 AK41 V34:AA34 AH34:AJ34">
    <cfRule type="cellIs" dxfId="17016" priority="455" operator="equal">
      <formula>0</formula>
    </cfRule>
  </conditionalFormatting>
  <conditionalFormatting sqref="V41:AJ41">
    <cfRule type="cellIs" dxfId="17015" priority="456" operator="equal">
      <formula>0</formula>
    </cfRule>
  </conditionalFormatting>
  <conditionalFormatting sqref="V35:AK39 V41:AK41 V40:AJ40 V34:AA34 AH34:AK34">
    <cfRule type="expression" dxfId="17014" priority="457">
      <formula>LEN(TRIM(V34))=0</formula>
    </cfRule>
  </conditionalFormatting>
  <conditionalFormatting sqref="V41:AJ41">
    <cfRule type="cellIs" dxfId="17013" priority="458" operator="equal">
      <formula>0</formula>
    </cfRule>
  </conditionalFormatting>
  <conditionalFormatting sqref="V42:AJ42">
    <cfRule type="cellIs" dxfId="17012" priority="459" operator="equal">
      <formula>0</formula>
    </cfRule>
  </conditionalFormatting>
  <conditionalFormatting sqref="V42:AJ42">
    <cfRule type="expression" dxfId="17011" priority="460">
      <formula>LEN(TRIM(V42))=0</formula>
    </cfRule>
  </conditionalFormatting>
  <conditionalFormatting sqref="AK42">
    <cfRule type="cellIs" dxfId="17010" priority="453" operator="equal">
      <formula>0</formula>
    </cfRule>
  </conditionalFormatting>
  <conditionalFormatting sqref="AK42">
    <cfRule type="expression" dxfId="17009" priority="454">
      <formula>LEN(TRIM(AK42))=0</formula>
    </cfRule>
  </conditionalFormatting>
  <conditionalFormatting sqref="AK40">
    <cfRule type="cellIs" dxfId="17008" priority="451" operator="equal">
      <formula>0</formula>
    </cfRule>
  </conditionalFormatting>
  <conditionalFormatting sqref="AK40">
    <cfRule type="expression" dxfId="17007" priority="452">
      <formula>LEN(TRIM(AK40))=0</formula>
    </cfRule>
  </conditionalFormatting>
  <conditionalFormatting sqref="AB34:AG34">
    <cfRule type="cellIs" dxfId="17006" priority="449" operator="equal">
      <formula>0</formula>
    </cfRule>
  </conditionalFormatting>
  <conditionalFormatting sqref="AB34:AG34">
    <cfRule type="expression" dxfId="17005" priority="450">
      <formula>LEN(TRIM(AB34))=0</formula>
    </cfRule>
  </conditionalFormatting>
  <conditionalFormatting sqref="AH51:AK53 W51:AA53 AB51:AG52 AI48:AK50 Y48:Y50 V48:V53 V54:AK54">
    <cfRule type="cellIs" dxfId="17004" priority="428" operator="equal">
      <formula>0</formula>
    </cfRule>
  </conditionalFormatting>
  <conditionalFormatting sqref="AH48:AH53">
    <cfRule type="cellIs" dxfId="17003" priority="429" operator="equal">
      <formula>0</formula>
    </cfRule>
  </conditionalFormatting>
  <conditionalFormatting sqref="V48:W53 Z48:AA53">
    <cfRule type="cellIs" dxfId="17002" priority="430" operator="equal">
      <formula>0</formula>
    </cfRule>
  </conditionalFormatting>
  <conditionalFormatting sqref="X48:X53">
    <cfRule type="cellIs" dxfId="17001" priority="431" operator="equal">
      <formula>0</formula>
    </cfRule>
  </conditionalFormatting>
  <conditionalFormatting sqref="AB51:AB53">
    <cfRule type="cellIs" dxfId="17000" priority="432" operator="equal">
      <formula>0</formula>
    </cfRule>
  </conditionalFormatting>
  <conditionalFormatting sqref="AB48:AB53 AC48:AG48">
    <cfRule type="cellIs" dxfId="16999" priority="433" operator="equal">
      <formula>0</formula>
    </cfRule>
  </conditionalFormatting>
  <conditionalFormatting sqref="AC51:AC53">
    <cfRule type="cellIs" dxfId="16998" priority="434" operator="equal">
      <formula>0</formula>
    </cfRule>
  </conditionalFormatting>
  <conditionalFormatting sqref="AC48:AC53">
    <cfRule type="cellIs" dxfId="16997" priority="435" operator="equal">
      <formula>0</formula>
    </cfRule>
  </conditionalFormatting>
  <conditionalFormatting sqref="AD51:AD53">
    <cfRule type="cellIs" dxfId="16996" priority="436" operator="equal">
      <formula>0</formula>
    </cfRule>
  </conditionalFormatting>
  <conditionalFormatting sqref="AD48:AD53">
    <cfRule type="cellIs" dxfId="16995" priority="437" operator="equal">
      <formula>0</formula>
    </cfRule>
  </conditionalFormatting>
  <conditionalFormatting sqref="AE51:AE53">
    <cfRule type="cellIs" dxfId="16994" priority="438" operator="equal">
      <formula>0</formula>
    </cfRule>
  </conditionalFormatting>
  <conditionalFormatting sqref="AE48:AE53">
    <cfRule type="cellIs" dxfId="16993" priority="439" operator="equal">
      <formula>0</formula>
    </cfRule>
  </conditionalFormatting>
  <conditionalFormatting sqref="AF51:AF53">
    <cfRule type="cellIs" dxfId="16992" priority="440" operator="equal">
      <formula>0</formula>
    </cfRule>
  </conditionalFormatting>
  <conditionalFormatting sqref="AF48:AF53">
    <cfRule type="cellIs" dxfId="16991" priority="441" operator="equal">
      <formula>0</formula>
    </cfRule>
  </conditionalFormatting>
  <conditionalFormatting sqref="AG51:AG53">
    <cfRule type="cellIs" dxfId="16990" priority="442" operator="equal">
      <formula>0</formula>
    </cfRule>
  </conditionalFormatting>
  <conditionalFormatting sqref="AG48:AG53">
    <cfRule type="cellIs" dxfId="16989" priority="443" operator="equal">
      <formula>0</formula>
    </cfRule>
  </conditionalFormatting>
  <conditionalFormatting sqref="V48:AK54">
    <cfRule type="expression" dxfId="16988" priority="444">
      <formula>LEN(TRIM(V48))=0</formula>
    </cfRule>
  </conditionalFormatting>
  <conditionalFormatting sqref="AD51:AD52">
    <cfRule type="cellIs" dxfId="16987" priority="445" operator="equal">
      <formula>0</formula>
    </cfRule>
  </conditionalFormatting>
  <conditionalFormatting sqref="AE51:AE52">
    <cfRule type="cellIs" dxfId="16986" priority="446" operator="equal">
      <formula>0</formula>
    </cfRule>
  </conditionalFormatting>
  <conditionalFormatting sqref="AF51:AG51">
    <cfRule type="cellIs" dxfId="16985" priority="447" operator="equal">
      <formula>0</formula>
    </cfRule>
  </conditionalFormatting>
  <conditionalFormatting sqref="AF52:AG52">
    <cfRule type="cellIs" dxfId="16984" priority="448" operator="equal">
      <formula>0</formula>
    </cfRule>
  </conditionalFormatting>
  <conditionalFormatting sqref="W65:Y65 V66:Y67 Z65:AA67 V61:AA64 AB61:AJ67 V56:AK56 V68:AJ68 V57:AA58 AK57:AK68 AH57:AJ58">
    <cfRule type="cellIs" dxfId="16983" priority="422" operator="equal">
      <formula>0</formula>
    </cfRule>
  </conditionalFormatting>
  <conditionalFormatting sqref="V65">
    <cfRule type="cellIs" dxfId="16982" priority="423" operator="equal">
      <formula>0</formula>
    </cfRule>
  </conditionalFormatting>
  <conditionalFormatting sqref="V56:AK56 V61:AJ68 V57:AA58 AK57:AK68 AH57:AJ58">
    <cfRule type="expression" dxfId="16981" priority="424">
      <formula>LEN(TRIM(V56))=0</formula>
    </cfRule>
  </conditionalFormatting>
  <conditionalFormatting sqref="V59:AJ60">
    <cfRule type="cellIs" dxfId="16980" priority="425" operator="equal">
      <formula>0</formula>
    </cfRule>
  </conditionalFormatting>
  <conditionalFormatting sqref="AH59:AH60">
    <cfRule type="cellIs" dxfId="16979" priority="426" operator="equal">
      <formula>0</formula>
    </cfRule>
  </conditionalFormatting>
  <conditionalFormatting sqref="V59:AJ60">
    <cfRule type="expression" dxfId="16978" priority="427">
      <formula>LEN(TRIM(V59))=0</formula>
    </cfRule>
  </conditionalFormatting>
  <conditionalFormatting sqref="AB57:AG58">
    <cfRule type="cellIs" dxfId="16977" priority="420" operator="equal">
      <formula>0</formula>
    </cfRule>
  </conditionalFormatting>
  <conditionalFormatting sqref="AB57:AG58">
    <cfRule type="expression" dxfId="16976" priority="421">
      <formula>LEN(TRIM(AB57))=0</formula>
    </cfRule>
  </conditionalFormatting>
  <conditionalFormatting sqref="V71:AJ76 AK70:AK75 AK77 V70:AA70 AH70:AJ70">
    <cfRule type="cellIs" dxfId="16975" priority="414" operator="equal">
      <formula>0</formula>
    </cfRule>
  </conditionalFormatting>
  <conditionalFormatting sqref="V77:AJ77">
    <cfRule type="cellIs" dxfId="16974" priority="415" operator="equal">
      <formula>0</formula>
    </cfRule>
  </conditionalFormatting>
  <conditionalFormatting sqref="V71:AK75 V77:AK77 V76:AJ76 V70:AA70 AH70:AK70">
    <cfRule type="expression" dxfId="16973" priority="416">
      <formula>LEN(TRIM(V70))=0</formula>
    </cfRule>
  </conditionalFormatting>
  <conditionalFormatting sqref="V77:AJ77">
    <cfRule type="cellIs" dxfId="16972" priority="417" operator="equal">
      <formula>0</formula>
    </cfRule>
  </conditionalFormatting>
  <conditionalFormatting sqref="V78:AJ78">
    <cfRule type="cellIs" dxfId="16971" priority="418" operator="equal">
      <formula>0</formula>
    </cfRule>
  </conditionalFormatting>
  <conditionalFormatting sqref="V78:AJ78">
    <cfRule type="expression" dxfId="16970" priority="419">
      <formula>LEN(TRIM(V78))=0</formula>
    </cfRule>
  </conditionalFormatting>
  <conditionalFormatting sqref="AK78">
    <cfRule type="cellIs" dxfId="16969" priority="412" operator="equal">
      <formula>0</formula>
    </cfRule>
  </conditionalFormatting>
  <conditionalFormatting sqref="AK78">
    <cfRule type="expression" dxfId="16968" priority="413">
      <formula>LEN(TRIM(AK78))=0</formula>
    </cfRule>
  </conditionalFormatting>
  <conditionalFormatting sqref="AK76">
    <cfRule type="cellIs" dxfId="16967" priority="410" operator="equal">
      <formula>0</formula>
    </cfRule>
  </conditionalFormatting>
  <conditionalFormatting sqref="AK76">
    <cfRule type="expression" dxfId="16966" priority="411">
      <formula>LEN(TRIM(AK76))=0</formula>
    </cfRule>
  </conditionalFormatting>
  <conditionalFormatting sqref="AB70:AG70">
    <cfRule type="cellIs" dxfId="16965" priority="408" operator="equal">
      <formula>0</formula>
    </cfRule>
  </conditionalFormatting>
  <conditionalFormatting sqref="AB70:AG70">
    <cfRule type="expression" dxfId="16964" priority="409">
      <formula>LEN(TRIM(AB70))=0</formula>
    </cfRule>
  </conditionalFormatting>
  <conditionalFormatting sqref="AH87:AK89 W87:AA89 AB87:AG88 AI84:AK86 Y84:Y86 V84:V89 V90:AK90">
    <cfRule type="cellIs" dxfId="16963" priority="387" operator="equal">
      <formula>0</formula>
    </cfRule>
  </conditionalFormatting>
  <conditionalFormatting sqref="AH84:AH89">
    <cfRule type="cellIs" dxfId="16962" priority="388" operator="equal">
      <formula>0</formula>
    </cfRule>
  </conditionalFormatting>
  <conditionalFormatting sqref="V84:W89 Z84:AA89">
    <cfRule type="cellIs" dxfId="16961" priority="389" operator="equal">
      <formula>0</formula>
    </cfRule>
  </conditionalFormatting>
  <conditionalFormatting sqref="X84:X89">
    <cfRule type="cellIs" dxfId="16960" priority="390" operator="equal">
      <formula>0</formula>
    </cfRule>
  </conditionalFormatting>
  <conditionalFormatting sqref="AB87:AB89">
    <cfRule type="cellIs" dxfId="16959" priority="391" operator="equal">
      <formula>0</formula>
    </cfRule>
  </conditionalFormatting>
  <conditionalFormatting sqref="AB84:AB89 AC84:AG84">
    <cfRule type="cellIs" dxfId="16958" priority="392" operator="equal">
      <formula>0</formula>
    </cfRule>
  </conditionalFormatting>
  <conditionalFormatting sqref="AC87:AC89">
    <cfRule type="cellIs" dxfId="16957" priority="393" operator="equal">
      <formula>0</formula>
    </cfRule>
  </conditionalFormatting>
  <conditionalFormatting sqref="AC84:AC89">
    <cfRule type="cellIs" dxfId="16956" priority="394" operator="equal">
      <formula>0</formula>
    </cfRule>
  </conditionalFormatting>
  <conditionalFormatting sqref="AD87:AD89">
    <cfRule type="cellIs" dxfId="16955" priority="395" operator="equal">
      <formula>0</formula>
    </cfRule>
  </conditionalFormatting>
  <conditionalFormatting sqref="AD84:AD89">
    <cfRule type="cellIs" dxfId="16954" priority="396" operator="equal">
      <formula>0</formula>
    </cfRule>
  </conditionalFormatting>
  <conditionalFormatting sqref="AE87:AE89">
    <cfRule type="cellIs" dxfId="16953" priority="397" operator="equal">
      <formula>0</formula>
    </cfRule>
  </conditionalFormatting>
  <conditionalFormatting sqref="AE84:AE89">
    <cfRule type="cellIs" dxfId="16952" priority="398" operator="equal">
      <formula>0</formula>
    </cfRule>
  </conditionalFormatting>
  <conditionalFormatting sqref="AF87:AF89">
    <cfRule type="cellIs" dxfId="16951" priority="399" operator="equal">
      <formula>0</formula>
    </cfRule>
  </conditionalFormatting>
  <conditionalFormatting sqref="AF84:AF89">
    <cfRule type="cellIs" dxfId="16950" priority="400" operator="equal">
      <formula>0</formula>
    </cfRule>
  </conditionalFormatting>
  <conditionalFormatting sqref="AG87:AG89">
    <cfRule type="cellIs" dxfId="16949" priority="401" operator="equal">
      <formula>0</formula>
    </cfRule>
  </conditionalFormatting>
  <conditionalFormatting sqref="AG84:AG89">
    <cfRule type="cellIs" dxfId="16948" priority="402" operator="equal">
      <formula>0</formula>
    </cfRule>
  </conditionalFormatting>
  <conditionalFormatting sqref="V84:AK90">
    <cfRule type="expression" dxfId="16947" priority="403">
      <formula>LEN(TRIM(V84))=0</formula>
    </cfRule>
  </conditionalFormatting>
  <conditionalFormatting sqref="AD87:AD88">
    <cfRule type="cellIs" dxfId="16946" priority="404" operator="equal">
      <formula>0</formula>
    </cfRule>
  </conditionalFormatting>
  <conditionalFormatting sqref="AE87:AE88">
    <cfRule type="cellIs" dxfId="16945" priority="405" operator="equal">
      <formula>0</formula>
    </cfRule>
  </conditionalFormatting>
  <conditionalFormatting sqref="AF87:AG87">
    <cfRule type="cellIs" dxfId="16944" priority="406" operator="equal">
      <formula>0</formula>
    </cfRule>
  </conditionalFormatting>
  <conditionalFormatting sqref="AF88:AG88">
    <cfRule type="cellIs" dxfId="16943" priority="407" operator="equal">
      <formula>0</formula>
    </cfRule>
  </conditionalFormatting>
  <conditionalFormatting sqref="W101:Y101 V102:Y103 Z101:AA103 V97:AA100 AB97:AJ103 V92:AK92 V104:AJ104 V93:AA94 AK93:AK104 AH93:AJ94">
    <cfRule type="cellIs" dxfId="16942" priority="381" operator="equal">
      <formula>0</formula>
    </cfRule>
  </conditionalFormatting>
  <conditionalFormatting sqref="V101">
    <cfRule type="cellIs" dxfId="16941" priority="382" operator="equal">
      <formula>0</formula>
    </cfRule>
  </conditionalFormatting>
  <conditionalFormatting sqref="V92:AK92 V97:AJ104 V93:AA94 AK93:AK104 AH93:AJ94">
    <cfRule type="expression" dxfId="16940" priority="383">
      <formula>LEN(TRIM(V92))=0</formula>
    </cfRule>
  </conditionalFormatting>
  <conditionalFormatting sqref="V95:AJ96">
    <cfRule type="cellIs" dxfId="16939" priority="384" operator="equal">
      <formula>0</formula>
    </cfRule>
  </conditionalFormatting>
  <conditionalFormatting sqref="AH95:AH96">
    <cfRule type="cellIs" dxfId="16938" priority="385" operator="equal">
      <formula>0</formula>
    </cfRule>
  </conditionalFormatting>
  <conditionalFormatting sqref="V95:AJ96">
    <cfRule type="expression" dxfId="16937" priority="386">
      <formula>LEN(TRIM(V95))=0</formula>
    </cfRule>
  </conditionalFormatting>
  <conditionalFormatting sqref="AB93:AG94">
    <cfRule type="cellIs" dxfId="16936" priority="379" operator="equal">
      <formula>0</formula>
    </cfRule>
  </conditionalFormatting>
  <conditionalFormatting sqref="AB93:AG94">
    <cfRule type="expression" dxfId="16935" priority="380">
      <formula>LEN(TRIM(AB93))=0</formula>
    </cfRule>
  </conditionalFormatting>
  <conditionalFormatting sqref="V107:AJ112 AK106:AK111 AK113 V106:AA106 AH106:AJ106">
    <cfRule type="cellIs" dxfId="16934" priority="373" operator="equal">
      <formula>0</formula>
    </cfRule>
  </conditionalFormatting>
  <conditionalFormatting sqref="V113:AJ113">
    <cfRule type="cellIs" dxfId="16933" priority="374" operator="equal">
      <formula>0</formula>
    </cfRule>
  </conditionalFormatting>
  <conditionalFormatting sqref="V107:AK111 V113:AK113 V112:AJ112 V106:AA106 AH106:AK106">
    <cfRule type="expression" dxfId="16932" priority="375">
      <formula>LEN(TRIM(V106))=0</formula>
    </cfRule>
  </conditionalFormatting>
  <conditionalFormatting sqref="V113:AJ113">
    <cfRule type="cellIs" dxfId="16931" priority="376" operator="equal">
      <formula>0</formula>
    </cfRule>
  </conditionalFormatting>
  <conditionalFormatting sqref="V114:AJ114">
    <cfRule type="cellIs" dxfId="16930" priority="377" operator="equal">
      <formula>0</formula>
    </cfRule>
  </conditionalFormatting>
  <conditionalFormatting sqref="V114:AJ114">
    <cfRule type="expression" dxfId="16929" priority="378">
      <formula>LEN(TRIM(V114))=0</formula>
    </cfRule>
  </conditionalFormatting>
  <conditionalFormatting sqref="AK114">
    <cfRule type="cellIs" dxfId="16928" priority="371" operator="equal">
      <formula>0</formula>
    </cfRule>
  </conditionalFormatting>
  <conditionalFormatting sqref="AK114">
    <cfRule type="expression" dxfId="16927" priority="372">
      <formula>LEN(TRIM(AK114))=0</formula>
    </cfRule>
  </conditionalFormatting>
  <conditionalFormatting sqref="AK112">
    <cfRule type="cellIs" dxfId="16926" priority="369" operator="equal">
      <formula>0</formula>
    </cfRule>
  </conditionalFormatting>
  <conditionalFormatting sqref="AK112">
    <cfRule type="expression" dxfId="16925" priority="370">
      <formula>LEN(TRIM(AK112))=0</formula>
    </cfRule>
  </conditionalFormatting>
  <conditionalFormatting sqref="AB106:AG106">
    <cfRule type="cellIs" dxfId="16924" priority="367" operator="equal">
      <formula>0</formula>
    </cfRule>
  </conditionalFormatting>
  <conditionalFormatting sqref="AB106:AG106">
    <cfRule type="expression" dxfId="16923" priority="368">
      <formula>LEN(TRIM(AB106))=0</formula>
    </cfRule>
  </conditionalFormatting>
  <conditionalFormatting sqref="AH123:AK125 W123:AA125 AB123:AG124 AI120:AK122 Y120:Y122 V120:V125 V126:AK126">
    <cfRule type="cellIs" dxfId="16922" priority="346" operator="equal">
      <formula>0</formula>
    </cfRule>
  </conditionalFormatting>
  <conditionalFormatting sqref="AH120:AH125">
    <cfRule type="cellIs" dxfId="16921" priority="347" operator="equal">
      <formula>0</formula>
    </cfRule>
  </conditionalFormatting>
  <conditionalFormatting sqref="V120:W125 Z120:AA125">
    <cfRule type="cellIs" dxfId="16920" priority="348" operator="equal">
      <formula>0</formula>
    </cfRule>
  </conditionalFormatting>
  <conditionalFormatting sqref="X120:X125">
    <cfRule type="cellIs" dxfId="16919" priority="349" operator="equal">
      <formula>0</formula>
    </cfRule>
  </conditionalFormatting>
  <conditionalFormatting sqref="AB123:AB125">
    <cfRule type="cellIs" dxfId="16918" priority="350" operator="equal">
      <formula>0</formula>
    </cfRule>
  </conditionalFormatting>
  <conditionalFormatting sqref="AB120:AB125 AC120:AG120">
    <cfRule type="cellIs" dxfId="16917" priority="351" operator="equal">
      <formula>0</formula>
    </cfRule>
  </conditionalFormatting>
  <conditionalFormatting sqref="AC123:AC125">
    <cfRule type="cellIs" dxfId="16916" priority="352" operator="equal">
      <formula>0</formula>
    </cfRule>
  </conditionalFormatting>
  <conditionalFormatting sqref="AC120:AC125">
    <cfRule type="cellIs" dxfId="16915" priority="353" operator="equal">
      <formula>0</formula>
    </cfRule>
  </conditionalFormatting>
  <conditionalFormatting sqref="AD123:AD125">
    <cfRule type="cellIs" dxfId="16914" priority="354" operator="equal">
      <formula>0</formula>
    </cfRule>
  </conditionalFormatting>
  <conditionalFormatting sqref="AD120:AD125">
    <cfRule type="cellIs" dxfId="16913" priority="355" operator="equal">
      <formula>0</formula>
    </cfRule>
  </conditionalFormatting>
  <conditionalFormatting sqref="AE123:AE125">
    <cfRule type="cellIs" dxfId="16912" priority="356" operator="equal">
      <formula>0</formula>
    </cfRule>
  </conditionalFormatting>
  <conditionalFormatting sqref="AE120:AE125">
    <cfRule type="cellIs" dxfId="16911" priority="357" operator="equal">
      <formula>0</formula>
    </cfRule>
  </conditionalFormatting>
  <conditionalFormatting sqref="AF123:AF125">
    <cfRule type="cellIs" dxfId="16910" priority="358" operator="equal">
      <formula>0</formula>
    </cfRule>
  </conditionalFormatting>
  <conditionalFormatting sqref="AF120:AF125">
    <cfRule type="cellIs" dxfId="16909" priority="359" operator="equal">
      <formula>0</formula>
    </cfRule>
  </conditionalFormatting>
  <conditionalFormatting sqref="AG123:AG125">
    <cfRule type="cellIs" dxfId="16908" priority="360" operator="equal">
      <formula>0</formula>
    </cfRule>
  </conditionalFormatting>
  <conditionalFormatting sqref="AG120:AG125">
    <cfRule type="cellIs" dxfId="16907" priority="361" operator="equal">
      <formula>0</formula>
    </cfRule>
  </conditionalFormatting>
  <conditionalFormatting sqref="V120:AK126">
    <cfRule type="expression" dxfId="16906" priority="362">
      <formula>LEN(TRIM(V120))=0</formula>
    </cfRule>
  </conditionalFormatting>
  <conditionalFormatting sqref="AD123:AD124">
    <cfRule type="cellIs" dxfId="16905" priority="363" operator="equal">
      <formula>0</formula>
    </cfRule>
  </conditionalFormatting>
  <conditionalFormatting sqref="AE123:AE124">
    <cfRule type="cellIs" dxfId="16904" priority="364" operator="equal">
      <formula>0</formula>
    </cfRule>
  </conditionalFormatting>
  <conditionalFormatting sqref="AF123:AG123">
    <cfRule type="cellIs" dxfId="16903" priority="365" operator="equal">
      <formula>0</formula>
    </cfRule>
  </conditionalFormatting>
  <conditionalFormatting sqref="AF124:AG124">
    <cfRule type="cellIs" dxfId="16902" priority="366" operator="equal">
      <formula>0</formula>
    </cfRule>
  </conditionalFormatting>
  <conditionalFormatting sqref="W137:Y137 V138:Y139 Z137:AA139 V133:AA136 AB133:AJ139 V128:AK128 V140:AJ140 V129:AA130 AK129:AK140 AH129:AJ130">
    <cfRule type="cellIs" dxfId="16901" priority="340" operator="equal">
      <formula>0</formula>
    </cfRule>
  </conditionalFormatting>
  <conditionalFormatting sqref="V137">
    <cfRule type="cellIs" dxfId="16900" priority="341" operator="equal">
      <formula>0</formula>
    </cfRule>
  </conditionalFormatting>
  <conditionalFormatting sqref="V128:AK128 V133:AJ140 V129:AA130 AK129:AK140 AH129:AJ130">
    <cfRule type="expression" dxfId="16899" priority="342">
      <formula>LEN(TRIM(V128))=0</formula>
    </cfRule>
  </conditionalFormatting>
  <conditionalFormatting sqref="V131:AJ132">
    <cfRule type="cellIs" dxfId="16898" priority="343" operator="equal">
      <formula>0</formula>
    </cfRule>
  </conditionalFormatting>
  <conditionalFormatting sqref="AH131:AH132">
    <cfRule type="cellIs" dxfId="16897" priority="344" operator="equal">
      <formula>0</formula>
    </cfRule>
  </conditionalFormatting>
  <conditionalFormatting sqref="V131:AJ132">
    <cfRule type="expression" dxfId="16896" priority="345">
      <formula>LEN(TRIM(V131))=0</formula>
    </cfRule>
  </conditionalFormatting>
  <conditionalFormatting sqref="AB129:AG130">
    <cfRule type="cellIs" dxfId="16895" priority="338" operator="equal">
      <formula>0</formula>
    </cfRule>
  </conditionalFormatting>
  <conditionalFormatting sqref="AB129:AG130">
    <cfRule type="expression" dxfId="16894" priority="339">
      <formula>LEN(TRIM(AB129))=0</formula>
    </cfRule>
  </conditionalFormatting>
  <conditionalFormatting sqref="V143:AJ148 AK142:AK147 AK149 V142:AA142 AH142:AJ142">
    <cfRule type="cellIs" dxfId="16893" priority="332" operator="equal">
      <formula>0</formula>
    </cfRule>
  </conditionalFormatting>
  <conditionalFormatting sqref="V149:AJ149">
    <cfRule type="cellIs" dxfId="16892" priority="333" operator="equal">
      <formula>0</formula>
    </cfRule>
  </conditionalFormatting>
  <conditionalFormatting sqref="V143:AK147 V149:AK149 V148:AJ148 V142:AA142 AH142:AK142">
    <cfRule type="expression" dxfId="16891" priority="334">
      <formula>LEN(TRIM(V142))=0</formula>
    </cfRule>
  </conditionalFormatting>
  <conditionalFormatting sqref="V149:AJ149">
    <cfRule type="cellIs" dxfId="16890" priority="335" operator="equal">
      <formula>0</formula>
    </cfRule>
  </conditionalFormatting>
  <conditionalFormatting sqref="V150:AJ150">
    <cfRule type="cellIs" dxfId="16889" priority="336" operator="equal">
      <formula>0</formula>
    </cfRule>
  </conditionalFormatting>
  <conditionalFormatting sqref="V150:AJ150">
    <cfRule type="expression" dxfId="16888" priority="337">
      <formula>LEN(TRIM(V150))=0</formula>
    </cfRule>
  </conditionalFormatting>
  <conditionalFormatting sqref="AK150">
    <cfRule type="cellIs" dxfId="16887" priority="330" operator="equal">
      <formula>0</formula>
    </cfRule>
  </conditionalFormatting>
  <conditionalFormatting sqref="AK150">
    <cfRule type="expression" dxfId="16886" priority="331">
      <formula>LEN(TRIM(AK150))=0</formula>
    </cfRule>
  </conditionalFormatting>
  <conditionalFormatting sqref="AK148">
    <cfRule type="cellIs" dxfId="16885" priority="328" operator="equal">
      <formula>0</formula>
    </cfRule>
  </conditionalFormatting>
  <conditionalFormatting sqref="AK148">
    <cfRule type="expression" dxfId="16884" priority="329">
      <formula>LEN(TRIM(AK148))=0</formula>
    </cfRule>
  </conditionalFormatting>
  <conditionalFormatting sqref="AB142:AG142">
    <cfRule type="cellIs" dxfId="16883" priority="326" operator="equal">
      <formula>0</formula>
    </cfRule>
  </conditionalFormatting>
  <conditionalFormatting sqref="AB142:AG142">
    <cfRule type="expression" dxfId="16882" priority="327">
      <formula>LEN(TRIM(AB142))=0</formula>
    </cfRule>
  </conditionalFormatting>
  <conditionalFormatting sqref="AH159:AK161 W159:AA161 AB159:AG160 AI156:AK158 Y156:Y158 V156:V161 V162:AK162">
    <cfRule type="cellIs" dxfId="16881" priority="305" operator="equal">
      <formula>0</formula>
    </cfRule>
  </conditionalFormatting>
  <conditionalFormatting sqref="AH156:AH161">
    <cfRule type="cellIs" dxfId="16880" priority="306" operator="equal">
      <formula>0</formula>
    </cfRule>
  </conditionalFormatting>
  <conditionalFormatting sqref="V156:W161 Z156:AA161">
    <cfRule type="cellIs" dxfId="16879" priority="307" operator="equal">
      <formula>0</formula>
    </cfRule>
  </conditionalFormatting>
  <conditionalFormatting sqref="X156:X161">
    <cfRule type="cellIs" dxfId="16878" priority="308" operator="equal">
      <formula>0</formula>
    </cfRule>
  </conditionalFormatting>
  <conditionalFormatting sqref="AB159:AB161">
    <cfRule type="cellIs" dxfId="16877" priority="309" operator="equal">
      <formula>0</formula>
    </cfRule>
  </conditionalFormatting>
  <conditionalFormatting sqref="AB156:AB161 AC156:AG156">
    <cfRule type="cellIs" dxfId="16876" priority="310" operator="equal">
      <formula>0</formula>
    </cfRule>
  </conditionalFormatting>
  <conditionalFormatting sqref="AC159:AC161">
    <cfRule type="cellIs" dxfId="16875" priority="311" operator="equal">
      <formula>0</formula>
    </cfRule>
  </conditionalFormatting>
  <conditionalFormatting sqref="AC156:AC161">
    <cfRule type="cellIs" dxfId="16874" priority="312" operator="equal">
      <formula>0</formula>
    </cfRule>
  </conditionalFormatting>
  <conditionalFormatting sqref="AD159:AD161">
    <cfRule type="cellIs" dxfId="16873" priority="313" operator="equal">
      <formula>0</formula>
    </cfRule>
  </conditionalFormatting>
  <conditionalFormatting sqref="AD156:AD161">
    <cfRule type="cellIs" dxfId="16872" priority="314" operator="equal">
      <formula>0</formula>
    </cfRule>
  </conditionalFormatting>
  <conditionalFormatting sqref="AE159:AE161">
    <cfRule type="cellIs" dxfId="16871" priority="315" operator="equal">
      <formula>0</formula>
    </cfRule>
  </conditionalFormatting>
  <conditionalFormatting sqref="AE156:AE161">
    <cfRule type="cellIs" dxfId="16870" priority="316" operator="equal">
      <formula>0</formula>
    </cfRule>
  </conditionalFormatting>
  <conditionalFormatting sqref="AF159:AF161">
    <cfRule type="cellIs" dxfId="16869" priority="317" operator="equal">
      <formula>0</formula>
    </cfRule>
  </conditionalFormatting>
  <conditionalFormatting sqref="AF156:AF161">
    <cfRule type="cellIs" dxfId="16868" priority="318" operator="equal">
      <formula>0</formula>
    </cfRule>
  </conditionalFormatting>
  <conditionalFormatting sqref="AG159:AG161">
    <cfRule type="cellIs" dxfId="16867" priority="319" operator="equal">
      <formula>0</formula>
    </cfRule>
  </conditionalFormatting>
  <conditionalFormatting sqref="AG156:AG161">
    <cfRule type="cellIs" dxfId="16866" priority="320" operator="equal">
      <formula>0</formula>
    </cfRule>
  </conditionalFormatting>
  <conditionalFormatting sqref="V156:AK162">
    <cfRule type="expression" dxfId="16865" priority="321">
      <formula>LEN(TRIM(V156))=0</formula>
    </cfRule>
  </conditionalFormatting>
  <conditionalFormatting sqref="AD159:AD160">
    <cfRule type="cellIs" dxfId="16864" priority="322" operator="equal">
      <formula>0</formula>
    </cfRule>
  </conditionalFormatting>
  <conditionalFormatting sqref="AE159:AE160">
    <cfRule type="cellIs" dxfId="16863" priority="323" operator="equal">
      <formula>0</formula>
    </cfRule>
  </conditionalFormatting>
  <conditionalFormatting sqref="AF159:AG159">
    <cfRule type="cellIs" dxfId="16862" priority="324" operator="equal">
      <formula>0</formula>
    </cfRule>
  </conditionalFormatting>
  <conditionalFormatting sqref="AF160:AG160">
    <cfRule type="cellIs" dxfId="16861" priority="325" operator="equal">
      <formula>0</formula>
    </cfRule>
  </conditionalFormatting>
  <conditionalFormatting sqref="W173:Y173 V174:Y175 Z173:AA175 V169:AA172 AB169:AJ175 V164:AK164 V176:AJ176 V165:AA166 AK165:AK176 AH165:AJ166">
    <cfRule type="cellIs" dxfId="16860" priority="299" operator="equal">
      <formula>0</formula>
    </cfRule>
  </conditionalFormatting>
  <conditionalFormatting sqref="V173">
    <cfRule type="cellIs" dxfId="16859" priority="300" operator="equal">
      <formula>0</formula>
    </cfRule>
  </conditionalFormatting>
  <conditionalFormatting sqref="V164:AK164 V169:AJ176 V165:AA166 AK165:AK176 AH165:AJ166">
    <cfRule type="expression" dxfId="16858" priority="301">
      <formula>LEN(TRIM(V164))=0</formula>
    </cfRule>
  </conditionalFormatting>
  <conditionalFormatting sqref="V167:AJ168">
    <cfRule type="cellIs" dxfId="16857" priority="302" operator="equal">
      <formula>0</formula>
    </cfRule>
  </conditionalFormatting>
  <conditionalFormatting sqref="AH167:AH168">
    <cfRule type="cellIs" dxfId="16856" priority="303" operator="equal">
      <formula>0</formula>
    </cfRule>
  </conditionalFormatting>
  <conditionalFormatting sqref="V167:AJ168">
    <cfRule type="expression" dxfId="16855" priority="304">
      <formula>LEN(TRIM(V167))=0</formula>
    </cfRule>
  </conditionalFormatting>
  <conditionalFormatting sqref="AB165:AG166">
    <cfRule type="cellIs" dxfId="16854" priority="297" operator="equal">
      <formula>0</formula>
    </cfRule>
  </conditionalFormatting>
  <conditionalFormatting sqref="AB165:AG166">
    <cfRule type="expression" dxfId="16853" priority="298">
      <formula>LEN(TRIM(AB165))=0</formula>
    </cfRule>
  </conditionalFormatting>
  <conditionalFormatting sqref="V179:AJ184 AK178:AK183 AK185 V178:AA178 AH178:AJ178">
    <cfRule type="cellIs" dxfId="16852" priority="291" operator="equal">
      <formula>0</formula>
    </cfRule>
  </conditionalFormatting>
  <conditionalFormatting sqref="V185:AJ185">
    <cfRule type="cellIs" dxfId="16851" priority="292" operator="equal">
      <formula>0</formula>
    </cfRule>
  </conditionalFormatting>
  <conditionalFormatting sqref="V179:AK183 V185:AK185 V184:AJ184 V178:AA178 AH178:AK178">
    <cfRule type="expression" dxfId="16850" priority="293">
      <formula>LEN(TRIM(V178))=0</formula>
    </cfRule>
  </conditionalFormatting>
  <conditionalFormatting sqref="V185:AJ185">
    <cfRule type="cellIs" dxfId="16849" priority="294" operator="equal">
      <formula>0</formula>
    </cfRule>
  </conditionalFormatting>
  <conditionalFormatting sqref="V186:AJ186">
    <cfRule type="cellIs" dxfId="16848" priority="295" operator="equal">
      <formula>0</formula>
    </cfRule>
  </conditionalFormatting>
  <conditionalFormatting sqref="V186:AJ186">
    <cfRule type="expression" dxfId="16847" priority="296">
      <formula>LEN(TRIM(V186))=0</formula>
    </cfRule>
  </conditionalFormatting>
  <conditionalFormatting sqref="AK186">
    <cfRule type="cellIs" dxfId="16846" priority="289" operator="equal">
      <formula>0</formula>
    </cfRule>
  </conditionalFormatting>
  <conditionalFormatting sqref="AK186">
    <cfRule type="expression" dxfId="16845" priority="290">
      <formula>LEN(TRIM(AK186))=0</formula>
    </cfRule>
  </conditionalFormatting>
  <conditionalFormatting sqref="AK184">
    <cfRule type="cellIs" dxfId="16844" priority="287" operator="equal">
      <formula>0</formula>
    </cfRule>
  </conditionalFormatting>
  <conditionalFormatting sqref="AK184">
    <cfRule type="expression" dxfId="16843" priority="288">
      <formula>LEN(TRIM(AK184))=0</formula>
    </cfRule>
  </conditionalFormatting>
  <conditionalFormatting sqref="AB178:AG178">
    <cfRule type="cellIs" dxfId="16842" priority="285" operator="equal">
      <formula>0</formula>
    </cfRule>
  </conditionalFormatting>
  <conditionalFormatting sqref="AB178:AG178">
    <cfRule type="expression" dxfId="16841" priority="286">
      <formula>LEN(TRIM(AB178))=0</formula>
    </cfRule>
  </conditionalFormatting>
  <conditionalFormatting sqref="AH195:AK197 W195:AA197 AB195:AG196 AI192:AK194 Y192:Y194 V192:V197 V198:AK198">
    <cfRule type="cellIs" dxfId="16840" priority="264" operator="equal">
      <formula>0</formula>
    </cfRule>
  </conditionalFormatting>
  <conditionalFormatting sqref="AH192:AH197">
    <cfRule type="cellIs" dxfId="16839" priority="265" operator="equal">
      <formula>0</formula>
    </cfRule>
  </conditionalFormatting>
  <conditionalFormatting sqref="V192:W197 Z192:AA197">
    <cfRule type="cellIs" dxfId="16838" priority="266" operator="equal">
      <formula>0</formula>
    </cfRule>
  </conditionalFormatting>
  <conditionalFormatting sqref="X192:X197">
    <cfRule type="cellIs" dxfId="16837" priority="267" operator="equal">
      <formula>0</formula>
    </cfRule>
  </conditionalFormatting>
  <conditionalFormatting sqref="AB195:AB197">
    <cfRule type="cellIs" dxfId="16836" priority="268" operator="equal">
      <formula>0</formula>
    </cfRule>
  </conditionalFormatting>
  <conditionalFormatting sqref="AB192:AB197 AC192:AG192">
    <cfRule type="cellIs" dxfId="16835" priority="269" operator="equal">
      <formula>0</formula>
    </cfRule>
  </conditionalFormatting>
  <conditionalFormatting sqref="AC195:AC197">
    <cfRule type="cellIs" dxfId="16834" priority="270" operator="equal">
      <formula>0</formula>
    </cfRule>
  </conditionalFormatting>
  <conditionalFormatting sqref="AC192:AC197">
    <cfRule type="cellIs" dxfId="16833" priority="271" operator="equal">
      <formula>0</formula>
    </cfRule>
  </conditionalFormatting>
  <conditionalFormatting sqref="AD195:AD197">
    <cfRule type="cellIs" dxfId="16832" priority="272" operator="equal">
      <formula>0</formula>
    </cfRule>
  </conditionalFormatting>
  <conditionalFormatting sqref="AD192:AD197">
    <cfRule type="cellIs" dxfId="16831" priority="273" operator="equal">
      <formula>0</formula>
    </cfRule>
  </conditionalFormatting>
  <conditionalFormatting sqref="AE195:AE197">
    <cfRule type="cellIs" dxfId="16830" priority="274" operator="equal">
      <formula>0</formula>
    </cfRule>
  </conditionalFormatting>
  <conditionalFormatting sqref="AE192:AE197">
    <cfRule type="cellIs" dxfId="16829" priority="275" operator="equal">
      <formula>0</formula>
    </cfRule>
  </conditionalFormatting>
  <conditionalFormatting sqref="AF195:AF197">
    <cfRule type="cellIs" dxfId="16828" priority="276" operator="equal">
      <formula>0</formula>
    </cfRule>
  </conditionalFormatting>
  <conditionalFormatting sqref="AF192:AF197">
    <cfRule type="cellIs" dxfId="16827" priority="277" operator="equal">
      <formula>0</formula>
    </cfRule>
  </conditionalFormatting>
  <conditionalFormatting sqref="AG195:AG197">
    <cfRule type="cellIs" dxfId="16826" priority="278" operator="equal">
      <formula>0</formula>
    </cfRule>
  </conditionalFormatting>
  <conditionalFormatting sqref="AG192:AG197">
    <cfRule type="cellIs" dxfId="16825" priority="279" operator="equal">
      <formula>0</formula>
    </cfRule>
  </conditionalFormatting>
  <conditionalFormatting sqref="V192:AK198">
    <cfRule type="expression" dxfId="16824" priority="280">
      <formula>LEN(TRIM(V192))=0</formula>
    </cfRule>
  </conditionalFormatting>
  <conditionalFormatting sqref="AD195:AD196">
    <cfRule type="cellIs" dxfId="16823" priority="281" operator="equal">
      <formula>0</formula>
    </cfRule>
  </conditionalFormatting>
  <conditionalFormatting sqref="AE195:AE196">
    <cfRule type="cellIs" dxfId="16822" priority="282" operator="equal">
      <formula>0</formula>
    </cfRule>
  </conditionalFormatting>
  <conditionalFormatting sqref="AF195:AG195">
    <cfRule type="cellIs" dxfId="16821" priority="283" operator="equal">
      <formula>0</formula>
    </cfRule>
  </conditionalFormatting>
  <conditionalFormatting sqref="AF196:AG196">
    <cfRule type="cellIs" dxfId="16820" priority="284" operator="equal">
      <formula>0</formula>
    </cfRule>
  </conditionalFormatting>
  <conditionalFormatting sqref="W209:Y209 V210:Y211 Z209:AA211 V205:AA208 AB205:AJ211 V200:AK200 V212:AJ212 V201:AA202 AK201:AK212 AH201:AJ202">
    <cfRule type="cellIs" dxfId="16819" priority="258" operator="equal">
      <formula>0</formula>
    </cfRule>
  </conditionalFormatting>
  <conditionalFormatting sqref="V209">
    <cfRule type="cellIs" dxfId="16818" priority="259" operator="equal">
      <formula>0</formula>
    </cfRule>
  </conditionalFormatting>
  <conditionalFormatting sqref="V200:AK200 V205:AJ212 V201:AA202 AK201:AK212 AH201:AJ202">
    <cfRule type="expression" dxfId="16817" priority="260">
      <formula>LEN(TRIM(V200))=0</formula>
    </cfRule>
  </conditionalFormatting>
  <conditionalFormatting sqref="V203:AJ204">
    <cfRule type="cellIs" dxfId="16816" priority="261" operator="equal">
      <formula>0</formula>
    </cfRule>
  </conditionalFormatting>
  <conditionalFormatting sqref="AH203:AH204">
    <cfRule type="cellIs" dxfId="16815" priority="262" operator="equal">
      <formula>0</formula>
    </cfRule>
  </conditionalFormatting>
  <conditionalFormatting sqref="V203:AJ204">
    <cfRule type="expression" dxfId="16814" priority="263">
      <formula>LEN(TRIM(V203))=0</formula>
    </cfRule>
  </conditionalFormatting>
  <conditionalFormatting sqref="AB201:AG202">
    <cfRule type="cellIs" dxfId="16813" priority="256" operator="equal">
      <formula>0</formula>
    </cfRule>
  </conditionalFormatting>
  <conditionalFormatting sqref="AB201:AG202">
    <cfRule type="expression" dxfId="16812" priority="257">
      <formula>LEN(TRIM(AB201))=0</formula>
    </cfRule>
  </conditionalFormatting>
  <conditionalFormatting sqref="V215:AJ220 AK214:AK219 AK221 V214:AA214 AH214:AJ214">
    <cfRule type="cellIs" dxfId="16811" priority="250" operator="equal">
      <formula>0</formula>
    </cfRule>
  </conditionalFormatting>
  <conditionalFormatting sqref="V221:AJ221">
    <cfRule type="cellIs" dxfId="16810" priority="251" operator="equal">
      <formula>0</formula>
    </cfRule>
  </conditionalFormatting>
  <conditionalFormatting sqref="V215:AK219 V221:AK221 V220:AJ220 V214:AA214 AH214:AK214">
    <cfRule type="expression" dxfId="16809" priority="252">
      <formula>LEN(TRIM(V214))=0</formula>
    </cfRule>
  </conditionalFormatting>
  <conditionalFormatting sqref="V221:AJ221">
    <cfRule type="cellIs" dxfId="16808" priority="253" operator="equal">
      <formula>0</formula>
    </cfRule>
  </conditionalFormatting>
  <conditionalFormatting sqref="V222:AJ222">
    <cfRule type="cellIs" dxfId="16807" priority="254" operator="equal">
      <formula>0</formula>
    </cfRule>
  </conditionalFormatting>
  <conditionalFormatting sqref="V222:AJ222">
    <cfRule type="expression" dxfId="16806" priority="255">
      <formula>LEN(TRIM(V222))=0</formula>
    </cfRule>
  </conditionalFormatting>
  <conditionalFormatting sqref="AK222">
    <cfRule type="cellIs" dxfId="16805" priority="248" operator="equal">
      <formula>0</formula>
    </cfRule>
  </conditionalFormatting>
  <conditionalFormatting sqref="AK222">
    <cfRule type="expression" dxfId="16804" priority="249">
      <formula>LEN(TRIM(AK222))=0</formula>
    </cfRule>
  </conditionalFormatting>
  <conditionalFormatting sqref="AK220">
    <cfRule type="cellIs" dxfId="16803" priority="246" operator="equal">
      <formula>0</formula>
    </cfRule>
  </conditionalFormatting>
  <conditionalFormatting sqref="AK220">
    <cfRule type="expression" dxfId="16802" priority="247">
      <formula>LEN(TRIM(AK220))=0</formula>
    </cfRule>
  </conditionalFormatting>
  <conditionalFormatting sqref="AB214:AG214">
    <cfRule type="cellIs" dxfId="16801" priority="244" operator="equal">
      <formula>0</formula>
    </cfRule>
  </conditionalFormatting>
  <conditionalFormatting sqref="AB214:AG214">
    <cfRule type="expression" dxfId="16800" priority="245">
      <formula>LEN(TRIM(AB214))=0</formula>
    </cfRule>
  </conditionalFormatting>
  <conditionalFormatting sqref="AH231:AK233 W231:AA233 AB231:AG232 AI228:AK230 Y228:Y230 V228:V233 V234:AK234">
    <cfRule type="cellIs" dxfId="16799" priority="223" operator="equal">
      <formula>0</formula>
    </cfRule>
  </conditionalFormatting>
  <conditionalFormatting sqref="AH228:AH233">
    <cfRule type="cellIs" dxfId="16798" priority="224" operator="equal">
      <formula>0</formula>
    </cfRule>
  </conditionalFormatting>
  <conditionalFormatting sqref="V228:W233 Z228:AA233">
    <cfRule type="cellIs" dxfId="16797" priority="225" operator="equal">
      <formula>0</formula>
    </cfRule>
  </conditionalFormatting>
  <conditionalFormatting sqref="X228:X233">
    <cfRule type="cellIs" dxfId="16796" priority="226" operator="equal">
      <formula>0</formula>
    </cfRule>
  </conditionalFormatting>
  <conditionalFormatting sqref="AB231:AB233">
    <cfRule type="cellIs" dxfId="16795" priority="227" operator="equal">
      <formula>0</formula>
    </cfRule>
  </conditionalFormatting>
  <conditionalFormatting sqref="AB228:AB233 AC228:AG228">
    <cfRule type="cellIs" dxfId="16794" priority="228" operator="equal">
      <formula>0</formula>
    </cfRule>
  </conditionalFormatting>
  <conditionalFormatting sqref="AC231:AC233">
    <cfRule type="cellIs" dxfId="16793" priority="229" operator="equal">
      <formula>0</formula>
    </cfRule>
  </conditionalFormatting>
  <conditionalFormatting sqref="AC228:AC233">
    <cfRule type="cellIs" dxfId="16792" priority="230" operator="equal">
      <formula>0</formula>
    </cfRule>
  </conditionalFormatting>
  <conditionalFormatting sqref="AD231:AD233">
    <cfRule type="cellIs" dxfId="16791" priority="231" operator="equal">
      <formula>0</formula>
    </cfRule>
  </conditionalFormatting>
  <conditionalFormatting sqref="AD228:AD233">
    <cfRule type="cellIs" dxfId="16790" priority="232" operator="equal">
      <formula>0</formula>
    </cfRule>
  </conditionalFormatting>
  <conditionalFormatting sqref="AE231:AE233">
    <cfRule type="cellIs" dxfId="16789" priority="233" operator="equal">
      <formula>0</formula>
    </cfRule>
  </conditionalFormatting>
  <conditionalFormatting sqref="AE228:AE233">
    <cfRule type="cellIs" dxfId="16788" priority="234" operator="equal">
      <formula>0</formula>
    </cfRule>
  </conditionalFormatting>
  <conditionalFormatting sqref="AF231:AF233">
    <cfRule type="cellIs" dxfId="16787" priority="235" operator="equal">
      <formula>0</formula>
    </cfRule>
  </conditionalFormatting>
  <conditionalFormatting sqref="AF228:AF233">
    <cfRule type="cellIs" dxfId="16786" priority="236" operator="equal">
      <formula>0</formula>
    </cfRule>
  </conditionalFormatting>
  <conditionalFormatting sqref="AG231:AG233">
    <cfRule type="cellIs" dxfId="16785" priority="237" operator="equal">
      <formula>0</formula>
    </cfRule>
  </conditionalFormatting>
  <conditionalFormatting sqref="AG228:AG233">
    <cfRule type="cellIs" dxfId="16784" priority="238" operator="equal">
      <formula>0</formula>
    </cfRule>
  </conditionalFormatting>
  <conditionalFormatting sqref="V228:AK234">
    <cfRule type="expression" dxfId="16783" priority="239">
      <formula>LEN(TRIM(V228))=0</formula>
    </cfRule>
  </conditionalFormatting>
  <conditionalFormatting sqref="AD231:AD232">
    <cfRule type="cellIs" dxfId="16782" priority="240" operator="equal">
      <formula>0</formula>
    </cfRule>
  </conditionalFormatting>
  <conditionalFormatting sqref="AE231:AE232">
    <cfRule type="cellIs" dxfId="16781" priority="241" operator="equal">
      <formula>0</formula>
    </cfRule>
  </conditionalFormatting>
  <conditionalFormatting sqref="AF231:AG231">
    <cfRule type="cellIs" dxfId="16780" priority="242" operator="equal">
      <formula>0</formula>
    </cfRule>
  </conditionalFormatting>
  <conditionalFormatting sqref="AF232:AG232">
    <cfRule type="cellIs" dxfId="16779" priority="243" operator="equal">
      <formula>0</formula>
    </cfRule>
  </conditionalFormatting>
  <conditionalFormatting sqref="W245:Y245 V246:Y247 Z245:AA247 V241:AA244 AB241:AJ247 V236:AK236 V248:AJ248 V237:AA238 AK237:AK248 AH237:AJ238">
    <cfRule type="cellIs" dxfId="16778" priority="217" operator="equal">
      <formula>0</formula>
    </cfRule>
  </conditionalFormatting>
  <conditionalFormatting sqref="V245">
    <cfRule type="cellIs" dxfId="16777" priority="218" operator="equal">
      <formula>0</formula>
    </cfRule>
  </conditionalFormatting>
  <conditionalFormatting sqref="V236:AK236 V241:AJ248 V237:AA238 AK237:AK248 AH237:AJ238">
    <cfRule type="expression" dxfId="16776" priority="219">
      <formula>LEN(TRIM(V236))=0</formula>
    </cfRule>
  </conditionalFormatting>
  <conditionalFormatting sqref="V239:AJ240">
    <cfRule type="cellIs" dxfId="16775" priority="220" operator="equal">
      <formula>0</formula>
    </cfRule>
  </conditionalFormatting>
  <conditionalFormatting sqref="AH239:AH240">
    <cfRule type="cellIs" dxfId="16774" priority="221" operator="equal">
      <formula>0</formula>
    </cfRule>
  </conditionalFormatting>
  <conditionalFormatting sqref="V239:AJ240">
    <cfRule type="expression" dxfId="16773" priority="222">
      <formula>LEN(TRIM(V239))=0</formula>
    </cfRule>
  </conditionalFormatting>
  <conditionalFormatting sqref="AB237:AG238">
    <cfRule type="cellIs" dxfId="16772" priority="215" operator="equal">
      <formula>0</formula>
    </cfRule>
  </conditionalFormatting>
  <conditionalFormatting sqref="AB237:AG238">
    <cfRule type="expression" dxfId="16771" priority="216">
      <formula>LEN(TRIM(AB237))=0</formula>
    </cfRule>
  </conditionalFormatting>
  <conditionalFormatting sqref="V251:AJ256 AK250:AK255 AK257 V250:AA250 AH250:AJ250">
    <cfRule type="cellIs" dxfId="16770" priority="209" operator="equal">
      <formula>0</formula>
    </cfRule>
  </conditionalFormatting>
  <conditionalFormatting sqref="V257:AJ257">
    <cfRule type="cellIs" dxfId="16769" priority="210" operator="equal">
      <formula>0</formula>
    </cfRule>
  </conditionalFormatting>
  <conditionalFormatting sqref="V251:AK255 V257:AK257 V256:AJ256 V250:AA250 AH250:AK250">
    <cfRule type="expression" dxfId="16768" priority="211">
      <formula>LEN(TRIM(V250))=0</formula>
    </cfRule>
  </conditionalFormatting>
  <conditionalFormatting sqref="V257:AJ257">
    <cfRule type="cellIs" dxfId="16767" priority="212" operator="equal">
      <formula>0</formula>
    </cfRule>
  </conditionalFormatting>
  <conditionalFormatting sqref="V258:AJ258">
    <cfRule type="cellIs" dxfId="16766" priority="213" operator="equal">
      <formula>0</formula>
    </cfRule>
  </conditionalFormatting>
  <conditionalFormatting sqref="V258:AJ258">
    <cfRule type="expression" dxfId="16765" priority="214">
      <formula>LEN(TRIM(V258))=0</formula>
    </cfRule>
  </conditionalFormatting>
  <conditionalFormatting sqref="AK258">
    <cfRule type="cellIs" dxfId="16764" priority="207" operator="equal">
      <formula>0</formula>
    </cfRule>
  </conditionalFormatting>
  <conditionalFormatting sqref="AK258">
    <cfRule type="expression" dxfId="16763" priority="208">
      <formula>LEN(TRIM(AK258))=0</formula>
    </cfRule>
  </conditionalFormatting>
  <conditionalFormatting sqref="AK256">
    <cfRule type="cellIs" dxfId="16762" priority="205" operator="equal">
      <formula>0</formula>
    </cfRule>
  </conditionalFormatting>
  <conditionalFormatting sqref="AK256">
    <cfRule type="expression" dxfId="16761" priority="206">
      <formula>LEN(TRIM(AK256))=0</formula>
    </cfRule>
  </conditionalFormatting>
  <conditionalFormatting sqref="AB250:AG250">
    <cfRule type="cellIs" dxfId="16760" priority="203" operator="equal">
      <formula>0</formula>
    </cfRule>
  </conditionalFormatting>
  <conditionalFormatting sqref="AB250:AG250">
    <cfRule type="expression" dxfId="16759" priority="204">
      <formula>LEN(TRIM(AB250))=0</formula>
    </cfRule>
  </conditionalFormatting>
  <conditionalFormatting sqref="AH267:AK269 W267:AA269 AB267:AG268 AI264:AK266 Y264:Y266 V264:V269 V270:AK270">
    <cfRule type="cellIs" dxfId="16758" priority="182" operator="equal">
      <formula>0</formula>
    </cfRule>
  </conditionalFormatting>
  <conditionalFormatting sqref="AH264:AH269">
    <cfRule type="cellIs" dxfId="16757" priority="183" operator="equal">
      <formula>0</formula>
    </cfRule>
  </conditionalFormatting>
  <conditionalFormatting sqref="V264:W269 Z264:AA269">
    <cfRule type="cellIs" dxfId="16756" priority="184" operator="equal">
      <formula>0</formula>
    </cfRule>
  </conditionalFormatting>
  <conditionalFormatting sqref="X264:X269">
    <cfRule type="cellIs" dxfId="16755" priority="185" operator="equal">
      <formula>0</formula>
    </cfRule>
  </conditionalFormatting>
  <conditionalFormatting sqref="AB267:AB269">
    <cfRule type="cellIs" dxfId="16754" priority="186" operator="equal">
      <formula>0</formula>
    </cfRule>
  </conditionalFormatting>
  <conditionalFormatting sqref="AB264:AB269 AC264:AG264">
    <cfRule type="cellIs" dxfId="16753" priority="187" operator="equal">
      <formula>0</formula>
    </cfRule>
  </conditionalFormatting>
  <conditionalFormatting sqref="AC267:AC269">
    <cfRule type="cellIs" dxfId="16752" priority="188" operator="equal">
      <formula>0</formula>
    </cfRule>
  </conditionalFormatting>
  <conditionalFormatting sqref="AC264:AC269">
    <cfRule type="cellIs" dxfId="16751" priority="189" operator="equal">
      <formula>0</formula>
    </cfRule>
  </conditionalFormatting>
  <conditionalFormatting sqref="AD267:AD269">
    <cfRule type="cellIs" dxfId="16750" priority="190" operator="equal">
      <formula>0</formula>
    </cfRule>
  </conditionalFormatting>
  <conditionalFormatting sqref="AD264:AD269">
    <cfRule type="cellIs" dxfId="16749" priority="191" operator="equal">
      <formula>0</formula>
    </cfRule>
  </conditionalFormatting>
  <conditionalFormatting sqref="AE267:AE269">
    <cfRule type="cellIs" dxfId="16748" priority="192" operator="equal">
      <formula>0</formula>
    </cfRule>
  </conditionalFormatting>
  <conditionalFormatting sqref="AE264:AE269">
    <cfRule type="cellIs" dxfId="16747" priority="193" operator="equal">
      <formula>0</formula>
    </cfRule>
  </conditionalFormatting>
  <conditionalFormatting sqref="AF267:AF269">
    <cfRule type="cellIs" dxfId="16746" priority="194" operator="equal">
      <formula>0</formula>
    </cfRule>
  </conditionalFormatting>
  <conditionalFormatting sqref="AF264:AF269">
    <cfRule type="cellIs" dxfId="16745" priority="195" operator="equal">
      <formula>0</formula>
    </cfRule>
  </conditionalFormatting>
  <conditionalFormatting sqref="AG267:AG269">
    <cfRule type="cellIs" dxfId="16744" priority="196" operator="equal">
      <formula>0</formula>
    </cfRule>
  </conditionalFormatting>
  <conditionalFormatting sqref="AG264:AG269">
    <cfRule type="cellIs" dxfId="16743" priority="197" operator="equal">
      <formula>0</formula>
    </cfRule>
  </conditionalFormatting>
  <conditionalFormatting sqref="V264:AK270">
    <cfRule type="expression" dxfId="16742" priority="198">
      <formula>LEN(TRIM(V264))=0</formula>
    </cfRule>
  </conditionalFormatting>
  <conditionalFormatting sqref="AD267:AD268">
    <cfRule type="cellIs" dxfId="16741" priority="199" operator="equal">
      <formula>0</formula>
    </cfRule>
  </conditionalFormatting>
  <conditionalFormatting sqref="AE267:AE268">
    <cfRule type="cellIs" dxfId="16740" priority="200" operator="equal">
      <formula>0</formula>
    </cfRule>
  </conditionalFormatting>
  <conditionalFormatting sqref="AF267:AG267">
    <cfRule type="cellIs" dxfId="16739" priority="201" operator="equal">
      <formula>0</formula>
    </cfRule>
  </conditionalFormatting>
  <conditionalFormatting sqref="AF268:AG268">
    <cfRule type="cellIs" dxfId="16738" priority="202" operator="equal">
      <formula>0</formula>
    </cfRule>
  </conditionalFormatting>
  <conditionalFormatting sqref="W281:Y281 V282:Y283 Z281:AA283 V277:AA280 AB277:AJ283 V272:AK272 V284:AJ284 V273:AA274 AK273:AK284 AH273:AJ274">
    <cfRule type="cellIs" dxfId="16737" priority="176" operator="equal">
      <formula>0</formula>
    </cfRule>
  </conditionalFormatting>
  <conditionalFormatting sqref="V281">
    <cfRule type="cellIs" dxfId="16736" priority="177" operator="equal">
      <formula>0</formula>
    </cfRule>
  </conditionalFormatting>
  <conditionalFormatting sqref="V272:AK272 V277:AJ284 V273:AA274 AK273:AK284 AH273:AJ274">
    <cfRule type="expression" dxfId="16735" priority="178">
      <formula>LEN(TRIM(V272))=0</formula>
    </cfRule>
  </conditionalFormatting>
  <conditionalFormatting sqref="V275:AJ276">
    <cfRule type="cellIs" dxfId="16734" priority="179" operator="equal">
      <formula>0</formula>
    </cfRule>
  </conditionalFormatting>
  <conditionalFormatting sqref="AH275:AH276">
    <cfRule type="cellIs" dxfId="16733" priority="180" operator="equal">
      <formula>0</formula>
    </cfRule>
  </conditionalFormatting>
  <conditionalFormatting sqref="V275:AJ276">
    <cfRule type="expression" dxfId="16732" priority="181">
      <formula>LEN(TRIM(V275))=0</formula>
    </cfRule>
  </conditionalFormatting>
  <conditionalFormatting sqref="AB273:AG274">
    <cfRule type="cellIs" dxfId="16731" priority="174" operator="equal">
      <formula>0</formula>
    </cfRule>
  </conditionalFormatting>
  <conditionalFormatting sqref="AB273:AG274">
    <cfRule type="expression" dxfId="16730" priority="175">
      <formula>LEN(TRIM(AB273))=0</formula>
    </cfRule>
  </conditionalFormatting>
  <conditionalFormatting sqref="V287:AJ292 AK286:AK291 AK293 V286:AA286 AH286:AJ286">
    <cfRule type="cellIs" dxfId="16729" priority="168" operator="equal">
      <formula>0</formula>
    </cfRule>
  </conditionalFormatting>
  <conditionalFormatting sqref="V293:AJ293">
    <cfRule type="cellIs" dxfId="16728" priority="169" operator="equal">
      <formula>0</formula>
    </cfRule>
  </conditionalFormatting>
  <conditionalFormatting sqref="V287:AK291 V293:AK293 V292:AJ292 V286:AA286 AH286:AK286">
    <cfRule type="expression" dxfId="16727" priority="170">
      <formula>LEN(TRIM(V286))=0</formula>
    </cfRule>
  </conditionalFormatting>
  <conditionalFormatting sqref="V293:AJ293">
    <cfRule type="cellIs" dxfId="16726" priority="171" operator="equal">
      <formula>0</formula>
    </cfRule>
  </conditionalFormatting>
  <conditionalFormatting sqref="V294:AJ294">
    <cfRule type="cellIs" dxfId="16725" priority="172" operator="equal">
      <formula>0</formula>
    </cfRule>
  </conditionalFormatting>
  <conditionalFormatting sqref="V294:AJ294">
    <cfRule type="expression" dxfId="16724" priority="173">
      <formula>LEN(TRIM(V294))=0</formula>
    </cfRule>
  </conditionalFormatting>
  <conditionalFormatting sqref="AK294">
    <cfRule type="cellIs" dxfId="16723" priority="166" operator="equal">
      <formula>0</formula>
    </cfRule>
  </conditionalFormatting>
  <conditionalFormatting sqref="AK294">
    <cfRule type="expression" dxfId="16722" priority="167">
      <formula>LEN(TRIM(AK294))=0</formula>
    </cfRule>
  </conditionalFormatting>
  <conditionalFormatting sqref="AK292">
    <cfRule type="cellIs" dxfId="16721" priority="164" operator="equal">
      <formula>0</formula>
    </cfRule>
  </conditionalFormatting>
  <conditionalFormatting sqref="AK292">
    <cfRule type="expression" dxfId="16720" priority="165">
      <formula>LEN(TRIM(AK292))=0</formula>
    </cfRule>
  </conditionalFormatting>
  <conditionalFormatting sqref="AB286:AG286">
    <cfRule type="cellIs" dxfId="16719" priority="162" operator="equal">
      <formula>0</formula>
    </cfRule>
  </conditionalFormatting>
  <conditionalFormatting sqref="AB286:AG286">
    <cfRule type="expression" dxfId="16718" priority="163">
      <formula>LEN(TRIM(AB286))=0</formula>
    </cfRule>
  </conditionalFormatting>
  <conditionalFormatting sqref="AH303:AK305 W303:AA305 AB303:AG304 AI300:AK302 Y300:Y302 V300:V305 V306:AK306">
    <cfRule type="cellIs" dxfId="16717" priority="141" operator="equal">
      <formula>0</formula>
    </cfRule>
  </conditionalFormatting>
  <conditionalFormatting sqref="AH300:AH305">
    <cfRule type="cellIs" dxfId="16716" priority="142" operator="equal">
      <formula>0</formula>
    </cfRule>
  </conditionalFormatting>
  <conditionalFormatting sqref="V300:W305 Z300:AA305">
    <cfRule type="cellIs" dxfId="16715" priority="143" operator="equal">
      <formula>0</formula>
    </cfRule>
  </conditionalFormatting>
  <conditionalFormatting sqref="X300:X305">
    <cfRule type="cellIs" dxfId="16714" priority="144" operator="equal">
      <formula>0</formula>
    </cfRule>
  </conditionalFormatting>
  <conditionalFormatting sqref="AB303:AB305">
    <cfRule type="cellIs" dxfId="16713" priority="145" operator="equal">
      <formula>0</formula>
    </cfRule>
  </conditionalFormatting>
  <conditionalFormatting sqref="AB300:AB305 AC300:AG300">
    <cfRule type="cellIs" dxfId="16712" priority="146" operator="equal">
      <formula>0</formula>
    </cfRule>
  </conditionalFormatting>
  <conditionalFormatting sqref="AC303:AC305">
    <cfRule type="cellIs" dxfId="16711" priority="147" operator="equal">
      <formula>0</formula>
    </cfRule>
  </conditionalFormatting>
  <conditionalFormatting sqref="AC300:AC305">
    <cfRule type="cellIs" dxfId="16710" priority="148" operator="equal">
      <formula>0</formula>
    </cfRule>
  </conditionalFormatting>
  <conditionalFormatting sqref="AD303:AD305">
    <cfRule type="cellIs" dxfId="16709" priority="149" operator="equal">
      <formula>0</formula>
    </cfRule>
  </conditionalFormatting>
  <conditionalFormatting sqref="AD300:AD305">
    <cfRule type="cellIs" dxfId="16708" priority="150" operator="equal">
      <formula>0</formula>
    </cfRule>
  </conditionalFormatting>
  <conditionalFormatting sqref="AE303:AE305">
    <cfRule type="cellIs" dxfId="16707" priority="151" operator="equal">
      <formula>0</formula>
    </cfRule>
  </conditionalFormatting>
  <conditionalFormatting sqref="AE300:AE305">
    <cfRule type="cellIs" dxfId="16706" priority="152" operator="equal">
      <formula>0</formula>
    </cfRule>
  </conditionalFormatting>
  <conditionalFormatting sqref="AF303:AF305">
    <cfRule type="cellIs" dxfId="16705" priority="153" operator="equal">
      <formula>0</formula>
    </cfRule>
  </conditionalFormatting>
  <conditionalFormatting sqref="AF300:AF305">
    <cfRule type="cellIs" dxfId="16704" priority="154" operator="equal">
      <formula>0</formula>
    </cfRule>
  </conditionalFormatting>
  <conditionalFormatting sqref="AG303:AG305">
    <cfRule type="cellIs" dxfId="16703" priority="155" operator="equal">
      <formula>0</formula>
    </cfRule>
  </conditionalFormatting>
  <conditionalFormatting sqref="AG300:AG305">
    <cfRule type="cellIs" dxfId="16702" priority="156" operator="equal">
      <formula>0</formula>
    </cfRule>
  </conditionalFormatting>
  <conditionalFormatting sqref="V300:AK306">
    <cfRule type="expression" dxfId="16701" priority="157">
      <formula>LEN(TRIM(V300))=0</formula>
    </cfRule>
  </conditionalFormatting>
  <conditionalFormatting sqref="AD303:AD304">
    <cfRule type="cellIs" dxfId="16700" priority="158" operator="equal">
      <formula>0</formula>
    </cfRule>
  </conditionalFormatting>
  <conditionalFormatting sqref="AE303:AE304">
    <cfRule type="cellIs" dxfId="16699" priority="159" operator="equal">
      <formula>0</formula>
    </cfRule>
  </conditionalFormatting>
  <conditionalFormatting sqref="AF303:AG303">
    <cfRule type="cellIs" dxfId="16698" priority="160" operator="equal">
      <formula>0</formula>
    </cfRule>
  </conditionalFormatting>
  <conditionalFormatting sqref="AF304:AG304">
    <cfRule type="cellIs" dxfId="16697" priority="161" operator="equal">
      <formula>0</formula>
    </cfRule>
  </conditionalFormatting>
  <conditionalFormatting sqref="W317:Y317 V318:Y319 Z317:AA319 V313:AA316 AB313:AJ319 V308:AK308 V320:AJ320 V309:AA310 AK309:AK320 AH309:AJ310">
    <cfRule type="cellIs" dxfId="16696" priority="135" operator="equal">
      <formula>0</formula>
    </cfRule>
  </conditionalFormatting>
  <conditionalFormatting sqref="V317">
    <cfRule type="cellIs" dxfId="16695" priority="136" operator="equal">
      <formula>0</formula>
    </cfRule>
  </conditionalFormatting>
  <conditionalFormatting sqref="V308:AK308 V313:AJ320 V309:AA310 AK309:AK320 AH309:AJ310">
    <cfRule type="expression" dxfId="16694" priority="137">
      <formula>LEN(TRIM(V308))=0</formula>
    </cfRule>
  </conditionalFormatting>
  <conditionalFormatting sqref="V311:AJ312">
    <cfRule type="cellIs" dxfId="16693" priority="138" operator="equal">
      <formula>0</formula>
    </cfRule>
  </conditionalFormatting>
  <conditionalFormatting sqref="AH311:AH312">
    <cfRule type="cellIs" dxfId="16692" priority="139" operator="equal">
      <formula>0</formula>
    </cfRule>
  </conditionalFormatting>
  <conditionalFormatting sqref="V311:AJ312">
    <cfRule type="expression" dxfId="16691" priority="140">
      <formula>LEN(TRIM(V311))=0</formula>
    </cfRule>
  </conditionalFormatting>
  <conditionalFormatting sqref="AB309:AG310">
    <cfRule type="cellIs" dxfId="16690" priority="133" operator="equal">
      <formula>0</formula>
    </cfRule>
  </conditionalFormatting>
  <conditionalFormatting sqref="AB309:AG310">
    <cfRule type="expression" dxfId="16689" priority="134">
      <formula>LEN(TRIM(AB309))=0</formula>
    </cfRule>
  </conditionalFormatting>
  <conditionalFormatting sqref="V323:AJ328 AK322:AK327 AK329 V322:AA322 AH322:AJ322">
    <cfRule type="cellIs" dxfId="16688" priority="127" operator="equal">
      <formula>0</formula>
    </cfRule>
  </conditionalFormatting>
  <conditionalFormatting sqref="V329:AJ329">
    <cfRule type="cellIs" dxfId="16687" priority="128" operator="equal">
      <formula>0</formula>
    </cfRule>
  </conditionalFormatting>
  <conditionalFormatting sqref="V323:AK327 V329:AK329 V328:AJ328 V322:AA322 AH322:AK322">
    <cfRule type="expression" dxfId="16686" priority="129">
      <formula>LEN(TRIM(V322))=0</formula>
    </cfRule>
  </conditionalFormatting>
  <conditionalFormatting sqref="V329:AJ329">
    <cfRule type="cellIs" dxfId="16685" priority="130" operator="equal">
      <formula>0</formula>
    </cfRule>
  </conditionalFormatting>
  <conditionalFormatting sqref="V330:AJ330">
    <cfRule type="cellIs" dxfId="16684" priority="131" operator="equal">
      <formula>0</formula>
    </cfRule>
  </conditionalFormatting>
  <conditionalFormatting sqref="V330:AJ330">
    <cfRule type="expression" dxfId="16683" priority="132">
      <formula>LEN(TRIM(V330))=0</formula>
    </cfRule>
  </conditionalFormatting>
  <conditionalFormatting sqref="AK330">
    <cfRule type="cellIs" dxfId="16682" priority="125" operator="equal">
      <formula>0</formula>
    </cfRule>
  </conditionalFormatting>
  <conditionalFormatting sqref="AK330">
    <cfRule type="expression" dxfId="16681" priority="126">
      <formula>LEN(TRIM(AK330))=0</formula>
    </cfRule>
  </conditionalFormatting>
  <conditionalFormatting sqref="AK328">
    <cfRule type="cellIs" dxfId="16680" priority="123" operator="equal">
      <formula>0</formula>
    </cfRule>
  </conditionalFormatting>
  <conditionalFormatting sqref="AK328">
    <cfRule type="expression" dxfId="16679" priority="124">
      <formula>LEN(TRIM(AK328))=0</formula>
    </cfRule>
  </conditionalFormatting>
  <conditionalFormatting sqref="AB322:AG322">
    <cfRule type="cellIs" dxfId="16678" priority="121" operator="equal">
      <formula>0</formula>
    </cfRule>
  </conditionalFormatting>
  <conditionalFormatting sqref="AB322:AG322">
    <cfRule type="expression" dxfId="16677" priority="122">
      <formula>LEN(TRIM(AB322))=0</formula>
    </cfRule>
  </conditionalFormatting>
  <conditionalFormatting sqref="J11">
    <cfRule type="cellIs" dxfId="16676" priority="108" operator="equal">
      <formula>0</formula>
    </cfRule>
  </conditionalFormatting>
  <conditionalFormatting sqref="K11">
    <cfRule type="cellIs" dxfId="16675" priority="107" operator="equal">
      <formula>0</formula>
    </cfRule>
  </conditionalFormatting>
  <conditionalFormatting sqref="L11">
    <cfRule type="cellIs" dxfId="16674" priority="106" operator="equal">
      <formula>0</formula>
    </cfRule>
  </conditionalFormatting>
  <conditionalFormatting sqref="M11">
    <cfRule type="cellIs" dxfId="16673" priority="105" operator="equal">
      <formula>0</formula>
    </cfRule>
  </conditionalFormatting>
  <conditionalFormatting sqref="N11">
    <cfRule type="cellIs" dxfId="16672" priority="104" operator="equal">
      <formula>0</formula>
    </cfRule>
  </conditionalFormatting>
  <conditionalFormatting sqref="O11">
    <cfRule type="cellIs" dxfId="16671" priority="103" operator="equal">
      <formula>0</formula>
    </cfRule>
  </conditionalFormatting>
  <conditionalFormatting sqref="AB11">
    <cfRule type="cellIs" dxfId="16670" priority="102" operator="equal">
      <formula>0</formula>
    </cfRule>
  </conditionalFormatting>
  <conditionalFormatting sqref="AC11">
    <cfRule type="cellIs" dxfId="16669" priority="101" operator="equal">
      <formula>0</formula>
    </cfRule>
  </conditionalFormatting>
  <conditionalFormatting sqref="AD11">
    <cfRule type="cellIs" dxfId="16668" priority="100" operator="equal">
      <formula>0</formula>
    </cfRule>
  </conditionalFormatting>
  <conditionalFormatting sqref="AE11">
    <cfRule type="cellIs" dxfId="16667" priority="99" operator="equal">
      <formula>0</formula>
    </cfRule>
  </conditionalFormatting>
  <conditionalFormatting sqref="AF11">
    <cfRule type="cellIs" dxfId="16666" priority="98" operator="equal">
      <formula>0</formula>
    </cfRule>
  </conditionalFormatting>
  <conditionalFormatting sqref="AG11">
    <cfRule type="cellIs" dxfId="16665" priority="97" operator="equal">
      <formula>0</formula>
    </cfRule>
  </conditionalFormatting>
  <conditionalFormatting sqref="J47">
    <cfRule type="cellIs" dxfId="16664" priority="96" operator="equal">
      <formula>0</formula>
    </cfRule>
  </conditionalFormatting>
  <conditionalFormatting sqref="K47">
    <cfRule type="cellIs" dxfId="16663" priority="95" operator="equal">
      <formula>0</formula>
    </cfRule>
  </conditionalFormatting>
  <conditionalFormatting sqref="L47">
    <cfRule type="cellIs" dxfId="16662" priority="94" operator="equal">
      <formula>0</formula>
    </cfRule>
  </conditionalFormatting>
  <conditionalFormatting sqref="M47">
    <cfRule type="cellIs" dxfId="16661" priority="93" operator="equal">
      <formula>0</formula>
    </cfRule>
  </conditionalFormatting>
  <conditionalFormatting sqref="N47">
    <cfRule type="cellIs" dxfId="16660" priority="92" operator="equal">
      <formula>0</formula>
    </cfRule>
  </conditionalFormatting>
  <conditionalFormatting sqref="O47">
    <cfRule type="cellIs" dxfId="16659" priority="91" operator="equal">
      <formula>0</formula>
    </cfRule>
  </conditionalFormatting>
  <conditionalFormatting sqref="AB47">
    <cfRule type="cellIs" dxfId="16658" priority="90" operator="equal">
      <formula>0</formula>
    </cfRule>
  </conditionalFormatting>
  <conditionalFormatting sqref="AC47">
    <cfRule type="cellIs" dxfId="16657" priority="89" operator="equal">
      <formula>0</formula>
    </cfRule>
  </conditionalFormatting>
  <conditionalFormatting sqref="AD47">
    <cfRule type="cellIs" dxfId="16656" priority="88" operator="equal">
      <formula>0</formula>
    </cfRule>
  </conditionalFormatting>
  <conditionalFormatting sqref="AE47">
    <cfRule type="cellIs" dxfId="16655" priority="87" operator="equal">
      <formula>0</formula>
    </cfRule>
  </conditionalFormatting>
  <conditionalFormatting sqref="AF47">
    <cfRule type="cellIs" dxfId="16654" priority="86" operator="equal">
      <formula>0</formula>
    </cfRule>
  </conditionalFormatting>
  <conditionalFormatting sqref="AG47">
    <cfRule type="cellIs" dxfId="16653" priority="85" operator="equal">
      <formula>0</formula>
    </cfRule>
  </conditionalFormatting>
  <conditionalFormatting sqref="J83">
    <cfRule type="cellIs" dxfId="16652" priority="84" operator="equal">
      <formula>0</formula>
    </cfRule>
  </conditionalFormatting>
  <conditionalFormatting sqref="K83">
    <cfRule type="cellIs" dxfId="16651" priority="83" operator="equal">
      <formula>0</formula>
    </cfRule>
  </conditionalFormatting>
  <conditionalFormatting sqref="L83">
    <cfRule type="cellIs" dxfId="16650" priority="82" operator="equal">
      <formula>0</formula>
    </cfRule>
  </conditionalFormatting>
  <conditionalFormatting sqref="M83">
    <cfRule type="cellIs" dxfId="16649" priority="81" operator="equal">
      <formula>0</formula>
    </cfRule>
  </conditionalFormatting>
  <conditionalFormatting sqref="N83">
    <cfRule type="cellIs" dxfId="16648" priority="80" operator="equal">
      <formula>0</formula>
    </cfRule>
  </conditionalFormatting>
  <conditionalFormatting sqref="O83">
    <cfRule type="cellIs" dxfId="16647" priority="79" operator="equal">
      <formula>0</formula>
    </cfRule>
  </conditionalFormatting>
  <conditionalFormatting sqref="AB83">
    <cfRule type="cellIs" dxfId="16646" priority="78" operator="equal">
      <formula>0</formula>
    </cfRule>
  </conditionalFormatting>
  <conditionalFormatting sqref="AC83">
    <cfRule type="cellIs" dxfId="16645" priority="77" operator="equal">
      <formula>0</formula>
    </cfRule>
  </conditionalFormatting>
  <conditionalFormatting sqref="AD83">
    <cfRule type="cellIs" dxfId="16644" priority="76" operator="equal">
      <formula>0</formula>
    </cfRule>
  </conditionalFormatting>
  <conditionalFormatting sqref="AE83">
    <cfRule type="cellIs" dxfId="16643" priority="75" operator="equal">
      <formula>0</formula>
    </cfRule>
  </conditionalFormatting>
  <conditionalFormatting sqref="AF83">
    <cfRule type="cellIs" dxfId="16642" priority="74" operator="equal">
      <formula>0</formula>
    </cfRule>
  </conditionalFormatting>
  <conditionalFormatting sqref="AG83">
    <cfRule type="cellIs" dxfId="16641" priority="73" operator="equal">
      <formula>0</formula>
    </cfRule>
  </conditionalFormatting>
  <conditionalFormatting sqref="J119">
    <cfRule type="cellIs" dxfId="16640" priority="72" operator="equal">
      <formula>0</formula>
    </cfRule>
  </conditionalFormatting>
  <conditionalFormatting sqref="K119">
    <cfRule type="cellIs" dxfId="16639" priority="71" operator="equal">
      <formula>0</formula>
    </cfRule>
  </conditionalFormatting>
  <conditionalFormatting sqref="L119">
    <cfRule type="cellIs" dxfId="16638" priority="70" operator="equal">
      <formula>0</formula>
    </cfRule>
  </conditionalFormatting>
  <conditionalFormatting sqref="M119">
    <cfRule type="cellIs" dxfId="16637" priority="69" operator="equal">
      <formula>0</formula>
    </cfRule>
  </conditionalFormatting>
  <conditionalFormatting sqref="N119">
    <cfRule type="cellIs" dxfId="16636" priority="68" operator="equal">
      <formula>0</formula>
    </cfRule>
  </conditionalFormatting>
  <conditionalFormatting sqref="O119">
    <cfRule type="cellIs" dxfId="16635" priority="67" operator="equal">
      <formula>0</formula>
    </cfRule>
  </conditionalFormatting>
  <conditionalFormatting sqref="AB119">
    <cfRule type="cellIs" dxfId="16634" priority="66" operator="equal">
      <formula>0</formula>
    </cfRule>
  </conditionalFormatting>
  <conditionalFormatting sqref="AC119">
    <cfRule type="cellIs" dxfId="16633" priority="65" operator="equal">
      <formula>0</formula>
    </cfRule>
  </conditionalFormatting>
  <conditionalFormatting sqref="AD119">
    <cfRule type="cellIs" dxfId="16632" priority="64" operator="equal">
      <formula>0</formula>
    </cfRule>
  </conditionalFormatting>
  <conditionalFormatting sqref="AE119">
    <cfRule type="cellIs" dxfId="16631" priority="63" operator="equal">
      <formula>0</formula>
    </cfRule>
  </conditionalFormatting>
  <conditionalFormatting sqref="AF119">
    <cfRule type="cellIs" dxfId="16630" priority="62" operator="equal">
      <formula>0</formula>
    </cfRule>
  </conditionalFormatting>
  <conditionalFormatting sqref="AG119">
    <cfRule type="cellIs" dxfId="16629" priority="61" operator="equal">
      <formula>0</formula>
    </cfRule>
  </conditionalFormatting>
  <conditionalFormatting sqref="J155">
    <cfRule type="cellIs" dxfId="16628" priority="60" operator="equal">
      <formula>0</formula>
    </cfRule>
  </conditionalFormatting>
  <conditionalFormatting sqref="K155">
    <cfRule type="cellIs" dxfId="16627" priority="59" operator="equal">
      <formula>0</formula>
    </cfRule>
  </conditionalFormatting>
  <conditionalFormatting sqref="L155">
    <cfRule type="cellIs" dxfId="16626" priority="58" operator="equal">
      <formula>0</formula>
    </cfRule>
  </conditionalFormatting>
  <conditionalFormatting sqref="M155">
    <cfRule type="cellIs" dxfId="16625" priority="57" operator="equal">
      <formula>0</formula>
    </cfRule>
  </conditionalFormatting>
  <conditionalFormatting sqref="N155">
    <cfRule type="cellIs" dxfId="16624" priority="56" operator="equal">
      <formula>0</formula>
    </cfRule>
  </conditionalFormatting>
  <conditionalFormatting sqref="O155">
    <cfRule type="cellIs" dxfId="16623" priority="55" operator="equal">
      <formula>0</formula>
    </cfRule>
  </conditionalFormatting>
  <conditionalFormatting sqref="AB155">
    <cfRule type="cellIs" dxfId="16622" priority="54" operator="equal">
      <formula>0</formula>
    </cfRule>
  </conditionalFormatting>
  <conditionalFormatting sqref="AC155">
    <cfRule type="cellIs" dxfId="16621" priority="53" operator="equal">
      <formula>0</formula>
    </cfRule>
  </conditionalFormatting>
  <conditionalFormatting sqref="AD155">
    <cfRule type="cellIs" dxfId="16620" priority="52" operator="equal">
      <formula>0</formula>
    </cfRule>
  </conditionalFormatting>
  <conditionalFormatting sqref="AE155">
    <cfRule type="cellIs" dxfId="16619" priority="51" operator="equal">
      <formula>0</formula>
    </cfRule>
  </conditionalFormatting>
  <conditionalFormatting sqref="AF155">
    <cfRule type="cellIs" dxfId="16618" priority="50" operator="equal">
      <formula>0</formula>
    </cfRule>
  </conditionalFormatting>
  <conditionalFormatting sqref="AG155">
    <cfRule type="cellIs" dxfId="16617" priority="49" operator="equal">
      <formula>0</formula>
    </cfRule>
  </conditionalFormatting>
  <conditionalFormatting sqref="J191">
    <cfRule type="cellIs" dxfId="16616" priority="48" operator="equal">
      <formula>0</formula>
    </cfRule>
  </conditionalFormatting>
  <conditionalFormatting sqref="K191">
    <cfRule type="cellIs" dxfId="16615" priority="47" operator="equal">
      <formula>0</formula>
    </cfRule>
  </conditionalFormatting>
  <conditionalFormatting sqref="L191">
    <cfRule type="cellIs" dxfId="16614" priority="46" operator="equal">
      <formula>0</formula>
    </cfRule>
  </conditionalFormatting>
  <conditionalFormatting sqref="M191">
    <cfRule type="cellIs" dxfId="16613" priority="45" operator="equal">
      <formula>0</formula>
    </cfRule>
  </conditionalFormatting>
  <conditionalFormatting sqref="N191">
    <cfRule type="cellIs" dxfId="16612" priority="44" operator="equal">
      <formula>0</formula>
    </cfRule>
  </conditionalFormatting>
  <conditionalFormatting sqref="O191">
    <cfRule type="cellIs" dxfId="16611" priority="43" operator="equal">
      <formula>0</formula>
    </cfRule>
  </conditionalFormatting>
  <conditionalFormatting sqref="AB191">
    <cfRule type="cellIs" dxfId="16610" priority="42" operator="equal">
      <formula>0</formula>
    </cfRule>
  </conditionalFormatting>
  <conditionalFormatting sqref="AC191">
    <cfRule type="cellIs" dxfId="16609" priority="41" operator="equal">
      <formula>0</formula>
    </cfRule>
  </conditionalFormatting>
  <conditionalFormatting sqref="AD191">
    <cfRule type="cellIs" dxfId="16608" priority="40" operator="equal">
      <formula>0</formula>
    </cfRule>
  </conditionalFormatting>
  <conditionalFormatting sqref="AE191">
    <cfRule type="cellIs" dxfId="16607" priority="39" operator="equal">
      <formula>0</formula>
    </cfRule>
  </conditionalFormatting>
  <conditionalFormatting sqref="AF191">
    <cfRule type="cellIs" dxfId="16606" priority="38" operator="equal">
      <formula>0</formula>
    </cfRule>
  </conditionalFormatting>
  <conditionalFormatting sqref="AG191">
    <cfRule type="cellIs" dxfId="16605" priority="37" operator="equal">
      <formula>0</formula>
    </cfRule>
  </conditionalFormatting>
  <conditionalFormatting sqref="J227">
    <cfRule type="cellIs" dxfId="16604" priority="36" operator="equal">
      <formula>0</formula>
    </cfRule>
  </conditionalFormatting>
  <conditionalFormatting sqref="K227">
    <cfRule type="cellIs" dxfId="16603" priority="35" operator="equal">
      <formula>0</formula>
    </cfRule>
  </conditionalFormatting>
  <conditionalFormatting sqref="L227">
    <cfRule type="cellIs" dxfId="16602" priority="34" operator="equal">
      <formula>0</formula>
    </cfRule>
  </conditionalFormatting>
  <conditionalFormatting sqref="M227">
    <cfRule type="cellIs" dxfId="16601" priority="33" operator="equal">
      <formula>0</formula>
    </cfRule>
  </conditionalFormatting>
  <conditionalFormatting sqref="N227">
    <cfRule type="cellIs" dxfId="16600" priority="32" operator="equal">
      <formula>0</formula>
    </cfRule>
  </conditionalFormatting>
  <conditionalFormatting sqref="O227">
    <cfRule type="cellIs" dxfId="16599" priority="31" operator="equal">
      <formula>0</formula>
    </cfRule>
  </conditionalFormatting>
  <conditionalFormatting sqref="AB227">
    <cfRule type="cellIs" dxfId="16598" priority="30" operator="equal">
      <formula>0</formula>
    </cfRule>
  </conditionalFormatting>
  <conditionalFormatting sqref="AC227">
    <cfRule type="cellIs" dxfId="16597" priority="29" operator="equal">
      <formula>0</formula>
    </cfRule>
  </conditionalFormatting>
  <conditionalFormatting sqref="AD227">
    <cfRule type="cellIs" dxfId="16596" priority="28" operator="equal">
      <formula>0</formula>
    </cfRule>
  </conditionalFormatting>
  <conditionalFormatting sqref="AE227">
    <cfRule type="cellIs" dxfId="16595" priority="27" operator="equal">
      <formula>0</formula>
    </cfRule>
  </conditionalFormatting>
  <conditionalFormatting sqref="AF227">
    <cfRule type="cellIs" dxfId="16594" priority="26" operator="equal">
      <formula>0</formula>
    </cfRule>
  </conditionalFormatting>
  <conditionalFormatting sqref="AG227">
    <cfRule type="cellIs" dxfId="16593" priority="25" operator="equal">
      <formula>0</formula>
    </cfRule>
  </conditionalFormatting>
  <conditionalFormatting sqref="J263">
    <cfRule type="cellIs" dxfId="16592" priority="24" operator="equal">
      <formula>0</formula>
    </cfRule>
  </conditionalFormatting>
  <conditionalFormatting sqref="K263">
    <cfRule type="cellIs" dxfId="16591" priority="23" operator="equal">
      <formula>0</formula>
    </cfRule>
  </conditionalFormatting>
  <conditionalFormatting sqref="L263">
    <cfRule type="cellIs" dxfId="16590" priority="22" operator="equal">
      <formula>0</formula>
    </cfRule>
  </conditionalFormatting>
  <conditionalFormatting sqref="M263">
    <cfRule type="cellIs" dxfId="16589" priority="21" operator="equal">
      <formula>0</formula>
    </cfRule>
  </conditionalFormatting>
  <conditionalFormatting sqref="N263">
    <cfRule type="cellIs" dxfId="16588" priority="20" operator="equal">
      <formula>0</formula>
    </cfRule>
  </conditionalFormatting>
  <conditionalFormatting sqref="O263">
    <cfRule type="cellIs" dxfId="16587" priority="19" operator="equal">
      <formula>0</formula>
    </cfRule>
  </conditionalFormatting>
  <conditionalFormatting sqref="AB263">
    <cfRule type="cellIs" dxfId="16586" priority="18" operator="equal">
      <formula>0</formula>
    </cfRule>
  </conditionalFormatting>
  <conditionalFormatting sqref="AC263">
    <cfRule type="cellIs" dxfId="16585" priority="17" operator="equal">
      <formula>0</formula>
    </cfRule>
  </conditionalFormatting>
  <conditionalFormatting sqref="AD263">
    <cfRule type="cellIs" dxfId="16584" priority="16" operator="equal">
      <formula>0</formula>
    </cfRule>
  </conditionalFormatting>
  <conditionalFormatting sqref="AE263">
    <cfRule type="cellIs" dxfId="16583" priority="15" operator="equal">
      <formula>0</formula>
    </cfRule>
  </conditionalFormatting>
  <conditionalFormatting sqref="AF263">
    <cfRule type="cellIs" dxfId="16582" priority="14" operator="equal">
      <formula>0</formula>
    </cfRule>
  </conditionalFormatting>
  <conditionalFormatting sqref="AG263">
    <cfRule type="cellIs" dxfId="16581" priority="13" operator="equal">
      <formula>0</formula>
    </cfRule>
  </conditionalFormatting>
  <conditionalFormatting sqref="J299">
    <cfRule type="cellIs" dxfId="16580" priority="12" operator="equal">
      <formula>0</formula>
    </cfRule>
  </conditionalFormatting>
  <conditionalFormatting sqref="K299">
    <cfRule type="cellIs" dxfId="16579" priority="11" operator="equal">
      <formula>0</formula>
    </cfRule>
  </conditionalFormatting>
  <conditionalFormatting sqref="L299">
    <cfRule type="cellIs" dxfId="16578" priority="10" operator="equal">
      <formula>0</formula>
    </cfRule>
  </conditionalFormatting>
  <conditionalFormatting sqref="M299">
    <cfRule type="cellIs" dxfId="16577" priority="9" operator="equal">
      <formula>0</formula>
    </cfRule>
  </conditionalFormatting>
  <conditionalFormatting sqref="N299">
    <cfRule type="cellIs" dxfId="16576" priority="8" operator="equal">
      <formula>0</formula>
    </cfRule>
  </conditionalFormatting>
  <conditionalFormatting sqref="O299">
    <cfRule type="cellIs" dxfId="16575" priority="7" operator="equal">
      <formula>0</formula>
    </cfRule>
  </conditionalFormatting>
  <conditionalFormatting sqref="AB299">
    <cfRule type="cellIs" dxfId="16574" priority="6" operator="equal">
      <formula>0</formula>
    </cfRule>
  </conditionalFormatting>
  <conditionalFormatting sqref="AC299">
    <cfRule type="cellIs" dxfId="16573" priority="5" operator="equal">
      <formula>0</formula>
    </cfRule>
  </conditionalFormatting>
  <conditionalFormatting sqref="AD299">
    <cfRule type="cellIs" dxfId="16572" priority="4" operator="equal">
      <formula>0</formula>
    </cfRule>
  </conditionalFormatting>
  <conditionalFormatting sqref="AE299">
    <cfRule type="cellIs" dxfId="16571" priority="3" operator="equal">
      <formula>0</formula>
    </cfRule>
  </conditionalFormatting>
  <conditionalFormatting sqref="AF299">
    <cfRule type="cellIs" dxfId="16570"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B42E-6E70-467A-B59F-9832C5968E5B}">
  <dimension ref="C2:AK296"/>
  <sheetViews>
    <sheetView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88</v>
      </c>
      <c r="D8" s="699"/>
      <c r="E8" s="699"/>
      <c r="F8" s="699"/>
      <c r="G8" s="699"/>
      <c r="H8" s="699"/>
      <c r="I8" s="699"/>
      <c r="J8" s="699"/>
      <c r="K8" s="699"/>
      <c r="L8" s="699"/>
      <c r="M8" s="699"/>
      <c r="N8" s="699"/>
      <c r="O8" s="699"/>
      <c r="P8" s="699"/>
      <c r="Q8" s="699"/>
      <c r="R8" s="699"/>
      <c r="S8" s="699"/>
      <c r="U8" s="699" t="s">
        <v>88</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9.7691999999999997</v>
      </c>
      <c r="F12" s="643">
        <v>0</v>
      </c>
      <c r="G12" s="642">
        <v>0.18608000000000002</v>
      </c>
      <c r="H12" s="643">
        <v>1190.909090909091</v>
      </c>
      <c r="I12" s="643">
        <v>182.7291074592973</v>
      </c>
      <c r="J12" s="643">
        <v>189.61507961766128</v>
      </c>
      <c r="K12" s="643">
        <v>22.268083551618652</v>
      </c>
      <c r="L12" s="643">
        <v>0.30256781050897086</v>
      </c>
      <c r="M12" s="643">
        <v>0.13616606414588689</v>
      </c>
      <c r="N12" s="643">
        <v>49.514351265721807</v>
      </c>
      <c r="O12" s="643">
        <v>8.1467195883110648</v>
      </c>
      <c r="P12" s="644">
        <v>0</v>
      </c>
      <c r="Q12" s="643">
        <v>0</v>
      </c>
      <c r="R12" s="643">
        <v>0</v>
      </c>
      <c r="S12" s="645">
        <v>1653.5764462663558</v>
      </c>
      <c r="U12" s="641" t="s">
        <v>59</v>
      </c>
      <c r="V12" s="642">
        <v>0</v>
      </c>
      <c r="W12" s="643">
        <v>9.7691999999999997</v>
      </c>
      <c r="X12" s="643">
        <v>0</v>
      </c>
      <c r="Y12" s="642">
        <v>0.18608000000000002</v>
      </c>
      <c r="Z12" s="643">
        <v>1069.3939393939395</v>
      </c>
      <c r="AA12" s="643">
        <v>197.24910745929728</v>
      </c>
      <c r="AB12" s="643">
        <v>182.13163745220285</v>
      </c>
      <c r="AC12" s="643">
        <v>36.932838973655407</v>
      </c>
      <c r="AD12" s="643">
        <v>0.30256781050897086</v>
      </c>
      <c r="AE12" s="643">
        <v>0.13616606414588689</v>
      </c>
      <c r="AF12" s="643">
        <v>61.091225724919909</v>
      </c>
      <c r="AG12" s="643">
        <v>13.043980364734779</v>
      </c>
      <c r="AH12" s="644">
        <v>0</v>
      </c>
      <c r="AI12" s="643">
        <v>0</v>
      </c>
      <c r="AJ12" s="643">
        <v>0</v>
      </c>
      <c r="AK12" s="645">
        <v>1570.2367432434044</v>
      </c>
    </row>
    <row r="13" spans="3:37" ht="13.5">
      <c r="C13" s="641" t="s">
        <v>60</v>
      </c>
      <c r="D13" s="642">
        <v>49.173561762123036</v>
      </c>
      <c r="E13" s="643">
        <v>533.81672423347197</v>
      </c>
      <c r="F13" s="643">
        <v>159.30055959731865</v>
      </c>
      <c r="G13" s="642">
        <v>343.82692763471942</v>
      </c>
      <c r="H13" s="643">
        <v>0</v>
      </c>
      <c r="I13" s="643">
        <v>0</v>
      </c>
      <c r="J13" s="643">
        <v>3.0754920838007731</v>
      </c>
      <c r="K13" s="643">
        <v>0</v>
      </c>
      <c r="L13" s="643">
        <v>1.7669821269916453</v>
      </c>
      <c r="M13" s="643">
        <v>0</v>
      </c>
      <c r="N13" s="643">
        <v>0</v>
      </c>
      <c r="O13" s="643">
        <v>0</v>
      </c>
      <c r="P13" s="644">
        <v>0</v>
      </c>
      <c r="Q13" s="643">
        <v>0</v>
      </c>
      <c r="R13" s="643">
        <v>0</v>
      </c>
      <c r="S13" s="645">
        <v>1090.9602474384255</v>
      </c>
      <c r="U13" s="641" t="s">
        <v>60</v>
      </c>
      <c r="V13" s="642">
        <v>12.56447967339157</v>
      </c>
      <c r="W13" s="643">
        <v>409.1975890316798</v>
      </c>
      <c r="X13" s="643">
        <v>146.83839951059079</v>
      </c>
      <c r="Y13" s="642">
        <v>277.07529977218445</v>
      </c>
      <c r="Z13" s="643">
        <v>0</v>
      </c>
      <c r="AA13" s="643">
        <v>0</v>
      </c>
      <c r="AB13" s="643">
        <v>3.0754920838007731</v>
      </c>
      <c r="AC13" s="643">
        <v>0</v>
      </c>
      <c r="AD13" s="643">
        <v>1.7669821269916453</v>
      </c>
      <c r="AE13" s="643">
        <v>0</v>
      </c>
      <c r="AF13" s="643">
        <v>0</v>
      </c>
      <c r="AG13" s="643">
        <v>0</v>
      </c>
      <c r="AH13" s="644">
        <v>0</v>
      </c>
      <c r="AI13" s="643">
        <v>0</v>
      </c>
      <c r="AJ13" s="643">
        <v>0</v>
      </c>
      <c r="AK13" s="645">
        <v>850.51824219863909</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-73.711460432822037</v>
      </c>
      <c r="Q14" s="643">
        <v>0</v>
      </c>
      <c r="R14" s="643">
        <v>0</v>
      </c>
      <c r="S14" s="645">
        <v>-73.711460432822037</v>
      </c>
      <c r="U14" s="641" t="s">
        <v>61</v>
      </c>
      <c r="V14" s="642">
        <v>0</v>
      </c>
      <c r="W14" s="643">
        <v>0</v>
      </c>
      <c r="X14" s="643">
        <v>0</v>
      </c>
      <c r="Y14" s="642">
        <v>0</v>
      </c>
      <c r="Z14" s="643">
        <v>0</v>
      </c>
      <c r="AA14" s="643">
        <v>0</v>
      </c>
      <c r="AB14" s="643">
        <v>0</v>
      </c>
      <c r="AC14" s="643">
        <v>0</v>
      </c>
      <c r="AD14" s="643">
        <v>0</v>
      </c>
      <c r="AE14" s="643">
        <v>0</v>
      </c>
      <c r="AF14" s="643">
        <v>0</v>
      </c>
      <c r="AG14" s="643">
        <v>0</v>
      </c>
      <c r="AH14" s="644">
        <v>-59.233927293838519</v>
      </c>
      <c r="AI14" s="643">
        <v>0</v>
      </c>
      <c r="AJ14" s="643">
        <v>0</v>
      </c>
      <c r="AK14" s="645">
        <v>-59.233927293838519</v>
      </c>
    </row>
    <row r="15" spans="3:37" ht="13.5">
      <c r="C15" s="641" t="s">
        <v>62</v>
      </c>
      <c r="D15" s="642">
        <v>0</v>
      </c>
      <c r="E15" s="643">
        <v>0</v>
      </c>
      <c r="F15" s="643">
        <v>-16.493151741791234</v>
      </c>
      <c r="G15" s="642">
        <v>0</v>
      </c>
      <c r="H15" s="643">
        <v>0</v>
      </c>
      <c r="I15" s="643">
        <v>0</v>
      </c>
      <c r="J15" s="643">
        <v>0</v>
      </c>
      <c r="K15" s="643">
        <v>0</v>
      </c>
      <c r="L15" s="643">
        <v>0</v>
      </c>
      <c r="M15" s="643">
        <v>0</v>
      </c>
      <c r="N15" s="643">
        <v>0</v>
      </c>
      <c r="O15" s="643">
        <v>0</v>
      </c>
      <c r="P15" s="644">
        <v>0</v>
      </c>
      <c r="Q15" s="643">
        <v>0</v>
      </c>
      <c r="R15" s="643">
        <v>0</v>
      </c>
      <c r="S15" s="645">
        <v>-16.493151741791234</v>
      </c>
      <c r="U15" s="641" t="s">
        <v>62</v>
      </c>
      <c r="V15" s="642">
        <v>0</v>
      </c>
      <c r="W15" s="643">
        <v>0</v>
      </c>
      <c r="X15" s="643">
        <v>-16.114280484636947</v>
      </c>
      <c r="Y15" s="642">
        <v>-5.618284274922395E-2</v>
      </c>
      <c r="Z15" s="643">
        <v>0</v>
      </c>
      <c r="AA15" s="643">
        <v>0</v>
      </c>
      <c r="AB15" s="643">
        <v>0</v>
      </c>
      <c r="AC15" s="643">
        <v>0</v>
      </c>
      <c r="AD15" s="643">
        <v>0</v>
      </c>
      <c r="AE15" s="643">
        <v>-6.2425380832471051E-3</v>
      </c>
      <c r="AF15" s="643">
        <v>0</v>
      </c>
      <c r="AG15" s="643">
        <v>0</v>
      </c>
      <c r="AH15" s="644">
        <v>0</v>
      </c>
      <c r="AI15" s="643">
        <v>0</v>
      </c>
      <c r="AJ15" s="643">
        <v>0</v>
      </c>
      <c r="AK15" s="645">
        <v>-16.176705865469415</v>
      </c>
    </row>
    <row r="16" spans="3:37" ht="13.5">
      <c r="C16" s="641" t="s">
        <v>63</v>
      </c>
      <c r="D16" s="642">
        <v>0</v>
      </c>
      <c r="E16" s="643">
        <v>0</v>
      </c>
      <c r="F16" s="643">
        <v>-80.583101554650298</v>
      </c>
      <c r="G16" s="642">
        <v>0</v>
      </c>
      <c r="H16" s="643">
        <v>0</v>
      </c>
      <c r="I16" s="643">
        <v>0</v>
      </c>
      <c r="J16" s="643">
        <v>0</v>
      </c>
      <c r="K16" s="643">
        <v>0</v>
      </c>
      <c r="L16" s="643">
        <v>-0.83510983775166403</v>
      </c>
      <c r="M16" s="643">
        <v>0</v>
      </c>
      <c r="N16" s="643">
        <v>0</v>
      </c>
      <c r="O16" s="643">
        <v>0</v>
      </c>
      <c r="P16" s="644">
        <v>0</v>
      </c>
      <c r="Q16" s="643">
        <v>0</v>
      </c>
      <c r="R16" s="643">
        <v>0</v>
      </c>
      <c r="S16" s="645">
        <v>-81.418211392401957</v>
      </c>
      <c r="U16" s="641" t="s">
        <v>63</v>
      </c>
      <c r="V16" s="642">
        <v>0</v>
      </c>
      <c r="W16" s="643">
        <v>0</v>
      </c>
      <c r="X16" s="643">
        <v>-78.29497747164686</v>
      </c>
      <c r="Y16" s="642">
        <v>0</v>
      </c>
      <c r="Z16" s="643">
        <v>0</v>
      </c>
      <c r="AA16" s="643">
        <v>0</v>
      </c>
      <c r="AB16" s="643">
        <v>0</v>
      </c>
      <c r="AC16" s="643">
        <v>0</v>
      </c>
      <c r="AD16" s="643">
        <v>-3.8806739722042796</v>
      </c>
      <c r="AE16" s="643">
        <v>0</v>
      </c>
      <c r="AF16" s="643">
        <v>0</v>
      </c>
      <c r="AG16" s="643">
        <v>0</v>
      </c>
      <c r="AH16" s="644">
        <v>0</v>
      </c>
      <c r="AI16" s="643">
        <v>0</v>
      </c>
      <c r="AJ16" s="643">
        <v>0</v>
      </c>
      <c r="AK16" s="645">
        <v>-82.175651443851137</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49.173561762123036</v>
      </c>
      <c r="E18" s="647">
        <v>543.58592423347193</v>
      </c>
      <c r="F18" s="647">
        <v>62.224306300877117</v>
      </c>
      <c r="G18" s="647">
        <v>344.01300763471943</v>
      </c>
      <c r="H18" s="647">
        <v>1190.909090909091</v>
      </c>
      <c r="I18" s="647">
        <v>182.7291074592973</v>
      </c>
      <c r="J18" s="647">
        <v>192.69057170146206</v>
      </c>
      <c r="K18" s="647">
        <v>22.268083551618652</v>
      </c>
      <c r="L18" s="647">
        <v>1.234440099748952</v>
      </c>
      <c r="M18" s="647">
        <v>0.13616606414588689</v>
      </c>
      <c r="N18" s="647">
        <v>49.514351265721807</v>
      </c>
      <c r="O18" s="647">
        <v>8.1467195883110648</v>
      </c>
      <c r="P18" s="647">
        <v>-73.711460432822037</v>
      </c>
      <c r="Q18" s="647">
        <v>0</v>
      </c>
      <c r="R18" s="647">
        <v>0</v>
      </c>
      <c r="S18" s="647">
        <v>2572.9138701377656</v>
      </c>
      <c r="U18" s="646" t="s">
        <v>65</v>
      </c>
      <c r="V18" s="647">
        <v>12.56447967339157</v>
      </c>
      <c r="W18" s="647">
        <v>418.96678903167981</v>
      </c>
      <c r="X18" s="647">
        <v>52.42914155430698</v>
      </c>
      <c r="Y18" s="647">
        <v>277.2051969294352</v>
      </c>
      <c r="Z18" s="647">
        <v>1069.3939393939395</v>
      </c>
      <c r="AA18" s="647">
        <v>197.24910745929728</v>
      </c>
      <c r="AB18" s="647">
        <v>185.20712953600363</v>
      </c>
      <c r="AC18" s="647">
        <v>36.932838973655407</v>
      </c>
      <c r="AD18" s="647">
        <v>-1.8111240347036635</v>
      </c>
      <c r="AE18" s="647">
        <v>0.12992352606263979</v>
      </c>
      <c r="AF18" s="647">
        <v>61.091225724919909</v>
      </c>
      <c r="AG18" s="647">
        <v>13.043980364734779</v>
      </c>
      <c r="AH18" s="647">
        <v>-59.233927293838519</v>
      </c>
      <c r="AI18" s="647">
        <v>0</v>
      </c>
      <c r="AJ18" s="647">
        <v>0</v>
      </c>
      <c r="AK18" s="647">
        <v>2263.168700838884</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7.5307695076515202</v>
      </c>
      <c r="G21" s="642">
        <v>17.818181818181817</v>
      </c>
      <c r="H21" s="642">
        <v>1190.909090909091</v>
      </c>
      <c r="I21" s="642">
        <v>182.7291074592973</v>
      </c>
      <c r="J21" s="651">
        <v>31.567770517320518</v>
      </c>
      <c r="K21" s="651">
        <v>7.9944017148664477</v>
      </c>
      <c r="L21" s="651">
        <v>2.0695499375006161</v>
      </c>
      <c r="M21" s="651">
        <v>0.46787592950723628</v>
      </c>
      <c r="N21" s="651">
        <v>0</v>
      </c>
      <c r="O21" s="651">
        <v>3.0833964576427819</v>
      </c>
      <c r="P21" s="642">
        <v>-605.52729840025461</v>
      </c>
      <c r="Q21" s="642">
        <v>0</v>
      </c>
      <c r="R21" s="642">
        <v>0</v>
      </c>
      <c r="S21" s="650">
        <v>841.46963149182989</v>
      </c>
      <c r="U21" s="648" t="s">
        <v>350</v>
      </c>
      <c r="V21" s="642">
        <v>0.62631490545869017</v>
      </c>
      <c r="W21" s="642">
        <v>0</v>
      </c>
      <c r="X21" s="642">
        <v>3.6671331440151573</v>
      </c>
      <c r="Y21" s="642">
        <v>45.490909090909085</v>
      </c>
      <c r="Z21" s="642">
        <v>1069.3939393939395</v>
      </c>
      <c r="AA21" s="642">
        <v>197.24910745929728</v>
      </c>
      <c r="AB21" s="651">
        <v>26.112388272824305</v>
      </c>
      <c r="AC21" s="651">
        <v>7.8557568383975527</v>
      </c>
      <c r="AD21" s="651">
        <v>2.0695499375006161</v>
      </c>
      <c r="AE21" s="651">
        <v>5.1587850204163272</v>
      </c>
      <c r="AF21" s="651">
        <v>0</v>
      </c>
      <c r="AG21" s="651">
        <v>3.0833964576427819</v>
      </c>
      <c r="AH21" s="642">
        <v>-594.94729840025457</v>
      </c>
      <c r="AI21" s="642">
        <v>0</v>
      </c>
      <c r="AJ21" s="642">
        <v>0</v>
      </c>
      <c r="AK21" s="650">
        <v>765.75998212014645</v>
      </c>
    </row>
    <row r="22" spans="3:37" ht="13.5">
      <c r="C22" s="648" t="s">
        <v>351</v>
      </c>
      <c r="D22" s="642">
        <v>0</v>
      </c>
      <c r="E22" s="642">
        <v>0</v>
      </c>
      <c r="F22" s="642">
        <v>0</v>
      </c>
      <c r="G22" s="642">
        <v>15.528976420917793</v>
      </c>
      <c r="H22" s="642">
        <v>0</v>
      </c>
      <c r="I22" s="642">
        <v>0</v>
      </c>
      <c r="J22" s="651">
        <v>13.425934567091144</v>
      </c>
      <c r="K22" s="651">
        <v>12.460813842705811</v>
      </c>
      <c r="L22" s="651">
        <v>0</v>
      </c>
      <c r="M22" s="651">
        <v>0.33007353312586968</v>
      </c>
      <c r="N22" s="651">
        <v>0</v>
      </c>
      <c r="O22" s="651">
        <v>2.2140049259569654</v>
      </c>
      <c r="P22" s="642">
        <v>0</v>
      </c>
      <c r="Q22" s="642">
        <v>-39.530815313914701</v>
      </c>
      <c r="R22" s="642">
        <v>0</v>
      </c>
      <c r="S22" s="650">
        <v>4.4289879758828699</v>
      </c>
      <c r="U22" s="648" t="s">
        <v>351</v>
      </c>
      <c r="V22" s="642">
        <v>0</v>
      </c>
      <c r="W22" s="642">
        <v>0</v>
      </c>
      <c r="X22" s="642">
        <v>0</v>
      </c>
      <c r="Y22" s="642">
        <v>17.633177295554518</v>
      </c>
      <c r="Z22" s="642">
        <v>0</v>
      </c>
      <c r="AA22" s="642">
        <v>0</v>
      </c>
      <c r="AB22" s="651">
        <v>25.59264276124566</v>
      </c>
      <c r="AC22" s="651">
        <v>22.938494140017696</v>
      </c>
      <c r="AD22" s="651">
        <v>0</v>
      </c>
      <c r="AE22" s="651">
        <v>1.9723975687129698</v>
      </c>
      <c r="AF22" s="651">
        <v>0</v>
      </c>
      <c r="AG22" s="651">
        <v>5.6361523989336151</v>
      </c>
      <c r="AH22" s="642">
        <v>0</v>
      </c>
      <c r="AI22" s="642">
        <v>-66.845421794322675</v>
      </c>
      <c r="AJ22" s="642">
        <v>0</v>
      </c>
      <c r="AK22" s="650">
        <v>6.927442370141784</v>
      </c>
    </row>
    <row r="23" spans="3:37" ht="13.5">
      <c r="C23" s="648" t="s">
        <v>352</v>
      </c>
      <c r="D23" s="642">
        <v>0</v>
      </c>
      <c r="E23" s="642">
        <v>0</v>
      </c>
      <c r="F23" s="642">
        <v>0</v>
      </c>
      <c r="G23" s="642">
        <v>0</v>
      </c>
      <c r="H23" s="642">
        <v>0</v>
      </c>
      <c r="I23" s="642">
        <v>0</v>
      </c>
      <c r="J23" s="652">
        <v>7.7785999169814284</v>
      </c>
      <c r="K23" s="652">
        <v>0</v>
      </c>
      <c r="L23" s="652">
        <v>0</v>
      </c>
      <c r="M23" s="652">
        <v>-6.767381927773843</v>
      </c>
      <c r="N23" s="652">
        <v>0</v>
      </c>
      <c r="O23" s="652">
        <v>0</v>
      </c>
      <c r="P23" s="642">
        <v>0</v>
      </c>
      <c r="Q23" s="642">
        <v>0</v>
      </c>
      <c r="R23" s="642">
        <v>0</v>
      </c>
      <c r="S23" s="650">
        <v>1.0112179892075854</v>
      </c>
      <c r="U23" s="648" t="s">
        <v>352</v>
      </c>
      <c r="V23" s="642">
        <v>0</v>
      </c>
      <c r="W23" s="642">
        <v>0</v>
      </c>
      <c r="X23" s="642">
        <v>0</v>
      </c>
      <c r="Y23" s="642">
        <v>0</v>
      </c>
      <c r="Z23" s="642">
        <v>0</v>
      </c>
      <c r="AA23" s="642">
        <v>0</v>
      </c>
      <c r="AB23" s="652">
        <v>35.178099528176176</v>
      </c>
      <c r="AC23" s="652">
        <v>0</v>
      </c>
      <c r="AD23" s="652">
        <v>0</v>
      </c>
      <c r="AE23" s="652">
        <v>-30.604946589513276</v>
      </c>
      <c r="AF23" s="652">
        <v>0</v>
      </c>
      <c r="AG23" s="652">
        <v>0</v>
      </c>
      <c r="AH23" s="642">
        <v>0</v>
      </c>
      <c r="AI23" s="642">
        <v>0</v>
      </c>
      <c r="AJ23" s="642">
        <v>0</v>
      </c>
      <c r="AK23" s="650">
        <v>4.5731529386629006</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563.09724372867038</v>
      </c>
      <c r="F25" s="642">
        <v>-557.46627129138369</v>
      </c>
      <c r="G25" s="642">
        <v>0</v>
      </c>
      <c r="H25" s="642">
        <v>0</v>
      </c>
      <c r="I25" s="642">
        <v>0</v>
      </c>
      <c r="J25" s="642">
        <v>0</v>
      </c>
      <c r="K25" s="642">
        <v>0</v>
      </c>
      <c r="L25" s="642">
        <v>0</v>
      </c>
      <c r="M25" s="642">
        <v>0</v>
      </c>
      <c r="N25" s="642">
        <v>0</v>
      </c>
      <c r="O25" s="642">
        <v>0</v>
      </c>
      <c r="P25" s="642">
        <v>0</v>
      </c>
      <c r="Q25" s="642">
        <v>0</v>
      </c>
      <c r="R25" s="642">
        <v>0</v>
      </c>
      <c r="S25" s="650">
        <v>5.6309724372866867</v>
      </c>
      <c r="U25" s="648" t="s">
        <v>72</v>
      </c>
      <c r="V25" s="642">
        <v>0</v>
      </c>
      <c r="W25" s="642">
        <v>434.00506451720082</v>
      </c>
      <c r="X25" s="642">
        <v>-429.66501387202879</v>
      </c>
      <c r="Y25" s="642">
        <v>0</v>
      </c>
      <c r="Z25" s="642">
        <v>0</v>
      </c>
      <c r="AA25" s="642">
        <v>0</v>
      </c>
      <c r="AB25" s="642">
        <v>0</v>
      </c>
      <c r="AC25" s="642">
        <v>0</v>
      </c>
      <c r="AD25" s="642">
        <v>0</v>
      </c>
      <c r="AE25" s="642">
        <v>0</v>
      </c>
      <c r="AF25" s="642">
        <v>0</v>
      </c>
      <c r="AG25" s="642">
        <v>0</v>
      </c>
      <c r="AH25" s="642">
        <v>0</v>
      </c>
      <c r="AI25" s="642">
        <v>0</v>
      </c>
      <c r="AJ25" s="642">
        <v>0</v>
      </c>
      <c r="AK25" s="650">
        <v>4.3400506451720275</v>
      </c>
    </row>
    <row r="26" spans="3:37" ht="13.5">
      <c r="C26" s="648" t="s">
        <v>354</v>
      </c>
      <c r="D26" s="642">
        <v>0</v>
      </c>
      <c r="E26" s="642">
        <v>0</v>
      </c>
      <c r="F26" s="642">
        <v>0</v>
      </c>
      <c r="G26" s="642">
        <v>0</v>
      </c>
      <c r="H26" s="642">
        <v>0</v>
      </c>
      <c r="I26" s="642">
        <v>0</v>
      </c>
      <c r="J26" s="642">
        <v>37.619415842848596</v>
      </c>
      <c r="K26" s="642">
        <v>0</v>
      </c>
      <c r="L26" s="642">
        <v>-37.619415842848596</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-46.213611225378862</v>
      </c>
      <c r="AE26" s="642">
        <v>0</v>
      </c>
      <c r="AF26" s="642">
        <v>0</v>
      </c>
      <c r="AG26" s="642">
        <v>0</v>
      </c>
      <c r="AH26" s="642">
        <v>0</v>
      </c>
      <c r="AI26" s="642">
        <v>0</v>
      </c>
      <c r="AJ26" s="642">
        <v>0</v>
      </c>
      <c r="AK26" s="650">
        <v>-46.213611225378862</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-5.5104572320471013</v>
      </c>
      <c r="AE27" s="642">
        <v>0</v>
      </c>
      <c r="AF27" s="642">
        <v>0</v>
      </c>
      <c r="AG27" s="642">
        <v>0</v>
      </c>
      <c r="AH27" s="642">
        <v>0</v>
      </c>
      <c r="AI27" s="642">
        <v>0</v>
      </c>
      <c r="AJ27" s="642">
        <v>0</v>
      </c>
      <c r="AK27" s="650">
        <v>-5.5104572320471013</v>
      </c>
    </row>
    <row r="28" spans="3:37" ht="13.5">
      <c r="C28" s="648" t="s">
        <v>73</v>
      </c>
      <c r="D28" s="642">
        <v>0</v>
      </c>
      <c r="E28" s="642">
        <v>0</v>
      </c>
      <c r="F28" s="642">
        <v>0</v>
      </c>
      <c r="G28" s="642">
        <v>0.90917311757834995</v>
      </c>
      <c r="H28" s="642">
        <v>0</v>
      </c>
      <c r="I28" s="642">
        <v>0</v>
      </c>
      <c r="J28" s="642">
        <v>0</v>
      </c>
      <c r="K28" s="642">
        <v>1.0194809571410069E-2</v>
      </c>
      <c r="L28" s="642">
        <v>0</v>
      </c>
      <c r="M28" s="642">
        <v>1.8554553419966327E-2</v>
      </c>
      <c r="N28" s="642">
        <v>0</v>
      </c>
      <c r="O28" s="642">
        <v>0</v>
      </c>
      <c r="P28" s="642">
        <v>8.7832205538302136E-2</v>
      </c>
      <c r="Q28" s="642">
        <v>0</v>
      </c>
      <c r="R28" s="642">
        <v>-0.71363666999870479</v>
      </c>
      <c r="S28" s="650">
        <v>0.31211801610932366</v>
      </c>
      <c r="U28" s="648" t="s">
        <v>73</v>
      </c>
      <c r="V28" s="642">
        <v>0</v>
      </c>
      <c r="W28" s="642">
        <v>0</v>
      </c>
      <c r="X28" s="642">
        <v>0</v>
      </c>
      <c r="Y28" s="642">
        <v>3.7406895887912213</v>
      </c>
      <c r="Z28" s="642">
        <v>0</v>
      </c>
      <c r="AA28" s="642">
        <v>0</v>
      </c>
      <c r="AB28" s="642">
        <v>0</v>
      </c>
      <c r="AC28" s="642">
        <v>0.10657235295701485</v>
      </c>
      <c r="AD28" s="642">
        <v>0</v>
      </c>
      <c r="AE28" s="642">
        <v>0.4156321765323579</v>
      </c>
      <c r="AF28" s="642">
        <v>0</v>
      </c>
      <c r="AG28" s="642">
        <v>0</v>
      </c>
      <c r="AH28" s="642">
        <v>6.8862135756840344</v>
      </c>
      <c r="AI28" s="642">
        <v>0</v>
      </c>
      <c r="AJ28" s="642">
        <v>-7.4600647069910382</v>
      </c>
      <c r="AK28" s="650">
        <v>3.6890429869735906</v>
      </c>
    </row>
    <row r="29" spans="3:37" ht="13.5">
      <c r="C29" s="648" t="s">
        <v>356</v>
      </c>
      <c r="D29" s="642">
        <v>28.68732140625</v>
      </c>
      <c r="E29" s="642">
        <v>-19.511319495198432</v>
      </c>
      <c r="F29" s="642">
        <v>25.519653459670948</v>
      </c>
      <c r="G29" s="642">
        <v>0</v>
      </c>
      <c r="H29" s="642">
        <v>0</v>
      </c>
      <c r="I29" s="642">
        <v>0</v>
      </c>
      <c r="J29" s="642">
        <v>0</v>
      </c>
      <c r="K29" s="642">
        <v>0</v>
      </c>
      <c r="L29" s="642">
        <v>0</v>
      </c>
      <c r="M29" s="642">
        <v>0</v>
      </c>
      <c r="N29" s="642">
        <v>0</v>
      </c>
      <c r="O29" s="642">
        <v>0</v>
      </c>
      <c r="P29" s="642">
        <v>0</v>
      </c>
      <c r="Q29" s="642">
        <v>0</v>
      </c>
      <c r="R29" s="642">
        <v>0</v>
      </c>
      <c r="S29" s="650">
        <v>34.69565537072252</v>
      </c>
      <c r="U29" s="648" t="s">
        <v>356</v>
      </c>
      <c r="V29" s="642">
        <v>5.4641713867187498</v>
      </c>
      <c r="W29" s="642">
        <v>-15.038275485521009</v>
      </c>
      <c r="X29" s="642">
        <v>19.669176096265762</v>
      </c>
      <c r="Y29" s="642">
        <v>0</v>
      </c>
      <c r="Z29" s="642">
        <v>0</v>
      </c>
      <c r="AA29" s="642">
        <v>0</v>
      </c>
      <c r="AB29" s="642">
        <v>0</v>
      </c>
      <c r="AC29" s="642">
        <v>0</v>
      </c>
      <c r="AD29" s="642">
        <v>0</v>
      </c>
      <c r="AE29" s="642">
        <v>0</v>
      </c>
      <c r="AF29" s="642">
        <v>0</v>
      </c>
      <c r="AG29" s="642">
        <v>0</v>
      </c>
      <c r="AH29" s="642">
        <v>0</v>
      </c>
      <c r="AI29" s="642">
        <v>0</v>
      </c>
      <c r="AJ29" s="642">
        <v>0</v>
      </c>
      <c r="AK29" s="650">
        <v>10.095071997463503</v>
      </c>
    </row>
    <row r="30" spans="3:37" ht="13.5">
      <c r="C30" s="648" t="s">
        <v>75</v>
      </c>
      <c r="D30" s="642">
        <v>11.156180546875001</v>
      </c>
      <c r="E30" s="642">
        <v>0</v>
      </c>
      <c r="F30" s="642">
        <v>19.145306286774794</v>
      </c>
      <c r="G30" s="642">
        <v>5.4631694586555604</v>
      </c>
      <c r="H30" s="642">
        <v>0</v>
      </c>
      <c r="I30" s="642">
        <v>0</v>
      </c>
      <c r="J30" s="642">
        <v>0</v>
      </c>
      <c r="K30" s="642">
        <v>0</v>
      </c>
      <c r="L30" s="642">
        <v>0</v>
      </c>
      <c r="M30" s="642">
        <v>0.11149325425827675</v>
      </c>
      <c r="N30" s="642">
        <v>0</v>
      </c>
      <c r="O30" s="642">
        <v>0</v>
      </c>
      <c r="P30" s="642">
        <v>36.294895286159367</v>
      </c>
      <c r="Q30" s="642">
        <v>0</v>
      </c>
      <c r="R30" s="642">
        <v>0</v>
      </c>
      <c r="S30" s="650">
        <v>72.171044832722998</v>
      </c>
      <c r="U30" s="648" t="s">
        <v>75</v>
      </c>
      <c r="V30" s="642">
        <v>5.6084375</v>
      </c>
      <c r="W30" s="642">
        <v>0</v>
      </c>
      <c r="X30" s="642">
        <v>19.145306286774794</v>
      </c>
      <c r="Y30" s="642">
        <v>5.0171964416224535</v>
      </c>
      <c r="Z30" s="642">
        <v>0</v>
      </c>
      <c r="AA30" s="642">
        <v>0</v>
      </c>
      <c r="AB30" s="642">
        <v>0</v>
      </c>
      <c r="AC30" s="642">
        <v>0</v>
      </c>
      <c r="AD30" s="642">
        <v>0</v>
      </c>
      <c r="AE30" s="642">
        <v>0.55746627129138371</v>
      </c>
      <c r="AF30" s="642">
        <v>0</v>
      </c>
      <c r="AG30" s="642">
        <v>0</v>
      </c>
      <c r="AH30" s="642">
        <v>31.128531649795733</v>
      </c>
      <c r="AI30" s="642">
        <v>0</v>
      </c>
      <c r="AJ30" s="642">
        <v>0</v>
      </c>
      <c r="AK30" s="650">
        <v>61.456938149484365</v>
      </c>
    </row>
    <row r="31" spans="3:37" ht="13.5">
      <c r="C31" s="648" t="s">
        <v>76</v>
      </c>
      <c r="D31" s="642">
        <v>0</v>
      </c>
      <c r="E31" s="642">
        <v>0</v>
      </c>
      <c r="F31" s="642">
        <v>0</v>
      </c>
      <c r="G31" s="642">
        <v>3.9320361398527859</v>
      </c>
      <c r="H31" s="642">
        <v>0</v>
      </c>
      <c r="I31" s="642">
        <v>0</v>
      </c>
      <c r="J31" s="642">
        <v>0</v>
      </c>
      <c r="K31" s="642">
        <v>0</v>
      </c>
      <c r="L31" s="642">
        <v>0</v>
      </c>
      <c r="M31" s="642">
        <v>8.0245635507199722E-2</v>
      </c>
      <c r="N31" s="642">
        <v>0</v>
      </c>
      <c r="O31" s="642">
        <v>0</v>
      </c>
      <c r="P31" s="642">
        <v>40.722330861669313</v>
      </c>
      <c r="Q31" s="642">
        <v>3.067587727965682</v>
      </c>
      <c r="R31" s="642">
        <v>0</v>
      </c>
      <c r="S31" s="650">
        <v>47.802200364994981</v>
      </c>
      <c r="U31" s="648" t="s">
        <v>76</v>
      </c>
      <c r="V31" s="642">
        <v>0</v>
      </c>
      <c r="W31" s="642">
        <v>0</v>
      </c>
      <c r="X31" s="642">
        <v>0</v>
      </c>
      <c r="Y31" s="642">
        <v>3.2661405451259231</v>
      </c>
      <c r="Z31" s="642">
        <v>0</v>
      </c>
      <c r="AA31" s="642">
        <v>0</v>
      </c>
      <c r="AB31" s="642">
        <v>0</v>
      </c>
      <c r="AC31" s="642">
        <v>0</v>
      </c>
      <c r="AD31" s="642">
        <v>0</v>
      </c>
      <c r="AE31" s="642">
        <v>0.36290450501399146</v>
      </c>
      <c r="AF31" s="642">
        <v>0</v>
      </c>
      <c r="AG31" s="642">
        <v>0</v>
      </c>
      <c r="AH31" s="642">
        <v>41.021033770751153</v>
      </c>
      <c r="AI31" s="642">
        <v>5.1842177504327198</v>
      </c>
      <c r="AJ31" s="642">
        <v>0</v>
      </c>
      <c r="AK31" s="650">
        <v>49.83429657132379</v>
      </c>
    </row>
    <row r="32" spans="3:37" ht="13.5">
      <c r="C32" s="646" t="s">
        <v>77</v>
      </c>
      <c r="D32" s="647">
        <v>42.670287594150253</v>
      </c>
      <c r="E32" s="647">
        <v>543.58592423347193</v>
      </c>
      <c r="F32" s="647">
        <v>-505.27054203728642</v>
      </c>
      <c r="G32" s="647">
        <v>43.651536955186302</v>
      </c>
      <c r="H32" s="647">
        <v>1190.909090909091</v>
      </c>
      <c r="I32" s="647">
        <v>182.7291074592973</v>
      </c>
      <c r="J32" s="647">
        <v>90.391720844241689</v>
      </c>
      <c r="K32" s="647">
        <v>20.465410367143665</v>
      </c>
      <c r="L32" s="647">
        <v>-35.549865905347978</v>
      </c>
      <c r="M32" s="647">
        <v>-5.7591390219552938</v>
      </c>
      <c r="N32" s="647">
        <v>0</v>
      </c>
      <c r="O32" s="647">
        <v>5.2974013835997482</v>
      </c>
      <c r="P32" s="647">
        <v>-528.42224004688751</v>
      </c>
      <c r="Q32" s="647">
        <v>-36.463227585949021</v>
      </c>
      <c r="R32" s="647">
        <v>-0.71363666999870479</v>
      </c>
      <c r="S32" s="647">
        <v>1007.5218284787569</v>
      </c>
      <c r="U32" s="646" t="s">
        <v>77</v>
      </c>
      <c r="V32" s="647">
        <v>11.698923792177441</v>
      </c>
      <c r="W32" s="647">
        <v>418.96678903167981</v>
      </c>
      <c r="X32" s="647">
        <v>-387.18339834497311</v>
      </c>
      <c r="Y32" s="647">
        <v>75.148112962003211</v>
      </c>
      <c r="Z32" s="647">
        <v>1069.3939393939395</v>
      </c>
      <c r="AA32" s="647">
        <v>197.24910745929728</v>
      </c>
      <c r="AB32" s="647">
        <v>86.883130562246151</v>
      </c>
      <c r="AC32" s="647">
        <v>30.900823331372262</v>
      </c>
      <c r="AD32" s="647">
        <v>-49.654518519925347</v>
      </c>
      <c r="AE32" s="647">
        <v>-22.137761047546249</v>
      </c>
      <c r="AF32" s="647">
        <v>0</v>
      </c>
      <c r="AG32" s="647">
        <v>8.719548856576397</v>
      </c>
      <c r="AH32" s="647">
        <v>-515.91151940402369</v>
      </c>
      <c r="AI32" s="647">
        <v>-61.66120404388996</v>
      </c>
      <c r="AJ32" s="647">
        <v>-7.4600647069910382</v>
      </c>
      <c r="AK32" s="647">
        <v>854.95190932194248</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6.5032741679727843</v>
      </c>
      <c r="E34" s="642">
        <v>0</v>
      </c>
      <c r="F34" s="642">
        <v>25.052429385041094</v>
      </c>
      <c r="G34" s="642">
        <v>105.0474497029609</v>
      </c>
      <c r="H34" s="642">
        <v>0</v>
      </c>
      <c r="I34" s="642">
        <v>0</v>
      </c>
      <c r="J34" s="642">
        <v>18.534460646102772</v>
      </c>
      <c r="K34" s="642">
        <v>1.777675824710524</v>
      </c>
      <c r="L34" s="642">
        <v>0.85092246484375</v>
      </c>
      <c r="M34" s="642">
        <v>2.1625963554323833</v>
      </c>
      <c r="N34" s="642">
        <v>0</v>
      </c>
      <c r="O34" s="642">
        <v>3.8267455312152764E-4</v>
      </c>
      <c r="P34" s="642">
        <v>109.51907717242362</v>
      </c>
      <c r="Q34" s="642">
        <v>16.327213841854732</v>
      </c>
      <c r="R34" s="642">
        <v>0.36001684570312498</v>
      </c>
      <c r="S34" s="650">
        <v>286.13549908159882</v>
      </c>
      <c r="U34" s="648" t="s">
        <v>78</v>
      </c>
      <c r="V34" s="642">
        <v>0.86555588121413052</v>
      </c>
      <c r="W34" s="642">
        <v>0</v>
      </c>
      <c r="X34" s="642">
        <v>16.762295336222397</v>
      </c>
      <c r="Y34" s="642">
        <v>79.095876477460209</v>
      </c>
      <c r="Z34" s="642">
        <v>0</v>
      </c>
      <c r="AA34" s="642">
        <v>0</v>
      </c>
      <c r="AB34" s="642">
        <v>17.089093863910584</v>
      </c>
      <c r="AC34" s="642">
        <v>6.0070182825186862</v>
      </c>
      <c r="AD34" s="642">
        <v>1.13006109375</v>
      </c>
      <c r="AE34" s="642">
        <v>8.8072015710081235</v>
      </c>
      <c r="AF34" s="642">
        <v>0</v>
      </c>
      <c r="AG34" s="642">
        <v>3.8267455312152764E-4</v>
      </c>
      <c r="AH34" s="642">
        <v>130.4568218783393</v>
      </c>
      <c r="AI34" s="642">
        <v>20.327951659562498</v>
      </c>
      <c r="AJ34" s="642">
        <v>4.7486479492187499</v>
      </c>
      <c r="AK34" s="650">
        <v>285.29090666775784</v>
      </c>
    </row>
    <row r="35" spans="3:37" ht="13.5">
      <c r="C35" s="648" t="s">
        <v>79</v>
      </c>
      <c r="D35" s="642">
        <v>0</v>
      </c>
      <c r="E35" s="642">
        <v>0</v>
      </c>
      <c r="F35" s="642">
        <v>344.1701238998171</v>
      </c>
      <c r="G35" s="642">
        <v>14.686948049507158</v>
      </c>
      <c r="H35" s="642">
        <v>0</v>
      </c>
      <c r="I35" s="642">
        <v>0</v>
      </c>
      <c r="J35" s="642">
        <v>0</v>
      </c>
      <c r="K35" s="642">
        <v>0</v>
      </c>
      <c r="L35" s="642">
        <v>33.466916874810835</v>
      </c>
      <c r="M35" s="642">
        <v>0.29973363366341144</v>
      </c>
      <c r="N35" s="642">
        <v>0</v>
      </c>
      <c r="O35" s="642">
        <v>0</v>
      </c>
      <c r="P35" s="642">
        <v>30.235692409435519</v>
      </c>
      <c r="Q35" s="642">
        <v>0</v>
      </c>
      <c r="R35" s="642">
        <v>0.35361982429557981</v>
      </c>
      <c r="S35" s="650">
        <v>423.21303469152963</v>
      </c>
      <c r="U35" s="648" t="s">
        <v>79</v>
      </c>
      <c r="V35" s="642">
        <v>0</v>
      </c>
      <c r="W35" s="642">
        <v>0</v>
      </c>
      <c r="X35" s="642">
        <v>271.88041786379415</v>
      </c>
      <c r="Y35" s="642">
        <v>13.227335330391124</v>
      </c>
      <c r="Z35" s="642">
        <v>0</v>
      </c>
      <c r="AA35" s="642">
        <v>0</v>
      </c>
      <c r="AB35" s="642">
        <v>0</v>
      </c>
      <c r="AC35" s="642">
        <v>0</v>
      </c>
      <c r="AD35" s="642">
        <v>36.694869225102572</v>
      </c>
      <c r="AE35" s="642">
        <v>1.4697039255990136</v>
      </c>
      <c r="AF35" s="642">
        <v>0</v>
      </c>
      <c r="AG35" s="642">
        <v>0</v>
      </c>
      <c r="AH35" s="642">
        <v>34.641740873286757</v>
      </c>
      <c r="AI35" s="642">
        <v>0</v>
      </c>
      <c r="AJ35" s="642">
        <v>0.81877289536698361</v>
      </c>
      <c r="AK35" s="650">
        <v>358.73284011354053</v>
      </c>
    </row>
    <row r="36" spans="3:37" ht="13.5">
      <c r="C36" s="648" t="s">
        <v>80</v>
      </c>
      <c r="D36" s="642">
        <v>0</v>
      </c>
      <c r="E36" s="642">
        <v>0</v>
      </c>
      <c r="F36" s="642">
        <v>31.509183869953784</v>
      </c>
      <c r="G36" s="642">
        <v>103.72357678672635</v>
      </c>
      <c r="H36" s="642">
        <v>0</v>
      </c>
      <c r="I36" s="642">
        <v>0</v>
      </c>
      <c r="J36" s="642">
        <v>78.735270640359559</v>
      </c>
      <c r="K36" s="642">
        <v>0</v>
      </c>
      <c r="L36" s="642">
        <v>0</v>
      </c>
      <c r="M36" s="642">
        <v>2.1168076895250278</v>
      </c>
      <c r="N36" s="642">
        <v>41.43976216997369</v>
      </c>
      <c r="O36" s="642">
        <v>1.9317269815068459</v>
      </c>
      <c r="P36" s="642">
        <v>175.94122104806229</v>
      </c>
      <c r="Q36" s="642">
        <v>15.783130887728015</v>
      </c>
      <c r="R36" s="642">
        <v>0</v>
      </c>
      <c r="S36" s="650">
        <v>451.18068007383562</v>
      </c>
      <c r="U36" s="648" t="s">
        <v>80</v>
      </c>
      <c r="V36" s="642">
        <v>0</v>
      </c>
      <c r="W36" s="642">
        <v>0</v>
      </c>
      <c r="X36" s="642">
        <v>2.7574808042030705</v>
      </c>
      <c r="Y36" s="642">
        <v>67.24718580242552</v>
      </c>
      <c r="Z36" s="642">
        <v>0</v>
      </c>
      <c r="AA36" s="642">
        <v>0</v>
      </c>
      <c r="AB36" s="642">
        <v>71.925876784938879</v>
      </c>
      <c r="AC36" s="642">
        <v>0</v>
      </c>
      <c r="AD36" s="642">
        <v>0</v>
      </c>
      <c r="AE36" s="642">
        <v>7.4719095336028349</v>
      </c>
      <c r="AF36" s="642">
        <v>46.984438986784113</v>
      </c>
      <c r="AG36" s="642">
        <v>1.9327369863094026</v>
      </c>
      <c r="AH36" s="642">
        <v>159.87092870367675</v>
      </c>
      <c r="AI36" s="642">
        <v>32.787807198116425</v>
      </c>
      <c r="AJ36" s="642">
        <v>0</v>
      </c>
      <c r="AK36" s="650">
        <v>390.97836480005702</v>
      </c>
    </row>
    <row r="37" spans="3:37" ht="13.5">
      <c r="C37" s="648" t="s">
        <v>81</v>
      </c>
      <c r="D37" s="642">
        <v>0</v>
      </c>
      <c r="E37" s="642">
        <v>0</v>
      </c>
      <c r="F37" s="642">
        <v>13.089485167364064</v>
      </c>
      <c r="G37" s="642">
        <v>62.329787012805554</v>
      </c>
      <c r="H37" s="642">
        <v>0</v>
      </c>
      <c r="I37" s="642">
        <v>0</v>
      </c>
      <c r="J37" s="642">
        <v>3.5803203712753549</v>
      </c>
      <c r="K37" s="642">
        <v>2.4997359764460676E-2</v>
      </c>
      <c r="L37" s="642">
        <v>0</v>
      </c>
      <c r="M37" s="642">
        <v>1.2720364696490929</v>
      </c>
      <c r="N37" s="642">
        <v>8.0745890957481183</v>
      </c>
      <c r="O37" s="642">
        <v>0.83294326034961275</v>
      </c>
      <c r="P37" s="642">
        <v>131.24016316985416</v>
      </c>
      <c r="Q37" s="642">
        <v>4.3528828563662758</v>
      </c>
      <c r="R37" s="642">
        <v>0</v>
      </c>
      <c r="S37" s="650">
        <v>224.79720476317669</v>
      </c>
      <c r="U37" s="648" t="s">
        <v>81</v>
      </c>
      <c r="V37" s="642">
        <v>0</v>
      </c>
      <c r="W37" s="642">
        <v>0</v>
      </c>
      <c r="X37" s="642">
        <v>3.9119597768221439</v>
      </c>
      <c r="Y37" s="642">
        <v>38.3508738706755</v>
      </c>
      <c r="Z37" s="642">
        <v>0</v>
      </c>
      <c r="AA37" s="642">
        <v>0</v>
      </c>
      <c r="AB37" s="642">
        <v>7.8602291254253389</v>
      </c>
      <c r="AC37" s="642">
        <v>2.4997359764460676E-2</v>
      </c>
      <c r="AD37" s="642">
        <v>0</v>
      </c>
      <c r="AE37" s="642">
        <v>4.2612082078528335</v>
      </c>
      <c r="AF37" s="642">
        <v>14.106786738135797</v>
      </c>
      <c r="AG37" s="642">
        <v>1.7661272775976942</v>
      </c>
      <c r="AH37" s="642">
        <v>123.29032263862543</v>
      </c>
      <c r="AI37" s="642">
        <v>8.5454451862110297</v>
      </c>
      <c r="AJ37" s="642">
        <v>0</v>
      </c>
      <c r="AK37" s="650">
        <v>202.11795018111022</v>
      </c>
    </row>
    <row r="38" spans="3:37" ht="13.5">
      <c r="C38" s="648" t="s">
        <v>82</v>
      </c>
      <c r="D38" s="642">
        <v>0</v>
      </c>
      <c r="E38" s="642">
        <v>0</v>
      </c>
      <c r="F38" s="642">
        <v>33.167847610565538</v>
      </c>
      <c r="G38" s="642">
        <v>2.1624159537319825</v>
      </c>
      <c r="H38" s="642">
        <v>0</v>
      </c>
      <c r="I38" s="642">
        <v>0</v>
      </c>
      <c r="J38" s="642">
        <v>1.4487991994826963</v>
      </c>
      <c r="K38" s="642">
        <v>0</v>
      </c>
      <c r="L38" s="642">
        <v>2.4657875210358444</v>
      </c>
      <c r="M38" s="642">
        <v>4.4130937831264955E-2</v>
      </c>
      <c r="N38" s="642">
        <v>0</v>
      </c>
      <c r="O38" s="642">
        <v>8.4265288301735436E-2</v>
      </c>
      <c r="P38" s="642">
        <v>7.7746258142900144</v>
      </c>
      <c r="Q38" s="642">
        <v>0</v>
      </c>
      <c r="R38" s="642">
        <v>0</v>
      </c>
      <c r="S38" s="650">
        <v>47.147872325239064</v>
      </c>
      <c r="U38" s="648" t="s">
        <v>82</v>
      </c>
      <c r="V38" s="642">
        <v>0</v>
      </c>
      <c r="W38" s="642">
        <v>0</v>
      </c>
      <c r="X38" s="642">
        <v>27.0175910939627</v>
      </c>
      <c r="Y38" s="642">
        <v>2.3189520199147382</v>
      </c>
      <c r="Z38" s="642">
        <v>0</v>
      </c>
      <c r="AA38" s="642">
        <v>0</v>
      </c>
      <c r="AB38" s="642">
        <v>1.4487991994826963</v>
      </c>
      <c r="AC38" s="642">
        <v>0</v>
      </c>
      <c r="AD38" s="642">
        <v>9.9723689588186737</v>
      </c>
      <c r="AE38" s="642">
        <v>0.257661335546082</v>
      </c>
      <c r="AF38" s="642">
        <v>0</v>
      </c>
      <c r="AG38" s="642">
        <v>0.62518456969816016</v>
      </c>
      <c r="AH38" s="642">
        <v>7.8177780162568453</v>
      </c>
      <c r="AI38" s="642">
        <v>0</v>
      </c>
      <c r="AJ38" s="642">
        <v>0.17366238047171115</v>
      </c>
      <c r="AK38" s="650">
        <v>49.631997574151612</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v>
      </c>
      <c r="Q39" s="642">
        <v>0</v>
      </c>
      <c r="R39" s="642">
        <v>0</v>
      </c>
      <c r="S39" s="650">
        <v>0</v>
      </c>
      <c r="U39" s="648" t="s">
        <v>357</v>
      </c>
      <c r="V39" s="642">
        <v>0</v>
      </c>
      <c r="W39" s="642">
        <v>0</v>
      </c>
      <c r="X39" s="642">
        <v>0</v>
      </c>
      <c r="Y39" s="642">
        <v>0</v>
      </c>
      <c r="Z39" s="642">
        <v>0</v>
      </c>
      <c r="AA39" s="642">
        <v>0</v>
      </c>
      <c r="AB39" s="642">
        <v>0</v>
      </c>
      <c r="AC39" s="642">
        <v>0</v>
      </c>
      <c r="AD39" s="642">
        <v>0</v>
      </c>
      <c r="AE39" s="642">
        <v>0</v>
      </c>
      <c r="AF39" s="642">
        <v>0</v>
      </c>
      <c r="AG39" s="642">
        <v>0</v>
      </c>
      <c r="AH39" s="642">
        <v>0.6</v>
      </c>
      <c r="AI39" s="642">
        <v>0</v>
      </c>
      <c r="AJ39" s="642">
        <v>0</v>
      </c>
      <c r="AK39" s="650">
        <v>0.6</v>
      </c>
    </row>
    <row r="40" spans="3:37" ht="13.5">
      <c r="C40" s="646" t="s">
        <v>83</v>
      </c>
      <c r="D40" s="647">
        <v>6.5032741679727843</v>
      </c>
      <c r="E40" s="647">
        <v>0</v>
      </c>
      <c r="F40" s="647">
        <v>446.98906993274153</v>
      </c>
      <c r="G40" s="647">
        <v>287.95017750573197</v>
      </c>
      <c r="H40" s="647">
        <v>0</v>
      </c>
      <c r="I40" s="647">
        <v>0</v>
      </c>
      <c r="J40" s="647">
        <v>102.29885085722037</v>
      </c>
      <c r="K40" s="647">
        <v>1.8026731844749846</v>
      </c>
      <c r="L40" s="647">
        <v>36.783626860690426</v>
      </c>
      <c r="M40" s="647">
        <v>5.8953050861011809</v>
      </c>
      <c r="N40" s="647">
        <v>49.514351265721807</v>
      </c>
      <c r="O40" s="647">
        <v>2.8493182047113157</v>
      </c>
      <c r="P40" s="647">
        <v>454.71077961406559</v>
      </c>
      <c r="Q40" s="647">
        <v>36.463227585949028</v>
      </c>
      <c r="R40" s="647">
        <v>0.71363666999870479</v>
      </c>
      <c r="S40" s="647">
        <v>1432.4742909353797</v>
      </c>
      <c r="U40" s="646" t="s">
        <v>83</v>
      </c>
      <c r="V40" s="647">
        <v>0.86555588121413052</v>
      </c>
      <c r="W40" s="647">
        <v>0</v>
      </c>
      <c r="X40" s="647">
        <v>322.32974487500439</v>
      </c>
      <c r="Y40" s="647">
        <v>200.24022350086713</v>
      </c>
      <c r="Z40" s="647">
        <v>0</v>
      </c>
      <c r="AA40" s="647">
        <v>0</v>
      </c>
      <c r="AB40" s="647">
        <v>98.323998973757497</v>
      </c>
      <c r="AC40" s="647">
        <v>6.032015642283147</v>
      </c>
      <c r="AD40" s="647">
        <v>47.797299277671243</v>
      </c>
      <c r="AE40" s="647">
        <v>22.267684573608886</v>
      </c>
      <c r="AF40" s="647">
        <v>61.091225724919909</v>
      </c>
      <c r="AG40" s="647">
        <v>4.3244315081583782</v>
      </c>
      <c r="AH40" s="647">
        <v>456.67759211018512</v>
      </c>
      <c r="AI40" s="647">
        <v>61.66120404388996</v>
      </c>
      <c r="AJ40" s="647">
        <v>5.7410832250574444</v>
      </c>
      <c r="AK40" s="647">
        <v>1287.352059336617</v>
      </c>
    </row>
    <row r="41" spans="3:37" ht="13.5">
      <c r="C41" s="641" t="s">
        <v>84</v>
      </c>
      <c r="D41" s="642">
        <v>0</v>
      </c>
      <c r="E41" s="642">
        <v>0</v>
      </c>
      <c r="F41" s="642">
        <v>120.50577840542185</v>
      </c>
      <c r="G41" s="642">
        <v>12.411293173801123</v>
      </c>
      <c r="H41" s="642">
        <v>0</v>
      </c>
      <c r="I41" s="642">
        <v>0</v>
      </c>
      <c r="J41" s="642">
        <v>0</v>
      </c>
      <c r="K41" s="642">
        <v>0</v>
      </c>
      <c r="L41" s="642">
        <v>0</v>
      </c>
      <c r="M41" s="642">
        <v>0</v>
      </c>
      <c r="N41" s="642">
        <v>0</v>
      </c>
      <c r="O41" s="642">
        <v>0</v>
      </c>
      <c r="P41" s="642">
        <v>0</v>
      </c>
      <c r="Q41" s="642">
        <v>0</v>
      </c>
      <c r="R41" s="642">
        <v>0</v>
      </c>
      <c r="S41" s="650">
        <v>132.91707157922298</v>
      </c>
      <c r="U41" s="641" t="s">
        <v>84</v>
      </c>
      <c r="V41" s="642">
        <v>0</v>
      </c>
      <c r="W41" s="642">
        <v>0</v>
      </c>
      <c r="X41" s="642">
        <v>117.28279502427566</v>
      </c>
      <c r="Y41" s="642">
        <v>1.8168604665649504</v>
      </c>
      <c r="Z41" s="642">
        <v>0</v>
      </c>
      <c r="AA41" s="642">
        <v>0</v>
      </c>
      <c r="AB41" s="642">
        <v>0</v>
      </c>
      <c r="AC41" s="642">
        <v>0</v>
      </c>
      <c r="AD41" s="642">
        <v>0.35207966308593752</v>
      </c>
      <c r="AE41" s="642">
        <v>0</v>
      </c>
      <c r="AF41" s="642">
        <v>0</v>
      </c>
      <c r="AG41" s="642">
        <v>0</v>
      </c>
      <c r="AH41" s="642">
        <v>0</v>
      </c>
      <c r="AI41" s="642">
        <v>0</v>
      </c>
      <c r="AJ41" s="642">
        <v>1.7189814819335938</v>
      </c>
      <c r="AK41" s="650">
        <v>121.17071663586013</v>
      </c>
    </row>
    <row r="42" spans="3:37" ht="13.5">
      <c r="C42" s="646" t="s">
        <v>85</v>
      </c>
      <c r="D42" s="647">
        <v>6.5032741679727843</v>
      </c>
      <c r="E42" s="647">
        <v>0</v>
      </c>
      <c r="F42" s="647">
        <v>567.49484833816337</v>
      </c>
      <c r="G42" s="647">
        <v>300.36147067953311</v>
      </c>
      <c r="H42" s="647">
        <v>0</v>
      </c>
      <c r="I42" s="647">
        <v>0</v>
      </c>
      <c r="J42" s="647">
        <v>102.29885085722037</v>
      </c>
      <c r="K42" s="647">
        <v>1.8026731844749846</v>
      </c>
      <c r="L42" s="647">
        <v>36.783626860690426</v>
      </c>
      <c r="M42" s="647">
        <v>5.8953050861011809</v>
      </c>
      <c r="N42" s="647">
        <v>49.514351265721807</v>
      </c>
      <c r="O42" s="647">
        <v>2.8493182047113157</v>
      </c>
      <c r="P42" s="647">
        <v>454.71077961406559</v>
      </c>
      <c r="Q42" s="647">
        <v>36.463227585949028</v>
      </c>
      <c r="R42" s="647">
        <v>0.71363666999870479</v>
      </c>
      <c r="S42" s="647">
        <v>1565.3913625146026</v>
      </c>
      <c r="U42" s="646" t="s">
        <v>85</v>
      </c>
      <c r="V42" s="647">
        <v>0.86555588121413052</v>
      </c>
      <c r="W42" s="647">
        <v>0</v>
      </c>
      <c r="X42" s="647">
        <v>439.61253989928008</v>
      </c>
      <c r="Y42" s="647">
        <v>202.05708396743208</v>
      </c>
      <c r="Z42" s="647">
        <v>0</v>
      </c>
      <c r="AA42" s="647">
        <v>0</v>
      </c>
      <c r="AB42" s="647">
        <v>98.323998973757497</v>
      </c>
      <c r="AC42" s="647">
        <v>6.032015642283147</v>
      </c>
      <c r="AD42" s="647">
        <v>48.149378940757181</v>
      </c>
      <c r="AE42" s="647">
        <v>22.267684573608886</v>
      </c>
      <c r="AF42" s="647">
        <v>61.091225724919909</v>
      </c>
      <c r="AG42" s="647">
        <v>4.3244315081583782</v>
      </c>
      <c r="AH42" s="647">
        <v>456.67759211018512</v>
      </c>
      <c r="AI42" s="647">
        <v>61.66120404388996</v>
      </c>
      <c r="AJ42" s="647">
        <v>7.4600647069910382</v>
      </c>
      <c r="AK42" s="647">
        <v>1408.5227759724771</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360</v>
      </c>
      <c r="D44" s="699"/>
      <c r="E44" s="699"/>
      <c r="F44" s="699"/>
      <c r="G44" s="699"/>
      <c r="H44" s="699"/>
      <c r="I44" s="699"/>
      <c r="J44" s="699"/>
      <c r="K44" s="699"/>
      <c r="L44" s="699"/>
      <c r="M44" s="699"/>
      <c r="N44" s="699"/>
      <c r="O44" s="699"/>
      <c r="P44" s="699"/>
      <c r="Q44" s="699"/>
      <c r="R44" s="699"/>
      <c r="S44" s="699"/>
      <c r="U44" s="699" t="s">
        <v>360</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7.3966799999999999</v>
      </c>
      <c r="F48" s="643">
        <v>0</v>
      </c>
      <c r="G48" s="642">
        <v>0.13025600000000001</v>
      </c>
      <c r="H48" s="643">
        <v>1121.3636363636365</v>
      </c>
      <c r="I48" s="643">
        <v>207.57369132422022</v>
      </c>
      <c r="J48" s="643">
        <v>190.75115787672021</v>
      </c>
      <c r="K48" s="643">
        <v>21.756321957796004</v>
      </c>
      <c r="L48" s="643">
        <v>0.34997737871272444</v>
      </c>
      <c r="M48" s="643">
        <v>0.14846473955328648</v>
      </c>
      <c r="N48" s="643">
        <v>54.409714472774652</v>
      </c>
      <c r="O48" s="643">
        <v>8.1015620286034657</v>
      </c>
      <c r="P48" s="644">
        <v>0</v>
      </c>
      <c r="Q48" s="643">
        <v>0</v>
      </c>
      <c r="R48" s="643">
        <v>0</v>
      </c>
      <c r="S48" s="645">
        <v>1611.9814621420169</v>
      </c>
      <c r="U48" s="641" t="s">
        <v>59</v>
      </c>
      <c r="V48" s="642">
        <v>0</v>
      </c>
      <c r="W48" s="643">
        <v>7.3966799999999999</v>
      </c>
      <c r="X48" s="643">
        <v>0</v>
      </c>
      <c r="Y48" s="642">
        <v>0.13025600000000001</v>
      </c>
      <c r="Z48" s="643">
        <v>1024.3939393939395</v>
      </c>
      <c r="AA48" s="643">
        <v>228.1236913242202</v>
      </c>
      <c r="AB48" s="643">
        <v>188.80425896422437</v>
      </c>
      <c r="AC48" s="643">
        <v>37.588366510920622</v>
      </c>
      <c r="AD48" s="643">
        <v>0.34997737871272444</v>
      </c>
      <c r="AE48" s="643">
        <v>0.14846473955328648</v>
      </c>
      <c r="AF48" s="643">
        <v>70.498567758341522</v>
      </c>
      <c r="AG48" s="643">
        <v>15.201618538088493</v>
      </c>
      <c r="AH48" s="644">
        <v>0</v>
      </c>
      <c r="AI48" s="643">
        <v>0</v>
      </c>
      <c r="AJ48" s="643">
        <v>0</v>
      </c>
      <c r="AK48" s="645">
        <v>1572.6358206080006</v>
      </c>
    </row>
    <row r="49" spans="3:37" ht="13.5">
      <c r="C49" s="641" t="s">
        <v>60</v>
      </c>
      <c r="D49" s="642">
        <v>48.993463204278932</v>
      </c>
      <c r="E49" s="643">
        <v>524.37115290345116</v>
      </c>
      <c r="F49" s="643">
        <v>128.47715148642752</v>
      </c>
      <c r="G49" s="642">
        <v>338.60190682175607</v>
      </c>
      <c r="H49" s="643">
        <v>0</v>
      </c>
      <c r="I49" s="643">
        <v>0</v>
      </c>
      <c r="J49" s="643">
        <v>3.4492102766833175</v>
      </c>
      <c r="K49" s="643">
        <v>0</v>
      </c>
      <c r="L49" s="643">
        <v>1.9497058389942057</v>
      </c>
      <c r="M49" s="643">
        <v>0</v>
      </c>
      <c r="N49" s="643">
        <v>0</v>
      </c>
      <c r="O49" s="643">
        <v>0</v>
      </c>
      <c r="P49" s="644">
        <v>0</v>
      </c>
      <c r="Q49" s="643">
        <v>0</v>
      </c>
      <c r="R49" s="643">
        <v>0</v>
      </c>
      <c r="S49" s="645">
        <v>1045.8425905315912</v>
      </c>
      <c r="U49" s="641" t="s">
        <v>60</v>
      </c>
      <c r="V49" s="642">
        <v>10.847134235204434</v>
      </c>
      <c r="W49" s="643">
        <v>365.76498082844296</v>
      </c>
      <c r="X49" s="643">
        <v>91.958139733680838</v>
      </c>
      <c r="Y49" s="642">
        <v>234.76100914366791</v>
      </c>
      <c r="Z49" s="643">
        <v>0</v>
      </c>
      <c r="AA49" s="643">
        <v>0</v>
      </c>
      <c r="AB49" s="643">
        <v>3.4492102766833175</v>
      </c>
      <c r="AC49" s="643">
        <v>0</v>
      </c>
      <c r="AD49" s="643">
        <v>1.9497058389942057</v>
      </c>
      <c r="AE49" s="643">
        <v>0</v>
      </c>
      <c r="AF49" s="643">
        <v>0</v>
      </c>
      <c r="AG49" s="643">
        <v>0</v>
      </c>
      <c r="AH49" s="644">
        <v>0</v>
      </c>
      <c r="AI49" s="643">
        <v>0</v>
      </c>
      <c r="AJ49" s="643">
        <v>0</v>
      </c>
      <c r="AK49" s="645">
        <v>708.7301800566737</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-60.003896317889257</v>
      </c>
      <c r="Q50" s="643">
        <v>0</v>
      </c>
      <c r="R50" s="643">
        <v>0</v>
      </c>
      <c r="S50" s="645">
        <v>-60.003896317889257</v>
      </c>
      <c r="U50" s="641" t="s">
        <v>61</v>
      </c>
      <c r="V50" s="642">
        <v>0</v>
      </c>
      <c r="W50" s="643">
        <v>0</v>
      </c>
      <c r="X50" s="643">
        <v>0</v>
      </c>
      <c r="Y50" s="642">
        <v>0</v>
      </c>
      <c r="Z50" s="643">
        <v>0</v>
      </c>
      <c r="AA50" s="643">
        <v>0</v>
      </c>
      <c r="AB50" s="643">
        <v>0</v>
      </c>
      <c r="AC50" s="643">
        <v>0</v>
      </c>
      <c r="AD50" s="643">
        <v>0</v>
      </c>
      <c r="AE50" s="643">
        <v>0</v>
      </c>
      <c r="AF50" s="643">
        <v>0</v>
      </c>
      <c r="AG50" s="643">
        <v>0</v>
      </c>
      <c r="AH50" s="644">
        <v>-43.289743938015249</v>
      </c>
      <c r="AI50" s="643">
        <v>0</v>
      </c>
      <c r="AJ50" s="643">
        <v>0</v>
      </c>
      <c r="AK50" s="645">
        <v>-43.289743938015249</v>
      </c>
    </row>
    <row r="51" spans="3:37" ht="13.5">
      <c r="C51" s="641" t="s">
        <v>62</v>
      </c>
      <c r="D51" s="642">
        <v>0</v>
      </c>
      <c r="E51" s="643">
        <v>0</v>
      </c>
      <c r="F51" s="643">
        <v>-16.352432750095883</v>
      </c>
      <c r="G51" s="642">
        <v>0</v>
      </c>
      <c r="H51" s="643">
        <v>0</v>
      </c>
      <c r="I51" s="643">
        <v>0</v>
      </c>
      <c r="J51" s="643">
        <v>0</v>
      </c>
      <c r="K51" s="643">
        <v>0</v>
      </c>
      <c r="L51" s="643">
        <v>0</v>
      </c>
      <c r="M51" s="643">
        <v>0</v>
      </c>
      <c r="N51" s="643">
        <v>0</v>
      </c>
      <c r="O51" s="643">
        <v>0</v>
      </c>
      <c r="P51" s="644">
        <v>0</v>
      </c>
      <c r="Q51" s="643">
        <v>0</v>
      </c>
      <c r="R51" s="643">
        <v>0</v>
      </c>
      <c r="S51" s="645">
        <v>-16.352432750095883</v>
      </c>
      <c r="U51" s="641" t="s">
        <v>62</v>
      </c>
      <c r="V51" s="642">
        <v>0</v>
      </c>
      <c r="W51" s="643">
        <v>0</v>
      </c>
      <c r="X51" s="643">
        <v>-14.208433022133823</v>
      </c>
      <c r="Y51" s="642">
        <v>-0.95675088928507923</v>
      </c>
      <c r="Z51" s="643">
        <v>0</v>
      </c>
      <c r="AA51" s="643">
        <v>0</v>
      </c>
      <c r="AB51" s="643">
        <v>0</v>
      </c>
      <c r="AC51" s="643">
        <v>0</v>
      </c>
      <c r="AD51" s="643">
        <v>0</v>
      </c>
      <c r="AE51" s="643">
        <v>-0.16736955973660289</v>
      </c>
      <c r="AF51" s="643">
        <v>0</v>
      </c>
      <c r="AG51" s="643">
        <v>0</v>
      </c>
      <c r="AH51" s="644">
        <v>0</v>
      </c>
      <c r="AI51" s="643">
        <v>0</v>
      </c>
      <c r="AJ51" s="643">
        <v>0</v>
      </c>
      <c r="AK51" s="645">
        <v>-15.332553471155505</v>
      </c>
    </row>
    <row r="52" spans="3:37" ht="13.5">
      <c r="C52" s="641" t="s">
        <v>63</v>
      </c>
      <c r="D52" s="642">
        <v>0</v>
      </c>
      <c r="E52" s="643">
        <v>0</v>
      </c>
      <c r="F52" s="643">
        <v>-82.364123594751035</v>
      </c>
      <c r="G52" s="642">
        <v>0</v>
      </c>
      <c r="H52" s="643">
        <v>0</v>
      </c>
      <c r="I52" s="643">
        <v>0</v>
      </c>
      <c r="J52" s="643">
        <v>0</v>
      </c>
      <c r="K52" s="643">
        <v>0</v>
      </c>
      <c r="L52" s="643">
        <v>-0.84952974503182688</v>
      </c>
      <c r="M52" s="643">
        <v>0</v>
      </c>
      <c r="N52" s="643">
        <v>0</v>
      </c>
      <c r="O52" s="643">
        <v>0</v>
      </c>
      <c r="P52" s="644">
        <v>0</v>
      </c>
      <c r="Q52" s="643">
        <v>0</v>
      </c>
      <c r="R52" s="643">
        <v>0</v>
      </c>
      <c r="S52" s="645">
        <v>-83.213653339782866</v>
      </c>
      <c r="U52" s="641" t="s">
        <v>63</v>
      </c>
      <c r="V52" s="642">
        <v>0</v>
      </c>
      <c r="W52" s="643">
        <v>0</v>
      </c>
      <c r="X52" s="643">
        <v>-71.599112277853877</v>
      </c>
      <c r="Y52" s="642">
        <v>0</v>
      </c>
      <c r="Z52" s="643">
        <v>0</v>
      </c>
      <c r="AA52" s="643">
        <v>0</v>
      </c>
      <c r="AB52" s="643">
        <v>0</v>
      </c>
      <c r="AC52" s="643">
        <v>0</v>
      </c>
      <c r="AD52" s="643">
        <v>-10.622786066784549</v>
      </c>
      <c r="AE52" s="643">
        <v>0</v>
      </c>
      <c r="AF52" s="643">
        <v>0</v>
      </c>
      <c r="AG52" s="643">
        <v>0</v>
      </c>
      <c r="AH52" s="644">
        <v>0</v>
      </c>
      <c r="AI52" s="643">
        <v>0</v>
      </c>
      <c r="AJ52" s="643">
        <v>0</v>
      </c>
      <c r="AK52" s="645">
        <v>-82.221898344638419</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48.993463204278932</v>
      </c>
      <c r="E54" s="647">
        <v>531.76783290345111</v>
      </c>
      <c r="F54" s="647">
        <v>29.760595141580591</v>
      </c>
      <c r="G54" s="647">
        <v>338.73216282175605</v>
      </c>
      <c r="H54" s="647">
        <v>1121.3636363636365</v>
      </c>
      <c r="I54" s="647">
        <v>207.57369132422022</v>
      </c>
      <c r="J54" s="647">
        <v>194.20036815340353</v>
      </c>
      <c r="K54" s="647">
        <v>21.756321957796004</v>
      </c>
      <c r="L54" s="647">
        <v>1.4501534726751033</v>
      </c>
      <c r="M54" s="647">
        <v>0.14846473955328648</v>
      </c>
      <c r="N54" s="647">
        <v>54.409714472774652</v>
      </c>
      <c r="O54" s="647">
        <v>8.1015620286034657</v>
      </c>
      <c r="P54" s="647">
        <v>-60.003896317889257</v>
      </c>
      <c r="Q54" s="647">
        <v>0</v>
      </c>
      <c r="R54" s="647">
        <v>0</v>
      </c>
      <c r="S54" s="647">
        <v>2498.2540702658398</v>
      </c>
      <c r="U54" s="646" t="s">
        <v>65</v>
      </c>
      <c r="V54" s="647">
        <v>10.847134235204434</v>
      </c>
      <c r="W54" s="647">
        <v>373.16166082844296</v>
      </c>
      <c r="X54" s="647">
        <v>6.1505944336931329</v>
      </c>
      <c r="Y54" s="647">
        <v>233.93451425438283</v>
      </c>
      <c r="Z54" s="647">
        <v>1024.3939393939395</v>
      </c>
      <c r="AA54" s="647">
        <v>228.1236913242202</v>
      </c>
      <c r="AB54" s="647">
        <v>192.25346924090769</v>
      </c>
      <c r="AC54" s="647">
        <v>37.588366510920622</v>
      </c>
      <c r="AD54" s="647">
        <v>-8.3231028490776193</v>
      </c>
      <c r="AE54" s="647">
        <v>-1.8904820183316406E-2</v>
      </c>
      <c r="AF54" s="647">
        <v>70.498567758341522</v>
      </c>
      <c r="AG54" s="647">
        <v>15.201618538088493</v>
      </c>
      <c r="AH54" s="647">
        <v>-43.289743938015249</v>
      </c>
      <c r="AI54" s="647">
        <v>0</v>
      </c>
      <c r="AJ54" s="647">
        <v>0</v>
      </c>
      <c r="AK54" s="647">
        <v>2140.5218049108653</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7.7941116668718937</v>
      </c>
      <c r="G57" s="642">
        <v>17.578475336322871</v>
      </c>
      <c r="H57" s="642">
        <v>1121.3636363636365</v>
      </c>
      <c r="I57" s="642">
        <v>207.57369132422022</v>
      </c>
      <c r="J57" s="651">
        <v>30.869450548245954</v>
      </c>
      <c r="K57" s="651">
        <v>7.6561165469613854</v>
      </c>
      <c r="L57" s="651">
        <v>2.2996832177069302</v>
      </c>
      <c r="M57" s="651">
        <v>0.47494016865067573</v>
      </c>
      <c r="N57" s="651">
        <v>0</v>
      </c>
      <c r="O57" s="651">
        <v>3.0833964576427819</v>
      </c>
      <c r="P57" s="642">
        <v>-607.79183020434141</v>
      </c>
      <c r="Q57" s="642">
        <v>0</v>
      </c>
      <c r="R57" s="642">
        <v>0</v>
      </c>
      <c r="S57" s="650">
        <v>793.72845706694284</v>
      </c>
      <c r="U57" s="648" t="s">
        <v>350</v>
      </c>
      <c r="V57" s="642">
        <v>0.62631490545869017</v>
      </c>
      <c r="W57" s="642">
        <v>0</v>
      </c>
      <c r="X57" s="642">
        <v>3.93047530323553</v>
      </c>
      <c r="Y57" s="642">
        <v>32.755695067264575</v>
      </c>
      <c r="Z57" s="642">
        <v>1024.3939393939395</v>
      </c>
      <c r="AA57" s="642">
        <v>228.1236913242202</v>
      </c>
      <c r="AB57" s="651">
        <v>25.192532039575013</v>
      </c>
      <c r="AC57" s="651">
        <v>7.1226809684101786</v>
      </c>
      <c r="AD57" s="651">
        <v>2.2996832177069302</v>
      </c>
      <c r="AE57" s="651">
        <v>5.010724922013905</v>
      </c>
      <c r="AF57" s="651">
        <v>0</v>
      </c>
      <c r="AG57" s="651">
        <v>3.0833964576427819</v>
      </c>
      <c r="AH57" s="642">
        <v>-605.04183020434141</v>
      </c>
      <c r="AI57" s="642">
        <v>0</v>
      </c>
      <c r="AJ57" s="642">
        <v>1.4249999999999998</v>
      </c>
      <c r="AK57" s="650">
        <v>728.92230339512548</v>
      </c>
    </row>
    <row r="58" spans="3:37" ht="13.5">
      <c r="C58" s="648" t="s">
        <v>351</v>
      </c>
      <c r="D58" s="642">
        <v>0</v>
      </c>
      <c r="E58" s="642">
        <v>0</v>
      </c>
      <c r="F58" s="642">
        <v>0</v>
      </c>
      <c r="G58" s="642">
        <v>15.306890454029709</v>
      </c>
      <c r="H58" s="642">
        <v>0</v>
      </c>
      <c r="I58" s="642">
        <v>0</v>
      </c>
      <c r="J58" s="651">
        <v>13.130836985616687</v>
      </c>
      <c r="K58" s="651">
        <v>12.274327089138302</v>
      </c>
      <c r="L58" s="651">
        <v>0</v>
      </c>
      <c r="M58" s="651">
        <v>0.32594257421966627</v>
      </c>
      <c r="N58" s="651">
        <v>0</v>
      </c>
      <c r="O58" s="651">
        <v>2.1777173090422202</v>
      </c>
      <c r="P58" s="642">
        <v>0</v>
      </c>
      <c r="Q58" s="642">
        <v>-38.962978394907431</v>
      </c>
      <c r="R58" s="642">
        <v>0</v>
      </c>
      <c r="S58" s="650">
        <v>4.2527360171391511</v>
      </c>
      <c r="U58" s="648" t="s">
        <v>351</v>
      </c>
      <c r="V58" s="642">
        <v>0</v>
      </c>
      <c r="W58" s="642">
        <v>0</v>
      </c>
      <c r="X58" s="642">
        <v>0</v>
      </c>
      <c r="Y58" s="642">
        <v>16.285163933286896</v>
      </c>
      <c r="Z58" s="642">
        <v>0</v>
      </c>
      <c r="AA58" s="642">
        <v>0</v>
      </c>
      <c r="AB58" s="651">
        <v>27.330859307935192</v>
      </c>
      <c r="AC58" s="651">
        <v>24.40929016388429</v>
      </c>
      <c r="AD58" s="651">
        <v>0</v>
      </c>
      <c r="AE58" s="651">
        <v>2.4469723551258755</v>
      </c>
      <c r="AF58" s="651">
        <v>0</v>
      </c>
      <c r="AG58" s="651">
        <v>7.1814032045118834</v>
      </c>
      <c r="AH58" s="642">
        <v>0</v>
      </c>
      <c r="AI58" s="642">
        <v>-70.686462815005612</v>
      </c>
      <c r="AJ58" s="642">
        <v>0</v>
      </c>
      <c r="AK58" s="650">
        <v>6.967226149738531</v>
      </c>
    </row>
    <row r="59" spans="3:37" ht="13.5">
      <c r="C59" s="648" t="s">
        <v>352</v>
      </c>
      <c r="D59" s="642">
        <v>0</v>
      </c>
      <c r="E59" s="642">
        <v>0</v>
      </c>
      <c r="F59" s="642">
        <v>0</v>
      </c>
      <c r="G59" s="642">
        <v>0</v>
      </c>
      <c r="H59" s="642">
        <v>0</v>
      </c>
      <c r="I59" s="642">
        <v>0</v>
      </c>
      <c r="J59" s="652">
        <v>7.549386302639002</v>
      </c>
      <c r="K59" s="652">
        <v>0</v>
      </c>
      <c r="L59" s="652">
        <v>0</v>
      </c>
      <c r="M59" s="652">
        <v>-6.6642207586545794</v>
      </c>
      <c r="N59" s="652">
        <v>0</v>
      </c>
      <c r="O59" s="652">
        <v>0</v>
      </c>
      <c r="P59" s="642">
        <v>0</v>
      </c>
      <c r="Q59" s="642">
        <v>0</v>
      </c>
      <c r="R59" s="642">
        <v>0</v>
      </c>
      <c r="S59" s="650">
        <v>0.8851655439844226</v>
      </c>
      <c r="U59" s="648" t="s">
        <v>352</v>
      </c>
      <c r="V59" s="642">
        <v>0</v>
      </c>
      <c r="W59" s="642">
        <v>0</v>
      </c>
      <c r="X59" s="642">
        <v>0</v>
      </c>
      <c r="Y59" s="642">
        <v>0</v>
      </c>
      <c r="Z59" s="642">
        <v>0</v>
      </c>
      <c r="AA59" s="642">
        <v>0</v>
      </c>
      <c r="AB59" s="652">
        <v>39.489443827479029</v>
      </c>
      <c r="AC59" s="652">
        <v>0</v>
      </c>
      <c r="AD59" s="652">
        <v>0</v>
      </c>
      <c r="AE59" s="652">
        <v>-34.859306538707116</v>
      </c>
      <c r="AF59" s="652">
        <v>0</v>
      </c>
      <c r="AG59" s="652">
        <v>0</v>
      </c>
      <c r="AH59" s="642">
        <v>0</v>
      </c>
      <c r="AI59" s="642">
        <v>0</v>
      </c>
      <c r="AJ59" s="642">
        <v>0</v>
      </c>
      <c r="AK59" s="650">
        <v>4.6301372887719126</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550.85495716936975</v>
      </c>
      <c r="F61" s="642">
        <v>-545.34640759767603</v>
      </c>
      <c r="G61" s="642">
        <v>0</v>
      </c>
      <c r="H61" s="642">
        <v>0</v>
      </c>
      <c r="I61" s="642">
        <v>0</v>
      </c>
      <c r="J61" s="642">
        <v>0</v>
      </c>
      <c r="K61" s="642">
        <v>0</v>
      </c>
      <c r="L61" s="642">
        <v>0</v>
      </c>
      <c r="M61" s="642">
        <v>0</v>
      </c>
      <c r="N61" s="642">
        <v>0</v>
      </c>
      <c r="O61" s="642">
        <v>0</v>
      </c>
      <c r="P61" s="642">
        <v>0</v>
      </c>
      <c r="Q61" s="642">
        <v>0</v>
      </c>
      <c r="R61" s="642">
        <v>0</v>
      </c>
      <c r="S61" s="650">
        <v>5.5085495716937203</v>
      </c>
      <c r="U61" s="648" t="s">
        <v>72</v>
      </c>
      <c r="V61" s="642">
        <v>0</v>
      </c>
      <c r="W61" s="642">
        <v>386.55581999113582</v>
      </c>
      <c r="X61" s="642">
        <v>-382.69026179122449</v>
      </c>
      <c r="Y61" s="642">
        <v>0</v>
      </c>
      <c r="Z61" s="642">
        <v>0</v>
      </c>
      <c r="AA61" s="642">
        <v>0</v>
      </c>
      <c r="AB61" s="642">
        <v>0</v>
      </c>
      <c r="AC61" s="642">
        <v>0</v>
      </c>
      <c r="AD61" s="642">
        <v>0</v>
      </c>
      <c r="AE61" s="642">
        <v>0</v>
      </c>
      <c r="AF61" s="642">
        <v>0</v>
      </c>
      <c r="AG61" s="642">
        <v>0</v>
      </c>
      <c r="AH61" s="642">
        <v>0</v>
      </c>
      <c r="AI61" s="642">
        <v>0</v>
      </c>
      <c r="AJ61" s="642">
        <v>0</v>
      </c>
      <c r="AK61" s="650">
        <v>3.8655581999113338</v>
      </c>
    </row>
    <row r="62" spans="3:37" ht="13.5">
      <c r="C62" s="648" t="s">
        <v>354</v>
      </c>
      <c r="D62" s="642">
        <v>0</v>
      </c>
      <c r="E62" s="642">
        <v>0</v>
      </c>
      <c r="F62" s="642">
        <v>0</v>
      </c>
      <c r="G62" s="642">
        <v>0</v>
      </c>
      <c r="H62" s="642">
        <v>0</v>
      </c>
      <c r="I62" s="642">
        <v>0</v>
      </c>
      <c r="J62" s="642">
        <v>34.694031238964726</v>
      </c>
      <c r="K62" s="642">
        <v>0</v>
      </c>
      <c r="L62" s="642">
        <v>-34.694031238964726</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-64.13008508665132</v>
      </c>
      <c r="AE62" s="642">
        <v>0</v>
      </c>
      <c r="AF62" s="642">
        <v>0</v>
      </c>
      <c r="AG62" s="642">
        <v>0</v>
      </c>
      <c r="AH62" s="642">
        <v>0</v>
      </c>
      <c r="AI62" s="642">
        <v>0</v>
      </c>
      <c r="AJ62" s="642">
        <v>0</v>
      </c>
      <c r="AK62" s="650">
        <v>-64.13008508665132</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-12.704571841330187</v>
      </c>
      <c r="AE63" s="642">
        <v>0</v>
      </c>
      <c r="AF63" s="642">
        <v>0</v>
      </c>
      <c r="AG63" s="642">
        <v>0</v>
      </c>
      <c r="AH63" s="642">
        <v>0</v>
      </c>
      <c r="AI63" s="642">
        <v>0</v>
      </c>
      <c r="AJ63" s="642">
        <v>0</v>
      </c>
      <c r="AK63" s="650">
        <v>-12.704571841330187</v>
      </c>
    </row>
    <row r="64" spans="3:37" ht="13.5">
      <c r="C64" s="648" t="s">
        <v>73</v>
      </c>
      <c r="D64" s="642">
        <v>0</v>
      </c>
      <c r="E64" s="642">
        <v>0</v>
      </c>
      <c r="F64" s="642">
        <v>0</v>
      </c>
      <c r="G64" s="642">
        <v>2.1153211001028303</v>
      </c>
      <c r="H64" s="642">
        <v>0</v>
      </c>
      <c r="I64" s="642">
        <v>0</v>
      </c>
      <c r="J64" s="642">
        <v>0</v>
      </c>
      <c r="K64" s="642">
        <v>2.387711193000305E-2</v>
      </c>
      <c r="L64" s="642">
        <v>0</v>
      </c>
      <c r="M64" s="642">
        <v>4.3169818369445515E-2</v>
      </c>
      <c r="N64" s="642">
        <v>0</v>
      </c>
      <c r="O64" s="642">
        <v>0</v>
      </c>
      <c r="P64" s="642">
        <v>0.21762333659139796</v>
      </c>
      <c r="Q64" s="642">
        <v>0</v>
      </c>
      <c r="R64" s="642">
        <v>-1.6713978351002134</v>
      </c>
      <c r="S64" s="650">
        <v>0.72859353189346332</v>
      </c>
      <c r="U64" s="648" t="s">
        <v>73</v>
      </c>
      <c r="V64" s="642">
        <v>0</v>
      </c>
      <c r="W64" s="642">
        <v>0</v>
      </c>
      <c r="X64" s="642">
        <v>0</v>
      </c>
      <c r="Y64" s="642">
        <v>5.6183676161021641</v>
      </c>
      <c r="Z64" s="642">
        <v>0</v>
      </c>
      <c r="AA64" s="642">
        <v>0</v>
      </c>
      <c r="AB64" s="642">
        <v>0</v>
      </c>
      <c r="AC64" s="642">
        <v>0.19393074509344391</v>
      </c>
      <c r="AD64" s="642">
        <v>0</v>
      </c>
      <c r="AE64" s="642">
        <v>0.83952619550951879</v>
      </c>
      <c r="AF64" s="642">
        <v>0</v>
      </c>
      <c r="AG64" s="642">
        <v>0</v>
      </c>
      <c r="AH64" s="642">
        <v>13.50321720945872</v>
      </c>
      <c r="AI64" s="642">
        <v>0</v>
      </c>
      <c r="AJ64" s="642">
        <v>-13.575152156541073</v>
      </c>
      <c r="AK64" s="650">
        <v>6.579889609622775</v>
      </c>
    </row>
    <row r="65" spans="3:37" ht="13.5">
      <c r="C65" s="648" t="s">
        <v>356</v>
      </c>
      <c r="D65" s="642">
        <v>28.669681406249996</v>
      </c>
      <c r="E65" s="642">
        <v>-19.087124265918664</v>
      </c>
      <c r="F65" s="642">
        <v>24.964831154950382</v>
      </c>
      <c r="G65" s="642">
        <v>0</v>
      </c>
      <c r="H65" s="642">
        <v>0</v>
      </c>
      <c r="I65" s="642">
        <v>0</v>
      </c>
      <c r="J65" s="642">
        <v>0</v>
      </c>
      <c r="K65" s="642">
        <v>0</v>
      </c>
      <c r="L65" s="642">
        <v>0</v>
      </c>
      <c r="M65" s="642">
        <v>0</v>
      </c>
      <c r="N65" s="642">
        <v>0</v>
      </c>
      <c r="O65" s="642">
        <v>0</v>
      </c>
      <c r="P65" s="642">
        <v>0</v>
      </c>
      <c r="Q65" s="642">
        <v>0</v>
      </c>
      <c r="R65" s="642">
        <v>0</v>
      </c>
      <c r="S65" s="650">
        <v>34.547388295281714</v>
      </c>
      <c r="U65" s="648" t="s">
        <v>356</v>
      </c>
      <c r="V65" s="642">
        <v>4.3307530517578128</v>
      </c>
      <c r="W65" s="642">
        <v>-13.394159162692858</v>
      </c>
      <c r="X65" s="642">
        <v>17.518769056071054</v>
      </c>
      <c r="Y65" s="642">
        <v>0</v>
      </c>
      <c r="Z65" s="642">
        <v>0</v>
      </c>
      <c r="AA65" s="642">
        <v>0</v>
      </c>
      <c r="AB65" s="642">
        <v>0</v>
      </c>
      <c r="AC65" s="642">
        <v>0</v>
      </c>
      <c r="AD65" s="642">
        <v>0</v>
      </c>
      <c r="AE65" s="642">
        <v>0</v>
      </c>
      <c r="AF65" s="642">
        <v>0</v>
      </c>
      <c r="AG65" s="642">
        <v>0</v>
      </c>
      <c r="AH65" s="642">
        <v>0</v>
      </c>
      <c r="AI65" s="642">
        <v>0</v>
      </c>
      <c r="AJ65" s="642">
        <v>0</v>
      </c>
      <c r="AK65" s="650">
        <v>8.4553629451360095</v>
      </c>
    </row>
    <row r="66" spans="3:37" ht="13.5">
      <c r="C66" s="648" t="s">
        <v>75</v>
      </c>
      <c r="D66" s="642">
        <v>11.149320546875</v>
      </c>
      <c r="E66" s="642">
        <v>0</v>
      </c>
      <c r="F66" s="642">
        <v>18.729068543758572</v>
      </c>
      <c r="G66" s="642">
        <v>5.3443947944572248</v>
      </c>
      <c r="H66" s="642">
        <v>0</v>
      </c>
      <c r="I66" s="642">
        <v>0</v>
      </c>
      <c r="J66" s="642">
        <v>0</v>
      </c>
      <c r="K66" s="642">
        <v>0</v>
      </c>
      <c r="L66" s="642">
        <v>0</v>
      </c>
      <c r="M66" s="642">
        <v>0.10906928151953521</v>
      </c>
      <c r="N66" s="642">
        <v>0</v>
      </c>
      <c r="O66" s="642">
        <v>0</v>
      </c>
      <c r="P66" s="642">
        <v>34.631314570260251</v>
      </c>
      <c r="Q66" s="642">
        <v>0</v>
      </c>
      <c r="R66" s="642">
        <v>0</v>
      </c>
      <c r="S66" s="650">
        <v>69.963167736870574</v>
      </c>
      <c r="U66" s="648" t="s">
        <v>75</v>
      </c>
      <c r="V66" s="642">
        <v>4.9205957031249996</v>
      </c>
      <c r="W66" s="642">
        <v>0</v>
      </c>
      <c r="X66" s="642">
        <v>18.729068543758572</v>
      </c>
      <c r="Y66" s="642">
        <v>4.7445137460997815</v>
      </c>
      <c r="Z66" s="642">
        <v>0</v>
      </c>
      <c r="AA66" s="642">
        <v>0</v>
      </c>
      <c r="AB66" s="642">
        <v>0</v>
      </c>
      <c r="AC66" s="642">
        <v>0</v>
      </c>
      <c r="AD66" s="642">
        <v>0</v>
      </c>
      <c r="AE66" s="642">
        <v>0.70895032987697881</v>
      </c>
      <c r="AF66" s="642">
        <v>0</v>
      </c>
      <c r="AG66" s="642">
        <v>0</v>
      </c>
      <c r="AH66" s="642">
        <v>32.716541842987525</v>
      </c>
      <c r="AI66" s="642">
        <v>0</v>
      </c>
      <c r="AJ66" s="642">
        <v>0</v>
      </c>
      <c r="AK66" s="650">
        <v>61.819670165847853</v>
      </c>
    </row>
    <row r="67" spans="3:37" ht="13.5">
      <c r="C67" s="648" t="s">
        <v>76</v>
      </c>
      <c r="D67" s="642">
        <v>0</v>
      </c>
      <c r="E67" s="642">
        <v>0</v>
      </c>
      <c r="F67" s="642">
        <v>0</v>
      </c>
      <c r="G67" s="642">
        <v>3.8720966463328983</v>
      </c>
      <c r="H67" s="642">
        <v>0</v>
      </c>
      <c r="I67" s="642">
        <v>0</v>
      </c>
      <c r="J67" s="642">
        <v>0</v>
      </c>
      <c r="K67" s="642">
        <v>0</v>
      </c>
      <c r="L67" s="642">
        <v>0</v>
      </c>
      <c r="M67" s="642">
        <v>7.9022380537406095E-2</v>
      </c>
      <c r="N67" s="642">
        <v>0</v>
      </c>
      <c r="O67" s="642">
        <v>0</v>
      </c>
      <c r="P67" s="642">
        <v>41.938968757160723</v>
      </c>
      <c r="Q67" s="642">
        <v>3.0236871210614171</v>
      </c>
      <c r="R67" s="642">
        <v>0</v>
      </c>
      <c r="S67" s="650">
        <v>48.913774905092438</v>
      </c>
      <c r="U67" s="648" t="s">
        <v>76</v>
      </c>
      <c r="V67" s="642">
        <v>0</v>
      </c>
      <c r="W67" s="642">
        <v>0</v>
      </c>
      <c r="X67" s="642">
        <v>0</v>
      </c>
      <c r="Y67" s="642">
        <v>2.7662751616304524</v>
      </c>
      <c r="Z67" s="642">
        <v>0</v>
      </c>
      <c r="AA67" s="642">
        <v>0</v>
      </c>
      <c r="AB67" s="642">
        <v>0</v>
      </c>
      <c r="AC67" s="642">
        <v>0</v>
      </c>
      <c r="AD67" s="642">
        <v>0</v>
      </c>
      <c r="AE67" s="642">
        <v>0.41335146093328595</v>
      </c>
      <c r="AF67" s="642">
        <v>0</v>
      </c>
      <c r="AG67" s="642">
        <v>0</v>
      </c>
      <c r="AH67" s="642">
        <v>43.009166954325586</v>
      </c>
      <c r="AI67" s="642">
        <v>5.481964511548731</v>
      </c>
      <c r="AJ67" s="642">
        <v>0</v>
      </c>
      <c r="AK67" s="650">
        <v>51.670758088438056</v>
      </c>
    </row>
    <row r="68" spans="3:37" ht="13.5">
      <c r="C68" s="646" t="s">
        <v>77</v>
      </c>
      <c r="D68" s="647">
        <v>42.645787594150242</v>
      </c>
      <c r="E68" s="647">
        <v>531.76783290345111</v>
      </c>
      <c r="F68" s="647">
        <v>-493.85839623209517</v>
      </c>
      <c r="G68" s="647">
        <v>44.217178331245535</v>
      </c>
      <c r="H68" s="647">
        <v>1121.3636363636365</v>
      </c>
      <c r="I68" s="647">
        <v>207.57369132422022</v>
      </c>
      <c r="J68" s="647">
        <v>86.243705075466366</v>
      </c>
      <c r="K68" s="647">
        <v>19.954320748029687</v>
      </c>
      <c r="L68" s="647">
        <v>-32.394348021257798</v>
      </c>
      <c r="M68" s="647">
        <v>-5.6320765353578501</v>
      </c>
      <c r="N68" s="647">
        <v>0</v>
      </c>
      <c r="O68" s="647">
        <v>5.2611137666850016</v>
      </c>
      <c r="P68" s="647">
        <v>-531.00392354032908</v>
      </c>
      <c r="Q68" s="647">
        <v>-35.939291273846017</v>
      </c>
      <c r="R68" s="647">
        <v>-1.6713978351002134</v>
      </c>
      <c r="S68" s="647">
        <v>958.52783266889833</v>
      </c>
      <c r="U68" s="646" t="s">
        <v>77</v>
      </c>
      <c r="V68" s="647">
        <v>9.8776636603415024</v>
      </c>
      <c r="W68" s="647">
        <v>373.16166082844296</v>
      </c>
      <c r="X68" s="647">
        <v>-342.51194888815934</v>
      </c>
      <c r="Y68" s="647">
        <v>62.170015524383871</v>
      </c>
      <c r="Z68" s="647">
        <v>1024.3939393939395</v>
      </c>
      <c r="AA68" s="647">
        <v>228.1236913242202</v>
      </c>
      <c r="AB68" s="647">
        <v>92.01283517498922</v>
      </c>
      <c r="AC68" s="647">
        <v>31.725901877387908</v>
      </c>
      <c r="AD68" s="647">
        <v>-74.534973710274585</v>
      </c>
      <c r="AE68" s="647">
        <v>-25.439781275247555</v>
      </c>
      <c r="AF68" s="647">
        <v>0</v>
      </c>
      <c r="AG68" s="647">
        <v>10.264799662154665</v>
      </c>
      <c r="AH68" s="647">
        <v>-515.81290419756954</v>
      </c>
      <c r="AI68" s="647">
        <v>-65.204498303456887</v>
      </c>
      <c r="AJ68" s="647">
        <v>-12.150152156541072</v>
      </c>
      <c r="AK68" s="647">
        <v>796.07624891461057</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6.3476756101286895</v>
      </c>
      <c r="E70" s="642">
        <v>0</v>
      </c>
      <c r="F70" s="642">
        <v>23.963924152830415</v>
      </c>
      <c r="G70" s="642">
        <v>102.72602750235836</v>
      </c>
      <c r="H70" s="642">
        <v>0</v>
      </c>
      <c r="I70" s="642">
        <v>0</v>
      </c>
      <c r="J70" s="642">
        <v>19.164817057512749</v>
      </c>
      <c r="K70" s="642">
        <v>1.7769703360109936</v>
      </c>
      <c r="L70" s="642">
        <v>0.86552810351562492</v>
      </c>
      <c r="M70" s="642">
        <v>2.1151614516362294</v>
      </c>
      <c r="N70" s="642">
        <v>0</v>
      </c>
      <c r="O70" s="642">
        <v>3.8147295409713907E-4</v>
      </c>
      <c r="P70" s="642">
        <v>109.69856944385172</v>
      </c>
      <c r="Q70" s="642">
        <v>16.190109766233334</v>
      </c>
      <c r="R70" s="642">
        <v>0.34118215942382812</v>
      </c>
      <c r="S70" s="650">
        <v>283.19034705645606</v>
      </c>
      <c r="U70" s="648" t="s">
        <v>78</v>
      </c>
      <c r="V70" s="642">
        <v>0.96947057486293287</v>
      </c>
      <c r="W70" s="642">
        <v>0</v>
      </c>
      <c r="X70" s="642">
        <v>14.423852836289303</v>
      </c>
      <c r="Y70" s="642">
        <v>71.911931163769523</v>
      </c>
      <c r="Z70" s="642">
        <v>0</v>
      </c>
      <c r="AA70" s="642">
        <v>0</v>
      </c>
      <c r="AB70" s="642">
        <v>16.641526349557349</v>
      </c>
      <c r="AC70" s="642">
        <v>5.8374337597773929</v>
      </c>
      <c r="AD70" s="642">
        <v>1.8190377949218752</v>
      </c>
      <c r="AE70" s="642">
        <v>10.764172889266069</v>
      </c>
      <c r="AF70" s="642">
        <v>0</v>
      </c>
      <c r="AG70" s="642">
        <v>3.8147295409713907E-4</v>
      </c>
      <c r="AH70" s="642">
        <v>133.35975359263318</v>
      </c>
      <c r="AI70" s="642">
        <v>21.024156518221293</v>
      </c>
      <c r="AJ70" s="642">
        <v>5.3802006835937499</v>
      </c>
      <c r="AK70" s="650">
        <v>282.13191763584672</v>
      </c>
    </row>
    <row r="71" spans="3:37" ht="13.5">
      <c r="C71" s="648" t="s">
        <v>79</v>
      </c>
      <c r="D71" s="642">
        <v>0</v>
      </c>
      <c r="E71" s="642">
        <v>0</v>
      </c>
      <c r="F71" s="642">
        <v>312.50052508879821</v>
      </c>
      <c r="G71" s="642">
        <v>20.28727706696608</v>
      </c>
      <c r="H71" s="642">
        <v>0</v>
      </c>
      <c r="I71" s="642">
        <v>0</v>
      </c>
      <c r="J71" s="642">
        <v>0</v>
      </c>
      <c r="K71" s="642">
        <v>0</v>
      </c>
      <c r="L71" s="642">
        <v>30.35479180755361</v>
      </c>
      <c r="M71" s="642">
        <v>0.41402606259114449</v>
      </c>
      <c r="N71" s="642">
        <v>0</v>
      </c>
      <c r="O71" s="642">
        <v>0</v>
      </c>
      <c r="P71" s="642">
        <v>40.087101502259863</v>
      </c>
      <c r="Q71" s="642">
        <v>0</v>
      </c>
      <c r="R71" s="642">
        <v>0.80956479691939642</v>
      </c>
      <c r="S71" s="650">
        <v>404.45328632508824</v>
      </c>
      <c r="U71" s="648" t="s">
        <v>79</v>
      </c>
      <c r="V71" s="642">
        <v>0</v>
      </c>
      <c r="W71" s="642">
        <v>0</v>
      </c>
      <c r="X71" s="642">
        <v>200.27592241910855</v>
      </c>
      <c r="Y71" s="642">
        <v>16.649550205830046</v>
      </c>
      <c r="Z71" s="642">
        <v>0</v>
      </c>
      <c r="AA71" s="642">
        <v>0</v>
      </c>
      <c r="AB71" s="642">
        <v>0</v>
      </c>
      <c r="AC71" s="642">
        <v>0</v>
      </c>
      <c r="AD71" s="642">
        <v>44.40579181284334</v>
      </c>
      <c r="AE71" s="642">
        <v>2.5923432302996523</v>
      </c>
      <c r="AF71" s="642">
        <v>0</v>
      </c>
      <c r="AG71" s="642">
        <v>0</v>
      </c>
      <c r="AH71" s="642">
        <v>50.411052136241274</v>
      </c>
      <c r="AI71" s="642">
        <v>0</v>
      </c>
      <c r="AJ71" s="642">
        <v>1.5849058336758</v>
      </c>
      <c r="AK71" s="650">
        <v>315.91956563799869</v>
      </c>
    </row>
    <row r="72" spans="3:37" ht="13.5">
      <c r="C72" s="648" t="s">
        <v>80</v>
      </c>
      <c r="D72" s="642">
        <v>0</v>
      </c>
      <c r="E72" s="642">
        <v>0</v>
      </c>
      <c r="F72" s="642">
        <v>27.223306395871116</v>
      </c>
      <c r="G72" s="642">
        <v>94.787807272791255</v>
      </c>
      <c r="H72" s="642">
        <v>0</v>
      </c>
      <c r="I72" s="642">
        <v>0</v>
      </c>
      <c r="J72" s="642">
        <v>83.273177408961004</v>
      </c>
      <c r="K72" s="642">
        <v>0</v>
      </c>
      <c r="L72" s="642">
        <v>0</v>
      </c>
      <c r="M72" s="642">
        <v>1.9344450463834952</v>
      </c>
      <c r="N72" s="642">
        <v>46.067590504591024</v>
      </c>
      <c r="O72" s="642">
        <v>1.9582561857397398</v>
      </c>
      <c r="P72" s="642">
        <v>180.22551264292704</v>
      </c>
      <c r="Q72" s="642">
        <v>15.690776641240536</v>
      </c>
      <c r="R72" s="642">
        <v>0</v>
      </c>
      <c r="S72" s="650">
        <v>451.16087209850519</v>
      </c>
      <c r="U72" s="648" t="s">
        <v>80</v>
      </c>
      <c r="V72" s="642">
        <v>0</v>
      </c>
      <c r="W72" s="642">
        <v>0</v>
      </c>
      <c r="X72" s="642">
        <v>2.015713666762446</v>
      </c>
      <c r="Y72" s="642">
        <v>47.341776252628989</v>
      </c>
      <c r="Z72" s="642">
        <v>0</v>
      </c>
      <c r="AA72" s="642">
        <v>0</v>
      </c>
      <c r="AB72" s="642">
        <v>73.879452654225247</v>
      </c>
      <c r="AC72" s="642">
        <v>0</v>
      </c>
      <c r="AD72" s="642">
        <v>0</v>
      </c>
      <c r="AE72" s="642">
        <v>7.0740585205077799</v>
      </c>
      <c r="AF72" s="642">
        <v>56.247445771865117</v>
      </c>
      <c r="AG72" s="642">
        <v>2.3917818193760598</v>
      </c>
      <c r="AH72" s="642">
        <v>158.99417861004727</v>
      </c>
      <c r="AI72" s="642">
        <v>34.672503342788303</v>
      </c>
      <c r="AJ72" s="642">
        <v>0</v>
      </c>
      <c r="AK72" s="650">
        <v>382.61691063820126</v>
      </c>
    </row>
    <row r="73" spans="3:37" ht="13.5">
      <c r="C73" s="648" t="s">
        <v>81</v>
      </c>
      <c r="D73" s="642">
        <v>0</v>
      </c>
      <c r="E73" s="642">
        <v>0</v>
      </c>
      <c r="F73" s="642">
        <v>10.721858440723695</v>
      </c>
      <c r="G73" s="642">
        <v>62.595656083836779</v>
      </c>
      <c r="H73" s="642">
        <v>0</v>
      </c>
      <c r="I73" s="642">
        <v>0</v>
      </c>
      <c r="J73" s="642">
        <v>3.4596715414798309</v>
      </c>
      <c r="K73" s="642">
        <v>2.5030873755322387E-2</v>
      </c>
      <c r="L73" s="642">
        <v>0</v>
      </c>
      <c r="M73" s="642">
        <v>1.2774623690578935</v>
      </c>
      <c r="N73" s="642">
        <v>8.3421239681836319</v>
      </c>
      <c r="O73" s="642">
        <v>0.80110714509903691</v>
      </c>
      <c r="P73" s="642">
        <v>133.46461699259584</v>
      </c>
      <c r="Q73" s="642">
        <v>4.0584048663721433</v>
      </c>
      <c r="R73" s="642">
        <v>0</v>
      </c>
      <c r="S73" s="650">
        <v>224.74593228110413</v>
      </c>
      <c r="U73" s="648" t="s">
        <v>81</v>
      </c>
      <c r="V73" s="642">
        <v>0</v>
      </c>
      <c r="W73" s="642">
        <v>0</v>
      </c>
      <c r="X73" s="642">
        <v>3.1096233693990798</v>
      </c>
      <c r="Y73" s="642">
        <v>32.055438404613625</v>
      </c>
      <c r="Z73" s="642">
        <v>0</v>
      </c>
      <c r="AA73" s="642">
        <v>0</v>
      </c>
      <c r="AB73" s="642">
        <v>7.6606579921523004</v>
      </c>
      <c r="AC73" s="642">
        <v>2.5030873755322387E-2</v>
      </c>
      <c r="AD73" s="642">
        <v>0</v>
      </c>
      <c r="AE73" s="642">
        <v>4.7898930949422658</v>
      </c>
      <c r="AF73" s="642">
        <v>14.251121986476408</v>
      </c>
      <c r="AG73" s="642">
        <v>1.7168402703934114</v>
      </c>
      <c r="AH73" s="642">
        <v>121.34906004798763</v>
      </c>
      <c r="AI73" s="642">
        <v>9.5078384424472873</v>
      </c>
      <c r="AJ73" s="642">
        <v>0</v>
      </c>
      <c r="AK73" s="650">
        <v>194.46550448216732</v>
      </c>
    </row>
    <row r="74" spans="3:37" ht="13.5">
      <c r="C74" s="648" t="s">
        <v>82</v>
      </c>
      <c r="D74" s="642">
        <v>0</v>
      </c>
      <c r="E74" s="642">
        <v>0</v>
      </c>
      <c r="F74" s="642">
        <v>32.13207144146056</v>
      </c>
      <c r="G74" s="642">
        <v>1.9328709168763656</v>
      </c>
      <c r="H74" s="642">
        <v>0</v>
      </c>
      <c r="I74" s="642">
        <v>0</v>
      </c>
      <c r="J74" s="642">
        <v>2.05899706998358</v>
      </c>
      <c r="K74" s="642">
        <v>0</v>
      </c>
      <c r="L74" s="642">
        <v>2.6244824682898504</v>
      </c>
      <c r="M74" s="642">
        <v>3.9446345242374808E-2</v>
      </c>
      <c r="N74" s="642">
        <v>0</v>
      </c>
      <c r="O74" s="642">
        <v>8.070345812558942E-2</v>
      </c>
      <c r="P74" s="642">
        <v>7.3892266408052469</v>
      </c>
      <c r="Q74" s="642">
        <v>0</v>
      </c>
      <c r="R74" s="642">
        <v>0</v>
      </c>
      <c r="S74" s="650">
        <v>46.257798340783566</v>
      </c>
      <c r="U74" s="648" t="s">
        <v>82</v>
      </c>
      <c r="V74" s="642">
        <v>0</v>
      </c>
      <c r="W74" s="642">
        <v>0</v>
      </c>
      <c r="X74" s="642">
        <v>22.167558461996123</v>
      </c>
      <c r="Y74" s="642">
        <v>2.0916118720237509</v>
      </c>
      <c r="Z74" s="642">
        <v>0</v>
      </c>
      <c r="AA74" s="642">
        <v>0</v>
      </c>
      <c r="AB74" s="642">
        <v>2.05899706998358</v>
      </c>
      <c r="AC74" s="642">
        <v>0</v>
      </c>
      <c r="AD74" s="642">
        <v>14.821446231272425</v>
      </c>
      <c r="AE74" s="642">
        <v>0.31253970501504325</v>
      </c>
      <c r="AF74" s="642">
        <v>0</v>
      </c>
      <c r="AG74" s="642">
        <v>0.82781531321025892</v>
      </c>
      <c r="AH74" s="642">
        <v>7.4491158726448985</v>
      </c>
      <c r="AI74" s="642">
        <v>0</v>
      </c>
      <c r="AJ74" s="642">
        <v>0.21911019493558448</v>
      </c>
      <c r="AK74" s="650">
        <v>49.948194721081656</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0.13500000000000001</v>
      </c>
      <c r="Q75" s="642">
        <v>0</v>
      </c>
      <c r="R75" s="642">
        <v>0</v>
      </c>
      <c r="S75" s="650">
        <v>0.13500000000000001</v>
      </c>
      <c r="U75" s="648" t="s">
        <v>357</v>
      </c>
      <c r="V75" s="642">
        <v>0</v>
      </c>
      <c r="W75" s="642">
        <v>0</v>
      </c>
      <c r="X75" s="642">
        <v>0</v>
      </c>
      <c r="Y75" s="642">
        <v>0</v>
      </c>
      <c r="Z75" s="642">
        <v>0</v>
      </c>
      <c r="AA75" s="642">
        <v>0</v>
      </c>
      <c r="AB75" s="642">
        <v>0</v>
      </c>
      <c r="AC75" s="642">
        <v>0</v>
      </c>
      <c r="AD75" s="642">
        <v>0</v>
      </c>
      <c r="AE75" s="642">
        <v>0</v>
      </c>
      <c r="AF75" s="642">
        <v>0</v>
      </c>
      <c r="AG75" s="642">
        <v>0</v>
      </c>
      <c r="AH75" s="642">
        <v>0.96</v>
      </c>
      <c r="AI75" s="642">
        <v>0</v>
      </c>
      <c r="AJ75" s="642">
        <v>0</v>
      </c>
      <c r="AK75" s="650">
        <v>0.96</v>
      </c>
    </row>
    <row r="76" spans="3:37" ht="13.5">
      <c r="C76" s="646" t="s">
        <v>83</v>
      </c>
      <c r="D76" s="647">
        <v>6.3476756101286895</v>
      </c>
      <c r="E76" s="647">
        <v>0</v>
      </c>
      <c r="F76" s="647">
        <v>406.54168551968399</v>
      </c>
      <c r="G76" s="647">
        <v>282.32963884282884</v>
      </c>
      <c r="H76" s="647">
        <v>0</v>
      </c>
      <c r="I76" s="647">
        <v>0</v>
      </c>
      <c r="J76" s="647">
        <v>107.95666307793715</v>
      </c>
      <c r="K76" s="647">
        <v>1.8020012097663161</v>
      </c>
      <c r="L76" s="647">
        <v>33.844802379359088</v>
      </c>
      <c r="M76" s="647">
        <v>5.7805412749111369</v>
      </c>
      <c r="N76" s="647">
        <v>54.409714472774652</v>
      </c>
      <c r="O76" s="647">
        <v>2.8404482619184632</v>
      </c>
      <c r="P76" s="647">
        <v>471.00002722243971</v>
      </c>
      <c r="Q76" s="647">
        <v>35.93929127384601</v>
      </c>
      <c r="R76" s="647">
        <v>1.1507469563432244</v>
      </c>
      <c r="S76" s="647">
        <v>1409.9432361019371</v>
      </c>
      <c r="U76" s="646" t="s">
        <v>83</v>
      </c>
      <c r="V76" s="647">
        <v>0.96947057486293287</v>
      </c>
      <c r="W76" s="647">
        <v>0</v>
      </c>
      <c r="X76" s="647">
        <v>241.9926707535555</v>
      </c>
      <c r="Y76" s="647">
        <v>170.05030789886592</v>
      </c>
      <c r="Z76" s="647">
        <v>0</v>
      </c>
      <c r="AA76" s="647">
        <v>0</v>
      </c>
      <c r="AB76" s="647">
        <v>100.24063406591846</v>
      </c>
      <c r="AC76" s="647">
        <v>5.8624646335327153</v>
      </c>
      <c r="AD76" s="647">
        <v>61.046275839037641</v>
      </c>
      <c r="AE76" s="647">
        <v>25.533007440030815</v>
      </c>
      <c r="AF76" s="647">
        <v>70.498567758341522</v>
      </c>
      <c r="AG76" s="647">
        <v>4.9368188759338274</v>
      </c>
      <c r="AH76" s="647">
        <v>472.52316025955423</v>
      </c>
      <c r="AI76" s="647">
        <v>65.204498303456901</v>
      </c>
      <c r="AJ76" s="647">
        <v>7.184216712205135</v>
      </c>
      <c r="AK76" s="647">
        <v>1226.0420931152958</v>
      </c>
    </row>
    <row r="77" spans="3:37" ht="13.5">
      <c r="C77" s="641" t="s">
        <v>84</v>
      </c>
      <c r="D77" s="642">
        <v>0</v>
      </c>
      <c r="E77" s="642">
        <v>0</v>
      </c>
      <c r="F77" s="642">
        <v>117.0773058539918</v>
      </c>
      <c r="G77" s="642">
        <v>12.185345647681713</v>
      </c>
      <c r="H77" s="642">
        <v>0</v>
      </c>
      <c r="I77" s="642">
        <v>0</v>
      </c>
      <c r="J77" s="642">
        <v>0</v>
      </c>
      <c r="K77" s="642">
        <v>0</v>
      </c>
      <c r="L77" s="642">
        <v>0</v>
      </c>
      <c r="M77" s="642">
        <v>0</v>
      </c>
      <c r="N77" s="642">
        <v>0</v>
      </c>
      <c r="O77" s="642">
        <v>0</v>
      </c>
      <c r="P77" s="642">
        <v>0</v>
      </c>
      <c r="Q77" s="642">
        <v>0</v>
      </c>
      <c r="R77" s="642">
        <v>0.52065087875698901</v>
      </c>
      <c r="S77" s="650">
        <v>129.78330238043051</v>
      </c>
      <c r="U77" s="641" t="s">
        <v>84</v>
      </c>
      <c r="V77" s="642">
        <v>0</v>
      </c>
      <c r="W77" s="642">
        <v>0</v>
      </c>
      <c r="X77" s="642">
        <v>106.669872568297</v>
      </c>
      <c r="Y77" s="642">
        <v>1.6020598461664441</v>
      </c>
      <c r="Z77" s="642">
        <v>0</v>
      </c>
      <c r="AA77" s="642">
        <v>0</v>
      </c>
      <c r="AB77" s="642">
        <v>0</v>
      </c>
      <c r="AC77" s="642">
        <v>0</v>
      </c>
      <c r="AD77" s="642">
        <v>6.1061434912109362</v>
      </c>
      <c r="AE77" s="642">
        <v>0</v>
      </c>
      <c r="AF77" s="642">
        <v>0</v>
      </c>
      <c r="AG77" s="642">
        <v>0</v>
      </c>
      <c r="AH77" s="642">
        <v>0</v>
      </c>
      <c r="AI77" s="642">
        <v>0</v>
      </c>
      <c r="AJ77" s="642">
        <v>4.9659354443359369</v>
      </c>
      <c r="AK77" s="650">
        <v>119.34401135001032</v>
      </c>
    </row>
    <row r="78" spans="3:37" ht="13.5">
      <c r="C78" s="646" t="s">
        <v>85</v>
      </c>
      <c r="D78" s="647">
        <v>6.3476756101286895</v>
      </c>
      <c r="E78" s="647">
        <v>0</v>
      </c>
      <c r="F78" s="647">
        <v>523.61899137367573</v>
      </c>
      <c r="G78" s="647">
        <v>294.51498449051053</v>
      </c>
      <c r="H78" s="647">
        <v>0</v>
      </c>
      <c r="I78" s="647">
        <v>0</v>
      </c>
      <c r="J78" s="647">
        <v>107.95666307793715</v>
      </c>
      <c r="K78" s="647">
        <v>1.8020012097663161</v>
      </c>
      <c r="L78" s="647">
        <v>33.844802379359088</v>
      </c>
      <c r="M78" s="647">
        <v>5.7805412749111369</v>
      </c>
      <c r="N78" s="647">
        <v>54.409714472774652</v>
      </c>
      <c r="O78" s="647">
        <v>2.8404482619184632</v>
      </c>
      <c r="P78" s="647">
        <v>471.00002722243971</v>
      </c>
      <c r="Q78" s="647">
        <v>35.93929127384601</v>
      </c>
      <c r="R78" s="647">
        <v>1.6713978351002134</v>
      </c>
      <c r="S78" s="647">
        <v>1539.7265384823679</v>
      </c>
      <c r="U78" s="646" t="s">
        <v>85</v>
      </c>
      <c r="V78" s="647">
        <v>0.96947057486293287</v>
      </c>
      <c r="W78" s="647">
        <v>0</v>
      </c>
      <c r="X78" s="647">
        <v>348.66254332185252</v>
      </c>
      <c r="Y78" s="647">
        <v>171.65236774503236</v>
      </c>
      <c r="Z78" s="647">
        <v>0</v>
      </c>
      <c r="AA78" s="647">
        <v>0</v>
      </c>
      <c r="AB78" s="647">
        <v>100.24063406591846</v>
      </c>
      <c r="AC78" s="647">
        <v>5.8624646335327153</v>
      </c>
      <c r="AD78" s="647">
        <v>67.152419330248577</v>
      </c>
      <c r="AE78" s="647">
        <v>25.533007440030815</v>
      </c>
      <c r="AF78" s="647">
        <v>70.498567758341522</v>
      </c>
      <c r="AG78" s="647">
        <v>4.9368188759338274</v>
      </c>
      <c r="AH78" s="647">
        <v>472.52316025955423</v>
      </c>
      <c r="AI78" s="647">
        <v>65.204498303456901</v>
      </c>
      <c r="AJ78" s="647">
        <v>12.150152156541072</v>
      </c>
      <c r="AK78" s="647">
        <v>1345.3861044653063</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361</v>
      </c>
      <c r="D80" s="699"/>
      <c r="E80" s="699"/>
      <c r="F80" s="699"/>
      <c r="G80" s="699"/>
      <c r="H80" s="699"/>
      <c r="I80" s="699"/>
      <c r="J80" s="699"/>
      <c r="K80" s="699"/>
      <c r="L80" s="699"/>
      <c r="M80" s="699"/>
      <c r="N80" s="699"/>
      <c r="O80" s="699"/>
      <c r="P80" s="699"/>
      <c r="Q80" s="699"/>
      <c r="R80" s="699"/>
      <c r="S80" s="699"/>
      <c r="U80" s="699" t="s">
        <v>361</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5.8150000000000004</v>
      </c>
      <c r="F84" s="643">
        <v>0</v>
      </c>
      <c r="G84" s="642">
        <v>9.3040000000000012E-2</v>
      </c>
      <c r="H84" s="643">
        <v>1075.0000000000002</v>
      </c>
      <c r="I84" s="643">
        <v>224.13674723416887</v>
      </c>
      <c r="J84" s="643">
        <v>191.59942379122555</v>
      </c>
      <c r="K84" s="643">
        <v>21.432553878964274</v>
      </c>
      <c r="L84" s="643">
        <v>0.38158375751522683</v>
      </c>
      <c r="M84" s="643">
        <v>0.1566638564915529</v>
      </c>
      <c r="N84" s="643">
        <v>57.826394702164251</v>
      </c>
      <c r="O84" s="643">
        <v>8.0717549324466145</v>
      </c>
      <c r="P84" s="644">
        <v>0</v>
      </c>
      <c r="Q84" s="643">
        <v>0</v>
      </c>
      <c r="R84" s="643">
        <v>0</v>
      </c>
      <c r="S84" s="645">
        <v>1584.5131621529763</v>
      </c>
      <c r="U84" s="641" t="s">
        <v>59</v>
      </c>
      <c r="V84" s="642">
        <v>0</v>
      </c>
      <c r="W84" s="643">
        <v>5.8150000000000004</v>
      </c>
      <c r="X84" s="643">
        <v>0</v>
      </c>
      <c r="Y84" s="642">
        <v>9.3040000000000012E-2</v>
      </c>
      <c r="Z84" s="643">
        <v>994.39393939393949</v>
      </c>
      <c r="AA84" s="643">
        <v>248.70674723416883</v>
      </c>
      <c r="AB84" s="643">
        <v>191.76566332259941</v>
      </c>
      <c r="AC84" s="643">
        <v>38.031253697312572</v>
      </c>
      <c r="AD84" s="643">
        <v>0.38158375751522683</v>
      </c>
      <c r="AE84" s="643">
        <v>0.1566638564915529</v>
      </c>
      <c r="AF84" s="643">
        <v>76.992812580470769</v>
      </c>
      <c r="AG84" s="643">
        <v>16.738826185514363</v>
      </c>
      <c r="AH84" s="644">
        <v>0</v>
      </c>
      <c r="AI84" s="643">
        <v>0</v>
      </c>
      <c r="AJ84" s="643">
        <v>0</v>
      </c>
      <c r="AK84" s="645">
        <v>1573.0755300280123</v>
      </c>
    </row>
    <row r="85" spans="3:37" ht="13.5">
      <c r="C85" s="641" t="s">
        <v>60</v>
      </c>
      <c r="D85" s="642">
        <v>48.827265231041785</v>
      </c>
      <c r="E85" s="643">
        <v>518.07410535010388</v>
      </c>
      <c r="F85" s="643">
        <v>107.87457071926454</v>
      </c>
      <c r="G85" s="642">
        <v>335.04873882059013</v>
      </c>
      <c r="H85" s="643">
        <v>0</v>
      </c>
      <c r="I85" s="643">
        <v>0</v>
      </c>
      <c r="J85" s="643">
        <v>3.6983557386050134</v>
      </c>
      <c r="K85" s="643">
        <v>0</v>
      </c>
      <c r="L85" s="643">
        <v>2.0715216469959126</v>
      </c>
      <c r="M85" s="643">
        <v>0</v>
      </c>
      <c r="N85" s="643">
        <v>0</v>
      </c>
      <c r="O85" s="643">
        <v>0</v>
      </c>
      <c r="P85" s="644">
        <v>0</v>
      </c>
      <c r="Q85" s="643">
        <v>0</v>
      </c>
      <c r="R85" s="643">
        <v>0</v>
      </c>
      <c r="S85" s="645">
        <v>1015.5945575066012</v>
      </c>
      <c r="U85" s="641" t="s">
        <v>60</v>
      </c>
      <c r="V85" s="642">
        <v>9.7783497021920969</v>
      </c>
      <c r="W85" s="643">
        <v>336.80990869295175</v>
      </c>
      <c r="X85" s="643">
        <v>55.498271181254346</v>
      </c>
      <c r="Y85" s="642">
        <v>207.3573846689826</v>
      </c>
      <c r="Z85" s="643">
        <v>0</v>
      </c>
      <c r="AA85" s="643">
        <v>0</v>
      </c>
      <c r="AB85" s="643">
        <v>3.6983557386050134</v>
      </c>
      <c r="AC85" s="643">
        <v>0</v>
      </c>
      <c r="AD85" s="643">
        <v>2.0715216469959126</v>
      </c>
      <c r="AE85" s="643">
        <v>0</v>
      </c>
      <c r="AF85" s="643">
        <v>0</v>
      </c>
      <c r="AG85" s="643">
        <v>0</v>
      </c>
      <c r="AH85" s="644">
        <v>0</v>
      </c>
      <c r="AI85" s="643">
        <v>0</v>
      </c>
      <c r="AJ85" s="643">
        <v>0</v>
      </c>
      <c r="AK85" s="645">
        <v>615.21379163098163</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-50.941346245748719</v>
      </c>
      <c r="Q86" s="643">
        <v>0</v>
      </c>
      <c r="R86" s="643">
        <v>0</v>
      </c>
      <c r="S86" s="645">
        <v>-50.941346245748719</v>
      </c>
      <c r="U86" s="641" t="s">
        <v>61</v>
      </c>
      <c r="V86" s="642">
        <v>0</v>
      </c>
      <c r="W86" s="643">
        <v>0</v>
      </c>
      <c r="X86" s="643">
        <v>0</v>
      </c>
      <c r="Y86" s="642">
        <v>0</v>
      </c>
      <c r="Z86" s="643">
        <v>0</v>
      </c>
      <c r="AA86" s="643">
        <v>0</v>
      </c>
      <c r="AB86" s="643">
        <v>0</v>
      </c>
      <c r="AC86" s="643">
        <v>0</v>
      </c>
      <c r="AD86" s="643">
        <v>0</v>
      </c>
      <c r="AE86" s="643">
        <v>0</v>
      </c>
      <c r="AF86" s="643">
        <v>0</v>
      </c>
      <c r="AG86" s="643">
        <v>0</v>
      </c>
      <c r="AH86" s="644">
        <v>-32.476172245636349</v>
      </c>
      <c r="AI86" s="643">
        <v>0</v>
      </c>
      <c r="AJ86" s="643">
        <v>0</v>
      </c>
      <c r="AK86" s="645">
        <v>-32.476172245636349</v>
      </c>
    </row>
    <row r="87" spans="3:37" ht="13.5">
      <c r="C87" s="641" t="s">
        <v>62</v>
      </c>
      <c r="D87" s="642">
        <v>0</v>
      </c>
      <c r="E87" s="643">
        <v>0</v>
      </c>
      <c r="F87" s="643">
        <v>-16.25862008896565</v>
      </c>
      <c r="G87" s="642">
        <v>0</v>
      </c>
      <c r="H87" s="643">
        <v>0</v>
      </c>
      <c r="I87" s="643">
        <v>0</v>
      </c>
      <c r="J87" s="643">
        <v>0</v>
      </c>
      <c r="K87" s="643">
        <v>0</v>
      </c>
      <c r="L87" s="643">
        <v>0</v>
      </c>
      <c r="M87" s="643">
        <v>0</v>
      </c>
      <c r="N87" s="643">
        <v>0</v>
      </c>
      <c r="O87" s="643">
        <v>0</v>
      </c>
      <c r="P87" s="644">
        <v>0</v>
      </c>
      <c r="Q87" s="643">
        <v>0</v>
      </c>
      <c r="R87" s="643">
        <v>0</v>
      </c>
      <c r="S87" s="645">
        <v>-16.25862008896565</v>
      </c>
      <c r="U87" s="641" t="s">
        <v>62</v>
      </c>
      <c r="V87" s="642">
        <v>0</v>
      </c>
      <c r="W87" s="643">
        <v>0</v>
      </c>
      <c r="X87" s="643">
        <v>-12.937868047131742</v>
      </c>
      <c r="Y87" s="642">
        <v>-1.5571295869756494</v>
      </c>
      <c r="Z87" s="643">
        <v>0</v>
      </c>
      <c r="AA87" s="643">
        <v>0</v>
      </c>
      <c r="AB87" s="643">
        <v>0</v>
      </c>
      <c r="AC87" s="643">
        <v>0</v>
      </c>
      <c r="AD87" s="643">
        <v>0</v>
      </c>
      <c r="AE87" s="643">
        <v>-0.27478757417217342</v>
      </c>
      <c r="AF87" s="643">
        <v>0</v>
      </c>
      <c r="AG87" s="643">
        <v>0</v>
      </c>
      <c r="AH87" s="644">
        <v>0</v>
      </c>
      <c r="AI87" s="643">
        <v>0</v>
      </c>
      <c r="AJ87" s="643">
        <v>0</v>
      </c>
      <c r="AK87" s="645">
        <v>-14.769785208279565</v>
      </c>
    </row>
    <row r="88" spans="3:37" ht="13.5">
      <c r="C88" s="641" t="s">
        <v>63</v>
      </c>
      <c r="D88" s="642">
        <v>0</v>
      </c>
      <c r="E88" s="643">
        <v>0</v>
      </c>
      <c r="F88" s="643">
        <v>-83.551471621484865</v>
      </c>
      <c r="G88" s="642">
        <v>0</v>
      </c>
      <c r="H88" s="643">
        <v>0</v>
      </c>
      <c r="I88" s="643">
        <v>0</v>
      </c>
      <c r="J88" s="643">
        <v>0</v>
      </c>
      <c r="K88" s="643">
        <v>0</v>
      </c>
      <c r="L88" s="643">
        <v>-0.85914301655193537</v>
      </c>
      <c r="M88" s="643">
        <v>0</v>
      </c>
      <c r="N88" s="643">
        <v>0</v>
      </c>
      <c r="O88" s="643">
        <v>0</v>
      </c>
      <c r="P88" s="644">
        <v>0</v>
      </c>
      <c r="Q88" s="643">
        <v>0</v>
      </c>
      <c r="R88" s="643">
        <v>0</v>
      </c>
      <c r="S88" s="645">
        <v>-84.410614638036805</v>
      </c>
      <c r="U88" s="641" t="s">
        <v>63</v>
      </c>
      <c r="V88" s="642">
        <v>0</v>
      </c>
      <c r="W88" s="643">
        <v>0</v>
      </c>
      <c r="X88" s="643">
        <v>-67.135202148658564</v>
      </c>
      <c r="Y88" s="642">
        <v>0</v>
      </c>
      <c r="Z88" s="643">
        <v>0</v>
      </c>
      <c r="AA88" s="643">
        <v>0</v>
      </c>
      <c r="AB88" s="643">
        <v>0</v>
      </c>
      <c r="AC88" s="643">
        <v>0</v>
      </c>
      <c r="AD88" s="643">
        <v>-15.117527463171397</v>
      </c>
      <c r="AE88" s="643">
        <v>0</v>
      </c>
      <c r="AF88" s="643">
        <v>0</v>
      </c>
      <c r="AG88" s="643">
        <v>0</v>
      </c>
      <c r="AH88" s="644">
        <v>0</v>
      </c>
      <c r="AI88" s="643">
        <v>0</v>
      </c>
      <c r="AJ88" s="643">
        <v>0</v>
      </c>
      <c r="AK88" s="645">
        <v>-82.252729611829963</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48.827265231041785</v>
      </c>
      <c r="E90" s="647">
        <v>523.88910535010393</v>
      </c>
      <c r="F90" s="647">
        <v>8.0644790088140255</v>
      </c>
      <c r="G90" s="647">
        <v>335.1417788205901</v>
      </c>
      <c r="H90" s="647">
        <v>1075.0000000000002</v>
      </c>
      <c r="I90" s="647">
        <v>224.13674723416887</v>
      </c>
      <c r="J90" s="647">
        <v>195.29777952983056</v>
      </c>
      <c r="K90" s="647">
        <v>21.432553878964274</v>
      </c>
      <c r="L90" s="647">
        <v>1.5939623879592042</v>
      </c>
      <c r="M90" s="647">
        <v>0.1566638564915529</v>
      </c>
      <c r="N90" s="647">
        <v>57.826394702164251</v>
      </c>
      <c r="O90" s="647">
        <v>8.0717549324466145</v>
      </c>
      <c r="P90" s="647">
        <v>-50.941346245748719</v>
      </c>
      <c r="Q90" s="647">
        <v>0</v>
      </c>
      <c r="R90" s="647">
        <v>0</v>
      </c>
      <c r="S90" s="647">
        <v>2448.4971386868265</v>
      </c>
      <c r="U90" s="646" t="s">
        <v>65</v>
      </c>
      <c r="V90" s="647">
        <v>9.7783497021920969</v>
      </c>
      <c r="W90" s="647">
        <v>342.62490869295175</v>
      </c>
      <c r="X90" s="647">
        <v>-24.574799014535962</v>
      </c>
      <c r="Y90" s="647">
        <v>205.89329508200694</v>
      </c>
      <c r="Z90" s="647">
        <v>994.39393939393949</v>
      </c>
      <c r="AA90" s="647">
        <v>248.70674723416883</v>
      </c>
      <c r="AB90" s="647">
        <v>195.46401906120443</v>
      </c>
      <c r="AC90" s="647">
        <v>38.031253697312572</v>
      </c>
      <c r="AD90" s="647">
        <v>-12.664422058660257</v>
      </c>
      <c r="AE90" s="647">
        <v>-0.11812371768062052</v>
      </c>
      <c r="AF90" s="647">
        <v>76.992812580470769</v>
      </c>
      <c r="AG90" s="647">
        <v>16.738826185514363</v>
      </c>
      <c r="AH90" s="647">
        <v>-32.476172245636349</v>
      </c>
      <c r="AI90" s="647">
        <v>0</v>
      </c>
      <c r="AJ90" s="647">
        <v>0</v>
      </c>
      <c r="AK90" s="647">
        <v>2058.7906345932479</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7.9696731063521415</v>
      </c>
      <c r="G93" s="642">
        <v>17.422222222222224</v>
      </c>
      <c r="H93" s="642">
        <v>1075.0000000000002</v>
      </c>
      <c r="I93" s="642">
        <v>224.13674723416887</v>
      </c>
      <c r="J93" s="651">
        <v>30.45355250478201</v>
      </c>
      <c r="K93" s="651">
        <v>7.4482212846984126</v>
      </c>
      <c r="L93" s="651">
        <v>2.4531054045111396</v>
      </c>
      <c r="M93" s="651">
        <v>0.47972213502804317</v>
      </c>
      <c r="N93" s="651">
        <v>0</v>
      </c>
      <c r="O93" s="651">
        <v>3.0833964576427819</v>
      </c>
      <c r="P93" s="642">
        <v>-609.30151807373261</v>
      </c>
      <c r="Q93" s="642">
        <v>0</v>
      </c>
      <c r="R93" s="642">
        <v>0</v>
      </c>
      <c r="S93" s="650">
        <v>761.97190791669834</v>
      </c>
      <c r="U93" s="648" t="s">
        <v>350</v>
      </c>
      <c r="V93" s="642">
        <v>0.62631490545869017</v>
      </c>
      <c r="W93" s="642">
        <v>0</v>
      </c>
      <c r="X93" s="642">
        <v>4.1060367427157782</v>
      </c>
      <c r="Y93" s="642">
        <v>24.857777777777773</v>
      </c>
      <c r="Z93" s="642">
        <v>994.39393939393949</v>
      </c>
      <c r="AA93" s="642">
        <v>248.70674723416883</v>
      </c>
      <c r="AB93" s="651">
        <v>24.641197042508384</v>
      </c>
      <c r="AC93" s="651">
        <v>6.6719525843779666</v>
      </c>
      <c r="AD93" s="651">
        <v>2.4531054045111396</v>
      </c>
      <c r="AE93" s="651">
        <v>4.5108332461391543</v>
      </c>
      <c r="AF93" s="651">
        <v>0</v>
      </c>
      <c r="AG93" s="651">
        <v>3.0833964576427819</v>
      </c>
      <c r="AH93" s="642">
        <v>-611.77151807373264</v>
      </c>
      <c r="AI93" s="642">
        <v>0</v>
      </c>
      <c r="AJ93" s="642">
        <v>2.3749999999999996</v>
      </c>
      <c r="AK93" s="650">
        <v>704.65478271550762</v>
      </c>
    </row>
    <row r="94" spans="3:37" ht="13.5">
      <c r="C94" s="648" t="s">
        <v>351</v>
      </c>
      <c r="D94" s="642">
        <v>0</v>
      </c>
      <c r="E94" s="642">
        <v>0</v>
      </c>
      <c r="F94" s="642">
        <v>0</v>
      </c>
      <c r="G94" s="642">
        <v>15.160725636684646</v>
      </c>
      <c r="H94" s="642">
        <v>0</v>
      </c>
      <c r="I94" s="642">
        <v>0</v>
      </c>
      <c r="J94" s="651">
        <v>12.939045348987106</v>
      </c>
      <c r="K94" s="651">
        <v>12.151724678588742</v>
      </c>
      <c r="L94" s="651">
        <v>0</v>
      </c>
      <c r="M94" s="651">
        <v>0.32322722394029924</v>
      </c>
      <c r="N94" s="651">
        <v>0</v>
      </c>
      <c r="O94" s="651">
        <v>2.1538235080806043</v>
      </c>
      <c r="P94" s="642">
        <v>0</v>
      </c>
      <c r="Q94" s="642">
        <v>-38.589386176372813</v>
      </c>
      <c r="R94" s="642">
        <v>0</v>
      </c>
      <c r="S94" s="650">
        <v>4.1391602199085806</v>
      </c>
      <c r="U94" s="648" t="s">
        <v>351</v>
      </c>
      <c r="V94" s="642">
        <v>0</v>
      </c>
      <c r="W94" s="642">
        <v>0</v>
      </c>
      <c r="X94" s="642">
        <v>0</v>
      </c>
      <c r="Y94" s="642">
        <v>15.290780965453443</v>
      </c>
      <c r="Z94" s="642">
        <v>0</v>
      </c>
      <c r="AA94" s="642">
        <v>0</v>
      </c>
      <c r="AB94" s="651">
        <v>28.500378674784677</v>
      </c>
      <c r="AC94" s="651">
        <v>25.381229817913329</v>
      </c>
      <c r="AD94" s="651">
        <v>0</v>
      </c>
      <c r="AE94" s="651">
        <v>2.712197771476935</v>
      </c>
      <c r="AF94" s="651">
        <v>0</v>
      </c>
      <c r="AG94" s="651">
        <v>8.3103526067541207</v>
      </c>
      <c r="AH94" s="642">
        <v>0</v>
      </c>
      <c r="AI94" s="642">
        <v>-73.223954421682024</v>
      </c>
      <c r="AJ94" s="642">
        <v>0</v>
      </c>
      <c r="AK94" s="650">
        <v>6.9709854147004844</v>
      </c>
    </row>
    <row r="95" spans="3:37" ht="13.5">
      <c r="C95" s="648" t="s">
        <v>352</v>
      </c>
      <c r="D95" s="642">
        <v>0</v>
      </c>
      <c r="E95" s="642">
        <v>0</v>
      </c>
      <c r="F95" s="642">
        <v>0</v>
      </c>
      <c r="G95" s="642">
        <v>0</v>
      </c>
      <c r="H95" s="642">
        <v>0</v>
      </c>
      <c r="I95" s="642">
        <v>0</v>
      </c>
      <c r="J95" s="652">
        <v>7.3987592400222235</v>
      </c>
      <c r="K95" s="652">
        <v>0</v>
      </c>
      <c r="L95" s="652">
        <v>0</v>
      </c>
      <c r="M95" s="652">
        <v>-6.5941441726698065</v>
      </c>
      <c r="N95" s="652">
        <v>0</v>
      </c>
      <c r="O95" s="652">
        <v>0</v>
      </c>
      <c r="P95" s="642">
        <v>0</v>
      </c>
      <c r="Q95" s="642">
        <v>0</v>
      </c>
      <c r="R95" s="642">
        <v>0</v>
      </c>
      <c r="S95" s="650">
        <v>0.80461506735241706</v>
      </c>
      <c r="U95" s="648" t="s">
        <v>352</v>
      </c>
      <c r="V95" s="642">
        <v>0</v>
      </c>
      <c r="W95" s="642">
        <v>0</v>
      </c>
      <c r="X95" s="642">
        <v>0</v>
      </c>
      <c r="Y95" s="642">
        <v>0</v>
      </c>
      <c r="Z95" s="642">
        <v>0</v>
      </c>
      <c r="AA95" s="642">
        <v>0</v>
      </c>
      <c r="AB95" s="652">
        <v>40.786473386605621</v>
      </c>
      <c r="AC95" s="652">
        <v>0</v>
      </c>
      <c r="AD95" s="652">
        <v>0</v>
      </c>
      <c r="AE95" s="652">
        <v>-36.350944405812257</v>
      </c>
      <c r="AF95" s="652">
        <v>0</v>
      </c>
      <c r="AG95" s="652">
        <v>0</v>
      </c>
      <c r="AH95" s="642">
        <v>0</v>
      </c>
      <c r="AI95" s="642">
        <v>0</v>
      </c>
      <c r="AJ95" s="642">
        <v>0</v>
      </c>
      <c r="AK95" s="650">
        <v>4.4355289807933644</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542.69343279650275</v>
      </c>
      <c r="F97" s="642">
        <v>-537.26649846853775</v>
      </c>
      <c r="G97" s="642">
        <v>0</v>
      </c>
      <c r="H97" s="642">
        <v>0</v>
      </c>
      <c r="I97" s="642">
        <v>0</v>
      </c>
      <c r="J97" s="642">
        <v>0</v>
      </c>
      <c r="K97" s="642">
        <v>0</v>
      </c>
      <c r="L97" s="642">
        <v>0</v>
      </c>
      <c r="M97" s="642">
        <v>0</v>
      </c>
      <c r="N97" s="642">
        <v>0</v>
      </c>
      <c r="O97" s="642">
        <v>0</v>
      </c>
      <c r="P97" s="642">
        <v>0</v>
      </c>
      <c r="Q97" s="642">
        <v>0</v>
      </c>
      <c r="R97" s="642">
        <v>0</v>
      </c>
      <c r="S97" s="650">
        <v>5.4269343279650002</v>
      </c>
      <c r="U97" s="648" t="s">
        <v>72</v>
      </c>
      <c r="V97" s="642">
        <v>0</v>
      </c>
      <c r="W97" s="642">
        <v>354.9229903070925</v>
      </c>
      <c r="X97" s="642">
        <v>-351.3737604040216</v>
      </c>
      <c r="Y97" s="642">
        <v>0</v>
      </c>
      <c r="Z97" s="642">
        <v>0</v>
      </c>
      <c r="AA97" s="642">
        <v>0</v>
      </c>
      <c r="AB97" s="642">
        <v>0</v>
      </c>
      <c r="AC97" s="642">
        <v>0</v>
      </c>
      <c r="AD97" s="642">
        <v>0</v>
      </c>
      <c r="AE97" s="642">
        <v>0</v>
      </c>
      <c r="AF97" s="642">
        <v>0</v>
      </c>
      <c r="AG97" s="642">
        <v>0</v>
      </c>
      <c r="AH97" s="642">
        <v>0</v>
      </c>
      <c r="AI97" s="642">
        <v>0</v>
      </c>
      <c r="AJ97" s="642">
        <v>0</v>
      </c>
      <c r="AK97" s="650">
        <v>3.5492299030709091</v>
      </c>
    </row>
    <row r="98" spans="3:37" ht="13.5">
      <c r="C98" s="648" t="s">
        <v>354</v>
      </c>
      <c r="D98" s="642">
        <v>0</v>
      </c>
      <c r="E98" s="642">
        <v>0</v>
      </c>
      <c r="F98" s="642">
        <v>0</v>
      </c>
      <c r="G98" s="642">
        <v>0</v>
      </c>
      <c r="H98" s="642">
        <v>0</v>
      </c>
      <c r="I98" s="642">
        <v>0</v>
      </c>
      <c r="J98" s="642">
        <v>32.75009012852766</v>
      </c>
      <c r="K98" s="642">
        <v>0</v>
      </c>
      <c r="L98" s="642">
        <v>-32.75009012852766</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-76.638831624044727</v>
      </c>
      <c r="AE98" s="642">
        <v>0</v>
      </c>
      <c r="AF98" s="642">
        <v>0</v>
      </c>
      <c r="AG98" s="642">
        <v>0</v>
      </c>
      <c r="AH98" s="642">
        <v>0</v>
      </c>
      <c r="AI98" s="642">
        <v>0</v>
      </c>
      <c r="AJ98" s="642">
        <v>0</v>
      </c>
      <c r="AK98" s="650">
        <v>-76.638831624044727</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-16.893833779014706</v>
      </c>
      <c r="AE99" s="642">
        <v>0</v>
      </c>
      <c r="AF99" s="642">
        <v>0</v>
      </c>
      <c r="AG99" s="642">
        <v>0</v>
      </c>
      <c r="AH99" s="642">
        <v>0</v>
      </c>
      <c r="AI99" s="642">
        <v>0</v>
      </c>
      <c r="AJ99" s="642">
        <v>0</v>
      </c>
      <c r="AK99" s="650">
        <v>-16.893833779014706</v>
      </c>
    </row>
    <row r="100" spans="3:37" ht="13.5">
      <c r="C100" s="648" t="s">
        <v>73</v>
      </c>
      <c r="D100" s="642">
        <v>0</v>
      </c>
      <c r="E100" s="642">
        <v>0</v>
      </c>
      <c r="F100" s="642">
        <v>0</v>
      </c>
      <c r="G100" s="642">
        <v>2.9190475912378031</v>
      </c>
      <c r="H100" s="642">
        <v>0</v>
      </c>
      <c r="I100" s="642">
        <v>0</v>
      </c>
      <c r="J100" s="642">
        <v>0</v>
      </c>
      <c r="K100" s="642">
        <v>3.3095777678433143E-2</v>
      </c>
      <c r="L100" s="642">
        <v>0</v>
      </c>
      <c r="M100" s="642">
        <v>5.9572399821179664E-2</v>
      </c>
      <c r="N100" s="642">
        <v>0</v>
      </c>
      <c r="O100" s="642">
        <v>0</v>
      </c>
      <c r="P100" s="642">
        <v>0.31236464325712177</v>
      </c>
      <c r="Q100" s="642">
        <v>0</v>
      </c>
      <c r="R100" s="642">
        <v>-2.3167044374903201</v>
      </c>
      <c r="S100" s="650">
        <v>1.0073759745042175</v>
      </c>
      <c r="U100" s="648" t="s">
        <v>73</v>
      </c>
      <c r="V100" s="642">
        <v>0</v>
      </c>
      <c r="W100" s="642">
        <v>0</v>
      </c>
      <c r="X100" s="642">
        <v>0</v>
      </c>
      <c r="Y100" s="642">
        <v>6.287229939138852</v>
      </c>
      <c r="Z100" s="642">
        <v>0</v>
      </c>
      <c r="AA100" s="642">
        <v>0</v>
      </c>
      <c r="AB100" s="642">
        <v>0</v>
      </c>
      <c r="AC100" s="642">
        <v>0.25073698660573684</v>
      </c>
      <c r="AD100" s="642">
        <v>0</v>
      </c>
      <c r="AE100" s="642">
        <v>1.1095111657303856</v>
      </c>
      <c r="AF100" s="642">
        <v>0</v>
      </c>
      <c r="AG100" s="642">
        <v>0</v>
      </c>
      <c r="AH100" s="642">
        <v>18.274688237257074</v>
      </c>
      <c r="AI100" s="642">
        <v>0</v>
      </c>
      <c r="AJ100" s="642">
        <v>-17.551589062401579</v>
      </c>
      <c r="AK100" s="650">
        <v>8.3705772663304678</v>
      </c>
    </row>
    <row r="101" spans="3:37" ht="13.5">
      <c r="C101" s="648" t="s">
        <v>356</v>
      </c>
      <c r="D101" s="642">
        <v>28.656195468750003</v>
      </c>
      <c r="E101" s="642">
        <v>-18.804327446398823</v>
      </c>
      <c r="F101" s="642">
        <v>24.594949618470011</v>
      </c>
      <c r="G101" s="642">
        <v>0</v>
      </c>
      <c r="H101" s="642">
        <v>0</v>
      </c>
      <c r="I101" s="642">
        <v>0</v>
      </c>
      <c r="J101" s="642">
        <v>0</v>
      </c>
      <c r="K101" s="642">
        <v>0</v>
      </c>
      <c r="L101" s="642">
        <v>0</v>
      </c>
      <c r="M101" s="642">
        <v>0</v>
      </c>
      <c r="N101" s="642">
        <v>0</v>
      </c>
      <c r="O101" s="642">
        <v>0</v>
      </c>
      <c r="P101" s="642">
        <v>0</v>
      </c>
      <c r="Q101" s="642">
        <v>0</v>
      </c>
      <c r="R101" s="642">
        <v>0</v>
      </c>
      <c r="S101" s="650">
        <v>34.446817640821195</v>
      </c>
      <c r="U101" s="648" t="s">
        <v>356</v>
      </c>
      <c r="V101" s="642">
        <v>3.6632235107421875</v>
      </c>
      <c r="W101" s="642">
        <v>-12.298081614140758</v>
      </c>
      <c r="X101" s="642">
        <v>16.085164362607916</v>
      </c>
      <c r="Y101" s="642">
        <v>0</v>
      </c>
      <c r="Z101" s="642">
        <v>0</v>
      </c>
      <c r="AA101" s="642">
        <v>0</v>
      </c>
      <c r="AB101" s="642">
        <v>0</v>
      </c>
      <c r="AC101" s="642">
        <v>0</v>
      </c>
      <c r="AD101" s="642">
        <v>0</v>
      </c>
      <c r="AE101" s="642">
        <v>0</v>
      </c>
      <c r="AF101" s="642">
        <v>0</v>
      </c>
      <c r="AG101" s="642">
        <v>0</v>
      </c>
      <c r="AH101" s="642">
        <v>0</v>
      </c>
      <c r="AI101" s="642">
        <v>0</v>
      </c>
      <c r="AJ101" s="642">
        <v>0</v>
      </c>
      <c r="AK101" s="650">
        <v>7.450306259209345</v>
      </c>
    </row>
    <row r="102" spans="3:37" ht="13.5">
      <c r="C102" s="648" t="s">
        <v>75</v>
      </c>
      <c r="D102" s="642">
        <v>11.144076015625002</v>
      </c>
      <c r="E102" s="642">
        <v>0</v>
      </c>
      <c r="F102" s="642">
        <v>18.451576715081096</v>
      </c>
      <c r="G102" s="642">
        <v>5.2652116849916704</v>
      </c>
      <c r="H102" s="642">
        <v>0</v>
      </c>
      <c r="I102" s="642">
        <v>0</v>
      </c>
      <c r="J102" s="642">
        <v>0</v>
      </c>
      <c r="K102" s="642">
        <v>0</v>
      </c>
      <c r="L102" s="642">
        <v>0</v>
      </c>
      <c r="M102" s="642">
        <v>0.10745329969370757</v>
      </c>
      <c r="N102" s="642">
        <v>0</v>
      </c>
      <c r="O102" s="642">
        <v>0</v>
      </c>
      <c r="P102" s="642">
        <v>33.522260759660846</v>
      </c>
      <c r="Q102" s="642">
        <v>0</v>
      </c>
      <c r="R102" s="642">
        <v>0</v>
      </c>
      <c r="S102" s="650">
        <v>68.490578475052317</v>
      </c>
      <c r="U102" s="648" t="s">
        <v>75</v>
      </c>
      <c r="V102" s="642">
        <v>4.4693862304687499</v>
      </c>
      <c r="W102" s="642">
        <v>0</v>
      </c>
      <c r="X102" s="642">
        <v>18.451576715081096</v>
      </c>
      <c r="Y102" s="642">
        <v>4.5667652369825715</v>
      </c>
      <c r="Z102" s="642">
        <v>0</v>
      </c>
      <c r="AA102" s="642">
        <v>0</v>
      </c>
      <c r="AB102" s="642">
        <v>0</v>
      </c>
      <c r="AC102" s="642">
        <v>0</v>
      </c>
      <c r="AD102" s="642">
        <v>0</v>
      </c>
      <c r="AE102" s="642">
        <v>0.8058997477028067</v>
      </c>
      <c r="AF102" s="642">
        <v>0</v>
      </c>
      <c r="AG102" s="642">
        <v>0</v>
      </c>
      <c r="AH102" s="642">
        <v>33.775215305115388</v>
      </c>
      <c r="AI102" s="642">
        <v>0</v>
      </c>
      <c r="AJ102" s="642">
        <v>0</v>
      </c>
      <c r="AK102" s="650">
        <v>62.068843235350613</v>
      </c>
    </row>
    <row r="103" spans="3:37" ht="13.5">
      <c r="C103" s="648" t="s">
        <v>76</v>
      </c>
      <c r="D103" s="642">
        <v>0</v>
      </c>
      <c r="E103" s="642">
        <v>0</v>
      </c>
      <c r="F103" s="642">
        <v>0</v>
      </c>
      <c r="G103" s="642">
        <v>3.8313802109978718</v>
      </c>
      <c r="H103" s="642">
        <v>0</v>
      </c>
      <c r="I103" s="642">
        <v>0</v>
      </c>
      <c r="J103" s="642">
        <v>0</v>
      </c>
      <c r="K103" s="642">
        <v>0</v>
      </c>
      <c r="L103" s="642">
        <v>0</v>
      </c>
      <c r="M103" s="642">
        <v>7.8191432877507586E-2</v>
      </c>
      <c r="N103" s="642">
        <v>0</v>
      </c>
      <c r="O103" s="642">
        <v>0</v>
      </c>
      <c r="P103" s="642">
        <v>42.744249460921445</v>
      </c>
      <c r="Q103" s="642">
        <v>2.9948048478615572</v>
      </c>
      <c r="R103" s="642">
        <v>0</v>
      </c>
      <c r="S103" s="650">
        <v>49.648625952658385</v>
      </c>
      <c r="U103" s="648" t="s">
        <v>76</v>
      </c>
      <c r="V103" s="642">
        <v>0</v>
      </c>
      <c r="W103" s="642">
        <v>0</v>
      </c>
      <c r="X103" s="642">
        <v>0</v>
      </c>
      <c r="Y103" s="642">
        <v>2.4425535766751323</v>
      </c>
      <c r="Z103" s="642">
        <v>0</v>
      </c>
      <c r="AA103" s="642">
        <v>0</v>
      </c>
      <c r="AB103" s="642">
        <v>0</v>
      </c>
      <c r="AC103" s="642">
        <v>0</v>
      </c>
      <c r="AD103" s="642">
        <v>0</v>
      </c>
      <c r="AE103" s="642">
        <v>0.43103886647208217</v>
      </c>
      <c r="AF103" s="642">
        <v>0</v>
      </c>
      <c r="AG103" s="642">
        <v>0</v>
      </c>
      <c r="AH103" s="642">
        <v>44.348699545879278</v>
      </c>
      <c r="AI103" s="642">
        <v>5.6786643797858867</v>
      </c>
      <c r="AJ103" s="642">
        <v>0</v>
      </c>
      <c r="AK103" s="650">
        <v>52.900956368812388</v>
      </c>
    </row>
    <row r="104" spans="3:37" ht="13.5">
      <c r="C104" s="646" t="s">
        <v>77</v>
      </c>
      <c r="D104" s="647">
        <v>42.627057125400256</v>
      </c>
      <c r="E104" s="647">
        <v>523.88910535010393</v>
      </c>
      <c r="F104" s="647">
        <v>-486.25029902863446</v>
      </c>
      <c r="G104" s="647">
        <v>44.598587346134217</v>
      </c>
      <c r="H104" s="647">
        <v>1075.0000000000002</v>
      </c>
      <c r="I104" s="647">
        <v>224.13674723416887</v>
      </c>
      <c r="J104" s="647">
        <v>83.541447222318993</v>
      </c>
      <c r="K104" s="647">
        <v>19.633041740965588</v>
      </c>
      <c r="L104" s="647">
        <v>-30.296984724016522</v>
      </c>
      <c r="M104" s="647">
        <v>-5.5459776813090693</v>
      </c>
      <c r="N104" s="647">
        <v>0</v>
      </c>
      <c r="O104" s="647">
        <v>5.2372199657233862</v>
      </c>
      <c r="P104" s="647">
        <v>-532.72264320989325</v>
      </c>
      <c r="Q104" s="647">
        <v>-35.594581328511254</v>
      </c>
      <c r="R104" s="647">
        <v>-2.3167044374903201</v>
      </c>
      <c r="S104" s="647">
        <v>925.93601557496061</v>
      </c>
      <c r="U104" s="646" t="s">
        <v>77</v>
      </c>
      <c r="V104" s="647">
        <v>8.7589246466696284</v>
      </c>
      <c r="W104" s="647">
        <v>342.62490869295175</v>
      </c>
      <c r="X104" s="647">
        <v>-312.73098258361676</v>
      </c>
      <c r="Y104" s="647">
        <v>53.445107496027774</v>
      </c>
      <c r="Z104" s="647">
        <v>994.39393939393949</v>
      </c>
      <c r="AA104" s="647">
        <v>248.70674723416883</v>
      </c>
      <c r="AB104" s="647">
        <v>93.928049103898687</v>
      </c>
      <c r="AC104" s="647">
        <v>32.303919388897036</v>
      </c>
      <c r="AD104" s="647">
        <v>-91.079559998548305</v>
      </c>
      <c r="AE104" s="647">
        <v>-26.781463608290892</v>
      </c>
      <c r="AF104" s="647">
        <v>0</v>
      </c>
      <c r="AG104" s="647">
        <v>11.393749064396903</v>
      </c>
      <c r="AH104" s="647">
        <v>-515.37291498548086</v>
      </c>
      <c r="AI104" s="647">
        <v>-67.545290041896138</v>
      </c>
      <c r="AJ104" s="647">
        <v>-15.176589062401579</v>
      </c>
      <c r="AK104" s="647">
        <v>756.86854474071572</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6.2002081056415257</v>
      </c>
      <c r="E106" s="642">
        <v>0</v>
      </c>
      <c r="F106" s="642">
        <v>23.255205938178186</v>
      </c>
      <c r="G106" s="642">
        <v>101.12865293850786</v>
      </c>
      <c r="H106" s="642">
        <v>0</v>
      </c>
      <c r="I106" s="642">
        <v>0</v>
      </c>
      <c r="J106" s="642">
        <v>19.565687098295676</v>
      </c>
      <c r="K106" s="642">
        <v>1.7744589215827917</v>
      </c>
      <c r="L106" s="642">
        <v>0.87520713476562495</v>
      </c>
      <c r="M106" s="642">
        <v>2.0825226770622867</v>
      </c>
      <c r="N106" s="642">
        <v>0</v>
      </c>
      <c r="O106" s="642">
        <v>3.8067188808088001E-4</v>
      </c>
      <c r="P106" s="642">
        <v>109.76937284793219</v>
      </c>
      <c r="Q106" s="642">
        <v>16.103287978552984</v>
      </c>
      <c r="R106" s="642">
        <v>0.32868640136718752</v>
      </c>
      <c r="S106" s="650">
        <v>281.08367071377444</v>
      </c>
      <c r="U106" s="648" t="s">
        <v>78</v>
      </c>
      <c r="V106" s="642">
        <v>1.01942505552247</v>
      </c>
      <c r="W106" s="642">
        <v>0</v>
      </c>
      <c r="X106" s="642">
        <v>12.936117077553076</v>
      </c>
      <c r="Y106" s="642">
        <v>67.349539979102474</v>
      </c>
      <c r="Z106" s="642">
        <v>0</v>
      </c>
      <c r="AA106" s="642">
        <v>0</v>
      </c>
      <c r="AB106" s="642">
        <v>16.313565187348217</v>
      </c>
      <c r="AC106" s="642">
        <v>5.7022810919996436</v>
      </c>
      <c r="AD106" s="642">
        <v>2.2588896484375001</v>
      </c>
      <c r="AE106" s="642">
        <v>11.903885554581411</v>
      </c>
      <c r="AF106" s="642">
        <v>0</v>
      </c>
      <c r="AG106" s="642">
        <v>3.8067188808088001E-4</v>
      </c>
      <c r="AH106" s="642">
        <v>135.13428233654639</v>
      </c>
      <c r="AI106" s="642">
        <v>21.466888656055119</v>
      </c>
      <c r="AJ106" s="642">
        <v>5.7972734375000003</v>
      </c>
      <c r="AK106" s="650">
        <v>279.88252869653439</v>
      </c>
    </row>
    <row r="107" spans="3:37" ht="13.5">
      <c r="C107" s="648" t="s">
        <v>79</v>
      </c>
      <c r="D107" s="642">
        <v>0</v>
      </c>
      <c r="E107" s="642">
        <v>0</v>
      </c>
      <c r="F107" s="642">
        <v>291.38745921478562</v>
      </c>
      <c r="G107" s="642">
        <v>24.020829745272028</v>
      </c>
      <c r="H107" s="642">
        <v>0</v>
      </c>
      <c r="I107" s="642">
        <v>0</v>
      </c>
      <c r="J107" s="642">
        <v>0</v>
      </c>
      <c r="K107" s="642">
        <v>0</v>
      </c>
      <c r="L107" s="642">
        <v>28.280041762715456</v>
      </c>
      <c r="M107" s="642">
        <v>0.49022101520963324</v>
      </c>
      <c r="N107" s="642">
        <v>0</v>
      </c>
      <c r="O107" s="642">
        <v>0</v>
      </c>
      <c r="P107" s="642">
        <v>46.654707564142761</v>
      </c>
      <c r="Q107" s="642">
        <v>0</v>
      </c>
      <c r="R107" s="642">
        <v>1.1135281120019407</v>
      </c>
      <c r="S107" s="650">
        <v>391.94678741412741</v>
      </c>
      <c r="U107" s="648" t="s">
        <v>79</v>
      </c>
      <c r="V107" s="642">
        <v>0</v>
      </c>
      <c r="W107" s="642">
        <v>0</v>
      </c>
      <c r="X107" s="642">
        <v>152.5395921226515</v>
      </c>
      <c r="Y107" s="642">
        <v>18.931026789455995</v>
      </c>
      <c r="Z107" s="642">
        <v>0</v>
      </c>
      <c r="AA107" s="642">
        <v>0</v>
      </c>
      <c r="AB107" s="642">
        <v>0</v>
      </c>
      <c r="AC107" s="642">
        <v>0</v>
      </c>
      <c r="AD107" s="642">
        <v>49.546406871337183</v>
      </c>
      <c r="AE107" s="642">
        <v>3.3407694334334113</v>
      </c>
      <c r="AF107" s="642">
        <v>0</v>
      </c>
      <c r="AG107" s="642">
        <v>0</v>
      </c>
      <c r="AH107" s="642">
        <v>60.923926311544285</v>
      </c>
      <c r="AI107" s="642">
        <v>0</v>
      </c>
      <c r="AJ107" s="642">
        <v>2.0956611258816777</v>
      </c>
      <c r="AK107" s="650">
        <v>287.37738265430403</v>
      </c>
    </row>
    <row r="108" spans="3:37" ht="13.5">
      <c r="C108" s="648" t="s">
        <v>80</v>
      </c>
      <c r="D108" s="642">
        <v>0</v>
      </c>
      <c r="E108" s="642">
        <v>0</v>
      </c>
      <c r="F108" s="642">
        <v>24.366054746482678</v>
      </c>
      <c r="G108" s="642">
        <v>88.830627596834503</v>
      </c>
      <c r="H108" s="642">
        <v>0</v>
      </c>
      <c r="I108" s="642">
        <v>0</v>
      </c>
      <c r="J108" s="642">
        <v>86.298448588028648</v>
      </c>
      <c r="K108" s="642">
        <v>0</v>
      </c>
      <c r="L108" s="642">
        <v>0</v>
      </c>
      <c r="M108" s="642">
        <v>1.8128699509558064</v>
      </c>
      <c r="N108" s="642">
        <v>49.305914152356948</v>
      </c>
      <c r="O108" s="642">
        <v>1.9759423218950023</v>
      </c>
      <c r="P108" s="642">
        <v>183.08170703950353</v>
      </c>
      <c r="Q108" s="642">
        <v>15.629207143582217</v>
      </c>
      <c r="R108" s="642">
        <v>0</v>
      </c>
      <c r="S108" s="650">
        <v>451.3007715396393</v>
      </c>
      <c r="U108" s="648" t="s">
        <v>80</v>
      </c>
      <c r="V108" s="642">
        <v>0</v>
      </c>
      <c r="W108" s="642">
        <v>0</v>
      </c>
      <c r="X108" s="642">
        <v>1.5212022418020299</v>
      </c>
      <c r="Y108" s="642">
        <v>34.748278571527685</v>
      </c>
      <c r="Z108" s="642">
        <v>0</v>
      </c>
      <c r="AA108" s="642">
        <v>0</v>
      </c>
      <c r="AB108" s="642">
        <v>75.181836567082826</v>
      </c>
      <c r="AC108" s="642">
        <v>0</v>
      </c>
      <c r="AD108" s="642">
        <v>0</v>
      </c>
      <c r="AE108" s="642">
        <v>6.1320491596813564</v>
      </c>
      <c r="AF108" s="642">
        <v>62.645467095100628</v>
      </c>
      <c r="AG108" s="642">
        <v>2.6978117080871646</v>
      </c>
      <c r="AH108" s="642">
        <v>158.40967854762758</v>
      </c>
      <c r="AI108" s="642">
        <v>35.928967439236224</v>
      </c>
      <c r="AJ108" s="642">
        <v>0</v>
      </c>
      <c r="AK108" s="650">
        <v>377.26529133014549</v>
      </c>
    </row>
    <row r="109" spans="3:37" ht="13.5">
      <c r="C109" s="648" t="s">
        <v>81</v>
      </c>
      <c r="D109" s="642">
        <v>0</v>
      </c>
      <c r="E109" s="642">
        <v>0</v>
      </c>
      <c r="F109" s="642">
        <v>9.1434406229634497</v>
      </c>
      <c r="G109" s="642">
        <v>62.772902131190932</v>
      </c>
      <c r="H109" s="642">
        <v>0</v>
      </c>
      <c r="I109" s="642">
        <v>0</v>
      </c>
      <c r="J109" s="642">
        <v>3.3792389882828151</v>
      </c>
      <c r="K109" s="642">
        <v>2.5053216415896862E-2</v>
      </c>
      <c r="L109" s="642">
        <v>0</v>
      </c>
      <c r="M109" s="642">
        <v>1.2810796353304272</v>
      </c>
      <c r="N109" s="642">
        <v>8.5204805498073064</v>
      </c>
      <c r="O109" s="642">
        <v>0.77988306826531983</v>
      </c>
      <c r="P109" s="642">
        <v>134.9475862077569</v>
      </c>
      <c r="Q109" s="642">
        <v>3.8620862063760555</v>
      </c>
      <c r="R109" s="642">
        <v>0</v>
      </c>
      <c r="S109" s="650">
        <v>224.71175062638912</v>
      </c>
      <c r="U109" s="648" t="s">
        <v>81</v>
      </c>
      <c r="V109" s="642">
        <v>0</v>
      </c>
      <c r="W109" s="642">
        <v>0</v>
      </c>
      <c r="X109" s="642">
        <v>2.5747324311170368</v>
      </c>
      <c r="Y109" s="642">
        <v>28.050706446538126</v>
      </c>
      <c r="Z109" s="642">
        <v>0</v>
      </c>
      <c r="AA109" s="642">
        <v>0</v>
      </c>
      <c r="AB109" s="642">
        <v>7.5276105699702738</v>
      </c>
      <c r="AC109" s="642">
        <v>2.5053216415896862E-2</v>
      </c>
      <c r="AD109" s="642">
        <v>0</v>
      </c>
      <c r="AE109" s="642">
        <v>4.9501246670361398</v>
      </c>
      <c r="AF109" s="642">
        <v>14.347345485370148</v>
      </c>
      <c r="AG109" s="642">
        <v>1.6839822655905561</v>
      </c>
      <c r="AH109" s="642">
        <v>120.05488498756245</v>
      </c>
      <c r="AI109" s="642">
        <v>10.149433946604795</v>
      </c>
      <c r="AJ109" s="642">
        <v>0</v>
      </c>
      <c r="AK109" s="650">
        <v>189.36387401620541</v>
      </c>
    </row>
    <row r="110" spans="3:37" ht="13.5">
      <c r="C110" s="648" t="s">
        <v>82</v>
      </c>
      <c r="D110" s="642">
        <v>0</v>
      </c>
      <c r="E110" s="642">
        <v>0</v>
      </c>
      <c r="F110" s="642">
        <v>31.378359933180146</v>
      </c>
      <c r="G110" s="642">
        <v>1.761464702880946</v>
      </c>
      <c r="H110" s="642">
        <v>0</v>
      </c>
      <c r="I110" s="642">
        <v>0</v>
      </c>
      <c r="J110" s="642">
        <v>2.5129576329044134</v>
      </c>
      <c r="K110" s="642">
        <v>0</v>
      </c>
      <c r="L110" s="642">
        <v>2.7366524531426237</v>
      </c>
      <c r="M110" s="642">
        <v>3.5948259242468285E-2</v>
      </c>
      <c r="N110" s="642">
        <v>0</v>
      </c>
      <c r="O110" s="642">
        <v>7.8328904674825409E-2</v>
      </c>
      <c r="P110" s="642">
        <v>7.1029233048090266</v>
      </c>
      <c r="Q110" s="642">
        <v>0</v>
      </c>
      <c r="R110" s="642">
        <v>0</v>
      </c>
      <c r="S110" s="650">
        <v>45.606635190834446</v>
      </c>
      <c r="U110" s="648" t="s">
        <v>82</v>
      </c>
      <c r="V110" s="642">
        <v>0</v>
      </c>
      <c r="W110" s="642">
        <v>0</v>
      </c>
      <c r="X110" s="642">
        <v>18.696617357576709</v>
      </c>
      <c r="Y110" s="642">
        <v>1.906896096641761</v>
      </c>
      <c r="Z110" s="642">
        <v>0</v>
      </c>
      <c r="AA110" s="642">
        <v>0</v>
      </c>
      <c r="AB110" s="642">
        <v>2.5129576329044134</v>
      </c>
      <c r="AC110" s="642">
        <v>0</v>
      </c>
      <c r="AD110" s="642">
        <v>18.28747352858748</v>
      </c>
      <c r="AE110" s="642">
        <v>0.33651107587795781</v>
      </c>
      <c r="AF110" s="642">
        <v>0</v>
      </c>
      <c r="AG110" s="642">
        <v>0.96290247555165809</v>
      </c>
      <c r="AH110" s="642">
        <v>7.1739705565638916</v>
      </c>
      <c r="AI110" s="642">
        <v>0</v>
      </c>
      <c r="AJ110" s="642">
        <v>0.24940873791150003</v>
      </c>
      <c r="AK110" s="650">
        <v>50.12673746161537</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0.22499999999999998</v>
      </c>
      <c r="Q111" s="642">
        <v>0</v>
      </c>
      <c r="R111" s="642">
        <v>0</v>
      </c>
      <c r="S111" s="650">
        <v>0.22499999999999998</v>
      </c>
      <c r="U111" s="648" t="s">
        <v>357</v>
      </c>
      <c r="V111" s="642">
        <v>0</v>
      </c>
      <c r="W111" s="642">
        <v>0</v>
      </c>
      <c r="X111" s="642">
        <v>0</v>
      </c>
      <c r="Y111" s="642">
        <v>0</v>
      </c>
      <c r="Z111" s="642">
        <v>0</v>
      </c>
      <c r="AA111" s="642">
        <v>0</v>
      </c>
      <c r="AB111" s="642">
        <v>0</v>
      </c>
      <c r="AC111" s="642">
        <v>0</v>
      </c>
      <c r="AD111" s="642">
        <v>0</v>
      </c>
      <c r="AE111" s="642">
        <v>0</v>
      </c>
      <c r="AF111" s="642">
        <v>0</v>
      </c>
      <c r="AG111" s="642">
        <v>0</v>
      </c>
      <c r="AH111" s="642">
        <v>1.2</v>
      </c>
      <c r="AI111" s="642">
        <v>0</v>
      </c>
      <c r="AJ111" s="642">
        <v>0</v>
      </c>
      <c r="AK111" s="650">
        <v>1.2</v>
      </c>
    </row>
    <row r="112" spans="3:37" ht="13.5">
      <c r="C112" s="646" t="s">
        <v>83</v>
      </c>
      <c r="D112" s="647">
        <v>6.2002081056415257</v>
      </c>
      <c r="E112" s="647">
        <v>0</v>
      </c>
      <c r="F112" s="647">
        <v>379.53052045559002</v>
      </c>
      <c r="G112" s="647">
        <v>278.51447711468631</v>
      </c>
      <c r="H112" s="647">
        <v>0</v>
      </c>
      <c r="I112" s="647">
        <v>0</v>
      </c>
      <c r="J112" s="647">
        <v>111.75633230751156</v>
      </c>
      <c r="K112" s="647">
        <v>1.7995121379986885</v>
      </c>
      <c r="L112" s="647">
        <v>31.891901350623705</v>
      </c>
      <c r="M112" s="647">
        <v>5.7026415378006226</v>
      </c>
      <c r="N112" s="647">
        <v>57.826394702164251</v>
      </c>
      <c r="O112" s="647">
        <v>2.8345349667232282</v>
      </c>
      <c r="P112" s="647">
        <v>481.78129696414442</v>
      </c>
      <c r="Q112" s="647">
        <v>35.594581328511254</v>
      </c>
      <c r="R112" s="647">
        <v>1.4422145133691282</v>
      </c>
      <c r="S112" s="647">
        <v>1394.8746154847647</v>
      </c>
      <c r="U112" s="646" t="s">
        <v>83</v>
      </c>
      <c r="V112" s="647">
        <v>1.01942505552247</v>
      </c>
      <c r="W112" s="647">
        <v>0</v>
      </c>
      <c r="X112" s="647">
        <v>188.26826123070035</v>
      </c>
      <c r="Y112" s="647">
        <v>150.98644788326604</v>
      </c>
      <c r="Z112" s="647">
        <v>0</v>
      </c>
      <c r="AA112" s="647">
        <v>0</v>
      </c>
      <c r="AB112" s="647">
        <v>101.53596995730574</v>
      </c>
      <c r="AC112" s="647">
        <v>5.727334308415541</v>
      </c>
      <c r="AD112" s="647">
        <v>70.092770048362169</v>
      </c>
      <c r="AE112" s="647">
        <v>26.663339890610278</v>
      </c>
      <c r="AF112" s="647">
        <v>76.992812580470769</v>
      </c>
      <c r="AG112" s="647">
        <v>5.3450771211174599</v>
      </c>
      <c r="AH112" s="647">
        <v>482.89674273984457</v>
      </c>
      <c r="AI112" s="647">
        <v>67.545290041896138</v>
      </c>
      <c r="AJ112" s="647">
        <v>8.1423433012931774</v>
      </c>
      <c r="AK112" s="647">
        <v>1185.2158141588047</v>
      </c>
    </row>
    <row r="113" spans="3:37" ht="13.5">
      <c r="C113" s="641" t="s">
        <v>84</v>
      </c>
      <c r="D113" s="642">
        <v>0</v>
      </c>
      <c r="E113" s="642">
        <v>0</v>
      </c>
      <c r="F113" s="642">
        <v>114.78425758185857</v>
      </c>
      <c r="G113" s="642">
        <v>12.028714359769619</v>
      </c>
      <c r="H113" s="642">
        <v>0</v>
      </c>
      <c r="I113" s="642">
        <v>0</v>
      </c>
      <c r="J113" s="642">
        <v>0</v>
      </c>
      <c r="K113" s="642">
        <v>0</v>
      </c>
      <c r="L113" s="642">
        <v>0</v>
      </c>
      <c r="M113" s="642">
        <v>0</v>
      </c>
      <c r="N113" s="642">
        <v>0</v>
      </c>
      <c r="O113" s="642">
        <v>0</v>
      </c>
      <c r="P113" s="642">
        <v>0</v>
      </c>
      <c r="Q113" s="642">
        <v>0</v>
      </c>
      <c r="R113" s="642">
        <v>0.87448992412119186</v>
      </c>
      <c r="S113" s="650">
        <v>127.68746186574938</v>
      </c>
      <c r="U113" s="641" t="s">
        <v>84</v>
      </c>
      <c r="V113" s="642">
        <v>0</v>
      </c>
      <c r="W113" s="642">
        <v>0</v>
      </c>
      <c r="X113" s="642">
        <v>99.887922338380434</v>
      </c>
      <c r="Y113" s="642">
        <v>1.4617397027131513</v>
      </c>
      <c r="Z113" s="642">
        <v>0</v>
      </c>
      <c r="AA113" s="642">
        <v>0</v>
      </c>
      <c r="AB113" s="642">
        <v>0</v>
      </c>
      <c r="AC113" s="642">
        <v>0</v>
      </c>
      <c r="AD113" s="642">
        <v>9.6859590362548822</v>
      </c>
      <c r="AE113" s="642">
        <v>0</v>
      </c>
      <c r="AF113" s="642">
        <v>0</v>
      </c>
      <c r="AG113" s="642">
        <v>0</v>
      </c>
      <c r="AH113" s="642">
        <v>0</v>
      </c>
      <c r="AI113" s="642">
        <v>0</v>
      </c>
      <c r="AJ113" s="642">
        <v>7.0342457611083988</v>
      </c>
      <c r="AK113" s="650">
        <v>118.06986683845686</v>
      </c>
    </row>
    <row r="114" spans="3:37" ht="13.5">
      <c r="C114" s="646" t="s">
        <v>85</v>
      </c>
      <c r="D114" s="647">
        <v>6.2002081056415257</v>
      </c>
      <c r="E114" s="647">
        <v>0</v>
      </c>
      <c r="F114" s="647">
        <v>494.3147780374486</v>
      </c>
      <c r="G114" s="647">
        <v>290.54319147445591</v>
      </c>
      <c r="H114" s="647">
        <v>0</v>
      </c>
      <c r="I114" s="647">
        <v>0</v>
      </c>
      <c r="J114" s="647">
        <v>111.75633230751156</v>
      </c>
      <c r="K114" s="647">
        <v>1.7995121379986885</v>
      </c>
      <c r="L114" s="647">
        <v>31.891901350623705</v>
      </c>
      <c r="M114" s="647">
        <v>5.7026415378006226</v>
      </c>
      <c r="N114" s="647">
        <v>57.826394702164251</v>
      </c>
      <c r="O114" s="647">
        <v>2.8345349667232282</v>
      </c>
      <c r="P114" s="647">
        <v>481.78129696414442</v>
      </c>
      <c r="Q114" s="647">
        <v>35.594581328511254</v>
      </c>
      <c r="R114" s="647">
        <v>2.3167044374903201</v>
      </c>
      <c r="S114" s="647">
        <v>1522.5620773505141</v>
      </c>
      <c r="U114" s="646" t="s">
        <v>85</v>
      </c>
      <c r="V114" s="647">
        <v>1.01942505552247</v>
      </c>
      <c r="W114" s="647">
        <v>0</v>
      </c>
      <c r="X114" s="647">
        <v>288.15618356908084</v>
      </c>
      <c r="Y114" s="647">
        <v>152.44818758597918</v>
      </c>
      <c r="Z114" s="647">
        <v>0</v>
      </c>
      <c r="AA114" s="647">
        <v>0</v>
      </c>
      <c r="AB114" s="647">
        <v>101.53596995730574</v>
      </c>
      <c r="AC114" s="647">
        <v>5.727334308415541</v>
      </c>
      <c r="AD114" s="647">
        <v>79.778729084617055</v>
      </c>
      <c r="AE114" s="647">
        <v>26.663339890610278</v>
      </c>
      <c r="AF114" s="647">
        <v>76.992812580470769</v>
      </c>
      <c r="AG114" s="647">
        <v>5.3450771211174599</v>
      </c>
      <c r="AH114" s="647">
        <v>482.89674273984457</v>
      </c>
      <c r="AI114" s="647">
        <v>67.545290041896138</v>
      </c>
      <c r="AJ114" s="647">
        <v>15.176589062401575</v>
      </c>
      <c r="AK114" s="647">
        <v>1303.2856809972616</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362</v>
      </c>
      <c r="D116" s="699"/>
      <c r="E116" s="699"/>
      <c r="F116" s="699"/>
      <c r="G116" s="699"/>
      <c r="H116" s="699"/>
      <c r="I116" s="699"/>
      <c r="J116" s="699"/>
      <c r="K116" s="699"/>
      <c r="L116" s="699"/>
      <c r="M116" s="699"/>
      <c r="N116" s="699"/>
      <c r="O116" s="699"/>
      <c r="P116" s="699"/>
      <c r="Q116" s="699"/>
      <c r="R116" s="699"/>
      <c r="S116" s="699"/>
      <c r="U116" s="699" t="s">
        <v>362</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2.3260000000000005</v>
      </c>
      <c r="F120" s="643">
        <v>0</v>
      </c>
      <c r="G120" s="642">
        <v>3.7216000000000006E-2</v>
      </c>
      <c r="H120" s="643">
        <v>1005.4545454545456</v>
      </c>
      <c r="I120" s="643">
        <v>248.9826967827097</v>
      </c>
      <c r="J120" s="643">
        <v>189.82090717884753</v>
      </c>
      <c r="K120" s="643">
        <v>21.067323208066789</v>
      </c>
      <c r="L120" s="643">
        <v>0.444514092196865</v>
      </c>
      <c r="M120" s="643">
        <v>0.15770970126630299</v>
      </c>
      <c r="N120" s="643">
        <v>60.832905155553725</v>
      </c>
      <c r="O120" s="643">
        <v>10.347989753579439</v>
      </c>
      <c r="P120" s="644">
        <v>0</v>
      </c>
      <c r="Q120" s="643">
        <v>0</v>
      </c>
      <c r="R120" s="643">
        <v>0</v>
      </c>
      <c r="S120" s="645">
        <v>1539.4718073267661</v>
      </c>
      <c r="U120" s="641" t="s">
        <v>59</v>
      </c>
      <c r="V120" s="642">
        <v>0</v>
      </c>
      <c r="W120" s="643">
        <v>2.3260000000000005</v>
      </c>
      <c r="X120" s="643">
        <v>0</v>
      </c>
      <c r="Y120" s="642">
        <v>3.7216000000000006E-2</v>
      </c>
      <c r="Z120" s="643">
        <v>949.39393939393938</v>
      </c>
      <c r="AA120" s="643">
        <v>279.58269678270966</v>
      </c>
      <c r="AB120" s="643">
        <v>196.53145821434362</v>
      </c>
      <c r="AC120" s="643">
        <v>37.828582612394825</v>
      </c>
      <c r="AD120" s="643">
        <v>0.444514092196865</v>
      </c>
      <c r="AE120" s="643">
        <v>0.15770970126630299</v>
      </c>
      <c r="AF120" s="643">
        <v>86.476611770328219</v>
      </c>
      <c r="AG120" s="643">
        <v>21.065809354780896</v>
      </c>
      <c r="AH120" s="644">
        <v>0</v>
      </c>
      <c r="AI120" s="643">
        <v>0</v>
      </c>
      <c r="AJ120" s="643">
        <v>0</v>
      </c>
      <c r="AK120" s="645">
        <v>1573.8445379219597</v>
      </c>
    </row>
    <row r="121" spans="3:37" ht="13.5">
      <c r="C121" s="641" t="s">
        <v>60</v>
      </c>
      <c r="D121" s="642">
        <v>48.372001461449948</v>
      </c>
      <c r="E121" s="643">
        <v>509.74501402008315</v>
      </c>
      <c r="F121" s="643">
        <v>84.255119008679685</v>
      </c>
      <c r="G121" s="642">
        <v>333.85211586331565</v>
      </c>
      <c r="H121" s="643">
        <v>0</v>
      </c>
      <c r="I121" s="643">
        <v>0</v>
      </c>
      <c r="J121" s="643">
        <v>4.1218275156281265</v>
      </c>
      <c r="K121" s="643">
        <v>0</v>
      </c>
      <c r="L121" s="643">
        <v>2.2815668000430724</v>
      </c>
      <c r="M121" s="643">
        <v>0</v>
      </c>
      <c r="N121" s="643">
        <v>0</v>
      </c>
      <c r="O121" s="643">
        <v>0</v>
      </c>
      <c r="P121" s="644">
        <v>0</v>
      </c>
      <c r="Q121" s="643">
        <v>0</v>
      </c>
      <c r="R121" s="643">
        <v>0</v>
      </c>
      <c r="S121" s="645">
        <v>982.62764466919975</v>
      </c>
      <c r="U121" s="641" t="s">
        <v>60</v>
      </c>
      <c r="V121" s="642">
        <v>8.3965846696126416</v>
      </c>
      <c r="W121" s="643">
        <v>294.49378048971494</v>
      </c>
      <c r="X121" s="643">
        <v>18.517216360631103</v>
      </c>
      <c r="Y121" s="642">
        <v>163.11536747865699</v>
      </c>
      <c r="Z121" s="643">
        <v>0</v>
      </c>
      <c r="AA121" s="643">
        <v>0</v>
      </c>
      <c r="AB121" s="643">
        <v>4.1218275156281265</v>
      </c>
      <c r="AC121" s="643">
        <v>0</v>
      </c>
      <c r="AD121" s="643">
        <v>2.2815668000430724</v>
      </c>
      <c r="AE121" s="643">
        <v>0</v>
      </c>
      <c r="AF121" s="643">
        <v>0</v>
      </c>
      <c r="AG121" s="643">
        <v>0</v>
      </c>
      <c r="AH121" s="644">
        <v>0</v>
      </c>
      <c r="AI121" s="643">
        <v>0</v>
      </c>
      <c r="AJ121" s="643">
        <v>0</v>
      </c>
      <c r="AK121" s="645">
        <v>490.9263433142869</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-38.942042128507637</v>
      </c>
      <c r="Q122" s="643">
        <v>0</v>
      </c>
      <c r="R122" s="643">
        <v>0</v>
      </c>
      <c r="S122" s="645">
        <v>-38.942042128507637</v>
      </c>
      <c r="U122" s="641" t="s">
        <v>61</v>
      </c>
      <c r="V122" s="642">
        <v>0</v>
      </c>
      <c r="W122" s="643">
        <v>0</v>
      </c>
      <c r="X122" s="643">
        <v>0</v>
      </c>
      <c r="Y122" s="642">
        <v>0</v>
      </c>
      <c r="Z122" s="643">
        <v>0</v>
      </c>
      <c r="AA122" s="643">
        <v>0</v>
      </c>
      <c r="AB122" s="643">
        <v>0</v>
      </c>
      <c r="AC122" s="643">
        <v>0</v>
      </c>
      <c r="AD122" s="643">
        <v>0</v>
      </c>
      <c r="AE122" s="643">
        <v>0</v>
      </c>
      <c r="AF122" s="643">
        <v>0</v>
      </c>
      <c r="AG122" s="643">
        <v>0</v>
      </c>
      <c r="AH122" s="644">
        <v>-20.693548582118865</v>
      </c>
      <c r="AI122" s="643">
        <v>0</v>
      </c>
      <c r="AJ122" s="643">
        <v>0</v>
      </c>
      <c r="AK122" s="645">
        <v>-20.693548582118865</v>
      </c>
    </row>
    <row r="123" spans="3:37" ht="13.5">
      <c r="C123" s="641" t="s">
        <v>62</v>
      </c>
      <c r="D123" s="642">
        <v>0</v>
      </c>
      <c r="E123" s="643">
        <v>0</v>
      </c>
      <c r="F123" s="643">
        <v>-16.016991189558784</v>
      </c>
      <c r="G123" s="642">
        <v>0</v>
      </c>
      <c r="H123" s="643">
        <v>0</v>
      </c>
      <c r="I123" s="643">
        <v>0</v>
      </c>
      <c r="J123" s="643">
        <v>0</v>
      </c>
      <c r="K123" s="643">
        <v>0</v>
      </c>
      <c r="L123" s="643">
        <v>0</v>
      </c>
      <c r="M123" s="643">
        <v>0</v>
      </c>
      <c r="N123" s="643">
        <v>0</v>
      </c>
      <c r="O123" s="643">
        <v>0</v>
      </c>
      <c r="P123" s="644">
        <v>0</v>
      </c>
      <c r="Q123" s="643">
        <v>0</v>
      </c>
      <c r="R123" s="643">
        <v>0</v>
      </c>
      <c r="S123" s="645">
        <v>-16.016991189558784</v>
      </c>
      <c r="U123" s="641" t="s">
        <v>62</v>
      </c>
      <c r="V123" s="642">
        <v>0</v>
      </c>
      <c r="W123" s="643">
        <v>0</v>
      </c>
      <c r="X123" s="643">
        <v>-11.216317309287092</v>
      </c>
      <c r="Y123" s="642">
        <v>-1.9971079411498778</v>
      </c>
      <c r="Z123" s="643">
        <v>0</v>
      </c>
      <c r="AA123" s="643">
        <v>0</v>
      </c>
      <c r="AB123" s="643">
        <v>0</v>
      </c>
      <c r="AC123" s="643">
        <v>0</v>
      </c>
      <c r="AD123" s="643">
        <v>0</v>
      </c>
      <c r="AE123" s="643">
        <v>-0.69888193239441998</v>
      </c>
      <c r="AF123" s="643">
        <v>0</v>
      </c>
      <c r="AG123" s="643">
        <v>0</v>
      </c>
      <c r="AH123" s="644">
        <v>0</v>
      </c>
      <c r="AI123" s="643">
        <v>0</v>
      </c>
      <c r="AJ123" s="643">
        <v>0</v>
      </c>
      <c r="AK123" s="645">
        <v>-13.912307182831389</v>
      </c>
    </row>
    <row r="124" spans="3:37" ht="13.5">
      <c r="C124" s="641" t="s">
        <v>63</v>
      </c>
      <c r="D124" s="642">
        <v>0</v>
      </c>
      <c r="E124" s="643">
        <v>0</v>
      </c>
      <c r="F124" s="643">
        <v>-85.676103269538828</v>
      </c>
      <c r="G124" s="642">
        <v>0</v>
      </c>
      <c r="H124" s="643">
        <v>0</v>
      </c>
      <c r="I124" s="643">
        <v>0</v>
      </c>
      <c r="J124" s="643">
        <v>0</v>
      </c>
      <c r="K124" s="643">
        <v>0</v>
      </c>
      <c r="L124" s="643">
        <v>-0.88445591317339634</v>
      </c>
      <c r="M124" s="643">
        <v>0</v>
      </c>
      <c r="N124" s="643">
        <v>0</v>
      </c>
      <c r="O124" s="643">
        <v>0</v>
      </c>
      <c r="P124" s="644">
        <v>0</v>
      </c>
      <c r="Q124" s="643">
        <v>0</v>
      </c>
      <c r="R124" s="643">
        <v>0</v>
      </c>
      <c r="S124" s="645">
        <v>-86.560559182712225</v>
      </c>
      <c r="U124" s="641" t="s">
        <v>63</v>
      </c>
      <c r="V124" s="642">
        <v>0</v>
      </c>
      <c r="W124" s="643">
        <v>0</v>
      </c>
      <c r="X124" s="643">
        <v>-61.793178017106612</v>
      </c>
      <c r="Y124" s="642">
        <v>0</v>
      </c>
      <c r="Z124" s="643">
        <v>0</v>
      </c>
      <c r="AA124" s="643">
        <v>0</v>
      </c>
      <c r="AB124" s="643">
        <v>0</v>
      </c>
      <c r="AC124" s="643">
        <v>0</v>
      </c>
      <c r="AD124" s="643">
        <v>-20.442150229714262</v>
      </c>
      <c r="AE124" s="643">
        <v>0</v>
      </c>
      <c r="AF124" s="643">
        <v>0</v>
      </c>
      <c r="AG124" s="643">
        <v>0</v>
      </c>
      <c r="AH124" s="644">
        <v>0</v>
      </c>
      <c r="AI124" s="643">
        <v>0</v>
      </c>
      <c r="AJ124" s="643">
        <v>0</v>
      </c>
      <c r="AK124" s="645">
        <v>-82.23532824682087</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48.372001461449948</v>
      </c>
      <c r="E126" s="647">
        <v>512.07101402008311</v>
      </c>
      <c r="F126" s="647">
        <v>-17.437975450417916</v>
      </c>
      <c r="G126" s="647">
        <v>333.88933186331565</v>
      </c>
      <c r="H126" s="647">
        <v>1005.4545454545456</v>
      </c>
      <c r="I126" s="647">
        <v>248.9826967827097</v>
      </c>
      <c r="J126" s="647">
        <v>193.94273469447566</v>
      </c>
      <c r="K126" s="647">
        <v>21.067323208066789</v>
      </c>
      <c r="L126" s="647">
        <v>1.8416249790665411</v>
      </c>
      <c r="M126" s="647">
        <v>0.15770970126630299</v>
      </c>
      <c r="N126" s="647">
        <v>60.832905155553725</v>
      </c>
      <c r="O126" s="647">
        <v>10.347989753579439</v>
      </c>
      <c r="P126" s="647">
        <v>-38.942042128507637</v>
      </c>
      <c r="Q126" s="647">
        <v>0</v>
      </c>
      <c r="R126" s="647">
        <v>0</v>
      </c>
      <c r="S126" s="647">
        <v>2380.5798594951875</v>
      </c>
      <c r="U126" s="646" t="s">
        <v>65</v>
      </c>
      <c r="V126" s="647">
        <v>8.3965846696126416</v>
      </c>
      <c r="W126" s="647">
        <v>296.81978048971496</v>
      </c>
      <c r="X126" s="647">
        <v>-54.492278965762601</v>
      </c>
      <c r="Y126" s="647">
        <v>161.15547553750713</v>
      </c>
      <c r="Z126" s="647">
        <v>949.39393939393938</v>
      </c>
      <c r="AA126" s="647">
        <v>279.58269678270966</v>
      </c>
      <c r="AB126" s="647">
        <v>200.65328572997174</v>
      </c>
      <c r="AC126" s="647">
        <v>37.828582612394825</v>
      </c>
      <c r="AD126" s="647">
        <v>-17.716069337474323</v>
      </c>
      <c r="AE126" s="647">
        <v>-0.54117223112811697</v>
      </c>
      <c r="AF126" s="647">
        <v>86.476611770328219</v>
      </c>
      <c r="AG126" s="647">
        <v>21.065809354780896</v>
      </c>
      <c r="AH126" s="647">
        <v>-20.693548582118865</v>
      </c>
      <c r="AI126" s="647">
        <v>0</v>
      </c>
      <c r="AJ126" s="647">
        <v>0</v>
      </c>
      <c r="AK126" s="647">
        <v>1947.9296972244754</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7.7008933134364401</v>
      </c>
      <c r="G129" s="642">
        <v>17.192982456140349</v>
      </c>
      <c r="H129" s="642">
        <v>1005.4545454545456</v>
      </c>
      <c r="I129" s="642">
        <v>248.9826967827097</v>
      </c>
      <c r="J129" s="651">
        <v>29.95115714704033</v>
      </c>
      <c r="K129" s="651">
        <v>7.1699357941539494</v>
      </c>
      <c r="L129" s="651">
        <v>2.7260808922399375</v>
      </c>
      <c r="M129" s="651">
        <v>0.47574727688811397</v>
      </c>
      <c r="N129" s="651">
        <v>0</v>
      </c>
      <c r="O129" s="651">
        <v>5.3758847536792693</v>
      </c>
      <c r="P129" s="642">
        <v>-611.6040304377284</v>
      </c>
      <c r="Q129" s="642">
        <v>0</v>
      </c>
      <c r="R129" s="642">
        <v>0</v>
      </c>
      <c r="S129" s="650">
        <v>716.25267907413024</v>
      </c>
      <c r="U129" s="648" t="s">
        <v>350</v>
      </c>
      <c r="V129" s="642">
        <v>0.62631490545869017</v>
      </c>
      <c r="W129" s="642">
        <v>0</v>
      </c>
      <c r="X129" s="642">
        <v>3.8372569498000768</v>
      </c>
      <c r="Y129" s="642">
        <v>12.853333333333333</v>
      </c>
      <c r="Z129" s="642">
        <v>949.39393939393938</v>
      </c>
      <c r="AA129" s="642">
        <v>279.58269678270966</v>
      </c>
      <c r="AB129" s="651">
        <v>24.143657694158538</v>
      </c>
      <c r="AC129" s="651">
        <v>6.0680800758314266</v>
      </c>
      <c r="AD129" s="651">
        <v>2.7260808922399375</v>
      </c>
      <c r="AE129" s="651">
        <v>4.1838174523267107</v>
      </c>
      <c r="AF129" s="651">
        <v>0</v>
      </c>
      <c r="AG129" s="651">
        <v>5.3758847536792693</v>
      </c>
      <c r="AH129" s="642">
        <v>-621.90403043772824</v>
      </c>
      <c r="AI129" s="642">
        <v>0</v>
      </c>
      <c r="AJ129" s="642">
        <v>3.8</v>
      </c>
      <c r="AK129" s="650">
        <v>670.68703179574891</v>
      </c>
    </row>
    <row r="130" spans="3:37" ht="13.5">
      <c r="C130" s="648" t="s">
        <v>351</v>
      </c>
      <c r="D130" s="642">
        <v>0</v>
      </c>
      <c r="E130" s="642">
        <v>0</v>
      </c>
      <c r="F130" s="642">
        <v>0</v>
      </c>
      <c r="G130" s="642">
        <v>15.048436077523924</v>
      </c>
      <c r="H130" s="642">
        <v>0</v>
      </c>
      <c r="I130" s="642">
        <v>0</v>
      </c>
      <c r="J130" s="651">
        <v>12.74533322609016</v>
      </c>
      <c r="K130" s="651">
        <v>12.056480951460374</v>
      </c>
      <c r="L130" s="651">
        <v>0</v>
      </c>
      <c r="M130" s="651">
        <v>0.32133708059977345</v>
      </c>
      <c r="N130" s="651">
        <v>0</v>
      </c>
      <c r="O130" s="651">
        <v>2.1348201063802894</v>
      </c>
      <c r="P130" s="642">
        <v>0</v>
      </c>
      <c r="Q130" s="642">
        <v>-38.309646115177976</v>
      </c>
      <c r="R130" s="642">
        <v>0</v>
      </c>
      <c r="S130" s="650">
        <v>3.9967613268765492</v>
      </c>
      <c r="U130" s="648" t="s">
        <v>351</v>
      </c>
      <c r="V130" s="642">
        <v>0</v>
      </c>
      <c r="W130" s="642">
        <v>0</v>
      </c>
      <c r="X130" s="642">
        <v>0</v>
      </c>
      <c r="Y130" s="642">
        <v>12.803359009118745</v>
      </c>
      <c r="Z130" s="642">
        <v>0</v>
      </c>
      <c r="AA130" s="642">
        <v>0</v>
      </c>
      <c r="AB130" s="651">
        <v>28.717481814983032</v>
      </c>
      <c r="AC130" s="651">
        <v>25.924008984647354</v>
      </c>
      <c r="AD130" s="651">
        <v>0</v>
      </c>
      <c r="AE130" s="651">
        <v>4.0573921431217457</v>
      </c>
      <c r="AF130" s="651">
        <v>0</v>
      </c>
      <c r="AG130" s="651">
        <v>9.7357518308203428</v>
      </c>
      <c r="AH130" s="642">
        <v>0</v>
      </c>
      <c r="AI130" s="642">
        <v>-74.504230286476243</v>
      </c>
      <c r="AJ130" s="642">
        <v>0</v>
      </c>
      <c r="AK130" s="650">
        <v>6.7337634962149808</v>
      </c>
    </row>
    <row r="131" spans="3:37" ht="13.5">
      <c r="C131" s="648" t="s">
        <v>352</v>
      </c>
      <c r="D131" s="642">
        <v>0</v>
      </c>
      <c r="E131" s="642">
        <v>0</v>
      </c>
      <c r="F131" s="642">
        <v>0</v>
      </c>
      <c r="G131" s="642">
        <v>0</v>
      </c>
      <c r="H131" s="642">
        <v>0</v>
      </c>
      <c r="I131" s="642">
        <v>0</v>
      </c>
      <c r="J131" s="652">
        <v>7.2695194025067336</v>
      </c>
      <c r="K131" s="652">
        <v>0</v>
      </c>
      <c r="L131" s="652">
        <v>0</v>
      </c>
      <c r="M131" s="652">
        <v>-6.5716455398660871</v>
      </c>
      <c r="N131" s="652">
        <v>0</v>
      </c>
      <c r="O131" s="652">
        <v>0</v>
      </c>
      <c r="P131" s="642">
        <v>0</v>
      </c>
      <c r="Q131" s="642">
        <v>0</v>
      </c>
      <c r="R131" s="642">
        <v>0</v>
      </c>
      <c r="S131" s="650">
        <v>0.69787386264064644</v>
      </c>
      <c r="U131" s="648" t="s">
        <v>352</v>
      </c>
      <c r="V131" s="642">
        <v>0</v>
      </c>
      <c r="W131" s="642">
        <v>0</v>
      </c>
      <c r="X131" s="642">
        <v>0</v>
      </c>
      <c r="Y131" s="642">
        <v>0</v>
      </c>
      <c r="Z131" s="642">
        <v>0</v>
      </c>
      <c r="AA131" s="642">
        <v>0</v>
      </c>
      <c r="AB131" s="652">
        <v>56.55251118568826</v>
      </c>
      <c r="AC131" s="652">
        <v>0</v>
      </c>
      <c r="AD131" s="652">
        <v>0</v>
      </c>
      <c r="AE131" s="652">
        <v>-51.12347011186219</v>
      </c>
      <c r="AF131" s="652">
        <v>0</v>
      </c>
      <c r="AG131" s="652">
        <v>0</v>
      </c>
      <c r="AH131" s="642">
        <v>0</v>
      </c>
      <c r="AI131" s="642">
        <v>0</v>
      </c>
      <c r="AJ131" s="642">
        <v>0</v>
      </c>
      <c r="AK131" s="650">
        <v>5.4290410738260704</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530.45114623720224</v>
      </c>
      <c r="F133" s="642">
        <v>-525.1466347748302</v>
      </c>
      <c r="G133" s="642">
        <v>0</v>
      </c>
      <c r="H133" s="642">
        <v>0</v>
      </c>
      <c r="I133" s="642">
        <v>0</v>
      </c>
      <c r="J133" s="642">
        <v>0</v>
      </c>
      <c r="K133" s="642">
        <v>0</v>
      </c>
      <c r="L133" s="642">
        <v>0</v>
      </c>
      <c r="M133" s="642">
        <v>0</v>
      </c>
      <c r="N133" s="642">
        <v>0</v>
      </c>
      <c r="O133" s="642">
        <v>0</v>
      </c>
      <c r="P133" s="642">
        <v>0</v>
      </c>
      <c r="Q133" s="642">
        <v>0</v>
      </c>
      <c r="R133" s="642">
        <v>0</v>
      </c>
      <c r="S133" s="650">
        <v>5.3045114623720337</v>
      </c>
      <c r="U133" s="648" t="s">
        <v>72</v>
      </c>
      <c r="V133" s="642">
        <v>0</v>
      </c>
      <c r="W133" s="642">
        <v>307.47374578102756</v>
      </c>
      <c r="X133" s="642">
        <v>-304.39900832321729</v>
      </c>
      <c r="Y133" s="642">
        <v>0</v>
      </c>
      <c r="Z133" s="642">
        <v>0</v>
      </c>
      <c r="AA133" s="642">
        <v>0</v>
      </c>
      <c r="AB133" s="642">
        <v>0</v>
      </c>
      <c r="AC133" s="642">
        <v>0</v>
      </c>
      <c r="AD133" s="642">
        <v>0</v>
      </c>
      <c r="AE133" s="642">
        <v>0</v>
      </c>
      <c r="AF133" s="642">
        <v>0</v>
      </c>
      <c r="AG133" s="642">
        <v>0</v>
      </c>
      <c r="AH133" s="642">
        <v>0</v>
      </c>
      <c r="AI133" s="642">
        <v>0</v>
      </c>
      <c r="AJ133" s="642">
        <v>0</v>
      </c>
      <c r="AK133" s="650">
        <v>3.0747374578102722</v>
      </c>
    </row>
    <row r="134" spans="3:37" ht="13.5">
      <c r="C134" s="648" t="s">
        <v>354</v>
      </c>
      <c r="D134" s="642">
        <v>0</v>
      </c>
      <c r="E134" s="642">
        <v>0</v>
      </c>
      <c r="F134" s="642">
        <v>0</v>
      </c>
      <c r="G134" s="642">
        <v>0</v>
      </c>
      <c r="H134" s="642">
        <v>0</v>
      </c>
      <c r="I134" s="642">
        <v>0</v>
      </c>
      <c r="J134" s="642">
        <v>30.470996070194996</v>
      </c>
      <c r="K134" s="642">
        <v>0</v>
      </c>
      <c r="L134" s="642">
        <v>-30.470996070194996</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-92.079399970639116</v>
      </c>
      <c r="AE134" s="642">
        <v>0</v>
      </c>
      <c r="AF134" s="642">
        <v>0</v>
      </c>
      <c r="AG134" s="642">
        <v>0</v>
      </c>
      <c r="AH134" s="642">
        <v>0</v>
      </c>
      <c r="AI134" s="642">
        <v>0</v>
      </c>
      <c r="AJ134" s="642">
        <v>0</v>
      </c>
      <c r="AK134" s="650">
        <v>-92.079399970639116</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-18.857582137623396</v>
      </c>
      <c r="AE135" s="642">
        <v>0</v>
      </c>
      <c r="AF135" s="642">
        <v>0</v>
      </c>
      <c r="AG135" s="642">
        <v>0</v>
      </c>
      <c r="AH135" s="642">
        <v>0</v>
      </c>
      <c r="AI135" s="642">
        <v>0</v>
      </c>
      <c r="AJ135" s="642">
        <v>0</v>
      </c>
      <c r="AK135" s="650">
        <v>-18.857582137623396</v>
      </c>
    </row>
    <row r="136" spans="3:37" ht="13.5">
      <c r="C136" s="648" t="s">
        <v>73</v>
      </c>
      <c r="D136" s="642">
        <v>0</v>
      </c>
      <c r="E136" s="642">
        <v>0</v>
      </c>
      <c r="F136" s="642">
        <v>0</v>
      </c>
      <c r="G136" s="642">
        <v>4.2253053989858387</v>
      </c>
      <c r="H136" s="642">
        <v>0</v>
      </c>
      <c r="I136" s="642">
        <v>0</v>
      </c>
      <c r="J136" s="642">
        <v>0</v>
      </c>
      <c r="K136" s="642">
        <v>4.8227473393893973E-2</v>
      </c>
      <c r="L136" s="642">
        <v>0</v>
      </c>
      <c r="M136" s="642">
        <v>8.6230722428282419E-2</v>
      </c>
      <c r="N136" s="642">
        <v>0</v>
      </c>
      <c r="O136" s="642">
        <v>0</v>
      </c>
      <c r="P136" s="642">
        <v>0.47800681593948002</v>
      </c>
      <c r="Q136" s="642">
        <v>0</v>
      </c>
      <c r="R136" s="642">
        <v>-3.3759231375725771</v>
      </c>
      <c r="S136" s="650">
        <v>1.4618472731749175</v>
      </c>
      <c r="U136" s="648" t="s">
        <v>73</v>
      </c>
      <c r="V136" s="642">
        <v>0</v>
      </c>
      <c r="W136" s="642">
        <v>0</v>
      </c>
      <c r="X136" s="642">
        <v>0</v>
      </c>
      <c r="Y136" s="642">
        <v>6.2430459874299995</v>
      </c>
      <c r="Z136" s="642">
        <v>0</v>
      </c>
      <c r="AA136" s="642">
        <v>0</v>
      </c>
      <c r="AB136" s="642">
        <v>0</v>
      </c>
      <c r="AC136" s="642">
        <v>0.34514849554566557</v>
      </c>
      <c r="AD136" s="642">
        <v>0</v>
      </c>
      <c r="AE136" s="642">
        <v>1.9714882065568418</v>
      </c>
      <c r="AF136" s="642">
        <v>0</v>
      </c>
      <c r="AG136" s="642">
        <v>0</v>
      </c>
      <c r="AH136" s="642">
        <v>26.797369919651668</v>
      </c>
      <c r="AI136" s="642">
        <v>0</v>
      </c>
      <c r="AJ136" s="642">
        <v>-24.160394688196586</v>
      </c>
      <c r="AK136" s="650">
        <v>11.196657920987594</v>
      </c>
    </row>
    <row r="137" spans="3:37" ht="13.5">
      <c r="C137" s="648" t="s">
        <v>356</v>
      </c>
      <c r="D137" s="642">
        <v>28.633394531250001</v>
      </c>
      <c r="E137" s="642">
        <v>-18.380132217119058</v>
      </c>
      <c r="F137" s="642">
        <v>24.040127313749448</v>
      </c>
      <c r="G137" s="642">
        <v>0</v>
      </c>
      <c r="H137" s="642">
        <v>0</v>
      </c>
      <c r="I137" s="642">
        <v>0</v>
      </c>
      <c r="J137" s="642">
        <v>0</v>
      </c>
      <c r="K137" s="642">
        <v>0</v>
      </c>
      <c r="L137" s="642">
        <v>0</v>
      </c>
      <c r="M137" s="642">
        <v>0</v>
      </c>
      <c r="N137" s="642">
        <v>0</v>
      </c>
      <c r="O137" s="642">
        <v>0</v>
      </c>
      <c r="P137" s="642">
        <v>0</v>
      </c>
      <c r="Q137" s="642">
        <v>0</v>
      </c>
      <c r="R137" s="642">
        <v>0</v>
      </c>
      <c r="S137" s="650">
        <v>34.293389627880387</v>
      </c>
      <c r="U137" s="648" t="s">
        <v>356</v>
      </c>
      <c r="V137" s="642">
        <v>2.8339389038085936</v>
      </c>
      <c r="W137" s="642">
        <v>-10.653965291312606</v>
      </c>
      <c r="X137" s="642">
        <v>13.93475732241321</v>
      </c>
      <c r="Y137" s="642">
        <v>0</v>
      </c>
      <c r="Z137" s="642">
        <v>0</v>
      </c>
      <c r="AA137" s="642">
        <v>0</v>
      </c>
      <c r="AB137" s="642">
        <v>0</v>
      </c>
      <c r="AC137" s="642">
        <v>0</v>
      </c>
      <c r="AD137" s="642">
        <v>0</v>
      </c>
      <c r="AE137" s="642">
        <v>0</v>
      </c>
      <c r="AF137" s="642">
        <v>0</v>
      </c>
      <c r="AG137" s="642">
        <v>0</v>
      </c>
      <c r="AH137" s="642">
        <v>0</v>
      </c>
      <c r="AI137" s="642">
        <v>0</v>
      </c>
      <c r="AJ137" s="642">
        <v>0</v>
      </c>
      <c r="AK137" s="650">
        <v>6.1147309349091987</v>
      </c>
    </row>
    <row r="138" spans="3:37" ht="13.5">
      <c r="C138" s="648" t="s">
        <v>75</v>
      </c>
      <c r="D138" s="642">
        <v>11.135208984375002</v>
      </c>
      <c r="E138" s="642">
        <v>0</v>
      </c>
      <c r="F138" s="642">
        <v>18.035338972064878</v>
      </c>
      <c r="G138" s="642">
        <v>5.1464370207933356</v>
      </c>
      <c r="H138" s="642">
        <v>0</v>
      </c>
      <c r="I138" s="642">
        <v>0</v>
      </c>
      <c r="J138" s="642">
        <v>0</v>
      </c>
      <c r="K138" s="642">
        <v>0</v>
      </c>
      <c r="L138" s="642">
        <v>0</v>
      </c>
      <c r="M138" s="642">
        <v>0.10502932695496604</v>
      </c>
      <c r="N138" s="642">
        <v>0</v>
      </c>
      <c r="O138" s="642">
        <v>0</v>
      </c>
      <c r="P138" s="642">
        <v>31.859130537431355</v>
      </c>
      <c r="Q138" s="642">
        <v>0</v>
      </c>
      <c r="R138" s="642">
        <v>0</v>
      </c>
      <c r="S138" s="650">
        <v>66.281144841619536</v>
      </c>
      <c r="U138" s="648" t="s">
        <v>75</v>
      </c>
      <c r="V138" s="642">
        <v>3.871097900390625</v>
      </c>
      <c r="W138" s="642">
        <v>0</v>
      </c>
      <c r="X138" s="642">
        <v>18.035338972064878</v>
      </c>
      <c r="Y138" s="642">
        <v>3.9911144242887096</v>
      </c>
      <c r="Z138" s="642">
        <v>0</v>
      </c>
      <c r="AA138" s="642">
        <v>0</v>
      </c>
      <c r="AB138" s="642">
        <v>0</v>
      </c>
      <c r="AC138" s="642">
        <v>0</v>
      </c>
      <c r="AD138" s="642">
        <v>0</v>
      </c>
      <c r="AE138" s="642">
        <v>1.2603519234595923</v>
      </c>
      <c r="AF138" s="642">
        <v>0</v>
      </c>
      <c r="AG138" s="642">
        <v>0</v>
      </c>
      <c r="AH138" s="642">
        <v>35.363675991976798</v>
      </c>
      <c r="AI138" s="642">
        <v>0</v>
      </c>
      <c r="AJ138" s="642">
        <v>0</v>
      </c>
      <c r="AK138" s="650">
        <v>62.521579212180605</v>
      </c>
    </row>
    <row r="139" spans="3:37" ht="13.5">
      <c r="C139" s="648" t="s">
        <v>76</v>
      </c>
      <c r="D139" s="642">
        <v>0</v>
      </c>
      <c r="E139" s="642">
        <v>0</v>
      </c>
      <c r="F139" s="642">
        <v>0</v>
      </c>
      <c r="G139" s="642">
        <v>3.818307882847094</v>
      </c>
      <c r="H139" s="642">
        <v>0</v>
      </c>
      <c r="I139" s="642">
        <v>0</v>
      </c>
      <c r="J139" s="642">
        <v>0</v>
      </c>
      <c r="K139" s="642">
        <v>0</v>
      </c>
      <c r="L139" s="642">
        <v>0</v>
      </c>
      <c r="M139" s="642">
        <v>7.7924650670348858E-2</v>
      </c>
      <c r="N139" s="642">
        <v>0</v>
      </c>
      <c r="O139" s="642">
        <v>0</v>
      </c>
      <c r="P139" s="642">
        <v>43.831436480126726</v>
      </c>
      <c r="Q139" s="642">
        <v>2.9732290990631256</v>
      </c>
      <c r="R139" s="642">
        <v>0</v>
      </c>
      <c r="S139" s="650">
        <v>50.700898112707293</v>
      </c>
      <c r="U139" s="648" t="s">
        <v>76</v>
      </c>
      <c r="V139" s="642">
        <v>0</v>
      </c>
      <c r="W139" s="642">
        <v>0</v>
      </c>
      <c r="X139" s="642">
        <v>0</v>
      </c>
      <c r="Y139" s="642">
        <v>1.9196559923426515</v>
      </c>
      <c r="Z139" s="642">
        <v>0</v>
      </c>
      <c r="AA139" s="642">
        <v>0</v>
      </c>
      <c r="AB139" s="642">
        <v>0</v>
      </c>
      <c r="AC139" s="642">
        <v>0</v>
      </c>
      <c r="AD139" s="642">
        <v>0</v>
      </c>
      <c r="AE139" s="642">
        <v>0.60620715547662674</v>
      </c>
      <c r="AF139" s="642">
        <v>0</v>
      </c>
      <c r="AG139" s="642">
        <v>0</v>
      </c>
      <c r="AH139" s="642">
        <v>46.019363501687437</v>
      </c>
      <c r="AI139" s="642">
        <v>5.777975473960776</v>
      </c>
      <c r="AJ139" s="642">
        <v>0</v>
      </c>
      <c r="AK139" s="650">
        <v>54.323202123467496</v>
      </c>
    </row>
    <row r="140" spans="3:37" ht="13.5">
      <c r="C140" s="646" t="s">
        <v>77</v>
      </c>
      <c r="D140" s="647">
        <v>42.595389156650249</v>
      </c>
      <c r="E140" s="647">
        <v>512.07101402008323</v>
      </c>
      <c r="F140" s="647">
        <v>-475.37027517557942</v>
      </c>
      <c r="G140" s="647">
        <v>45.431468836290541</v>
      </c>
      <c r="H140" s="647">
        <v>1005.4545454545456</v>
      </c>
      <c r="I140" s="647">
        <v>248.9826967827097</v>
      </c>
      <c r="J140" s="647">
        <v>80.437005845832218</v>
      </c>
      <c r="K140" s="647">
        <v>19.274644219008216</v>
      </c>
      <c r="L140" s="647">
        <v>-27.744915177955058</v>
      </c>
      <c r="M140" s="647">
        <v>-5.5053764823246025</v>
      </c>
      <c r="N140" s="647">
        <v>0</v>
      </c>
      <c r="O140" s="647">
        <v>7.5107048600595583</v>
      </c>
      <c r="P140" s="647">
        <v>-535.43545660423092</v>
      </c>
      <c r="Q140" s="647">
        <v>-35.336417016114851</v>
      </c>
      <c r="R140" s="647">
        <v>-3.3759231375725771</v>
      </c>
      <c r="S140" s="647">
        <v>878.98910558140176</v>
      </c>
      <c r="U140" s="646" t="s">
        <v>77</v>
      </c>
      <c r="V140" s="647">
        <v>7.3313517096579091</v>
      </c>
      <c r="W140" s="647">
        <v>296.81978048971496</v>
      </c>
      <c r="X140" s="647">
        <v>-268.59165507893914</v>
      </c>
      <c r="Y140" s="647">
        <v>37.810508746513442</v>
      </c>
      <c r="Z140" s="647">
        <v>949.39393939393938</v>
      </c>
      <c r="AA140" s="647">
        <v>279.58269678270966</v>
      </c>
      <c r="AB140" s="647">
        <v>109.41365069482983</v>
      </c>
      <c r="AC140" s="647">
        <v>32.337237556024441</v>
      </c>
      <c r="AD140" s="647">
        <v>-108.21090121602258</v>
      </c>
      <c r="AE140" s="647">
        <v>-39.044213230920668</v>
      </c>
      <c r="AF140" s="647">
        <v>0</v>
      </c>
      <c r="AG140" s="647">
        <v>15.111636584499612</v>
      </c>
      <c r="AH140" s="647">
        <v>-513.7236210244123</v>
      </c>
      <c r="AI140" s="647">
        <v>-68.726254812515464</v>
      </c>
      <c r="AJ140" s="647">
        <v>-20.360394688196585</v>
      </c>
      <c r="AK140" s="647">
        <v>709.14376190688279</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5.7766123047996905</v>
      </c>
      <c r="E142" s="642">
        <v>0</v>
      </c>
      <c r="F142" s="642">
        <v>22.402619678599791</v>
      </c>
      <c r="G142" s="642">
        <v>99.281124041468402</v>
      </c>
      <c r="H142" s="642">
        <v>0</v>
      </c>
      <c r="I142" s="642">
        <v>0</v>
      </c>
      <c r="J142" s="642">
        <v>20.258622771310847</v>
      </c>
      <c r="K142" s="642">
        <v>1.7675748663376085</v>
      </c>
      <c r="L142" s="642">
        <v>0.898333240234375</v>
      </c>
      <c r="M142" s="642">
        <v>2.0447588657198987</v>
      </c>
      <c r="N142" s="642">
        <v>0</v>
      </c>
      <c r="O142" s="642">
        <v>3.7946622282562846E-4</v>
      </c>
      <c r="P142" s="642">
        <v>110.87393457022205</v>
      </c>
      <c r="Q142" s="642">
        <v>16.091742927144434</v>
      </c>
      <c r="R142" s="642">
        <v>0.31004003906249999</v>
      </c>
      <c r="S142" s="650">
        <v>279.70574277112252</v>
      </c>
      <c r="U142" s="648" t="s">
        <v>78</v>
      </c>
      <c r="V142" s="642">
        <v>1.065232959954733</v>
      </c>
      <c r="W142" s="642">
        <v>0</v>
      </c>
      <c r="X142" s="642">
        <v>10.225742404389669</v>
      </c>
      <c r="Y142" s="642">
        <v>56.981112862578769</v>
      </c>
      <c r="Z142" s="642">
        <v>0</v>
      </c>
      <c r="AA142" s="642">
        <v>0</v>
      </c>
      <c r="AB142" s="642">
        <v>15.894636498884354</v>
      </c>
      <c r="AC142" s="642">
        <v>5.4662409336494147</v>
      </c>
      <c r="AD142" s="642">
        <v>3.5459101562500011</v>
      </c>
      <c r="AE142" s="642">
        <v>18.012649117932849</v>
      </c>
      <c r="AF142" s="642">
        <v>0</v>
      </c>
      <c r="AG142" s="642">
        <v>3.7946622282562846E-4</v>
      </c>
      <c r="AH142" s="642">
        <v>139.02742097426295</v>
      </c>
      <c r="AI142" s="642">
        <v>22.276590949645215</v>
      </c>
      <c r="AJ142" s="642">
        <v>6.4302626953124999</v>
      </c>
      <c r="AK142" s="650">
        <v>278.92617901908329</v>
      </c>
    </row>
    <row r="143" spans="3:37" ht="13.5">
      <c r="C143" s="648" t="s">
        <v>79</v>
      </c>
      <c r="D143" s="642">
        <v>0</v>
      </c>
      <c r="E143" s="642">
        <v>0</v>
      </c>
      <c r="F143" s="642">
        <v>266.09529408288529</v>
      </c>
      <c r="G143" s="642">
        <v>27.519674276690072</v>
      </c>
      <c r="H143" s="642">
        <v>0</v>
      </c>
      <c r="I143" s="642">
        <v>0</v>
      </c>
      <c r="J143" s="642">
        <v>0</v>
      </c>
      <c r="K143" s="642">
        <v>0</v>
      </c>
      <c r="L143" s="642">
        <v>25.787483151262677</v>
      </c>
      <c r="M143" s="642">
        <v>0.56162600564673626</v>
      </c>
      <c r="N143" s="642">
        <v>0</v>
      </c>
      <c r="O143" s="642">
        <v>0</v>
      </c>
      <c r="P143" s="642">
        <v>55.913522242788574</v>
      </c>
      <c r="Q143" s="642">
        <v>0</v>
      </c>
      <c r="R143" s="642">
        <v>1.6351140344190074</v>
      </c>
      <c r="S143" s="650">
        <v>377.5127137936924</v>
      </c>
      <c r="U143" s="648" t="s">
        <v>79</v>
      </c>
      <c r="V143" s="642">
        <v>0</v>
      </c>
      <c r="W143" s="642">
        <v>0</v>
      </c>
      <c r="X143" s="642">
        <v>96.606255591578162</v>
      </c>
      <c r="Y143" s="642">
        <v>18.337650579977414</v>
      </c>
      <c r="Z143" s="642">
        <v>0</v>
      </c>
      <c r="AA143" s="642">
        <v>0</v>
      </c>
      <c r="AB143" s="642">
        <v>0</v>
      </c>
      <c r="AC143" s="642">
        <v>0</v>
      </c>
      <c r="AD143" s="642">
        <v>50.618247990049454</v>
      </c>
      <c r="AE143" s="642">
        <v>5.9499820008855142</v>
      </c>
      <c r="AF143" s="642">
        <v>0</v>
      </c>
      <c r="AG143" s="642">
        <v>0</v>
      </c>
      <c r="AH143" s="642">
        <v>73.690348279738799</v>
      </c>
      <c r="AI143" s="642">
        <v>0</v>
      </c>
      <c r="AJ143" s="642">
        <v>3.6092463767880076</v>
      </c>
      <c r="AK143" s="650">
        <v>248.81173081901736</v>
      </c>
    </row>
    <row r="144" spans="3:37" ht="13.5">
      <c r="C144" s="648" t="s">
        <v>80</v>
      </c>
      <c r="D144" s="642">
        <v>0</v>
      </c>
      <c r="E144" s="642">
        <v>0</v>
      </c>
      <c r="F144" s="642">
        <v>20.365336948925044</v>
      </c>
      <c r="G144" s="642">
        <v>85.23124323075227</v>
      </c>
      <c r="H144" s="642">
        <v>0</v>
      </c>
      <c r="I144" s="642">
        <v>0</v>
      </c>
      <c r="J144" s="642">
        <v>86.726820353783026</v>
      </c>
      <c r="K144" s="642">
        <v>0</v>
      </c>
      <c r="L144" s="642">
        <v>0</v>
      </c>
      <c r="M144" s="642">
        <v>1.7394131271582098</v>
      </c>
      <c r="N144" s="642">
        <v>52.217429119397167</v>
      </c>
      <c r="O144" s="642">
        <v>2.0042749347218733</v>
      </c>
      <c r="P144" s="642">
        <v>185.58174281281848</v>
      </c>
      <c r="Q144" s="642">
        <v>15.554343379011728</v>
      </c>
      <c r="R144" s="642">
        <v>0</v>
      </c>
      <c r="S144" s="650">
        <v>449.42060390656781</v>
      </c>
      <c r="U144" s="648" t="s">
        <v>80</v>
      </c>
      <c r="V144" s="642">
        <v>0</v>
      </c>
      <c r="W144" s="642">
        <v>0</v>
      </c>
      <c r="X144" s="642">
        <v>1.2585168598114169</v>
      </c>
      <c r="Y144" s="642">
        <v>24.208168890995722</v>
      </c>
      <c r="Z144" s="642">
        <v>0</v>
      </c>
      <c r="AA144" s="642">
        <v>0</v>
      </c>
      <c r="AB144" s="642">
        <v>64.793825414524548</v>
      </c>
      <c r="AC144" s="642">
        <v>0</v>
      </c>
      <c r="AD144" s="642">
        <v>0</v>
      </c>
      <c r="AE144" s="642">
        <v>7.6446849129460164</v>
      </c>
      <c r="AF144" s="642">
        <v>71.984931036617454</v>
      </c>
      <c r="AG144" s="642">
        <v>3.153558114778761</v>
      </c>
      <c r="AH144" s="642">
        <v>153.74527198137548</v>
      </c>
      <c r="AI144" s="642">
        <v>35.336807466581455</v>
      </c>
      <c r="AJ144" s="642">
        <v>0</v>
      </c>
      <c r="AK144" s="650">
        <v>362.12576467763085</v>
      </c>
    </row>
    <row r="145" spans="3:37" ht="13.5">
      <c r="C145" s="648" t="s">
        <v>81</v>
      </c>
      <c r="D145" s="642">
        <v>0</v>
      </c>
      <c r="E145" s="642">
        <v>0</v>
      </c>
      <c r="F145" s="642">
        <v>7.1130915409553364</v>
      </c>
      <c r="G145" s="642">
        <v>63.054682395398032</v>
      </c>
      <c r="H145" s="642">
        <v>0</v>
      </c>
      <c r="I145" s="642">
        <v>0</v>
      </c>
      <c r="J145" s="642">
        <v>3.2976998041276677</v>
      </c>
      <c r="K145" s="642">
        <v>2.5104122720965388E-2</v>
      </c>
      <c r="L145" s="642">
        <v>0</v>
      </c>
      <c r="M145" s="642">
        <v>1.2868302529673068</v>
      </c>
      <c r="N145" s="642">
        <v>8.6154760361565579</v>
      </c>
      <c r="O145" s="642">
        <v>0.75786341807650337</v>
      </c>
      <c r="P145" s="642">
        <v>137.18962935697431</v>
      </c>
      <c r="Q145" s="642">
        <v>3.6903307099586842</v>
      </c>
      <c r="R145" s="642">
        <v>0</v>
      </c>
      <c r="S145" s="650">
        <v>225.03070763733538</v>
      </c>
      <c r="U145" s="648" t="s">
        <v>81</v>
      </c>
      <c r="V145" s="642">
        <v>0</v>
      </c>
      <c r="W145" s="642">
        <v>0</v>
      </c>
      <c r="X145" s="642">
        <v>2.1697022188790429</v>
      </c>
      <c r="Y145" s="642">
        <v>20.911765460712612</v>
      </c>
      <c r="Z145" s="642">
        <v>0</v>
      </c>
      <c r="AA145" s="642">
        <v>0</v>
      </c>
      <c r="AB145" s="642">
        <v>7.3285872023111214</v>
      </c>
      <c r="AC145" s="642">
        <v>2.5104122720965388E-2</v>
      </c>
      <c r="AD145" s="642">
        <v>0</v>
      </c>
      <c r="AE145" s="642">
        <v>6.6037154086460879</v>
      </c>
      <c r="AF145" s="642">
        <v>14.491680733710758</v>
      </c>
      <c r="AG145" s="642">
        <v>1.6347019702159422</v>
      </c>
      <c r="AH145" s="642">
        <v>117.90366143236871</v>
      </c>
      <c r="AI145" s="642">
        <v>11.11285639628878</v>
      </c>
      <c r="AJ145" s="642">
        <v>0</v>
      </c>
      <c r="AK145" s="650">
        <v>182.18177494585402</v>
      </c>
    </row>
    <row r="146" spans="3:37" ht="13.5">
      <c r="C146" s="648" t="s">
        <v>82</v>
      </c>
      <c r="D146" s="642">
        <v>0</v>
      </c>
      <c r="E146" s="642">
        <v>0</v>
      </c>
      <c r="F146" s="642">
        <v>30.218764596795413</v>
      </c>
      <c r="G146" s="642">
        <v>1.4924386728389218</v>
      </c>
      <c r="H146" s="642">
        <v>0</v>
      </c>
      <c r="I146" s="642">
        <v>0</v>
      </c>
      <c r="J146" s="642">
        <v>3.2225859194218685</v>
      </c>
      <c r="K146" s="642">
        <v>0</v>
      </c>
      <c r="L146" s="642">
        <v>2.9019247412329854</v>
      </c>
      <c r="M146" s="642">
        <v>3.0457932098753505E-2</v>
      </c>
      <c r="N146" s="642">
        <v>0</v>
      </c>
      <c r="O146" s="642">
        <v>7.4767074498679406E-2</v>
      </c>
      <c r="P146" s="642">
        <v>6.6555854929198803</v>
      </c>
      <c r="Q146" s="642">
        <v>0</v>
      </c>
      <c r="R146" s="642">
        <v>0</v>
      </c>
      <c r="S146" s="650">
        <v>44.596524429806507</v>
      </c>
      <c r="U146" s="648" t="s">
        <v>82</v>
      </c>
      <c r="V146" s="642">
        <v>0</v>
      </c>
      <c r="W146" s="642">
        <v>0</v>
      </c>
      <c r="X146" s="642">
        <v>13.476198254352189</v>
      </c>
      <c r="Y146" s="642">
        <v>1.4718796614135594</v>
      </c>
      <c r="Z146" s="642">
        <v>0</v>
      </c>
      <c r="AA146" s="642">
        <v>0</v>
      </c>
      <c r="AB146" s="642">
        <v>3.2225859194218685</v>
      </c>
      <c r="AC146" s="642">
        <v>0</v>
      </c>
      <c r="AD146" s="642">
        <v>23.463730160224294</v>
      </c>
      <c r="AE146" s="642">
        <v>0.46480410360428193</v>
      </c>
      <c r="AF146" s="642">
        <v>0</v>
      </c>
      <c r="AG146" s="642">
        <v>1.1655332190637568</v>
      </c>
      <c r="AH146" s="642">
        <v>6.7433697745475678</v>
      </c>
      <c r="AI146" s="642">
        <v>0</v>
      </c>
      <c r="AJ146" s="642">
        <v>0.29485655237537339</v>
      </c>
      <c r="AK146" s="650">
        <v>50.302957645002891</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0.27899999999999997</v>
      </c>
      <c r="Q147" s="642">
        <v>0</v>
      </c>
      <c r="R147" s="642">
        <v>0</v>
      </c>
      <c r="S147" s="650">
        <v>0.27899999999999997</v>
      </c>
      <c r="U147" s="648" t="s">
        <v>357</v>
      </c>
      <c r="V147" s="642">
        <v>0</v>
      </c>
      <c r="W147" s="642">
        <v>0</v>
      </c>
      <c r="X147" s="642">
        <v>0</v>
      </c>
      <c r="Y147" s="642">
        <v>0</v>
      </c>
      <c r="Z147" s="642">
        <v>0</v>
      </c>
      <c r="AA147" s="642">
        <v>0</v>
      </c>
      <c r="AB147" s="642">
        <v>0</v>
      </c>
      <c r="AC147" s="642">
        <v>0</v>
      </c>
      <c r="AD147" s="642">
        <v>0</v>
      </c>
      <c r="AE147" s="642">
        <v>0</v>
      </c>
      <c r="AF147" s="642">
        <v>0</v>
      </c>
      <c r="AG147" s="642">
        <v>0</v>
      </c>
      <c r="AH147" s="642">
        <v>1.92</v>
      </c>
      <c r="AI147" s="642">
        <v>0</v>
      </c>
      <c r="AJ147" s="642">
        <v>0</v>
      </c>
      <c r="AK147" s="650">
        <v>1.92</v>
      </c>
    </row>
    <row r="148" spans="3:37" ht="13.5">
      <c r="C148" s="646" t="s">
        <v>83</v>
      </c>
      <c r="D148" s="647">
        <v>5.7766123047996905</v>
      </c>
      <c r="E148" s="647">
        <v>0</v>
      </c>
      <c r="F148" s="647">
        <v>346.19510684816078</v>
      </c>
      <c r="G148" s="647">
        <v>276.57916261714774</v>
      </c>
      <c r="H148" s="647">
        <v>0</v>
      </c>
      <c r="I148" s="647">
        <v>0</v>
      </c>
      <c r="J148" s="647">
        <v>113.50572884864343</v>
      </c>
      <c r="K148" s="647">
        <v>1.7926789890585739</v>
      </c>
      <c r="L148" s="647">
        <v>29.587741132730038</v>
      </c>
      <c r="M148" s="647">
        <v>5.6630861835909059</v>
      </c>
      <c r="N148" s="647">
        <v>60.832905155553725</v>
      </c>
      <c r="O148" s="647">
        <v>2.8372848935198816</v>
      </c>
      <c r="P148" s="647">
        <v>496.49341447572323</v>
      </c>
      <c r="Q148" s="647">
        <v>35.336417016114851</v>
      </c>
      <c r="R148" s="647">
        <v>1.9451540734815074</v>
      </c>
      <c r="S148" s="647">
        <v>1376.5452925385248</v>
      </c>
      <c r="U148" s="646" t="s">
        <v>83</v>
      </c>
      <c r="V148" s="647">
        <v>1.065232959954733</v>
      </c>
      <c r="W148" s="647">
        <v>0</v>
      </c>
      <c r="X148" s="647">
        <v>123.73641532901047</v>
      </c>
      <c r="Y148" s="647">
        <v>121.91057745567808</v>
      </c>
      <c r="Z148" s="647">
        <v>0</v>
      </c>
      <c r="AA148" s="647">
        <v>0</v>
      </c>
      <c r="AB148" s="647">
        <v>91.239635035141916</v>
      </c>
      <c r="AC148" s="647">
        <v>5.4913450563703794</v>
      </c>
      <c r="AD148" s="647">
        <v>77.627888306523744</v>
      </c>
      <c r="AE148" s="647">
        <v>38.675835544014738</v>
      </c>
      <c r="AF148" s="647">
        <v>86.476611770328219</v>
      </c>
      <c r="AG148" s="647">
        <v>5.9541727702812857</v>
      </c>
      <c r="AH148" s="647">
        <v>493.03007244229349</v>
      </c>
      <c r="AI148" s="647">
        <v>68.72625481251545</v>
      </c>
      <c r="AJ148" s="647">
        <v>10.334365624475881</v>
      </c>
      <c r="AK148" s="647">
        <v>1124.2684071065887</v>
      </c>
    </row>
    <row r="149" spans="3:37" ht="13.5">
      <c r="C149" s="641" t="s">
        <v>84</v>
      </c>
      <c r="D149" s="642">
        <v>0</v>
      </c>
      <c r="E149" s="642">
        <v>0</v>
      </c>
      <c r="F149" s="642">
        <v>111.73719287700069</v>
      </c>
      <c r="G149" s="642">
        <v>11.878700409877391</v>
      </c>
      <c r="H149" s="642">
        <v>0</v>
      </c>
      <c r="I149" s="642">
        <v>0</v>
      </c>
      <c r="J149" s="642">
        <v>0</v>
      </c>
      <c r="K149" s="642">
        <v>0</v>
      </c>
      <c r="L149" s="642">
        <v>0</v>
      </c>
      <c r="M149" s="642">
        <v>0</v>
      </c>
      <c r="N149" s="642">
        <v>0</v>
      </c>
      <c r="O149" s="642">
        <v>0</v>
      </c>
      <c r="P149" s="642">
        <v>0</v>
      </c>
      <c r="Q149" s="642">
        <v>0</v>
      </c>
      <c r="R149" s="642">
        <v>1.43076906409107</v>
      </c>
      <c r="S149" s="650">
        <v>125.04666235096916</v>
      </c>
      <c r="U149" s="641" t="s">
        <v>84</v>
      </c>
      <c r="V149" s="642">
        <v>0</v>
      </c>
      <c r="W149" s="642">
        <v>0</v>
      </c>
      <c r="X149" s="642">
        <v>90.362960784166091</v>
      </c>
      <c r="Y149" s="642">
        <v>1.2615947910933976</v>
      </c>
      <c r="Z149" s="642">
        <v>0</v>
      </c>
      <c r="AA149" s="642">
        <v>0</v>
      </c>
      <c r="AB149" s="642">
        <v>0</v>
      </c>
      <c r="AC149" s="642">
        <v>0</v>
      </c>
      <c r="AD149" s="642">
        <v>14.679117373046875</v>
      </c>
      <c r="AE149" s="642">
        <v>0</v>
      </c>
      <c r="AF149" s="642">
        <v>0</v>
      </c>
      <c r="AG149" s="642">
        <v>0</v>
      </c>
      <c r="AH149" s="642">
        <v>0</v>
      </c>
      <c r="AI149" s="642">
        <v>0</v>
      </c>
      <c r="AJ149" s="642">
        <v>10.026029063720703</v>
      </c>
      <c r="AK149" s="650">
        <v>116.32970201202707</v>
      </c>
    </row>
    <row r="150" spans="3:37" ht="13.5">
      <c r="C150" s="646" t="s">
        <v>85</v>
      </c>
      <c r="D150" s="647">
        <v>5.7766123047996905</v>
      </c>
      <c r="E150" s="647">
        <v>0</v>
      </c>
      <c r="F150" s="647">
        <v>457.9322997251615</v>
      </c>
      <c r="G150" s="647">
        <v>288.45786302702516</v>
      </c>
      <c r="H150" s="647">
        <v>0</v>
      </c>
      <c r="I150" s="647">
        <v>0</v>
      </c>
      <c r="J150" s="647">
        <v>113.50572884864343</v>
      </c>
      <c r="K150" s="647">
        <v>1.7926789890585739</v>
      </c>
      <c r="L150" s="647">
        <v>29.587741132730038</v>
      </c>
      <c r="M150" s="647">
        <v>5.6630861835909059</v>
      </c>
      <c r="N150" s="647">
        <v>60.832905155553725</v>
      </c>
      <c r="O150" s="647">
        <v>2.8372848935198816</v>
      </c>
      <c r="P150" s="647">
        <v>496.49341447572323</v>
      </c>
      <c r="Q150" s="647">
        <v>35.336417016114851</v>
      </c>
      <c r="R150" s="647">
        <v>3.3759231375725776</v>
      </c>
      <c r="S150" s="647">
        <v>1501.5919548894938</v>
      </c>
      <c r="U150" s="646" t="s">
        <v>85</v>
      </c>
      <c r="V150" s="647">
        <v>1.065232959954733</v>
      </c>
      <c r="W150" s="647">
        <v>0</v>
      </c>
      <c r="X150" s="647">
        <v>214.09937611317656</v>
      </c>
      <c r="Y150" s="647">
        <v>123.17217224677148</v>
      </c>
      <c r="Z150" s="647">
        <v>0</v>
      </c>
      <c r="AA150" s="647">
        <v>0</v>
      </c>
      <c r="AB150" s="647">
        <v>91.239635035141916</v>
      </c>
      <c r="AC150" s="647">
        <v>5.4913450563703794</v>
      </c>
      <c r="AD150" s="647">
        <v>92.307005679570622</v>
      </c>
      <c r="AE150" s="647">
        <v>38.675835544014738</v>
      </c>
      <c r="AF150" s="647">
        <v>86.476611770328219</v>
      </c>
      <c r="AG150" s="647">
        <v>5.9541727702812857</v>
      </c>
      <c r="AH150" s="647">
        <v>493.03007244229349</v>
      </c>
      <c r="AI150" s="647">
        <v>68.72625481251545</v>
      </c>
      <c r="AJ150" s="647">
        <v>20.360394688196585</v>
      </c>
      <c r="AK150" s="647">
        <v>1240.5981091186156</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22.5">
      <c r="C152" s="699" t="s">
        <v>363</v>
      </c>
      <c r="D152" s="699"/>
      <c r="E152" s="699"/>
      <c r="F152" s="699"/>
      <c r="G152" s="699"/>
      <c r="H152" s="699"/>
      <c r="I152" s="699"/>
      <c r="J152" s="699"/>
      <c r="K152" s="699"/>
      <c r="L152" s="699"/>
      <c r="M152" s="699"/>
      <c r="N152" s="699"/>
      <c r="O152" s="699"/>
      <c r="P152" s="699"/>
      <c r="Q152" s="699"/>
      <c r="R152" s="699"/>
      <c r="S152" s="699"/>
      <c r="U152" s="699" t="s">
        <v>363</v>
      </c>
      <c r="V152" s="699"/>
      <c r="W152" s="699"/>
      <c r="X152" s="699"/>
      <c r="Y152" s="699"/>
      <c r="Z152" s="699"/>
      <c r="AA152" s="699"/>
      <c r="AB152" s="699"/>
      <c r="AC152" s="699"/>
      <c r="AD152" s="699"/>
      <c r="AE152" s="699"/>
      <c r="AF152" s="699"/>
      <c r="AG152" s="699"/>
      <c r="AH152" s="699"/>
      <c r="AI152" s="699"/>
      <c r="AJ152" s="699"/>
      <c r="AK152" s="699"/>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13" customHeight="1">
      <c r="C154" s="700" t="s">
        <v>128</v>
      </c>
      <c r="D154" s="701" t="s">
        <v>42</v>
      </c>
      <c r="E154" s="701" t="s">
        <v>52</v>
      </c>
      <c r="F154" s="701" t="s">
        <v>53</v>
      </c>
      <c r="G154" s="701" t="s">
        <v>32</v>
      </c>
      <c r="H154" s="701" t="s">
        <v>20</v>
      </c>
      <c r="I154" s="701" t="s">
        <v>55</v>
      </c>
      <c r="J154" s="701" t="s">
        <v>56</v>
      </c>
      <c r="K154" s="701"/>
      <c r="L154" s="701"/>
      <c r="M154" s="701"/>
      <c r="N154" s="701"/>
      <c r="O154" s="701"/>
      <c r="P154" s="701" t="s">
        <v>57</v>
      </c>
      <c r="Q154" s="701" t="s">
        <v>58</v>
      </c>
      <c r="R154" s="701" t="s">
        <v>31</v>
      </c>
      <c r="S154" s="701" t="s">
        <v>10</v>
      </c>
      <c r="U154" s="700" t="s">
        <v>128</v>
      </c>
      <c r="V154" s="701" t="s">
        <v>42</v>
      </c>
      <c r="W154" s="701" t="s">
        <v>52</v>
      </c>
      <c r="X154" s="701" t="s">
        <v>53</v>
      </c>
      <c r="Y154" s="701" t="s">
        <v>32</v>
      </c>
      <c r="Z154" s="701" t="s">
        <v>20</v>
      </c>
      <c r="AA154" s="701" t="s">
        <v>55</v>
      </c>
      <c r="AB154" s="701" t="s">
        <v>56</v>
      </c>
      <c r="AC154" s="701"/>
      <c r="AD154" s="701"/>
      <c r="AE154" s="701"/>
      <c r="AF154" s="701"/>
      <c r="AG154" s="701"/>
      <c r="AH154" s="701" t="s">
        <v>57</v>
      </c>
      <c r="AI154" s="701" t="s">
        <v>58</v>
      </c>
      <c r="AJ154" s="701" t="s">
        <v>31</v>
      </c>
      <c r="AK154" s="701" t="s">
        <v>10</v>
      </c>
    </row>
    <row r="155" spans="3:37" ht="46">
      <c r="C155" s="700"/>
      <c r="D155" s="701"/>
      <c r="E155" s="701"/>
      <c r="F155" s="701"/>
      <c r="G155" s="701"/>
      <c r="H155" s="701"/>
      <c r="I155" s="701"/>
      <c r="J155" s="640" t="s">
        <v>338</v>
      </c>
      <c r="K155" s="640" t="s">
        <v>40</v>
      </c>
      <c r="L155" s="640" t="s">
        <v>346</v>
      </c>
      <c r="M155" s="640" t="s">
        <v>347</v>
      </c>
      <c r="N155" s="640" t="s">
        <v>348</v>
      </c>
      <c r="O155" s="640" t="s">
        <v>349</v>
      </c>
      <c r="P155" s="701"/>
      <c r="Q155" s="701"/>
      <c r="R155" s="701"/>
      <c r="S155" s="701"/>
      <c r="U155" s="700"/>
      <c r="V155" s="701"/>
      <c r="W155" s="701"/>
      <c r="X155" s="701"/>
      <c r="Y155" s="701"/>
      <c r="Z155" s="701"/>
      <c r="AA155" s="701"/>
      <c r="AB155" s="640" t="s">
        <v>338</v>
      </c>
      <c r="AC155" s="640" t="s">
        <v>40</v>
      </c>
      <c r="AD155" s="640" t="s">
        <v>346</v>
      </c>
      <c r="AE155" s="640" t="s">
        <v>347</v>
      </c>
      <c r="AF155" s="640" t="s">
        <v>348</v>
      </c>
      <c r="AG155" s="640" t="s">
        <v>349</v>
      </c>
      <c r="AH155" s="701"/>
      <c r="AI155" s="701"/>
      <c r="AJ155" s="701"/>
      <c r="AK155" s="701"/>
    </row>
    <row r="156" spans="3:37" ht="13.5">
      <c r="C156" s="641" t="s">
        <v>59</v>
      </c>
      <c r="D156" s="642">
        <v>0</v>
      </c>
      <c r="E156" s="643">
        <v>0</v>
      </c>
      <c r="F156" s="643">
        <v>0</v>
      </c>
      <c r="G156" s="642">
        <v>0</v>
      </c>
      <c r="H156" s="643">
        <v>959.09090909090924</v>
      </c>
      <c r="I156" s="643">
        <v>265.54666314840352</v>
      </c>
      <c r="J156" s="643">
        <v>188.6372712469306</v>
      </c>
      <c r="K156" s="643">
        <v>20.835963621356942</v>
      </c>
      <c r="L156" s="643">
        <v>0.48646764865129044</v>
      </c>
      <c r="M156" s="643">
        <v>0.15840693111613638</v>
      </c>
      <c r="N156" s="643">
        <v>62.897832024028709</v>
      </c>
      <c r="O156" s="643">
        <v>11.865462020109925</v>
      </c>
      <c r="P156" s="644">
        <v>0</v>
      </c>
      <c r="Q156" s="643">
        <v>0</v>
      </c>
      <c r="R156" s="643">
        <v>0</v>
      </c>
      <c r="S156" s="645">
        <v>1509.5189757315065</v>
      </c>
      <c r="U156" s="641" t="s">
        <v>59</v>
      </c>
      <c r="V156" s="642">
        <v>0</v>
      </c>
      <c r="W156" s="643">
        <v>0</v>
      </c>
      <c r="X156" s="643">
        <v>0</v>
      </c>
      <c r="Y156" s="642">
        <v>0</v>
      </c>
      <c r="Z156" s="643">
        <v>919.39393939393949</v>
      </c>
      <c r="AA156" s="643">
        <v>300.16666314840353</v>
      </c>
      <c r="AB156" s="643">
        <v>196.07210414009427</v>
      </c>
      <c r="AC156" s="643">
        <v>37.690284018354092</v>
      </c>
      <c r="AD156" s="643">
        <v>0.48646764865129044</v>
      </c>
      <c r="AE156" s="643">
        <v>0.15840693111613638</v>
      </c>
      <c r="AF156" s="643">
        <v>92.901000398225491</v>
      </c>
      <c r="AG156" s="643">
        <v>23.979405132943342</v>
      </c>
      <c r="AH156" s="644">
        <v>0</v>
      </c>
      <c r="AI156" s="643">
        <v>0</v>
      </c>
      <c r="AJ156" s="643">
        <v>0</v>
      </c>
      <c r="AK156" s="645">
        <v>1570.8482708117278</v>
      </c>
    </row>
    <row r="157" spans="3:37" ht="13.5">
      <c r="C157" s="641" t="s">
        <v>60</v>
      </c>
      <c r="D157" s="642">
        <v>48.037640466799544</v>
      </c>
      <c r="E157" s="643">
        <v>504.19228646673599</v>
      </c>
      <c r="F157" s="643">
        <v>68.527294255032075</v>
      </c>
      <c r="G157" s="642">
        <v>332.96357284387591</v>
      </c>
      <c r="H157" s="643">
        <v>0</v>
      </c>
      <c r="I157" s="643">
        <v>0</v>
      </c>
      <c r="J157" s="643">
        <v>4.4041420336435353</v>
      </c>
      <c r="K157" s="643">
        <v>0</v>
      </c>
      <c r="L157" s="643">
        <v>2.4215969020745125</v>
      </c>
      <c r="M157" s="643">
        <v>0</v>
      </c>
      <c r="N157" s="643">
        <v>0</v>
      </c>
      <c r="O157" s="643">
        <v>0</v>
      </c>
      <c r="P157" s="644">
        <v>0</v>
      </c>
      <c r="Q157" s="643">
        <v>0</v>
      </c>
      <c r="R157" s="643">
        <v>0</v>
      </c>
      <c r="S157" s="645">
        <v>960.54653296816161</v>
      </c>
      <c r="U157" s="641" t="s">
        <v>60</v>
      </c>
      <c r="V157" s="642">
        <v>7.5315222042138927</v>
      </c>
      <c r="W157" s="643">
        <v>266.28302835422375</v>
      </c>
      <c r="X157" s="643">
        <v>14.660534841020075</v>
      </c>
      <c r="Y157" s="642">
        <v>136.19700966140181</v>
      </c>
      <c r="Z157" s="643">
        <v>0</v>
      </c>
      <c r="AA157" s="643">
        <v>0</v>
      </c>
      <c r="AB157" s="643">
        <v>4.4041420336435353</v>
      </c>
      <c r="AC157" s="643">
        <v>0</v>
      </c>
      <c r="AD157" s="643">
        <v>2.4215969020745125</v>
      </c>
      <c r="AE157" s="643">
        <v>0</v>
      </c>
      <c r="AF157" s="643">
        <v>0</v>
      </c>
      <c r="AG157" s="643">
        <v>0</v>
      </c>
      <c r="AH157" s="644">
        <v>0</v>
      </c>
      <c r="AI157" s="643">
        <v>0</v>
      </c>
      <c r="AJ157" s="643">
        <v>0</v>
      </c>
      <c r="AK157" s="645">
        <v>431.49783399657758</v>
      </c>
    </row>
    <row r="158" spans="3:37" ht="13.5">
      <c r="C158" s="641" t="s">
        <v>61</v>
      </c>
      <c r="D158" s="642">
        <v>0</v>
      </c>
      <c r="E158" s="643">
        <v>0</v>
      </c>
      <c r="F158" s="643">
        <v>0</v>
      </c>
      <c r="G158" s="642">
        <v>0</v>
      </c>
      <c r="H158" s="643">
        <v>0</v>
      </c>
      <c r="I158" s="643">
        <v>0</v>
      </c>
      <c r="J158" s="643">
        <v>0</v>
      </c>
      <c r="K158" s="643">
        <v>0</v>
      </c>
      <c r="L158" s="643">
        <v>0</v>
      </c>
      <c r="M158" s="643">
        <v>0</v>
      </c>
      <c r="N158" s="643">
        <v>0</v>
      </c>
      <c r="O158" s="643">
        <v>0</v>
      </c>
      <c r="P158" s="644">
        <v>-31.055970799843635</v>
      </c>
      <c r="Q158" s="643">
        <v>0</v>
      </c>
      <c r="R158" s="643">
        <v>0</v>
      </c>
      <c r="S158" s="645">
        <v>-31.055970799843635</v>
      </c>
      <c r="U158" s="641" t="s">
        <v>61</v>
      </c>
      <c r="V158" s="642">
        <v>0</v>
      </c>
      <c r="W158" s="643">
        <v>0</v>
      </c>
      <c r="X158" s="643">
        <v>-20.238165107819981</v>
      </c>
      <c r="Y158" s="642">
        <v>0</v>
      </c>
      <c r="Z158" s="643">
        <v>0</v>
      </c>
      <c r="AA158" s="643">
        <v>0</v>
      </c>
      <c r="AB158" s="643">
        <v>0</v>
      </c>
      <c r="AC158" s="643">
        <v>0</v>
      </c>
      <c r="AD158" s="643">
        <v>0</v>
      </c>
      <c r="AE158" s="643">
        <v>0</v>
      </c>
      <c r="AF158" s="643">
        <v>0</v>
      </c>
      <c r="AG158" s="643">
        <v>0</v>
      </c>
      <c r="AH158" s="644">
        <v>-12.632253344037395</v>
      </c>
      <c r="AI158" s="643">
        <v>0</v>
      </c>
      <c r="AJ158" s="643">
        <v>0</v>
      </c>
      <c r="AK158" s="645">
        <v>-32.870418451857375</v>
      </c>
    </row>
    <row r="159" spans="3:37" ht="13.5">
      <c r="C159" s="641" t="s">
        <v>62</v>
      </c>
      <c r="D159" s="642">
        <v>0</v>
      </c>
      <c r="E159" s="643">
        <v>0</v>
      </c>
      <c r="F159" s="643">
        <v>-15.855905256620872</v>
      </c>
      <c r="G159" s="642">
        <v>0</v>
      </c>
      <c r="H159" s="643">
        <v>0</v>
      </c>
      <c r="I159" s="643">
        <v>0</v>
      </c>
      <c r="J159" s="643">
        <v>0</v>
      </c>
      <c r="K159" s="643">
        <v>0</v>
      </c>
      <c r="L159" s="643">
        <v>0</v>
      </c>
      <c r="M159" s="643">
        <v>0</v>
      </c>
      <c r="N159" s="643">
        <v>0</v>
      </c>
      <c r="O159" s="643">
        <v>0</v>
      </c>
      <c r="P159" s="644">
        <v>0</v>
      </c>
      <c r="Q159" s="643">
        <v>0</v>
      </c>
      <c r="R159" s="643">
        <v>0</v>
      </c>
      <c r="S159" s="645">
        <v>-15.855905256620872</v>
      </c>
      <c r="U159" s="641" t="s">
        <v>62</v>
      </c>
      <c r="V159" s="642">
        <v>0</v>
      </c>
      <c r="W159" s="643">
        <v>0</v>
      </c>
      <c r="X159" s="643">
        <v>-10.068616817390659</v>
      </c>
      <c r="Y159" s="642">
        <v>-2.2904268439326967</v>
      </c>
      <c r="Z159" s="643">
        <v>0</v>
      </c>
      <c r="AA159" s="643">
        <v>0</v>
      </c>
      <c r="AB159" s="643">
        <v>0</v>
      </c>
      <c r="AC159" s="643">
        <v>0</v>
      </c>
      <c r="AD159" s="643">
        <v>0</v>
      </c>
      <c r="AE159" s="643">
        <v>-0.98161150454258428</v>
      </c>
      <c r="AF159" s="643">
        <v>0</v>
      </c>
      <c r="AG159" s="643">
        <v>0</v>
      </c>
      <c r="AH159" s="644">
        <v>0</v>
      </c>
      <c r="AI159" s="643">
        <v>0</v>
      </c>
      <c r="AJ159" s="643">
        <v>0</v>
      </c>
      <c r="AK159" s="645">
        <v>-13.34065516586594</v>
      </c>
    </row>
    <row r="160" spans="3:37" ht="13.5">
      <c r="C160" s="641" t="s">
        <v>63</v>
      </c>
      <c r="D160" s="642">
        <v>0</v>
      </c>
      <c r="E160" s="643">
        <v>0</v>
      </c>
      <c r="F160" s="643">
        <v>-87.092524368241456</v>
      </c>
      <c r="G160" s="642">
        <v>0</v>
      </c>
      <c r="H160" s="643">
        <v>0</v>
      </c>
      <c r="I160" s="643">
        <v>0</v>
      </c>
      <c r="J160" s="643">
        <v>0</v>
      </c>
      <c r="K160" s="643">
        <v>0</v>
      </c>
      <c r="L160" s="643">
        <v>-0.90133117758770376</v>
      </c>
      <c r="M160" s="643">
        <v>0</v>
      </c>
      <c r="N160" s="643">
        <v>0</v>
      </c>
      <c r="O160" s="643">
        <v>0</v>
      </c>
      <c r="P160" s="644">
        <v>0</v>
      </c>
      <c r="Q160" s="643">
        <v>0</v>
      </c>
      <c r="R160" s="643">
        <v>0</v>
      </c>
      <c r="S160" s="645">
        <v>-87.993855545829163</v>
      </c>
      <c r="U160" s="641" t="s">
        <v>63</v>
      </c>
      <c r="V160" s="642">
        <v>0</v>
      </c>
      <c r="W160" s="643">
        <v>0</v>
      </c>
      <c r="X160" s="643">
        <v>-58.231828596071985</v>
      </c>
      <c r="Y160" s="642">
        <v>0</v>
      </c>
      <c r="Z160" s="643">
        <v>0</v>
      </c>
      <c r="AA160" s="643">
        <v>0</v>
      </c>
      <c r="AB160" s="643">
        <v>0</v>
      </c>
      <c r="AC160" s="643">
        <v>0</v>
      </c>
      <c r="AD160" s="643">
        <v>-23.991898740742837</v>
      </c>
      <c r="AE160" s="643">
        <v>0</v>
      </c>
      <c r="AF160" s="643">
        <v>0</v>
      </c>
      <c r="AG160" s="643">
        <v>0</v>
      </c>
      <c r="AH160" s="644">
        <v>0</v>
      </c>
      <c r="AI160" s="643">
        <v>0</v>
      </c>
      <c r="AJ160" s="643">
        <v>0</v>
      </c>
      <c r="AK160" s="645">
        <v>-82.223727336814818</v>
      </c>
    </row>
    <row r="161" spans="3:37" ht="13.5">
      <c r="C161" s="641" t="s">
        <v>64</v>
      </c>
      <c r="D161" s="642">
        <v>0</v>
      </c>
      <c r="E161" s="643">
        <v>0</v>
      </c>
      <c r="F161" s="643">
        <v>0</v>
      </c>
      <c r="G161" s="642">
        <v>0</v>
      </c>
      <c r="H161" s="643">
        <v>0</v>
      </c>
      <c r="I161" s="643">
        <v>0</v>
      </c>
      <c r="J161" s="643">
        <v>0</v>
      </c>
      <c r="K161" s="643">
        <v>0</v>
      </c>
      <c r="L161" s="643">
        <v>0</v>
      </c>
      <c r="M161" s="643">
        <v>0</v>
      </c>
      <c r="N161" s="643">
        <v>0</v>
      </c>
      <c r="O161" s="643">
        <v>0</v>
      </c>
      <c r="P161" s="644">
        <v>0</v>
      </c>
      <c r="Q161" s="643">
        <v>0</v>
      </c>
      <c r="R161" s="643">
        <v>0</v>
      </c>
      <c r="S161" s="645">
        <v>0</v>
      </c>
      <c r="U161" s="641" t="s">
        <v>64</v>
      </c>
      <c r="V161" s="642">
        <v>0</v>
      </c>
      <c r="W161" s="643">
        <v>0</v>
      </c>
      <c r="X161" s="643">
        <v>0</v>
      </c>
      <c r="Y161" s="642">
        <v>0</v>
      </c>
      <c r="Z161" s="643">
        <v>0</v>
      </c>
      <c r="AA161" s="643">
        <v>0</v>
      </c>
      <c r="AB161" s="643">
        <v>0</v>
      </c>
      <c r="AC161" s="643">
        <v>0</v>
      </c>
      <c r="AD161" s="643">
        <v>0</v>
      </c>
      <c r="AE161" s="643">
        <v>0</v>
      </c>
      <c r="AF161" s="643">
        <v>0</v>
      </c>
      <c r="AG161" s="643">
        <v>0</v>
      </c>
      <c r="AH161" s="644">
        <v>0</v>
      </c>
      <c r="AI161" s="643">
        <v>0</v>
      </c>
      <c r="AJ161" s="643">
        <v>0</v>
      </c>
      <c r="AK161" s="645">
        <v>0</v>
      </c>
    </row>
    <row r="162" spans="3:37" ht="13.5">
      <c r="C162" s="646" t="s">
        <v>65</v>
      </c>
      <c r="D162" s="647">
        <v>48.037640466799544</v>
      </c>
      <c r="E162" s="647">
        <v>504.19228646673599</v>
      </c>
      <c r="F162" s="647">
        <v>-34.42113536983026</v>
      </c>
      <c r="G162" s="647">
        <v>332.96357284387591</v>
      </c>
      <c r="H162" s="647">
        <v>959.09090909090924</v>
      </c>
      <c r="I162" s="647">
        <v>265.54666314840352</v>
      </c>
      <c r="J162" s="647">
        <v>193.04141328057412</v>
      </c>
      <c r="K162" s="647">
        <v>20.835963621356942</v>
      </c>
      <c r="L162" s="647">
        <v>2.0067333731380987</v>
      </c>
      <c r="M162" s="647">
        <v>0.15840693111613638</v>
      </c>
      <c r="N162" s="647">
        <v>62.897832024028709</v>
      </c>
      <c r="O162" s="647">
        <v>11.865462020109925</v>
      </c>
      <c r="P162" s="647">
        <v>-31.055970799843635</v>
      </c>
      <c r="Q162" s="647">
        <v>0</v>
      </c>
      <c r="R162" s="647">
        <v>0</v>
      </c>
      <c r="S162" s="647">
        <v>2335.159777097374</v>
      </c>
      <c r="U162" s="646" t="s">
        <v>65</v>
      </c>
      <c r="V162" s="647">
        <v>7.5315222042138927</v>
      </c>
      <c r="W162" s="647">
        <v>266.28302835422375</v>
      </c>
      <c r="X162" s="647">
        <v>-73.87807568026254</v>
      </c>
      <c r="Y162" s="647">
        <v>133.90658281746911</v>
      </c>
      <c r="Z162" s="647">
        <v>919.39393939393949</v>
      </c>
      <c r="AA162" s="647">
        <v>300.16666314840353</v>
      </c>
      <c r="AB162" s="647">
        <v>200.47624617373779</v>
      </c>
      <c r="AC162" s="647">
        <v>37.690284018354092</v>
      </c>
      <c r="AD162" s="647">
        <v>-21.083834190017033</v>
      </c>
      <c r="AE162" s="647">
        <v>-0.82320457342644793</v>
      </c>
      <c r="AF162" s="647">
        <v>92.901000398225491</v>
      </c>
      <c r="AG162" s="647">
        <v>23.979405132943342</v>
      </c>
      <c r="AH162" s="647">
        <v>-12.632253344037395</v>
      </c>
      <c r="AI162" s="647">
        <v>0</v>
      </c>
      <c r="AJ162" s="647">
        <v>0</v>
      </c>
      <c r="AK162" s="647">
        <v>1873.9113038537675</v>
      </c>
    </row>
    <row r="163" spans="3:37" ht="13">
      <c r="C163" s="636"/>
      <c r="D163" s="636">
        <v>0</v>
      </c>
      <c r="E163" s="636">
        <v>0</v>
      </c>
      <c r="F163" s="636">
        <v>0</v>
      </c>
      <c r="G163" s="636">
        <v>0</v>
      </c>
      <c r="H163" s="636">
        <v>0</v>
      </c>
      <c r="I163" s="636">
        <v>0</v>
      </c>
      <c r="J163" s="636">
        <v>0</v>
      </c>
      <c r="K163" s="636">
        <v>0</v>
      </c>
      <c r="L163" s="636">
        <v>0</v>
      </c>
      <c r="M163" s="636">
        <v>0</v>
      </c>
      <c r="N163" s="636">
        <v>0</v>
      </c>
      <c r="O163" s="636">
        <v>0</v>
      </c>
      <c r="P163" s="636">
        <v>0</v>
      </c>
      <c r="Q163" s="636">
        <v>0</v>
      </c>
      <c r="R163" s="636">
        <v>0</v>
      </c>
      <c r="S163" s="636">
        <v>0</v>
      </c>
      <c r="U163" s="636"/>
      <c r="V163" s="636">
        <v>0</v>
      </c>
      <c r="W163" s="636">
        <v>0</v>
      </c>
      <c r="X163" s="636">
        <v>0</v>
      </c>
      <c r="Y163" s="636">
        <v>0</v>
      </c>
      <c r="Z163" s="636">
        <v>0</v>
      </c>
      <c r="AA163" s="636">
        <v>0</v>
      </c>
      <c r="AB163" s="636">
        <v>0</v>
      </c>
      <c r="AC163" s="636">
        <v>0</v>
      </c>
      <c r="AD163" s="636">
        <v>0</v>
      </c>
      <c r="AE163" s="636">
        <v>0</v>
      </c>
      <c r="AF163" s="636">
        <v>0</v>
      </c>
      <c r="AG163" s="636">
        <v>0</v>
      </c>
      <c r="AH163" s="636">
        <v>0</v>
      </c>
      <c r="AI163" s="636">
        <v>0</v>
      </c>
      <c r="AJ163" s="636">
        <v>0</v>
      </c>
      <c r="AK163" s="636">
        <v>0</v>
      </c>
    </row>
    <row r="164" spans="3:37" ht="13.5">
      <c r="C164" s="648" t="s">
        <v>67</v>
      </c>
      <c r="D164" s="642">
        <v>0</v>
      </c>
      <c r="E164" s="649">
        <v>0</v>
      </c>
      <c r="F164" s="649">
        <v>0</v>
      </c>
      <c r="G164" s="642">
        <v>0</v>
      </c>
      <c r="H164" s="642">
        <v>0</v>
      </c>
      <c r="I164" s="642">
        <v>0</v>
      </c>
      <c r="J164" s="642">
        <v>0</v>
      </c>
      <c r="K164" s="642">
        <v>0</v>
      </c>
      <c r="L164" s="642">
        <v>0</v>
      </c>
      <c r="M164" s="642">
        <v>0</v>
      </c>
      <c r="N164" s="642">
        <v>0</v>
      </c>
      <c r="O164" s="642">
        <v>0</v>
      </c>
      <c r="P164" s="642">
        <v>0</v>
      </c>
      <c r="Q164" s="642">
        <v>0</v>
      </c>
      <c r="R164" s="642">
        <v>0</v>
      </c>
      <c r="S164" s="650">
        <v>0</v>
      </c>
      <c r="U164" s="648" t="s">
        <v>67</v>
      </c>
      <c r="V164" s="642">
        <v>0</v>
      </c>
      <c r="W164" s="649">
        <v>0</v>
      </c>
      <c r="X164" s="649">
        <v>0</v>
      </c>
      <c r="Y164" s="642">
        <v>0</v>
      </c>
      <c r="Z164" s="642">
        <v>0</v>
      </c>
      <c r="AA164" s="642">
        <v>0</v>
      </c>
      <c r="AB164" s="642">
        <v>0</v>
      </c>
      <c r="AC164" s="642">
        <v>0</v>
      </c>
      <c r="AD164" s="642">
        <v>0</v>
      </c>
      <c r="AE164" s="642">
        <v>0</v>
      </c>
      <c r="AF164" s="642">
        <v>0</v>
      </c>
      <c r="AG164" s="642">
        <v>0</v>
      </c>
      <c r="AH164" s="642">
        <v>0</v>
      </c>
      <c r="AI164" s="642">
        <v>0</v>
      </c>
      <c r="AJ164" s="642">
        <v>0</v>
      </c>
      <c r="AK164" s="650">
        <v>0</v>
      </c>
    </row>
    <row r="165" spans="3:37" ht="13.5">
      <c r="C165" s="648" t="s">
        <v>350</v>
      </c>
      <c r="D165" s="642">
        <v>2.8267856410252494</v>
      </c>
      <c r="E165" s="642">
        <v>0</v>
      </c>
      <c r="F165" s="642">
        <v>7.5217067848259731</v>
      </c>
      <c r="G165" s="642">
        <v>17.043478260869566</v>
      </c>
      <c r="H165" s="642">
        <v>959.09090909090924</v>
      </c>
      <c r="I165" s="642">
        <v>265.54666314840352</v>
      </c>
      <c r="J165" s="651">
        <v>29.657322749860491</v>
      </c>
      <c r="K165" s="651">
        <v>6.9984717304001904</v>
      </c>
      <c r="L165" s="651">
        <v>2.9080645507258027</v>
      </c>
      <c r="M165" s="651">
        <v>0.47316517381762646</v>
      </c>
      <c r="N165" s="651">
        <v>0</v>
      </c>
      <c r="O165" s="651">
        <v>6.9042102843702597</v>
      </c>
      <c r="P165" s="642">
        <v>-613.13903868039233</v>
      </c>
      <c r="Q165" s="642">
        <v>0</v>
      </c>
      <c r="R165" s="642">
        <v>0</v>
      </c>
      <c r="S165" s="650">
        <v>685.83173873481564</v>
      </c>
      <c r="U165" s="648" t="s">
        <v>350</v>
      </c>
      <c r="V165" s="642">
        <v>0.62631490545869017</v>
      </c>
      <c r="W165" s="642">
        <v>0</v>
      </c>
      <c r="X165" s="642">
        <v>3.6580704211896093</v>
      </c>
      <c r="Y165" s="642">
        <v>6.2086956521739127</v>
      </c>
      <c r="Z165" s="642">
        <v>919.39393939393949</v>
      </c>
      <c r="AA165" s="642">
        <v>300.16666314840353</v>
      </c>
      <c r="AB165" s="651">
        <v>23.86094386593884</v>
      </c>
      <c r="AC165" s="651">
        <v>5.6952120200596408</v>
      </c>
      <c r="AD165" s="651">
        <v>2.9080645507258027</v>
      </c>
      <c r="AE165" s="651">
        <v>2.7862086520784959</v>
      </c>
      <c r="AF165" s="651">
        <v>0</v>
      </c>
      <c r="AG165" s="651">
        <v>6.9042102843702597</v>
      </c>
      <c r="AH165" s="642">
        <v>-628.6590386803922</v>
      </c>
      <c r="AI165" s="642">
        <v>0</v>
      </c>
      <c r="AJ165" s="642">
        <v>4.7499999999999991</v>
      </c>
      <c r="AK165" s="650">
        <v>648.29928421394618</v>
      </c>
    </row>
    <row r="166" spans="3:37" ht="13.5">
      <c r="C166" s="648" t="s">
        <v>351</v>
      </c>
      <c r="D166" s="642">
        <v>0</v>
      </c>
      <c r="E166" s="642">
        <v>0</v>
      </c>
      <c r="F166" s="642">
        <v>0</v>
      </c>
      <c r="G166" s="642">
        <v>14.973464488470796</v>
      </c>
      <c r="H166" s="642">
        <v>0</v>
      </c>
      <c r="I166" s="642">
        <v>0</v>
      </c>
      <c r="J166" s="651">
        <v>12.61885930635281</v>
      </c>
      <c r="K166" s="651">
        <v>11.992989190910333</v>
      </c>
      <c r="L166" s="651">
        <v>0</v>
      </c>
      <c r="M166" s="651">
        <v>0.32007470171399477</v>
      </c>
      <c r="N166" s="651">
        <v>0</v>
      </c>
      <c r="O166" s="651">
        <v>2.1221335576886813</v>
      </c>
      <c r="P166" s="642">
        <v>0</v>
      </c>
      <c r="Q166" s="642">
        <v>-38.122859170635891</v>
      </c>
      <c r="R166" s="642">
        <v>0</v>
      </c>
      <c r="S166" s="650">
        <v>3.9046620745007217</v>
      </c>
      <c r="U166" s="648" t="s">
        <v>351</v>
      </c>
      <c r="V166" s="642">
        <v>0</v>
      </c>
      <c r="W166" s="642">
        <v>0</v>
      </c>
      <c r="X166" s="642">
        <v>0</v>
      </c>
      <c r="Y166" s="642">
        <v>11.236128743190402</v>
      </c>
      <c r="Z166" s="642">
        <v>0</v>
      </c>
      <c r="AA166" s="642">
        <v>0</v>
      </c>
      <c r="AB166" s="651">
        <v>28.835017835425074</v>
      </c>
      <c r="AC166" s="651">
        <v>26.276566272731909</v>
      </c>
      <c r="AD166" s="651">
        <v>0</v>
      </c>
      <c r="AE166" s="651">
        <v>4.8299775408676195</v>
      </c>
      <c r="AF166" s="651">
        <v>0</v>
      </c>
      <c r="AG166" s="651">
        <v>10.71495831218258</v>
      </c>
      <c r="AH166" s="642">
        <v>0</v>
      </c>
      <c r="AI166" s="642">
        <v>-75.331063655699538</v>
      </c>
      <c r="AJ166" s="642">
        <v>0</v>
      </c>
      <c r="AK166" s="650">
        <v>6.561585048698058</v>
      </c>
    </row>
    <row r="167" spans="3:37" ht="13.5">
      <c r="C167" s="648" t="s">
        <v>352</v>
      </c>
      <c r="D167" s="642">
        <v>0</v>
      </c>
      <c r="E167" s="642">
        <v>0</v>
      </c>
      <c r="F167" s="642">
        <v>0</v>
      </c>
      <c r="G167" s="642">
        <v>0</v>
      </c>
      <c r="H167" s="642">
        <v>0</v>
      </c>
      <c r="I167" s="642">
        <v>0</v>
      </c>
      <c r="J167" s="652">
        <v>7.1836152532588793</v>
      </c>
      <c r="K167" s="652">
        <v>0</v>
      </c>
      <c r="L167" s="652">
        <v>0</v>
      </c>
      <c r="M167" s="652">
        <v>-6.5550489185987271</v>
      </c>
      <c r="N167" s="652">
        <v>0</v>
      </c>
      <c r="O167" s="652">
        <v>0</v>
      </c>
      <c r="P167" s="642">
        <v>0</v>
      </c>
      <c r="Q167" s="642">
        <v>0</v>
      </c>
      <c r="R167" s="642">
        <v>0</v>
      </c>
      <c r="S167" s="650">
        <v>0.62856633466015222</v>
      </c>
      <c r="U167" s="648" t="s">
        <v>352</v>
      </c>
      <c r="V167" s="642">
        <v>0</v>
      </c>
      <c r="W167" s="642">
        <v>0</v>
      </c>
      <c r="X167" s="642">
        <v>0</v>
      </c>
      <c r="Y167" s="642">
        <v>0</v>
      </c>
      <c r="Z167" s="642">
        <v>0</v>
      </c>
      <c r="AA167" s="642">
        <v>0</v>
      </c>
      <c r="AB167" s="652">
        <v>63.436450079223192</v>
      </c>
      <c r="AC167" s="652">
        <v>0</v>
      </c>
      <c r="AD167" s="652">
        <v>0</v>
      </c>
      <c r="AE167" s="652">
        <v>-57.885760697291161</v>
      </c>
      <c r="AF167" s="652">
        <v>0</v>
      </c>
      <c r="AG167" s="652">
        <v>0</v>
      </c>
      <c r="AH167" s="642">
        <v>0</v>
      </c>
      <c r="AI167" s="642">
        <v>0</v>
      </c>
      <c r="AJ167" s="642">
        <v>0</v>
      </c>
      <c r="AK167" s="650">
        <v>5.5506893819320311</v>
      </c>
    </row>
    <row r="168" spans="3:37" ht="13.5">
      <c r="C168" s="648" t="s">
        <v>353</v>
      </c>
      <c r="D168" s="642">
        <v>0</v>
      </c>
      <c r="E168" s="642">
        <v>0</v>
      </c>
      <c r="F168" s="642">
        <v>0</v>
      </c>
      <c r="G168" s="642">
        <v>0</v>
      </c>
      <c r="H168" s="642">
        <v>0</v>
      </c>
      <c r="I168" s="642">
        <v>0</v>
      </c>
      <c r="J168" s="642">
        <v>0</v>
      </c>
      <c r="K168" s="642">
        <v>0</v>
      </c>
      <c r="L168" s="642">
        <v>0</v>
      </c>
      <c r="M168" s="642">
        <v>0</v>
      </c>
      <c r="N168" s="642">
        <v>0</v>
      </c>
      <c r="O168" s="642">
        <v>0</v>
      </c>
      <c r="P168" s="642">
        <v>0</v>
      </c>
      <c r="Q168" s="642">
        <v>0</v>
      </c>
      <c r="R168" s="642">
        <v>0</v>
      </c>
      <c r="S168" s="650">
        <v>0</v>
      </c>
      <c r="U168" s="648" t="s">
        <v>353</v>
      </c>
      <c r="V168" s="642">
        <v>0</v>
      </c>
      <c r="W168" s="642">
        <v>0</v>
      </c>
      <c r="X168" s="642">
        <v>0</v>
      </c>
      <c r="Y168" s="642">
        <v>0</v>
      </c>
      <c r="Z168" s="642">
        <v>0</v>
      </c>
      <c r="AA168" s="642">
        <v>0</v>
      </c>
      <c r="AB168" s="642">
        <v>0</v>
      </c>
      <c r="AC168" s="642">
        <v>0</v>
      </c>
      <c r="AD168" s="642">
        <v>0</v>
      </c>
      <c r="AE168" s="642">
        <v>0</v>
      </c>
      <c r="AF168" s="642">
        <v>0</v>
      </c>
      <c r="AG168" s="642">
        <v>0</v>
      </c>
      <c r="AH168" s="642">
        <v>0</v>
      </c>
      <c r="AI168" s="642">
        <v>0</v>
      </c>
      <c r="AJ168" s="642">
        <v>0</v>
      </c>
      <c r="AK168" s="650">
        <v>0</v>
      </c>
    </row>
    <row r="169" spans="3:37" ht="13.5">
      <c r="C169" s="648" t="s">
        <v>72</v>
      </c>
      <c r="D169" s="642">
        <v>0</v>
      </c>
      <c r="E169" s="642">
        <v>522.28962186433523</v>
      </c>
      <c r="F169" s="642">
        <v>-517.06672564569192</v>
      </c>
      <c r="G169" s="642">
        <v>0</v>
      </c>
      <c r="H169" s="642">
        <v>0</v>
      </c>
      <c r="I169" s="642">
        <v>0</v>
      </c>
      <c r="J169" s="642">
        <v>0</v>
      </c>
      <c r="K169" s="642">
        <v>0</v>
      </c>
      <c r="L169" s="642">
        <v>0</v>
      </c>
      <c r="M169" s="642">
        <v>0</v>
      </c>
      <c r="N169" s="642">
        <v>0</v>
      </c>
      <c r="O169" s="642">
        <v>0</v>
      </c>
      <c r="P169" s="642">
        <v>0</v>
      </c>
      <c r="Q169" s="642">
        <v>0</v>
      </c>
      <c r="R169" s="642">
        <v>0</v>
      </c>
      <c r="S169" s="650">
        <v>5.2228962186433137</v>
      </c>
      <c r="U169" s="648" t="s">
        <v>72</v>
      </c>
      <c r="V169" s="642">
        <v>0</v>
      </c>
      <c r="W169" s="642">
        <v>275.84091609698424</v>
      </c>
      <c r="X169" s="642">
        <v>-273.0825069360144</v>
      </c>
      <c r="Y169" s="642">
        <v>0</v>
      </c>
      <c r="Z169" s="642">
        <v>0</v>
      </c>
      <c r="AA169" s="642">
        <v>0</v>
      </c>
      <c r="AB169" s="642">
        <v>0</v>
      </c>
      <c r="AC169" s="642">
        <v>0</v>
      </c>
      <c r="AD169" s="642">
        <v>0</v>
      </c>
      <c r="AE169" s="642">
        <v>0</v>
      </c>
      <c r="AF169" s="642">
        <v>0</v>
      </c>
      <c r="AG169" s="642">
        <v>0</v>
      </c>
      <c r="AH169" s="642">
        <v>0</v>
      </c>
      <c r="AI169" s="642">
        <v>0</v>
      </c>
      <c r="AJ169" s="642">
        <v>0</v>
      </c>
      <c r="AK169" s="650">
        <v>2.7584091609698476</v>
      </c>
    </row>
    <row r="170" spans="3:37" ht="13.5">
      <c r="C170" s="648" t="s">
        <v>354</v>
      </c>
      <c r="D170" s="642">
        <v>0</v>
      </c>
      <c r="E170" s="642">
        <v>0</v>
      </c>
      <c r="F170" s="642">
        <v>0</v>
      </c>
      <c r="G170" s="642">
        <v>0</v>
      </c>
      <c r="H170" s="642">
        <v>0</v>
      </c>
      <c r="I170" s="642">
        <v>0</v>
      </c>
      <c r="J170" s="642">
        <v>28.942309114060045</v>
      </c>
      <c r="K170" s="642">
        <v>0</v>
      </c>
      <c r="L170" s="642">
        <v>-28.942309114060045</v>
      </c>
      <c r="M170" s="642">
        <v>0</v>
      </c>
      <c r="N170" s="642">
        <v>0</v>
      </c>
      <c r="O170" s="642">
        <v>0</v>
      </c>
      <c r="P170" s="642">
        <v>0</v>
      </c>
      <c r="Q170" s="642">
        <v>0</v>
      </c>
      <c r="R170" s="642">
        <v>0</v>
      </c>
      <c r="S170" s="650">
        <v>0</v>
      </c>
      <c r="U170" s="648" t="s">
        <v>354</v>
      </c>
      <c r="V170" s="642">
        <v>0</v>
      </c>
      <c r="W170" s="642">
        <v>0</v>
      </c>
      <c r="X170" s="642">
        <v>0</v>
      </c>
      <c r="Y170" s="642">
        <v>0</v>
      </c>
      <c r="Z170" s="642">
        <v>0</v>
      </c>
      <c r="AA170" s="642">
        <v>0</v>
      </c>
      <c r="AB170" s="642" t="e">
        <v>#VALUE!</v>
      </c>
      <c r="AC170" s="642">
        <v>0</v>
      </c>
      <c r="AD170" s="642">
        <v>-101.68735143023177</v>
      </c>
      <c r="AE170" s="642">
        <v>0</v>
      </c>
      <c r="AF170" s="642">
        <v>0</v>
      </c>
      <c r="AG170" s="642">
        <v>0</v>
      </c>
      <c r="AH170" s="642">
        <v>0</v>
      </c>
      <c r="AI170" s="642">
        <v>0</v>
      </c>
      <c r="AJ170" s="642">
        <v>0</v>
      </c>
      <c r="AK170" s="650">
        <v>-101.68735143023177</v>
      </c>
    </row>
    <row r="171" spans="3:37" ht="13.5">
      <c r="C171" s="648" t="s">
        <v>355</v>
      </c>
      <c r="D171" s="642">
        <v>0</v>
      </c>
      <c r="E171" s="642">
        <v>0</v>
      </c>
      <c r="F171" s="642">
        <v>0</v>
      </c>
      <c r="G171" s="642">
        <v>0</v>
      </c>
      <c r="H171" s="642">
        <v>0</v>
      </c>
      <c r="I171" s="642">
        <v>0</v>
      </c>
      <c r="J171" s="642">
        <v>0</v>
      </c>
      <c r="K171" s="642">
        <v>0</v>
      </c>
      <c r="L171" s="642">
        <v>0</v>
      </c>
      <c r="M171" s="642">
        <v>0</v>
      </c>
      <c r="N171" s="642">
        <v>0</v>
      </c>
      <c r="O171" s="642">
        <v>0</v>
      </c>
      <c r="P171" s="642">
        <v>0</v>
      </c>
      <c r="Q171" s="642">
        <v>0</v>
      </c>
      <c r="R171" s="642">
        <v>0</v>
      </c>
      <c r="S171" s="650">
        <v>0</v>
      </c>
      <c r="U171" s="648" t="s">
        <v>355</v>
      </c>
      <c r="V171" s="642">
        <v>0</v>
      </c>
      <c r="W171" s="642">
        <v>0</v>
      </c>
      <c r="X171" s="642">
        <v>0</v>
      </c>
      <c r="Y171" s="642">
        <v>0</v>
      </c>
      <c r="Z171" s="642">
        <v>0</v>
      </c>
      <c r="AA171" s="642">
        <v>0</v>
      </c>
      <c r="AB171" s="642">
        <v>0</v>
      </c>
      <c r="AC171" s="642">
        <v>0</v>
      </c>
      <c r="AD171" s="642">
        <v>-20.330518764117095</v>
      </c>
      <c r="AE171" s="642">
        <v>0</v>
      </c>
      <c r="AF171" s="642">
        <v>0</v>
      </c>
      <c r="AG171" s="642">
        <v>0</v>
      </c>
      <c r="AH171" s="642">
        <v>0</v>
      </c>
      <c r="AI171" s="642">
        <v>0</v>
      </c>
      <c r="AJ171" s="642">
        <v>0</v>
      </c>
      <c r="AK171" s="650">
        <v>-20.330518764117095</v>
      </c>
    </row>
    <row r="172" spans="3:37" ht="13.5">
      <c r="C172" s="648" t="s">
        <v>73</v>
      </c>
      <c r="D172" s="642">
        <v>0</v>
      </c>
      <c r="E172" s="642">
        <v>0</v>
      </c>
      <c r="F172" s="642">
        <v>0</v>
      </c>
      <c r="G172" s="642">
        <v>5.1012543356530031</v>
      </c>
      <c r="H172" s="642">
        <v>0</v>
      </c>
      <c r="I172" s="642">
        <v>0</v>
      </c>
      <c r="J172" s="642">
        <v>0</v>
      </c>
      <c r="K172" s="642">
        <v>5.8487208617897309E-2</v>
      </c>
      <c r="L172" s="642">
        <v>0</v>
      </c>
      <c r="M172" s="642">
        <v>0.10410723133985722</v>
      </c>
      <c r="N172" s="642">
        <v>0</v>
      </c>
      <c r="O172" s="642">
        <v>0</v>
      </c>
      <c r="P172" s="642">
        <v>0.59767950412449788</v>
      </c>
      <c r="Q172" s="642">
        <v>0</v>
      </c>
      <c r="R172" s="642">
        <v>-4.094104603252811</v>
      </c>
      <c r="S172" s="650">
        <v>1.7674236764824451</v>
      </c>
      <c r="U172" s="648" t="s">
        <v>73</v>
      </c>
      <c r="V172" s="642">
        <v>0</v>
      </c>
      <c r="W172" s="642">
        <v>0</v>
      </c>
      <c r="X172" s="642">
        <v>0</v>
      </c>
      <c r="Y172" s="642">
        <v>5.6948243223481816</v>
      </c>
      <c r="Z172" s="642">
        <v>0</v>
      </c>
      <c r="AA172" s="642">
        <v>0</v>
      </c>
      <c r="AB172" s="642">
        <v>0</v>
      </c>
      <c r="AC172" s="642">
        <v>0.40677316588201312</v>
      </c>
      <c r="AD172" s="642">
        <v>0</v>
      </c>
      <c r="AE172" s="642">
        <v>2.440638995292078</v>
      </c>
      <c r="AF172" s="642">
        <v>0</v>
      </c>
      <c r="AG172" s="642">
        <v>0</v>
      </c>
      <c r="AH172" s="642">
        <v>32.838767990182951</v>
      </c>
      <c r="AI172" s="642">
        <v>0</v>
      </c>
      <c r="AJ172" s="642">
        <v>-28.474121611740912</v>
      </c>
      <c r="AK172" s="650">
        <v>12.906882861964313</v>
      </c>
    </row>
    <row r="173" spans="3:37" ht="13.5">
      <c r="C173" s="648" t="s">
        <v>356</v>
      </c>
      <c r="D173" s="642">
        <v>28.616489999999999</v>
      </c>
      <c r="E173" s="642">
        <v>-18.09733539759922</v>
      </c>
      <c r="F173" s="642">
        <v>23.670245777269074</v>
      </c>
      <c r="G173" s="642">
        <v>0</v>
      </c>
      <c r="H173" s="642">
        <v>0</v>
      </c>
      <c r="I173" s="642">
        <v>0</v>
      </c>
      <c r="J173" s="642">
        <v>0</v>
      </c>
      <c r="K173" s="642">
        <v>0</v>
      </c>
      <c r="L173" s="642">
        <v>0</v>
      </c>
      <c r="M173" s="642">
        <v>0</v>
      </c>
      <c r="N173" s="642">
        <v>0</v>
      </c>
      <c r="O173" s="642">
        <v>0</v>
      </c>
      <c r="P173" s="642">
        <v>0</v>
      </c>
      <c r="Q173" s="642">
        <v>0</v>
      </c>
      <c r="R173" s="642">
        <v>0</v>
      </c>
      <c r="S173" s="650">
        <v>34.189400379669848</v>
      </c>
      <c r="U173" s="648" t="s">
        <v>356</v>
      </c>
      <c r="V173" s="642">
        <v>2.3505202026367185</v>
      </c>
      <c r="W173" s="642">
        <v>-9.5578877427605047</v>
      </c>
      <c r="X173" s="642">
        <v>12.501152628950074</v>
      </c>
      <c r="Y173" s="642">
        <v>0</v>
      </c>
      <c r="Z173" s="642">
        <v>0</v>
      </c>
      <c r="AA173" s="642">
        <v>0</v>
      </c>
      <c r="AB173" s="642">
        <v>0</v>
      </c>
      <c r="AC173" s="642">
        <v>0</v>
      </c>
      <c r="AD173" s="642">
        <v>0</v>
      </c>
      <c r="AE173" s="642">
        <v>0</v>
      </c>
      <c r="AF173" s="642">
        <v>0</v>
      </c>
      <c r="AG173" s="642">
        <v>0</v>
      </c>
      <c r="AH173" s="642">
        <v>0</v>
      </c>
      <c r="AI173" s="642">
        <v>0</v>
      </c>
      <c r="AJ173" s="642">
        <v>0</v>
      </c>
      <c r="AK173" s="650">
        <v>5.2937850888262874</v>
      </c>
    </row>
    <row r="174" spans="3:37" ht="13.5">
      <c r="C174" s="648" t="s">
        <v>75</v>
      </c>
      <c r="D174" s="642">
        <v>11.128635000000001</v>
      </c>
      <c r="E174" s="642">
        <v>0</v>
      </c>
      <c r="F174" s="642">
        <v>17.757847143387398</v>
      </c>
      <c r="G174" s="642">
        <v>5.0672539113277812</v>
      </c>
      <c r="H174" s="642">
        <v>0</v>
      </c>
      <c r="I174" s="642">
        <v>0</v>
      </c>
      <c r="J174" s="642">
        <v>0</v>
      </c>
      <c r="K174" s="642">
        <v>0</v>
      </c>
      <c r="L174" s="642">
        <v>0</v>
      </c>
      <c r="M174" s="642">
        <v>0.1034133451291384</v>
      </c>
      <c r="N174" s="642">
        <v>0</v>
      </c>
      <c r="O174" s="642">
        <v>0</v>
      </c>
      <c r="P174" s="642">
        <v>30.750377055945027</v>
      </c>
      <c r="Q174" s="642">
        <v>0</v>
      </c>
      <c r="R174" s="642">
        <v>0</v>
      </c>
      <c r="S174" s="650">
        <v>64.807526455789343</v>
      </c>
      <c r="U174" s="648" t="s">
        <v>75</v>
      </c>
      <c r="V174" s="642">
        <v>3.4784289550781251</v>
      </c>
      <c r="W174" s="642">
        <v>0</v>
      </c>
      <c r="X174" s="642">
        <v>17.757847143387398</v>
      </c>
      <c r="Y174" s="642">
        <v>3.6194670795198434</v>
      </c>
      <c r="Z174" s="642">
        <v>0</v>
      </c>
      <c r="AA174" s="642">
        <v>0</v>
      </c>
      <c r="AB174" s="642">
        <v>0</v>
      </c>
      <c r="AC174" s="642">
        <v>0</v>
      </c>
      <c r="AD174" s="642">
        <v>0</v>
      </c>
      <c r="AE174" s="642">
        <v>1.5512001769370758</v>
      </c>
      <c r="AF174" s="642">
        <v>0</v>
      </c>
      <c r="AG174" s="642">
        <v>0</v>
      </c>
      <c r="AH174" s="642">
        <v>36.42264978321775</v>
      </c>
      <c r="AI174" s="642">
        <v>0</v>
      </c>
      <c r="AJ174" s="642">
        <v>0</v>
      </c>
      <c r="AK174" s="650">
        <v>62.829593138140197</v>
      </c>
    </row>
    <row r="175" spans="3:37" ht="13.5">
      <c r="C175" s="648" t="s">
        <v>76</v>
      </c>
      <c r="D175" s="642">
        <v>0</v>
      </c>
      <c r="E175" s="642">
        <v>0</v>
      </c>
      <c r="F175" s="642">
        <v>0</v>
      </c>
      <c r="G175" s="642">
        <v>3.8086647866957031</v>
      </c>
      <c r="H175" s="642">
        <v>0</v>
      </c>
      <c r="I175" s="642">
        <v>0</v>
      </c>
      <c r="J175" s="642">
        <v>0</v>
      </c>
      <c r="K175" s="642">
        <v>0</v>
      </c>
      <c r="L175" s="642">
        <v>0</v>
      </c>
      <c r="M175" s="642">
        <v>7.7727852789708229E-2</v>
      </c>
      <c r="N175" s="642">
        <v>0</v>
      </c>
      <c r="O175" s="642">
        <v>0</v>
      </c>
      <c r="P175" s="642">
        <v>44.547532005203358</v>
      </c>
      <c r="Q175" s="642">
        <v>2.958822517532107</v>
      </c>
      <c r="R175" s="642">
        <v>0</v>
      </c>
      <c r="S175" s="650">
        <v>51.392747162220878</v>
      </c>
      <c r="U175" s="648" t="s">
        <v>76</v>
      </c>
      <c r="V175" s="642">
        <v>0</v>
      </c>
      <c r="W175" s="642">
        <v>0</v>
      </c>
      <c r="X175" s="642">
        <v>0</v>
      </c>
      <c r="Y175" s="642">
        <v>1.6015823117827594</v>
      </c>
      <c r="Z175" s="642">
        <v>0</v>
      </c>
      <c r="AA175" s="642">
        <v>0</v>
      </c>
      <c r="AB175" s="642">
        <v>0</v>
      </c>
      <c r="AC175" s="642">
        <v>0</v>
      </c>
      <c r="AD175" s="642">
        <v>0</v>
      </c>
      <c r="AE175" s="642">
        <v>0.68639241933546835</v>
      </c>
      <c r="AF175" s="642">
        <v>0</v>
      </c>
      <c r="AG175" s="642">
        <v>0</v>
      </c>
      <c r="AH175" s="642">
        <v>47.148943407633553</v>
      </c>
      <c r="AI175" s="642">
        <v>5.8421151160056723</v>
      </c>
      <c r="AJ175" s="642">
        <v>0</v>
      </c>
      <c r="AK175" s="650">
        <v>55.279033254757444</v>
      </c>
    </row>
    <row r="176" spans="3:37" ht="13.5">
      <c r="C176" s="646" t="s">
        <v>77</v>
      </c>
      <c r="D176" s="647">
        <v>42.571910641025248</v>
      </c>
      <c r="E176" s="647">
        <v>504.19228646673599</v>
      </c>
      <c r="F176" s="647">
        <v>-468.11692594020946</v>
      </c>
      <c r="G176" s="647">
        <v>45.994115783016845</v>
      </c>
      <c r="H176" s="647">
        <v>959.09090909090924</v>
      </c>
      <c r="I176" s="647">
        <v>265.54666314840352</v>
      </c>
      <c r="J176" s="647">
        <v>78.402106423532217</v>
      </c>
      <c r="K176" s="647">
        <v>19.049948129928421</v>
      </c>
      <c r="L176" s="647">
        <v>-26.034244563334241</v>
      </c>
      <c r="M176" s="647">
        <v>-5.4765606138084015</v>
      </c>
      <c r="N176" s="647">
        <v>0</v>
      </c>
      <c r="O176" s="647">
        <v>9.0263438420589424</v>
      </c>
      <c r="P176" s="647">
        <v>-537.24345011511946</v>
      </c>
      <c r="Q176" s="647">
        <v>-35.164036653103786</v>
      </c>
      <c r="R176" s="647">
        <v>-4.094104603252811</v>
      </c>
      <c r="S176" s="647">
        <v>847.74496103678234</v>
      </c>
      <c r="U176" s="646" t="s">
        <v>77</v>
      </c>
      <c r="V176" s="647">
        <v>6.4552640631735336</v>
      </c>
      <c r="W176" s="647">
        <v>266.28302835422375</v>
      </c>
      <c r="X176" s="647">
        <v>-239.16543674248729</v>
      </c>
      <c r="Y176" s="647">
        <v>28.3606981090151</v>
      </c>
      <c r="Z176" s="647">
        <v>919.39393939393949</v>
      </c>
      <c r="AA176" s="647">
        <v>300.16666314840353</v>
      </c>
      <c r="AB176" s="647">
        <v>116.13241178058709</v>
      </c>
      <c r="AC176" s="647">
        <v>32.378551458673563</v>
      </c>
      <c r="AD176" s="647">
        <v>-119.10980564362306</v>
      </c>
      <c r="AE176" s="647">
        <v>-45.591342912780426</v>
      </c>
      <c r="AF176" s="647">
        <v>0</v>
      </c>
      <c r="AG176" s="647">
        <v>17.619168596552839</v>
      </c>
      <c r="AH176" s="647">
        <v>-512.24867749935788</v>
      </c>
      <c r="AI176" s="647">
        <v>-69.488948539693865</v>
      </c>
      <c r="AJ176" s="647">
        <v>-23.724121611740912</v>
      </c>
      <c r="AK176" s="647">
        <v>677.46139195488558</v>
      </c>
    </row>
    <row r="177" spans="3:37" ht="13">
      <c r="C177" s="636"/>
      <c r="D177" s="636">
        <v>0</v>
      </c>
      <c r="E177" s="636">
        <v>0</v>
      </c>
      <c r="F177" s="636">
        <v>0</v>
      </c>
      <c r="G177" s="636">
        <v>0</v>
      </c>
      <c r="H177" s="636">
        <v>0</v>
      </c>
      <c r="I177" s="636">
        <v>0</v>
      </c>
      <c r="J177" s="636">
        <v>0</v>
      </c>
      <c r="K177" s="636">
        <v>0</v>
      </c>
      <c r="L177" s="636">
        <v>0</v>
      </c>
      <c r="M177" s="636">
        <v>0</v>
      </c>
      <c r="N177" s="636">
        <v>0</v>
      </c>
      <c r="O177" s="636">
        <v>0</v>
      </c>
      <c r="P177" s="636">
        <v>0</v>
      </c>
      <c r="Q177" s="636">
        <v>0</v>
      </c>
      <c r="R177" s="636">
        <v>0</v>
      </c>
      <c r="S177" s="636">
        <v>0</v>
      </c>
      <c r="U177" s="636"/>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row>
    <row r="178" spans="3:37" ht="13.5">
      <c r="C178" s="648" t="s">
        <v>78</v>
      </c>
      <c r="D178" s="642">
        <v>5.4657298257742912</v>
      </c>
      <c r="E178" s="642">
        <v>0</v>
      </c>
      <c r="F178" s="642">
        <v>21.83935294215906</v>
      </c>
      <c r="G178" s="642">
        <v>97.960240418883188</v>
      </c>
      <c r="H178" s="642">
        <v>0</v>
      </c>
      <c r="I178" s="642">
        <v>0</v>
      </c>
      <c r="J178" s="642">
        <v>20.699069714826329</v>
      </c>
      <c r="K178" s="642">
        <v>1.7608774311708451</v>
      </c>
      <c r="L178" s="642">
        <v>0.9136629082031249</v>
      </c>
      <c r="M178" s="642">
        <v>2.0177626304462204</v>
      </c>
      <c r="N178" s="642">
        <v>0</v>
      </c>
      <c r="O178" s="642">
        <v>3.7866244598879411E-4</v>
      </c>
      <c r="P178" s="642">
        <v>111.48933548215857</v>
      </c>
      <c r="Q178" s="642">
        <v>16.083775404791947</v>
      </c>
      <c r="R178" s="642">
        <v>0.29766925048828125</v>
      </c>
      <c r="S178" s="650">
        <v>278.52785467134788</v>
      </c>
      <c r="U178" s="648" t="s">
        <v>78</v>
      </c>
      <c r="V178" s="642">
        <v>1.0762581410403587</v>
      </c>
      <c r="W178" s="642">
        <v>0</v>
      </c>
      <c r="X178" s="642">
        <v>8.4892491154216376</v>
      </c>
      <c r="Y178" s="642">
        <v>50.497915430959594</v>
      </c>
      <c r="Z178" s="642">
        <v>0</v>
      </c>
      <c r="AA178" s="642">
        <v>0</v>
      </c>
      <c r="AB178" s="642">
        <v>15.594949526554588</v>
      </c>
      <c r="AC178" s="642">
        <v>5.2865944994228578</v>
      </c>
      <c r="AD178" s="642">
        <v>4.3757583007812499</v>
      </c>
      <c r="AE178" s="642">
        <v>21.660537806594554</v>
      </c>
      <c r="AF178" s="642">
        <v>0</v>
      </c>
      <c r="AG178" s="642">
        <v>3.7866244598879411E-4</v>
      </c>
      <c r="AH178" s="642">
        <v>141.44668524271188</v>
      </c>
      <c r="AI178" s="642">
        <v>22.79177635880415</v>
      </c>
      <c r="AJ178" s="642">
        <v>6.850041015625</v>
      </c>
      <c r="AK178" s="650">
        <v>278.07014410036186</v>
      </c>
    </row>
    <row r="179" spans="3:37" ht="13.5">
      <c r="C179" s="648" t="s">
        <v>79</v>
      </c>
      <c r="D179" s="642">
        <v>0</v>
      </c>
      <c r="E179" s="642">
        <v>0</v>
      </c>
      <c r="F179" s="642">
        <v>249.23385066161848</v>
      </c>
      <c r="G179" s="642">
        <v>29.852237297635437</v>
      </c>
      <c r="H179" s="642">
        <v>0</v>
      </c>
      <c r="I179" s="642">
        <v>0</v>
      </c>
      <c r="J179" s="642">
        <v>0</v>
      </c>
      <c r="K179" s="642">
        <v>0</v>
      </c>
      <c r="L179" s="642">
        <v>24.125777410294155</v>
      </c>
      <c r="M179" s="642">
        <v>0.60922933260480494</v>
      </c>
      <c r="N179" s="642">
        <v>0</v>
      </c>
      <c r="O179" s="642">
        <v>0</v>
      </c>
      <c r="P179" s="642">
        <v>62.086065361885787</v>
      </c>
      <c r="Q179" s="642">
        <v>0</v>
      </c>
      <c r="R179" s="642">
        <v>1.9828379826970517</v>
      </c>
      <c r="S179" s="650">
        <v>367.88999804673568</v>
      </c>
      <c r="U179" s="648" t="s">
        <v>79</v>
      </c>
      <c r="V179" s="642">
        <v>0</v>
      </c>
      <c r="W179" s="642">
        <v>0</v>
      </c>
      <c r="X179" s="642">
        <v>59.317364570862594</v>
      </c>
      <c r="Y179" s="642">
        <v>17.942066440325025</v>
      </c>
      <c r="Z179" s="642">
        <v>0</v>
      </c>
      <c r="AA179" s="642">
        <v>0</v>
      </c>
      <c r="AB179" s="642">
        <v>0</v>
      </c>
      <c r="AC179" s="642">
        <v>0</v>
      </c>
      <c r="AD179" s="642">
        <v>51.332808735857633</v>
      </c>
      <c r="AE179" s="642">
        <v>7.6894570458535831</v>
      </c>
      <c r="AF179" s="642">
        <v>0</v>
      </c>
      <c r="AG179" s="642">
        <v>0</v>
      </c>
      <c r="AH179" s="642">
        <v>82.201296258535137</v>
      </c>
      <c r="AI179" s="642">
        <v>0</v>
      </c>
      <c r="AJ179" s="642">
        <v>4.6183032107255606</v>
      </c>
      <c r="AK179" s="650">
        <v>223.10129626215951</v>
      </c>
    </row>
    <row r="180" spans="3:37" ht="13.5">
      <c r="C180" s="648" t="s">
        <v>80</v>
      </c>
      <c r="D180" s="642">
        <v>0</v>
      </c>
      <c r="E180" s="642">
        <v>0</v>
      </c>
      <c r="F180" s="642">
        <v>17.698191750553285</v>
      </c>
      <c r="G180" s="642">
        <v>82.8316536533641</v>
      </c>
      <c r="H180" s="642">
        <v>0</v>
      </c>
      <c r="I180" s="642">
        <v>0</v>
      </c>
      <c r="J180" s="642">
        <v>87.012401530952616</v>
      </c>
      <c r="K180" s="642">
        <v>0</v>
      </c>
      <c r="L180" s="642">
        <v>0</v>
      </c>
      <c r="M180" s="642">
        <v>1.690441911293145</v>
      </c>
      <c r="N180" s="642">
        <v>54.219025663639314</v>
      </c>
      <c r="O180" s="642">
        <v>2.0231633432731213</v>
      </c>
      <c r="P180" s="642">
        <v>187.24843332836184</v>
      </c>
      <c r="Q180" s="642">
        <v>15.504434202631401</v>
      </c>
      <c r="R180" s="642">
        <v>0</v>
      </c>
      <c r="S180" s="650">
        <v>448.22774538406884</v>
      </c>
      <c r="U180" s="648" t="s">
        <v>80</v>
      </c>
      <c r="V180" s="642">
        <v>0</v>
      </c>
      <c r="W180" s="642">
        <v>0</v>
      </c>
      <c r="X180" s="642">
        <v>1.0833932718176746</v>
      </c>
      <c r="Y180" s="642">
        <v>18.084176496701136</v>
      </c>
      <c r="Z180" s="642">
        <v>0</v>
      </c>
      <c r="AA180" s="642">
        <v>0</v>
      </c>
      <c r="AB180" s="642">
        <v>57.868484646152382</v>
      </c>
      <c r="AC180" s="642">
        <v>0</v>
      </c>
      <c r="AD180" s="642">
        <v>0</v>
      </c>
      <c r="AE180" s="642">
        <v>7.7503613557290594</v>
      </c>
      <c r="AF180" s="642">
        <v>78.313096165620991</v>
      </c>
      <c r="AG180" s="642">
        <v>3.4573890525731583</v>
      </c>
      <c r="AH180" s="642">
        <v>150.63566760387405</v>
      </c>
      <c r="AI180" s="642">
        <v>34.942034151478268</v>
      </c>
      <c r="AJ180" s="642">
        <v>0</v>
      </c>
      <c r="AK180" s="650">
        <v>352.13460274394669</v>
      </c>
    </row>
    <row r="181" spans="3:37" ht="13.5">
      <c r="C181" s="648" t="s">
        <v>81</v>
      </c>
      <c r="D181" s="642">
        <v>0</v>
      </c>
      <c r="E181" s="642">
        <v>0</v>
      </c>
      <c r="F181" s="642">
        <v>5.759525486283259</v>
      </c>
      <c r="G181" s="642">
        <v>63.242535904869413</v>
      </c>
      <c r="H181" s="642">
        <v>0</v>
      </c>
      <c r="I181" s="642">
        <v>0</v>
      </c>
      <c r="J181" s="642">
        <v>3.243340348024236</v>
      </c>
      <c r="K181" s="642">
        <v>2.5138060257677737E-2</v>
      </c>
      <c r="L181" s="642">
        <v>0</v>
      </c>
      <c r="M181" s="642">
        <v>1.2906639980585595</v>
      </c>
      <c r="N181" s="642">
        <v>8.6788063603893928</v>
      </c>
      <c r="O181" s="642">
        <v>0.74318365128395913</v>
      </c>
      <c r="P181" s="642">
        <v>138.68432478978596</v>
      </c>
      <c r="Q181" s="642">
        <v>3.5758270456804375</v>
      </c>
      <c r="R181" s="642">
        <v>0</v>
      </c>
      <c r="S181" s="650">
        <v>225.24334564463288</v>
      </c>
      <c r="U181" s="648" t="s">
        <v>81</v>
      </c>
      <c r="V181" s="642">
        <v>0</v>
      </c>
      <c r="W181" s="642">
        <v>0</v>
      </c>
      <c r="X181" s="642">
        <v>1.8996820773870462</v>
      </c>
      <c r="Y181" s="642">
        <v>16.701006494583829</v>
      </c>
      <c r="Z181" s="642">
        <v>0</v>
      </c>
      <c r="AA181" s="642">
        <v>0</v>
      </c>
      <c r="AB181" s="642">
        <v>7.1959049572050198</v>
      </c>
      <c r="AC181" s="642">
        <v>2.5138060257677737E-2</v>
      </c>
      <c r="AD181" s="642">
        <v>0</v>
      </c>
      <c r="AE181" s="642">
        <v>7.1575742119644987</v>
      </c>
      <c r="AF181" s="642">
        <v>14.587904232604497</v>
      </c>
      <c r="AG181" s="642">
        <v>1.6018484399661996</v>
      </c>
      <c r="AH181" s="642">
        <v>116.46951239557291</v>
      </c>
      <c r="AI181" s="642">
        <v>11.755138029411436</v>
      </c>
      <c r="AJ181" s="642">
        <v>0</v>
      </c>
      <c r="AK181" s="650">
        <v>177.39370889895312</v>
      </c>
    </row>
    <row r="182" spans="3:37" ht="13.5">
      <c r="C182" s="648" t="s">
        <v>82</v>
      </c>
      <c r="D182" s="642">
        <v>0</v>
      </c>
      <c r="E182" s="642">
        <v>0</v>
      </c>
      <c r="F182" s="642">
        <v>29.471786733039881</v>
      </c>
      <c r="G182" s="642">
        <v>1.3166139535686423</v>
      </c>
      <c r="H182" s="642">
        <v>0</v>
      </c>
      <c r="I182" s="642">
        <v>0</v>
      </c>
      <c r="J182" s="642">
        <v>3.6844952632387193</v>
      </c>
      <c r="K182" s="642">
        <v>0</v>
      </c>
      <c r="L182" s="642">
        <v>3.0029030850571363</v>
      </c>
      <c r="M182" s="642">
        <v>2.6869672521809031E-2</v>
      </c>
      <c r="N182" s="642">
        <v>0</v>
      </c>
      <c r="O182" s="642">
        <v>7.2392521047915395E-2</v>
      </c>
      <c r="P182" s="642">
        <v>6.3643203530837074</v>
      </c>
      <c r="Q182" s="642">
        <v>0</v>
      </c>
      <c r="R182" s="642">
        <v>0</v>
      </c>
      <c r="S182" s="650">
        <v>43.939381581557811</v>
      </c>
      <c r="U182" s="648" t="s">
        <v>82</v>
      </c>
      <c r="V182" s="642">
        <v>0</v>
      </c>
      <c r="W182" s="642">
        <v>0</v>
      </c>
      <c r="X182" s="642">
        <v>10.199143313422546</v>
      </c>
      <c r="Y182" s="642">
        <v>1.1904851448286324</v>
      </c>
      <c r="Z182" s="642">
        <v>0</v>
      </c>
      <c r="AA182" s="642">
        <v>0</v>
      </c>
      <c r="AB182" s="642">
        <v>3.6844952632387193</v>
      </c>
      <c r="AC182" s="642">
        <v>0</v>
      </c>
      <c r="AD182" s="642">
        <v>26.674568203776872</v>
      </c>
      <c r="AE182" s="642">
        <v>0.51020791921227104</v>
      </c>
      <c r="AF182" s="642">
        <v>0</v>
      </c>
      <c r="AG182" s="642">
        <v>1.300620381405156</v>
      </c>
      <c r="AH182" s="642">
        <v>6.4632626546266092</v>
      </c>
      <c r="AI182" s="642">
        <v>0</v>
      </c>
      <c r="AJ182" s="642">
        <v>0.325155095351289</v>
      </c>
      <c r="AK182" s="650">
        <v>50.347937975862088</v>
      </c>
    </row>
    <row r="183" spans="3:37" ht="13.5">
      <c r="C183" s="648" t="s">
        <v>357</v>
      </c>
      <c r="D183" s="642">
        <v>0</v>
      </c>
      <c r="E183" s="642">
        <v>0</v>
      </c>
      <c r="F183" s="642">
        <v>0</v>
      </c>
      <c r="G183" s="642">
        <v>0</v>
      </c>
      <c r="H183" s="642">
        <v>0</v>
      </c>
      <c r="I183" s="642">
        <v>0</v>
      </c>
      <c r="J183" s="642">
        <v>0</v>
      </c>
      <c r="K183" s="642">
        <v>0</v>
      </c>
      <c r="L183" s="642">
        <v>0</v>
      </c>
      <c r="M183" s="642">
        <v>0</v>
      </c>
      <c r="N183" s="642">
        <v>0</v>
      </c>
      <c r="O183" s="642">
        <v>0</v>
      </c>
      <c r="P183" s="642">
        <v>0.31499999999999995</v>
      </c>
      <c r="Q183" s="642">
        <v>0</v>
      </c>
      <c r="R183" s="642">
        <v>0</v>
      </c>
      <c r="S183" s="650">
        <v>0.31499999999999995</v>
      </c>
      <c r="U183" s="648" t="s">
        <v>357</v>
      </c>
      <c r="V183" s="642">
        <v>0</v>
      </c>
      <c r="W183" s="642">
        <v>0</v>
      </c>
      <c r="X183" s="642">
        <v>0</v>
      </c>
      <c r="Y183" s="642">
        <v>0</v>
      </c>
      <c r="Z183" s="642">
        <v>0</v>
      </c>
      <c r="AA183" s="642">
        <v>0</v>
      </c>
      <c r="AB183" s="642">
        <v>0</v>
      </c>
      <c r="AC183" s="642">
        <v>0</v>
      </c>
      <c r="AD183" s="642">
        <v>0</v>
      </c>
      <c r="AE183" s="642">
        <v>0</v>
      </c>
      <c r="AF183" s="642">
        <v>0</v>
      </c>
      <c r="AG183" s="642">
        <v>0</v>
      </c>
      <c r="AH183" s="642">
        <v>2.4</v>
      </c>
      <c r="AI183" s="642">
        <v>0</v>
      </c>
      <c r="AJ183" s="642">
        <v>0</v>
      </c>
      <c r="AK183" s="650">
        <v>2.4</v>
      </c>
    </row>
    <row r="184" spans="3:37" ht="13.5">
      <c r="C184" s="646" t="s">
        <v>83</v>
      </c>
      <c r="D184" s="647">
        <v>5.4657298257742912</v>
      </c>
      <c r="E184" s="647">
        <v>0</v>
      </c>
      <c r="F184" s="647">
        <v>324.00270757365394</v>
      </c>
      <c r="G184" s="647">
        <v>275.2032812283208</v>
      </c>
      <c r="H184" s="647">
        <v>0</v>
      </c>
      <c r="I184" s="647">
        <v>0</v>
      </c>
      <c r="J184" s="647">
        <v>114.6393068570419</v>
      </c>
      <c r="K184" s="647">
        <v>1.7860154914285227</v>
      </c>
      <c r="L184" s="647">
        <v>28.042343403554419</v>
      </c>
      <c r="M184" s="647">
        <v>5.6349675449245389</v>
      </c>
      <c r="N184" s="647">
        <v>62.897832024028709</v>
      </c>
      <c r="O184" s="647">
        <v>2.8391181780509842</v>
      </c>
      <c r="P184" s="647">
        <v>506.18747931527582</v>
      </c>
      <c r="Q184" s="647">
        <v>35.164036653103793</v>
      </c>
      <c r="R184" s="647">
        <v>2.2805072331853329</v>
      </c>
      <c r="S184" s="647">
        <v>1364.1433253283431</v>
      </c>
      <c r="U184" s="646" t="s">
        <v>83</v>
      </c>
      <c r="V184" s="647">
        <v>1.0762581410403587</v>
      </c>
      <c r="W184" s="647">
        <v>0</v>
      </c>
      <c r="X184" s="647">
        <v>80.988832348911515</v>
      </c>
      <c r="Y184" s="647">
        <v>104.41565000739821</v>
      </c>
      <c r="Z184" s="647">
        <v>0</v>
      </c>
      <c r="AA184" s="647">
        <v>0</v>
      </c>
      <c r="AB184" s="647">
        <v>84.343834393150701</v>
      </c>
      <c r="AC184" s="647">
        <v>5.3117325596805349</v>
      </c>
      <c r="AD184" s="647">
        <v>82.383135240415754</v>
      </c>
      <c r="AE184" s="647">
        <v>44.768138339353968</v>
      </c>
      <c r="AF184" s="647">
        <v>92.901000398225491</v>
      </c>
      <c r="AG184" s="647">
        <v>6.3602365363905022</v>
      </c>
      <c r="AH184" s="647">
        <v>499.61642415532054</v>
      </c>
      <c r="AI184" s="647">
        <v>69.488948539693865</v>
      </c>
      <c r="AJ184" s="647">
        <v>11.793499321701848</v>
      </c>
      <c r="AK184" s="647">
        <v>1083.4476899812832</v>
      </c>
    </row>
    <row r="185" spans="3:37" ht="13.5">
      <c r="C185" s="641" t="s">
        <v>84</v>
      </c>
      <c r="D185" s="642">
        <v>0</v>
      </c>
      <c r="E185" s="642">
        <v>0</v>
      </c>
      <c r="F185" s="642">
        <v>109.69308299672531</v>
      </c>
      <c r="G185" s="642">
        <v>11.766175832538266</v>
      </c>
      <c r="H185" s="642">
        <v>0</v>
      </c>
      <c r="I185" s="642">
        <v>0</v>
      </c>
      <c r="J185" s="642">
        <v>0</v>
      </c>
      <c r="K185" s="642">
        <v>0</v>
      </c>
      <c r="L185" s="642">
        <v>0</v>
      </c>
      <c r="M185" s="642">
        <v>0</v>
      </c>
      <c r="N185" s="642">
        <v>0</v>
      </c>
      <c r="O185" s="642">
        <v>0</v>
      </c>
      <c r="P185" s="642">
        <v>0</v>
      </c>
      <c r="Q185" s="642">
        <v>0</v>
      </c>
      <c r="R185" s="642">
        <v>1.8135973700674786</v>
      </c>
      <c r="S185" s="650">
        <v>123.27285619933106</v>
      </c>
      <c r="U185" s="641" t="s">
        <v>84</v>
      </c>
      <c r="V185" s="642">
        <v>0</v>
      </c>
      <c r="W185" s="642">
        <v>0</v>
      </c>
      <c r="X185" s="642">
        <v>84.298528713313246</v>
      </c>
      <c r="Y185" s="642">
        <v>1.1302347010557652</v>
      </c>
      <c r="Z185" s="642">
        <v>0</v>
      </c>
      <c r="AA185" s="642">
        <v>0</v>
      </c>
      <c r="AB185" s="642">
        <v>0</v>
      </c>
      <c r="AC185" s="642">
        <v>0</v>
      </c>
      <c r="AD185" s="642">
        <v>17.754065118408207</v>
      </c>
      <c r="AE185" s="642">
        <v>0</v>
      </c>
      <c r="AF185" s="642">
        <v>0</v>
      </c>
      <c r="AG185" s="642">
        <v>0</v>
      </c>
      <c r="AH185" s="642">
        <v>0</v>
      </c>
      <c r="AI185" s="642">
        <v>0</v>
      </c>
      <c r="AJ185" s="642">
        <v>11.930622290039064</v>
      </c>
      <c r="AK185" s="650">
        <v>115.11345082281629</v>
      </c>
    </row>
    <row r="186" spans="3:37" ht="13.5">
      <c r="C186" s="646" t="s">
        <v>85</v>
      </c>
      <c r="D186" s="647">
        <v>5.4657298257742912</v>
      </c>
      <c r="E186" s="647">
        <v>0</v>
      </c>
      <c r="F186" s="647">
        <v>433.69579057037924</v>
      </c>
      <c r="G186" s="647">
        <v>286.9694570608591</v>
      </c>
      <c r="H186" s="647">
        <v>0</v>
      </c>
      <c r="I186" s="647">
        <v>0</v>
      </c>
      <c r="J186" s="647">
        <v>114.6393068570419</v>
      </c>
      <c r="K186" s="647">
        <v>1.7860154914285227</v>
      </c>
      <c r="L186" s="647">
        <v>28.042343403554419</v>
      </c>
      <c r="M186" s="647">
        <v>5.6349675449245389</v>
      </c>
      <c r="N186" s="647">
        <v>62.897832024028709</v>
      </c>
      <c r="O186" s="647">
        <v>2.8391181780509842</v>
      </c>
      <c r="P186" s="647">
        <v>506.18747931527582</v>
      </c>
      <c r="Q186" s="647">
        <v>35.164036653103793</v>
      </c>
      <c r="R186" s="647">
        <v>4.094104603252811</v>
      </c>
      <c r="S186" s="647">
        <v>1487.4161815276743</v>
      </c>
      <c r="U186" s="646" t="s">
        <v>85</v>
      </c>
      <c r="V186" s="647">
        <v>1.0762581410403587</v>
      </c>
      <c r="W186" s="647">
        <v>0</v>
      </c>
      <c r="X186" s="647">
        <v>165.28736106222476</v>
      </c>
      <c r="Y186" s="647">
        <v>105.54588470845398</v>
      </c>
      <c r="Z186" s="647">
        <v>0</v>
      </c>
      <c r="AA186" s="647">
        <v>0</v>
      </c>
      <c r="AB186" s="647">
        <v>84.343834393150701</v>
      </c>
      <c r="AC186" s="647">
        <v>5.3117325596805349</v>
      </c>
      <c r="AD186" s="647">
        <v>100.13720035882396</v>
      </c>
      <c r="AE186" s="647">
        <v>44.768138339353968</v>
      </c>
      <c r="AF186" s="647">
        <v>92.901000398225491</v>
      </c>
      <c r="AG186" s="647">
        <v>6.3602365363905022</v>
      </c>
      <c r="AH186" s="647">
        <v>499.61642415532054</v>
      </c>
      <c r="AI186" s="647">
        <v>69.488948539693865</v>
      </c>
      <c r="AJ186" s="647">
        <v>23.724121611740912</v>
      </c>
      <c r="AK186" s="647">
        <v>1198.5611408040995</v>
      </c>
    </row>
    <row r="187" spans="3:37" ht="13">
      <c r="C187" s="636"/>
      <c r="D187" s="636"/>
      <c r="E187" s="636"/>
      <c r="F187" s="636"/>
      <c r="G187" s="636"/>
      <c r="H187" s="636"/>
      <c r="I187" s="636"/>
      <c r="J187" s="636"/>
      <c r="K187" s="636"/>
      <c r="L187" s="636"/>
      <c r="M187" s="636"/>
      <c r="N187" s="636"/>
      <c r="O187" s="636"/>
      <c r="P187" s="636"/>
      <c r="Q187" s="636"/>
      <c r="R187" s="636"/>
      <c r="S187" s="636"/>
      <c r="U187" s="636"/>
      <c r="V187" s="636"/>
      <c r="W187" s="636"/>
      <c r="X187" s="636"/>
      <c r="Y187" s="636"/>
      <c r="Z187" s="636"/>
      <c r="AA187" s="636"/>
      <c r="AB187" s="636"/>
      <c r="AC187" s="636"/>
      <c r="AD187" s="636"/>
      <c r="AE187" s="636"/>
      <c r="AF187" s="636"/>
      <c r="AG187" s="636"/>
      <c r="AH187" s="636"/>
      <c r="AI187" s="636"/>
      <c r="AJ187" s="636"/>
      <c r="AK187" s="636"/>
    </row>
    <row r="188" spans="3:37" ht="22.5">
      <c r="C188" s="699" t="s">
        <v>523</v>
      </c>
      <c r="D188" s="699"/>
      <c r="E188" s="699"/>
      <c r="F188" s="699"/>
      <c r="G188" s="699"/>
      <c r="H188" s="699"/>
      <c r="I188" s="699"/>
      <c r="J188" s="699"/>
      <c r="K188" s="699"/>
      <c r="L188" s="699"/>
      <c r="M188" s="699"/>
      <c r="N188" s="699"/>
      <c r="O188" s="699"/>
      <c r="P188" s="699"/>
      <c r="Q188" s="699"/>
      <c r="R188" s="699"/>
      <c r="S188" s="699"/>
      <c r="U188" s="699" t="s">
        <v>523</v>
      </c>
      <c r="V188" s="699"/>
      <c r="W188" s="699"/>
      <c r="X188" s="699"/>
      <c r="Y188" s="699"/>
      <c r="Z188" s="699"/>
      <c r="AA188" s="699"/>
      <c r="AB188" s="699"/>
      <c r="AC188" s="699"/>
      <c r="AD188" s="699"/>
      <c r="AE188" s="699"/>
      <c r="AF188" s="699"/>
      <c r="AG188" s="699"/>
      <c r="AH188" s="699"/>
      <c r="AI188" s="699"/>
      <c r="AJ188" s="699"/>
      <c r="AK188" s="699"/>
    </row>
    <row r="189" spans="3:37" ht="13">
      <c r="C189" s="636"/>
      <c r="D189" s="636"/>
      <c r="E189" s="636"/>
      <c r="F189" s="636"/>
      <c r="G189" s="636"/>
      <c r="H189" s="636"/>
      <c r="I189" s="636"/>
      <c r="J189" s="636"/>
      <c r="K189" s="636"/>
      <c r="L189" s="636"/>
      <c r="M189" s="636"/>
      <c r="N189" s="636"/>
      <c r="O189" s="636"/>
      <c r="P189" s="636"/>
      <c r="Q189" s="636"/>
      <c r="R189" s="636"/>
      <c r="S189" s="636"/>
      <c r="U189" s="636"/>
      <c r="V189" s="636"/>
      <c r="W189" s="636"/>
      <c r="X189" s="636"/>
      <c r="Y189" s="636"/>
      <c r="Z189" s="636"/>
      <c r="AA189" s="636"/>
      <c r="AB189" s="636"/>
      <c r="AC189" s="636"/>
      <c r="AD189" s="636"/>
      <c r="AE189" s="636"/>
      <c r="AF189" s="636"/>
      <c r="AG189" s="636"/>
      <c r="AH189" s="636"/>
      <c r="AI189" s="636"/>
      <c r="AJ189" s="636"/>
      <c r="AK189" s="636"/>
    </row>
    <row r="190" spans="3:37" ht="13" customHeight="1">
      <c r="C190" s="700" t="s">
        <v>128</v>
      </c>
      <c r="D190" s="701" t="s">
        <v>42</v>
      </c>
      <c r="E190" s="701" t="s">
        <v>52</v>
      </c>
      <c r="F190" s="701" t="s">
        <v>53</v>
      </c>
      <c r="G190" s="701" t="s">
        <v>32</v>
      </c>
      <c r="H190" s="701" t="s">
        <v>20</v>
      </c>
      <c r="I190" s="701" t="s">
        <v>55</v>
      </c>
      <c r="J190" s="701" t="s">
        <v>56</v>
      </c>
      <c r="K190" s="701"/>
      <c r="L190" s="701"/>
      <c r="M190" s="701"/>
      <c r="N190" s="701"/>
      <c r="O190" s="701"/>
      <c r="P190" s="701" t="s">
        <v>57</v>
      </c>
      <c r="Q190" s="701" t="s">
        <v>58</v>
      </c>
      <c r="R190" s="701" t="s">
        <v>31</v>
      </c>
      <c r="S190" s="701" t="s">
        <v>10</v>
      </c>
      <c r="U190" s="700" t="s">
        <v>128</v>
      </c>
      <c r="V190" s="701" t="s">
        <v>42</v>
      </c>
      <c r="W190" s="701" t="s">
        <v>52</v>
      </c>
      <c r="X190" s="701" t="s">
        <v>53</v>
      </c>
      <c r="Y190" s="701" t="s">
        <v>32</v>
      </c>
      <c r="Z190" s="701" t="s">
        <v>20</v>
      </c>
      <c r="AA190" s="701" t="s">
        <v>55</v>
      </c>
      <c r="AB190" s="701" t="s">
        <v>56</v>
      </c>
      <c r="AC190" s="701"/>
      <c r="AD190" s="701"/>
      <c r="AE190" s="701"/>
      <c r="AF190" s="701"/>
      <c r="AG190" s="701"/>
      <c r="AH190" s="701" t="s">
        <v>57</v>
      </c>
      <c r="AI190" s="701" t="s">
        <v>58</v>
      </c>
      <c r="AJ190" s="701" t="s">
        <v>31</v>
      </c>
      <c r="AK190" s="701" t="s">
        <v>10</v>
      </c>
    </row>
    <row r="191" spans="3:37" ht="46">
      <c r="C191" s="700"/>
      <c r="D191" s="701"/>
      <c r="E191" s="701"/>
      <c r="F191" s="701"/>
      <c r="G191" s="701"/>
      <c r="H191" s="701"/>
      <c r="I191" s="701"/>
      <c r="J191" s="640" t="s">
        <v>338</v>
      </c>
      <c r="K191" s="640" t="s">
        <v>40</v>
      </c>
      <c r="L191" s="640" t="s">
        <v>346</v>
      </c>
      <c r="M191" s="640" t="s">
        <v>347</v>
      </c>
      <c r="N191" s="640" t="s">
        <v>348</v>
      </c>
      <c r="O191" s="640" t="s">
        <v>349</v>
      </c>
      <c r="P191" s="701"/>
      <c r="Q191" s="701"/>
      <c r="R191" s="701"/>
      <c r="S191" s="701"/>
      <c r="U191" s="700"/>
      <c r="V191" s="701"/>
      <c r="W191" s="701"/>
      <c r="X191" s="701"/>
      <c r="Y191" s="701"/>
      <c r="Z191" s="701"/>
      <c r="AA191" s="701"/>
      <c r="AB191" s="640" t="s">
        <v>338</v>
      </c>
      <c r="AC191" s="640" t="s">
        <v>40</v>
      </c>
      <c r="AD191" s="640" t="s">
        <v>346</v>
      </c>
      <c r="AE191" s="640" t="s">
        <v>347</v>
      </c>
      <c r="AF191" s="640" t="s">
        <v>348</v>
      </c>
      <c r="AG191" s="640" t="s">
        <v>349</v>
      </c>
      <c r="AH191" s="701"/>
      <c r="AI191" s="701"/>
      <c r="AJ191" s="701"/>
      <c r="AK191" s="701"/>
    </row>
    <row r="192" spans="3:37" ht="13.5">
      <c r="C192" s="641" t="s">
        <v>59</v>
      </c>
      <c r="D192" s="642">
        <v>0</v>
      </c>
      <c r="E192" s="643">
        <v>0</v>
      </c>
      <c r="F192" s="643">
        <v>0</v>
      </c>
      <c r="G192" s="642">
        <v>0</v>
      </c>
      <c r="H192" s="643">
        <v>889.54545454545473</v>
      </c>
      <c r="I192" s="643">
        <v>290.38619522472999</v>
      </c>
      <c r="J192" s="643">
        <v>188.26463769943669</v>
      </c>
      <c r="K192" s="643">
        <v>20.519346122490408</v>
      </c>
      <c r="L192" s="643">
        <v>0.54648995449606019</v>
      </c>
      <c r="M192" s="643">
        <v>0.15914693380563083</v>
      </c>
      <c r="N192" s="643">
        <v>65.898689554178929</v>
      </c>
      <c r="O192" s="643">
        <v>11.930124482632028</v>
      </c>
      <c r="P192" s="644">
        <v>0</v>
      </c>
      <c r="Q192" s="643">
        <v>0</v>
      </c>
      <c r="R192" s="643">
        <v>0</v>
      </c>
      <c r="S192" s="645">
        <v>1467.2500845172242</v>
      </c>
      <c r="U192" s="641" t="s">
        <v>59</v>
      </c>
      <c r="V192" s="642">
        <v>0</v>
      </c>
      <c r="W192" s="643">
        <v>0</v>
      </c>
      <c r="X192" s="643">
        <v>0</v>
      </c>
      <c r="Y192" s="642">
        <v>0</v>
      </c>
      <c r="Z192" s="643">
        <v>873.030303030303</v>
      </c>
      <c r="AA192" s="643">
        <v>337.06619522473</v>
      </c>
      <c r="AB192" s="643">
        <v>206.15489309499102</v>
      </c>
      <c r="AC192" s="643">
        <v>37.137182251794961</v>
      </c>
      <c r="AD192" s="643">
        <v>0.54648995449606019</v>
      </c>
      <c r="AE192" s="643">
        <v>0.15914693380563083</v>
      </c>
      <c r="AF192" s="643">
        <v>103.02458403584798</v>
      </c>
      <c r="AG192" s="643">
        <v>25.833176078824131</v>
      </c>
      <c r="AH192" s="644">
        <v>0</v>
      </c>
      <c r="AI192" s="643">
        <v>0</v>
      </c>
      <c r="AJ192" s="643">
        <v>0</v>
      </c>
      <c r="AK192" s="645">
        <v>1582.9519706047927</v>
      </c>
    </row>
    <row r="193" spans="3:37" ht="13.5">
      <c r="C193" s="641" t="s">
        <v>60</v>
      </c>
      <c r="D193" s="642">
        <v>47.523331421865407</v>
      </c>
      <c r="E193" s="643">
        <v>492.37419513671523</v>
      </c>
      <c r="F193" s="643">
        <v>57.352326080251387</v>
      </c>
      <c r="G193" s="642">
        <v>328.8885225556333</v>
      </c>
      <c r="H193" s="643">
        <v>0</v>
      </c>
      <c r="I193" s="643">
        <v>0</v>
      </c>
      <c r="J193" s="643">
        <v>4.8075322078390377</v>
      </c>
      <c r="K193" s="643">
        <v>0</v>
      </c>
      <c r="L193" s="643">
        <v>2.6229179175778925</v>
      </c>
      <c r="M193" s="643">
        <v>0</v>
      </c>
      <c r="N193" s="643">
        <v>0</v>
      </c>
      <c r="O193" s="643">
        <v>0</v>
      </c>
      <c r="P193" s="644">
        <v>0</v>
      </c>
      <c r="Q193" s="643">
        <v>0</v>
      </c>
      <c r="R193" s="643">
        <v>0</v>
      </c>
      <c r="S193" s="645">
        <v>933.56882531988219</v>
      </c>
      <c r="U193" s="641" t="s">
        <v>60</v>
      </c>
      <c r="V193" s="642">
        <v>6.5260336126681251</v>
      </c>
      <c r="W193" s="643">
        <v>220.47790015098695</v>
      </c>
      <c r="X193" s="643">
        <v>14.513856185365357</v>
      </c>
      <c r="Y193" s="642">
        <v>102.1346675179243</v>
      </c>
      <c r="Z193" s="643">
        <v>0</v>
      </c>
      <c r="AA193" s="643">
        <v>0</v>
      </c>
      <c r="AB193" s="643">
        <v>4.8075322078390377</v>
      </c>
      <c r="AC193" s="643">
        <v>0</v>
      </c>
      <c r="AD193" s="643">
        <v>2.6229179175778925</v>
      </c>
      <c r="AE193" s="643">
        <v>0</v>
      </c>
      <c r="AF193" s="643">
        <v>0</v>
      </c>
      <c r="AG193" s="643">
        <v>0</v>
      </c>
      <c r="AH193" s="644">
        <v>0</v>
      </c>
      <c r="AI193" s="643">
        <v>0</v>
      </c>
      <c r="AJ193" s="643">
        <v>0</v>
      </c>
      <c r="AK193" s="645">
        <v>351.08290759236166</v>
      </c>
    </row>
    <row r="194" spans="3:37" ht="13.5">
      <c r="C194" s="641" t="s">
        <v>61</v>
      </c>
      <c r="D194" s="642">
        <v>0</v>
      </c>
      <c r="E194" s="643">
        <v>0</v>
      </c>
      <c r="F194" s="643">
        <v>0</v>
      </c>
      <c r="G194" s="642">
        <v>0</v>
      </c>
      <c r="H194" s="643">
        <v>0</v>
      </c>
      <c r="I194" s="643">
        <v>0</v>
      </c>
      <c r="J194" s="643">
        <v>0</v>
      </c>
      <c r="K194" s="643">
        <v>0</v>
      </c>
      <c r="L194" s="643">
        <v>0</v>
      </c>
      <c r="M194" s="643">
        <v>0</v>
      </c>
      <c r="N194" s="643">
        <v>0</v>
      </c>
      <c r="O194" s="643">
        <v>0</v>
      </c>
      <c r="P194" s="644">
        <v>-22.391147784534837</v>
      </c>
      <c r="Q194" s="643">
        <v>0</v>
      </c>
      <c r="R194" s="643">
        <v>0</v>
      </c>
      <c r="S194" s="645">
        <v>-22.391147784534837</v>
      </c>
      <c r="U194" s="641" t="s">
        <v>61</v>
      </c>
      <c r="V194" s="642">
        <v>0</v>
      </c>
      <c r="W194" s="643">
        <v>0</v>
      </c>
      <c r="X194" s="643">
        <v>-19.691193817618341</v>
      </c>
      <c r="Y194" s="642">
        <v>0</v>
      </c>
      <c r="Z194" s="643">
        <v>0</v>
      </c>
      <c r="AA194" s="643">
        <v>0</v>
      </c>
      <c r="AB194" s="643">
        <v>0</v>
      </c>
      <c r="AC194" s="643">
        <v>0</v>
      </c>
      <c r="AD194" s="643">
        <v>0</v>
      </c>
      <c r="AE194" s="643">
        <v>0</v>
      </c>
      <c r="AF194" s="643">
        <v>0</v>
      </c>
      <c r="AG194" s="643">
        <v>0</v>
      </c>
      <c r="AH194" s="644">
        <v>-17.389600315785174</v>
      </c>
      <c r="AI194" s="643">
        <v>0</v>
      </c>
      <c r="AJ194" s="643">
        <v>0</v>
      </c>
      <c r="AK194" s="645">
        <v>-37.080794133403515</v>
      </c>
    </row>
    <row r="195" spans="3:37" ht="13.5">
      <c r="C195" s="641" t="s">
        <v>62</v>
      </c>
      <c r="D195" s="642">
        <v>0</v>
      </c>
      <c r="E195" s="643">
        <v>0</v>
      </c>
      <c r="F195" s="643">
        <v>-15.496739011683466</v>
      </c>
      <c r="G195" s="642">
        <v>0</v>
      </c>
      <c r="H195" s="643">
        <v>0</v>
      </c>
      <c r="I195" s="643">
        <v>0</v>
      </c>
      <c r="J195" s="643">
        <v>0</v>
      </c>
      <c r="K195" s="643">
        <v>0</v>
      </c>
      <c r="L195" s="643">
        <v>0</v>
      </c>
      <c r="M195" s="643">
        <v>0</v>
      </c>
      <c r="N195" s="643">
        <v>0</v>
      </c>
      <c r="O195" s="643">
        <v>0</v>
      </c>
      <c r="P195" s="644">
        <v>0</v>
      </c>
      <c r="Q195" s="643">
        <v>0</v>
      </c>
      <c r="R195" s="643">
        <v>0</v>
      </c>
      <c r="S195" s="645">
        <v>-15.496739011683466</v>
      </c>
      <c r="U195" s="641" t="s">
        <v>62</v>
      </c>
      <c r="V195" s="642">
        <v>0</v>
      </c>
      <c r="W195" s="643">
        <v>0</v>
      </c>
      <c r="X195" s="643">
        <v>-8.5387827474702789</v>
      </c>
      <c r="Y195" s="642">
        <v>-2.2272473327152178</v>
      </c>
      <c r="Z195" s="643">
        <v>0</v>
      </c>
      <c r="AA195" s="643">
        <v>0</v>
      </c>
      <c r="AB195" s="643">
        <v>0</v>
      </c>
      <c r="AC195" s="643">
        <v>0</v>
      </c>
      <c r="AD195" s="643">
        <v>0</v>
      </c>
      <c r="AE195" s="643">
        <v>-1.7037211969591732</v>
      </c>
      <c r="AF195" s="643">
        <v>0</v>
      </c>
      <c r="AG195" s="643">
        <v>0</v>
      </c>
      <c r="AH195" s="644">
        <v>0</v>
      </c>
      <c r="AI195" s="643">
        <v>0</v>
      </c>
      <c r="AJ195" s="643">
        <v>0</v>
      </c>
      <c r="AK195" s="645">
        <v>-12.46975127714467</v>
      </c>
    </row>
    <row r="196" spans="3:37" ht="13.5">
      <c r="C196" s="641" t="s">
        <v>63</v>
      </c>
      <c r="D196" s="642">
        <v>0</v>
      </c>
      <c r="E196" s="643">
        <v>0</v>
      </c>
      <c r="F196" s="643">
        <v>-89.42656352071144</v>
      </c>
      <c r="G196" s="642">
        <v>0</v>
      </c>
      <c r="H196" s="643">
        <v>0</v>
      </c>
      <c r="I196" s="643">
        <v>0</v>
      </c>
      <c r="J196" s="643">
        <v>0</v>
      </c>
      <c r="K196" s="643">
        <v>0</v>
      </c>
      <c r="L196" s="643">
        <v>-0.92190198395554845</v>
      </c>
      <c r="M196" s="643">
        <v>0</v>
      </c>
      <c r="N196" s="643">
        <v>0</v>
      </c>
      <c r="O196" s="643">
        <v>0</v>
      </c>
      <c r="P196" s="644">
        <v>0</v>
      </c>
      <c r="Q196" s="643">
        <v>0</v>
      </c>
      <c r="R196" s="643">
        <v>0</v>
      </c>
      <c r="S196" s="645">
        <v>-90.34846550466699</v>
      </c>
      <c r="U196" s="641" t="s">
        <v>63</v>
      </c>
      <c r="V196" s="642">
        <v>0</v>
      </c>
      <c r="W196" s="643">
        <v>0</v>
      </c>
      <c r="X196" s="643">
        <v>-55.486888716289528</v>
      </c>
      <c r="Y196" s="642">
        <v>0</v>
      </c>
      <c r="Z196" s="643">
        <v>0</v>
      </c>
      <c r="AA196" s="643">
        <v>0</v>
      </c>
      <c r="AB196" s="643">
        <v>0</v>
      </c>
      <c r="AC196" s="643">
        <v>0</v>
      </c>
      <c r="AD196" s="643">
        <v>-26.575233608452013</v>
      </c>
      <c r="AE196" s="643">
        <v>0</v>
      </c>
      <c r="AF196" s="643">
        <v>0</v>
      </c>
      <c r="AG196" s="643">
        <v>0</v>
      </c>
      <c r="AH196" s="644">
        <v>0</v>
      </c>
      <c r="AI196" s="643">
        <v>0</v>
      </c>
      <c r="AJ196" s="643">
        <v>0</v>
      </c>
      <c r="AK196" s="645">
        <v>-82.062122324741537</v>
      </c>
    </row>
    <row r="197" spans="3:37" ht="13.5">
      <c r="C197" s="641" t="s">
        <v>64</v>
      </c>
      <c r="D197" s="642">
        <v>0</v>
      </c>
      <c r="E197" s="643">
        <v>0</v>
      </c>
      <c r="F197" s="643">
        <v>0</v>
      </c>
      <c r="G197" s="642">
        <v>0</v>
      </c>
      <c r="H197" s="643">
        <v>0</v>
      </c>
      <c r="I197" s="643">
        <v>0</v>
      </c>
      <c r="J197" s="643">
        <v>0</v>
      </c>
      <c r="K197" s="643">
        <v>0</v>
      </c>
      <c r="L197" s="643">
        <v>0</v>
      </c>
      <c r="M197" s="643">
        <v>0</v>
      </c>
      <c r="N197" s="643">
        <v>0</v>
      </c>
      <c r="O197" s="643">
        <v>0</v>
      </c>
      <c r="P197" s="644">
        <v>0</v>
      </c>
      <c r="Q197" s="643">
        <v>0</v>
      </c>
      <c r="R197" s="643">
        <v>0</v>
      </c>
      <c r="S197" s="645">
        <v>0</v>
      </c>
      <c r="U197" s="641" t="s">
        <v>64</v>
      </c>
      <c r="V197" s="642">
        <v>0</v>
      </c>
      <c r="W197" s="643">
        <v>0</v>
      </c>
      <c r="X197" s="643">
        <v>0</v>
      </c>
      <c r="Y197" s="642">
        <v>0</v>
      </c>
      <c r="Z197" s="643">
        <v>0</v>
      </c>
      <c r="AA197" s="643">
        <v>0</v>
      </c>
      <c r="AB197" s="643">
        <v>0</v>
      </c>
      <c r="AC197" s="643">
        <v>0</v>
      </c>
      <c r="AD197" s="643">
        <v>0</v>
      </c>
      <c r="AE197" s="643">
        <v>0</v>
      </c>
      <c r="AF197" s="643">
        <v>0</v>
      </c>
      <c r="AG197" s="643">
        <v>0</v>
      </c>
      <c r="AH197" s="644">
        <v>0</v>
      </c>
      <c r="AI197" s="643">
        <v>0</v>
      </c>
      <c r="AJ197" s="643">
        <v>0</v>
      </c>
      <c r="AK197" s="645">
        <v>0</v>
      </c>
    </row>
    <row r="198" spans="3:37" ht="13.5">
      <c r="C198" s="646" t="s">
        <v>65</v>
      </c>
      <c r="D198" s="647">
        <v>47.523331421865407</v>
      </c>
      <c r="E198" s="647">
        <v>492.37419513671523</v>
      </c>
      <c r="F198" s="647">
        <v>-47.570976452143519</v>
      </c>
      <c r="G198" s="647">
        <v>328.8885225556333</v>
      </c>
      <c r="H198" s="647">
        <v>889.54545454545473</v>
      </c>
      <c r="I198" s="647">
        <v>290.38619522472999</v>
      </c>
      <c r="J198" s="647">
        <v>193.07216990727574</v>
      </c>
      <c r="K198" s="647">
        <v>20.519346122490408</v>
      </c>
      <c r="L198" s="647">
        <v>2.247505888118404</v>
      </c>
      <c r="M198" s="647">
        <v>0.15914693380563083</v>
      </c>
      <c r="N198" s="647">
        <v>65.898689554178929</v>
      </c>
      <c r="O198" s="647">
        <v>11.930124482632028</v>
      </c>
      <c r="P198" s="647">
        <v>-22.391147784534837</v>
      </c>
      <c r="Q198" s="647">
        <v>0</v>
      </c>
      <c r="R198" s="647">
        <v>0</v>
      </c>
      <c r="S198" s="647">
        <v>2272.5825575362214</v>
      </c>
      <c r="U198" s="646" t="s">
        <v>65</v>
      </c>
      <c r="V198" s="647">
        <v>6.5260336126681251</v>
      </c>
      <c r="W198" s="647">
        <v>220.47790015098695</v>
      </c>
      <c r="X198" s="647">
        <v>-69.203009096012792</v>
      </c>
      <c r="Y198" s="647">
        <v>99.907420185209077</v>
      </c>
      <c r="Z198" s="647">
        <v>873.030303030303</v>
      </c>
      <c r="AA198" s="647">
        <v>337.06619522473</v>
      </c>
      <c r="AB198" s="647">
        <v>210.96242530283007</v>
      </c>
      <c r="AC198" s="647">
        <v>37.137182251794961</v>
      </c>
      <c r="AD198" s="647">
        <v>-23.405825736378059</v>
      </c>
      <c r="AE198" s="647">
        <v>-1.5445742631535424</v>
      </c>
      <c r="AF198" s="647">
        <v>103.02458403584798</v>
      </c>
      <c r="AG198" s="647">
        <v>25.833176078824131</v>
      </c>
      <c r="AH198" s="647">
        <v>-17.389600315785174</v>
      </c>
      <c r="AI198" s="647">
        <v>0</v>
      </c>
      <c r="AJ198" s="647">
        <v>0</v>
      </c>
      <c r="AK198" s="647">
        <v>1802.4222104618648</v>
      </c>
    </row>
    <row r="199" spans="3:37" ht="13">
      <c r="C199" s="636"/>
      <c r="D199" s="636">
        <v>0</v>
      </c>
      <c r="E199" s="636">
        <v>0</v>
      </c>
      <c r="F199" s="636">
        <v>0</v>
      </c>
      <c r="G199" s="636">
        <v>0</v>
      </c>
      <c r="H199" s="636">
        <v>0</v>
      </c>
      <c r="I199" s="636">
        <v>0</v>
      </c>
      <c r="J199" s="636">
        <v>0</v>
      </c>
      <c r="K199" s="636">
        <v>0</v>
      </c>
      <c r="L199" s="636">
        <v>0</v>
      </c>
      <c r="M199" s="636">
        <v>0</v>
      </c>
      <c r="N199" s="636">
        <v>0</v>
      </c>
      <c r="O199" s="636">
        <v>0</v>
      </c>
      <c r="P199" s="636">
        <v>0</v>
      </c>
      <c r="Q199" s="636">
        <v>0</v>
      </c>
      <c r="R199" s="636">
        <v>0</v>
      </c>
      <c r="S199" s="636">
        <v>0</v>
      </c>
      <c r="U199" s="636"/>
      <c r="V199" s="636">
        <v>0</v>
      </c>
      <c r="W199" s="636">
        <v>0</v>
      </c>
      <c r="X199" s="636">
        <v>0</v>
      </c>
      <c r="Y199" s="636">
        <v>0</v>
      </c>
      <c r="Z199" s="636">
        <v>0</v>
      </c>
      <c r="AA199" s="636">
        <v>0</v>
      </c>
      <c r="AB199" s="636">
        <v>0</v>
      </c>
      <c r="AC199" s="636">
        <v>0</v>
      </c>
      <c r="AD199" s="636">
        <v>0</v>
      </c>
      <c r="AE199" s="636">
        <v>0</v>
      </c>
      <c r="AF199" s="636">
        <v>0</v>
      </c>
      <c r="AG199" s="636">
        <v>0</v>
      </c>
      <c r="AH199" s="636">
        <v>0</v>
      </c>
      <c r="AI199" s="636">
        <v>0</v>
      </c>
      <c r="AJ199" s="636">
        <v>0</v>
      </c>
      <c r="AK199" s="636">
        <v>0</v>
      </c>
    </row>
    <row r="200" spans="3:37" ht="13.5">
      <c r="C200" s="648" t="s">
        <v>67</v>
      </c>
      <c r="D200" s="642">
        <v>0</v>
      </c>
      <c r="E200" s="649">
        <v>0</v>
      </c>
      <c r="F200" s="649">
        <v>0</v>
      </c>
      <c r="G200" s="642">
        <v>0</v>
      </c>
      <c r="H200" s="642">
        <v>0</v>
      </c>
      <c r="I200" s="642">
        <v>0</v>
      </c>
      <c r="J200" s="642">
        <v>0</v>
      </c>
      <c r="K200" s="642">
        <v>0</v>
      </c>
      <c r="L200" s="642">
        <v>0</v>
      </c>
      <c r="M200" s="642">
        <v>0</v>
      </c>
      <c r="N200" s="642">
        <v>0</v>
      </c>
      <c r="O200" s="642">
        <v>0</v>
      </c>
      <c r="P200" s="642">
        <v>0</v>
      </c>
      <c r="Q200" s="642">
        <v>0</v>
      </c>
      <c r="R200" s="642">
        <v>0</v>
      </c>
      <c r="S200" s="650">
        <v>0</v>
      </c>
      <c r="U200" s="648" t="s">
        <v>67</v>
      </c>
      <c r="V200" s="642">
        <v>0</v>
      </c>
      <c r="W200" s="649">
        <v>0</v>
      </c>
      <c r="X200" s="649">
        <v>0</v>
      </c>
      <c r="Y200" s="642">
        <v>0</v>
      </c>
      <c r="Z200" s="642">
        <v>0</v>
      </c>
      <c r="AA200" s="642">
        <v>0</v>
      </c>
      <c r="AB200" s="642">
        <v>0</v>
      </c>
      <c r="AC200" s="642">
        <v>0</v>
      </c>
      <c r="AD200" s="642">
        <v>0</v>
      </c>
      <c r="AE200" s="642">
        <v>0</v>
      </c>
      <c r="AF200" s="642">
        <v>0</v>
      </c>
      <c r="AG200" s="642">
        <v>0</v>
      </c>
      <c r="AH200" s="642">
        <v>0</v>
      </c>
      <c r="AI200" s="642">
        <v>0</v>
      </c>
      <c r="AJ200" s="642">
        <v>0</v>
      </c>
      <c r="AK200" s="650">
        <v>0</v>
      </c>
    </row>
    <row r="201" spans="3:37" ht="13.5">
      <c r="C201" s="648" t="s">
        <v>350</v>
      </c>
      <c r="D201" s="642">
        <v>2.8267856410252494</v>
      </c>
      <c r="E201" s="642">
        <v>0</v>
      </c>
      <c r="F201" s="642">
        <v>7.7625293209280457</v>
      </c>
      <c r="G201" s="642">
        <v>16.824034334763951</v>
      </c>
      <c r="H201" s="642">
        <v>889.54545454545473</v>
      </c>
      <c r="I201" s="642">
        <v>290.38619522472999</v>
      </c>
      <c r="J201" s="651">
        <v>29.234857813431841</v>
      </c>
      <c r="K201" s="651">
        <v>6.7467623730381456</v>
      </c>
      <c r="L201" s="651">
        <v>3.1694078720739522</v>
      </c>
      <c r="M201" s="651">
        <v>0.46915285357606595</v>
      </c>
      <c r="N201" s="651">
        <v>0</v>
      </c>
      <c r="O201" s="651">
        <v>6.9727309871777221</v>
      </c>
      <c r="P201" s="642">
        <v>-615.41357369902562</v>
      </c>
      <c r="Q201" s="642">
        <v>0</v>
      </c>
      <c r="R201" s="642">
        <v>0</v>
      </c>
      <c r="S201" s="650">
        <v>638.52433726717402</v>
      </c>
      <c r="U201" s="648" t="s">
        <v>350</v>
      </c>
      <c r="V201" s="642">
        <v>0.62631490545869017</v>
      </c>
      <c r="W201" s="642">
        <v>0</v>
      </c>
      <c r="X201" s="642">
        <v>3.8988929572916824</v>
      </c>
      <c r="Y201" s="642">
        <v>3.6741630901287547</v>
      </c>
      <c r="Z201" s="642">
        <v>873.030303030303</v>
      </c>
      <c r="AA201" s="642">
        <v>337.06619522473</v>
      </c>
      <c r="AB201" s="651">
        <v>23.429523439383615</v>
      </c>
      <c r="AC201" s="651">
        <v>5.4991881500691626</v>
      </c>
      <c r="AD201" s="651">
        <v>3.1694078720739522</v>
      </c>
      <c r="AE201" s="651">
        <v>2.7864060724601858</v>
      </c>
      <c r="AF201" s="651">
        <v>0</v>
      </c>
      <c r="AG201" s="651">
        <v>6.9727309871777221</v>
      </c>
      <c r="AH201" s="642">
        <v>-649.11357369902544</v>
      </c>
      <c r="AI201" s="642">
        <v>0</v>
      </c>
      <c r="AJ201" s="642">
        <v>4.45</v>
      </c>
      <c r="AK201" s="650">
        <v>615.48955203005141</v>
      </c>
    </row>
    <row r="202" spans="3:37" ht="13.5">
      <c r="C202" s="648" t="s">
        <v>351</v>
      </c>
      <c r="D202" s="642">
        <v>0</v>
      </c>
      <c r="E202" s="642">
        <v>0</v>
      </c>
      <c r="F202" s="642">
        <v>0</v>
      </c>
      <c r="G202" s="642">
        <v>14.896462034387394</v>
      </c>
      <c r="H202" s="642">
        <v>0</v>
      </c>
      <c r="I202" s="642">
        <v>0</v>
      </c>
      <c r="J202" s="651">
        <v>12.461036592610267</v>
      </c>
      <c r="K202" s="651">
        <v>11.927183871567582</v>
      </c>
      <c r="L202" s="651">
        <v>0</v>
      </c>
      <c r="M202" s="651">
        <v>0.3188738120209938</v>
      </c>
      <c r="N202" s="651">
        <v>0</v>
      </c>
      <c r="O202" s="651">
        <v>2.1085025260592274</v>
      </c>
      <c r="P202" s="642">
        <v>0</v>
      </c>
      <c r="Q202" s="642">
        <v>-37.934258390495422</v>
      </c>
      <c r="R202" s="642">
        <v>0</v>
      </c>
      <c r="S202" s="650">
        <v>3.7778004461500441</v>
      </c>
      <c r="U202" s="648" t="s">
        <v>351</v>
      </c>
      <c r="V202" s="642">
        <v>0</v>
      </c>
      <c r="W202" s="642">
        <v>0</v>
      </c>
      <c r="X202" s="642">
        <v>0</v>
      </c>
      <c r="Y202" s="642">
        <v>8.218662070491261</v>
      </c>
      <c r="Z202" s="642">
        <v>0</v>
      </c>
      <c r="AA202" s="642">
        <v>0</v>
      </c>
      <c r="AB202" s="651">
        <v>28.560818034272483</v>
      </c>
      <c r="AC202" s="651">
        <v>26.163217208510932</v>
      </c>
      <c r="AD202" s="651">
        <v>0</v>
      </c>
      <c r="AE202" s="651">
        <v>5.9663093303449024</v>
      </c>
      <c r="AF202" s="651">
        <v>0</v>
      </c>
      <c r="AG202" s="651">
        <v>11.832895483778962</v>
      </c>
      <c r="AH202" s="642">
        <v>0</v>
      </c>
      <c r="AI202" s="642">
        <v>-74.578675527513624</v>
      </c>
      <c r="AJ202" s="642">
        <v>0</v>
      </c>
      <c r="AK202" s="650">
        <v>6.1632265998849274</v>
      </c>
    </row>
    <row r="203" spans="3:37" ht="13.5">
      <c r="C203" s="648" t="s">
        <v>352</v>
      </c>
      <c r="D203" s="642">
        <v>0</v>
      </c>
      <c r="E203" s="642">
        <v>0</v>
      </c>
      <c r="F203" s="642">
        <v>0</v>
      </c>
      <c r="G203" s="642">
        <v>0</v>
      </c>
      <c r="H203" s="642">
        <v>0</v>
      </c>
      <c r="I203" s="642">
        <v>0</v>
      </c>
      <c r="J203" s="652">
        <v>6.9979956174374891</v>
      </c>
      <c r="K203" s="652">
        <v>0</v>
      </c>
      <c r="L203" s="652">
        <v>0</v>
      </c>
      <c r="M203" s="652">
        <v>-6.4748954450340372</v>
      </c>
      <c r="N203" s="652">
        <v>0</v>
      </c>
      <c r="O203" s="652">
        <v>0</v>
      </c>
      <c r="P203" s="642">
        <v>0</v>
      </c>
      <c r="Q203" s="642">
        <v>0</v>
      </c>
      <c r="R203" s="642">
        <v>0</v>
      </c>
      <c r="S203" s="650">
        <v>0.52310017240345186</v>
      </c>
      <c r="U203" s="648" t="s">
        <v>352</v>
      </c>
      <c r="V203" s="642">
        <v>0</v>
      </c>
      <c r="W203" s="642">
        <v>0</v>
      </c>
      <c r="X203" s="642">
        <v>0</v>
      </c>
      <c r="Y203" s="642">
        <v>0</v>
      </c>
      <c r="Z203" s="642">
        <v>0</v>
      </c>
      <c r="AA203" s="642">
        <v>0</v>
      </c>
      <c r="AB203" s="652">
        <v>79.198989478899776</v>
      </c>
      <c r="AC203" s="652">
        <v>0</v>
      </c>
      <c r="AD203" s="652">
        <v>0</v>
      </c>
      <c r="AE203" s="652">
        <v>-73.278865015352025</v>
      </c>
      <c r="AF203" s="652">
        <v>0</v>
      </c>
      <c r="AG203" s="652">
        <v>0</v>
      </c>
      <c r="AH203" s="642">
        <v>0</v>
      </c>
      <c r="AI203" s="642">
        <v>0</v>
      </c>
      <c r="AJ203" s="642">
        <v>0</v>
      </c>
      <c r="AK203" s="650">
        <v>5.9201244635477508</v>
      </c>
    </row>
    <row r="204" spans="3:37" ht="13.5">
      <c r="C204" s="648" t="s">
        <v>353</v>
      </c>
      <c r="D204" s="642">
        <v>0</v>
      </c>
      <c r="E204" s="642">
        <v>0</v>
      </c>
      <c r="F204" s="642">
        <v>0</v>
      </c>
      <c r="G204" s="642">
        <v>0</v>
      </c>
      <c r="H204" s="642">
        <v>0</v>
      </c>
      <c r="I204" s="642">
        <v>0</v>
      </c>
      <c r="J204" s="642">
        <v>0</v>
      </c>
      <c r="K204" s="642">
        <v>0</v>
      </c>
      <c r="L204" s="642">
        <v>0</v>
      </c>
      <c r="M204" s="642">
        <v>0</v>
      </c>
      <c r="N204" s="642">
        <v>0</v>
      </c>
      <c r="O204" s="642">
        <v>0</v>
      </c>
      <c r="P204" s="642">
        <v>0</v>
      </c>
      <c r="Q204" s="642">
        <v>0</v>
      </c>
      <c r="R204" s="642">
        <v>0</v>
      </c>
      <c r="S204" s="650">
        <v>0</v>
      </c>
      <c r="U204" s="648" t="s">
        <v>353</v>
      </c>
      <c r="V204" s="642">
        <v>0</v>
      </c>
      <c r="W204" s="642">
        <v>0</v>
      </c>
      <c r="X204" s="642">
        <v>0</v>
      </c>
      <c r="Y204" s="642">
        <v>0</v>
      </c>
      <c r="Z204" s="642">
        <v>0</v>
      </c>
      <c r="AA204" s="642">
        <v>0</v>
      </c>
      <c r="AB204" s="642">
        <v>0</v>
      </c>
      <c r="AC204" s="642">
        <v>0</v>
      </c>
      <c r="AD204" s="642">
        <v>0</v>
      </c>
      <c r="AE204" s="642">
        <v>0</v>
      </c>
      <c r="AF204" s="642">
        <v>0</v>
      </c>
      <c r="AG204" s="642">
        <v>0</v>
      </c>
      <c r="AH204" s="642">
        <v>0</v>
      </c>
      <c r="AI204" s="642">
        <v>0</v>
      </c>
      <c r="AJ204" s="642">
        <v>0</v>
      </c>
      <c r="AK204" s="650">
        <v>0</v>
      </c>
    </row>
    <row r="205" spans="3:37" ht="13.5">
      <c r="C205" s="648" t="s">
        <v>72</v>
      </c>
      <c r="D205" s="642">
        <v>0</v>
      </c>
      <c r="E205" s="642">
        <v>510.04733530503466</v>
      </c>
      <c r="F205" s="642">
        <v>-504.94686195198432</v>
      </c>
      <c r="G205" s="642">
        <v>0</v>
      </c>
      <c r="H205" s="642">
        <v>0</v>
      </c>
      <c r="I205" s="642">
        <v>0</v>
      </c>
      <c r="J205" s="642">
        <v>0</v>
      </c>
      <c r="K205" s="642">
        <v>0</v>
      </c>
      <c r="L205" s="642">
        <v>0</v>
      </c>
      <c r="M205" s="642">
        <v>0</v>
      </c>
      <c r="N205" s="642">
        <v>0</v>
      </c>
      <c r="O205" s="642">
        <v>0</v>
      </c>
      <c r="P205" s="642">
        <v>0</v>
      </c>
      <c r="Q205" s="642">
        <v>0</v>
      </c>
      <c r="R205" s="642">
        <v>0</v>
      </c>
      <c r="S205" s="650">
        <v>5.1004733530503472</v>
      </c>
      <c r="U205" s="648" t="s">
        <v>72</v>
      </c>
      <c r="V205" s="642">
        <v>0</v>
      </c>
      <c r="W205" s="642">
        <v>228.3916715709193</v>
      </c>
      <c r="X205" s="642">
        <v>-226.10775485521012</v>
      </c>
      <c r="Y205" s="642">
        <v>0</v>
      </c>
      <c r="Z205" s="642">
        <v>0</v>
      </c>
      <c r="AA205" s="642">
        <v>0</v>
      </c>
      <c r="AB205" s="642">
        <v>0</v>
      </c>
      <c r="AC205" s="642">
        <v>0</v>
      </c>
      <c r="AD205" s="642">
        <v>0</v>
      </c>
      <c r="AE205" s="642">
        <v>0</v>
      </c>
      <c r="AF205" s="642">
        <v>0</v>
      </c>
      <c r="AG205" s="642">
        <v>0</v>
      </c>
      <c r="AH205" s="642">
        <v>0</v>
      </c>
      <c r="AI205" s="642">
        <v>0</v>
      </c>
      <c r="AJ205" s="642">
        <v>0</v>
      </c>
      <c r="AK205" s="650">
        <v>2.2839167157091822</v>
      </c>
    </row>
    <row r="206" spans="3:37" ht="13.5">
      <c r="C206" s="648" t="s">
        <v>354</v>
      </c>
      <c r="D206" s="642">
        <v>0</v>
      </c>
      <c r="E206" s="642">
        <v>0</v>
      </c>
      <c r="F206" s="642">
        <v>0</v>
      </c>
      <c r="G206" s="642">
        <v>0</v>
      </c>
      <c r="H206" s="642">
        <v>0</v>
      </c>
      <c r="I206" s="642">
        <v>0</v>
      </c>
      <c r="J206" s="642">
        <v>27.710201800923624</v>
      </c>
      <c r="K206" s="642">
        <v>0</v>
      </c>
      <c r="L206" s="642">
        <v>-27.710201800923624</v>
      </c>
      <c r="M206" s="642">
        <v>0</v>
      </c>
      <c r="N206" s="642">
        <v>0</v>
      </c>
      <c r="O206" s="642">
        <v>0</v>
      </c>
      <c r="P206" s="642">
        <v>0</v>
      </c>
      <c r="Q206" s="642">
        <v>0</v>
      </c>
      <c r="R206" s="642">
        <v>0</v>
      </c>
      <c r="S206" s="650">
        <v>0</v>
      </c>
      <c r="U206" s="648" t="s">
        <v>354</v>
      </c>
      <c r="V206" s="642">
        <v>0</v>
      </c>
      <c r="W206" s="642">
        <v>0</v>
      </c>
      <c r="X206" s="642">
        <v>0</v>
      </c>
      <c r="Y206" s="642">
        <v>0</v>
      </c>
      <c r="Z206" s="642">
        <v>0</v>
      </c>
      <c r="AA206" s="642">
        <v>0</v>
      </c>
      <c r="AB206" s="642" t="e">
        <v>#VALUE!</v>
      </c>
      <c r="AC206" s="642">
        <v>0</v>
      </c>
      <c r="AD206" s="642">
        <v>-101.17003146857277</v>
      </c>
      <c r="AE206" s="642">
        <v>0</v>
      </c>
      <c r="AF206" s="642">
        <v>0</v>
      </c>
      <c r="AG206" s="642">
        <v>0</v>
      </c>
      <c r="AH206" s="642">
        <v>0</v>
      </c>
      <c r="AI206" s="642">
        <v>0</v>
      </c>
      <c r="AJ206" s="642">
        <v>0</v>
      </c>
      <c r="AK206" s="650">
        <v>-101.17003146857277</v>
      </c>
    </row>
    <row r="207" spans="3:37" ht="13.5">
      <c r="C207" s="648" t="s">
        <v>355</v>
      </c>
      <c r="D207" s="642">
        <v>0</v>
      </c>
      <c r="E207" s="642">
        <v>0</v>
      </c>
      <c r="F207" s="642">
        <v>0</v>
      </c>
      <c r="G207" s="642">
        <v>0</v>
      </c>
      <c r="H207" s="642">
        <v>0</v>
      </c>
      <c r="I207" s="642">
        <v>0</v>
      </c>
      <c r="J207" s="642">
        <v>0</v>
      </c>
      <c r="K207" s="642">
        <v>0</v>
      </c>
      <c r="L207" s="642">
        <v>0</v>
      </c>
      <c r="M207" s="642">
        <v>0</v>
      </c>
      <c r="N207" s="642">
        <v>0</v>
      </c>
      <c r="O207" s="642">
        <v>0</v>
      </c>
      <c r="P207" s="642">
        <v>0</v>
      </c>
      <c r="Q207" s="642">
        <v>0</v>
      </c>
      <c r="R207" s="642">
        <v>0</v>
      </c>
      <c r="S207" s="650">
        <v>0</v>
      </c>
      <c r="U207" s="648" t="s">
        <v>355</v>
      </c>
      <c r="V207" s="642">
        <v>0</v>
      </c>
      <c r="W207" s="642">
        <v>0</v>
      </c>
      <c r="X207" s="642">
        <v>0</v>
      </c>
      <c r="Y207" s="642">
        <v>0</v>
      </c>
      <c r="Z207" s="642">
        <v>0</v>
      </c>
      <c r="AA207" s="642">
        <v>0</v>
      </c>
      <c r="AB207" s="642">
        <v>0</v>
      </c>
      <c r="AC207" s="642">
        <v>0</v>
      </c>
      <c r="AD207" s="642">
        <v>-18.691082885283098</v>
      </c>
      <c r="AE207" s="642">
        <v>0</v>
      </c>
      <c r="AF207" s="642">
        <v>0</v>
      </c>
      <c r="AG207" s="642">
        <v>0</v>
      </c>
      <c r="AH207" s="642">
        <v>0</v>
      </c>
      <c r="AI207" s="642">
        <v>0</v>
      </c>
      <c r="AJ207" s="642">
        <v>0</v>
      </c>
      <c r="AK207" s="650">
        <v>-18.691082885283098</v>
      </c>
    </row>
    <row r="208" spans="3:37" ht="13.5">
      <c r="C208" s="648" t="s">
        <v>73</v>
      </c>
      <c r="D208" s="642">
        <v>0</v>
      </c>
      <c r="E208" s="642">
        <v>0</v>
      </c>
      <c r="F208" s="642">
        <v>0</v>
      </c>
      <c r="G208" s="642">
        <v>6.2864428714474423</v>
      </c>
      <c r="H208" s="642">
        <v>0</v>
      </c>
      <c r="I208" s="642">
        <v>0</v>
      </c>
      <c r="J208" s="642">
        <v>0</v>
      </c>
      <c r="K208" s="642">
        <v>7.2564905248031233E-2</v>
      </c>
      <c r="L208" s="642">
        <v>0</v>
      </c>
      <c r="M208" s="642">
        <v>0.12829475247851924</v>
      </c>
      <c r="N208" s="642">
        <v>0</v>
      </c>
      <c r="O208" s="642">
        <v>0</v>
      </c>
      <c r="P208" s="642">
        <v>0.77416476914506349</v>
      </c>
      <c r="Q208" s="642">
        <v>0</v>
      </c>
      <c r="R208" s="642">
        <v>-5.0795433673621861</v>
      </c>
      <c r="S208" s="650">
        <v>2.1819239309568701</v>
      </c>
      <c r="U208" s="648" t="s">
        <v>73</v>
      </c>
      <c r="V208" s="642">
        <v>0</v>
      </c>
      <c r="W208" s="642">
        <v>0</v>
      </c>
      <c r="X208" s="642">
        <v>0</v>
      </c>
      <c r="Y208" s="642">
        <v>3.7837340239051791</v>
      </c>
      <c r="Z208" s="642">
        <v>0</v>
      </c>
      <c r="AA208" s="642">
        <v>0</v>
      </c>
      <c r="AB208" s="642">
        <v>0</v>
      </c>
      <c r="AC208" s="642">
        <v>0.46597709654004676</v>
      </c>
      <c r="AD208" s="642">
        <v>0</v>
      </c>
      <c r="AE208" s="642">
        <v>2.7399453276554748</v>
      </c>
      <c r="AF208" s="642">
        <v>0</v>
      </c>
      <c r="AG208" s="642">
        <v>0</v>
      </c>
      <c r="AH208" s="642">
        <v>39.864323859285086</v>
      </c>
      <c r="AI208" s="642">
        <v>0</v>
      </c>
      <c r="AJ208" s="642">
        <v>-32.618396757803268</v>
      </c>
      <c r="AK208" s="650">
        <v>14.235583549582522</v>
      </c>
    </row>
    <row r="209" spans="3:37" ht="13.5">
      <c r="C209" s="648" t="s">
        <v>356</v>
      </c>
      <c r="D209" s="642">
        <v>28.588592812499996</v>
      </c>
      <c r="E209" s="642">
        <v>-17.673140168319453</v>
      </c>
      <c r="F209" s="642">
        <v>23.11542347254851</v>
      </c>
      <c r="G209" s="642">
        <v>0</v>
      </c>
      <c r="H209" s="642">
        <v>0</v>
      </c>
      <c r="I209" s="642">
        <v>0</v>
      </c>
      <c r="J209" s="642">
        <v>0</v>
      </c>
      <c r="K209" s="642">
        <v>0</v>
      </c>
      <c r="L209" s="642">
        <v>0</v>
      </c>
      <c r="M209" s="642">
        <v>0</v>
      </c>
      <c r="N209" s="642">
        <v>0</v>
      </c>
      <c r="O209" s="642">
        <v>0</v>
      </c>
      <c r="P209" s="642">
        <v>0</v>
      </c>
      <c r="Q209" s="642">
        <v>0</v>
      </c>
      <c r="R209" s="642">
        <v>0</v>
      </c>
      <c r="S209" s="650">
        <v>34.030876116729054</v>
      </c>
      <c r="U209" s="648" t="s">
        <v>356</v>
      </c>
      <c r="V209" s="642">
        <v>1.7459712219238281</v>
      </c>
      <c r="W209" s="642">
        <v>-7.9137714199323552</v>
      </c>
      <c r="X209" s="642">
        <v>10.35074558875537</v>
      </c>
      <c r="Y209" s="642">
        <v>0</v>
      </c>
      <c r="Z209" s="642">
        <v>0</v>
      </c>
      <c r="AA209" s="642">
        <v>0</v>
      </c>
      <c r="AB209" s="642">
        <v>0</v>
      </c>
      <c r="AC209" s="642">
        <v>0</v>
      </c>
      <c r="AD209" s="642">
        <v>0</v>
      </c>
      <c r="AE209" s="642">
        <v>0</v>
      </c>
      <c r="AF209" s="642">
        <v>0</v>
      </c>
      <c r="AG209" s="642">
        <v>0</v>
      </c>
      <c r="AH209" s="642">
        <v>0</v>
      </c>
      <c r="AI209" s="642">
        <v>0</v>
      </c>
      <c r="AJ209" s="642">
        <v>0</v>
      </c>
      <c r="AK209" s="650">
        <v>4.182945390746843</v>
      </c>
    </row>
    <row r="210" spans="3:37" ht="13.5">
      <c r="C210" s="648" t="s">
        <v>75</v>
      </c>
      <c r="D210" s="642">
        <v>11.11778609375</v>
      </c>
      <c r="E210" s="642">
        <v>0</v>
      </c>
      <c r="F210" s="642">
        <v>17.34160940037118</v>
      </c>
      <c r="G210" s="642">
        <v>4.9484792471294465</v>
      </c>
      <c r="H210" s="642">
        <v>0</v>
      </c>
      <c r="I210" s="642">
        <v>0</v>
      </c>
      <c r="J210" s="642">
        <v>0</v>
      </c>
      <c r="K210" s="642">
        <v>0</v>
      </c>
      <c r="L210" s="642">
        <v>0</v>
      </c>
      <c r="M210" s="642">
        <v>0.10098937239039688</v>
      </c>
      <c r="N210" s="642">
        <v>0</v>
      </c>
      <c r="O210" s="642">
        <v>0</v>
      </c>
      <c r="P210" s="642">
        <v>29.08691491128284</v>
      </c>
      <c r="Q210" s="642">
        <v>0</v>
      </c>
      <c r="R210" s="642">
        <v>0</v>
      </c>
      <c r="S210" s="650">
        <v>62.595779024923864</v>
      </c>
      <c r="U210" s="648" t="s">
        <v>75</v>
      </c>
      <c r="V210" s="642">
        <v>2.938742431640625</v>
      </c>
      <c r="W210" s="642">
        <v>0</v>
      </c>
      <c r="X210" s="642">
        <v>17.34160940037118</v>
      </c>
      <c r="Y210" s="642">
        <v>2.9286917993215091</v>
      </c>
      <c r="Z210" s="642">
        <v>0</v>
      </c>
      <c r="AA210" s="642">
        <v>0</v>
      </c>
      <c r="AB210" s="642">
        <v>0</v>
      </c>
      <c r="AC210" s="642">
        <v>0</v>
      </c>
      <c r="AD210" s="642">
        <v>0</v>
      </c>
      <c r="AE210" s="642">
        <v>2.1207768201983344</v>
      </c>
      <c r="AF210" s="642">
        <v>0</v>
      </c>
      <c r="AG210" s="642">
        <v>0</v>
      </c>
      <c r="AH210" s="642">
        <v>36.505051274919204</v>
      </c>
      <c r="AI210" s="642">
        <v>0</v>
      </c>
      <c r="AJ210" s="642">
        <v>0</v>
      </c>
      <c r="AK210" s="650">
        <v>61.834871726450849</v>
      </c>
    </row>
    <row r="211" spans="3:37" ht="13.5">
      <c r="C211" s="648" t="s">
        <v>76</v>
      </c>
      <c r="D211" s="642">
        <v>0</v>
      </c>
      <c r="E211" s="642">
        <v>0</v>
      </c>
      <c r="F211" s="642">
        <v>0</v>
      </c>
      <c r="G211" s="642">
        <v>3.7620934008695794</v>
      </c>
      <c r="H211" s="642">
        <v>0</v>
      </c>
      <c r="I211" s="642">
        <v>0</v>
      </c>
      <c r="J211" s="642">
        <v>0</v>
      </c>
      <c r="K211" s="642">
        <v>0</v>
      </c>
      <c r="L211" s="642">
        <v>0</v>
      </c>
      <c r="M211" s="642">
        <v>7.6777416344277136E-2</v>
      </c>
      <c r="N211" s="642">
        <v>0</v>
      </c>
      <c r="O211" s="642">
        <v>0</v>
      </c>
      <c r="P211" s="642">
        <v>45.374638558517056</v>
      </c>
      <c r="Q211" s="642">
        <v>2.9442994019327013</v>
      </c>
      <c r="R211" s="642">
        <v>0</v>
      </c>
      <c r="S211" s="650">
        <v>52.157808777663611</v>
      </c>
      <c r="U211" s="648" t="s">
        <v>76</v>
      </c>
      <c r="V211" s="642">
        <v>0</v>
      </c>
      <c r="W211" s="642">
        <v>0</v>
      </c>
      <c r="X211" s="642">
        <v>0</v>
      </c>
      <c r="Y211" s="642">
        <v>1.1999362424874132</v>
      </c>
      <c r="Z211" s="642">
        <v>0</v>
      </c>
      <c r="AA211" s="642">
        <v>0</v>
      </c>
      <c r="AB211" s="642">
        <v>0</v>
      </c>
      <c r="AC211" s="642">
        <v>0</v>
      </c>
      <c r="AD211" s="642">
        <v>0</v>
      </c>
      <c r="AE211" s="642">
        <v>0.86891934800812698</v>
      </c>
      <c r="AF211" s="642">
        <v>0</v>
      </c>
      <c r="AG211" s="642">
        <v>0</v>
      </c>
      <c r="AH211" s="642">
        <v>48.340685132761017</v>
      </c>
      <c r="AI211" s="642">
        <v>5.7839036819230412</v>
      </c>
      <c r="AJ211" s="642">
        <v>0</v>
      </c>
      <c r="AK211" s="650">
        <v>56.193444405179591</v>
      </c>
    </row>
    <row r="212" spans="3:37" ht="13.5">
      <c r="C212" s="646" t="s">
        <v>77</v>
      </c>
      <c r="D212" s="647">
        <v>42.533164547275248</v>
      </c>
      <c r="E212" s="647">
        <v>492.37419513671523</v>
      </c>
      <c r="F212" s="647">
        <v>-456.72729975813655</v>
      </c>
      <c r="G212" s="647">
        <v>46.717511888597819</v>
      </c>
      <c r="H212" s="647">
        <v>889.54545454545473</v>
      </c>
      <c r="I212" s="647">
        <v>290.38619522472999</v>
      </c>
      <c r="J212" s="647">
        <v>76.404091824403224</v>
      </c>
      <c r="K212" s="647">
        <v>18.74651114985376</v>
      </c>
      <c r="L212" s="647">
        <v>-24.540793928849673</v>
      </c>
      <c r="M212" s="647">
        <v>-5.3808072382237846</v>
      </c>
      <c r="N212" s="647">
        <v>0</v>
      </c>
      <c r="O212" s="647">
        <v>9.0812335132369491</v>
      </c>
      <c r="P212" s="647">
        <v>-540.17785546008065</v>
      </c>
      <c r="Q212" s="647">
        <v>-34.989958988562719</v>
      </c>
      <c r="R212" s="647">
        <v>-5.0795433673621861</v>
      </c>
      <c r="S212" s="647">
        <v>798.89209908905127</v>
      </c>
      <c r="U212" s="646" t="s">
        <v>77</v>
      </c>
      <c r="V212" s="647">
        <v>5.3110285590231427</v>
      </c>
      <c r="W212" s="647">
        <v>220.47790015098695</v>
      </c>
      <c r="X212" s="647">
        <v>-194.51650690879191</v>
      </c>
      <c r="Y212" s="647">
        <v>19.805187226334116</v>
      </c>
      <c r="Z212" s="647">
        <v>873.030303030303</v>
      </c>
      <c r="AA212" s="647">
        <v>337.06619522473</v>
      </c>
      <c r="AB212" s="647">
        <v>131.18933095255588</v>
      </c>
      <c r="AC212" s="647">
        <v>32.128382455120146</v>
      </c>
      <c r="AD212" s="647">
        <v>-116.69170648178192</v>
      </c>
      <c r="AE212" s="647">
        <v>-58.796508116684997</v>
      </c>
      <c r="AF212" s="647">
        <v>0</v>
      </c>
      <c r="AG212" s="647">
        <v>18.805626470956682</v>
      </c>
      <c r="AH212" s="647">
        <v>-524.40351343206009</v>
      </c>
      <c r="AI212" s="647">
        <v>-68.794771845590574</v>
      </c>
      <c r="AJ212" s="647">
        <v>-28.168396757803269</v>
      </c>
      <c r="AK212" s="647">
        <v>646.44255052729716</v>
      </c>
    </row>
    <row r="213" spans="3:37" ht="13">
      <c r="C213" s="636"/>
      <c r="D213" s="636">
        <v>0</v>
      </c>
      <c r="E213" s="636">
        <v>0</v>
      </c>
      <c r="F213" s="636">
        <v>0</v>
      </c>
      <c r="G213" s="636">
        <v>0</v>
      </c>
      <c r="H213" s="636">
        <v>0</v>
      </c>
      <c r="I213" s="636">
        <v>0</v>
      </c>
      <c r="J213" s="636">
        <v>0</v>
      </c>
      <c r="K213" s="636">
        <v>0</v>
      </c>
      <c r="L213" s="636">
        <v>0</v>
      </c>
      <c r="M213" s="636">
        <v>0</v>
      </c>
      <c r="N213" s="636">
        <v>0</v>
      </c>
      <c r="O213" s="636">
        <v>0</v>
      </c>
      <c r="P213" s="636">
        <v>0</v>
      </c>
      <c r="Q213" s="636">
        <v>0</v>
      </c>
      <c r="R213" s="636">
        <v>0</v>
      </c>
      <c r="S213" s="636">
        <v>0</v>
      </c>
      <c r="U213" s="636"/>
      <c r="V213" s="636">
        <v>0</v>
      </c>
      <c r="W213" s="636">
        <v>0</v>
      </c>
      <c r="X213" s="636">
        <v>0</v>
      </c>
      <c r="Y213" s="636">
        <v>0</v>
      </c>
      <c r="Z213" s="636">
        <v>0</v>
      </c>
      <c r="AA213" s="636">
        <v>0</v>
      </c>
      <c r="AB213" s="636">
        <v>0</v>
      </c>
      <c r="AC213" s="636">
        <v>0</v>
      </c>
      <c r="AD213" s="636">
        <v>0</v>
      </c>
      <c r="AE213" s="636">
        <v>0</v>
      </c>
      <c r="AF213" s="636">
        <v>0</v>
      </c>
      <c r="AG213" s="636">
        <v>0</v>
      </c>
      <c r="AH213" s="636">
        <v>0</v>
      </c>
      <c r="AI213" s="636">
        <v>0</v>
      </c>
      <c r="AJ213" s="636">
        <v>0</v>
      </c>
      <c r="AK213" s="636">
        <v>0</v>
      </c>
    </row>
    <row r="214" spans="3:37" ht="13.5">
      <c r="C214" s="648" t="s">
        <v>78</v>
      </c>
      <c r="D214" s="642">
        <v>4.9901668745901624</v>
      </c>
      <c r="E214" s="642">
        <v>0</v>
      </c>
      <c r="F214" s="642">
        <v>21.091530324656198</v>
      </c>
      <c r="G214" s="642">
        <v>96.151700548391091</v>
      </c>
      <c r="H214" s="642">
        <v>0</v>
      </c>
      <c r="I214" s="642">
        <v>0</v>
      </c>
      <c r="J214" s="642">
        <v>21.387862541024852</v>
      </c>
      <c r="K214" s="642">
        <v>1.7476152779545906</v>
      </c>
      <c r="L214" s="642">
        <v>0.94211085156249985</v>
      </c>
      <c r="M214" s="642">
        <v>1.9807569399951515</v>
      </c>
      <c r="N214" s="642">
        <v>0</v>
      </c>
      <c r="O214" s="642">
        <v>3.7669078281368638E-4</v>
      </c>
      <c r="P214" s="642">
        <v>112.73505933145552</v>
      </c>
      <c r="Q214" s="642">
        <v>16.12568637832603</v>
      </c>
      <c r="R214" s="642">
        <v>0.27920700073242188</v>
      </c>
      <c r="S214" s="650">
        <v>277.43207275947128</v>
      </c>
      <c r="U214" s="648" t="s">
        <v>78</v>
      </c>
      <c r="V214" s="642">
        <v>1.2150050536449819</v>
      </c>
      <c r="W214" s="642">
        <v>0</v>
      </c>
      <c r="X214" s="642">
        <v>6.016341039248414</v>
      </c>
      <c r="Y214" s="642">
        <v>39.709503776891196</v>
      </c>
      <c r="Z214" s="642">
        <v>0</v>
      </c>
      <c r="AA214" s="642">
        <v>0</v>
      </c>
      <c r="AB214" s="642">
        <v>15.202189846170386</v>
      </c>
      <c r="AC214" s="642">
        <v>4.9835801019927617</v>
      </c>
      <c r="AD214" s="642">
        <v>5.6103854980468748</v>
      </c>
      <c r="AE214" s="642">
        <v>28.773635244370734</v>
      </c>
      <c r="AF214" s="642">
        <v>0</v>
      </c>
      <c r="AG214" s="642">
        <v>3.7669078281368638E-4</v>
      </c>
      <c r="AH214" s="642">
        <v>146.07653830614987</v>
      </c>
      <c r="AI214" s="642">
        <v>23.647869298816833</v>
      </c>
      <c r="AJ214" s="642">
        <v>7.4826708984375001</v>
      </c>
      <c r="AK214" s="650">
        <v>278.71809575455239</v>
      </c>
    </row>
    <row r="215" spans="3:37" ht="13.5">
      <c r="C215" s="648" t="s">
        <v>79</v>
      </c>
      <c r="D215" s="642">
        <v>0</v>
      </c>
      <c r="E215" s="642">
        <v>0</v>
      </c>
      <c r="F215" s="642">
        <v>235.12748928743429</v>
      </c>
      <c r="G215" s="642">
        <v>31.099379517950805</v>
      </c>
      <c r="H215" s="642">
        <v>0</v>
      </c>
      <c r="I215" s="642">
        <v>0</v>
      </c>
      <c r="J215" s="642">
        <v>0</v>
      </c>
      <c r="K215" s="642">
        <v>0</v>
      </c>
      <c r="L215" s="642">
        <v>22.716725008445675</v>
      </c>
      <c r="M215" s="642">
        <v>0.63468121465205729</v>
      </c>
      <c r="N215" s="642">
        <v>0</v>
      </c>
      <c r="O215" s="642">
        <v>0</v>
      </c>
      <c r="P215" s="642">
        <v>68.565930798083699</v>
      </c>
      <c r="Q215" s="642">
        <v>0</v>
      </c>
      <c r="R215" s="642">
        <v>2.3844112104980786</v>
      </c>
      <c r="S215" s="650">
        <v>360.52861703706463</v>
      </c>
      <c r="U215" s="648" t="s">
        <v>79</v>
      </c>
      <c r="V215" s="642">
        <v>0</v>
      </c>
      <c r="W215" s="642">
        <v>0</v>
      </c>
      <c r="X215" s="642">
        <v>35.128929389637456</v>
      </c>
      <c r="Y215" s="642">
        <v>15.137064293513523</v>
      </c>
      <c r="Z215" s="642">
        <v>0</v>
      </c>
      <c r="AA215" s="642">
        <v>0</v>
      </c>
      <c r="AB215" s="642">
        <v>0</v>
      </c>
      <c r="AC215" s="642">
        <v>0</v>
      </c>
      <c r="AD215" s="642">
        <v>37.187580566982817</v>
      </c>
      <c r="AE215" s="642">
        <v>11.036020535724948</v>
      </c>
      <c r="AF215" s="642">
        <v>0</v>
      </c>
      <c r="AG215" s="642">
        <v>0</v>
      </c>
      <c r="AH215" s="642">
        <v>89.614524523742418</v>
      </c>
      <c r="AI215" s="642">
        <v>0</v>
      </c>
      <c r="AJ215" s="642">
        <v>5.6351763144479268</v>
      </c>
      <c r="AK215" s="650">
        <v>193.73929562404911</v>
      </c>
    </row>
    <row r="216" spans="3:37" ht="13.5">
      <c r="C216" s="648" t="s">
        <v>80</v>
      </c>
      <c r="D216" s="642">
        <v>0</v>
      </c>
      <c r="E216" s="642">
        <v>0</v>
      </c>
      <c r="F216" s="642">
        <v>13.724834206032371</v>
      </c>
      <c r="G216" s="642">
        <v>79.131512261322683</v>
      </c>
      <c r="H216" s="642">
        <v>0</v>
      </c>
      <c r="I216" s="642">
        <v>0</v>
      </c>
      <c r="J216" s="642">
        <v>87.797108848078949</v>
      </c>
      <c r="K216" s="642">
        <v>0</v>
      </c>
      <c r="L216" s="642">
        <v>0</v>
      </c>
      <c r="M216" s="642">
        <v>1.6149288216596467</v>
      </c>
      <c r="N216" s="642">
        <v>57.41835645436403</v>
      </c>
      <c r="O216" s="642">
        <v>2.0533643919476137</v>
      </c>
      <c r="P216" s="642">
        <v>189.45880926265392</v>
      </c>
      <c r="Q216" s="642">
        <v>15.417775800116472</v>
      </c>
      <c r="R216" s="642">
        <v>0</v>
      </c>
      <c r="S216" s="650">
        <v>446.61669004617568</v>
      </c>
      <c r="U216" s="648" t="s">
        <v>80</v>
      </c>
      <c r="V216" s="642">
        <v>0</v>
      </c>
      <c r="W216" s="642">
        <v>0</v>
      </c>
      <c r="X216" s="642">
        <v>1.0209129157283405</v>
      </c>
      <c r="Y216" s="642">
        <v>12.832027751754538</v>
      </c>
      <c r="Z216" s="642">
        <v>0</v>
      </c>
      <c r="AA216" s="642">
        <v>0</v>
      </c>
      <c r="AB216" s="642">
        <v>53.270322236782164</v>
      </c>
      <c r="AC216" s="642">
        <v>0</v>
      </c>
      <c r="AD216" s="642">
        <v>0</v>
      </c>
      <c r="AE216" s="642">
        <v>9.2921580271325972</v>
      </c>
      <c r="AF216" s="642">
        <v>88.292344554902868</v>
      </c>
      <c r="AG216" s="642">
        <v>3.9079432862869607</v>
      </c>
      <c r="AH216" s="642">
        <v>146.88666477766319</v>
      </c>
      <c r="AI216" s="642">
        <v>32.427264426374379</v>
      </c>
      <c r="AJ216" s="642">
        <v>0</v>
      </c>
      <c r="AK216" s="650">
        <v>347.92963797662509</v>
      </c>
    </row>
    <row r="217" spans="3:37" ht="13.5">
      <c r="C217" s="648" t="s">
        <v>81</v>
      </c>
      <c r="D217" s="642">
        <v>0</v>
      </c>
      <c r="E217" s="642">
        <v>0</v>
      </c>
      <c r="F217" s="642">
        <v>3.9083972405176572</v>
      </c>
      <c r="G217" s="642">
        <v>63.089348266301698</v>
      </c>
      <c r="H217" s="642">
        <v>0</v>
      </c>
      <c r="I217" s="642">
        <v>0</v>
      </c>
      <c r="J217" s="642">
        <v>3.1804221278939271</v>
      </c>
      <c r="K217" s="642">
        <v>2.5219694682056978E-2</v>
      </c>
      <c r="L217" s="642">
        <v>0</v>
      </c>
      <c r="M217" s="642">
        <v>1.287537719720443</v>
      </c>
      <c r="N217" s="642">
        <v>8.4803330998149011</v>
      </c>
      <c r="O217" s="642">
        <v>0.72631919579288284</v>
      </c>
      <c r="P217" s="642">
        <v>140.69299872549993</v>
      </c>
      <c r="Q217" s="642">
        <v>3.4464968101202174</v>
      </c>
      <c r="R217" s="642">
        <v>0</v>
      </c>
      <c r="S217" s="650">
        <v>224.8370728803437</v>
      </c>
      <c r="U217" s="648" t="s">
        <v>81</v>
      </c>
      <c r="V217" s="642">
        <v>0</v>
      </c>
      <c r="W217" s="642">
        <v>0</v>
      </c>
      <c r="X217" s="642">
        <v>1.4952361732398858</v>
      </c>
      <c r="Y217" s="642">
        <v>10.610341518374359</v>
      </c>
      <c r="Z217" s="642">
        <v>0</v>
      </c>
      <c r="AA217" s="642">
        <v>0</v>
      </c>
      <c r="AB217" s="642">
        <v>6.9978977014468793</v>
      </c>
      <c r="AC217" s="642">
        <v>2.5219694682056978E-2</v>
      </c>
      <c r="AD217" s="642">
        <v>0</v>
      </c>
      <c r="AE217" s="642">
        <v>7.6833507546848816</v>
      </c>
      <c r="AF217" s="642">
        <v>14.732239480945108</v>
      </c>
      <c r="AG217" s="642">
        <v>1.5525732622869153</v>
      </c>
      <c r="AH217" s="642">
        <v>115.23036268987886</v>
      </c>
      <c r="AI217" s="642">
        <v>12.719638120399363</v>
      </c>
      <c r="AJ217" s="642">
        <v>0</v>
      </c>
      <c r="AK217" s="650">
        <v>171.04685939593833</v>
      </c>
    </row>
    <row r="218" spans="3:37" ht="13.5">
      <c r="C218" s="648" t="s">
        <v>82</v>
      </c>
      <c r="D218" s="642">
        <v>0</v>
      </c>
      <c r="E218" s="642">
        <v>0</v>
      </c>
      <c r="F218" s="642">
        <v>28.471648080197657</v>
      </c>
      <c r="G218" s="642">
        <v>1.0804243241036344</v>
      </c>
      <c r="H218" s="642">
        <v>0</v>
      </c>
      <c r="I218" s="642">
        <v>0</v>
      </c>
      <c r="J218" s="642">
        <v>4.3026845658747828</v>
      </c>
      <c r="K218" s="642">
        <v>0</v>
      </c>
      <c r="L218" s="642">
        <v>3.1299020072385213</v>
      </c>
      <c r="M218" s="642">
        <v>2.2049476002114991E-2</v>
      </c>
      <c r="N218" s="642">
        <v>0</v>
      </c>
      <c r="O218" s="642">
        <v>6.8830690871769351E-2</v>
      </c>
      <c r="P218" s="642">
        <v>5.9739095578527968</v>
      </c>
      <c r="Q218" s="642">
        <v>0</v>
      </c>
      <c r="R218" s="642">
        <v>0</v>
      </c>
      <c r="S218" s="650">
        <v>43.049448702141277</v>
      </c>
      <c r="U218" s="648" t="s">
        <v>82</v>
      </c>
      <c r="V218" s="642">
        <v>0</v>
      </c>
      <c r="W218" s="642">
        <v>0</v>
      </c>
      <c r="X218" s="642">
        <v>5.8604701162543282</v>
      </c>
      <c r="Y218" s="642">
        <v>0.77721189491485598</v>
      </c>
      <c r="Z218" s="642">
        <v>0</v>
      </c>
      <c r="AA218" s="642">
        <v>0</v>
      </c>
      <c r="AB218" s="642">
        <v>4.3026845658747828</v>
      </c>
      <c r="AC218" s="642">
        <v>0</v>
      </c>
      <c r="AD218" s="642">
        <v>30.776202948565647</v>
      </c>
      <c r="AE218" s="642">
        <v>0.56280861355903367</v>
      </c>
      <c r="AF218" s="642">
        <v>0</v>
      </c>
      <c r="AG218" s="642">
        <v>1.5666563685107562</v>
      </c>
      <c r="AH218" s="642">
        <v>6.0858228188406986</v>
      </c>
      <c r="AI218" s="642">
        <v>0</v>
      </c>
      <c r="AJ218" s="642">
        <v>0.36062656029870238</v>
      </c>
      <c r="AK218" s="650">
        <v>50.292483886818808</v>
      </c>
    </row>
    <row r="219" spans="3:37" ht="13.5">
      <c r="C219" s="648" t="s">
        <v>357</v>
      </c>
      <c r="D219" s="642">
        <v>0</v>
      </c>
      <c r="E219" s="642">
        <v>0</v>
      </c>
      <c r="F219" s="642">
        <v>0</v>
      </c>
      <c r="G219" s="642">
        <v>0</v>
      </c>
      <c r="H219" s="642">
        <v>0</v>
      </c>
      <c r="I219" s="642">
        <v>0</v>
      </c>
      <c r="J219" s="642">
        <v>0</v>
      </c>
      <c r="K219" s="642">
        <v>0</v>
      </c>
      <c r="L219" s="642">
        <v>0</v>
      </c>
      <c r="M219" s="642">
        <v>0</v>
      </c>
      <c r="N219" s="642">
        <v>0</v>
      </c>
      <c r="O219" s="642">
        <v>0</v>
      </c>
      <c r="P219" s="642">
        <v>0.36</v>
      </c>
      <c r="Q219" s="642">
        <v>0</v>
      </c>
      <c r="R219" s="642">
        <v>0</v>
      </c>
      <c r="S219" s="650">
        <v>0.36</v>
      </c>
      <c r="U219" s="648" t="s">
        <v>357</v>
      </c>
      <c r="V219" s="642">
        <v>0</v>
      </c>
      <c r="W219" s="642">
        <v>0</v>
      </c>
      <c r="X219" s="642">
        <v>0</v>
      </c>
      <c r="Y219" s="642">
        <v>0</v>
      </c>
      <c r="Z219" s="642">
        <v>0</v>
      </c>
      <c r="AA219" s="642">
        <v>0</v>
      </c>
      <c r="AB219" s="642">
        <v>0</v>
      </c>
      <c r="AC219" s="642">
        <v>0</v>
      </c>
      <c r="AD219" s="642">
        <v>0</v>
      </c>
      <c r="AE219" s="642">
        <v>0</v>
      </c>
      <c r="AF219" s="642">
        <v>0</v>
      </c>
      <c r="AG219" s="642">
        <v>0</v>
      </c>
      <c r="AH219" s="642">
        <v>3.12</v>
      </c>
      <c r="AI219" s="642">
        <v>0</v>
      </c>
      <c r="AJ219" s="642">
        <v>0</v>
      </c>
      <c r="AK219" s="650">
        <v>3.12</v>
      </c>
    </row>
    <row r="220" spans="3:37" ht="13.5">
      <c r="C220" s="646" t="s">
        <v>83</v>
      </c>
      <c r="D220" s="647">
        <v>4.9901668745901624</v>
      </c>
      <c r="E220" s="647">
        <v>0</v>
      </c>
      <c r="F220" s="647">
        <v>302.32389913883821</v>
      </c>
      <c r="G220" s="647">
        <v>270.55236491806994</v>
      </c>
      <c r="H220" s="647">
        <v>0</v>
      </c>
      <c r="I220" s="647">
        <v>0</v>
      </c>
      <c r="J220" s="647">
        <v>116.66807808287251</v>
      </c>
      <c r="K220" s="647">
        <v>1.7728349726366477</v>
      </c>
      <c r="L220" s="647">
        <v>26.788737867246695</v>
      </c>
      <c r="M220" s="647">
        <v>5.5399541720294136</v>
      </c>
      <c r="N220" s="647">
        <v>65.898689554178929</v>
      </c>
      <c r="O220" s="647">
        <v>2.8488909693950797</v>
      </c>
      <c r="P220" s="647">
        <v>517.78670767554593</v>
      </c>
      <c r="Q220" s="647">
        <v>34.989958988562719</v>
      </c>
      <c r="R220" s="647">
        <v>2.6636182112305002</v>
      </c>
      <c r="S220" s="647">
        <v>1352.8239014251965</v>
      </c>
      <c r="U220" s="646" t="s">
        <v>83</v>
      </c>
      <c r="V220" s="647">
        <v>1.2150050536449819</v>
      </c>
      <c r="W220" s="647">
        <v>0</v>
      </c>
      <c r="X220" s="647">
        <v>49.521889634108419</v>
      </c>
      <c r="Y220" s="647">
        <v>79.066149235448464</v>
      </c>
      <c r="Z220" s="647">
        <v>0</v>
      </c>
      <c r="AA220" s="647">
        <v>0</v>
      </c>
      <c r="AB220" s="647">
        <v>79.773094350274206</v>
      </c>
      <c r="AC220" s="647">
        <v>5.0087997966748192</v>
      </c>
      <c r="AD220" s="647">
        <v>73.574169013595338</v>
      </c>
      <c r="AE220" s="647">
        <v>57.347973175472191</v>
      </c>
      <c r="AF220" s="647">
        <v>103.02458403584798</v>
      </c>
      <c r="AG220" s="647">
        <v>7.0275496078674458</v>
      </c>
      <c r="AH220" s="647">
        <v>507.01391311627498</v>
      </c>
      <c r="AI220" s="647">
        <v>68.794771845590574</v>
      </c>
      <c r="AJ220" s="647">
        <v>13.478473773184128</v>
      </c>
      <c r="AK220" s="647">
        <v>1044.8463726379837</v>
      </c>
    </row>
    <row r="221" spans="3:37" ht="13.5">
      <c r="C221" s="641" t="s">
        <v>84</v>
      </c>
      <c r="D221" s="642">
        <v>0</v>
      </c>
      <c r="E221" s="642">
        <v>0</v>
      </c>
      <c r="F221" s="642">
        <v>106.83242416715484</v>
      </c>
      <c r="G221" s="642">
        <v>11.6186457489655</v>
      </c>
      <c r="H221" s="642">
        <v>0</v>
      </c>
      <c r="I221" s="642">
        <v>0</v>
      </c>
      <c r="J221" s="642">
        <v>0</v>
      </c>
      <c r="K221" s="642">
        <v>0</v>
      </c>
      <c r="L221" s="642">
        <v>0</v>
      </c>
      <c r="M221" s="642">
        <v>0</v>
      </c>
      <c r="N221" s="642">
        <v>0</v>
      </c>
      <c r="O221" s="642">
        <v>0</v>
      </c>
      <c r="P221" s="642">
        <v>0</v>
      </c>
      <c r="Q221" s="642">
        <v>0</v>
      </c>
      <c r="R221" s="642">
        <v>2.4159251561316859</v>
      </c>
      <c r="S221" s="650">
        <v>120.86699507225204</v>
      </c>
      <c r="U221" s="641" t="s">
        <v>84</v>
      </c>
      <c r="V221" s="642">
        <v>0</v>
      </c>
      <c r="W221" s="642">
        <v>0</v>
      </c>
      <c r="X221" s="642">
        <v>75.791608178670685</v>
      </c>
      <c r="Y221" s="642">
        <v>0.94004440148578539</v>
      </c>
      <c r="Z221" s="642">
        <v>0</v>
      </c>
      <c r="AA221" s="642">
        <v>0</v>
      </c>
      <c r="AB221" s="642">
        <v>0</v>
      </c>
      <c r="AC221" s="642">
        <v>0</v>
      </c>
      <c r="AD221" s="642">
        <v>21.99170920776367</v>
      </c>
      <c r="AE221" s="642">
        <v>0</v>
      </c>
      <c r="AF221" s="642">
        <v>0</v>
      </c>
      <c r="AG221" s="642">
        <v>0</v>
      </c>
      <c r="AH221" s="642">
        <v>0</v>
      </c>
      <c r="AI221" s="642">
        <v>0</v>
      </c>
      <c r="AJ221" s="642">
        <v>14.689922984619141</v>
      </c>
      <c r="AK221" s="650">
        <v>113.41328477253928</v>
      </c>
    </row>
    <row r="222" spans="3:37" ht="13.5">
      <c r="C222" s="646" t="s">
        <v>85</v>
      </c>
      <c r="D222" s="647">
        <v>4.9901668745901624</v>
      </c>
      <c r="E222" s="647">
        <v>0</v>
      </c>
      <c r="F222" s="647">
        <v>409.15632330599311</v>
      </c>
      <c r="G222" s="647">
        <v>282.17101066703543</v>
      </c>
      <c r="H222" s="647">
        <v>0</v>
      </c>
      <c r="I222" s="647">
        <v>0</v>
      </c>
      <c r="J222" s="647">
        <v>116.66807808287251</v>
      </c>
      <c r="K222" s="647">
        <v>1.7728349726366477</v>
      </c>
      <c r="L222" s="647">
        <v>26.788737867246695</v>
      </c>
      <c r="M222" s="647">
        <v>5.5399541720294136</v>
      </c>
      <c r="N222" s="647">
        <v>65.898689554178929</v>
      </c>
      <c r="O222" s="647">
        <v>2.8488909693950797</v>
      </c>
      <c r="P222" s="647">
        <v>517.78670767554593</v>
      </c>
      <c r="Q222" s="647">
        <v>34.989958988562719</v>
      </c>
      <c r="R222" s="647">
        <v>5.0795433673621861</v>
      </c>
      <c r="S222" s="647">
        <v>1473.6908964974484</v>
      </c>
      <c r="U222" s="646" t="s">
        <v>85</v>
      </c>
      <c r="V222" s="647">
        <v>1.2150050536449819</v>
      </c>
      <c r="W222" s="647">
        <v>0</v>
      </c>
      <c r="X222" s="647">
        <v>125.31349781277912</v>
      </c>
      <c r="Y222" s="647">
        <v>80.006193636934256</v>
      </c>
      <c r="Z222" s="647">
        <v>0</v>
      </c>
      <c r="AA222" s="647">
        <v>0</v>
      </c>
      <c r="AB222" s="647">
        <v>79.773094350274206</v>
      </c>
      <c r="AC222" s="647">
        <v>5.0087997966748192</v>
      </c>
      <c r="AD222" s="647">
        <v>95.565878221359014</v>
      </c>
      <c r="AE222" s="647">
        <v>57.347973175472191</v>
      </c>
      <c r="AF222" s="647">
        <v>103.02458403584798</v>
      </c>
      <c r="AG222" s="647">
        <v>7.0275496078674458</v>
      </c>
      <c r="AH222" s="647">
        <v>507.01391311627498</v>
      </c>
      <c r="AI222" s="647">
        <v>68.794771845590574</v>
      </c>
      <c r="AJ222" s="647">
        <v>28.168396757803269</v>
      </c>
      <c r="AK222" s="647">
        <v>1158.2596574105228</v>
      </c>
    </row>
    <row r="223" spans="3:37" ht="13">
      <c r="C223" s="636"/>
      <c r="D223" s="636"/>
      <c r="E223" s="636"/>
      <c r="F223" s="636"/>
      <c r="G223" s="636"/>
      <c r="H223" s="636"/>
      <c r="I223" s="636"/>
      <c r="J223" s="636"/>
      <c r="K223" s="636"/>
      <c r="L223" s="636"/>
      <c r="M223" s="636"/>
      <c r="N223" s="636"/>
      <c r="O223" s="636"/>
      <c r="P223" s="636"/>
      <c r="Q223" s="636"/>
      <c r="R223" s="636"/>
      <c r="S223" s="636"/>
      <c r="U223" s="636"/>
      <c r="V223" s="636"/>
      <c r="W223" s="636"/>
      <c r="X223" s="636"/>
      <c r="Y223" s="636"/>
      <c r="Z223" s="636"/>
      <c r="AA223" s="636"/>
      <c r="AB223" s="636"/>
      <c r="AC223" s="636"/>
      <c r="AD223" s="636"/>
      <c r="AE223" s="636"/>
      <c r="AF223" s="636"/>
      <c r="AG223" s="636"/>
      <c r="AH223" s="636"/>
      <c r="AI223" s="636"/>
      <c r="AJ223" s="636"/>
      <c r="AK223" s="636"/>
    </row>
    <row r="224" spans="3:37" ht="22.5">
      <c r="C224" s="699" t="s">
        <v>364</v>
      </c>
      <c r="D224" s="699"/>
      <c r="E224" s="699"/>
      <c r="F224" s="699"/>
      <c r="G224" s="699"/>
      <c r="H224" s="699"/>
      <c r="I224" s="699"/>
      <c r="J224" s="699"/>
      <c r="K224" s="699"/>
      <c r="L224" s="699"/>
      <c r="M224" s="699"/>
      <c r="N224" s="699"/>
      <c r="O224" s="699"/>
      <c r="P224" s="699"/>
      <c r="Q224" s="699"/>
      <c r="R224" s="699"/>
      <c r="S224" s="699"/>
      <c r="U224" s="699" t="s">
        <v>364</v>
      </c>
      <c r="V224" s="699"/>
      <c r="W224" s="699"/>
      <c r="X224" s="699"/>
      <c r="Y224" s="699"/>
      <c r="Z224" s="699"/>
      <c r="AA224" s="699"/>
      <c r="AB224" s="699"/>
      <c r="AC224" s="699"/>
      <c r="AD224" s="699"/>
      <c r="AE224" s="699"/>
      <c r="AF224" s="699"/>
      <c r="AG224" s="699"/>
      <c r="AH224" s="699"/>
      <c r="AI224" s="699"/>
      <c r="AJ224" s="699"/>
      <c r="AK224" s="699"/>
    </row>
    <row r="225" spans="3:37" ht="13">
      <c r="C225" s="636"/>
      <c r="D225" s="636"/>
      <c r="E225" s="636"/>
      <c r="F225" s="636"/>
      <c r="G225" s="636"/>
      <c r="H225" s="636"/>
      <c r="I225" s="636"/>
      <c r="J225" s="636"/>
      <c r="K225" s="636"/>
      <c r="L225" s="636"/>
      <c r="M225" s="636"/>
      <c r="N225" s="636"/>
      <c r="O225" s="636"/>
      <c r="P225" s="636"/>
      <c r="Q225" s="636"/>
      <c r="R225" s="636"/>
      <c r="S225" s="636"/>
      <c r="U225" s="636"/>
      <c r="V225" s="636"/>
      <c r="W225" s="636"/>
      <c r="X225" s="636"/>
      <c r="Y225" s="636"/>
      <c r="Z225" s="636"/>
      <c r="AA225" s="636"/>
      <c r="AB225" s="636"/>
      <c r="AC225" s="636"/>
      <c r="AD225" s="636"/>
      <c r="AE225" s="636"/>
      <c r="AF225" s="636"/>
      <c r="AG225" s="636"/>
      <c r="AH225" s="636"/>
      <c r="AI225" s="636"/>
      <c r="AJ225" s="636"/>
      <c r="AK225" s="636"/>
    </row>
    <row r="226" spans="3:37" ht="13" customHeight="1">
      <c r="C226" s="700" t="s">
        <v>128</v>
      </c>
      <c r="D226" s="701" t="s">
        <v>42</v>
      </c>
      <c r="E226" s="701" t="s">
        <v>52</v>
      </c>
      <c r="F226" s="701" t="s">
        <v>53</v>
      </c>
      <c r="G226" s="701" t="s">
        <v>32</v>
      </c>
      <c r="H226" s="701" t="s">
        <v>20</v>
      </c>
      <c r="I226" s="701" t="s">
        <v>55</v>
      </c>
      <c r="J226" s="701" t="s">
        <v>56</v>
      </c>
      <c r="K226" s="701"/>
      <c r="L226" s="701"/>
      <c r="M226" s="701"/>
      <c r="N226" s="701"/>
      <c r="O226" s="701"/>
      <c r="P226" s="701" t="s">
        <v>57</v>
      </c>
      <c r="Q226" s="701" t="s">
        <v>58</v>
      </c>
      <c r="R226" s="701" t="s">
        <v>31</v>
      </c>
      <c r="S226" s="701" t="s">
        <v>10</v>
      </c>
      <c r="U226" s="700" t="s">
        <v>128</v>
      </c>
      <c r="V226" s="701" t="s">
        <v>42</v>
      </c>
      <c r="W226" s="701" t="s">
        <v>52</v>
      </c>
      <c r="X226" s="701" t="s">
        <v>53</v>
      </c>
      <c r="Y226" s="701" t="s">
        <v>32</v>
      </c>
      <c r="Z226" s="701" t="s">
        <v>20</v>
      </c>
      <c r="AA226" s="701" t="s">
        <v>55</v>
      </c>
      <c r="AB226" s="701" t="s">
        <v>56</v>
      </c>
      <c r="AC226" s="701"/>
      <c r="AD226" s="701"/>
      <c r="AE226" s="701"/>
      <c r="AF226" s="701"/>
      <c r="AG226" s="701"/>
      <c r="AH226" s="701" t="s">
        <v>57</v>
      </c>
      <c r="AI226" s="701" t="s">
        <v>58</v>
      </c>
      <c r="AJ226" s="701" t="s">
        <v>31</v>
      </c>
      <c r="AK226" s="701" t="s">
        <v>10</v>
      </c>
    </row>
    <row r="227" spans="3:37" ht="46">
      <c r="C227" s="700"/>
      <c r="D227" s="701"/>
      <c r="E227" s="701"/>
      <c r="F227" s="701"/>
      <c r="G227" s="701"/>
      <c r="H227" s="701"/>
      <c r="I227" s="701"/>
      <c r="J227" s="640" t="s">
        <v>338</v>
      </c>
      <c r="K227" s="640" t="s">
        <v>40</v>
      </c>
      <c r="L227" s="640" t="s">
        <v>346</v>
      </c>
      <c r="M227" s="640" t="s">
        <v>347</v>
      </c>
      <c r="N227" s="640" t="s">
        <v>348</v>
      </c>
      <c r="O227" s="640" t="s">
        <v>349</v>
      </c>
      <c r="P227" s="701"/>
      <c r="Q227" s="701"/>
      <c r="R227" s="701"/>
      <c r="S227" s="701"/>
      <c r="U227" s="700"/>
      <c r="V227" s="701"/>
      <c r="W227" s="701"/>
      <c r="X227" s="701"/>
      <c r="Y227" s="701"/>
      <c r="Z227" s="701"/>
      <c r="AA227" s="701"/>
      <c r="AB227" s="640" t="s">
        <v>338</v>
      </c>
      <c r="AC227" s="640" t="s">
        <v>40</v>
      </c>
      <c r="AD227" s="640" t="s">
        <v>346</v>
      </c>
      <c r="AE227" s="640" t="s">
        <v>347</v>
      </c>
      <c r="AF227" s="640" t="s">
        <v>348</v>
      </c>
      <c r="AG227" s="640" t="s">
        <v>349</v>
      </c>
      <c r="AH227" s="701"/>
      <c r="AI227" s="701"/>
      <c r="AJ227" s="701"/>
      <c r="AK227" s="701"/>
    </row>
    <row r="228" spans="3:37" ht="13.5">
      <c r="C228" s="641" t="s">
        <v>59</v>
      </c>
      <c r="D228" s="642">
        <v>0</v>
      </c>
      <c r="E228" s="643">
        <v>0</v>
      </c>
      <c r="F228" s="643">
        <v>0</v>
      </c>
      <c r="G228" s="642">
        <v>0</v>
      </c>
      <c r="H228" s="643">
        <v>843.18181818181824</v>
      </c>
      <c r="I228" s="643">
        <v>306.94588327561422</v>
      </c>
      <c r="J228" s="643">
        <v>187.92158364867245</v>
      </c>
      <c r="K228" s="643">
        <v>20.316638839186872</v>
      </c>
      <c r="L228" s="643">
        <v>0.58650482505924006</v>
      </c>
      <c r="M228" s="643">
        <v>0.15964026893196048</v>
      </c>
      <c r="N228" s="643">
        <v>67.964408038916218</v>
      </c>
      <c r="O228" s="643">
        <v>11.973026235836867</v>
      </c>
      <c r="P228" s="644">
        <v>0</v>
      </c>
      <c r="Q228" s="643">
        <v>0</v>
      </c>
      <c r="R228" s="643">
        <v>0</v>
      </c>
      <c r="S228" s="645">
        <v>1439.0495033140362</v>
      </c>
      <c r="U228" s="641" t="s">
        <v>59</v>
      </c>
      <c r="V228" s="642">
        <v>0</v>
      </c>
      <c r="W228" s="643">
        <v>0</v>
      </c>
      <c r="X228" s="643">
        <v>0</v>
      </c>
      <c r="Y228" s="642">
        <v>0</v>
      </c>
      <c r="Z228" s="643">
        <v>842.12121212121212</v>
      </c>
      <c r="AA228" s="643">
        <v>361.66588327561419</v>
      </c>
      <c r="AB228" s="643">
        <v>209.7499476733077</v>
      </c>
      <c r="AC228" s="643">
        <v>36.742499370225779</v>
      </c>
      <c r="AD228" s="643">
        <v>0.58650482505924006</v>
      </c>
      <c r="AE228" s="643">
        <v>0.15964026893196048</v>
      </c>
      <c r="AF228" s="643">
        <v>109.8518848230913</v>
      </c>
      <c r="AG228" s="643">
        <v>27.041217028647232</v>
      </c>
      <c r="AH228" s="644">
        <v>0</v>
      </c>
      <c r="AI228" s="643">
        <v>0</v>
      </c>
      <c r="AJ228" s="643">
        <v>0</v>
      </c>
      <c r="AK228" s="645">
        <v>1587.9187893860897</v>
      </c>
    </row>
    <row r="229" spans="3:37" ht="13.5">
      <c r="C229" s="641" t="s">
        <v>60</v>
      </c>
      <c r="D229" s="642">
        <v>47.14481987923083</v>
      </c>
      <c r="E229" s="643">
        <v>484.495467583368</v>
      </c>
      <c r="F229" s="643">
        <v>50.019697053221719</v>
      </c>
      <c r="G229" s="642">
        <v>326.09010493911637</v>
      </c>
      <c r="H229" s="643">
        <v>0</v>
      </c>
      <c r="I229" s="643">
        <v>0</v>
      </c>
      <c r="J229" s="643">
        <v>5.0764589906360387</v>
      </c>
      <c r="K229" s="643">
        <v>0</v>
      </c>
      <c r="L229" s="643">
        <v>2.7571319279134792</v>
      </c>
      <c r="M229" s="643">
        <v>0</v>
      </c>
      <c r="N229" s="643">
        <v>0</v>
      </c>
      <c r="O229" s="643">
        <v>0</v>
      </c>
      <c r="P229" s="644">
        <v>0</v>
      </c>
      <c r="Q229" s="643">
        <v>0</v>
      </c>
      <c r="R229" s="643">
        <v>0</v>
      </c>
      <c r="S229" s="645">
        <v>915.58368037348657</v>
      </c>
      <c r="U229" s="641" t="s">
        <v>60</v>
      </c>
      <c r="V229" s="642">
        <v>5.8768320762591904</v>
      </c>
      <c r="W229" s="643">
        <v>189.94114801549574</v>
      </c>
      <c r="X229" s="643">
        <v>14.41607041492888</v>
      </c>
      <c r="Y229" s="642">
        <v>81.728531694283333</v>
      </c>
      <c r="Z229" s="643">
        <v>0</v>
      </c>
      <c r="AA229" s="643">
        <v>0</v>
      </c>
      <c r="AB229" s="643">
        <v>5.0764589906360387</v>
      </c>
      <c r="AC229" s="643">
        <v>0</v>
      </c>
      <c r="AD229" s="643">
        <v>2.7571319279134792</v>
      </c>
      <c r="AE229" s="643">
        <v>0</v>
      </c>
      <c r="AF229" s="643">
        <v>0</v>
      </c>
      <c r="AG229" s="643">
        <v>0</v>
      </c>
      <c r="AH229" s="644">
        <v>0</v>
      </c>
      <c r="AI229" s="643">
        <v>0</v>
      </c>
      <c r="AJ229" s="643">
        <v>0</v>
      </c>
      <c r="AK229" s="645">
        <v>299.79617311951665</v>
      </c>
    </row>
    <row r="230" spans="3:37" ht="13.5">
      <c r="C230" s="641" t="s">
        <v>61</v>
      </c>
      <c r="D230" s="642">
        <v>0</v>
      </c>
      <c r="E230" s="643">
        <v>0</v>
      </c>
      <c r="F230" s="643">
        <v>0</v>
      </c>
      <c r="G230" s="642">
        <v>0</v>
      </c>
      <c r="H230" s="643">
        <v>0</v>
      </c>
      <c r="I230" s="643">
        <v>0</v>
      </c>
      <c r="J230" s="643">
        <v>0</v>
      </c>
      <c r="K230" s="643">
        <v>0</v>
      </c>
      <c r="L230" s="643">
        <v>0</v>
      </c>
      <c r="M230" s="643">
        <v>0</v>
      </c>
      <c r="N230" s="643">
        <v>0</v>
      </c>
      <c r="O230" s="643">
        <v>0</v>
      </c>
      <c r="P230" s="644">
        <v>-16.706363002811486</v>
      </c>
      <c r="Q230" s="643">
        <v>0</v>
      </c>
      <c r="R230" s="643">
        <v>0</v>
      </c>
      <c r="S230" s="645">
        <v>-16.706363002811486</v>
      </c>
      <c r="U230" s="641" t="s">
        <v>61</v>
      </c>
      <c r="V230" s="642">
        <v>0</v>
      </c>
      <c r="W230" s="643">
        <v>0</v>
      </c>
      <c r="X230" s="643">
        <v>-18.378136852904419</v>
      </c>
      <c r="Y230" s="642">
        <v>0</v>
      </c>
      <c r="Z230" s="643">
        <v>0</v>
      </c>
      <c r="AA230" s="643">
        <v>0</v>
      </c>
      <c r="AB230" s="643">
        <v>0</v>
      </c>
      <c r="AC230" s="643">
        <v>0</v>
      </c>
      <c r="AD230" s="643">
        <v>0</v>
      </c>
      <c r="AE230" s="643">
        <v>0</v>
      </c>
      <c r="AF230" s="643">
        <v>0</v>
      </c>
      <c r="AG230" s="643">
        <v>0</v>
      </c>
      <c r="AH230" s="644">
        <v>-20.522831714543145</v>
      </c>
      <c r="AI230" s="643">
        <v>0</v>
      </c>
      <c r="AJ230" s="643">
        <v>0</v>
      </c>
      <c r="AK230" s="645">
        <v>-38.900968567447563</v>
      </c>
    </row>
    <row r="231" spans="3:37" ht="13.5">
      <c r="C231" s="641" t="s">
        <v>62</v>
      </c>
      <c r="D231" s="642">
        <v>0</v>
      </c>
      <c r="E231" s="643">
        <v>0</v>
      </c>
      <c r="F231" s="643">
        <v>-15.257294848391862</v>
      </c>
      <c r="G231" s="642">
        <v>0</v>
      </c>
      <c r="H231" s="643">
        <v>0</v>
      </c>
      <c r="I231" s="643">
        <v>0</v>
      </c>
      <c r="J231" s="643">
        <v>0</v>
      </c>
      <c r="K231" s="643">
        <v>0</v>
      </c>
      <c r="L231" s="643">
        <v>0</v>
      </c>
      <c r="M231" s="643">
        <v>0</v>
      </c>
      <c r="N231" s="643">
        <v>0</v>
      </c>
      <c r="O231" s="643">
        <v>0</v>
      </c>
      <c r="P231" s="644">
        <v>0</v>
      </c>
      <c r="Q231" s="643">
        <v>0</v>
      </c>
      <c r="R231" s="643">
        <v>0</v>
      </c>
      <c r="S231" s="645">
        <v>-15.257294848391862</v>
      </c>
      <c r="U231" s="641" t="s">
        <v>62</v>
      </c>
      <c r="V231" s="642">
        <v>0</v>
      </c>
      <c r="W231" s="643">
        <v>0</v>
      </c>
      <c r="X231" s="643">
        <v>-7.5188933675233587</v>
      </c>
      <c r="Y231" s="642">
        <v>-2.1851276585702322</v>
      </c>
      <c r="Z231" s="643">
        <v>0</v>
      </c>
      <c r="AA231" s="643">
        <v>0</v>
      </c>
      <c r="AB231" s="643">
        <v>0</v>
      </c>
      <c r="AC231" s="643">
        <v>0</v>
      </c>
      <c r="AD231" s="643">
        <v>0</v>
      </c>
      <c r="AE231" s="643">
        <v>-2.1851276585702322</v>
      </c>
      <c r="AF231" s="643">
        <v>0</v>
      </c>
      <c r="AG231" s="643">
        <v>0</v>
      </c>
      <c r="AH231" s="644">
        <v>0</v>
      </c>
      <c r="AI231" s="643">
        <v>0</v>
      </c>
      <c r="AJ231" s="643">
        <v>0</v>
      </c>
      <c r="AK231" s="645">
        <v>-11.889148684663823</v>
      </c>
    </row>
    <row r="232" spans="3:37" ht="13.5">
      <c r="C232" s="641" t="s">
        <v>63</v>
      </c>
      <c r="D232" s="642">
        <v>0</v>
      </c>
      <c r="E232" s="643">
        <v>0</v>
      </c>
      <c r="F232" s="643">
        <v>-90.982589622358091</v>
      </c>
      <c r="G232" s="642">
        <v>0</v>
      </c>
      <c r="H232" s="643">
        <v>0</v>
      </c>
      <c r="I232" s="643">
        <v>0</v>
      </c>
      <c r="J232" s="643">
        <v>0</v>
      </c>
      <c r="K232" s="643">
        <v>0</v>
      </c>
      <c r="L232" s="643">
        <v>-0.93561585486744514</v>
      </c>
      <c r="M232" s="643">
        <v>0</v>
      </c>
      <c r="N232" s="643">
        <v>0</v>
      </c>
      <c r="O232" s="643">
        <v>0</v>
      </c>
      <c r="P232" s="644">
        <v>0</v>
      </c>
      <c r="Q232" s="643">
        <v>0</v>
      </c>
      <c r="R232" s="643">
        <v>0</v>
      </c>
      <c r="S232" s="645">
        <v>-91.918205477225541</v>
      </c>
      <c r="U232" s="641" t="s">
        <v>63</v>
      </c>
      <c r="V232" s="642">
        <v>0</v>
      </c>
      <c r="W232" s="643">
        <v>0</v>
      </c>
      <c r="X232" s="643">
        <v>-53.656928796434556</v>
      </c>
      <c r="Y232" s="642">
        <v>0</v>
      </c>
      <c r="Z232" s="643">
        <v>0</v>
      </c>
      <c r="AA232" s="643">
        <v>0</v>
      </c>
      <c r="AB232" s="643">
        <v>0</v>
      </c>
      <c r="AC232" s="643">
        <v>0</v>
      </c>
      <c r="AD232" s="643">
        <v>-28.297456853591466</v>
      </c>
      <c r="AE232" s="643">
        <v>0</v>
      </c>
      <c r="AF232" s="643">
        <v>0</v>
      </c>
      <c r="AG232" s="643">
        <v>0</v>
      </c>
      <c r="AH232" s="644">
        <v>0</v>
      </c>
      <c r="AI232" s="643">
        <v>0</v>
      </c>
      <c r="AJ232" s="643">
        <v>0</v>
      </c>
      <c r="AK232" s="645">
        <v>-81.954385650026026</v>
      </c>
    </row>
    <row r="233" spans="3:37" ht="13.5">
      <c r="C233" s="641" t="s">
        <v>64</v>
      </c>
      <c r="D233" s="642">
        <v>0</v>
      </c>
      <c r="E233" s="643">
        <v>0</v>
      </c>
      <c r="F233" s="643">
        <v>0</v>
      </c>
      <c r="G233" s="642">
        <v>0</v>
      </c>
      <c r="H233" s="643">
        <v>0</v>
      </c>
      <c r="I233" s="643">
        <v>0</v>
      </c>
      <c r="J233" s="643">
        <v>0</v>
      </c>
      <c r="K233" s="643">
        <v>0</v>
      </c>
      <c r="L233" s="643">
        <v>0</v>
      </c>
      <c r="M233" s="643">
        <v>0</v>
      </c>
      <c r="N233" s="643">
        <v>0</v>
      </c>
      <c r="O233" s="643">
        <v>0</v>
      </c>
      <c r="P233" s="644">
        <v>0</v>
      </c>
      <c r="Q233" s="643">
        <v>0</v>
      </c>
      <c r="R233" s="643">
        <v>0</v>
      </c>
      <c r="S233" s="645">
        <v>0</v>
      </c>
      <c r="U233" s="641" t="s">
        <v>64</v>
      </c>
      <c r="V233" s="642">
        <v>0</v>
      </c>
      <c r="W233" s="643">
        <v>0</v>
      </c>
      <c r="X233" s="643">
        <v>0</v>
      </c>
      <c r="Y233" s="642">
        <v>0</v>
      </c>
      <c r="Z233" s="643">
        <v>0</v>
      </c>
      <c r="AA233" s="643">
        <v>0</v>
      </c>
      <c r="AB233" s="643">
        <v>0</v>
      </c>
      <c r="AC233" s="643">
        <v>0</v>
      </c>
      <c r="AD233" s="643">
        <v>0</v>
      </c>
      <c r="AE233" s="643">
        <v>0</v>
      </c>
      <c r="AF233" s="643">
        <v>0</v>
      </c>
      <c r="AG233" s="643">
        <v>0</v>
      </c>
      <c r="AH233" s="644">
        <v>0</v>
      </c>
      <c r="AI233" s="643">
        <v>0</v>
      </c>
      <c r="AJ233" s="643">
        <v>0</v>
      </c>
      <c r="AK233" s="645">
        <v>0</v>
      </c>
    </row>
    <row r="234" spans="3:37" ht="13.5">
      <c r="C234" s="646" t="s">
        <v>65</v>
      </c>
      <c r="D234" s="647">
        <v>47.14481987923083</v>
      </c>
      <c r="E234" s="647">
        <v>484.495467583368</v>
      </c>
      <c r="F234" s="647">
        <v>-56.220187417528237</v>
      </c>
      <c r="G234" s="647">
        <v>326.09010493911637</v>
      </c>
      <c r="H234" s="647">
        <v>843.18181818181824</v>
      </c>
      <c r="I234" s="647">
        <v>306.94588327561422</v>
      </c>
      <c r="J234" s="647">
        <v>192.99804263930849</v>
      </c>
      <c r="K234" s="647">
        <v>20.316638839186872</v>
      </c>
      <c r="L234" s="647">
        <v>2.4080208981052738</v>
      </c>
      <c r="M234" s="647">
        <v>0.15964026893196048</v>
      </c>
      <c r="N234" s="647">
        <v>67.964408038916218</v>
      </c>
      <c r="O234" s="647">
        <v>11.973026235836867</v>
      </c>
      <c r="P234" s="647">
        <v>-16.706363002811486</v>
      </c>
      <c r="Q234" s="647">
        <v>0</v>
      </c>
      <c r="R234" s="647">
        <v>0</v>
      </c>
      <c r="S234" s="647">
        <v>2230.7513203590943</v>
      </c>
      <c r="U234" s="646" t="s">
        <v>65</v>
      </c>
      <c r="V234" s="647">
        <v>5.8768320762591904</v>
      </c>
      <c r="W234" s="647">
        <v>189.94114801549574</v>
      </c>
      <c r="X234" s="647">
        <v>-65.137888601933454</v>
      </c>
      <c r="Y234" s="647">
        <v>79.543404035713095</v>
      </c>
      <c r="Z234" s="647">
        <v>842.12121212121212</v>
      </c>
      <c r="AA234" s="647">
        <v>361.66588327561419</v>
      </c>
      <c r="AB234" s="647">
        <v>214.82640666394374</v>
      </c>
      <c r="AC234" s="647">
        <v>36.742499370225779</v>
      </c>
      <c r="AD234" s="647">
        <v>-24.953820100618749</v>
      </c>
      <c r="AE234" s="647">
        <v>-2.0254873896382719</v>
      </c>
      <c r="AF234" s="647">
        <v>109.8518848230913</v>
      </c>
      <c r="AG234" s="647">
        <v>27.041217028647232</v>
      </c>
      <c r="AH234" s="647">
        <v>-20.522831714543145</v>
      </c>
      <c r="AI234" s="647">
        <v>0</v>
      </c>
      <c r="AJ234" s="647">
        <v>0</v>
      </c>
      <c r="AK234" s="647">
        <v>1754.970459603469</v>
      </c>
    </row>
    <row r="235" spans="3:37" ht="13">
      <c r="C235" s="636"/>
      <c r="D235" s="636">
        <v>0</v>
      </c>
      <c r="E235" s="636">
        <v>0</v>
      </c>
      <c r="F235" s="636">
        <v>0</v>
      </c>
      <c r="G235" s="636">
        <v>0</v>
      </c>
      <c r="H235" s="636">
        <v>0</v>
      </c>
      <c r="I235" s="636">
        <v>0</v>
      </c>
      <c r="J235" s="636">
        <v>0</v>
      </c>
      <c r="K235" s="636">
        <v>0</v>
      </c>
      <c r="L235" s="636">
        <v>0</v>
      </c>
      <c r="M235" s="636">
        <v>0</v>
      </c>
      <c r="N235" s="636">
        <v>0</v>
      </c>
      <c r="O235" s="636">
        <v>0</v>
      </c>
      <c r="P235" s="636">
        <v>0</v>
      </c>
      <c r="Q235" s="636">
        <v>0</v>
      </c>
      <c r="R235" s="636">
        <v>0</v>
      </c>
      <c r="S235" s="636">
        <v>0</v>
      </c>
      <c r="U235" s="636"/>
      <c r="V235" s="636">
        <v>0</v>
      </c>
      <c r="W235" s="636">
        <v>0</v>
      </c>
      <c r="X235" s="636">
        <v>0</v>
      </c>
      <c r="Y235" s="636">
        <v>0</v>
      </c>
      <c r="Z235" s="636">
        <v>0</v>
      </c>
      <c r="AA235" s="636">
        <v>0</v>
      </c>
      <c r="AB235" s="636">
        <v>0</v>
      </c>
      <c r="AC235" s="636">
        <v>0</v>
      </c>
      <c r="AD235" s="636">
        <v>0</v>
      </c>
      <c r="AE235" s="636">
        <v>0</v>
      </c>
      <c r="AF235" s="636">
        <v>0</v>
      </c>
      <c r="AG235" s="636">
        <v>0</v>
      </c>
      <c r="AH235" s="636">
        <v>0</v>
      </c>
      <c r="AI235" s="636">
        <v>0</v>
      </c>
      <c r="AJ235" s="636">
        <v>0</v>
      </c>
      <c r="AK235" s="636">
        <v>0</v>
      </c>
    </row>
    <row r="236" spans="3:37" ht="13.5">
      <c r="C236" s="648" t="s">
        <v>67</v>
      </c>
      <c r="D236" s="642">
        <v>0</v>
      </c>
      <c r="E236" s="649">
        <v>0</v>
      </c>
      <c r="F236" s="649">
        <v>0</v>
      </c>
      <c r="G236" s="642">
        <v>0</v>
      </c>
      <c r="H236" s="642">
        <v>0</v>
      </c>
      <c r="I236" s="642">
        <v>0</v>
      </c>
      <c r="J236" s="642">
        <v>0</v>
      </c>
      <c r="K236" s="642">
        <v>0</v>
      </c>
      <c r="L236" s="642">
        <v>0</v>
      </c>
      <c r="M236" s="642">
        <v>0</v>
      </c>
      <c r="N236" s="642">
        <v>0</v>
      </c>
      <c r="O236" s="642">
        <v>0</v>
      </c>
      <c r="P236" s="642">
        <v>0</v>
      </c>
      <c r="Q236" s="642">
        <v>0</v>
      </c>
      <c r="R236" s="642">
        <v>0</v>
      </c>
      <c r="S236" s="650">
        <v>0</v>
      </c>
      <c r="U236" s="648" t="s">
        <v>67</v>
      </c>
      <c r="V236" s="642">
        <v>0</v>
      </c>
      <c r="W236" s="649">
        <v>0</v>
      </c>
      <c r="X236" s="649">
        <v>0</v>
      </c>
      <c r="Y236" s="642">
        <v>0</v>
      </c>
      <c r="Z236" s="642">
        <v>0</v>
      </c>
      <c r="AA236" s="642">
        <v>0</v>
      </c>
      <c r="AB236" s="642">
        <v>0</v>
      </c>
      <c r="AC236" s="642">
        <v>0</v>
      </c>
      <c r="AD236" s="642">
        <v>0</v>
      </c>
      <c r="AE236" s="642">
        <v>0</v>
      </c>
      <c r="AF236" s="642">
        <v>0</v>
      </c>
      <c r="AG236" s="642">
        <v>0</v>
      </c>
      <c r="AH236" s="642">
        <v>0</v>
      </c>
      <c r="AI236" s="642">
        <v>0</v>
      </c>
      <c r="AJ236" s="642">
        <v>0</v>
      </c>
      <c r="AK236" s="650">
        <v>0</v>
      </c>
    </row>
    <row r="237" spans="3:37" ht="13.5">
      <c r="C237" s="648" t="s">
        <v>350</v>
      </c>
      <c r="D237" s="642">
        <v>2.8267856410252494</v>
      </c>
      <c r="E237" s="642">
        <v>0</v>
      </c>
      <c r="F237" s="642">
        <v>7.9230776783294274</v>
      </c>
      <c r="G237" s="642">
        <v>16.680851063829788</v>
      </c>
      <c r="H237" s="642">
        <v>843.18181818181824</v>
      </c>
      <c r="I237" s="642">
        <v>306.94588327561422</v>
      </c>
      <c r="J237" s="651">
        <v>28.98717588629853</v>
      </c>
      <c r="K237" s="651">
        <v>6.5903281241207718</v>
      </c>
      <c r="L237" s="651">
        <v>3.3436367529727189</v>
      </c>
      <c r="M237" s="651">
        <v>0.46654149749263618</v>
      </c>
      <c r="N237" s="651">
        <v>0</v>
      </c>
      <c r="O237" s="651">
        <v>7.0184114557160298</v>
      </c>
      <c r="P237" s="642">
        <v>-616.92993037811448</v>
      </c>
      <c r="Q237" s="642">
        <v>0</v>
      </c>
      <c r="R237" s="642">
        <v>0</v>
      </c>
      <c r="S237" s="650">
        <v>607.03457917910316</v>
      </c>
      <c r="U237" s="648" t="s">
        <v>350</v>
      </c>
      <c r="V237" s="642">
        <v>0.62631490545869017</v>
      </c>
      <c r="W237" s="642">
        <v>0</v>
      </c>
      <c r="X237" s="642">
        <v>4.0594413146930641</v>
      </c>
      <c r="Y237" s="642">
        <v>2.3404255319148937</v>
      </c>
      <c r="Z237" s="642">
        <v>842.12121212121212</v>
      </c>
      <c r="AA237" s="642">
        <v>361.66588327561419</v>
      </c>
      <c r="AB237" s="651">
        <v>23.182357378111952</v>
      </c>
      <c r="AC237" s="651">
        <v>5.3775678130216455</v>
      </c>
      <c r="AD237" s="651">
        <v>3.3436367529727189</v>
      </c>
      <c r="AE237" s="651">
        <v>2.4665414974926363</v>
      </c>
      <c r="AF237" s="651">
        <v>0</v>
      </c>
      <c r="AG237" s="651">
        <v>7.0184114557160298</v>
      </c>
      <c r="AH237" s="642">
        <v>-662.7499303781143</v>
      </c>
      <c r="AI237" s="642">
        <v>0</v>
      </c>
      <c r="AJ237" s="642">
        <v>4.25</v>
      </c>
      <c r="AK237" s="650">
        <v>593.70186166809344</v>
      </c>
    </row>
    <row r="238" spans="3:37" ht="13.5">
      <c r="C238" s="648" t="s">
        <v>351</v>
      </c>
      <c r="D238" s="642">
        <v>0</v>
      </c>
      <c r="E238" s="642">
        <v>0</v>
      </c>
      <c r="F238" s="642">
        <v>0</v>
      </c>
      <c r="G238" s="642">
        <v>14.843815057329421</v>
      </c>
      <c r="H238" s="642">
        <v>0</v>
      </c>
      <c r="I238" s="642">
        <v>0</v>
      </c>
      <c r="J238" s="651">
        <v>12.357161229114668</v>
      </c>
      <c r="K238" s="651">
        <v>11.882304060636951</v>
      </c>
      <c r="L238" s="651">
        <v>0</v>
      </c>
      <c r="M238" s="651">
        <v>0.31804644322561132</v>
      </c>
      <c r="N238" s="651">
        <v>0</v>
      </c>
      <c r="O238" s="651">
        <v>2.0992086164963606</v>
      </c>
      <c r="P238" s="642">
        <v>0</v>
      </c>
      <c r="Q238" s="642">
        <v>-37.805081951347923</v>
      </c>
      <c r="R238" s="642">
        <v>0</v>
      </c>
      <c r="S238" s="650">
        <v>3.6954534554550835</v>
      </c>
      <c r="U238" s="648" t="s">
        <v>351</v>
      </c>
      <c r="V238" s="642">
        <v>0</v>
      </c>
      <c r="W238" s="642">
        <v>0</v>
      </c>
      <c r="X238" s="642">
        <v>0</v>
      </c>
      <c r="Y238" s="642">
        <v>6.4668066457611202</v>
      </c>
      <c r="Z238" s="642">
        <v>0</v>
      </c>
      <c r="AA238" s="642">
        <v>0</v>
      </c>
      <c r="AB238" s="651">
        <v>28.361573193229066</v>
      </c>
      <c r="AC238" s="651">
        <v>26.076316433417247</v>
      </c>
      <c r="AD238" s="651">
        <v>0</v>
      </c>
      <c r="AE238" s="651">
        <v>6.4819180878167435</v>
      </c>
      <c r="AF238" s="651">
        <v>0</v>
      </c>
      <c r="AG238" s="651">
        <v>12.550380584079129</v>
      </c>
      <c r="AH238" s="642">
        <v>0</v>
      </c>
      <c r="AI238" s="642">
        <v>-74.043519390541746</v>
      </c>
      <c r="AJ238" s="642">
        <v>0</v>
      </c>
      <c r="AK238" s="650">
        <v>5.8934755537615651</v>
      </c>
    </row>
    <row r="239" spans="3:37" ht="13.5">
      <c r="C239" s="648" t="s">
        <v>352</v>
      </c>
      <c r="D239" s="642">
        <v>0</v>
      </c>
      <c r="E239" s="642">
        <v>0</v>
      </c>
      <c r="F239" s="642">
        <v>0</v>
      </c>
      <c r="G239" s="642">
        <v>0</v>
      </c>
      <c r="H239" s="642">
        <v>0</v>
      </c>
      <c r="I239" s="642">
        <v>0</v>
      </c>
      <c r="J239" s="652">
        <v>6.8755991242523775</v>
      </c>
      <c r="K239" s="652">
        <v>0</v>
      </c>
      <c r="L239" s="652">
        <v>0</v>
      </c>
      <c r="M239" s="652">
        <v>-6.4200906822706569</v>
      </c>
      <c r="N239" s="652">
        <v>0</v>
      </c>
      <c r="O239" s="652">
        <v>0</v>
      </c>
      <c r="P239" s="642">
        <v>0</v>
      </c>
      <c r="Q239" s="642">
        <v>0</v>
      </c>
      <c r="R239" s="642">
        <v>0</v>
      </c>
      <c r="S239" s="650">
        <v>0.45550844198172058</v>
      </c>
      <c r="U239" s="648" t="s">
        <v>352</v>
      </c>
      <c r="V239" s="642">
        <v>0</v>
      </c>
      <c r="W239" s="642">
        <v>0</v>
      </c>
      <c r="X239" s="642">
        <v>0</v>
      </c>
      <c r="Y239" s="642">
        <v>0</v>
      </c>
      <c r="Z239" s="642">
        <v>0</v>
      </c>
      <c r="AA239" s="642">
        <v>0</v>
      </c>
      <c r="AB239" s="652">
        <v>86.654179241552072</v>
      </c>
      <c r="AC239" s="652">
        <v>0</v>
      </c>
      <c r="AD239" s="652">
        <v>0</v>
      </c>
      <c r="AE239" s="652">
        <v>-80.913339866799248</v>
      </c>
      <c r="AF239" s="652">
        <v>0</v>
      </c>
      <c r="AG239" s="652">
        <v>0</v>
      </c>
      <c r="AH239" s="642">
        <v>0</v>
      </c>
      <c r="AI239" s="642">
        <v>0</v>
      </c>
      <c r="AJ239" s="642">
        <v>0</v>
      </c>
      <c r="AK239" s="650">
        <v>5.7408393747528237</v>
      </c>
    </row>
    <row r="240" spans="3:37" ht="13.5">
      <c r="C240" s="648" t="s">
        <v>353</v>
      </c>
      <c r="D240" s="642">
        <v>0</v>
      </c>
      <c r="E240" s="642">
        <v>0</v>
      </c>
      <c r="F240" s="642">
        <v>0</v>
      </c>
      <c r="G240" s="642">
        <v>0</v>
      </c>
      <c r="H240" s="642">
        <v>0</v>
      </c>
      <c r="I240" s="642">
        <v>0</v>
      </c>
      <c r="J240" s="642">
        <v>0</v>
      </c>
      <c r="K240" s="642">
        <v>0</v>
      </c>
      <c r="L240" s="642">
        <v>0</v>
      </c>
      <c r="M240" s="642">
        <v>0</v>
      </c>
      <c r="N240" s="642">
        <v>0</v>
      </c>
      <c r="O240" s="642">
        <v>0</v>
      </c>
      <c r="P240" s="642">
        <v>0</v>
      </c>
      <c r="Q240" s="642">
        <v>0</v>
      </c>
      <c r="R240" s="642">
        <v>0</v>
      </c>
      <c r="S240" s="650">
        <v>0</v>
      </c>
      <c r="U240" s="648" t="s">
        <v>353</v>
      </c>
      <c r="V240" s="642">
        <v>0</v>
      </c>
      <c r="W240" s="642">
        <v>0</v>
      </c>
      <c r="X240" s="642">
        <v>0</v>
      </c>
      <c r="Y240" s="642">
        <v>0</v>
      </c>
      <c r="Z240" s="642">
        <v>0</v>
      </c>
      <c r="AA240" s="642">
        <v>0</v>
      </c>
      <c r="AB240" s="642">
        <v>0</v>
      </c>
      <c r="AC240" s="642">
        <v>0</v>
      </c>
      <c r="AD240" s="642">
        <v>0</v>
      </c>
      <c r="AE240" s="642">
        <v>0</v>
      </c>
      <c r="AF240" s="642">
        <v>0</v>
      </c>
      <c r="AG240" s="642">
        <v>0</v>
      </c>
      <c r="AH240" s="642">
        <v>0</v>
      </c>
      <c r="AI240" s="642">
        <v>0</v>
      </c>
      <c r="AJ240" s="642">
        <v>0</v>
      </c>
      <c r="AK240" s="650">
        <v>0</v>
      </c>
    </row>
    <row r="241" spans="3:37" ht="13.5">
      <c r="C241" s="648" t="s">
        <v>72</v>
      </c>
      <c r="D241" s="642">
        <v>0</v>
      </c>
      <c r="E241" s="642">
        <v>501.8858109321676</v>
      </c>
      <c r="F241" s="642">
        <v>-496.86695282284592</v>
      </c>
      <c r="G241" s="642">
        <v>0</v>
      </c>
      <c r="H241" s="642">
        <v>0</v>
      </c>
      <c r="I241" s="642">
        <v>0</v>
      </c>
      <c r="J241" s="642">
        <v>0</v>
      </c>
      <c r="K241" s="642">
        <v>0</v>
      </c>
      <c r="L241" s="642">
        <v>0</v>
      </c>
      <c r="M241" s="642">
        <v>0</v>
      </c>
      <c r="N241" s="642">
        <v>0</v>
      </c>
      <c r="O241" s="642">
        <v>0</v>
      </c>
      <c r="P241" s="642">
        <v>0</v>
      </c>
      <c r="Q241" s="642">
        <v>0</v>
      </c>
      <c r="R241" s="642">
        <v>0</v>
      </c>
      <c r="S241" s="650">
        <v>5.018858109321684</v>
      </c>
      <c r="U241" s="648" t="s">
        <v>72</v>
      </c>
      <c r="V241" s="642">
        <v>0</v>
      </c>
      <c r="W241" s="642">
        <v>196.75884188687598</v>
      </c>
      <c r="X241" s="642">
        <v>-194.79125346800723</v>
      </c>
      <c r="Y241" s="642">
        <v>0</v>
      </c>
      <c r="Z241" s="642">
        <v>0</v>
      </c>
      <c r="AA241" s="642">
        <v>0</v>
      </c>
      <c r="AB241" s="642">
        <v>0</v>
      </c>
      <c r="AC241" s="642">
        <v>0</v>
      </c>
      <c r="AD241" s="642">
        <v>0</v>
      </c>
      <c r="AE241" s="642">
        <v>0</v>
      </c>
      <c r="AF241" s="642">
        <v>0</v>
      </c>
      <c r="AG241" s="642">
        <v>0</v>
      </c>
      <c r="AH241" s="642">
        <v>0</v>
      </c>
      <c r="AI241" s="642">
        <v>0</v>
      </c>
      <c r="AJ241" s="642">
        <v>0</v>
      </c>
      <c r="AK241" s="650">
        <v>1.9675884188687576</v>
      </c>
    </row>
    <row r="242" spans="3:37" ht="13.5">
      <c r="C242" s="648" t="s">
        <v>354</v>
      </c>
      <c r="D242" s="642">
        <v>0</v>
      </c>
      <c r="E242" s="642">
        <v>0</v>
      </c>
      <c r="F242" s="642">
        <v>0</v>
      </c>
      <c r="G242" s="642">
        <v>0</v>
      </c>
      <c r="H242" s="642">
        <v>0</v>
      </c>
      <c r="I242" s="642">
        <v>0</v>
      </c>
      <c r="J242" s="642">
        <v>26.867608526350821</v>
      </c>
      <c r="K242" s="642">
        <v>0</v>
      </c>
      <c r="L242" s="642">
        <v>-26.867608526350821</v>
      </c>
      <c r="M242" s="642">
        <v>0</v>
      </c>
      <c r="N242" s="642">
        <v>0</v>
      </c>
      <c r="O242" s="642">
        <v>0</v>
      </c>
      <c r="P242" s="642">
        <v>0</v>
      </c>
      <c r="Q242" s="642">
        <v>0</v>
      </c>
      <c r="R242" s="642">
        <v>0</v>
      </c>
      <c r="S242" s="650">
        <v>0</v>
      </c>
      <c r="U242" s="648" t="s">
        <v>354</v>
      </c>
      <c r="V242" s="642">
        <v>0</v>
      </c>
      <c r="W242" s="642">
        <v>0</v>
      </c>
      <c r="X242" s="642">
        <v>0</v>
      </c>
      <c r="Y242" s="642">
        <v>0</v>
      </c>
      <c r="Z242" s="642">
        <v>0</v>
      </c>
      <c r="AA242" s="642">
        <v>0</v>
      </c>
      <c r="AB242" s="642" t="e">
        <v>#VALUE!</v>
      </c>
      <c r="AC242" s="642">
        <v>0</v>
      </c>
      <c r="AD242" s="642">
        <v>-99.513749603669936</v>
      </c>
      <c r="AE242" s="642">
        <v>0</v>
      </c>
      <c r="AF242" s="642">
        <v>0</v>
      </c>
      <c r="AG242" s="642">
        <v>0</v>
      </c>
      <c r="AH242" s="642">
        <v>0</v>
      </c>
      <c r="AI242" s="642">
        <v>0</v>
      </c>
      <c r="AJ242" s="642">
        <v>0</v>
      </c>
      <c r="AK242" s="650">
        <v>-99.513749603669936</v>
      </c>
    </row>
    <row r="243" spans="3:37" ht="13.5">
      <c r="C243" s="648" t="s">
        <v>355</v>
      </c>
      <c r="D243" s="642">
        <v>0</v>
      </c>
      <c r="E243" s="642">
        <v>0</v>
      </c>
      <c r="F243" s="642">
        <v>0</v>
      </c>
      <c r="G243" s="642">
        <v>0</v>
      </c>
      <c r="H243" s="642">
        <v>0</v>
      </c>
      <c r="I243" s="642">
        <v>0</v>
      </c>
      <c r="J243" s="642">
        <v>0</v>
      </c>
      <c r="K243" s="642">
        <v>0</v>
      </c>
      <c r="L243" s="642">
        <v>0</v>
      </c>
      <c r="M243" s="642">
        <v>0</v>
      </c>
      <c r="N243" s="642">
        <v>0</v>
      </c>
      <c r="O243" s="642">
        <v>0</v>
      </c>
      <c r="P243" s="642">
        <v>0</v>
      </c>
      <c r="Q243" s="642">
        <v>0</v>
      </c>
      <c r="R243" s="642">
        <v>0</v>
      </c>
      <c r="S243" s="650">
        <v>0</v>
      </c>
      <c r="U243" s="648" t="s">
        <v>355</v>
      </c>
      <c r="V243" s="642">
        <v>0</v>
      </c>
      <c r="W243" s="642">
        <v>0</v>
      </c>
      <c r="X243" s="642">
        <v>0</v>
      </c>
      <c r="Y243" s="642">
        <v>0</v>
      </c>
      <c r="Z243" s="642">
        <v>0</v>
      </c>
      <c r="AA243" s="642">
        <v>0</v>
      </c>
      <c r="AB243" s="642">
        <v>0</v>
      </c>
      <c r="AC243" s="642">
        <v>0</v>
      </c>
      <c r="AD243" s="642">
        <v>-17.985934640167208</v>
      </c>
      <c r="AE243" s="642">
        <v>0</v>
      </c>
      <c r="AF243" s="642">
        <v>0</v>
      </c>
      <c r="AG243" s="642">
        <v>0</v>
      </c>
      <c r="AH243" s="642">
        <v>0</v>
      </c>
      <c r="AI243" s="642">
        <v>0</v>
      </c>
      <c r="AJ243" s="642">
        <v>0</v>
      </c>
      <c r="AK243" s="650">
        <v>-17.985934640167208</v>
      </c>
    </row>
    <row r="244" spans="3:37" ht="13.5">
      <c r="C244" s="648" t="s">
        <v>73</v>
      </c>
      <c r="D244" s="642">
        <v>0</v>
      </c>
      <c r="E244" s="642">
        <v>0</v>
      </c>
      <c r="F244" s="642">
        <v>0</v>
      </c>
      <c r="G244" s="642">
        <v>7.0830222331165276</v>
      </c>
      <c r="H244" s="642">
        <v>0</v>
      </c>
      <c r="I244" s="642">
        <v>0</v>
      </c>
      <c r="J244" s="642">
        <v>0</v>
      </c>
      <c r="K244" s="642">
        <v>8.2131519400701847E-2</v>
      </c>
      <c r="L244" s="642">
        <v>0</v>
      </c>
      <c r="M244" s="642">
        <v>0.14455147414523528</v>
      </c>
      <c r="N244" s="642">
        <v>0</v>
      </c>
      <c r="O244" s="642">
        <v>0</v>
      </c>
      <c r="P244" s="642">
        <v>0.90023160054861806</v>
      </c>
      <c r="Q244" s="642">
        <v>0</v>
      </c>
      <c r="R244" s="642">
        <v>-5.7492063580491291</v>
      </c>
      <c r="S244" s="650">
        <v>2.4607304691619536</v>
      </c>
      <c r="U244" s="648" t="s">
        <v>73</v>
      </c>
      <c r="V244" s="642">
        <v>0</v>
      </c>
      <c r="W244" s="642">
        <v>0</v>
      </c>
      <c r="X244" s="642">
        <v>0</v>
      </c>
      <c r="Y244" s="642">
        <v>2.5209228009552263</v>
      </c>
      <c r="Z244" s="642">
        <v>0</v>
      </c>
      <c r="AA244" s="642">
        <v>0</v>
      </c>
      <c r="AB244" s="642">
        <v>0</v>
      </c>
      <c r="AC244" s="642">
        <v>0.50418456019104518</v>
      </c>
      <c r="AD244" s="642">
        <v>0</v>
      </c>
      <c r="AE244" s="642">
        <v>2.5209228009552263</v>
      </c>
      <c r="AF244" s="642">
        <v>0</v>
      </c>
      <c r="AG244" s="642">
        <v>0</v>
      </c>
      <c r="AH244" s="642">
        <v>44.712737508757456</v>
      </c>
      <c r="AI244" s="642">
        <v>0</v>
      </c>
      <c r="AJ244" s="642">
        <v>-35.29291921337316</v>
      </c>
      <c r="AK244" s="650">
        <v>14.965848457485791</v>
      </c>
    </row>
    <row r="245" spans="3:37" ht="13.5">
      <c r="C245" s="648" t="s">
        <v>356</v>
      </c>
      <c r="D245" s="642">
        <v>28.568314687499999</v>
      </c>
      <c r="E245" s="642">
        <v>-17.390343348799608</v>
      </c>
      <c r="F245" s="642">
        <v>22.745541936068136</v>
      </c>
      <c r="G245" s="642">
        <v>0</v>
      </c>
      <c r="H245" s="642">
        <v>0</v>
      </c>
      <c r="I245" s="642">
        <v>0</v>
      </c>
      <c r="J245" s="642">
        <v>0</v>
      </c>
      <c r="K245" s="642">
        <v>0</v>
      </c>
      <c r="L245" s="642">
        <v>0</v>
      </c>
      <c r="M245" s="642">
        <v>0</v>
      </c>
      <c r="N245" s="642">
        <v>0</v>
      </c>
      <c r="O245" s="642">
        <v>0</v>
      </c>
      <c r="P245" s="642">
        <v>0</v>
      </c>
      <c r="Q245" s="642">
        <v>0</v>
      </c>
      <c r="R245" s="642">
        <v>0</v>
      </c>
      <c r="S245" s="650">
        <v>33.923513274768524</v>
      </c>
      <c r="U245" s="648" t="s">
        <v>356</v>
      </c>
      <c r="V245" s="642">
        <v>1.4001075134277343</v>
      </c>
      <c r="W245" s="642">
        <v>-6.8176938713802535</v>
      </c>
      <c r="X245" s="642">
        <v>8.9171408952922331</v>
      </c>
      <c r="Y245" s="642">
        <v>0</v>
      </c>
      <c r="Z245" s="642">
        <v>0</v>
      </c>
      <c r="AA245" s="642">
        <v>0</v>
      </c>
      <c r="AB245" s="642">
        <v>0</v>
      </c>
      <c r="AC245" s="642">
        <v>0</v>
      </c>
      <c r="AD245" s="642">
        <v>0</v>
      </c>
      <c r="AE245" s="642">
        <v>0</v>
      </c>
      <c r="AF245" s="642">
        <v>0</v>
      </c>
      <c r="AG245" s="642">
        <v>0</v>
      </c>
      <c r="AH245" s="642">
        <v>0</v>
      </c>
      <c r="AI245" s="642">
        <v>0</v>
      </c>
      <c r="AJ245" s="642">
        <v>0</v>
      </c>
      <c r="AK245" s="650">
        <v>3.4995545373397139</v>
      </c>
    </row>
    <row r="246" spans="3:37" ht="13.5">
      <c r="C246" s="648" t="s">
        <v>75</v>
      </c>
      <c r="D246" s="642">
        <v>11.109900156250001</v>
      </c>
      <c r="E246" s="642">
        <v>0</v>
      </c>
      <c r="F246" s="642">
        <v>17.0641175716937</v>
      </c>
      <c r="G246" s="642">
        <v>4.8692961376638904</v>
      </c>
      <c r="H246" s="642">
        <v>0</v>
      </c>
      <c r="I246" s="642">
        <v>0</v>
      </c>
      <c r="J246" s="642">
        <v>0</v>
      </c>
      <c r="K246" s="642">
        <v>0</v>
      </c>
      <c r="L246" s="642">
        <v>0</v>
      </c>
      <c r="M246" s="642">
        <v>9.9373390564569189E-2</v>
      </c>
      <c r="N246" s="642">
        <v>0</v>
      </c>
      <c r="O246" s="642">
        <v>0</v>
      </c>
      <c r="P246" s="642">
        <v>27.977940148174714</v>
      </c>
      <c r="Q246" s="642">
        <v>0</v>
      </c>
      <c r="R246" s="642">
        <v>0</v>
      </c>
      <c r="S246" s="650">
        <v>61.12062740434687</v>
      </c>
      <c r="U246" s="648" t="s">
        <v>75</v>
      </c>
      <c r="V246" s="642">
        <v>2.585423095703125</v>
      </c>
      <c r="W246" s="642">
        <v>0</v>
      </c>
      <c r="X246" s="642">
        <v>17.0641175716937</v>
      </c>
      <c r="Y246" s="642">
        <v>2.4843347641142297</v>
      </c>
      <c r="Z246" s="642">
        <v>0</v>
      </c>
      <c r="AA246" s="642">
        <v>0</v>
      </c>
      <c r="AB246" s="642">
        <v>0</v>
      </c>
      <c r="AC246" s="642">
        <v>0</v>
      </c>
      <c r="AD246" s="642">
        <v>0</v>
      </c>
      <c r="AE246" s="642">
        <v>2.4843347641142297</v>
      </c>
      <c r="AF246" s="642">
        <v>0</v>
      </c>
      <c r="AG246" s="642">
        <v>0</v>
      </c>
      <c r="AH246" s="642">
        <v>36.559985602720168</v>
      </c>
      <c r="AI246" s="642">
        <v>0</v>
      </c>
      <c r="AJ246" s="642">
        <v>0</v>
      </c>
      <c r="AK246" s="650">
        <v>61.178195798345449</v>
      </c>
    </row>
    <row r="247" spans="3:37" ht="13.5">
      <c r="C247" s="648" t="s">
        <v>76</v>
      </c>
      <c r="D247" s="642">
        <v>0</v>
      </c>
      <c r="E247" s="642">
        <v>0</v>
      </c>
      <c r="F247" s="642">
        <v>0</v>
      </c>
      <c r="G247" s="642">
        <v>3.7302503173667452</v>
      </c>
      <c r="H247" s="642">
        <v>0</v>
      </c>
      <c r="I247" s="642">
        <v>0</v>
      </c>
      <c r="J247" s="642">
        <v>0</v>
      </c>
      <c r="K247" s="642">
        <v>0</v>
      </c>
      <c r="L247" s="642">
        <v>0</v>
      </c>
      <c r="M247" s="642">
        <v>7.6127557497280507E-2</v>
      </c>
      <c r="N247" s="642">
        <v>0</v>
      </c>
      <c r="O247" s="642">
        <v>0</v>
      </c>
      <c r="P247" s="642">
        <v>45.919010237367587</v>
      </c>
      <c r="Q247" s="642">
        <v>2.9343505562312622</v>
      </c>
      <c r="R247" s="642">
        <v>0</v>
      </c>
      <c r="S247" s="650">
        <v>52.659738668462872</v>
      </c>
      <c r="U247" s="648" t="s">
        <v>76</v>
      </c>
      <c r="V247" s="642">
        <v>0</v>
      </c>
      <c r="W247" s="642">
        <v>0</v>
      </c>
      <c r="X247" s="642">
        <v>0</v>
      </c>
      <c r="Y247" s="642">
        <v>0.95944671778813329</v>
      </c>
      <c r="Z247" s="642">
        <v>0</v>
      </c>
      <c r="AA247" s="642">
        <v>0</v>
      </c>
      <c r="AB247" s="642">
        <v>0</v>
      </c>
      <c r="AC247" s="642">
        <v>0</v>
      </c>
      <c r="AD247" s="642">
        <v>0</v>
      </c>
      <c r="AE247" s="642">
        <v>0.95944671778813329</v>
      </c>
      <c r="AF247" s="642">
        <v>0</v>
      </c>
      <c r="AG247" s="642">
        <v>0</v>
      </c>
      <c r="AH247" s="642">
        <v>49.138117436745475</v>
      </c>
      <c r="AI247" s="642">
        <v>5.7424951548403769</v>
      </c>
      <c r="AJ247" s="642">
        <v>0</v>
      </c>
      <c r="AK247" s="650">
        <v>56.799506027162117</v>
      </c>
    </row>
    <row r="248" spans="3:37" ht="13.5">
      <c r="C248" s="646" t="s">
        <v>77</v>
      </c>
      <c r="D248" s="647">
        <v>42.505000484775252</v>
      </c>
      <c r="E248" s="647">
        <v>484.495467583368</v>
      </c>
      <c r="F248" s="647">
        <v>-449.13421563675462</v>
      </c>
      <c r="G248" s="647">
        <v>47.207234809306371</v>
      </c>
      <c r="H248" s="647">
        <v>843.18181818181824</v>
      </c>
      <c r="I248" s="647">
        <v>306.94588327561422</v>
      </c>
      <c r="J248" s="647">
        <v>75.087544766016393</v>
      </c>
      <c r="K248" s="647">
        <v>18.554763704158422</v>
      </c>
      <c r="L248" s="647">
        <v>-23.523971773378101</v>
      </c>
      <c r="M248" s="647">
        <v>-5.3154503193453246</v>
      </c>
      <c r="N248" s="647">
        <v>0</v>
      </c>
      <c r="O248" s="647">
        <v>9.1176200722123912</v>
      </c>
      <c r="P248" s="647">
        <v>-542.13274839202359</v>
      </c>
      <c r="Q248" s="647">
        <v>-34.870731395116664</v>
      </c>
      <c r="R248" s="647">
        <v>-5.7492063580491291</v>
      </c>
      <c r="S248" s="647">
        <v>766.36900900260184</v>
      </c>
      <c r="U248" s="646" t="s">
        <v>77</v>
      </c>
      <c r="V248" s="647">
        <v>4.6118455145895494</v>
      </c>
      <c r="W248" s="647">
        <v>189.94114801549574</v>
      </c>
      <c r="X248" s="647">
        <v>-164.75055368632826</v>
      </c>
      <c r="Y248" s="647">
        <v>14.771936460533603</v>
      </c>
      <c r="Z248" s="647">
        <v>842.12121212121212</v>
      </c>
      <c r="AA248" s="647">
        <v>361.66588327561419</v>
      </c>
      <c r="AB248" s="647">
        <v>138.19810981289308</v>
      </c>
      <c r="AC248" s="647">
        <v>31.958068806629939</v>
      </c>
      <c r="AD248" s="647">
        <v>-114.15604749086444</v>
      </c>
      <c r="AE248" s="647">
        <v>-66.000175998632287</v>
      </c>
      <c r="AF248" s="647">
        <v>0</v>
      </c>
      <c r="AG248" s="647">
        <v>19.568792039795159</v>
      </c>
      <c r="AH248" s="647">
        <v>-532.33908982989124</v>
      </c>
      <c r="AI248" s="647">
        <v>-68.301024235701377</v>
      </c>
      <c r="AJ248" s="647">
        <v>-31.04291921337316</v>
      </c>
      <c r="AK248" s="647">
        <v>626.24718559197242</v>
      </c>
    </row>
    <row r="249" spans="3:37" ht="13">
      <c r="C249" s="636"/>
      <c r="D249" s="636">
        <v>0</v>
      </c>
      <c r="E249" s="636">
        <v>0</v>
      </c>
      <c r="F249" s="636">
        <v>0</v>
      </c>
      <c r="G249" s="636">
        <v>0</v>
      </c>
      <c r="H249" s="636">
        <v>0</v>
      </c>
      <c r="I249" s="636">
        <v>0</v>
      </c>
      <c r="J249" s="636">
        <v>0</v>
      </c>
      <c r="K249" s="636">
        <v>0</v>
      </c>
      <c r="L249" s="636">
        <v>0</v>
      </c>
      <c r="M249" s="636">
        <v>0</v>
      </c>
      <c r="N249" s="636">
        <v>0</v>
      </c>
      <c r="O249" s="636">
        <v>0</v>
      </c>
      <c r="P249" s="636">
        <v>0</v>
      </c>
      <c r="Q249" s="636">
        <v>0</v>
      </c>
      <c r="R249" s="636">
        <v>0</v>
      </c>
      <c r="S249" s="636">
        <v>0</v>
      </c>
      <c r="U249" s="636"/>
      <c r="V249" s="636">
        <v>0</v>
      </c>
      <c r="W249" s="636">
        <v>0</v>
      </c>
      <c r="X249" s="636">
        <v>0</v>
      </c>
      <c r="Y249" s="636">
        <v>0</v>
      </c>
      <c r="Z249" s="636">
        <v>0</v>
      </c>
      <c r="AA249" s="636">
        <v>0</v>
      </c>
      <c r="AB249" s="636">
        <v>0</v>
      </c>
      <c r="AC249" s="636">
        <v>0</v>
      </c>
      <c r="AD249" s="636">
        <v>0</v>
      </c>
      <c r="AE249" s="636">
        <v>0</v>
      </c>
      <c r="AF249" s="636">
        <v>0</v>
      </c>
      <c r="AG249" s="636">
        <v>0</v>
      </c>
      <c r="AH249" s="636">
        <v>0</v>
      </c>
      <c r="AI249" s="636">
        <v>0</v>
      </c>
      <c r="AJ249" s="636">
        <v>0</v>
      </c>
      <c r="AK249" s="636">
        <v>0</v>
      </c>
    </row>
    <row r="250" spans="3:37" ht="13.5">
      <c r="C250" s="648" t="s">
        <v>78</v>
      </c>
      <c r="D250" s="642">
        <v>4.6398193944555786</v>
      </c>
      <c r="E250" s="642">
        <v>0</v>
      </c>
      <c r="F250" s="642">
        <v>20.598782441852151</v>
      </c>
      <c r="G250" s="642">
        <v>94.839699954986926</v>
      </c>
      <c r="H250" s="642">
        <v>0</v>
      </c>
      <c r="I250" s="642">
        <v>0</v>
      </c>
      <c r="J250" s="642">
        <v>21.821162214793436</v>
      </c>
      <c r="K250" s="642">
        <v>1.7366010173968038</v>
      </c>
      <c r="L250" s="642">
        <v>0.96096945898437491</v>
      </c>
      <c r="M250" s="642">
        <v>1.9539169420126139</v>
      </c>
      <c r="N250" s="642">
        <v>0</v>
      </c>
      <c r="O250" s="642">
        <v>3.7537634069694789E-4</v>
      </c>
      <c r="P250" s="642">
        <v>113.419965125608</v>
      </c>
      <c r="Q250" s="642">
        <v>16.150451210263412</v>
      </c>
      <c r="R250" s="642">
        <v>0.26695886230468752</v>
      </c>
      <c r="S250" s="650">
        <v>276.38870199899873</v>
      </c>
      <c r="U250" s="648" t="s">
        <v>78</v>
      </c>
      <c r="V250" s="642">
        <v>1.264986561669641</v>
      </c>
      <c r="W250" s="642">
        <v>0</v>
      </c>
      <c r="X250" s="642">
        <v>4.4259635061357878</v>
      </c>
      <c r="Y250" s="642">
        <v>33.008089674756327</v>
      </c>
      <c r="Z250" s="642">
        <v>0</v>
      </c>
      <c r="AA250" s="642">
        <v>0</v>
      </c>
      <c r="AB250" s="642">
        <v>14.926911405045434</v>
      </c>
      <c r="AC250" s="642">
        <v>4.7591564459641997</v>
      </c>
      <c r="AD250" s="642">
        <v>6.4130046386718744</v>
      </c>
      <c r="AE250" s="642">
        <v>33.02650253605492</v>
      </c>
      <c r="AF250" s="642">
        <v>0</v>
      </c>
      <c r="AG250" s="642">
        <v>3.7537634069694789E-4</v>
      </c>
      <c r="AH250" s="642">
        <v>148.98135712801343</v>
      </c>
      <c r="AI250" s="642">
        <v>24.187634778338289</v>
      </c>
      <c r="AJ250" s="642">
        <v>7.9027373046875002</v>
      </c>
      <c r="AK250" s="650">
        <v>278.8967193556781</v>
      </c>
    </row>
    <row r="251" spans="3:37" ht="13.5">
      <c r="C251" s="648" t="s">
        <v>79</v>
      </c>
      <c r="D251" s="642">
        <v>0</v>
      </c>
      <c r="E251" s="642">
        <v>0</v>
      </c>
      <c r="F251" s="642">
        <v>225.72324837131151</v>
      </c>
      <c r="G251" s="642">
        <v>31.930807664827714</v>
      </c>
      <c r="H251" s="642">
        <v>0</v>
      </c>
      <c r="I251" s="642">
        <v>0</v>
      </c>
      <c r="J251" s="642">
        <v>0</v>
      </c>
      <c r="K251" s="642">
        <v>0</v>
      </c>
      <c r="L251" s="642">
        <v>21.777356740546686</v>
      </c>
      <c r="M251" s="642">
        <v>0.65164913601689212</v>
      </c>
      <c r="N251" s="642">
        <v>0</v>
      </c>
      <c r="O251" s="642">
        <v>0</v>
      </c>
      <c r="P251" s="642">
        <v>72.885841088882287</v>
      </c>
      <c r="Q251" s="642">
        <v>0</v>
      </c>
      <c r="R251" s="642">
        <v>2.6521266956987635</v>
      </c>
      <c r="S251" s="650">
        <v>355.62102969728386</v>
      </c>
      <c r="U251" s="648" t="s">
        <v>79</v>
      </c>
      <c r="V251" s="642">
        <v>0</v>
      </c>
      <c r="W251" s="642">
        <v>0</v>
      </c>
      <c r="X251" s="642">
        <v>19.003305935487372</v>
      </c>
      <c r="Y251" s="642">
        <v>13.267062862305856</v>
      </c>
      <c r="Z251" s="642">
        <v>0</v>
      </c>
      <c r="AA251" s="642">
        <v>0</v>
      </c>
      <c r="AB251" s="642">
        <v>0</v>
      </c>
      <c r="AC251" s="642">
        <v>0</v>
      </c>
      <c r="AD251" s="642">
        <v>27.757428454399612</v>
      </c>
      <c r="AE251" s="642">
        <v>13.267062862305856</v>
      </c>
      <c r="AF251" s="642">
        <v>0</v>
      </c>
      <c r="AG251" s="642">
        <v>0</v>
      </c>
      <c r="AH251" s="642">
        <v>94.556676700547257</v>
      </c>
      <c r="AI251" s="642">
        <v>0</v>
      </c>
      <c r="AJ251" s="642">
        <v>6.3130917169295051</v>
      </c>
      <c r="AK251" s="650">
        <v>174.16462853197544</v>
      </c>
    </row>
    <row r="252" spans="3:37" ht="13.5">
      <c r="C252" s="648" t="s">
        <v>80</v>
      </c>
      <c r="D252" s="642">
        <v>0</v>
      </c>
      <c r="E252" s="642">
        <v>0</v>
      </c>
      <c r="F252" s="642">
        <v>11.075929176351762</v>
      </c>
      <c r="G252" s="642">
        <v>76.664751333295058</v>
      </c>
      <c r="H252" s="642">
        <v>0</v>
      </c>
      <c r="I252" s="642">
        <v>0</v>
      </c>
      <c r="J252" s="642">
        <v>88.320247059496523</v>
      </c>
      <c r="K252" s="642">
        <v>0</v>
      </c>
      <c r="L252" s="642">
        <v>0</v>
      </c>
      <c r="M252" s="642">
        <v>1.5645867619039808</v>
      </c>
      <c r="N252" s="642">
        <v>59.616390446150973</v>
      </c>
      <c r="O252" s="642">
        <v>2.0734984243972754</v>
      </c>
      <c r="P252" s="642">
        <v>190.93239321884863</v>
      </c>
      <c r="Q252" s="642">
        <v>15.360003531773184</v>
      </c>
      <c r="R252" s="642">
        <v>0</v>
      </c>
      <c r="S252" s="650">
        <v>445.60779995221742</v>
      </c>
      <c r="U252" s="648" t="s">
        <v>80</v>
      </c>
      <c r="V252" s="642">
        <v>0</v>
      </c>
      <c r="W252" s="642">
        <v>0</v>
      </c>
      <c r="X252" s="642">
        <v>0.97925934500211753</v>
      </c>
      <c r="Y252" s="642">
        <v>9.8253088649292142</v>
      </c>
      <c r="Z252" s="642">
        <v>0</v>
      </c>
      <c r="AA252" s="642">
        <v>0</v>
      </c>
      <c r="AB252" s="642">
        <v>50.204880630535357</v>
      </c>
      <c r="AC252" s="642">
        <v>0</v>
      </c>
      <c r="AD252" s="642">
        <v>0</v>
      </c>
      <c r="AE252" s="642">
        <v>9.8253088649292142</v>
      </c>
      <c r="AF252" s="642">
        <v>95.02342184325245</v>
      </c>
      <c r="AG252" s="642">
        <v>4.208312775429496</v>
      </c>
      <c r="AH252" s="642">
        <v>144.38732956018927</v>
      </c>
      <c r="AI252" s="642">
        <v>30.75075127630511</v>
      </c>
      <c r="AJ252" s="642">
        <v>0</v>
      </c>
      <c r="AK252" s="650">
        <v>345.20457316057224</v>
      </c>
    </row>
    <row r="253" spans="3:37" ht="13.5">
      <c r="C253" s="648" t="s">
        <v>81</v>
      </c>
      <c r="D253" s="642">
        <v>0</v>
      </c>
      <c r="E253" s="642">
        <v>0</v>
      </c>
      <c r="F253" s="642">
        <v>2.6743117433405894</v>
      </c>
      <c r="G253" s="642">
        <v>62.987223173923248</v>
      </c>
      <c r="H253" s="642">
        <v>0</v>
      </c>
      <c r="I253" s="642">
        <v>0</v>
      </c>
      <c r="J253" s="642">
        <v>3.1384766478070549</v>
      </c>
      <c r="K253" s="642">
        <v>2.5274117631643136E-2</v>
      </c>
      <c r="L253" s="642">
        <v>0</v>
      </c>
      <c r="M253" s="642">
        <v>1.2854535341616988</v>
      </c>
      <c r="N253" s="642">
        <v>8.34801759276524</v>
      </c>
      <c r="O253" s="642">
        <v>0.71507622546549865</v>
      </c>
      <c r="P253" s="642">
        <v>142.0321146826426</v>
      </c>
      <c r="Q253" s="642">
        <v>3.3602766530800707</v>
      </c>
      <c r="R253" s="642">
        <v>0</v>
      </c>
      <c r="S253" s="650">
        <v>224.56622437081765</v>
      </c>
      <c r="U253" s="648" t="s">
        <v>81</v>
      </c>
      <c r="V253" s="642">
        <v>0</v>
      </c>
      <c r="W253" s="642">
        <v>0</v>
      </c>
      <c r="X253" s="642">
        <v>1.2256055704751125</v>
      </c>
      <c r="Y253" s="642">
        <v>7.2918833253665882</v>
      </c>
      <c r="Z253" s="642">
        <v>0</v>
      </c>
      <c r="AA253" s="642">
        <v>0</v>
      </c>
      <c r="AB253" s="642">
        <v>6.8658928642747856</v>
      </c>
      <c r="AC253" s="642">
        <v>2.5274117631643136E-2</v>
      </c>
      <c r="AD253" s="642">
        <v>0</v>
      </c>
      <c r="AE253" s="642">
        <v>7.2918833253665882</v>
      </c>
      <c r="AF253" s="642">
        <v>14.828462979838848</v>
      </c>
      <c r="AG253" s="642">
        <v>1.5197231438340593</v>
      </c>
      <c r="AH253" s="642">
        <v>114.40426288608282</v>
      </c>
      <c r="AI253" s="642">
        <v>13.362638181057982</v>
      </c>
      <c r="AJ253" s="642">
        <v>0</v>
      </c>
      <c r="AK253" s="650">
        <v>166.8156263939284</v>
      </c>
    </row>
    <row r="254" spans="3:37" ht="13.5">
      <c r="C254" s="648" t="s">
        <v>82</v>
      </c>
      <c r="D254" s="642">
        <v>0</v>
      </c>
      <c r="E254" s="642">
        <v>0</v>
      </c>
      <c r="F254" s="642">
        <v>27.931723909553636</v>
      </c>
      <c r="G254" s="642">
        <v>0.95472649492283324</v>
      </c>
      <c r="H254" s="642">
        <v>0</v>
      </c>
      <c r="I254" s="642">
        <v>0</v>
      </c>
      <c r="J254" s="642">
        <v>4.6306119511950978</v>
      </c>
      <c r="K254" s="642">
        <v>0</v>
      </c>
      <c r="L254" s="642">
        <v>3.1934862443619529</v>
      </c>
      <c r="M254" s="642">
        <v>1.9484214182098638E-2</v>
      </c>
      <c r="N254" s="642">
        <v>0</v>
      </c>
      <c r="O254" s="642">
        <v>6.6456137421005312E-2</v>
      </c>
      <c r="P254" s="642">
        <v>5.7660712732306445</v>
      </c>
      <c r="Q254" s="642">
        <v>0</v>
      </c>
      <c r="R254" s="642">
        <v>0</v>
      </c>
      <c r="S254" s="650">
        <v>42.562560224867276</v>
      </c>
      <c r="U254" s="648" t="s">
        <v>82</v>
      </c>
      <c r="V254" s="642">
        <v>0</v>
      </c>
      <c r="W254" s="642">
        <v>0</v>
      </c>
      <c r="X254" s="642">
        <v>3.5775053425595864</v>
      </c>
      <c r="Y254" s="642">
        <v>0.56393102033742082</v>
      </c>
      <c r="Z254" s="642">
        <v>0</v>
      </c>
      <c r="AA254" s="642">
        <v>0</v>
      </c>
      <c r="AB254" s="642">
        <v>4.6306119511950978</v>
      </c>
      <c r="AC254" s="642">
        <v>0</v>
      </c>
      <c r="AD254" s="642">
        <v>32.861113305842508</v>
      </c>
      <c r="AE254" s="642">
        <v>0.56393102033742082</v>
      </c>
      <c r="AF254" s="642">
        <v>0</v>
      </c>
      <c r="AG254" s="642">
        <v>1.7440136932478227</v>
      </c>
      <c r="AH254" s="642">
        <v>5.8866318405152116</v>
      </c>
      <c r="AI254" s="642">
        <v>0</v>
      </c>
      <c r="AJ254" s="642">
        <v>0.38427420359697795</v>
      </c>
      <c r="AK254" s="650">
        <v>50.21201237763205</v>
      </c>
    </row>
    <row r="255" spans="3:37" ht="13.5">
      <c r="C255" s="648" t="s">
        <v>357</v>
      </c>
      <c r="D255" s="642">
        <v>0</v>
      </c>
      <c r="E255" s="642">
        <v>0</v>
      </c>
      <c r="F255" s="642">
        <v>0</v>
      </c>
      <c r="G255" s="642">
        <v>0</v>
      </c>
      <c r="H255" s="642">
        <v>0</v>
      </c>
      <c r="I255" s="642">
        <v>0</v>
      </c>
      <c r="J255" s="642">
        <v>0</v>
      </c>
      <c r="K255" s="642">
        <v>0</v>
      </c>
      <c r="L255" s="642">
        <v>0</v>
      </c>
      <c r="M255" s="642">
        <v>0</v>
      </c>
      <c r="N255" s="642">
        <v>0</v>
      </c>
      <c r="O255" s="642">
        <v>0</v>
      </c>
      <c r="P255" s="642">
        <v>0.39</v>
      </c>
      <c r="Q255" s="642">
        <v>0</v>
      </c>
      <c r="R255" s="642">
        <v>0</v>
      </c>
      <c r="S255" s="650">
        <v>0.39</v>
      </c>
      <c r="U255" s="648" t="s">
        <v>357</v>
      </c>
      <c r="V255" s="642">
        <v>0</v>
      </c>
      <c r="W255" s="642">
        <v>0</v>
      </c>
      <c r="X255" s="642">
        <v>0</v>
      </c>
      <c r="Y255" s="642">
        <v>0</v>
      </c>
      <c r="Z255" s="642">
        <v>0</v>
      </c>
      <c r="AA255" s="642">
        <v>0</v>
      </c>
      <c r="AB255" s="642">
        <v>0</v>
      </c>
      <c r="AC255" s="642">
        <v>0</v>
      </c>
      <c r="AD255" s="642">
        <v>0</v>
      </c>
      <c r="AE255" s="642">
        <v>0</v>
      </c>
      <c r="AF255" s="642">
        <v>0</v>
      </c>
      <c r="AG255" s="642">
        <v>0</v>
      </c>
      <c r="AH255" s="642">
        <v>3.5999999999999996</v>
      </c>
      <c r="AI255" s="642">
        <v>0</v>
      </c>
      <c r="AJ255" s="642">
        <v>0</v>
      </c>
      <c r="AK255" s="650">
        <v>3.5999999999999996</v>
      </c>
    </row>
    <row r="256" spans="3:37" ht="13.5">
      <c r="C256" s="646" t="s">
        <v>83</v>
      </c>
      <c r="D256" s="647">
        <v>4.6398193944555786</v>
      </c>
      <c r="E256" s="647">
        <v>0</v>
      </c>
      <c r="F256" s="647">
        <v>288.00399564240968</v>
      </c>
      <c r="G256" s="647">
        <v>267.37720862195579</v>
      </c>
      <c r="H256" s="647">
        <v>0</v>
      </c>
      <c r="I256" s="647">
        <v>0</v>
      </c>
      <c r="J256" s="647">
        <v>117.91049787329212</v>
      </c>
      <c r="K256" s="647">
        <v>1.7618751350284469</v>
      </c>
      <c r="L256" s="647">
        <v>25.931812443893016</v>
      </c>
      <c r="M256" s="647">
        <v>5.4750905882772853</v>
      </c>
      <c r="N256" s="647">
        <v>67.964408038916218</v>
      </c>
      <c r="O256" s="647">
        <v>2.8554061636244761</v>
      </c>
      <c r="P256" s="647">
        <v>525.4263853892121</v>
      </c>
      <c r="Q256" s="647">
        <v>34.870731395116664</v>
      </c>
      <c r="R256" s="647">
        <v>2.9190855580034509</v>
      </c>
      <c r="S256" s="647">
        <v>1345.1363162441851</v>
      </c>
      <c r="U256" s="646" t="s">
        <v>83</v>
      </c>
      <c r="V256" s="647">
        <v>1.264986561669641</v>
      </c>
      <c r="W256" s="647">
        <v>0</v>
      </c>
      <c r="X256" s="647">
        <v>29.211639699659976</v>
      </c>
      <c r="Y256" s="647">
        <v>63.956275747695408</v>
      </c>
      <c r="Z256" s="647">
        <v>0</v>
      </c>
      <c r="AA256" s="647">
        <v>0</v>
      </c>
      <c r="AB256" s="647">
        <v>76.628296851050663</v>
      </c>
      <c r="AC256" s="647">
        <v>4.7844305635958433</v>
      </c>
      <c r="AD256" s="647">
        <v>67.031546398914003</v>
      </c>
      <c r="AE256" s="647">
        <v>63.974688608994001</v>
      </c>
      <c r="AF256" s="647">
        <v>109.8518848230913</v>
      </c>
      <c r="AG256" s="647">
        <v>7.4724249888520751</v>
      </c>
      <c r="AH256" s="647">
        <v>511.81625811534803</v>
      </c>
      <c r="AI256" s="647">
        <v>68.301024235701377</v>
      </c>
      <c r="AJ256" s="647">
        <v>14.600103225213982</v>
      </c>
      <c r="AK256" s="647">
        <v>1018.8935598197862</v>
      </c>
    </row>
    <row r="257" spans="3:37" ht="13.5">
      <c r="C257" s="641" t="s">
        <v>84</v>
      </c>
      <c r="D257" s="642">
        <v>0</v>
      </c>
      <c r="E257" s="642">
        <v>0</v>
      </c>
      <c r="F257" s="642">
        <v>104.91003257681685</v>
      </c>
      <c r="G257" s="642">
        <v>11.505661507854215</v>
      </c>
      <c r="H257" s="642">
        <v>0</v>
      </c>
      <c r="I257" s="642">
        <v>0</v>
      </c>
      <c r="J257" s="642">
        <v>0</v>
      </c>
      <c r="K257" s="642">
        <v>0</v>
      </c>
      <c r="L257" s="642">
        <v>0</v>
      </c>
      <c r="M257" s="642">
        <v>0</v>
      </c>
      <c r="N257" s="642">
        <v>0</v>
      </c>
      <c r="O257" s="642">
        <v>0</v>
      </c>
      <c r="P257" s="642">
        <v>0</v>
      </c>
      <c r="Q257" s="642">
        <v>0</v>
      </c>
      <c r="R257" s="642">
        <v>2.8301208000456781</v>
      </c>
      <c r="S257" s="650">
        <v>119.24581488471674</v>
      </c>
      <c r="U257" s="641" t="s">
        <v>84</v>
      </c>
      <c r="V257" s="642">
        <v>0</v>
      </c>
      <c r="W257" s="642">
        <v>0</v>
      </c>
      <c r="X257" s="642">
        <v>70.401025384734808</v>
      </c>
      <c r="Y257" s="642">
        <v>0.81519182748409058</v>
      </c>
      <c r="Z257" s="642">
        <v>0</v>
      </c>
      <c r="AA257" s="642">
        <v>0</v>
      </c>
      <c r="AB257" s="642">
        <v>0</v>
      </c>
      <c r="AC257" s="642">
        <v>0</v>
      </c>
      <c r="AD257" s="642">
        <v>24.563190847778323</v>
      </c>
      <c r="AE257" s="642">
        <v>0</v>
      </c>
      <c r="AF257" s="642">
        <v>0</v>
      </c>
      <c r="AG257" s="642">
        <v>0</v>
      </c>
      <c r="AH257" s="642">
        <v>0</v>
      </c>
      <c r="AI257" s="642">
        <v>0</v>
      </c>
      <c r="AJ257" s="642">
        <v>16.442815988159179</v>
      </c>
      <c r="AK257" s="650">
        <v>112.22222404815641</v>
      </c>
    </row>
    <row r="258" spans="3:37" ht="13.5">
      <c r="C258" s="646" t="s">
        <v>85</v>
      </c>
      <c r="D258" s="647">
        <v>4.6398193944555786</v>
      </c>
      <c r="E258" s="647">
        <v>0</v>
      </c>
      <c r="F258" s="647">
        <v>392.91402821922651</v>
      </c>
      <c r="G258" s="647">
        <v>278.88287012980999</v>
      </c>
      <c r="H258" s="647">
        <v>0</v>
      </c>
      <c r="I258" s="647">
        <v>0</v>
      </c>
      <c r="J258" s="647">
        <v>117.91049787329212</v>
      </c>
      <c r="K258" s="647">
        <v>1.7618751350284469</v>
      </c>
      <c r="L258" s="647">
        <v>25.931812443893016</v>
      </c>
      <c r="M258" s="647">
        <v>5.4750905882772853</v>
      </c>
      <c r="N258" s="647">
        <v>67.964408038916218</v>
      </c>
      <c r="O258" s="647">
        <v>2.8554061636244761</v>
      </c>
      <c r="P258" s="647">
        <v>525.4263853892121</v>
      </c>
      <c r="Q258" s="647">
        <v>34.870731395116664</v>
      </c>
      <c r="R258" s="647">
        <v>5.7492063580491291</v>
      </c>
      <c r="S258" s="647">
        <v>1464.3821311289018</v>
      </c>
      <c r="U258" s="646" t="s">
        <v>85</v>
      </c>
      <c r="V258" s="647">
        <v>1.264986561669641</v>
      </c>
      <c r="W258" s="647">
        <v>0</v>
      </c>
      <c r="X258" s="647">
        <v>99.612665084394791</v>
      </c>
      <c r="Y258" s="647">
        <v>64.7714675751795</v>
      </c>
      <c r="Z258" s="647">
        <v>0</v>
      </c>
      <c r="AA258" s="647">
        <v>0</v>
      </c>
      <c r="AB258" s="647">
        <v>76.628296851050663</v>
      </c>
      <c r="AC258" s="647">
        <v>4.7844305635958433</v>
      </c>
      <c r="AD258" s="647">
        <v>91.594737246692318</v>
      </c>
      <c r="AE258" s="647">
        <v>63.974688608994001</v>
      </c>
      <c r="AF258" s="647">
        <v>109.8518848230913</v>
      </c>
      <c r="AG258" s="647">
        <v>7.4724249888520751</v>
      </c>
      <c r="AH258" s="647">
        <v>511.81625811534803</v>
      </c>
      <c r="AI258" s="647">
        <v>68.301024235701377</v>
      </c>
      <c r="AJ258" s="647">
        <v>31.04291921337316</v>
      </c>
      <c r="AK258" s="647">
        <v>1131.1157838679426</v>
      </c>
    </row>
    <row r="259" spans="3:37" ht="13">
      <c r="C259" s="636"/>
      <c r="D259" s="636"/>
      <c r="E259" s="636"/>
      <c r="F259" s="636"/>
      <c r="G259" s="636"/>
      <c r="H259" s="636"/>
      <c r="I259" s="636"/>
      <c r="J259" s="636"/>
      <c r="K259" s="636"/>
      <c r="L259" s="636"/>
      <c r="M259" s="636"/>
      <c r="N259" s="636"/>
      <c r="O259" s="636"/>
      <c r="P259" s="636"/>
      <c r="Q259" s="636"/>
      <c r="R259" s="636"/>
      <c r="S259" s="636"/>
      <c r="U259" s="636"/>
      <c r="V259" s="636"/>
      <c r="W259" s="636"/>
      <c r="X259" s="636"/>
      <c r="Y259" s="636"/>
      <c r="Z259" s="636"/>
      <c r="AA259" s="636"/>
      <c r="AB259" s="636"/>
      <c r="AC259" s="636"/>
      <c r="AD259" s="636"/>
      <c r="AE259" s="636"/>
      <c r="AF259" s="636"/>
      <c r="AG259" s="636"/>
      <c r="AH259" s="636"/>
      <c r="AI259" s="636"/>
      <c r="AJ259" s="636"/>
      <c r="AK259" s="636"/>
    </row>
    <row r="260" spans="3:37" ht="22.5">
      <c r="C260" s="699" t="s">
        <v>89</v>
      </c>
      <c r="D260" s="699"/>
      <c r="E260" s="699"/>
      <c r="F260" s="699"/>
      <c r="G260" s="699"/>
      <c r="H260" s="699"/>
      <c r="I260" s="699"/>
      <c r="J260" s="699"/>
      <c r="K260" s="699"/>
      <c r="L260" s="699"/>
      <c r="M260" s="699"/>
      <c r="N260" s="699"/>
      <c r="O260" s="699"/>
      <c r="P260" s="699"/>
      <c r="Q260" s="699"/>
      <c r="R260" s="699"/>
      <c r="S260" s="699"/>
      <c r="U260" s="699" t="s">
        <v>89</v>
      </c>
      <c r="V260" s="699"/>
      <c r="W260" s="699"/>
      <c r="X260" s="699"/>
      <c r="Y260" s="699"/>
      <c r="Z260" s="699"/>
      <c r="AA260" s="699"/>
      <c r="AB260" s="699"/>
      <c r="AC260" s="699"/>
      <c r="AD260" s="699"/>
      <c r="AE260" s="699"/>
      <c r="AF260" s="699"/>
      <c r="AG260" s="699"/>
      <c r="AH260" s="699"/>
      <c r="AI260" s="699"/>
      <c r="AJ260" s="699"/>
      <c r="AK260" s="699"/>
    </row>
    <row r="261" spans="3:37" ht="13">
      <c r="C261" s="636"/>
      <c r="D261" s="636"/>
      <c r="E261" s="636"/>
      <c r="F261" s="636"/>
      <c r="G261" s="636"/>
      <c r="H261" s="636"/>
      <c r="I261" s="636"/>
      <c r="J261" s="636"/>
      <c r="K261" s="636"/>
      <c r="L261" s="636"/>
      <c r="M261" s="636"/>
      <c r="N261" s="636"/>
      <c r="O261" s="636"/>
      <c r="P261" s="636"/>
      <c r="Q261" s="636"/>
      <c r="R261" s="636"/>
      <c r="S261" s="636"/>
      <c r="U261" s="636"/>
      <c r="V261" s="636"/>
      <c r="W261" s="636"/>
      <c r="X261" s="636"/>
      <c r="Y261" s="636"/>
      <c r="Z261" s="636"/>
      <c r="AA261" s="636"/>
      <c r="AB261" s="636"/>
      <c r="AC261" s="636"/>
      <c r="AD261" s="636"/>
      <c r="AE261" s="636"/>
      <c r="AF261" s="636"/>
      <c r="AG261" s="636"/>
      <c r="AH261" s="636"/>
      <c r="AI261" s="636"/>
      <c r="AJ261" s="636"/>
      <c r="AK261" s="636"/>
    </row>
    <row r="262" spans="3:37" ht="13" customHeight="1">
      <c r="C262" s="700" t="s">
        <v>128</v>
      </c>
      <c r="D262" s="701" t="s">
        <v>42</v>
      </c>
      <c r="E262" s="701" t="s">
        <v>52</v>
      </c>
      <c r="F262" s="701" t="s">
        <v>53</v>
      </c>
      <c r="G262" s="701" t="s">
        <v>32</v>
      </c>
      <c r="H262" s="701" t="s">
        <v>20</v>
      </c>
      <c r="I262" s="701" t="s">
        <v>55</v>
      </c>
      <c r="J262" s="701" t="s">
        <v>56</v>
      </c>
      <c r="K262" s="701"/>
      <c r="L262" s="701"/>
      <c r="M262" s="701"/>
      <c r="N262" s="701"/>
      <c r="O262" s="701"/>
      <c r="P262" s="701" t="s">
        <v>57</v>
      </c>
      <c r="Q262" s="701" t="s">
        <v>58</v>
      </c>
      <c r="R262" s="701" t="s">
        <v>31</v>
      </c>
      <c r="S262" s="701" t="s">
        <v>10</v>
      </c>
      <c r="U262" s="700" t="s">
        <v>128</v>
      </c>
      <c r="V262" s="701" t="s">
        <v>42</v>
      </c>
      <c r="W262" s="701" t="s">
        <v>52</v>
      </c>
      <c r="X262" s="701" t="s">
        <v>53</v>
      </c>
      <c r="Y262" s="701" t="s">
        <v>32</v>
      </c>
      <c r="Z262" s="701" t="s">
        <v>20</v>
      </c>
      <c r="AA262" s="701" t="s">
        <v>55</v>
      </c>
      <c r="AB262" s="701" t="s">
        <v>56</v>
      </c>
      <c r="AC262" s="701"/>
      <c r="AD262" s="701"/>
      <c r="AE262" s="701"/>
      <c r="AF262" s="701"/>
      <c r="AG262" s="701"/>
      <c r="AH262" s="701" t="s">
        <v>57</v>
      </c>
      <c r="AI262" s="701" t="s">
        <v>58</v>
      </c>
      <c r="AJ262" s="701" t="s">
        <v>31</v>
      </c>
      <c r="AK262" s="701" t="s">
        <v>10</v>
      </c>
    </row>
    <row r="263" spans="3:37" ht="46">
      <c r="C263" s="700"/>
      <c r="D263" s="701"/>
      <c r="E263" s="701"/>
      <c r="F263" s="701"/>
      <c r="G263" s="701"/>
      <c r="H263" s="701"/>
      <c r="I263" s="701"/>
      <c r="J263" s="640" t="s">
        <v>338</v>
      </c>
      <c r="K263" s="640" t="s">
        <v>40</v>
      </c>
      <c r="L263" s="640" t="s">
        <v>346</v>
      </c>
      <c r="M263" s="640" t="s">
        <v>347</v>
      </c>
      <c r="N263" s="640" t="s">
        <v>348</v>
      </c>
      <c r="O263" s="640" t="s">
        <v>349</v>
      </c>
      <c r="P263" s="701"/>
      <c r="Q263" s="701"/>
      <c r="R263" s="701"/>
      <c r="S263" s="701"/>
      <c r="U263" s="700"/>
      <c r="V263" s="701"/>
      <c r="W263" s="701"/>
      <c r="X263" s="701"/>
      <c r="Y263" s="701"/>
      <c r="Z263" s="701"/>
      <c r="AA263" s="701"/>
      <c r="AB263" s="640" t="s">
        <v>338</v>
      </c>
      <c r="AC263" s="640" t="s">
        <v>40</v>
      </c>
      <c r="AD263" s="640" t="s">
        <v>346</v>
      </c>
      <c r="AE263" s="640" t="s">
        <v>347</v>
      </c>
      <c r="AF263" s="640" t="s">
        <v>348</v>
      </c>
      <c r="AG263" s="640" t="s">
        <v>349</v>
      </c>
      <c r="AH263" s="701"/>
      <c r="AI263" s="701"/>
      <c r="AJ263" s="701"/>
      <c r="AK263" s="701"/>
    </row>
    <row r="264" spans="3:37" ht="13.5">
      <c r="C264" s="641" t="s">
        <v>59</v>
      </c>
      <c r="D264" s="642">
        <v>0</v>
      </c>
      <c r="E264" s="643">
        <v>0</v>
      </c>
      <c r="F264" s="643">
        <v>0</v>
      </c>
      <c r="G264" s="642">
        <v>0</v>
      </c>
      <c r="H264" s="643">
        <v>727.27272727272737</v>
      </c>
      <c r="I264" s="643">
        <v>338.37995078139568</v>
      </c>
      <c r="J264" s="643">
        <v>185.12606679296266</v>
      </c>
      <c r="K264" s="643">
        <v>19.887492227897642</v>
      </c>
      <c r="L264" s="643">
        <v>0.67629573379861951</v>
      </c>
      <c r="M264" s="643">
        <v>0.16041590589481752</v>
      </c>
      <c r="N264" s="643">
        <v>75.083762899489528</v>
      </c>
      <c r="O264" s="643">
        <v>12.515766779598991</v>
      </c>
      <c r="P264" s="644">
        <v>0</v>
      </c>
      <c r="Q264" s="643">
        <v>0</v>
      </c>
      <c r="R264" s="643">
        <v>0</v>
      </c>
      <c r="S264" s="645">
        <v>1359.1024783937653</v>
      </c>
      <c r="U264" s="641" t="s">
        <v>59</v>
      </c>
      <c r="V264" s="642">
        <v>0</v>
      </c>
      <c r="W264" s="643">
        <v>0</v>
      </c>
      <c r="X264" s="643">
        <v>0</v>
      </c>
      <c r="Y264" s="642">
        <v>0</v>
      </c>
      <c r="Z264" s="643">
        <v>764.84848484848499</v>
      </c>
      <c r="AA264" s="643">
        <v>423.19995078139567</v>
      </c>
      <c r="AB264" s="643">
        <v>256.09062969225096</v>
      </c>
      <c r="AC264" s="643">
        <v>36.108430969743218</v>
      </c>
      <c r="AD264" s="643">
        <v>0.67629573379861951</v>
      </c>
      <c r="AE264" s="643">
        <v>0.16041590589481752</v>
      </c>
      <c r="AF264" s="643">
        <v>123.16818516374138</v>
      </c>
      <c r="AG264" s="643">
        <v>30.250193334526926</v>
      </c>
      <c r="AH264" s="644">
        <v>0</v>
      </c>
      <c r="AI264" s="643">
        <v>0</v>
      </c>
      <c r="AJ264" s="643">
        <v>0</v>
      </c>
      <c r="AK264" s="645">
        <v>1634.5025864298366</v>
      </c>
    </row>
    <row r="265" spans="3:37" ht="13.5">
      <c r="C265" s="641" t="s">
        <v>60</v>
      </c>
      <c r="D265" s="642">
        <v>46.099891323621534</v>
      </c>
      <c r="E265" s="643">
        <v>464.7986487</v>
      </c>
      <c r="F265" s="643">
        <v>48.534128715927544</v>
      </c>
      <c r="G265" s="642">
        <v>345.55093723566335</v>
      </c>
      <c r="H265" s="643">
        <v>0</v>
      </c>
      <c r="I265" s="643">
        <v>0</v>
      </c>
      <c r="J265" s="643">
        <v>5.7213435879484642</v>
      </c>
      <c r="K265" s="643">
        <v>0</v>
      </c>
      <c r="L265" s="643">
        <v>3.0565993326094723</v>
      </c>
      <c r="M265" s="643">
        <v>0</v>
      </c>
      <c r="N265" s="643">
        <v>0</v>
      </c>
      <c r="O265" s="643">
        <v>0</v>
      </c>
      <c r="P265" s="644">
        <v>0</v>
      </c>
      <c r="Q265" s="643">
        <v>0</v>
      </c>
      <c r="R265" s="643">
        <v>0</v>
      </c>
      <c r="S265" s="645">
        <v>913.76154889577037</v>
      </c>
      <c r="U265" s="641" t="s">
        <v>60</v>
      </c>
      <c r="V265" s="642">
        <v>4.5871215860372576</v>
      </c>
      <c r="W265" s="643">
        <v>113.59926767676768</v>
      </c>
      <c r="X265" s="643">
        <v>20.138935454909394</v>
      </c>
      <c r="Y265" s="642">
        <v>0.51452681198611927</v>
      </c>
      <c r="Z265" s="643">
        <v>0</v>
      </c>
      <c r="AA265" s="643">
        <v>0</v>
      </c>
      <c r="AB265" s="643">
        <v>5.7213435879484642</v>
      </c>
      <c r="AC265" s="643">
        <v>0</v>
      </c>
      <c r="AD265" s="643">
        <v>3.0565993326094723</v>
      </c>
      <c r="AE265" s="643">
        <v>0</v>
      </c>
      <c r="AF265" s="643">
        <v>0</v>
      </c>
      <c r="AG265" s="643">
        <v>0</v>
      </c>
      <c r="AH265" s="644">
        <v>0</v>
      </c>
      <c r="AI265" s="643">
        <v>0</v>
      </c>
      <c r="AJ265" s="643">
        <v>0</v>
      </c>
      <c r="AK265" s="645">
        <v>147.6177944502584</v>
      </c>
    </row>
    <row r="266" spans="3:37" ht="13.5">
      <c r="C266" s="641" t="s">
        <v>61</v>
      </c>
      <c r="D266" s="642">
        <v>0</v>
      </c>
      <c r="E266" s="643">
        <v>0</v>
      </c>
      <c r="F266" s="643">
        <v>0</v>
      </c>
      <c r="G266" s="642">
        <v>0</v>
      </c>
      <c r="H266" s="643">
        <v>0</v>
      </c>
      <c r="I266" s="643">
        <v>0</v>
      </c>
      <c r="J266" s="643">
        <v>0</v>
      </c>
      <c r="K266" s="643">
        <v>0</v>
      </c>
      <c r="L266" s="643">
        <v>0</v>
      </c>
      <c r="M266" s="643">
        <v>0</v>
      </c>
      <c r="N266" s="643">
        <v>0</v>
      </c>
      <c r="O266" s="643">
        <v>0</v>
      </c>
      <c r="P266" s="644">
        <v>-12.7985093299136</v>
      </c>
      <c r="Q266" s="643">
        <v>0</v>
      </c>
      <c r="R266" s="643">
        <v>0</v>
      </c>
      <c r="S266" s="645">
        <v>-12.7985093299136</v>
      </c>
      <c r="U266" s="641" t="s">
        <v>61</v>
      </c>
      <c r="V266" s="642">
        <v>0</v>
      </c>
      <c r="W266" s="643">
        <v>0</v>
      </c>
      <c r="X266" s="643">
        <v>0</v>
      </c>
      <c r="Y266" s="642">
        <v>0</v>
      </c>
      <c r="Z266" s="643">
        <v>0</v>
      </c>
      <c r="AA266" s="643">
        <v>0</v>
      </c>
      <c r="AB266" s="643">
        <v>0</v>
      </c>
      <c r="AC266" s="643">
        <v>0</v>
      </c>
      <c r="AD266" s="643">
        <v>0</v>
      </c>
      <c r="AE266" s="643">
        <v>0</v>
      </c>
      <c r="AF266" s="643">
        <v>0</v>
      </c>
      <c r="AG266" s="643">
        <v>0</v>
      </c>
      <c r="AH266" s="644">
        <v>-41.639986107117011</v>
      </c>
      <c r="AI266" s="643">
        <v>0</v>
      </c>
      <c r="AJ266" s="643">
        <v>0</v>
      </c>
      <c r="AK266" s="645">
        <v>-41.639986107117011</v>
      </c>
    </row>
    <row r="267" spans="3:37" ht="13.5">
      <c r="C267" s="641" t="s">
        <v>62</v>
      </c>
      <c r="D267" s="642">
        <v>0</v>
      </c>
      <c r="E267" s="643">
        <v>0</v>
      </c>
      <c r="F267" s="643">
        <v>-14.431507774067331</v>
      </c>
      <c r="G267" s="642">
        <v>0</v>
      </c>
      <c r="H267" s="643">
        <v>0</v>
      </c>
      <c r="I267" s="643">
        <v>0</v>
      </c>
      <c r="J267" s="643">
        <v>0</v>
      </c>
      <c r="K267" s="643">
        <v>0</v>
      </c>
      <c r="L267" s="643">
        <v>0</v>
      </c>
      <c r="M267" s="643">
        <v>0</v>
      </c>
      <c r="N267" s="643">
        <v>0</v>
      </c>
      <c r="O267" s="643">
        <v>0</v>
      </c>
      <c r="P267" s="644">
        <v>0</v>
      </c>
      <c r="Q267" s="643">
        <v>0</v>
      </c>
      <c r="R267" s="643">
        <v>0</v>
      </c>
      <c r="S267" s="645">
        <v>-14.431507774067331</v>
      </c>
      <c r="U267" s="641" t="s">
        <v>62</v>
      </c>
      <c r="V267" s="642">
        <v>0</v>
      </c>
      <c r="W267" s="643">
        <v>0</v>
      </c>
      <c r="X267" s="643">
        <v>-5.3013702027186111</v>
      </c>
      <c r="Y267" s="642">
        <v>0</v>
      </c>
      <c r="Z267" s="643">
        <v>0</v>
      </c>
      <c r="AA267" s="643">
        <v>0</v>
      </c>
      <c r="AB267" s="643">
        <v>0</v>
      </c>
      <c r="AC267" s="643">
        <v>0</v>
      </c>
      <c r="AD267" s="643">
        <v>0</v>
      </c>
      <c r="AE267" s="643">
        <v>-5.1137296191648005</v>
      </c>
      <c r="AF267" s="643">
        <v>0</v>
      </c>
      <c r="AG267" s="643">
        <v>0</v>
      </c>
      <c r="AH267" s="644">
        <v>0</v>
      </c>
      <c r="AI267" s="643">
        <v>0</v>
      </c>
      <c r="AJ267" s="643">
        <v>0</v>
      </c>
      <c r="AK267" s="645">
        <v>-10.415099821883413</v>
      </c>
    </row>
    <row r="268" spans="3:37" ht="13.5">
      <c r="C268" s="641" t="s">
        <v>63</v>
      </c>
      <c r="D268" s="642">
        <v>0</v>
      </c>
      <c r="E268" s="643">
        <v>0</v>
      </c>
      <c r="F268" s="643">
        <v>-93.443844381495637</v>
      </c>
      <c r="G268" s="642">
        <v>0</v>
      </c>
      <c r="H268" s="643">
        <v>0</v>
      </c>
      <c r="I268" s="643">
        <v>0</v>
      </c>
      <c r="J268" s="643">
        <v>0</v>
      </c>
      <c r="K268" s="643">
        <v>0</v>
      </c>
      <c r="L268" s="643">
        <v>-0.96889726774865159</v>
      </c>
      <c r="M268" s="643">
        <v>0</v>
      </c>
      <c r="N268" s="643">
        <v>0</v>
      </c>
      <c r="O268" s="643">
        <v>0</v>
      </c>
      <c r="P268" s="644">
        <v>0</v>
      </c>
      <c r="Q268" s="643">
        <v>0</v>
      </c>
      <c r="R268" s="643">
        <v>0</v>
      </c>
      <c r="S268" s="645">
        <v>-94.412741649244282</v>
      </c>
      <c r="U268" s="641" t="s">
        <v>63</v>
      </c>
      <c r="V268" s="642">
        <v>0</v>
      </c>
      <c r="W268" s="643">
        <v>0</v>
      </c>
      <c r="X268" s="643">
        <v>-35.841594545498886</v>
      </c>
      <c r="Y268" s="642">
        <v>0</v>
      </c>
      <c r="Z268" s="643">
        <v>0</v>
      </c>
      <c r="AA268" s="643">
        <v>0</v>
      </c>
      <c r="AB268" s="643">
        <v>0</v>
      </c>
      <c r="AC268" s="643">
        <v>0</v>
      </c>
      <c r="AD268" s="643">
        <v>-46.567340427053182</v>
      </c>
      <c r="AE268" s="643">
        <v>0</v>
      </c>
      <c r="AF268" s="643">
        <v>0</v>
      </c>
      <c r="AG268" s="643">
        <v>0</v>
      </c>
      <c r="AH268" s="644">
        <v>0</v>
      </c>
      <c r="AI268" s="643">
        <v>0</v>
      </c>
      <c r="AJ268" s="643">
        <v>0</v>
      </c>
      <c r="AK268" s="645">
        <v>-82.408934972552061</v>
      </c>
    </row>
    <row r="269" spans="3:37" ht="13.5">
      <c r="C269" s="641" t="s">
        <v>64</v>
      </c>
      <c r="D269" s="642">
        <v>0</v>
      </c>
      <c r="E269" s="643">
        <v>0</v>
      </c>
      <c r="F269" s="643">
        <v>0</v>
      </c>
      <c r="G269" s="642">
        <v>0</v>
      </c>
      <c r="H269" s="643">
        <v>0</v>
      </c>
      <c r="I269" s="643">
        <v>0</v>
      </c>
      <c r="J269" s="643">
        <v>0</v>
      </c>
      <c r="K269" s="643">
        <v>0</v>
      </c>
      <c r="L269" s="643">
        <v>0</v>
      </c>
      <c r="M269" s="643">
        <v>0</v>
      </c>
      <c r="N269" s="643">
        <v>0</v>
      </c>
      <c r="O269" s="643">
        <v>0</v>
      </c>
      <c r="P269" s="644">
        <v>0</v>
      </c>
      <c r="Q269" s="643">
        <v>0</v>
      </c>
      <c r="R269" s="643">
        <v>0</v>
      </c>
      <c r="S269" s="645">
        <v>0</v>
      </c>
      <c r="U269" s="641" t="s">
        <v>64</v>
      </c>
      <c r="V269" s="642">
        <v>0</v>
      </c>
      <c r="W269" s="643">
        <v>0</v>
      </c>
      <c r="X269" s="643">
        <v>0</v>
      </c>
      <c r="Y269" s="642">
        <v>0</v>
      </c>
      <c r="Z269" s="643">
        <v>0</v>
      </c>
      <c r="AA269" s="643">
        <v>0</v>
      </c>
      <c r="AB269" s="643">
        <v>0</v>
      </c>
      <c r="AC269" s="643">
        <v>0</v>
      </c>
      <c r="AD269" s="643">
        <v>0</v>
      </c>
      <c r="AE269" s="643">
        <v>0</v>
      </c>
      <c r="AF269" s="643">
        <v>0</v>
      </c>
      <c r="AG269" s="643">
        <v>0</v>
      </c>
      <c r="AH269" s="644">
        <v>0</v>
      </c>
      <c r="AI269" s="643">
        <v>0</v>
      </c>
      <c r="AJ269" s="643">
        <v>0</v>
      </c>
      <c r="AK269" s="645">
        <v>0</v>
      </c>
    </row>
    <row r="270" spans="3:37" ht="13.5">
      <c r="C270" s="646" t="s">
        <v>65</v>
      </c>
      <c r="D270" s="647">
        <v>46.099891323621534</v>
      </c>
      <c r="E270" s="647">
        <v>464.7986487</v>
      </c>
      <c r="F270" s="647">
        <v>-59.341223439635421</v>
      </c>
      <c r="G270" s="647">
        <v>345.55093723566335</v>
      </c>
      <c r="H270" s="647">
        <v>727.27272727272737</v>
      </c>
      <c r="I270" s="647">
        <v>338.37995078139568</v>
      </c>
      <c r="J270" s="647">
        <v>190.84741038091113</v>
      </c>
      <c r="K270" s="647">
        <v>19.887492227897642</v>
      </c>
      <c r="L270" s="647">
        <v>2.7639977986594397</v>
      </c>
      <c r="M270" s="647">
        <v>0.16041590589481752</v>
      </c>
      <c r="N270" s="647">
        <v>75.083762899489528</v>
      </c>
      <c r="O270" s="647">
        <v>12.515766779598991</v>
      </c>
      <c r="P270" s="647">
        <v>-12.7985093299136</v>
      </c>
      <c r="Q270" s="647">
        <v>0</v>
      </c>
      <c r="R270" s="647">
        <v>0</v>
      </c>
      <c r="S270" s="647">
        <v>2151.2212685363102</v>
      </c>
      <c r="U270" s="646" t="s">
        <v>65</v>
      </c>
      <c r="V270" s="647">
        <v>4.5871215860372576</v>
      </c>
      <c r="W270" s="647">
        <v>113.59926767676768</v>
      </c>
      <c r="X270" s="647">
        <v>-21.004029293308101</v>
      </c>
      <c r="Y270" s="647">
        <v>0.51452681198611927</v>
      </c>
      <c r="Z270" s="647">
        <v>764.84848484848499</v>
      </c>
      <c r="AA270" s="647">
        <v>423.19995078139567</v>
      </c>
      <c r="AB270" s="647">
        <v>261.81197328019942</v>
      </c>
      <c r="AC270" s="647">
        <v>36.108430969743218</v>
      </c>
      <c r="AD270" s="647">
        <v>-42.834445360645091</v>
      </c>
      <c r="AE270" s="647">
        <v>-4.9533137132699832</v>
      </c>
      <c r="AF270" s="647">
        <v>123.16818516374138</v>
      </c>
      <c r="AG270" s="647">
        <v>30.250193334526926</v>
      </c>
      <c r="AH270" s="647">
        <v>-41.639986107117011</v>
      </c>
      <c r="AI270" s="647">
        <v>0</v>
      </c>
      <c r="AJ270" s="647">
        <v>0</v>
      </c>
      <c r="AK270" s="647">
        <v>1647.6563599785427</v>
      </c>
    </row>
    <row r="271" spans="3:37" ht="13">
      <c r="C271" s="636"/>
      <c r="D271" s="636">
        <v>0</v>
      </c>
      <c r="E271" s="636">
        <v>0</v>
      </c>
      <c r="F271" s="636">
        <v>0</v>
      </c>
      <c r="G271" s="636">
        <v>0</v>
      </c>
      <c r="H271" s="636">
        <v>0</v>
      </c>
      <c r="I271" s="636">
        <v>0</v>
      </c>
      <c r="J271" s="636">
        <v>0</v>
      </c>
      <c r="K271" s="636">
        <v>0</v>
      </c>
      <c r="L271" s="636">
        <v>0</v>
      </c>
      <c r="M271" s="636">
        <v>0</v>
      </c>
      <c r="N271" s="636">
        <v>0</v>
      </c>
      <c r="O271" s="636">
        <v>0</v>
      </c>
      <c r="P271" s="636">
        <v>0</v>
      </c>
      <c r="Q271" s="636">
        <v>0</v>
      </c>
      <c r="R271" s="636">
        <v>0</v>
      </c>
      <c r="S271" s="636">
        <v>0</v>
      </c>
      <c r="U271" s="636"/>
      <c r="V271" s="636">
        <v>0</v>
      </c>
      <c r="W271" s="636">
        <v>0</v>
      </c>
      <c r="X271" s="636">
        <v>0</v>
      </c>
      <c r="Y271" s="636">
        <v>0</v>
      </c>
      <c r="Z271" s="636">
        <v>0</v>
      </c>
      <c r="AA271" s="636">
        <v>0</v>
      </c>
      <c r="AB271" s="636">
        <v>0</v>
      </c>
      <c r="AC271" s="636">
        <v>0</v>
      </c>
      <c r="AD271" s="636">
        <v>0</v>
      </c>
      <c r="AE271" s="636">
        <v>0</v>
      </c>
      <c r="AF271" s="636">
        <v>0</v>
      </c>
      <c r="AG271" s="636">
        <v>0</v>
      </c>
      <c r="AH271" s="636">
        <v>0</v>
      </c>
      <c r="AI271" s="636">
        <v>0</v>
      </c>
      <c r="AJ271" s="636">
        <v>0</v>
      </c>
      <c r="AK271" s="636">
        <v>0</v>
      </c>
    </row>
    <row r="272" spans="3:37" ht="13.5">
      <c r="C272" s="648" t="s">
        <v>67</v>
      </c>
      <c r="D272" s="642">
        <v>0</v>
      </c>
      <c r="E272" s="649">
        <v>0</v>
      </c>
      <c r="F272" s="649">
        <v>0</v>
      </c>
      <c r="G272" s="642">
        <v>0</v>
      </c>
      <c r="H272" s="642">
        <v>0</v>
      </c>
      <c r="I272" s="642">
        <v>0</v>
      </c>
      <c r="J272" s="642">
        <v>0</v>
      </c>
      <c r="K272" s="642">
        <v>0</v>
      </c>
      <c r="L272" s="642">
        <v>0</v>
      </c>
      <c r="M272" s="642">
        <v>0</v>
      </c>
      <c r="N272" s="642">
        <v>0</v>
      </c>
      <c r="O272" s="642">
        <v>0</v>
      </c>
      <c r="P272" s="642">
        <v>0</v>
      </c>
      <c r="Q272" s="642">
        <v>0</v>
      </c>
      <c r="R272" s="642">
        <v>0</v>
      </c>
      <c r="S272" s="650">
        <v>0</v>
      </c>
      <c r="U272" s="648" t="s">
        <v>67</v>
      </c>
      <c r="V272" s="642">
        <v>0</v>
      </c>
      <c r="W272" s="649">
        <v>0</v>
      </c>
      <c r="X272" s="649">
        <v>0</v>
      </c>
      <c r="Y272" s="642">
        <v>0</v>
      </c>
      <c r="Z272" s="642">
        <v>0</v>
      </c>
      <c r="AA272" s="642">
        <v>0</v>
      </c>
      <c r="AB272" s="642">
        <v>0</v>
      </c>
      <c r="AC272" s="642">
        <v>0</v>
      </c>
      <c r="AD272" s="642">
        <v>0</v>
      </c>
      <c r="AE272" s="642">
        <v>0</v>
      </c>
      <c r="AF272" s="642">
        <v>0</v>
      </c>
      <c r="AG272" s="642">
        <v>0</v>
      </c>
      <c r="AH272" s="642">
        <v>0</v>
      </c>
      <c r="AI272" s="642">
        <v>0</v>
      </c>
      <c r="AJ272" s="642">
        <v>0</v>
      </c>
      <c r="AK272" s="650">
        <v>0</v>
      </c>
    </row>
    <row r="273" spans="3:37" ht="13.5">
      <c r="C273" s="648" t="s">
        <v>350</v>
      </c>
      <c r="D273" s="642">
        <v>2.8267856410252494</v>
      </c>
      <c r="E273" s="642">
        <v>0</v>
      </c>
      <c r="F273" s="642">
        <v>8.0599105831015567</v>
      </c>
      <c r="G273" s="642">
        <v>46.530346198952707</v>
      </c>
      <c r="H273" s="642">
        <v>727.27272727272737</v>
      </c>
      <c r="I273" s="642">
        <v>338.37995078139568</v>
      </c>
      <c r="J273" s="651">
        <v>28.452469116356035</v>
      </c>
      <c r="K273" s="651">
        <v>6.2305848357200952</v>
      </c>
      <c r="L273" s="651">
        <v>3.7328950664080915</v>
      </c>
      <c r="M273" s="651">
        <v>1.0761160081227215</v>
      </c>
      <c r="N273" s="651">
        <v>0</v>
      </c>
      <c r="O273" s="651">
        <v>7.5664382136221358</v>
      </c>
      <c r="P273" s="642">
        <v>-629.14515201417555</v>
      </c>
      <c r="Q273" s="642">
        <v>0</v>
      </c>
      <c r="R273" s="642">
        <v>0</v>
      </c>
      <c r="S273" s="650">
        <v>540.98307170325586</v>
      </c>
      <c r="U273" s="648" t="s">
        <v>350</v>
      </c>
      <c r="V273" s="642">
        <v>0.62631490545869017</v>
      </c>
      <c r="W273" s="642">
        <v>0</v>
      </c>
      <c r="X273" s="642">
        <v>4.1962742194651934</v>
      </c>
      <c r="Y273" s="642">
        <v>0</v>
      </c>
      <c r="Z273" s="642">
        <v>764.84848484848499</v>
      </c>
      <c r="AA273" s="642">
        <v>423.19995078139567</v>
      </c>
      <c r="AB273" s="651">
        <v>22.478183728982629</v>
      </c>
      <c r="AC273" s="651">
        <v>5.0926371917675839</v>
      </c>
      <c r="AD273" s="651">
        <v>3.7328950664080915</v>
      </c>
      <c r="AE273" s="651">
        <v>0.79318377276994545</v>
      </c>
      <c r="AF273" s="651">
        <v>0</v>
      </c>
      <c r="AG273" s="651">
        <v>7.5664382136221358</v>
      </c>
      <c r="AH273" s="642">
        <v>-696.77718495359215</v>
      </c>
      <c r="AI273" s="642">
        <v>0</v>
      </c>
      <c r="AJ273" s="642">
        <v>3.75</v>
      </c>
      <c r="AK273" s="650">
        <v>539.50717777476291</v>
      </c>
    </row>
    <row r="274" spans="3:37" ht="13.5">
      <c r="C274" s="648" t="s">
        <v>351</v>
      </c>
      <c r="D274" s="642">
        <v>0</v>
      </c>
      <c r="E274" s="642">
        <v>0</v>
      </c>
      <c r="F274" s="642">
        <v>0</v>
      </c>
      <c r="G274" s="642">
        <v>14.783508517784153</v>
      </c>
      <c r="H274" s="642">
        <v>0</v>
      </c>
      <c r="I274" s="642">
        <v>0</v>
      </c>
      <c r="J274" s="651">
        <v>12.163067049530284</v>
      </c>
      <c r="K274" s="651">
        <v>11.829214997579474</v>
      </c>
      <c r="L274" s="651">
        <v>0</v>
      </c>
      <c r="M274" s="651">
        <v>0.31740804730172578</v>
      </c>
      <c r="N274" s="651">
        <v>0</v>
      </c>
      <c r="O274" s="651">
        <v>2.086875550337155</v>
      </c>
      <c r="P274" s="642">
        <v>0</v>
      </c>
      <c r="Q274" s="642">
        <v>-37.667878685561853</v>
      </c>
      <c r="R274" s="642">
        <v>0</v>
      </c>
      <c r="S274" s="650">
        <v>3.5121954769709394</v>
      </c>
      <c r="U274" s="648" t="s">
        <v>351</v>
      </c>
      <c r="V274" s="642">
        <v>0</v>
      </c>
      <c r="W274" s="642">
        <v>0</v>
      </c>
      <c r="X274" s="642">
        <v>0</v>
      </c>
      <c r="Y274" s="642">
        <v>0</v>
      </c>
      <c r="Z274" s="642">
        <v>0</v>
      </c>
      <c r="AA274" s="642">
        <v>0</v>
      </c>
      <c r="AB274" s="651">
        <v>28.523630086620891</v>
      </c>
      <c r="AC274" s="651">
        <v>26.288013396118924</v>
      </c>
      <c r="AD274" s="651">
        <v>0</v>
      </c>
      <c r="AE274" s="651">
        <v>10.611192177482708</v>
      </c>
      <c r="AF274" s="651">
        <v>0</v>
      </c>
      <c r="AG274" s="651">
        <v>14.121402979798832</v>
      </c>
      <c r="AH274" s="642">
        <v>0</v>
      </c>
      <c r="AI274" s="642">
        <v>-74.176724382187018</v>
      </c>
      <c r="AJ274" s="642">
        <v>0</v>
      </c>
      <c r="AK274" s="650">
        <v>5.3675142578343316</v>
      </c>
    </row>
    <row r="275" spans="3:37" ht="13.5">
      <c r="C275" s="648" t="s">
        <v>352</v>
      </c>
      <c r="D275" s="642">
        <v>0</v>
      </c>
      <c r="E275" s="642">
        <v>0</v>
      </c>
      <c r="F275" s="642">
        <v>0</v>
      </c>
      <c r="G275" s="642">
        <v>0</v>
      </c>
      <c r="H275" s="642">
        <v>0</v>
      </c>
      <c r="I275" s="642">
        <v>0</v>
      </c>
      <c r="J275" s="652">
        <v>7.1450792385721682</v>
      </c>
      <c r="K275" s="652">
        <v>0</v>
      </c>
      <c r="L275" s="652">
        <v>0</v>
      </c>
      <c r="M275" s="652">
        <v>-6.8235506728364204</v>
      </c>
      <c r="N275" s="652">
        <v>0</v>
      </c>
      <c r="O275" s="652">
        <v>0</v>
      </c>
      <c r="P275" s="642">
        <v>0</v>
      </c>
      <c r="Q275" s="642">
        <v>0</v>
      </c>
      <c r="R275" s="642">
        <v>0</v>
      </c>
      <c r="S275" s="650">
        <v>0.32152856573574784</v>
      </c>
      <c r="U275" s="648" t="s">
        <v>352</v>
      </c>
      <c r="V275" s="642">
        <v>0</v>
      </c>
      <c r="W275" s="642">
        <v>0</v>
      </c>
      <c r="X275" s="642">
        <v>0</v>
      </c>
      <c r="Y275" s="642">
        <v>0</v>
      </c>
      <c r="Z275" s="642">
        <v>0</v>
      </c>
      <c r="AA275" s="642">
        <v>0</v>
      </c>
      <c r="AB275" s="652">
        <v>137.81211213320262</v>
      </c>
      <c r="AC275" s="652">
        <v>0</v>
      </c>
      <c r="AD275" s="652">
        <v>0</v>
      </c>
      <c r="AE275" s="652">
        <v>-131.61056708720849</v>
      </c>
      <c r="AF275" s="652">
        <v>0</v>
      </c>
      <c r="AG275" s="652">
        <v>0</v>
      </c>
      <c r="AH275" s="642">
        <v>0</v>
      </c>
      <c r="AI275" s="642">
        <v>0</v>
      </c>
      <c r="AJ275" s="642">
        <v>0</v>
      </c>
      <c r="AK275" s="650">
        <v>6.2015450459941235</v>
      </c>
    </row>
    <row r="276" spans="3:37" ht="13.5">
      <c r="C276" s="648" t="s">
        <v>353</v>
      </c>
      <c r="D276" s="642">
        <v>0</v>
      </c>
      <c r="E276" s="642">
        <v>0</v>
      </c>
      <c r="F276" s="642">
        <v>0</v>
      </c>
      <c r="G276" s="642">
        <v>0</v>
      </c>
      <c r="H276" s="642">
        <v>0</v>
      </c>
      <c r="I276" s="642">
        <v>0</v>
      </c>
      <c r="J276" s="642">
        <v>0</v>
      </c>
      <c r="K276" s="642">
        <v>0</v>
      </c>
      <c r="L276" s="642">
        <v>0</v>
      </c>
      <c r="M276" s="642">
        <v>0</v>
      </c>
      <c r="N276" s="642">
        <v>0</v>
      </c>
      <c r="O276" s="642">
        <v>0</v>
      </c>
      <c r="P276" s="642">
        <v>0</v>
      </c>
      <c r="Q276" s="642">
        <v>0</v>
      </c>
      <c r="R276" s="642">
        <v>0</v>
      </c>
      <c r="S276" s="650">
        <v>0</v>
      </c>
      <c r="U276" s="648" t="s">
        <v>353</v>
      </c>
      <c r="V276" s="642">
        <v>0</v>
      </c>
      <c r="W276" s="642">
        <v>0</v>
      </c>
      <c r="X276" s="642">
        <v>0</v>
      </c>
      <c r="Y276" s="642">
        <v>0</v>
      </c>
      <c r="Z276" s="642">
        <v>0</v>
      </c>
      <c r="AA276" s="642">
        <v>0</v>
      </c>
      <c r="AB276" s="642">
        <v>0</v>
      </c>
      <c r="AC276" s="642">
        <v>0</v>
      </c>
      <c r="AD276" s="642">
        <v>0</v>
      </c>
      <c r="AE276" s="642">
        <v>0</v>
      </c>
      <c r="AF276" s="642">
        <v>0</v>
      </c>
      <c r="AG276" s="642">
        <v>0</v>
      </c>
      <c r="AH276" s="642">
        <v>0</v>
      </c>
      <c r="AI276" s="642">
        <v>0</v>
      </c>
      <c r="AJ276" s="642">
        <v>0</v>
      </c>
      <c r="AK276" s="650">
        <v>0</v>
      </c>
    </row>
    <row r="277" spans="3:37" ht="13.5">
      <c r="C277" s="648" t="s">
        <v>72</v>
      </c>
      <c r="D277" s="642">
        <v>0</v>
      </c>
      <c r="E277" s="642">
        <v>481.48200000000003</v>
      </c>
      <c r="F277" s="642">
        <v>-476.66718000000003</v>
      </c>
      <c r="G277" s="642">
        <v>0</v>
      </c>
      <c r="H277" s="642">
        <v>0</v>
      </c>
      <c r="I277" s="642">
        <v>0</v>
      </c>
      <c r="J277" s="642">
        <v>0</v>
      </c>
      <c r="K277" s="642">
        <v>0</v>
      </c>
      <c r="L277" s="642">
        <v>0</v>
      </c>
      <c r="M277" s="642">
        <v>0</v>
      </c>
      <c r="N277" s="642">
        <v>0</v>
      </c>
      <c r="O277" s="642">
        <v>0</v>
      </c>
      <c r="P277" s="642">
        <v>0</v>
      </c>
      <c r="Q277" s="642">
        <v>0</v>
      </c>
      <c r="R277" s="642">
        <v>0</v>
      </c>
      <c r="S277" s="650">
        <v>4.8148199999999974</v>
      </c>
      <c r="U277" s="648" t="s">
        <v>72</v>
      </c>
      <c r="V277" s="642">
        <v>0</v>
      </c>
      <c r="W277" s="642">
        <v>117.67676767676768</v>
      </c>
      <c r="X277" s="642">
        <v>-116.5</v>
      </c>
      <c r="Y277" s="642">
        <v>0</v>
      </c>
      <c r="Z277" s="642">
        <v>0</v>
      </c>
      <c r="AA277" s="642">
        <v>0</v>
      </c>
      <c r="AB277" s="642">
        <v>0</v>
      </c>
      <c r="AC277" s="642">
        <v>0</v>
      </c>
      <c r="AD277" s="642">
        <v>0</v>
      </c>
      <c r="AE277" s="642">
        <v>0</v>
      </c>
      <c r="AF277" s="642">
        <v>0</v>
      </c>
      <c r="AG277" s="642">
        <v>0</v>
      </c>
      <c r="AH277" s="642">
        <v>0</v>
      </c>
      <c r="AI277" s="642">
        <v>0</v>
      </c>
      <c r="AJ277" s="642">
        <v>0</v>
      </c>
      <c r="AK277" s="650">
        <v>1.1767676767676818</v>
      </c>
    </row>
    <row r="278" spans="3:37" ht="13.5">
      <c r="C278" s="648" t="s">
        <v>354</v>
      </c>
      <c r="D278" s="642">
        <v>0</v>
      </c>
      <c r="E278" s="642">
        <v>0</v>
      </c>
      <c r="F278" s="642">
        <v>0</v>
      </c>
      <c r="G278" s="642">
        <v>0</v>
      </c>
      <c r="H278" s="642">
        <v>0</v>
      </c>
      <c r="I278" s="642">
        <v>0</v>
      </c>
      <c r="J278" s="642">
        <v>26.125483595276659</v>
      </c>
      <c r="K278" s="642">
        <v>0</v>
      </c>
      <c r="L278" s="642">
        <v>-26.125483595276659</v>
      </c>
      <c r="M278" s="642">
        <v>0</v>
      </c>
      <c r="N278" s="642">
        <v>0</v>
      </c>
      <c r="O278" s="642">
        <v>0</v>
      </c>
      <c r="P278" s="642">
        <v>0</v>
      </c>
      <c r="Q278" s="642">
        <v>0</v>
      </c>
      <c r="R278" s="642">
        <v>0</v>
      </c>
      <c r="S278" s="650">
        <v>0</v>
      </c>
      <c r="U278" s="648" t="s">
        <v>354</v>
      </c>
      <c r="V278" s="642">
        <v>0</v>
      </c>
      <c r="W278" s="642">
        <v>0</v>
      </c>
      <c r="X278" s="642">
        <v>0</v>
      </c>
      <c r="Y278" s="642">
        <v>0</v>
      </c>
      <c r="Z278" s="642">
        <v>0</v>
      </c>
      <c r="AA278" s="642">
        <v>0</v>
      </c>
      <c r="AB278" s="642" t="e">
        <v>#VALUE!</v>
      </c>
      <c r="AC278" s="642">
        <v>0</v>
      </c>
      <c r="AD278" s="642">
        <v>-100.69655001825291</v>
      </c>
      <c r="AE278" s="642">
        <v>0</v>
      </c>
      <c r="AF278" s="642">
        <v>0</v>
      </c>
      <c r="AG278" s="642">
        <v>0</v>
      </c>
      <c r="AH278" s="642">
        <v>0</v>
      </c>
      <c r="AI278" s="642">
        <v>0</v>
      </c>
      <c r="AJ278" s="642">
        <v>0</v>
      </c>
      <c r="AK278" s="650">
        <v>-100.69655001825291</v>
      </c>
    </row>
    <row r="279" spans="3:37" ht="13.5">
      <c r="C279" s="648" t="s">
        <v>355</v>
      </c>
      <c r="D279" s="642">
        <v>0</v>
      </c>
      <c r="E279" s="642">
        <v>0</v>
      </c>
      <c r="F279" s="642">
        <v>0</v>
      </c>
      <c r="G279" s="642">
        <v>0</v>
      </c>
      <c r="H279" s="642">
        <v>0</v>
      </c>
      <c r="I279" s="642">
        <v>0</v>
      </c>
      <c r="J279" s="642">
        <v>0</v>
      </c>
      <c r="K279" s="642">
        <v>0</v>
      </c>
      <c r="L279" s="642">
        <v>0</v>
      </c>
      <c r="M279" s="642">
        <v>0</v>
      </c>
      <c r="N279" s="642">
        <v>0</v>
      </c>
      <c r="O279" s="642">
        <v>0</v>
      </c>
      <c r="P279" s="642">
        <v>0</v>
      </c>
      <c r="Q279" s="642">
        <v>0</v>
      </c>
      <c r="R279" s="642">
        <v>0</v>
      </c>
      <c r="S279" s="650">
        <v>0</v>
      </c>
      <c r="U279" s="648" t="s">
        <v>355</v>
      </c>
      <c r="V279" s="642">
        <v>0</v>
      </c>
      <c r="W279" s="642">
        <v>0</v>
      </c>
      <c r="X279" s="642">
        <v>0</v>
      </c>
      <c r="Y279" s="642">
        <v>0</v>
      </c>
      <c r="Z279" s="642">
        <v>0</v>
      </c>
      <c r="AA279" s="642">
        <v>0</v>
      </c>
      <c r="AB279" s="642">
        <v>0</v>
      </c>
      <c r="AC279" s="642">
        <v>0</v>
      </c>
      <c r="AD279" s="642">
        <v>-28.460377640694865</v>
      </c>
      <c r="AE279" s="642">
        <v>0</v>
      </c>
      <c r="AF279" s="642">
        <v>0</v>
      </c>
      <c r="AG279" s="642">
        <v>0</v>
      </c>
      <c r="AH279" s="642">
        <v>0</v>
      </c>
      <c r="AI279" s="642">
        <v>0</v>
      </c>
      <c r="AJ279" s="642">
        <v>0</v>
      </c>
      <c r="AK279" s="650">
        <v>-28.460377640694865</v>
      </c>
    </row>
    <row r="280" spans="3:37" ht="13.5">
      <c r="C280" s="648" t="s">
        <v>73</v>
      </c>
      <c r="D280" s="642">
        <v>0</v>
      </c>
      <c r="E280" s="642">
        <v>0</v>
      </c>
      <c r="F280" s="642">
        <v>0</v>
      </c>
      <c r="G280" s="642">
        <v>8.6128889644156494</v>
      </c>
      <c r="H280" s="642">
        <v>0</v>
      </c>
      <c r="I280" s="642">
        <v>0</v>
      </c>
      <c r="J280" s="642">
        <v>0</v>
      </c>
      <c r="K280" s="642">
        <v>0.10101910584583218</v>
      </c>
      <c r="L280" s="642">
        <v>0</v>
      </c>
      <c r="M280" s="642">
        <v>0.17577324417174797</v>
      </c>
      <c r="N280" s="642">
        <v>0</v>
      </c>
      <c r="O280" s="642">
        <v>0</v>
      </c>
      <c r="P280" s="642">
        <v>1.1785562348680418</v>
      </c>
      <c r="Q280" s="642">
        <v>0</v>
      </c>
      <c r="R280" s="642">
        <v>-7.071337409208251</v>
      </c>
      <c r="S280" s="650">
        <v>2.99690014009302</v>
      </c>
      <c r="U280" s="648" t="s">
        <v>73</v>
      </c>
      <c r="V280" s="642">
        <v>0</v>
      </c>
      <c r="W280" s="642">
        <v>0</v>
      </c>
      <c r="X280" s="642">
        <v>0</v>
      </c>
      <c r="Y280" s="642">
        <v>0</v>
      </c>
      <c r="Z280" s="642">
        <v>0</v>
      </c>
      <c r="AA280" s="642">
        <v>0</v>
      </c>
      <c r="AB280" s="642">
        <v>0</v>
      </c>
      <c r="AC280" s="642">
        <v>0.58294529496624936</v>
      </c>
      <c r="AD280" s="642">
        <v>0</v>
      </c>
      <c r="AE280" s="642">
        <v>0</v>
      </c>
      <c r="AF280" s="642">
        <v>0</v>
      </c>
      <c r="AG280" s="642">
        <v>0</v>
      </c>
      <c r="AH280" s="642">
        <v>56.108484640501494</v>
      </c>
      <c r="AI280" s="642">
        <v>0</v>
      </c>
      <c r="AJ280" s="642">
        <v>-40.806170647637451</v>
      </c>
      <c r="AK280" s="650">
        <v>15.885259287830294</v>
      </c>
    </row>
    <row r="281" spans="3:37" ht="13.5">
      <c r="C281" s="648" t="s">
        <v>356</v>
      </c>
      <c r="D281" s="642">
        <v>28.51179328125</v>
      </c>
      <c r="E281" s="642">
        <v>-16.683351300000002</v>
      </c>
      <c r="F281" s="642">
        <v>21.820838094867195</v>
      </c>
      <c r="G281" s="642">
        <v>0</v>
      </c>
      <c r="H281" s="642">
        <v>0</v>
      </c>
      <c r="I281" s="642">
        <v>0</v>
      </c>
      <c r="J281" s="642">
        <v>0</v>
      </c>
      <c r="K281" s="642">
        <v>0</v>
      </c>
      <c r="L281" s="642">
        <v>0</v>
      </c>
      <c r="M281" s="642">
        <v>0</v>
      </c>
      <c r="N281" s="642">
        <v>0</v>
      </c>
      <c r="O281" s="642">
        <v>0</v>
      </c>
      <c r="P281" s="642">
        <v>0</v>
      </c>
      <c r="Q281" s="642">
        <v>0</v>
      </c>
      <c r="R281" s="642">
        <v>0</v>
      </c>
      <c r="S281" s="650">
        <v>33.649280076117194</v>
      </c>
      <c r="U281" s="648" t="s">
        <v>356</v>
      </c>
      <c r="V281" s="642">
        <v>0.72303211975097659</v>
      </c>
      <c r="W281" s="642">
        <v>-4.0775000000000006</v>
      </c>
      <c r="X281" s="642">
        <v>5.333129161634389</v>
      </c>
      <c r="Y281" s="642">
        <v>0</v>
      </c>
      <c r="Z281" s="642">
        <v>0</v>
      </c>
      <c r="AA281" s="642">
        <v>0</v>
      </c>
      <c r="AB281" s="642">
        <v>0</v>
      </c>
      <c r="AC281" s="642">
        <v>0</v>
      </c>
      <c r="AD281" s="642">
        <v>0</v>
      </c>
      <c r="AE281" s="642">
        <v>0</v>
      </c>
      <c r="AF281" s="642">
        <v>0</v>
      </c>
      <c r="AG281" s="642">
        <v>0</v>
      </c>
      <c r="AH281" s="642">
        <v>0</v>
      </c>
      <c r="AI281" s="642">
        <v>0</v>
      </c>
      <c r="AJ281" s="642">
        <v>0</v>
      </c>
      <c r="AK281" s="650">
        <v>1.978661281385365</v>
      </c>
    </row>
    <row r="282" spans="3:37" ht="13.5">
      <c r="C282" s="648" t="s">
        <v>75</v>
      </c>
      <c r="D282" s="642">
        <v>11.087919609375001</v>
      </c>
      <c r="E282" s="642">
        <v>0</v>
      </c>
      <c r="F282" s="642">
        <v>16.370388000000002</v>
      </c>
      <c r="G282" s="642">
        <v>4.6713383640000004</v>
      </c>
      <c r="H282" s="642">
        <v>0</v>
      </c>
      <c r="I282" s="642">
        <v>0</v>
      </c>
      <c r="J282" s="642">
        <v>0</v>
      </c>
      <c r="K282" s="642">
        <v>0</v>
      </c>
      <c r="L282" s="642">
        <v>0</v>
      </c>
      <c r="M282" s="642">
        <v>9.5333436000000008E-2</v>
      </c>
      <c r="N282" s="642">
        <v>0</v>
      </c>
      <c r="O282" s="642">
        <v>0</v>
      </c>
      <c r="P282" s="642">
        <v>26.129145836866744</v>
      </c>
      <c r="Q282" s="642">
        <v>0</v>
      </c>
      <c r="R282" s="642">
        <v>0</v>
      </c>
      <c r="S282" s="650">
        <v>58.35412524624175</v>
      </c>
      <c r="U282" s="648" t="s">
        <v>75</v>
      </c>
      <c r="V282" s="642">
        <v>1.73775830078125</v>
      </c>
      <c r="W282" s="642">
        <v>0</v>
      </c>
      <c r="X282" s="642">
        <v>16.370388000000002</v>
      </c>
      <c r="Y282" s="642">
        <v>0</v>
      </c>
      <c r="Z282" s="642">
        <v>0</v>
      </c>
      <c r="AA282" s="642">
        <v>0</v>
      </c>
      <c r="AB282" s="642">
        <v>0</v>
      </c>
      <c r="AC282" s="642">
        <v>0</v>
      </c>
      <c r="AD282" s="642">
        <v>0</v>
      </c>
      <c r="AE282" s="642">
        <v>4.7666718000000001</v>
      </c>
      <c r="AF282" s="642">
        <v>0</v>
      </c>
      <c r="AG282" s="642">
        <v>0</v>
      </c>
      <c r="AH282" s="642">
        <v>36.696565665655768</v>
      </c>
      <c r="AI282" s="642">
        <v>0</v>
      </c>
      <c r="AJ282" s="642">
        <v>0</v>
      </c>
      <c r="AK282" s="650">
        <v>59.571383766437016</v>
      </c>
    </row>
    <row r="283" spans="3:37" ht="13.5">
      <c r="C283" s="648" t="s">
        <v>76</v>
      </c>
      <c r="D283" s="642">
        <v>0</v>
      </c>
      <c r="E283" s="642">
        <v>0</v>
      </c>
      <c r="F283" s="642">
        <v>0</v>
      </c>
      <c r="G283" s="642">
        <v>3.9646717348100942</v>
      </c>
      <c r="H283" s="642">
        <v>0</v>
      </c>
      <c r="I283" s="642">
        <v>0</v>
      </c>
      <c r="J283" s="642">
        <v>0</v>
      </c>
      <c r="K283" s="642">
        <v>0</v>
      </c>
      <c r="L283" s="642">
        <v>0</v>
      </c>
      <c r="M283" s="642">
        <v>8.0911668057348868E-2</v>
      </c>
      <c r="N283" s="642">
        <v>0</v>
      </c>
      <c r="O283" s="642">
        <v>0</v>
      </c>
      <c r="P283" s="642">
        <v>47.131742012269626</v>
      </c>
      <c r="Q283" s="642">
        <v>2.9238621334994321</v>
      </c>
      <c r="R283" s="642">
        <v>0</v>
      </c>
      <c r="S283" s="650">
        <v>54.101187548636503</v>
      </c>
      <c r="U283" s="648" t="s">
        <v>76</v>
      </c>
      <c r="V283" s="642">
        <v>0</v>
      </c>
      <c r="W283" s="642">
        <v>0</v>
      </c>
      <c r="X283" s="642">
        <v>0</v>
      </c>
      <c r="Y283" s="642">
        <v>0</v>
      </c>
      <c r="Z283" s="642">
        <v>0</v>
      </c>
      <c r="AA283" s="642">
        <v>0</v>
      </c>
      <c r="AB283" s="642">
        <v>0</v>
      </c>
      <c r="AC283" s="642">
        <v>0</v>
      </c>
      <c r="AD283" s="642">
        <v>0</v>
      </c>
      <c r="AE283" s="642">
        <v>1.5605996097297452</v>
      </c>
      <c r="AF283" s="642">
        <v>0</v>
      </c>
      <c r="AG283" s="642">
        <v>0</v>
      </c>
      <c r="AH283" s="642">
        <v>50.104610120731024</v>
      </c>
      <c r="AI283" s="642">
        <v>5.7529608775183565</v>
      </c>
      <c r="AJ283" s="642">
        <v>0</v>
      </c>
      <c r="AK283" s="650">
        <v>57.418170607979121</v>
      </c>
    </row>
    <row r="284" spans="3:37" ht="13.5">
      <c r="C284" s="646" t="s">
        <v>77</v>
      </c>
      <c r="D284" s="647">
        <v>42.426498531650253</v>
      </c>
      <c r="E284" s="647">
        <v>464.7986487</v>
      </c>
      <c r="F284" s="647">
        <v>-430.41604332203127</v>
      </c>
      <c r="G284" s="647">
        <v>78.562753779962591</v>
      </c>
      <c r="H284" s="647">
        <v>727.27272727272737</v>
      </c>
      <c r="I284" s="647">
        <v>338.37995078139568</v>
      </c>
      <c r="J284" s="647">
        <v>73.88609899973514</v>
      </c>
      <c r="K284" s="647">
        <v>18.1608189391454</v>
      </c>
      <c r="L284" s="647">
        <v>-22.392588528868568</v>
      </c>
      <c r="M284" s="647">
        <v>-5.0780082691828765</v>
      </c>
      <c r="N284" s="647">
        <v>0</v>
      </c>
      <c r="O284" s="647">
        <v>9.6533137639592894</v>
      </c>
      <c r="P284" s="647">
        <v>-554.70570793017112</v>
      </c>
      <c r="Q284" s="647">
        <v>-34.744016552062419</v>
      </c>
      <c r="R284" s="647">
        <v>-7.071337409208251</v>
      </c>
      <c r="S284" s="647">
        <v>698.73310875705101</v>
      </c>
      <c r="U284" s="646" t="s">
        <v>77</v>
      </c>
      <c r="V284" s="647">
        <v>3.0871053259909167</v>
      </c>
      <c r="W284" s="647">
        <v>113.59926767676768</v>
      </c>
      <c r="X284" s="647">
        <v>-90.60020861890041</v>
      </c>
      <c r="Y284" s="647">
        <v>0</v>
      </c>
      <c r="Z284" s="647">
        <v>764.84848484848499</v>
      </c>
      <c r="AA284" s="647">
        <v>423.19995078139567</v>
      </c>
      <c r="AB284" s="647">
        <v>188.81392594880614</v>
      </c>
      <c r="AC284" s="647">
        <v>31.963595882852758</v>
      </c>
      <c r="AD284" s="647">
        <v>-125.42403259253969</v>
      </c>
      <c r="AE284" s="647">
        <v>-113.87891972722609</v>
      </c>
      <c r="AF284" s="647">
        <v>0</v>
      </c>
      <c r="AG284" s="647">
        <v>21.687841193420969</v>
      </c>
      <c r="AH284" s="647">
        <v>-553.86752452670385</v>
      </c>
      <c r="AI284" s="647">
        <v>-68.423763504668656</v>
      </c>
      <c r="AJ284" s="647">
        <v>-37.056170647637451</v>
      </c>
      <c r="AK284" s="647">
        <v>557.94955204004305</v>
      </c>
    </row>
    <row r="285" spans="3:37" ht="13">
      <c r="C285" s="636"/>
      <c r="D285" s="636">
        <v>0</v>
      </c>
      <c r="E285" s="636">
        <v>0</v>
      </c>
      <c r="F285" s="636">
        <v>0</v>
      </c>
      <c r="G285" s="636">
        <v>0</v>
      </c>
      <c r="H285" s="636">
        <v>0</v>
      </c>
      <c r="I285" s="636">
        <v>0</v>
      </c>
      <c r="J285" s="636">
        <v>0</v>
      </c>
      <c r="K285" s="636">
        <v>0</v>
      </c>
      <c r="L285" s="636">
        <v>0</v>
      </c>
      <c r="M285" s="636">
        <v>0</v>
      </c>
      <c r="N285" s="636">
        <v>0</v>
      </c>
      <c r="O285" s="636">
        <v>0</v>
      </c>
      <c r="P285" s="636">
        <v>0</v>
      </c>
      <c r="Q285" s="636">
        <v>0</v>
      </c>
      <c r="R285" s="636">
        <v>0</v>
      </c>
      <c r="S285" s="636">
        <v>0</v>
      </c>
      <c r="U285" s="636"/>
      <c r="V285" s="636">
        <v>0</v>
      </c>
      <c r="W285" s="636">
        <v>0</v>
      </c>
      <c r="X285" s="636">
        <v>0</v>
      </c>
      <c r="Y285" s="636">
        <v>0</v>
      </c>
      <c r="Z285" s="636">
        <v>0</v>
      </c>
      <c r="AA285" s="636">
        <v>0</v>
      </c>
      <c r="AB285" s="636">
        <v>0</v>
      </c>
      <c r="AC285" s="636">
        <v>0</v>
      </c>
      <c r="AD285" s="636">
        <v>0</v>
      </c>
      <c r="AE285" s="636">
        <v>0</v>
      </c>
      <c r="AF285" s="636">
        <v>0</v>
      </c>
      <c r="AG285" s="636">
        <v>0</v>
      </c>
      <c r="AH285" s="636">
        <v>0</v>
      </c>
      <c r="AI285" s="636">
        <v>0</v>
      </c>
      <c r="AJ285" s="636">
        <v>0</v>
      </c>
      <c r="AK285" s="636">
        <v>0</v>
      </c>
    </row>
    <row r="286" spans="3:37" ht="13.5">
      <c r="C286" s="648" t="s">
        <v>78</v>
      </c>
      <c r="D286" s="642">
        <v>3.6733927919712848</v>
      </c>
      <c r="E286" s="642">
        <v>0</v>
      </c>
      <c r="F286" s="642">
        <v>19.397200033553816</v>
      </c>
      <c r="G286" s="642">
        <v>91.130108310207916</v>
      </c>
      <c r="H286" s="642">
        <v>0</v>
      </c>
      <c r="I286" s="642">
        <v>0</v>
      </c>
      <c r="J286" s="642">
        <v>22.791437377983073</v>
      </c>
      <c r="K286" s="642">
        <v>1.7013098714668424</v>
      </c>
      <c r="L286" s="642">
        <v>1.007010953125</v>
      </c>
      <c r="M286" s="642">
        <v>1.8779931367345493</v>
      </c>
      <c r="N286" s="642">
        <v>0</v>
      </c>
      <c r="O286" s="642">
        <v>3.7093504340600874E-4</v>
      </c>
      <c r="P286" s="642">
        <v>114.54790196708234</v>
      </c>
      <c r="Q286" s="642">
        <v>16.21056036467343</v>
      </c>
      <c r="R286" s="642">
        <v>0.23655174255371095</v>
      </c>
      <c r="S286" s="650">
        <v>272.57383748439537</v>
      </c>
      <c r="U286" s="648" t="s">
        <v>78</v>
      </c>
      <c r="V286" s="642">
        <v>1.5000162600463405</v>
      </c>
      <c r="W286" s="642">
        <v>0</v>
      </c>
      <c r="X286" s="642">
        <v>0.65820239923796242</v>
      </c>
      <c r="Y286" s="642">
        <v>0</v>
      </c>
      <c r="Z286" s="642">
        <v>0</v>
      </c>
      <c r="AA286" s="642">
        <v>0</v>
      </c>
      <c r="AB286" s="642">
        <v>14.22856522114639</v>
      </c>
      <c r="AC286" s="642">
        <v>4.1194716696050602</v>
      </c>
      <c r="AD286" s="642">
        <v>8.3494072265624997</v>
      </c>
      <c r="AE286" s="642">
        <v>60.539358802903692</v>
      </c>
      <c r="AF286" s="642">
        <v>0</v>
      </c>
      <c r="AG286" s="642">
        <v>3.7093504340600874E-4</v>
      </c>
      <c r="AH286" s="642">
        <v>157.01971492382648</v>
      </c>
      <c r="AI286" s="642">
        <v>25.540840498351418</v>
      </c>
      <c r="AJ286" s="642">
        <v>8.9542294921874994</v>
      </c>
      <c r="AK286" s="650">
        <v>280.91017742891074</v>
      </c>
    </row>
    <row r="287" spans="3:37" ht="13.5">
      <c r="C287" s="648" t="s">
        <v>79</v>
      </c>
      <c r="D287" s="642">
        <v>0</v>
      </c>
      <c r="E287" s="642">
        <v>0</v>
      </c>
      <c r="F287" s="642">
        <v>216.8751541495462</v>
      </c>
      <c r="G287" s="642">
        <v>32.745585882615877</v>
      </c>
      <c r="H287" s="642">
        <v>0</v>
      </c>
      <c r="I287" s="642">
        <v>0</v>
      </c>
      <c r="J287" s="642">
        <v>0</v>
      </c>
      <c r="K287" s="642">
        <v>0</v>
      </c>
      <c r="L287" s="642">
        <v>20.896591906701669</v>
      </c>
      <c r="M287" s="642">
        <v>0.66827726291052814</v>
      </c>
      <c r="N287" s="642">
        <v>0</v>
      </c>
      <c r="O287" s="642">
        <v>0</v>
      </c>
      <c r="P287" s="642">
        <v>80.819270278256823</v>
      </c>
      <c r="Q287" s="642">
        <v>0</v>
      </c>
      <c r="R287" s="642">
        <v>2.9193508940431485</v>
      </c>
      <c r="S287" s="650">
        <v>354.92423037407423</v>
      </c>
      <c r="U287" s="648" t="s">
        <v>79</v>
      </c>
      <c r="V287" s="642">
        <v>0</v>
      </c>
      <c r="W287" s="642">
        <v>0</v>
      </c>
      <c r="X287" s="642">
        <v>8.8339079607242379</v>
      </c>
      <c r="Y287" s="642">
        <v>0</v>
      </c>
      <c r="Z287" s="642">
        <v>0</v>
      </c>
      <c r="AA287" s="642">
        <v>0</v>
      </c>
      <c r="AB287" s="642">
        <v>0</v>
      </c>
      <c r="AC287" s="642">
        <v>0</v>
      </c>
      <c r="AD287" s="642">
        <v>12.788272739607951</v>
      </c>
      <c r="AE287" s="642">
        <v>24.887279738493259</v>
      </c>
      <c r="AF287" s="642">
        <v>0</v>
      </c>
      <c r="AG287" s="642">
        <v>0</v>
      </c>
      <c r="AH287" s="642">
        <v>93.844452584108197</v>
      </c>
      <c r="AI287" s="642">
        <v>0</v>
      </c>
      <c r="AJ287" s="642">
        <v>7.1149935986121697</v>
      </c>
      <c r="AK287" s="650">
        <v>147.46890662154581</v>
      </c>
    </row>
    <row r="288" spans="3:37" ht="13.5">
      <c r="C288" s="648" t="s">
        <v>80</v>
      </c>
      <c r="D288" s="642">
        <v>0</v>
      </c>
      <c r="E288" s="642">
        <v>0</v>
      </c>
      <c r="F288" s="642">
        <v>5.2094674308398901</v>
      </c>
      <c r="G288" s="642">
        <v>68.551385920257417</v>
      </c>
      <c r="H288" s="642">
        <v>0</v>
      </c>
      <c r="I288" s="642">
        <v>0</v>
      </c>
      <c r="J288" s="642">
        <v>86.155325304334795</v>
      </c>
      <c r="K288" s="642">
        <v>0</v>
      </c>
      <c r="L288" s="642">
        <v>0</v>
      </c>
      <c r="M288" s="642">
        <v>1.3990078759236206</v>
      </c>
      <c r="N288" s="642">
        <v>66.478227859390046</v>
      </c>
      <c r="O288" s="642">
        <v>2.1206229173139883</v>
      </c>
      <c r="P288" s="642">
        <v>194.47767196350526</v>
      </c>
      <c r="Q288" s="642">
        <v>15.182773802844931</v>
      </c>
      <c r="R288" s="642">
        <v>0</v>
      </c>
      <c r="S288" s="650">
        <v>439.5744830744099</v>
      </c>
      <c r="U288" s="648" t="s">
        <v>80</v>
      </c>
      <c r="V288" s="642">
        <v>0</v>
      </c>
      <c r="W288" s="642">
        <v>0</v>
      </c>
      <c r="X288" s="642">
        <v>0.92826525658471626</v>
      </c>
      <c r="Y288" s="642">
        <v>0</v>
      </c>
      <c r="Z288" s="642">
        <v>0</v>
      </c>
      <c r="AA288" s="642">
        <v>0</v>
      </c>
      <c r="AB288" s="642">
        <v>47.227858114444189</v>
      </c>
      <c r="AC288" s="642">
        <v>0</v>
      </c>
      <c r="AD288" s="642">
        <v>0</v>
      </c>
      <c r="AE288" s="642">
        <v>17.293312779197663</v>
      </c>
      <c r="AF288" s="642">
        <v>108.09916343666818</v>
      </c>
      <c r="AG288" s="642">
        <v>4.9369795689122755</v>
      </c>
      <c r="AH288" s="642">
        <v>137.38519988829395</v>
      </c>
      <c r="AI288" s="642">
        <v>27.91071693101145</v>
      </c>
      <c r="AJ288" s="642">
        <v>0</v>
      </c>
      <c r="AK288" s="650">
        <v>343.78149597511242</v>
      </c>
    </row>
    <row r="289" spans="3:37" ht="13.5">
      <c r="C289" s="648" t="s">
        <v>81</v>
      </c>
      <c r="D289" s="642">
        <v>0</v>
      </c>
      <c r="E289" s="642">
        <v>0</v>
      </c>
      <c r="F289" s="642">
        <v>2.3181271880740835</v>
      </c>
      <c r="G289" s="642">
        <v>62.553452404821357</v>
      </c>
      <c r="H289" s="642">
        <v>0</v>
      </c>
      <c r="I289" s="642">
        <v>0</v>
      </c>
      <c r="J289" s="642">
        <v>3.0090868580403627</v>
      </c>
      <c r="K289" s="642">
        <v>2.5363417285398034E-2</v>
      </c>
      <c r="L289" s="642">
        <v>0</v>
      </c>
      <c r="M289" s="642">
        <v>1.27660106948615</v>
      </c>
      <c r="N289" s="642">
        <v>8.6055350400994808</v>
      </c>
      <c r="O289" s="642">
        <v>0.68093940948821108</v>
      </c>
      <c r="P289" s="642">
        <v>146.08879967332064</v>
      </c>
      <c r="Q289" s="642">
        <v>3.3506823845440552</v>
      </c>
      <c r="R289" s="642">
        <v>0</v>
      </c>
      <c r="S289" s="650">
        <v>227.90858744515972</v>
      </c>
      <c r="U289" s="648" t="s">
        <v>81</v>
      </c>
      <c r="V289" s="642">
        <v>0</v>
      </c>
      <c r="W289" s="642">
        <v>0</v>
      </c>
      <c r="X289" s="642">
        <v>0.55102356567889155</v>
      </c>
      <c r="Y289" s="642">
        <v>0</v>
      </c>
      <c r="Z289" s="642">
        <v>0</v>
      </c>
      <c r="AA289" s="642">
        <v>0</v>
      </c>
      <c r="AB289" s="642">
        <v>6.5361621549849476</v>
      </c>
      <c r="AC289" s="642">
        <v>2.5363417285398034E-2</v>
      </c>
      <c r="AD289" s="642">
        <v>0</v>
      </c>
      <c r="AE289" s="642">
        <v>5.3379988256415478</v>
      </c>
      <c r="AF289" s="642">
        <v>15.069021727073199</v>
      </c>
      <c r="AG289" s="642">
        <v>1.4375946320597892</v>
      </c>
      <c r="AH289" s="642">
        <v>112.31243747223964</v>
      </c>
      <c r="AI289" s="642">
        <v>14.972206075305797</v>
      </c>
      <c r="AJ289" s="642">
        <v>0</v>
      </c>
      <c r="AK289" s="650">
        <v>156.24180787026921</v>
      </c>
    </row>
    <row r="290" spans="3:37" ht="13.5">
      <c r="C290" s="648" t="s">
        <v>82</v>
      </c>
      <c r="D290" s="642">
        <v>0</v>
      </c>
      <c r="E290" s="642">
        <v>0</v>
      </c>
      <c r="F290" s="642">
        <v>27.219719362233906</v>
      </c>
      <c r="G290" s="642">
        <v>0.81069667111944488</v>
      </c>
      <c r="H290" s="642">
        <v>0</v>
      </c>
      <c r="I290" s="642">
        <v>0</v>
      </c>
      <c r="J290" s="642">
        <v>5.0054618408177598</v>
      </c>
      <c r="K290" s="642">
        <v>0</v>
      </c>
      <c r="L290" s="642">
        <v>3.2629555410385191</v>
      </c>
      <c r="M290" s="642">
        <v>1.6544830022845812E-2</v>
      </c>
      <c r="N290" s="642">
        <v>0</v>
      </c>
      <c r="O290" s="642">
        <v>6.051975379409523E-2</v>
      </c>
      <c r="P290" s="642">
        <v>5.5235547180923223</v>
      </c>
      <c r="Q290" s="642">
        <v>0</v>
      </c>
      <c r="R290" s="642">
        <v>0</v>
      </c>
      <c r="S290" s="650">
        <v>41.899452717118898</v>
      </c>
      <c r="U290" s="648" t="s">
        <v>82</v>
      </c>
      <c r="V290" s="642">
        <v>0</v>
      </c>
      <c r="W290" s="642">
        <v>0</v>
      </c>
      <c r="X290" s="642">
        <v>0.67158967449506357</v>
      </c>
      <c r="Y290" s="642">
        <v>0</v>
      </c>
      <c r="Z290" s="642">
        <v>0</v>
      </c>
      <c r="AA290" s="642">
        <v>0</v>
      </c>
      <c r="AB290" s="642">
        <v>5.0054618408177598</v>
      </c>
      <c r="AC290" s="642">
        <v>0</v>
      </c>
      <c r="AD290" s="642">
        <v>35.167200828266267</v>
      </c>
      <c r="AE290" s="642">
        <v>0.86765586771995196</v>
      </c>
      <c r="AF290" s="642">
        <v>0</v>
      </c>
      <c r="AG290" s="642">
        <v>2.1874070050904897</v>
      </c>
      <c r="AH290" s="642">
        <v>5.6657335511185538</v>
      </c>
      <c r="AI290" s="642">
        <v>0</v>
      </c>
      <c r="AJ290" s="642">
        <v>0.44339331184266689</v>
      </c>
      <c r="AK290" s="650">
        <v>50.008442079350758</v>
      </c>
    </row>
    <row r="291" spans="3:37" ht="13.5">
      <c r="C291" s="648" t="s">
        <v>357</v>
      </c>
      <c r="D291" s="642">
        <v>0</v>
      </c>
      <c r="E291" s="642">
        <v>0</v>
      </c>
      <c r="F291" s="642">
        <v>0</v>
      </c>
      <c r="G291" s="642">
        <v>0</v>
      </c>
      <c r="H291" s="642">
        <v>0</v>
      </c>
      <c r="I291" s="642">
        <v>0</v>
      </c>
      <c r="J291" s="642">
        <v>0</v>
      </c>
      <c r="K291" s="642">
        <v>0</v>
      </c>
      <c r="L291" s="642">
        <v>0</v>
      </c>
      <c r="M291" s="642">
        <v>0</v>
      </c>
      <c r="N291" s="642">
        <v>0</v>
      </c>
      <c r="O291" s="642">
        <v>0</v>
      </c>
      <c r="P291" s="642">
        <v>0.44999999999999996</v>
      </c>
      <c r="Q291" s="642">
        <v>0</v>
      </c>
      <c r="R291" s="642">
        <v>0</v>
      </c>
      <c r="S291" s="650">
        <v>0.44999999999999996</v>
      </c>
      <c r="U291" s="648" t="s">
        <v>357</v>
      </c>
      <c r="V291" s="642">
        <v>0</v>
      </c>
      <c r="W291" s="642">
        <v>0</v>
      </c>
      <c r="X291" s="642">
        <v>0</v>
      </c>
      <c r="Y291" s="642">
        <v>0</v>
      </c>
      <c r="Z291" s="642">
        <v>0</v>
      </c>
      <c r="AA291" s="642">
        <v>0</v>
      </c>
      <c r="AB291" s="642">
        <v>0</v>
      </c>
      <c r="AC291" s="642">
        <v>0</v>
      </c>
      <c r="AD291" s="642">
        <v>0</v>
      </c>
      <c r="AE291" s="642">
        <v>0</v>
      </c>
      <c r="AF291" s="642">
        <v>0</v>
      </c>
      <c r="AG291" s="642">
        <v>0</v>
      </c>
      <c r="AH291" s="642">
        <v>6</v>
      </c>
      <c r="AI291" s="642">
        <v>0</v>
      </c>
      <c r="AJ291" s="642">
        <v>0</v>
      </c>
      <c r="AK291" s="650">
        <v>6</v>
      </c>
    </row>
    <row r="292" spans="3:37" ht="13.5">
      <c r="C292" s="646" t="s">
        <v>83</v>
      </c>
      <c r="D292" s="647">
        <v>3.6733927919712848</v>
      </c>
      <c r="E292" s="647">
        <v>0</v>
      </c>
      <c r="F292" s="647">
        <v>271.01966816424783</v>
      </c>
      <c r="G292" s="647">
        <v>255.79122918902203</v>
      </c>
      <c r="H292" s="647">
        <v>0</v>
      </c>
      <c r="I292" s="647">
        <v>0</v>
      </c>
      <c r="J292" s="647">
        <v>116.96131138117599</v>
      </c>
      <c r="K292" s="647">
        <v>1.7266732887522405</v>
      </c>
      <c r="L292" s="647">
        <v>25.166558400865188</v>
      </c>
      <c r="M292" s="647">
        <v>5.238424175077693</v>
      </c>
      <c r="N292" s="647">
        <v>75.083762899489528</v>
      </c>
      <c r="O292" s="647">
        <v>2.8624530156397006</v>
      </c>
      <c r="P292" s="647">
        <v>541.90719860025752</v>
      </c>
      <c r="Q292" s="647">
        <v>34.744016552062419</v>
      </c>
      <c r="R292" s="647">
        <v>3.1559026365968594</v>
      </c>
      <c r="S292" s="647">
        <v>1337.3305910951583</v>
      </c>
      <c r="U292" s="646" t="s">
        <v>83</v>
      </c>
      <c r="V292" s="647">
        <v>1.5000162600463405</v>
      </c>
      <c r="W292" s="647">
        <v>0</v>
      </c>
      <c r="X292" s="647">
        <v>11.642988856720871</v>
      </c>
      <c r="Y292" s="647">
        <v>0</v>
      </c>
      <c r="Z292" s="647">
        <v>0</v>
      </c>
      <c r="AA292" s="647">
        <v>0</v>
      </c>
      <c r="AB292" s="647">
        <v>72.998047331393281</v>
      </c>
      <c r="AC292" s="647">
        <v>4.1448350868904589</v>
      </c>
      <c r="AD292" s="647">
        <v>56.30488079443672</v>
      </c>
      <c r="AE292" s="647">
        <v>108.92560601395611</v>
      </c>
      <c r="AF292" s="647">
        <v>123.16818516374138</v>
      </c>
      <c r="AG292" s="647">
        <v>8.5623521411059595</v>
      </c>
      <c r="AH292" s="647">
        <v>512.22753841958684</v>
      </c>
      <c r="AI292" s="647">
        <v>68.423763504668656</v>
      </c>
      <c r="AJ292" s="647">
        <v>16.512616402642333</v>
      </c>
      <c r="AK292" s="647">
        <v>984.4108299751889</v>
      </c>
    </row>
    <row r="293" spans="3:37" ht="13.5">
      <c r="C293" s="641" t="s">
        <v>84</v>
      </c>
      <c r="D293" s="642">
        <v>0</v>
      </c>
      <c r="E293" s="642">
        <v>0</v>
      </c>
      <c r="F293" s="642">
        <v>100.05515171814793</v>
      </c>
      <c r="G293" s="642">
        <v>11.196954266678716</v>
      </c>
      <c r="H293" s="642">
        <v>0</v>
      </c>
      <c r="I293" s="642">
        <v>0</v>
      </c>
      <c r="J293" s="642">
        <v>0</v>
      </c>
      <c r="K293" s="642">
        <v>0</v>
      </c>
      <c r="L293" s="642">
        <v>0</v>
      </c>
      <c r="M293" s="642">
        <v>0</v>
      </c>
      <c r="N293" s="642">
        <v>0</v>
      </c>
      <c r="O293" s="642">
        <v>0</v>
      </c>
      <c r="P293" s="642">
        <v>0</v>
      </c>
      <c r="Q293" s="642">
        <v>0</v>
      </c>
      <c r="R293" s="642">
        <v>3.9154347726113912</v>
      </c>
      <c r="S293" s="650">
        <v>115.16754075743803</v>
      </c>
      <c r="U293" s="641" t="s">
        <v>84</v>
      </c>
      <c r="V293" s="642">
        <v>0</v>
      </c>
      <c r="W293" s="642">
        <v>0</v>
      </c>
      <c r="X293" s="642">
        <v>57.953190468871433</v>
      </c>
      <c r="Y293" s="642">
        <v>0.51452681198611927</v>
      </c>
      <c r="Z293" s="642">
        <v>0</v>
      </c>
      <c r="AA293" s="642">
        <v>0</v>
      </c>
      <c r="AB293" s="642">
        <v>0</v>
      </c>
      <c r="AC293" s="642">
        <v>0</v>
      </c>
      <c r="AD293" s="642">
        <v>30.108432000732424</v>
      </c>
      <c r="AE293" s="642">
        <v>0</v>
      </c>
      <c r="AF293" s="642">
        <v>0</v>
      </c>
      <c r="AG293" s="642">
        <v>0</v>
      </c>
      <c r="AH293" s="642">
        <v>0</v>
      </c>
      <c r="AI293" s="642">
        <v>0</v>
      </c>
      <c r="AJ293" s="642">
        <v>20.543554244995118</v>
      </c>
      <c r="AK293" s="650">
        <v>109.1197035265851</v>
      </c>
    </row>
    <row r="294" spans="3:37" ht="13.5">
      <c r="C294" s="646" t="s">
        <v>85</v>
      </c>
      <c r="D294" s="647">
        <v>3.6733927919712848</v>
      </c>
      <c r="E294" s="647">
        <v>0</v>
      </c>
      <c r="F294" s="647">
        <v>371.07481988239573</v>
      </c>
      <c r="G294" s="647">
        <v>266.98818345570078</v>
      </c>
      <c r="H294" s="647">
        <v>0</v>
      </c>
      <c r="I294" s="647">
        <v>0</v>
      </c>
      <c r="J294" s="647">
        <v>116.96131138117599</v>
      </c>
      <c r="K294" s="647">
        <v>1.7266732887522405</v>
      </c>
      <c r="L294" s="647">
        <v>25.166558400865188</v>
      </c>
      <c r="M294" s="647">
        <v>5.238424175077693</v>
      </c>
      <c r="N294" s="647">
        <v>75.083762899489528</v>
      </c>
      <c r="O294" s="647">
        <v>2.8624530156397006</v>
      </c>
      <c r="P294" s="647">
        <v>541.90719860025752</v>
      </c>
      <c r="Q294" s="647">
        <v>34.744016552062419</v>
      </c>
      <c r="R294" s="647">
        <v>7.071337409208251</v>
      </c>
      <c r="S294" s="647">
        <v>1452.4981318525963</v>
      </c>
      <c r="U294" s="646" t="s">
        <v>85</v>
      </c>
      <c r="V294" s="647">
        <v>1.5000162600463405</v>
      </c>
      <c r="W294" s="647">
        <v>0</v>
      </c>
      <c r="X294" s="647">
        <v>69.596179325592303</v>
      </c>
      <c r="Y294" s="647">
        <v>0.51452681198611927</v>
      </c>
      <c r="Z294" s="647">
        <v>0</v>
      </c>
      <c r="AA294" s="647">
        <v>0</v>
      </c>
      <c r="AB294" s="647">
        <v>72.998047331393281</v>
      </c>
      <c r="AC294" s="647">
        <v>4.1448350868904589</v>
      </c>
      <c r="AD294" s="647">
        <v>86.413312795169148</v>
      </c>
      <c r="AE294" s="647">
        <v>108.92560601395611</v>
      </c>
      <c r="AF294" s="647">
        <v>123.16818516374138</v>
      </c>
      <c r="AG294" s="647">
        <v>8.5623521411059595</v>
      </c>
      <c r="AH294" s="647">
        <v>512.22753841958684</v>
      </c>
      <c r="AI294" s="647">
        <v>68.423763504668656</v>
      </c>
      <c r="AJ294" s="647">
        <v>37.056170647637451</v>
      </c>
      <c r="AK294" s="647">
        <v>1093.530533501774</v>
      </c>
    </row>
    <row r="295" spans="3:37" ht="13">
      <c r="C295" s="636"/>
      <c r="D295" s="636"/>
      <c r="E295" s="636"/>
      <c r="F295" s="636"/>
      <c r="G295" s="636"/>
      <c r="H295" s="636"/>
      <c r="I295" s="636"/>
      <c r="J295" s="636"/>
      <c r="K295" s="636"/>
      <c r="L295" s="636"/>
      <c r="M295" s="636"/>
      <c r="N295" s="636"/>
      <c r="O295" s="636"/>
      <c r="P295" s="636"/>
      <c r="Q295" s="636"/>
      <c r="R295" s="636"/>
      <c r="S295" s="636"/>
      <c r="U295" s="636"/>
      <c r="V295" s="636"/>
      <c r="W295" s="636"/>
      <c r="X295" s="636"/>
      <c r="Y295" s="636"/>
      <c r="Z295" s="636"/>
      <c r="AA295" s="636"/>
      <c r="AB295" s="636"/>
      <c r="AC295" s="636"/>
      <c r="AD295" s="636"/>
      <c r="AE295" s="636"/>
      <c r="AF295" s="636"/>
      <c r="AG295" s="636"/>
      <c r="AH295" s="636"/>
      <c r="AI295" s="636"/>
      <c r="AJ295" s="636"/>
      <c r="AK295" s="636"/>
    </row>
    <row r="296" spans="3:37" ht="13">
      <c r="C296" s="636"/>
      <c r="D296" s="636"/>
      <c r="E296" s="636"/>
      <c r="F296" s="636"/>
      <c r="G296" s="636"/>
      <c r="H296" s="636"/>
      <c r="I296" s="636"/>
      <c r="J296" s="636"/>
      <c r="K296" s="636"/>
      <c r="L296" s="636"/>
      <c r="M296" s="636"/>
      <c r="N296" s="636"/>
      <c r="O296" s="636"/>
      <c r="P296" s="636"/>
      <c r="Q296" s="636"/>
      <c r="R296" s="636"/>
      <c r="S296" s="636"/>
      <c r="U296" s="636"/>
      <c r="V296" s="636"/>
      <c r="W296" s="636"/>
      <c r="X296" s="636"/>
      <c r="Y296" s="636"/>
      <c r="Z296" s="636"/>
      <c r="AA296" s="636"/>
      <c r="AB296" s="636"/>
      <c r="AC296" s="636"/>
      <c r="AD296" s="636"/>
      <c r="AE296" s="636"/>
      <c r="AF296" s="636"/>
      <c r="AG296" s="636"/>
      <c r="AH296" s="636"/>
      <c r="AI296" s="636"/>
      <c r="AJ296" s="636"/>
      <c r="AK296" s="636"/>
    </row>
  </sheetData>
  <mergeCells count="210">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 ref="I262:I263"/>
    <mergeCell ref="J262:O262"/>
    <mergeCell ref="P262:P263"/>
    <mergeCell ref="Q262:Q263"/>
    <mergeCell ref="R262:R263"/>
    <mergeCell ref="S262:S263"/>
    <mergeCell ref="C262:C263"/>
    <mergeCell ref="D262:D263"/>
    <mergeCell ref="E262:E263"/>
    <mergeCell ref="F262:F263"/>
    <mergeCell ref="G262:G263"/>
    <mergeCell ref="H262:H263"/>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263">
    <cfRule type="cellIs" dxfId="16569" priority="1" operator="equal">
      <formula>0</formula>
    </cfRule>
  </conditionalFormatting>
  <conditionalFormatting sqref="P15:S17 E15:I17 J15:O16 Q12:S14 G12:G14 D12:D17 D18:S18">
    <cfRule type="cellIs" dxfId="16568" priority="785" operator="equal">
      <formula>0</formula>
    </cfRule>
  </conditionalFormatting>
  <conditionalFormatting sqref="P12:P17">
    <cfRule type="cellIs" dxfId="16567" priority="786" operator="equal">
      <formula>0</formula>
    </cfRule>
  </conditionalFormatting>
  <conditionalFormatting sqref="D12:E17 H12:I17">
    <cfRule type="cellIs" dxfId="16566" priority="787" operator="equal">
      <formula>0</formula>
    </cfRule>
  </conditionalFormatting>
  <conditionalFormatting sqref="F12:F17">
    <cfRule type="cellIs" dxfId="16565" priority="788" operator="equal">
      <formula>0</formula>
    </cfRule>
  </conditionalFormatting>
  <conditionalFormatting sqref="J15:J17">
    <cfRule type="cellIs" dxfId="16564" priority="789" operator="equal">
      <formula>0</formula>
    </cfRule>
  </conditionalFormatting>
  <conditionalFormatting sqref="J12:J17 K12:O12">
    <cfRule type="cellIs" dxfId="16563" priority="790" operator="equal">
      <formula>0</formula>
    </cfRule>
  </conditionalFormatting>
  <conditionalFormatting sqref="K15:K17">
    <cfRule type="cellIs" dxfId="16562" priority="791" operator="equal">
      <formula>0</formula>
    </cfRule>
  </conditionalFormatting>
  <conditionalFormatting sqref="K12:K17">
    <cfRule type="cellIs" dxfId="16561" priority="792" operator="equal">
      <formula>0</formula>
    </cfRule>
  </conditionalFormatting>
  <conditionalFormatting sqref="L15:L17">
    <cfRule type="cellIs" dxfId="16560" priority="793" operator="equal">
      <formula>0</formula>
    </cfRule>
  </conditionalFormatting>
  <conditionalFormatting sqref="L12:L17">
    <cfRule type="cellIs" dxfId="16559" priority="794" operator="equal">
      <formula>0</formula>
    </cfRule>
  </conditionalFormatting>
  <conditionalFormatting sqref="M15:M17">
    <cfRule type="cellIs" dxfId="16558" priority="795" operator="equal">
      <formula>0</formula>
    </cfRule>
  </conditionalFormatting>
  <conditionalFormatting sqref="M12:M17">
    <cfRule type="cellIs" dxfId="16557" priority="796" operator="equal">
      <formula>0</formula>
    </cfRule>
  </conditionalFormatting>
  <conditionalFormatting sqref="N15:N17">
    <cfRule type="cellIs" dxfId="16556" priority="797" operator="equal">
      <formula>0</formula>
    </cfRule>
  </conditionalFormatting>
  <conditionalFormatting sqref="N12:N17">
    <cfRule type="cellIs" dxfId="16555" priority="798" operator="equal">
      <formula>0</formula>
    </cfRule>
  </conditionalFormatting>
  <conditionalFormatting sqref="O15:O17">
    <cfRule type="cellIs" dxfId="16554" priority="799" operator="equal">
      <formula>0</formula>
    </cfRule>
  </conditionalFormatting>
  <conditionalFormatting sqref="O12:O17">
    <cfRule type="cellIs" dxfId="16553" priority="800" operator="equal">
      <formula>0</formula>
    </cfRule>
  </conditionalFormatting>
  <conditionalFormatting sqref="D12:S18">
    <cfRule type="expression" dxfId="16552" priority="801">
      <formula>LEN(TRIM(D12))=0</formula>
    </cfRule>
  </conditionalFormatting>
  <conditionalFormatting sqref="L15:L16">
    <cfRule type="cellIs" dxfId="16551" priority="802" operator="equal">
      <formula>0</formula>
    </cfRule>
  </conditionalFormatting>
  <conditionalFormatting sqref="M15:M16">
    <cfRule type="cellIs" dxfId="16550" priority="803" operator="equal">
      <formula>0</formula>
    </cfRule>
  </conditionalFormatting>
  <conditionalFormatting sqref="N15:O15">
    <cfRule type="cellIs" dxfId="16549" priority="804" operator="equal">
      <formula>0</formula>
    </cfRule>
  </conditionalFormatting>
  <conditionalFormatting sqref="N16:O16">
    <cfRule type="cellIs" dxfId="16548" priority="805" operator="equal">
      <formula>0</formula>
    </cfRule>
  </conditionalFormatting>
  <conditionalFormatting sqref="E29:G29 D30:G31 H29:I31 D25:I28 J25:R31 D20:S20 D32:R32 D21:I22 S21:S32 P21:R22">
    <cfRule type="cellIs" dxfId="16547" priority="779" operator="equal">
      <formula>0</formula>
    </cfRule>
  </conditionalFormatting>
  <conditionalFormatting sqref="D29">
    <cfRule type="cellIs" dxfId="16546" priority="780" operator="equal">
      <formula>0</formula>
    </cfRule>
  </conditionalFormatting>
  <conditionalFormatting sqref="D20:S20 D25:R32 D21:I22 S21:S32 P21:R22">
    <cfRule type="expression" dxfId="16545" priority="781">
      <formula>LEN(TRIM(D20))=0</formula>
    </cfRule>
  </conditionalFormatting>
  <conditionalFormatting sqref="D23:R24">
    <cfRule type="cellIs" dxfId="16544" priority="782" operator="equal">
      <formula>0</formula>
    </cfRule>
  </conditionalFormatting>
  <conditionalFormatting sqref="P23:P24">
    <cfRule type="cellIs" dxfId="16543" priority="783" operator="equal">
      <formula>0</formula>
    </cfRule>
  </conditionalFormatting>
  <conditionalFormatting sqref="D23:R24">
    <cfRule type="expression" dxfId="16542" priority="784">
      <formula>LEN(TRIM(D23))=0</formula>
    </cfRule>
  </conditionalFormatting>
  <conditionalFormatting sqref="J21:O22">
    <cfRule type="cellIs" dxfId="16541" priority="777" operator="equal">
      <formula>0</formula>
    </cfRule>
  </conditionalFormatting>
  <conditionalFormatting sqref="J21:O22">
    <cfRule type="expression" dxfId="16540" priority="778">
      <formula>LEN(TRIM(J21))=0</formula>
    </cfRule>
  </conditionalFormatting>
  <conditionalFormatting sqref="D35:R40 S34:S39 S41 D34:I34 P34:R34">
    <cfRule type="cellIs" dxfId="16539" priority="771" operator="equal">
      <formula>0</formula>
    </cfRule>
  </conditionalFormatting>
  <conditionalFormatting sqref="D41:R41">
    <cfRule type="cellIs" dxfId="16538" priority="772" operator="equal">
      <formula>0</formula>
    </cfRule>
  </conditionalFormatting>
  <conditionalFormatting sqref="D35:S39 D41:S41 D40:R40 D34:I34 P34:S34">
    <cfRule type="expression" dxfId="16537" priority="773">
      <formula>LEN(TRIM(D34))=0</formula>
    </cfRule>
  </conditionalFormatting>
  <conditionalFormatting sqref="D41:R41">
    <cfRule type="cellIs" dxfId="16536" priority="774" operator="equal">
      <formula>0</formula>
    </cfRule>
  </conditionalFormatting>
  <conditionalFormatting sqref="D42:R42">
    <cfRule type="cellIs" dxfId="16535" priority="775" operator="equal">
      <formula>0</formula>
    </cfRule>
  </conditionalFormatting>
  <conditionalFormatting sqref="D42:R42">
    <cfRule type="expression" dxfId="16534" priority="776">
      <formula>LEN(TRIM(D42))=0</formula>
    </cfRule>
  </conditionalFormatting>
  <conditionalFormatting sqref="S42">
    <cfRule type="cellIs" dxfId="16533" priority="769" operator="equal">
      <formula>0</formula>
    </cfRule>
  </conditionalFormatting>
  <conditionalFormatting sqref="S42">
    <cfRule type="expression" dxfId="16532" priority="770">
      <formula>LEN(TRIM(S42))=0</formula>
    </cfRule>
  </conditionalFormatting>
  <conditionalFormatting sqref="S40">
    <cfRule type="cellIs" dxfId="16531" priority="767" operator="equal">
      <formula>0</formula>
    </cfRule>
  </conditionalFormatting>
  <conditionalFormatting sqref="S40">
    <cfRule type="expression" dxfId="16530" priority="768">
      <formula>LEN(TRIM(S40))=0</formula>
    </cfRule>
  </conditionalFormatting>
  <conditionalFormatting sqref="J34:O34">
    <cfRule type="cellIs" dxfId="16529" priority="765" operator="equal">
      <formula>0</formula>
    </cfRule>
  </conditionalFormatting>
  <conditionalFormatting sqref="J34:O34">
    <cfRule type="expression" dxfId="16528" priority="766">
      <formula>LEN(TRIM(J34))=0</formula>
    </cfRule>
  </conditionalFormatting>
  <conditionalFormatting sqref="P51:S53 E51:I53 J51:O52 Q48:S50 G48:G50 D48:D53 D54:S54">
    <cfRule type="cellIs" dxfId="16527" priority="744" operator="equal">
      <formula>0</formula>
    </cfRule>
  </conditionalFormatting>
  <conditionalFormatting sqref="P48:P53">
    <cfRule type="cellIs" dxfId="16526" priority="745" operator="equal">
      <formula>0</formula>
    </cfRule>
  </conditionalFormatting>
  <conditionalFormatting sqref="D48:E53 H48:I53">
    <cfRule type="cellIs" dxfId="16525" priority="746" operator="equal">
      <formula>0</formula>
    </cfRule>
  </conditionalFormatting>
  <conditionalFormatting sqref="F48:F53">
    <cfRule type="cellIs" dxfId="16524" priority="747" operator="equal">
      <formula>0</formula>
    </cfRule>
  </conditionalFormatting>
  <conditionalFormatting sqref="J51:J53">
    <cfRule type="cellIs" dxfId="16523" priority="748" operator="equal">
      <formula>0</formula>
    </cfRule>
  </conditionalFormatting>
  <conditionalFormatting sqref="J48:J53 K48:O48">
    <cfRule type="cellIs" dxfId="16522" priority="749" operator="equal">
      <formula>0</formula>
    </cfRule>
  </conditionalFormatting>
  <conditionalFormatting sqref="K51:K53">
    <cfRule type="cellIs" dxfId="16521" priority="750" operator="equal">
      <formula>0</formula>
    </cfRule>
  </conditionalFormatting>
  <conditionalFormatting sqref="K48:K53">
    <cfRule type="cellIs" dxfId="16520" priority="751" operator="equal">
      <formula>0</formula>
    </cfRule>
  </conditionalFormatting>
  <conditionalFormatting sqref="L51:L53">
    <cfRule type="cellIs" dxfId="16519" priority="752" operator="equal">
      <formula>0</formula>
    </cfRule>
  </conditionalFormatting>
  <conditionalFormatting sqref="L48:L53">
    <cfRule type="cellIs" dxfId="16518" priority="753" operator="equal">
      <formula>0</formula>
    </cfRule>
  </conditionalFormatting>
  <conditionalFormatting sqref="M51:M53">
    <cfRule type="cellIs" dxfId="16517" priority="754" operator="equal">
      <formula>0</formula>
    </cfRule>
  </conditionalFormatting>
  <conditionalFormatting sqref="M48:M53">
    <cfRule type="cellIs" dxfId="16516" priority="755" operator="equal">
      <formula>0</formula>
    </cfRule>
  </conditionalFormatting>
  <conditionalFormatting sqref="N51:N53">
    <cfRule type="cellIs" dxfId="16515" priority="756" operator="equal">
      <formula>0</formula>
    </cfRule>
  </conditionalFormatting>
  <conditionalFormatting sqref="N48:N53">
    <cfRule type="cellIs" dxfId="16514" priority="757" operator="equal">
      <formula>0</formula>
    </cfRule>
  </conditionalFormatting>
  <conditionalFormatting sqref="O51:O53">
    <cfRule type="cellIs" dxfId="16513" priority="758" operator="equal">
      <formula>0</formula>
    </cfRule>
  </conditionalFormatting>
  <conditionalFormatting sqref="O48:O53">
    <cfRule type="cellIs" dxfId="16512" priority="759" operator="equal">
      <formula>0</formula>
    </cfRule>
  </conditionalFormatting>
  <conditionalFormatting sqref="D48:S54">
    <cfRule type="expression" dxfId="16511" priority="760">
      <formula>LEN(TRIM(D48))=0</formula>
    </cfRule>
  </conditionalFormatting>
  <conditionalFormatting sqref="L51:L52">
    <cfRule type="cellIs" dxfId="16510" priority="761" operator="equal">
      <formula>0</formula>
    </cfRule>
  </conditionalFormatting>
  <conditionalFormatting sqref="M51:M52">
    <cfRule type="cellIs" dxfId="16509" priority="762" operator="equal">
      <formula>0</formula>
    </cfRule>
  </conditionalFormatting>
  <conditionalFormatting sqref="N51:O51">
    <cfRule type="cellIs" dxfId="16508" priority="763" operator="equal">
      <formula>0</formula>
    </cfRule>
  </conditionalFormatting>
  <conditionalFormatting sqref="N52:O52">
    <cfRule type="cellIs" dxfId="16507" priority="764" operator="equal">
      <formula>0</formula>
    </cfRule>
  </conditionalFormatting>
  <conditionalFormatting sqref="E65:G65 D66:G67 H65:I67 D61:I64 J61:R67 D56:S56 D68:R68 D57:I58 S57:S68 P57:R58">
    <cfRule type="cellIs" dxfId="16506" priority="738" operator="equal">
      <formula>0</formula>
    </cfRule>
  </conditionalFormatting>
  <conditionalFormatting sqref="D65">
    <cfRule type="cellIs" dxfId="16505" priority="739" operator="equal">
      <formula>0</formula>
    </cfRule>
  </conditionalFormatting>
  <conditionalFormatting sqref="D56:S56 D61:R68 D57:I58 S57:S68 P57:R58">
    <cfRule type="expression" dxfId="16504" priority="740">
      <formula>LEN(TRIM(D56))=0</formula>
    </cfRule>
  </conditionalFormatting>
  <conditionalFormatting sqref="D59:R60">
    <cfRule type="cellIs" dxfId="16503" priority="741" operator="equal">
      <formula>0</formula>
    </cfRule>
  </conditionalFormatting>
  <conditionalFormatting sqref="P59:P60">
    <cfRule type="cellIs" dxfId="16502" priority="742" operator="equal">
      <formula>0</formula>
    </cfRule>
  </conditionalFormatting>
  <conditionalFormatting sqref="D59:R60">
    <cfRule type="expression" dxfId="16501" priority="743">
      <formula>LEN(TRIM(D59))=0</formula>
    </cfRule>
  </conditionalFormatting>
  <conditionalFormatting sqref="J57:O58">
    <cfRule type="cellIs" dxfId="16500" priority="736" operator="equal">
      <formula>0</formula>
    </cfRule>
  </conditionalFormatting>
  <conditionalFormatting sqref="J57:O58">
    <cfRule type="expression" dxfId="16499" priority="737">
      <formula>LEN(TRIM(J57))=0</formula>
    </cfRule>
  </conditionalFormatting>
  <conditionalFormatting sqref="D71:R76 S70:S75 S77 D70:I70 P70:R70">
    <cfRule type="cellIs" dxfId="16498" priority="730" operator="equal">
      <formula>0</formula>
    </cfRule>
  </conditionalFormatting>
  <conditionalFormatting sqref="D77:R77">
    <cfRule type="cellIs" dxfId="16497" priority="731" operator="equal">
      <formula>0</formula>
    </cfRule>
  </conditionalFormatting>
  <conditionalFormatting sqref="D71:S75 D77:S77 D76:R76 D70:I70 P70:S70">
    <cfRule type="expression" dxfId="16496" priority="732">
      <formula>LEN(TRIM(D70))=0</formula>
    </cfRule>
  </conditionalFormatting>
  <conditionalFormatting sqref="D77:R77">
    <cfRule type="cellIs" dxfId="16495" priority="733" operator="equal">
      <formula>0</formula>
    </cfRule>
  </conditionalFormatting>
  <conditionalFormatting sqref="D78:R78">
    <cfRule type="cellIs" dxfId="16494" priority="734" operator="equal">
      <formula>0</formula>
    </cfRule>
  </conditionalFormatting>
  <conditionalFormatting sqref="D78:R78">
    <cfRule type="expression" dxfId="16493" priority="735">
      <formula>LEN(TRIM(D78))=0</formula>
    </cfRule>
  </conditionalFormatting>
  <conditionalFormatting sqref="S78">
    <cfRule type="cellIs" dxfId="16492" priority="728" operator="equal">
      <formula>0</formula>
    </cfRule>
  </conditionalFormatting>
  <conditionalFormatting sqref="S78">
    <cfRule type="expression" dxfId="16491" priority="729">
      <formula>LEN(TRIM(S78))=0</formula>
    </cfRule>
  </conditionalFormatting>
  <conditionalFormatting sqref="S76">
    <cfRule type="cellIs" dxfId="16490" priority="726" operator="equal">
      <formula>0</formula>
    </cfRule>
  </conditionalFormatting>
  <conditionalFormatting sqref="S76">
    <cfRule type="expression" dxfId="16489" priority="727">
      <formula>LEN(TRIM(S76))=0</formula>
    </cfRule>
  </conditionalFormatting>
  <conditionalFormatting sqref="J70:O70">
    <cfRule type="cellIs" dxfId="16488" priority="724" operator="equal">
      <formula>0</formula>
    </cfRule>
  </conditionalFormatting>
  <conditionalFormatting sqref="J70:O70">
    <cfRule type="expression" dxfId="16487" priority="725">
      <formula>LEN(TRIM(J70))=0</formula>
    </cfRule>
  </conditionalFormatting>
  <conditionalFormatting sqref="P87:S89 E87:I89 J87:O88 Q84:S86 G84:G86 D84:D89 D90:S90">
    <cfRule type="cellIs" dxfId="16486" priority="703" operator="equal">
      <formula>0</formula>
    </cfRule>
  </conditionalFormatting>
  <conditionalFormatting sqref="P84:P89">
    <cfRule type="cellIs" dxfId="16485" priority="704" operator="equal">
      <formula>0</formula>
    </cfRule>
  </conditionalFormatting>
  <conditionalFormatting sqref="D84:E89 H84:I89">
    <cfRule type="cellIs" dxfId="16484" priority="705" operator="equal">
      <formula>0</formula>
    </cfRule>
  </conditionalFormatting>
  <conditionalFormatting sqref="F84:F89">
    <cfRule type="cellIs" dxfId="16483" priority="706" operator="equal">
      <formula>0</formula>
    </cfRule>
  </conditionalFormatting>
  <conditionalFormatting sqref="J87:J89">
    <cfRule type="cellIs" dxfId="16482" priority="707" operator="equal">
      <formula>0</formula>
    </cfRule>
  </conditionalFormatting>
  <conditionalFormatting sqref="J84:J89 K84:O84">
    <cfRule type="cellIs" dxfId="16481" priority="708" operator="equal">
      <formula>0</formula>
    </cfRule>
  </conditionalFormatting>
  <conditionalFormatting sqref="K87:K89">
    <cfRule type="cellIs" dxfId="16480" priority="709" operator="equal">
      <formula>0</formula>
    </cfRule>
  </conditionalFormatting>
  <conditionalFormatting sqref="K84:K89">
    <cfRule type="cellIs" dxfId="16479" priority="710" operator="equal">
      <formula>0</formula>
    </cfRule>
  </conditionalFormatting>
  <conditionalFormatting sqref="L87:L89">
    <cfRule type="cellIs" dxfId="16478" priority="711" operator="equal">
      <formula>0</formula>
    </cfRule>
  </conditionalFormatting>
  <conditionalFormatting sqref="L84:L89">
    <cfRule type="cellIs" dxfId="16477" priority="712" operator="equal">
      <formula>0</formula>
    </cfRule>
  </conditionalFormatting>
  <conditionalFormatting sqref="M87:M89">
    <cfRule type="cellIs" dxfId="16476" priority="713" operator="equal">
      <formula>0</formula>
    </cfRule>
  </conditionalFormatting>
  <conditionalFormatting sqref="M84:M89">
    <cfRule type="cellIs" dxfId="16475" priority="714" operator="equal">
      <formula>0</formula>
    </cfRule>
  </conditionalFormatting>
  <conditionalFormatting sqref="N87:N89">
    <cfRule type="cellIs" dxfId="16474" priority="715" operator="equal">
      <formula>0</formula>
    </cfRule>
  </conditionalFormatting>
  <conditionalFormatting sqref="N84:N89">
    <cfRule type="cellIs" dxfId="16473" priority="716" operator="equal">
      <formula>0</formula>
    </cfRule>
  </conditionalFormatting>
  <conditionalFormatting sqref="O87:O89">
    <cfRule type="cellIs" dxfId="16472" priority="717" operator="equal">
      <formula>0</formula>
    </cfRule>
  </conditionalFormatting>
  <conditionalFormatting sqref="O84:O89">
    <cfRule type="cellIs" dxfId="16471" priority="718" operator="equal">
      <formula>0</formula>
    </cfRule>
  </conditionalFormatting>
  <conditionalFormatting sqref="D84:S90">
    <cfRule type="expression" dxfId="16470" priority="719">
      <formula>LEN(TRIM(D84))=0</formula>
    </cfRule>
  </conditionalFormatting>
  <conditionalFormatting sqref="L87:L88">
    <cfRule type="cellIs" dxfId="16469" priority="720" operator="equal">
      <formula>0</formula>
    </cfRule>
  </conditionalFormatting>
  <conditionalFormatting sqref="M87:M88">
    <cfRule type="cellIs" dxfId="16468" priority="721" operator="equal">
      <formula>0</formula>
    </cfRule>
  </conditionalFormatting>
  <conditionalFormatting sqref="N87:O87">
    <cfRule type="cellIs" dxfId="16467" priority="722" operator="equal">
      <formula>0</formula>
    </cfRule>
  </conditionalFormatting>
  <conditionalFormatting sqref="N88:O88">
    <cfRule type="cellIs" dxfId="16466" priority="723" operator="equal">
      <formula>0</formula>
    </cfRule>
  </conditionalFormatting>
  <conditionalFormatting sqref="E101:G101 D102:G103 H101:I103 D97:I100 J97:R103 D92:S92 D104:R104 D93:I94 S93:S104 P93:R94">
    <cfRule type="cellIs" dxfId="16465" priority="697" operator="equal">
      <formula>0</formula>
    </cfRule>
  </conditionalFormatting>
  <conditionalFormatting sqref="D101">
    <cfRule type="cellIs" dxfId="16464" priority="698" operator="equal">
      <formula>0</formula>
    </cfRule>
  </conditionalFormatting>
  <conditionalFormatting sqref="D92:S92 D97:R104 D93:I94 S93:S104 P93:R94">
    <cfRule type="expression" dxfId="16463" priority="699">
      <formula>LEN(TRIM(D92))=0</formula>
    </cfRule>
  </conditionalFormatting>
  <conditionalFormatting sqref="D95:R96">
    <cfRule type="cellIs" dxfId="16462" priority="700" operator="equal">
      <formula>0</formula>
    </cfRule>
  </conditionalFormatting>
  <conditionalFormatting sqref="P95:P96">
    <cfRule type="cellIs" dxfId="16461" priority="701" operator="equal">
      <formula>0</formula>
    </cfRule>
  </conditionalFormatting>
  <conditionalFormatting sqref="D95:R96">
    <cfRule type="expression" dxfId="16460" priority="702">
      <formula>LEN(TRIM(D95))=0</formula>
    </cfRule>
  </conditionalFormatting>
  <conditionalFormatting sqref="J93:O94">
    <cfRule type="cellIs" dxfId="16459" priority="695" operator="equal">
      <formula>0</formula>
    </cfRule>
  </conditionalFormatting>
  <conditionalFormatting sqref="J93:O94">
    <cfRule type="expression" dxfId="16458" priority="696">
      <formula>LEN(TRIM(J93))=0</formula>
    </cfRule>
  </conditionalFormatting>
  <conditionalFormatting sqref="D107:R112 S106:S111 S113 D106:I106 P106:R106">
    <cfRule type="cellIs" dxfId="16457" priority="689" operator="equal">
      <formula>0</formula>
    </cfRule>
  </conditionalFormatting>
  <conditionalFormatting sqref="D113:R113">
    <cfRule type="cellIs" dxfId="16456" priority="690" operator="equal">
      <formula>0</formula>
    </cfRule>
  </conditionalFormatting>
  <conditionalFormatting sqref="D107:S111 D113:S113 D112:R112 D106:I106 P106:S106">
    <cfRule type="expression" dxfId="16455" priority="691">
      <formula>LEN(TRIM(D106))=0</formula>
    </cfRule>
  </conditionalFormatting>
  <conditionalFormatting sqref="D113:R113">
    <cfRule type="cellIs" dxfId="16454" priority="692" operator="equal">
      <formula>0</formula>
    </cfRule>
  </conditionalFormatting>
  <conditionalFormatting sqref="D114:R114">
    <cfRule type="cellIs" dxfId="16453" priority="693" operator="equal">
      <formula>0</formula>
    </cfRule>
  </conditionalFormatting>
  <conditionalFormatting sqref="D114:R114">
    <cfRule type="expression" dxfId="16452" priority="694">
      <formula>LEN(TRIM(D114))=0</formula>
    </cfRule>
  </conditionalFormatting>
  <conditionalFormatting sqref="S114">
    <cfRule type="cellIs" dxfId="16451" priority="687" operator="equal">
      <formula>0</formula>
    </cfRule>
  </conditionalFormatting>
  <conditionalFormatting sqref="S114">
    <cfRule type="expression" dxfId="16450" priority="688">
      <formula>LEN(TRIM(S114))=0</formula>
    </cfRule>
  </conditionalFormatting>
  <conditionalFormatting sqref="S112">
    <cfRule type="cellIs" dxfId="16449" priority="685" operator="equal">
      <formula>0</formula>
    </cfRule>
  </conditionalFormatting>
  <conditionalFormatting sqref="S112">
    <cfRule type="expression" dxfId="16448" priority="686">
      <formula>LEN(TRIM(S112))=0</formula>
    </cfRule>
  </conditionalFormatting>
  <conditionalFormatting sqref="J106:O106">
    <cfRule type="cellIs" dxfId="16447" priority="683" operator="equal">
      <formula>0</formula>
    </cfRule>
  </conditionalFormatting>
  <conditionalFormatting sqref="J106:O106">
    <cfRule type="expression" dxfId="16446" priority="684">
      <formula>LEN(TRIM(J106))=0</formula>
    </cfRule>
  </conditionalFormatting>
  <conditionalFormatting sqref="P123:S125 E123:I125 J123:O124 Q120:S122 G120:G122 D120:D125 D126:S126">
    <cfRule type="cellIs" dxfId="16445" priority="662" operator="equal">
      <formula>0</formula>
    </cfRule>
  </conditionalFormatting>
  <conditionalFormatting sqref="P120:P125">
    <cfRule type="cellIs" dxfId="16444" priority="663" operator="equal">
      <formula>0</formula>
    </cfRule>
  </conditionalFormatting>
  <conditionalFormatting sqref="D120:E125 H120:I125">
    <cfRule type="cellIs" dxfId="16443" priority="664" operator="equal">
      <formula>0</formula>
    </cfRule>
  </conditionalFormatting>
  <conditionalFormatting sqref="F120:F125">
    <cfRule type="cellIs" dxfId="16442" priority="665" operator="equal">
      <formula>0</formula>
    </cfRule>
  </conditionalFormatting>
  <conditionalFormatting sqref="J123:J125">
    <cfRule type="cellIs" dxfId="16441" priority="666" operator="equal">
      <formula>0</formula>
    </cfRule>
  </conditionalFormatting>
  <conditionalFormatting sqref="J120:J125 K120:O120">
    <cfRule type="cellIs" dxfId="16440" priority="667" operator="equal">
      <formula>0</formula>
    </cfRule>
  </conditionalFormatting>
  <conditionalFormatting sqref="K123:K125">
    <cfRule type="cellIs" dxfId="16439" priority="668" operator="equal">
      <formula>0</formula>
    </cfRule>
  </conditionalFormatting>
  <conditionalFormatting sqref="K120:K125">
    <cfRule type="cellIs" dxfId="16438" priority="669" operator="equal">
      <formula>0</formula>
    </cfRule>
  </conditionalFormatting>
  <conditionalFormatting sqref="L123:L125">
    <cfRule type="cellIs" dxfId="16437" priority="670" operator="equal">
      <formula>0</formula>
    </cfRule>
  </conditionalFormatting>
  <conditionalFormatting sqref="L120:L125">
    <cfRule type="cellIs" dxfId="16436" priority="671" operator="equal">
      <formula>0</formula>
    </cfRule>
  </conditionalFormatting>
  <conditionalFormatting sqref="M123:M125">
    <cfRule type="cellIs" dxfId="16435" priority="672" operator="equal">
      <formula>0</formula>
    </cfRule>
  </conditionalFormatting>
  <conditionalFormatting sqref="M120:M125">
    <cfRule type="cellIs" dxfId="16434" priority="673" operator="equal">
      <formula>0</formula>
    </cfRule>
  </conditionalFormatting>
  <conditionalFormatting sqref="N123:N125">
    <cfRule type="cellIs" dxfId="16433" priority="674" operator="equal">
      <formula>0</formula>
    </cfRule>
  </conditionalFormatting>
  <conditionalFormatting sqref="N120:N125">
    <cfRule type="cellIs" dxfId="16432" priority="675" operator="equal">
      <formula>0</formula>
    </cfRule>
  </conditionalFormatting>
  <conditionalFormatting sqref="O123:O125">
    <cfRule type="cellIs" dxfId="16431" priority="676" operator="equal">
      <formula>0</formula>
    </cfRule>
  </conditionalFormatting>
  <conditionalFormatting sqref="O120:O125">
    <cfRule type="cellIs" dxfId="16430" priority="677" operator="equal">
      <formula>0</formula>
    </cfRule>
  </conditionalFormatting>
  <conditionalFormatting sqref="D120:S126">
    <cfRule type="expression" dxfId="16429" priority="678">
      <formula>LEN(TRIM(D120))=0</formula>
    </cfRule>
  </conditionalFormatting>
  <conditionalFormatting sqref="L123:L124">
    <cfRule type="cellIs" dxfId="16428" priority="679" operator="equal">
      <formula>0</formula>
    </cfRule>
  </conditionalFormatting>
  <conditionalFormatting sqref="M123:M124">
    <cfRule type="cellIs" dxfId="16427" priority="680" operator="equal">
      <formula>0</formula>
    </cfRule>
  </conditionalFormatting>
  <conditionalFormatting sqref="N123:O123">
    <cfRule type="cellIs" dxfId="16426" priority="681" operator="equal">
      <formula>0</formula>
    </cfRule>
  </conditionalFormatting>
  <conditionalFormatting sqref="N124:O124">
    <cfRule type="cellIs" dxfId="16425" priority="682" operator="equal">
      <formula>0</formula>
    </cfRule>
  </conditionalFormatting>
  <conditionalFormatting sqref="E137:G137 D138:G139 H137:I139 D133:I136 J133:R139 D128:S128 D140:R140 D129:I130 S129:S140 P129:R130">
    <cfRule type="cellIs" dxfId="16424" priority="656" operator="equal">
      <formula>0</formula>
    </cfRule>
  </conditionalFormatting>
  <conditionalFormatting sqref="D137">
    <cfRule type="cellIs" dxfId="16423" priority="657" operator="equal">
      <formula>0</formula>
    </cfRule>
  </conditionalFormatting>
  <conditionalFormatting sqref="D128:S128 D133:R140 D129:I130 S129:S140 P129:R130">
    <cfRule type="expression" dxfId="16422" priority="658">
      <formula>LEN(TRIM(D128))=0</formula>
    </cfRule>
  </conditionalFormatting>
  <conditionalFormatting sqref="D131:R132">
    <cfRule type="cellIs" dxfId="16421" priority="659" operator="equal">
      <formula>0</formula>
    </cfRule>
  </conditionalFormatting>
  <conditionalFormatting sqref="P131:P132">
    <cfRule type="cellIs" dxfId="16420" priority="660" operator="equal">
      <formula>0</formula>
    </cfRule>
  </conditionalFormatting>
  <conditionalFormatting sqref="D131:R132">
    <cfRule type="expression" dxfId="16419" priority="661">
      <formula>LEN(TRIM(D131))=0</formula>
    </cfRule>
  </conditionalFormatting>
  <conditionalFormatting sqref="J129:O130">
    <cfRule type="cellIs" dxfId="16418" priority="654" operator="equal">
      <formula>0</formula>
    </cfRule>
  </conditionalFormatting>
  <conditionalFormatting sqref="J129:O130">
    <cfRule type="expression" dxfId="16417" priority="655">
      <formula>LEN(TRIM(J129))=0</formula>
    </cfRule>
  </conditionalFormatting>
  <conditionalFormatting sqref="D143:R148 S142:S147 S149 D142:I142 P142:R142">
    <cfRule type="cellIs" dxfId="16416" priority="648" operator="equal">
      <formula>0</formula>
    </cfRule>
  </conditionalFormatting>
  <conditionalFormatting sqref="D149:R149">
    <cfRule type="cellIs" dxfId="16415" priority="649" operator="equal">
      <formula>0</formula>
    </cfRule>
  </conditionalFormatting>
  <conditionalFormatting sqref="D143:S147 D149:S149 D148:R148 D142:I142 P142:S142">
    <cfRule type="expression" dxfId="16414" priority="650">
      <formula>LEN(TRIM(D142))=0</formula>
    </cfRule>
  </conditionalFormatting>
  <conditionalFormatting sqref="D149:R149">
    <cfRule type="cellIs" dxfId="16413" priority="651" operator="equal">
      <formula>0</formula>
    </cfRule>
  </conditionalFormatting>
  <conditionalFormatting sqref="D150:R150">
    <cfRule type="cellIs" dxfId="16412" priority="652" operator="equal">
      <formula>0</formula>
    </cfRule>
  </conditionalFormatting>
  <conditionalFormatting sqref="D150:R150">
    <cfRule type="expression" dxfId="16411" priority="653">
      <formula>LEN(TRIM(D150))=0</formula>
    </cfRule>
  </conditionalFormatting>
  <conditionalFormatting sqref="S150">
    <cfRule type="cellIs" dxfId="16410" priority="646" operator="equal">
      <formula>0</formula>
    </cfRule>
  </conditionalFormatting>
  <conditionalFormatting sqref="S150">
    <cfRule type="expression" dxfId="16409" priority="647">
      <formula>LEN(TRIM(S150))=0</formula>
    </cfRule>
  </conditionalFormatting>
  <conditionalFormatting sqref="S148">
    <cfRule type="cellIs" dxfId="16408" priority="644" operator="equal">
      <formula>0</formula>
    </cfRule>
  </conditionalFormatting>
  <conditionalFormatting sqref="S148">
    <cfRule type="expression" dxfId="16407" priority="645">
      <formula>LEN(TRIM(S148))=0</formula>
    </cfRule>
  </conditionalFormatting>
  <conditionalFormatting sqref="J142:O142">
    <cfRule type="cellIs" dxfId="16406" priority="642" operator="equal">
      <formula>0</formula>
    </cfRule>
  </conditionalFormatting>
  <conditionalFormatting sqref="J142:O142">
    <cfRule type="expression" dxfId="16405" priority="643">
      <formula>LEN(TRIM(J142))=0</formula>
    </cfRule>
  </conditionalFormatting>
  <conditionalFormatting sqref="P159:S161 E159:I161 J159:O160 Q156:S158 G156:G158 D156:D161 D162:S162">
    <cfRule type="cellIs" dxfId="16404" priority="621" operator="equal">
      <formula>0</formula>
    </cfRule>
  </conditionalFormatting>
  <conditionalFormatting sqref="P156:P161">
    <cfRule type="cellIs" dxfId="16403" priority="622" operator="equal">
      <formula>0</formula>
    </cfRule>
  </conditionalFormatting>
  <conditionalFormatting sqref="D156:E161 H156:I161">
    <cfRule type="cellIs" dxfId="16402" priority="623" operator="equal">
      <formula>0</formula>
    </cfRule>
  </conditionalFormatting>
  <conditionalFormatting sqref="F156:F161">
    <cfRule type="cellIs" dxfId="16401" priority="624" operator="equal">
      <formula>0</formula>
    </cfRule>
  </conditionalFormatting>
  <conditionalFormatting sqref="J159:J161">
    <cfRule type="cellIs" dxfId="16400" priority="625" operator="equal">
      <formula>0</formula>
    </cfRule>
  </conditionalFormatting>
  <conditionalFormatting sqref="J156:J161 K156:O156">
    <cfRule type="cellIs" dxfId="16399" priority="626" operator="equal">
      <formula>0</formula>
    </cfRule>
  </conditionalFormatting>
  <conditionalFormatting sqref="K159:K161">
    <cfRule type="cellIs" dxfId="16398" priority="627" operator="equal">
      <formula>0</formula>
    </cfRule>
  </conditionalFormatting>
  <conditionalFormatting sqref="K156:K161">
    <cfRule type="cellIs" dxfId="16397" priority="628" operator="equal">
      <formula>0</formula>
    </cfRule>
  </conditionalFormatting>
  <conditionalFormatting sqref="L159:L161">
    <cfRule type="cellIs" dxfId="16396" priority="629" operator="equal">
      <formula>0</formula>
    </cfRule>
  </conditionalFormatting>
  <conditionalFormatting sqref="L156:L161">
    <cfRule type="cellIs" dxfId="16395" priority="630" operator="equal">
      <formula>0</formula>
    </cfRule>
  </conditionalFormatting>
  <conditionalFormatting sqref="M159:M161">
    <cfRule type="cellIs" dxfId="16394" priority="631" operator="equal">
      <formula>0</formula>
    </cfRule>
  </conditionalFormatting>
  <conditionalFormatting sqref="M156:M161">
    <cfRule type="cellIs" dxfId="16393" priority="632" operator="equal">
      <formula>0</formula>
    </cfRule>
  </conditionalFormatting>
  <conditionalFormatting sqref="N159:N161">
    <cfRule type="cellIs" dxfId="16392" priority="633" operator="equal">
      <formula>0</formula>
    </cfRule>
  </conditionalFormatting>
  <conditionalFormatting sqref="N156:N161">
    <cfRule type="cellIs" dxfId="16391" priority="634" operator="equal">
      <formula>0</formula>
    </cfRule>
  </conditionalFormatting>
  <conditionalFormatting sqref="O159:O161">
    <cfRule type="cellIs" dxfId="16390" priority="635" operator="equal">
      <formula>0</formula>
    </cfRule>
  </conditionalFormatting>
  <conditionalFormatting sqref="O156:O161">
    <cfRule type="cellIs" dxfId="16389" priority="636" operator="equal">
      <formula>0</formula>
    </cfRule>
  </conditionalFormatting>
  <conditionalFormatting sqref="D156:S162">
    <cfRule type="expression" dxfId="16388" priority="637">
      <formula>LEN(TRIM(D156))=0</formula>
    </cfRule>
  </conditionalFormatting>
  <conditionalFormatting sqref="L159:L160">
    <cfRule type="cellIs" dxfId="16387" priority="638" operator="equal">
      <formula>0</formula>
    </cfRule>
  </conditionalFormatting>
  <conditionalFormatting sqref="M159:M160">
    <cfRule type="cellIs" dxfId="16386" priority="639" operator="equal">
      <formula>0</formula>
    </cfRule>
  </conditionalFormatting>
  <conditionalFormatting sqref="N159:O159">
    <cfRule type="cellIs" dxfId="16385" priority="640" operator="equal">
      <formula>0</formula>
    </cfRule>
  </conditionalFormatting>
  <conditionalFormatting sqref="N160:O160">
    <cfRule type="cellIs" dxfId="16384" priority="641" operator="equal">
      <formula>0</formula>
    </cfRule>
  </conditionalFormatting>
  <conditionalFormatting sqref="E173:G173 D174:G175 H173:I175 D169:I172 J169:R175 D164:S164 D176:R176 D165:I166 S165:S176 P165:R166">
    <cfRule type="cellIs" dxfId="16383" priority="615" operator="equal">
      <formula>0</formula>
    </cfRule>
  </conditionalFormatting>
  <conditionalFormatting sqref="D173">
    <cfRule type="cellIs" dxfId="16382" priority="616" operator="equal">
      <formula>0</formula>
    </cfRule>
  </conditionalFormatting>
  <conditionalFormatting sqref="D164:S164 D169:R176 D165:I166 S165:S176 P165:R166">
    <cfRule type="expression" dxfId="16381" priority="617">
      <formula>LEN(TRIM(D164))=0</formula>
    </cfRule>
  </conditionalFormatting>
  <conditionalFormatting sqref="D167:R168">
    <cfRule type="cellIs" dxfId="16380" priority="618" operator="equal">
      <formula>0</formula>
    </cfRule>
  </conditionalFormatting>
  <conditionalFormatting sqref="P167:P168">
    <cfRule type="cellIs" dxfId="16379" priority="619" operator="equal">
      <formula>0</formula>
    </cfRule>
  </conditionalFormatting>
  <conditionalFormatting sqref="D167:R168">
    <cfRule type="expression" dxfId="16378" priority="620">
      <formula>LEN(TRIM(D167))=0</formula>
    </cfRule>
  </conditionalFormatting>
  <conditionalFormatting sqref="J165:O166">
    <cfRule type="cellIs" dxfId="16377" priority="613" operator="equal">
      <formula>0</formula>
    </cfRule>
  </conditionalFormatting>
  <conditionalFormatting sqref="J165:O166">
    <cfRule type="expression" dxfId="16376" priority="614">
      <formula>LEN(TRIM(J165))=0</formula>
    </cfRule>
  </conditionalFormatting>
  <conditionalFormatting sqref="D179:R184 S178:S183 S185 D178:I178 P178:R178">
    <cfRule type="cellIs" dxfId="16375" priority="607" operator="equal">
      <formula>0</formula>
    </cfRule>
  </conditionalFormatting>
  <conditionalFormatting sqref="D185:R185">
    <cfRule type="cellIs" dxfId="16374" priority="608" operator="equal">
      <formula>0</formula>
    </cfRule>
  </conditionalFormatting>
  <conditionalFormatting sqref="D179:S183 D185:S185 D184:R184 D178:I178 P178:S178">
    <cfRule type="expression" dxfId="16373" priority="609">
      <formula>LEN(TRIM(D178))=0</formula>
    </cfRule>
  </conditionalFormatting>
  <conditionalFormatting sqref="D185:R185">
    <cfRule type="cellIs" dxfId="16372" priority="610" operator="equal">
      <formula>0</formula>
    </cfRule>
  </conditionalFormatting>
  <conditionalFormatting sqref="D186:R186">
    <cfRule type="cellIs" dxfId="16371" priority="611" operator="equal">
      <formula>0</formula>
    </cfRule>
  </conditionalFormatting>
  <conditionalFormatting sqref="D186:R186">
    <cfRule type="expression" dxfId="16370" priority="612">
      <formula>LEN(TRIM(D186))=0</formula>
    </cfRule>
  </conditionalFormatting>
  <conditionalFormatting sqref="S186">
    <cfRule type="cellIs" dxfId="16369" priority="605" operator="equal">
      <formula>0</formula>
    </cfRule>
  </conditionalFormatting>
  <conditionalFormatting sqref="S186">
    <cfRule type="expression" dxfId="16368" priority="606">
      <formula>LEN(TRIM(S186))=0</formula>
    </cfRule>
  </conditionalFormatting>
  <conditionalFormatting sqref="S184">
    <cfRule type="cellIs" dxfId="16367" priority="603" operator="equal">
      <formula>0</formula>
    </cfRule>
  </conditionalFormatting>
  <conditionalFormatting sqref="S184">
    <cfRule type="expression" dxfId="16366" priority="604">
      <formula>LEN(TRIM(S184))=0</formula>
    </cfRule>
  </conditionalFormatting>
  <conditionalFormatting sqref="J178:O178">
    <cfRule type="cellIs" dxfId="16365" priority="601" operator="equal">
      <formula>0</formula>
    </cfRule>
  </conditionalFormatting>
  <conditionalFormatting sqref="J178:O178">
    <cfRule type="expression" dxfId="16364" priority="602">
      <formula>LEN(TRIM(J178))=0</formula>
    </cfRule>
  </conditionalFormatting>
  <conditionalFormatting sqref="P195:S197 E195:I197 J195:O196 Q192:S194 G192:G194 D192:D197 D198:S198">
    <cfRule type="cellIs" dxfId="16363" priority="580" operator="equal">
      <formula>0</formula>
    </cfRule>
  </conditionalFormatting>
  <conditionalFormatting sqref="P192:P197">
    <cfRule type="cellIs" dxfId="16362" priority="581" operator="equal">
      <formula>0</formula>
    </cfRule>
  </conditionalFormatting>
  <conditionalFormatting sqref="D192:E197 H192:I197">
    <cfRule type="cellIs" dxfId="16361" priority="582" operator="equal">
      <formula>0</formula>
    </cfRule>
  </conditionalFormatting>
  <conditionalFormatting sqref="F192:F197">
    <cfRule type="cellIs" dxfId="16360" priority="583" operator="equal">
      <formula>0</formula>
    </cfRule>
  </conditionalFormatting>
  <conditionalFormatting sqref="J195:J197">
    <cfRule type="cellIs" dxfId="16359" priority="584" operator="equal">
      <formula>0</formula>
    </cfRule>
  </conditionalFormatting>
  <conditionalFormatting sqref="J192:J197 K192:O192">
    <cfRule type="cellIs" dxfId="16358" priority="585" operator="equal">
      <formula>0</formula>
    </cfRule>
  </conditionalFormatting>
  <conditionalFormatting sqref="K195:K197">
    <cfRule type="cellIs" dxfId="16357" priority="586" operator="equal">
      <formula>0</formula>
    </cfRule>
  </conditionalFormatting>
  <conditionalFormatting sqref="K192:K197">
    <cfRule type="cellIs" dxfId="16356" priority="587" operator="equal">
      <formula>0</formula>
    </cfRule>
  </conditionalFormatting>
  <conditionalFormatting sqref="L195:L197">
    <cfRule type="cellIs" dxfId="16355" priority="588" operator="equal">
      <formula>0</formula>
    </cfRule>
  </conditionalFormatting>
  <conditionalFormatting sqref="L192:L197">
    <cfRule type="cellIs" dxfId="16354" priority="589" operator="equal">
      <formula>0</formula>
    </cfRule>
  </conditionalFormatting>
  <conditionalFormatting sqref="M195:M197">
    <cfRule type="cellIs" dxfId="16353" priority="590" operator="equal">
      <formula>0</formula>
    </cfRule>
  </conditionalFormatting>
  <conditionalFormatting sqref="M192:M197">
    <cfRule type="cellIs" dxfId="16352" priority="591" operator="equal">
      <formula>0</formula>
    </cfRule>
  </conditionalFormatting>
  <conditionalFormatting sqref="N195:N197">
    <cfRule type="cellIs" dxfId="16351" priority="592" operator="equal">
      <formula>0</formula>
    </cfRule>
  </conditionalFormatting>
  <conditionalFormatting sqref="N192:N197">
    <cfRule type="cellIs" dxfId="16350" priority="593" operator="equal">
      <formula>0</formula>
    </cfRule>
  </conditionalFormatting>
  <conditionalFormatting sqref="O195:O197">
    <cfRule type="cellIs" dxfId="16349" priority="594" operator="equal">
      <formula>0</formula>
    </cfRule>
  </conditionalFormatting>
  <conditionalFormatting sqref="O192:O197">
    <cfRule type="cellIs" dxfId="16348" priority="595" operator="equal">
      <formula>0</formula>
    </cfRule>
  </conditionalFormatting>
  <conditionalFormatting sqref="D192:S198">
    <cfRule type="expression" dxfId="16347" priority="596">
      <formula>LEN(TRIM(D192))=0</formula>
    </cfRule>
  </conditionalFormatting>
  <conditionalFormatting sqref="L195:L196">
    <cfRule type="cellIs" dxfId="16346" priority="597" operator="equal">
      <formula>0</formula>
    </cfRule>
  </conditionalFormatting>
  <conditionalFormatting sqref="M195:M196">
    <cfRule type="cellIs" dxfId="16345" priority="598" operator="equal">
      <formula>0</formula>
    </cfRule>
  </conditionalFormatting>
  <conditionalFormatting sqref="N195:O195">
    <cfRule type="cellIs" dxfId="16344" priority="599" operator="equal">
      <formula>0</formula>
    </cfRule>
  </conditionalFormatting>
  <conditionalFormatting sqref="N196:O196">
    <cfRule type="cellIs" dxfId="16343" priority="600" operator="equal">
      <formula>0</formula>
    </cfRule>
  </conditionalFormatting>
  <conditionalFormatting sqref="E209:G209 D210:G211 H209:I211 D205:I208 J205:R211 D200:S200 D212:R212 D201:I202 S201:S212 P201:R202">
    <cfRule type="cellIs" dxfId="16342" priority="574" operator="equal">
      <formula>0</formula>
    </cfRule>
  </conditionalFormatting>
  <conditionalFormatting sqref="D209">
    <cfRule type="cellIs" dxfId="16341" priority="575" operator="equal">
      <formula>0</formula>
    </cfRule>
  </conditionalFormatting>
  <conditionalFormatting sqref="D200:S200 D205:R212 D201:I202 S201:S212 P201:R202">
    <cfRule type="expression" dxfId="16340" priority="576">
      <formula>LEN(TRIM(D200))=0</formula>
    </cfRule>
  </conditionalFormatting>
  <conditionalFormatting sqref="D203:R204">
    <cfRule type="cellIs" dxfId="16339" priority="577" operator="equal">
      <formula>0</formula>
    </cfRule>
  </conditionalFormatting>
  <conditionalFormatting sqref="P203:P204">
    <cfRule type="cellIs" dxfId="16338" priority="578" operator="equal">
      <formula>0</formula>
    </cfRule>
  </conditionalFormatting>
  <conditionalFormatting sqref="D203:R204">
    <cfRule type="expression" dxfId="16337" priority="579">
      <formula>LEN(TRIM(D203))=0</formula>
    </cfRule>
  </conditionalFormatting>
  <conditionalFormatting sqref="J201:O202">
    <cfRule type="cellIs" dxfId="16336" priority="572" operator="equal">
      <formula>0</formula>
    </cfRule>
  </conditionalFormatting>
  <conditionalFormatting sqref="J201:O202">
    <cfRule type="expression" dxfId="16335" priority="573">
      <formula>LEN(TRIM(J201))=0</formula>
    </cfRule>
  </conditionalFormatting>
  <conditionalFormatting sqref="D215:R220 S214:S219 S221 D214:I214 P214:R214">
    <cfRule type="cellIs" dxfId="16334" priority="566" operator="equal">
      <formula>0</formula>
    </cfRule>
  </conditionalFormatting>
  <conditionalFormatting sqref="D221:R221">
    <cfRule type="cellIs" dxfId="16333" priority="567" operator="equal">
      <formula>0</formula>
    </cfRule>
  </conditionalFormatting>
  <conditionalFormatting sqref="D215:S219 D221:S221 D220:R220 D214:I214 P214:S214">
    <cfRule type="expression" dxfId="16332" priority="568">
      <formula>LEN(TRIM(D214))=0</formula>
    </cfRule>
  </conditionalFormatting>
  <conditionalFormatting sqref="D221:R221">
    <cfRule type="cellIs" dxfId="16331" priority="569" operator="equal">
      <formula>0</formula>
    </cfRule>
  </conditionalFormatting>
  <conditionalFormatting sqref="D222:R222">
    <cfRule type="cellIs" dxfId="16330" priority="570" operator="equal">
      <formula>0</formula>
    </cfRule>
  </conditionalFormatting>
  <conditionalFormatting sqref="D222:R222">
    <cfRule type="expression" dxfId="16329" priority="571">
      <formula>LEN(TRIM(D222))=0</formula>
    </cfRule>
  </conditionalFormatting>
  <conditionalFormatting sqref="S222">
    <cfRule type="cellIs" dxfId="16328" priority="564" operator="equal">
      <formula>0</formula>
    </cfRule>
  </conditionalFormatting>
  <conditionalFormatting sqref="S222">
    <cfRule type="expression" dxfId="16327" priority="565">
      <formula>LEN(TRIM(S222))=0</formula>
    </cfRule>
  </conditionalFormatting>
  <conditionalFormatting sqref="S220">
    <cfRule type="cellIs" dxfId="16326" priority="562" operator="equal">
      <formula>0</formula>
    </cfRule>
  </conditionalFormatting>
  <conditionalFormatting sqref="S220">
    <cfRule type="expression" dxfId="16325" priority="563">
      <formula>LEN(TRIM(S220))=0</formula>
    </cfRule>
  </conditionalFormatting>
  <conditionalFormatting sqref="J214:O214">
    <cfRule type="cellIs" dxfId="16324" priority="560" operator="equal">
      <formula>0</formula>
    </cfRule>
  </conditionalFormatting>
  <conditionalFormatting sqref="J214:O214">
    <cfRule type="expression" dxfId="16323" priority="561">
      <formula>LEN(TRIM(J214))=0</formula>
    </cfRule>
  </conditionalFormatting>
  <conditionalFormatting sqref="P231:S233 E231:I233 J231:O232 Q228:S230 G228:G230 D228:D233 D234:S234">
    <cfRule type="cellIs" dxfId="16322" priority="539" operator="equal">
      <formula>0</formula>
    </cfRule>
  </conditionalFormatting>
  <conditionalFormatting sqref="P228:P233">
    <cfRule type="cellIs" dxfId="16321" priority="540" operator="equal">
      <formula>0</formula>
    </cfRule>
  </conditionalFormatting>
  <conditionalFormatting sqref="D228:E233 H228:I233">
    <cfRule type="cellIs" dxfId="16320" priority="541" operator="equal">
      <formula>0</formula>
    </cfRule>
  </conditionalFormatting>
  <conditionalFormatting sqref="F228:F233">
    <cfRule type="cellIs" dxfId="16319" priority="542" operator="equal">
      <formula>0</formula>
    </cfRule>
  </conditionalFormatting>
  <conditionalFormatting sqref="J231:J233">
    <cfRule type="cellIs" dxfId="16318" priority="543" operator="equal">
      <formula>0</formula>
    </cfRule>
  </conditionalFormatting>
  <conditionalFormatting sqref="J228:J233 K228:O228">
    <cfRule type="cellIs" dxfId="16317" priority="544" operator="equal">
      <formula>0</formula>
    </cfRule>
  </conditionalFormatting>
  <conditionalFormatting sqref="K231:K233">
    <cfRule type="cellIs" dxfId="16316" priority="545" operator="equal">
      <formula>0</formula>
    </cfRule>
  </conditionalFormatting>
  <conditionalFormatting sqref="K228:K233">
    <cfRule type="cellIs" dxfId="16315" priority="546" operator="equal">
      <formula>0</formula>
    </cfRule>
  </conditionalFormatting>
  <conditionalFormatting sqref="L231:L233">
    <cfRule type="cellIs" dxfId="16314" priority="547" operator="equal">
      <formula>0</formula>
    </cfRule>
  </conditionalFormatting>
  <conditionalFormatting sqref="L228:L233">
    <cfRule type="cellIs" dxfId="16313" priority="548" operator="equal">
      <formula>0</formula>
    </cfRule>
  </conditionalFormatting>
  <conditionalFormatting sqref="M231:M233">
    <cfRule type="cellIs" dxfId="16312" priority="549" operator="equal">
      <formula>0</formula>
    </cfRule>
  </conditionalFormatting>
  <conditionalFormatting sqref="M228:M233">
    <cfRule type="cellIs" dxfId="16311" priority="550" operator="equal">
      <formula>0</formula>
    </cfRule>
  </conditionalFormatting>
  <conditionalFormatting sqref="N231:N233">
    <cfRule type="cellIs" dxfId="16310" priority="551" operator="equal">
      <formula>0</formula>
    </cfRule>
  </conditionalFormatting>
  <conditionalFormatting sqref="N228:N233">
    <cfRule type="cellIs" dxfId="16309" priority="552" operator="equal">
      <formula>0</formula>
    </cfRule>
  </conditionalFormatting>
  <conditionalFormatting sqref="O231:O233">
    <cfRule type="cellIs" dxfId="16308" priority="553" operator="equal">
      <formula>0</formula>
    </cfRule>
  </conditionalFormatting>
  <conditionalFormatting sqref="O228:O233">
    <cfRule type="cellIs" dxfId="16307" priority="554" operator="equal">
      <formula>0</formula>
    </cfRule>
  </conditionalFormatting>
  <conditionalFormatting sqref="D228:S234">
    <cfRule type="expression" dxfId="16306" priority="555">
      <formula>LEN(TRIM(D228))=0</formula>
    </cfRule>
  </conditionalFormatting>
  <conditionalFormatting sqref="L231:L232">
    <cfRule type="cellIs" dxfId="16305" priority="556" operator="equal">
      <formula>0</formula>
    </cfRule>
  </conditionalFormatting>
  <conditionalFormatting sqref="M231:M232">
    <cfRule type="cellIs" dxfId="16304" priority="557" operator="equal">
      <formula>0</formula>
    </cfRule>
  </conditionalFormatting>
  <conditionalFormatting sqref="N231:O231">
    <cfRule type="cellIs" dxfId="16303" priority="558" operator="equal">
      <formula>0</formula>
    </cfRule>
  </conditionalFormatting>
  <conditionalFormatting sqref="N232:O232">
    <cfRule type="cellIs" dxfId="16302" priority="559" operator="equal">
      <formula>0</formula>
    </cfRule>
  </conditionalFormatting>
  <conditionalFormatting sqref="E245:G245 D246:G247 H245:I247 D241:I244 J241:R247 D236:S236 D248:R248 D237:I238 S237:S248 P237:R238">
    <cfRule type="cellIs" dxfId="16301" priority="533" operator="equal">
      <formula>0</formula>
    </cfRule>
  </conditionalFormatting>
  <conditionalFormatting sqref="D245">
    <cfRule type="cellIs" dxfId="16300" priority="534" operator="equal">
      <formula>0</formula>
    </cfRule>
  </conditionalFormatting>
  <conditionalFormatting sqref="D236:S236 D241:R248 D237:I238 S237:S248 P237:R238">
    <cfRule type="expression" dxfId="16299" priority="535">
      <formula>LEN(TRIM(D236))=0</formula>
    </cfRule>
  </conditionalFormatting>
  <conditionalFormatting sqref="D239:R240">
    <cfRule type="cellIs" dxfId="16298" priority="536" operator="equal">
      <formula>0</formula>
    </cfRule>
  </conditionalFormatting>
  <conditionalFormatting sqref="P239:P240">
    <cfRule type="cellIs" dxfId="16297" priority="537" operator="equal">
      <formula>0</formula>
    </cfRule>
  </conditionalFormatting>
  <conditionalFormatting sqref="D239:R240">
    <cfRule type="expression" dxfId="16296" priority="538">
      <formula>LEN(TRIM(D239))=0</formula>
    </cfRule>
  </conditionalFormatting>
  <conditionalFormatting sqref="J237:O238">
    <cfRule type="cellIs" dxfId="16295" priority="531" operator="equal">
      <formula>0</formula>
    </cfRule>
  </conditionalFormatting>
  <conditionalFormatting sqref="J237:O238">
    <cfRule type="expression" dxfId="16294" priority="532">
      <formula>LEN(TRIM(J237))=0</formula>
    </cfRule>
  </conditionalFormatting>
  <conditionalFormatting sqref="D251:R256 S250:S255 S257 D250:I250 P250:R250">
    <cfRule type="cellIs" dxfId="16293" priority="525" operator="equal">
      <formula>0</formula>
    </cfRule>
  </conditionalFormatting>
  <conditionalFormatting sqref="D257:R257">
    <cfRule type="cellIs" dxfId="16292" priority="526" operator="equal">
      <formula>0</formula>
    </cfRule>
  </conditionalFormatting>
  <conditionalFormatting sqref="D251:S255 D257:S257 D256:R256 D250:I250 P250:S250">
    <cfRule type="expression" dxfId="16291" priority="527">
      <formula>LEN(TRIM(D250))=0</formula>
    </cfRule>
  </conditionalFormatting>
  <conditionalFormatting sqref="D257:R257">
    <cfRule type="cellIs" dxfId="16290" priority="528" operator="equal">
      <formula>0</formula>
    </cfRule>
  </conditionalFormatting>
  <conditionalFormatting sqref="D258:R258">
    <cfRule type="cellIs" dxfId="16289" priority="529" operator="equal">
      <formula>0</formula>
    </cfRule>
  </conditionalFormatting>
  <conditionalFormatting sqref="D258:R258">
    <cfRule type="expression" dxfId="16288" priority="530">
      <formula>LEN(TRIM(D258))=0</formula>
    </cfRule>
  </conditionalFormatting>
  <conditionalFormatting sqref="S258">
    <cfRule type="cellIs" dxfId="16287" priority="523" operator="equal">
      <formula>0</formula>
    </cfRule>
  </conditionalFormatting>
  <conditionalFormatting sqref="S258">
    <cfRule type="expression" dxfId="16286" priority="524">
      <formula>LEN(TRIM(S258))=0</formula>
    </cfRule>
  </conditionalFormatting>
  <conditionalFormatting sqref="S256">
    <cfRule type="cellIs" dxfId="16285" priority="521" operator="equal">
      <formula>0</formula>
    </cfRule>
  </conditionalFormatting>
  <conditionalFormatting sqref="S256">
    <cfRule type="expression" dxfId="16284" priority="522">
      <formula>LEN(TRIM(S256))=0</formula>
    </cfRule>
  </conditionalFormatting>
  <conditionalFormatting sqref="J250:O250">
    <cfRule type="cellIs" dxfId="16283" priority="519" operator="equal">
      <formula>0</formula>
    </cfRule>
  </conditionalFormatting>
  <conditionalFormatting sqref="J250:O250">
    <cfRule type="expression" dxfId="16282" priority="520">
      <formula>LEN(TRIM(J250))=0</formula>
    </cfRule>
  </conditionalFormatting>
  <conditionalFormatting sqref="P267:S269 E267:I269 J267:O268 Q264:S266 G264:G266 D264:D269 D270:S270">
    <cfRule type="cellIs" dxfId="16281" priority="498" operator="equal">
      <formula>0</formula>
    </cfRule>
  </conditionalFormatting>
  <conditionalFormatting sqref="P264:P269">
    <cfRule type="cellIs" dxfId="16280" priority="499" operator="equal">
      <formula>0</formula>
    </cfRule>
  </conditionalFormatting>
  <conditionalFormatting sqref="D264:E269 H264:I269">
    <cfRule type="cellIs" dxfId="16279" priority="500" operator="equal">
      <formula>0</formula>
    </cfRule>
  </conditionalFormatting>
  <conditionalFormatting sqref="F264:F269">
    <cfRule type="cellIs" dxfId="16278" priority="501" operator="equal">
      <formula>0</formula>
    </cfRule>
  </conditionalFormatting>
  <conditionalFormatting sqref="J267:J269">
    <cfRule type="cellIs" dxfId="16277" priority="502" operator="equal">
      <formula>0</formula>
    </cfRule>
  </conditionalFormatting>
  <conditionalFormatting sqref="J264:J269 K264:O264">
    <cfRule type="cellIs" dxfId="16276" priority="503" operator="equal">
      <formula>0</formula>
    </cfRule>
  </conditionalFormatting>
  <conditionalFormatting sqref="K267:K269">
    <cfRule type="cellIs" dxfId="16275" priority="504" operator="equal">
      <formula>0</formula>
    </cfRule>
  </conditionalFormatting>
  <conditionalFormatting sqref="K264:K269">
    <cfRule type="cellIs" dxfId="16274" priority="505" operator="equal">
      <formula>0</formula>
    </cfRule>
  </conditionalFormatting>
  <conditionalFormatting sqref="L267:L269">
    <cfRule type="cellIs" dxfId="16273" priority="506" operator="equal">
      <formula>0</formula>
    </cfRule>
  </conditionalFormatting>
  <conditionalFormatting sqref="L264:L269">
    <cfRule type="cellIs" dxfId="16272" priority="507" operator="equal">
      <formula>0</formula>
    </cfRule>
  </conditionalFormatting>
  <conditionalFormatting sqref="M267:M269">
    <cfRule type="cellIs" dxfId="16271" priority="508" operator="equal">
      <formula>0</formula>
    </cfRule>
  </conditionalFormatting>
  <conditionalFormatting sqref="M264:M269">
    <cfRule type="cellIs" dxfId="16270" priority="509" operator="equal">
      <formula>0</formula>
    </cfRule>
  </conditionalFormatting>
  <conditionalFormatting sqref="N267:N269">
    <cfRule type="cellIs" dxfId="16269" priority="510" operator="equal">
      <formula>0</formula>
    </cfRule>
  </conditionalFormatting>
  <conditionalFormatting sqref="N264:N269">
    <cfRule type="cellIs" dxfId="16268" priority="511" operator="equal">
      <formula>0</formula>
    </cfRule>
  </conditionalFormatting>
  <conditionalFormatting sqref="O267:O269">
    <cfRule type="cellIs" dxfId="16267" priority="512" operator="equal">
      <formula>0</formula>
    </cfRule>
  </conditionalFormatting>
  <conditionalFormatting sqref="O264:O269">
    <cfRule type="cellIs" dxfId="16266" priority="513" operator="equal">
      <formula>0</formula>
    </cfRule>
  </conditionalFormatting>
  <conditionalFormatting sqref="D264:S270">
    <cfRule type="expression" dxfId="16265" priority="514">
      <formula>LEN(TRIM(D264))=0</formula>
    </cfRule>
  </conditionalFormatting>
  <conditionalFormatting sqref="L267:L268">
    <cfRule type="cellIs" dxfId="16264" priority="515" operator="equal">
      <formula>0</formula>
    </cfRule>
  </conditionalFormatting>
  <conditionalFormatting sqref="M267:M268">
    <cfRule type="cellIs" dxfId="16263" priority="516" operator="equal">
      <formula>0</formula>
    </cfRule>
  </conditionalFormatting>
  <conditionalFormatting sqref="N267:O267">
    <cfRule type="cellIs" dxfId="16262" priority="517" operator="equal">
      <formula>0</formula>
    </cfRule>
  </conditionalFormatting>
  <conditionalFormatting sqref="N268:O268">
    <cfRule type="cellIs" dxfId="16261" priority="518" operator="equal">
      <formula>0</formula>
    </cfRule>
  </conditionalFormatting>
  <conditionalFormatting sqref="E281:G281 D282:G283 H281:I283 D277:I280 J277:R283 D272:S272 D284:R284 D273:I274 S273:S284 P273:R274">
    <cfRule type="cellIs" dxfId="16260" priority="492" operator="equal">
      <formula>0</formula>
    </cfRule>
  </conditionalFormatting>
  <conditionalFormatting sqref="D281">
    <cfRule type="cellIs" dxfId="16259" priority="493" operator="equal">
      <formula>0</formula>
    </cfRule>
  </conditionalFormatting>
  <conditionalFormatting sqref="D272:S272 D277:R284 D273:I274 S273:S284 P273:R274">
    <cfRule type="expression" dxfId="16258" priority="494">
      <formula>LEN(TRIM(D272))=0</formula>
    </cfRule>
  </conditionalFormatting>
  <conditionalFormatting sqref="D275:R276">
    <cfRule type="cellIs" dxfId="16257" priority="495" operator="equal">
      <formula>0</formula>
    </cfRule>
  </conditionalFormatting>
  <conditionalFormatting sqref="P275:P276">
    <cfRule type="cellIs" dxfId="16256" priority="496" operator="equal">
      <formula>0</formula>
    </cfRule>
  </conditionalFormatting>
  <conditionalFormatting sqref="D275:R276">
    <cfRule type="expression" dxfId="16255" priority="497">
      <formula>LEN(TRIM(D275))=0</formula>
    </cfRule>
  </conditionalFormatting>
  <conditionalFormatting sqref="J273:O274">
    <cfRule type="cellIs" dxfId="16254" priority="490" operator="equal">
      <formula>0</formula>
    </cfRule>
  </conditionalFormatting>
  <conditionalFormatting sqref="J273:O274">
    <cfRule type="expression" dxfId="16253" priority="491">
      <formula>LEN(TRIM(J273))=0</formula>
    </cfRule>
  </conditionalFormatting>
  <conditionalFormatting sqref="D287:R292 S286:S291 S293 D286:I286 P286:R286">
    <cfRule type="cellIs" dxfId="16252" priority="484" operator="equal">
      <formula>0</formula>
    </cfRule>
  </conditionalFormatting>
  <conditionalFormatting sqref="D293:R293">
    <cfRule type="cellIs" dxfId="16251" priority="485" operator="equal">
      <formula>0</formula>
    </cfRule>
  </conditionalFormatting>
  <conditionalFormatting sqref="D287:S291 D293:S293 D292:R292 D286:I286 P286:S286">
    <cfRule type="expression" dxfId="16250" priority="486">
      <formula>LEN(TRIM(D286))=0</formula>
    </cfRule>
  </conditionalFormatting>
  <conditionalFormatting sqref="D293:R293">
    <cfRule type="cellIs" dxfId="16249" priority="487" operator="equal">
      <formula>0</formula>
    </cfRule>
  </conditionalFormatting>
  <conditionalFormatting sqref="D294:R294">
    <cfRule type="cellIs" dxfId="16248" priority="488" operator="equal">
      <formula>0</formula>
    </cfRule>
  </conditionalFormatting>
  <conditionalFormatting sqref="D294:R294">
    <cfRule type="expression" dxfId="16247" priority="489">
      <formula>LEN(TRIM(D294))=0</formula>
    </cfRule>
  </conditionalFormatting>
  <conditionalFormatting sqref="S294">
    <cfRule type="cellIs" dxfId="16246" priority="482" operator="equal">
      <formula>0</formula>
    </cfRule>
  </conditionalFormatting>
  <conditionalFormatting sqref="S294">
    <cfRule type="expression" dxfId="16245" priority="483">
      <formula>LEN(TRIM(S294))=0</formula>
    </cfRule>
  </conditionalFormatting>
  <conditionalFormatting sqref="S292">
    <cfRule type="cellIs" dxfId="16244" priority="480" operator="equal">
      <formula>0</formula>
    </cfRule>
  </conditionalFormatting>
  <conditionalFormatting sqref="S292">
    <cfRule type="expression" dxfId="16243" priority="481">
      <formula>LEN(TRIM(S292))=0</formula>
    </cfRule>
  </conditionalFormatting>
  <conditionalFormatting sqref="J286:O286">
    <cfRule type="cellIs" dxfId="16242" priority="478" operator="equal">
      <formula>0</formula>
    </cfRule>
  </conditionalFormatting>
  <conditionalFormatting sqref="J286:O286">
    <cfRule type="expression" dxfId="16241" priority="479">
      <formula>LEN(TRIM(J286))=0</formula>
    </cfRule>
  </conditionalFormatting>
  <conditionalFormatting sqref="AH15:AK17 W15:AA17 AB15:AG16 AI12:AK14 Y12:Y14 V12:V17 V18:AK18">
    <cfRule type="cellIs" dxfId="16240" priority="416" operator="equal">
      <formula>0</formula>
    </cfRule>
  </conditionalFormatting>
  <conditionalFormatting sqref="AH12:AH17">
    <cfRule type="cellIs" dxfId="16239" priority="417" operator="equal">
      <formula>0</formula>
    </cfRule>
  </conditionalFormatting>
  <conditionalFormatting sqref="V12:W17 Z12:AA17">
    <cfRule type="cellIs" dxfId="16238" priority="418" operator="equal">
      <formula>0</formula>
    </cfRule>
  </conditionalFormatting>
  <conditionalFormatting sqref="X12:X17">
    <cfRule type="cellIs" dxfId="16237" priority="419" operator="equal">
      <formula>0</formula>
    </cfRule>
  </conditionalFormatting>
  <conditionalFormatting sqref="AB15:AB17">
    <cfRule type="cellIs" dxfId="16236" priority="420" operator="equal">
      <formula>0</formula>
    </cfRule>
  </conditionalFormatting>
  <conditionalFormatting sqref="AB12:AB17 AC12:AG12">
    <cfRule type="cellIs" dxfId="16235" priority="421" operator="equal">
      <formula>0</formula>
    </cfRule>
  </conditionalFormatting>
  <conditionalFormatting sqref="AC15:AC17">
    <cfRule type="cellIs" dxfId="16234" priority="422" operator="equal">
      <formula>0</formula>
    </cfRule>
  </conditionalFormatting>
  <conditionalFormatting sqref="AC12:AC17">
    <cfRule type="cellIs" dxfId="16233" priority="423" operator="equal">
      <formula>0</formula>
    </cfRule>
  </conditionalFormatting>
  <conditionalFormatting sqref="AD15:AD17">
    <cfRule type="cellIs" dxfId="16232" priority="424" operator="equal">
      <formula>0</formula>
    </cfRule>
  </conditionalFormatting>
  <conditionalFormatting sqref="AD12:AD17">
    <cfRule type="cellIs" dxfId="16231" priority="425" operator="equal">
      <formula>0</formula>
    </cfRule>
  </conditionalFormatting>
  <conditionalFormatting sqref="AE15:AE17">
    <cfRule type="cellIs" dxfId="16230" priority="426" operator="equal">
      <formula>0</formula>
    </cfRule>
  </conditionalFormatting>
  <conditionalFormatting sqref="AE12:AE17">
    <cfRule type="cellIs" dxfId="16229" priority="427" operator="equal">
      <formula>0</formula>
    </cfRule>
  </conditionalFormatting>
  <conditionalFormatting sqref="AF15:AF17">
    <cfRule type="cellIs" dxfId="16228" priority="428" operator="equal">
      <formula>0</formula>
    </cfRule>
  </conditionalFormatting>
  <conditionalFormatting sqref="AF12:AF17">
    <cfRule type="cellIs" dxfId="16227" priority="429" operator="equal">
      <formula>0</formula>
    </cfRule>
  </conditionalFormatting>
  <conditionalFormatting sqref="AG15:AG17">
    <cfRule type="cellIs" dxfId="16226" priority="430" operator="equal">
      <formula>0</formula>
    </cfRule>
  </conditionalFormatting>
  <conditionalFormatting sqref="AG12:AG17">
    <cfRule type="cellIs" dxfId="16225" priority="431" operator="equal">
      <formula>0</formula>
    </cfRule>
  </conditionalFormatting>
  <conditionalFormatting sqref="V12:AK18">
    <cfRule type="expression" dxfId="16224" priority="432">
      <formula>LEN(TRIM(V12))=0</formula>
    </cfRule>
  </conditionalFormatting>
  <conditionalFormatting sqref="AD15:AD16">
    <cfRule type="cellIs" dxfId="16223" priority="433" operator="equal">
      <formula>0</formula>
    </cfRule>
  </conditionalFormatting>
  <conditionalFormatting sqref="AE15:AE16">
    <cfRule type="cellIs" dxfId="16222" priority="434" operator="equal">
      <formula>0</formula>
    </cfRule>
  </conditionalFormatting>
  <conditionalFormatting sqref="AF15:AG15">
    <cfRule type="cellIs" dxfId="16221" priority="435" operator="equal">
      <formula>0</formula>
    </cfRule>
  </conditionalFormatting>
  <conditionalFormatting sqref="AF16:AG16">
    <cfRule type="cellIs" dxfId="16220" priority="436" operator="equal">
      <formula>0</formula>
    </cfRule>
  </conditionalFormatting>
  <conditionalFormatting sqref="W29:Y29 V30:Y31 Z29:AA31 V25:AA28 AB25:AJ31 V20:AK20 V32:AJ32 V21:AA22 AK21:AK32 AH21:AJ22">
    <cfRule type="cellIs" dxfId="16219" priority="410" operator="equal">
      <formula>0</formula>
    </cfRule>
  </conditionalFormatting>
  <conditionalFormatting sqref="V29">
    <cfRule type="cellIs" dxfId="16218" priority="411" operator="equal">
      <formula>0</formula>
    </cfRule>
  </conditionalFormatting>
  <conditionalFormatting sqref="V20:AK20 V25:AJ32 V21:AA22 AK21:AK32 AH21:AJ22">
    <cfRule type="expression" dxfId="16217" priority="412">
      <formula>LEN(TRIM(V20))=0</formula>
    </cfRule>
  </conditionalFormatting>
  <conditionalFormatting sqref="V23:AJ24">
    <cfRule type="cellIs" dxfId="16216" priority="413" operator="equal">
      <formula>0</formula>
    </cfRule>
  </conditionalFormatting>
  <conditionalFormatting sqref="AH23:AH24">
    <cfRule type="cellIs" dxfId="16215" priority="414" operator="equal">
      <formula>0</formula>
    </cfRule>
  </conditionalFormatting>
  <conditionalFormatting sqref="V23:AJ24">
    <cfRule type="expression" dxfId="16214" priority="415">
      <formula>LEN(TRIM(V23))=0</formula>
    </cfRule>
  </conditionalFormatting>
  <conditionalFormatting sqref="AB21:AG22">
    <cfRule type="cellIs" dxfId="16213" priority="408" operator="equal">
      <formula>0</formula>
    </cfRule>
  </conditionalFormatting>
  <conditionalFormatting sqref="AB21:AG22">
    <cfRule type="expression" dxfId="16212" priority="409">
      <formula>LEN(TRIM(AB21))=0</formula>
    </cfRule>
  </conditionalFormatting>
  <conditionalFormatting sqref="V35:AJ40 AK34:AK39 AK41 V34:AA34 AH34:AJ34">
    <cfRule type="cellIs" dxfId="16211" priority="402" operator="equal">
      <formula>0</formula>
    </cfRule>
  </conditionalFormatting>
  <conditionalFormatting sqref="V41:AJ41">
    <cfRule type="cellIs" dxfId="16210" priority="403" operator="equal">
      <formula>0</formula>
    </cfRule>
  </conditionalFormatting>
  <conditionalFormatting sqref="V35:AK39 V41:AK41 V40:AJ40 V34:AA34 AH34:AK34">
    <cfRule type="expression" dxfId="16209" priority="404">
      <formula>LEN(TRIM(V34))=0</formula>
    </cfRule>
  </conditionalFormatting>
  <conditionalFormatting sqref="V41:AJ41">
    <cfRule type="cellIs" dxfId="16208" priority="405" operator="equal">
      <formula>0</formula>
    </cfRule>
  </conditionalFormatting>
  <conditionalFormatting sqref="V42:AJ42">
    <cfRule type="cellIs" dxfId="16207" priority="406" operator="equal">
      <formula>0</formula>
    </cfRule>
  </conditionalFormatting>
  <conditionalFormatting sqref="V42:AJ42">
    <cfRule type="expression" dxfId="16206" priority="407">
      <formula>LEN(TRIM(V42))=0</formula>
    </cfRule>
  </conditionalFormatting>
  <conditionalFormatting sqref="AK42">
    <cfRule type="cellIs" dxfId="16205" priority="400" operator="equal">
      <formula>0</formula>
    </cfRule>
  </conditionalFormatting>
  <conditionalFormatting sqref="AK42">
    <cfRule type="expression" dxfId="16204" priority="401">
      <formula>LEN(TRIM(AK42))=0</formula>
    </cfRule>
  </conditionalFormatting>
  <conditionalFormatting sqref="AK40">
    <cfRule type="cellIs" dxfId="16203" priority="398" operator="equal">
      <formula>0</formula>
    </cfRule>
  </conditionalFormatting>
  <conditionalFormatting sqref="AK40">
    <cfRule type="expression" dxfId="16202" priority="399">
      <formula>LEN(TRIM(AK40))=0</formula>
    </cfRule>
  </conditionalFormatting>
  <conditionalFormatting sqref="AB34:AG34">
    <cfRule type="cellIs" dxfId="16201" priority="396" operator="equal">
      <formula>0</formula>
    </cfRule>
  </conditionalFormatting>
  <conditionalFormatting sqref="AB34:AG34">
    <cfRule type="expression" dxfId="16200" priority="397">
      <formula>LEN(TRIM(AB34))=0</formula>
    </cfRule>
  </conditionalFormatting>
  <conditionalFormatting sqref="AH51:AK53 W51:AA53 AB51:AG52 AI48:AK50 Y48:Y50 V48:V53 V54:AK54">
    <cfRule type="cellIs" dxfId="16199" priority="375" operator="equal">
      <formula>0</formula>
    </cfRule>
  </conditionalFormatting>
  <conditionalFormatting sqref="AH48:AH53">
    <cfRule type="cellIs" dxfId="16198" priority="376" operator="equal">
      <formula>0</formula>
    </cfRule>
  </conditionalFormatting>
  <conditionalFormatting sqref="V48:W53 Z48:AA53">
    <cfRule type="cellIs" dxfId="16197" priority="377" operator="equal">
      <formula>0</formula>
    </cfRule>
  </conditionalFormatting>
  <conditionalFormatting sqref="X48:X53">
    <cfRule type="cellIs" dxfId="16196" priority="378" operator="equal">
      <formula>0</formula>
    </cfRule>
  </conditionalFormatting>
  <conditionalFormatting sqref="AB51:AB53">
    <cfRule type="cellIs" dxfId="16195" priority="379" operator="equal">
      <formula>0</formula>
    </cfRule>
  </conditionalFormatting>
  <conditionalFormatting sqref="AB48:AB53 AC48:AG48">
    <cfRule type="cellIs" dxfId="16194" priority="380" operator="equal">
      <formula>0</formula>
    </cfRule>
  </conditionalFormatting>
  <conditionalFormatting sqref="AC51:AC53">
    <cfRule type="cellIs" dxfId="16193" priority="381" operator="equal">
      <formula>0</formula>
    </cfRule>
  </conditionalFormatting>
  <conditionalFormatting sqref="AC48:AC53">
    <cfRule type="cellIs" dxfId="16192" priority="382" operator="equal">
      <formula>0</formula>
    </cfRule>
  </conditionalFormatting>
  <conditionalFormatting sqref="AD51:AD53">
    <cfRule type="cellIs" dxfId="16191" priority="383" operator="equal">
      <formula>0</formula>
    </cfRule>
  </conditionalFormatting>
  <conditionalFormatting sqref="AD48:AD53">
    <cfRule type="cellIs" dxfId="16190" priority="384" operator="equal">
      <formula>0</formula>
    </cfRule>
  </conditionalFormatting>
  <conditionalFormatting sqref="AE51:AE53">
    <cfRule type="cellIs" dxfId="16189" priority="385" operator="equal">
      <formula>0</formula>
    </cfRule>
  </conditionalFormatting>
  <conditionalFormatting sqref="AE48:AE53">
    <cfRule type="cellIs" dxfId="16188" priority="386" operator="equal">
      <formula>0</formula>
    </cfRule>
  </conditionalFormatting>
  <conditionalFormatting sqref="AF51:AF53">
    <cfRule type="cellIs" dxfId="16187" priority="387" operator="equal">
      <formula>0</formula>
    </cfRule>
  </conditionalFormatting>
  <conditionalFormatting sqref="AF48:AF53">
    <cfRule type="cellIs" dxfId="16186" priority="388" operator="equal">
      <formula>0</formula>
    </cfRule>
  </conditionalFormatting>
  <conditionalFormatting sqref="AG51:AG53">
    <cfRule type="cellIs" dxfId="16185" priority="389" operator="equal">
      <formula>0</formula>
    </cfRule>
  </conditionalFormatting>
  <conditionalFormatting sqref="AG48:AG53">
    <cfRule type="cellIs" dxfId="16184" priority="390" operator="equal">
      <formula>0</formula>
    </cfRule>
  </conditionalFormatting>
  <conditionalFormatting sqref="V48:AK54">
    <cfRule type="expression" dxfId="16183" priority="391">
      <formula>LEN(TRIM(V48))=0</formula>
    </cfRule>
  </conditionalFormatting>
  <conditionalFormatting sqref="AD51:AD52">
    <cfRule type="cellIs" dxfId="16182" priority="392" operator="equal">
      <formula>0</formula>
    </cfRule>
  </conditionalFormatting>
  <conditionalFormatting sqref="AE51:AE52">
    <cfRule type="cellIs" dxfId="16181" priority="393" operator="equal">
      <formula>0</formula>
    </cfRule>
  </conditionalFormatting>
  <conditionalFormatting sqref="AF51:AG51">
    <cfRule type="cellIs" dxfId="16180" priority="394" operator="equal">
      <formula>0</formula>
    </cfRule>
  </conditionalFormatting>
  <conditionalFormatting sqref="AF52:AG52">
    <cfRule type="cellIs" dxfId="16179" priority="395" operator="equal">
      <formula>0</formula>
    </cfRule>
  </conditionalFormatting>
  <conditionalFormatting sqref="W65:Y65 V66:Y67 Z65:AA67 V61:AA64 AB61:AJ67 V56:AK56 V68:AJ68 V57:AA58 AK57:AK68 AH57:AJ58">
    <cfRule type="cellIs" dxfId="16178" priority="369" operator="equal">
      <formula>0</formula>
    </cfRule>
  </conditionalFormatting>
  <conditionalFormatting sqref="V65">
    <cfRule type="cellIs" dxfId="16177" priority="370" operator="equal">
      <formula>0</formula>
    </cfRule>
  </conditionalFormatting>
  <conditionalFormatting sqref="V56:AK56 V61:AJ68 V57:AA58 AK57:AK68 AH57:AJ58">
    <cfRule type="expression" dxfId="16176" priority="371">
      <formula>LEN(TRIM(V56))=0</formula>
    </cfRule>
  </conditionalFormatting>
  <conditionalFormatting sqref="V59:AJ60">
    <cfRule type="cellIs" dxfId="16175" priority="372" operator="equal">
      <formula>0</formula>
    </cfRule>
  </conditionalFormatting>
  <conditionalFormatting sqref="AH59:AH60">
    <cfRule type="cellIs" dxfId="16174" priority="373" operator="equal">
      <formula>0</formula>
    </cfRule>
  </conditionalFormatting>
  <conditionalFormatting sqref="V59:AJ60">
    <cfRule type="expression" dxfId="16173" priority="374">
      <formula>LEN(TRIM(V59))=0</formula>
    </cfRule>
  </conditionalFormatting>
  <conditionalFormatting sqref="AB57:AG58">
    <cfRule type="cellIs" dxfId="16172" priority="367" operator="equal">
      <formula>0</formula>
    </cfRule>
  </conditionalFormatting>
  <conditionalFormatting sqref="AB57:AG58">
    <cfRule type="expression" dxfId="16171" priority="368">
      <formula>LEN(TRIM(AB57))=0</formula>
    </cfRule>
  </conditionalFormatting>
  <conditionalFormatting sqref="V71:AJ76 AK70:AK75 AK77 V70:AA70 AH70:AJ70">
    <cfRule type="cellIs" dxfId="16170" priority="361" operator="equal">
      <formula>0</formula>
    </cfRule>
  </conditionalFormatting>
  <conditionalFormatting sqref="V77:AJ77">
    <cfRule type="cellIs" dxfId="16169" priority="362" operator="equal">
      <formula>0</formula>
    </cfRule>
  </conditionalFormatting>
  <conditionalFormatting sqref="V71:AK75 V77:AK77 V76:AJ76 V70:AA70 AH70:AK70">
    <cfRule type="expression" dxfId="16168" priority="363">
      <formula>LEN(TRIM(V70))=0</formula>
    </cfRule>
  </conditionalFormatting>
  <conditionalFormatting sqref="V77:AJ77">
    <cfRule type="cellIs" dxfId="16167" priority="364" operator="equal">
      <formula>0</formula>
    </cfRule>
  </conditionalFormatting>
  <conditionalFormatting sqref="V78:AJ78">
    <cfRule type="cellIs" dxfId="16166" priority="365" operator="equal">
      <formula>0</formula>
    </cfRule>
  </conditionalFormatting>
  <conditionalFormatting sqref="V78:AJ78">
    <cfRule type="expression" dxfId="16165" priority="366">
      <formula>LEN(TRIM(V78))=0</formula>
    </cfRule>
  </conditionalFormatting>
  <conditionalFormatting sqref="AK78">
    <cfRule type="cellIs" dxfId="16164" priority="359" operator="equal">
      <formula>0</formula>
    </cfRule>
  </conditionalFormatting>
  <conditionalFormatting sqref="AK78">
    <cfRule type="expression" dxfId="16163" priority="360">
      <formula>LEN(TRIM(AK78))=0</formula>
    </cfRule>
  </conditionalFormatting>
  <conditionalFormatting sqref="AK76">
    <cfRule type="cellIs" dxfId="16162" priority="357" operator="equal">
      <formula>0</formula>
    </cfRule>
  </conditionalFormatting>
  <conditionalFormatting sqref="AK76">
    <cfRule type="expression" dxfId="16161" priority="358">
      <formula>LEN(TRIM(AK76))=0</formula>
    </cfRule>
  </conditionalFormatting>
  <conditionalFormatting sqref="AB70:AG70">
    <cfRule type="cellIs" dxfId="16160" priority="355" operator="equal">
      <formula>0</formula>
    </cfRule>
  </conditionalFormatting>
  <conditionalFormatting sqref="AB70:AG70">
    <cfRule type="expression" dxfId="16159" priority="356">
      <formula>LEN(TRIM(AB70))=0</formula>
    </cfRule>
  </conditionalFormatting>
  <conditionalFormatting sqref="AH87:AK89 W87:AA89 AB87:AG88 AI84:AK86 Y84:Y86 V84:V89 V90:AK90">
    <cfRule type="cellIs" dxfId="16158" priority="334" operator="equal">
      <formula>0</formula>
    </cfRule>
  </conditionalFormatting>
  <conditionalFormatting sqref="AH84:AH89">
    <cfRule type="cellIs" dxfId="16157" priority="335" operator="equal">
      <formula>0</formula>
    </cfRule>
  </conditionalFormatting>
  <conditionalFormatting sqref="V84:W89 Z84:AA89">
    <cfRule type="cellIs" dxfId="16156" priority="336" operator="equal">
      <formula>0</formula>
    </cfRule>
  </conditionalFormatting>
  <conditionalFormatting sqref="X84:X89">
    <cfRule type="cellIs" dxfId="16155" priority="337" operator="equal">
      <formula>0</formula>
    </cfRule>
  </conditionalFormatting>
  <conditionalFormatting sqref="AB87:AB89">
    <cfRule type="cellIs" dxfId="16154" priority="338" operator="equal">
      <formula>0</formula>
    </cfRule>
  </conditionalFormatting>
  <conditionalFormatting sqref="AB84:AB89 AC84:AG84">
    <cfRule type="cellIs" dxfId="16153" priority="339" operator="equal">
      <formula>0</formula>
    </cfRule>
  </conditionalFormatting>
  <conditionalFormatting sqref="AC87:AC89">
    <cfRule type="cellIs" dxfId="16152" priority="340" operator="equal">
      <formula>0</formula>
    </cfRule>
  </conditionalFormatting>
  <conditionalFormatting sqref="AC84:AC89">
    <cfRule type="cellIs" dxfId="16151" priority="341" operator="equal">
      <formula>0</formula>
    </cfRule>
  </conditionalFormatting>
  <conditionalFormatting sqref="AD87:AD89">
    <cfRule type="cellIs" dxfId="16150" priority="342" operator="equal">
      <formula>0</formula>
    </cfRule>
  </conditionalFormatting>
  <conditionalFormatting sqref="AD84:AD89">
    <cfRule type="cellIs" dxfId="16149" priority="343" operator="equal">
      <formula>0</formula>
    </cfRule>
  </conditionalFormatting>
  <conditionalFormatting sqref="AE87:AE89">
    <cfRule type="cellIs" dxfId="16148" priority="344" operator="equal">
      <formula>0</formula>
    </cfRule>
  </conditionalFormatting>
  <conditionalFormatting sqref="AE84:AE89">
    <cfRule type="cellIs" dxfId="16147" priority="345" operator="equal">
      <formula>0</formula>
    </cfRule>
  </conditionalFormatting>
  <conditionalFormatting sqref="AF87:AF89">
    <cfRule type="cellIs" dxfId="16146" priority="346" operator="equal">
      <formula>0</formula>
    </cfRule>
  </conditionalFormatting>
  <conditionalFormatting sqref="AF84:AF89">
    <cfRule type="cellIs" dxfId="16145" priority="347" operator="equal">
      <formula>0</formula>
    </cfRule>
  </conditionalFormatting>
  <conditionalFormatting sqref="AG87:AG89">
    <cfRule type="cellIs" dxfId="16144" priority="348" operator="equal">
      <formula>0</formula>
    </cfRule>
  </conditionalFormatting>
  <conditionalFormatting sqref="AG84:AG89">
    <cfRule type="cellIs" dxfId="16143" priority="349" operator="equal">
      <formula>0</formula>
    </cfRule>
  </conditionalFormatting>
  <conditionalFormatting sqref="V84:AK90">
    <cfRule type="expression" dxfId="16142" priority="350">
      <formula>LEN(TRIM(V84))=0</formula>
    </cfRule>
  </conditionalFormatting>
  <conditionalFormatting sqref="AD87:AD88">
    <cfRule type="cellIs" dxfId="16141" priority="351" operator="equal">
      <formula>0</formula>
    </cfRule>
  </conditionalFormatting>
  <conditionalFormatting sqref="AE87:AE88">
    <cfRule type="cellIs" dxfId="16140" priority="352" operator="equal">
      <formula>0</formula>
    </cfRule>
  </conditionalFormatting>
  <conditionalFormatting sqref="AF87:AG87">
    <cfRule type="cellIs" dxfId="16139" priority="353" operator="equal">
      <formula>0</formula>
    </cfRule>
  </conditionalFormatting>
  <conditionalFormatting sqref="AF88:AG88">
    <cfRule type="cellIs" dxfId="16138" priority="354" operator="equal">
      <formula>0</formula>
    </cfRule>
  </conditionalFormatting>
  <conditionalFormatting sqref="W101:Y101 V102:Y103 Z101:AA103 V97:AA100 AB97:AJ103 V92:AK92 V104:AJ104 V93:AA94 AK93:AK104 AH93:AJ94">
    <cfRule type="cellIs" dxfId="16137" priority="328" operator="equal">
      <formula>0</formula>
    </cfRule>
  </conditionalFormatting>
  <conditionalFormatting sqref="V101">
    <cfRule type="cellIs" dxfId="16136" priority="329" operator="equal">
      <formula>0</formula>
    </cfRule>
  </conditionalFormatting>
  <conditionalFormatting sqref="V92:AK92 V97:AJ104 V93:AA94 AK93:AK104 AH93:AJ94">
    <cfRule type="expression" dxfId="16135" priority="330">
      <formula>LEN(TRIM(V92))=0</formula>
    </cfRule>
  </conditionalFormatting>
  <conditionalFormatting sqref="V95:AJ96">
    <cfRule type="cellIs" dxfId="16134" priority="331" operator="equal">
      <formula>0</formula>
    </cfRule>
  </conditionalFormatting>
  <conditionalFormatting sqref="AH95:AH96">
    <cfRule type="cellIs" dxfId="16133" priority="332" operator="equal">
      <formula>0</formula>
    </cfRule>
  </conditionalFormatting>
  <conditionalFormatting sqref="V95:AJ96">
    <cfRule type="expression" dxfId="16132" priority="333">
      <formula>LEN(TRIM(V95))=0</formula>
    </cfRule>
  </conditionalFormatting>
  <conditionalFormatting sqref="AB93:AG94">
    <cfRule type="cellIs" dxfId="16131" priority="326" operator="equal">
      <formula>0</formula>
    </cfRule>
  </conditionalFormatting>
  <conditionalFormatting sqref="AB93:AG94">
    <cfRule type="expression" dxfId="16130" priority="327">
      <formula>LEN(TRIM(AB93))=0</formula>
    </cfRule>
  </conditionalFormatting>
  <conditionalFormatting sqref="V107:AJ112 AK106:AK111 AK113 V106:AA106 AH106:AJ106">
    <cfRule type="cellIs" dxfId="16129" priority="320" operator="equal">
      <formula>0</formula>
    </cfRule>
  </conditionalFormatting>
  <conditionalFormatting sqref="V113:AJ113">
    <cfRule type="cellIs" dxfId="16128" priority="321" operator="equal">
      <formula>0</formula>
    </cfRule>
  </conditionalFormatting>
  <conditionalFormatting sqref="V107:AK111 V113:AK113 V112:AJ112 V106:AA106 AH106:AK106">
    <cfRule type="expression" dxfId="16127" priority="322">
      <formula>LEN(TRIM(V106))=0</formula>
    </cfRule>
  </conditionalFormatting>
  <conditionalFormatting sqref="V113:AJ113">
    <cfRule type="cellIs" dxfId="16126" priority="323" operator="equal">
      <formula>0</formula>
    </cfRule>
  </conditionalFormatting>
  <conditionalFormatting sqref="V114:AJ114">
    <cfRule type="cellIs" dxfId="16125" priority="324" operator="equal">
      <formula>0</formula>
    </cfRule>
  </conditionalFormatting>
  <conditionalFormatting sqref="V114:AJ114">
    <cfRule type="expression" dxfId="16124" priority="325">
      <formula>LEN(TRIM(V114))=0</formula>
    </cfRule>
  </conditionalFormatting>
  <conditionalFormatting sqref="AK114">
    <cfRule type="cellIs" dxfId="16123" priority="318" operator="equal">
      <formula>0</formula>
    </cfRule>
  </conditionalFormatting>
  <conditionalFormatting sqref="AK114">
    <cfRule type="expression" dxfId="16122" priority="319">
      <formula>LEN(TRIM(AK114))=0</formula>
    </cfRule>
  </conditionalFormatting>
  <conditionalFormatting sqref="AK112">
    <cfRule type="cellIs" dxfId="16121" priority="316" operator="equal">
      <formula>0</formula>
    </cfRule>
  </conditionalFormatting>
  <conditionalFormatting sqref="AK112">
    <cfRule type="expression" dxfId="16120" priority="317">
      <formula>LEN(TRIM(AK112))=0</formula>
    </cfRule>
  </conditionalFormatting>
  <conditionalFormatting sqref="AB106:AG106">
    <cfRule type="cellIs" dxfId="16119" priority="314" operator="equal">
      <formula>0</formula>
    </cfRule>
  </conditionalFormatting>
  <conditionalFormatting sqref="AB106:AG106">
    <cfRule type="expression" dxfId="16118" priority="315">
      <formula>LEN(TRIM(AB106))=0</formula>
    </cfRule>
  </conditionalFormatting>
  <conditionalFormatting sqref="AH123:AK125 W123:AA125 AB123:AG124 AI120:AK122 Y120:Y122 V120:V125 V126:AK126">
    <cfRule type="cellIs" dxfId="16117" priority="293" operator="equal">
      <formula>0</formula>
    </cfRule>
  </conditionalFormatting>
  <conditionalFormatting sqref="AH120:AH125">
    <cfRule type="cellIs" dxfId="16116" priority="294" operator="equal">
      <formula>0</formula>
    </cfRule>
  </conditionalFormatting>
  <conditionalFormatting sqref="V120:W125 Z120:AA125">
    <cfRule type="cellIs" dxfId="16115" priority="295" operator="equal">
      <formula>0</formula>
    </cfRule>
  </conditionalFormatting>
  <conditionalFormatting sqref="X120:X125">
    <cfRule type="cellIs" dxfId="16114" priority="296" operator="equal">
      <formula>0</formula>
    </cfRule>
  </conditionalFormatting>
  <conditionalFormatting sqref="AB123:AB125">
    <cfRule type="cellIs" dxfId="16113" priority="297" operator="equal">
      <formula>0</formula>
    </cfRule>
  </conditionalFormatting>
  <conditionalFormatting sqref="AB120:AB125 AC120:AG120">
    <cfRule type="cellIs" dxfId="16112" priority="298" operator="equal">
      <formula>0</formula>
    </cfRule>
  </conditionalFormatting>
  <conditionalFormatting sqref="AC123:AC125">
    <cfRule type="cellIs" dxfId="16111" priority="299" operator="equal">
      <formula>0</formula>
    </cfRule>
  </conditionalFormatting>
  <conditionalFormatting sqref="AC120:AC125">
    <cfRule type="cellIs" dxfId="16110" priority="300" operator="equal">
      <formula>0</formula>
    </cfRule>
  </conditionalFormatting>
  <conditionalFormatting sqref="AD123:AD125">
    <cfRule type="cellIs" dxfId="16109" priority="301" operator="equal">
      <formula>0</formula>
    </cfRule>
  </conditionalFormatting>
  <conditionalFormatting sqref="AD120:AD125">
    <cfRule type="cellIs" dxfId="16108" priority="302" operator="equal">
      <formula>0</formula>
    </cfRule>
  </conditionalFormatting>
  <conditionalFormatting sqref="AE123:AE125">
    <cfRule type="cellIs" dxfId="16107" priority="303" operator="equal">
      <formula>0</formula>
    </cfRule>
  </conditionalFormatting>
  <conditionalFormatting sqref="AE120:AE125">
    <cfRule type="cellIs" dxfId="16106" priority="304" operator="equal">
      <formula>0</formula>
    </cfRule>
  </conditionalFormatting>
  <conditionalFormatting sqref="AF123:AF125">
    <cfRule type="cellIs" dxfId="16105" priority="305" operator="equal">
      <formula>0</formula>
    </cfRule>
  </conditionalFormatting>
  <conditionalFormatting sqref="AF120:AF125">
    <cfRule type="cellIs" dxfId="16104" priority="306" operator="equal">
      <formula>0</formula>
    </cfRule>
  </conditionalFormatting>
  <conditionalFormatting sqref="AG123:AG125">
    <cfRule type="cellIs" dxfId="16103" priority="307" operator="equal">
      <formula>0</formula>
    </cfRule>
  </conditionalFormatting>
  <conditionalFormatting sqref="AG120:AG125">
    <cfRule type="cellIs" dxfId="16102" priority="308" operator="equal">
      <formula>0</formula>
    </cfRule>
  </conditionalFormatting>
  <conditionalFormatting sqref="V120:AK126">
    <cfRule type="expression" dxfId="16101" priority="309">
      <formula>LEN(TRIM(V120))=0</formula>
    </cfRule>
  </conditionalFormatting>
  <conditionalFormatting sqref="AD123:AD124">
    <cfRule type="cellIs" dxfId="16100" priority="310" operator="equal">
      <formula>0</formula>
    </cfRule>
  </conditionalFormatting>
  <conditionalFormatting sqref="AE123:AE124">
    <cfRule type="cellIs" dxfId="16099" priority="311" operator="equal">
      <formula>0</formula>
    </cfRule>
  </conditionalFormatting>
  <conditionalFormatting sqref="AF123:AG123">
    <cfRule type="cellIs" dxfId="16098" priority="312" operator="equal">
      <formula>0</formula>
    </cfRule>
  </conditionalFormatting>
  <conditionalFormatting sqref="AF124:AG124">
    <cfRule type="cellIs" dxfId="16097" priority="313" operator="equal">
      <formula>0</formula>
    </cfRule>
  </conditionalFormatting>
  <conditionalFormatting sqref="W137:Y137 V138:Y139 Z137:AA139 V133:AA136 AB133:AJ139 V128:AK128 V140:AJ140 V129:AA130 AK129:AK140 AH129:AJ130">
    <cfRule type="cellIs" dxfId="16096" priority="287" operator="equal">
      <formula>0</formula>
    </cfRule>
  </conditionalFormatting>
  <conditionalFormatting sqref="V137">
    <cfRule type="cellIs" dxfId="16095" priority="288" operator="equal">
      <formula>0</formula>
    </cfRule>
  </conditionalFormatting>
  <conditionalFormatting sqref="V128:AK128 V133:AJ140 V129:AA130 AK129:AK140 AH129:AJ130">
    <cfRule type="expression" dxfId="16094" priority="289">
      <formula>LEN(TRIM(V128))=0</formula>
    </cfRule>
  </conditionalFormatting>
  <conditionalFormatting sqref="V131:AJ132">
    <cfRule type="cellIs" dxfId="16093" priority="290" operator="equal">
      <formula>0</formula>
    </cfRule>
  </conditionalFormatting>
  <conditionalFormatting sqref="AH131:AH132">
    <cfRule type="cellIs" dxfId="16092" priority="291" operator="equal">
      <formula>0</formula>
    </cfRule>
  </conditionalFormatting>
  <conditionalFormatting sqref="V131:AJ132">
    <cfRule type="expression" dxfId="16091" priority="292">
      <formula>LEN(TRIM(V131))=0</formula>
    </cfRule>
  </conditionalFormatting>
  <conditionalFormatting sqref="AB129:AG130">
    <cfRule type="cellIs" dxfId="16090" priority="285" operator="equal">
      <formula>0</formula>
    </cfRule>
  </conditionalFormatting>
  <conditionalFormatting sqref="AB129:AG130">
    <cfRule type="expression" dxfId="16089" priority="286">
      <formula>LEN(TRIM(AB129))=0</formula>
    </cfRule>
  </conditionalFormatting>
  <conditionalFormatting sqref="V143:AJ148 AK142:AK147 AK149 V142:AA142 AH142:AJ142">
    <cfRule type="cellIs" dxfId="16088" priority="279" operator="equal">
      <formula>0</formula>
    </cfRule>
  </conditionalFormatting>
  <conditionalFormatting sqref="V149:AJ149">
    <cfRule type="cellIs" dxfId="16087" priority="280" operator="equal">
      <formula>0</formula>
    </cfRule>
  </conditionalFormatting>
  <conditionalFormatting sqref="V143:AK147 V149:AK149 V148:AJ148 V142:AA142 AH142:AK142">
    <cfRule type="expression" dxfId="16086" priority="281">
      <formula>LEN(TRIM(V142))=0</formula>
    </cfRule>
  </conditionalFormatting>
  <conditionalFormatting sqref="V149:AJ149">
    <cfRule type="cellIs" dxfId="16085" priority="282" operator="equal">
      <formula>0</formula>
    </cfRule>
  </conditionalFormatting>
  <conditionalFormatting sqref="V150:AJ150">
    <cfRule type="cellIs" dxfId="16084" priority="283" operator="equal">
      <formula>0</formula>
    </cfRule>
  </conditionalFormatting>
  <conditionalFormatting sqref="V150:AJ150">
    <cfRule type="expression" dxfId="16083" priority="284">
      <formula>LEN(TRIM(V150))=0</formula>
    </cfRule>
  </conditionalFormatting>
  <conditionalFormatting sqref="AK150">
    <cfRule type="cellIs" dxfId="16082" priority="277" operator="equal">
      <formula>0</formula>
    </cfRule>
  </conditionalFormatting>
  <conditionalFormatting sqref="AK150">
    <cfRule type="expression" dxfId="16081" priority="278">
      <formula>LEN(TRIM(AK150))=0</formula>
    </cfRule>
  </conditionalFormatting>
  <conditionalFormatting sqref="AK148">
    <cfRule type="cellIs" dxfId="16080" priority="275" operator="equal">
      <formula>0</formula>
    </cfRule>
  </conditionalFormatting>
  <conditionalFormatting sqref="AK148">
    <cfRule type="expression" dxfId="16079" priority="276">
      <formula>LEN(TRIM(AK148))=0</formula>
    </cfRule>
  </conditionalFormatting>
  <conditionalFormatting sqref="AB142:AG142">
    <cfRule type="cellIs" dxfId="16078" priority="273" operator="equal">
      <formula>0</formula>
    </cfRule>
  </conditionalFormatting>
  <conditionalFormatting sqref="AB142:AG142">
    <cfRule type="expression" dxfId="16077" priority="274">
      <formula>LEN(TRIM(AB142))=0</formula>
    </cfRule>
  </conditionalFormatting>
  <conditionalFormatting sqref="AH159:AK161 W159:AA161 AB159:AG160 AI156:AK158 Y156:Y158 V156:V161 V162:AK162">
    <cfRule type="cellIs" dxfId="16076" priority="252" operator="equal">
      <formula>0</formula>
    </cfRule>
  </conditionalFormatting>
  <conditionalFormatting sqref="AH156:AH161">
    <cfRule type="cellIs" dxfId="16075" priority="253" operator="equal">
      <formula>0</formula>
    </cfRule>
  </conditionalFormatting>
  <conditionalFormatting sqref="V156:W161 Z156:AA161">
    <cfRule type="cellIs" dxfId="16074" priority="254" operator="equal">
      <formula>0</formula>
    </cfRule>
  </conditionalFormatting>
  <conditionalFormatting sqref="X156:X161">
    <cfRule type="cellIs" dxfId="16073" priority="255" operator="equal">
      <formula>0</formula>
    </cfRule>
  </conditionalFormatting>
  <conditionalFormatting sqref="AB159:AB161">
    <cfRule type="cellIs" dxfId="16072" priority="256" operator="equal">
      <formula>0</formula>
    </cfRule>
  </conditionalFormatting>
  <conditionalFormatting sqref="AB156:AB161 AC156:AG156">
    <cfRule type="cellIs" dxfId="16071" priority="257" operator="equal">
      <formula>0</formula>
    </cfRule>
  </conditionalFormatting>
  <conditionalFormatting sqref="AC159:AC161">
    <cfRule type="cellIs" dxfId="16070" priority="258" operator="equal">
      <formula>0</formula>
    </cfRule>
  </conditionalFormatting>
  <conditionalFormatting sqref="AC156:AC161">
    <cfRule type="cellIs" dxfId="16069" priority="259" operator="equal">
      <formula>0</formula>
    </cfRule>
  </conditionalFormatting>
  <conditionalFormatting sqref="AD159:AD161">
    <cfRule type="cellIs" dxfId="16068" priority="260" operator="equal">
      <formula>0</formula>
    </cfRule>
  </conditionalFormatting>
  <conditionalFormatting sqref="AD156:AD161">
    <cfRule type="cellIs" dxfId="16067" priority="261" operator="equal">
      <formula>0</formula>
    </cfRule>
  </conditionalFormatting>
  <conditionalFormatting sqref="AE159:AE161">
    <cfRule type="cellIs" dxfId="16066" priority="262" operator="equal">
      <formula>0</formula>
    </cfRule>
  </conditionalFormatting>
  <conditionalFormatting sqref="AE156:AE161">
    <cfRule type="cellIs" dxfId="16065" priority="263" operator="equal">
      <formula>0</formula>
    </cfRule>
  </conditionalFormatting>
  <conditionalFormatting sqref="AF159:AF161">
    <cfRule type="cellIs" dxfId="16064" priority="264" operator="equal">
      <formula>0</formula>
    </cfRule>
  </conditionalFormatting>
  <conditionalFormatting sqref="AF156:AF161">
    <cfRule type="cellIs" dxfId="16063" priority="265" operator="equal">
      <formula>0</formula>
    </cfRule>
  </conditionalFormatting>
  <conditionalFormatting sqref="AG159:AG161">
    <cfRule type="cellIs" dxfId="16062" priority="266" operator="equal">
      <formula>0</formula>
    </cfRule>
  </conditionalFormatting>
  <conditionalFormatting sqref="AG156:AG161">
    <cfRule type="cellIs" dxfId="16061" priority="267" operator="equal">
      <formula>0</formula>
    </cfRule>
  </conditionalFormatting>
  <conditionalFormatting sqref="V156:AK162">
    <cfRule type="expression" dxfId="16060" priority="268">
      <formula>LEN(TRIM(V156))=0</formula>
    </cfRule>
  </conditionalFormatting>
  <conditionalFormatting sqref="AD159:AD160">
    <cfRule type="cellIs" dxfId="16059" priority="269" operator="equal">
      <formula>0</formula>
    </cfRule>
  </conditionalFormatting>
  <conditionalFormatting sqref="AE159:AE160">
    <cfRule type="cellIs" dxfId="16058" priority="270" operator="equal">
      <formula>0</formula>
    </cfRule>
  </conditionalFormatting>
  <conditionalFormatting sqref="AF159:AG159">
    <cfRule type="cellIs" dxfId="16057" priority="271" operator="equal">
      <formula>0</formula>
    </cfRule>
  </conditionalFormatting>
  <conditionalFormatting sqref="AF160:AG160">
    <cfRule type="cellIs" dxfId="16056" priority="272" operator="equal">
      <formula>0</formula>
    </cfRule>
  </conditionalFormatting>
  <conditionalFormatting sqref="W173:Y173 V174:Y175 Z173:AA175 V169:AA172 AB169:AJ175 V164:AK164 V176:AJ176 V165:AA166 AK165:AK176 AH165:AJ166">
    <cfRule type="cellIs" dxfId="16055" priority="246" operator="equal">
      <formula>0</formula>
    </cfRule>
  </conditionalFormatting>
  <conditionalFormatting sqref="V173">
    <cfRule type="cellIs" dxfId="16054" priority="247" operator="equal">
      <formula>0</formula>
    </cfRule>
  </conditionalFormatting>
  <conditionalFormatting sqref="V164:AK164 V169:AJ176 V165:AA166 AK165:AK176 AH165:AJ166">
    <cfRule type="expression" dxfId="16053" priority="248">
      <formula>LEN(TRIM(V164))=0</formula>
    </cfRule>
  </conditionalFormatting>
  <conditionalFormatting sqref="V167:AJ168">
    <cfRule type="cellIs" dxfId="16052" priority="249" operator="equal">
      <formula>0</formula>
    </cfRule>
  </conditionalFormatting>
  <conditionalFormatting sqref="AH167:AH168">
    <cfRule type="cellIs" dxfId="16051" priority="250" operator="equal">
      <formula>0</formula>
    </cfRule>
  </conditionalFormatting>
  <conditionalFormatting sqref="V167:AJ168">
    <cfRule type="expression" dxfId="16050" priority="251">
      <formula>LEN(TRIM(V167))=0</formula>
    </cfRule>
  </conditionalFormatting>
  <conditionalFormatting sqref="AB165:AG166">
    <cfRule type="cellIs" dxfId="16049" priority="244" operator="equal">
      <formula>0</formula>
    </cfRule>
  </conditionalFormatting>
  <conditionalFormatting sqref="AB165:AG166">
    <cfRule type="expression" dxfId="16048" priority="245">
      <formula>LEN(TRIM(AB165))=0</formula>
    </cfRule>
  </conditionalFormatting>
  <conditionalFormatting sqref="V179:AJ184 AK178:AK183 AK185 V178:AA178 AH178:AJ178">
    <cfRule type="cellIs" dxfId="16047" priority="238" operator="equal">
      <formula>0</formula>
    </cfRule>
  </conditionalFormatting>
  <conditionalFormatting sqref="V185:AJ185">
    <cfRule type="cellIs" dxfId="16046" priority="239" operator="equal">
      <formula>0</formula>
    </cfRule>
  </conditionalFormatting>
  <conditionalFormatting sqref="V179:AK183 V185:AK185 V184:AJ184 V178:AA178 AH178:AK178">
    <cfRule type="expression" dxfId="16045" priority="240">
      <formula>LEN(TRIM(V178))=0</formula>
    </cfRule>
  </conditionalFormatting>
  <conditionalFormatting sqref="V185:AJ185">
    <cfRule type="cellIs" dxfId="16044" priority="241" operator="equal">
      <formula>0</formula>
    </cfRule>
  </conditionalFormatting>
  <conditionalFormatting sqref="V186:AJ186">
    <cfRule type="cellIs" dxfId="16043" priority="242" operator="equal">
      <formula>0</formula>
    </cfRule>
  </conditionalFormatting>
  <conditionalFormatting sqref="V186:AJ186">
    <cfRule type="expression" dxfId="16042" priority="243">
      <formula>LEN(TRIM(V186))=0</formula>
    </cfRule>
  </conditionalFormatting>
  <conditionalFormatting sqref="AK186">
    <cfRule type="cellIs" dxfId="16041" priority="236" operator="equal">
      <formula>0</formula>
    </cfRule>
  </conditionalFormatting>
  <conditionalFormatting sqref="AK186">
    <cfRule type="expression" dxfId="16040" priority="237">
      <formula>LEN(TRIM(AK186))=0</formula>
    </cfRule>
  </conditionalFormatting>
  <conditionalFormatting sqref="AK184">
    <cfRule type="cellIs" dxfId="16039" priority="234" operator="equal">
      <formula>0</formula>
    </cfRule>
  </conditionalFormatting>
  <conditionalFormatting sqref="AK184">
    <cfRule type="expression" dxfId="16038" priority="235">
      <formula>LEN(TRIM(AK184))=0</formula>
    </cfRule>
  </conditionalFormatting>
  <conditionalFormatting sqref="AB178:AG178">
    <cfRule type="cellIs" dxfId="16037" priority="232" operator="equal">
      <formula>0</formula>
    </cfRule>
  </conditionalFormatting>
  <conditionalFormatting sqref="AB178:AG178">
    <cfRule type="expression" dxfId="16036" priority="233">
      <formula>LEN(TRIM(AB178))=0</formula>
    </cfRule>
  </conditionalFormatting>
  <conditionalFormatting sqref="AH195:AK197 W195:AA197 AB195:AG196 AI192:AK194 Y192:Y194 V192:V197 V198:AK198">
    <cfRule type="cellIs" dxfId="16035" priority="211" operator="equal">
      <formula>0</formula>
    </cfRule>
  </conditionalFormatting>
  <conditionalFormatting sqref="AH192:AH197">
    <cfRule type="cellIs" dxfId="16034" priority="212" operator="equal">
      <formula>0</formula>
    </cfRule>
  </conditionalFormatting>
  <conditionalFormatting sqref="V192:W197 Z192:AA197">
    <cfRule type="cellIs" dxfId="16033" priority="213" operator="equal">
      <formula>0</formula>
    </cfRule>
  </conditionalFormatting>
  <conditionalFormatting sqref="X192:X197">
    <cfRule type="cellIs" dxfId="16032" priority="214" operator="equal">
      <formula>0</formula>
    </cfRule>
  </conditionalFormatting>
  <conditionalFormatting sqref="AB195:AB197">
    <cfRule type="cellIs" dxfId="16031" priority="215" operator="equal">
      <formula>0</formula>
    </cfRule>
  </conditionalFormatting>
  <conditionalFormatting sqref="AB192:AB197 AC192:AG192">
    <cfRule type="cellIs" dxfId="16030" priority="216" operator="equal">
      <formula>0</formula>
    </cfRule>
  </conditionalFormatting>
  <conditionalFormatting sqref="AC195:AC197">
    <cfRule type="cellIs" dxfId="16029" priority="217" operator="equal">
      <formula>0</formula>
    </cfRule>
  </conditionalFormatting>
  <conditionalFormatting sqref="AC192:AC197">
    <cfRule type="cellIs" dxfId="16028" priority="218" operator="equal">
      <formula>0</formula>
    </cfRule>
  </conditionalFormatting>
  <conditionalFormatting sqref="AD195:AD197">
    <cfRule type="cellIs" dxfId="16027" priority="219" operator="equal">
      <formula>0</formula>
    </cfRule>
  </conditionalFormatting>
  <conditionalFormatting sqref="AD192:AD197">
    <cfRule type="cellIs" dxfId="16026" priority="220" operator="equal">
      <formula>0</formula>
    </cfRule>
  </conditionalFormatting>
  <conditionalFormatting sqref="AE195:AE197">
    <cfRule type="cellIs" dxfId="16025" priority="221" operator="equal">
      <formula>0</formula>
    </cfRule>
  </conditionalFormatting>
  <conditionalFormatting sqref="AE192:AE197">
    <cfRule type="cellIs" dxfId="16024" priority="222" operator="equal">
      <formula>0</formula>
    </cfRule>
  </conditionalFormatting>
  <conditionalFormatting sqref="AF195:AF197">
    <cfRule type="cellIs" dxfId="16023" priority="223" operator="equal">
      <formula>0</formula>
    </cfRule>
  </conditionalFormatting>
  <conditionalFormatting sqref="AF192:AF197">
    <cfRule type="cellIs" dxfId="16022" priority="224" operator="equal">
      <formula>0</formula>
    </cfRule>
  </conditionalFormatting>
  <conditionalFormatting sqref="AG195:AG197">
    <cfRule type="cellIs" dxfId="16021" priority="225" operator="equal">
      <formula>0</formula>
    </cfRule>
  </conditionalFormatting>
  <conditionalFormatting sqref="AG192:AG197">
    <cfRule type="cellIs" dxfId="16020" priority="226" operator="equal">
      <formula>0</formula>
    </cfRule>
  </conditionalFormatting>
  <conditionalFormatting sqref="V192:AK198">
    <cfRule type="expression" dxfId="16019" priority="227">
      <formula>LEN(TRIM(V192))=0</formula>
    </cfRule>
  </conditionalFormatting>
  <conditionalFormatting sqref="AD195:AD196">
    <cfRule type="cellIs" dxfId="16018" priority="228" operator="equal">
      <formula>0</formula>
    </cfRule>
  </conditionalFormatting>
  <conditionalFormatting sqref="AE195:AE196">
    <cfRule type="cellIs" dxfId="16017" priority="229" operator="equal">
      <formula>0</formula>
    </cfRule>
  </conditionalFormatting>
  <conditionalFormatting sqref="AF195:AG195">
    <cfRule type="cellIs" dxfId="16016" priority="230" operator="equal">
      <formula>0</formula>
    </cfRule>
  </conditionalFormatting>
  <conditionalFormatting sqref="AF196:AG196">
    <cfRule type="cellIs" dxfId="16015" priority="231" operator="equal">
      <formula>0</formula>
    </cfRule>
  </conditionalFormatting>
  <conditionalFormatting sqref="W209:Y209 V210:Y211 Z209:AA211 V205:AA208 AB205:AJ211 V200:AK200 V212:AJ212 V201:AA202 AK201:AK212 AH201:AJ202">
    <cfRule type="cellIs" dxfId="16014" priority="205" operator="equal">
      <formula>0</formula>
    </cfRule>
  </conditionalFormatting>
  <conditionalFormatting sqref="V209">
    <cfRule type="cellIs" dxfId="16013" priority="206" operator="equal">
      <formula>0</formula>
    </cfRule>
  </conditionalFormatting>
  <conditionalFormatting sqref="V200:AK200 V205:AJ212 V201:AA202 AK201:AK212 AH201:AJ202">
    <cfRule type="expression" dxfId="16012" priority="207">
      <formula>LEN(TRIM(V200))=0</formula>
    </cfRule>
  </conditionalFormatting>
  <conditionalFormatting sqref="V203:AJ204">
    <cfRule type="cellIs" dxfId="16011" priority="208" operator="equal">
      <formula>0</formula>
    </cfRule>
  </conditionalFormatting>
  <conditionalFormatting sqref="AH203:AH204">
    <cfRule type="cellIs" dxfId="16010" priority="209" operator="equal">
      <formula>0</formula>
    </cfRule>
  </conditionalFormatting>
  <conditionalFormatting sqref="V203:AJ204">
    <cfRule type="expression" dxfId="16009" priority="210">
      <formula>LEN(TRIM(V203))=0</formula>
    </cfRule>
  </conditionalFormatting>
  <conditionalFormatting sqref="AB201:AG202">
    <cfRule type="cellIs" dxfId="16008" priority="203" operator="equal">
      <formula>0</formula>
    </cfRule>
  </conditionalFormatting>
  <conditionalFormatting sqref="AB201:AG202">
    <cfRule type="expression" dxfId="16007" priority="204">
      <formula>LEN(TRIM(AB201))=0</formula>
    </cfRule>
  </conditionalFormatting>
  <conditionalFormatting sqref="V215:AJ220 AK214:AK219 AK221 V214:AA214 AH214:AJ214">
    <cfRule type="cellIs" dxfId="16006" priority="197" operator="equal">
      <formula>0</formula>
    </cfRule>
  </conditionalFormatting>
  <conditionalFormatting sqref="V221:AJ221">
    <cfRule type="cellIs" dxfId="16005" priority="198" operator="equal">
      <formula>0</formula>
    </cfRule>
  </conditionalFormatting>
  <conditionalFormatting sqref="V215:AK219 V221:AK221 V220:AJ220 V214:AA214 AH214:AK214">
    <cfRule type="expression" dxfId="16004" priority="199">
      <formula>LEN(TRIM(V214))=0</formula>
    </cfRule>
  </conditionalFormatting>
  <conditionalFormatting sqref="V221:AJ221">
    <cfRule type="cellIs" dxfId="16003" priority="200" operator="equal">
      <formula>0</formula>
    </cfRule>
  </conditionalFormatting>
  <conditionalFormatting sqref="V222:AJ222">
    <cfRule type="cellIs" dxfId="16002" priority="201" operator="equal">
      <formula>0</formula>
    </cfRule>
  </conditionalFormatting>
  <conditionalFormatting sqref="V222:AJ222">
    <cfRule type="expression" dxfId="16001" priority="202">
      <formula>LEN(TRIM(V222))=0</formula>
    </cfRule>
  </conditionalFormatting>
  <conditionalFormatting sqref="AK222">
    <cfRule type="cellIs" dxfId="16000" priority="195" operator="equal">
      <formula>0</formula>
    </cfRule>
  </conditionalFormatting>
  <conditionalFormatting sqref="AK222">
    <cfRule type="expression" dxfId="15999" priority="196">
      <formula>LEN(TRIM(AK222))=0</formula>
    </cfRule>
  </conditionalFormatting>
  <conditionalFormatting sqref="AK220">
    <cfRule type="cellIs" dxfId="15998" priority="193" operator="equal">
      <formula>0</formula>
    </cfRule>
  </conditionalFormatting>
  <conditionalFormatting sqref="AK220">
    <cfRule type="expression" dxfId="15997" priority="194">
      <formula>LEN(TRIM(AK220))=0</formula>
    </cfRule>
  </conditionalFormatting>
  <conditionalFormatting sqref="AB214:AG214">
    <cfRule type="cellIs" dxfId="15996" priority="191" operator="equal">
      <formula>0</formula>
    </cfRule>
  </conditionalFormatting>
  <conditionalFormatting sqref="AB214:AG214">
    <cfRule type="expression" dxfId="15995" priority="192">
      <formula>LEN(TRIM(AB214))=0</formula>
    </cfRule>
  </conditionalFormatting>
  <conditionalFormatting sqref="AH231:AK233 W231:AA233 AB231:AG232 AI228:AK230 Y228:Y230 V228:V233 V234:AK234">
    <cfRule type="cellIs" dxfId="15994" priority="170" operator="equal">
      <formula>0</formula>
    </cfRule>
  </conditionalFormatting>
  <conditionalFormatting sqref="AH228:AH233">
    <cfRule type="cellIs" dxfId="15993" priority="171" operator="equal">
      <formula>0</formula>
    </cfRule>
  </conditionalFormatting>
  <conditionalFormatting sqref="V228:W233 Z228:AA233">
    <cfRule type="cellIs" dxfId="15992" priority="172" operator="equal">
      <formula>0</formula>
    </cfRule>
  </conditionalFormatting>
  <conditionalFormatting sqref="X228:X233">
    <cfRule type="cellIs" dxfId="15991" priority="173" operator="equal">
      <formula>0</formula>
    </cfRule>
  </conditionalFormatting>
  <conditionalFormatting sqref="AB231:AB233">
    <cfRule type="cellIs" dxfId="15990" priority="174" operator="equal">
      <formula>0</formula>
    </cfRule>
  </conditionalFormatting>
  <conditionalFormatting sqref="AB228:AB233 AC228:AG228">
    <cfRule type="cellIs" dxfId="15989" priority="175" operator="equal">
      <formula>0</formula>
    </cfRule>
  </conditionalFormatting>
  <conditionalFormatting sqref="AC231:AC233">
    <cfRule type="cellIs" dxfId="15988" priority="176" operator="equal">
      <formula>0</formula>
    </cfRule>
  </conditionalFormatting>
  <conditionalFormatting sqref="AC228:AC233">
    <cfRule type="cellIs" dxfId="15987" priority="177" operator="equal">
      <formula>0</formula>
    </cfRule>
  </conditionalFormatting>
  <conditionalFormatting sqref="AD231:AD233">
    <cfRule type="cellIs" dxfId="15986" priority="178" operator="equal">
      <formula>0</formula>
    </cfRule>
  </conditionalFormatting>
  <conditionalFormatting sqref="AD228:AD233">
    <cfRule type="cellIs" dxfId="15985" priority="179" operator="equal">
      <formula>0</formula>
    </cfRule>
  </conditionalFormatting>
  <conditionalFormatting sqref="AE231:AE233">
    <cfRule type="cellIs" dxfId="15984" priority="180" operator="equal">
      <formula>0</formula>
    </cfRule>
  </conditionalFormatting>
  <conditionalFormatting sqref="AE228:AE233">
    <cfRule type="cellIs" dxfId="15983" priority="181" operator="equal">
      <formula>0</formula>
    </cfRule>
  </conditionalFormatting>
  <conditionalFormatting sqref="AF231:AF233">
    <cfRule type="cellIs" dxfId="15982" priority="182" operator="equal">
      <formula>0</formula>
    </cfRule>
  </conditionalFormatting>
  <conditionalFormatting sqref="AF228:AF233">
    <cfRule type="cellIs" dxfId="15981" priority="183" operator="equal">
      <formula>0</formula>
    </cfRule>
  </conditionalFormatting>
  <conditionalFormatting sqref="AG231:AG233">
    <cfRule type="cellIs" dxfId="15980" priority="184" operator="equal">
      <formula>0</formula>
    </cfRule>
  </conditionalFormatting>
  <conditionalFormatting sqref="AG228:AG233">
    <cfRule type="cellIs" dxfId="15979" priority="185" operator="equal">
      <formula>0</formula>
    </cfRule>
  </conditionalFormatting>
  <conditionalFormatting sqref="V228:AK234">
    <cfRule type="expression" dxfId="15978" priority="186">
      <formula>LEN(TRIM(V228))=0</formula>
    </cfRule>
  </conditionalFormatting>
  <conditionalFormatting sqref="AD231:AD232">
    <cfRule type="cellIs" dxfId="15977" priority="187" operator="equal">
      <formula>0</formula>
    </cfRule>
  </conditionalFormatting>
  <conditionalFormatting sqref="AE231:AE232">
    <cfRule type="cellIs" dxfId="15976" priority="188" operator="equal">
      <formula>0</formula>
    </cfRule>
  </conditionalFormatting>
  <conditionalFormatting sqref="AF231:AG231">
    <cfRule type="cellIs" dxfId="15975" priority="189" operator="equal">
      <formula>0</formula>
    </cfRule>
  </conditionalFormatting>
  <conditionalFormatting sqref="AF232:AG232">
    <cfRule type="cellIs" dxfId="15974" priority="190" operator="equal">
      <formula>0</formula>
    </cfRule>
  </conditionalFormatting>
  <conditionalFormatting sqref="W245:Y245 V246:Y247 Z245:AA247 V241:AA244 AB241:AJ247 V236:AK236 V248:AJ248 V237:AA238 AK237:AK248 AH237:AJ238">
    <cfRule type="cellIs" dxfId="15973" priority="164" operator="equal">
      <formula>0</formula>
    </cfRule>
  </conditionalFormatting>
  <conditionalFormatting sqref="V245">
    <cfRule type="cellIs" dxfId="15972" priority="165" operator="equal">
      <formula>0</formula>
    </cfRule>
  </conditionalFormatting>
  <conditionalFormatting sqref="V236:AK236 V241:AJ248 V237:AA238 AK237:AK248 AH237:AJ238">
    <cfRule type="expression" dxfId="15971" priority="166">
      <formula>LEN(TRIM(V236))=0</formula>
    </cfRule>
  </conditionalFormatting>
  <conditionalFormatting sqref="V239:AJ240">
    <cfRule type="cellIs" dxfId="15970" priority="167" operator="equal">
      <formula>0</formula>
    </cfRule>
  </conditionalFormatting>
  <conditionalFormatting sqref="AH239:AH240">
    <cfRule type="cellIs" dxfId="15969" priority="168" operator="equal">
      <formula>0</formula>
    </cfRule>
  </conditionalFormatting>
  <conditionalFormatting sqref="V239:AJ240">
    <cfRule type="expression" dxfId="15968" priority="169">
      <formula>LEN(TRIM(V239))=0</formula>
    </cfRule>
  </conditionalFormatting>
  <conditionalFormatting sqref="AB237:AG238">
    <cfRule type="cellIs" dxfId="15967" priority="162" operator="equal">
      <formula>0</formula>
    </cfRule>
  </conditionalFormatting>
  <conditionalFormatting sqref="AB237:AG238">
    <cfRule type="expression" dxfId="15966" priority="163">
      <formula>LEN(TRIM(AB237))=0</formula>
    </cfRule>
  </conditionalFormatting>
  <conditionalFormatting sqref="V251:AJ256 AK250:AK255 AK257 V250:AA250 AH250:AJ250">
    <cfRule type="cellIs" dxfId="15965" priority="156" operator="equal">
      <formula>0</formula>
    </cfRule>
  </conditionalFormatting>
  <conditionalFormatting sqref="V257:AJ257">
    <cfRule type="cellIs" dxfId="15964" priority="157" operator="equal">
      <formula>0</formula>
    </cfRule>
  </conditionalFormatting>
  <conditionalFormatting sqref="V251:AK255 V257:AK257 V256:AJ256 V250:AA250 AH250:AK250">
    <cfRule type="expression" dxfId="15963" priority="158">
      <formula>LEN(TRIM(V250))=0</formula>
    </cfRule>
  </conditionalFormatting>
  <conditionalFormatting sqref="V257:AJ257">
    <cfRule type="cellIs" dxfId="15962" priority="159" operator="equal">
      <formula>0</formula>
    </cfRule>
  </conditionalFormatting>
  <conditionalFormatting sqref="V258:AJ258">
    <cfRule type="cellIs" dxfId="15961" priority="160" operator="equal">
      <formula>0</formula>
    </cfRule>
  </conditionalFormatting>
  <conditionalFormatting sqref="V258:AJ258">
    <cfRule type="expression" dxfId="15960" priority="161">
      <formula>LEN(TRIM(V258))=0</formula>
    </cfRule>
  </conditionalFormatting>
  <conditionalFormatting sqref="AK258">
    <cfRule type="cellIs" dxfId="15959" priority="154" operator="equal">
      <formula>0</formula>
    </cfRule>
  </conditionalFormatting>
  <conditionalFormatting sqref="AK258">
    <cfRule type="expression" dxfId="15958" priority="155">
      <formula>LEN(TRIM(AK258))=0</formula>
    </cfRule>
  </conditionalFormatting>
  <conditionalFormatting sqref="AK256">
    <cfRule type="cellIs" dxfId="15957" priority="152" operator="equal">
      <formula>0</formula>
    </cfRule>
  </conditionalFormatting>
  <conditionalFormatting sqref="AK256">
    <cfRule type="expression" dxfId="15956" priority="153">
      <formula>LEN(TRIM(AK256))=0</formula>
    </cfRule>
  </conditionalFormatting>
  <conditionalFormatting sqref="AB250:AG250">
    <cfRule type="cellIs" dxfId="15955" priority="150" operator="equal">
      <formula>0</formula>
    </cfRule>
  </conditionalFormatting>
  <conditionalFormatting sqref="AB250:AG250">
    <cfRule type="expression" dxfId="15954" priority="151">
      <formula>LEN(TRIM(AB250))=0</formula>
    </cfRule>
  </conditionalFormatting>
  <conditionalFormatting sqref="AH267:AK269 W267:AA269 AB267:AG268 AI264:AK266 Y264:Y266 V264:V269 V270:AK270">
    <cfRule type="cellIs" dxfId="15953" priority="129" operator="equal">
      <formula>0</formula>
    </cfRule>
  </conditionalFormatting>
  <conditionalFormatting sqref="AH264:AH269">
    <cfRule type="cellIs" dxfId="15952" priority="130" operator="equal">
      <formula>0</formula>
    </cfRule>
  </conditionalFormatting>
  <conditionalFormatting sqref="V264:W269 Z264:AA269">
    <cfRule type="cellIs" dxfId="15951" priority="131" operator="equal">
      <formula>0</formula>
    </cfRule>
  </conditionalFormatting>
  <conditionalFormatting sqref="X264:X269">
    <cfRule type="cellIs" dxfId="15950" priority="132" operator="equal">
      <formula>0</formula>
    </cfRule>
  </conditionalFormatting>
  <conditionalFormatting sqref="AB267:AB269">
    <cfRule type="cellIs" dxfId="15949" priority="133" operator="equal">
      <formula>0</formula>
    </cfRule>
  </conditionalFormatting>
  <conditionalFormatting sqref="AB264:AB269 AC264:AG264">
    <cfRule type="cellIs" dxfId="15948" priority="134" operator="equal">
      <formula>0</formula>
    </cfRule>
  </conditionalFormatting>
  <conditionalFormatting sqref="AC267:AC269">
    <cfRule type="cellIs" dxfId="15947" priority="135" operator="equal">
      <formula>0</formula>
    </cfRule>
  </conditionalFormatting>
  <conditionalFormatting sqref="AC264:AC269">
    <cfRule type="cellIs" dxfId="15946" priority="136" operator="equal">
      <formula>0</formula>
    </cfRule>
  </conditionalFormatting>
  <conditionalFormatting sqref="AD267:AD269">
    <cfRule type="cellIs" dxfId="15945" priority="137" operator="equal">
      <formula>0</formula>
    </cfRule>
  </conditionalFormatting>
  <conditionalFormatting sqref="AD264:AD269">
    <cfRule type="cellIs" dxfId="15944" priority="138" operator="equal">
      <formula>0</formula>
    </cfRule>
  </conditionalFormatting>
  <conditionalFormatting sqref="AE267:AE269">
    <cfRule type="cellIs" dxfId="15943" priority="139" operator="equal">
      <formula>0</formula>
    </cfRule>
  </conditionalFormatting>
  <conditionalFormatting sqref="AE264:AE269">
    <cfRule type="cellIs" dxfId="15942" priority="140" operator="equal">
      <formula>0</formula>
    </cfRule>
  </conditionalFormatting>
  <conditionalFormatting sqref="AF267:AF269">
    <cfRule type="cellIs" dxfId="15941" priority="141" operator="equal">
      <formula>0</formula>
    </cfRule>
  </conditionalFormatting>
  <conditionalFormatting sqref="AF264:AF269">
    <cfRule type="cellIs" dxfId="15940" priority="142" operator="equal">
      <formula>0</formula>
    </cfRule>
  </conditionalFormatting>
  <conditionalFormatting sqref="AG267:AG269">
    <cfRule type="cellIs" dxfId="15939" priority="143" operator="equal">
      <formula>0</formula>
    </cfRule>
  </conditionalFormatting>
  <conditionalFormatting sqref="AG264:AG269">
    <cfRule type="cellIs" dxfId="15938" priority="144" operator="equal">
      <formula>0</formula>
    </cfRule>
  </conditionalFormatting>
  <conditionalFormatting sqref="V264:AK270">
    <cfRule type="expression" dxfId="15937" priority="145">
      <formula>LEN(TRIM(V264))=0</formula>
    </cfRule>
  </conditionalFormatting>
  <conditionalFormatting sqref="AD267:AD268">
    <cfRule type="cellIs" dxfId="15936" priority="146" operator="equal">
      <formula>0</formula>
    </cfRule>
  </conditionalFormatting>
  <conditionalFormatting sqref="AE267:AE268">
    <cfRule type="cellIs" dxfId="15935" priority="147" operator="equal">
      <formula>0</formula>
    </cfRule>
  </conditionalFormatting>
  <conditionalFormatting sqref="AF267:AG267">
    <cfRule type="cellIs" dxfId="15934" priority="148" operator="equal">
      <formula>0</formula>
    </cfRule>
  </conditionalFormatting>
  <conditionalFormatting sqref="AF268:AG268">
    <cfRule type="cellIs" dxfId="15933" priority="149" operator="equal">
      <formula>0</formula>
    </cfRule>
  </conditionalFormatting>
  <conditionalFormatting sqref="W281:Y281 V282:Y283 Z281:AA283 V277:AA280 AB277:AJ283 V272:AK272 V284:AJ284 V273:AA274 AK273:AK284 AH273:AJ274">
    <cfRule type="cellIs" dxfId="15932" priority="123" operator="equal">
      <formula>0</formula>
    </cfRule>
  </conditionalFormatting>
  <conditionalFormatting sqref="V281">
    <cfRule type="cellIs" dxfId="15931" priority="124" operator="equal">
      <formula>0</formula>
    </cfRule>
  </conditionalFormatting>
  <conditionalFormatting sqref="V272:AK272 V277:AJ284 V273:AA274 AK273:AK284 AH273:AJ274">
    <cfRule type="expression" dxfId="15930" priority="125">
      <formula>LEN(TRIM(V272))=0</formula>
    </cfRule>
  </conditionalFormatting>
  <conditionalFormatting sqref="V275:AJ276">
    <cfRule type="cellIs" dxfId="15929" priority="126" operator="equal">
      <formula>0</formula>
    </cfRule>
  </conditionalFormatting>
  <conditionalFormatting sqref="AH275:AH276">
    <cfRule type="cellIs" dxfId="15928" priority="127" operator="equal">
      <formula>0</formula>
    </cfRule>
  </conditionalFormatting>
  <conditionalFormatting sqref="V275:AJ276">
    <cfRule type="expression" dxfId="15927" priority="128">
      <formula>LEN(TRIM(V275))=0</formula>
    </cfRule>
  </conditionalFormatting>
  <conditionalFormatting sqref="AB273:AG274">
    <cfRule type="cellIs" dxfId="15926" priority="121" operator="equal">
      <formula>0</formula>
    </cfRule>
  </conditionalFormatting>
  <conditionalFormatting sqref="AB273:AG274">
    <cfRule type="expression" dxfId="15925" priority="122">
      <formula>LEN(TRIM(AB273))=0</formula>
    </cfRule>
  </conditionalFormatting>
  <conditionalFormatting sqref="V287:AJ292 AK286:AK291 AK293 V286:AA286 AH286:AJ286">
    <cfRule type="cellIs" dxfId="15924" priority="115" operator="equal">
      <formula>0</formula>
    </cfRule>
  </conditionalFormatting>
  <conditionalFormatting sqref="V293:AJ293">
    <cfRule type="cellIs" dxfId="15923" priority="116" operator="equal">
      <formula>0</formula>
    </cfRule>
  </conditionalFormatting>
  <conditionalFormatting sqref="V287:AK291 V293:AK293 V292:AJ292 V286:AA286 AH286:AK286">
    <cfRule type="expression" dxfId="15922" priority="117">
      <formula>LEN(TRIM(V286))=0</formula>
    </cfRule>
  </conditionalFormatting>
  <conditionalFormatting sqref="V293:AJ293">
    <cfRule type="cellIs" dxfId="15921" priority="118" operator="equal">
      <formula>0</formula>
    </cfRule>
  </conditionalFormatting>
  <conditionalFormatting sqref="V294:AJ294">
    <cfRule type="cellIs" dxfId="15920" priority="119" operator="equal">
      <formula>0</formula>
    </cfRule>
  </conditionalFormatting>
  <conditionalFormatting sqref="V294:AJ294">
    <cfRule type="expression" dxfId="15919" priority="120">
      <formula>LEN(TRIM(V294))=0</formula>
    </cfRule>
  </conditionalFormatting>
  <conditionalFormatting sqref="AK294">
    <cfRule type="cellIs" dxfId="15918" priority="113" operator="equal">
      <formula>0</formula>
    </cfRule>
  </conditionalFormatting>
  <conditionalFormatting sqref="AK294">
    <cfRule type="expression" dxfId="15917" priority="114">
      <formula>LEN(TRIM(AK294))=0</formula>
    </cfRule>
  </conditionalFormatting>
  <conditionalFormatting sqref="AK292">
    <cfRule type="cellIs" dxfId="15916" priority="111" operator="equal">
      <formula>0</formula>
    </cfRule>
  </conditionalFormatting>
  <conditionalFormatting sqref="AK292">
    <cfRule type="expression" dxfId="15915" priority="112">
      <formula>LEN(TRIM(AK292))=0</formula>
    </cfRule>
  </conditionalFormatting>
  <conditionalFormatting sqref="AB286:AG286">
    <cfRule type="cellIs" dxfId="15914" priority="109" operator="equal">
      <formula>0</formula>
    </cfRule>
  </conditionalFormatting>
  <conditionalFormatting sqref="AB286:AG286">
    <cfRule type="expression" dxfId="15913" priority="110">
      <formula>LEN(TRIM(AB286))=0</formula>
    </cfRule>
  </conditionalFormatting>
  <conditionalFormatting sqref="J11">
    <cfRule type="cellIs" dxfId="15912" priority="96" operator="equal">
      <formula>0</formula>
    </cfRule>
  </conditionalFormatting>
  <conditionalFormatting sqref="K11">
    <cfRule type="cellIs" dxfId="15911" priority="95" operator="equal">
      <formula>0</formula>
    </cfRule>
  </conditionalFormatting>
  <conditionalFormatting sqref="L11">
    <cfRule type="cellIs" dxfId="15910" priority="94" operator="equal">
      <formula>0</formula>
    </cfRule>
  </conditionalFormatting>
  <conditionalFormatting sqref="M11">
    <cfRule type="cellIs" dxfId="15909" priority="93" operator="equal">
      <formula>0</formula>
    </cfRule>
  </conditionalFormatting>
  <conditionalFormatting sqref="N11">
    <cfRule type="cellIs" dxfId="15908" priority="92" operator="equal">
      <formula>0</formula>
    </cfRule>
  </conditionalFormatting>
  <conditionalFormatting sqref="O11">
    <cfRule type="cellIs" dxfId="15907" priority="91" operator="equal">
      <formula>0</formula>
    </cfRule>
  </conditionalFormatting>
  <conditionalFormatting sqref="AB11">
    <cfRule type="cellIs" dxfId="15906" priority="90" operator="equal">
      <formula>0</formula>
    </cfRule>
  </conditionalFormatting>
  <conditionalFormatting sqref="AC11">
    <cfRule type="cellIs" dxfId="15905" priority="89" operator="equal">
      <formula>0</formula>
    </cfRule>
  </conditionalFormatting>
  <conditionalFormatting sqref="AD11">
    <cfRule type="cellIs" dxfId="15904" priority="88" operator="equal">
      <formula>0</formula>
    </cfRule>
  </conditionalFormatting>
  <conditionalFormatting sqref="AE11">
    <cfRule type="cellIs" dxfId="15903" priority="87" operator="equal">
      <formula>0</formula>
    </cfRule>
  </conditionalFormatting>
  <conditionalFormatting sqref="AF11">
    <cfRule type="cellIs" dxfId="15902" priority="86" operator="equal">
      <formula>0</formula>
    </cfRule>
  </conditionalFormatting>
  <conditionalFormatting sqref="AG11">
    <cfRule type="cellIs" dxfId="15901" priority="85" operator="equal">
      <formula>0</formula>
    </cfRule>
  </conditionalFormatting>
  <conditionalFormatting sqref="J47">
    <cfRule type="cellIs" dxfId="15900" priority="84" operator="equal">
      <formula>0</formula>
    </cfRule>
  </conditionalFormatting>
  <conditionalFormatting sqref="K47">
    <cfRule type="cellIs" dxfId="15899" priority="83" operator="equal">
      <formula>0</formula>
    </cfRule>
  </conditionalFormatting>
  <conditionalFormatting sqref="L47">
    <cfRule type="cellIs" dxfId="15898" priority="82" operator="equal">
      <formula>0</formula>
    </cfRule>
  </conditionalFormatting>
  <conditionalFormatting sqref="M47">
    <cfRule type="cellIs" dxfId="15897" priority="81" operator="equal">
      <formula>0</formula>
    </cfRule>
  </conditionalFormatting>
  <conditionalFormatting sqref="N47">
    <cfRule type="cellIs" dxfId="15896" priority="80" operator="equal">
      <formula>0</formula>
    </cfRule>
  </conditionalFormatting>
  <conditionalFormatting sqref="O47">
    <cfRule type="cellIs" dxfId="15895" priority="79" operator="equal">
      <formula>0</formula>
    </cfRule>
  </conditionalFormatting>
  <conditionalFormatting sqref="AB47">
    <cfRule type="cellIs" dxfId="15894" priority="78" operator="equal">
      <formula>0</formula>
    </cfRule>
  </conditionalFormatting>
  <conditionalFormatting sqref="AC47">
    <cfRule type="cellIs" dxfId="15893" priority="77" operator="equal">
      <formula>0</formula>
    </cfRule>
  </conditionalFormatting>
  <conditionalFormatting sqref="AD47">
    <cfRule type="cellIs" dxfId="15892" priority="76" operator="equal">
      <formula>0</formula>
    </cfRule>
  </conditionalFormatting>
  <conditionalFormatting sqref="AE47">
    <cfRule type="cellIs" dxfId="15891" priority="75" operator="equal">
      <formula>0</formula>
    </cfRule>
  </conditionalFormatting>
  <conditionalFormatting sqref="AF47">
    <cfRule type="cellIs" dxfId="15890" priority="74" operator="equal">
      <formula>0</formula>
    </cfRule>
  </conditionalFormatting>
  <conditionalFormatting sqref="AG47">
    <cfRule type="cellIs" dxfId="15889" priority="73" operator="equal">
      <formula>0</formula>
    </cfRule>
  </conditionalFormatting>
  <conditionalFormatting sqref="J83">
    <cfRule type="cellIs" dxfId="15888" priority="72" operator="equal">
      <formula>0</formula>
    </cfRule>
  </conditionalFormatting>
  <conditionalFormatting sqref="K83">
    <cfRule type="cellIs" dxfId="15887" priority="71" operator="equal">
      <formula>0</formula>
    </cfRule>
  </conditionalFormatting>
  <conditionalFormatting sqref="L83">
    <cfRule type="cellIs" dxfId="15886" priority="70" operator="equal">
      <formula>0</formula>
    </cfRule>
  </conditionalFormatting>
  <conditionalFormatting sqref="M83">
    <cfRule type="cellIs" dxfId="15885" priority="69" operator="equal">
      <formula>0</formula>
    </cfRule>
  </conditionalFormatting>
  <conditionalFormatting sqref="N83">
    <cfRule type="cellIs" dxfId="15884" priority="68" operator="equal">
      <formula>0</formula>
    </cfRule>
  </conditionalFormatting>
  <conditionalFormatting sqref="O83">
    <cfRule type="cellIs" dxfId="15883" priority="67" operator="equal">
      <formula>0</formula>
    </cfRule>
  </conditionalFormatting>
  <conditionalFormatting sqref="AB83">
    <cfRule type="cellIs" dxfId="15882" priority="66" operator="equal">
      <formula>0</formula>
    </cfRule>
  </conditionalFormatting>
  <conditionalFormatting sqref="AC83">
    <cfRule type="cellIs" dxfId="15881" priority="65" operator="equal">
      <formula>0</formula>
    </cfRule>
  </conditionalFormatting>
  <conditionalFormatting sqref="AD83">
    <cfRule type="cellIs" dxfId="15880" priority="64" operator="equal">
      <formula>0</formula>
    </cfRule>
  </conditionalFormatting>
  <conditionalFormatting sqref="AE83">
    <cfRule type="cellIs" dxfId="15879" priority="63" operator="equal">
      <formula>0</formula>
    </cfRule>
  </conditionalFormatting>
  <conditionalFormatting sqref="AF83">
    <cfRule type="cellIs" dxfId="15878" priority="62" operator="equal">
      <formula>0</formula>
    </cfRule>
  </conditionalFormatting>
  <conditionalFormatting sqref="AG83">
    <cfRule type="cellIs" dxfId="15877" priority="61" operator="equal">
      <formula>0</formula>
    </cfRule>
  </conditionalFormatting>
  <conditionalFormatting sqref="J119">
    <cfRule type="cellIs" dxfId="15876" priority="60" operator="equal">
      <formula>0</formula>
    </cfRule>
  </conditionalFormatting>
  <conditionalFormatting sqref="K119">
    <cfRule type="cellIs" dxfId="15875" priority="59" operator="equal">
      <formula>0</formula>
    </cfRule>
  </conditionalFormatting>
  <conditionalFormatting sqref="L119">
    <cfRule type="cellIs" dxfId="15874" priority="58" operator="equal">
      <formula>0</formula>
    </cfRule>
  </conditionalFormatting>
  <conditionalFormatting sqref="M119">
    <cfRule type="cellIs" dxfId="15873" priority="57" operator="equal">
      <formula>0</formula>
    </cfRule>
  </conditionalFormatting>
  <conditionalFormatting sqref="N119">
    <cfRule type="cellIs" dxfId="15872" priority="56" operator="equal">
      <formula>0</formula>
    </cfRule>
  </conditionalFormatting>
  <conditionalFormatting sqref="O119">
    <cfRule type="cellIs" dxfId="15871" priority="55" operator="equal">
      <formula>0</formula>
    </cfRule>
  </conditionalFormatting>
  <conditionalFormatting sqref="AB119">
    <cfRule type="cellIs" dxfId="15870" priority="54" operator="equal">
      <formula>0</formula>
    </cfRule>
  </conditionalFormatting>
  <conditionalFormatting sqref="AC119">
    <cfRule type="cellIs" dxfId="15869" priority="53" operator="equal">
      <formula>0</formula>
    </cfRule>
  </conditionalFormatting>
  <conditionalFormatting sqref="AD119">
    <cfRule type="cellIs" dxfId="15868" priority="52" operator="equal">
      <formula>0</formula>
    </cfRule>
  </conditionalFormatting>
  <conditionalFormatting sqref="AE119">
    <cfRule type="cellIs" dxfId="15867" priority="51" operator="equal">
      <formula>0</formula>
    </cfRule>
  </conditionalFormatting>
  <conditionalFormatting sqref="AF119">
    <cfRule type="cellIs" dxfId="15866" priority="50" operator="equal">
      <formula>0</formula>
    </cfRule>
  </conditionalFormatting>
  <conditionalFormatting sqref="AG119">
    <cfRule type="cellIs" dxfId="15865" priority="49" operator="equal">
      <formula>0</formula>
    </cfRule>
  </conditionalFormatting>
  <conditionalFormatting sqref="J155">
    <cfRule type="cellIs" dxfId="15864" priority="48" operator="equal">
      <formula>0</formula>
    </cfRule>
  </conditionalFormatting>
  <conditionalFormatting sqref="K155">
    <cfRule type="cellIs" dxfId="15863" priority="47" operator="equal">
      <formula>0</formula>
    </cfRule>
  </conditionalFormatting>
  <conditionalFormatting sqref="L155">
    <cfRule type="cellIs" dxfId="15862" priority="46" operator="equal">
      <formula>0</formula>
    </cfRule>
  </conditionalFormatting>
  <conditionalFormatting sqref="M155">
    <cfRule type="cellIs" dxfId="15861" priority="45" operator="equal">
      <formula>0</formula>
    </cfRule>
  </conditionalFormatting>
  <conditionalFormatting sqref="N155">
    <cfRule type="cellIs" dxfId="15860" priority="44" operator="equal">
      <formula>0</formula>
    </cfRule>
  </conditionalFormatting>
  <conditionalFormatting sqref="O155">
    <cfRule type="cellIs" dxfId="15859" priority="43" operator="equal">
      <formula>0</formula>
    </cfRule>
  </conditionalFormatting>
  <conditionalFormatting sqref="AB155">
    <cfRule type="cellIs" dxfId="15858" priority="42" operator="equal">
      <formula>0</formula>
    </cfRule>
  </conditionalFormatting>
  <conditionalFormatting sqref="AC155">
    <cfRule type="cellIs" dxfId="15857" priority="41" operator="equal">
      <formula>0</formula>
    </cfRule>
  </conditionalFormatting>
  <conditionalFormatting sqref="AD155">
    <cfRule type="cellIs" dxfId="15856" priority="40" operator="equal">
      <formula>0</formula>
    </cfRule>
  </conditionalFormatting>
  <conditionalFormatting sqref="AE155">
    <cfRule type="cellIs" dxfId="15855" priority="39" operator="equal">
      <formula>0</formula>
    </cfRule>
  </conditionalFormatting>
  <conditionalFormatting sqref="AF155">
    <cfRule type="cellIs" dxfId="15854" priority="38" operator="equal">
      <formula>0</formula>
    </cfRule>
  </conditionalFormatting>
  <conditionalFormatting sqref="AG155">
    <cfRule type="cellIs" dxfId="15853" priority="37" operator="equal">
      <formula>0</formula>
    </cfRule>
  </conditionalFormatting>
  <conditionalFormatting sqref="J191">
    <cfRule type="cellIs" dxfId="15852" priority="36" operator="equal">
      <formula>0</formula>
    </cfRule>
  </conditionalFormatting>
  <conditionalFormatting sqref="K191">
    <cfRule type="cellIs" dxfId="15851" priority="35" operator="equal">
      <formula>0</formula>
    </cfRule>
  </conditionalFormatting>
  <conditionalFormatting sqref="L191">
    <cfRule type="cellIs" dxfId="15850" priority="34" operator="equal">
      <formula>0</formula>
    </cfRule>
  </conditionalFormatting>
  <conditionalFormatting sqref="M191">
    <cfRule type="cellIs" dxfId="15849" priority="33" operator="equal">
      <formula>0</formula>
    </cfRule>
  </conditionalFormatting>
  <conditionalFormatting sqref="N191">
    <cfRule type="cellIs" dxfId="15848" priority="32" operator="equal">
      <formula>0</formula>
    </cfRule>
  </conditionalFormatting>
  <conditionalFormatting sqref="O191">
    <cfRule type="cellIs" dxfId="15847" priority="31" operator="equal">
      <formula>0</formula>
    </cfRule>
  </conditionalFormatting>
  <conditionalFormatting sqref="AB191">
    <cfRule type="cellIs" dxfId="15846" priority="30" operator="equal">
      <formula>0</formula>
    </cfRule>
  </conditionalFormatting>
  <conditionalFormatting sqref="AC191">
    <cfRule type="cellIs" dxfId="15845" priority="29" operator="equal">
      <formula>0</formula>
    </cfRule>
  </conditionalFormatting>
  <conditionalFormatting sqref="AD191">
    <cfRule type="cellIs" dxfId="15844" priority="28" operator="equal">
      <formula>0</formula>
    </cfRule>
  </conditionalFormatting>
  <conditionalFormatting sqref="AE191">
    <cfRule type="cellIs" dxfId="15843" priority="27" operator="equal">
      <formula>0</formula>
    </cfRule>
  </conditionalFormatting>
  <conditionalFormatting sqref="AF191">
    <cfRule type="cellIs" dxfId="15842" priority="26" operator="equal">
      <formula>0</formula>
    </cfRule>
  </conditionalFormatting>
  <conditionalFormatting sqref="AG191">
    <cfRule type="cellIs" dxfId="15841" priority="25" operator="equal">
      <formula>0</formula>
    </cfRule>
  </conditionalFormatting>
  <conditionalFormatting sqref="J227">
    <cfRule type="cellIs" dxfId="15840" priority="24" operator="equal">
      <formula>0</formula>
    </cfRule>
  </conditionalFormatting>
  <conditionalFormatting sqref="K227">
    <cfRule type="cellIs" dxfId="15839" priority="23" operator="equal">
      <formula>0</formula>
    </cfRule>
  </conditionalFormatting>
  <conditionalFormatting sqref="L227">
    <cfRule type="cellIs" dxfId="15838" priority="22" operator="equal">
      <formula>0</formula>
    </cfRule>
  </conditionalFormatting>
  <conditionalFormatting sqref="M227">
    <cfRule type="cellIs" dxfId="15837" priority="21" operator="equal">
      <formula>0</formula>
    </cfRule>
  </conditionalFormatting>
  <conditionalFormatting sqref="N227">
    <cfRule type="cellIs" dxfId="15836" priority="20" operator="equal">
      <formula>0</formula>
    </cfRule>
  </conditionalFormatting>
  <conditionalFormatting sqref="O227">
    <cfRule type="cellIs" dxfId="15835" priority="19" operator="equal">
      <formula>0</formula>
    </cfRule>
  </conditionalFormatting>
  <conditionalFormatting sqref="AB227">
    <cfRule type="cellIs" dxfId="15834" priority="18" operator="equal">
      <formula>0</formula>
    </cfRule>
  </conditionalFormatting>
  <conditionalFormatting sqref="AC227">
    <cfRule type="cellIs" dxfId="15833" priority="17" operator="equal">
      <formula>0</formula>
    </cfRule>
  </conditionalFormatting>
  <conditionalFormatting sqref="AD227">
    <cfRule type="cellIs" dxfId="15832" priority="16" operator="equal">
      <formula>0</formula>
    </cfRule>
  </conditionalFormatting>
  <conditionalFormatting sqref="AE227">
    <cfRule type="cellIs" dxfId="15831" priority="15" operator="equal">
      <formula>0</formula>
    </cfRule>
  </conditionalFormatting>
  <conditionalFormatting sqref="AF227">
    <cfRule type="cellIs" dxfId="15830" priority="14" operator="equal">
      <formula>0</formula>
    </cfRule>
  </conditionalFormatting>
  <conditionalFormatting sqref="AG227">
    <cfRule type="cellIs" dxfId="15829" priority="13" operator="equal">
      <formula>0</formula>
    </cfRule>
  </conditionalFormatting>
  <conditionalFormatting sqref="J263">
    <cfRule type="cellIs" dxfId="15828" priority="12" operator="equal">
      <formula>0</formula>
    </cfRule>
  </conditionalFormatting>
  <conditionalFormatting sqref="K263">
    <cfRule type="cellIs" dxfId="15827" priority="11" operator="equal">
      <formula>0</formula>
    </cfRule>
  </conditionalFormatting>
  <conditionalFormatting sqref="L263">
    <cfRule type="cellIs" dxfId="15826" priority="10" operator="equal">
      <formula>0</formula>
    </cfRule>
  </conditionalFormatting>
  <conditionalFormatting sqref="M263">
    <cfRule type="cellIs" dxfId="15825" priority="9" operator="equal">
      <formula>0</formula>
    </cfRule>
  </conditionalFormatting>
  <conditionalFormatting sqref="N263">
    <cfRule type="cellIs" dxfId="15824" priority="8" operator="equal">
      <formula>0</formula>
    </cfRule>
  </conditionalFormatting>
  <conditionalFormatting sqref="O263">
    <cfRule type="cellIs" dxfId="15823" priority="7" operator="equal">
      <formula>0</formula>
    </cfRule>
  </conditionalFormatting>
  <conditionalFormatting sqref="AB263">
    <cfRule type="cellIs" dxfId="15822" priority="6" operator="equal">
      <formula>0</formula>
    </cfRule>
  </conditionalFormatting>
  <conditionalFormatting sqref="AC263">
    <cfRule type="cellIs" dxfId="15821" priority="5" operator="equal">
      <formula>0</formula>
    </cfRule>
  </conditionalFormatting>
  <conditionalFormatting sqref="AD263">
    <cfRule type="cellIs" dxfId="15820" priority="4" operator="equal">
      <formula>0</formula>
    </cfRule>
  </conditionalFormatting>
  <conditionalFormatting sqref="AE263">
    <cfRule type="cellIs" dxfId="15819" priority="3" operator="equal">
      <formula>0</formula>
    </cfRule>
  </conditionalFormatting>
  <conditionalFormatting sqref="AF263">
    <cfRule type="cellIs" dxfId="15818"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DFD2E-B0D8-43A3-B863-835DE34640C5}">
  <dimension ref="C2:AK260"/>
  <sheetViews>
    <sheetView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360</v>
      </c>
      <c r="D8" s="699"/>
      <c r="E8" s="699"/>
      <c r="F8" s="699"/>
      <c r="G8" s="699"/>
      <c r="H8" s="699"/>
      <c r="I8" s="699"/>
      <c r="J8" s="699"/>
      <c r="K8" s="699"/>
      <c r="L8" s="699"/>
      <c r="M8" s="699"/>
      <c r="N8" s="699"/>
      <c r="O8" s="699"/>
      <c r="P8" s="699"/>
      <c r="Q8" s="699"/>
      <c r="R8" s="699"/>
      <c r="S8" s="699"/>
      <c r="U8" s="699" t="s">
        <v>360</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7.3966799999999999</v>
      </c>
      <c r="F12" s="643">
        <v>0</v>
      </c>
      <c r="G12" s="642">
        <v>0.13025600000000001</v>
      </c>
      <c r="H12" s="643">
        <v>1121.3636363636365</v>
      </c>
      <c r="I12" s="643">
        <v>207.57369132422022</v>
      </c>
      <c r="J12" s="643">
        <v>190.75115787672021</v>
      </c>
      <c r="K12" s="643">
        <v>21.756321957796004</v>
      </c>
      <c r="L12" s="643">
        <v>0.34997737871272444</v>
      </c>
      <c r="M12" s="643">
        <v>0.14846473955328648</v>
      </c>
      <c r="N12" s="643">
        <v>54.409714472774652</v>
      </c>
      <c r="O12" s="643">
        <v>8.1015620286034657</v>
      </c>
      <c r="P12" s="644">
        <v>0</v>
      </c>
      <c r="Q12" s="643">
        <v>0</v>
      </c>
      <c r="R12" s="643">
        <v>0</v>
      </c>
      <c r="S12" s="645">
        <v>1611.9814621420169</v>
      </c>
      <c r="U12" s="641" t="s">
        <v>59</v>
      </c>
      <c r="V12" s="642">
        <v>0</v>
      </c>
      <c r="W12" s="643">
        <v>7.3966799999999999</v>
      </c>
      <c r="X12" s="643">
        <v>0</v>
      </c>
      <c r="Y12" s="642">
        <v>0.13025600000000001</v>
      </c>
      <c r="Z12" s="643">
        <v>1024.3939393939395</v>
      </c>
      <c r="AA12" s="643">
        <v>228.1236913242202</v>
      </c>
      <c r="AB12" s="643">
        <v>188.80425896422437</v>
      </c>
      <c r="AC12" s="643">
        <v>37.588366510920622</v>
      </c>
      <c r="AD12" s="643">
        <v>0.34997737871272444</v>
      </c>
      <c r="AE12" s="643">
        <v>0.14846473955328648</v>
      </c>
      <c r="AF12" s="643">
        <v>70.498567758341522</v>
      </c>
      <c r="AG12" s="643">
        <v>15.201618538088493</v>
      </c>
      <c r="AH12" s="644">
        <v>0</v>
      </c>
      <c r="AI12" s="643">
        <v>0</v>
      </c>
      <c r="AJ12" s="643">
        <v>0</v>
      </c>
      <c r="AK12" s="645">
        <v>1572.6358206080006</v>
      </c>
    </row>
    <row r="13" spans="3:37" ht="13.5">
      <c r="C13" s="641" t="s">
        <v>60</v>
      </c>
      <c r="D13" s="642">
        <v>48.993463204278932</v>
      </c>
      <c r="E13" s="643">
        <v>524.37115290345116</v>
      </c>
      <c r="F13" s="643">
        <v>128.47715148642752</v>
      </c>
      <c r="G13" s="642">
        <v>338.60190682175607</v>
      </c>
      <c r="H13" s="643">
        <v>0</v>
      </c>
      <c r="I13" s="643">
        <v>0</v>
      </c>
      <c r="J13" s="643">
        <v>3.4492102766833175</v>
      </c>
      <c r="K13" s="643">
        <v>0</v>
      </c>
      <c r="L13" s="643">
        <v>1.9497058389942057</v>
      </c>
      <c r="M13" s="643">
        <v>0</v>
      </c>
      <c r="N13" s="643">
        <v>0</v>
      </c>
      <c r="O13" s="643">
        <v>0</v>
      </c>
      <c r="P13" s="644">
        <v>0</v>
      </c>
      <c r="Q13" s="643">
        <v>0</v>
      </c>
      <c r="R13" s="643">
        <v>0</v>
      </c>
      <c r="S13" s="645">
        <v>1045.8425905315912</v>
      </c>
      <c r="U13" s="641" t="s">
        <v>60</v>
      </c>
      <c r="V13" s="642">
        <v>10.847134235204434</v>
      </c>
      <c r="W13" s="643">
        <v>365.76498082844296</v>
      </c>
      <c r="X13" s="643">
        <v>91.958139733680838</v>
      </c>
      <c r="Y13" s="642">
        <v>234.76100914366791</v>
      </c>
      <c r="Z13" s="643">
        <v>0</v>
      </c>
      <c r="AA13" s="643">
        <v>0</v>
      </c>
      <c r="AB13" s="643">
        <v>3.4492102766833175</v>
      </c>
      <c r="AC13" s="643">
        <v>0</v>
      </c>
      <c r="AD13" s="643">
        <v>1.9497058389942057</v>
      </c>
      <c r="AE13" s="643">
        <v>0</v>
      </c>
      <c r="AF13" s="643">
        <v>0</v>
      </c>
      <c r="AG13" s="643">
        <v>0</v>
      </c>
      <c r="AH13" s="644">
        <v>0</v>
      </c>
      <c r="AI13" s="643">
        <v>0</v>
      </c>
      <c r="AJ13" s="643">
        <v>0</v>
      </c>
      <c r="AK13" s="645">
        <v>708.7301800566737</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-60.003896317889257</v>
      </c>
      <c r="Q14" s="643">
        <v>0</v>
      </c>
      <c r="R14" s="643">
        <v>0</v>
      </c>
      <c r="S14" s="645">
        <v>-60.003896317889257</v>
      </c>
      <c r="U14" s="641" t="s">
        <v>61</v>
      </c>
      <c r="V14" s="642">
        <v>0</v>
      </c>
      <c r="W14" s="643">
        <v>0</v>
      </c>
      <c r="X14" s="643">
        <v>0</v>
      </c>
      <c r="Y14" s="642">
        <v>0</v>
      </c>
      <c r="Z14" s="643">
        <v>0</v>
      </c>
      <c r="AA14" s="643">
        <v>0</v>
      </c>
      <c r="AB14" s="643">
        <v>0</v>
      </c>
      <c r="AC14" s="643">
        <v>0</v>
      </c>
      <c r="AD14" s="643">
        <v>0</v>
      </c>
      <c r="AE14" s="643">
        <v>0</v>
      </c>
      <c r="AF14" s="643">
        <v>0</v>
      </c>
      <c r="AG14" s="643">
        <v>0</v>
      </c>
      <c r="AH14" s="644">
        <v>-43.289743938015249</v>
      </c>
      <c r="AI14" s="643">
        <v>0</v>
      </c>
      <c r="AJ14" s="643">
        <v>0</v>
      </c>
      <c r="AK14" s="645">
        <v>-43.289743938015249</v>
      </c>
    </row>
    <row r="15" spans="3:37" ht="13.5">
      <c r="C15" s="641" t="s">
        <v>62</v>
      </c>
      <c r="D15" s="642">
        <v>0</v>
      </c>
      <c r="E15" s="643">
        <v>0</v>
      </c>
      <c r="F15" s="643">
        <v>-16.352432750095883</v>
      </c>
      <c r="G15" s="642">
        <v>0</v>
      </c>
      <c r="H15" s="643">
        <v>0</v>
      </c>
      <c r="I15" s="643">
        <v>0</v>
      </c>
      <c r="J15" s="643">
        <v>0</v>
      </c>
      <c r="K15" s="643">
        <v>0</v>
      </c>
      <c r="L15" s="643">
        <v>0</v>
      </c>
      <c r="M15" s="643">
        <v>0</v>
      </c>
      <c r="N15" s="643">
        <v>0</v>
      </c>
      <c r="O15" s="643">
        <v>0</v>
      </c>
      <c r="P15" s="644">
        <v>0</v>
      </c>
      <c r="Q15" s="643">
        <v>0</v>
      </c>
      <c r="R15" s="643">
        <v>0</v>
      </c>
      <c r="S15" s="645">
        <v>-16.352432750095883</v>
      </c>
      <c r="U15" s="641" t="s">
        <v>62</v>
      </c>
      <c r="V15" s="642">
        <v>0</v>
      </c>
      <c r="W15" s="643">
        <v>0</v>
      </c>
      <c r="X15" s="643">
        <v>-14.208433022133823</v>
      </c>
      <c r="Y15" s="642">
        <v>-0.95675088928507923</v>
      </c>
      <c r="Z15" s="643">
        <v>0</v>
      </c>
      <c r="AA15" s="643">
        <v>0</v>
      </c>
      <c r="AB15" s="643">
        <v>0</v>
      </c>
      <c r="AC15" s="643">
        <v>0</v>
      </c>
      <c r="AD15" s="643">
        <v>0</v>
      </c>
      <c r="AE15" s="643">
        <v>-0.16736955973660289</v>
      </c>
      <c r="AF15" s="643">
        <v>0</v>
      </c>
      <c r="AG15" s="643">
        <v>0</v>
      </c>
      <c r="AH15" s="644">
        <v>0</v>
      </c>
      <c r="AI15" s="643">
        <v>0</v>
      </c>
      <c r="AJ15" s="643">
        <v>0</v>
      </c>
      <c r="AK15" s="645">
        <v>-15.332553471155505</v>
      </c>
    </row>
    <row r="16" spans="3:37" ht="13.5">
      <c r="C16" s="641" t="s">
        <v>63</v>
      </c>
      <c r="D16" s="642">
        <v>0</v>
      </c>
      <c r="E16" s="643">
        <v>0</v>
      </c>
      <c r="F16" s="643">
        <v>-82.364123594751035</v>
      </c>
      <c r="G16" s="642">
        <v>0</v>
      </c>
      <c r="H16" s="643">
        <v>0</v>
      </c>
      <c r="I16" s="643">
        <v>0</v>
      </c>
      <c r="J16" s="643">
        <v>0</v>
      </c>
      <c r="K16" s="643">
        <v>0</v>
      </c>
      <c r="L16" s="643">
        <v>-0.84952974503182688</v>
      </c>
      <c r="M16" s="643">
        <v>0</v>
      </c>
      <c r="N16" s="643">
        <v>0</v>
      </c>
      <c r="O16" s="643">
        <v>0</v>
      </c>
      <c r="P16" s="644">
        <v>0</v>
      </c>
      <c r="Q16" s="643">
        <v>0</v>
      </c>
      <c r="R16" s="643">
        <v>0</v>
      </c>
      <c r="S16" s="645">
        <v>-83.213653339782866</v>
      </c>
      <c r="U16" s="641" t="s">
        <v>63</v>
      </c>
      <c r="V16" s="642">
        <v>0</v>
      </c>
      <c r="W16" s="643">
        <v>0</v>
      </c>
      <c r="X16" s="643">
        <v>-71.599112277853877</v>
      </c>
      <c r="Y16" s="642">
        <v>0</v>
      </c>
      <c r="Z16" s="643">
        <v>0</v>
      </c>
      <c r="AA16" s="643">
        <v>0</v>
      </c>
      <c r="AB16" s="643">
        <v>0</v>
      </c>
      <c r="AC16" s="643">
        <v>0</v>
      </c>
      <c r="AD16" s="643">
        <v>-10.622786066784549</v>
      </c>
      <c r="AE16" s="643">
        <v>0</v>
      </c>
      <c r="AF16" s="643">
        <v>0</v>
      </c>
      <c r="AG16" s="643">
        <v>0</v>
      </c>
      <c r="AH16" s="644">
        <v>0</v>
      </c>
      <c r="AI16" s="643">
        <v>0</v>
      </c>
      <c r="AJ16" s="643">
        <v>0</v>
      </c>
      <c r="AK16" s="645">
        <v>-82.221898344638419</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48.993463204278932</v>
      </c>
      <c r="E18" s="647">
        <v>531.76783290345111</v>
      </c>
      <c r="F18" s="647">
        <v>29.760595141580591</v>
      </c>
      <c r="G18" s="647">
        <v>338.73216282175605</v>
      </c>
      <c r="H18" s="647">
        <v>1121.3636363636365</v>
      </c>
      <c r="I18" s="647">
        <v>207.57369132422022</v>
      </c>
      <c r="J18" s="647">
        <v>194.20036815340353</v>
      </c>
      <c r="K18" s="647">
        <v>21.756321957796004</v>
      </c>
      <c r="L18" s="647">
        <v>1.4501534726751033</v>
      </c>
      <c r="M18" s="647">
        <v>0.14846473955328648</v>
      </c>
      <c r="N18" s="647">
        <v>54.409714472774652</v>
      </c>
      <c r="O18" s="647">
        <v>8.1015620286034657</v>
      </c>
      <c r="P18" s="647">
        <v>-60.003896317889257</v>
      </c>
      <c r="Q18" s="647">
        <v>0</v>
      </c>
      <c r="R18" s="647">
        <v>0</v>
      </c>
      <c r="S18" s="647">
        <v>2498.2540702658398</v>
      </c>
      <c r="U18" s="646" t="s">
        <v>65</v>
      </c>
      <c r="V18" s="647">
        <v>10.847134235204434</v>
      </c>
      <c r="W18" s="647">
        <v>373.16166082844296</v>
      </c>
      <c r="X18" s="647">
        <v>6.1505944336931329</v>
      </c>
      <c r="Y18" s="647">
        <v>233.93451425438283</v>
      </c>
      <c r="Z18" s="647">
        <v>1024.3939393939395</v>
      </c>
      <c r="AA18" s="647">
        <v>228.1236913242202</v>
      </c>
      <c r="AB18" s="647">
        <v>192.25346924090769</v>
      </c>
      <c r="AC18" s="647">
        <v>37.588366510920622</v>
      </c>
      <c r="AD18" s="647">
        <v>-8.3231028490776193</v>
      </c>
      <c r="AE18" s="647">
        <v>-1.8904820183316406E-2</v>
      </c>
      <c r="AF18" s="647">
        <v>70.498567758341522</v>
      </c>
      <c r="AG18" s="647">
        <v>15.201618538088493</v>
      </c>
      <c r="AH18" s="647">
        <v>-43.289743938015249</v>
      </c>
      <c r="AI18" s="647">
        <v>0</v>
      </c>
      <c r="AJ18" s="647">
        <v>0</v>
      </c>
      <c r="AK18" s="647">
        <v>2140.5218049108653</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7.7941116668718937</v>
      </c>
      <c r="G21" s="642">
        <v>17.578475336322871</v>
      </c>
      <c r="H21" s="642">
        <v>1121.3636363636365</v>
      </c>
      <c r="I21" s="642">
        <v>207.57369132422022</v>
      </c>
      <c r="J21" s="651">
        <v>30.869450548245954</v>
      </c>
      <c r="K21" s="651">
        <v>7.6561165469613854</v>
      </c>
      <c r="L21" s="651">
        <v>2.2996832177069302</v>
      </c>
      <c r="M21" s="651">
        <v>0.47494016865067573</v>
      </c>
      <c r="N21" s="651">
        <v>0</v>
      </c>
      <c r="O21" s="651">
        <v>3.0833964576427819</v>
      </c>
      <c r="P21" s="642">
        <v>-607.79183020434141</v>
      </c>
      <c r="Q21" s="642">
        <v>0</v>
      </c>
      <c r="R21" s="642">
        <v>0</v>
      </c>
      <c r="S21" s="650">
        <v>793.72845706694284</v>
      </c>
      <c r="U21" s="648" t="s">
        <v>350</v>
      </c>
      <c r="V21" s="642">
        <v>0.62631490545869017</v>
      </c>
      <c r="W21" s="642">
        <v>0</v>
      </c>
      <c r="X21" s="642">
        <v>3.93047530323553</v>
      </c>
      <c r="Y21" s="642">
        <v>32.755695067264575</v>
      </c>
      <c r="Z21" s="642">
        <v>1024.3939393939395</v>
      </c>
      <c r="AA21" s="642">
        <v>228.1236913242202</v>
      </c>
      <c r="AB21" s="651">
        <v>25.192532039575013</v>
      </c>
      <c r="AC21" s="651">
        <v>7.1226809684101786</v>
      </c>
      <c r="AD21" s="651">
        <v>2.2996832177069302</v>
      </c>
      <c r="AE21" s="651">
        <v>5.010724922013905</v>
      </c>
      <c r="AF21" s="651">
        <v>0</v>
      </c>
      <c r="AG21" s="651">
        <v>3.0833964576427819</v>
      </c>
      <c r="AH21" s="642">
        <v>-605.04183020434141</v>
      </c>
      <c r="AI21" s="642">
        <v>0</v>
      </c>
      <c r="AJ21" s="642">
        <v>1.4249999999999998</v>
      </c>
      <c r="AK21" s="650">
        <v>728.92230339512548</v>
      </c>
    </row>
    <row r="22" spans="3:37" ht="13.5">
      <c r="C22" s="648" t="s">
        <v>351</v>
      </c>
      <c r="D22" s="642">
        <v>0</v>
      </c>
      <c r="E22" s="642">
        <v>0</v>
      </c>
      <c r="F22" s="642">
        <v>0</v>
      </c>
      <c r="G22" s="642">
        <v>15.306890454029709</v>
      </c>
      <c r="H22" s="642">
        <v>0</v>
      </c>
      <c r="I22" s="642">
        <v>0</v>
      </c>
      <c r="J22" s="651">
        <v>13.130836985616687</v>
      </c>
      <c r="K22" s="651">
        <v>12.274327089138302</v>
      </c>
      <c r="L22" s="651">
        <v>0</v>
      </c>
      <c r="M22" s="651">
        <v>0.32594257421966627</v>
      </c>
      <c r="N22" s="651">
        <v>0</v>
      </c>
      <c r="O22" s="651">
        <v>2.1777173090422202</v>
      </c>
      <c r="P22" s="642">
        <v>0</v>
      </c>
      <c r="Q22" s="642">
        <v>-38.962978394907431</v>
      </c>
      <c r="R22" s="642">
        <v>0</v>
      </c>
      <c r="S22" s="650">
        <v>4.2527360171391511</v>
      </c>
      <c r="U22" s="648" t="s">
        <v>351</v>
      </c>
      <c r="V22" s="642">
        <v>0</v>
      </c>
      <c r="W22" s="642">
        <v>0</v>
      </c>
      <c r="X22" s="642">
        <v>0</v>
      </c>
      <c r="Y22" s="642">
        <v>16.285163933286896</v>
      </c>
      <c r="Z22" s="642">
        <v>0</v>
      </c>
      <c r="AA22" s="642">
        <v>0</v>
      </c>
      <c r="AB22" s="651">
        <v>27.330859307935192</v>
      </c>
      <c r="AC22" s="651">
        <v>24.40929016388429</v>
      </c>
      <c r="AD22" s="651">
        <v>0</v>
      </c>
      <c r="AE22" s="651">
        <v>2.4469723551258755</v>
      </c>
      <c r="AF22" s="651">
        <v>0</v>
      </c>
      <c r="AG22" s="651">
        <v>7.1814032045118834</v>
      </c>
      <c r="AH22" s="642">
        <v>0</v>
      </c>
      <c r="AI22" s="642">
        <v>-70.686462815005612</v>
      </c>
      <c r="AJ22" s="642">
        <v>0</v>
      </c>
      <c r="AK22" s="650">
        <v>6.967226149738531</v>
      </c>
    </row>
    <row r="23" spans="3:37" ht="13.5">
      <c r="C23" s="648" t="s">
        <v>352</v>
      </c>
      <c r="D23" s="642">
        <v>0</v>
      </c>
      <c r="E23" s="642">
        <v>0</v>
      </c>
      <c r="F23" s="642">
        <v>0</v>
      </c>
      <c r="G23" s="642">
        <v>0</v>
      </c>
      <c r="H23" s="642">
        <v>0</v>
      </c>
      <c r="I23" s="642">
        <v>0</v>
      </c>
      <c r="J23" s="652">
        <v>7.549386302639002</v>
      </c>
      <c r="K23" s="652">
        <v>0</v>
      </c>
      <c r="L23" s="652">
        <v>0</v>
      </c>
      <c r="M23" s="652">
        <v>-6.6642207586545794</v>
      </c>
      <c r="N23" s="652">
        <v>0</v>
      </c>
      <c r="O23" s="652">
        <v>0</v>
      </c>
      <c r="P23" s="642">
        <v>0</v>
      </c>
      <c r="Q23" s="642">
        <v>0</v>
      </c>
      <c r="R23" s="642">
        <v>0</v>
      </c>
      <c r="S23" s="650">
        <v>0.8851655439844226</v>
      </c>
      <c r="U23" s="648" t="s">
        <v>352</v>
      </c>
      <c r="V23" s="642">
        <v>0</v>
      </c>
      <c r="W23" s="642">
        <v>0</v>
      </c>
      <c r="X23" s="642">
        <v>0</v>
      </c>
      <c r="Y23" s="642">
        <v>0</v>
      </c>
      <c r="Z23" s="642">
        <v>0</v>
      </c>
      <c r="AA23" s="642">
        <v>0</v>
      </c>
      <c r="AB23" s="652">
        <v>39.489443827479029</v>
      </c>
      <c r="AC23" s="652">
        <v>0</v>
      </c>
      <c r="AD23" s="652">
        <v>0</v>
      </c>
      <c r="AE23" s="652">
        <v>-34.859306538707116</v>
      </c>
      <c r="AF23" s="652">
        <v>0</v>
      </c>
      <c r="AG23" s="652">
        <v>0</v>
      </c>
      <c r="AH23" s="642">
        <v>0</v>
      </c>
      <c r="AI23" s="642">
        <v>0</v>
      </c>
      <c r="AJ23" s="642">
        <v>0</v>
      </c>
      <c r="AK23" s="650">
        <v>4.6301372887719126</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550.85495716936975</v>
      </c>
      <c r="F25" s="642">
        <v>-545.34640759767603</v>
      </c>
      <c r="G25" s="642">
        <v>0</v>
      </c>
      <c r="H25" s="642">
        <v>0</v>
      </c>
      <c r="I25" s="642">
        <v>0</v>
      </c>
      <c r="J25" s="642">
        <v>0</v>
      </c>
      <c r="K25" s="642">
        <v>0</v>
      </c>
      <c r="L25" s="642">
        <v>0</v>
      </c>
      <c r="M25" s="642">
        <v>0</v>
      </c>
      <c r="N25" s="642">
        <v>0</v>
      </c>
      <c r="O25" s="642">
        <v>0</v>
      </c>
      <c r="P25" s="642">
        <v>0</v>
      </c>
      <c r="Q25" s="642">
        <v>0</v>
      </c>
      <c r="R25" s="642">
        <v>0</v>
      </c>
      <c r="S25" s="650">
        <v>5.5085495716937203</v>
      </c>
      <c r="U25" s="648" t="s">
        <v>72</v>
      </c>
      <c r="V25" s="642">
        <v>0</v>
      </c>
      <c r="W25" s="642">
        <v>386.55581999113582</v>
      </c>
      <c r="X25" s="642">
        <v>-382.69026179122449</v>
      </c>
      <c r="Y25" s="642">
        <v>0</v>
      </c>
      <c r="Z25" s="642">
        <v>0</v>
      </c>
      <c r="AA25" s="642">
        <v>0</v>
      </c>
      <c r="AB25" s="642">
        <v>0</v>
      </c>
      <c r="AC25" s="642">
        <v>0</v>
      </c>
      <c r="AD25" s="642">
        <v>0</v>
      </c>
      <c r="AE25" s="642">
        <v>0</v>
      </c>
      <c r="AF25" s="642">
        <v>0</v>
      </c>
      <c r="AG25" s="642">
        <v>0</v>
      </c>
      <c r="AH25" s="642">
        <v>0</v>
      </c>
      <c r="AI25" s="642">
        <v>0</v>
      </c>
      <c r="AJ25" s="642">
        <v>0</v>
      </c>
      <c r="AK25" s="650">
        <v>3.8655581999113338</v>
      </c>
    </row>
    <row r="26" spans="3:37" ht="13.5">
      <c r="C26" s="648" t="s">
        <v>354</v>
      </c>
      <c r="D26" s="642">
        <v>0</v>
      </c>
      <c r="E26" s="642">
        <v>0</v>
      </c>
      <c r="F26" s="642">
        <v>0</v>
      </c>
      <c r="G26" s="642">
        <v>0</v>
      </c>
      <c r="H26" s="642">
        <v>0</v>
      </c>
      <c r="I26" s="642">
        <v>0</v>
      </c>
      <c r="J26" s="642">
        <v>34.694031238964726</v>
      </c>
      <c r="K26" s="642">
        <v>0</v>
      </c>
      <c r="L26" s="642">
        <v>-34.694031238964726</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-64.13008508665132</v>
      </c>
      <c r="AE26" s="642">
        <v>0</v>
      </c>
      <c r="AF26" s="642">
        <v>0</v>
      </c>
      <c r="AG26" s="642">
        <v>0</v>
      </c>
      <c r="AH26" s="642">
        <v>0</v>
      </c>
      <c r="AI26" s="642">
        <v>0</v>
      </c>
      <c r="AJ26" s="642">
        <v>0</v>
      </c>
      <c r="AK26" s="650">
        <v>-64.13008508665132</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-12.704571841330187</v>
      </c>
      <c r="AE27" s="642">
        <v>0</v>
      </c>
      <c r="AF27" s="642">
        <v>0</v>
      </c>
      <c r="AG27" s="642">
        <v>0</v>
      </c>
      <c r="AH27" s="642">
        <v>0</v>
      </c>
      <c r="AI27" s="642">
        <v>0</v>
      </c>
      <c r="AJ27" s="642">
        <v>0</v>
      </c>
      <c r="AK27" s="650">
        <v>-12.704571841330187</v>
      </c>
    </row>
    <row r="28" spans="3:37" ht="13.5">
      <c r="C28" s="648" t="s">
        <v>73</v>
      </c>
      <c r="D28" s="642">
        <v>0</v>
      </c>
      <c r="E28" s="642">
        <v>0</v>
      </c>
      <c r="F28" s="642">
        <v>0</v>
      </c>
      <c r="G28" s="642">
        <v>2.1153211001028303</v>
      </c>
      <c r="H28" s="642">
        <v>0</v>
      </c>
      <c r="I28" s="642">
        <v>0</v>
      </c>
      <c r="J28" s="642">
        <v>0</v>
      </c>
      <c r="K28" s="642">
        <v>2.387711193000305E-2</v>
      </c>
      <c r="L28" s="642">
        <v>0</v>
      </c>
      <c r="M28" s="642">
        <v>4.3169818369445515E-2</v>
      </c>
      <c r="N28" s="642">
        <v>0</v>
      </c>
      <c r="O28" s="642">
        <v>0</v>
      </c>
      <c r="P28" s="642">
        <v>0.21762333659139796</v>
      </c>
      <c r="Q28" s="642">
        <v>0</v>
      </c>
      <c r="R28" s="642">
        <v>-1.6713978351002134</v>
      </c>
      <c r="S28" s="650">
        <v>0.72859353189346332</v>
      </c>
      <c r="U28" s="648" t="s">
        <v>73</v>
      </c>
      <c r="V28" s="642">
        <v>0</v>
      </c>
      <c r="W28" s="642">
        <v>0</v>
      </c>
      <c r="X28" s="642">
        <v>0</v>
      </c>
      <c r="Y28" s="642">
        <v>5.6183676161021641</v>
      </c>
      <c r="Z28" s="642">
        <v>0</v>
      </c>
      <c r="AA28" s="642">
        <v>0</v>
      </c>
      <c r="AB28" s="642">
        <v>0</v>
      </c>
      <c r="AC28" s="642">
        <v>0.19393074509344391</v>
      </c>
      <c r="AD28" s="642">
        <v>0</v>
      </c>
      <c r="AE28" s="642">
        <v>0.83952619550951879</v>
      </c>
      <c r="AF28" s="642">
        <v>0</v>
      </c>
      <c r="AG28" s="642">
        <v>0</v>
      </c>
      <c r="AH28" s="642">
        <v>13.50321720945872</v>
      </c>
      <c r="AI28" s="642">
        <v>0</v>
      </c>
      <c r="AJ28" s="642">
        <v>-13.575152156541073</v>
      </c>
      <c r="AK28" s="650">
        <v>6.579889609622775</v>
      </c>
    </row>
    <row r="29" spans="3:37" ht="13.5">
      <c r="C29" s="648" t="s">
        <v>356</v>
      </c>
      <c r="D29" s="642">
        <v>28.669681406249996</v>
      </c>
      <c r="E29" s="642">
        <v>-19.087124265918664</v>
      </c>
      <c r="F29" s="642">
        <v>24.964831154950382</v>
      </c>
      <c r="G29" s="642">
        <v>0</v>
      </c>
      <c r="H29" s="642">
        <v>0</v>
      </c>
      <c r="I29" s="642">
        <v>0</v>
      </c>
      <c r="J29" s="642">
        <v>0</v>
      </c>
      <c r="K29" s="642">
        <v>0</v>
      </c>
      <c r="L29" s="642">
        <v>0</v>
      </c>
      <c r="M29" s="642">
        <v>0</v>
      </c>
      <c r="N29" s="642">
        <v>0</v>
      </c>
      <c r="O29" s="642">
        <v>0</v>
      </c>
      <c r="P29" s="642">
        <v>0</v>
      </c>
      <c r="Q29" s="642">
        <v>0</v>
      </c>
      <c r="R29" s="642">
        <v>0</v>
      </c>
      <c r="S29" s="650">
        <v>34.547388295281714</v>
      </c>
      <c r="U29" s="648" t="s">
        <v>356</v>
      </c>
      <c r="V29" s="642">
        <v>4.3307530517578128</v>
      </c>
      <c r="W29" s="642">
        <v>-13.394159162692858</v>
      </c>
      <c r="X29" s="642">
        <v>17.518769056071054</v>
      </c>
      <c r="Y29" s="642">
        <v>0</v>
      </c>
      <c r="Z29" s="642">
        <v>0</v>
      </c>
      <c r="AA29" s="642">
        <v>0</v>
      </c>
      <c r="AB29" s="642">
        <v>0</v>
      </c>
      <c r="AC29" s="642">
        <v>0</v>
      </c>
      <c r="AD29" s="642">
        <v>0</v>
      </c>
      <c r="AE29" s="642">
        <v>0</v>
      </c>
      <c r="AF29" s="642">
        <v>0</v>
      </c>
      <c r="AG29" s="642">
        <v>0</v>
      </c>
      <c r="AH29" s="642">
        <v>0</v>
      </c>
      <c r="AI29" s="642">
        <v>0</v>
      </c>
      <c r="AJ29" s="642">
        <v>0</v>
      </c>
      <c r="AK29" s="650">
        <v>8.4553629451360095</v>
      </c>
    </row>
    <row r="30" spans="3:37" ht="13.5">
      <c r="C30" s="648" t="s">
        <v>75</v>
      </c>
      <c r="D30" s="642">
        <v>11.149320546875</v>
      </c>
      <c r="E30" s="642">
        <v>0</v>
      </c>
      <c r="F30" s="642">
        <v>18.729068543758572</v>
      </c>
      <c r="G30" s="642">
        <v>5.3443947944572248</v>
      </c>
      <c r="H30" s="642">
        <v>0</v>
      </c>
      <c r="I30" s="642">
        <v>0</v>
      </c>
      <c r="J30" s="642">
        <v>0</v>
      </c>
      <c r="K30" s="642">
        <v>0</v>
      </c>
      <c r="L30" s="642">
        <v>0</v>
      </c>
      <c r="M30" s="642">
        <v>0.10906928151953521</v>
      </c>
      <c r="N30" s="642">
        <v>0</v>
      </c>
      <c r="O30" s="642">
        <v>0</v>
      </c>
      <c r="P30" s="642">
        <v>34.631314570260251</v>
      </c>
      <c r="Q30" s="642">
        <v>0</v>
      </c>
      <c r="R30" s="642">
        <v>0</v>
      </c>
      <c r="S30" s="650">
        <v>69.963167736870574</v>
      </c>
      <c r="U30" s="648" t="s">
        <v>75</v>
      </c>
      <c r="V30" s="642">
        <v>4.9205957031249996</v>
      </c>
      <c r="W30" s="642">
        <v>0</v>
      </c>
      <c r="X30" s="642">
        <v>18.729068543758572</v>
      </c>
      <c r="Y30" s="642">
        <v>4.7445137460997815</v>
      </c>
      <c r="Z30" s="642">
        <v>0</v>
      </c>
      <c r="AA30" s="642">
        <v>0</v>
      </c>
      <c r="AB30" s="642">
        <v>0</v>
      </c>
      <c r="AC30" s="642">
        <v>0</v>
      </c>
      <c r="AD30" s="642">
        <v>0</v>
      </c>
      <c r="AE30" s="642">
        <v>0.70895032987697881</v>
      </c>
      <c r="AF30" s="642">
        <v>0</v>
      </c>
      <c r="AG30" s="642">
        <v>0</v>
      </c>
      <c r="AH30" s="642">
        <v>32.716541842987525</v>
      </c>
      <c r="AI30" s="642">
        <v>0</v>
      </c>
      <c r="AJ30" s="642">
        <v>0</v>
      </c>
      <c r="AK30" s="650">
        <v>61.819670165847853</v>
      </c>
    </row>
    <row r="31" spans="3:37" ht="13.5">
      <c r="C31" s="648" t="s">
        <v>76</v>
      </c>
      <c r="D31" s="642">
        <v>0</v>
      </c>
      <c r="E31" s="642">
        <v>0</v>
      </c>
      <c r="F31" s="642">
        <v>0</v>
      </c>
      <c r="G31" s="642">
        <v>3.8720966463328983</v>
      </c>
      <c r="H31" s="642">
        <v>0</v>
      </c>
      <c r="I31" s="642">
        <v>0</v>
      </c>
      <c r="J31" s="642">
        <v>0</v>
      </c>
      <c r="K31" s="642">
        <v>0</v>
      </c>
      <c r="L31" s="642">
        <v>0</v>
      </c>
      <c r="M31" s="642">
        <v>7.9022380537406095E-2</v>
      </c>
      <c r="N31" s="642">
        <v>0</v>
      </c>
      <c r="O31" s="642">
        <v>0</v>
      </c>
      <c r="P31" s="642">
        <v>41.938968757160723</v>
      </c>
      <c r="Q31" s="642">
        <v>3.0236871210614171</v>
      </c>
      <c r="R31" s="642">
        <v>0</v>
      </c>
      <c r="S31" s="650">
        <v>48.913774905092438</v>
      </c>
      <c r="U31" s="648" t="s">
        <v>76</v>
      </c>
      <c r="V31" s="642">
        <v>0</v>
      </c>
      <c r="W31" s="642">
        <v>0</v>
      </c>
      <c r="X31" s="642">
        <v>0</v>
      </c>
      <c r="Y31" s="642">
        <v>2.7662751616304524</v>
      </c>
      <c r="Z31" s="642">
        <v>0</v>
      </c>
      <c r="AA31" s="642">
        <v>0</v>
      </c>
      <c r="AB31" s="642">
        <v>0</v>
      </c>
      <c r="AC31" s="642">
        <v>0</v>
      </c>
      <c r="AD31" s="642">
        <v>0</v>
      </c>
      <c r="AE31" s="642">
        <v>0.41335146093328595</v>
      </c>
      <c r="AF31" s="642">
        <v>0</v>
      </c>
      <c r="AG31" s="642">
        <v>0</v>
      </c>
      <c r="AH31" s="642">
        <v>43.009166954325586</v>
      </c>
      <c r="AI31" s="642">
        <v>5.481964511548731</v>
      </c>
      <c r="AJ31" s="642">
        <v>0</v>
      </c>
      <c r="AK31" s="650">
        <v>51.670758088438056</v>
      </c>
    </row>
    <row r="32" spans="3:37" ht="13.5">
      <c r="C32" s="646" t="s">
        <v>77</v>
      </c>
      <c r="D32" s="647">
        <v>42.645787594150242</v>
      </c>
      <c r="E32" s="647">
        <v>531.76783290345111</v>
      </c>
      <c r="F32" s="647">
        <v>-493.85839623209517</v>
      </c>
      <c r="G32" s="647">
        <v>44.217178331245535</v>
      </c>
      <c r="H32" s="647">
        <v>1121.3636363636365</v>
      </c>
      <c r="I32" s="647">
        <v>207.57369132422022</v>
      </c>
      <c r="J32" s="647">
        <v>86.243705075466366</v>
      </c>
      <c r="K32" s="647">
        <v>19.954320748029687</v>
      </c>
      <c r="L32" s="647">
        <v>-32.394348021257798</v>
      </c>
      <c r="M32" s="647">
        <v>-5.6320765353578501</v>
      </c>
      <c r="N32" s="647">
        <v>0</v>
      </c>
      <c r="O32" s="647">
        <v>5.2611137666850016</v>
      </c>
      <c r="P32" s="647">
        <v>-531.00392354032908</v>
      </c>
      <c r="Q32" s="647">
        <v>-35.939291273846017</v>
      </c>
      <c r="R32" s="647">
        <v>-1.6713978351002134</v>
      </c>
      <c r="S32" s="647">
        <v>958.52783266889833</v>
      </c>
      <c r="U32" s="646" t="s">
        <v>77</v>
      </c>
      <c r="V32" s="647">
        <v>9.8776636603415024</v>
      </c>
      <c r="W32" s="647">
        <v>373.16166082844296</v>
      </c>
      <c r="X32" s="647">
        <v>-342.51194888815934</v>
      </c>
      <c r="Y32" s="647">
        <v>62.170015524383871</v>
      </c>
      <c r="Z32" s="647">
        <v>1024.3939393939395</v>
      </c>
      <c r="AA32" s="647">
        <v>228.1236913242202</v>
      </c>
      <c r="AB32" s="647">
        <v>92.01283517498922</v>
      </c>
      <c r="AC32" s="647">
        <v>31.725901877387908</v>
      </c>
      <c r="AD32" s="647">
        <v>-74.534973710274585</v>
      </c>
      <c r="AE32" s="647">
        <v>-25.439781275247555</v>
      </c>
      <c r="AF32" s="647">
        <v>0</v>
      </c>
      <c r="AG32" s="647">
        <v>10.264799662154665</v>
      </c>
      <c r="AH32" s="647">
        <v>-515.81290419756954</v>
      </c>
      <c r="AI32" s="647">
        <v>-65.204498303456887</v>
      </c>
      <c r="AJ32" s="647">
        <v>-12.150152156541072</v>
      </c>
      <c r="AK32" s="647">
        <v>796.07624891461057</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6.3476756101286895</v>
      </c>
      <c r="E34" s="642">
        <v>0</v>
      </c>
      <c r="F34" s="642">
        <v>23.963924152830415</v>
      </c>
      <c r="G34" s="642">
        <v>102.72602750235836</v>
      </c>
      <c r="H34" s="642">
        <v>0</v>
      </c>
      <c r="I34" s="642">
        <v>0</v>
      </c>
      <c r="J34" s="642">
        <v>19.164817057512749</v>
      </c>
      <c r="K34" s="642">
        <v>1.7769703360109936</v>
      </c>
      <c r="L34" s="642">
        <v>0.86552810351562492</v>
      </c>
      <c r="M34" s="642">
        <v>2.1151614516362294</v>
      </c>
      <c r="N34" s="642">
        <v>0</v>
      </c>
      <c r="O34" s="642">
        <v>3.8147295409713907E-4</v>
      </c>
      <c r="P34" s="642">
        <v>109.69856944385172</v>
      </c>
      <c r="Q34" s="642">
        <v>16.190109766233334</v>
      </c>
      <c r="R34" s="642">
        <v>0.34118215942382812</v>
      </c>
      <c r="S34" s="650">
        <v>283.19034705645606</v>
      </c>
      <c r="U34" s="648" t="s">
        <v>78</v>
      </c>
      <c r="V34" s="642">
        <v>0.96947057486293287</v>
      </c>
      <c r="W34" s="642">
        <v>0</v>
      </c>
      <c r="X34" s="642">
        <v>14.423852836289303</v>
      </c>
      <c r="Y34" s="642">
        <v>71.911931163769523</v>
      </c>
      <c r="Z34" s="642">
        <v>0</v>
      </c>
      <c r="AA34" s="642">
        <v>0</v>
      </c>
      <c r="AB34" s="642">
        <v>16.641526349557349</v>
      </c>
      <c r="AC34" s="642">
        <v>5.8374337597773929</v>
      </c>
      <c r="AD34" s="642">
        <v>1.8190377949218752</v>
      </c>
      <c r="AE34" s="642">
        <v>10.764172889266069</v>
      </c>
      <c r="AF34" s="642">
        <v>0</v>
      </c>
      <c r="AG34" s="642">
        <v>3.8147295409713907E-4</v>
      </c>
      <c r="AH34" s="642">
        <v>133.35975359263318</v>
      </c>
      <c r="AI34" s="642">
        <v>21.024156518221293</v>
      </c>
      <c r="AJ34" s="642">
        <v>5.3802006835937499</v>
      </c>
      <c r="AK34" s="650">
        <v>282.13191763584672</v>
      </c>
    </row>
    <row r="35" spans="3:37" ht="13.5">
      <c r="C35" s="648" t="s">
        <v>79</v>
      </c>
      <c r="D35" s="642">
        <v>0</v>
      </c>
      <c r="E35" s="642">
        <v>0</v>
      </c>
      <c r="F35" s="642">
        <v>312.50052508879821</v>
      </c>
      <c r="G35" s="642">
        <v>20.28727706696608</v>
      </c>
      <c r="H35" s="642">
        <v>0</v>
      </c>
      <c r="I35" s="642">
        <v>0</v>
      </c>
      <c r="J35" s="642">
        <v>0</v>
      </c>
      <c r="K35" s="642">
        <v>0</v>
      </c>
      <c r="L35" s="642">
        <v>30.35479180755361</v>
      </c>
      <c r="M35" s="642">
        <v>0.41402606259114449</v>
      </c>
      <c r="N35" s="642">
        <v>0</v>
      </c>
      <c r="O35" s="642">
        <v>0</v>
      </c>
      <c r="P35" s="642">
        <v>40.087101502259863</v>
      </c>
      <c r="Q35" s="642">
        <v>0</v>
      </c>
      <c r="R35" s="642">
        <v>0.80956479691939642</v>
      </c>
      <c r="S35" s="650">
        <v>404.45328632508824</v>
      </c>
      <c r="U35" s="648" t="s">
        <v>79</v>
      </c>
      <c r="V35" s="642">
        <v>0</v>
      </c>
      <c r="W35" s="642">
        <v>0</v>
      </c>
      <c r="X35" s="642">
        <v>200.27592241910855</v>
      </c>
      <c r="Y35" s="642">
        <v>16.649550205830046</v>
      </c>
      <c r="Z35" s="642">
        <v>0</v>
      </c>
      <c r="AA35" s="642">
        <v>0</v>
      </c>
      <c r="AB35" s="642">
        <v>0</v>
      </c>
      <c r="AC35" s="642">
        <v>0</v>
      </c>
      <c r="AD35" s="642">
        <v>44.40579181284334</v>
      </c>
      <c r="AE35" s="642">
        <v>2.5923432302996523</v>
      </c>
      <c r="AF35" s="642">
        <v>0</v>
      </c>
      <c r="AG35" s="642">
        <v>0</v>
      </c>
      <c r="AH35" s="642">
        <v>50.411052136241274</v>
      </c>
      <c r="AI35" s="642">
        <v>0</v>
      </c>
      <c r="AJ35" s="642">
        <v>1.5849058336758</v>
      </c>
      <c r="AK35" s="650">
        <v>315.91956563799869</v>
      </c>
    </row>
    <row r="36" spans="3:37" ht="13.5">
      <c r="C36" s="648" t="s">
        <v>80</v>
      </c>
      <c r="D36" s="642">
        <v>0</v>
      </c>
      <c r="E36" s="642">
        <v>0</v>
      </c>
      <c r="F36" s="642">
        <v>27.223306395871116</v>
      </c>
      <c r="G36" s="642">
        <v>94.787807272791255</v>
      </c>
      <c r="H36" s="642">
        <v>0</v>
      </c>
      <c r="I36" s="642">
        <v>0</v>
      </c>
      <c r="J36" s="642">
        <v>83.273177408961004</v>
      </c>
      <c r="K36" s="642">
        <v>0</v>
      </c>
      <c r="L36" s="642">
        <v>0</v>
      </c>
      <c r="M36" s="642">
        <v>1.9344450463834952</v>
      </c>
      <c r="N36" s="642">
        <v>46.067590504591024</v>
      </c>
      <c r="O36" s="642">
        <v>1.9582561857397398</v>
      </c>
      <c r="P36" s="642">
        <v>180.22551264292704</v>
      </c>
      <c r="Q36" s="642">
        <v>15.690776641240536</v>
      </c>
      <c r="R36" s="642">
        <v>0</v>
      </c>
      <c r="S36" s="650">
        <v>451.16087209850519</v>
      </c>
      <c r="U36" s="648" t="s">
        <v>80</v>
      </c>
      <c r="V36" s="642">
        <v>0</v>
      </c>
      <c r="W36" s="642">
        <v>0</v>
      </c>
      <c r="X36" s="642">
        <v>2.015713666762446</v>
      </c>
      <c r="Y36" s="642">
        <v>47.341776252628989</v>
      </c>
      <c r="Z36" s="642">
        <v>0</v>
      </c>
      <c r="AA36" s="642">
        <v>0</v>
      </c>
      <c r="AB36" s="642">
        <v>73.879452654225247</v>
      </c>
      <c r="AC36" s="642">
        <v>0</v>
      </c>
      <c r="AD36" s="642">
        <v>0</v>
      </c>
      <c r="AE36" s="642">
        <v>7.0740585205077799</v>
      </c>
      <c r="AF36" s="642">
        <v>56.247445771865117</v>
      </c>
      <c r="AG36" s="642">
        <v>2.3917818193760598</v>
      </c>
      <c r="AH36" s="642">
        <v>158.99417861004727</v>
      </c>
      <c r="AI36" s="642">
        <v>34.672503342788303</v>
      </c>
      <c r="AJ36" s="642">
        <v>0</v>
      </c>
      <c r="AK36" s="650">
        <v>382.61691063820126</v>
      </c>
    </row>
    <row r="37" spans="3:37" ht="13.5">
      <c r="C37" s="648" t="s">
        <v>81</v>
      </c>
      <c r="D37" s="642">
        <v>0</v>
      </c>
      <c r="E37" s="642">
        <v>0</v>
      </c>
      <c r="F37" s="642">
        <v>10.721858440723695</v>
      </c>
      <c r="G37" s="642">
        <v>62.595656083836779</v>
      </c>
      <c r="H37" s="642">
        <v>0</v>
      </c>
      <c r="I37" s="642">
        <v>0</v>
      </c>
      <c r="J37" s="642">
        <v>3.4596715414798309</v>
      </c>
      <c r="K37" s="642">
        <v>2.5030873755322387E-2</v>
      </c>
      <c r="L37" s="642">
        <v>0</v>
      </c>
      <c r="M37" s="642">
        <v>1.2774623690578935</v>
      </c>
      <c r="N37" s="642">
        <v>8.3421239681836319</v>
      </c>
      <c r="O37" s="642">
        <v>0.80110714509903691</v>
      </c>
      <c r="P37" s="642">
        <v>133.46461699259584</v>
      </c>
      <c r="Q37" s="642">
        <v>4.0584048663721433</v>
      </c>
      <c r="R37" s="642">
        <v>0</v>
      </c>
      <c r="S37" s="650">
        <v>224.74593228110413</v>
      </c>
      <c r="U37" s="648" t="s">
        <v>81</v>
      </c>
      <c r="V37" s="642">
        <v>0</v>
      </c>
      <c r="W37" s="642">
        <v>0</v>
      </c>
      <c r="X37" s="642">
        <v>3.1096233693990798</v>
      </c>
      <c r="Y37" s="642">
        <v>32.055438404613625</v>
      </c>
      <c r="Z37" s="642">
        <v>0</v>
      </c>
      <c r="AA37" s="642">
        <v>0</v>
      </c>
      <c r="AB37" s="642">
        <v>7.6606579921523004</v>
      </c>
      <c r="AC37" s="642">
        <v>2.5030873755322387E-2</v>
      </c>
      <c r="AD37" s="642">
        <v>0</v>
      </c>
      <c r="AE37" s="642">
        <v>4.7898930949422658</v>
      </c>
      <c r="AF37" s="642">
        <v>14.251121986476408</v>
      </c>
      <c r="AG37" s="642">
        <v>1.7168402703934114</v>
      </c>
      <c r="AH37" s="642">
        <v>121.34906004798763</v>
      </c>
      <c r="AI37" s="642">
        <v>9.5078384424472873</v>
      </c>
      <c r="AJ37" s="642">
        <v>0</v>
      </c>
      <c r="AK37" s="650">
        <v>194.46550448216732</v>
      </c>
    </row>
    <row r="38" spans="3:37" ht="13.5">
      <c r="C38" s="648" t="s">
        <v>82</v>
      </c>
      <c r="D38" s="642">
        <v>0</v>
      </c>
      <c r="E38" s="642">
        <v>0</v>
      </c>
      <c r="F38" s="642">
        <v>32.13207144146056</v>
      </c>
      <c r="G38" s="642">
        <v>1.9328709168763656</v>
      </c>
      <c r="H38" s="642">
        <v>0</v>
      </c>
      <c r="I38" s="642">
        <v>0</v>
      </c>
      <c r="J38" s="642">
        <v>2.05899706998358</v>
      </c>
      <c r="K38" s="642">
        <v>0</v>
      </c>
      <c r="L38" s="642">
        <v>2.6244824682898504</v>
      </c>
      <c r="M38" s="642">
        <v>3.9446345242374808E-2</v>
      </c>
      <c r="N38" s="642">
        <v>0</v>
      </c>
      <c r="O38" s="642">
        <v>8.070345812558942E-2</v>
      </c>
      <c r="P38" s="642">
        <v>7.3892266408052469</v>
      </c>
      <c r="Q38" s="642">
        <v>0</v>
      </c>
      <c r="R38" s="642">
        <v>0</v>
      </c>
      <c r="S38" s="650">
        <v>46.257798340783566</v>
      </c>
      <c r="U38" s="648" t="s">
        <v>82</v>
      </c>
      <c r="V38" s="642">
        <v>0</v>
      </c>
      <c r="W38" s="642">
        <v>0</v>
      </c>
      <c r="X38" s="642">
        <v>22.167558461996123</v>
      </c>
      <c r="Y38" s="642">
        <v>2.0916118720237509</v>
      </c>
      <c r="Z38" s="642">
        <v>0</v>
      </c>
      <c r="AA38" s="642">
        <v>0</v>
      </c>
      <c r="AB38" s="642">
        <v>2.05899706998358</v>
      </c>
      <c r="AC38" s="642">
        <v>0</v>
      </c>
      <c r="AD38" s="642">
        <v>14.821446231272425</v>
      </c>
      <c r="AE38" s="642">
        <v>0.31253970501504325</v>
      </c>
      <c r="AF38" s="642">
        <v>0</v>
      </c>
      <c r="AG38" s="642">
        <v>0.82781531321025892</v>
      </c>
      <c r="AH38" s="642">
        <v>7.4491158726448985</v>
      </c>
      <c r="AI38" s="642">
        <v>0</v>
      </c>
      <c r="AJ38" s="642">
        <v>0.21911019493558448</v>
      </c>
      <c r="AK38" s="650">
        <v>49.948194721081656</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0.13500000000000001</v>
      </c>
      <c r="Q39" s="642">
        <v>0</v>
      </c>
      <c r="R39" s="642">
        <v>0</v>
      </c>
      <c r="S39" s="650">
        <v>0.13500000000000001</v>
      </c>
      <c r="U39" s="648" t="s">
        <v>357</v>
      </c>
      <c r="V39" s="642">
        <v>0</v>
      </c>
      <c r="W39" s="642">
        <v>0</v>
      </c>
      <c r="X39" s="642">
        <v>0</v>
      </c>
      <c r="Y39" s="642">
        <v>0</v>
      </c>
      <c r="Z39" s="642">
        <v>0</v>
      </c>
      <c r="AA39" s="642">
        <v>0</v>
      </c>
      <c r="AB39" s="642">
        <v>0</v>
      </c>
      <c r="AC39" s="642">
        <v>0</v>
      </c>
      <c r="AD39" s="642">
        <v>0</v>
      </c>
      <c r="AE39" s="642">
        <v>0</v>
      </c>
      <c r="AF39" s="642">
        <v>0</v>
      </c>
      <c r="AG39" s="642">
        <v>0</v>
      </c>
      <c r="AH39" s="642">
        <v>0.96</v>
      </c>
      <c r="AI39" s="642">
        <v>0</v>
      </c>
      <c r="AJ39" s="642">
        <v>0</v>
      </c>
      <c r="AK39" s="650">
        <v>0.96</v>
      </c>
    </row>
    <row r="40" spans="3:37" ht="13.5">
      <c r="C40" s="646" t="s">
        <v>83</v>
      </c>
      <c r="D40" s="647">
        <v>6.3476756101286895</v>
      </c>
      <c r="E40" s="647">
        <v>0</v>
      </c>
      <c r="F40" s="647">
        <v>406.54168551968399</v>
      </c>
      <c r="G40" s="647">
        <v>282.32963884282884</v>
      </c>
      <c r="H40" s="647">
        <v>0</v>
      </c>
      <c r="I40" s="647">
        <v>0</v>
      </c>
      <c r="J40" s="647">
        <v>107.95666307793715</v>
      </c>
      <c r="K40" s="647">
        <v>1.8020012097663161</v>
      </c>
      <c r="L40" s="647">
        <v>33.844802379359088</v>
      </c>
      <c r="M40" s="647">
        <v>5.7805412749111369</v>
      </c>
      <c r="N40" s="647">
        <v>54.409714472774652</v>
      </c>
      <c r="O40" s="647">
        <v>2.8404482619184632</v>
      </c>
      <c r="P40" s="647">
        <v>471.00002722243971</v>
      </c>
      <c r="Q40" s="647">
        <v>35.93929127384601</v>
      </c>
      <c r="R40" s="647">
        <v>1.1507469563432244</v>
      </c>
      <c r="S40" s="647">
        <v>1409.9432361019371</v>
      </c>
      <c r="U40" s="646" t="s">
        <v>83</v>
      </c>
      <c r="V40" s="647">
        <v>0.96947057486293287</v>
      </c>
      <c r="W40" s="647">
        <v>0</v>
      </c>
      <c r="X40" s="647">
        <v>241.9926707535555</v>
      </c>
      <c r="Y40" s="647">
        <v>170.05030789886592</v>
      </c>
      <c r="Z40" s="647">
        <v>0</v>
      </c>
      <c r="AA40" s="647">
        <v>0</v>
      </c>
      <c r="AB40" s="647">
        <v>100.24063406591846</v>
      </c>
      <c r="AC40" s="647">
        <v>5.8624646335327153</v>
      </c>
      <c r="AD40" s="647">
        <v>61.046275839037641</v>
      </c>
      <c r="AE40" s="647">
        <v>25.533007440030815</v>
      </c>
      <c r="AF40" s="647">
        <v>70.498567758341522</v>
      </c>
      <c r="AG40" s="647">
        <v>4.9368188759338274</v>
      </c>
      <c r="AH40" s="647">
        <v>472.52316025955423</v>
      </c>
      <c r="AI40" s="647">
        <v>65.204498303456901</v>
      </c>
      <c r="AJ40" s="647">
        <v>7.184216712205135</v>
      </c>
      <c r="AK40" s="647">
        <v>1226.0420931152958</v>
      </c>
    </row>
    <row r="41" spans="3:37" ht="13.5">
      <c r="C41" s="641" t="s">
        <v>84</v>
      </c>
      <c r="D41" s="642">
        <v>0</v>
      </c>
      <c r="E41" s="642">
        <v>0</v>
      </c>
      <c r="F41" s="642">
        <v>117.0773058539918</v>
      </c>
      <c r="G41" s="642">
        <v>12.185345647681713</v>
      </c>
      <c r="H41" s="642">
        <v>0</v>
      </c>
      <c r="I41" s="642">
        <v>0</v>
      </c>
      <c r="J41" s="642">
        <v>0</v>
      </c>
      <c r="K41" s="642">
        <v>0</v>
      </c>
      <c r="L41" s="642">
        <v>0</v>
      </c>
      <c r="M41" s="642">
        <v>0</v>
      </c>
      <c r="N41" s="642">
        <v>0</v>
      </c>
      <c r="O41" s="642">
        <v>0</v>
      </c>
      <c r="P41" s="642">
        <v>0</v>
      </c>
      <c r="Q41" s="642">
        <v>0</v>
      </c>
      <c r="R41" s="642">
        <v>0.52065087875698901</v>
      </c>
      <c r="S41" s="650">
        <v>129.78330238043051</v>
      </c>
      <c r="U41" s="641" t="s">
        <v>84</v>
      </c>
      <c r="V41" s="642">
        <v>0</v>
      </c>
      <c r="W41" s="642">
        <v>0</v>
      </c>
      <c r="X41" s="642">
        <v>106.669872568297</v>
      </c>
      <c r="Y41" s="642">
        <v>1.6020598461664441</v>
      </c>
      <c r="Z41" s="642">
        <v>0</v>
      </c>
      <c r="AA41" s="642">
        <v>0</v>
      </c>
      <c r="AB41" s="642">
        <v>0</v>
      </c>
      <c r="AC41" s="642">
        <v>0</v>
      </c>
      <c r="AD41" s="642">
        <v>6.1061434912109362</v>
      </c>
      <c r="AE41" s="642">
        <v>0</v>
      </c>
      <c r="AF41" s="642">
        <v>0</v>
      </c>
      <c r="AG41" s="642">
        <v>0</v>
      </c>
      <c r="AH41" s="642">
        <v>0</v>
      </c>
      <c r="AI41" s="642">
        <v>0</v>
      </c>
      <c r="AJ41" s="642">
        <v>4.9659354443359369</v>
      </c>
      <c r="AK41" s="650">
        <v>119.34401135001032</v>
      </c>
    </row>
    <row r="42" spans="3:37" ht="13.5">
      <c r="C42" s="646" t="s">
        <v>85</v>
      </c>
      <c r="D42" s="647">
        <v>6.3476756101286895</v>
      </c>
      <c r="E42" s="647">
        <v>0</v>
      </c>
      <c r="F42" s="647">
        <v>523.61899137367573</v>
      </c>
      <c r="G42" s="647">
        <v>294.51498449051053</v>
      </c>
      <c r="H42" s="647">
        <v>0</v>
      </c>
      <c r="I42" s="647">
        <v>0</v>
      </c>
      <c r="J42" s="647">
        <v>107.95666307793715</v>
      </c>
      <c r="K42" s="647">
        <v>1.8020012097663161</v>
      </c>
      <c r="L42" s="647">
        <v>33.844802379359088</v>
      </c>
      <c r="M42" s="647">
        <v>5.7805412749111369</v>
      </c>
      <c r="N42" s="647">
        <v>54.409714472774652</v>
      </c>
      <c r="O42" s="647">
        <v>2.8404482619184632</v>
      </c>
      <c r="P42" s="647">
        <v>471.00002722243971</v>
      </c>
      <c r="Q42" s="647">
        <v>35.93929127384601</v>
      </c>
      <c r="R42" s="647">
        <v>1.6713978351002134</v>
      </c>
      <c r="S42" s="647">
        <v>1539.7265384823679</v>
      </c>
      <c r="U42" s="646" t="s">
        <v>85</v>
      </c>
      <c r="V42" s="647">
        <v>0.96947057486293287</v>
      </c>
      <c r="W42" s="647">
        <v>0</v>
      </c>
      <c r="X42" s="647">
        <v>348.66254332185252</v>
      </c>
      <c r="Y42" s="647">
        <v>171.65236774503236</v>
      </c>
      <c r="Z42" s="647">
        <v>0</v>
      </c>
      <c r="AA42" s="647">
        <v>0</v>
      </c>
      <c r="AB42" s="647">
        <v>100.24063406591846</v>
      </c>
      <c r="AC42" s="647">
        <v>5.8624646335327153</v>
      </c>
      <c r="AD42" s="647">
        <v>67.152419330248577</v>
      </c>
      <c r="AE42" s="647">
        <v>25.533007440030815</v>
      </c>
      <c r="AF42" s="647">
        <v>70.498567758341522</v>
      </c>
      <c r="AG42" s="647">
        <v>4.9368188759338274</v>
      </c>
      <c r="AH42" s="647">
        <v>472.52316025955423</v>
      </c>
      <c r="AI42" s="647">
        <v>65.204498303456901</v>
      </c>
      <c r="AJ42" s="647">
        <v>12.150152156541072</v>
      </c>
      <c r="AK42" s="647">
        <v>1345.3861044653063</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361</v>
      </c>
      <c r="D44" s="699"/>
      <c r="E44" s="699"/>
      <c r="F44" s="699"/>
      <c r="G44" s="699"/>
      <c r="H44" s="699"/>
      <c r="I44" s="699"/>
      <c r="J44" s="699"/>
      <c r="K44" s="699"/>
      <c r="L44" s="699"/>
      <c r="M44" s="699"/>
      <c r="N44" s="699"/>
      <c r="O44" s="699"/>
      <c r="P44" s="699"/>
      <c r="Q44" s="699"/>
      <c r="R44" s="699"/>
      <c r="S44" s="699"/>
      <c r="U44" s="699" t="s">
        <v>361</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5.8150000000000004</v>
      </c>
      <c r="F48" s="643">
        <v>0</v>
      </c>
      <c r="G48" s="642">
        <v>9.3040000000000012E-2</v>
      </c>
      <c r="H48" s="643">
        <v>1075.0000000000002</v>
      </c>
      <c r="I48" s="643">
        <v>224.13674723416887</v>
      </c>
      <c r="J48" s="643">
        <v>191.59942379122555</v>
      </c>
      <c r="K48" s="643">
        <v>21.432553878964274</v>
      </c>
      <c r="L48" s="643">
        <v>0.38158375751522683</v>
      </c>
      <c r="M48" s="643">
        <v>0.1566638564915529</v>
      </c>
      <c r="N48" s="643">
        <v>57.826394702164251</v>
      </c>
      <c r="O48" s="643">
        <v>8.0717549324466145</v>
      </c>
      <c r="P48" s="644">
        <v>0</v>
      </c>
      <c r="Q48" s="643">
        <v>0</v>
      </c>
      <c r="R48" s="643">
        <v>0</v>
      </c>
      <c r="S48" s="645">
        <v>1584.5131621529763</v>
      </c>
      <c r="U48" s="641" t="s">
        <v>59</v>
      </c>
      <c r="V48" s="642">
        <v>0</v>
      </c>
      <c r="W48" s="643">
        <v>5.8150000000000004</v>
      </c>
      <c r="X48" s="643">
        <v>0</v>
      </c>
      <c r="Y48" s="642">
        <v>9.3040000000000012E-2</v>
      </c>
      <c r="Z48" s="643">
        <v>994.39393939393949</v>
      </c>
      <c r="AA48" s="643">
        <v>248.70674723416883</v>
      </c>
      <c r="AB48" s="643">
        <v>191.76566332259941</v>
      </c>
      <c r="AC48" s="643">
        <v>38.031253697312572</v>
      </c>
      <c r="AD48" s="643">
        <v>0.38158375751522683</v>
      </c>
      <c r="AE48" s="643">
        <v>0.1566638564915529</v>
      </c>
      <c r="AF48" s="643">
        <v>76.992812580470769</v>
      </c>
      <c r="AG48" s="643">
        <v>16.738826185514363</v>
      </c>
      <c r="AH48" s="644">
        <v>0</v>
      </c>
      <c r="AI48" s="643">
        <v>0</v>
      </c>
      <c r="AJ48" s="643">
        <v>0</v>
      </c>
      <c r="AK48" s="645">
        <v>1573.0755300280123</v>
      </c>
    </row>
    <row r="49" spans="3:37" ht="13.5">
      <c r="C49" s="641" t="s">
        <v>60</v>
      </c>
      <c r="D49" s="642">
        <v>48.827265231041785</v>
      </c>
      <c r="E49" s="643">
        <v>518.07410535010388</v>
      </c>
      <c r="F49" s="643">
        <v>107.87457071926454</v>
      </c>
      <c r="G49" s="642">
        <v>335.04873882059013</v>
      </c>
      <c r="H49" s="643">
        <v>0</v>
      </c>
      <c r="I49" s="643">
        <v>0</v>
      </c>
      <c r="J49" s="643">
        <v>3.6983557386050134</v>
      </c>
      <c r="K49" s="643">
        <v>0</v>
      </c>
      <c r="L49" s="643">
        <v>2.0715216469959126</v>
      </c>
      <c r="M49" s="643">
        <v>0</v>
      </c>
      <c r="N49" s="643">
        <v>0</v>
      </c>
      <c r="O49" s="643">
        <v>0</v>
      </c>
      <c r="P49" s="644">
        <v>0</v>
      </c>
      <c r="Q49" s="643">
        <v>0</v>
      </c>
      <c r="R49" s="643">
        <v>0</v>
      </c>
      <c r="S49" s="645">
        <v>1015.5945575066012</v>
      </c>
      <c r="U49" s="641" t="s">
        <v>60</v>
      </c>
      <c r="V49" s="642">
        <v>9.7783497021920969</v>
      </c>
      <c r="W49" s="643">
        <v>336.80990869295175</v>
      </c>
      <c r="X49" s="643">
        <v>55.498271181254346</v>
      </c>
      <c r="Y49" s="642">
        <v>207.3573846689826</v>
      </c>
      <c r="Z49" s="643">
        <v>0</v>
      </c>
      <c r="AA49" s="643">
        <v>0</v>
      </c>
      <c r="AB49" s="643">
        <v>3.6983557386050134</v>
      </c>
      <c r="AC49" s="643">
        <v>0</v>
      </c>
      <c r="AD49" s="643">
        <v>2.0715216469959126</v>
      </c>
      <c r="AE49" s="643">
        <v>0</v>
      </c>
      <c r="AF49" s="643">
        <v>0</v>
      </c>
      <c r="AG49" s="643">
        <v>0</v>
      </c>
      <c r="AH49" s="644">
        <v>0</v>
      </c>
      <c r="AI49" s="643">
        <v>0</v>
      </c>
      <c r="AJ49" s="643">
        <v>0</v>
      </c>
      <c r="AK49" s="645">
        <v>615.21379163098163</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-50.941346245748719</v>
      </c>
      <c r="Q50" s="643">
        <v>0</v>
      </c>
      <c r="R50" s="643">
        <v>0</v>
      </c>
      <c r="S50" s="645">
        <v>-50.941346245748719</v>
      </c>
      <c r="U50" s="641" t="s">
        <v>61</v>
      </c>
      <c r="V50" s="642">
        <v>0</v>
      </c>
      <c r="W50" s="643">
        <v>0</v>
      </c>
      <c r="X50" s="643">
        <v>0</v>
      </c>
      <c r="Y50" s="642">
        <v>0</v>
      </c>
      <c r="Z50" s="643">
        <v>0</v>
      </c>
      <c r="AA50" s="643">
        <v>0</v>
      </c>
      <c r="AB50" s="643">
        <v>0</v>
      </c>
      <c r="AC50" s="643">
        <v>0</v>
      </c>
      <c r="AD50" s="643">
        <v>0</v>
      </c>
      <c r="AE50" s="643">
        <v>0</v>
      </c>
      <c r="AF50" s="643">
        <v>0</v>
      </c>
      <c r="AG50" s="643">
        <v>0</v>
      </c>
      <c r="AH50" s="644">
        <v>-32.476172245636349</v>
      </c>
      <c r="AI50" s="643">
        <v>0</v>
      </c>
      <c r="AJ50" s="643">
        <v>0</v>
      </c>
      <c r="AK50" s="645">
        <v>-32.476172245636349</v>
      </c>
    </row>
    <row r="51" spans="3:37" ht="13.5">
      <c r="C51" s="641" t="s">
        <v>62</v>
      </c>
      <c r="D51" s="642">
        <v>0</v>
      </c>
      <c r="E51" s="643">
        <v>0</v>
      </c>
      <c r="F51" s="643">
        <v>-16.25862008896565</v>
      </c>
      <c r="G51" s="642">
        <v>0</v>
      </c>
      <c r="H51" s="643">
        <v>0</v>
      </c>
      <c r="I51" s="643">
        <v>0</v>
      </c>
      <c r="J51" s="643">
        <v>0</v>
      </c>
      <c r="K51" s="643">
        <v>0</v>
      </c>
      <c r="L51" s="643">
        <v>0</v>
      </c>
      <c r="M51" s="643">
        <v>0</v>
      </c>
      <c r="N51" s="643">
        <v>0</v>
      </c>
      <c r="O51" s="643">
        <v>0</v>
      </c>
      <c r="P51" s="644">
        <v>0</v>
      </c>
      <c r="Q51" s="643">
        <v>0</v>
      </c>
      <c r="R51" s="643">
        <v>0</v>
      </c>
      <c r="S51" s="645">
        <v>-16.25862008896565</v>
      </c>
      <c r="U51" s="641" t="s">
        <v>62</v>
      </c>
      <c r="V51" s="642">
        <v>0</v>
      </c>
      <c r="W51" s="643">
        <v>0</v>
      </c>
      <c r="X51" s="643">
        <v>-12.937868047131742</v>
      </c>
      <c r="Y51" s="642">
        <v>-1.5571295869756494</v>
      </c>
      <c r="Z51" s="643">
        <v>0</v>
      </c>
      <c r="AA51" s="643">
        <v>0</v>
      </c>
      <c r="AB51" s="643">
        <v>0</v>
      </c>
      <c r="AC51" s="643">
        <v>0</v>
      </c>
      <c r="AD51" s="643">
        <v>0</v>
      </c>
      <c r="AE51" s="643">
        <v>-0.27478757417217342</v>
      </c>
      <c r="AF51" s="643">
        <v>0</v>
      </c>
      <c r="AG51" s="643">
        <v>0</v>
      </c>
      <c r="AH51" s="644">
        <v>0</v>
      </c>
      <c r="AI51" s="643">
        <v>0</v>
      </c>
      <c r="AJ51" s="643">
        <v>0</v>
      </c>
      <c r="AK51" s="645">
        <v>-14.769785208279565</v>
      </c>
    </row>
    <row r="52" spans="3:37" ht="13.5">
      <c r="C52" s="641" t="s">
        <v>63</v>
      </c>
      <c r="D52" s="642">
        <v>0</v>
      </c>
      <c r="E52" s="643">
        <v>0</v>
      </c>
      <c r="F52" s="643">
        <v>-83.551471621484865</v>
      </c>
      <c r="G52" s="642">
        <v>0</v>
      </c>
      <c r="H52" s="643">
        <v>0</v>
      </c>
      <c r="I52" s="643">
        <v>0</v>
      </c>
      <c r="J52" s="643">
        <v>0</v>
      </c>
      <c r="K52" s="643">
        <v>0</v>
      </c>
      <c r="L52" s="643">
        <v>-0.85914301655193537</v>
      </c>
      <c r="M52" s="643">
        <v>0</v>
      </c>
      <c r="N52" s="643">
        <v>0</v>
      </c>
      <c r="O52" s="643">
        <v>0</v>
      </c>
      <c r="P52" s="644">
        <v>0</v>
      </c>
      <c r="Q52" s="643">
        <v>0</v>
      </c>
      <c r="R52" s="643">
        <v>0</v>
      </c>
      <c r="S52" s="645">
        <v>-84.410614638036805</v>
      </c>
      <c r="U52" s="641" t="s">
        <v>63</v>
      </c>
      <c r="V52" s="642">
        <v>0</v>
      </c>
      <c r="W52" s="643">
        <v>0</v>
      </c>
      <c r="X52" s="643">
        <v>-67.135202148658564</v>
      </c>
      <c r="Y52" s="642">
        <v>0</v>
      </c>
      <c r="Z52" s="643">
        <v>0</v>
      </c>
      <c r="AA52" s="643">
        <v>0</v>
      </c>
      <c r="AB52" s="643">
        <v>0</v>
      </c>
      <c r="AC52" s="643">
        <v>0</v>
      </c>
      <c r="AD52" s="643">
        <v>-15.117527463171397</v>
      </c>
      <c r="AE52" s="643">
        <v>0</v>
      </c>
      <c r="AF52" s="643">
        <v>0</v>
      </c>
      <c r="AG52" s="643">
        <v>0</v>
      </c>
      <c r="AH52" s="644">
        <v>0</v>
      </c>
      <c r="AI52" s="643">
        <v>0</v>
      </c>
      <c r="AJ52" s="643">
        <v>0</v>
      </c>
      <c r="AK52" s="645">
        <v>-82.252729611829963</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48.827265231041785</v>
      </c>
      <c r="E54" s="647">
        <v>523.88910535010393</v>
      </c>
      <c r="F54" s="647">
        <v>8.0644790088140255</v>
      </c>
      <c r="G54" s="647">
        <v>335.1417788205901</v>
      </c>
      <c r="H54" s="647">
        <v>1075.0000000000002</v>
      </c>
      <c r="I54" s="647">
        <v>224.13674723416887</v>
      </c>
      <c r="J54" s="647">
        <v>195.29777952983056</v>
      </c>
      <c r="K54" s="647">
        <v>21.432553878964274</v>
      </c>
      <c r="L54" s="647">
        <v>1.5939623879592042</v>
      </c>
      <c r="M54" s="647">
        <v>0.1566638564915529</v>
      </c>
      <c r="N54" s="647">
        <v>57.826394702164251</v>
      </c>
      <c r="O54" s="647">
        <v>8.0717549324466145</v>
      </c>
      <c r="P54" s="647">
        <v>-50.941346245748719</v>
      </c>
      <c r="Q54" s="647">
        <v>0</v>
      </c>
      <c r="R54" s="647">
        <v>0</v>
      </c>
      <c r="S54" s="647">
        <v>2448.4971386868265</v>
      </c>
      <c r="U54" s="646" t="s">
        <v>65</v>
      </c>
      <c r="V54" s="647">
        <v>9.7783497021920969</v>
      </c>
      <c r="W54" s="647">
        <v>342.62490869295175</v>
      </c>
      <c r="X54" s="647">
        <v>-24.574799014535962</v>
      </c>
      <c r="Y54" s="647">
        <v>205.89329508200694</v>
      </c>
      <c r="Z54" s="647">
        <v>994.39393939393949</v>
      </c>
      <c r="AA54" s="647">
        <v>248.70674723416883</v>
      </c>
      <c r="AB54" s="647">
        <v>195.46401906120443</v>
      </c>
      <c r="AC54" s="647">
        <v>38.031253697312572</v>
      </c>
      <c r="AD54" s="647">
        <v>-12.664422058660257</v>
      </c>
      <c r="AE54" s="647">
        <v>-0.11812371768062052</v>
      </c>
      <c r="AF54" s="647">
        <v>76.992812580470769</v>
      </c>
      <c r="AG54" s="647">
        <v>16.738826185514363</v>
      </c>
      <c r="AH54" s="647">
        <v>-32.476172245636349</v>
      </c>
      <c r="AI54" s="647">
        <v>0</v>
      </c>
      <c r="AJ54" s="647">
        <v>0</v>
      </c>
      <c r="AK54" s="647">
        <v>2058.7906345932479</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7.9696731063521415</v>
      </c>
      <c r="G57" s="642">
        <v>17.422222222222224</v>
      </c>
      <c r="H57" s="642">
        <v>1075.0000000000002</v>
      </c>
      <c r="I57" s="642">
        <v>224.13674723416887</v>
      </c>
      <c r="J57" s="651">
        <v>30.45355250478201</v>
      </c>
      <c r="K57" s="651">
        <v>7.4482212846984126</v>
      </c>
      <c r="L57" s="651">
        <v>2.4531054045111396</v>
      </c>
      <c r="M57" s="651">
        <v>0.47972213502804317</v>
      </c>
      <c r="N57" s="651">
        <v>0</v>
      </c>
      <c r="O57" s="651">
        <v>3.0833964576427819</v>
      </c>
      <c r="P57" s="642">
        <v>-609.30151807373261</v>
      </c>
      <c r="Q57" s="642">
        <v>0</v>
      </c>
      <c r="R57" s="642">
        <v>0</v>
      </c>
      <c r="S57" s="650">
        <v>761.97190791669834</v>
      </c>
      <c r="U57" s="648" t="s">
        <v>350</v>
      </c>
      <c r="V57" s="642">
        <v>0.62631490545869017</v>
      </c>
      <c r="W57" s="642">
        <v>0</v>
      </c>
      <c r="X57" s="642">
        <v>4.1060367427157782</v>
      </c>
      <c r="Y57" s="642">
        <v>24.857777777777773</v>
      </c>
      <c r="Z57" s="642">
        <v>994.39393939393949</v>
      </c>
      <c r="AA57" s="642">
        <v>248.70674723416883</v>
      </c>
      <c r="AB57" s="651">
        <v>24.641197042508384</v>
      </c>
      <c r="AC57" s="651">
        <v>6.6719525843779666</v>
      </c>
      <c r="AD57" s="651">
        <v>2.4531054045111396</v>
      </c>
      <c r="AE57" s="651">
        <v>4.5108332461391543</v>
      </c>
      <c r="AF57" s="651">
        <v>0</v>
      </c>
      <c r="AG57" s="651">
        <v>3.0833964576427819</v>
      </c>
      <c r="AH57" s="642">
        <v>-611.77151807373264</v>
      </c>
      <c r="AI57" s="642">
        <v>0</v>
      </c>
      <c r="AJ57" s="642">
        <v>2.3749999999999996</v>
      </c>
      <c r="AK57" s="650">
        <v>704.65478271550762</v>
      </c>
    </row>
    <row r="58" spans="3:37" ht="13.5">
      <c r="C58" s="648" t="s">
        <v>351</v>
      </c>
      <c r="D58" s="642">
        <v>0</v>
      </c>
      <c r="E58" s="642">
        <v>0</v>
      </c>
      <c r="F58" s="642">
        <v>0</v>
      </c>
      <c r="G58" s="642">
        <v>15.160725636684646</v>
      </c>
      <c r="H58" s="642">
        <v>0</v>
      </c>
      <c r="I58" s="642">
        <v>0</v>
      </c>
      <c r="J58" s="651">
        <v>12.939045348987106</v>
      </c>
      <c r="K58" s="651">
        <v>12.151724678588742</v>
      </c>
      <c r="L58" s="651">
        <v>0</v>
      </c>
      <c r="M58" s="651">
        <v>0.32322722394029924</v>
      </c>
      <c r="N58" s="651">
        <v>0</v>
      </c>
      <c r="O58" s="651">
        <v>2.1538235080806043</v>
      </c>
      <c r="P58" s="642">
        <v>0</v>
      </c>
      <c r="Q58" s="642">
        <v>-38.589386176372813</v>
      </c>
      <c r="R58" s="642">
        <v>0</v>
      </c>
      <c r="S58" s="650">
        <v>4.1391602199085806</v>
      </c>
      <c r="U58" s="648" t="s">
        <v>351</v>
      </c>
      <c r="V58" s="642">
        <v>0</v>
      </c>
      <c r="W58" s="642">
        <v>0</v>
      </c>
      <c r="X58" s="642">
        <v>0</v>
      </c>
      <c r="Y58" s="642">
        <v>15.290780965453443</v>
      </c>
      <c r="Z58" s="642">
        <v>0</v>
      </c>
      <c r="AA58" s="642">
        <v>0</v>
      </c>
      <c r="AB58" s="651">
        <v>28.500378674784677</v>
      </c>
      <c r="AC58" s="651">
        <v>25.381229817913329</v>
      </c>
      <c r="AD58" s="651">
        <v>0</v>
      </c>
      <c r="AE58" s="651">
        <v>2.712197771476935</v>
      </c>
      <c r="AF58" s="651">
        <v>0</v>
      </c>
      <c r="AG58" s="651">
        <v>8.3103526067541207</v>
      </c>
      <c r="AH58" s="642">
        <v>0</v>
      </c>
      <c r="AI58" s="642">
        <v>-73.223954421682024</v>
      </c>
      <c r="AJ58" s="642">
        <v>0</v>
      </c>
      <c r="AK58" s="650">
        <v>6.9709854147004844</v>
      </c>
    </row>
    <row r="59" spans="3:37" ht="13.5">
      <c r="C59" s="648" t="s">
        <v>352</v>
      </c>
      <c r="D59" s="642">
        <v>0</v>
      </c>
      <c r="E59" s="642">
        <v>0</v>
      </c>
      <c r="F59" s="642">
        <v>0</v>
      </c>
      <c r="G59" s="642">
        <v>0</v>
      </c>
      <c r="H59" s="642">
        <v>0</v>
      </c>
      <c r="I59" s="642">
        <v>0</v>
      </c>
      <c r="J59" s="652">
        <v>7.3987592400222235</v>
      </c>
      <c r="K59" s="652">
        <v>0</v>
      </c>
      <c r="L59" s="652">
        <v>0</v>
      </c>
      <c r="M59" s="652">
        <v>-6.5941441726698065</v>
      </c>
      <c r="N59" s="652">
        <v>0</v>
      </c>
      <c r="O59" s="652">
        <v>0</v>
      </c>
      <c r="P59" s="642">
        <v>0</v>
      </c>
      <c r="Q59" s="642">
        <v>0</v>
      </c>
      <c r="R59" s="642">
        <v>0</v>
      </c>
      <c r="S59" s="650">
        <v>0.80461506735241706</v>
      </c>
      <c r="U59" s="648" t="s">
        <v>352</v>
      </c>
      <c r="V59" s="642">
        <v>0</v>
      </c>
      <c r="W59" s="642">
        <v>0</v>
      </c>
      <c r="X59" s="642">
        <v>0</v>
      </c>
      <c r="Y59" s="642">
        <v>0</v>
      </c>
      <c r="Z59" s="642">
        <v>0</v>
      </c>
      <c r="AA59" s="642">
        <v>0</v>
      </c>
      <c r="AB59" s="652">
        <v>40.786473386605621</v>
      </c>
      <c r="AC59" s="652">
        <v>0</v>
      </c>
      <c r="AD59" s="652">
        <v>0</v>
      </c>
      <c r="AE59" s="652">
        <v>-36.350944405812257</v>
      </c>
      <c r="AF59" s="652">
        <v>0</v>
      </c>
      <c r="AG59" s="652">
        <v>0</v>
      </c>
      <c r="AH59" s="642">
        <v>0</v>
      </c>
      <c r="AI59" s="642">
        <v>0</v>
      </c>
      <c r="AJ59" s="642">
        <v>0</v>
      </c>
      <c r="AK59" s="650">
        <v>4.4355289807933644</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542.69343279650275</v>
      </c>
      <c r="F61" s="642">
        <v>-537.26649846853775</v>
      </c>
      <c r="G61" s="642">
        <v>0</v>
      </c>
      <c r="H61" s="642">
        <v>0</v>
      </c>
      <c r="I61" s="642">
        <v>0</v>
      </c>
      <c r="J61" s="642">
        <v>0</v>
      </c>
      <c r="K61" s="642">
        <v>0</v>
      </c>
      <c r="L61" s="642">
        <v>0</v>
      </c>
      <c r="M61" s="642">
        <v>0</v>
      </c>
      <c r="N61" s="642">
        <v>0</v>
      </c>
      <c r="O61" s="642">
        <v>0</v>
      </c>
      <c r="P61" s="642">
        <v>0</v>
      </c>
      <c r="Q61" s="642">
        <v>0</v>
      </c>
      <c r="R61" s="642">
        <v>0</v>
      </c>
      <c r="S61" s="650">
        <v>5.4269343279650002</v>
      </c>
      <c r="U61" s="648" t="s">
        <v>72</v>
      </c>
      <c r="V61" s="642">
        <v>0</v>
      </c>
      <c r="W61" s="642">
        <v>354.9229903070925</v>
      </c>
      <c r="X61" s="642">
        <v>-351.3737604040216</v>
      </c>
      <c r="Y61" s="642">
        <v>0</v>
      </c>
      <c r="Z61" s="642">
        <v>0</v>
      </c>
      <c r="AA61" s="642">
        <v>0</v>
      </c>
      <c r="AB61" s="642">
        <v>0</v>
      </c>
      <c r="AC61" s="642">
        <v>0</v>
      </c>
      <c r="AD61" s="642">
        <v>0</v>
      </c>
      <c r="AE61" s="642">
        <v>0</v>
      </c>
      <c r="AF61" s="642">
        <v>0</v>
      </c>
      <c r="AG61" s="642">
        <v>0</v>
      </c>
      <c r="AH61" s="642">
        <v>0</v>
      </c>
      <c r="AI61" s="642">
        <v>0</v>
      </c>
      <c r="AJ61" s="642">
        <v>0</v>
      </c>
      <c r="AK61" s="650">
        <v>3.5492299030709091</v>
      </c>
    </row>
    <row r="62" spans="3:37" ht="13.5">
      <c r="C62" s="648" t="s">
        <v>354</v>
      </c>
      <c r="D62" s="642">
        <v>0</v>
      </c>
      <c r="E62" s="642">
        <v>0</v>
      </c>
      <c r="F62" s="642">
        <v>0</v>
      </c>
      <c r="G62" s="642">
        <v>0</v>
      </c>
      <c r="H62" s="642">
        <v>0</v>
      </c>
      <c r="I62" s="642">
        <v>0</v>
      </c>
      <c r="J62" s="642">
        <v>32.75009012852766</v>
      </c>
      <c r="K62" s="642">
        <v>0</v>
      </c>
      <c r="L62" s="642">
        <v>-32.75009012852766</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-76.638831624044727</v>
      </c>
      <c r="AE62" s="642">
        <v>0</v>
      </c>
      <c r="AF62" s="642">
        <v>0</v>
      </c>
      <c r="AG62" s="642">
        <v>0</v>
      </c>
      <c r="AH62" s="642">
        <v>0</v>
      </c>
      <c r="AI62" s="642">
        <v>0</v>
      </c>
      <c r="AJ62" s="642">
        <v>0</v>
      </c>
      <c r="AK62" s="650">
        <v>-76.638831624044727</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-16.893833779014706</v>
      </c>
      <c r="AE63" s="642">
        <v>0</v>
      </c>
      <c r="AF63" s="642">
        <v>0</v>
      </c>
      <c r="AG63" s="642">
        <v>0</v>
      </c>
      <c r="AH63" s="642">
        <v>0</v>
      </c>
      <c r="AI63" s="642">
        <v>0</v>
      </c>
      <c r="AJ63" s="642">
        <v>0</v>
      </c>
      <c r="AK63" s="650">
        <v>-16.893833779014706</v>
      </c>
    </row>
    <row r="64" spans="3:37" ht="13.5">
      <c r="C64" s="648" t="s">
        <v>73</v>
      </c>
      <c r="D64" s="642">
        <v>0</v>
      </c>
      <c r="E64" s="642">
        <v>0</v>
      </c>
      <c r="F64" s="642">
        <v>0</v>
      </c>
      <c r="G64" s="642">
        <v>2.9190475912378031</v>
      </c>
      <c r="H64" s="642">
        <v>0</v>
      </c>
      <c r="I64" s="642">
        <v>0</v>
      </c>
      <c r="J64" s="642">
        <v>0</v>
      </c>
      <c r="K64" s="642">
        <v>3.3095777678433143E-2</v>
      </c>
      <c r="L64" s="642">
        <v>0</v>
      </c>
      <c r="M64" s="642">
        <v>5.9572399821179664E-2</v>
      </c>
      <c r="N64" s="642">
        <v>0</v>
      </c>
      <c r="O64" s="642">
        <v>0</v>
      </c>
      <c r="P64" s="642">
        <v>0.31236464325712177</v>
      </c>
      <c r="Q64" s="642">
        <v>0</v>
      </c>
      <c r="R64" s="642">
        <v>-2.3167044374903201</v>
      </c>
      <c r="S64" s="650">
        <v>1.0073759745042175</v>
      </c>
      <c r="U64" s="648" t="s">
        <v>73</v>
      </c>
      <c r="V64" s="642">
        <v>0</v>
      </c>
      <c r="W64" s="642">
        <v>0</v>
      </c>
      <c r="X64" s="642">
        <v>0</v>
      </c>
      <c r="Y64" s="642">
        <v>6.287229939138852</v>
      </c>
      <c r="Z64" s="642">
        <v>0</v>
      </c>
      <c r="AA64" s="642">
        <v>0</v>
      </c>
      <c r="AB64" s="642">
        <v>0</v>
      </c>
      <c r="AC64" s="642">
        <v>0.25073698660573684</v>
      </c>
      <c r="AD64" s="642">
        <v>0</v>
      </c>
      <c r="AE64" s="642">
        <v>1.1095111657303856</v>
      </c>
      <c r="AF64" s="642">
        <v>0</v>
      </c>
      <c r="AG64" s="642">
        <v>0</v>
      </c>
      <c r="AH64" s="642">
        <v>18.274688237257074</v>
      </c>
      <c r="AI64" s="642">
        <v>0</v>
      </c>
      <c r="AJ64" s="642">
        <v>-17.551589062401579</v>
      </c>
      <c r="AK64" s="650">
        <v>8.3705772663304678</v>
      </c>
    </row>
    <row r="65" spans="3:37" ht="13.5">
      <c r="C65" s="648" t="s">
        <v>356</v>
      </c>
      <c r="D65" s="642">
        <v>28.656195468750003</v>
      </c>
      <c r="E65" s="642">
        <v>-18.804327446398823</v>
      </c>
      <c r="F65" s="642">
        <v>24.594949618470011</v>
      </c>
      <c r="G65" s="642">
        <v>0</v>
      </c>
      <c r="H65" s="642">
        <v>0</v>
      </c>
      <c r="I65" s="642">
        <v>0</v>
      </c>
      <c r="J65" s="642">
        <v>0</v>
      </c>
      <c r="K65" s="642">
        <v>0</v>
      </c>
      <c r="L65" s="642">
        <v>0</v>
      </c>
      <c r="M65" s="642">
        <v>0</v>
      </c>
      <c r="N65" s="642">
        <v>0</v>
      </c>
      <c r="O65" s="642">
        <v>0</v>
      </c>
      <c r="P65" s="642">
        <v>0</v>
      </c>
      <c r="Q65" s="642">
        <v>0</v>
      </c>
      <c r="R65" s="642">
        <v>0</v>
      </c>
      <c r="S65" s="650">
        <v>34.446817640821195</v>
      </c>
      <c r="U65" s="648" t="s">
        <v>356</v>
      </c>
      <c r="V65" s="642">
        <v>3.6632235107421875</v>
      </c>
      <c r="W65" s="642">
        <v>-12.298081614140758</v>
      </c>
      <c r="X65" s="642">
        <v>16.085164362607916</v>
      </c>
      <c r="Y65" s="642">
        <v>0</v>
      </c>
      <c r="Z65" s="642">
        <v>0</v>
      </c>
      <c r="AA65" s="642">
        <v>0</v>
      </c>
      <c r="AB65" s="642">
        <v>0</v>
      </c>
      <c r="AC65" s="642">
        <v>0</v>
      </c>
      <c r="AD65" s="642">
        <v>0</v>
      </c>
      <c r="AE65" s="642">
        <v>0</v>
      </c>
      <c r="AF65" s="642">
        <v>0</v>
      </c>
      <c r="AG65" s="642">
        <v>0</v>
      </c>
      <c r="AH65" s="642">
        <v>0</v>
      </c>
      <c r="AI65" s="642">
        <v>0</v>
      </c>
      <c r="AJ65" s="642">
        <v>0</v>
      </c>
      <c r="AK65" s="650">
        <v>7.450306259209345</v>
      </c>
    </row>
    <row r="66" spans="3:37" ht="13.5">
      <c r="C66" s="648" t="s">
        <v>75</v>
      </c>
      <c r="D66" s="642">
        <v>11.144076015625002</v>
      </c>
      <c r="E66" s="642">
        <v>0</v>
      </c>
      <c r="F66" s="642">
        <v>18.451576715081096</v>
      </c>
      <c r="G66" s="642">
        <v>5.2652116849916704</v>
      </c>
      <c r="H66" s="642">
        <v>0</v>
      </c>
      <c r="I66" s="642">
        <v>0</v>
      </c>
      <c r="J66" s="642">
        <v>0</v>
      </c>
      <c r="K66" s="642">
        <v>0</v>
      </c>
      <c r="L66" s="642">
        <v>0</v>
      </c>
      <c r="M66" s="642">
        <v>0.10745329969370757</v>
      </c>
      <c r="N66" s="642">
        <v>0</v>
      </c>
      <c r="O66" s="642">
        <v>0</v>
      </c>
      <c r="P66" s="642">
        <v>33.522260759660846</v>
      </c>
      <c r="Q66" s="642">
        <v>0</v>
      </c>
      <c r="R66" s="642">
        <v>0</v>
      </c>
      <c r="S66" s="650">
        <v>68.490578475052317</v>
      </c>
      <c r="U66" s="648" t="s">
        <v>75</v>
      </c>
      <c r="V66" s="642">
        <v>4.4693862304687499</v>
      </c>
      <c r="W66" s="642">
        <v>0</v>
      </c>
      <c r="X66" s="642">
        <v>18.451576715081096</v>
      </c>
      <c r="Y66" s="642">
        <v>4.5667652369825715</v>
      </c>
      <c r="Z66" s="642">
        <v>0</v>
      </c>
      <c r="AA66" s="642">
        <v>0</v>
      </c>
      <c r="AB66" s="642">
        <v>0</v>
      </c>
      <c r="AC66" s="642">
        <v>0</v>
      </c>
      <c r="AD66" s="642">
        <v>0</v>
      </c>
      <c r="AE66" s="642">
        <v>0.8058997477028067</v>
      </c>
      <c r="AF66" s="642">
        <v>0</v>
      </c>
      <c r="AG66" s="642">
        <v>0</v>
      </c>
      <c r="AH66" s="642">
        <v>33.775215305115388</v>
      </c>
      <c r="AI66" s="642">
        <v>0</v>
      </c>
      <c r="AJ66" s="642">
        <v>0</v>
      </c>
      <c r="AK66" s="650">
        <v>62.068843235350613</v>
      </c>
    </row>
    <row r="67" spans="3:37" ht="13.5">
      <c r="C67" s="648" t="s">
        <v>76</v>
      </c>
      <c r="D67" s="642">
        <v>0</v>
      </c>
      <c r="E67" s="642">
        <v>0</v>
      </c>
      <c r="F67" s="642">
        <v>0</v>
      </c>
      <c r="G67" s="642">
        <v>3.8313802109978718</v>
      </c>
      <c r="H67" s="642">
        <v>0</v>
      </c>
      <c r="I67" s="642">
        <v>0</v>
      </c>
      <c r="J67" s="642">
        <v>0</v>
      </c>
      <c r="K67" s="642">
        <v>0</v>
      </c>
      <c r="L67" s="642">
        <v>0</v>
      </c>
      <c r="M67" s="642">
        <v>7.8191432877507586E-2</v>
      </c>
      <c r="N67" s="642">
        <v>0</v>
      </c>
      <c r="O67" s="642">
        <v>0</v>
      </c>
      <c r="P67" s="642">
        <v>42.744249460921445</v>
      </c>
      <c r="Q67" s="642">
        <v>2.9948048478615572</v>
      </c>
      <c r="R67" s="642">
        <v>0</v>
      </c>
      <c r="S67" s="650">
        <v>49.648625952658385</v>
      </c>
      <c r="U67" s="648" t="s">
        <v>76</v>
      </c>
      <c r="V67" s="642">
        <v>0</v>
      </c>
      <c r="W67" s="642">
        <v>0</v>
      </c>
      <c r="X67" s="642">
        <v>0</v>
      </c>
      <c r="Y67" s="642">
        <v>2.4425535766751323</v>
      </c>
      <c r="Z67" s="642">
        <v>0</v>
      </c>
      <c r="AA67" s="642">
        <v>0</v>
      </c>
      <c r="AB67" s="642">
        <v>0</v>
      </c>
      <c r="AC67" s="642">
        <v>0</v>
      </c>
      <c r="AD67" s="642">
        <v>0</v>
      </c>
      <c r="AE67" s="642">
        <v>0.43103886647208217</v>
      </c>
      <c r="AF67" s="642">
        <v>0</v>
      </c>
      <c r="AG67" s="642">
        <v>0</v>
      </c>
      <c r="AH67" s="642">
        <v>44.348699545879278</v>
      </c>
      <c r="AI67" s="642">
        <v>5.6786643797858867</v>
      </c>
      <c r="AJ67" s="642">
        <v>0</v>
      </c>
      <c r="AK67" s="650">
        <v>52.900956368812388</v>
      </c>
    </row>
    <row r="68" spans="3:37" ht="13.5">
      <c r="C68" s="646" t="s">
        <v>77</v>
      </c>
      <c r="D68" s="647">
        <v>42.627057125400256</v>
      </c>
      <c r="E68" s="647">
        <v>523.88910535010393</v>
      </c>
      <c r="F68" s="647">
        <v>-486.25029902863446</v>
      </c>
      <c r="G68" s="647">
        <v>44.598587346134217</v>
      </c>
      <c r="H68" s="647">
        <v>1075.0000000000002</v>
      </c>
      <c r="I68" s="647">
        <v>224.13674723416887</v>
      </c>
      <c r="J68" s="647">
        <v>83.541447222318993</v>
      </c>
      <c r="K68" s="647">
        <v>19.633041740965588</v>
      </c>
      <c r="L68" s="647">
        <v>-30.296984724016522</v>
      </c>
      <c r="M68" s="647">
        <v>-5.5459776813090693</v>
      </c>
      <c r="N68" s="647">
        <v>0</v>
      </c>
      <c r="O68" s="647">
        <v>5.2372199657233862</v>
      </c>
      <c r="P68" s="647">
        <v>-532.72264320989325</v>
      </c>
      <c r="Q68" s="647">
        <v>-35.594581328511254</v>
      </c>
      <c r="R68" s="647">
        <v>-2.3167044374903201</v>
      </c>
      <c r="S68" s="647">
        <v>925.93601557496061</v>
      </c>
      <c r="U68" s="646" t="s">
        <v>77</v>
      </c>
      <c r="V68" s="647">
        <v>8.7589246466696284</v>
      </c>
      <c r="W68" s="647">
        <v>342.62490869295175</v>
      </c>
      <c r="X68" s="647">
        <v>-312.73098258361676</v>
      </c>
      <c r="Y68" s="647">
        <v>53.445107496027774</v>
      </c>
      <c r="Z68" s="647">
        <v>994.39393939393949</v>
      </c>
      <c r="AA68" s="647">
        <v>248.70674723416883</v>
      </c>
      <c r="AB68" s="647">
        <v>93.928049103898687</v>
      </c>
      <c r="AC68" s="647">
        <v>32.303919388897036</v>
      </c>
      <c r="AD68" s="647">
        <v>-91.079559998548305</v>
      </c>
      <c r="AE68" s="647">
        <v>-26.781463608290892</v>
      </c>
      <c r="AF68" s="647">
        <v>0</v>
      </c>
      <c r="AG68" s="647">
        <v>11.393749064396903</v>
      </c>
      <c r="AH68" s="647">
        <v>-515.37291498548086</v>
      </c>
      <c r="AI68" s="647">
        <v>-67.545290041896138</v>
      </c>
      <c r="AJ68" s="647">
        <v>-15.176589062401579</v>
      </c>
      <c r="AK68" s="647">
        <v>756.86854474071572</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6.2002081056415257</v>
      </c>
      <c r="E70" s="642">
        <v>0</v>
      </c>
      <c r="F70" s="642">
        <v>23.255205938178186</v>
      </c>
      <c r="G70" s="642">
        <v>101.12865293850786</v>
      </c>
      <c r="H70" s="642">
        <v>0</v>
      </c>
      <c r="I70" s="642">
        <v>0</v>
      </c>
      <c r="J70" s="642">
        <v>19.565687098295676</v>
      </c>
      <c r="K70" s="642">
        <v>1.7744589215827917</v>
      </c>
      <c r="L70" s="642">
        <v>0.87520713476562495</v>
      </c>
      <c r="M70" s="642">
        <v>2.0825226770622867</v>
      </c>
      <c r="N70" s="642">
        <v>0</v>
      </c>
      <c r="O70" s="642">
        <v>3.8067188808088001E-4</v>
      </c>
      <c r="P70" s="642">
        <v>109.76937284793219</v>
      </c>
      <c r="Q70" s="642">
        <v>16.103287978552984</v>
      </c>
      <c r="R70" s="642">
        <v>0.32868640136718752</v>
      </c>
      <c r="S70" s="650">
        <v>281.08367071377444</v>
      </c>
      <c r="U70" s="648" t="s">
        <v>78</v>
      </c>
      <c r="V70" s="642">
        <v>1.01942505552247</v>
      </c>
      <c r="W70" s="642">
        <v>0</v>
      </c>
      <c r="X70" s="642">
        <v>12.936117077553076</v>
      </c>
      <c r="Y70" s="642">
        <v>67.349539979102474</v>
      </c>
      <c r="Z70" s="642">
        <v>0</v>
      </c>
      <c r="AA70" s="642">
        <v>0</v>
      </c>
      <c r="AB70" s="642">
        <v>16.313565187348217</v>
      </c>
      <c r="AC70" s="642">
        <v>5.7022810919996436</v>
      </c>
      <c r="AD70" s="642">
        <v>2.2588896484375001</v>
      </c>
      <c r="AE70" s="642">
        <v>11.903885554581411</v>
      </c>
      <c r="AF70" s="642">
        <v>0</v>
      </c>
      <c r="AG70" s="642">
        <v>3.8067188808088001E-4</v>
      </c>
      <c r="AH70" s="642">
        <v>135.13428233654639</v>
      </c>
      <c r="AI70" s="642">
        <v>21.466888656055119</v>
      </c>
      <c r="AJ70" s="642">
        <v>5.7972734375000003</v>
      </c>
      <c r="AK70" s="650">
        <v>279.88252869653439</v>
      </c>
    </row>
    <row r="71" spans="3:37" ht="13.5">
      <c r="C71" s="648" t="s">
        <v>79</v>
      </c>
      <c r="D71" s="642">
        <v>0</v>
      </c>
      <c r="E71" s="642">
        <v>0</v>
      </c>
      <c r="F71" s="642">
        <v>291.38745921478562</v>
      </c>
      <c r="G71" s="642">
        <v>24.020829745272028</v>
      </c>
      <c r="H71" s="642">
        <v>0</v>
      </c>
      <c r="I71" s="642">
        <v>0</v>
      </c>
      <c r="J71" s="642">
        <v>0</v>
      </c>
      <c r="K71" s="642">
        <v>0</v>
      </c>
      <c r="L71" s="642">
        <v>28.280041762715456</v>
      </c>
      <c r="M71" s="642">
        <v>0.49022101520963324</v>
      </c>
      <c r="N71" s="642">
        <v>0</v>
      </c>
      <c r="O71" s="642">
        <v>0</v>
      </c>
      <c r="P71" s="642">
        <v>46.654707564142761</v>
      </c>
      <c r="Q71" s="642">
        <v>0</v>
      </c>
      <c r="R71" s="642">
        <v>1.1135281120019407</v>
      </c>
      <c r="S71" s="650">
        <v>391.94678741412741</v>
      </c>
      <c r="U71" s="648" t="s">
        <v>79</v>
      </c>
      <c r="V71" s="642">
        <v>0</v>
      </c>
      <c r="W71" s="642">
        <v>0</v>
      </c>
      <c r="X71" s="642">
        <v>152.5395921226515</v>
      </c>
      <c r="Y71" s="642">
        <v>18.931026789455995</v>
      </c>
      <c r="Z71" s="642">
        <v>0</v>
      </c>
      <c r="AA71" s="642">
        <v>0</v>
      </c>
      <c r="AB71" s="642">
        <v>0</v>
      </c>
      <c r="AC71" s="642">
        <v>0</v>
      </c>
      <c r="AD71" s="642">
        <v>49.546406871337183</v>
      </c>
      <c r="AE71" s="642">
        <v>3.3407694334334113</v>
      </c>
      <c r="AF71" s="642">
        <v>0</v>
      </c>
      <c r="AG71" s="642">
        <v>0</v>
      </c>
      <c r="AH71" s="642">
        <v>60.923926311544285</v>
      </c>
      <c r="AI71" s="642">
        <v>0</v>
      </c>
      <c r="AJ71" s="642">
        <v>2.0956611258816777</v>
      </c>
      <c r="AK71" s="650">
        <v>287.37738265430403</v>
      </c>
    </row>
    <row r="72" spans="3:37" ht="13.5">
      <c r="C72" s="648" t="s">
        <v>80</v>
      </c>
      <c r="D72" s="642">
        <v>0</v>
      </c>
      <c r="E72" s="642">
        <v>0</v>
      </c>
      <c r="F72" s="642">
        <v>24.366054746482678</v>
      </c>
      <c r="G72" s="642">
        <v>88.830627596834503</v>
      </c>
      <c r="H72" s="642">
        <v>0</v>
      </c>
      <c r="I72" s="642">
        <v>0</v>
      </c>
      <c r="J72" s="642">
        <v>86.298448588028648</v>
      </c>
      <c r="K72" s="642">
        <v>0</v>
      </c>
      <c r="L72" s="642">
        <v>0</v>
      </c>
      <c r="M72" s="642">
        <v>1.8128699509558064</v>
      </c>
      <c r="N72" s="642">
        <v>49.305914152356948</v>
      </c>
      <c r="O72" s="642">
        <v>1.9759423218950023</v>
      </c>
      <c r="P72" s="642">
        <v>183.08170703950353</v>
      </c>
      <c r="Q72" s="642">
        <v>15.629207143582217</v>
      </c>
      <c r="R72" s="642">
        <v>0</v>
      </c>
      <c r="S72" s="650">
        <v>451.3007715396393</v>
      </c>
      <c r="U72" s="648" t="s">
        <v>80</v>
      </c>
      <c r="V72" s="642">
        <v>0</v>
      </c>
      <c r="W72" s="642">
        <v>0</v>
      </c>
      <c r="X72" s="642">
        <v>1.5212022418020299</v>
      </c>
      <c r="Y72" s="642">
        <v>34.748278571527685</v>
      </c>
      <c r="Z72" s="642">
        <v>0</v>
      </c>
      <c r="AA72" s="642">
        <v>0</v>
      </c>
      <c r="AB72" s="642">
        <v>75.181836567082826</v>
      </c>
      <c r="AC72" s="642">
        <v>0</v>
      </c>
      <c r="AD72" s="642">
        <v>0</v>
      </c>
      <c r="AE72" s="642">
        <v>6.1320491596813564</v>
      </c>
      <c r="AF72" s="642">
        <v>62.645467095100628</v>
      </c>
      <c r="AG72" s="642">
        <v>2.6978117080871646</v>
      </c>
      <c r="AH72" s="642">
        <v>158.40967854762758</v>
      </c>
      <c r="AI72" s="642">
        <v>35.928967439236224</v>
      </c>
      <c r="AJ72" s="642">
        <v>0</v>
      </c>
      <c r="AK72" s="650">
        <v>377.26529133014549</v>
      </c>
    </row>
    <row r="73" spans="3:37" ht="13.5">
      <c r="C73" s="648" t="s">
        <v>81</v>
      </c>
      <c r="D73" s="642">
        <v>0</v>
      </c>
      <c r="E73" s="642">
        <v>0</v>
      </c>
      <c r="F73" s="642">
        <v>9.1434406229634497</v>
      </c>
      <c r="G73" s="642">
        <v>62.772902131190932</v>
      </c>
      <c r="H73" s="642">
        <v>0</v>
      </c>
      <c r="I73" s="642">
        <v>0</v>
      </c>
      <c r="J73" s="642">
        <v>3.3792389882828151</v>
      </c>
      <c r="K73" s="642">
        <v>2.5053216415896862E-2</v>
      </c>
      <c r="L73" s="642">
        <v>0</v>
      </c>
      <c r="M73" s="642">
        <v>1.2810796353304272</v>
      </c>
      <c r="N73" s="642">
        <v>8.5204805498073064</v>
      </c>
      <c r="O73" s="642">
        <v>0.77988306826531983</v>
      </c>
      <c r="P73" s="642">
        <v>134.9475862077569</v>
      </c>
      <c r="Q73" s="642">
        <v>3.8620862063760555</v>
      </c>
      <c r="R73" s="642">
        <v>0</v>
      </c>
      <c r="S73" s="650">
        <v>224.71175062638912</v>
      </c>
      <c r="U73" s="648" t="s">
        <v>81</v>
      </c>
      <c r="V73" s="642">
        <v>0</v>
      </c>
      <c r="W73" s="642">
        <v>0</v>
      </c>
      <c r="X73" s="642">
        <v>2.5747324311170368</v>
      </c>
      <c r="Y73" s="642">
        <v>28.050706446538126</v>
      </c>
      <c r="Z73" s="642">
        <v>0</v>
      </c>
      <c r="AA73" s="642">
        <v>0</v>
      </c>
      <c r="AB73" s="642">
        <v>7.5276105699702738</v>
      </c>
      <c r="AC73" s="642">
        <v>2.5053216415896862E-2</v>
      </c>
      <c r="AD73" s="642">
        <v>0</v>
      </c>
      <c r="AE73" s="642">
        <v>4.9501246670361398</v>
      </c>
      <c r="AF73" s="642">
        <v>14.347345485370148</v>
      </c>
      <c r="AG73" s="642">
        <v>1.6839822655905561</v>
      </c>
      <c r="AH73" s="642">
        <v>120.05488498756245</v>
      </c>
      <c r="AI73" s="642">
        <v>10.149433946604795</v>
      </c>
      <c r="AJ73" s="642">
        <v>0</v>
      </c>
      <c r="AK73" s="650">
        <v>189.36387401620541</v>
      </c>
    </row>
    <row r="74" spans="3:37" ht="13.5">
      <c r="C74" s="648" t="s">
        <v>82</v>
      </c>
      <c r="D74" s="642">
        <v>0</v>
      </c>
      <c r="E74" s="642">
        <v>0</v>
      </c>
      <c r="F74" s="642">
        <v>31.378359933180146</v>
      </c>
      <c r="G74" s="642">
        <v>1.761464702880946</v>
      </c>
      <c r="H74" s="642">
        <v>0</v>
      </c>
      <c r="I74" s="642">
        <v>0</v>
      </c>
      <c r="J74" s="642">
        <v>2.5129576329044134</v>
      </c>
      <c r="K74" s="642">
        <v>0</v>
      </c>
      <c r="L74" s="642">
        <v>2.7366524531426237</v>
      </c>
      <c r="M74" s="642">
        <v>3.5948259242468285E-2</v>
      </c>
      <c r="N74" s="642">
        <v>0</v>
      </c>
      <c r="O74" s="642">
        <v>7.8328904674825409E-2</v>
      </c>
      <c r="P74" s="642">
        <v>7.1029233048090266</v>
      </c>
      <c r="Q74" s="642">
        <v>0</v>
      </c>
      <c r="R74" s="642">
        <v>0</v>
      </c>
      <c r="S74" s="650">
        <v>45.606635190834446</v>
      </c>
      <c r="U74" s="648" t="s">
        <v>82</v>
      </c>
      <c r="V74" s="642">
        <v>0</v>
      </c>
      <c r="W74" s="642">
        <v>0</v>
      </c>
      <c r="X74" s="642">
        <v>18.696617357576709</v>
      </c>
      <c r="Y74" s="642">
        <v>1.906896096641761</v>
      </c>
      <c r="Z74" s="642">
        <v>0</v>
      </c>
      <c r="AA74" s="642">
        <v>0</v>
      </c>
      <c r="AB74" s="642">
        <v>2.5129576329044134</v>
      </c>
      <c r="AC74" s="642">
        <v>0</v>
      </c>
      <c r="AD74" s="642">
        <v>18.28747352858748</v>
      </c>
      <c r="AE74" s="642">
        <v>0.33651107587795781</v>
      </c>
      <c r="AF74" s="642">
        <v>0</v>
      </c>
      <c r="AG74" s="642">
        <v>0.96290247555165809</v>
      </c>
      <c r="AH74" s="642">
        <v>7.1739705565638916</v>
      </c>
      <c r="AI74" s="642">
        <v>0</v>
      </c>
      <c r="AJ74" s="642">
        <v>0.24940873791150003</v>
      </c>
      <c r="AK74" s="650">
        <v>50.12673746161537</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0.22499999999999998</v>
      </c>
      <c r="Q75" s="642">
        <v>0</v>
      </c>
      <c r="R75" s="642">
        <v>0</v>
      </c>
      <c r="S75" s="650">
        <v>0.22499999999999998</v>
      </c>
      <c r="U75" s="648" t="s">
        <v>357</v>
      </c>
      <c r="V75" s="642">
        <v>0</v>
      </c>
      <c r="W75" s="642">
        <v>0</v>
      </c>
      <c r="X75" s="642">
        <v>0</v>
      </c>
      <c r="Y75" s="642">
        <v>0</v>
      </c>
      <c r="Z75" s="642">
        <v>0</v>
      </c>
      <c r="AA75" s="642">
        <v>0</v>
      </c>
      <c r="AB75" s="642">
        <v>0</v>
      </c>
      <c r="AC75" s="642">
        <v>0</v>
      </c>
      <c r="AD75" s="642">
        <v>0</v>
      </c>
      <c r="AE75" s="642">
        <v>0</v>
      </c>
      <c r="AF75" s="642">
        <v>0</v>
      </c>
      <c r="AG75" s="642">
        <v>0</v>
      </c>
      <c r="AH75" s="642">
        <v>1.2</v>
      </c>
      <c r="AI75" s="642">
        <v>0</v>
      </c>
      <c r="AJ75" s="642">
        <v>0</v>
      </c>
      <c r="AK75" s="650">
        <v>1.2</v>
      </c>
    </row>
    <row r="76" spans="3:37" ht="13.5">
      <c r="C76" s="646" t="s">
        <v>83</v>
      </c>
      <c r="D76" s="647">
        <v>6.2002081056415257</v>
      </c>
      <c r="E76" s="647">
        <v>0</v>
      </c>
      <c r="F76" s="647">
        <v>379.53052045559002</v>
      </c>
      <c r="G76" s="647">
        <v>278.51447711468631</v>
      </c>
      <c r="H76" s="647">
        <v>0</v>
      </c>
      <c r="I76" s="647">
        <v>0</v>
      </c>
      <c r="J76" s="647">
        <v>111.75633230751156</v>
      </c>
      <c r="K76" s="647">
        <v>1.7995121379986885</v>
      </c>
      <c r="L76" s="647">
        <v>31.891901350623705</v>
      </c>
      <c r="M76" s="647">
        <v>5.7026415378006226</v>
      </c>
      <c r="N76" s="647">
        <v>57.826394702164251</v>
      </c>
      <c r="O76" s="647">
        <v>2.8345349667232282</v>
      </c>
      <c r="P76" s="647">
        <v>481.78129696414442</v>
      </c>
      <c r="Q76" s="647">
        <v>35.594581328511254</v>
      </c>
      <c r="R76" s="647">
        <v>1.4422145133691282</v>
      </c>
      <c r="S76" s="647">
        <v>1394.8746154847647</v>
      </c>
      <c r="U76" s="646" t="s">
        <v>83</v>
      </c>
      <c r="V76" s="647">
        <v>1.01942505552247</v>
      </c>
      <c r="W76" s="647">
        <v>0</v>
      </c>
      <c r="X76" s="647">
        <v>188.26826123070035</v>
      </c>
      <c r="Y76" s="647">
        <v>150.98644788326604</v>
      </c>
      <c r="Z76" s="647">
        <v>0</v>
      </c>
      <c r="AA76" s="647">
        <v>0</v>
      </c>
      <c r="AB76" s="647">
        <v>101.53596995730574</v>
      </c>
      <c r="AC76" s="647">
        <v>5.727334308415541</v>
      </c>
      <c r="AD76" s="647">
        <v>70.092770048362169</v>
      </c>
      <c r="AE76" s="647">
        <v>26.663339890610278</v>
      </c>
      <c r="AF76" s="647">
        <v>76.992812580470769</v>
      </c>
      <c r="AG76" s="647">
        <v>5.3450771211174599</v>
      </c>
      <c r="AH76" s="647">
        <v>482.89674273984457</v>
      </c>
      <c r="AI76" s="647">
        <v>67.545290041896138</v>
      </c>
      <c r="AJ76" s="647">
        <v>8.1423433012931774</v>
      </c>
      <c r="AK76" s="647">
        <v>1185.2158141588047</v>
      </c>
    </row>
    <row r="77" spans="3:37" ht="13.5">
      <c r="C77" s="641" t="s">
        <v>84</v>
      </c>
      <c r="D77" s="642">
        <v>0</v>
      </c>
      <c r="E77" s="642">
        <v>0</v>
      </c>
      <c r="F77" s="642">
        <v>114.78425758185857</v>
      </c>
      <c r="G77" s="642">
        <v>12.028714359769619</v>
      </c>
      <c r="H77" s="642">
        <v>0</v>
      </c>
      <c r="I77" s="642">
        <v>0</v>
      </c>
      <c r="J77" s="642">
        <v>0</v>
      </c>
      <c r="K77" s="642">
        <v>0</v>
      </c>
      <c r="L77" s="642">
        <v>0</v>
      </c>
      <c r="M77" s="642">
        <v>0</v>
      </c>
      <c r="N77" s="642">
        <v>0</v>
      </c>
      <c r="O77" s="642">
        <v>0</v>
      </c>
      <c r="P77" s="642">
        <v>0</v>
      </c>
      <c r="Q77" s="642">
        <v>0</v>
      </c>
      <c r="R77" s="642">
        <v>0.87448992412119186</v>
      </c>
      <c r="S77" s="650">
        <v>127.68746186574938</v>
      </c>
      <c r="U77" s="641" t="s">
        <v>84</v>
      </c>
      <c r="V77" s="642">
        <v>0</v>
      </c>
      <c r="W77" s="642">
        <v>0</v>
      </c>
      <c r="X77" s="642">
        <v>99.887922338380434</v>
      </c>
      <c r="Y77" s="642">
        <v>1.4617397027131513</v>
      </c>
      <c r="Z77" s="642">
        <v>0</v>
      </c>
      <c r="AA77" s="642">
        <v>0</v>
      </c>
      <c r="AB77" s="642">
        <v>0</v>
      </c>
      <c r="AC77" s="642">
        <v>0</v>
      </c>
      <c r="AD77" s="642">
        <v>9.6859590362548822</v>
      </c>
      <c r="AE77" s="642">
        <v>0</v>
      </c>
      <c r="AF77" s="642">
        <v>0</v>
      </c>
      <c r="AG77" s="642">
        <v>0</v>
      </c>
      <c r="AH77" s="642">
        <v>0</v>
      </c>
      <c r="AI77" s="642">
        <v>0</v>
      </c>
      <c r="AJ77" s="642">
        <v>7.0342457611083988</v>
      </c>
      <c r="AK77" s="650">
        <v>118.06986683845686</v>
      </c>
    </row>
    <row r="78" spans="3:37" ht="13.5">
      <c r="C78" s="646" t="s">
        <v>85</v>
      </c>
      <c r="D78" s="647">
        <v>6.2002081056415257</v>
      </c>
      <c r="E78" s="647">
        <v>0</v>
      </c>
      <c r="F78" s="647">
        <v>494.3147780374486</v>
      </c>
      <c r="G78" s="647">
        <v>290.54319147445591</v>
      </c>
      <c r="H78" s="647">
        <v>0</v>
      </c>
      <c r="I78" s="647">
        <v>0</v>
      </c>
      <c r="J78" s="647">
        <v>111.75633230751156</v>
      </c>
      <c r="K78" s="647">
        <v>1.7995121379986885</v>
      </c>
      <c r="L78" s="647">
        <v>31.891901350623705</v>
      </c>
      <c r="M78" s="647">
        <v>5.7026415378006226</v>
      </c>
      <c r="N78" s="647">
        <v>57.826394702164251</v>
      </c>
      <c r="O78" s="647">
        <v>2.8345349667232282</v>
      </c>
      <c r="P78" s="647">
        <v>481.78129696414442</v>
      </c>
      <c r="Q78" s="647">
        <v>35.594581328511254</v>
      </c>
      <c r="R78" s="647">
        <v>2.3167044374903201</v>
      </c>
      <c r="S78" s="647">
        <v>1522.5620773505141</v>
      </c>
      <c r="U78" s="646" t="s">
        <v>85</v>
      </c>
      <c r="V78" s="647">
        <v>1.01942505552247</v>
      </c>
      <c r="W78" s="647">
        <v>0</v>
      </c>
      <c r="X78" s="647">
        <v>288.15618356908084</v>
      </c>
      <c r="Y78" s="647">
        <v>152.44818758597918</v>
      </c>
      <c r="Z78" s="647">
        <v>0</v>
      </c>
      <c r="AA78" s="647">
        <v>0</v>
      </c>
      <c r="AB78" s="647">
        <v>101.53596995730574</v>
      </c>
      <c r="AC78" s="647">
        <v>5.727334308415541</v>
      </c>
      <c r="AD78" s="647">
        <v>79.778729084617055</v>
      </c>
      <c r="AE78" s="647">
        <v>26.663339890610278</v>
      </c>
      <c r="AF78" s="647">
        <v>76.992812580470769</v>
      </c>
      <c r="AG78" s="647">
        <v>5.3450771211174599</v>
      </c>
      <c r="AH78" s="647">
        <v>482.89674273984457</v>
      </c>
      <c r="AI78" s="647">
        <v>67.545290041896138</v>
      </c>
      <c r="AJ78" s="647">
        <v>15.176589062401575</v>
      </c>
      <c r="AK78" s="647">
        <v>1303.2856809972616</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362</v>
      </c>
      <c r="D80" s="699"/>
      <c r="E80" s="699"/>
      <c r="F80" s="699"/>
      <c r="G80" s="699"/>
      <c r="H80" s="699"/>
      <c r="I80" s="699"/>
      <c r="J80" s="699"/>
      <c r="K80" s="699"/>
      <c r="L80" s="699"/>
      <c r="M80" s="699"/>
      <c r="N80" s="699"/>
      <c r="O80" s="699"/>
      <c r="P80" s="699"/>
      <c r="Q80" s="699"/>
      <c r="R80" s="699"/>
      <c r="S80" s="699"/>
      <c r="U80" s="699" t="s">
        <v>362</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2.3260000000000005</v>
      </c>
      <c r="F84" s="643">
        <v>0</v>
      </c>
      <c r="G84" s="642">
        <v>3.7216000000000006E-2</v>
      </c>
      <c r="H84" s="643">
        <v>1005.4545454545456</v>
      </c>
      <c r="I84" s="643">
        <v>248.9826967827097</v>
      </c>
      <c r="J84" s="643">
        <v>189.82090717884753</v>
      </c>
      <c r="K84" s="643">
        <v>21.067323208066789</v>
      </c>
      <c r="L84" s="643">
        <v>0.444514092196865</v>
      </c>
      <c r="M84" s="643">
        <v>0.15770970126630299</v>
      </c>
      <c r="N84" s="643">
        <v>60.832905155553725</v>
      </c>
      <c r="O84" s="643">
        <v>10.347989753579439</v>
      </c>
      <c r="P84" s="644">
        <v>0</v>
      </c>
      <c r="Q84" s="643">
        <v>0</v>
      </c>
      <c r="R84" s="643">
        <v>0</v>
      </c>
      <c r="S84" s="645">
        <v>1539.4718073267661</v>
      </c>
      <c r="U84" s="641" t="s">
        <v>59</v>
      </c>
      <c r="V84" s="642">
        <v>0</v>
      </c>
      <c r="W84" s="643">
        <v>2.3260000000000005</v>
      </c>
      <c r="X84" s="643">
        <v>0</v>
      </c>
      <c r="Y84" s="642">
        <v>3.7216000000000006E-2</v>
      </c>
      <c r="Z84" s="643">
        <v>949.39393939393938</v>
      </c>
      <c r="AA84" s="643">
        <v>279.58269678270966</v>
      </c>
      <c r="AB84" s="643">
        <v>196.53145821434362</v>
      </c>
      <c r="AC84" s="643">
        <v>37.828582612394825</v>
      </c>
      <c r="AD84" s="643">
        <v>0.444514092196865</v>
      </c>
      <c r="AE84" s="643">
        <v>0.15770970126630299</v>
      </c>
      <c r="AF84" s="643">
        <v>86.476611770328219</v>
      </c>
      <c r="AG84" s="643">
        <v>21.065809354780896</v>
      </c>
      <c r="AH84" s="644">
        <v>0</v>
      </c>
      <c r="AI84" s="643">
        <v>0</v>
      </c>
      <c r="AJ84" s="643">
        <v>0</v>
      </c>
      <c r="AK84" s="645">
        <v>1573.8445379219597</v>
      </c>
    </row>
    <row r="85" spans="3:37" ht="13.5">
      <c r="C85" s="641" t="s">
        <v>60</v>
      </c>
      <c r="D85" s="642">
        <v>48.372001461449948</v>
      </c>
      <c r="E85" s="643">
        <v>509.74501402008315</v>
      </c>
      <c r="F85" s="643">
        <v>84.255119008679685</v>
      </c>
      <c r="G85" s="642">
        <v>333.85211586331565</v>
      </c>
      <c r="H85" s="643">
        <v>0</v>
      </c>
      <c r="I85" s="643">
        <v>0</v>
      </c>
      <c r="J85" s="643">
        <v>4.1218275156281265</v>
      </c>
      <c r="K85" s="643">
        <v>0</v>
      </c>
      <c r="L85" s="643">
        <v>2.2815668000430724</v>
      </c>
      <c r="M85" s="643">
        <v>0</v>
      </c>
      <c r="N85" s="643">
        <v>0</v>
      </c>
      <c r="O85" s="643">
        <v>0</v>
      </c>
      <c r="P85" s="644">
        <v>0</v>
      </c>
      <c r="Q85" s="643">
        <v>0</v>
      </c>
      <c r="R85" s="643">
        <v>0</v>
      </c>
      <c r="S85" s="645">
        <v>982.62764466919975</v>
      </c>
      <c r="U85" s="641" t="s">
        <v>60</v>
      </c>
      <c r="V85" s="642">
        <v>8.3965846696126416</v>
      </c>
      <c r="W85" s="643">
        <v>294.49378048971494</v>
      </c>
      <c r="X85" s="643">
        <v>18.517216360631103</v>
      </c>
      <c r="Y85" s="642">
        <v>163.11536747865699</v>
      </c>
      <c r="Z85" s="643">
        <v>0</v>
      </c>
      <c r="AA85" s="643">
        <v>0</v>
      </c>
      <c r="AB85" s="643">
        <v>4.1218275156281265</v>
      </c>
      <c r="AC85" s="643">
        <v>0</v>
      </c>
      <c r="AD85" s="643">
        <v>2.2815668000430724</v>
      </c>
      <c r="AE85" s="643">
        <v>0</v>
      </c>
      <c r="AF85" s="643">
        <v>0</v>
      </c>
      <c r="AG85" s="643">
        <v>0</v>
      </c>
      <c r="AH85" s="644">
        <v>0</v>
      </c>
      <c r="AI85" s="643">
        <v>0</v>
      </c>
      <c r="AJ85" s="643">
        <v>0</v>
      </c>
      <c r="AK85" s="645">
        <v>490.9263433142869</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-38.942042128507637</v>
      </c>
      <c r="Q86" s="643">
        <v>0</v>
      </c>
      <c r="R86" s="643">
        <v>0</v>
      </c>
      <c r="S86" s="645">
        <v>-38.942042128507637</v>
      </c>
      <c r="U86" s="641" t="s">
        <v>61</v>
      </c>
      <c r="V86" s="642">
        <v>0</v>
      </c>
      <c r="W86" s="643">
        <v>0</v>
      </c>
      <c r="X86" s="643">
        <v>0</v>
      </c>
      <c r="Y86" s="642">
        <v>0</v>
      </c>
      <c r="Z86" s="643">
        <v>0</v>
      </c>
      <c r="AA86" s="643">
        <v>0</v>
      </c>
      <c r="AB86" s="643">
        <v>0</v>
      </c>
      <c r="AC86" s="643">
        <v>0</v>
      </c>
      <c r="AD86" s="643">
        <v>0</v>
      </c>
      <c r="AE86" s="643">
        <v>0</v>
      </c>
      <c r="AF86" s="643">
        <v>0</v>
      </c>
      <c r="AG86" s="643">
        <v>0</v>
      </c>
      <c r="AH86" s="644">
        <v>-20.693548582118865</v>
      </c>
      <c r="AI86" s="643">
        <v>0</v>
      </c>
      <c r="AJ86" s="643">
        <v>0</v>
      </c>
      <c r="AK86" s="645">
        <v>-20.693548582118865</v>
      </c>
    </row>
    <row r="87" spans="3:37" ht="13.5">
      <c r="C87" s="641" t="s">
        <v>62</v>
      </c>
      <c r="D87" s="642">
        <v>0</v>
      </c>
      <c r="E87" s="643">
        <v>0</v>
      </c>
      <c r="F87" s="643">
        <v>-16.016991189558784</v>
      </c>
      <c r="G87" s="642">
        <v>0</v>
      </c>
      <c r="H87" s="643">
        <v>0</v>
      </c>
      <c r="I87" s="643">
        <v>0</v>
      </c>
      <c r="J87" s="643">
        <v>0</v>
      </c>
      <c r="K87" s="643">
        <v>0</v>
      </c>
      <c r="L87" s="643">
        <v>0</v>
      </c>
      <c r="M87" s="643">
        <v>0</v>
      </c>
      <c r="N87" s="643">
        <v>0</v>
      </c>
      <c r="O87" s="643">
        <v>0</v>
      </c>
      <c r="P87" s="644">
        <v>0</v>
      </c>
      <c r="Q87" s="643">
        <v>0</v>
      </c>
      <c r="R87" s="643">
        <v>0</v>
      </c>
      <c r="S87" s="645">
        <v>-16.016991189558784</v>
      </c>
      <c r="U87" s="641" t="s">
        <v>62</v>
      </c>
      <c r="V87" s="642">
        <v>0</v>
      </c>
      <c r="W87" s="643">
        <v>0</v>
      </c>
      <c r="X87" s="643">
        <v>-11.216317309287092</v>
      </c>
      <c r="Y87" s="642">
        <v>-1.9971079411498778</v>
      </c>
      <c r="Z87" s="643">
        <v>0</v>
      </c>
      <c r="AA87" s="643">
        <v>0</v>
      </c>
      <c r="AB87" s="643">
        <v>0</v>
      </c>
      <c r="AC87" s="643">
        <v>0</v>
      </c>
      <c r="AD87" s="643">
        <v>0</v>
      </c>
      <c r="AE87" s="643">
        <v>-0.69888193239441998</v>
      </c>
      <c r="AF87" s="643">
        <v>0</v>
      </c>
      <c r="AG87" s="643">
        <v>0</v>
      </c>
      <c r="AH87" s="644">
        <v>0</v>
      </c>
      <c r="AI87" s="643">
        <v>0</v>
      </c>
      <c r="AJ87" s="643">
        <v>0</v>
      </c>
      <c r="AK87" s="645">
        <v>-13.912307182831389</v>
      </c>
    </row>
    <row r="88" spans="3:37" ht="13.5">
      <c r="C88" s="641" t="s">
        <v>63</v>
      </c>
      <c r="D88" s="642">
        <v>0</v>
      </c>
      <c r="E88" s="643">
        <v>0</v>
      </c>
      <c r="F88" s="643">
        <v>-85.676103269538828</v>
      </c>
      <c r="G88" s="642">
        <v>0</v>
      </c>
      <c r="H88" s="643">
        <v>0</v>
      </c>
      <c r="I88" s="643">
        <v>0</v>
      </c>
      <c r="J88" s="643">
        <v>0</v>
      </c>
      <c r="K88" s="643">
        <v>0</v>
      </c>
      <c r="L88" s="643">
        <v>-0.88445591317339634</v>
      </c>
      <c r="M88" s="643">
        <v>0</v>
      </c>
      <c r="N88" s="643">
        <v>0</v>
      </c>
      <c r="O88" s="643">
        <v>0</v>
      </c>
      <c r="P88" s="644">
        <v>0</v>
      </c>
      <c r="Q88" s="643">
        <v>0</v>
      </c>
      <c r="R88" s="643">
        <v>0</v>
      </c>
      <c r="S88" s="645">
        <v>-86.560559182712225</v>
      </c>
      <c r="U88" s="641" t="s">
        <v>63</v>
      </c>
      <c r="V88" s="642">
        <v>0</v>
      </c>
      <c r="W88" s="643">
        <v>0</v>
      </c>
      <c r="X88" s="643">
        <v>-61.793178017106612</v>
      </c>
      <c r="Y88" s="642">
        <v>0</v>
      </c>
      <c r="Z88" s="643">
        <v>0</v>
      </c>
      <c r="AA88" s="643">
        <v>0</v>
      </c>
      <c r="AB88" s="643">
        <v>0</v>
      </c>
      <c r="AC88" s="643">
        <v>0</v>
      </c>
      <c r="AD88" s="643">
        <v>-20.442150229714262</v>
      </c>
      <c r="AE88" s="643">
        <v>0</v>
      </c>
      <c r="AF88" s="643">
        <v>0</v>
      </c>
      <c r="AG88" s="643">
        <v>0</v>
      </c>
      <c r="AH88" s="644">
        <v>0</v>
      </c>
      <c r="AI88" s="643">
        <v>0</v>
      </c>
      <c r="AJ88" s="643">
        <v>0</v>
      </c>
      <c r="AK88" s="645">
        <v>-82.23532824682087</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48.372001461449948</v>
      </c>
      <c r="E90" s="647">
        <v>512.07101402008311</v>
      </c>
      <c r="F90" s="647">
        <v>-17.437975450417916</v>
      </c>
      <c r="G90" s="647">
        <v>333.88933186331565</v>
      </c>
      <c r="H90" s="647">
        <v>1005.4545454545456</v>
      </c>
      <c r="I90" s="647">
        <v>248.9826967827097</v>
      </c>
      <c r="J90" s="647">
        <v>193.94273469447566</v>
      </c>
      <c r="K90" s="647">
        <v>21.067323208066789</v>
      </c>
      <c r="L90" s="647">
        <v>1.8416249790665411</v>
      </c>
      <c r="M90" s="647">
        <v>0.15770970126630299</v>
      </c>
      <c r="N90" s="647">
        <v>60.832905155553725</v>
      </c>
      <c r="O90" s="647">
        <v>10.347989753579439</v>
      </c>
      <c r="P90" s="647">
        <v>-38.942042128507637</v>
      </c>
      <c r="Q90" s="647">
        <v>0</v>
      </c>
      <c r="R90" s="647">
        <v>0</v>
      </c>
      <c r="S90" s="647">
        <v>2380.5798594951875</v>
      </c>
      <c r="U90" s="646" t="s">
        <v>65</v>
      </c>
      <c r="V90" s="647">
        <v>8.3965846696126416</v>
      </c>
      <c r="W90" s="647">
        <v>296.81978048971496</v>
      </c>
      <c r="X90" s="647">
        <v>-54.492278965762601</v>
      </c>
      <c r="Y90" s="647">
        <v>161.15547553750713</v>
      </c>
      <c r="Z90" s="647">
        <v>949.39393939393938</v>
      </c>
      <c r="AA90" s="647">
        <v>279.58269678270966</v>
      </c>
      <c r="AB90" s="647">
        <v>200.65328572997174</v>
      </c>
      <c r="AC90" s="647">
        <v>37.828582612394825</v>
      </c>
      <c r="AD90" s="647">
        <v>-17.716069337474323</v>
      </c>
      <c r="AE90" s="647">
        <v>-0.54117223112811697</v>
      </c>
      <c r="AF90" s="647">
        <v>86.476611770328219</v>
      </c>
      <c r="AG90" s="647">
        <v>21.065809354780896</v>
      </c>
      <c r="AH90" s="647">
        <v>-20.693548582118865</v>
      </c>
      <c r="AI90" s="647">
        <v>0</v>
      </c>
      <c r="AJ90" s="647">
        <v>0</v>
      </c>
      <c r="AK90" s="647">
        <v>1947.9296972244754</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7.7008933134364401</v>
      </c>
      <c r="G93" s="642">
        <v>17.192982456140349</v>
      </c>
      <c r="H93" s="642">
        <v>1005.4545454545456</v>
      </c>
      <c r="I93" s="642">
        <v>248.9826967827097</v>
      </c>
      <c r="J93" s="651">
        <v>29.95115714704033</v>
      </c>
      <c r="K93" s="651">
        <v>7.1699357941539494</v>
      </c>
      <c r="L93" s="651">
        <v>2.7260808922399375</v>
      </c>
      <c r="M93" s="651">
        <v>0.47574727688811397</v>
      </c>
      <c r="N93" s="651">
        <v>0</v>
      </c>
      <c r="O93" s="651">
        <v>5.3758847536792693</v>
      </c>
      <c r="P93" s="642">
        <v>-611.6040304377284</v>
      </c>
      <c r="Q93" s="642">
        <v>0</v>
      </c>
      <c r="R93" s="642">
        <v>0</v>
      </c>
      <c r="S93" s="650">
        <v>716.25267907413024</v>
      </c>
      <c r="U93" s="648" t="s">
        <v>350</v>
      </c>
      <c r="V93" s="642">
        <v>0.62631490545869017</v>
      </c>
      <c r="W93" s="642">
        <v>0</v>
      </c>
      <c r="X93" s="642">
        <v>3.8372569498000768</v>
      </c>
      <c r="Y93" s="642">
        <v>12.853333333333333</v>
      </c>
      <c r="Z93" s="642">
        <v>949.39393939393938</v>
      </c>
      <c r="AA93" s="642">
        <v>279.58269678270966</v>
      </c>
      <c r="AB93" s="651">
        <v>24.143657694158538</v>
      </c>
      <c r="AC93" s="651">
        <v>6.0680800758314266</v>
      </c>
      <c r="AD93" s="651">
        <v>2.7260808922399375</v>
      </c>
      <c r="AE93" s="651">
        <v>4.1838174523267107</v>
      </c>
      <c r="AF93" s="651">
        <v>0</v>
      </c>
      <c r="AG93" s="651">
        <v>5.3758847536792693</v>
      </c>
      <c r="AH93" s="642">
        <v>-621.90403043772824</v>
      </c>
      <c r="AI93" s="642">
        <v>0</v>
      </c>
      <c r="AJ93" s="642">
        <v>3.8</v>
      </c>
      <c r="AK93" s="650">
        <v>670.68703179574891</v>
      </c>
    </row>
    <row r="94" spans="3:37" ht="13.5">
      <c r="C94" s="648" t="s">
        <v>351</v>
      </c>
      <c r="D94" s="642">
        <v>0</v>
      </c>
      <c r="E94" s="642">
        <v>0</v>
      </c>
      <c r="F94" s="642">
        <v>0</v>
      </c>
      <c r="G94" s="642">
        <v>15.048436077523924</v>
      </c>
      <c r="H94" s="642">
        <v>0</v>
      </c>
      <c r="I94" s="642">
        <v>0</v>
      </c>
      <c r="J94" s="651">
        <v>12.74533322609016</v>
      </c>
      <c r="K94" s="651">
        <v>12.056480951460374</v>
      </c>
      <c r="L94" s="651">
        <v>0</v>
      </c>
      <c r="M94" s="651">
        <v>0.32133708059977345</v>
      </c>
      <c r="N94" s="651">
        <v>0</v>
      </c>
      <c r="O94" s="651">
        <v>2.1348201063802894</v>
      </c>
      <c r="P94" s="642">
        <v>0</v>
      </c>
      <c r="Q94" s="642">
        <v>-38.309646115177976</v>
      </c>
      <c r="R94" s="642">
        <v>0</v>
      </c>
      <c r="S94" s="650">
        <v>3.9967613268765492</v>
      </c>
      <c r="U94" s="648" t="s">
        <v>351</v>
      </c>
      <c r="V94" s="642">
        <v>0</v>
      </c>
      <c r="W94" s="642">
        <v>0</v>
      </c>
      <c r="X94" s="642">
        <v>0</v>
      </c>
      <c r="Y94" s="642">
        <v>12.803359009118745</v>
      </c>
      <c r="Z94" s="642">
        <v>0</v>
      </c>
      <c r="AA94" s="642">
        <v>0</v>
      </c>
      <c r="AB94" s="651">
        <v>28.717481814983032</v>
      </c>
      <c r="AC94" s="651">
        <v>25.924008984647354</v>
      </c>
      <c r="AD94" s="651">
        <v>0</v>
      </c>
      <c r="AE94" s="651">
        <v>4.0573921431217457</v>
      </c>
      <c r="AF94" s="651">
        <v>0</v>
      </c>
      <c r="AG94" s="651">
        <v>9.7357518308203428</v>
      </c>
      <c r="AH94" s="642">
        <v>0</v>
      </c>
      <c r="AI94" s="642">
        <v>-74.504230286476243</v>
      </c>
      <c r="AJ94" s="642">
        <v>0</v>
      </c>
      <c r="AK94" s="650">
        <v>6.7337634962149808</v>
      </c>
    </row>
    <row r="95" spans="3:37" ht="13.5">
      <c r="C95" s="648" t="s">
        <v>352</v>
      </c>
      <c r="D95" s="642">
        <v>0</v>
      </c>
      <c r="E95" s="642">
        <v>0</v>
      </c>
      <c r="F95" s="642">
        <v>0</v>
      </c>
      <c r="G95" s="642">
        <v>0</v>
      </c>
      <c r="H95" s="642">
        <v>0</v>
      </c>
      <c r="I95" s="642">
        <v>0</v>
      </c>
      <c r="J95" s="652">
        <v>7.2695194025067336</v>
      </c>
      <c r="K95" s="652">
        <v>0</v>
      </c>
      <c r="L95" s="652">
        <v>0</v>
      </c>
      <c r="M95" s="652">
        <v>-6.5716455398660871</v>
      </c>
      <c r="N95" s="652">
        <v>0</v>
      </c>
      <c r="O95" s="652">
        <v>0</v>
      </c>
      <c r="P95" s="642">
        <v>0</v>
      </c>
      <c r="Q95" s="642">
        <v>0</v>
      </c>
      <c r="R95" s="642">
        <v>0</v>
      </c>
      <c r="S95" s="650">
        <v>0.69787386264064644</v>
      </c>
      <c r="U95" s="648" t="s">
        <v>352</v>
      </c>
      <c r="V95" s="642">
        <v>0</v>
      </c>
      <c r="W95" s="642">
        <v>0</v>
      </c>
      <c r="X95" s="642">
        <v>0</v>
      </c>
      <c r="Y95" s="642">
        <v>0</v>
      </c>
      <c r="Z95" s="642">
        <v>0</v>
      </c>
      <c r="AA95" s="642">
        <v>0</v>
      </c>
      <c r="AB95" s="652">
        <v>56.55251118568826</v>
      </c>
      <c r="AC95" s="652">
        <v>0</v>
      </c>
      <c r="AD95" s="652">
        <v>0</v>
      </c>
      <c r="AE95" s="652">
        <v>-51.12347011186219</v>
      </c>
      <c r="AF95" s="652">
        <v>0</v>
      </c>
      <c r="AG95" s="652">
        <v>0</v>
      </c>
      <c r="AH95" s="642">
        <v>0</v>
      </c>
      <c r="AI95" s="642">
        <v>0</v>
      </c>
      <c r="AJ95" s="642">
        <v>0</v>
      </c>
      <c r="AK95" s="650">
        <v>5.4290410738260704</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530.45114623720224</v>
      </c>
      <c r="F97" s="642">
        <v>-525.1466347748302</v>
      </c>
      <c r="G97" s="642">
        <v>0</v>
      </c>
      <c r="H97" s="642">
        <v>0</v>
      </c>
      <c r="I97" s="642">
        <v>0</v>
      </c>
      <c r="J97" s="642">
        <v>0</v>
      </c>
      <c r="K97" s="642">
        <v>0</v>
      </c>
      <c r="L97" s="642">
        <v>0</v>
      </c>
      <c r="M97" s="642">
        <v>0</v>
      </c>
      <c r="N97" s="642">
        <v>0</v>
      </c>
      <c r="O97" s="642">
        <v>0</v>
      </c>
      <c r="P97" s="642">
        <v>0</v>
      </c>
      <c r="Q97" s="642">
        <v>0</v>
      </c>
      <c r="R97" s="642">
        <v>0</v>
      </c>
      <c r="S97" s="650">
        <v>5.3045114623720337</v>
      </c>
      <c r="U97" s="648" t="s">
        <v>72</v>
      </c>
      <c r="V97" s="642">
        <v>0</v>
      </c>
      <c r="W97" s="642">
        <v>307.47374578102756</v>
      </c>
      <c r="X97" s="642">
        <v>-304.39900832321729</v>
      </c>
      <c r="Y97" s="642">
        <v>0</v>
      </c>
      <c r="Z97" s="642">
        <v>0</v>
      </c>
      <c r="AA97" s="642">
        <v>0</v>
      </c>
      <c r="AB97" s="642">
        <v>0</v>
      </c>
      <c r="AC97" s="642">
        <v>0</v>
      </c>
      <c r="AD97" s="642">
        <v>0</v>
      </c>
      <c r="AE97" s="642">
        <v>0</v>
      </c>
      <c r="AF97" s="642">
        <v>0</v>
      </c>
      <c r="AG97" s="642">
        <v>0</v>
      </c>
      <c r="AH97" s="642">
        <v>0</v>
      </c>
      <c r="AI97" s="642">
        <v>0</v>
      </c>
      <c r="AJ97" s="642">
        <v>0</v>
      </c>
      <c r="AK97" s="650">
        <v>3.0747374578102722</v>
      </c>
    </row>
    <row r="98" spans="3:37" ht="13.5">
      <c r="C98" s="648" t="s">
        <v>354</v>
      </c>
      <c r="D98" s="642">
        <v>0</v>
      </c>
      <c r="E98" s="642">
        <v>0</v>
      </c>
      <c r="F98" s="642">
        <v>0</v>
      </c>
      <c r="G98" s="642">
        <v>0</v>
      </c>
      <c r="H98" s="642">
        <v>0</v>
      </c>
      <c r="I98" s="642">
        <v>0</v>
      </c>
      <c r="J98" s="642">
        <v>30.470996070194996</v>
      </c>
      <c r="K98" s="642">
        <v>0</v>
      </c>
      <c r="L98" s="642">
        <v>-30.470996070194996</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-92.079399970639116</v>
      </c>
      <c r="AE98" s="642">
        <v>0</v>
      </c>
      <c r="AF98" s="642">
        <v>0</v>
      </c>
      <c r="AG98" s="642">
        <v>0</v>
      </c>
      <c r="AH98" s="642">
        <v>0</v>
      </c>
      <c r="AI98" s="642">
        <v>0</v>
      </c>
      <c r="AJ98" s="642">
        <v>0</v>
      </c>
      <c r="AK98" s="650">
        <v>-92.079399970639116</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-18.857582137623396</v>
      </c>
      <c r="AE99" s="642">
        <v>0</v>
      </c>
      <c r="AF99" s="642">
        <v>0</v>
      </c>
      <c r="AG99" s="642">
        <v>0</v>
      </c>
      <c r="AH99" s="642">
        <v>0</v>
      </c>
      <c r="AI99" s="642">
        <v>0</v>
      </c>
      <c r="AJ99" s="642">
        <v>0</v>
      </c>
      <c r="AK99" s="650">
        <v>-18.857582137623396</v>
      </c>
    </row>
    <row r="100" spans="3:37" ht="13.5">
      <c r="C100" s="648" t="s">
        <v>73</v>
      </c>
      <c r="D100" s="642">
        <v>0</v>
      </c>
      <c r="E100" s="642">
        <v>0</v>
      </c>
      <c r="F100" s="642">
        <v>0</v>
      </c>
      <c r="G100" s="642">
        <v>4.2253053989858387</v>
      </c>
      <c r="H100" s="642">
        <v>0</v>
      </c>
      <c r="I100" s="642">
        <v>0</v>
      </c>
      <c r="J100" s="642">
        <v>0</v>
      </c>
      <c r="K100" s="642">
        <v>4.8227473393893973E-2</v>
      </c>
      <c r="L100" s="642">
        <v>0</v>
      </c>
      <c r="M100" s="642">
        <v>8.6230722428282419E-2</v>
      </c>
      <c r="N100" s="642">
        <v>0</v>
      </c>
      <c r="O100" s="642">
        <v>0</v>
      </c>
      <c r="P100" s="642">
        <v>0.47800681593948002</v>
      </c>
      <c r="Q100" s="642">
        <v>0</v>
      </c>
      <c r="R100" s="642">
        <v>-3.3759231375725771</v>
      </c>
      <c r="S100" s="650">
        <v>1.4618472731749175</v>
      </c>
      <c r="U100" s="648" t="s">
        <v>73</v>
      </c>
      <c r="V100" s="642">
        <v>0</v>
      </c>
      <c r="W100" s="642">
        <v>0</v>
      </c>
      <c r="X100" s="642">
        <v>0</v>
      </c>
      <c r="Y100" s="642">
        <v>6.2430459874299995</v>
      </c>
      <c r="Z100" s="642">
        <v>0</v>
      </c>
      <c r="AA100" s="642">
        <v>0</v>
      </c>
      <c r="AB100" s="642">
        <v>0</v>
      </c>
      <c r="AC100" s="642">
        <v>0.34514849554566557</v>
      </c>
      <c r="AD100" s="642">
        <v>0</v>
      </c>
      <c r="AE100" s="642">
        <v>1.9714882065568418</v>
      </c>
      <c r="AF100" s="642">
        <v>0</v>
      </c>
      <c r="AG100" s="642">
        <v>0</v>
      </c>
      <c r="AH100" s="642">
        <v>26.797369919651668</v>
      </c>
      <c r="AI100" s="642">
        <v>0</v>
      </c>
      <c r="AJ100" s="642">
        <v>-24.160394688196586</v>
      </c>
      <c r="AK100" s="650">
        <v>11.196657920987594</v>
      </c>
    </row>
    <row r="101" spans="3:37" ht="13.5">
      <c r="C101" s="648" t="s">
        <v>356</v>
      </c>
      <c r="D101" s="642">
        <v>28.633394531250001</v>
      </c>
      <c r="E101" s="642">
        <v>-18.380132217119058</v>
      </c>
      <c r="F101" s="642">
        <v>24.040127313749448</v>
      </c>
      <c r="G101" s="642">
        <v>0</v>
      </c>
      <c r="H101" s="642">
        <v>0</v>
      </c>
      <c r="I101" s="642">
        <v>0</v>
      </c>
      <c r="J101" s="642">
        <v>0</v>
      </c>
      <c r="K101" s="642">
        <v>0</v>
      </c>
      <c r="L101" s="642">
        <v>0</v>
      </c>
      <c r="M101" s="642">
        <v>0</v>
      </c>
      <c r="N101" s="642">
        <v>0</v>
      </c>
      <c r="O101" s="642">
        <v>0</v>
      </c>
      <c r="P101" s="642">
        <v>0</v>
      </c>
      <c r="Q101" s="642">
        <v>0</v>
      </c>
      <c r="R101" s="642">
        <v>0</v>
      </c>
      <c r="S101" s="650">
        <v>34.293389627880387</v>
      </c>
      <c r="U101" s="648" t="s">
        <v>356</v>
      </c>
      <c r="V101" s="642">
        <v>2.8339389038085936</v>
      </c>
      <c r="W101" s="642">
        <v>-10.653965291312606</v>
      </c>
      <c r="X101" s="642">
        <v>13.93475732241321</v>
      </c>
      <c r="Y101" s="642">
        <v>0</v>
      </c>
      <c r="Z101" s="642">
        <v>0</v>
      </c>
      <c r="AA101" s="642">
        <v>0</v>
      </c>
      <c r="AB101" s="642">
        <v>0</v>
      </c>
      <c r="AC101" s="642">
        <v>0</v>
      </c>
      <c r="AD101" s="642">
        <v>0</v>
      </c>
      <c r="AE101" s="642">
        <v>0</v>
      </c>
      <c r="AF101" s="642">
        <v>0</v>
      </c>
      <c r="AG101" s="642">
        <v>0</v>
      </c>
      <c r="AH101" s="642">
        <v>0</v>
      </c>
      <c r="AI101" s="642">
        <v>0</v>
      </c>
      <c r="AJ101" s="642">
        <v>0</v>
      </c>
      <c r="AK101" s="650">
        <v>6.1147309349091987</v>
      </c>
    </row>
    <row r="102" spans="3:37" ht="13.5">
      <c r="C102" s="648" t="s">
        <v>75</v>
      </c>
      <c r="D102" s="642">
        <v>11.135208984375002</v>
      </c>
      <c r="E102" s="642">
        <v>0</v>
      </c>
      <c r="F102" s="642">
        <v>18.035338972064878</v>
      </c>
      <c r="G102" s="642">
        <v>5.1464370207933356</v>
      </c>
      <c r="H102" s="642">
        <v>0</v>
      </c>
      <c r="I102" s="642">
        <v>0</v>
      </c>
      <c r="J102" s="642">
        <v>0</v>
      </c>
      <c r="K102" s="642">
        <v>0</v>
      </c>
      <c r="L102" s="642">
        <v>0</v>
      </c>
      <c r="M102" s="642">
        <v>0.10502932695496604</v>
      </c>
      <c r="N102" s="642">
        <v>0</v>
      </c>
      <c r="O102" s="642">
        <v>0</v>
      </c>
      <c r="P102" s="642">
        <v>31.859130537431355</v>
      </c>
      <c r="Q102" s="642">
        <v>0</v>
      </c>
      <c r="R102" s="642">
        <v>0</v>
      </c>
      <c r="S102" s="650">
        <v>66.281144841619536</v>
      </c>
      <c r="U102" s="648" t="s">
        <v>75</v>
      </c>
      <c r="V102" s="642">
        <v>3.871097900390625</v>
      </c>
      <c r="W102" s="642">
        <v>0</v>
      </c>
      <c r="X102" s="642">
        <v>18.035338972064878</v>
      </c>
      <c r="Y102" s="642">
        <v>3.9911144242887096</v>
      </c>
      <c r="Z102" s="642">
        <v>0</v>
      </c>
      <c r="AA102" s="642">
        <v>0</v>
      </c>
      <c r="AB102" s="642">
        <v>0</v>
      </c>
      <c r="AC102" s="642">
        <v>0</v>
      </c>
      <c r="AD102" s="642">
        <v>0</v>
      </c>
      <c r="AE102" s="642">
        <v>1.2603519234595923</v>
      </c>
      <c r="AF102" s="642">
        <v>0</v>
      </c>
      <c r="AG102" s="642">
        <v>0</v>
      </c>
      <c r="AH102" s="642">
        <v>35.363675991976798</v>
      </c>
      <c r="AI102" s="642">
        <v>0</v>
      </c>
      <c r="AJ102" s="642">
        <v>0</v>
      </c>
      <c r="AK102" s="650">
        <v>62.521579212180605</v>
      </c>
    </row>
    <row r="103" spans="3:37" ht="13.5">
      <c r="C103" s="648" t="s">
        <v>76</v>
      </c>
      <c r="D103" s="642">
        <v>0</v>
      </c>
      <c r="E103" s="642">
        <v>0</v>
      </c>
      <c r="F103" s="642">
        <v>0</v>
      </c>
      <c r="G103" s="642">
        <v>3.818307882847094</v>
      </c>
      <c r="H103" s="642">
        <v>0</v>
      </c>
      <c r="I103" s="642">
        <v>0</v>
      </c>
      <c r="J103" s="642">
        <v>0</v>
      </c>
      <c r="K103" s="642">
        <v>0</v>
      </c>
      <c r="L103" s="642">
        <v>0</v>
      </c>
      <c r="M103" s="642">
        <v>7.7924650670348858E-2</v>
      </c>
      <c r="N103" s="642">
        <v>0</v>
      </c>
      <c r="O103" s="642">
        <v>0</v>
      </c>
      <c r="P103" s="642">
        <v>43.831436480126726</v>
      </c>
      <c r="Q103" s="642">
        <v>2.9732290990631256</v>
      </c>
      <c r="R103" s="642">
        <v>0</v>
      </c>
      <c r="S103" s="650">
        <v>50.700898112707293</v>
      </c>
      <c r="U103" s="648" t="s">
        <v>76</v>
      </c>
      <c r="V103" s="642">
        <v>0</v>
      </c>
      <c r="W103" s="642">
        <v>0</v>
      </c>
      <c r="X103" s="642">
        <v>0</v>
      </c>
      <c r="Y103" s="642">
        <v>1.9196559923426515</v>
      </c>
      <c r="Z103" s="642">
        <v>0</v>
      </c>
      <c r="AA103" s="642">
        <v>0</v>
      </c>
      <c r="AB103" s="642">
        <v>0</v>
      </c>
      <c r="AC103" s="642">
        <v>0</v>
      </c>
      <c r="AD103" s="642">
        <v>0</v>
      </c>
      <c r="AE103" s="642">
        <v>0.60620715547662674</v>
      </c>
      <c r="AF103" s="642">
        <v>0</v>
      </c>
      <c r="AG103" s="642">
        <v>0</v>
      </c>
      <c r="AH103" s="642">
        <v>46.019363501687437</v>
      </c>
      <c r="AI103" s="642">
        <v>5.777975473960776</v>
      </c>
      <c r="AJ103" s="642">
        <v>0</v>
      </c>
      <c r="AK103" s="650">
        <v>54.323202123467496</v>
      </c>
    </row>
    <row r="104" spans="3:37" ht="13.5">
      <c r="C104" s="646" t="s">
        <v>77</v>
      </c>
      <c r="D104" s="647">
        <v>42.595389156650249</v>
      </c>
      <c r="E104" s="647">
        <v>512.07101402008323</v>
      </c>
      <c r="F104" s="647">
        <v>-475.37027517557942</v>
      </c>
      <c r="G104" s="647">
        <v>45.431468836290541</v>
      </c>
      <c r="H104" s="647">
        <v>1005.4545454545456</v>
      </c>
      <c r="I104" s="647">
        <v>248.9826967827097</v>
      </c>
      <c r="J104" s="647">
        <v>80.437005845832218</v>
      </c>
      <c r="K104" s="647">
        <v>19.274644219008216</v>
      </c>
      <c r="L104" s="647">
        <v>-27.744915177955058</v>
      </c>
      <c r="M104" s="647">
        <v>-5.5053764823246025</v>
      </c>
      <c r="N104" s="647">
        <v>0</v>
      </c>
      <c r="O104" s="647">
        <v>7.5107048600595583</v>
      </c>
      <c r="P104" s="647">
        <v>-535.43545660423092</v>
      </c>
      <c r="Q104" s="647">
        <v>-35.336417016114851</v>
      </c>
      <c r="R104" s="647">
        <v>-3.3759231375725771</v>
      </c>
      <c r="S104" s="647">
        <v>878.98910558140176</v>
      </c>
      <c r="U104" s="646" t="s">
        <v>77</v>
      </c>
      <c r="V104" s="647">
        <v>7.3313517096579091</v>
      </c>
      <c r="W104" s="647">
        <v>296.81978048971496</v>
      </c>
      <c r="X104" s="647">
        <v>-268.59165507893914</v>
      </c>
      <c r="Y104" s="647">
        <v>37.810508746513442</v>
      </c>
      <c r="Z104" s="647">
        <v>949.39393939393938</v>
      </c>
      <c r="AA104" s="647">
        <v>279.58269678270966</v>
      </c>
      <c r="AB104" s="647">
        <v>109.41365069482983</v>
      </c>
      <c r="AC104" s="647">
        <v>32.337237556024441</v>
      </c>
      <c r="AD104" s="647">
        <v>-108.21090121602258</v>
      </c>
      <c r="AE104" s="647">
        <v>-39.044213230920668</v>
      </c>
      <c r="AF104" s="647">
        <v>0</v>
      </c>
      <c r="AG104" s="647">
        <v>15.111636584499612</v>
      </c>
      <c r="AH104" s="647">
        <v>-513.7236210244123</v>
      </c>
      <c r="AI104" s="647">
        <v>-68.726254812515464</v>
      </c>
      <c r="AJ104" s="647">
        <v>-20.360394688196585</v>
      </c>
      <c r="AK104" s="647">
        <v>709.14376190688279</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5.7766123047996905</v>
      </c>
      <c r="E106" s="642">
        <v>0</v>
      </c>
      <c r="F106" s="642">
        <v>22.402619678599791</v>
      </c>
      <c r="G106" s="642">
        <v>99.281124041468402</v>
      </c>
      <c r="H106" s="642">
        <v>0</v>
      </c>
      <c r="I106" s="642">
        <v>0</v>
      </c>
      <c r="J106" s="642">
        <v>20.258622771310847</v>
      </c>
      <c r="K106" s="642">
        <v>1.7675748663376085</v>
      </c>
      <c r="L106" s="642">
        <v>0.898333240234375</v>
      </c>
      <c r="M106" s="642">
        <v>2.0447588657198987</v>
      </c>
      <c r="N106" s="642">
        <v>0</v>
      </c>
      <c r="O106" s="642">
        <v>3.7946622282562846E-4</v>
      </c>
      <c r="P106" s="642">
        <v>110.87393457022205</v>
      </c>
      <c r="Q106" s="642">
        <v>16.091742927144434</v>
      </c>
      <c r="R106" s="642">
        <v>0.31004003906249999</v>
      </c>
      <c r="S106" s="650">
        <v>279.70574277112252</v>
      </c>
      <c r="U106" s="648" t="s">
        <v>78</v>
      </c>
      <c r="V106" s="642">
        <v>1.065232959954733</v>
      </c>
      <c r="W106" s="642">
        <v>0</v>
      </c>
      <c r="X106" s="642">
        <v>10.225742404389669</v>
      </c>
      <c r="Y106" s="642">
        <v>56.981112862578769</v>
      </c>
      <c r="Z106" s="642">
        <v>0</v>
      </c>
      <c r="AA106" s="642">
        <v>0</v>
      </c>
      <c r="AB106" s="642">
        <v>15.894636498884354</v>
      </c>
      <c r="AC106" s="642">
        <v>5.4662409336494147</v>
      </c>
      <c r="AD106" s="642">
        <v>3.5459101562500011</v>
      </c>
      <c r="AE106" s="642">
        <v>18.012649117932849</v>
      </c>
      <c r="AF106" s="642">
        <v>0</v>
      </c>
      <c r="AG106" s="642">
        <v>3.7946622282562846E-4</v>
      </c>
      <c r="AH106" s="642">
        <v>139.02742097426295</v>
      </c>
      <c r="AI106" s="642">
        <v>22.276590949645215</v>
      </c>
      <c r="AJ106" s="642">
        <v>6.4302626953124999</v>
      </c>
      <c r="AK106" s="650">
        <v>278.92617901908329</v>
      </c>
    </row>
    <row r="107" spans="3:37" ht="13.5">
      <c r="C107" s="648" t="s">
        <v>79</v>
      </c>
      <c r="D107" s="642">
        <v>0</v>
      </c>
      <c r="E107" s="642">
        <v>0</v>
      </c>
      <c r="F107" s="642">
        <v>266.09529408288529</v>
      </c>
      <c r="G107" s="642">
        <v>27.519674276690072</v>
      </c>
      <c r="H107" s="642">
        <v>0</v>
      </c>
      <c r="I107" s="642">
        <v>0</v>
      </c>
      <c r="J107" s="642">
        <v>0</v>
      </c>
      <c r="K107" s="642">
        <v>0</v>
      </c>
      <c r="L107" s="642">
        <v>25.787483151262677</v>
      </c>
      <c r="M107" s="642">
        <v>0.56162600564673626</v>
      </c>
      <c r="N107" s="642">
        <v>0</v>
      </c>
      <c r="O107" s="642">
        <v>0</v>
      </c>
      <c r="P107" s="642">
        <v>55.913522242788574</v>
      </c>
      <c r="Q107" s="642">
        <v>0</v>
      </c>
      <c r="R107" s="642">
        <v>1.6351140344190074</v>
      </c>
      <c r="S107" s="650">
        <v>377.5127137936924</v>
      </c>
      <c r="U107" s="648" t="s">
        <v>79</v>
      </c>
      <c r="V107" s="642">
        <v>0</v>
      </c>
      <c r="W107" s="642">
        <v>0</v>
      </c>
      <c r="X107" s="642">
        <v>96.606255591578162</v>
      </c>
      <c r="Y107" s="642">
        <v>18.337650579977414</v>
      </c>
      <c r="Z107" s="642">
        <v>0</v>
      </c>
      <c r="AA107" s="642">
        <v>0</v>
      </c>
      <c r="AB107" s="642">
        <v>0</v>
      </c>
      <c r="AC107" s="642">
        <v>0</v>
      </c>
      <c r="AD107" s="642">
        <v>50.618247990049454</v>
      </c>
      <c r="AE107" s="642">
        <v>5.9499820008855142</v>
      </c>
      <c r="AF107" s="642">
        <v>0</v>
      </c>
      <c r="AG107" s="642">
        <v>0</v>
      </c>
      <c r="AH107" s="642">
        <v>73.690348279738799</v>
      </c>
      <c r="AI107" s="642">
        <v>0</v>
      </c>
      <c r="AJ107" s="642">
        <v>3.6092463767880076</v>
      </c>
      <c r="AK107" s="650">
        <v>248.81173081901736</v>
      </c>
    </row>
    <row r="108" spans="3:37" ht="13.5">
      <c r="C108" s="648" t="s">
        <v>80</v>
      </c>
      <c r="D108" s="642">
        <v>0</v>
      </c>
      <c r="E108" s="642">
        <v>0</v>
      </c>
      <c r="F108" s="642">
        <v>20.365336948925044</v>
      </c>
      <c r="G108" s="642">
        <v>85.23124323075227</v>
      </c>
      <c r="H108" s="642">
        <v>0</v>
      </c>
      <c r="I108" s="642">
        <v>0</v>
      </c>
      <c r="J108" s="642">
        <v>86.726820353783026</v>
      </c>
      <c r="K108" s="642">
        <v>0</v>
      </c>
      <c r="L108" s="642">
        <v>0</v>
      </c>
      <c r="M108" s="642">
        <v>1.7394131271582098</v>
      </c>
      <c r="N108" s="642">
        <v>52.217429119397167</v>
      </c>
      <c r="O108" s="642">
        <v>2.0042749347218733</v>
      </c>
      <c r="P108" s="642">
        <v>185.58174281281848</v>
      </c>
      <c r="Q108" s="642">
        <v>15.554343379011728</v>
      </c>
      <c r="R108" s="642">
        <v>0</v>
      </c>
      <c r="S108" s="650">
        <v>449.42060390656781</v>
      </c>
      <c r="U108" s="648" t="s">
        <v>80</v>
      </c>
      <c r="V108" s="642">
        <v>0</v>
      </c>
      <c r="W108" s="642">
        <v>0</v>
      </c>
      <c r="X108" s="642">
        <v>1.2585168598114169</v>
      </c>
      <c r="Y108" s="642">
        <v>24.208168890995722</v>
      </c>
      <c r="Z108" s="642">
        <v>0</v>
      </c>
      <c r="AA108" s="642">
        <v>0</v>
      </c>
      <c r="AB108" s="642">
        <v>64.793825414524548</v>
      </c>
      <c r="AC108" s="642">
        <v>0</v>
      </c>
      <c r="AD108" s="642">
        <v>0</v>
      </c>
      <c r="AE108" s="642">
        <v>7.6446849129460164</v>
      </c>
      <c r="AF108" s="642">
        <v>71.984931036617454</v>
      </c>
      <c r="AG108" s="642">
        <v>3.153558114778761</v>
      </c>
      <c r="AH108" s="642">
        <v>153.74527198137548</v>
      </c>
      <c r="AI108" s="642">
        <v>35.336807466581455</v>
      </c>
      <c r="AJ108" s="642">
        <v>0</v>
      </c>
      <c r="AK108" s="650">
        <v>362.12576467763085</v>
      </c>
    </row>
    <row r="109" spans="3:37" ht="13.5">
      <c r="C109" s="648" t="s">
        <v>81</v>
      </c>
      <c r="D109" s="642">
        <v>0</v>
      </c>
      <c r="E109" s="642">
        <v>0</v>
      </c>
      <c r="F109" s="642">
        <v>7.1130915409553364</v>
      </c>
      <c r="G109" s="642">
        <v>63.054682395398032</v>
      </c>
      <c r="H109" s="642">
        <v>0</v>
      </c>
      <c r="I109" s="642">
        <v>0</v>
      </c>
      <c r="J109" s="642">
        <v>3.2976998041276677</v>
      </c>
      <c r="K109" s="642">
        <v>2.5104122720965388E-2</v>
      </c>
      <c r="L109" s="642">
        <v>0</v>
      </c>
      <c r="M109" s="642">
        <v>1.2868302529673068</v>
      </c>
      <c r="N109" s="642">
        <v>8.6154760361565579</v>
      </c>
      <c r="O109" s="642">
        <v>0.75786341807650337</v>
      </c>
      <c r="P109" s="642">
        <v>137.18962935697431</v>
      </c>
      <c r="Q109" s="642">
        <v>3.6903307099586842</v>
      </c>
      <c r="R109" s="642">
        <v>0</v>
      </c>
      <c r="S109" s="650">
        <v>225.03070763733538</v>
      </c>
      <c r="U109" s="648" t="s">
        <v>81</v>
      </c>
      <c r="V109" s="642">
        <v>0</v>
      </c>
      <c r="W109" s="642">
        <v>0</v>
      </c>
      <c r="X109" s="642">
        <v>2.1697022188790429</v>
      </c>
      <c r="Y109" s="642">
        <v>20.911765460712612</v>
      </c>
      <c r="Z109" s="642">
        <v>0</v>
      </c>
      <c r="AA109" s="642">
        <v>0</v>
      </c>
      <c r="AB109" s="642">
        <v>7.3285872023111214</v>
      </c>
      <c r="AC109" s="642">
        <v>2.5104122720965388E-2</v>
      </c>
      <c r="AD109" s="642">
        <v>0</v>
      </c>
      <c r="AE109" s="642">
        <v>6.6037154086460879</v>
      </c>
      <c r="AF109" s="642">
        <v>14.491680733710758</v>
      </c>
      <c r="AG109" s="642">
        <v>1.6347019702159422</v>
      </c>
      <c r="AH109" s="642">
        <v>117.90366143236871</v>
      </c>
      <c r="AI109" s="642">
        <v>11.11285639628878</v>
      </c>
      <c r="AJ109" s="642">
        <v>0</v>
      </c>
      <c r="AK109" s="650">
        <v>182.18177494585402</v>
      </c>
    </row>
    <row r="110" spans="3:37" ht="13.5">
      <c r="C110" s="648" t="s">
        <v>82</v>
      </c>
      <c r="D110" s="642">
        <v>0</v>
      </c>
      <c r="E110" s="642">
        <v>0</v>
      </c>
      <c r="F110" s="642">
        <v>30.218764596795413</v>
      </c>
      <c r="G110" s="642">
        <v>1.4924386728389218</v>
      </c>
      <c r="H110" s="642">
        <v>0</v>
      </c>
      <c r="I110" s="642">
        <v>0</v>
      </c>
      <c r="J110" s="642">
        <v>3.2225859194218685</v>
      </c>
      <c r="K110" s="642">
        <v>0</v>
      </c>
      <c r="L110" s="642">
        <v>2.9019247412329854</v>
      </c>
      <c r="M110" s="642">
        <v>3.0457932098753505E-2</v>
      </c>
      <c r="N110" s="642">
        <v>0</v>
      </c>
      <c r="O110" s="642">
        <v>7.4767074498679406E-2</v>
      </c>
      <c r="P110" s="642">
        <v>6.6555854929198803</v>
      </c>
      <c r="Q110" s="642">
        <v>0</v>
      </c>
      <c r="R110" s="642">
        <v>0</v>
      </c>
      <c r="S110" s="650">
        <v>44.596524429806507</v>
      </c>
      <c r="U110" s="648" t="s">
        <v>82</v>
      </c>
      <c r="V110" s="642">
        <v>0</v>
      </c>
      <c r="W110" s="642">
        <v>0</v>
      </c>
      <c r="X110" s="642">
        <v>13.476198254352189</v>
      </c>
      <c r="Y110" s="642">
        <v>1.4718796614135594</v>
      </c>
      <c r="Z110" s="642">
        <v>0</v>
      </c>
      <c r="AA110" s="642">
        <v>0</v>
      </c>
      <c r="AB110" s="642">
        <v>3.2225859194218685</v>
      </c>
      <c r="AC110" s="642">
        <v>0</v>
      </c>
      <c r="AD110" s="642">
        <v>23.463730160224294</v>
      </c>
      <c r="AE110" s="642">
        <v>0.46480410360428193</v>
      </c>
      <c r="AF110" s="642">
        <v>0</v>
      </c>
      <c r="AG110" s="642">
        <v>1.1655332190637568</v>
      </c>
      <c r="AH110" s="642">
        <v>6.7433697745475678</v>
      </c>
      <c r="AI110" s="642">
        <v>0</v>
      </c>
      <c r="AJ110" s="642">
        <v>0.29485655237537339</v>
      </c>
      <c r="AK110" s="650">
        <v>50.302957645002891</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0.27899999999999997</v>
      </c>
      <c r="Q111" s="642">
        <v>0</v>
      </c>
      <c r="R111" s="642">
        <v>0</v>
      </c>
      <c r="S111" s="650">
        <v>0.27899999999999997</v>
      </c>
      <c r="U111" s="648" t="s">
        <v>357</v>
      </c>
      <c r="V111" s="642">
        <v>0</v>
      </c>
      <c r="W111" s="642">
        <v>0</v>
      </c>
      <c r="X111" s="642">
        <v>0</v>
      </c>
      <c r="Y111" s="642">
        <v>0</v>
      </c>
      <c r="Z111" s="642">
        <v>0</v>
      </c>
      <c r="AA111" s="642">
        <v>0</v>
      </c>
      <c r="AB111" s="642">
        <v>0</v>
      </c>
      <c r="AC111" s="642">
        <v>0</v>
      </c>
      <c r="AD111" s="642">
        <v>0</v>
      </c>
      <c r="AE111" s="642">
        <v>0</v>
      </c>
      <c r="AF111" s="642">
        <v>0</v>
      </c>
      <c r="AG111" s="642">
        <v>0</v>
      </c>
      <c r="AH111" s="642">
        <v>1.92</v>
      </c>
      <c r="AI111" s="642">
        <v>0</v>
      </c>
      <c r="AJ111" s="642">
        <v>0</v>
      </c>
      <c r="AK111" s="650">
        <v>1.92</v>
      </c>
    </row>
    <row r="112" spans="3:37" ht="13.5">
      <c r="C112" s="646" t="s">
        <v>83</v>
      </c>
      <c r="D112" s="647">
        <v>5.7766123047996905</v>
      </c>
      <c r="E112" s="647">
        <v>0</v>
      </c>
      <c r="F112" s="647">
        <v>346.19510684816078</v>
      </c>
      <c r="G112" s="647">
        <v>276.57916261714774</v>
      </c>
      <c r="H112" s="647">
        <v>0</v>
      </c>
      <c r="I112" s="647">
        <v>0</v>
      </c>
      <c r="J112" s="647">
        <v>113.50572884864343</v>
      </c>
      <c r="K112" s="647">
        <v>1.7926789890585739</v>
      </c>
      <c r="L112" s="647">
        <v>29.587741132730038</v>
      </c>
      <c r="M112" s="647">
        <v>5.6630861835909059</v>
      </c>
      <c r="N112" s="647">
        <v>60.832905155553725</v>
      </c>
      <c r="O112" s="647">
        <v>2.8372848935198816</v>
      </c>
      <c r="P112" s="647">
        <v>496.49341447572323</v>
      </c>
      <c r="Q112" s="647">
        <v>35.336417016114851</v>
      </c>
      <c r="R112" s="647">
        <v>1.9451540734815074</v>
      </c>
      <c r="S112" s="647">
        <v>1376.5452925385248</v>
      </c>
      <c r="U112" s="646" t="s">
        <v>83</v>
      </c>
      <c r="V112" s="647">
        <v>1.065232959954733</v>
      </c>
      <c r="W112" s="647">
        <v>0</v>
      </c>
      <c r="X112" s="647">
        <v>123.73641532901047</v>
      </c>
      <c r="Y112" s="647">
        <v>121.91057745567808</v>
      </c>
      <c r="Z112" s="647">
        <v>0</v>
      </c>
      <c r="AA112" s="647">
        <v>0</v>
      </c>
      <c r="AB112" s="647">
        <v>91.239635035141916</v>
      </c>
      <c r="AC112" s="647">
        <v>5.4913450563703794</v>
      </c>
      <c r="AD112" s="647">
        <v>77.627888306523744</v>
      </c>
      <c r="AE112" s="647">
        <v>38.675835544014738</v>
      </c>
      <c r="AF112" s="647">
        <v>86.476611770328219</v>
      </c>
      <c r="AG112" s="647">
        <v>5.9541727702812857</v>
      </c>
      <c r="AH112" s="647">
        <v>493.03007244229349</v>
      </c>
      <c r="AI112" s="647">
        <v>68.72625481251545</v>
      </c>
      <c r="AJ112" s="647">
        <v>10.334365624475881</v>
      </c>
      <c r="AK112" s="647">
        <v>1124.2684071065887</v>
      </c>
    </row>
    <row r="113" spans="3:37" ht="13.5">
      <c r="C113" s="641" t="s">
        <v>84</v>
      </c>
      <c r="D113" s="642">
        <v>0</v>
      </c>
      <c r="E113" s="642">
        <v>0</v>
      </c>
      <c r="F113" s="642">
        <v>111.73719287700069</v>
      </c>
      <c r="G113" s="642">
        <v>11.878700409877391</v>
      </c>
      <c r="H113" s="642">
        <v>0</v>
      </c>
      <c r="I113" s="642">
        <v>0</v>
      </c>
      <c r="J113" s="642">
        <v>0</v>
      </c>
      <c r="K113" s="642">
        <v>0</v>
      </c>
      <c r="L113" s="642">
        <v>0</v>
      </c>
      <c r="M113" s="642">
        <v>0</v>
      </c>
      <c r="N113" s="642">
        <v>0</v>
      </c>
      <c r="O113" s="642">
        <v>0</v>
      </c>
      <c r="P113" s="642">
        <v>0</v>
      </c>
      <c r="Q113" s="642">
        <v>0</v>
      </c>
      <c r="R113" s="642">
        <v>1.43076906409107</v>
      </c>
      <c r="S113" s="650">
        <v>125.04666235096916</v>
      </c>
      <c r="U113" s="641" t="s">
        <v>84</v>
      </c>
      <c r="V113" s="642">
        <v>0</v>
      </c>
      <c r="W113" s="642">
        <v>0</v>
      </c>
      <c r="X113" s="642">
        <v>90.362960784166091</v>
      </c>
      <c r="Y113" s="642">
        <v>1.2615947910933976</v>
      </c>
      <c r="Z113" s="642">
        <v>0</v>
      </c>
      <c r="AA113" s="642">
        <v>0</v>
      </c>
      <c r="AB113" s="642">
        <v>0</v>
      </c>
      <c r="AC113" s="642">
        <v>0</v>
      </c>
      <c r="AD113" s="642">
        <v>14.679117373046875</v>
      </c>
      <c r="AE113" s="642">
        <v>0</v>
      </c>
      <c r="AF113" s="642">
        <v>0</v>
      </c>
      <c r="AG113" s="642">
        <v>0</v>
      </c>
      <c r="AH113" s="642">
        <v>0</v>
      </c>
      <c r="AI113" s="642">
        <v>0</v>
      </c>
      <c r="AJ113" s="642">
        <v>10.026029063720703</v>
      </c>
      <c r="AK113" s="650">
        <v>116.32970201202707</v>
      </c>
    </row>
    <row r="114" spans="3:37" ht="13.5">
      <c r="C114" s="646" t="s">
        <v>85</v>
      </c>
      <c r="D114" s="647">
        <v>5.7766123047996905</v>
      </c>
      <c r="E114" s="647">
        <v>0</v>
      </c>
      <c r="F114" s="647">
        <v>457.9322997251615</v>
      </c>
      <c r="G114" s="647">
        <v>288.45786302702516</v>
      </c>
      <c r="H114" s="647">
        <v>0</v>
      </c>
      <c r="I114" s="647">
        <v>0</v>
      </c>
      <c r="J114" s="647">
        <v>113.50572884864343</v>
      </c>
      <c r="K114" s="647">
        <v>1.7926789890585739</v>
      </c>
      <c r="L114" s="647">
        <v>29.587741132730038</v>
      </c>
      <c r="M114" s="647">
        <v>5.6630861835909059</v>
      </c>
      <c r="N114" s="647">
        <v>60.832905155553725</v>
      </c>
      <c r="O114" s="647">
        <v>2.8372848935198816</v>
      </c>
      <c r="P114" s="647">
        <v>496.49341447572323</v>
      </c>
      <c r="Q114" s="647">
        <v>35.336417016114851</v>
      </c>
      <c r="R114" s="647">
        <v>3.3759231375725776</v>
      </c>
      <c r="S114" s="647">
        <v>1501.5919548894938</v>
      </c>
      <c r="U114" s="646" t="s">
        <v>85</v>
      </c>
      <c r="V114" s="647">
        <v>1.065232959954733</v>
      </c>
      <c r="W114" s="647">
        <v>0</v>
      </c>
      <c r="X114" s="647">
        <v>214.09937611317656</v>
      </c>
      <c r="Y114" s="647">
        <v>123.17217224677148</v>
      </c>
      <c r="Z114" s="647">
        <v>0</v>
      </c>
      <c r="AA114" s="647">
        <v>0</v>
      </c>
      <c r="AB114" s="647">
        <v>91.239635035141916</v>
      </c>
      <c r="AC114" s="647">
        <v>5.4913450563703794</v>
      </c>
      <c r="AD114" s="647">
        <v>92.307005679570622</v>
      </c>
      <c r="AE114" s="647">
        <v>38.675835544014738</v>
      </c>
      <c r="AF114" s="647">
        <v>86.476611770328219</v>
      </c>
      <c r="AG114" s="647">
        <v>5.9541727702812857</v>
      </c>
      <c r="AH114" s="647">
        <v>493.03007244229349</v>
      </c>
      <c r="AI114" s="647">
        <v>68.72625481251545</v>
      </c>
      <c r="AJ114" s="647">
        <v>20.360394688196585</v>
      </c>
      <c r="AK114" s="647">
        <v>1240.5981091186156</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363</v>
      </c>
      <c r="D116" s="699"/>
      <c r="E116" s="699"/>
      <c r="F116" s="699"/>
      <c r="G116" s="699"/>
      <c r="H116" s="699"/>
      <c r="I116" s="699"/>
      <c r="J116" s="699"/>
      <c r="K116" s="699"/>
      <c r="L116" s="699"/>
      <c r="M116" s="699"/>
      <c r="N116" s="699"/>
      <c r="O116" s="699"/>
      <c r="P116" s="699"/>
      <c r="Q116" s="699"/>
      <c r="R116" s="699"/>
      <c r="S116" s="699"/>
      <c r="U116" s="699" t="s">
        <v>363</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0</v>
      </c>
      <c r="F120" s="643">
        <v>0</v>
      </c>
      <c r="G120" s="642">
        <v>0</v>
      </c>
      <c r="H120" s="643">
        <v>959.09090909090924</v>
      </c>
      <c r="I120" s="643">
        <v>265.54666314840352</v>
      </c>
      <c r="J120" s="643">
        <v>188.6372712469306</v>
      </c>
      <c r="K120" s="643">
        <v>20.835963621356942</v>
      </c>
      <c r="L120" s="643">
        <v>0.48646764865129044</v>
      </c>
      <c r="M120" s="643">
        <v>0.15840693111613638</v>
      </c>
      <c r="N120" s="643">
        <v>62.897832024028709</v>
      </c>
      <c r="O120" s="643">
        <v>11.865462020109925</v>
      </c>
      <c r="P120" s="644">
        <v>0</v>
      </c>
      <c r="Q120" s="643">
        <v>0</v>
      </c>
      <c r="R120" s="643">
        <v>0</v>
      </c>
      <c r="S120" s="645">
        <v>1509.5189757315065</v>
      </c>
      <c r="U120" s="641" t="s">
        <v>59</v>
      </c>
      <c r="V120" s="642">
        <v>0</v>
      </c>
      <c r="W120" s="643">
        <v>0</v>
      </c>
      <c r="X120" s="643">
        <v>0</v>
      </c>
      <c r="Y120" s="642">
        <v>0</v>
      </c>
      <c r="Z120" s="643">
        <v>919.39393939393949</v>
      </c>
      <c r="AA120" s="643">
        <v>300.16666314840353</v>
      </c>
      <c r="AB120" s="643">
        <v>196.07210414009427</v>
      </c>
      <c r="AC120" s="643">
        <v>37.690284018354092</v>
      </c>
      <c r="AD120" s="643">
        <v>0.48646764865129044</v>
      </c>
      <c r="AE120" s="643">
        <v>0.15840693111613638</v>
      </c>
      <c r="AF120" s="643">
        <v>92.901000398225491</v>
      </c>
      <c r="AG120" s="643">
        <v>23.979405132943342</v>
      </c>
      <c r="AH120" s="644">
        <v>0</v>
      </c>
      <c r="AI120" s="643">
        <v>0</v>
      </c>
      <c r="AJ120" s="643">
        <v>0</v>
      </c>
      <c r="AK120" s="645">
        <v>1570.8482708117278</v>
      </c>
    </row>
    <row r="121" spans="3:37" ht="13.5">
      <c r="C121" s="641" t="s">
        <v>60</v>
      </c>
      <c r="D121" s="642">
        <v>48.037640466799544</v>
      </c>
      <c r="E121" s="643">
        <v>504.19228646673599</v>
      </c>
      <c r="F121" s="643">
        <v>68.527294255032075</v>
      </c>
      <c r="G121" s="642">
        <v>332.96357284387591</v>
      </c>
      <c r="H121" s="643">
        <v>0</v>
      </c>
      <c r="I121" s="643">
        <v>0</v>
      </c>
      <c r="J121" s="643">
        <v>4.4041420336435353</v>
      </c>
      <c r="K121" s="643">
        <v>0</v>
      </c>
      <c r="L121" s="643">
        <v>2.4215969020745125</v>
      </c>
      <c r="M121" s="643">
        <v>0</v>
      </c>
      <c r="N121" s="643">
        <v>0</v>
      </c>
      <c r="O121" s="643">
        <v>0</v>
      </c>
      <c r="P121" s="644">
        <v>0</v>
      </c>
      <c r="Q121" s="643">
        <v>0</v>
      </c>
      <c r="R121" s="643">
        <v>0</v>
      </c>
      <c r="S121" s="645">
        <v>960.54653296816161</v>
      </c>
      <c r="U121" s="641" t="s">
        <v>60</v>
      </c>
      <c r="V121" s="642">
        <v>7.5315222042138927</v>
      </c>
      <c r="W121" s="643">
        <v>266.28302835422375</v>
      </c>
      <c r="X121" s="643">
        <v>14.660534841020075</v>
      </c>
      <c r="Y121" s="642">
        <v>136.19700966140181</v>
      </c>
      <c r="Z121" s="643">
        <v>0</v>
      </c>
      <c r="AA121" s="643">
        <v>0</v>
      </c>
      <c r="AB121" s="643">
        <v>4.4041420336435353</v>
      </c>
      <c r="AC121" s="643">
        <v>0</v>
      </c>
      <c r="AD121" s="643">
        <v>2.4215969020745125</v>
      </c>
      <c r="AE121" s="643">
        <v>0</v>
      </c>
      <c r="AF121" s="643">
        <v>0</v>
      </c>
      <c r="AG121" s="643">
        <v>0</v>
      </c>
      <c r="AH121" s="644">
        <v>0</v>
      </c>
      <c r="AI121" s="643">
        <v>0</v>
      </c>
      <c r="AJ121" s="643">
        <v>0</v>
      </c>
      <c r="AK121" s="645">
        <v>431.49783399657758</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-31.055970799843635</v>
      </c>
      <c r="Q122" s="643">
        <v>0</v>
      </c>
      <c r="R122" s="643">
        <v>0</v>
      </c>
      <c r="S122" s="645">
        <v>-31.055970799843635</v>
      </c>
      <c r="U122" s="641" t="s">
        <v>61</v>
      </c>
      <c r="V122" s="642">
        <v>0</v>
      </c>
      <c r="W122" s="643">
        <v>0</v>
      </c>
      <c r="X122" s="643">
        <v>-20.238165107819981</v>
      </c>
      <c r="Y122" s="642">
        <v>0</v>
      </c>
      <c r="Z122" s="643">
        <v>0</v>
      </c>
      <c r="AA122" s="643">
        <v>0</v>
      </c>
      <c r="AB122" s="643">
        <v>0</v>
      </c>
      <c r="AC122" s="643">
        <v>0</v>
      </c>
      <c r="AD122" s="643">
        <v>0</v>
      </c>
      <c r="AE122" s="643">
        <v>0</v>
      </c>
      <c r="AF122" s="643">
        <v>0</v>
      </c>
      <c r="AG122" s="643">
        <v>0</v>
      </c>
      <c r="AH122" s="644">
        <v>-12.632253344037395</v>
      </c>
      <c r="AI122" s="643">
        <v>0</v>
      </c>
      <c r="AJ122" s="643">
        <v>0</v>
      </c>
      <c r="AK122" s="645">
        <v>-32.870418451857375</v>
      </c>
    </row>
    <row r="123" spans="3:37" ht="13.5">
      <c r="C123" s="641" t="s">
        <v>62</v>
      </c>
      <c r="D123" s="642">
        <v>0</v>
      </c>
      <c r="E123" s="643">
        <v>0</v>
      </c>
      <c r="F123" s="643">
        <v>-15.855905256620872</v>
      </c>
      <c r="G123" s="642">
        <v>0</v>
      </c>
      <c r="H123" s="643">
        <v>0</v>
      </c>
      <c r="I123" s="643">
        <v>0</v>
      </c>
      <c r="J123" s="643">
        <v>0</v>
      </c>
      <c r="K123" s="643">
        <v>0</v>
      </c>
      <c r="L123" s="643">
        <v>0</v>
      </c>
      <c r="M123" s="643">
        <v>0</v>
      </c>
      <c r="N123" s="643">
        <v>0</v>
      </c>
      <c r="O123" s="643">
        <v>0</v>
      </c>
      <c r="P123" s="644">
        <v>0</v>
      </c>
      <c r="Q123" s="643">
        <v>0</v>
      </c>
      <c r="R123" s="643">
        <v>0</v>
      </c>
      <c r="S123" s="645">
        <v>-15.855905256620872</v>
      </c>
      <c r="U123" s="641" t="s">
        <v>62</v>
      </c>
      <c r="V123" s="642">
        <v>0</v>
      </c>
      <c r="W123" s="643">
        <v>0</v>
      </c>
      <c r="X123" s="643">
        <v>-10.068616817390659</v>
      </c>
      <c r="Y123" s="642">
        <v>-2.2904268439326967</v>
      </c>
      <c r="Z123" s="643">
        <v>0</v>
      </c>
      <c r="AA123" s="643">
        <v>0</v>
      </c>
      <c r="AB123" s="643">
        <v>0</v>
      </c>
      <c r="AC123" s="643">
        <v>0</v>
      </c>
      <c r="AD123" s="643">
        <v>0</v>
      </c>
      <c r="AE123" s="643">
        <v>-0.98161150454258428</v>
      </c>
      <c r="AF123" s="643">
        <v>0</v>
      </c>
      <c r="AG123" s="643">
        <v>0</v>
      </c>
      <c r="AH123" s="644">
        <v>0</v>
      </c>
      <c r="AI123" s="643">
        <v>0</v>
      </c>
      <c r="AJ123" s="643">
        <v>0</v>
      </c>
      <c r="AK123" s="645">
        <v>-13.34065516586594</v>
      </c>
    </row>
    <row r="124" spans="3:37" ht="13.5">
      <c r="C124" s="641" t="s">
        <v>63</v>
      </c>
      <c r="D124" s="642">
        <v>0</v>
      </c>
      <c r="E124" s="643">
        <v>0</v>
      </c>
      <c r="F124" s="643">
        <v>-87.092524368241456</v>
      </c>
      <c r="G124" s="642">
        <v>0</v>
      </c>
      <c r="H124" s="643">
        <v>0</v>
      </c>
      <c r="I124" s="643">
        <v>0</v>
      </c>
      <c r="J124" s="643">
        <v>0</v>
      </c>
      <c r="K124" s="643">
        <v>0</v>
      </c>
      <c r="L124" s="643">
        <v>-0.90133117758770376</v>
      </c>
      <c r="M124" s="643">
        <v>0</v>
      </c>
      <c r="N124" s="643">
        <v>0</v>
      </c>
      <c r="O124" s="643">
        <v>0</v>
      </c>
      <c r="P124" s="644">
        <v>0</v>
      </c>
      <c r="Q124" s="643">
        <v>0</v>
      </c>
      <c r="R124" s="643">
        <v>0</v>
      </c>
      <c r="S124" s="645">
        <v>-87.993855545829163</v>
      </c>
      <c r="U124" s="641" t="s">
        <v>63</v>
      </c>
      <c r="V124" s="642">
        <v>0</v>
      </c>
      <c r="W124" s="643">
        <v>0</v>
      </c>
      <c r="X124" s="643">
        <v>-58.231828596071985</v>
      </c>
      <c r="Y124" s="642">
        <v>0</v>
      </c>
      <c r="Z124" s="643">
        <v>0</v>
      </c>
      <c r="AA124" s="643">
        <v>0</v>
      </c>
      <c r="AB124" s="643">
        <v>0</v>
      </c>
      <c r="AC124" s="643">
        <v>0</v>
      </c>
      <c r="AD124" s="643">
        <v>-23.991898740742837</v>
      </c>
      <c r="AE124" s="643">
        <v>0</v>
      </c>
      <c r="AF124" s="643">
        <v>0</v>
      </c>
      <c r="AG124" s="643">
        <v>0</v>
      </c>
      <c r="AH124" s="644">
        <v>0</v>
      </c>
      <c r="AI124" s="643">
        <v>0</v>
      </c>
      <c r="AJ124" s="643">
        <v>0</v>
      </c>
      <c r="AK124" s="645">
        <v>-82.223727336814818</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48.037640466799544</v>
      </c>
      <c r="E126" s="647">
        <v>504.19228646673599</v>
      </c>
      <c r="F126" s="647">
        <v>-34.42113536983026</v>
      </c>
      <c r="G126" s="647">
        <v>332.96357284387591</v>
      </c>
      <c r="H126" s="647">
        <v>959.09090909090924</v>
      </c>
      <c r="I126" s="647">
        <v>265.54666314840352</v>
      </c>
      <c r="J126" s="647">
        <v>193.04141328057412</v>
      </c>
      <c r="K126" s="647">
        <v>20.835963621356942</v>
      </c>
      <c r="L126" s="647">
        <v>2.0067333731380987</v>
      </c>
      <c r="M126" s="647">
        <v>0.15840693111613638</v>
      </c>
      <c r="N126" s="647">
        <v>62.897832024028709</v>
      </c>
      <c r="O126" s="647">
        <v>11.865462020109925</v>
      </c>
      <c r="P126" s="647">
        <v>-31.055970799843635</v>
      </c>
      <c r="Q126" s="647">
        <v>0</v>
      </c>
      <c r="R126" s="647">
        <v>0</v>
      </c>
      <c r="S126" s="647">
        <v>2335.159777097374</v>
      </c>
      <c r="U126" s="646" t="s">
        <v>65</v>
      </c>
      <c r="V126" s="647">
        <v>7.5315222042138927</v>
      </c>
      <c r="W126" s="647">
        <v>266.28302835422375</v>
      </c>
      <c r="X126" s="647">
        <v>-73.87807568026254</v>
      </c>
      <c r="Y126" s="647">
        <v>133.90658281746911</v>
      </c>
      <c r="Z126" s="647">
        <v>919.39393939393949</v>
      </c>
      <c r="AA126" s="647">
        <v>300.16666314840353</v>
      </c>
      <c r="AB126" s="647">
        <v>200.47624617373779</v>
      </c>
      <c r="AC126" s="647">
        <v>37.690284018354092</v>
      </c>
      <c r="AD126" s="647">
        <v>-21.083834190017033</v>
      </c>
      <c r="AE126" s="647">
        <v>-0.82320457342644793</v>
      </c>
      <c r="AF126" s="647">
        <v>92.901000398225491</v>
      </c>
      <c r="AG126" s="647">
        <v>23.979405132943342</v>
      </c>
      <c r="AH126" s="647">
        <v>-12.632253344037395</v>
      </c>
      <c r="AI126" s="647">
        <v>0</v>
      </c>
      <c r="AJ126" s="647">
        <v>0</v>
      </c>
      <c r="AK126" s="647">
        <v>1873.9113038537675</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7.5217067848259731</v>
      </c>
      <c r="G129" s="642">
        <v>17.043478260869566</v>
      </c>
      <c r="H129" s="642">
        <v>959.09090909090924</v>
      </c>
      <c r="I129" s="642">
        <v>265.54666314840352</v>
      </c>
      <c r="J129" s="651">
        <v>29.657322749860491</v>
      </c>
      <c r="K129" s="651">
        <v>6.9984717304001904</v>
      </c>
      <c r="L129" s="651">
        <v>2.9080645507258027</v>
      </c>
      <c r="M129" s="651">
        <v>0.47316517381762646</v>
      </c>
      <c r="N129" s="651">
        <v>0</v>
      </c>
      <c r="O129" s="651">
        <v>6.9042102843702597</v>
      </c>
      <c r="P129" s="642">
        <v>-613.13903868039233</v>
      </c>
      <c r="Q129" s="642">
        <v>0</v>
      </c>
      <c r="R129" s="642">
        <v>0</v>
      </c>
      <c r="S129" s="650">
        <v>685.83173873481564</v>
      </c>
      <c r="U129" s="648" t="s">
        <v>350</v>
      </c>
      <c r="V129" s="642">
        <v>0.62631490545869017</v>
      </c>
      <c r="W129" s="642">
        <v>0</v>
      </c>
      <c r="X129" s="642">
        <v>3.6580704211896093</v>
      </c>
      <c r="Y129" s="642">
        <v>6.2086956521739127</v>
      </c>
      <c r="Z129" s="642">
        <v>919.39393939393949</v>
      </c>
      <c r="AA129" s="642">
        <v>300.16666314840353</v>
      </c>
      <c r="AB129" s="651">
        <v>23.86094386593884</v>
      </c>
      <c r="AC129" s="651">
        <v>5.6952120200596408</v>
      </c>
      <c r="AD129" s="651">
        <v>2.9080645507258027</v>
      </c>
      <c r="AE129" s="651">
        <v>2.7862086520784959</v>
      </c>
      <c r="AF129" s="651">
        <v>0</v>
      </c>
      <c r="AG129" s="651">
        <v>6.9042102843702597</v>
      </c>
      <c r="AH129" s="642">
        <v>-628.6590386803922</v>
      </c>
      <c r="AI129" s="642">
        <v>0</v>
      </c>
      <c r="AJ129" s="642">
        <v>4.7499999999999991</v>
      </c>
      <c r="AK129" s="650">
        <v>648.29928421394618</v>
      </c>
    </row>
    <row r="130" spans="3:37" ht="13.5">
      <c r="C130" s="648" t="s">
        <v>351</v>
      </c>
      <c r="D130" s="642">
        <v>0</v>
      </c>
      <c r="E130" s="642">
        <v>0</v>
      </c>
      <c r="F130" s="642">
        <v>0</v>
      </c>
      <c r="G130" s="642">
        <v>14.973464488470796</v>
      </c>
      <c r="H130" s="642">
        <v>0</v>
      </c>
      <c r="I130" s="642">
        <v>0</v>
      </c>
      <c r="J130" s="651">
        <v>12.61885930635281</v>
      </c>
      <c r="K130" s="651">
        <v>11.992989190910333</v>
      </c>
      <c r="L130" s="651">
        <v>0</v>
      </c>
      <c r="M130" s="651">
        <v>0.32007470171399477</v>
      </c>
      <c r="N130" s="651">
        <v>0</v>
      </c>
      <c r="O130" s="651">
        <v>2.1221335576886813</v>
      </c>
      <c r="P130" s="642">
        <v>0</v>
      </c>
      <c r="Q130" s="642">
        <v>-38.122859170635891</v>
      </c>
      <c r="R130" s="642">
        <v>0</v>
      </c>
      <c r="S130" s="650">
        <v>3.9046620745007217</v>
      </c>
      <c r="U130" s="648" t="s">
        <v>351</v>
      </c>
      <c r="V130" s="642">
        <v>0</v>
      </c>
      <c r="W130" s="642">
        <v>0</v>
      </c>
      <c r="X130" s="642">
        <v>0</v>
      </c>
      <c r="Y130" s="642">
        <v>11.236128743190402</v>
      </c>
      <c r="Z130" s="642">
        <v>0</v>
      </c>
      <c r="AA130" s="642">
        <v>0</v>
      </c>
      <c r="AB130" s="651">
        <v>28.835017835425074</v>
      </c>
      <c r="AC130" s="651">
        <v>26.276566272731909</v>
      </c>
      <c r="AD130" s="651">
        <v>0</v>
      </c>
      <c r="AE130" s="651">
        <v>4.8299775408676195</v>
      </c>
      <c r="AF130" s="651">
        <v>0</v>
      </c>
      <c r="AG130" s="651">
        <v>10.71495831218258</v>
      </c>
      <c r="AH130" s="642">
        <v>0</v>
      </c>
      <c r="AI130" s="642">
        <v>-75.331063655699538</v>
      </c>
      <c r="AJ130" s="642">
        <v>0</v>
      </c>
      <c r="AK130" s="650">
        <v>6.561585048698058</v>
      </c>
    </row>
    <row r="131" spans="3:37" ht="13.5">
      <c r="C131" s="648" t="s">
        <v>352</v>
      </c>
      <c r="D131" s="642">
        <v>0</v>
      </c>
      <c r="E131" s="642">
        <v>0</v>
      </c>
      <c r="F131" s="642">
        <v>0</v>
      </c>
      <c r="G131" s="642">
        <v>0</v>
      </c>
      <c r="H131" s="642">
        <v>0</v>
      </c>
      <c r="I131" s="642">
        <v>0</v>
      </c>
      <c r="J131" s="652">
        <v>7.1836152532588793</v>
      </c>
      <c r="K131" s="652">
        <v>0</v>
      </c>
      <c r="L131" s="652">
        <v>0</v>
      </c>
      <c r="M131" s="652">
        <v>-6.5550489185987271</v>
      </c>
      <c r="N131" s="652">
        <v>0</v>
      </c>
      <c r="O131" s="652">
        <v>0</v>
      </c>
      <c r="P131" s="642">
        <v>0</v>
      </c>
      <c r="Q131" s="642">
        <v>0</v>
      </c>
      <c r="R131" s="642">
        <v>0</v>
      </c>
      <c r="S131" s="650">
        <v>0.62856633466015222</v>
      </c>
      <c r="U131" s="648" t="s">
        <v>352</v>
      </c>
      <c r="V131" s="642">
        <v>0</v>
      </c>
      <c r="W131" s="642">
        <v>0</v>
      </c>
      <c r="X131" s="642">
        <v>0</v>
      </c>
      <c r="Y131" s="642">
        <v>0</v>
      </c>
      <c r="Z131" s="642">
        <v>0</v>
      </c>
      <c r="AA131" s="642">
        <v>0</v>
      </c>
      <c r="AB131" s="652">
        <v>63.436450079223192</v>
      </c>
      <c r="AC131" s="652">
        <v>0</v>
      </c>
      <c r="AD131" s="652">
        <v>0</v>
      </c>
      <c r="AE131" s="652">
        <v>-57.885760697291161</v>
      </c>
      <c r="AF131" s="652">
        <v>0</v>
      </c>
      <c r="AG131" s="652">
        <v>0</v>
      </c>
      <c r="AH131" s="642">
        <v>0</v>
      </c>
      <c r="AI131" s="642">
        <v>0</v>
      </c>
      <c r="AJ131" s="642">
        <v>0</v>
      </c>
      <c r="AK131" s="650">
        <v>5.5506893819320311</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522.28962186433523</v>
      </c>
      <c r="F133" s="642">
        <v>-517.06672564569192</v>
      </c>
      <c r="G133" s="642">
        <v>0</v>
      </c>
      <c r="H133" s="642">
        <v>0</v>
      </c>
      <c r="I133" s="642">
        <v>0</v>
      </c>
      <c r="J133" s="642">
        <v>0</v>
      </c>
      <c r="K133" s="642">
        <v>0</v>
      </c>
      <c r="L133" s="642">
        <v>0</v>
      </c>
      <c r="M133" s="642">
        <v>0</v>
      </c>
      <c r="N133" s="642">
        <v>0</v>
      </c>
      <c r="O133" s="642">
        <v>0</v>
      </c>
      <c r="P133" s="642">
        <v>0</v>
      </c>
      <c r="Q133" s="642">
        <v>0</v>
      </c>
      <c r="R133" s="642">
        <v>0</v>
      </c>
      <c r="S133" s="650">
        <v>5.2228962186433137</v>
      </c>
      <c r="U133" s="648" t="s">
        <v>72</v>
      </c>
      <c r="V133" s="642">
        <v>0</v>
      </c>
      <c r="W133" s="642">
        <v>275.84091609698424</v>
      </c>
      <c r="X133" s="642">
        <v>-273.0825069360144</v>
      </c>
      <c r="Y133" s="642">
        <v>0</v>
      </c>
      <c r="Z133" s="642">
        <v>0</v>
      </c>
      <c r="AA133" s="642">
        <v>0</v>
      </c>
      <c r="AB133" s="642">
        <v>0</v>
      </c>
      <c r="AC133" s="642">
        <v>0</v>
      </c>
      <c r="AD133" s="642">
        <v>0</v>
      </c>
      <c r="AE133" s="642">
        <v>0</v>
      </c>
      <c r="AF133" s="642">
        <v>0</v>
      </c>
      <c r="AG133" s="642">
        <v>0</v>
      </c>
      <c r="AH133" s="642">
        <v>0</v>
      </c>
      <c r="AI133" s="642">
        <v>0</v>
      </c>
      <c r="AJ133" s="642">
        <v>0</v>
      </c>
      <c r="AK133" s="650">
        <v>2.7584091609698476</v>
      </c>
    </row>
    <row r="134" spans="3:37" ht="13.5">
      <c r="C134" s="648" t="s">
        <v>354</v>
      </c>
      <c r="D134" s="642">
        <v>0</v>
      </c>
      <c r="E134" s="642">
        <v>0</v>
      </c>
      <c r="F134" s="642">
        <v>0</v>
      </c>
      <c r="G134" s="642">
        <v>0</v>
      </c>
      <c r="H134" s="642">
        <v>0</v>
      </c>
      <c r="I134" s="642">
        <v>0</v>
      </c>
      <c r="J134" s="642">
        <v>28.942309114060045</v>
      </c>
      <c r="K134" s="642">
        <v>0</v>
      </c>
      <c r="L134" s="642">
        <v>-28.942309114060045</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-101.68735143023177</v>
      </c>
      <c r="AE134" s="642">
        <v>0</v>
      </c>
      <c r="AF134" s="642">
        <v>0</v>
      </c>
      <c r="AG134" s="642">
        <v>0</v>
      </c>
      <c r="AH134" s="642">
        <v>0</v>
      </c>
      <c r="AI134" s="642">
        <v>0</v>
      </c>
      <c r="AJ134" s="642">
        <v>0</v>
      </c>
      <c r="AK134" s="650">
        <v>-101.68735143023177</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-20.330518764117095</v>
      </c>
      <c r="AE135" s="642">
        <v>0</v>
      </c>
      <c r="AF135" s="642">
        <v>0</v>
      </c>
      <c r="AG135" s="642">
        <v>0</v>
      </c>
      <c r="AH135" s="642">
        <v>0</v>
      </c>
      <c r="AI135" s="642">
        <v>0</v>
      </c>
      <c r="AJ135" s="642">
        <v>0</v>
      </c>
      <c r="AK135" s="650">
        <v>-20.330518764117095</v>
      </c>
    </row>
    <row r="136" spans="3:37" ht="13.5">
      <c r="C136" s="648" t="s">
        <v>73</v>
      </c>
      <c r="D136" s="642">
        <v>0</v>
      </c>
      <c r="E136" s="642">
        <v>0</v>
      </c>
      <c r="F136" s="642">
        <v>0</v>
      </c>
      <c r="G136" s="642">
        <v>5.1012543356530031</v>
      </c>
      <c r="H136" s="642">
        <v>0</v>
      </c>
      <c r="I136" s="642">
        <v>0</v>
      </c>
      <c r="J136" s="642">
        <v>0</v>
      </c>
      <c r="K136" s="642">
        <v>5.8487208617897309E-2</v>
      </c>
      <c r="L136" s="642">
        <v>0</v>
      </c>
      <c r="M136" s="642">
        <v>0.10410723133985722</v>
      </c>
      <c r="N136" s="642">
        <v>0</v>
      </c>
      <c r="O136" s="642">
        <v>0</v>
      </c>
      <c r="P136" s="642">
        <v>0.59767950412449788</v>
      </c>
      <c r="Q136" s="642">
        <v>0</v>
      </c>
      <c r="R136" s="642">
        <v>-4.094104603252811</v>
      </c>
      <c r="S136" s="650">
        <v>1.7674236764824451</v>
      </c>
      <c r="U136" s="648" t="s">
        <v>73</v>
      </c>
      <c r="V136" s="642">
        <v>0</v>
      </c>
      <c r="W136" s="642">
        <v>0</v>
      </c>
      <c r="X136" s="642">
        <v>0</v>
      </c>
      <c r="Y136" s="642">
        <v>5.6948243223481816</v>
      </c>
      <c r="Z136" s="642">
        <v>0</v>
      </c>
      <c r="AA136" s="642">
        <v>0</v>
      </c>
      <c r="AB136" s="642">
        <v>0</v>
      </c>
      <c r="AC136" s="642">
        <v>0.40677316588201312</v>
      </c>
      <c r="AD136" s="642">
        <v>0</v>
      </c>
      <c r="AE136" s="642">
        <v>2.440638995292078</v>
      </c>
      <c r="AF136" s="642">
        <v>0</v>
      </c>
      <c r="AG136" s="642">
        <v>0</v>
      </c>
      <c r="AH136" s="642">
        <v>32.838767990182951</v>
      </c>
      <c r="AI136" s="642">
        <v>0</v>
      </c>
      <c r="AJ136" s="642">
        <v>-28.474121611740912</v>
      </c>
      <c r="AK136" s="650">
        <v>12.906882861964313</v>
      </c>
    </row>
    <row r="137" spans="3:37" ht="13.5">
      <c r="C137" s="648" t="s">
        <v>356</v>
      </c>
      <c r="D137" s="642">
        <v>28.616489999999999</v>
      </c>
      <c r="E137" s="642">
        <v>-18.09733539759922</v>
      </c>
      <c r="F137" s="642">
        <v>23.670245777269074</v>
      </c>
      <c r="G137" s="642">
        <v>0</v>
      </c>
      <c r="H137" s="642">
        <v>0</v>
      </c>
      <c r="I137" s="642">
        <v>0</v>
      </c>
      <c r="J137" s="642">
        <v>0</v>
      </c>
      <c r="K137" s="642">
        <v>0</v>
      </c>
      <c r="L137" s="642">
        <v>0</v>
      </c>
      <c r="M137" s="642">
        <v>0</v>
      </c>
      <c r="N137" s="642">
        <v>0</v>
      </c>
      <c r="O137" s="642">
        <v>0</v>
      </c>
      <c r="P137" s="642">
        <v>0</v>
      </c>
      <c r="Q137" s="642">
        <v>0</v>
      </c>
      <c r="R137" s="642">
        <v>0</v>
      </c>
      <c r="S137" s="650">
        <v>34.189400379669848</v>
      </c>
      <c r="U137" s="648" t="s">
        <v>356</v>
      </c>
      <c r="V137" s="642">
        <v>2.3505202026367185</v>
      </c>
      <c r="W137" s="642">
        <v>-9.5578877427605047</v>
      </c>
      <c r="X137" s="642">
        <v>12.501152628950074</v>
      </c>
      <c r="Y137" s="642">
        <v>0</v>
      </c>
      <c r="Z137" s="642">
        <v>0</v>
      </c>
      <c r="AA137" s="642">
        <v>0</v>
      </c>
      <c r="AB137" s="642">
        <v>0</v>
      </c>
      <c r="AC137" s="642">
        <v>0</v>
      </c>
      <c r="AD137" s="642">
        <v>0</v>
      </c>
      <c r="AE137" s="642">
        <v>0</v>
      </c>
      <c r="AF137" s="642">
        <v>0</v>
      </c>
      <c r="AG137" s="642">
        <v>0</v>
      </c>
      <c r="AH137" s="642">
        <v>0</v>
      </c>
      <c r="AI137" s="642">
        <v>0</v>
      </c>
      <c r="AJ137" s="642">
        <v>0</v>
      </c>
      <c r="AK137" s="650">
        <v>5.2937850888262874</v>
      </c>
    </row>
    <row r="138" spans="3:37" ht="13.5">
      <c r="C138" s="648" t="s">
        <v>75</v>
      </c>
      <c r="D138" s="642">
        <v>11.128635000000001</v>
      </c>
      <c r="E138" s="642">
        <v>0</v>
      </c>
      <c r="F138" s="642">
        <v>17.757847143387398</v>
      </c>
      <c r="G138" s="642">
        <v>5.0672539113277812</v>
      </c>
      <c r="H138" s="642">
        <v>0</v>
      </c>
      <c r="I138" s="642">
        <v>0</v>
      </c>
      <c r="J138" s="642">
        <v>0</v>
      </c>
      <c r="K138" s="642">
        <v>0</v>
      </c>
      <c r="L138" s="642">
        <v>0</v>
      </c>
      <c r="M138" s="642">
        <v>0.1034133451291384</v>
      </c>
      <c r="N138" s="642">
        <v>0</v>
      </c>
      <c r="O138" s="642">
        <v>0</v>
      </c>
      <c r="P138" s="642">
        <v>30.750377055945027</v>
      </c>
      <c r="Q138" s="642">
        <v>0</v>
      </c>
      <c r="R138" s="642">
        <v>0</v>
      </c>
      <c r="S138" s="650">
        <v>64.807526455789343</v>
      </c>
      <c r="U138" s="648" t="s">
        <v>75</v>
      </c>
      <c r="V138" s="642">
        <v>3.4784289550781251</v>
      </c>
      <c r="W138" s="642">
        <v>0</v>
      </c>
      <c r="X138" s="642">
        <v>17.757847143387398</v>
      </c>
      <c r="Y138" s="642">
        <v>3.6194670795198434</v>
      </c>
      <c r="Z138" s="642">
        <v>0</v>
      </c>
      <c r="AA138" s="642">
        <v>0</v>
      </c>
      <c r="AB138" s="642">
        <v>0</v>
      </c>
      <c r="AC138" s="642">
        <v>0</v>
      </c>
      <c r="AD138" s="642">
        <v>0</v>
      </c>
      <c r="AE138" s="642">
        <v>1.5512001769370758</v>
      </c>
      <c r="AF138" s="642">
        <v>0</v>
      </c>
      <c r="AG138" s="642">
        <v>0</v>
      </c>
      <c r="AH138" s="642">
        <v>36.42264978321775</v>
      </c>
      <c r="AI138" s="642">
        <v>0</v>
      </c>
      <c r="AJ138" s="642">
        <v>0</v>
      </c>
      <c r="AK138" s="650">
        <v>62.829593138140197</v>
      </c>
    </row>
    <row r="139" spans="3:37" ht="13.5">
      <c r="C139" s="648" t="s">
        <v>76</v>
      </c>
      <c r="D139" s="642">
        <v>0</v>
      </c>
      <c r="E139" s="642">
        <v>0</v>
      </c>
      <c r="F139" s="642">
        <v>0</v>
      </c>
      <c r="G139" s="642">
        <v>3.8086647866957031</v>
      </c>
      <c r="H139" s="642">
        <v>0</v>
      </c>
      <c r="I139" s="642">
        <v>0</v>
      </c>
      <c r="J139" s="642">
        <v>0</v>
      </c>
      <c r="K139" s="642">
        <v>0</v>
      </c>
      <c r="L139" s="642">
        <v>0</v>
      </c>
      <c r="M139" s="642">
        <v>7.7727852789708229E-2</v>
      </c>
      <c r="N139" s="642">
        <v>0</v>
      </c>
      <c r="O139" s="642">
        <v>0</v>
      </c>
      <c r="P139" s="642">
        <v>44.547532005203358</v>
      </c>
      <c r="Q139" s="642">
        <v>2.958822517532107</v>
      </c>
      <c r="R139" s="642">
        <v>0</v>
      </c>
      <c r="S139" s="650">
        <v>51.392747162220878</v>
      </c>
      <c r="U139" s="648" t="s">
        <v>76</v>
      </c>
      <c r="V139" s="642">
        <v>0</v>
      </c>
      <c r="W139" s="642">
        <v>0</v>
      </c>
      <c r="X139" s="642">
        <v>0</v>
      </c>
      <c r="Y139" s="642">
        <v>1.6015823117827594</v>
      </c>
      <c r="Z139" s="642">
        <v>0</v>
      </c>
      <c r="AA139" s="642">
        <v>0</v>
      </c>
      <c r="AB139" s="642">
        <v>0</v>
      </c>
      <c r="AC139" s="642">
        <v>0</v>
      </c>
      <c r="AD139" s="642">
        <v>0</v>
      </c>
      <c r="AE139" s="642">
        <v>0.68639241933546835</v>
      </c>
      <c r="AF139" s="642">
        <v>0</v>
      </c>
      <c r="AG139" s="642">
        <v>0</v>
      </c>
      <c r="AH139" s="642">
        <v>47.148943407633553</v>
      </c>
      <c r="AI139" s="642">
        <v>5.8421151160056723</v>
      </c>
      <c r="AJ139" s="642">
        <v>0</v>
      </c>
      <c r="AK139" s="650">
        <v>55.279033254757444</v>
      </c>
    </row>
    <row r="140" spans="3:37" ht="13.5">
      <c r="C140" s="646" t="s">
        <v>77</v>
      </c>
      <c r="D140" s="647">
        <v>42.571910641025248</v>
      </c>
      <c r="E140" s="647">
        <v>504.19228646673599</v>
      </c>
      <c r="F140" s="647">
        <v>-468.11692594020946</v>
      </c>
      <c r="G140" s="647">
        <v>45.994115783016845</v>
      </c>
      <c r="H140" s="647">
        <v>959.09090909090924</v>
      </c>
      <c r="I140" s="647">
        <v>265.54666314840352</v>
      </c>
      <c r="J140" s="647">
        <v>78.402106423532217</v>
      </c>
      <c r="K140" s="647">
        <v>19.049948129928421</v>
      </c>
      <c r="L140" s="647">
        <v>-26.034244563334241</v>
      </c>
      <c r="M140" s="647">
        <v>-5.4765606138084015</v>
      </c>
      <c r="N140" s="647">
        <v>0</v>
      </c>
      <c r="O140" s="647">
        <v>9.0263438420589424</v>
      </c>
      <c r="P140" s="647">
        <v>-537.24345011511946</v>
      </c>
      <c r="Q140" s="647">
        <v>-35.164036653103786</v>
      </c>
      <c r="R140" s="647">
        <v>-4.094104603252811</v>
      </c>
      <c r="S140" s="647">
        <v>847.74496103678234</v>
      </c>
      <c r="U140" s="646" t="s">
        <v>77</v>
      </c>
      <c r="V140" s="647">
        <v>6.4552640631735336</v>
      </c>
      <c r="W140" s="647">
        <v>266.28302835422375</v>
      </c>
      <c r="X140" s="647">
        <v>-239.16543674248729</v>
      </c>
      <c r="Y140" s="647">
        <v>28.3606981090151</v>
      </c>
      <c r="Z140" s="647">
        <v>919.39393939393949</v>
      </c>
      <c r="AA140" s="647">
        <v>300.16666314840353</v>
      </c>
      <c r="AB140" s="647">
        <v>116.13241178058709</v>
      </c>
      <c r="AC140" s="647">
        <v>32.378551458673563</v>
      </c>
      <c r="AD140" s="647">
        <v>-119.10980564362306</v>
      </c>
      <c r="AE140" s="647">
        <v>-45.591342912780426</v>
      </c>
      <c r="AF140" s="647">
        <v>0</v>
      </c>
      <c r="AG140" s="647">
        <v>17.619168596552839</v>
      </c>
      <c r="AH140" s="647">
        <v>-512.24867749935788</v>
      </c>
      <c r="AI140" s="647">
        <v>-69.488948539693865</v>
      </c>
      <c r="AJ140" s="647">
        <v>-23.724121611740912</v>
      </c>
      <c r="AK140" s="647">
        <v>677.46139195488558</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5.4657298257742912</v>
      </c>
      <c r="E142" s="642">
        <v>0</v>
      </c>
      <c r="F142" s="642">
        <v>21.83935294215906</v>
      </c>
      <c r="G142" s="642">
        <v>97.960240418883188</v>
      </c>
      <c r="H142" s="642">
        <v>0</v>
      </c>
      <c r="I142" s="642">
        <v>0</v>
      </c>
      <c r="J142" s="642">
        <v>20.699069714826329</v>
      </c>
      <c r="K142" s="642">
        <v>1.7608774311708451</v>
      </c>
      <c r="L142" s="642">
        <v>0.9136629082031249</v>
      </c>
      <c r="M142" s="642">
        <v>2.0177626304462204</v>
      </c>
      <c r="N142" s="642">
        <v>0</v>
      </c>
      <c r="O142" s="642">
        <v>3.7866244598879411E-4</v>
      </c>
      <c r="P142" s="642">
        <v>111.48933548215857</v>
      </c>
      <c r="Q142" s="642">
        <v>16.083775404791947</v>
      </c>
      <c r="R142" s="642">
        <v>0.29766925048828125</v>
      </c>
      <c r="S142" s="650">
        <v>278.52785467134788</v>
      </c>
      <c r="U142" s="648" t="s">
        <v>78</v>
      </c>
      <c r="V142" s="642">
        <v>1.0762581410403587</v>
      </c>
      <c r="W142" s="642">
        <v>0</v>
      </c>
      <c r="X142" s="642">
        <v>8.4892491154216376</v>
      </c>
      <c r="Y142" s="642">
        <v>50.497915430959594</v>
      </c>
      <c r="Z142" s="642">
        <v>0</v>
      </c>
      <c r="AA142" s="642">
        <v>0</v>
      </c>
      <c r="AB142" s="642">
        <v>15.594949526554588</v>
      </c>
      <c r="AC142" s="642">
        <v>5.2865944994228578</v>
      </c>
      <c r="AD142" s="642">
        <v>4.3757583007812499</v>
      </c>
      <c r="AE142" s="642">
        <v>21.660537806594554</v>
      </c>
      <c r="AF142" s="642">
        <v>0</v>
      </c>
      <c r="AG142" s="642">
        <v>3.7866244598879411E-4</v>
      </c>
      <c r="AH142" s="642">
        <v>141.44668524271188</v>
      </c>
      <c r="AI142" s="642">
        <v>22.79177635880415</v>
      </c>
      <c r="AJ142" s="642">
        <v>6.850041015625</v>
      </c>
      <c r="AK142" s="650">
        <v>278.07014410036186</v>
      </c>
    </row>
    <row r="143" spans="3:37" ht="13.5">
      <c r="C143" s="648" t="s">
        <v>79</v>
      </c>
      <c r="D143" s="642">
        <v>0</v>
      </c>
      <c r="E143" s="642">
        <v>0</v>
      </c>
      <c r="F143" s="642">
        <v>249.23385066161848</v>
      </c>
      <c r="G143" s="642">
        <v>29.852237297635437</v>
      </c>
      <c r="H143" s="642">
        <v>0</v>
      </c>
      <c r="I143" s="642">
        <v>0</v>
      </c>
      <c r="J143" s="642">
        <v>0</v>
      </c>
      <c r="K143" s="642">
        <v>0</v>
      </c>
      <c r="L143" s="642">
        <v>24.125777410294155</v>
      </c>
      <c r="M143" s="642">
        <v>0.60922933260480494</v>
      </c>
      <c r="N143" s="642">
        <v>0</v>
      </c>
      <c r="O143" s="642">
        <v>0</v>
      </c>
      <c r="P143" s="642">
        <v>62.086065361885787</v>
      </c>
      <c r="Q143" s="642">
        <v>0</v>
      </c>
      <c r="R143" s="642">
        <v>1.9828379826970517</v>
      </c>
      <c r="S143" s="650">
        <v>367.88999804673568</v>
      </c>
      <c r="U143" s="648" t="s">
        <v>79</v>
      </c>
      <c r="V143" s="642">
        <v>0</v>
      </c>
      <c r="W143" s="642">
        <v>0</v>
      </c>
      <c r="X143" s="642">
        <v>59.317364570862594</v>
      </c>
      <c r="Y143" s="642">
        <v>17.942066440325025</v>
      </c>
      <c r="Z143" s="642">
        <v>0</v>
      </c>
      <c r="AA143" s="642">
        <v>0</v>
      </c>
      <c r="AB143" s="642">
        <v>0</v>
      </c>
      <c r="AC143" s="642">
        <v>0</v>
      </c>
      <c r="AD143" s="642">
        <v>51.332808735857633</v>
      </c>
      <c r="AE143" s="642">
        <v>7.6894570458535831</v>
      </c>
      <c r="AF143" s="642">
        <v>0</v>
      </c>
      <c r="AG143" s="642">
        <v>0</v>
      </c>
      <c r="AH143" s="642">
        <v>82.201296258535137</v>
      </c>
      <c r="AI143" s="642">
        <v>0</v>
      </c>
      <c r="AJ143" s="642">
        <v>4.6183032107255606</v>
      </c>
      <c r="AK143" s="650">
        <v>223.10129626215951</v>
      </c>
    </row>
    <row r="144" spans="3:37" ht="13.5">
      <c r="C144" s="648" t="s">
        <v>80</v>
      </c>
      <c r="D144" s="642">
        <v>0</v>
      </c>
      <c r="E144" s="642">
        <v>0</v>
      </c>
      <c r="F144" s="642">
        <v>17.698191750553285</v>
      </c>
      <c r="G144" s="642">
        <v>82.8316536533641</v>
      </c>
      <c r="H144" s="642">
        <v>0</v>
      </c>
      <c r="I144" s="642">
        <v>0</v>
      </c>
      <c r="J144" s="642">
        <v>87.012401530952616</v>
      </c>
      <c r="K144" s="642">
        <v>0</v>
      </c>
      <c r="L144" s="642">
        <v>0</v>
      </c>
      <c r="M144" s="642">
        <v>1.690441911293145</v>
      </c>
      <c r="N144" s="642">
        <v>54.219025663639314</v>
      </c>
      <c r="O144" s="642">
        <v>2.0231633432731213</v>
      </c>
      <c r="P144" s="642">
        <v>187.24843332836184</v>
      </c>
      <c r="Q144" s="642">
        <v>15.504434202631401</v>
      </c>
      <c r="R144" s="642">
        <v>0</v>
      </c>
      <c r="S144" s="650">
        <v>448.22774538406884</v>
      </c>
      <c r="U144" s="648" t="s">
        <v>80</v>
      </c>
      <c r="V144" s="642">
        <v>0</v>
      </c>
      <c r="W144" s="642">
        <v>0</v>
      </c>
      <c r="X144" s="642">
        <v>1.0833932718176746</v>
      </c>
      <c r="Y144" s="642">
        <v>18.084176496701136</v>
      </c>
      <c r="Z144" s="642">
        <v>0</v>
      </c>
      <c r="AA144" s="642">
        <v>0</v>
      </c>
      <c r="AB144" s="642">
        <v>57.868484646152382</v>
      </c>
      <c r="AC144" s="642">
        <v>0</v>
      </c>
      <c r="AD144" s="642">
        <v>0</v>
      </c>
      <c r="AE144" s="642">
        <v>7.7503613557290594</v>
      </c>
      <c r="AF144" s="642">
        <v>78.313096165620991</v>
      </c>
      <c r="AG144" s="642">
        <v>3.4573890525731583</v>
      </c>
      <c r="AH144" s="642">
        <v>150.63566760387405</v>
      </c>
      <c r="AI144" s="642">
        <v>34.942034151478268</v>
      </c>
      <c r="AJ144" s="642">
        <v>0</v>
      </c>
      <c r="AK144" s="650">
        <v>352.13460274394669</v>
      </c>
    </row>
    <row r="145" spans="3:37" ht="13.5">
      <c r="C145" s="648" t="s">
        <v>81</v>
      </c>
      <c r="D145" s="642">
        <v>0</v>
      </c>
      <c r="E145" s="642">
        <v>0</v>
      </c>
      <c r="F145" s="642">
        <v>5.759525486283259</v>
      </c>
      <c r="G145" s="642">
        <v>63.242535904869413</v>
      </c>
      <c r="H145" s="642">
        <v>0</v>
      </c>
      <c r="I145" s="642">
        <v>0</v>
      </c>
      <c r="J145" s="642">
        <v>3.243340348024236</v>
      </c>
      <c r="K145" s="642">
        <v>2.5138060257677737E-2</v>
      </c>
      <c r="L145" s="642">
        <v>0</v>
      </c>
      <c r="M145" s="642">
        <v>1.2906639980585595</v>
      </c>
      <c r="N145" s="642">
        <v>8.6788063603893928</v>
      </c>
      <c r="O145" s="642">
        <v>0.74318365128395913</v>
      </c>
      <c r="P145" s="642">
        <v>138.68432478978596</v>
      </c>
      <c r="Q145" s="642">
        <v>3.5758270456804375</v>
      </c>
      <c r="R145" s="642">
        <v>0</v>
      </c>
      <c r="S145" s="650">
        <v>225.24334564463288</v>
      </c>
      <c r="U145" s="648" t="s">
        <v>81</v>
      </c>
      <c r="V145" s="642">
        <v>0</v>
      </c>
      <c r="W145" s="642">
        <v>0</v>
      </c>
      <c r="X145" s="642">
        <v>1.8996820773870462</v>
      </c>
      <c r="Y145" s="642">
        <v>16.701006494583829</v>
      </c>
      <c r="Z145" s="642">
        <v>0</v>
      </c>
      <c r="AA145" s="642">
        <v>0</v>
      </c>
      <c r="AB145" s="642">
        <v>7.1959049572050198</v>
      </c>
      <c r="AC145" s="642">
        <v>2.5138060257677737E-2</v>
      </c>
      <c r="AD145" s="642">
        <v>0</v>
      </c>
      <c r="AE145" s="642">
        <v>7.1575742119644987</v>
      </c>
      <c r="AF145" s="642">
        <v>14.587904232604497</v>
      </c>
      <c r="AG145" s="642">
        <v>1.6018484399661996</v>
      </c>
      <c r="AH145" s="642">
        <v>116.46951239557291</v>
      </c>
      <c r="AI145" s="642">
        <v>11.755138029411436</v>
      </c>
      <c r="AJ145" s="642">
        <v>0</v>
      </c>
      <c r="AK145" s="650">
        <v>177.39370889895312</v>
      </c>
    </row>
    <row r="146" spans="3:37" ht="13.5">
      <c r="C146" s="648" t="s">
        <v>82</v>
      </c>
      <c r="D146" s="642">
        <v>0</v>
      </c>
      <c r="E146" s="642">
        <v>0</v>
      </c>
      <c r="F146" s="642">
        <v>29.471786733039881</v>
      </c>
      <c r="G146" s="642">
        <v>1.3166139535686423</v>
      </c>
      <c r="H146" s="642">
        <v>0</v>
      </c>
      <c r="I146" s="642">
        <v>0</v>
      </c>
      <c r="J146" s="642">
        <v>3.6844952632387193</v>
      </c>
      <c r="K146" s="642">
        <v>0</v>
      </c>
      <c r="L146" s="642">
        <v>3.0029030850571363</v>
      </c>
      <c r="M146" s="642">
        <v>2.6869672521809031E-2</v>
      </c>
      <c r="N146" s="642">
        <v>0</v>
      </c>
      <c r="O146" s="642">
        <v>7.2392521047915395E-2</v>
      </c>
      <c r="P146" s="642">
        <v>6.3643203530837074</v>
      </c>
      <c r="Q146" s="642">
        <v>0</v>
      </c>
      <c r="R146" s="642">
        <v>0</v>
      </c>
      <c r="S146" s="650">
        <v>43.939381581557811</v>
      </c>
      <c r="U146" s="648" t="s">
        <v>82</v>
      </c>
      <c r="V146" s="642">
        <v>0</v>
      </c>
      <c r="W146" s="642">
        <v>0</v>
      </c>
      <c r="X146" s="642">
        <v>10.199143313422546</v>
      </c>
      <c r="Y146" s="642">
        <v>1.1904851448286324</v>
      </c>
      <c r="Z146" s="642">
        <v>0</v>
      </c>
      <c r="AA146" s="642">
        <v>0</v>
      </c>
      <c r="AB146" s="642">
        <v>3.6844952632387193</v>
      </c>
      <c r="AC146" s="642">
        <v>0</v>
      </c>
      <c r="AD146" s="642">
        <v>26.674568203776872</v>
      </c>
      <c r="AE146" s="642">
        <v>0.51020791921227104</v>
      </c>
      <c r="AF146" s="642">
        <v>0</v>
      </c>
      <c r="AG146" s="642">
        <v>1.300620381405156</v>
      </c>
      <c r="AH146" s="642">
        <v>6.4632626546266092</v>
      </c>
      <c r="AI146" s="642">
        <v>0</v>
      </c>
      <c r="AJ146" s="642">
        <v>0.325155095351289</v>
      </c>
      <c r="AK146" s="650">
        <v>50.347937975862088</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0.31499999999999995</v>
      </c>
      <c r="Q147" s="642">
        <v>0</v>
      </c>
      <c r="R147" s="642">
        <v>0</v>
      </c>
      <c r="S147" s="650">
        <v>0.31499999999999995</v>
      </c>
      <c r="U147" s="648" t="s">
        <v>357</v>
      </c>
      <c r="V147" s="642">
        <v>0</v>
      </c>
      <c r="W147" s="642">
        <v>0</v>
      </c>
      <c r="X147" s="642">
        <v>0</v>
      </c>
      <c r="Y147" s="642">
        <v>0</v>
      </c>
      <c r="Z147" s="642">
        <v>0</v>
      </c>
      <c r="AA147" s="642">
        <v>0</v>
      </c>
      <c r="AB147" s="642">
        <v>0</v>
      </c>
      <c r="AC147" s="642">
        <v>0</v>
      </c>
      <c r="AD147" s="642">
        <v>0</v>
      </c>
      <c r="AE147" s="642">
        <v>0</v>
      </c>
      <c r="AF147" s="642">
        <v>0</v>
      </c>
      <c r="AG147" s="642">
        <v>0</v>
      </c>
      <c r="AH147" s="642">
        <v>2.4</v>
      </c>
      <c r="AI147" s="642">
        <v>0</v>
      </c>
      <c r="AJ147" s="642">
        <v>0</v>
      </c>
      <c r="AK147" s="650">
        <v>2.4</v>
      </c>
    </row>
    <row r="148" spans="3:37" ht="13.5">
      <c r="C148" s="646" t="s">
        <v>83</v>
      </c>
      <c r="D148" s="647">
        <v>5.4657298257742912</v>
      </c>
      <c r="E148" s="647">
        <v>0</v>
      </c>
      <c r="F148" s="647">
        <v>324.00270757365394</v>
      </c>
      <c r="G148" s="647">
        <v>275.2032812283208</v>
      </c>
      <c r="H148" s="647">
        <v>0</v>
      </c>
      <c r="I148" s="647">
        <v>0</v>
      </c>
      <c r="J148" s="647">
        <v>114.6393068570419</v>
      </c>
      <c r="K148" s="647">
        <v>1.7860154914285227</v>
      </c>
      <c r="L148" s="647">
        <v>28.042343403554419</v>
      </c>
      <c r="M148" s="647">
        <v>5.6349675449245389</v>
      </c>
      <c r="N148" s="647">
        <v>62.897832024028709</v>
      </c>
      <c r="O148" s="647">
        <v>2.8391181780509842</v>
      </c>
      <c r="P148" s="647">
        <v>506.18747931527582</v>
      </c>
      <c r="Q148" s="647">
        <v>35.164036653103793</v>
      </c>
      <c r="R148" s="647">
        <v>2.2805072331853329</v>
      </c>
      <c r="S148" s="647">
        <v>1364.1433253283431</v>
      </c>
      <c r="U148" s="646" t="s">
        <v>83</v>
      </c>
      <c r="V148" s="647">
        <v>1.0762581410403587</v>
      </c>
      <c r="W148" s="647">
        <v>0</v>
      </c>
      <c r="X148" s="647">
        <v>80.988832348911515</v>
      </c>
      <c r="Y148" s="647">
        <v>104.41565000739821</v>
      </c>
      <c r="Z148" s="647">
        <v>0</v>
      </c>
      <c r="AA148" s="647">
        <v>0</v>
      </c>
      <c r="AB148" s="647">
        <v>84.343834393150701</v>
      </c>
      <c r="AC148" s="647">
        <v>5.3117325596805349</v>
      </c>
      <c r="AD148" s="647">
        <v>82.383135240415754</v>
      </c>
      <c r="AE148" s="647">
        <v>44.768138339353968</v>
      </c>
      <c r="AF148" s="647">
        <v>92.901000398225491</v>
      </c>
      <c r="AG148" s="647">
        <v>6.3602365363905022</v>
      </c>
      <c r="AH148" s="647">
        <v>499.61642415532054</v>
      </c>
      <c r="AI148" s="647">
        <v>69.488948539693865</v>
      </c>
      <c r="AJ148" s="647">
        <v>11.793499321701848</v>
      </c>
      <c r="AK148" s="647">
        <v>1083.4476899812832</v>
      </c>
    </row>
    <row r="149" spans="3:37" ht="13.5">
      <c r="C149" s="641" t="s">
        <v>84</v>
      </c>
      <c r="D149" s="642">
        <v>0</v>
      </c>
      <c r="E149" s="642">
        <v>0</v>
      </c>
      <c r="F149" s="642">
        <v>109.69308299672531</v>
      </c>
      <c r="G149" s="642">
        <v>11.766175832538266</v>
      </c>
      <c r="H149" s="642">
        <v>0</v>
      </c>
      <c r="I149" s="642">
        <v>0</v>
      </c>
      <c r="J149" s="642">
        <v>0</v>
      </c>
      <c r="K149" s="642">
        <v>0</v>
      </c>
      <c r="L149" s="642">
        <v>0</v>
      </c>
      <c r="M149" s="642">
        <v>0</v>
      </c>
      <c r="N149" s="642">
        <v>0</v>
      </c>
      <c r="O149" s="642">
        <v>0</v>
      </c>
      <c r="P149" s="642">
        <v>0</v>
      </c>
      <c r="Q149" s="642">
        <v>0</v>
      </c>
      <c r="R149" s="642">
        <v>1.8135973700674786</v>
      </c>
      <c r="S149" s="650">
        <v>123.27285619933106</v>
      </c>
      <c r="U149" s="641" t="s">
        <v>84</v>
      </c>
      <c r="V149" s="642">
        <v>0</v>
      </c>
      <c r="W149" s="642">
        <v>0</v>
      </c>
      <c r="X149" s="642">
        <v>84.298528713313246</v>
      </c>
      <c r="Y149" s="642">
        <v>1.1302347010557652</v>
      </c>
      <c r="Z149" s="642">
        <v>0</v>
      </c>
      <c r="AA149" s="642">
        <v>0</v>
      </c>
      <c r="AB149" s="642">
        <v>0</v>
      </c>
      <c r="AC149" s="642">
        <v>0</v>
      </c>
      <c r="AD149" s="642">
        <v>17.754065118408207</v>
      </c>
      <c r="AE149" s="642">
        <v>0</v>
      </c>
      <c r="AF149" s="642">
        <v>0</v>
      </c>
      <c r="AG149" s="642">
        <v>0</v>
      </c>
      <c r="AH149" s="642">
        <v>0</v>
      </c>
      <c r="AI149" s="642">
        <v>0</v>
      </c>
      <c r="AJ149" s="642">
        <v>11.930622290039064</v>
      </c>
      <c r="AK149" s="650">
        <v>115.11345082281629</v>
      </c>
    </row>
    <row r="150" spans="3:37" ht="13.5">
      <c r="C150" s="646" t="s">
        <v>85</v>
      </c>
      <c r="D150" s="647">
        <v>5.4657298257742912</v>
      </c>
      <c r="E150" s="647">
        <v>0</v>
      </c>
      <c r="F150" s="647">
        <v>433.69579057037924</v>
      </c>
      <c r="G150" s="647">
        <v>286.9694570608591</v>
      </c>
      <c r="H150" s="647">
        <v>0</v>
      </c>
      <c r="I150" s="647">
        <v>0</v>
      </c>
      <c r="J150" s="647">
        <v>114.6393068570419</v>
      </c>
      <c r="K150" s="647">
        <v>1.7860154914285227</v>
      </c>
      <c r="L150" s="647">
        <v>28.042343403554419</v>
      </c>
      <c r="M150" s="647">
        <v>5.6349675449245389</v>
      </c>
      <c r="N150" s="647">
        <v>62.897832024028709</v>
      </c>
      <c r="O150" s="647">
        <v>2.8391181780509842</v>
      </c>
      <c r="P150" s="647">
        <v>506.18747931527582</v>
      </c>
      <c r="Q150" s="647">
        <v>35.164036653103793</v>
      </c>
      <c r="R150" s="647">
        <v>4.094104603252811</v>
      </c>
      <c r="S150" s="647">
        <v>1487.4161815276743</v>
      </c>
      <c r="U150" s="646" t="s">
        <v>85</v>
      </c>
      <c r="V150" s="647">
        <v>1.0762581410403587</v>
      </c>
      <c r="W150" s="647">
        <v>0</v>
      </c>
      <c r="X150" s="647">
        <v>165.28736106222476</v>
      </c>
      <c r="Y150" s="647">
        <v>105.54588470845398</v>
      </c>
      <c r="Z150" s="647">
        <v>0</v>
      </c>
      <c r="AA150" s="647">
        <v>0</v>
      </c>
      <c r="AB150" s="647">
        <v>84.343834393150701</v>
      </c>
      <c r="AC150" s="647">
        <v>5.3117325596805349</v>
      </c>
      <c r="AD150" s="647">
        <v>100.13720035882396</v>
      </c>
      <c r="AE150" s="647">
        <v>44.768138339353968</v>
      </c>
      <c r="AF150" s="647">
        <v>92.901000398225491</v>
      </c>
      <c r="AG150" s="647">
        <v>6.3602365363905022</v>
      </c>
      <c r="AH150" s="647">
        <v>499.61642415532054</v>
      </c>
      <c r="AI150" s="647">
        <v>69.488948539693865</v>
      </c>
      <c r="AJ150" s="647">
        <v>23.724121611740912</v>
      </c>
      <c r="AK150" s="647">
        <v>1198.5611408040995</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22.5">
      <c r="C152" s="699" t="s">
        <v>523</v>
      </c>
      <c r="D152" s="699"/>
      <c r="E152" s="699"/>
      <c r="F152" s="699"/>
      <c r="G152" s="699"/>
      <c r="H152" s="699"/>
      <c r="I152" s="699"/>
      <c r="J152" s="699"/>
      <c r="K152" s="699"/>
      <c r="L152" s="699"/>
      <c r="M152" s="699"/>
      <c r="N152" s="699"/>
      <c r="O152" s="699"/>
      <c r="P152" s="699"/>
      <c r="Q152" s="699"/>
      <c r="R152" s="699"/>
      <c r="S152" s="699"/>
      <c r="U152" s="699" t="s">
        <v>523</v>
      </c>
      <c r="V152" s="699"/>
      <c r="W152" s="699"/>
      <c r="X152" s="699"/>
      <c r="Y152" s="699"/>
      <c r="Z152" s="699"/>
      <c r="AA152" s="699"/>
      <c r="AB152" s="699"/>
      <c r="AC152" s="699"/>
      <c r="AD152" s="699"/>
      <c r="AE152" s="699"/>
      <c r="AF152" s="699"/>
      <c r="AG152" s="699"/>
      <c r="AH152" s="699"/>
      <c r="AI152" s="699"/>
      <c r="AJ152" s="699"/>
      <c r="AK152" s="699"/>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13" customHeight="1">
      <c r="C154" s="700" t="s">
        <v>128</v>
      </c>
      <c r="D154" s="701" t="s">
        <v>42</v>
      </c>
      <c r="E154" s="701" t="s">
        <v>52</v>
      </c>
      <c r="F154" s="701" t="s">
        <v>53</v>
      </c>
      <c r="G154" s="701" t="s">
        <v>32</v>
      </c>
      <c r="H154" s="701" t="s">
        <v>20</v>
      </c>
      <c r="I154" s="701" t="s">
        <v>55</v>
      </c>
      <c r="J154" s="701" t="s">
        <v>56</v>
      </c>
      <c r="K154" s="701"/>
      <c r="L154" s="701"/>
      <c r="M154" s="701"/>
      <c r="N154" s="701"/>
      <c r="O154" s="701"/>
      <c r="P154" s="701" t="s">
        <v>57</v>
      </c>
      <c r="Q154" s="701" t="s">
        <v>58</v>
      </c>
      <c r="R154" s="701" t="s">
        <v>31</v>
      </c>
      <c r="S154" s="701" t="s">
        <v>10</v>
      </c>
      <c r="U154" s="700" t="s">
        <v>128</v>
      </c>
      <c r="V154" s="701" t="s">
        <v>42</v>
      </c>
      <c r="W154" s="701" t="s">
        <v>52</v>
      </c>
      <c r="X154" s="701" t="s">
        <v>53</v>
      </c>
      <c r="Y154" s="701" t="s">
        <v>32</v>
      </c>
      <c r="Z154" s="701" t="s">
        <v>20</v>
      </c>
      <c r="AA154" s="701" t="s">
        <v>55</v>
      </c>
      <c r="AB154" s="701" t="s">
        <v>56</v>
      </c>
      <c r="AC154" s="701"/>
      <c r="AD154" s="701"/>
      <c r="AE154" s="701"/>
      <c r="AF154" s="701"/>
      <c r="AG154" s="701"/>
      <c r="AH154" s="701" t="s">
        <v>57</v>
      </c>
      <c r="AI154" s="701" t="s">
        <v>58</v>
      </c>
      <c r="AJ154" s="701" t="s">
        <v>31</v>
      </c>
      <c r="AK154" s="701" t="s">
        <v>10</v>
      </c>
    </row>
    <row r="155" spans="3:37" ht="46">
      <c r="C155" s="700"/>
      <c r="D155" s="701"/>
      <c r="E155" s="701"/>
      <c r="F155" s="701"/>
      <c r="G155" s="701"/>
      <c r="H155" s="701"/>
      <c r="I155" s="701"/>
      <c r="J155" s="640" t="s">
        <v>338</v>
      </c>
      <c r="K155" s="640" t="s">
        <v>40</v>
      </c>
      <c r="L155" s="640" t="s">
        <v>346</v>
      </c>
      <c r="M155" s="640" t="s">
        <v>347</v>
      </c>
      <c r="N155" s="640" t="s">
        <v>348</v>
      </c>
      <c r="O155" s="640" t="s">
        <v>349</v>
      </c>
      <c r="P155" s="701"/>
      <c r="Q155" s="701"/>
      <c r="R155" s="701"/>
      <c r="S155" s="701"/>
      <c r="U155" s="700"/>
      <c r="V155" s="701"/>
      <c r="W155" s="701"/>
      <c r="X155" s="701"/>
      <c r="Y155" s="701"/>
      <c r="Z155" s="701"/>
      <c r="AA155" s="701"/>
      <c r="AB155" s="640" t="s">
        <v>338</v>
      </c>
      <c r="AC155" s="640" t="s">
        <v>40</v>
      </c>
      <c r="AD155" s="640" t="s">
        <v>346</v>
      </c>
      <c r="AE155" s="640" t="s">
        <v>347</v>
      </c>
      <c r="AF155" s="640" t="s">
        <v>348</v>
      </c>
      <c r="AG155" s="640" t="s">
        <v>349</v>
      </c>
      <c r="AH155" s="701"/>
      <c r="AI155" s="701"/>
      <c r="AJ155" s="701"/>
      <c r="AK155" s="701"/>
    </row>
    <row r="156" spans="3:37" ht="13.5">
      <c r="C156" s="641" t="s">
        <v>59</v>
      </c>
      <c r="D156" s="642">
        <v>0</v>
      </c>
      <c r="E156" s="643">
        <v>0</v>
      </c>
      <c r="F156" s="643">
        <v>0</v>
      </c>
      <c r="G156" s="642">
        <v>0</v>
      </c>
      <c r="H156" s="643">
        <v>889.54545454545473</v>
      </c>
      <c r="I156" s="643">
        <v>290.38619522472999</v>
      </c>
      <c r="J156" s="643">
        <v>188.26463769943669</v>
      </c>
      <c r="K156" s="643">
        <v>20.519346122490408</v>
      </c>
      <c r="L156" s="643">
        <v>0.54648995449606019</v>
      </c>
      <c r="M156" s="643">
        <v>0.15914693380563083</v>
      </c>
      <c r="N156" s="643">
        <v>65.898689554178929</v>
      </c>
      <c r="O156" s="643">
        <v>11.930124482632028</v>
      </c>
      <c r="P156" s="644">
        <v>0</v>
      </c>
      <c r="Q156" s="643">
        <v>0</v>
      </c>
      <c r="R156" s="643">
        <v>0</v>
      </c>
      <c r="S156" s="645">
        <v>1467.2500845172242</v>
      </c>
      <c r="U156" s="641" t="s">
        <v>59</v>
      </c>
      <c r="V156" s="642">
        <v>0</v>
      </c>
      <c r="W156" s="643">
        <v>0</v>
      </c>
      <c r="X156" s="643">
        <v>0</v>
      </c>
      <c r="Y156" s="642">
        <v>0</v>
      </c>
      <c r="Z156" s="643">
        <v>873.030303030303</v>
      </c>
      <c r="AA156" s="643">
        <v>337.06619522473</v>
      </c>
      <c r="AB156" s="643">
        <v>206.15489309499102</v>
      </c>
      <c r="AC156" s="643">
        <v>37.137182251794961</v>
      </c>
      <c r="AD156" s="643">
        <v>0.54648995449606019</v>
      </c>
      <c r="AE156" s="643">
        <v>0.15914693380563083</v>
      </c>
      <c r="AF156" s="643">
        <v>103.02458403584798</v>
      </c>
      <c r="AG156" s="643">
        <v>25.833176078824131</v>
      </c>
      <c r="AH156" s="644">
        <v>0</v>
      </c>
      <c r="AI156" s="643">
        <v>0</v>
      </c>
      <c r="AJ156" s="643">
        <v>0</v>
      </c>
      <c r="AK156" s="645">
        <v>1582.9519706047927</v>
      </c>
    </row>
    <row r="157" spans="3:37" ht="13.5">
      <c r="C157" s="641" t="s">
        <v>60</v>
      </c>
      <c r="D157" s="642">
        <v>47.523331421865407</v>
      </c>
      <c r="E157" s="643">
        <v>492.37419513671523</v>
      </c>
      <c r="F157" s="643">
        <v>57.352326080251387</v>
      </c>
      <c r="G157" s="642">
        <v>328.8885225556333</v>
      </c>
      <c r="H157" s="643">
        <v>0</v>
      </c>
      <c r="I157" s="643">
        <v>0</v>
      </c>
      <c r="J157" s="643">
        <v>4.8075322078390377</v>
      </c>
      <c r="K157" s="643">
        <v>0</v>
      </c>
      <c r="L157" s="643">
        <v>2.6229179175778925</v>
      </c>
      <c r="M157" s="643">
        <v>0</v>
      </c>
      <c r="N157" s="643">
        <v>0</v>
      </c>
      <c r="O157" s="643">
        <v>0</v>
      </c>
      <c r="P157" s="644">
        <v>0</v>
      </c>
      <c r="Q157" s="643">
        <v>0</v>
      </c>
      <c r="R157" s="643">
        <v>0</v>
      </c>
      <c r="S157" s="645">
        <v>933.56882531988219</v>
      </c>
      <c r="U157" s="641" t="s">
        <v>60</v>
      </c>
      <c r="V157" s="642">
        <v>6.5260336126681251</v>
      </c>
      <c r="W157" s="643">
        <v>220.47790015098695</v>
      </c>
      <c r="X157" s="643">
        <v>14.513856185365357</v>
      </c>
      <c r="Y157" s="642">
        <v>102.1346675179243</v>
      </c>
      <c r="Z157" s="643">
        <v>0</v>
      </c>
      <c r="AA157" s="643">
        <v>0</v>
      </c>
      <c r="AB157" s="643">
        <v>4.8075322078390377</v>
      </c>
      <c r="AC157" s="643">
        <v>0</v>
      </c>
      <c r="AD157" s="643">
        <v>2.6229179175778925</v>
      </c>
      <c r="AE157" s="643">
        <v>0</v>
      </c>
      <c r="AF157" s="643">
        <v>0</v>
      </c>
      <c r="AG157" s="643">
        <v>0</v>
      </c>
      <c r="AH157" s="644">
        <v>0</v>
      </c>
      <c r="AI157" s="643">
        <v>0</v>
      </c>
      <c r="AJ157" s="643">
        <v>0</v>
      </c>
      <c r="AK157" s="645">
        <v>351.08290759236166</v>
      </c>
    </row>
    <row r="158" spans="3:37" ht="13.5">
      <c r="C158" s="641" t="s">
        <v>61</v>
      </c>
      <c r="D158" s="642">
        <v>0</v>
      </c>
      <c r="E158" s="643">
        <v>0</v>
      </c>
      <c r="F158" s="643">
        <v>0</v>
      </c>
      <c r="G158" s="642">
        <v>0</v>
      </c>
      <c r="H158" s="643">
        <v>0</v>
      </c>
      <c r="I158" s="643">
        <v>0</v>
      </c>
      <c r="J158" s="643">
        <v>0</v>
      </c>
      <c r="K158" s="643">
        <v>0</v>
      </c>
      <c r="L158" s="643">
        <v>0</v>
      </c>
      <c r="M158" s="643">
        <v>0</v>
      </c>
      <c r="N158" s="643">
        <v>0</v>
      </c>
      <c r="O158" s="643">
        <v>0</v>
      </c>
      <c r="P158" s="644">
        <v>-22.391147784534837</v>
      </c>
      <c r="Q158" s="643">
        <v>0</v>
      </c>
      <c r="R158" s="643">
        <v>0</v>
      </c>
      <c r="S158" s="645">
        <v>-22.391147784534837</v>
      </c>
      <c r="U158" s="641" t="s">
        <v>61</v>
      </c>
      <c r="V158" s="642">
        <v>0</v>
      </c>
      <c r="W158" s="643">
        <v>0</v>
      </c>
      <c r="X158" s="643">
        <v>-19.691193817618341</v>
      </c>
      <c r="Y158" s="642">
        <v>0</v>
      </c>
      <c r="Z158" s="643">
        <v>0</v>
      </c>
      <c r="AA158" s="643">
        <v>0</v>
      </c>
      <c r="AB158" s="643">
        <v>0</v>
      </c>
      <c r="AC158" s="643">
        <v>0</v>
      </c>
      <c r="AD158" s="643">
        <v>0</v>
      </c>
      <c r="AE158" s="643">
        <v>0</v>
      </c>
      <c r="AF158" s="643">
        <v>0</v>
      </c>
      <c r="AG158" s="643">
        <v>0</v>
      </c>
      <c r="AH158" s="644">
        <v>-17.389600315785174</v>
      </c>
      <c r="AI158" s="643">
        <v>0</v>
      </c>
      <c r="AJ158" s="643">
        <v>0</v>
      </c>
      <c r="AK158" s="645">
        <v>-37.080794133403515</v>
      </c>
    </row>
    <row r="159" spans="3:37" ht="13.5">
      <c r="C159" s="641" t="s">
        <v>62</v>
      </c>
      <c r="D159" s="642">
        <v>0</v>
      </c>
      <c r="E159" s="643">
        <v>0</v>
      </c>
      <c r="F159" s="643">
        <v>-15.496739011683466</v>
      </c>
      <c r="G159" s="642">
        <v>0</v>
      </c>
      <c r="H159" s="643">
        <v>0</v>
      </c>
      <c r="I159" s="643">
        <v>0</v>
      </c>
      <c r="J159" s="643">
        <v>0</v>
      </c>
      <c r="K159" s="643">
        <v>0</v>
      </c>
      <c r="L159" s="643">
        <v>0</v>
      </c>
      <c r="M159" s="643">
        <v>0</v>
      </c>
      <c r="N159" s="643">
        <v>0</v>
      </c>
      <c r="O159" s="643">
        <v>0</v>
      </c>
      <c r="P159" s="644">
        <v>0</v>
      </c>
      <c r="Q159" s="643">
        <v>0</v>
      </c>
      <c r="R159" s="643">
        <v>0</v>
      </c>
      <c r="S159" s="645">
        <v>-15.496739011683466</v>
      </c>
      <c r="U159" s="641" t="s">
        <v>62</v>
      </c>
      <c r="V159" s="642">
        <v>0</v>
      </c>
      <c r="W159" s="643">
        <v>0</v>
      </c>
      <c r="X159" s="643">
        <v>-8.5387827474702789</v>
      </c>
      <c r="Y159" s="642">
        <v>-2.2272473327152178</v>
      </c>
      <c r="Z159" s="643">
        <v>0</v>
      </c>
      <c r="AA159" s="643">
        <v>0</v>
      </c>
      <c r="AB159" s="643">
        <v>0</v>
      </c>
      <c r="AC159" s="643">
        <v>0</v>
      </c>
      <c r="AD159" s="643">
        <v>0</v>
      </c>
      <c r="AE159" s="643">
        <v>-1.7037211969591732</v>
      </c>
      <c r="AF159" s="643">
        <v>0</v>
      </c>
      <c r="AG159" s="643">
        <v>0</v>
      </c>
      <c r="AH159" s="644">
        <v>0</v>
      </c>
      <c r="AI159" s="643">
        <v>0</v>
      </c>
      <c r="AJ159" s="643">
        <v>0</v>
      </c>
      <c r="AK159" s="645">
        <v>-12.46975127714467</v>
      </c>
    </row>
    <row r="160" spans="3:37" ht="13.5">
      <c r="C160" s="641" t="s">
        <v>63</v>
      </c>
      <c r="D160" s="642">
        <v>0</v>
      </c>
      <c r="E160" s="643">
        <v>0</v>
      </c>
      <c r="F160" s="643">
        <v>-89.42656352071144</v>
      </c>
      <c r="G160" s="642">
        <v>0</v>
      </c>
      <c r="H160" s="643">
        <v>0</v>
      </c>
      <c r="I160" s="643">
        <v>0</v>
      </c>
      <c r="J160" s="643">
        <v>0</v>
      </c>
      <c r="K160" s="643">
        <v>0</v>
      </c>
      <c r="L160" s="643">
        <v>-0.92190198395554845</v>
      </c>
      <c r="M160" s="643">
        <v>0</v>
      </c>
      <c r="N160" s="643">
        <v>0</v>
      </c>
      <c r="O160" s="643">
        <v>0</v>
      </c>
      <c r="P160" s="644">
        <v>0</v>
      </c>
      <c r="Q160" s="643">
        <v>0</v>
      </c>
      <c r="R160" s="643">
        <v>0</v>
      </c>
      <c r="S160" s="645">
        <v>-90.34846550466699</v>
      </c>
      <c r="U160" s="641" t="s">
        <v>63</v>
      </c>
      <c r="V160" s="642">
        <v>0</v>
      </c>
      <c r="W160" s="643">
        <v>0</v>
      </c>
      <c r="X160" s="643">
        <v>-55.486888716289528</v>
      </c>
      <c r="Y160" s="642">
        <v>0</v>
      </c>
      <c r="Z160" s="643">
        <v>0</v>
      </c>
      <c r="AA160" s="643">
        <v>0</v>
      </c>
      <c r="AB160" s="643">
        <v>0</v>
      </c>
      <c r="AC160" s="643">
        <v>0</v>
      </c>
      <c r="AD160" s="643">
        <v>-26.575233608452013</v>
      </c>
      <c r="AE160" s="643">
        <v>0</v>
      </c>
      <c r="AF160" s="643">
        <v>0</v>
      </c>
      <c r="AG160" s="643">
        <v>0</v>
      </c>
      <c r="AH160" s="644">
        <v>0</v>
      </c>
      <c r="AI160" s="643">
        <v>0</v>
      </c>
      <c r="AJ160" s="643">
        <v>0</v>
      </c>
      <c r="AK160" s="645">
        <v>-82.062122324741537</v>
      </c>
    </row>
    <row r="161" spans="3:37" ht="13.5">
      <c r="C161" s="641" t="s">
        <v>64</v>
      </c>
      <c r="D161" s="642">
        <v>0</v>
      </c>
      <c r="E161" s="643">
        <v>0</v>
      </c>
      <c r="F161" s="643">
        <v>0</v>
      </c>
      <c r="G161" s="642">
        <v>0</v>
      </c>
      <c r="H161" s="643">
        <v>0</v>
      </c>
      <c r="I161" s="643">
        <v>0</v>
      </c>
      <c r="J161" s="643">
        <v>0</v>
      </c>
      <c r="K161" s="643">
        <v>0</v>
      </c>
      <c r="L161" s="643">
        <v>0</v>
      </c>
      <c r="M161" s="643">
        <v>0</v>
      </c>
      <c r="N161" s="643">
        <v>0</v>
      </c>
      <c r="O161" s="643">
        <v>0</v>
      </c>
      <c r="P161" s="644">
        <v>0</v>
      </c>
      <c r="Q161" s="643">
        <v>0</v>
      </c>
      <c r="R161" s="643">
        <v>0</v>
      </c>
      <c r="S161" s="645">
        <v>0</v>
      </c>
      <c r="U161" s="641" t="s">
        <v>64</v>
      </c>
      <c r="V161" s="642">
        <v>0</v>
      </c>
      <c r="W161" s="643">
        <v>0</v>
      </c>
      <c r="X161" s="643">
        <v>0</v>
      </c>
      <c r="Y161" s="642">
        <v>0</v>
      </c>
      <c r="Z161" s="643">
        <v>0</v>
      </c>
      <c r="AA161" s="643">
        <v>0</v>
      </c>
      <c r="AB161" s="643">
        <v>0</v>
      </c>
      <c r="AC161" s="643">
        <v>0</v>
      </c>
      <c r="AD161" s="643">
        <v>0</v>
      </c>
      <c r="AE161" s="643">
        <v>0</v>
      </c>
      <c r="AF161" s="643">
        <v>0</v>
      </c>
      <c r="AG161" s="643">
        <v>0</v>
      </c>
      <c r="AH161" s="644">
        <v>0</v>
      </c>
      <c r="AI161" s="643">
        <v>0</v>
      </c>
      <c r="AJ161" s="643">
        <v>0</v>
      </c>
      <c r="AK161" s="645">
        <v>0</v>
      </c>
    </row>
    <row r="162" spans="3:37" ht="13.5">
      <c r="C162" s="646" t="s">
        <v>65</v>
      </c>
      <c r="D162" s="647">
        <v>47.523331421865407</v>
      </c>
      <c r="E162" s="647">
        <v>492.37419513671523</v>
      </c>
      <c r="F162" s="647">
        <v>-47.570976452143519</v>
      </c>
      <c r="G162" s="647">
        <v>328.8885225556333</v>
      </c>
      <c r="H162" s="647">
        <v>889.54545454545473</v>
      </c>
      <c r="I162" s="647">
        <v>290.38619522472999</v>
      </c>
      <c r="J162" s="647">
        <v>193.07216990727574</v>
      </c>
      <c r="K162" s="647">
        <v>20.519346122490408</v>
      </c>
      <c r="L162" s="647">
        <v>2.247505888118404</v>
      </c>
      <c r="M162" s="647">
        <v>0.15914693380563083</v>
      </c>
      <c r="N162" s="647">
        <v>65.898689554178929</v>
      </c>
      <c r="O162" s="647">
        <v>11.930124482632028</v>
      </c>
      <c r="P162" s="647">
        <v>-22.391147784534837</v>
      </c>
      <c r="Q162" s="647">
        <v>0</v>
      </c>
      <c r="R162" s="647">
        <v>0</v>
      </c>
      <c r="S162" s="647">
        <v>2272.5825575362214</v>
      </c>
      <c r="U162" s="646" t="s">
        <v>65</v>
      </c>
      <c r="V162" s="647">
        <v>6.5260336126681251</v>
      </c>
      <c r="W162" s="647">
        <v>220.47790015098695</v>
      </c>
      <c r="X162" s="647">
        <v>-69.203009096012792</v>
      </c>
      <c r="Y162" s="647">
        <v>99.907420185209077</v>
      </c>
      <c r="Z162" s="647">
        <v>873.030303030303</v>
      </c>
      <c r="AA162" s="647">
        <v>337.06619522473</v>
      </c>
      <c r="AB162" s="647">
        <v>210.96242530283007</v>
      </c>
      <c r="AC162" s="647">
        <v>37.137182251794961</v>
      </c>
      <c r="AD162" s="647">
        <v>-23.405825736378059</v>
      </c>
      <c r="AE162" s="647">
        <v>-1.5445742631535424</v>
      </c>
      <c r="AF162" s="647">
        <v>103.02458403584798</v>
      </c>
      <c r="AG162" s="647">
        <v>25.833176078824131</v>
      </c>
      <c r="AH162" s="647">
        <v>-17.389600315785174</v>
      </c>
      <c r="AI162" s="647">
        <v>0</v>
      </c>
      <c r="AJ162" s="647">
        <v>0</v>
      </c>
      <c r="AK162" s="647">
        <v>1802.4222104618648</v>
      </c>
    </row>
    <row r="163" spans="3:37" ht="13">
      <c r="C163" s="636"/>
      <c r="D163" s="636">
        <v>0</v>
      </c>
      <c r="E163" s="636">
        <v>0</v>
      </c>
      <c r="F163" s="636">
        <v>0</v>
      </c>
      <c r="G163" s="636">
        <v>0</v>
      </c>
      <c r="H163" s="636">
        <v>0</v>
      </c>
      <c r="I163" s="636">
        <v>0</v>
      </c>
      <c r="J163" s="636">
        <v>0</v>
      </c>
      <c r="K163" s="636">
        <v>0</v>
      </c>
      <c r="L163" s="636">
        <v>0</v>
      </c>
      <c r="M163" s="636">
        <v>0</v>
      </c>
      <c r="N163" s="636">
        <v>0</v>
      </c>
      <c r="O163" s="636">
        <v>0</v>
      </c>
      <c r="P163" s="636">
        <v>0</v>
      </c>
      <c r="Q163" s="636">
        <v>0</v>
      </c>
      <c r="R163" s="636">
        <v>0</v>
      </c>
      <c r="S163" s="636">
        <v>0</v>
      </c>
      <c r="U163" s="636"/>
      <c r="V163" s="636">
        <v>0</v>
      </c>
      <c r="W163" s="636">
        <v>0</v>
      </c>
      <c r="X163" s="636">
        <v>0</v>
      </c>
      <c r="Y163" s="636">
        <v>0</v>
      </c>
      <c r="Z163" s="636">
        <v>0</v>
      </c>
      <c r="AA163" s="636">
        <v>0</v>
      </c>
      <c r="AB163" s="636">
        <v>0</v>
      </c>
      <c r="AC163" s="636">
        <v>0</v>
      </c>
      <c r="AD163" s="636">
        <v>0</v>
      </c>
      <c r="AE163" s="636">
        <v>0</v>
      </c>
      <c r="AF163" s="636">
        <v>0</v>
      </c>
      <c r="AG163" s="636">
        <v>0</v>
      </c>
      <c r="AH163" s="636">
        <v>0</v>
      </c>
      <c r="AI163" s="636">
        <v>0</v>
      </c>
      <c r="AJ163" s="636">
        <v>0</v>
      </c>
      <c r="AK163" s="636">
        <v>0</v>
      </c>
    </row>
    <row r="164" spans="3:37" ht="13.5">
      <c r="C164" s="648" t="s">
        <v>67</v>
      </c>
      <c r="D164" s="642">
        <v>0</v>
      </c>
      <c r="E164" s="649">
        <v>0</v>
      </c>
      <c r="F164" s="649">
        <v>0</v>
      </c>
      <c r="G164" s="642">
        <v>0</v>
      </c>
      <c r="H164" s="642">
        <v>0</v>
      </c>
      <c r="I164" s="642">
        <v>0</v>
      </c>
      <c r="J164" s="642">
        <v>0</v>
      </c>
      <c r="K164" s="642">
        <v>0</v>
      </c>
      <c r="L164" s="642">
        <v>0</v>
      </c>
      <c r="M164" s="642">
        <v>0</v>
      </c>
      <c r="N164" s="642">
        <v>0</v>
      </c>
      <c r="O164" s="642">
        <v>0</v>
      </c>
      <c r="P164" s="642">
        <v>0</v>
      </c>
      <c r="Q164" s="642">
        <v>0</v>
      </c>
      <c r="R164" s="642">
        <v>0</v>
      </c>
      <c r="S164" s="650">
        <v>0</v>
      </c>
      <c r="U164" s="648" t="s">
        <v>67</v>
      </c>
      <c r="V164" s="642">
        <v>0</v>
      </c>
      <c r="W164" s="649">
        <v>0</v>
      </c>
      <c r="X164" s="649">
        <v>0</v>
      </c>
      <c r="Y164" s="642">
        <v>0</v>
      </c>
      <c r="Z164" s="642">
        <v>0</v>
      </c>
      <c r="AA164" s="642">
        <v>0</v>
      </c>
      <c r="AB164" s="642">
        <v>0</v>
      </c>
      <c r="AC164" s="642">
        <v>0</v>
      </c>
      <c r="AD164" s="642">
        <v>0</v>
      </c>
      <c r="AE164" s="642">
        <v>0</v>
      </c>
      <c r="AF164" s="642">
        <v>0</v>
      </c>
      <c r="AG164" s="642">
        <v>0</v>
      </c>
      <c r="AH164" s="642">
        <v>0</v>
      </c>
      <c r="AI164" s="642">
        <v>0</v>
      </c>
      <c r="AJ164" s="642">
        <v>0</v>
      </c>
      <c r="AK164" s="650">
        <v>0</v>
      </c>
    </row>
    <row r="165" spans="3:37" ht="13.5">
      <c r="C165" s="648" t="s">
        <v>350</v>
      </c>
      <c r="D165" s="642">
        <v>2.8267856410252494</v>
      </c>
      <c r="E165" s="642">
        <v>0</v>
      </c>
      <c r="F165" s="642">
        <v>7.7625293209280457</v>
      </c>
      <c r="G165" s="642">
        <v>16.824034334763951</v>
      </c>
      <c r="H165" s="642">
        <v>889.54545454545473</v>
      </c>
      <c r="I165" s="642">
        <v>290.38619522472999</v>
      </c>
      <c r="J165" s="651">
        <v>29.234857813431841</v>
      </c>
      <c r="K165" s="651">
        <v>6.7467623730381456</v>
      </c>
      <c r="L165" s="651">
        <v>3.1694078720739522</v>
      </c>
      <c r="M165" s="651">
        <v>0.46915285357606595</v>
      </c>
      <c r="N165" s="651">
        <v>0</v>
      </c>
      <c r="O165" s="651">
        <v>6.9727309871777221</v>
      </c>
      <c r="P165" s="642">
        <v>-615.41357369902562</v>
      </c>
      <c r="Q165" s="642">
        <v>0</v>
      </c>
      <c r="R165" s="642">
        <v>0</v>
      </c>
      <c r="S165" s="650">
        <v>638.52433726717402</v>
      </c>
      <c r="U165" s="648" t="s">
        <v>350</v>
      </c>
      <c r="V165" s="642">
        <v>0.62631490545869017</v>
      </c>
      <c r="W165" s="642">
        <v>0</v>
      </c>
      <c r="X165" s="642">
        <v>3.8988929572916824</v>
      </c>
      <c r="Y165" s="642">
        <v>3.6741630901287547</v>
      </c>
      <c r="Z165" s="642">
        <v>873.030303030303</v>
      </c>
      <c r="AA165" s="642">
        <v>337.06619522473</v>
      </c>
      <c r="AB165" s="651">
        <v>23.429523439383615</v>
      </c>
      <c r="AC165" s="651">
        <v>5.4991881500691626</v>
      </c>
      <c r="AD165" s="651">
        <v>3.1694078720739522</v>
      </c>
      <c r="AE165" s="651">
        <v>2.7864060724601858</v>
      </c>
      <c r="AF165" s="651">
        <v>0</v>
      </c>
      <c r="AG165" s="651">
        <v>6.9727309871777221</v>
      </c>
      <c r="AH165" s="642">
        <v>-649.11357369902544</v>
      </c>
      <c r="AI165" s="642">
        <v>0</v>
      </c>
      <c r="AJ165" s="642">
        <v>4.45</v>
      </c>
      <c r="AK165" s="650">
        <v>615.48955203005141</v>
      </c>
    </row>
    <row r="166" spans="3:37" ht="13.5">
      <c r="C166" s="648" t="s">
        <v>351</v>
      </c>
      <c r="D166" s="642">
        <v>0</v>
      </c>
      <c r="E166" s="642">
        <v>0</v>
      </c>
      <c r="F166" s="642">
        <v>0</v>
      </c>
      <c r="G166" s="642">
        <v>14.896462034387394</v>
      </c>
      <c r="H166" s="642">
        <v>0</v>
      </c>
      <c r="I166" s="642">
        <v>0</v>
      </c>
      <c r="J166" s="651">
        <v>12.461036592610267</v>
      </c>
      <c r="K166" s="651">
        <v>11.927183871567582</v>
      </c>
      <c r="L166" s="651">
        <v>0</v>
      </c>
      <c r="M166" s="651">
        <v>0.3188738120209938</v>
      </c>
      <c r="N166" s="651">
        <v>0</v>
      </c>
      <c r="O166" s="651">
        <v>2.1085025260592274</v>
      </c>
      <c r="P166" s="642">
        <v>0</v>
      </c>
      <c r="Q166" s="642">
        <v>-37.934258390495422</v>
      </c>
      <c r="R166" s="642">
        <v>0</v>
      </c>
      <c r="S166" s="650">
        <v>3.7778004461500441</v>
      </c>
      <c r="U166" s="648" t="s">
        <v>351</v>
      </c>
      <c r="V166" s="642">
        <v>0</v>
      </c>
      <c r="W166" s="642">
        <v>0</v>
      </c>
      <c r="X166" s="642">
        <v>0</v>
      </c>
      <c r="Y166" s="642">
        <v>8.218662070491261</v>
      </c>
      <c r="Z166" s="642">
        <v>0</v>
      </c>
      <c r="AA166" s="642">
        <v>0</v>
      </c>
      <c r="AB166" s="651">
        <v>28.560818034272483</v>
      </c>
      <c r="AC166" s="651">
        <v>26.163217208510932</v>
      </c>
      <c r="AD166" s="651">
        <v>0</v>
      </c>
      <c r="AE166" s="651">
        <v>5.9663093303449024</v>
      </c>
      <c r="AF166" s="651">
        <v>0</v>
      </c>
      <c r="AG166" s="651">
        <v>11.832895483778962</v>
      </c>
      <c r="AH166" s="642">
        <v>0</v>
      </c>
      <c r="AI166" s="642">
        <v>-74.578675527513624</v>
      </c>
      <c r="AJ166" s="642">
        <v>0</v>
      </c>
      <c r="AK166" s="650">
        <v>6.1632265998849274</v>
      </c>
    </row>
    <row r="167" spans="3:37" ht="13.5">
      <c r="C167" s="648" t="s">
        <v>352</v>
      </c>
      <c r="D167" s="642">
        <v>0</v>
      </c>
      <c r="E167" s="642">
        <v>0</v>
      </c>
      <c r="F167" s="642">
        <v>0</v>
      </c>
      <c r="G167" s="642">
        <v>0</v>
      </c>
      <c r="H167" s="642">
        <v>0</v>
      </c>
      <c r="I167" s="642">
        <v>0</v>
      </c>
      <c r="J167" s="652">
        <v>6.9979956174374891</v>
      </c>
      <c r="K167" s="652">
        <v>0</v>
      </c>
      <c r="L167" s="652">
        <v>0</v>
      </c>
      <c r="M167" s="652">
        <v>-6.4748954450340372</v>
      </c>
      <c r="N167" s="652">
        <v>0</v>
      </c>
      <c r="O167" s="652">
        <v>0</v>
      </c>
      <c r="P167" s="642">
        <v>0</v>
      </c>
      <c r="Q167" s="642">
        <v>0</v>
      </c>
      <c r="R167" s="642">
        <v>0</v>
      </c>
      <c r="S167" s="650">
        <v>0.52310017240345186</v>
      </c>
      <c r="U167" s="648" t="s">
        <v>352</v>
      </c>
      <c r="V167" s="642">
        <v>0</v>
      </c>
      <c r="W167" s="642">
        <v>0</v>
      </c>
      <c r="X167" s="642">
        <v>0</v>
      </c>
      <c r="Y167" s="642">
        <v>0</v>
      </c>
      <c r="Z167" s="642">
        <v>0</v>
      </c>
      <c r="AA167" s="642">
        <v>0</v>
      </c>
      <c r="AB167" s="652">
        <v>79.198989478899776</v>
      </c>
      <c r="AC167" s="652">
        <v>0</v>
      </c>
      <c r="AD167" s="652">
        <v>0</v>
      </c>
      <c r="AE167" s="652">
        <v>-73.278865015352025</v>
      </c>
      <c r="AF167" s="652">
        <v>0</v>
      </c>
      <c r="AG167" s="652">
        <v>0</v>
      </c>
      <c r="AH167" s="642">
        <v>0</v>
      </c>
      <c r="AI167" s="642">
        <v>0</v>
      </c>
      <c r="AJ167" s="642">
        <v>0</v>
      </c>
      <c r="AK167" s="650">
        <v>5.9201244635477508</v>
      </c>
    </row>
    <row r="168" spans="3:37" ht="13.5">
      <c r="C168" s="648" t="s">
        <v>353</v>
      </c>
      <c r="D168" s="642">
        <v>0</v>
      </c>
      <c r="E168" s="642">
        <v>0</v>
      </c>
      <c r="F168" s="642">
        <v>0</v>
      </c>
      <c r="G168" s="642">
        <v>0</v>
      </c>
      <c r="H168" s="642">
        <v>0</v>
      </c>
      <c r="I168" s="642">
        <v>0</v>
      </c>
      <c r="J168" s="642">
        <v>0</v>
      </c>
      <c r="K168" s="642">
        <v>0</v>
      </c>
      <c r="L168" s="642">
        <v>0</v>
      </c>
      <c r="M168" s="642">
        <v>0</v>
      </c>
      <c r="N168" s="642">
        <v>0</v>
      </c>
      <c r="O168" s="642">
        <v>0</v>
      </c>
      <c r="P168" s="642">
        <v>0</v>
      </c>
      <c r="Q168" s="642">
        <v>0</v>
      </c>
      <c r="R168" s="642">
        <v>0</v>
      </c>
      <c r="S168" s="650">
        <v>0</v>
      </c>
      <c r="U168" s="648" t="s">
        <v>353</v>
      </c>
      <c r="V168" s="642">
        <v>0</v>
      </c>
      <c r="W168" s="642">
        <v>0</v>
      </c>
      <c r="X168" s="642">
        <v>0</v>
      </c>
      <c r="Y168" s="642">
        <v>0</v>
      </c>
      <c r="Z168" s="642">
        <v>0</v>
      </c>
      <c r="AA168" s="642">
        <v>0</v>
      </c>
      <c r="AB168" s="642">
        <v>0</v>
      </c>
      <c r="AC168" s="642">
        <v>0</v>
      </c>
      <c r="AD168" s="642">
        <v>0</v>
      </c>
      <c r="AE168" s="642">
        <v>0</v>
      </c>
      <c r="AF168" s="642">
        <v>0</v>
      </c>
      <c r="AG168" s="642">
        <v>0</v>
      </c>
      <c r="AH168" s="642">
        <v>0</v>
      </c>
      <c r="AI168" s="642">
        <v>0</v>
      </c>
      <c r="AJ168" s="642">
        <v>0</v>
      </c>
      <c r="AK168" s="650">
        <v>0</v>
      </c>
    </row>
    <row r="169" spans="3:37" ht="13.5">
      <c r="C169" s="648" t="s">
        <v>72</v>
      </c>
      <c r="D169" s="642">
        <v>0</v>
      </c>
      <c r="E169" s="642">
        <v>510.04733530503466</v>
      </c>
      <c r="F169" s="642">
        <v>-504.94686195198432</v>
      </c>
      <c r="G169" s="642">
        <v>0</v>
      </c>
      <c r="H169" s="642">
        <v>0</v>
      </c>
      <c r="I169" s="642">
        <v>0</v>
      </c>
      <c r="J169" s="642">
        <v>0</v>
      </c>
      <c r="K169" s="642">
        <v>0</v>
      </c>
      <c r="L169" s="642">
        <v>0</v>
      </c>
      <c r="M169" s="642">
        <v>0</v>
      </c>
      <c r="N169" s="642">
        <v>0</v>
      </c>
      <c r="O169" s="642">
        <v>0</v>
      </c>
      <c r="P169" s="642">
        <v>0</v>
      </c>
      <c r="Q169" s="642">
        <v>0</v>
      </c>
      <c r="R169" s="642">
        <v>0</v>
      </c>
      <c r="S169" s="650">
        <v>5.1004733530503472</v>
      </c>
      <c r="U169" s="648" t="s">
        <v>72</v>
      </c>
      <c r="V169" s="642">
        <v>0</v>
      </c>
      <c r="W169" s="642">
        <v>228.3916715709193</v>
      </c>
      <c r="X169" s="642">
        <v>-226.10775485521012</v>
      </c>
      <c r="Y169" s="642">
        <v>0</v>
      </c>
      <c r="Z169" s="642">
        <v>0</v>
      </c>
      <c r="AA169" s="642">
        <v>0</v>
      </c>
      <c r="AB169" s="642">
        <v>0</v>
      </c>
      <c r="AC169" s="642">
        <v>0</v>
      </c>
      <c r="AD169" s="642">
        <v>0</v>
      </c>
      <c r="AE169" s="642">
        <v>0</v>
      </c>
      <c r="AF169" s="642">
        <v>0</v>
      </c>
      <c r="AG169" s="642">
        <v>0</v>
      </c>
      <c r="AH169" s="642">
        <v>0</v>
      </c>
      <c r="AI169" s="642">
        <v>0</v>
      </c>
      <c r="AJ169" s="642">
        <v>0</v>
      </c>
      <c r="AK169" s="650">
        <v>2.2839167157091822</v>
      </c>
    </row>
    <row r="170" spans="3:37" ht="13.5">
      <c r="C170" s="648" t="s">
        <v>354</v>
      </c>
      <c r="D170" s="642">
        <v>0</v>
      </c>
      <c r="E170" s="642">
        <v>0</v>
      </c>
      <c r="F170" s="642">
        <v>0</v>
      </c>
      <c r="G170" s="642">
        <v>0</v>
      </c>
      <c r="H170" s="642">
        <v>0</v>
      </c>
      <c r="I170" s="642">
        <v>0</v>
      </c>
      <c r="J170" s="642">
        <v>27.710201800923624</v>
      </c>
      <c r="K170" s="642">
        <v>0</v>
      </c>
      <c r="L170" s="642">
        <v>-27.710201800923624</v>
      </c>
      <c r="M170" s="642">
        <v>0</v>
      </c>
      <c r="N170" s="642">
        <v>0</v>
      </c>
      <c r="O170" s="642">
        <v>0</v>
      </c>
      <c r="P170" s="642">
        <v>0</v>
      </c>
      <c r="Q170" s="642">
        <v>0</v>
      </c>
      <c r="R170" s="642">
        <v>0</v>
      </c>
      <c r="S170" s="650">
        <v>0</v>
      </c>
      <c r="U170" s="648" t="s">
        <v>354</v>
      </c>
      <c r="V170" s="642">
        <v>0</v>
      </c>
      <c r="W170" s="642">
        <v>0</v>
      </c>
      <c r="X170" s="642">
        <v>0</v>
      </c>
      <c r="Y170" s="642">
        <v>0</v>
      </c>
      <c r="Z170" s="642">
        <v>0</v>
      </c>
      <c r="AA170" s="642">
        <v>0</v>
      </c>
      <c r="AB170" s="642" t="e">
        <v>#VALUE!</v>
      </c>
      <c r="AC170" s="642">
        <v>0</v>
      </c>
      <c r="AD170" s="642">
        <v>-101.17003146857277</v>
      </c>
      <c r="AE170" s="642">
        <v>0</v>
      </c>
      <c r="AF170" s="642">
        <v>0</v>
      </c>
      <c r="AG170" s="642">
        <v>0</v>
      </c>
      <c r="AH170" s="642">
        <v>0</v>
      </c>
      <c r="AI170" s="642">
        <v>0</v>
      </c>
      <c r="AJ170" s="642">
        <v>0</v>
      </c>
      <c r="AK170" s="650">
        <v>-101.17003146857277</v>
      </c>
    </row>
    <row r="171" spans="3:37" ht="13.5">
      <c r="C171" s="648" t="s">
        <v>355</v>
      </c>
      <c r="D171" s="642">
        <v>0</v>
      </c>
      <c r="E171" s="642">
        <v>0</v>
      </c>
      <c r="F171" s="642">
        <v>0</v>
      </c>
      <c r="G171" s="642">
        <v>0</v>
      </c>
      <c r="H171" s="642">
        <v>0</v>
      </c>
      <c r="I171" s="642">
        <v>0</v>
      </c>
      <c r="J171" s="642">
        <v>0</v>
      </c>
      <c r="K171" s="642">
        <v>0</v>
      </c>
      <c r="L171" s="642">
        <v>0</v>
      </c>
      <c r="M171" s="642">
        <v>0</v>
      </c>
      <c r="N171" s="642">
        <v>0</v>
      </c>
      <c r="O171" s="642">
        <v>0</v>
      </c>
      <c r="P171" s="642">
        <v>0</v>
      </c>
      <c r="Q171" s="642">
        <v>0</v>
      </c>
      <c r="R171" s="642">
        <v>0</v>
      </c>
      <c r="S171" s="650">
        <v>0</v>
      </c>
      <c r="U171" s="648" t="s">
        <v>355</v>
      </c>
      <c r="V171" s="642">
        <v>0</v>
      </c>
      <c r="W171" s="642">
        <v>0</v>
      </c>
      <c r="X171" s="642">
        <v>0</v>
      </c>
      <c r="Y171" s="642">
        <v>0</v>
      </c>
      <c r="Z171" s="642">
        <v>0</v>
      </c>
      <c r="AA171" s="642">
        <v>0</v>
      </c>
      <c r="AB171" s="642">
        <v>0</v>
      </c>
      <c r="AC171" s="642">
        <v>0</v>
      </c>
      <c r="AD171" s="642">
        <v>-18.691082885283098</v>
      </c>
      <c r="AE171" s="642">
        <v>0</v>
      </c>
      <c r="AF171" s="642">
        <v>0</v>
      </c>
      <c r="AG171" s="642">
        <v>0</v>
      </c>
      <c r="AH171" s="642">
        <v>0</v>
      </c>
      <c r="AI171" s="642">
        <v>0</v>
      </c>
      <c r="AJ171" s="642">
        <v>0</v>
      </c>
      <c r="AK171" s="650">
        <v>-18.691082885283098</v>
      </c>
    </row>
    <row r="172" spans="3:37" ht="13.5">
      <c r="C172" s="648" t="s">
        <v>73</v>
      </c>
      <c r="D172" s="642">
        <v>0</v>
      </c>
      <c r="E172" s="642">
        <v>0</v>
      </c>
      <c r="F172" s="642">
        <v>0</v>
      </c>
      <c r="G172" s="642">
        <v>6.2864428714474423</v>
      </c>
      <c r="H172" s="642">
        <v>0</v>
      </c>
      <c r="I172" s="642">
        <v>0</v>
      </c>
      <c r="J172" s="642">
        <v>0</v>
      </c>
      <c r="K172" s="642">
        <v>7.2564905248031233E-2</v>
      </c>
      <c r="L172" s="642">
        <v>0</v>
      </c>
      <c r="M172" s="642">
        <v>0.12829475247851924</v>
      </c>
      <c r="N172" s="642">
        <v>0</v>
      </c>
      <c r="O172" s="642">
        <v>0</v>
      </c>
      <c r="P172" s="642">
        <v>0.77416476914506349</v>
      </c>
      <c r="Q172" s="642">
        <v>0</v>
      </c>
      <c r="R172" s="642">
        <v>-5.0795433673621861</v>
      </c>
      <c r="S172" s="650">
        <v>2.1819239309568701</v>
      </c>
      <c r="U172" s="648" t="s">
        <v>73</v>
      </c>
      <c r="V172" s="642">
        <v>0</v>
      </c>
      <c r="W172" s="642">
        <v>0</v>
      </c>
      <c r="X172" s="642">
        <v>0</v>
      </c>
      <c r="Y172" s="642">
        <v>3.7837340239051791</v>
      </c>
      <c r="Z172" s="642">
        <v>0</v>
      </c>
      <c r="AA172" s="642">
        <v>0</v>
      </c>
      <c r="AB172" s="642">
        <v>0</v>
      </c>
      <c r="AC172" s="642">
        <v>0.46597709654004676</v>
      </c>
      <c r="AD172" s="642">
        <v>0</v>
      </c>
      <c r="AE172" s="642">
        <v>2.7399453276554748</v>
      </c>
      <c r="AF172" s="642">
        <v>0</v>
      </c>
      <c r="AG172" s="642">
        <v>0</v>
      </c>
      <c r="AH172" s="642">
        <v>39.864323859285086</v>
      </c>
      <c r="AI172" s="642">
        <v>0</v>
      </c>
      <c r="AJ172" s="642">
        <v>-32.618396757803268</v>
      </c>
      <c r="AK172" s="650">
        <v>14.235583549582522</v>
      </c>
    </row>
    <row r="173" spans="3:37" ht="13.5">
      <c r="C173" s="648" t="s">
        <v>356</v>
      </c>
      <c r="D173" s="642">
        <v>28.588592812499996</v>
      </c>
      <c r="E173" s="642">
        <v>-17.673140168319453</v>
      </c>
      <c r="F173" s="642">
        <v>23.11542347254851</v>
      </c>
      <c r="G173" s="642">
        <v>0</v>
      </c>
      <c r="H173" s="642">
        <v>0</v>
      </c>
      <c r="I173" s="642">
        <v>0</v>
      </c>
      <c r="J173" s="642">
        <v>0</v>
      </c>
      <c r="K173" s="642">
        <v>0</v>
      </c>
      <c r="L173" s="642">
        <v>0</v>
      </c>
      <c r="M173" s="642">
        <v>0</v>
      </c>
      <c r="N173" s="642">
        <v>0</v>
      </c>
      <c r="O173" s="642">
        <v>0</v>
      </c>
      <c r="P173" s="642">
        <v>0</v>
      </c>
      <c r="Q173" s="642">
        <v>0</v>
      </c>
      <c r="R173" s="642">
        <v>0</v>
      </c>
      <c r="S173" s="650">
        <v>34.030876116729054</v>
      </c>
      <c r="U173" s="648" t="s">
        <v>356</v>
      </c>
      <c r="V173" s="642">
        <v>1.7459712219238281</v>
      </c>
      <c r="W173" s="642">
        <v>-7.9137714199323552</v>
      </c>
      <c r="X173" s="642">
        <v>10.35074558875537</v>
      </c>
      <c r="Y173" s="642">
        <v>0</v>
      </c>
      <c r="Z173" s="642">
        <v>0</v>
      </c>
      <c r="AA173" s="642">
        <v>0</v>
      </c>
      <c r="AB173" s="642">
        <v>0</v>
      </c>
      <c r="AC173" s="642">
        <v>0</v>
      </c>
      <c r="AD173" s="642">
        <v>0</v>
      </c>
      <c r="AE173" s="642">
        <v>0</v>
      </c>
      <c r="AF173" s="642">
        <v>0</v>
      </c>
      <c r="AG173" s="642">
        <v>0</v>
      </c>
      <c r="AH173" s="642">
        <v>0</v>
      </c>
      <c r="AI173" s="642">
        <v>0</v>
      </c>
      <c r="AJ173" s="642">
        <v>0</v>
      </c>
      <c r="AK173" s="650">
        <v>4.182945390746843</v>
      </c>
    </row>
    <row r="174" spans="3:37" ht="13.5">
      <c r="C174" s="648" t="s">
        <v>75</v>
      </c>
      <c r="D174" s="642">
        <v>11.11778609375</v>
      </c>
      <c r="E174" s="642">
        <v>0</v>
      </c>
      <c r="F174" s="642">
        <v>17.34160940037118</v>
      </c>
      <c r="G174" s="642">
        <v>4.9484792471294465</v>
      </c>
      <c r="H174" s="642">
        <v>0</v>
      </c>
      <c r="I174" s="642">
        <v>0</v>
      </c>
      <c r="J174" s="642">
        <v>0</v>
      </c>
      <c r="K174" s="642">
        <v>0</v>
      </c>
      <c r="L174" s="642">
        <v>0</v>
      </c>
      <c r="M174" s="642">
        <v>0.10098937239039688</v>
      </c>
      <c r="N174" s="642">
        <v>0</v>
      </c>
      <c r="O174" s="642">
        <v>0</v>
      </c>
      <c r="P174" s="642">
        <v>29.08691491128284</v>
      </c>
      <c r="Q174" s="642">
        <v>0</v>
      </c>
      <c r="R174" s="642">
        <v>0</v>
      </c>
      <c r="S174" s="650">
        <v>62.595779024923864</v>
      </c>
      <c r="U174" s="648" t="s">
        <v>75</v>
      </c>
      <c r="V174" s="642">
        <v>2.938742431640625</v>
      </c>
      <c r="W174" s="642">
        <v>0</v>
      </c>
      <c r="X174" s="642">
        <v>17.34160940037118</v>
      </c>
      <c r="Y174" s="642">
        <v>2.9286917993215091</v>
      </c>
      <c r="Z174" s="642">
        <v>0</v>
      </c>
      <c r="AA174" s="642">
        <v>0</v>
      </c>
      <c r="AB174" s="642">
        <v>0</v>
      </c>
      <c r="AC174" s="642">
        <v>0</v>
      </c>
      <c r="AD174" s="642">
        <v>0</v>
      </c>
      <c r="AE174" s="642">
        <v>2.1207768201983344</v>
      </c>
      <c r="AF174" s="642">
        <v>0</v>
      </c>
      <c r="AG174" s="642">
        <v>0</v>
      </c>
      <c r="AH174" s="642">
        <v>36.505051274919204</v>
      </c>
      <c r="AI174" s="642">
        <v>0</v>
      </c>
      <c r="AJ174" s="642">
        <v>0</v>
      </c>
      <c r="AK174" s="650">
        <v>61.834871726450849</v>
      </c>
    </row>
    <row r="175" spans="3:37" ht="13.5">
      <c r="C175" s="648" t="s">
        <v>76</v>
      </c>
      <c r="D175" s="642">
        <v>0</v>
      </c>
      <c r="E175" s="642">
        <v>0</v>
      </c>
      <c r="F175" s="642">
        <v>0</v>
      </c>
      <c r="G175" s="642">
        <v>3.7620934008695794</v>
      </c>
      <c r="H175" s="642">
        <v>0</v>
      </c>
      <c r="I175" s="642">
        <v>0</v>
      </c>
      <c r="J175" s="642">
        <v>0</v>
      </c>
      <c r="K175" s="642">
        <v>0</v>
      </c>
      <c r="L175" s="642">
        <v>0</v>
      </c>
      <c r="M175" s="642">
        <v>7.6777416344277136E-2</v>
      </c>
      <c r="N175" s="642">
        <v>0</v>
      </c>
      <c r="O175" s="642">
        <v>0</v>
      </c>
      <c r="P175" s="642">
        <v>45.374638558517056</v>
      </c>
      <c r="Q175" s="642">
        <v>2.9442994019327013</v>
      </c>
      <c r="R175" s="642">
        <v>0</v>
      </c>
      <c r="S175" s="650">
        <v>52.157808777663611</v>
      </c>
      <c r="U175" s="648" t="s">
        <v>76</v>
      </c>
      <c r="V175" s="642">
        <v>0</v>
      </c>
      <c r="W175" s="642">
        <v>0</v>
      </c>
      <c r="X175" s="642">
        <v>0</v>
      </c>
      <c r="Y175" s="642">
        <v>1.1999362424874132</v>
      </c>
      <c r="Z175" s="642">
        <v>0</v>
      </c>
      <c r="AA175" s="642">
        <v>0</v>
      </c>
      <c r="AB175" s="642">
        <v>0</v>
      </c>
      <c r="AC175" s="642">
        <v>0</v>
      </c>
      <c r="AD175" s="642">
        <v>0</v>
      </c>
      <c r="AE175" s="642">
        <v>0.86891934800812698</v>
      </c>
      <c r="AF175" s="642">
        <v>0</v>
      </c>
      <c r="AG175" s="642">
        <v>0</v>
      </c>
      <c r="AH175" s="642">
        <v>48.340685132761017</v>
      </c>
      <c r="AI175" s="642">
        <v>5.7839036819230412</v>
      </c>
      <c r="AJ175" s="642">
        <v>0</v>
      </c>
      <c r="AK175" s="650">
        <v>56.193444405179591</v>
      </c>
    </row>
    <row r="176" spans="3:37" ht="13.5">
      <c r="C176" s="646" t="s">
        <v>77</v>
      </c>
      <c r="D176" s="647">
        <v>42.533164547275248</v>
      </c>
      <c r="E176" s="647">
        <v>492.37419513671523</v>
      </c>
      <c r="F176" s="647">
        <v>-456.72729975813655</v>
      </c>
      <c r="G176" s="647">
        <v>46.717511888597819</v>
      </c>
      <c r="H176" s="647">
        <v>889.54545454545473</v>
      </c>
      <c r="I176" s="647">
        <v>290.38619522472999</v>
      </c>
      <c r="J176" s="647">
        <v>76.404091824403224</v>
      </c>
      <c r="K176" s="647">
        <v>18.74651114985376</v>
      </c>
      <c r="L176" s="647">
        <v>-24.540793928849673</v>
      </c>
      <c r="M176" s="647">
        <v>-5.3808072382237846</v>
      </c>
      <c r="N176" s="647">
        <v>0</v>
      </c>
      <c r="O176" s="647">
        <v>9.0812335132369491</v>
      </c>
      <c r="P176" s="647">
        <v>-540.17785546008065</v>
      </c>
      <c r="Q176" s="647">
        <v>-34.989958988562719</v>
      </c>
      <c r="R176" s="647">
        <v>-5.0795433673621861</v>
      </c>
      <c r="S176" s="647">
        <v>798.89209908905127</v>
      </c>
      <c r="U176" s="646" t="s">
        <v>77</v>
      </c>
      <c r="V176" s="647">
        <v>5.3110285590231427</v>
      </c>
      <c r="W176" s="647">
        <v>220.47790015098695</v>
      </c>
      <c r="X176" s="647">
        <v>-194.51650690879191</v>
      </c>
      <c r="Y176" s="647">
        <v>19.805187226334116</v>
      </c>
      <c r="Z176" s="647">
        <v>873.030303030303</v>
      </c>
      <c r="AA176" s="647">
        <v>337.06619522473</v>
      </c>
      <c r="AB176" s="647">
        <v>131.18933095255588</v>
      </c>
      <c r="AC176" s="647">
        <v>32.128382455120146</v>
      </c>
      <c r="AD176" s="647">
        <v>-116.69170648178192</v>
      </c>
      <c r="AE176" s="647">
        <v>-58.796508116684997</v>
      </c>
      <c r="AF176" s="647">
        <v>0</v>
      </c>
      <c r="AG176" s="647">
        <v>18.805626470956682</v>
      </c>
      <c r="AH176" s="647">
        <v>-524.40351343206009</v>
      </c>
      <c r="AI176" s="647">
        <v>-68.794771845590574</v>
      </c>
      <c r="AJ176" s="647">
        <v>-28.168396757803269</v>
      </c>
      <c r="AK176" s="647">
        <v>646.44255052729716</v>
      </c>
    </row>
    <row r="177" spans="3:37" ht="13">
      <c r="C177" s="636"/>
      <c r="D177" s="636">
        <v>0</v>
      </c>
      <c r="E177" s="636">
        <v>0</v>
      </c>
      <c r="F177" s="636">
        <v>0</v>
      </c>
      <c r="G177" s="636">
        <v>0</v>
      </c>
      <c r="H177" s="636">
        <v>0</v>
      </c>
      <c r="I177" s="636">
        <v>0</v>
      </c>
      <c r="J177" s="636">
        <v>0</v>
      </c>
      <c r="K177" s="636">
        <v>0</v>
      </c>
      <c r="L177" s="636">
        <v>0</v>
      </c>
      <c r="M177" s="636">
        <v>0</v>
      </c>
      <c r="N177" s="636">
        <v>0</v>
      </c>
      <c r="O177" s="636">
        <v>0</v>
      </c>
      <c r="P177" s="636">
        <v>0</v>
      </c>
      <c r="Q177" s="636">
        <v>0</v>
      </c>
      <c r="R177" s="636">
        <v>0</v>
      </c>
      <c r="S177" s="636">
        <v>0</v>
      </c>
      <c r="U177" s="636"/>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row>
    <row r="178" spans="3:37" ht="13.5">
      <c r="C178" s="648" t="s">
        <v>78</v>
      </c>
      <c r="D178" s="642">
        <v>4.9901668745901624</v>
      </c>
      <c r="E178" s="642">
        <v>0</v>
      </c>
      <c r="F178" s="642">
        <v>21.091530324656198</v>
      </c>
      <c r="G178" s="642">
        <v>96.151700548391091</v>
      </c>
      <c r="H178" s="642">
        <v>0</v>
      </c>
      <c r="I178" s="642">
        <v>0</v>
      </c>
      <c r="J178" s="642">
        <v>21.387862541024852</v>
      </c>
      <c r="K178" s="642">
        <v>1.7476152779545906</v>
      </c>
      <c r="L178" s="642">
        <v>0.94211085156249985</v>
      </c>
      <c r="M178" s="642">
        <v>1.9807569399951515</v>
      </c>
      <c r="N178" s="642">
        <v>0</v>
      </c>
      <c r="O178" s="642">
        <v>3.7669078281368638E-4</v>
      </c>
      <c r="P178" s="642">
        <v>112.73505933145552</v>
      </c>
      <c r="Q178" s="642">
        <v>16.12568637832603</v>
      </c>
      <c r="R178" s="642">
        <v>0.27920700073242188</v>
      </c>
      <c r="S178" s="650">
        <v>277.43207275947128</v>
      </c>
      <c r="U178" s="648" t="s">
        <v>78</v>
      </c>
      <c r="V178" s="642">
        <v>1.2150050536449819</v>
      </c>
      <c r="W178" s="642">
        <v>0</v>
      </c>
      <c r="X178" s="642">
        <v>6.016341039248414</v>
      </c>
      <c r="Y178" s="642">
        <v>39.709503776891196</v>
      </c>
      <c r="Z178" s="642">
        <v>0</v>
      </c>
      <c r="AA178" s="642">
        <v>0</v>
      </c>
      <c r="AB178" s="642">
        <v>15.202189846170386</v>
      </c>
      <c r="AC178" s="642">
        <v>4.9835801019927617</v>
      </c>
      <c r="AD178" s="642">
        <v>5.6103854980468748</v>
      </c>
      <c r="AE178" s="642">
        <v>28.773635244370734</v>
      </c>
      <c r="AF178" s="642">
        <v>0</v>
      </c>
      <c r="AG178" s="642">
        <v>3.7669078281368638E-4</v>
      </c>
      <c r="AH178" s="642">
        <v>146.07653830614987</v>
      </c>
      <c r="AI178" s="642">
        <v>23.647869298816833</v>
      </c>
      <c r="AJ178" s="642">
        <v>7.4826708984375001</v>
      </c>
      <c r="AK178" s="650">
        <v>278.71809575455239</v>
      </c>
    </row>
    <row r="179" spans="3:37" ht="13.5">
      <c r="C179" s="648" t="s">
        <v>79</v>
      </c>
      <c r="D179" s="642">
        <v>0</v>
      </c>
      <c r="E179" s="642">
        <v>0</v>
      </c>
      <c r="F179" s="642">
        <v>235.12748928743429</v>
      </c>
      <c r="G179" s="642">
        <v>31.099379517950805</v>
      </c>
      <c r="H179" s="642">
        <v>0</v>
      </c>
      <c r="I179" s="642">
        <v>0</v>
      </c>
      <c r="J179" s="642">
        <v>0</v>
      </c>
      <c r="K179" s="642">
        <v>0</v>
      </c>
      <c r="L179" s="642">
        <v>22.716725008445675</v>
      </c>
      <c r="M179" s="642">
        <v>0.63468121465205729</v>
      </c>
      <c r="N179" s="642">
        <v>0</v>
      </c>
      <c r="O179" s="642">
        <v>0</v>
      </c>
      <c r="P179" s="642">
        <v>68.565930798083699</v>
      </c>
      <c r="Q179" s="642">
        <v>0</v>
      </c>
      <c r="R179" s="642">
        <v>2.3844112104980786</v>
      </c>
      <c r="S179" s="650">
        <v>360.52861703706463</v>
      </c>
      <c r="U179" s="648" t="s">
        <v>79</v>
      </c>
      <c r="V179" s="642">
        <v>0</v>
      </c>
      <c r="W179" s="642">
        <v>0</v>
      </c>
      <c r="X179" s="642">
        <v>35.128929389637456</v>
      </c>
      <c r="Y179" s="642">
        <v>15.137064293513523</v>
      </c>
      <c r="Z179" s="642">
        <v>0</v>
      </c>
      <c r="AA179" s="642">
        <v>0</v>
      </c>
      <c r="AB179" s="642">
        <v>0</v>
      </c>
      <c r="AC179" s="642">
        <v>0</v>
      </c>
      <c r="AD179" s="642">
        <v>37.187580566982817</v>
      </c>
      <c r="AE179" s="642">
        <v>11.036020535724948</v>
      </c>
      <c r="AF179" s="642">
        <v>0</v>
      </c>
      <c r="AG179" s="642">
        <v>0</v>
      </c>
      <c r="AH179" s="642">
        <v>89.614524523742418</v>
      </c>
      <c r="AI179" s="642">
        <v>0</v>
      </c>
      <c r="AJ179" s="642">
        <v>5.6351763144479268</v>
      </c>
      <c r="AK179" s="650">
        <v>193.73929562404911</v>
      </c>
    </row>
    <row r="180" spans="3:37" ht="13.5">
      <c r="C180" s="648" t="s">
        <v>80</v>
      </c>
      <c r="D180" s="642">
        <v>0</v>
      </c>
      <c r="E180" s="642">
        <v>0</v>
      </c>
      <c r="F180" s="642">
        <v>13.724834206032371</v>
      </c>
      <c r="G180" s="642">
        <v>79.131512261322683</v>
      </c>
      <c r="H180" s="642">
        <v>0</v>
      </c>
      <c r="I180" s="642">
        <v>0</v>
      </c>
      <c r="J180" s="642">
        <v>87.797108848078949</v>
      </c>
      <c r="K180" s="642">
        <v>0</v>
      </c>
      <c r="L180" s="642">
        <v>0</v>
      </c>
      <c r="M180" s="642">
        <v>1.6149288216596467</v>
      </c>
      <c r="N180" s="642">
        <v>57.41835645436403</v>
      </c>
      <c r="O180" s="642">
        <v>2.0533643919476137</v>
      </c>
      <c r="P180" s="642">
        <v>189.45880926265392</v>
      </c>
      <c r="Q180" s="642">
        <v>15.417775800116472</v>
      </c>
      <c r="R180" s="642">
        <v>0</v>
      </c>
      <c r="S180" s="650">
        <v>446.61669004617568</v>
      </c>
      <c r="U180" s="648" t="s">
        <v>80</v>
      </c>
      <c r="V180" s="642">
        <v>0</v>
      </c>
      <c r="W180" s="642">
        <v>0</v>
      </c>
      <c r="X180" s="642">
        <v>1.0209129157283405</v>
      </c>
      <c r="Y180" s="642">
        <v>12.832027751754538</v>
      </c>
      <c r="Z180" s="642">
        <v>0</v>
      </c>
      <c r="AA180" s="642">
        <v>0</v>
      </c>
      <c r="AB180" s="642">
        <v>53.270322236782164</v>
      </c>
      <c r="AC180" s="642">
        <v>0</v>
      </c>
      <c r="AD180" s="642">
        <v>0</v>
      </c>
      <c r="AE180" s="642">
        <v>9.2921580271325972</v>
      </c>
      <c r="AF180" s="642">
        <v>88.292344554902868</v>
      </c>
      <c r="AG180" s="642">
        <v>3.9079432862869607</v>
      </c>
      <c r="AH180" s="642">
        <v>146.88666477766319</v>
      </c>
      <c r="AI180" s="642">
        <v>32.427264426374379</v>
      </c>
      <c r="AJ180" s="642">
        <v>0</v>
      </c>
      <c r="AK180" s="650">
        <v>347.92963797662509</v>
      </c>
    </row>
    <row r="181" spans="3:37" ht="13.5">
      <c r="C181" s="648" t="s">
        <v>81</v>
      </c>
      <c r="D181" s="642">
        <v>0</v>
      </c>
      <c r="E181" s="642">
        <v>0</v>
      </c>
      <c r="F181" s="642">
        <v>3.9083972405176572</v>
      </c>
      <c r="G181" s="642">
        <v>63.089348266301698</v>
      </c>
      <c r="H181" s="642">
        <v>0</v>
      </c>
      <c r="I181" s="642">
        <v>0</v>
      </c>
      <c r="J181" s="642">
        <v>3.1804221278939271</v>
      </c>
      <c r="K181" s="642">
        <v>2.5219694682056978E-2</v>
      </c>
      <c r="L181" s="642">
        <v>0</v>
      </c>
      <c r="M181" s="642">
        <v>1.287537719720443</v>
      </c>
      <c r="N181" s="642">
        <v>8.4803330998149011</v>
      </c>
      <c r="O181" s="642">
        <v>0.72631919579288284</v>
      </c>
      <c r="P181" s="642">
        <v>140.69299872549993</v>
      </c>
      <c r="Q181" s="642">
        <v>3.4464968101202174</v>
      </c>
      <c r="R181" s="642">
        <v>0</v>
      </c>
      <c r="S181" s="650">
        <v>224.8370728803437</v>
      </c>
      <c r="U181" s="648" t="s">
        <v>81</v>
      </c>
      <c r="V181" s="642">
        <v>0</v>
      </c>
      <c r="W181" s="642">
        <v>0</v>
      </c>
      <c r="X181" s="642">
        <v>1.4952361732398858</v>
      </c>
      <c r="Y181" s="642">
        <v>10.610341518374359</v>
      </c>
      <c r="Z181" s="642">
        <v>0</v>
      </c>
      <c r="AA181" s="642">
        <v>0</v>
      </c>
      <c r="AB181" s="642">
        <v>6.9978977014468793</v>
      </c>
      <c r="AC181" s="642">
        <v>2.5219694682056978E-2</v>
      </c>
      <c r="AD181" s="642">
        <v>0</v>
      </c>
      <c r="AE181" s="642">
        <v>7.6833507546848816</v>
      </c>
      <c r="AF181" s="642">
        <v>14.732239480945108</v>
      </c>
      <c r="AG181" s="642">
        <v>1.5525732622869153</v>
      </c>
      <c r="AH181" s="642">
        <v>115.23036268987886</v>
      </c>
      <c r="AI181" s="642">
        <v>12.719638120399363</v>
      </c>
      <c r="AJ181" s="642">
        <v>0</v>
      </c>
      <c r="AK181" s="650">
        <v>171.04685939593833</v>
      </c>
    </row>
    <row r="182" spans="3:37" ht="13.5">
      <c r="C182" s="648" t="s">
        <v>82</v>
      </c>
      <c r="D182" s="642">
        <v>0</v>
      </c>
      <c r="E182" s="642">
        <v>0</v>
      </c>
      <c r="F182" s="642">
        <v>28.471648080197657</v>
      </c>
      <c r="G182" s="642">
        <v>1.0804243241036344</v>
      </c>
      <c r="H182" s="642">
        <v>0</v>
      </c>
      <c r="I182" s="642">
        <v>0</v>
      </c>
      <c r="J182" s="642">
        <v>4.3026845658747828</v>
      </c>
      <c r="K182" s="642">
        <v>0</v>
      </c>
      <c r="L182" s="642">
        <v>3.1299020072385213</v>
      </c>
      <c r="M182" s="642">
        <v>2.2049476002114991E-2</v>
      </c>
      <c r="N182" s="642">
        <v>0</v>
      </c>
      <c r="O182" s="642">
        <v>6.8830690871769351E-2</v>
      </c>
      <c r="P182" s="642">
        <v>5.9739095578527968</v>
      </c>
      <c r="Q182" s="642">
        <v>0</v>
      </c>
      <c r="R182" s="642">
        <v>0</v>
      </c>
      <c r="S182" s="650">
        <v>43.049448702141277</v>
      </c>
      <c r="U182" s="648" t="s">
        <v>82</v>
      </c>
      <c r="V182" s="642">
        <v>0</v>
      </c>
      <c r="W182" s="642">
        <v>0</v>
      </c>
      <c r="X182" s="642">
        <v>5.8604701162543282</v>
      </c>
      <c r="Y182" s="642">
        <v>0.77721189491485598</v>
      </c>
      <c r="Z182" s="642">
        <v>0</v>
      </c>
      <c r="AA182" s="642">
        <v>0</v>
      </c>
      <c r="AB182" s="642">
        <v>4.3026845658747828</v>
      </c>
      <c r="AC182" s="642">
        <v>0</v>
      </c>
      <c r="AD182" s="642">
        <v>30.776202948565647</v>
      </c>
      <c r="AE182" s="642">
        <v>0.56280861355903367</v>
      </c>
      <c r="AF182" s="642">
        <v>0</v>
      </c>
      <c r="AG182" s="642">
        <v>1.5666563685107562</v>
      </c>
      <c r="AH182" s="642">
        <v>6.0858228188406986</v>
      </c>
      <c r="AI182" s="642">
        <v>0</v>
      </c>
      <c r="AJ182" s="642">
        <v>0.36062656029870238</v>
      </c>
      <c r="AK182" s="650">
        <v>50.292483886818808</v>
      </c>
    </row>
    <row r="183" spans="3:37" ht="13.5">
      <c r="C183" s="648" t="s">
        <v>357</v>
      </c>
      <c r="D183" s="642">
        <v>0</v>
      </c>
      <c r="E183" s="642">
        <v>0</v>
      </c>
      <c r="F183" s="642">
        <v>0</v>
      </c>
      <c r="G183" s="642">
        <v>0</v>
      </c>
      <c r="H183" s="642">
        <v>0</v>
      </c>
      <c r="I183" s="642">
        <v>0</v>
      </c>
      <c r="J183" s="642">
        <v>0</v>
      </c>
      <c r="K183" s="642">
        <v>0</v>
      </c>
      <c r="L183" s="642">
        <v>0</v>
      </c>
      <c r="M183" s="642">
        <v>0</v>
      </c>
      <c r="N183" s="642">
        <v>0</v>
      </c>
      <c r="O183" s="642">
        <v>0</v>
      </c>
      <c r="P183" s="642">
        <v>0.36</v>
      </c>
      <c r="Q183" s="642">
        <v>0</v>
      </c>
      <c r="R183" s="642">
        <v>0</v>
      </c>
      <c r="S183" s="650">
        <v>0.36</v>
      </c>
      <c r="U183" s="648" t="s">
        <v>357</v>
      </c>
      <c r="V183" s="642">
        <v>0</v>
      </c>
      <c r="W183" s="642">
        <v>0</v>
      </c>
      <c r="X183" s="642">
        <v>0</v>
      </c>
      <c r="Y183" s="642">
        <v>0</v>
      </c>
      <c r="Z183" s="642">
        <v>0</v>
      </c>
      <c r="AA183" s="642">
        <v>0</v>
      </c>
      <c r="AB183" s="642">
        <v>0</v>
      </c>
      <c r="AC183" s="642">
        <v>0</v>
      </c>
      <c r="AD183" s="642">
        <v>0</v>
      </c>
      <c r="AE183" s="642">
        <v>0</v>
      </c>
      <c r="AF183" s="642">
        <v>0</v>
      </c>
      <c r="AG183" s="642">
        <v>0</v>
      </c>
      <c r="AH183" s="642">
        <v>3.12</v>
      </c>
      <c r="AI183" s="642">
        <v>0</v>
      </c>
      <c r="AJ183" s="642">
        <v>0</v>
      </c>
      <c r="AK183" s="650">
        <v>3.12</v>
      </c>
    </row>
    <row r="184" spans="3:37" ht="13.5">
      <c r="C184" s="646" t="s">
        <v>83</v>
      </c>
      <c r="D184" s="647">
        <v>4.9901668745901624</v>
      </c>
      <c r="E184" s="647">
        <v>0</v>
      </c>
      <c r="F184" s="647">
        <v>302.32389913883821</v>
      </c>
      <c r="G184" s="647">
        <v>270.55236491806994</v>
      </c>
      <c r="H184" s="647">
        <v>0</v>
      </c>
      <c r="I184" s="647">
        <v>0</v>
      </c>
      <c r="J184" s="647">
        <v>116.66807808287251</v>
      </c>
      <c r="K184" s="647">
        <v>1.7728349726366477</v>
      </c>
      <c r="L184" s="647">
        <v>26.788737867246695</v>
      </c>
      <c r="M184" s="647">
        <v>5.5399541720294136</v>
      </c>
      <c r="N184" s="647">
        <v>65.898689554178929</v>
      </c>
      <c r="O184" s="647">
        <v>2.8488909693950797</v>
      </c>
      <c r="P184" s="647">
        <v>517.78670767554593</v>
      </c>
      <c r="Q184" s="647">
        <v>34.989958988562719</v>
      </c>
      <c r="R184" s="647">
        <v>2.6636182112305002</v>
      </c>
      <c r="S184" s="647">
        <v>1352.8239014251965</v>
      </c>
      <c r="U184" s="646" t="s">
        <v>83</v>
      </c>
      <c r="V184" s="647">
        <v>1.2150050536449819</v>
      </c>
      <c r="W184" s="647">
        <v>0</v>
      </c>
      <c r="X184" s="647">
        <v>49.521889634108419</v>
      </c>
      <c r="Y184" s="647">
        <v>79.066149235448464</v>
      </c>
      <c r="Z184" s="647">
        <v>0</v>
      </c>
      <c r="AA184" s="647">
        <v>0</v>
      </c>
      <c r="AB184" s="647">
        <v>79.773094350274206</v>
      </c>
      <c r="AC184" s="647">
        <v>5.0087997966748192</v>
      </c>
      <c r="AD184" s="647">
        <v>73.574169013595338</v>
      </c>
      <c r="AE184" s="647">
        <v>57.347973175472191</v>
      </c>
      <c r="AF184" s="647">
        <v>103.02458403584798</v>
      </c>
      <c r="AG184" s="647">
        <v>7.0275496078674458</v>
      </c>
      <c r="AH184" s="647">
        <v>507.01391311627498</v>
      </c>
      <c r="AI184" s="647">
        <v>68.794771845590574</v>
      </c>
      <c r="AJ184" s="647">
        <v>13.478473773184128</v>
      </c>
      <c r="AK184" s="647">
        <v>1044.8463726379837</v>
      </c>
    </row>
    <row r="185" spans="3:37" ht="13.5">
      <c r="C185" s="641" t="s">
        <v>84</v>
      </c>
      <c r="D185" s="642">
        <v>0</v>
      </c>
      <c r="E185" s="642">
        <v>0</v>
      </c>
      <c r="F185" s="642">
        <v>106.83242416715484</v>
      </c>
      <c r="G185" s="642">
        <v>11.6186457489655</v>
      </c>
      <c r="H185" s="642">
        <v>0</v>
      </c>
      <c r="I185" s="642">
        <v>0</v>
      </c>
      <c r="J185" s="642">
        <v>0</v>
      </c>
      <c r="K185" s="642">
        <v>0</v>
      </c>
      <c r="L185" s="642">
        <v>0</v>
      </c>
      <c r="M185" s="642">
        <v>0</v>
      </c>
      <c r="N185" s="642">
        <v>0</v>
      </c>
      <c r="O185" s="642">
        <v>0</v>
      </c>
      <c r="P185" s="642">
        <v>0</v>
      </c>
      <c r="Q185" s="642">
        <v>0</v>
      </c>
      <c r="R185" s="642">
        <v>2.4159251561316859</v>
      </c>
      <c r="S185" s="650">
        <v>120.86699507225204</v>
      </c>
      <c r="U185" s="641" t="s">
        <v>84</v>
      </c>
      <c r="V185" s="642">
        <v>0</v>
      </c>
      <c r="W185" s="642">
        <v>0</v>
      </c>
      <c r="X185" s="642">
        <v>75.791608178670685</v>
      </c>
      <c r="Y185" s="642">
        <v>0.94004440148578539</v>
      </c>
      <c r="Z185" s="642">
        <v>0</v>
      </c>
      <c r="AA185" s="642">
        <v>0</v>
      </c>
      <c r="AB185" s="642">
        <v>0</v>
      </c>
      <c r="AC185" s="642">
        <v>0</v>
      </c>
      <c r="AD185" s="642">
        <v>21.99170920776367</v>
      </c>
      <c r="AE185" s="642">
        <v>0</v>
      </c>
      <c r="AF185" s="642">
        <v>0</v>
      </c>
      <c r="AG185" s="642">
        <v>0</v>
      </c>
      <c r="AH185" s="642">
        <v>0</v>
      </c>
      <c r="AI185" s="642">
        <v>0</v>
      </c>
      <c r="AJ185" s="642">
        <v>14.689922984619141</v>
      </c>
      <c r="AK185" s="650">
        <v>113.41328477253928</v>
      </c>
    </row>
    <row r="186" spans="3:37" ht="13.5">
      <c r="C186" s="646" t="s">
        <v>85</v>
      </c>
      <c r="D186" s="647">
        <v>4.9901668745901624</v>
      </c>
      <c r="E186" s="647">
        <v>0</v>
      </c>
      <c r="F186" s="647">
        <v>409.15632330599311</v>
      </c>
      <c r="G186" s="647">
        <v>282.17101066703543</v>
      </c>
      <c r="H186" s="647">
        <v>0</v>
      </c>
      <c r="I186" s="647">
        <v>0</v>
      </c>
      <c r="J186" s="647">
        <v>116.66807808287251</v>
      </c>
      <c r="K186" s="647">
        <v>1.7728349726366477</v>
      </c>
      <c r="L186" s="647">
        <v>26.788737867246695</v>
      </c>
      <c r="M186" s="647">
        <v>5.5399541720294136</v>
      </c>
      <c r="N186" s="647">
        <v>65.898689554178929</v>
      </c>
      <c r="O186" s="647">
        <v>2.8488909693950797</v>
      </c>
      <c r="P186" s="647">
        <v>517.78670767554593</v>
      </c>
      <c r="Q186" s="647">
        <v>34.989958988562719</v>
      </c>
      <c r="R186" s="647">
        <v>5.0795433673621861</v>
      </c>
      <c r="S186" s="647">
        <v>1473.6908964974484</v>
      </c>
      <c r="U186" s="646" t="s">
        <v>85</v>
      </c>
      <c r="V186" s="647">
        <v>1.2150050536449819</v>
      </c>
      <c r="W186" s="647">
        <v>0</v>
      </c>
      <c r="X186" s="647">
        <v>125.31349781277912</v>
      </c>
      <c r="Y186" s="647">
        <v>80.006193636934256</v>
      </c>
      <c r="Z186" s="647">
        <v>0</v>
      </c>
      <c r="AA186" s="647">
        <v>0</v>
      </c>
      <c r="AB186" s="647">
        <v>79.773094350274206</v>
      </c>
      <c r="AC186" s="647">
        <v>5.0087997966748192</v>
      </c>
      <c r="AD186" s="647">
        <v>95.565878221359014</v>
      </c>
      <c r="AE186" s="647">
        <v>57.347973175472191</v>
      </c>
      <c r="AF186" s="647">
        <v>103.02458403584798</v>
      </c>
      <c r="AG186" s="647">
        <v>7.0275496078674458</v>
      </c>
      <c r="AH186" s="647">
        <v>507.01391311627498</v>
      </c>
      <c r="AI186" s="647">
        <v>68.794771845590574</v>
      </c>
      <c r="AJ186" s="647">
        <v>28.168396757803269</v>
      </c>
      <c r="AK186" s="647">
        <v>1158.2596574105228</v>
      </c>
    </row>
    <row r="187" spans="3:37" ht="13">
      <c r="C187" s="636"/>
      <c r="D187" s="636"/>
      <c r="E187" s="636"/>
      <c r="F187" s="636"/>
      <c r="G187" s="636"/>
      <c r="H187" s="636"/>
      <c r="I187" s="636"/>
      <c r="J187" s="636"/>
      <c r="K187" s="636"/>
      <c r="L187" s="636"/>
      <c r="M187" s="636"/>
      <c r="N187" s="636"/>
      <c r="O187" s="636"/>
      <c r="P187" s="636"/>
      <c r="Q187" s="636"/>
      <c r="R187" s="636"/>
      <c r="S187" s="636"/>
      <c r="U187" s="636"/>
      <c r="V187" s="636"/>
      <c r="W187" s="636"/>
      <c r="X187" s="636"/>
      <c r="Y187" s="636"/>
      <c r="Z187" s="636"/>
      <c r="AA187" s="636"/>
      <c r="AB187" s="636"/>
      <c r="AC187" s="636"/>
      <c r="AD187" s="636"/>
      <c r="AE187" s="636"/>
      <c r="AF187" s="636"/>
      <c r="AG187" s="636"/>
      <c r="AH187" s="636"/>
      <c r="AI187" s="636"/>
      <c r="AJ187" s="636"/>
      <c r="AK187" s="636"/>
    </row>
    <row r="188" spans="3:37" ht="22.5">
      <c r="C188" s="699" t="s">
        <v>364</v>
      </c>
      <c r="D188" s="699"/>
      <c r="E188" s="699"/>
      <c r="F188" s="699"/>
      <c r="G188" s="699"/>
      <c r="H188" s="699"/>
      <c r="I188" s="699"/>
      <c r="J188" s="699"/>
      <c r="K188" s="699"/>
      <c r="L188" s="699"/>
      <c r="M188" s="699"/>
      <c r="N188" s="699"/>
      <c r="O188" s="699"/>
      <c r="P188" s="699"/>
      <c r="Q188" s="699"/>
      <c r="R188" s="699"/>
      <c r="S188" s="699"/>
      <c r="U188" s="699" t="s">
        <v>364</v>
      </c>
      <c r="V188" s="699"/>
      <c r="W188" s="699"/>
      <c r="X188" s="699"/>
      <c r="Y188" s="699"/>
      <c r="Z188" s="699"/>
      <c r="AA188" s="699"/>
      <c r="AB188" s="699"/>
      <c r="AC188" s="699"/>
      <c r="AD188" s="699"/>
      <c r="AE188" s="699"/>
      <c r="AF188" s="699"/>
      <c r="AG188" s="699"/>
      <c r="AH188" s="699"/>
      <c r="AI188" s="699"/>
      <c r="AJ188" s="699"/>
      <c r="AK188" s="699"/>
    </row>
    <row r="189" spans="3:37" ht="13">
      <c r="C189" s="636"/>
      <c r="D189" s="636"/>
      <c r="E189" s="636"/>
      <c r="F189" s="636"/>
      <c r="G189" s="636"/>
      <c r="H189" s="636"/>
      <c r="I189" s="636"/>
      <c r="J189" s="636"/>
      <c r="K189" s="636"/>
      <c r="L189" s="636"/>
      <c r="M189" s="636"/>
      <c r="N189" s="636"/>
      <c r="O189" s="636"/>
      <c r="P189" s="636"/>
      <c r="Q189" s="636"/>
      <c r="R189" s="636"/>
      <c r="S189" s="636"/>
      <c r="U189" s="636"/>
      <c r="V189" s="636"/>
      <c r="W189" s="636"/>
      <c r="X189" s="636"/>
      <c r="Y189" s="636"/>
      <c r="Z189" s="636"/>
      <c r="AA189" s="636"/>
      <c r="AB189" s="636"/>
      <c r="AC189" s="636"/>
      <c r="AD189" s="636"/>
      <c r="AE189" s="636"/>
      <c r="AF189" s="636"/>
      <c r="AG189" s="636"/>
      <c r="AH189" s="636"/>
      <c r="AI189" s="636"/>
      <c r="AJ189" s="636"/>
      <c r="AK189" s="636"/>
    </row>
    <row r="190" spans="3:37" ht="13" customHeight="1">
      <c r="C190" s="700" t="s">
        <v>128</v>
      </c>
      <c r="D190" s="701" t="s">
        <v>42</v>
      </c>
      <c r="E190" s="701" t="s">
        <v>52</v>
      </c>
      <c r="F190" s="701" t="s">
        <v>53</v>
      </c>
      <c r="G190" s="701" t="s">
        <v>32</v>
      </c>
      <c r="H190" s="701" t="s">
        <v>20</v>
      </c>
      <c r="I190" s="701" t="s">
        <v>55</v>
      </c>
      <c r="J190" s="701" t="s">
        <v>56</v>
      </c>
      <c r="K190" s="701"/>
      <c r="L190" s="701"/>
      <c r="M190" s="701"/>
      <c r="N190" s="701"/>
      <c r="O190" s="701"/>
      <c r="P190" s="701" t="s">
        <v>57</v>
      </c>
      <c r="Q190" s="701" t="s">
        <v>58</v>
      </c>
      <c r="R190" s="701" t="s">
        <v>31</v>
      </c>
      <c r="S190" s="701" t="s">
        <v>10</v>
      </c>
      <c r="U190" s="700" t="s">
        <v>128</v>
      </c>
      <c r="V190" s="701" t="s">
        <v>42</v>
      </c>
      <c r="W190" s="701" t="s">
        <v>52</v>
      </c>
      <c r="X190" s="701" t="s">
        <v>53</v>
      </c>
      <c r="Y190" s="701" t="s">
        <v>32</v>
      </c>
      <c r="Z190" s="701" t="s">
        <v>20</v>
      </c>
      <c r="AA190" s="701" t="s">
        <v>55</v>
      </c>
      <c r="AB190" s="701" t="s">
        <v>56</v>
      </c>
      <c r="AC190" s="701"/>
      <c r="AD190" s="701"/>
      <c r="AE190" s="701"/>
      <c r="AF190" s="701"/>
      <c r="AG190" s="701"/>
      <c r="AH190" s="701" t="s">
        <v>57</v>
      </c>
      <c r="AI190" s="701" t="s">
        <v>58</v>
      </c>
      <c r="AJ190" s="701" t="s">
        <v>31</v>
      </c>
      <c r="AK190" s="701" t="s">
        <v>10</v>
      </c>
    </row>
    <row r="191" spans="3:37" ht="46">
      <c r="C191" s="700"/>
      <c r="D191" s="701"/>
      <c r="E191" s="701"/>
      <c r="F191" s="701"/>
      <c r="G191" s="701"/>
      <c r="H191" s="701"/>
      <c r="I191" s="701"/>
      <c r="J191" s="640" t="s">
        <v>338</v>
      </c>
      <c r="K191" s="640" t="s">
        <v>40</v>
      </c>
      <c r="L191" s="640" t="s">
        <v>346</v>
      </c>
      <c r="M191" s="640" t="s">
        <v>347</v>
      </c>
      <c r="N191" s="640" t="s">
        <v>348</v>
      </c>
      <c r="O191" s="640" t="s">
        <v>349</v>
      </c>
      <c r="P191" s="701"/>
      <c r="Q191" s="701"/>
      <c r="R191" s="701"/>
      <c r="S191" s="701"/>
      <c r="U191" s="700"/>
      <c r="V191" s="701"/>
      <c r="W191" s="701"/>
      <c r="X191" s="701"/>
      <c r="Y191" s="701"/>
      <c r="Z191" s="701"/>
      <c r="AA191" s="701"/>
      <c r="AB191" s="640" t="s">
        <v>338</v>
      </c>
      <c r="AC191" s="640" t="s">
        <v>40</v>
      </c>
      <c r="AD191" s="640" t="s">
        <v>346</v>
      </c>
      <c r="AE191" s="640" t="s">
        <v>347</v>
      </c>
      <c r="AF191" s="640" t="s">
        <v>348</v>
      </c>
      <c r="AG191" s="640" t="s">
        <v>349</v>
      </c>
      <c r="AH191" s="701"/>
      <c r="AI191" s="701"/>
      <c r="AJ191" s="701"/>
      <c r="AK191" s="701"/>
    </row>
    <row r="192" spans="3:37" ht="13.5">
      <c r="C192" s="641" t="s">
        <v>59</v>
      </c>
      <c r="D192" s="642">
        <v>0</v>
      </c>
      <c r="E192" s="643">
        <v>0</v>
      </c>
      <c r="F192" s="643">
        <v>0</v>
      </c>
      <c r="G192" s="642">
        <v>0</v>
      </c>
      <c r="H192" s="643">
        <v>843.18181818181824</v>
      </c>
      <c r="I192" s="643">
        <v>306.94588327561422</v>
      </c>
      <c r="J192" s="643">
        <v>187.92158364867245</v>
      </c>
      <c r="K192" s="643">
        <v>20.316638839186872</v>
      </c>
      <c r="L192" s="643">
        <v>0.58650482505924006</v>
      </c>
      <c r="M192" s="643">
        <v>0.15964026893196048</v>
      </c>
      <c r="N192" s="643">
        <v>67.964408038916218</v>
      </c>
      <c r="O192" s="643">
        <v>11.973026235836867</v>
      </c>
      <c r="P192" s="644">
        <v>0</v>
      </c>
      <c r="Q192" s="643">
        <v>0</v>
      </c>
      <c r="R192" s="643">
        <v>0</v>
      </c>
      <c r="S192" s="645">
        <v>1439.0495033140362</v>
      </c>
      <c r="U192" s="641" t="s">
        <v>59</v>
      </c>
      <c r="V192" s="642">
        <v>0</v>
      </c>
      <c r="W192" s="643">
        <v>0</v>
      </c>
      <c r="X192" s="643">
        <v>0</v>
      </c>
      <c r="Y192" s="642">
        <v>0</v>
      </c>
      <c r="Z192" s="643">
        <v>842.12121212121212</v>
      </c>
      <c r="AA192" s="643">
        <v>361.66588327561419</v>
      </c>
      <c r="AB192" s="643">
        <v>209.7499476733077</v>
      </c>
      <c r="AC192" s="643">
        <v>36.742499370225779</v>
      </c>
      <c r="AD192" s="643">
        <v>0.58650482505924006</v>
      </c>
      <c r="AE192" s="643">
        <v>0.15964026893196048</v>
      </c>
      <c r="AF192" s="643">
        <v>109.8518848230913</v>
      </c>
      <c r="AG192" s="643">
        <v>27.041217028647232</v>
      </c>
      <c r="AH192" s="644">
        <v>0</v>
      </c>
      <c r="AI192" s="643">
        <v>0</v>
      </c>
      <c r="AJ192" s="643">
        <v>0</v>
      </c>
      <c r="AK192" s="645">
        <v>1587.9187893860897</v>
      </c>
    </row>
    <row r="193" spans="3:37" ht="13.5">
      <c r="C193" s="641" t="s">
        <v>60</v>
      </c>
      <c r="D193" s="642">
        <v>47.14481987923083</v>
      </c>
      <c r="E193" s="643">
        <v>484.495467583368</v>
      </c>
      <c r="F193" s="643">
        <v>50.019697053221719</v>
      </c>
      <c r="G193" s="642">
        <v>326.09010493911637</v>
      </c>
      <c r="H193" s="643">
        <v>0</v>
      </c>
      <c r="I193" s="643">
        <v>0</v>
      </c>
      <c r="J193" s="643">
        <v>5.0764589906360387</v>
      </c>
      <c r="K193" s="643">
        <v>0</v>
      </c>
      <c r="L193" s="643">
        <v>2.7571319279134792</v>
      </c>
      <c r="M193" s="643">
        <v>0</v>
      </c>
      <c r="N193" s="643">
        <v>0</v>
      </c>
      <c r="O193" s="643">
        <v>0</v>
      </c>
      <c r="P193" s="644">
        <v>0</v>
      </c>
      <c r="Q193" s="643">
        <v>0</v>
      </c>
      <c r="R193" s="643">
        <v>0</v>
      </c>
      <c r="S193" s="645">
        <v>915.58368037348657</v>
      </c>
      <c r="U193" s="641" t="s">
        <v>60</v>
      </c>
      <c r="V193" s="642">
        <v>5.8768320762591904</v>
      </c>
      <c r="W193" s="643">
        <v>189.94114801549574</v>
      </c>
      <c r="X193" s="643">
        <v>14.41607041492888</v>
      </c>
      <c r="Y193" s="642">
        <v>81.728531694283333</v>
      </c>
      <c r="Z193" s="643">
        <v>0</v>
      </c>
      <c r="AA193" s="643">
        <v>0</v>
      </c>
      <c r="AB193" s="643">
        <v>5.0764589906360387</v>
      </c>
      <c r="AC193" s="643">
        <v>0</v>
      </c>
      <c r="AD193" s="643">
        <v>2.7571319279134792</v>
      </c>
      <c r="AE193" s="643">
        <v>0</v>
      </c>
      <c r="AF193" s="643">
        <v>0</v>
      </c>
      <c r="AG193" s="643">
        <v>0</v>
      </c>
      <c r="AH193" s="644">
        <v>0</v>
      </c>
      <c r="AI193" s="643">
        <v>0</v>
      </c>
      <c r="AJ193" s="643">
        <v>0</v>
      </c>
      <c r="AK193" s="645">
        <v>299.79617311951665</v>
      </c>
    </row>
    <row r="194" spans="3:37" ht="13.5">
      <c r="C194" s="641" t="s">
        <v>61</v>
      </c>
      <c r="D194" s="642">
        <v>0</v>
      </c>
      <c r="E194" s="643">
        <v>0</v>
      </c>
      <c r="F194" s="643">
        <v>0</v>
      </c>
      <c r="G194" s="642">
        <v>0</v>
      </c>
      <c r="H194" s="643">
        <v>0</v>
      </c>
      <c r="I194" s="643">
        <v>0</v>
      </c>
      <c r="J194" s="643">
        <v>0</v>
      </c>
      <c r="K194" s="643">
        <v>0</v>
      </c>
      <c r="L194" s="643">
        <v>0</v>
      </c>
      <c r="M194" s="643">
        <v>0</v>
      </c>
      <c r="N194" s="643">
        <v>0</v>
      </c>
      <c r="O194" s="643">
        <v>0</v>
      </c>
      <c r="P194" s="644">
        <v>-16.706363002811486</v>
      </c>
      <c r="Q194" s="643">
        <v>0</v>
      </c>
      <c r="R194" s="643">
        <v>0</v>
      </c>
      <c r="S194" s="645">
        <v>-16.706363002811486</v>
      </c>
      <c r="U194" s="641" t="s">
        <v>61</v>
      </c>
      <c r="V194" s="642">
        <v>0</v>
      </c>
      <c r="W194" s="643">
        <v>0</v>
      </c>
      <c r="X194" s="643">
        <v>-18.378136852904419</v>
      </c>
      <c r="Y194" s="642">
        <v>0</v>
      </c>
      <c r="Z194" s="643">
        <v>0</v>
      </c>
      <c r="AA194" s="643">
        <v>0</v>
      </c>
      <c r="AB194" s="643">
        <v>0</v>
      </c>
      <c r="AC194" s="643">
        <v>0</v>
      </c>
      <c r="AD194" s="643">
        <v>0</v>
      </c>
      <c r="AE194" s="643">
        <v>0</v>
      </c>
      <c r="AF194" s="643">
        <v>0</v>
      </c>
      <c r="AG194" s="643">
        <v>0</v>
      </c>
      <c r="AH194" s="644">
        <v>-20.522831714543145</v>
      </c>
      <c r="AI194" s="643">
        <v>0</v>
      </c>
      <c r="AJ194" s="643">
        <v>0</v>
      </c>
      <c r="AK194" s="645">
        <v>-38.900968567447563</v>
      </c>
    </row>
    <row r="195" spans="3:37" ht="13.5">
      <c r="C195" s="641" t="s">
        <v>62</v>
      </c>
      <c r="D195" s="642">
        <v>0</v>
      </c>
      <c r="E195" s="643">
        <v>0</v>
      </c>
      <c r="F195" s="643">
        <v>-15.257294848391862</v>
      </c>
      <c r="G195" s="642">
        <v>0</v>
      </c>
      <c r="H195" s="643">
        <v>0</v>
      </c>
      <c r="I195" s="643">
        <v>0</v>
      </c>
      <c r="J195" s="643">
        <v>0</v>
      </c>
      <c r="K195" s="643">
        <v>0</v>
      </c>
      <c r="L195" s="643">
        <v>0</v>
      </c>
      <c r="M195" s="643">
        <v>0</v>
      </c>
      <c r="N195" s="643">
        <v>0</v>
      </c>
      <c r="O195" s="643">
        <v>0</v>
      </c>
      <c r="P195" s="644">
        <v>0</v>
      </c>
      <c r="Q195" s="643">
        <v>0</v>
      </c>
      <c r="R195" s="643">
        <v>0</v>
      </c>
      <c r="S195" s="645">
        <v>-15.257294848391862</v>
      </c>
      <c r="U195" s="641" t="s">
        <v>62</v>
      </c>
      <c r="V195" s="642">
        <v>0</v>
      </c>
      <c r="W195" s="643">
        <v>0</v>
      </c>
      <c r="X195" s="643">
        <v>-7.5188933675233587</v>
      </c>
      <c r="Y195" s="642">
        <v>-2.1851276585702322</v>
      </c>
      <c r="Z195" s="643">
        <v>0</v>
      </c>
      <c r="AA195" s="643">
        <v>0</v>
      </c>
      <c r="AB195" s="643">
        <v>0</v>
      </c>
      <c r="AC195" s="643">
        <v>0</v>
      </c>
      <c r="AD195" s="643">
        <v>0</v>
      </c>
      <c r="AE195" s="643">
        <v>-2.1851276585702322</v>
      </c>
      <c r="AF195" s="643">
        <v>0</v>
      </c>
      <c r="AG195" s="643">
        <v>0</v>
      </c>
      <c r="AH195" s="644">
        <v>0</v>
      </c>
      <c r="AI195" s="643">
        <v>0</v>
      </c>
      <c r="AJ195" s="643">
        <v>0</v>
      </c>
      <c r="AK195" s="645">
        <v>-11.889148684663823</v>
      </c>
    </row>
    <row r="196" spans="3:37" ht="13.5">
      <c r="C196" s="641" t="s">
        <v>63</v>
      </c>
      <c r="D196" s="642">
        <v>0</v>
      </c>
      <c r="E196" s="643">
        <v>0</v>
      </c>
      <c r="F196" s="643">
        <v>-90.982589622358091</v>
      </c>
      <c r="G196" s="642">
        <v>0</v>
      </c>
      <c r="H196" s="643">
        <v>0</v>
      </c>
      <c r="I196" s="643">
        <v>0</v>
      </c>
      <c r="J196" s="643">
        <v>0</v>
      </c>
      <c r="K196" s="643">
        <v>0</v>
      </c>
      <c r="L196" s="643">
        <v>-0.93561585486744514</v>
      </c>
      <c r="M196" s="643">
        <v>0</v>
      </c>
      <c r="N196" s="643">
        <v>0</v>
      </c>
      <c r="O196" s="643">
        <v>0</v>
      </c>
      <c r="P196" s="644">
        <v>0</v>
      </c>
      <c r="Q196" s="643">
        <v>0</v>
      </c>
      <c r="R196" s="643">
        <v>0</v>
      </c>
      <c r="S196" s="645">
        <v>-91.918205477225541</v>
      </c>
      <c r="U196" s="641" t="s">
        <v>63</v>
      </c>
      <c r="V196" s="642">
        <v>0</v>
      </c>
      <c r="W196" s="643">
        <v>0</v>
      </c>
      <c r="X196" s="643">
        <v>-53.656928796434556</v>
      </c>
      <c r="Y196" s="642">
        <v>0</v>
      </c>
      <c r="Z196" s="643">
        <v>0</v>
      </c>
      <c r="AA196" s="643">
        <v>0</v>
      </c>
      <c r="AB196" s="643">
        <v>0</v>
      </c>
      <c r="AC196" s="643">
        <v>0</v>
      </c>
      <c r="AD196" s="643">
        <v>-28.297456853591466</v>
      </c>
      <c r="AE196" s="643">
        <v>0</v>
      </c>
      <c r="AF196" s="643">
        <v>0</v>
      </c>
      <c r="AG196" s="643">
        <v>0</v>
      </c>
      <c r="AH196" s="644">
        <v>0</v>
      </c>
      <c r="AI196" s="643">
        <v>0</v>
      </c>
      <c r="AJ196" s="643">
        <v>0</v>
      </c>
      <c r="AK196" s="645">
        <v>-81.954385650026026</v>
      </c>
    </row>
    <row r="197" spans="3:37" ht="13.5">
      <c r="C197" s="641" t="s">
        <v>64</v>
      </c>
      <c r="D197" s="642">
        <v>0</v>
      </c>
      <c r="E197" s="643">
        <v>0</v>
      </c>
      <c r="F197" s="643">
        <v>0</v>
      </c>
      <c r="G197" s="642">
        <v>0</v>
      </c>
      <c r="H197" s="643">
        <v>0</v>
      </c>
      <c r="I197" s="643">
        <v>0</v>
      </c>
      <c r="J197" s="643">
        <v>0</v>
      </c>
      <c r="K197" s="643">
        <v>0</v>
      </c>
      <c r="L197" s="643">
        <v>0</v>
      </c>
      <c r="M197" s="643">
        <v>0</v>
      </c>
      <c r="N197" s="643">
        <v>0</v>
      </c>
      <c r="O197" s="643">
        <v>0</v>
      </c>
      <c r="P197" s="644">
        <v>0</v>
      </c>
      <c r="Q197" s="643">
        <v>0</v>
      </c>
      <c r="R197" s="643">
        <v>0</v>
      </c>
      <c r="S197" s="645">
        <v>0</v>
      </c>
      <c r="U197" s="641" t="s">
        <v>64</v>
      </c>
      <c r="V197" s="642">
        <v>0</v>
      </c>
      <c r="W197" s="643">
        <v>0</v>
      </c>
      <c r="X197" s="643">
        <v>0</v>
      </c>
      <c r="Y197" s="642">
        <v>0</v>
      </c>
      <c r="Z197" s="643">
        <v>0</v>
      </c>
      <c r="AA197" s="643">
        <v>0</v>
      </c>
      <c r="AB197" s="643">
        <v>0</v>
      </c>
      <c r="AC197" s="643">
        <v>0</v>
      </c>
      <c r="AD197" s="643">
        <v>0</v>
      </c>
      <c r="AE197" s="643">
        <v>0</v>
      </c>
      <c r="AF197" s="643">
        <v>0</v>
      </c>
      <c r="AG197" s="643">
        <v>0</v>
      </c>
      <c r="AH197" s="644">
        <v>0</v>
      </c>
      <c r="AI197" s="643">
        <v>0</v>
      </c>
      <c r="AJ197" s="643">
        <v>0</v>
      </c>
      <c r="AK197" s="645">
        <v>0</v>
      </c>
    </row>
    <row r="198" spans="3:37" ht="13.5">
      <c r="C198" s="646" t="s">
        <v>65</v>
      </c>
      <c r="D198" s="647">
        <v>47.14481987923083</v>
      </c>
      <c r="E198" s="647">
        <v>484.495467583368</v>
      </c>
      <c r="F198" s="647">
        <v>-56.220187417528237</v>
      </c>
      <c r="G198" s="647">
        <v>326.09010493911637</v>
      </c>
      <c r="H198" s="647">
        <v>843.18181818181824</v>
      </c>
      <c r="I198" s="647">
        <v>306.94588327561422</v>
      </c>
      <c r="J198" s="647">
        <v>192.99804263930849</v>
      </c>
      <c r="K198" s="647">
        <v>20.316638839186872</v>
      </c>
      <c r="L198" s="647">
        <v>2.4080208981052738</v>
      </c>
      <c r="M198" s="647">
        <v>0.15964026893196048</v>
      </c>
      <c r="N198" s="647">
        <v>67.964408038916218</v>
      </c>
      <c r="O198" s="647">
        <v>11.973026235836867</v>
      </c>
      <c r="P198" s="647">
        <v>-16.706363002811486</v>
      </c>
      <c r="Q198" s="647">
        <v>0</v>
      </c>
      <c r="R198" s="647">
        <v>0</v>
      </c>
      <c r="S198" s="647">
        <v>2230.7513203590943</v>
      </c>
      <c r="U198" s="646" t="s">
        <v>65</v>
      </c>
      <c r="V198" s="647">
        <v>5.8768320762591904</v>
      </c>
      <c r="W198" s="647">
        <v>189.94114801549574</v>
      </c>
      <c r="X198" s="647">
        <v>-65.137888601933454</v>
      </c>
      <c r="Y198" s="647">
        <v>79.543404035713095</v>
      </c>
      <c r="Z198" s="647">
        <v>842.12121212121212</v>
      </c>
      <c r="AA198" s="647">
        <v>361.66588327561419</v>
      </c>
      <c r="AB198" s="647">
        <v>214.82640666394374</v>
      </c>
      <c r="AC198" s="647">
        <v>36.742499370225779</v>
      </c>
      <c r="AD198" s="647">
        <v>-24.953820100618749</v>
      </c>
      <c r="AE198" s="647">
        <v>-2.0254873896382719</v>
      </c>
      <c r="AF198" s="647">
        <v>109.8518848230913</v>
      </c>
      <c r="AG198" s="647">
        <v>27.041217028647232</v>
      </c>
      <c r="AH198" s="647">
        <v>-20.522831714543145</v>
      </c>
      <c r="AI198" s="647">
        <v>0</v>
      </c>
      <c r="AJ198" s="647">
        <v>0</v>
      </c>
      <c r="AK198" s="647">
        <v>1754.970459603469</v>
      </c>
    </row>
    <row r="199" spans="3:37" ht="13">
      <c r="C199" s="636"/>
      <c r="D199" s="636">
        <v>0</v>
      </c>
      <c r="E199" s="636">
        <v>0</v>
      </c>
      <c r="F199" s="636">
        <v>0</v>
      </c>
      <c r="G199" s="636">
        <v>0</v>
      </c>
      <c r="H199" s="636">
        <v>0</v>
      </c>
      <c r="I199" s="636">
        <v>0</v>
      </c>
      <c r="J199" s="636">
        <v>0</v>
      </c>
      <c r="K199" s="636">
        <v>0</v>
      </c>
      <c r="L199" s="636">
        <v>0</v>
      </c>
      <c r="M199" s="636">
        <v>0</v>
      </c>
      <c r="N199" s="636">
        <v>0</v>
      </c>
      <c r="O199" s="636">
        <v>0</v>
      </c>
      <c r="P199" s="636">
        <v>0</v>
      </c>
      <c r="Q199" s="636">
        <v>0</v>
      </c>
      <c r="R199" s="636">
        <v>0</v>
      </c>
      <c r="S199" s="636">
        <v>0</v>
      </c>
      <c r="U199" s="636"/>
      <c r="V199" s="636">
        <v>0</v>
      </c>
      <c r="W199" s="636">
        <v>0</v>
      </c>
      <c r="X199" s="636">
        <v>0</v>
      </c>
      <c r="Y199" s="636">
        <v>0</v>
      </c>
      <c r="Z199" s="636">
        <v>0</v>
      </c>
      <c r="AA199" s="636">
        <v>0</v>
      </c>
      <c r="AB199" s="636">
        <v>0</v>
      </c>
      <c r="AC199" s="636">
        <v>0</v>
      </c>
      <c r="AD199" s="636">
        <v>0</v>
      </c>
      <c r="AE199" s="636">
        <v>0</v>
      </c>
      <c r="AF199" s="636">
        <v>0</v>
      </c>
      <c r="AG199" s="636">
        <v>0</v>
      </c>
      <c r="AH199" s="636">
        <v>0</v>
      </c>
      <c r="AI199" s="636">
        <v>0</v>
      </c>
      <c r="AJ199" s="636">
        <v>0</v>
      </c>
      <c r="AK199" s="636">
        <v>0</v>
      </c>
    </row>
    <row r="200" spans="3:37" ht="13.5">
      <c r="C200" s="648" t="s">
        <v>67</v>
      </c>
      <c r="D200" s="642">
        <v>0</v>
      </c>
      <c r="E200" s="649">
        <v>0</v>
      </c>
      <c r="F200" s="649">
        <v>0</v>
      </c>
      <c r="G200" s="642">
        <v>0</v>
      </c>
      <c r="H200" s="642">
        <v>0</v>
      </c>
      <c r="I200" s="642">
        <v>0</v>
      </c>
      <c r="J200" s="642">
        <v>0</v>
      </c>
      <c r="K200" s="642">
        <v>0</v>
      </c>
      <c r="L200" s="642">
        <v>0</v>
      </c>
      <c r="M200" s="642">
        <v>0</v>
      </c>
      <c r="N200" s="642">
        <v>0</v>
      </c>
      <c r="O200" s="642">
        <v>0</v>
      </c>
      <c r="P200" s="642">
        <v>0</v>
      </c>
      <c r="Q200" s="642">
        <v>0</v>
      </c>
      <c r="R200" s="642">
        <v>0</v>
      </c>
      <c r="S200" s="650">
        <v>0</v>
      </c>
      <c r="U200" s="648" t="s">
        <v>67</v>
      </c>
      <c r="V200" s="642">
        <v>0</v>
      </c>
      <c r="W200" s="649">
        <v>0</v>
      </c>
      <c r="X200" s="649">
        <v>0</v>
      </c>
      <c r="Y200" s="642">
        <v>0</v>
      </c>
      <c r="Z200" s="642">
        <v>0</v>
      </c>
      <c r="AA200" s="642">
        <v>0</v>
      </c>
      <c r="AB200" s="642">
        <v>0</v>
      </c>
      <c r="AC200" s="642">
        <v>0</v>
      </c>
      <c r="AD200" s="642">
        <v>0</v>
      </c>
      <c r="AE200" s="642">
        <v>0</v>
      </c>
      <c r="AF200" s="642">
        <v>0</v>
      </c>
      <c r="AG200" s="642">
        <v>0</v>
      </c>
      <c r="AH200" s="642">
        <v>0</v>
      </c>
      <c r="AI200" s="642">
        <v>0</v>
      </c>
      <c r="AJ200" s="642">
        <v>0</v>
      </c>
      <c r="AK200" s="650">
        <v>0</v>
      </c>
    </row>
    <row r="201" spans="3:37" ht="13.5">
      <c r="C201" s="648" t="s">
        <v>350</v>
      </c>
      <c r="D201" s="642">
        <v>2.8267856410252494</v>
      </c>
      <c r="E201" s="642">
        <v>0</v>
      </c>
      <c r="F201" s="642">
        <v>7.9230776783294274</v>
      </c>
      <c r="G201" s="642">
        <v>16.680851063829788</v>
      </c>
      <c r="H201" s="642">
        <v>843.18181818181824</v>
      </c>
      <c r="I201" s="642">
        <v>306.94588327561422</v>
      </c>
      <c r="J201" s="651">
        <v>28.98717588629853</v>
      </c>
      <c r="K201" s="651">
        <v>6.5903281241207718</v>
      </c>
      <c r="L201" s="651">
        <v>3.3436367529727189</v>
      </c>
      <c r="M201" s="651">
        <v>0.46654149749263618</v>
      </c>
      <c r="N201" s="651">
        <v>0</v>
      </c>
      <c r="O201" s="651">
        <v>7.0184114557160298</v>
      </c>
      <c r="P201" s="642">
        <v>-616.92993037811448</v>
      </c>
      <c r="Q201" s="642">
        <v>0</v>
      </c>
      <c r="R201" s="642">
        <v>0</v>
      </c>
      <c r="S201" s="650">
        <v>607.03457917910316</v>
      </c>
      <c r="U201" s="648" t="s">
        <v>350</v>
      </c>
      <c r="V201" s="642">
        <v>0.62631490545869017</v>
      </c>
      <c r="W201" s="642">
        <v>0</v>
      </c>
      <c r="X201" s="642">
        <v>4.0594413146930641</v>
      </c>
      <c r="Y201" s="642">
        <v>2.3404255319148937</v>
      </c>
      <c r="Z201" s="642">
        <v>842.12121212121212</v>
      </c>
      <c r="AA201" s="642">
        <v>361.66588327561419</v>
      </c>
      <c r="AB201" s="651">
        <v>23.182357378111952</v>
      </c>
      <c r="AC201" s="651">
        <v>5.3775678130216455</v>
      </c>
      <c r="AD201" s="651">
        <v>3.3436367529727189</v>
      </c>
      <c r="AE201" s="651">
        <v>2.4665414974926363</v>
      </c>
      <c r="AF201" s="651">
        <v>0</v>
      </c>
      <c r="AG201" s="651">
        <v>7.0184114557160298</v>
      </c>
      <c r="AH201" s="642">
        <v>-662.7499303781143</v>
      </c>
      <c r="AI201" s="642">
        <v>0</v>
      </c>
      <c r="AJ201" s="642">
        <v>4.25</v>
      </c>
      <c r="AK201" s="650">
        <v>593.70186166809344</v>
      </c>
    </row>
    <row r="202" spans="3:37" ht="13.5">
      <c r="C202" s="648" t="s">
        <v>351</v>
      </c>
      <c r="D202" s="642">
        <v>0</v>
      </c>
      <c r="E202" s="642">
        <v>0</v>
      </c>
      <c r="F202" s="642">
        <v>0</v>
      </c>
      <c r="G202" s="642">
        <v>14.843815057329421</v>
      </c>
      <c r="H202" s="642">
        <v>0</v>
      </c>
      <c r="I202" s="642">
        <v>0</v>
      </c>
      <c r="J202" s="651">
        <v>12.357161229114668</v>
      </c>
      <c r="K202" s="651">
        <v>11.882304060636951</v>
      </c>
      <c r="L202" s="651">
        <v>0</v>
      </c>
      <c r="M202" s="651">
        <v>0.31804644322561132</v>
      </c>
      <c r="N202" s="651">
        <v>0</v>
      </c>
      <c r="O202" s="651">
        <v>2.0992086164963606</v>
      </c>
      <c r="P202" s="642">
        <v>0</v>
      </c>
      <c r="Q202" s="642">
        <v>-37.805081951347923</v>
      </c>
      <c r="R202" s="642">
        <v>0</v>
      </c>
      <c r="S202" s="650">
        <v>3.6954534554550835</v>
      </c>
      <c r="U202" s="648" t="s">
        <v>351</v>
      </c>
      <c r="V202" s="642">
        <v>0</v>
      </c>
      <c r="W202" s="642">
        <v>0</v>
      </c>
      <c r="X202" s="642">
        <v>0</v>
      </c>
      <c r="Y202" s="642">
        <v>6.4668066457611202</v>
      </c>
      <c r="Z202" s="642">
        <v>0</v>
      </c>
      <c r="AA202" s="642">
        <v>0</v>
      </c>
      <c r="AB202" s="651">
        <v>28.361573193229066</v>
      </c>
      <c r="AC202" s="651">
        <v>26.076316433417247</v>
      </c>
      <c r="AD202" s="651">
        <v>0</v>
      </c>
      <c r="AE202" s="651">
        <v>6.4819180878167435</v>
      </c>
      <c r="AF202" s="651">
        <v>0</v>
      </c>
      <c r="AG202" s="651">
        <v>12.550380584079129</v>
      </c>
      <c r="AH202" s="642">
        <v>0</v>
      </c>
      <c r="AI202" s="642">
        <v>-74.043519390541746</v>
      </c>
      <c r="AJ202" s="642">
        <v>0</v>
      </c>
      <c r="AK202" s="650">
        <v>5.8934755537615651</v>
      </c>
    </row>
    <row r="203" spans="3:37" ht="13.5">
      <c r="C203" s="648" t="s">
        <v>352</v>
      </c>
      <c r="D203" s="642">
        <v>0</v>
      </c>
      <c r="E203" s="642">
        <v>0</v>
      </c>
      <c r="F203" s="642">
        <v>0</v>
      </c>
      <c r="G203" s="642">
        <v>0</v>
      </c>
      <c r="H203" s="642">
        <v>0</v>
      </c>
      <c r="I203" s="642">
        <v>0</v>
      </c>
      <c r="J203" s="652">
        <v>6.8755991242523775</v>
      </c>
      <c r="K203" s="652">
        <v>0</v>
      </c>
      <c r="L203" s="652">
        <v>0</v>
      </c>
      <c r="M203" s="652">
        <v>-6.4200906822706569</v>
      </c>
      <c r="N203" s="652">
        <v>0</v>
      </c>
      <c r="O203" s="652">
        <v>0</v>
      </c>
      <c r="P203" s="642">
        <v>0</v>
      </c>
      <c r="Q203" s="642">
        <v>0</v>
      </c>
      <c r="R203" s="642">
        <v>0</v>
      </c>
      <c r="S203" s="650">
        <v>0.45550844198172058</v>
      </c>
      <c r="U203" s="648" t="s">
        <v>352</v>
      </c>
      <c r="V203" s="642">
        <v>0</v>
      </c>
      <c r="W203" s="642">
        <v>0</v>
      </c>
      <c r="X203" s="642">
        <v>0</v>
      </c>
      <c r="Y203" s="642">
        <v>0</v>
      </c>
      <c r="Z203" s="642">
        <v>0</v>
      </c>
      <c r="AA203" s="642">
        <v>0</v>
      </c>
      <c r="AB203" s="652">
        <v>86.654179241552072</v>
      </c>
      <c r="AC203" s="652">
        <v>0</v>
      </c>
      <c r="AD203" s="652">
        <v>0</v>
      </c>
      <c r="AE203" s="652">
        <v>-80.913339866799248</v>
      </c>
      <c r="AF203" s="652">
        <v>0</v>
      </c>
      <c r="AG203" s="652">
        <v>0</v>
      </c>
      <c r="AH203" s="642">
        <v>0</v>
      </c>
      <c r="AI203" s="642">
        <v>0</v>
      </c>
      <c r="AJ203" s="642">
        <v>0</v>
      </c>
      <c r="AK203" s="650">
        <v>5.7408393747528237</v>
      </c>
    </row>
    <row r="204" spans="3:37" ht="13.5">
      <c r="C204" s="648" t="s">
        <v>353</v>
      </c>
      <c r="D204" s="642">
        <v>0</v>
      </c>
      <c r="E204" s="642">
        <v>0</v>
      </c>
      <c r="F204" s="642">
        <v>0</v>
      </c>
      <c r="G204" s="642">
        <v>0</v>
      </c>
      <c r="H204" s="642">
        <v>0</v>
      </c>
      <c r="I204" s="642">
        <v>0</v>
      </c>
      <c r="J204" s="642">
        <v>0</v>
      </c>
      <c r="K204" s="642">
        <v>0</v>
      </c>
      <c r="L204" s="642">
        <v>0</v>
      </c>
      <c r="M204" s="642">
        <v>0</v>
      </c>
      <c r="N204" s="642">
        <v>0</v>
      </c>
      <c r="O204" s="642">
        <v>0</v>
      </c>
      <c r="P204" s="642">
        <v>0</v>
      </c>
      <c r="Q204" s="642">
        <v>0</v>
      </c>
      <c r="R204" s="642">
        <v>0</v>
      </c>
      <c r="S204" s="650">
        <v>0</v>
      </c>
      <c r="U204" s="648" t="s">
        <v>353</v>
      </c>
      <c r="V204" s="642">
        <v>0</v>
      </c>
      <c r="W204" s="642">
        <v>0</v>
      </c>
      <c r="X204" s="642">
        <v>0</v>
      </c>
      <c r="Y204" s="642">
        <v>0</v>
      </c>
      <c r="Z204" s="642">
        <v>0</v>
      </c>
      <c r="AA204" s="642">
        <v>0</v>
      </c>
      <c r="AB204" s="642">
        <v>0</v>
      </c>
      <c r="AC204" s="642">
        <v>0</v>
      </c>
      <c r="AD204" s="642">
        <v>0</v>
      </c>
      <c r="AE204" s="642">
        <v>0</v>
      </c>
      <c r="AF204" s="642">
        <v>0</v>
      </c>
      <c r="AG204" s="642">
        <v>0</v>
      </c>
      <c r="AH204" s="642">
        <v>0</v>
      </c>
      <c r="AI204" s="642">
        <v>0</v>
      </c>
      <c r="AJ204" s="642">
        <v>0</v>
      </c>
      <c r="AK204" s="650">
        <v>0</v>
      </c>
    </row>
    <row r="205" spans="3:37" ht="13.5">
      <c r="C205" s="648" t="s">
        <v>72</v>
      </c>
      <c r="D205" s="642">
        <v>0</v>
      </c>
      <c r="E205" s="642">
        <v>501.8858109321676</v>
      </c>
      <c r="F205" s="642">
        <v>-496.86695282284592</v>
      </c>
      <c r="G205" s="642">
        <v>0</v>
      </c>
      <c r="H205" s="642">
        <v>0</v>
      </c>
      <c r="I205" s="642">
        <v>0</v>
      </c>
      <c r="J205" s="642">
        <v>0</v>
      </c>
      <c r="K205" s="642">
        <v>0</v>
      </c>
      <c r="L205" s="642">
        <v>0</v>
      </c>
      <c r="M205" s="642">
        <v>0</v>
      </c>
      <c r="N205" s="642">
        <v>0</v>
      </c>
      <c r="O205" s="642">
        <v>0</v>
      </c>
      <c r="P205" s="642">
        <v>0</v>
      </c>
      <c r="Q205" s="642">
        <v>0</v>
      </c>
      <c r="R205" s="642">
        <v>0</v>
      </c>
      <c r="S205" s="650">
        <v>5.018858109321684</v>
      </c>
      <c r="U205" s="648" t="s">
        <v>72</v>
      </c>
      <c r="V205" s="642">
        <v>0</v>
      </c>
      <c r="W205" s="642">
        <v>196.75884188687598</v>
      </c>
      <c r="X205" s="642">
        <v>-194.79125346800723</v>
      </c>
      <c r="Y205" s="642">
        <v>0</v>
      </c>
      <c r="Z205" s="642">
        <v>0</v>
      </c>
      <c r="AA205" s="642">
        <v>0</v>
      </c>
      <c r="AB205" s="642">
        <v>0</v>
      </c>
      <c r="AC205" s="642">
        <v>0</v>
      </c>
      <c r="AD205" s="642">
        <v>0</v>
      </c>
      <c r="AE205" s="642">
        <v>0</v>
      </c>
      <c r="AF205" s="642">
        <v>0</v>
      </c>
      <c r="AG205" s="642">
        <v>0</v>
      </c>
      <c r="AH205" s="642">
        <v>0</v>
      </c>
      <c r="AI205" s="642">
        <v>0</v>
      </c>
      <c r="AJ205" s="642">
        <v>0</v>
      </c>
      <c r="AK205" s="650">
        <v>1.9675884188687576</v>
      </c>
    </row>
    <row r="206" spans="3:37" ht="13.5">
      <c r="C206" s="648" t="s">
        <v>354</v>
      </c>
      <c r="D206" s="642">
        <v>0</v>
      </c>
      <c r="E206" s="642">
        <v>0</v>
      </c>
      <c r="F206" s="642">
        <v>0</v>
      </c>
      <c r="G206" s="642">
        <v>0</v>
      </c>
      <c r="H206" s="642">
        <v>0</v>
      </c>
      <c r="I206" s="642">
        <v>0</v>
      </c>
      <c r="J206" s="642">
        <v>26.867608526350821</v>
      </c>
      <c r="K206" s="642">
        <v>0</v>
      </c>
      <c r="L206" s="642">
        <v>-26.867608526350821</v>
      </c>
      <c r="M206" s="642">
        <v>0</v>
      </c>
      <c r="N206" s="642">
        <v>0</v>
      </c>
      <c r="O206" s="642">
        <v>0</v>
      </c>
      <c r="P206" s="642">
        <v>0</v>
      </c>
      <c r="Q206" s="642">
        <v>0</v>
      </c>
      <c r="R206" s="642">
        <v>0</v>
      </c>
      <c r="S206" s="650">
        <v>0</v>
      </c>
      <c r="U206" s="648" t="s">
        <v>354</v>
      </c>
      <c r="V206" s="642">
        <v>0</v>
      </c>
      <c r="W206" s="642">
        <v>0</v>
      </c>
      <c r="X206" s="642">
        <v>0</v>
      </c>
      <c r="Y206" s="642">
        <v>0</v>
      </c>
      <c r="Z206" s="642">
        <v>0</v>
      </c>
      <c r="AA206" s="642">
        <v>0</v>
      </c>
      <c r="AB206" s="642" t="e">
        <v>#VALUE!</v>
      </c>
      <c r="AC206" s="642">
        <v>0</v>
      </c>
      <c r="AD206" s="642">
        <v>-99.513749603669936</v>
      </c>
      <c r="AE206" s="642">
        <v>0</v>
      </c>
      <c r="AF206" s="642">
        <v>0</v>
      </c>
      <c r="AG206" s="642">
        <v>0</v>
      </c>
      <c r="AH206" s="642">
        <v>0</v>
      </c>
      <c r="AI206" s="642">
        <v>0</v>
      </c>
      <c r="AJ206" s="642">
        <v>0</v>
      </c>
      <c r="AK206" s="650">
        <v>-99.513749603669936</v>
      </c>
    </row>
    <row r="207" spans="3:37" ht="13.5">
      <c r="C207" s="648" t="s">
        <v>355</v>
      </c>
      <c r="D207" s="642">
        <v>0</v>
      </c>
      <c r="E207" s="642">
        <v>0</v>
      </c>
      <c r="F207" s="642">
        <v>0</v>
      </c>
      <c r="G207" s="642">
        <v>0</v>
      </c>
      <c r="H207" s="642">
        <v>0</v>
      </c>
      <c r="I207" s="642">
        <v>0</v>
      </c>
      <c r="J207" s="642">
        <v>0</v>
      </c>
      <c r="K207" s="642">
        <v>0</v>
      </c>
      <c r="L207" s="642">
        <v>0</v>
      </c>
      <c r="M207" s="642">
        <v>0</v>
      </c>
      <c r="N207" s="642">
        <v>0</v>
      </c>
      <c r="O207" s="642">
        <v>0</v>
      </c>
      <c r="P207" s="642">
        <v>0</v>
      </c>
      <c r="Q207" s="642">
        <v>0</v>
      </c>
      <c r="R207" s="642">
        <v>0</v>
      </c>
      <c r="S207" s="650">
        <v>0</v>
      </c>
      <c r="U207" s="648" t="s">
        <v>355</v>
      </c>
      <c r="V207" s="642">
        <v>0</v>
      </c>
      <c r="W207" s="642">
        <v>0</v>
      </c>
      <c r="X207" s="642">
        <v>0</v>
      </c>
      <c r="Y207" s="642">
        <v>0</v>
      </c>
      <c r="Z207" s="642">
        <v>0</v>
      </c>
      <c r="AA207" s="642">
        <v>0</v>
      </c>
      <c r="AB207" s="642">
        <v>0</v>
      </c>
      <c r="AC207" s="642">
        <v>0</v>
      </c>
      <c r="AD207" s="642">
        <v>-17.985934640167208</v>
      </c>
      <c r="AE207" s="642">
        <v>0</v>
      </c>
      <c r="AF207" s="642">
        <v>0</v>
      </c>
      <c r="AG207" s="642">
        <v>0</v>
      </c>
      <c r="AH207" s="642">
        <v>0</v>
      </c>
      <c r="AI207" s="642">
        <v>0</v>
      </c>
      <c r="AJ207" s="642">
        <v>0</v>
      </c>
      <c r="AK207" s="650">
        <v>-17.985934640167208</v>
      </c>
    </row>
    <row r="208" spans="3:37" ht="13.5">
      <c r="C208" s="648" t="s">
        <v>73</v>
      </c>
      <c r="D208" s="642">
        <v>0</v>
      </c>
      <c r="E208" s="642">
        <v>0</v>
      </c>
      <c r="F208" s="642">
        <v>0</v>
      </c>
      <c r="G208" s="642">
        <v>7.0830222331165276</v>
      </c>
      <c r="H208" s="642">
        <v>0</v>
      </c>
      <c r="I208" s="642">
        <v>0</v>
      </c>
      <c r="J208" s="642">
        <v>0</v>
      </c>
      <c r="K208" s="642">
        <v>8.2131519400701847E-2</v>
      </c>
      <c r="L208" s="642">
        <v>0</v>
      </c>
      <c r="M208" s="642">
        <v>0.14455147414523528</v>
      </c>
      <c r="N208" s="642">
        <v>0</v>
      </c>
      <c r="O208" s="642">
        <v>0</v>
      </c>
      <c r="P208" s="642">
        <v>0.90023160054861806</v>
      </c>
      <c r="Q208" s="642">
        <v>0</v>
      </c>
      <c r="R208" s="642">
        <v>-5.7492063580491291</v>
      </c>
      <c r="S208" s="650">
        <v>2.4607304691619536</v>
      </c>
      <c r="U208" s="648" t="s">
        <v>73</v>
      </c>
      <c r="V208" s="642">
        <v>0</v>
      </c>
      <c r="W208" s="642">
        <v>0</v>
      </c>
      <c r="X208" s="642">
        <v>0</v>
      </c>
      <c r="Y208" s="642">
        <v>2.5209228009552263</v>
      </c>
      <c r="Z208" s="642">
        <v>0</v>
      </c>
      <c r="AA208" s="642">
        <v>0</v>
      </c>
      <c r="AB208" s="642">
        <v>0</v>
      </c>
      <c r="AC208" s="642">
        <v>0.50418456019104518</v>
      </c>
      <c r="AD208" s="642">
        <v>0</v>
      </c>
      <c r="AE208" s="642">
        <v>2.5209228009552263</v>
      </c>
      <c r="AF208" s="642">
        <v>0</v>
      </c>
      <c r="AG208" s="642">
        <v>0</v>
      </c>
      <c r="AH208" s="642">
        <v>44.712737508757456</v>
      </c>
      <c r="AI208" s="642">
        <v>0</v>
      </c>
      <c r="AJ208" s="642">
        <v>-35.29291921337316</v>
      </c>
      <c r="AK208" s="650">
        <v>14.965848457485791</v>
      </c>
    </row>
    <row r="209" spans="3:37" ht="13.5">
      <c r="C209" s="648" t="s">
        <v>356</v>
      </c>
      <c r="D209" s="642">
        <v>28.568314687499999</v>
      </c>
      <c r="E209" s="642">
        <v>-17.390343348799608</v>
      </c>
      <c r="F209" s="642">
        <v>22.745541936068136</v>
      </c>
      <c r="G209" s="642">
        <v>0</v>
      </c>
      <c r="H209" s="642">
        <v>0</v>
      </c>
      <c r="I209" s="642">
        <v>0</v>
      </c>
      <c r="J209" s="642">
        <v>0</v>
      </c>
      <c r="K209" s="642">
        <v>0</v>
      </c>
      <c r="L209" s="642">
        <v>0</v>
      </c>
      <c r="M209" s="642">
        <v>0</v>
      </c>
      <c r="N209" s="642">
        <v>0</v>
      </c>
      <c r="O209" s="642">
        <v>0</v>
      </c>
      <c r="P209" s="642">
        <v>0</v>
      </c>
      <c r="Q209" s="642">
        <v>0</v>
      </c>
      <c r="R209" s="642">
        <v>0</v>
      </c>
      <c r="S209" s="650">
        <v>33.923513274768524</v>
      </c>
      <c r="U209" s="648" t="s">
        <v>356</v>
      </c>
      <c r="V209" s="642">
        <v>1.4001075134277343</v>
      </c>
      <c r="W209" s="642">
        <v>-6.8176938713802535</v>
      </c>
      <c r="X209" s="642">
        <v>8.9171408952922331</v>
      </c>
      <c r="Y209" s="642">
        <v>0</v>
      </c>
      <c r="Z209" s="642">
        <v>0</v>
      </c>
      <c r="AA209" s="642">
        <v>0</v>
      </c>
      <c r="AB209" s="642">
        <v>0</v>
      </c>
      <c r="AC209" s="642">
        <v>0</v>
      </c>
      <c r="AD209" s="642">
        <v>0</v>
      </c>
      <c r="AE209" s="642">
        <v>0</v>
      </c>
      <c r="AF209" s="642">
        <v>0</v>
      </c>
      <c r="AG209" s="642">
        <v>0</v>
      </c>
      <c r="AH209" s="642">
        <v>0</v>
      </c>
      <c r="AI209" s="642">
        <v>0</v>
      </c>
      <c r="AJ209" s="642">
        <v>0</v>
      </c>
      <c r="AK209" s="650">
        <v>3.4995545373397139</v>
      </c>
    </row>
    <row r="210" spans="3:37" ht="13.5">
      <c r="C210" s="648" t="s">
        <v>75</v>
      </c>
      <c r="D210" s="642">
        <v>11.109900156250001</v>
      </c>
      <c r="E210" s="642">
        <v>0</v>
      </c>
      <c r="F210" s="642">
        <v>17.0641175716937</v>
      </c>
      <c r="G210" s="642">
        <v>4.8692961376638904</v>
      </c>
      <c r="H210" s="642">
        <v>0</v>
      </c>
      <c r="I210" s="642">
        <v>0</v>
      </c>
      <c r="J210" s="642">
        <v>0</v>
      </c>
      <c r="K210" s="642">
        <v>0</v>
      </c>
      <c r="L210" s="642">
        <v>0</v>
      </c>
      <c r="M210" s="642">
        <v>9.9373390564569189E-2</v>
      </c>
      <c r="N210" s="642">
        <v>0</v>
      </c>
      <c r="O210" s="642">
        <v>0</v>
      </c>
      <c r="P210" s="642">
        <v>27.977940148174714</v>
      </c>
      <c r="Q210" s="642">
        <v>0</v>
      </c>
      <c r="R210" s="642">
        <v>0</v>
      </c>
      <c r="S210" s="650">
        <v>61.12062740434687</v>
      </c>
      <c r="U210" s="648" t="s">
        <v>75</v>
      </c>
      <c r="V210" s="642">
        <v>2.585423095703125</v>
      </c>
      <c r="W210" s="642">
        <v>0</v>
      </c>
      <c r="X210" s="642">
        <v>17.0641175716937</v>
      </c>
      <c r="Y210" s="642">
        <v>2.4843347641142297</v>
      </c>
      <c r="Z210" s="642">
        <v>0</v>
      </c>
      <c r="AA210" s="642">
        <v>0</v>
      </c>
      <c r="AB210" s="642">
        <v>0</v>
      </c>
      <c r="AC210" s="642">
        <v>0</v>
      </c>
      <c r="AD210" s="642">
        <v>0</v>
      </c>
      <c r="AE210" s="642">
        <v>2.4843347641142297</v>
      </c>
      <c r="AF210" s="642">
        <v>0</v>
      </c>
      <c r="AG210" s="642">
        <v>0</v>
      </c>
      <c r="AH210" s="642">
        <v>36.559985602720168</v>
      </c>
      <c r="AI210" s="642">
        <v>0</v>
      </c>
      <c r="AJ210" s="642">
        <v>0</v>
      </c>
      <c r="AK210" s="650">
        <v>61.178195798345449</v>
      </c>
    </row>
    <row r="211" spans="3:37" ht="13.5">
      <c r="C211" s="648" t="s">
        <v>76</v>
      </c>
      <c r="D211" s="642">
        <v>0</v>
      </c>
      <c r="E211" s="642">
        <v>0</v>
      </c>
      <c r="F211" s="642">
        <v>0</v>
      </c>
      <c r="G211" s="642">
        <v>3.7302503173667452</v>
      </c>
      <c r="H211" s="642">
        <v>0</v>
      </c>
      <c r="I211" s="642">
        <v>0</v>
      </c>
      <c r="J211" s="642">
        <v>0</v>
      </c>
      <c r="K211" s="642">
        <v>0</v>
      </c>
      <c r="L211" s="642">
        <v>0</v>
      </c>
      <c r="M211" s="642">
        <v>7.6127557497280507E-2</v>
      </c>
      <c r="N211" s="642">
        <v>0</v>
      </c>
      <c r="O211" s="642">
        <v>0</v>
      </c>
      <c r="P211" s="642">
        <v>45.919010237367587</v>
      </c>
      <c r="Q211" s="642">
        <v>2.9343505562312622</v>
      </c>
      <c r="R211" s="642">
        <v>0</v>
      </c>
      <c r="S211" s="650">
        <v>52.659738668462872</v>
      </c>
      <c r="U211" s="648" t="s">
        <v>76</v>
      </c>
      <c r="V211" s="642">
        <v>0</v>
      </c>
      <c r="W211" s="642">
        <v>0</v>
      </c>
      <c r="X211" s="642">
        <v>0</v>
      </c>
      <c r="Y211" s="642">
        <v>0.95944671778813329</v>
      </c>
      <c r="Z211" s="642">
        <v>0</v>
      </c>
      <c r="AA211" s="642">
        <v>0</v>
      </c>
      <c r="AB211" s="642">
        <v>0</v>
      </c>
      <c r="AC211" s="642">
        <v>0</v>
      </c>
      <c r="AD211" s="642">
        <v>0</v>
      </c>
      <c r="AE211" s="642">
        <v>0.95944671778813329</v>
      </c>
      <c r="AF211" s="642">
        <v>0</v>
      </c>
      <c r="AG211" s="642">
        <v>0</v>
      </c>
      <c r="AH211" s="642">
        <v>49.138117436745475</v>
      </c>
      <c r="AI211" s="642">
        <v>5.7424951548403769</v>
      </c>
      <c r="AJ211" s="642">
        <v>0</v>
      </c>
      <c r="AK211" s="650">
        <v>56.799506027162117</v>
      </c>
    </row>
    <row r="212" spans="3:37" ht="13.5">
      <c r="C212" s="646" t="s">
        <v>77</v>
      </c>
      <c r="D212" s="647">
        <v>42.505000484775252</v>
      </c>
      <c r="E212" s="647">
        <v>484.495467583368</v>
      </c>
      <c r="F212" s="647">
        <v>-449.13421563675462</v>
      </c>
      <c r="G212" s="647">
        <v>47.207234809306371</v>
      </c>
      <c r="H212" s="647">
        <v>843.18181818181824</v>
      </c>
      <c r="I212" s="647">
        <v>306.94588327561422</v>
      </c>
      <c r="J212" s="647">
        <v>75.087544766016393</v>
      </c>
      <c r="K212" s="647">
        <v>18.554763704158422</v>
      </c>
      <c r="L212" s="647">
        <v>-23.523971773378101</v>
      </c>
      <c r="M212" s="647">
        <v>-5.3154503193453246</v>
      </c>
      <c r="N212" s="647">
        <v>0</v>
      </c>
      <c r="O212" s="647">
        <v>9.1176200722123912</v>
      </c>
      <c r="P212" s="647">
        <v>-542.13274839202359</v>
      </c>
      <c r="Q212" s="647">
        <v>-34.870731395116664</v>
      </c>
      <c r="R212" s="647">
        <v>-5.7492063580491291</v>
      </c>
      <c r="S212" s="647">
        <v>766.36900900260184</v>
      </c>
      <c r="U212" s="646" t="s">
        <v>77</v>
      </c>
      <c r="V212" s="647">
        <v>4.6118455145895494</v>
      </c>
      <c r="W212" s="647">
        <v>189.94114801549574</v>
      </c>
      <c r="X212" s="647">
        <v>-164.75055368632826</v>
      </c>
      <c r="Y212" s="647">
        <v>14.771936460533603</v>
      </c>
      <c r="Z212" s="647">
        <v>842.12121212121212</v>
      </c>
      <c r="AA212" s="647">
        <v>361.66588327561419</v>
      </c>
      <c r="AB212" s="647">
        <v>138.19810981289308</v>
      </c>
      <c r="AC212" s="647">
        <v>31.958068806629939</v>
      </c>
      <c r="AD212" s="647">
        <v>-114.15604749086444</v>
      </c>
      <c r="AE212" s="647">
        <v>-66.000175998632287</v>
      </c>
      <c r="AF212" s="647">
        <v>0</v>
      </c>
      <c r="AG212" s="647">
        <v>19.568792039795159</v>
      </c>
      <c r="AH212" s="647">
        <v>-532.33908982989124</v>
      </c>
      <c r="AI212" s="647">
        <v>-68.301024235701377</v>
      </c>
      <c r="AJ212" s="647">
        <v>-31.04291921337316</v>
      </c>
      <c r="AK212" s="647">
        <v>626.24718559197242</v>
      </c>
    </row>
    <row r="213" spans="3:37" ht="13">
      <c r="C213" s="636"/>
      <c r="D213" s="636">
        <v>0</v>
      </c>
      <c r="E213" s="636">
        <v>0</v>
      </c>
      <c r="F213" s="636">
        <v>0</v>
      </c>
      <c r="G213" s="636">
        <v>0</v>
      </c>
      <c r="H213" s="636">
        <v>0</v>
      </c>
      <c r="I213" s="636">
        <v>0</v>
      </c>
      <c r="J213" s="636">
        <v>0</v>
      </c>
      <c r="K213" s="636">
        <v>0</v>
      </c>
      <c r="L213" s="636">
        <v>0</v>
      </c>
      <c r="M213" s="636">
        <v>0</v>
      </c>
      <c r="N213" s="636">
        <v>0</v>
      </c>
      <c r="O213" s="636">
        <v>0</v>
      </c>
      <c r="P213" s="636">
        <v>0</v>
      </c>
      <c r="Q213" s="636">
        <v>0</v>
      </c>
      <c r="R213" s="636">
        <v>0</v>
      </c>
      <c r="S213" s="636">
        <v>0</v>
      </c>
      <c r="U213" s="636"/>
      <c r="V213" s="636">
        <v>0</v>
      </c>
      <c r="W213" s="636">
        <v>0</v>
      </c>
      <c r="X213" s="636">
        <v>0</v>
      </c>
      <c r="Y213" s="636">
        <v>0</v>
      </c>
      <c r="Z213" s="636">
        <v>0</v>
      </c>
      <c r="AA213" s="636">
        <v>0</v>
      </c>
      <c r="AB213" s="636">
        <v>0</v>
      </c>
      <c r="AC213" s="636">
        <v>0</v>
      </c>
      <c r="AD213" s="636">
        <v>0</v>
      </c>
      <c r="AE213" s="636">
        <v>0</v>
      </c>
      <c r="AF213" s="636">
        <v>0</v>
      </c>
      <c r="AG213" s="636">
        <v>0</v>
      </c>
      <c r="AH213" s="636">
        <v>0</v>
      </c>
      <c r="AI213" s="636">
        <v>0</v>
      </c>
      <c r="AJ213" s="636">
        <v>0</v>
      </c>
      <c r="AK213" s="636">
        <v>0</v>
      </c>
    </row>
    <row r="214" spans="3:37" ht="13.5">
      <c r="C214" s="648" t="s">
        <v>78</v>
      </c>
      <c r="D214" s="642">
        <v>4.6398193944555786</v>
      </c>
      <c r="E214" s="642">
        <v>0</v>
      </c>
      <c r="F214" s="642">
        <v>20.598782441852151</v>
      </c>
      <c r="G214" s="642">
        <v>94.839699954986926</v>
      </c>
      <c r="H214" s="642">
        <v>0</v>
      </c>
      <c r="I214" s="642">
        <v>0</v>
      </c>
      <c r="J214" s="642">
        <v>21.821162214793436</v>
      </c>
      <c r="K214" s="642">
        <v>1.7366010173968038</v>
      </c>
      <c r="L214" s="642">
        <v>0.96096945898437491</v>
      </c>
      <c r="M214" s="642">
        <v>1.9539169420126139</v>
      </c>
      <c r="N214" s="642">
        <v>0</v>
      </c>
      <c r="O214" s="642">
        <v>3.7537634069694789E-4</v>
      </c>
      <c r="P214" s="642">
        <v>113.419965125608</v>
      </c>
      <c r="Q214" s="642">
        <v>16.150451210263412</v>
      </c>
      <c r="R214" s="642">
        <v>0.26695886230468752</v>
      </c>
      <c r="S214" s="650">
        <v>276.38870199899873</v>
      </c>
      <c r="U214" s="648" t="s">
        <v>78</v>
      </c>
      <c r="V214" s="642">
        <v>1.264986561669641</v>
      </c>
      <c r="W214" s="642">
        <v>0</v>
      </c>
      <c r="X214" s="642">
        <v>4.4259635061357878</v>
      </c>
      <c r="Y214" s="642">
        <v>33.008089674756327</v>
      </c>
      <c r="Z214" s="642">
        <v>0</v>
      </c>
      <c r="AA214" s="642">
        <v>0</v>
      </c>
      <c r="AB214" s="642">
        <v>14.926911405045434</v>
      </c>
      <c r="AC214" s="642">
        <v>4.7591564459641997</v>
      </c>
      <c r="AD214" s="642">
        <v>6.4130046386718744</v>
      </c>
      <c r="AE214" s="642">
        <v>33.02650253605492</v>
      </c>
      <c r="AF214" s="642">
        <v>0</v>
      </c>
      <c r="AG214" s="642">
        <v>3.7537634069694789E-4</v>
      </c>
      <c r="AH214" s="642">
        <v>148.98135712801343</v>
      </c>
      <c r="AI214" s="642">
        <v>24.187634778338289</v>
      </c>
      <c r="AJ214" s="642">
        <v>7.9027373046875002</v>
      </c>
      <c r="AK214" s="650">
        <v>278.8967193556781</v>
      </c>
    </row>
    <row r="215" spans="3:37" ht="13.5">
      <c r="C215" s="648" t="s">
        <v>79</v>
      </c>
      <c r="D215" s="642">
        <v>0</v>
      </c>
      <c r="E215" s="642">
        <v>0</v>
      </c>
      <c r="F215" s="642">
        <v>225.72324837131151</v>
      </c>
      <c r="G215" s="642">
        <v>31.930807664827714</v>
      </c>
      <c r="H215" s="642">
        <v>0</v>
      </c>
      <c r="I215" s="642">
        <v>0</v>
      </c>
      <c r="J215" s="642">
        <v>0</v>
      </c>
      <c r="K215" s="642">
        <v>0</v>
      </c>
      <c r="L215" s="642">
        <v>21.777356740546686</v>
      </c>
      <c r="M215" s="642">
        <v>0.65164913601689212</v>
      </c>
      <c r="N215" s="642">
        <v>0</v>
      </c>
      <c r="O215" s="642">
        <v>0</v>
      </c>
      <c r="P215" s="642">
        <v>72.885841088882287</v>
      </c>
      <c r="Q215" s="642">
        <v>0</v>
      </c>
      <c r="R215" s="642">
        <v>2.6521266956987635</v>
      </c>
      <c r="S215" s="650">
        <v>355.62102969728386</v>
      </c>
      <c r="U215" s="648" t="s">
        <v>79</v>
      </c>
      <c r="V215" s="642">
        <v>0</v>
      </c>
      <c r="W215" s="642">
        <v>0</v>
      </c>
      <c r="X215" s="642">
        <v>19.003305935487372</v>
      </c>
      <c r="Y215" s="642">
        <v>13.267062862305856</v>
      </c>
      <c r="Z215" s="642">
        <v>0</v>
      </c>
      <c r="AA215" s="642">
        <v>0</v>
      </c>
      <c r="AB215" s="642">
        <v>0</v>
      </c>
      <c r="AC215" s="642">
        <v>0</v>
      </c>
      <c r="AD215" s="642">
        <v>27.757428454399612</v>
      </c>
      <c r="AE215" s="642">
        <v>13.267062862305856</v>
      </c>
      <c r="AF215" s="642">
        <v>0</v>
      </c>
      <c r="AG215" s="642">
        <v>0</v>
      </c>
      <c r="AH215" s="642">
        <v>94.556676700547257</v>
      </c>
      <c r="AI215" s="642">
        <v>0</v>
      </c>
      <c r="AJ215" s="642">
        <v>6.3130917169295051</v>
      </c>
      <c r="AK215" s="650">
        <v>174.16462853197544</v>
      </c>
    </row>
    <row r="216" spans="3:37" ht="13.5">
      <c r="C216" s="648" t="s">
        <v>80</v>
      </c>
      <c r="D216" s="642">
        <v>0</v>
      </c>
      <c r="E216" s="642">
        <v>0</v>
      </c>
      <c r="F216" s="642">
        <v>11.075929176351762</v>
      </c>
      <c r="G216" s="642">
        <v>76.664751333295058</v>
      </c>
      <c r="H216" s="642">
        <v>0</v>
      </c>
      <c r="I216" s="642">
        <v>0</v>
      </c>
      <c r="J216" s="642">
        <v>88.320247059496523</v>
      </c>
      <c r="K216" s="642">
        <v>0</v>
      </c>
      <c r="L216" s="642">
        <v>0</v>
      </c>
      <c r="M216" s="642">
        <v>1.5645867619039808</v>
      </c>
      <c r="N216" s="642">
        <v>59.616390446150973</v>
      </c>
      <c r="O216" s="642">
        <v>2.0734984243972754</v>
      </c>
      <c r="P216" s="642">
        <v>190.93239321884863</v>
      </c>
      <c r="Q216" s="642">
        <v>15.360003531773184</v>
      </c>
      <c r="R216" s="642">
        <v>0</v>
      </c>
      <c r="S216" s="650">
        <v>445.60779995221742</v>
      </c>
      <c r="U216" s="648" t="s">
        <v>80</v>
      </c>
      <c r="V216" s="642">
        <v>0</v>
      </c>
      <c r="W216" s="642">
        <v>0</v>
      </c>
      <c r="X216" s="642">
        <v>0.97925934500211753</v>
      </c>
      <c r="Y216" s="642">
        <v>9.8253088649292142</v>
      </c>
      <c r="Z216" s="642">
        <v>0</v>
      </c>
      <c r="AA216" s="642">
        <v>0</v>
      </c>
      <c r="AB216" s="642">
        <v>50.204880630535357</v>
      </c>
      <c r="AC216" s="642">
        <v>0</v>
      </c>
      <c r="AD216" s="642">
        <v>0</v>
      </c>
      <c r="AE216" s="642">
        <v>9.8253088649292142</v>
      </c>
      <c r="AF216" s="642">
        <v>95.02342184325245</v>
      </c>
      <c r="AG216" s="642">
        <v>4.208312775429496</v>
      </c>
      <c r="AH216" s="642">
        <v>144.38732956018927</v>
      </c>
      <c r="AI216" s="642">
        <v>30.75075127630511</v>
      </c>
      <c r="AJ216" s="642">
        <v>0</v>
      </c>
      <c r="AK216" s="650">
        <v>345.20457316057224</v>
      </c>
    </row>
    <row r="217" spans="3:37" ht="13.5">
      <c r="C217" s="648" t="s">
        <v>81</v>
      </c>
      <c r="D217" s="642">
        <v>0</v>
      </c>
      <c r="E217" s="642">
        <v>0</v>
      </c>
      <c r="F217" s="642">
        <v>2.6743117433405894</v>
      </c>
      <c r="G217" s="642">
        <v>62.987223173923248</v>
      </c>
      <c r="H217" s="642">
        <v>0</v>
      </c>
      <c r="I217" s="642">
        <v>0</v>
      </c>
      <c r="J217" s="642">
        <v>3.1384766478070549</v>
      </c>
      <c r="K217" s="642">
        <v>2.5274117631643136E-2</v>
      </c>
      <c r="L217" s="642">
        <v>0</v>
      </c>
      <c r="M217" s="642">
        <v>1.2854535341616988</v>
      </c>
      <c r="N217" s="642">
        <v>8.34801759276524</v>
      </c>
      <c r="O217" s="642">
        <v>0.71507622546549865</v>
      </c>
      <c r="P217" s="642">
        <v>142.0321146826426</v>
      </c>
      <c r="Q217" s="642">
        <v>3.3602766530800707</v>
      </c>
      <c r="R217" s="642">
        <v>0</v>
      </c>
      <c r="S217" s="650">
        <v>224.56622437081765</v>
      </c>
      <c r="U217" s="648" t="s">
        <v>81</v>
      </c>
      <c r="V217" s="642">
        <v>0</v>
      </c>
      <c r="W217" s="642">
        <v>0</v>
      </c>
      <c r="X217" s="642">
        <v>1.2256055704751125</v>
      </c>
      <c r="Y217" s="642">
        <v>7.2918833253665882</v>
      </c>
      <c r="Z217" s="642">
        <v>0</v>
      </c>
      <c r="AA217" s="642">
        <v>0</v>
      </c>
      <c r="AB217" s="642">
        <v>6.8658928642747856</v>
      </c>
      <c r="AC217" s="642">
        <v>2.5274117631643136E-2</v>
      </c>
      <c r="AD217" s="642">
        <v>0</v>
      </c>
      <c r="AE217" s="642">
        <v>7.2918833253665882</v>
      </c>
      <c r="AF217" s="642">
        <v>14.828462979838848</v>
      </c>
      <c r="AG217" s="642">
        <v>1.5197231438340593</v>
      </c>
      <c r="AH217" s="642">
        <v>114.40426288608282</v>
      </c>
      <c r="AI217" s="642">
        <v>13.362638181057982</v>
      </c>
      <c r="AJ217" s="642">
        <v>0</v>
      </c>
      <c r="AK217" s="650">
        <v>166.8156263939284</v>
      </c>
    </row>
    <row r="218" spans="3:37" ht="13.5">
      <c r="C218" s="648" t="s">
        <v>82</v>
      </c>
      <c r="D218" s="642">
        <v>0</v>
      </c>
      <c r="E218" s="642">
        <v>0</v>
      </c>
      <c r="F218" s="642">
        <v>27.931723909553636</v>
      </c>
      <c r="G218" s="642">
        <v>0.95472649492283324</v>
      </c>
      <c r="H218" s="642">
        <v>0</v>
      </c>
      <c r="I218" s="642">
        <v>0</v>
      </c>
      <c r="J218" s="642">
        <v>4.6306119511950978</v>
      </c>
      <c r="K218" s="642">
        <v>0</v>
      </c>
      <c r="L218" s="642">
        <v>3.1934862443619529</v>
      </c>
      <c r="M218" s="642">
        <v>1.9484214182098638E-2</v>
      </c>
      <c r="N218" s="642">
        <v>0</v>
      </c>
      <c r="O218" s="642">
        <v>6.6456137421005312E-2</v>
      </c>
      <c r="P218" s="642">
        <v>5.7660712732306445</v>
      </c>
      <c r="Q218" s="642">
        <v>0</v>
      </c>
      <c r="R218" s="642">
        <v>0</v>
      </c>
      <c r="S218" s="650">
        <v>42.562560224867276</v>
      </c>
      <c r="U218" s="648" t="s">
        <v>82</v>
      </c>
      <c r="V218" s="642">
        <v>0</v>
      </c>
      <c r="W218" s="642">
        <v>0</v>
      </c>
      <c r="X218" s="642">
        <v>3.5775053425595864</v>
      </c>
      <c r="Y218" s="642">
        <v>0.56393102033742082</v>
      </c>
      <c r="Z218" s="642">
        <v>0</v>
      </c>
      <c r="AA218" s="642">
        <v>0</v>
      </c>
      <c r="AB218" s="642">
        <v>4.6306119511950978</v>
      </c>
      <c r="AC218" s="642">
        <v>0</v>
      </c>
      <c r="AD218" s="642">
        <v>32.861113305842508</v>
      </c>
      <c r="AE218" s="642">
        <v>0.56393102033742082</v>
      </c>
      <c r="AF218" s="642">
        <v>0</v>
      </c>
      <c r="AG218" s="642">
        <v>1.7440136932478227</v>
      </c>
      <c r="AH218" s="642">
        <v>5.8866318405152116</v>
      </c>
      <c r="AI218" s="642">
        <v>0</v>
      </c>
      <c r="AJ218" s="642">
        <v>0.38427420359697795</v>
      </c>
      <c r="AK218" s="650">
        <v>50.21201237763205</v>
      </c>
    </row>
    <row r="219" spans="3:37" ht="13.5">
      <c r="C219" s="648" t="s">
        <v>357</v>
      </c>
      <c r="D219" s="642">
        <v>0</v>
      </c>
      <c r="E219" s="642">
        <v>0</v>
      </c>
      <c r="F219" s="642">
        <v>0</v>
      </c>
      <c r="G219" s="642">
        <v>0</v>
      </c>
      <c r="H219" s="642">
        <v>0</v>
      </c>
      <c r="I219" s="642">
        <v>0</v>
      </c>
      <c r="J219" s="642">
        <v>0</v>
      </c>
      <c r="K219" s="642">
        <v>0</v>
      </c>
      <c r="L219" s="642">
        <v>0</v>
      </c>
      <c r="M219" s="642">
        <v>0</v>
      </c>
      <c r="N219" s="642">
        <v>0</v>
      </c>
      <c r="O219" s="642">
        <v>0</v>
      </c>
      <c r="P219" s="642">
        <v>0.39</v>
      </c>
      <c r="Q219" s="642">
        <v>0</v>
      </c>
      <c r="R219" s="642">
        <v>0</v>
      </c>
      <c r="S219" s="650">
        <v>0.39</v>
      </c>
      <c r="U219" s="648" t="s">
        <v>357</v>
      </c>
      <c r="V219" s="642">
        <v>0</v>
      </c>
      <c r="W219" s="642">
        <v>0</v>
      </c>
      <c r="X219" s="642">
        <v>0</v>
      </c>
      <c r="Y219" s="642">
        <v>0</v>
      </c>
      <c r="Z219" s="642">
        <v>0</v>
      </c>
      <c r="AA219" s="642">
        <v>0</v>
      </c>
      <c r="AB219" s="642">
        <v>0</v>
      </c>
      <c r="AC219" s="642">
        <v>0</v>
      </c>
      <c r="AD219" s="642">
        <v>0</v>
      </c>
      <c r="AE219" s="642">
        <v>0</v>
      </c>
      <c r="AF219" s="642">
        <v>0</v>
      </c>
      <c r="AG219" s="642">
        <v>0</v>
      </c>
      <c r="AH219" s="642">
        <v>3.5999999999999996</v>
      </c>
      <c r="AI219" s="642">
        <v>0</v>
      </c>
      <c r="AJ219" s="642">
        <v>0</v>
      </c>
      <c r="AK219" s="650">
        <v>3.5999999999999996</v>
      </c>
    </row>
    <row r="220" spans="3:37" ht="13.5">
      <c r="C220" s="646" t="s">
        <v>83</v>
      </c>
      <c r="D220" s="647">
        <v>4.6398193944555786</v>
      </c>
      <c r="E220" s="647">
        <v>0</v>
      </c>
      <c r="F220" s="647">
        <v>288.00399564240968</v>
      </c>
      <c r="G220" s="647">
        <v>267.37720862195579</v>
      </c>
      <c r="H220" s="647">
        <v>0</v>
      </c>
      <c r="I220" s="647">
        <v>0</v>
      </c>
      <c r="J220" s="647">
        <v>117.91049787329212</v>
      </c>
      <c r="K220" s="647">
        <v>1.7618751350284469</v>
      </c>
      <c r="L220" s="647">
        <v>25.931812443893016</v>
      </c>
      <c r="M220" s="647">
        <v>5.4750905882772853</v>
      </c>
      <c r="N220" s="647">
        <v>67.964408038916218</v>
      </c>
      <c r="O220" s="647">
        <v>2.8554061636244761</v>
      </c>
      <c r="P220" s="647">
        <v>525.4263853892121</v>
      </c>
      <c r="Q220" s="647">
        <v>34.870731395116664</v>
      </c>
      <c r="R220" s="647">
        <v>2.9190855580034509</v>
      </c>
      <c r="S220" s="647">
        <v>1345.1363162441851</v>
      </c>
      <c r="U220" s="646" t="s">
        <v>83</v>
      </c>
      <c r="V220" s="647">
        <v>1.264986561669641</v>
      </c>
      <c r="W220" s="647">
        <v>0</v>
      </c>
      <c r="X220" s="647">
        <v>29.211639699659976</v>
      </c>
      <c r="Y220" s="647">
        <v>63.956275747695408</v>
      </c>
      <c r="Z220" s="647">
        <v>0</v>
      </c>
      <c r="AA220" s="647">
        <v>0</v>
      </c>
      <c r="AB220" s="647">
        <v>76.628296851050663</v>
      </c>
      <c r="AC220" s="647">
        <v>4.7844305635958433</v>
      </c>
      <c r="AD220" s="647">
        <v>67.031546398914003</v>
      </c>
      <c r="AE220" s="647">
        <v>63.974688608994001</v>
      </c>
      <c r="AF220" s="647">
        <v>109.8518848230913</v>
      </c>
      <c r="AG220" s="647">
        <v>7.4724249888520751</v>
      </c>
      <c r="AH220" s="647">
        <v>511.81625811534803</v>
      </c>
      <c r="AI220" s="647">
        <v>68.301024235701377</v>
      </c>
      <c r="AJ220" s="647">
        <v>14.600103225213982</v>
      </c>
      <c r="AK220" s="647">
        <v>1018.8935598197862</v>
      </c>
    </row>
    <row r="221" spans="3:37" ht="13.5">
      <c r="C221" s="641" t="s">
        <v>84</v>
      </c>
      <c r="D221" s="642">
        <v>0</v>
      </c>
      <c r="E221" s="642">
        <v>0</v>
      </c>
      <c r="F221" s="642">
        <v>104.91003257681685</v>
      </c>
      <c r="G221" s="642">
        <v>11.505661507854215</v>
      </c>
      <c r="H221" s="642">
        <v>0</v>
      </c>
      <c r="I221" s="642">
        <v>0</v>
      </c>
      <c r="J221" s="642">
        <v>0</v>
      </c>
      <c r="K221" s="642">
        <v>0</v>
      </c>
      <c r="L221" s="642">
        <v>0</v>
      </c>
      <c r="M221" s="642">
        <v>0</v>
      </c>
      <c r="N221" s="642">
        <v>0</v>
      </c>
      <c r="O221" s="642">
        <v>0</v>
      </c>
      <c r="P221" s="642">
        <v>0</v>
      </c>
      <c r="Q221" s="642">
        <v>0</v>
      </c>
      <c r="R221" s="642">
        <v>2.8301208000456781</v>
      </c>
      <c r="S221" s="650">
        <v>119.24581488471674</v>
      </c>
      <c r="U221" s="641" t="s">
        <v>84</v>
      </c>
      <c r="V221" s="642">
        <v>0</v>
      </c>
      <c r="W221" s="642">
        <v>0</v>
      </c>
      <c r="X221" s="642">
        <v>70.401025384734808</v>
      </c>
      <c r="Y221" s="642">
        <v>0.81519182748409058</v>
      </c>
      <c r="Z221" s="642">
        <v>0</v>
      </c>
      <c r="AA221" s="642">
        <v>0</v>
      </c>
      <c r="AB221" s="642">
        <v>0</v>
      </c>
      <c r="AC221" s="642">
        <v>0</v>
      </c>
      <c r="AD221" s="642">
        <v>24.563190847778323</v>
      </c>
      <c r="AE221" s="642">
        <v>0</v>
      </c>
      <c r="AF221" s="642">
        <v>0</v>
      </c>
      <c r="AG221" s="642">
        <v>0</v>
      </c>
      <c r="AH221" s="642">
        <v>0</v>
      </c>
      <c r="AI221" s="642">
        <v>0</v>
      </c>
      <c r="AJ221" s="642">
        <v>16.442815988159179</v>
      </c>
      <c r="AK221" s="650">
        <v>112.22222404815641</v>
      </c>
    </row>
    <row r="222" spans="3:37" ht="13.5">
      <c r="C222" s="646" t="s">
        <v>85</v>
      </c>
      <c r="D222" s="647">
        <v>4.6398193944555786</v>
      </c>
      <c r="E222" s="647">
        <v>0</v>
      </c>
      <c r="F222" s="647">
        <v>392.91402821922651</v>
      </c>
      <c r="G222" s="647">
        <v>278.88287012980999</v>
      </c>
      <c r="H222" s="647">
        <v>0</v>
      </c>
      <c r="I222" s="647">
        <v>0</v>
      </c>
      <c r="J222" s="647">
        <v>117.91049787329212</v>
      </c>
      <c r="K222" s="647">
        <v>1.7618751350284469</v>
      </c>
      <c r="L222" s="647">
        <v>25.931812443893016</v>
      </c>
      <c r="M222" s="647">
        <v>5.4750905882772853</v>
      </c>
      <c r="N222" s="647">
        <v>67.964408038916218</v>
      </c>
      <c r="O222" s="647">
        <v>2.8554061636244761</v>
      </c>
      <c r="P222" s="647">
        <v>525.4263853892121</v>
      </c>
      <c r="Q222" s="647">
        <v>34.870731395116664</v>
      </c>
      <c r="R222" s="647">
        <v>5.7492063580491291</v>
      </c>
      <c r="S222" s="647">
        <v>1464.3821311289018</v>
      </c>
      <c r="U222" s="646" t="s">
        <v>85</v>
      </c>
      <c r="V222" s="647">
        <v>1.264986561669641</v>
      </c>
      <c r="W222" s="647">
        <v>0</v>
      </c>
      <c r="X222" s="647">
        <v>99.612665084394791</v>
      </c>
      <c r="Y222" s="647">
        <v>64.7714675751795</v>
      </c>
      <c r="Z222" s="647">
        <v>0</v>
      </c>
      <c r="AA222" s="647">
        <v>0</v>
      </c>
      <c r="AB222" s="647">
        <v>76.628296851050663</v>
      </c>
      <c r="AC222" s="647">
        <v>4.7844305635958433</v>
      </c>
      <c r="AD222" s="647">
        <v>91.594737246692318</v>
      </c>
      <c r="AE222" s="647">
        <v>63.974688608994001</v>
      </c>
      <c r="AF222" s="647">
        <v>109.8518848230913</v>
      </c>
      <c r="AG222" s="647">
        <v>7.4724249888520751</v>
      </c>
      <c r="AH222" s="647">
        <v>511.81625811534803</v>
      </c>
      <c r="AI222" s="647">
        <v>68.301024235701377</v>
      </c>
      <c r="AJ222" s="647">
        <v>31.04291921337316</v>
      </c>
      <c r="AK222" s="647">
        <v>1131.1157838679426</v>
      </c>
    </row>
    <row r="223" spans="3:37" ht="13">
      <c r="C223" s="636"/>
      <c r="D223" s="636"/>
      <c r="E223" s="636"/>
      <c r="F223" s="636"/>
      <c r="G223" s="636"/>
      <c r="H223" s="636"/>
      <c r="I223" s="636"/>
      <c r="J223" s="636"/>
      <c r="K223" s="636"/>
      <c r="L223" s="636"/>
      <c r="M223" s="636"/>
      <c r="N223" s="636"/>
      <c r="O223" s="636"/>
      <c r="P223" s="636"/>
      <c r="Q223" s="636"/>
      <c r="R223" s="636"/>
      <c r="S223" s="636"/>
      <c r="U223" s="636"/>
      <c r="V223" s="636"/>
      <c r="W223" s="636"/>
      <c r="X223" s="636"/>
      <c r="Y223" s="636"/>
      <c r="Z223" s="636"/>
      <c r="AA223" s="636"/>
      <c r="AB223" s="636"/>
      <c r="AC223" s="636"/>
      <c r="AD223" s="636"/>
      <c r="AE223" s="636"/>
      <c r="AF223" s="636"/>
      <c r="AG223" s="636"/>
      <c r="AH223" s="636"/>
      <c r="AI223" s="636"/>
      <c r="AJ223" s="636"/>
      <c r="AK223" s="636"/>
    </row>
    <row r="224" spans="3:37" ht="22.5">
      <c r="C224" s="699" t="s">
        <v>89</v>
      </c>
      <c r="D224" s="699"/>
      <c r="E224" s="699"/>
      <c r="F224" s="699"/>
      <c r="G224" s="699"/>
      <c r="H224" s="699"/>
      <c r="I224" s="699"/>
      <c r="J224" s="699"/>
      <c r="K224" s="699"/>
      <c r="L224" s="699"/>
      <c r="M224" s="699"/>
      <c r="N224" s="699"/>
      <c r="O224" s="699"/>
      <c r="P224" s="699"/>
      <c r="Q224" s="699"/>
      <c r="R224" s="699"/>
      <c r="S224" s="699"/>
      <c r="U224" s="699" t="s">
        <v>89</v>
      </c>
      <c r="V224" s="699"/>
      <c r="W224" s="699"/>
      <c r="X224" s="699"/>
      <c r="Y224" s="699"/>
      <c r="Z224" s="699"/>
      <c r="AA224" s="699"/>
      <c r="AB224" s="699"/>
      <c r="AC224" s="699"/>
      <c r="AD224" s="699"/>
      <c r="AE224" s="699"/>
      <c r="AF224" s="699"/>
      <c r="AG224" s="699"/>
      <c r="AH224" s="699"/>
      <c r="AI224" s="699"/>
      <c r="AJ224" s="699"/>
      <c r="AK224" s="699"/>
    </row>
    <row r="225" spans="3:37" ht="13">
      <c r="C225" s="636"/>
      <c r="D225" s="636"/>
      <c r="E225" s="636"/>
      <c r="F225" s="636"/>
      <c r="G225" s="636"/>
      <c r="H225" s="636"/>
      <c r="I225" s="636"/>
      <c r="J225" s="636"/>
      <c r="K225" s="636"/>
      <c r="L225" s="636"/>
      <c r="M225" s="636"/>
      <c r="N225" s="636"/>
      <c r="O225" s="636"/>
      <c r="P225" s="636"/>
      <c r="Q225" s="636"/>
      <c r="R225" s="636"/>
      <c r="S225" s="636"/>
      <c r="U225" s="636"/>
      <c r="V225" s="636"/>
      <c r="W225" s="636"/>
      <c r="X225" s="636"/>
      <c r="Y225" s="636"/>
      <c r="Z225" s="636"/>
      <c r="AA225" s="636"/>
      <c r="AB225" s="636"/>
      <c r="AC225" s="636"/>
      <c r="AD225" s="636"/>
      <c r="AE225" s="636"/>
      <c r="AF225" s="636"/>
      <c r="AG225" s="636"/>
      <c r="AH225" s="636"/>
      <c r="AI225" s="636"/>
      <c r="AJ225" s="636"/>
      <c r="AK225" s="636"/>
    </row>
    <row r="226" spans="3:37" ht="13" customHeight="1">
      <c r="C226" s="700" t="s">
        <v>128</v>
      </c>
      <c r="D226" s="701" t="s">
        <v>42</v>
      </c>
      <c r="E226" s="701" t="s">
        <v>52</v>
      </c>
      <c r="F226" s="701" t="s">
        <v>53</v>
      </c>
      <c r="G226" s="701" t="s">
        <v>32</v>
      </c>
      <c r="H226" s="701" t="s">
        <v>20</v>
      </c>
      <c r="I226" s="701" t="s">
        <v>55</v>
      </c>
      <c r="J226" s="701" t="s">
        <v>56</v>
      </c>
      <c r="K226" s="701"/>
      <c r="L226" s="701"/>
      <c r="M226" s="701"/>
      <c r="N226" s="701"/>
      <c r="O226" s="701"/>
      <c r="P226" s="701" t="s">
        <v>57</v>
      </c>
      <c r="Q226" s="701" t="s">
        <v>58</v>
      </c>
      <c r="R226" s="701" t="s">
        <v>31</v>
      </c>
      <c r="S226" s="701" t="s">
        <v>10</v>
      </c>
      <c r="U226" s="700" t="s">
        <v>128</v>
      </c>
      <c r="V226" s="701" t="s">
        <v>42</v>
      </c>
      <c r="W226" s="701" t="s">
        <v>52</v>
      </c>
      <c r="X226" s="701" t="s">
        <v>53</v>
      </c>
      <c r="Y226" s="701" t="s">
        <v>32</v>
      </c>
      <c r="Z226" s="701" t="s">
        <v>20</v>
      </c>
      <c r="AA226" s="701" t="s">
        <v>55</v>
      </c>
      <c r="AB226" s="701" t="s">
        <v>56</v>
      </c>
      <c r="AC226" s="701"/>
      <c r="AD226" s="701"/>
      <c r="AE226" s="701"/>
      <c r="AF226" s="701"/>
      <c r="AG226" s="701"/>
      <c r="AH226" s="701" t="s">
        <v>57</v>
      </c>
      <c r="AI226" s="701" t="s">
        <v>58</v>
      </c>
      <c r="AJ226" s="701" t="s">
        <v>31</v>
      </c>
      <c r="AK226" s="701" t="s">
        <v>10</v>
      </c>
    </row>
    <row r="227" spans="3:37" ht="46">
      <c r="C227" s="700"/>
      <c r="D227" s="701"/>
      <c r="E227" s="701"/>
      <c r="F227" s="701"/>
      <c r="G227" s="701"/>
      <c r="H227" s="701"/>
      <c r="I227" s="701"/>
      <c r="J227" s="640" t="s">
        <v>338</v>
      </c>
      <c r="K227" s="640" t="s">
        <v>40</v>
      </c>
      <c r="L227" s="640" t="s">
        <v>346</v>
      </c>
      <c r="M227" s="640" t="s">
        <v>347</v>
      </c>
      <c r="N227" s="640" t="s">
        <v>348</v>
      </c>
      <c r="O227" s="640" t="s">
        <v>349</v>
      </c>
      <c r="P227" s="701"/>
      <c r="Q227" s="701"/>
      <c r="R227" s="701"/>
      <c r="S227" s="701"/>
      <c r="U227" s="700"/>
      <c r="V227" s="701"/>
      <c r="W227" s="701"/>
      <c r="X227" s="701"/>
      <c r="Y227" s="701"/>
      <c r="Z227" s="701"/>
      <c r="AA227" s="701"/>
      <c r="AB227" s="640" t="s">
        <v>338</v>
      </c>
      <c r="AC227" s="640" t="s">
        <v>40</v>
      </c>
      <c r="AD227" s="640" t="s">
        <v>346</v>
      </c>
      <c r="AE227" s="640" t="s">
        <v>347</v>
      </c>
      <c r="AF227" s="640" t="s">
        <v>348</v>
      </c>
      <c r="AG227" s="640" t="s">
        <v>349</v>
      </c>
      <c r="AH227" s="701"/>
      <c r="AI227" s="701"/>
      <c r="AJ227" s="701"/>
      <c r="AK227" s="701"/>
    </row>
    <row r="228" spans="3:37" ht="13.5">
      <c r="C228" s="641" t="s">
        <v>59</v>
      </c>
      <c r="D228" s="642">
        <v>0</v>
      </c>
      <c r="E228" s="643">
        <v>0</v>
      </c>
      <c r="F228" s="643">
        <v>0</v>
      </c>
      <c r="G228" s="642">
        <v>0</v>
      </c>
      <c r="H228" s="643">
        <v>727.27272727272737</v>
      </c>
      <c r="I228" s="643">
        <v>338.37995078139568</v>
      </c>
      <c r="J228" s="643">
        <v>185.12606679296266</v>
      </c>
      <c r="K228" s="643">
        <v>19.887492227897642</v>
      </c>
      <c r="L228" s="643">
        <v>0.67629573379861951</v>
      </c>
      <c r="M228" s="643">
        <v>0.16041590589481752</v>
      </c>
      <c r="N228" s="643">
        <v>75.083762899489528</v>
      </c>
      <c r="O228" s="643">
        <v>12.515766779598991</v>
      </c>
      <c r="P228" s="644">
        <v>0</v>
      </c>
      <c r="Q228" s="643">
        <v>0</v>
      </c>
      <c r="R228" s="643">
        <v>0</v>
      </c>
      <c r="S228" s="645">
        <v>1359.1024783937653</v>
      </c>
      <c r="U228" s="641" t="s">
        <v>59</v>
      </c>
      <c r="V228" s="642">
        <v>0</v>
      </c>
      <c r="W228" s="643">
        <v>0</v>
      </c>
      <c r="X228" s="643">
        <v>0</v>
      </c>
      <c r="Y228" s="642">
        <v>0</v>
      </c>
      <c r="Z228" s="643">
        <v>764.84848484848499</v>
      </c>
      <c r="AA228" s="643">
        <v>423.19995078139567</v>
      </c>
      <c r="AB228" s="643">
        <v>256.09062969225096</v>
      </c>
      <c r="AC228" s="643">
        <v>36.108430969743218</v>
      </c>
      <c r="AD228" s="643">
        <v>0.67629573379861951</v>
      </c>
      <c r="AE228" s="643">
        <v>0.16041590589481752</v>
      </c>
      <c r="AF228" s="643">
        <v>123.16818516374138</v>
      </c>
      <c r="AG228" s="643">
        <v>30.250193334526926</v>
      </c>
      <c r="AH228" s="644">
        <v>0</v>
      </c>
      <c r="AI228" s="643">
        <v>0</v>
      </c>
      <c r="AJ228" s="643">
        <v>0</v>
      </c>
      <c r="AK228" s="645">
        <v>1634.5025864298366</v>
      </c>
    </row>
    <row r="229" spans="3:37" ht="13.5">
      <c r="C229" s="641" t="s">
        <v>60</v>
      </c>
      <c r="D229" s="642">
        <v>46.099891323621534</v>
      </c>
      <c r="E229" s="643">
        <v>464.7986487</v>
      </c>
      <c r="F229" s="643">
        <v>48.534128715927544</v>
      </c>
      <c r="G229" s="642">
        <v>345.55093723566335</v>
      </c>
      <c r="H229" s="643">
        <v>0</v>
      </c>
      <c r="I229" s="643">
        <v>0</v>
      </c>
      <c r="J229" s="643">
        <v>5.7213435879484642</v>
      </c>
      <c r="K229" s="643">
        <v>0</v>
      </c>
      <c r="L229" s="643">
        <v>3.0565993326094723</v>
      </c>
      <c r="M229" s="643">
        <v>0</v>
      </c>
      <c r="N229" s="643">
        <v>0</v>
      </c>
      <c r="O229" s="643">
        <v>0</v>
      </c>
      <c r="P229" s="644">
        <v>0</v>
      </c>
      <c r="Q229" s="643">
        <v>0</v>
      </c>
      <c r="R229" s="643">
        <v>0</v>
      </c>
      <c r="S229" s="645">
        <v>913.76154889577037</v>
      </c>
      <c r="U229" s="641" t="s">
        <v>60</v>
      </c>
      <c r="V229" s="642">
        <v>4.5871215860372576</v>
      </c>
      <c r="W229" s="643">
        <v>113.59926767676768</v>
      </c>
      <c r="X229" s="643">
        <v>20.138935454909394</v>
      </c>
      <c r="Y229" s="642">
        <v>0.51452681198611927</v>
      </c>
      <c r="Z229" s="643">
        <v>0</v>
      </c>
      <c r="AA229" s="643">
        <v>0</v>
      </c>
      <c r="AB229" s="643">
        <v>5.7213435879484642</v>
      </c>
      <c r="AC229" s="643">
        <v>0</v>
      </c>
      <c r="AD229" s="643">
        <v>3.0565993326094723</v>
      </c>
      <c r="AE229" s="643">
        <v>0</v>
      </c>
      <c r="AF229" s="643">
        <v>0</v>
      </c>
      <c r="AG229" s="643">
        <v>0</v>
      </c>
      <c r="AH229" s="644">
        <v>0</v>
      </c>
      <c r="AI229" s="643">
        <v>0</v>
      </c>
      <c r="AJ229" s="643">
        <v>0</v>
      </c>
      <c r="AK229" s="645">
        <v>147.6177944502584</v>
      </c>
    </row>
    <row r="230" spans="3:37" ht="13.5">
      <c r="C230" s="641" t="s">
        <v>61</v>
      </c>
      <c r="D230" s="642">
        <v>0</v>
      </c>
      <c r="E230" s="643">
        <v>0</v>
      </c>
      <c r="F230" s="643">
        <v>0</v>
      </c>
      <c r="G230" s="642">
        <v>0</v>
      </c>
      <c r="H230" s="643">
        <v>0</v>
      </c>
      <c r="I230" s="643">
        <v>0</v>
      </c>
      <c r="J230" s="643">
        <v>0</v>
      </c>
      <c r="K230" s="643">
        <v>0</v>
      </c>
      <c r="L230" s="643">
        <v>0</v>
      </c>
      <c r="M230" s="643">
        <v>0</v>
      </c>
      <c r="N230" s="643">
        <v>0</v>
      </c>
      <c r="O230" s="643">
        <v>0</v>
      </c>
      <c r="P230" s="644">
        <v>-12.7985093299136</v>
      </c>
      <c r="Q230" s="643">
        <v>0</v>
      </c>
      <c r="R230" s="643">
        <v>0</v>
      </c>
      <c r="S230" s="645">
        <v>-12.7985093299136</v>
      </c>
      <c r="U230" s="641" t="s">
        <v>61</v>
      </c>
      <c r="V230" s="642">
        <v>0</v>
      </c>
      <c r="W230" s="643">
        <v>0</v>
      </c>
      <c r="X230" s="643">
        <v>0</v>
      </c>
      <c r="Y230" s="642">
        <v>0</v>
      </c>
      <c r="Z230" s="643">
        <v>0</v>
      </c>
      <c r="AA230" s="643">
        <v>0</v>
      </c>
      <c r="AB230" s="643">
        <v>0</v>
      </c>
      <c r="AC230" s="643">
        <v>0</v>
      </c>
      <c r="AD230" s="643">
        <v>0</v>
      </c>
      <c r="AE230" s="643">
        <v>0</v>
      </c>
      <c r="AF230" s="643">
        <v>0</v>
      </c>
      <c r="AG230" s="643">
        <v>0</v>
      </c>
      <c r="AH230" s="644">
        <v>-41.639986107117011</v>
      </c>
      <c r="AI230" s="643">
        <v>0</v>
      </c>
      <c r="AJ230" s="643">
        <v>0</v>
      </c>
      <c r="AK230" s="645">
        <v>-41.639986107117011</v>
      </c>
    </row>
    <row r="231" spans="3:37" ht="13.5">
      <c r="C231" s="641" t="s">
        <v>62</v>
      </c>
      <c r="D231" s="642">
        <v>0</v>
      </c>
      <c r="E231" s="643">
        <v>0</v>
      </c>
      <c r="F231" s="643">
        <v>-14.431507774067331</v>
      </c>
      <c r="G231" s="642">
        <v>0</v>
      </c>
      <c r="H231" s="643">
        <v>0</v>
      </c>
      <c r="I231" s="643">
        <v>0</v>
      </c>
      <c r="J231" s="643">
        <v>0</v>
      </c>
      <c r="K231" s="643">
        <v>0</v>
      </c>
      <c r="L231" s="643">
        <v>0</v>
      </c>
      <c r="M231" s="643">
        <v>0</v>
      </c>
      <c r="N231" s="643">
        <v>0</v>
      </c>
      <c r="O231" s="643">
        <v>0</v>
      </c>
      <c r="P231" s="644">
        <v>0</v>
      </c>
      <c r="Q231" s="643">
        <v>0</v>
      </c>
      <c r="R231" s="643">
        <v>0</v>
      </c>
      <c r="S231" s="645">
        <v>-14.431507774067331</v>
      </c>
      <c r="U231" s="641" t="s">
        <v>62</v>
      </c>
      <c r="V231" s="642">
        <v>0</v>
      </c>
      <c r="W231" s="643">
        <v>0</v>
      </c>
      <c r="X231" s="643">
        <v>-5.3013702027186111</v>
      </c>
      <c r="Y231" s="642">
        <v>0</v>
      </c>
      <c r="Z231" s="643">
        <v>0</v>
      </c>
      <c r="AA231" s="643">
        <v>0</v>
      </c>
      <c r="AB231" s="643">
        <v>0</v>
      </c>
      <c r="AC231" s="643">
        <v>0</v>
      </c>
      <c r="AD231" s="643">
        <v>0</v>
      </c>
      <c r="AE231" s="643">
        <v>-5.1137296191648005</v>
      </c>
      <c r="AF231" s="643">
        <v>0</v>
      </c>
      <c r="AG231" s="643">
        <v>0</v>
      </c>
      <c r="AH231" s="644">
        <v>0</v>
      </c>
      <c r="AI231" s="643">
        <v>0</v>
      </c>
      <c r="AJ231" s="643">
        <v>0</v>
      </c>
      <c r="AK231" s="645">
        <v>-10.415099821883413</v>
      </c>
    </row>
    <row r="232" spans="3:37" ht="13.5">
      <c r="C232" s="641" t="s">
        <v>63</v>
      </c>
      <c r="D232" s="642">
        <v>0</v>
      </c>
      <c r="E232" s="643">
        <v>0</v>
      </c>
      <c r="F232" s="643">
        <v>-93.443844381495637</v>
      </c>
      <c r="G232" s="642">
        <v>0</v>
      </c>
      <c r="H232" s="643">
        <v>0</v>
      </c>
      <c r="I232" s="643">
        <v>0</v>
      </c>
      <c r="J232" s="643">
        <v>0</v>
      </c>
      <c r="K232" s="643">
        <v>0</v>
      </c>
      <c r="L232" s="643">
        <v>-0.96889726774865159</v>
      </c>
      <c r="M232" s="643">
        <v>0</v>
      </c>
      <c r="N232" s="643">
        <v>0</v>
      </c>
      <c r="O232" s="643">
        <v>0</v>
      </c>
      <c r="P232" s="644">
        <v>0</v>
      </c>
      <c r="Q232" s="643">
        <v>0</v>
      </c>
      <c r="R232" s="643">
        <v>0</v>
      </c>
      <c r="S232" s="645">
        <v>-94.412741649244282</v>
      </c>
      <c r="U232" s="641" t="s">
        <v>63</v>
      </c>
      <c r="V232" s="642">
        <v>0</v>
      </c>
      <c r="W232" s="643">
        <v>0</v>
      </c>
      <c r="X232" s="643">
        <v>-35.841594545498886</v>
      </c>
      <c r="Y232" s="642">
        <v>0</v>
      </c>
      <c r="Z232" s="643">
        <v>0</v>
      </c>
      <c r="AA232" s="643">
        <v>0</v>
      </c>
      <c r="AB232" s="643">
        <v>0</v>
      </c>
      <c r="AC232" s="643">
        <v>0</v>
      </c>
      <c r="AD232" s="643">
        <v>-46.567340427053182</v>
      </c>
      <c r="AE232" s="643">
        <v>0</v>
      </c>
      <c r="AF232" s="643">
        <v>0</v>
      </c>
      <c r="AG232" s="643">
        <v>0</v>
      </c>
      <c r="AH232" s="644">
        <v>0</v>
      </c>
      <c r="AI232" s="643">
        <v>0</v>
      </c>
      <c r="AJ232" s="643">
        <v>0</v>
      </c>
      <c r="AK232" s="645">
        <v>-82.408934972552061</v>
      </c>
    </row>
    <row r="233" spans="3:37" ht="13.5">
      <c r="C233" s="641" t="s">
        <v>64</v>
      </c>
      <c r="D233" s="642">
        <v>0</v>
      </c>
      <c r="E233" s="643">
        <v>0</v>
      </c>
      <c r="F233" s="643">
        <v>0</v>
      </c>
      <c r="G233" s="642">
        <v>0</v>
      </c>
      <c r="H233" s="643">
        <v>0</v>
      </c>
      <c r="I233" s="643">
        <v>0</v>
      </c>
      <c r="J233" s="643">
        <v>0</v>
      </c>
      <c r="K233" s="643">
        <v>0</v>
      </c>
      <c r="L233" s="643">
        <v>0</v>
      </c>
      <c r="M233" s="643">
        <v>0</v>
      </c>
      <c r="N233" s="643">
        <v>0</v>
      </c>
      <c r="O233" s="643">
        <v>0</v>
      </c>
      <c r="P233" s="644">
        <v>0</v>
      </c>
      <c r="Q233" s="643">
        <v>0</v>
      </c>
      <c r="R233" s="643">
        <v>0</v>
      </c>
      <c r="S233" s="645">
        <v>0</v>
      </c>
      <c r="U233" s="641" t="s">
        <v>64</v>
      </c>
      <c r="V233" s="642">
        <v>0</v>
      </c>
      <c r="W233" s="643">
        <v>0</v>
      </c>
      <c r="X233" s="643">
        <v>0</v>
      </c>
      <c r="Y233" s="642">
        <v>0</v>
      </c>
      <c r="Z233" s="643">
        <v>0</v>
      </c>
      <c r="AA233" s="643">
        <v>0</v>
      </c>
      <c r="AB233" s="643">
        <v>0</v>
      </c>
      <c r="AC233" s="643">
        <v>0</v>
      </c>
      <c r="AD233" s="643">
        <v>0</v>
      </c>
      <c r="AE233" s="643">
        <v>0</v>
      </c>
      <c r="AF233" s="643">
        <v>0</v>
      </c>
      <c r="AG233" s="643">
        <v>0</v>
      </c>
      <c r="AH233" s="644">
        <v>0</v>
      </c>
      <c r="AI233" s="643">
        <v>0</v>
      </c>
      <c r="AJ233" s="643">
        <v>0</v>
      </c>
      <c r="AK233" s="645">
        <v>0</v>
      </c>
    </row>
    <row r="234" spans="3:37" ht="13.5">
      <c r="C234" s="646" t="s">
        <v>65</v>
      </c>
      <c r="D234" s="647">
        <v>46.099891323621534</v>
      </c>
      <c r="E234" s="647">
        <v>464.7986487</v>
      </c>
      <c r="F234" s="647">
        <v>-59.341223439635421</v>
      </c>
      <c r="G234" s="647">
        <v>345.55093723566335</v>
      </c>
      <c r="H234" s="647">
        <v>727.27272727272737</v>
      </c>
      <c r="I234" s="647">
        <v>338.37995078139568</v>
      </c>
      <c r="J234" s="647">
        <v>190.84741038091113</v>
      </c>
      <c r="K234" s="647">
        <v>19.887492227897642</v>
      </c>
      <c r="L234" s="647">
        <v>2.7639977986594397</v>
      </c>
      <c r="M234" s="647">
        <v>0.16041590589481752</v>
      </c>
      <c r="N234" s="647">
        <v>75.083762899489528</v>
      </c>
      <c r="O234" s="647">
        <v>12.515766779598991</v>
      </c>
      <c r="P234" s="647">
        <v>-12.7985093299136</v>
      </c>
      <c r="Q234" s="647">
        <v>0</v>
      </c>
      <c r="R234" s="647">
        <v>0</v>
      </c>
      <c r="S234" s="647">
        <v>2151.2212685363102</v>
      </c>
      <c r="U234" s="646" t="s">
        <v>65</v>
      </c>
      <c r="V234" s="647">
        <v>4.5871215860372576</v>
      </c>
      <c r="W234" s="647">
        <v>113.59926767676768</v>
      </c>
      <c r="X234" s="647">
        <v>-21.004029293308101</v>
      </c>
      <c r="Y234" s="647">
        <v>0.51452681198611927</v>
      </c>
      <c r="Z234" s="647">
        <v>764.84848484848499</v>
      </c>
      <c r="AA234" s="647">
        <v>423.19995078139567</v>
      </c>
      <c r="AB234" s="647">
        <v>261.81197328019942</v>
      </c>
      <c r="AC234" s="647">
        <v>36.108430969743218</v>
      </c>
      <c r="AD234" s="647">
        <v>-42.834445360645091</v>
      </c>
      <c r="AE234" s="647">
        <v>-4.9533137132699832</v>
      </c>
      <c r="AF234" s="647">
        <v>123.16818516374138</v>
      </c>
      <c r="AG234" s="647">
        <v>30.250193334526926</v>
      </c>
      <c r="AH234" s="647">
        <v>-41.639986107117011</v>
      </c>
      <c r="AI234" s="647">
        <v>0</v>
      </c>
      <c r="AJ234" s="647">
        <v>0</v>
      </c>
      <c r="AK234" s="647">
        <v>1647.6563599785427</v>
      </c>
    </row>
    <row r="235" spans="3:37" ht="13">
      <c r="C235" s="636"/>
      <c r="D235" s="636">
        <v>0</v>
      </c>
      <c r="E235" s="636">
        <v>0</v>
      </c>
      <c r="F235" s="636">
        <v>0</v>
      </c>
      <c r="G235" s="636">
        <v>0</v>
      </c>
      <c r="H235" s="636">
        <v>0</v>
      </c>
      <c r="I235" s="636">
        <v>0</v>
      </c>
      <c r="J235" s="636">
        <v>0</v>
      </c>
      <c r="K235" s="636">
        <v>0</v>
      </c>
      <c r="L235" s="636">
        <v>0</v>
      </c>
      <c r="M235" s="636">
        <v>0</v>
      </c>
      <c r="N235" s="636">
        <v>0</v>
      </c>
      <c r="O235" s="636">
        <v>0</v>
      </c>
      <c r="P235" s="636">
        <v>0</v>
      </c>
      <c r="Q235" s="636">
        <v>0</v>
      </c>
      <c r="R235" s="636">
        <v>0</v>
      </c>
      <c r="S235" s="636">
        <v>0</v>
      </c>
      <c r="U235" s="636"/>
      <c r="V235" s="636">
        <v>0</v>
      </c>
      <c r="W235" s="636">
        <v>0</v>
      </c>
      <c r="X235" s="636">
        <v>0</v>
      </c>
      <c r="Y235" s="636">
        <v>0</v>
      </c>
      <c r="Z235" s="636">
        <v>0</v>
      </c>
      <c r="AA235" s="636">
        <v>0</v>
      </c>
      <c r="AB235" s="636">
        <v>0</v>
      </c>
      <c r="AC235" s="636">
        <v>0</v>
      </c>
      <c r="AD235" s="636">
        <v>0</v>
      </c>
      <c r="AE235" s="636">
        <v>0</v>
      </c>
      <c r="AF235" s="636">
        <v>0</v>
      </c>
      <c r="AG235" s="636">
        <v>0</v>
      </c>
      <c r="AH235" s="636">
        <v>0</v>
      </c>
      <c r="AI235" s="636">
        <v>0</v>
      </c>
      <c r="AJ235" s="636">
        <v>0</v>
      </c>
      <c r="AK235" s="636">
        <v>0</v>
      </c>
    </row>
    <row r="236" spans="3:37" ht="13.5">
      <c r="C236" s="648" t="s">
        <v>67</v>
      </c>
      <c r="D236" s="642">
        <v>0</v>
      </c>
      <c r="E236" s="649">
        <v>0</v>
      </c>
      <c r="F236" s="649">
        <v>0</v>
      </c>
      <c r="G236" s="642">
        <v>0</v>
      </c>
      <c r="H236" s="642">
        <v>0</v>
      </c>
      <c r="I236" s="642">
        <v>0</v>
      </c>
      <c r="J236" s="642">
        <v>0</v>
      </c>
      <c r="K236" s="642">
        <v>0</v>
      </c>
      <c r="L236" s="642">
        <v>0</v>
      </c>
      <c r="M236" s="642">
        <v>0</v>
      </c>
      <c r="N236" s="642">
        <v>0</v>
      </c>
      <c r="O236" s="642">
        <v>0</v>
      </c>
      <c r="P236" s="642">
        <v>0</v>
      </c>
      <c r="Q236" s="642">
        <v>0</v>
      </c>
      <c r="R236" s="642">
        <v>0</v>
      </c>
      <c r="S236" s="650">
        <v>0</v>
      </c>
      <c r="U236" s="648" t="s">
        <v>67</v>
      </c>
      <c r="V236" s="642">
        <v>0</v>
      </c>
      <c r="W236" s="649">
        <v>0</v>
      </c>
      <c r="X236" s="649">
        <v>0</v>
      </c>
      <c r="Y236" s="642">
        <v>0</v>
      </c>
      <c r="Z236" s="642">
        <v>0</v>
      </c>
      <c r="AA236" s="642">
        <v>0</v>
      </c>
      <c r="AB236" s="642">
        <v>0</v>
      </c>
      <c r="AC236" s="642">
        <v>0</v>
      </c>
      <c r="AD236" s="642">
        <v>0</v>
      </c>
      <c r="AE236" s="642">
        <v>0</v>
      </c>
      <c r="AF236" s="642">
        <v>0</v>
      </c>
      <c r="AG236" s="642">
        <v>0</v>
      </c>
      <c r="AH236" s="642">
        <v>0</v>
      </c>
      <c r="AI236" s="642">
        <v>0</v>
      </c>
      <c r="AJ236" s="642">
        <v>0</v>
      </c>
      <c r="AK236" s="650">
        <v>0</v>
      </c>
    </row>
    <row r="237" spans="3:37" ht="13.5">
      <c r="C237" s="648" t="s">
        <v>350</v>
      </c>
      <c r="D237" s="642">
        <v>2.8267856410252494</v>
      </c>
      <c r="E237" s="642">
        <v>0</v>
      </c>
      <c r="F237" s="642">
        <v>8.0599105831015567</v>
      </c>
      <c r="G237" s="642">
        <v>46.530346198952707</v>
      </c>
      <c r="H237" s="642">
        <v>727.27272727272737</v>
      </c>
      <c r="I237" s="642">
        <v>338.37995078139568</v>
      </c>
      <c r="J237" s="651">
        <v>28.452469116356035</v>
      </c>
      <c r="K237" s="651">
        <v>6.2305848357200952</v>
      </c>
      <c r="L237" s="651">
        <v>3.7328950664080915</v>
      </c>
      <c r="M237" s="651">
        <v>1.0761160081227215</v>
      </c>
      <c r="N237" s="651">
        <v>0</v>
      </c>
      <c r="O237" s="651">
        <v>7.5664382136221358</v>
      </c>
      <c r="P237" s="642">
        <v>-629.14515201417555</v>
      </c>
      <c r="Q237" s="642">
        <v>0</v>
      </c>
      <c r="R237" s="642">
        <v>0</v>
      </c>
      <c r="S237" s="650">
        <v>540.98307170325586</v>
      </c>
      <c r="U237" s="648" t="s">
        <v>350</v>
      </c>
      <c r="V237" s="642">
        <v>0.62631490545869017</v>
      </c>
      <c r="W237" s="642">
        <v>0</v>
      </c>
      <c r="X237" s="642">
        <v>4.1962742194651934</v>
      </c>
      <c r="Y237" s="642">
        <v>0</v>
      </c>
      <c r="Z237" s="642">
        <v>764.84848484848499</v>
      </c>
      <c r="AA237" s="642">
        <v>423.19995078139567</v>
      </c>
      <c r="AB237" s="651">
        <v>22.478183728982629</v>
      </c>
      <c r="AC237" s="651">
        <v>5.0926371917675839</v>
      </c>
      <c r="AD237" s="651">
        <v>3.7328950664080915</v>
      </c>
      <c r="AE237" s="651">
        <v>0.79318377276994545</v>
      </c>
      <c r="AF237" s="651">
        <v>0</v>
      </c>
      <c r="AG237" s="651">
        <v>7.5664382136221358</v>
      </c>
      <c r="AH237" s="642">
        <v>-696.77718495359215</v>
      </c>
      <c r="AI237" s="642">
        <v>0</v>
      </c>
      <c r="AJ237" s="642">
        <v>3.75</v>
      </c>
      <c r="AK237" s="650">
        <v>539.50717777476291</v>
      </c>
    </row>
    <row r="238" spans="3:37" ht="13.5">
      <c r="C238" s="648" t="s">
        <v>351</v>
      </c>
      <c r="D238" s="642">
        <v>0</v>
      </c>
      <c r="E238" s="642">
        <v>0</v>
      </c>
      <c r="F238" s="642">
        <v>0</v>
      </c>
      <c r="G238" s="642">
        <v>14.783508517784153</v>
      </c>
      <c r="H238" s="642">
        <v>0</v>
      </c>
      <c r="I238" s="642">
        <v>0</v>
      </c>
      <c r="J238" s="651">
        <v>12.163067049530284</v>
      </c>
      <c r="K238" s="651">
        <v>11.829214997579474</v>
      </c>
      <c r="L238" s="651">
        <v>0</v>
      </c>
      <c r="M238" s="651">
        <v>0.31740804730172578</v>
      </c>
      <c r="N238" s="651">
        <v>0</v>
      </c>
      <c r="O238" s="651">
        <v>2.086875550337155</v>
      </c>
      <c r="P238" s="642">
        <v>0</v>
      </c>
      <c r="Q238" s="642">
        <v>-37.667878685561853</v>
      </c>
      <c r="R238" s="642">
        <v>0</v>
      </c>
      <c r="S238" s="650">
        <v>3.5121954769709394</v>
      </c>
      <c r="U238" s="648" t="s">
        <v>351</v>
      </c>
      <c r="V238" s="642">
        <v>0</v>
      </c>
      <c r="W238" s="642">
        <v>0</v>
      </c>
      <c r="X238" s="642">
        <v>0</v>
      </c>
      <c r="Y238" s="642">
        <v>0</v>
      </c>
      <c r="Z238" s="642">
        <v>0</v>
      </c>
      <c r="AA238" s="642">
        <v>0</v>
      </c>
      <c r="AB238" s="651">
        <v>28.523630086620891</v>
      </c>
      <c r="AC238" s="651">
        <v>26.288013396118924</v>
      </c>
      <c r="AD238" s="651">
        <v>0</v>
      </c>
      <c r="AE238" s="651">
        <v>10.611192177482708</v>
      </c>
      <c r="AF238" s="651">
        <v>0</v>
      </c>
      <c r="AG238" s="651">
        <v>14.121402979798832</v>
      </c>
      <c r="AH238" s="642">
        <v>0</v>
      </c>
      <c r="AI238" s="642">
        <v>-74.176724382187018</v>
      </c>
      <c r="AJ238" s="642">
        <v>0</v>
      </c>
      <c r="AK238" s="650">
        <v>5.3675142578343316</v>
      </c>
    </row>
    <row r="239" spans="3:37" ht="13.5">
      <c r="C239" s="648" t="s">
        <v>352</v>
      </c>
      <c r="D239" s="642">
        <v>0</v>
      </c>
      <c r="E239" s="642">
        <v>0</v>
      </c>
      <c r="F239" s="642">
        <v>0</v>
      </c>
      <c r="G239" s="642">
        <v>0</v>
      </c>
      <c r="H239" s="642">
        <v>0</v>
      </c>
      <c r="I239" s="642">
        <v>0</v>
      </c>
      <c r="J239" s="652">
        <v>7.1450792385721682</v>
      </c>
      <c r="K239" s="652">
        <v>0</v>
      </c>
      <c r="L239" s="652">
        <v>0</v>
      </c>
      <c r="M239" s="652">
        <v>-6.8235506728364204</v>
      </c>
      <c r="N239" s="652">
        <v>0</v>
      </c>
      <c r="O239" s="652">
        <v>0</v>
      </c>
      <c r="P239" s="642">
        <v>0</v>
      </c>
      <c r="Q239" s="642">
        <v>0</v>
      </c>
      <c r="R239" s="642">
        <v>0</v>
      </c>
      <c r="S239" s="650">
        <v>0.32152856573574784</v>
      </c>
      <c r="U239" s="648" t="s">
        <v>352</v>
      </c>
      <c r="V239" s="642">
        <v>0</v>
      </c>
      <c r="W239" s="642">
        <v>0</v>
      </c>
      <c r="X239" s="642">
        <v>0</v>
      </c>
      <c r="Y239" s="642">
        <v>0</v>
      </c>
      <c r="Z239" s="642">
        <v>0</v>
      </c>
      <c r="AA239" s="642">
        <v>0</v>
      </c>
      <c r="AB239" s="652">
        <v>137.81211213320262</v>
      </c>
      <c r="AC239" s="652">
        <v>0</v>
      </c>
      <c r="AD239" s="652">
        <v>0</v>
      </c>
      <c r="AE239" s="652">
        <v>-131.61056708720849</v>
      </c>
      <c r="AF239" s="652">
        <v>0</v>
      </c>
      <c r="AG239" s="652">
        <v>0</v>
      </c>
      <c r="AH239" s="642">
        <v>0</v>
      </c>
      <c r="AI239" s="642">
        <v>0</v>
      </c>
      <c r="AJ239" s="642">
        <v>0</v>
      </c>
      <c r="AK239" s="650">
        <v>6.2015450459941235</v>
      </c>
    </row>
    <row r="240" spans="3:37" ht="13.5">
      <c r="C240" s="648" t="s">
        <v>353</v>
      </c>
      <c r="D240" s="642">
        <v>0</v>
      </c>
      <c r="E240" s="642">
        <v>0</v>
      </c>
      <c r="F240" s="642">
        <v>0</v>
      </c>
      <c r="G240" s="642">
        <v>0</v>
      </c>
      <c r="H240" s="642">
        <v>0</v>
      </c>
      <c r="I240" s="642">
        <v>0</v>
      </c>
      <c r="J240" s="642">
        <v>0</v>
      </c>
      <c r="K240" s="642">
        <v>0</v>
      </c>
      <c r="L240" s="642">
        <v>0</v>
      </c>
      <c r="M240" s="642">
        <v>0</v>
      </c>
      <c r="N240" s="642">
        <v>0</v>
      </c>
      <c r="O240" s="642">
        <v>0</v>
      </c>
      <c r="P240" s="642">
        <v>0</v>
      </c>
      <c r="Q240" s="642">
        <v>0</v>
      </c>
      <c r="R240" s="642">
        <v>0</v>
      </c>
      <c r="S240" s="650">
        <v>0</v>
      </c>
      <c r="U240" s="648" t="s">
        <v>353</v>
      </c>
      <c r="V240" s="642">
        <v>0</v>
      </c>
      <c r="W240" s="642">
        <v>0</v>
      </c>
      <c r="X240" s="642">
        <v>0</v>
      </c>
      <c r="Y240" s="642">
        <v>0</v>
      </c>
      <c r="Z240" s="642">
        <v>0</v>
      </c>
      <c r="AA240" s="642">
        <v>0</v>
      </c>
      <c r="AB240" s="642">
        <v>0</v>
      </c>
      <c r="AC240" s="642">
        <v>0</v>
      </c>
      <c r="AD240" s="642">
        <v>0</v>
      </c>
      <c r="AE240" s="642">
        <v>0</v>
      </c>
      <c r="AF240" s="642">
        <v>0</v>
      </c>
      <c r="AG240" s="642">
        <v>0</v>
      </c>
      <c r="AH240" s="642">
        <v>0</v>
      </c>
      <c r="AI240" s="642">
        <v>0</v>
      </c>
      <c r="AJ240" s="642">
        <v>0</v>
      </c>
      <c r="AK240" s="650">
        <v>0</v>
      </c>
    </row>
    <row r="241" spans="3:37" ht="13.5">
      <c r="C241" s="648" t="s">
        <v>72</v>
      </c>
      <c r="D241" s="642">
        <v>0</v>
      </c>
      <c r="E241" s="642">
        <v>481.48200000000003</v>
      </c>
      <c r="F241" s="642">
        <v>-476.66718000000003</v>
      </c>
      <c r="G241" s="642">
        <v>0</v>
      </c>
      <c r="H241" s="642">
        <v>0</v>
      </c>
      <c r="I241" s="642">
        <v>0</v>
      </c>
      <c r="J241" s="642">
        <v>0</v>
      </c>
      <c r="K241" s="642">
        <v>0</v>
      </c>
      <c r="L241" s="642">
        <v>0</v>
      </c>
      <c r="M241" s="642">
        <v>0</v>
      </c>
      <c r="N241" s="642">
        <v>0</v>
      </c>
      <c r="O241" s="642">
        <v>0</v>
      </c>
      <c r="P241" s="642">
        <v>0</v>
      </c>
      <c r="Q241" s="642">
        <v>0</v>
      </c>
      <c r="R241" s="642">
        <v>0</v>
      </c>
      <c r="S241" s="650">
        <v>4.8148199999999974</v>
      </c>
      <c r="U241" s="648" t="s">
        <v>72</v>
      </c>
      <c r="V241" s="642">
        <v>0</v>
      </c>
      <c r="W241" s="642">
        <v>117.67676767676768</v>
      </c>
      <c r="X241" s="642">
        <v>-116.5</v>
      </c>
      <c r="Y241" s="642">
        <v>0</v>
      </c>
      <c r="Z241" s="642">
        <v>0</v>
      </c>
      <c r="AA241" s="642">
        <v>0</v>
      </c>
      <c r="AB241" s="642">
        <v>0</v>
      </c>
      <c r="AC241" s="642">
        <v>0</v>
      </c>
      <c r="AD241" s="642">
        <v>0</v>
      </c>
      <c r="AE241" s="642">
        <v>0</v>
      </c>
      <c r="AF241" s="642">
        <v>0</v>
      </c>
      <c r="AG241" s="642">
        <v>0</v>
      </c>
      <c r="AH241" s="642">
        <v>0</v>
      </c>
      <c r="AI241" s="642">
        <v>0</v>
      </c>
      <c r="AJ241" s="642">
        <v>0</v>
      </c>
      <c r="AK241" s="650">
        <v>1.1767676767676818</v>
      </c>
    </row>
    <row r="242" spans="3:37" ht="13.5">
      <c r="C242" s="648" t="s">
        <v>354</v>
      </c>
      <c r="D242" s="642">
        <v>0</v>
      </c>
      <c r="E242" s="642">
        <v>0</v>
      </c>
      <c r="F242" s="642">
        <v>0</v>
      </c>
      <c r="G242" s="642">
        <v>0</v>
      </c>
      <c r="H242" s="642">
        <v>0</v>
      </c>
      <c r="I242" s="642">
        <v>0</v>
      </c>
      <c r="J242" s="642">
        <v>26.125483595276659</v>
      </c>
      <c r="K242" s="642">
        <v>0</v>
      </c>
      <c r="L242" s="642">
        <v>-26.125483595276659</v>
      </c>
      <c r="M242" s="642">
        <v>0</v>
      </c>
      <c r="N242" s="642">
        <v>0</v>
      </c>
      <c r="O242" s="642">
        <v>0</v>
      </c>
      <c r="P242" s="642">
        <v>0</v>
      </c>
      <c r="Q242" s="642">
        <v>0</v>
      </c>
      <c r="R242" s="642">
        <v>0</v>
      </c>
      <c r="S242" s="650">
        <v>0</v>
      </c>
      <c r="U242" s="648" t="s">
        <v>354</v>
      </c>
      <c r="V242" s="642">
        <v>0</v>
      </c>
      <c r="W242" s="642">
        <v>0</v>
      </c>
      <c r="X242" s="642">
        <v>0</v>
      </c>
      <c r="Y242" s="642">
        <v>0</v>
      </c>
      <c r="Z242" s="642">
        <v>0</v>
      </c>
      <c r="AA242" s="642">
        <v>0</v>
      </c>
      <c r="AB242" s="642" t="e">
        <v>#VALUE!</v>
      </c>
      <c r="AC242" s="642">
        <v>0</v>
      </c>
      <c r="AD242" s="642">
        <v>-100.69655001825291</v>
      </c>
      <c r="AE242" s="642">
        <v>0</v>
      </c>
      <c r="AF242" s="642">
        <v>0</v>
      </c>
      <c r="AG242" s="642">
        <v>0</v>
      </c>
      <c r="AH242" s="642">
        <v>0</v>
      </c>
      <c r="AI242" s="642">
        <v>0</v>
      </c>
      <c r="AJ242" s="642">
        <v>0</v>
      </c>
      <c r="AK242" s="650">
        <v>-100.69655001825291</v>
      </c>
    </row>
    <row r="243" spans="3:37" ht="13.5">
      <c r="C243" s="648" t="s">
        <v>355</v>
      </c>
      <c r="D243" s="642">
        <v>0</v>
      </c>
      <c r="E243" s="642">
        <v>0</v>
      </c>
      <c r="F243" s="642">
        <v>0</v>
      </c>
      <c r="G243" s="642">
        <v>0</v>
      </c>
      <c r="H243" s="642">
        <v>0</v>
      </c>
      <c r="I243" s="642">
        <v>0</v>
      </c>
      <c r="J243" s="642">
        <v>0</v>
      </c>
      <c r="K243" s="642">
        <v>0</v>
      </c>
      <c r="L243" s="642">
        <v>0</v>
      </c>
      <c r="M243" s="642">
        <v>0</v>
      </c>
      <c r="N243" s="642">
        <v>0</v>
      </c>
      <c r="O243" s="642">
        <v>0</v>
      </c>
      <c r="P243" s="642">
        <v>0</v>
      </c>
      <c r="Q243" s="642">
        <v>0</v>
      </c>
      <c r="R243" s="642">
        <v>0</v>
      </c>
      <c r="S243" s="650">
        <v>0</v>
      </c>
      <c r="U243" s="648" t="s">
        <v>355</v>
      </c>
      <c r="V243" s="642">
        <v>0</v>
      </c>
      <c r="W243" s="642">
        <v>0</v>
      </c>
      <c r="X243" s="642">
        <v>0</v>
      </c>
      <c r="Y243" s="642">
        <v>0</v>
      </c>
      <c r="Z243" s="642">
        <v>0</v>
      </c>
      <c r="AA243" s="642">
        <v>0</v>
      </c>
      <c r="AB243" s="642">
        <v>0</v>
      </c>
      <c r="AC243" s="642">
        <v>0</v>
      </c>
      <c r="AD243" s="642">
        <v>-28.460377640694865</v>
      </c>
      <c r="AE243" s="642">
        <v>0</v>
      </c>
      <c r="AF243" s="642">
        <v>0</v>
      </c>
      <c r="AG243" s="642">
        <v>0</v>
      </c>
      <c r="AH243" s="642">
        <v>0</v>
      </c>
      <c r="AI243" s="642">
        <v>0</v>
      </c>
      <c r="AJ243" s="642">
        <v>0</v>
      </c>
      <c r="AK243" s="650">
        <v>-28.460377640694865</v>
      </c>
    </row>
    <row r="244" spans="3:37" ht="13.5">
      <c r="C244" s="648" t="s">
        <v>73</v>
      </c>
      <c r="D244" s="642">
        <v>0</v>
      </c>
      <c r="E244" s="642">
        <v>0</v>
      </c>
      <c r="F244" s="642">
        <v>0</v>
      </c>
      <c r="G244" s="642">
        <v>8.6128889644156494</v>
      </c>
      <c r="H244" s="642">
        <v>0</v>
      </c>
      <c r="I244" s="642">
        <v>0</v>
      </c>
      <c r="J244" s="642">
        <v>0</v>
      </c>
      <c r="K244" s="642">
        <v>0.10101910584583218</v>
      </c>
      <c r="L244" s="642">
        <v>0</v>
      </c>
      <c r="M244" s="642">
        <v>0.17577324417174797</v>
      </c>
      <c r="N244" s="642">
        <v>0</v>
      </c>
      <c r="O244" s="642">
        <v>0</v>
      </c>
      <c r="P244" s="642">
        <v>1.1785562348680418</v>
      </c>
      <c r="Q244" s="642">
        <v>0</v>
      </c>
      <c r="R244" s="642">
        <v>-7.071337409208251</v>
      </c>
      <c r="S244" s="650">
        <v>2.99690014009302</v>
      </c>
      <c r="U244" s="648" t="s">
        <v>73</v>
      </c>
      <c r="V244" s="642">
        <v>0</v>
      </c>
      <c r="W244" s="642">
        <v>0</v>
      </c>
      <c r="X244" s="642">
        <v>0</v>
      </c>
      <c r="Y244" s="642">
        <v>0</v>
      </c>
      <c r="Z244" s="642">
        <v>0</v>
      </c>
      <c r="AA244" s="642">
        <v>0</v>
      </c>
      <c r="AB244" s="642">
        <v>0</v>
      </c>
      <c r="AC244" s="642">
        <v>0.58294529496624936</v>
      </c>
      <c r="AD244" s="642">
        <v>0</v>
      </c>
      <c r="AE244" s="642">
        <v>0</v>
      </c>
      <c r="AF244" s="642">
        <v>0</v>
      </c>
      <c r="AG244" s="642">
        <v>0</v>
      </c>
      <c r="AH244" s="642">
        <v>56.108484640501494</v>
      </c>
      <c r="AI244" s="642">
        <v>0</v>
      </c>
      <c r="AJ244" s="642">
        <v>-40.806170647637451</v>
      </c>
      <c r="AK244" s="650">
        <v>15.885259287830294</v>
      </c>
    </row>
    <row r="245" spans="3:37" ht="13.5">
      <c r="C245" s="648" t="s">
        <v>356</v>
      </c>
      <c r="D245" s="642">
        <v>28.51179328125</v>
      </c>
      <c r="E245" s="642">
        <v>-16.683351300000002</v>
      </c>
      <c r="F245" s="642">
        <v>21.820838094867195</v>
      </c>
      <c r="G245" s="642">
        <v>0</v>
      </c>
      <c r="H245" s="642">
        <v>0</v>
      </c>
      <c r="I245" s="642">
        <v>0</v>
      </c>
      <c r="J245" s="642">
        <v>0</v>
      </c>
      <c r="K245" s="642">
        <v>0</v>
      </c>
      <c r="L245" s="642">
        <v>0</v>
      </c>
      <c r="M245" s="642">
        <v>0</v>
      </c>
      <c r="N245" s="642">
        <v>0</v>
      </c>
      <c r="O245" s="642">
        <v>0</v>
      </c>
      <c r="P245" s="642">
        <v>0</v>
      </c>
      <c r="Q245" s="642">
        <v>0</v>
      </c>
      <c r="R245" s="642">
        <v>0</v>
      </c>
      <c r="S245" s="650">
        <v>33.649280076117194</v>
      </c>
      <c r="U245" s="648" t="s">
        <v>356</v>
      </c>
      <c r="V245" s="642">
        <v>0.72303211975097659</v>
      </c>
      <c r="W245" s="642">
        <v>-4.0775000000000006</v>
      </c>
      <c r="X245" s="642">
        <v>5.333129161634389</v>
      </c>
      <c r="Y245" s="642">
        <v>0</v>
      </c>
      <c r="Z245" s="642">
        <v>0</v>
      </c>
      <c r="AA245" s="642">
        <v>0</v>
      </c>
      <c r="AB245" s="642">
        <v>0</v>
      </c>
      <c r="AC245" s="642">
        <v>0</v>
      </c>
      <c r="AD245" s="642">
        <v>0</v>
      </c>
      <c r="AE245" s="642">
        <v>0</v>
      </c>
      <c r="AF245" s="642">
        <v>0</v>
      </c>
      <c r="AG245" s="642">
        <v>0</v>
      </c>
      <c r="AH245" s="642">
        <v>0</v>
      </c>
      <c r="AI245" s="642">
        <v>0</v>
      </c>
      <c r="AJ245" s="642">
        <v>0</v>
      </c>
      <c r="AK245" s="650">
        <v>1.978661281385365</v>
      </c>
    </row>
    <row r="246" spans="3:37" ht="13.5">
      <c r="C246" s="648" t="s">
        <v>75</v>
      </c>
      <c r="D246" s="642">
        <v>11.087919609375001</v>
      </c>
      <c r="E246" s="642">
        <v>0</v>
      </c>
      <c r="F246" s="642">
        <v>16.370388000000002</v>
      </c>
      <c r="G246" s="642">
        <v>4.6713383640000004</v>
      </c>
      <c r="H246" s="642">
        <v>0</v>
      </c>
      <c r="I246" s="642">
        <v>0</v>
      </c>
      <c r="J246" s="642">
        <v>0</v>
      </c>
      <c r="K246" s="642">
        <v>0</v>
      </c>
      <c r="L246" s="642">
        <v>0</v>
      </c>
      <c r="M246" s="642">
        <v>9.5333436000000008E-2</v>
      </c>
      <c r="N246" s="642">
        <v>0</v>
      </c>
      <c r="O246" s="642">
        <v>0</v>
      </c>
      <c r="P246" s="642">
        <v>26.129145836866744</v>
      </c>
      <c r="Q246" s="642">
        <v>0</v>
      </c>
      <c r="R246" s="642">
        <v>0</v>
      </c>
      <c r="S246" s="650">
        <v>58.35412524624175</v>
      </c>
      <c r="U246" s="648" t="s">
        <v>75</v>
      </c>
      <c r="V246" s="642">
        <v>1.73775830078125</v>
      </c>
      <c r="W246" s="642">
        <v>0</v>
      </c>
      <c r="X246" s="642">
        <v>16.370388000000002</v>
      </c>
      <c r="Y246" s="642">
        <v>0</v>
      </c>
      <c r="Z246" s="642">
        <v>0</v>
      </c>
      <c r="AA246" s="642">
        <v>0</v>
      </c>
      <c r="AB246" s="642">
        <v>0</v>
      </c>
      <c r="AC246" s="642">
        <v>0</v>
      </c>
      <c r="AD246" s="642">
        <v>0</v>
      </c>
      <c r="AE246" s="642">
        <v>4.7666718000000001</v>
      </c>
      <c r="AF246" s="642">
        <v>0</v>
      </c>
      <c r="AG246" s="642">
        <v>0</v>
      </c>
      <c r="AH246" s="642">
        <v>36.696565665655768</v>
      </c>
      <c r="AI246" s="642">
        <v>0</v>
      </c>
      <c r="AJ246" s="642">
        <v>0</v>
      </c>
      <c r="AK246" s="650">
        <v>59.571383766437016</v>
      </c>
    </row>
    <row r="247" spans="3:37" ht="13.5">
      <c r="C247" s="648" t="s">
        <v>76</v>
      </c>
      <c r="D247" s="642">
        <v>0</v>
      </c>
      <c r="E247" s="642">
        <v>0</v>
      </c>
      <c r="F247" s="642">
        <v>0</v>
      </c>
      <c r="G247" s="642">
        <v>3.9646717348100942</v>
      </c>
      <c r="H247" s="642">
        <v>0</v>
      </c>
      <c r="I247" s="642">
        <v>0</v>
      </c>
      <c r="J247" s="642">
        <v>0</v>
      </c>
      <c r="K247" s="642">
        <v>0</v>
      </c>
      <c r="L247" s="642">
        <v>0</v>
      </c>
      <c r="M247" s="642">
        <v>8.0911668057348868E-2</v>
      </c>
      <c r="N247" s="642">
        <v>0</v>
      </c>
      <c r="O247" s="642">
        <v>0</v>
      </c>
      <c r="P247" s="642">
        <v>47.131742012269626</v>
      </c>
      <c r="Q247" s="642">
        <v>2.9238621334994321</v>
      </c>
      <c r="R247" s="642">
        <v>0</v>
      </c>
      <c r="S247" s="650">
        <v>54.101187548636503</v>
      </c>
      <c r="U247" s="648" t="s">
        <v>76</v>
      </c>
      <c r="V247" s="642">
        <v>0</v>
      </c>
      <c r="W247" s="642">
        <v>0</v>
      </c>
      <c r="X247" s="642">
        <v>0</v>
      </c>
      <c r="Y247" s="642">
        <v>0</v>
      </c>
      <c r="Z247" s="642">
        <v>0</v>
      </c>
      <c r="AA247" s="642">
        <v>0</v>
      </c>
      <c r="AB247" s="642">
        <v>0</v>
      </c>
      <c r="AC247" s="642">
        <v>0</v>
      </c>
      <c r="AD247" s="642">
        <v>0</v>
      </c>
      <c r="AE247" s="642">
        <v>1.5605996097297452</v>
      </c>
      <c r="AF247" s="642">
        <v>0</v>
      </c>
      <c r="AG247" s="642">
        <v>0</v>
      </c>
      <c r="AH247" s="642">
        <v>50.104610120731024</v>
      </c>
      <c r="AI247" s="642">
        <v>5.7529608775183565</v>
      </c>
      <c r="AJ247" s="642">
        <v>0</v>
      </c>
      <c r="AK247" s="650">
        <v>57.418170607979121</v>
      </c>
    </row>
    <row r="248" spans="3:37" ht="13.5">
      <c r="C248" s="646" t="s">
        <v>77</v>
      </c>
      <c r="D248" s="647">
        <v>42.426498531650253</v>
      </c>
      <c r="E248" s="647">
        <v>464.7986487</v>
      </c>
      <c r="F248" s="647">
        <v>-430.41604332203127</v>
      </c>
      <c r="G248" s="647">
        <v>78.562753779962591</v>
      </c>
      <c r="H248" s="647">
        <v>727.27272727272737</v>
      </c>
      <c r="I248" s="647">
        <v>338.37995078139568</v>
      </c>
      <c r="J248" s="647">
        <v>73.88609899973514</v>
      </c>
      <c r="K248" s="647">
        <v>18.1608189391454</v>
      </c>
      <c r="L248" s="647">
        <v>-22.392588528868568</v>
      </c>
      <c r="M248" s="647">
        <v>-5.0780082691828765</v>
      </c>
      <c r="N248" s="647">
        <v>0</v>
      </c>
      <c r="O248" s="647">
        <v>9.6533137639592894</v>
      </c>
      <c r="P248" s="647">
        <v>-554.70570793017112</v>
      </c>
      <c r="Q248" s="647">
        <v>-34.744016552062419</v>
      </c>
      <c r="R248" s="647">
        <v>-7.071337409208251</v>
      </c>
      <c r="S248" s="647">
        <v>698.73310875705101</v>
      </c>
      <c r="U248" s="646" t="s">
        <v>77</v>
      </c>
      <c r="V248" s="647">
        <v>3.0871053259909167</v>
      </c>
      <c r="W248" s="647">
        <v>113.59926767676768</v>
      </c>
      <c r="X248" s="647">
        <v>-90.60020861890041</v>
      </c>
      <c r="Y248" s="647">
        <v>0</v>
      </c>
      <c r="Z248" s="647">
        <v>764.84848484848499</v>
      </c>
      <c r="AA248" s="647">
        <v>423.19995078139567</v>
      </c>
      <c r="AB248" s="647">
        <v>188.81392594880614</v>
      </c>
      <c r="AC248" s="647">
        <v>31.963595882852758</v>
      </c>
      <c r="AD248" s="647">
        <v>-125.42403259253969</v>
      </c>
      <c r="AE248" s="647">
        <v>-113.87891972722609</v>
      </c>
      <c r="AF248" s="647">
        <v>0</v>
      </c>
      <c r="AG248" s="647">
        <v>21.687841193420969</v>
      </c>
      <c r="AH248" s="647">
        <v>-553.86752452670385</v>
      </c>
      <c r="AI248" s="647">
        <v>-68.423763504668656</v>
      </c>
      <c r="AJ248" s="647">
        <v>-37.056170647637451</v>
      </c>
      <c r="AK248" s="647">
        <v>557.94955204004305</v>
      </c>
    </row>
    <row r="249" spans="3:37" ht="13">
      <c r="C249" s="636"/>
      <c r="D249" s="636">
        <v>0</v>
      </c>
      <c r="E249" s="636">
        <v>0</v>
      </c>
      <c r="F249" s="636">
        <v>0</v>
      </c>
      <c r="G249" s="636">
        <v>0</v>
      </c>
      <c r="H249" s="636">
        <v>0</v>
      </c>
      <c r="I249" s="636">
        <v>0</v>
      </c>
      <c r="J249" s="636">
        <v>0</v>
      </c>
      <c r="K249" s="636">
        <v>0</v>
      </c>
      <c r="L249" s="636">
        <v>0</v>
      </c>
      <c r="M249" s="636">
        <v>0</v>
      </c>
      <c r="N249" s="636">
        <v>0</v>
      </c>
      <c r="O249" s="636">
        <v>0</v>
      </c>
      <c r="P249" s="636">
        <v>0</v>
      </c>
      <c r="Q249" s="636">
        <v>0</v>
      </c>
      <c r="R249" s="636">
        <v>0</v>
      </c>
      <c r="S249" s="636">
        <v>0</v>
      </c>
      <c r="U249" s="636"/>
      <c r="V249" s="636">
        <v>0</v>
      </c>
      <c r="W249" s="636">
        <v>0</v>
      </c>
      <c r="X249" s="636">
        <v>0</v>
      </c>
      <c r="Y249" s="636">
        <v>0</v>
      </c>
      <c r="Z249" s="636">
        <v>0</v>
      </c>
      <c r="AA249" s="636">
        <v>0</v>
      </c>
      <c r="AB249" s="636">
        <v>0</v>
      </c>
      <c r="AC249" s="636">
        <v>0</v>
      </c>
      <c r="AD249" s="636">
        <v>0</v>
      </c>
      <c r="AE249" s="636">
        <v>0</v>
      </c>
      <c r="AF249" s="636">
        <v>0</v>
      </c>
      <c r="AG249" s="636">
        <v>0</v>
      </c>
      <c r="AH249" s="636">
        <v>0</v>
      </c>
      <c r="AI249" s="636">
        <v>0</v>
      </c>
      <c r="AJ249" s="636">
        <v>0</v>
      </c>
      <c r="AK249" s="636">
        <v>0</v>
      </c>
    </row>
    <row r="250" spans="3:37" ht="13.5">
      <c r="C250" s="648" t="s">
        <v>78</v>
      </c>
      <c r="D250" s="642">
        <v>3.6733927919712848</v>
      </c>
      <c r="E250" s="642">
        <v>0</v>
      </c>
      <c r="F250" s="642">
        <v>19.397200033553816</v>
      </c>
      <c r="G250" s="642">
        <v>91.130108310207916</v>
      </c>
      <c r="H250" s="642">
        <v>0</v>
      </c>
      <c r="I250" s="642">
        <v>0</v>
      </c>
      <c r="J250" s="642">
        <v>22.791437377983073</v>
      </c>
      <c r="K250" s="642">
        <v>1.7013098714668424</v>
      </c>
      <c r="L250" s="642">
        <v>1.007010953125</v>
      </c>
      <c r="M250" s="642">
        <v>1.8779931367345493</v>
      </c>
      <c r="N250" s="642">
        <v>0</v>
      </c>
      <c r="O250" s="642">
        <v>3.7093504340600874E-4</v>
      </c>
      <c r="P250" s="642">
        <v>114.54790196708234</v>
      </c>
      <c r="Q250" s="642">
        <v>16.21056036467343</v>
      </c>
      <c r="R250" s="642">
        <v>0.23655174255371095</v>
      </c>
      <c r="S250" s="650">
        <v>272.57383748439537</v>
      </c>
      <c r="U250" s="648" t="s">
        <v>78</v>
      </c>
      <c r="V250" s="642">
        <v>1.5000162600463405</v>
      </c>
      <c r="W250" s="642">
        <v>0</v>
      </c>
      <c r="X250" s="642">
        <v>0.65820239923796242</v>
      </c>
      <c r="Y250" s="642">
        <v>0</v>
      </c>
      <c r="Z250" s="642">
        <v>0</v>
      </c>
      <c r="AA250" s="642">
        <v>0</v>
      </c>
      <c r="AB250" s="642">
        <v>14.22856522114639</v>
      </c>
      <c r="AC250" s="642">
        <v>4.1194716696050602</v>
      </c>
      <c r="AD250" s="642">
        <v>8.3494072265624997</v>
      </c>
      <c r="AE250" s="642">
        <v>60.539358802903692</v>
      </c>
      <c r="AF250" s="642">
        <v>0</v>
      </c>
      <c r="AG250" s="642">
        <v>3.7093504340600874E-4</v>
      </c>
      <c r="AH250" s="642">
        <v>157.01971492382648</v>
      </c>
      <c r="AI250" s="642">
        <v>25.540840498351418</v>
      </c>
      <c r="AJ250" s="642">
        <v>8.9542294921874994</v>
      </c>
      <c r="AK250" s="650">
        <v>280.91017742891074</v>
      </c>
    </row>
    <row r="251" spans="3:37" ht="13.5">
      <c r="C251" s="648" t="s">
        <v>79</v>
      </c>
      <c r="D251" s="642">
        <v>0</v>
      </c>
      <c r="E251" s="642">
        <v>0</v>
      </c>
      <c r="F251" s="642">
        <v>216.8751541495462</v>
      </c>
      <c r="G251" s="642">
        <v>32.745585882615877</v>
      </c>
      <c r="H251" s="642">
        <v>0</v>
      </c>
      <c r="I251" s="642">
        <v>0</v>
      </c>
      <c r="J251" s="642">
        <v>0</v>
      </c>
      <c r="K251" s="642">
        <v>0</v>
      </c>
      <c r="L251" s="642">
        <v>20.896591906701669</v>
      </c>
      <c r="M251" s="642">
        <v>0.66827726291052814</v>
      </c>
      <c r="N251" s="642">
        <v>0</v>
      </c>
      <c r="O251" s="642">
        <v>0</v>
      </c>
      <c r="P251" s="642">
        <v>80.819270278256823</v>
      </c>
      <c r="Q251" s="642">
        <v>0</v>
      </c>
      <c r="R251" s="642">
        <v>2.9193508940431485</v>
      </c>
      <c r="S251" s="650">
        <v>354.92423037407423</v>
      </c>
      <c r="U251" s="648" t="s">
        <v>79</v>
      </c>
      <c r="V251" s="642">
        <v>0</v>
      </c>
      <c r="W251" s="642">
        <v>0</v>
      </c>
      <c r="X251" s="642">
        <v>8.8339079607242379</v>
      </c>
      <c r="Y251" s="642">
        <v>0</v>
      </c>
      <c r="Z251" s="642">
        <v>0</v>
      </c>
      <c r="AA251" s="642">
        <v>0</v>
      </c>
      <c r="AB251" s="642">
        <v>0</v>
      </c>
      <c r="AC251" s="642">
        <v>0</v>
      </c>
      <c r="AD251" s="642">
        <v>12.788272739607951</v>
      </c>
      <c r="AE251" s="642">
        <v>24.887279738493259</v>
      </c>
      <c r="AF251" s="642">
        <v>0</v>
      </c>
      <c r="AG251" s="642">
        <v>0</v>
      </c>
      <c r="AH251" s="642">
        <v>93.844452584108197</v>
      </c>
      <c r="AI251" s="642">
        <v>0</v>
      </c>
      <c r="AJ251" s="642">
        <v>7.1149935986121697</v>
      </c>
      <c r="AK251" s="650">
        <v>147.46890662154581</v>
      </c>
    </row>
    <row r="252" spans="3:37" ht="13.5">
      <c r="C252" s="648" t="s">
        <v>80</v>
      </c>
      <c r="D252" s="642">
        <v>0</v>
      </c>
      <c r="E252" s="642">
        <v>0</v>
      </c>
      <c r="F252" s="642">
        <v>5.2094674308398901</v>
      </c>
      <c r="G252" s="642">
        <v>68.551385920257417</v>
      </c>
      <c r="H252" s="642">
        <v>0</v>
      </c>
      <c r="I252" s="642">
        <v>0</v>
      </c>
      <c r="J252" s="642">
        <v>86.155325304334795</v>
      </c>
      <c r="K252" s="642">
        <v>0</v>
      </c>
      <c r="L252" s="642">
        <v>0</v>
      </c>
      <c r="M252" s="642">
        <v>1.3990078759236206</v>
      </c>
      <c r="N252" s="642">
        <v>66.478227859390046</v>
      </c>
      <c r="O252" s="642">
        <v>2.1206229173139883</v>
      </c>
      <c r="P252" s="642">
        <v>194.47767196350526</v>
      </c>
      <c r="Q252" s="642">
        <v>15.182773802844931</v>
      </c>
      <c r="R252" s="642">
        <v>0</v>
      </c>
      <c r="S252" s="650">
        <v>439.5744830744099</v>
      </c>
      <c r="U252" s="648" t="s">
        <v>80</v>
      </c>
      <c r="V252" s="642">
        <v>0</v>
      </c>
      <c r="W252" s="642">
        <v>0</v>
      </c>
      <c r="X252" s="642">
        <v>0.92826525658471626</v>
      </c>
      <c r="Y252" s="642">
        <v>0</v>
      </c>
      <c r="Z252" s="642">
        <v>0</v>
      </c>
      <c r="AA252" s="642">
        <v>0</v>
      </c>
      <c r="AB252" s="642">
        <v>47.227858114444189</v>
      </c>
      <c r="AC252" s="642">
        <v>0</v>
      </c>
      <c r="AD252" s="642">
        <v>0</v>
      </c>
      <c r="AE252" s="642">
        <v>17.293312779197663</v>
      </c>
      <c r="AF252" s="642">
        <v>108.09916343666818</v>
      </c>
      <c r="AG252" s="642">
        <v>4.9369795689122755</v>
      </c>
      <c r="AH252" s="642">
        <v>137.38519988829395</v>
      </c>
      <c r="AI252" s="642">
        <v>27.91071693101145</v>
      </c>
      <c r="AJ252" s="642">
        <v>0</v>
      </c>
      <c r="AK252" s="650">
        <v>343.78149597511242</v>
      </c>
    </row>
    <row r="253" spans="3:37" ht="13.5">
      <c r="C253" s="648" t="s">
        <v>81</v>
      </c>
      <c r="D253" s="642">
        <v>0</v>
      </c>
      <c r="E253" s="642">
        <v>0</v>
      </c>
      <c r="F253" s="642">
        <v>2.3181271880740835</v>
      </c>
      <c r="G253" s="642">
        <v>62.553452404821357</v>
      </c>
      <c r="H253" s="642">
        <v>0</v>
      </c>
      <c r="I253" s="642">
        <v>0</v>
      </c>
      <c r="J253" s="642">
        <v>3.0090868580403627</v>
      </c>
      <c r="K253" s="642">
        <v>2.5363417285398034E-2</v>
      </c>
      <c r="L253" s="642">
        <v>0</v>
      </c>
      <c r="M253" s="642">
        <v>1.27660106948615</v>
      </c>
      <c r="N253" s="642">
        <v>8.6055350400994808</v>
      </c>
      <c r="O253" s="642">
        <v>0.68093940948821108</v>
      </c>
      <c r="P253" s="642">
        <v>146.08879967332064</v>
      </c>
      <c r="Q253" s="642">
        <v>3.3506823845440552</v>
      </c>
      <c r="R253" s="642">
        <v>0</v>
      </c>
      <c r="S253" s="650">
        <v>227.90858744515972</v>
      </c>
      <c r="U253" s="648" t="s">
        <v>81</v>
      </c>
      <c r="V253" s="642">
        <v>0</v>
      </c>
      <c r="W253" s="642">
        <v>0</v>
      </c>
      <c r="X253" s="642">
        <v>0.55102356567889155</v>
      </c>
      <c r="Y253" s="642">
        <v>0</v>
      </c>
      <c r="Z253" s="642">
        <v>0</v>
      </c>
      <c r="AA253" s="642">
        <v>0</v>
      </c>
      <c r="AB253" s="642">
        <v>6.5361621549849476</v>
      </c>
      <c r="AC253" s="642">
        <v>2.5363417285398034E-2</v>
      </c>
      <c r="AD253" s="642">
        <v>0</v>
      </c>
      <c r="AE253" s="642">
        <v>5.3379988256415478</v>
      </c>
      <c r="AF253" s="642">
        <v>15.069021727073199</v>
      </c>
      <c r="AG253" s="642">
        <v>1.4375946320597892</v>
      </c>
      <c r="AH253" s="642">
        <v>112.31243747223964</v>
      </c>
      <c r="AI253" s="642">
        <v>14.972206075305797</v>
      </c>
      <c r="AJ253" s="642">
        <v>0</v>
      </c>
      <c r="AK253" s="650">
        <v>156.24180787026921</v>
      </c>
    </row>
    <row r="254" spans="3:37" ht="13.5">
      <c r="C254" s="648" t="s">
        <v>82</v>
      </c>
      <c r="D254" s="642">
        <v>0</v>
      </c>
      <c r="E254" s="642">
        <v>0</v>
      </c>
      <c r="F254" s="642">
        <v>27.219719362233906</v>
      </c>
      <c r="G254" s="642">
        <v>0.81069667111944488</v>
      </c>
      <c r="H254" s="642">
        <v>0</v>
      </c>
      <c r="I254" s="642">
        <v>0</v>
      </c>
      <c r="J254" s="642">
        <v>5.0054618408177598</v>
      </c>
      <c r="K254" s="642">
        <v>0</v>
      </c>
      <c r="L254" s="642">
        <v>3.2629555410385191</v>
      </c>
      <c r="M254" s="642">
        <v>1.6544830022845812E-2</v>
      </c>
      <c r="N254" s="642">
        <v>0</v>
      </c>
      <c r="O254" s="642">
        <v>6.051975379409523E-2</v>
      </c>
      <c r="P254" s="642">
        <v>5.5235547180923223</v>
      </c>
      <c r="Q254" s="642">
        <v>0</v>
      </c>
      <c r="R254" s="642">
        <v>0</v>
      </c>
      <c r="S254" s="650">
        <v>41.899452717118898</v>
      </c>
      <c r="U254" s="648" t="s">
        <v>82</v>
      </c>
      <c r="V254" s="642">
        <v>0</v>
      </c>
      <c r="W254" s="642">
        <v>0</v>
      </c>
      <c r="X254" s="642">
        <v>0.67158967449506357</v>
      </c>
      <c r="Y254" s="642">
        <v>0</v>
      </c>
      <c r="Z254" s="642">
        <v>0</v>
      </c>
      <c r="AA254" s="642">
        <v>0</v>
      </c>
      <c r="AB254" s="642">
        <v>5.0054618408177598</v>
      </c>
      <c r="AC254" s="642">
        <v>0</v>
      </c>
      <c r="AD254" s="642">
        <v>35.167200828266267</v>
      </c>
      <c r="AE254" s="642">
        <v>0.86765586771995196</v>
      </c>
      <c r="AF254" s="642">
        <v>0</v>
      </c>
      <c r="AG254" s="642">
        <v>2.1874070050904897</v>
      </c>
      <c r="AH254" s="642">
        <v>5.6657335511185538</v>
      </c>
      <c r="AI254" s="642">
        <v>0</v>
      </c>
      <c r="AJ254" s="642">
        <v>0.44339331184266689</v>
      </c>
      <c r="AK254" s="650">
        <v>50.008442079350758</v>
      </c>
    </row>
    <row r="255" spans="3:37" ht="13.5">
      <c r="C255" s="648" t="s">
        <v>357</v>
      </c>
      <c r="D255" s="642">
        <v>0</v>
      </c>
      <c r="E255" s="642">
        <v>0</v>
      </c>
      <c r="F255" s="642">
        <v>0</v>
      </c>
      <c r="G255" s="642">
        <v>0</v>
      </c>
      <c r="H255" s="642">
        <v>0</v>
      </c>
      <c r="I255" s="642">
        <v>0</v>
      </c>
      <c r="J255" s="642">
        <v>0</v>
      </c>
      <c r="K255" s="642">
        <v>0</v>
      </c>
      <c r="L255" s="642">
        <v>0</v>
      </c>
      <c r="M255" s="642">
        <v>0</v>
      </c>
      <c r="N255" s="642">
        <v>0</v>
      </c>
      <c r="O255" s="642">
        <v>0</v>
      </c>
      <c r="P255" s="642">
        <v>0.44999999999999996</v>
      </c>
      <c r="Q255" s="642">
        <v>0</v>
      </c>
      <c r="R255" s="642">
        <v>0</v>
      </c>
      <c r="S255" s="650">
        <v>0.44999999999999996</v>
      </c>
      <c r="U255" s="648" t="s">
        <v>357</v>
      </c>
      <c r="V255" s="642">
        <v>0</v>
      </c>
      <c r="W255" s="642">
        <v>0</v>
      </c>
      <c r="X255" s="642">
        <v>0</v>
      </c>
      <c r="Y255" s="642">
        <v>0</v>
      </c>
      <c r="Z255" s="642">
        <v>0</v>
      </c>
      <c r="AA255" s="642">
        <v>0</v>
      </c>
      <c r="AB255" s="642">
        <v>0</v>
      </c>
      <c r="AC255" s="642">
        <v>0</v>
      </c>
      <c r="AD255" s="642">
        <v>0</v>
      </c>
      <c r="AE255" s="642">
        <v>0</v>
      </c>
      <c r="AF255" s="642">
        <v>0</v>
      </c>
      <c r="AG255" s="642">
        <v>0</v>
      </c>
      <c r="AH255" s="642">
        <v>6</v>
      </c>
      <c r="AI255" s="642">
        <v>0</v>
      </c>
      <c r="AJ255" s="642">
        <v>0</v>
      </c>
      <c r="AK255" s="650">
        <v>6</v>
      </c>
    </row>
    <row r="256" spans="3:37" ht="13.5">
      <c r="C256" s="646" t="s">
        <v>83</v>
      </c>
      <c r="D256" s="647">
        <v>3.6733927919712848</v>
      </c>
      <c r="E256" s="647">
        <v>0</v>
      </c>
      <c r="F256" s="647">
        <v>271.01966816424783</v>
      </c>
      <c r="G256" s="647">
        <v>255.79122918902203</v>
      </c>
      <c r="H256" s="647">
        <v>0</v>
      </c>
      <c r="I256" s="647">
        <v>0</v>
      </c>
      <c r="J256" s="647">
        <v>116.96131138117599</v>
      </c>
      <c r="K256" s="647">
        <v>1.7266732887522405</v>
      </c>
      <c r="L256" s="647">
        <v>25.166558400865188</v>
      </c>
      <c r="M256" s="647">
        <v>5.238424175077693</v>
      </c>
      <c r="N256" s="647">
        <v>75.083762899489528</v>
      </c>
      <c r="O256" s="647">
        <v>2.8624530156397006</v>
      </c>
      <c r="P256" s="647">
        <v>541.90719860025752</v>
      </c>
      <c r="Q256" s="647">
        <v>34.744016552062419</v>
      </c>
      <c r="R256" s="647">
        <v>3.1559026365968594</v>
      </c>
      <c r="S256" s="647">
        <v>1337.3305910951583</v>
      </c>
      <c r="U256" s="646" t="s">
        <v>83</v>
      </c>
      <c r="V256" s="647">
        <v>1.5000162600463405</v>
      </c>
      <c r="W256" s="647">
        <v>0</v>
      </c>
      <c r="X256" s="647">
        <v>11.642988856720871</v>
      </c>
      <c r="Y256" s="647">
        <v>0</v>
      </c>
      <c r="Z256" s="647">
        <v>0</v>
      </c>
      <c r="AA256" s="647">
        <v>0</v>
      </c>
      <c r="AB256" s="647">
        <v>72.998047331393281</v>
      </c>
      <c r="AC256" s="647">
        <v>4.1448350868904589</v>
      </c>
      <c r="AD256" s="647">
        <v>56.30488079443672</v>
      </c>
      <c r="AE256" s="647">
        <v>108.92560601395611</v>
      </c>
      <c r="AF256" s="647">
        <v>123.16818516374138</v>
      </c>
      <c r="AG256" s="647">
        <v>8.5623521411059595</v>
      </c>
      <c r="AH256" s="647">
        <v>512.22753841958684</v>
      </c>
      <c r="AI256" s="647">
        <v>68.423763504668656</v>
      </c>
      <c r="AJ256" s="647">
        <v>16.512616402642333</v>
      </c>
      <c r="AK256" s="647">
        <v>984.4108299751889</v>
      </c>
    </row>
    <row r="257" spans="3:37" ht="13.5">
      <c r="C257" s="641" t="s">
        <v>84</v>
      </c>
      <c r="D257" s="642">
        <v>0</v>
      </c>
      <c r="E257" s="642">
        <v>0</v>
      </c>
      <c r="F257" s="642">
        <v>100.05515171814793</v>
      </c>
      <c r="G257" s="642">
        <v>11.196954266678716</v>
      </c>
      <c r="H257" s="642">
        <v>0</v>
      </c>
      <c r="I257" s="642">
        <v>0</v>
      </c>
      <c r="J257" s="642">
        <v>0</v>
      </c>
      <c r="K257" s="642">
        <v>0</v>
      </c>
      <c r="L257" s="642">
        <v>0</v>
      </c>
      <c r="M257" s="642">
        <v>0</v>
      </c>
      <c r="N257" s="642">
        <v>0</v>
      </c>
      <c r="O257" s="642">
        <v>0</v>
      </c>
      <c r="P257" s="642">
        <v>0</v>
      </c>
      <c r="Q257" s="642">
        <v>0</v>
      </c>
      <c r="R257" s="642">
        <v>3.9154347726113912</v>
      </c>
      <c r="S257" s="650">
        <v>115.16754075743803</v>
      </c>
      <c r="U257" s="641" t="s">
        <v>84</v>
      </c>
      <c r="V257" s="642">
        <v>0</v>
      </c>
      <c r="W257" s="642">
        <v>0</v>
      </c>
      <c r="X257" s="642">
        <v>57.953190468871433</v>
      </c>
      <c r="Y257" s="642">
        <v>0.51452681198611927</v>
      </c>
      <c r="Z257" s="642">
        <v>0</v>
      </c>
      <c r="AA257" s="642">
        <v>0</v>
      </c>
      <c r="AB257" s="642">
        <v>0</v>
      </c>
      <c r="AC257" s="642">
        <v>0</v>
      </c>
      <c r="AD257" s="642">
        <v>30.108432000732424</v>
      </c>
      <c r="AE257" s="642">
        <v>0</v>
      </c>
      <c r="AF257" s="642">
        <v>0</v>
      </c>
      <c r="AG257" s="642">
        <v>0</v>
      </c>
      <c r="AH257" s="642">
        <v>0</v>
      </c>
      <c r="AI257" s="642">
        <v>0</v>
      </c>
      <c r="AJ257" s="642">
        <v>20.543554244995118</v>
      </c>
      <c r="AK257" s="650">
        <v>109.1197035265851</v>
      </c>
    </row>
    <row r="258" spans="3:37" ht="13.5">
      <c r="C258" s="646" t="s">
        <v>85</v>
      </c>
      <c r="D258" s="647">
        <v>3.6733927919712848</v>
      </c>
      <c r="E258" s="647">
        <v>0</v>
      </c>
      <c r="F258" s="647">
        <v>371.07481988239573</v>
      </c>
      <c r="G258" s="647">
        <v>266.98818345570078</v>
      </c>
      <c r="H258" s="647">
        <v>0</v>
      </c>
      <c r="I258" s="647">
        <v>0</v>
      </c>
      <c r="J258" s="647">
        <v>116.96131138117599</v>
      </c>
      <c r="K258" s="647">
        <v>1.7266732887522405</v>
      </c>
      <c r="L258" s="647">
        <v>25.166558400865188</v>
      </c>
      <c r="M258" s="647">
        <v>5.238424175077693</v>
      </c>
      <c r="N258" s="647">
        <v>75.083762899489528</v>
      </c>
      <c r="O258" s="647">
        <v>2.8624530156397006</v>
      </c>
      <c r="P258" s="647">
        <v>541.90719860025752</v>
      </c>
      <c r="Q258" s="647">
        <v>34.744016552062419</v>
      </c>
      <c r="R258" s="647">
        <v>7.071337409208251</v>
      </c>
      <c r="S258" s="647">
        <v>1452.4981318525963</v>
      </c>
      <c r="U258" s="646" t="s">
        <v>85</v>
      </c>
      <c r="V258" s="647">
        <v>1.5000162600463405</v>
      </c>
      <c r="W258" s="647">
        <v>0</v>
      </c>
      <c r="X258" s="647">
        <v>69.596179325592303</v>
      </c>
      <c r="Y258" s="647">
        <v>0.51452681198611927</v>
      </c>
      <c r="Z258" s="647">
        <v>0</v>
      </c>
      <c r="AA258" s="647">
        <v>0</v>
      </c>
      <c r="AB258" s="647">
        <v>72.998047331393281</v>
      </c>
      <c r="AC258" s="647">
        <v>4.1448350868904589</v>
      </c>
      <c r="AD258" s="647">
        <v>86.413312795169148</v>
      </c>
      <c r="AE258" s="647">
        <v>108.92560601395611</v>
      </c>
      <c r="AF258" s="647">
        <v>123.16818516374138</v>
      </c>
      <c r="AG258" s="647">
        <v>8.5623521411059595</v>
      </c>
      <c r="AH258" s="647">
        <v>512.22753841958684</v>
      </c>
      <c r="AI258" s="647">
        <v>68.423763504668656</v>
      </c>
      <c r="AJ258" s="647">
        <v>37.056170647637451</v>
      </c>
      <c r="AK258" s="647">
        <v>1093.530533501774</v>
      </c>
    </row>
    <row r="259" spans="3:37" ht="13">
      <c r="C259" s="636"/>
      <c r="D259" s="636"/>
      <c r="E259" s="636"/>
      <c r="F259" s="636"/>
      <c r="G259" s="636"/>
      <c r="H259" s="636"/>
      <c r="I259" s="636"/>
      <c r="J259" s="636"/>
      <c r="K259" s="636"/>
      <c r="L259" s="636"/>
      <c r="M259" s="636"/>
      <c r="N259" s="636"/>
      <c r="O259" s="636"/>
      <c r="P259" s="636"/>
      <c r="Q259" s="636"/>
      <c r="R259" s="636"/>
      <c r="S259" s="636"/>
      <c r="U259" s="636"/>
      <c r="V259" s="636"/>
      <c r="W259" s="636"/>
      <c r="X259" s="636"/>
      <c r="Y259" s="636"/>
      <c r="Z259" s="636"/>
      <c r="AA259" s="636"/>
      <c r="AB259" s="636"/>
      <c r="AC259" s="636"/>
      <c r="AD259" s="636"/>
      <c r="AE259" s="636"/>
      <c r="AF259" s="636"/>
      <c r="AG259" s="636"/>
      <c r="AH259" s="636"/>
      <c r="AI259" s="636"/>
      <c r="AJ259" s="636"/>
      <c r="AK259" s="636"/>
    </row>
    <row r="260" spans="3:37" ht="13">
      <c r="C260" s="636"/>
      <c r="D260" s="636"/>
      <c r="E260" s="636"/>
      <c r="F260" s="636"/>
      <c r="G260" s="636"/>
      <c r="H260" s="636"/>
      <c r="I260" s="636"/>
      <c r="J260" s="636"/>
      <c r="K260" s="636"/>
      <c r="L260" s="636"/>
      <c r="M260" s="636"/>
      <c r="N260" s="636"/>
      <c r="O260" s="636"/>
      <c r="P260" s="636"/>
      <c r="Q260" s="636"/>
      <c r="R260" s="636"/>
      <c r="S260" s="636"/>
      <c r="U260" s="636"/>
      <c r="V260" s="636"/>
      <c r="W260" s="636"/>
      <c r="X260" s="636"/>
      <c r="Y260" s="636"/>
      <c r="Z260" s="636"/>
      <c r="AA260" s="636"/>
      <c r="AB260" s="636"/>
      <c r="AC260" s="636"/>
      <c r="AD260" s="636"/>
      <c r="AE260" s="636"/>
      <c r="AF260" s="636"/>
      <c r="AG260" s="636"/>
      <c r="AH260" s="636"/>
      <c r="AI260" s="636"/>
      <c r="AJ260" s="636"/>
      <c r="AK260" s="636"/>
    </row>
  </sheetData>
  <mergeCells count="184">
    <mergeCell ref="AI226:AI227"/>
    <mergeCell ref="AJ226:AJ227"/>
    <mergeCell ref="AK226:AK227"/>
    <mergeCell ref="W226:W227"/>
    <mergeCell ref="X226:X227"/>
    <mergeCell ref="Y226:Y227"/>
    <mergeCell ref="Z226:Z227"/>
    <mergeCell ref="C226:C227"/>
    <mergeCell ref="D226:D227"/>
    <mergeCell ref="E226:E227"/>
    <mergeCell ref="F226:F227"/>
    <mergeCell ref="G226:G227"/>
    <mergeCell ref="H226:H227"/>
    <mergeCell ref="I226:I227"/>
    <mergeCell ref="J226:O226"/>
    <mergeCell ref="AH226:AH227"/>
    <mergeCell ref="AH190:AH191"/>
    <mergeCell ref="AI190:AI191"/>
    <mergeCell ref="AJ190:AJ191"/>
    <mergeCell ref="AK190:AK191"/>
    <mergeCell ref="U190:U191"/>
    <mergeCell ref="V190:V191"/>
    <mergeCell ref="W190:W191"/>
    <mergeCell ref="X190:X191"/>
    <mergeCell ref="Y190:Y191"/>
    <mergeCell ref="Z190:Z191"/>
    <mergeCell ref="AA226:AA227"/>
    <mergeCell ref="AB226:AG226"/>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P226:P227"/>
    <mergeCell ref="Q226:Q227"/>
    <mergeCell ref="R226:R227"/>
    <mergeCell ref="S226:S227"/>
    <mergeCell ref="U226:U227"/>
    <mergeCell ref="V226:V227"/>
    <mergeCell ref="C224:S224"/>
    <mergeCell ref="U224:AK224"/>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227">
    <cfRule type="cellIs" dxfId="15817" priority="1" operator="equal">
      <formula>0</formula>
    </cfRule>
  </conditionalFormatting>
  <conditionalFormatting sqref="P15:S17 E15:I17 J15:O16 Q12:S14 G12:G14 D12:D17 D18:S18">
    <cfRule type="cellIs" dxfId="15816" priority="691" operator="equal">
      <formula>0</formula>
    </cfRule>
  </conditionalFormatting>
  <conditionalFormatting sqref="P12:P17">
    <cfRule type="cellIs" dxfId="15815" priority="692" operator="equal">
      <formula>0</formula>
    </cfRule>
  </conditionalFormatting>
  <conditionalFormatting sqref="D12:E17 H12:I17">
    <cfRule type="cellIs" dxfId="15814" priority="693" operator="equal">
      <formula>0</formula>
    </cfRule>
  </conditionalFormatting>
  <conditionalFormatting sqref="F12:F17">
    <cfRule type="cellIs" dxfId="15813" priority="694" operator="equal">
      <formula>0</formula>
    </cfRule>
  </conditionalFormatting>
  <conditionalFormatting sqref="J15:J17">
    <cfRule type="cellIs" dxfId="15812" priority="695" operator="equal">
      <formula>0</formula>
    </cfRule>
  </conditionalFormatting>
  <conditionalFormatting sqref="J12:J17 K12:O12">
    <cfRule type="cellIs" dxfId="15811" priority="696" operator="equal">
      <formula>0</formula>
    </cfRule>
  </conditionalFormatting>
  <conditionalFormatting sqref="K15:K17">
    <cfRule type="cellIs" dxfId="15810" priority="697" operator="equal">
      <formula>0</formula>
    </cfRule>
  </conditionalFormatting>
  <conditionalFormatting sqref="K12:K17">
    <cfRule type="cellIs" dxfId="15809" priority="698" operator="equal">
      <formula>0</formula>
    </cfRule>
  </conditionalFormatting>
  <conditionalFormatting sqref="L15:L17">
    <cfRule type="cellIs" dxfId="15808" priority="699" operator="equal">
      <formula>0</formula>
    </cfRule>
  </conditionalFormatting>
  <conditionalFormatting sqref="L12:L17">
    <cfRule type="cellIs" dxfId="15807" priority="700" operator="equal">
      <formula>0</formula>
    </cfRule>
  </conditionalFormatting>
  <conditionalFormatting sqref="M15:M17">
    <cfRule type="cellIs" dxfId="15806" priority="701" operator="equal">
      <formula>0</formula>
    </cfRule>
  </conditionalFormatting>
  <conditionalFormatting sqref="M12:M17">
    <cfRule type="cellIs" dxfId="15805" priority="702" operator="equal">
      <formula>0</formula>
    </cfRule>
  </conditionalFormatting>
  <conditionalFormatting sqref="N15:N17">
    <cfRule type="cellIs" dxfId="15804" priority="703" operator="equal">
      <formula>0</formula>
    </cfRule>
  </conditionalFormatting>
  <conditionalFormatting sqref="N12:N17">
    <cfRule type="cellIs" dxfId="15803" priority="704" operator="equal">
      <formula>0</formula>
    </cfRule>
  </conditionalFormatting>
  <conditionalFormatting sqref="O15:O17">
    <cfRule type="cellIs" dxfId="15802" priority="705" operator="equal">
      <formula>0</formula>
    </cfRule>
  </conditionalFormatting>
  <conditionalFormatting sqref="O12:O17">
    <cfRule type="cellIs" dxfId="15801" priority="706" operator="equal">
      <formula>0</formula>
    </cfRule>
  </conditionalFormatting>
  <conditionalFormatting sqref="D12:S18">
    <cfRule type="expression" dxfId="15800" priority="707">
      <formula>LEN(TRIM(D12))=0</formula>
    </cfRule>
  </conditionalFormatting>
  <conditionalFormatting sqref="L15:L16">
    <cfRule type="cellIs" dxfId="15799" priority="708" operator="equal">
      <formula>0</formula>
    </cfRule>
  </conditionalFormatting>
  <conditionalFormatting sqref="M15:M16">
    <cfRule type="cellIs" dxfId="15798" priority="709" operator="equal">
      <formula>0</formula>
    </cfRule>
  </conditionalFormatting>
  <conditionalFormatting sqref="N15:O15">
    <cfRule type="cellIs" dxfId="15797" priority="710" operator="equal">
      <formula>0</formula>
    </cfRule>
  </conditionalFormatting>
  <conditionalFormatting sqref="N16:O16">
    <cfRule type="cellIs" dxfId="15796" priority="711" operator="equal">
      <formula>0</formula>
    </cfRule>
  </conditionalFormatting>
  <conditionalFormatting sqref="E29:G29 D30:G31 H29:I31 D25:I28 J25:R31 D20:S20 D32:R32 D21:I22 S21:S32 P21:R22">
    <cfRule type="cellIs" dxfId="15795" priority="685" operator="equal">
      <formula>0</formula>
    </cfRule>
  </conditionalFormatting>
  <conditionalFormatting sqref="D29">
    <cfRule type="cellIs" dxfId="15794" priority="686" operator="equal">
      <formula>0</formula>
    </cfRule>
  </conditionalFormatting>
  <conditionalFormatting sqref="D20:S20 D25:R32 D21:I22 S21:S32 P21:R22">
    <cfRule type="expression" dxfId="15793" priority="687">
      <formula>LEN(TRIM(D20))=0</formula>
    </cfRule>
  </conditionalFormatting>
  <conditionalFormatting sqref="D23:R24">
    <cfRule type="cellIs" dxfId="15792" priority="688" operator="equal">
      <formula>0</formula>
    </cfRule>
  </conditionalFormatting>
  <conditionalFormatting sqref="P23:P24">
    <cfRule type="cellIs" dxfId="15791" priority="689" operator="equal">
      <formula>0</formula>
    </cfRule>
  </conditionalFormatting>
  <conditionalFormatting sqref="D23:R24">
    <cfRule type="expression" dxfId="15790" priority="690">
      <formula>LEN(TRIM(D23))=0</formula>
    </cfRule>
  </conditionalFormatting>
  <conditionalFormatting sqref="J21:O22">
    <cfRule type="cellIs" dxfId="15789" priority="683" operator="equal">
      <formula>0</formula>
    </cfRule>
  </conditionalFormatting>
  <conditionalFormatting sqref="J21:O22">
    <cfRule type="expression" dxfId="15788" priority="684">
      <formula>LEN(TRIM(J21))=0</formula>
    </cfRule>
  </conditionalFormatting>
  <conditionalFormatting sqref="D35:R40 S34:S39 S41 D34:I34 P34:R34">
    <cfRule type="cellIs" dxfId="15787" priority="677" operator="equal">
      <formula>0</formula>
    </cfRule>
  </conditionalFormatting>
  <conditionalFormatting sqref="D41:R41">
    <cfRule type="cellIs" dxfId="15786" priority="678" operator="equal">
      <formula>0</formula>
    </cfRule>
  </conditionalFormatting>
  <conditionalFormatting sqref="D35:S39 D41:S41 D40:R40 D34:I34 P34:S34">
    <cfRule type="expression" dxfId="15785" priority="679">
      <formula>LEN(TRIM(D34))=0</formula>
    </cfRule>
  </conditionalFormatting>
  <conditionalFormatting sqref="D41:R41">
    <cfRule type="cellIs" dxfId="15784" priority="680" operator="equal">
      <formula>0</formula>
    </cfRule>
  </conditionalFormatting>
  <conditionalFormatting sqref="D42:R42">
    <cfRule type="cellIs" dxfId="15783" priority="681" operator="equal">
      <formula>0</formula>
    </cfRule>
  </conditionalFormatting>
  <conditionalFormatting sqref="D42:R42">
    <cfRule type="expression" dxfId="15782" priority="682">
      <formula>LEN(TRIM(D42))=0</formula>
    </cfRule>
  </conditionalFormatting>
  <conditionalFormatting sqref="S42">
    <cfRule type="cellIs" dxfId="15781" priority="675" operator="equal">
      <formula>0</formula>
    </cfRule>
  </conditionalFormatting>
  <conditionalFormatting sqref="S42">
    <cfRule type="expression" dxfId="15780" priority="676">
      <formula>LEN(TRIM(S42))=0</formula>
    </cfRule>
  </conditionalFormatting>
  <conditionalFormatting sqref="S40">
    <cfRule type="cellIs" dxfId="15779" priority="673" operator="equal">
      <formula>0</formula>
    </cfRule>
  </conditionalFormatting>
  <conditionalFormatting sqref="S40">
    <cfRule type="expression" dxfId="15778" priority="674">
      <formula>LEN(TRIM(S40))=0</formula>
    </cfRule>
  </conditionalFormatting>
  <conditionalFormatting sqref="J34:O34">
    <cfRule type="cellIs" dxfId="15777" priority="671" operator="equal">
      <formula>0</formula>
    </cfRule>
  </conditionalFormatting>
  <conditionalFormatting sqref="J34:O34">
    <cfRule type="expression" dxfId="15776" priority="672">
      <formula>LEN(TRIM(J34))=0</formula>
    </cfRule>
  </conditionalFormatting>
  <conditionalFormatting sqref="P51:S53 E51:I53 J51:O52 Q48:S50 G48:G50 D48:D53 D54:S54">
    <cfRule type="cellIs" dxfId="15775" priority="650" operator="equal">
      <formula>0</formula>
    </cfRule>
  </conditionalFormatting>
  <conditionalFormatting sqref="P48:P53">
    <cfRule type="cellIs" dxfId="15774" priority="651" operator="equal">
      <formula>0</formula>
    </cfRule>
  </conditionalFormatting>
  <conditionalFormatting sqref="D48:E53 H48:I53">
    <cfRule type="cellIs" dxfId="15773" priority="652" operator="equal">
      <formula>0</formula>
    </cfRule>
  </conditionalFormatting>
  <conditionalFormatting sqref="F48:F53">
    <cfRule type="cellIs" dxfId="15772" priority="653" operator="equal">
      <formula>0</formula>
    </cfRule>
  </conditionalFormatting>
  <conditionalFormatting sqref="J51:J53">
    <cfRule type="cellIs" dxfId="15771" priority="654" operator="equal">
      <formula>0</formula>
    </cfRule>
  </conditionalFormatting>
  <conditionalFormatting sqref="J48:J53 K48:O48">
    <cfRule type="cellIs" dxfId="15770" priority="655" operator="equal">
      <formula>0</formula>
    </cfRule>
  </conditionalFormatting>
  <conditionalFormatting sqref="K51:K53">
    <cfRule type="cellIs" dxfId="15769" priority="656" operator="equal">
      <formula>0</formula>
    </cfRule>
  </conditionalFormatting>
  <conditionalFormatting sqref="K48:K53">
    <cfRule type="cellIs" dxfId="15768" priority="657" operator="equal">
      <formula>0</formula>
    </cfRule>
  </conditionalFormatting>
  <conditionalFormatting sqref="L51:L53">
    <cfRule type="cellIs" dxfId="15767" priority="658" operator="equal">
      <formula>0</formula>
    </cfRule>
  </conditionalFormatting>
  <conditionalFormatting sqref="L48:L53">
    <cfRule type="cellIs" dxfId="15766" priority="659" operator="equal">
      <formula>0</formula>
    </cfRule>
  </conditionalFormatting>
  <conditionalFormatting sqref="M51:M53">
    <cfRule type="cellIs" dxfId="15765" priority="660" operator="equal">
      <formula>0</formula>
    </cfRule>
  </conditionalFormatting>
  <conditionalFormatting sqref="M48:M53">
    <cfRule type="cellIs" dxfId="15764" priority="661" operator="equal">
      <formula>0</formula>
    </cfRule>
  </conditionalFormatting>
  <conditionalFormatting sqref="N51:N53">
    <cfRule type="cellIs" dxfId="15763" priority="662" operator="equal">
      <formula>0</formula>
    </cfRule>
  </conditionalFormatting>
  <conditionalFormatting sqref="N48:N53">
    <cfRule type="cellIs" dxfId="15762" priority="663" operator="equal">
      <formula>0</formula>
    </cfRule>
  </conditionalFormatting>
  <conditionalFormatting sqref="O51:O53">
    <cfRule type="cellIs" dxfId="15761" priority="664" operator="equal">
      <formula>0</formula>
    </cfRule>
  </conditionalFormatting>
  <conditionalFormatting sqref="O48:O53">
    <cfRule type="cellIs" dxfId="15760" priority="665" operator="equal">
      <formula>0</formula>
    </cfRule>
  </conditionalFormatting>
  <conditionalFormatting sqref="D48:S54">
    <cfRule type="expression" dxfId="15759" priority="666">
      <formula>LEN(TRIM(D48))=0</formula>
    </cfRule>
  </conditionalFormatting>
  <conditionalFormatting sqref="L51:L52">
    <cfRule type="cellIs" dxfId="15758" priority="667" operator="equal">
      <formula>0</formula>
    </cfRule>
  </conditionalFormatting>
  <conditionalFormatting sqref="M51:M52">
    <cfRule type="cellIs" dxfId="15757" priority="668" operator="equal">
      <formula>0</formula>
    </cfRule>
  </conditionalFormatting>
  <conditionalFormatting sqref="N51:O51">
    <cfRule type="cellIs" dxfId="15756" priority="669" operator="equal">
      <formula>0</formula>
    </cfRule>
  </conditionalFormatting>
  <conditionalFormatting sqref="N52:O52">
    <cfRule type="cellIs" dxfId="15755" priority="670" operator="equal">
      <formula>0</formula>
    </cfRule>
  </conditionalFormatting>
  <conditionalFormatting sqref="E65:G65 D66:G67 H65:I67 D61:I64 J61:R67 D56:S56 D68:R68 D57:I58 S57:S68 P57:R58">
    <cfRule type="cellIs" dxfId="15754" priority="644" operator="equal">
      <formula>0</formula>
    </cfRule>
  </conditionalFormatting>
  <conditionalFormatting sqref="D65">
    <cfRule type="cellIs" dxfId="15753" priority="645" operator="equal">
      <formula>0</formula>
    </cfRule>
  </conditionalFormatting>
  <conditionalFormatting sqref="D56:S56 D61:R68 D57:I58 S57:S68 P57:R58">
    <cfRule type="expression" dxfId="15752" priority="646">
      <formula>LEN(TRIM(D56))=0</formula>
    </cfRule>
  </conditionalFormatting>
  <conditionalFormatting sqref="D59:R60">
    <cfRule type="cellIs" dxfId="15751" priority="647" operator="equal">
      <formula>0</formula>
    </cfRule>
  </conditionalFormatting>
  <conditionalFormatting sqref="P59:P60">
    <cfRule type="cellIs" dxfId="15750" priority="648" operator="equal">
      <formula>0</formula>
    </cfRule>
  </conditionalFormatting>
  <conditionalFormatting sqref="D59:R60">
    <cfRule type="expression" dxfId="15749" priority="649">
      <formula>LEN(TRIM(D59))=0</formula>
    </cfRule>
  </conditionalFormatting>
  <conditionalFormatting sqref="J57:O58">
    <cfRule type="cellIs" dxfId="15748" priority="642" operator="equal">
      <formula>0</formula>
    </cfRule>
  </conditionalFormatting>
  <conditionalFormatting sqref="J57:O58">
    <cfRule type="expression" dxfId="15747" priority="643">
      <formula>LEN(TRIM(J57))=0</formula>
    </cfRule>
  </conditionalFormatting>
  <conditionalFormatting sqref="D71:R76 S70:S75 S77 D70:I70 P70:R70">
    <cfRule type="cellIs" dxfId="15746" priority="636" operator="equal">
      <formula>0</formula>
    </cfRule>
  </conditionalFormatting>
  <conditionalFormatting sqref="D77:R77">
    <cfRule type="cellIs" dxfId="15745" priority="637" operator="equal">
      <formula>0</formula>
    </cfRule>
  </conditionalFormatting>
  <conditionalFormatting sqref="D71:S75 D77:S77 D76:R76 D70:I70 P70:S70">
    <cfRule type="expression" dxfId="15744" priority="638">
      <formula>LEN(TRIM(D70))=0</formula>
    </cfRule>
  </conditionalFormatting>
  <conditionalFormatting sqref="D77:R77">
    <cfRule type="cellIs" dxfId="15743" priority="639" operator="equal">
      <formula>0</formula>
    </cfRule>
  </conditionalFormatting>
  <conditionalFormatting sqref="D78:R78">
    <cfRule type="cellIs" dxfId="15742" priority="640" operator="equal">
      <formula>0</formula>
    </cfRule>
  </conditionalFormatting>
  <conditionalFormatting sqref="D78:R78">
    <cfRule type="expression" dxfId="15741" priority="641">
      <formula>LEN(TRIM(D78))=0</formula>
    </cfRule>
  </conditionalFormatting>
  <conditionalFormatting sqref="S78">
    <cfRule type="cellIs" dxfId="15740" priority="634" operator="equal">
      <formula>0</formula>
    </cfRule>
  </conditionalFormatting>
  <conditionalFormatting sqref="S78">
    <cfRule type="expression" dxfId="15739" priority="635">
      <formula>LEN(TRIM(S78))=0</formula>
    </cfRule>
  </conditionalFormatting>
  <conditionalFormatting sqref="S76">
    <cfRule type="cellIs" dxfId="15738" priority="632" operator="equal">
      <formula>0</formula>
    </cfRule>
  </conditionalFormatting>
  <conditionalFormatting sqref="S76">
    <cfRule type="expression" dxfId="15737" priority="633">
      <formula>LEN(TRIM(S76))=0</formula>
    </cfRule>
  </conditionalFormatting>
  <conditionalFormatting sqref="J70:O70">
    <cfRule type="cellIs" dxfId="15736" priority="630" operator="equal">
      <formula>0</formula>
    </cfRule>
  </conditionalFormatting>
  <conditionalFormatting sqref="J70:O70">
    <cfRule type="expression" dxfId="15735" priority="631">
      <formula>LEN(TRIM(J70))=0</formula>
    </cfRule>
  </conditionalFormatting>
  <conditionalFormatting sqref="P87:S89 E87:I89 J87:O88 Q84:S86 G84:G86 D84:D89 D90:S90">
    <cfRule type="cellIs" dxfId="15734" priority="609" operator="equal">
      <formula>0</formula>
    </cfRule>
  </conditionalFormatting>
  <conditionalFormatting sqref="P84:P89">
    <cfRule type="cellIs" dxfId="15733" priority="610" operator="equal">
      <formula>0</formula>
    </cfRule>
  </conditionalFormatting>
  <conditionalFormatting sqref="D84:E89 H84:I89">
    <cfRule type="cellIs" dxfId="15732" priority="611" operator="equal">
      <formula>0</formula>
    </cfRule>
  </conditionalFormatting>
  <conditionalFormatting sqref="F84:F89">
    <cfRule type="cellIs" dxfId="15731" priority="612" operator="equal">
      <formula>0</formula>
    </cfRule>
  </conditionalFormatting>
  <conditionalFormatting sqref="J87:J89">
    <cfRule type="cellIs" dxfId="15730" priority="613" operator="equal">
      <formula>0</formula>
    </cfRule>
  </conditionalFormatting>
  <conditionalFormatting sqref="J84:J89 K84:O84">
    <cfRule type="cellIs" dxfId="15729" priority="614" operator="equal">
      <formula>0</formula>
    </cfRule>
  </conditionalFormatting>
  <conditionalFormatting sqref="K87:K89">
    <cfRule type="cellIs" dxfId="15728" priority="615" operator="equal">
      <formula>0</formula>
    </cfRule>
  </conditionalFormatting>
  <conditionalFormatting sqref="K84:K89">
    <cfRule type="cellIs" dxfId="15727" priority="616" operator="equal">
      <formula>0</formula>
    </cfRule>
  </conditionalFormatting>
  <conditionalFormatting sqref="L87:L89">
    <cfRule type="cellIs" dxfId="15726" priority="617" operator="equal">
      <formula>0</formula>
    </cfRule>
  </conditionalFormatting>
  <conditionalFormatting sqref="L84:L89">
    <cfRule type="cellIs" dxfId="15725" priority="618" operator="equal">
      <formula>0</formula>
    </cfRule>
  </conditionalFormatting>
  <conditionalFormatting sqref="M87:M89">
    <cfRule type="cellIs" dxfId="15724" priority="619" operator="equal">
      <formula>0</formula>
    </cfRule>
  </conditionalFormatting>
  <conditionalFormatting sqref="M84:M89">
    <cfRule type="cellIs" dxfId="15723" priority="620" operator="equal">
      <formula>0</formula>
    </cfRule>
  </conditionalFormatting>
  <conditionalFormatting sqref="N87:N89">
    <cfRule type="cellIs" dxfId="15722" priority="621" operator="equal">
      <formula>0</formula>
    </cfRule>
  </conditionalFormatting>
  <conditionalFormatting sqref="N84:N89">
    <cfRule type="cellIs" dxfId="15721" priority="622" operator="equal">
      <formula>0</formula>
    </cfRule>
  </conditionalFormatting>
  <conditionalFormatting sqref="O87:O89">
    <cfRule type="cellIs" dxfId="15720" priority="623" operator="equal">
      <formula>0</formula>
    </cfRule>
  </conditionalFormatting>
  <conditionalFormatting sqref="O84:O89">
    <cfRule type="cellIs" dxfId="15719" priority="624" operator="equal">
      <formula>0</formula>
    </cfRule>
  </conditionalFormatting>
  <conditionalFormatting sqref="D84:S90">
    <cfRule type="expression" dxfId="15718" priority="625">
      <formula>LEN(TRIM(D84))=0</formula>
    </cfRule>
  </conditionalFormatting>
  <conditionalFormatting sqref="L87:L88">
    <cfRule type="cellIs" dxfId="15717" priority="626" operator="equal">
      <formula>0</formula>
    </cfRule>
  </conditionalFormatting>
  <conditionalFormatting sqref="M87:M88">
    <cfRule type="cellIs" dxfId="15716" priority="627" operator="equal">
      <formula>0</formula>
    </cfRule>
  </conditionalFormatting>
  <conditionalFormatting sqref="N87:O87">
    <cfRule type="cellIs" dxfId="15715" priority="628" operator="equal">
      <formula>0</formula>
    </cfRule>
  </conditionalFormatting>
  <conditionalFormatting sqref="N88:O88">
    <cfRule type="cellIs" dxfId="15714" priority="629" operator="equal">
      <formula>0</formula>
    </cfRule>
  </conditionalFormatting>
  <conditionalFormatting sqref="E101:G101 D102:G103 H101:I103 D97:I100 J97:R103 D92:S92 D104:R104 D93:I94 S93:S104 P93:R94">
    <cfRule type="cellIs" dxfId="15713" priority="603" operator="equal">
      <formula>0</formula>
    </cfRule>
  </conditionalFormatting>
  <conditionalFormatting sqref="D101">
    <cfRule type="cellIs" dxfId="15712" priority="604" operator="equal">
      <formula>0</formula>
    </cfRule>
  </conditionalFormatting>
  <conditionalFormatting sqref="D92:S92 D97:R104 D93:I94 S93:S104 P93:R94">
    <cfRule type="expression" dxfId="15711" priority="605">
      <formula>LEN(TRIM(D92))=0</formula>
    </cfRule>
  </conditionalFormatting>
  <conditionalFormatting sqref="D95:R96">
    <cfRule type="cellIs" dxfId="15710" priority="606" operator="equal">
      <formula>0</formula>
    </cfRule>
  </conditionalFormatting>
  <conditionalFormatting sqref="P95:P96">
    <cfRule type="cellIs" dxfId="15709" priority="607" operator="equal">
      <formula>0</formula>
    </cfRule>
  </conditionalFormatting>
  <conditionalFormatting sqref="D95:R96">
    <cfRule type="expression" dxfId="15708" priority="608">
      <formula>LEN(TRIM(D95))=0</formula>
    </cfRule>
  </conditionalFormatting>
  <conditionalFormatting sqref="J93:O94">
    <cfRule type="cellIs" dxfId="15707" priority="601" operator="equal">
      <formula>0</formula>
    </cfRule>
  </conditionalFormatting>
  <conditionalFormatting sqref="J93:O94">
    <cfRule type="expression" dxfId="15706" priority="602">
      <formula>LEN(TRIM(J93))=0</formula>
    </cfRule>
  </conditionalFormatting>
  <conditionalFormatting sqref="D107:R112 S106:S111 S113 D106:I106 P106:R106">
    <cfRule type="cellIs" dxfId="15705" priority="595" operator="equal">
      <formula>0</formula>
    </cfRule>
  </conditionalFormatting>
  <conditionalFormatting sqref="D113:R113">
    <cfRule type="cellIs" dxfId="15704" priority="596" operator="equal">
      <formula>0</formula>
    </cfRule>
  </conditionalFormatting>
  <conditionalFormatting sqref="D107:S111 D113:S113 D112:R112 D106:I106 P106:S106">
    <cfRule type="expression" dxfId="15703" priority="597">
      <formula>LEN(TRIM(D106))=0</formula>
    </cfRule>
  </conditionalFormatting>
  <conditionalFormatting sqref="D113:R113">
    <cfRule type="cellIs" dxfId="15702" priority="598" operator="equal">
      <formula>0</formula>
    </cfRule>
  </conditionalFormatting>
  <conditionalFormatting sqref="D114:R114">
    <cfRule type="cellIs" dxfId="15701" priority="599" operator="equal">
      <formula>0</formula>
    </cfRule>
  </conditionalFormatting>
  <conditionalFormatting sqref="D114:R114">
    <cfRule type="expression" dxfId="15700" priority="600">
      <formula>LEN(TRIM(D114))=0</formula>
    </cfRule>
  </conditionalFormatting>
  <conditionalFormatting sqref="S114">
    <cfRule type="cellIs" dxfId="15699" priority="593" operator="equal">
      <formula>0</formula>
    </cfRule>
  </conditionalFormatting>
  <conditionalFormatting sqref="S114">
    <cfRule type="expression" dxfId="15698" priority="594">
      <formula>LEN(TRIM(S114))=0</formula>
    </cfRule>
  </conditionalFormatting>
  <conditionalFormatting sqref="S112">
    <cfRule type="cellIs" dxfId="15697" priority="591" operator="equal">
      <formula>0</formula>
    </cfRule>
  </conditionalFormatting>
  <conditionalFormatting sqref="S112">
    <cfRule type="expression" dxfId="15696" priority="592">
      <formula>LEN(TRIM(S112))=0</formula>
    </cfRule>
  </conditionalFormatting>
  <conditionalFormatting sqref="J106:O106">
    <cfRule type="cellIs" dxfId="15695" priority="589" operator="equal">
      <formula>0</formula>
    </cfRule>
  </conditionalFormatting>
  <conditionalFormatting sqref="J106:O106">
    <cfRule type="expression" dxfId="15694" priority="590">
      <formula>LEN(TRIM(J106))=0</formula>
    </cfRule>
  </conditionalFormatting>
  <conditionalFormatting sqref="P123:S125 E123:I125 J123:O124 Q120:S122 G120:G122 D120:D125 D126:S126">
    <cfRule type="cellIs" dxfId="15693" priority="568" operator="equal">
      <formula>0</formula>
    </cfRule>
  </conditionalFormatting>
  <conditionalFormatting sqref="P120:P125">
    <cfRule type="cellIs" dxfId="15692" priority="569" operator="equal">
      <formula>0</formula>
    </cfRule>
  </conditionalFormatting>
  <conditionalFormatting sqref="D120:E125 H120:I125">
    <cfRule type="cellIs" dxfId="15691" priority="570" operator="equal">
      <formula>0</formula>
    </cfRule>
  </conditionalFormatting>
  <conditionalFormatting sqref="F120:F125">
    <cfRule type="cellIs" dxfId="15690" priority="571" operator="equal">
      <formula>0</formula>
    </cfRule>
  </conditionalFormatting>
  <conditionalFormatting sqref="J123:J125">
    <cfRule type="cellIs" dxfId="15689" priority="572" operator="equal">
      <formula>0</formula>
    </cfRule>
  </conditionalFormatting>
  <conditionalFormatting sqref="J120:J125 K120:O120">
    <cfRule type="cellIs" dxfId="15688" priority="573" operator="equal">
      <formula>0</formula>
    </cfRule>
  </conditionalFormatting>
  <conditionalFormatting sqref="K123:K125">
    <cfRule type="cellIs" dxfId="15687" priority="574" operator="equal">
      <formula>0</formula>
    </cfRule>
  </conditionalFormatting>
  <conditionalFormatting sqref="K120:K125">
    <cfRule type="cellIs" dxfId="15686" priority="575" operator="equal">
      <formula>0</formula>
    </cfRule>
  </conditionalFormatting>
  <conditionalFormatting sqref="L123:L125">
    <cfRule type="cellIs" dxfId="15685" priority="576" operator="equal">
      <formula>0</formula>
    </cfRule>
  </conditionalFormatting>
  <conditionalFormatting sqref="L120:L125">
    <cfRule type="cellIs" dxfId="15684" priority="577" operator="equal">
      <formula>0</formula>
    </cfRule>
  </conditionalFormatting>
  <conditionalFormatting sqref="M123:M125">
    <cfRule type="cellIs" dxfId="15683" priority="578" operator="equal">
      <formula>0</formula>
    </cfRule>
  </conditionalFormatting>
  <conditionalFormatting sqref="M120:M125">
    <cfRule type="cellIs" dxfId="15682" priority="579" operator="equal">
      <formula>0</formula>
    </cfRule>
  </conditionalFormatting>
  <conditionalFormatting sqref="N123:N125">
    <cfRule type="cellIs" dxfId="15681" priority="580" operator="equal">
      <formula>0</formula>
    </cfRule>
  </conditionalFormatting>
  <conditionalFormatting sqref="N120:N125">
    <cfRule type="cellIs" dxfId="15680" priority="581" operator="equal">
      <formula>0</formula>
    </cfRule>
  </conditionalFormatting>
  <conditionalFormatting sqref="O123:O125">
    <cfRule type="cellIs" dxfId="15679" priority="582" operator="equal">
      <formula>0</formula>
    </cfRule>
  </conditionalFormatting>
  <conditionalFormatting sqref="O120:O125">
    <cfRule type="cellIs" dxfId="15678" priority="583" operator="equal">
      <formula>0</formula>
    </cfRule>
  </conditionalFormatting>
  <conditionalFormatting sqref="D120:S126">
    <cfRule type="expression" dxfId="15677" priority="584">
      <formula>LEN(TRIM(D120))=0</formula>
    </cfRule>
  </conditionalFormatting>
  <conditionalFormatting sqref="L123:L124">
    <cfRule type="cellIs" dxfId="15676" priority="585" operator="equal">
      <formula>0</formula>
    </cfRule>
  </conditionalFormatting>
  <conditionalFormatting sqref="M123:M124">
    <cfRule type="cellIs" dxfId="15675" priority="586" operator="equal">
      <formula>0</formula>
    </cfRule>
  </conditionalFormatting>
  <conditionalFormatting sqref="N123:O123">
    <cfRule type="cellIs" dxfId="15674" priority="587" operator="equal">
      <formula>0</formula>
    </cfRule>
  </conditionalFormatting>
  <conditionalFormatting sqref="N124:O124">
    <cfRule type="cellIs" dxfId="15673" priority="588" operator="equal">
      <formula>0</formula>
    </cfRule>
  </conditionalFormatting>
  <conditionalFormatting sqref="E137:G137 D138:G139 H137:I139 D133:I136 J133:R139 D128:S128 D140:R140 D129:I130 S129:S140 P129:R130">
    <cfRule type="cellIs" dxfId="15672" priority="562" operator="equal">
      <formula>0</formula>
    </cfRule>
  </conditionalFormatting>
  <conditionalFormatting sqref="D137">
    <cfRule type="cellIs" dxfId="15671" priority="563" operator="equal">
      <formula>0</formula>
    </cfRule>
  </conditionalFormatting>
  <conditionalFormatting sqref="D128:S128 D133:R140 D129:I130 S129:S140 P129:R130">
    <cfRule type="expression" dxfId="15670" priority="564">
      <formula>LEN(TRIM(D128))=0</formula>
    </cfRule>
  </conditionalFormatting>
  <conditionalFormatting sqref="D131:R132">
    <cfRule type="cellIs" dxfId="15669" priority="565" operator="equal">
      <formula>0</formula>
    </cfRule>
  </conditionalFormatting>
  <conditionalFormatting sqref="P131:P132">
    <cfRule type="cellIs" dxfId="15668" priority="566" operator="equal">
      <formula>0</formula>
    </cfRule>
  </conditionalFormatting>
  <conditionalFormatting sqref="D131:R132">
    <cfRule type="expression" dxfId="15667" priority="567">
      <formula>LEN(TRIM(D131))=0</formula>
    </cfRule>
  </conditionalFormatting>
  <conditionalFormatting sqref="J129:O130">
    <cfRule type="cellIs" dxfId="15666" priority="560" operator="equal">
      <formula>0</formula>
    </cfRule>
  </conditionalFormatting>
  <conditionalFormatting sqref="J129:O130">
    <cfRule type="expression" dxfId="15665" priority="561">
      <formula>LEN(TRIM(J129))=0</formula>
    </cfRule>
  </conditionalFormatting>
  <conditionalFormatting sqref="D143:R148 S142:S147 S149 D142:I142 P142:R142">
    <cfRule type="cellIs" dxfId="15664" priority="554" operator="equal">
      <formula>0</formula>
    </cfRule>
  </conditionalFormatting>
  <conditionalFormatting sqref="D149:R149">
    <cfRule type="cellIs" dxfId="15663" priority="555" operator="equal">
      <formula>0</formula>
    </cfRule>
  </conditionalFormatting>
  <conditionalFormatting sqref="D143:S147 D149:S149 D148:R148 D142:I142 P142:S142">
    <cfRule type="expression" dxfId="15662" priority="556">
      <formula>LEN(TRIM(D142))=0</formula>
    </cfRule>
  </conditionalFormatting>
  <conditionalFormatting sqref="D149:R149">
    <cfRule type="cellIs" dxfId="15661" priority="557" operator="equal">
      <formula>0</formula>
    </cfRule>
  </conditionalFormatting>
  <conditionalFormatting sqref="D150:R150">
    <cfRule type="cellIs" dxfId="15660" priority="558" operator="equal">
      <formula>0</formula>
    </cfRule>
  </conditionalFormatting>
  <conditionalFormatting sqref="D150:R150">
    <cfRule type="expression" dxfId="15659" priority="559">
      <formula>LEN(TRIM(D150))=0</formula>
    </cfRule>
  </conditionalFormatting>
  <conditionalFormatting sqref="S150">
    <cfRule type="cellIs" dxfId="15658" priority="552" operator="equal">
      <formula>0</formula>
    </cfRule>
  </conditionalFormatting>
  <conditionalFormatting sqref="S150">
    <cfRule type="expression" dxfId="15657" priority="553">
      <formula>LEN(TRIM(S150))=0</formula>
    </cfRule>
  </conditionalFormatting>
  <conditionalFormatting sqref="S148">
    <cfRule type="cellIs" dxfId="15656" priority="550" operator="equal">
      <formula>0</formula>
    </cfRule>
  </conditionalFormatting>
  <conditionalFormatting sqref="S148">
    <cfRule type="expression" dxfId="15655" priority="551">
      <formula>LEN(TRIM(S148))=0</formula>
    </cfRule>
  </conditionalFormatting>
  <conditionalFormatting sqref="J142:O142">
    <cfRule type="cellIs" dxfId="15654" priority="548" operator="equal">
      <formula>0</formula>
    </cfRule>
  </conditionalFormatting>
  <conditionalFormatting sqref="J142:O142">
    <cfRule type="expression" dxfId="15653" priority="549">
      <formula>LEN(TRIM(J142))=0</formula>
    </cfRule>
  </conditionalFormatting>
  <conditionalFormatting sqref="P159:S161 E159:I161 J159:O160 Q156:S158 G156:G158 D156:D161 D162:S162">
    <cfRule type="cellIs" dxfId="15652" priority="527" operator="equal">
      <formula>0</formula>
    </cfRule>
  </conditionalFormatting>
  <conditionalFormatting sqref="P156:P161">
    <cfRule type="cellIs" dxfId="15651" priority="528" operator="equal">
      <formula>0</formula>
    </cfRule>
  </conditionalFormatting>
  <conditionalFormatting sqref="D156:E161 H156:I161">
    <cfRule type="cellIs" dxfId="15650" priority="529" operator="equal">
      <formula>0</formula>
    </cfRule>
  </conditionalFormatting>
  <conditionalFormatting sqref="F156:F161">
    <cfRule type="cellIs" dxfId="15649" priority="530" operator="equal">
      <formula>0</formula>
    </cfRule>
  </conditionalFormatting>
  <conditionalFormatting sqref="J159:J161">
    <cfRule type="cellIs" dxfId="15648" priority="531" operator="equal">
      <formula>0</formula>
    </cfRule>
  </conditionalFormatting>
  <conditionalFormatting sqref="J156:J161 K156:O156">
    <cfRule type="cellIs" dxfId="15647" priority="532" operator="equal">
      <formula>0</formula>
    </cfRule>
  </conditionalFormatting>
  <conditionalFormatting sqref="K159:K161">
    <cfRule type="cellIs" dxfId="15646" priority="533" operator="equal">
      <formula>0</formula>
    </cfRule>
  </conditionalFormatting>
  <conditionalFormatting sqref="K156:K161">
    <cfRule type="cellIs" dxfId="15645" priority="534" operator="equal">
      <formula>0</formula>
    </cfRule>
  </conditionalFormatting>
  <conditionalFormatting sqref="L159:L161">
    <cfRule type="cellIs" dxfId="15644" priority="535" operator="equal">
      <formula>0</formula>
    </cfRule>
  </conditionalFormatting>
  <conditionalFormatting sqref="L156:L161">
    <cfRule type="cellIs" dxfId="15643" priority="536" operator="equal">
      <formula>0</formula>
    </cfRule>
  </conditionalFormatting>
  <conditionalFormatting sqref="M159:M161">
    <cfRule type="cellIs" dxfId="15642" priority="537" operator="equal">
      <formula>0</formula>
    </cfRule>
  </conditionalFormatting>
  <conditionalFormatting sqref="M156:M161">
    <cfRule type="cellIs" dxfId="15641" priority="538" operator="equal">
      <formula>0</formula>
    </cfRule>
  </conditionalFormatting>
  <conditionalFormatting sqref="N159:N161">
    <cfRule type="cellIs" dxfId="15640" priority="539" operator="equal">
      <formula>0</formula>
    </cfRule>
  </conditionalFormatting>
  <conditionalFormatting sqref="N156:N161">
    <cfRule type="cellIs" dxfId="15639" priority="540" operator="equal">
      <formula>0</formula>
    </cfRule>
  </conditionalFormatting>
  <conditionalFormatting sqref="O159:O161">
    <cfRule type="cellIs" dxfId="15638" priority="541" operator="equal">
      <formula>0</formula>
    </cfRule>
  </conditionalFormatting>
  <conditionalFormatting sqref="O156:O161">
    <cfRule type="cellIs" dxfId="15637" priority="542" operator="equal">
      <formula>0</formula>
    </cfRule>
  </conditionalFormatting>
  <conditionalFormatting sqref="D156:S162">
    <cfRule type="expression" dxfId="15636" priority="543">
      <formula>LEN(TRIM(D156))=0</formula>
    </cfRule>
  </conditionalFormatting>
  <conditionalFormatting sqref="L159:L160">
    <cfRule type="cellIs" dxfId="15635" priority="544" operator="equal">
      <formula>0</formula>
    </cfRule>
  </conditionalFormatting>
  <conditionalFormatting sqref="M159:M160">
    <cfRule type="cellIs" dxfId="15634" priority="545" operator="equal">
      <formula>0</formula>
    </cfRule>
  </conditionalFormatting>
  <conditionalFormatting sqref="N159:O159">
    <cfRule type="cellIs" dxfId="15633" priority="546" operator="equal">
      <formula>0</formula>
    </cfRule>
  </conditionalFormatting>
  <conditionalFormatting sqref="N160:O160">
    <cfRule type="cellIs" dxfId="15632" priority="547" operator="equal">
      <formula>0</formula>
    </cfRule>
  </conditionalFormatting>
  <conditionalFormatting sqref="E173:G173 D174:G175 H173:I175 D169:I172 J169:R175 D164:S164 D176:R176 D165:I166 S165:S176 P165:R166">
    <cfRule type="cellIs" dxfId="15631" priority="521" operator="equal">
      <formula>0</formula>
    </cfRule>
  </conditionalFormatting>
  <conditionalFormatting sqref="D173">
    <cfRule type="cellIs" dxfId="15630" priority="522" operator="equal">
      <formula>0</formula>
    </cfRule>
  </conditionalFormatting>
  <conditionalFormatting sqref="D164:S164 D169:R176 D165:I166 S165:S176 P165:R166">
    <cfRule type="expression" dxfId="15629" priority="523">
      <formula>LEN(TRIM(D164))=0</formula>
    </cfRule>
  </conditionalFormatting>
  <conditionalFormatting sqref="D167:R168">
    <cfRule type="cellIs" dxfId="15628" priority="524" operator="equal">
      <formula>0</formula>
    </cfRule>
  </conditionalFormatting>
  <conditionalFormatting sqref="P167:P168">
    <cfRule type="cellIs" dxfId="15627" priority="525" operator="equal">
      <formula>0</formula>
    </cfRule>
  </conditionalFormatting>
  <conditionalFormatting sqref="D167:R168">
    <cfRule type="expression" dxfId="15626" priority="526">
      <formula>LEN(TRIM(D167))=0</formula>
    </cfRule>
  </conditionalFormatting>
  <conditionalFormatting sqref="J165:O166">
    <cfRule type="cellIs" dxfId="15625" priority="519" operator="equal">
      <formula>0</formula>
    </cfRule>
  </conditionalFormatting>
  <conditionalFormatting sqref="J165:O166">
    <cfRule type="expression" dxfId="15624" priority="520">
      <formula>LEN(TRIM(J165))=0</formula>
    </cfRule>
  </conditionalFormatting>
  <conditionalFormatting sqref="D179:R184 S178:S183 S185 D178:I178 P178:R178">
    <cfRule type="cellIs" dxfId="15623" priority="513" operator="equal">
      <formula>0</formula>
    </cfRule>
  </conditionalFormatting>
  <conditionalFormatting sqref="D185:R185">
    <cfRule type="cellIs" dxfId="15622" priority="514" operator="equal">
      <formula>0</formula>
    </cfRule>
  </conditionalFormatting>
  <conditionalFormatting sqref="D179:S183 D185:S185 D184:R184 D178:I178 P178:S178">
    <cfRule type="expression" dxfId="15621" priority="515">
      <formula>LEN(TRIM(D178))=0</formula>
    </cfRule>
  </conditionalFormatting>
  <conditionalFormatting sqref="D185:R185">
    <cfRule type="cellIs" dxfId="15620" priority="516" operator="equal">
      <formula>0</formula>
    </cfRule>
  </conditionalFormatting>
  <conditionalFormatting sqref="D186:R186">
    <cfRule type="cellIs" dxfId="15619" priority="517" operator="equal">
      <formula>0</formula>
    </cfRule>
  </conditionalFormatting>
  <conditionalFormatting sqref="D186:R186">
    <cfRule type="expression" dxfId="15618" priority="518">
      <formula>LEN(TRIM(D186))=0</formula>
    </cfRule>
  </conditionalFormatting>
  <conditionalFormatting sqref="S186">
    <cfRule type="cellIs" dxfId="15617" priority="511" operator="equal">
      <formula>0</formula>
    </cfRule>
  </conditionalFormatting>
  <conditionalFormatting sqref="S186">
    <cfRule type="expression" dxfId="15616" priority="512">
      <formula>LEN(TRIM(S186))=0</formula>
    </cfRule>
  </conditionalFormatting>
  <conditionalFormatting sqref="S184">
    <cfRule type="cellIs" dxfId="15615" priority="509" operator="equal">
      <formula>0</formula>
    </cfRule>
  </conditionalFormatting>
  <conditionalFormatting sqref="S184">
    <cfRule type="expression" dxfId="15614" priority="510">
      <formula>LEN(TRIM(S184))=0</formula>
    </cfRule>
  </conditionalFormatting>
  <conditionalFormatting sqref="J178:O178">
    <cfRule type="cellIs" dxfId="15613" priority="507" operator="equal">
      <formula>0</formula>
    </cfRule>
  </conditionalFormatting>
  <conditionalFormatting sqref="J178:O178">
    <cfRule type="expression" dxfId="15612" priority="508">
      <formula>LEN(TRIM(J178))=0</formula>
    </cfRule>
  </conditionalFormatting>
  <conditionalFormatting sqref="P195:S197 E195:I197 J195:O196 Q192:S194 G192:G194 D192:D197 D198:S198">
    <cfRule type="cellIs" dxfId="15611" priority="486" operator="equal">
      <formula>0</formula>
    </cfRule>
  </conditionalFormatting>
  <conditionalFormatting sqref="P192:P197">
    <cfRule type="cellIs" dxfId="15610" priority="487" operator="equal">
      <formula>0</formula>
    </cfRule>
  </conditionalFormatting>
  <conditionalFormatting sqref="D192:E197 H192:I197">
    <cfRule type="cellIs" dxfId="15609" priority="488" operator="equal">
      <formula>0</formula>
    </cfRule>
  </conditionalFormatting>
  <conditionalFormatting sqref="F192:F197">
    <cfRule type="cellIs" dxfId="15608" priority="489" operator="equal">
      <formula>0</formula>
    </cfRule>
  </conditionalFormatting>
  <conditionalFormatting sqref="J195:J197">
    <cfRule type="cellIs" dxfId="15607" priority="490" operator="equal">
      <formula>0</formula>
    </cfRule>
  </conditionalFormatting>
  <conditionalFormatting sqref="J192:J197 K192:O192">
    <cfRule type="cellIs" dxfId="15606" priority="491" operator="equal">
      <formula>0</formula>
    </cfRule>
  </conditionalFormatting>
  <conditionalFormatting sqref="K195:K197">
    <cfRule type="cellIs" dxfId="15605" priority="492" operator="equal">
      <formula>0</formula>
    </cfRule>
  </conditionalFormatting>
  <conditionalFormatting sqref="K192:K197">
    <cfRule type="cellIs" dxfId="15604" priority="493" operator="equal">
      <formula>0</formula>
    </cfRule>
  </conditionalFormatting>
  <conditionalFormatting sqref="L195:L197">
    <cfRule type="cellIs" dxfId="15603" priority="494" operator="equal">
      <formula>0</formula>
    </cfRule>
  </conditionalFormatting>
  <conditionalFormatting sqref="L192:L197">
    <cfRule type="cellIs" dxfId="15602" priority="495" operator="equal">
      <formula>0</formula>
    </cfRule>
  </conditionalFormatting>
  <conditionalFormatting sqref="M195:M197">
    <cfRule type="cellIs" dxfId="15601" priority="496" operator="equal">
      <formula>0</formula>
    </cfRule>
  </conditionalFormatting>
  <conditionalFormatting sqref="M192:M197">
    <cfRule type="cellIs" dxfId="15600" priority="497" operator="equal">
      <formula>0</formula>
    </cfRule>
  </conditionalFormatting>
  <conditionalFormatting sqref="N195:N197">
    <cfRule type="cellIs" dxfId="15599" priority="498" operator="equal">
      <formula>0</formula>
    </cfRule>
  </conditionalFormatting>
  <conditionalFormatting sqref="N192:N197">
    <cfRule type="cellIs" dxfId="15598" priority="499" operator="equal">
      <formula>0</formula>
    </cfRule>
  </conditionalFormatting>
  <conditionalFormatting sqref="O195:O197">
    <cfRule type="cellIs" dxfId="15597" priority="500" operator="equal">
      <formula>0</formula>
    </cfRule>
  </conditionalFormatting>
  <conditionalFormatting sqref="O192:O197">
    <cfRule type="cellIs" dxfId="15596" priority="501" operator="equal">
      <formula>0</formula>
    </cfRule>
  </conditionalFormatting>
  <conditionalFormatting sqref="D192:S198">
    <cfRule type="expression" dxfId="15595" priority="502">
      <formula>LEN(TRIM(D192))=0</formula>
    </cfRule>
  </conditionalFormatting>
  <conditionalFormatting sqref="L195:L196">
    <cfRule type="cellIs" dxfId="15594" priority="503" operator="equal">
      <formula>0</formula>
    </cfRule>
  </conditionalFormatting>
  <conditionalFormatting sqref="M195:M196">
    <cfRule type="cellIs" dxfId="15593" priority="504" operator="equal">
      <formula>0</formula>
    </cfRule>
  </conditionalFormatting>
  <conditionalFormatting sqref="N195:O195">
    <cfRule type="cellIs" dxfId="15592" priority="505" operator="equal">
      <formula>0</formula>
    </cfRule>
  </conditionalFormatting>
  <conditionalFormatting sqref="N196:O196">
    <cfRule type="cellIs" dxfId="15591" priority="506" operator="equal">
      <formula>0</formula>
    </cfRule>
  </conditionalFormatting>
  <conditionalFormatting sqref="E209:G209 D210:G211 H209:I211 D205:I208 J205:R211 D200:S200 D212:R212 D201:I202 S201:S212 P201:R202">
    <cfRule type="cellIs" dxfId="15590" priority="480" operator="equal">
      <formula>0</formula>
    </cfRule>
  </conditionalFormatting>
  <conditionalFormatting sqref="D209">
    <cfRule type="cellIs" dxfId="15589" priority="481" operator="equal">
      <formula>0</formula>
    </cfRule>
  </conditionalFormatting>
  <conditionalFormatting sqref="D200:S200 D205:R212 D201:I202 S201:S212 P201:R202">
    <cfRule type="expression" dxfId="15588" priority="482">
      <formula>LEN(TRIM(D200))=0</formula>
    </cfRule>
  </conditionalFormatting>
  <conditionalFormatting sqref="D203:R204">
    <cfRule type="cellIs" dxfId="15587" priority="483" operator="equal">
      <formula>0</formula>
    </cfRule>
  </conditionalFormatting>
  <conditionalFormatting sqref="P203:P204">
    <cfRule type="cellIs" dxfId="15586" priority="484" operator="equal">
      <formula>0</formula>
    </cfRule>
  </conditionalFormatting>
  <conditionalFormatting sqref="D203:R204">
    <cfRule type="expression" dxfId="15585" priority="485">
      <formula>LEN(TRIM(D203))=0</formula>
    </cfRule>
  </conditionalFormatting>
  <conditionalFormatting sqref="J201:O202">
    <cfRule type="cellIs" dxfId="15584" priority="478" operator="equal">
      <formula>0</formula>
    </cfRule>
  </conditionalFormatting>
  <conditionalFormatting sqref="J201:O202">
    <cfRule type="expression" dxfId="15583" priority="479">
      <formula>LEN(TRIM(J201))=0</formula>
    </cfRule>
  </conditionalFormatting>
  <conditionalFormatting sqref="D215:R220 S214:S219 S221 D214:I214 P214:R214">
    <cfRule type="cellIs" dxfId="15582" priority="472" operator="equal">
      <formula>0</formula>
    </cfRule>
  </conditionalFormatting>
  <conditionalFormatting sqref="D221:R221">
    <cfRule type="cellIs" dxfId="15581" priority="473" operator="equal">
      <formula>0</formula>
    </cfRule>
  </conditionalFormatting>
  <conditionalFormatting sqref="D215:S219 D221:S221 D220:R220 D214:I214 P214:S214">
    <cfRule type="expression" dxfId="15580" priority="474">
      <formula>LEN(TRIM(D214))=0</formula>
    </cfRule>
  </conditionalFormatting>
  <conditionalFormatting sqref="D221:R221">
    <cfRule type="cellIs" dxfId="15579" priority="475" operator="equal">
      <formula>0</formula>
    </cfRule>
  </conditionalFormatting>
  <conditionalFormatting sqref="D222:R222">
    <cfRule type="cellIs" dxfId="15578" priority="476" operator="equal">
      <formula>0</formula>
    </cfRule>
  </conditionalFormatting>
  <conditionalFormatting sqref="D222:R222">
    <cfRule type="expression" dxfId="15577" priority="477">
      <formula>LEN(TRIM(D222))=0</formula>
    </cfRule>
  </conditionalFormatting>
  <conditionalFormatting sqref="S222">
    <cfRule type="cellIs" dxfId="15576" priority="470" operator="equal">
      <formula>0</formula>
    </cfRule>
  </conditionalFormatting>
  <conditionalFormatting sqref="S222">
    <cfRule type="expression" dxfId="15575" priority="471">
      <formula>LEN(TRIM(S222))=0</formula>
    </cfRule>
  </conditionalFormatting>
  <conditionalFormatting sqref="S220">
    <cfRule type="cellIs" dxfId="15574" priority="468" operator="equal">
      <formula>0</formula>
    </cfRule>
  </conditionalFormatting>
  <conditionalFormatting sqref="S220">
    <cfRule type="expression" dxfId="15573" priority="469">
      <formula>LEN(TRIM(S220))=0</formula>
    </cfRule>
  </conditionalFormatting>
  <conditionalFormatting sqref="J214:O214">
    <cfRule type="cellIs" dxfId="15572" priority="466" operator="equal">
      <formula>0</formula>
    </cfRule>
  </conditionalFormatting>
  <conditionalFormatting sqref="J214:O214">
    <cfRule type="expression" dxfId="15571" priority="467">
      <formula>LEN(TRIM(J214))=0</formula>
    </cfRule>
  </conditionalFormatting>
  <conditionalFormatting sqref="P231:S233 E231:I233 J231:O232 Q228:S230 G228:G230 D228:D233 D234:S234">
    <cfRule type="cellIs" dxfId="15570" priority="445" operator="equal">
      <formula>0</formula>
    </cfRule>
  </conditionalFormatting>
  <conditionalFormatting sqref="P228:P233">
    <cfRule type="cellIs" dxfId="15569" priority="446" operator="equal">
      <formula>0</formula>
    </cfRule>
  </conditionalFormatting>
  <conditionalFormatting sqref="D228:E233 H228:I233">
    <cfRule type="cellIs" dxfId="15568" priority="447" operator="equal">
      <formula>0</formula>
    </cfRule>
  </conditionalFormatting>
  <conditionalFormatting sqref="F228:F233">
    <cfRule type="cellIs" dxfId="15567" priority="448" operator="equal">
      <formula>0</formula>
    </cfRule>
  </conditionalFormatting>
  <conditionalFormatting sqref="J231:J233">
    <cfRule type="cellIs" dxfId="15566" priority="449" operator="equal">
      <formula>0</formula>
    </cfRule>
  </conditionalFormatting>
  <conditionalFormatting sqref="J228:J233 K228:O228">
    <cfRule type="cellIs" dxfId="15565" priority="450" operator="equal">
      <formula>0</formula>
    </cfRule>
  </conditionalFormatting>
  <conditionalFormatting sqref="K231:K233">
    <cfRule type="cellIs" dxfId="15564" priority="451" operator="equal">
      <formula>0</formula>
    </cfRule>
  </conditionalFormatting>
  <conditionalFormatting sqref="K228:K233">
    <cfRule type="cellIs" dxfId="15563" priority="452" operator="equal">
      <formula>0</formula>
    </cfRule>
  </conditionalFormatting>
  <conditionalFormatting sqref="L231:L233">
    <cfRule type="cellIs" dxfId="15562" priority="453" operator="equal">
      <formula>0</formula>
    </cfRule>
  </conditionalFormatting>
  <conditionalFormatting sqref="L228:L233">
    <cfRule type="cellIs" dxfId="15561" priority="454" operator="equal">
      <formula>0</formula>
    </cfRule>
  </conditionalFormatting>
  <conditionalFormatting sqref="M231:M233">
    <cfRule type="cellIs" dxfId="15560" priority="455" operator="equal">
      <formula>0</formula>
    </cfRule>
  </conditionalFormatting>
  <conditionalFormatting sqref="M228:M233">
    <cfRule type="cellIs" dxfId="15559" priority="456" operator="equal">
      <formula>0</formula>
    </cfRule>
  </conditionalFormatting>
  <conditionalFormatting sqref="N231:N233">
    <cfRule type="cellIs" dxfId="15558" priority="457" operator="equal">
      <formula>0</formula>
    </cfRule>
  </conditionalFormatting>
  <conditionalFormatting sqref="N228:N233">
    <cfRule type="cellIs" dxfId="15557" priority="458" operator="equal">
      <formula>0</formula>
    </cfRule>
  </conditionalFormatting>
  <conditionalFormatting sqref="O231:O233">
    <cfRule type="cellIs" dxfId="15556" priority="459" operator="equal">
      <formula>0</formula>
    </cfRule>
  </conditionalFormatting>
  <conditionalFormatting sqref="O228:O233">
    <cfRule type="cellIs" dxfId="15555" priority="460" operator="equal">
      <formula>0</formula>
    </cfRule>
  </conditionalFormatting>
  <conditionalFormatting sqref="D228:S234">
    <cfRule type="expression" dxfId="15554" priority="461">
      <formula>LEN(TRIM(D228))=0</formula>
    </cfRule>
  </conditionalFormatting>
  <conditionalFormatting sqref="L231:L232">
    <cfRule type="cellIs" dxfId="15553" priority="462" operator="equal">
      <formula>0</formula>
    </cfRule>
  </conditionalFormatting>
  <conditionalFormatting sqref="M231:M232">
    <cfRule type="cellIs" dxfId="15552" priority="463" operator="equal">
      <formula>0</formula>
    </cfRule>
  </conditionalFormatting>
  <conditionalFormatting sqref="N231:O231">
    <cfRule type="cellIs" dxfId="15551" priority="464" operator="equal">
      <formula>0</formula>
    </cfRule>
  </conditionalFormatting>
  <conditionalFormatting sqref="N232:O232">
    <cfRule type="cellIs" dxfId="15550" priority="465" operator="equal">
      <formula>0</formula>
    </cfRule>
  </conditionalFormatting>
  <conditionalFormatting sqref="E245:G245 D246:G247 H245:I247 D241:I244 J241:R247 D236:S236 D248:R248 D237:I238 S237:S248 P237:R238">
    <cfRule type="cellIs" dxfId="15549" priority="439" operator="equal">
      <formula>0</formula>
    </cfRule>
  </conditionalFormatting>
  <conditionalFormatting sqref="D245">
    <cfRule type="cellIs" dxfId="15548" priority="440" operator="equal">
      <formula>0</formula>
    </cfRule>
  </conditionalFormatting>
  <conditionalFormatting sqref="D236:S236 D241:R248 D237:I238 S237:S248 P237:R238">
    <cfRule type="expression" dxfId="15547" priority="441">
      <formula>LEN(TRIM(D236))=0</formula>
    </cfRule>
  </conditionalFormatting>
  <conditionalFormatting sqref="D239:R240">
    <cfRule type="cellIs" dxfId="15546" priority="442" operator="equal">
      <formula>0</formula>
    </cfRule>
  </conditionalFormatting>
  <conditionalFormatting sqref="P239:P240">
    <cfRule type="cellIs" dxfId="15545" priority="443" operator="equal">
      <formula>0</formula>
    </cfRule>
  </conditionalFormatting>
  <conditionalFormatting sqref="D239:R240">
    <cfRule type="expression" dxfId="15544" priority="444">
      <formula>LEN(TRIM(D239))=0</formula>
    </cfRule>
  </conditionalFormatting>
  <conditionalFormatting sqref="J237:O238">
    <cfRule type="cellIs" dxfId="15543" priority="437" operator="equal">
      <formula>0</formula>
    </cfRule>
  </conditionalFormatting>
  <conditionalFormatting sqref="J237:O238">
    <cfRule type="expression" dxfId="15542" priority="438">
      <formula>LEN(TRIM(J237))=0</formula>
    </cfRule>
  </conditionalFormatting>
  <conditionalFormatting sqref="D251:R256 S250:S255 S257 D250:I250 P250:R250">
    <cfRule type="cellIs" dxfId="15541" priority="431" operator="equal">
      <formula>0</formula>
    </cfRule>
  </conditionalFormatting>
  <conditionalFormatting sqref="D257:R257">
    <cfRule type="cellIs" dxfId="15540" priority="432" operator="equal">
      <formula>0</formula>
    </cfRule>
  </conditionalFormatting>
  <conditionalFormatting sqref="D251:S255 D257:S257 D256:R256 D250:I250 P250:S250">
    <cfRule type="expression" dxfId="15539" priority="433">
      <formula>LEN(TRIM(D250))=0</formula>
    </cfRule>
  </conditionalFormatting>
  <conditionalFormatting sqref="D257:R257">
    <cfRule type="cellIs" dxfId="15538" priority="434" operator="equal">
      <formula>0</formula>
    </cfRule>
  </conditionalFormatting>
  <conditionalFormatting sqref="D258:R258">
    <cfRule type="cellIs" dxfId="15537" priority="435" operator="equal">
      <formula>0</formula>
    </cfRule>
  </conditionalFormatting>
  <conditionalFormatting sqref="D258:R258">
    <cfRule type="expression" dxfId="15536" priority="436">
      <formula>LEN(TRIM(D258))=0</formula>
    </cfRule>
  </conditionalFormatting>
  <conditionalFormatting sqref="S258">
    <cfRule type="cellIs" dxfId="15535" priority="429" operator="equal">
      <formula>0</formula>
    </cfRule>
  </conditionalFormatting>
  <conditionalFormatting sqref="S258">
    <cfRule type="expression" dxfId="15534" priority="430">
      <formula>LEN(TRIM(S258))=0</formula>
    </cfRule>
  </conditionalFormatting>
  <conditionalFormatting sqref="S256">
    <cfRule type="cellIs" dxfId="15533" priority="427" operator="equal">
      <formula>0</formula>
    </cfRule>
  </conditionalFormatting>
  <conditionalFormatting sqref="S256">
    <cfRule type="expression" dxfId="15532" priority="428">
      <formula>LEN(TRIM(S256))=0</formula>
    </cfRule>
  </conditionalFormatting>
  <conditionalFormatting sqref="J250:O250">
    <cfRule type="cellIs" dxfId="15531" priority="425" operator="equal">
      <formula>0</formula>
    </cfRule>
  </conditionalFormatting>
  <conditionalFormatting sqref="J250:O250">
    <cfRule type="expression" dxfId="15530" priority="426">
      <formula>LEN(TRIM(J250))=0</formula>
    </cfRule>
  </conditionalFormatting>
  <conditionalFormatting sqref="AH15:AK17 W15:AA17 AB15:AG16 AI12:AK14 Y12:Y14 V12:V17 V18:AK18">
    <cfRule type="cellIs" dxfId="15529" priority="363" operator="equal">
      <formula>0</formula>
    </cfRule>
  </conditionalFormatting>
  <conditionalFormatting sqref="AH12:AH17">
    <cfRule type="cellIs" dxfId="15528" priority="364" operator="equal">
      <formula>0</formula>
    </cfRule>
  </conditionalFormatting>
  <conditionalFormatting sqref="V12:W17 Z12:AA17">
    <cfRule type="cellIs" dxfId="15527" priority="365" operator="equal">
      <formula>0</formula>
    </cfRule>
  </conditionalFormatting>
  <conditionalFormatting sqref="X12:X17">
    <cfRule type="cellIs" dxfId="15526" priority="366" operator="equal">
      <formula>0</formula>
    </cfRule>
  </conditionalFormatting>
  <conditionalFormatting sqref="AB15:AB17">
    <cfRule type="cellIs" dxfId="15525" priority="367" operator="equal">
      <formula>0</formula>
    </cfRule>
  </conditionalFormatting>
  <conditionalFormatting sqref="AB12:AB17 AC12:AG12">
    <cfRule type="cellIs" dxfId="15524" priority="368" operator="equal">
      <formula>0</formula>
    </cfRule>
  </conditionalFormatting>
  <conditionalFormatting sqref="AC15:AC17">
    <cfRule type="cellIs" dxfId="15523" priority="369" operator="equal">
      <formula>0</formula>
    </cfRule>
  </conditionalFormatting>
  <conditionalFormatting sqref="AC12:AC17">
    <cfRule type="cellIs" dxfId="15522" priority="370" operator="equal">
      <formula>0</formula>
    </cfRule>
  </conditionalFormatting>
  <conditionalFormatting sqref="AD15:AD17">
    <cfRule type="cellIs" dxfId="15521" priority="371" operator="equal">
      <formula>0</formula>
    </cfRule>
  </conditionalFormatting>
  <conditionalFormatting sqref="AD12:AD17">
    <cfRule type="cellIs" dxfId="15520" priority="372" operator="equal">
      <formula>0</formula>
    </cfRule>
  </conditionalFormatting>
  <conditionalFormatting sqref="AE15:AE17">
    <cfRule type="cellIs" dxfId="15519" priority="373" operator="equal">
      <formula>0</formula>
    </cfRule>
  </conditionalFormatting>
  <conditionalFormatting sqref="AE12:AE17">
    <cfRule type="cellIs" dxfId="15518" priority="374" operator="equal">
      <formula>0</formula>
    </cfRule>
  </conditionalFormatting>
  <conditionalFormatting sqref="AF15:AF17">
    <cfRule type="cellIs" dxfId="15517" priority="375" operator="equal">
      <formula>0</formula>
    </cfRule>
  </conditionalFormatting>
  <conditionalFormatting sqref="AF12:AF17">
    <cfRule type="cellIs" dxfId="15516" priority="376" operator="equal">
      <formula>0</formula>
    </cfRule>
  </conditionalFormatting>
  <conditionalFormatting sqref="AG15:AG17">
    <cfRule type="cellIs" dxfId="15515" priority="377" operator="equal">
      <formula>0</formula>
    </cfRule>
  </conditionalFormatting>
  <conditionalFormatting sqref="AG12:AG17">
    <cfRule type="cellIs" dxfId="15514" priority="378" operator="equal">
      <formula>0</formula>
    </cfRule>
  </conditionalFormatting>
  <conditionalFormatting sqref="V12:AK18">
    <cfRule type="expression" dxfId="15513" priority="379">
      <formula>LEN(TRIM(V12))=0</formula>
    </cfRule>
  </conditionalFormatting>
  <conditionalFormatting sqref="AD15:AD16">
    <cfRule type="cellIs" dxfId="15512" priority="380" operator="equal">
      <formula>0</formula>
    </cfRule>
  </conditionalFormatting>
  <conditionalFormatting sqref="AE15:AE16">
    <cfRule type="cellIs" dxfId="15511" priority="381" operator="equal">
      <formula>0</formula>
    </cfRule>
  </conditionalFormatting>
  <conditionalFormatting sqref="AF15:AG15">
    <cfRule type="cellIs" dxfId="15510" priority="382" operator="equal">
      <formula>0</formula>
    </cfRule>
  </conditionalFormatting>
  <conditionalFormatting sqref="AF16:AG16">
    <cfRule type="cellIs" dxfId="15509" priority="383" operator="equal">
      <formula>0</formula>
    </cfRule>
  </conditionalFormatting>
  <conditionalFormatting sqref="W29:Y29 V30:Y31 Z29:AA31 V25:AA28 AB25:AJ31 V20:AK20 V32:AJ32 V21:AA22 AK21:AK32 AH21:AJ22">
    <cfRule type="cellIs" dxfId="15508" priority="357" operator="equal">
      <formula>0</formula>
    </cfRule>
  </conditionalFormatting>
  <conditionalFormatting sqref="V29">
    <cfRule type="cellIs" dxfId="15507" priority="358" operator="equal">
      <formula>0</formula>
    </cfRule>
  </conditionalFormatting>
  <conditionalFormatting sqref="V20:AK20 V25:AJ32 V21:AA22 AK21:AK32 AH21:AJ22">
    <cfRule type="expression" dxfId="15506" priority="359">
      <formula>LEN(TRIM(V20))=0</formula>
    </cfRule>
  </conditionalFormatting>
  <conditionalFormatting sqref="V23:AJ24">
    <cfRule type="cellIs" dxfId="15505" priority="360" operator="equal">
      <formula>0</formula>
    </cfRule>
  </conditionalFormatting>
  <conditionalFormatting sqref="AH23:AH24">
    <cfRule type="cellIs" dxfId="15504" priority="361" operator="equal">
      <formula>0</formula>
    </cfRule>
  </conditionalFormatting>
  <conditionalFormatting sqref="V23:AJ24">
    <cfRule type="expression" dxfId="15503" priority="362">
      <formula>LEN(TRIM(V23))=0</formula>
    </cfRule>
  </conditionalFormatting>
  <conditionalFormatting sqref="AB21:AG22">
    <cfRule type="cellIs" dxfId="15502" priority="355" operator="equal">
      <formula>0</formula>
    </cfRule>
  </conditionalFormatting>
  <conditionalFormatting sqref="AB21:AG22">
    <cfRule type="expression" dxfId="15501" priority="356">
      <formula>LEN(TRIM(AB21))=0</formula>
    </cfRule>
  </conditionalFormatting>
  <conditionalFormatting sqref="V35:AJ40 AK34:AK39 AK41 V34:AA34 AH34:AJ34">
    <cfRule type="cellIs" dxfId="15500" priority="349" operator="equal">
      <formula>0</formula>
    </cfRule>
  </conditionalFormatting>
  <conditionalFormatting sqref="V41:AJ41">
    <cfRule type="cellIs" dxfId="15499" priority="350" operator="equal">
      <formula>0</formula>
    </cfRule>
  </conditionalFormatting>
  <conditionalFormatting sqref="V35:AK39 V41:AK41 V40:AJ40 V34:AA34 AH34:AK34">
    <cfRule type="expression" dxfId="15498" priority="351">
      <formula>LEN(TRIM(V34))=0</formula>
    </cfRule>
  </conditionalFormatting>
  <conditionalFormatting sqref="V41:AJ41">
    <cfRule type="cellIs" dxfId="15497" priority="352" operator="equal">
      <formula>0</formula>
    </cfRule>
  </conditionalFormatting>
  <conditionalFormatting sqref="V42:AJ42">
    <cfRule type="cellIs" dxfId="15496" priority="353" operator="equal">
      <formula>0</formula>
    </cfRule>
  </conditionalFormatting>
  <conditionalFormatting sqref="V42:AJ42">
    <cfRule type="expression" dxfId="15495" priority="354">
      <formula>LEN(TRIM(V42))=0</formula>
    </cfRule>
  </conditionalFormatting>
  <conditionalFormatting sqref="AK42">
    <cfRule type="cellIs" dxfId="15494" priority="347" operator="equal">
      <formula>0</formula>
    </cfRule>
  </conditionalFormatting>
  <conditionalFormatting sqref="AK42">
    <cfRule type="expression" dxfId="15493" priority="348">
      <formula>LEN(TRIM(AK42))=0</formula>
    </cfRule>
  </conditionalFormatting>
  <conditionalFormatting sqref="AK40">
    <cfRule type="cellIs" dxfId="15492" priority="345" operator="equal">
      <formula>0</formula>
    </cfRule>
  </conditionalFormatting>
  <conditionalFormatting sqref="AK40">
    <cfRule type="expression" dxfId="15491" priority="346">
      <formula>LEN(TRIM(AK40))=0</formula>
    </cfRule>
  </conditionalFormatting>
  <conditionalFormatting sqref="AB34:AG34">
    <cfRule type="cellIs" dxfId="15490" priority="343" operator="equal">
      <formula>0</formula>
    </cfRule>
  </conditionalFormatting>
  <conditionalFormatting sqref="AB34:AG34">
    <cfRule type="expression" dxfId="15489" priority="344">
      <formula>LEN(TRIM(AB34))=0</formula>
    </cfRule>
  </conditionalFormatting>
  <conditionalFormatting sqref="AH51:AK53 W51:AA53 AB51:AG52 AI48:AK50 Y48:Y50 V48:V53 V54:AK54">
    <cfRule type="cellIs" dxfId="15488" priority="322" operator="equal">
      <formula>0</formula>
    </cfRule>
  </conditionalFormatting>
  <conditionalFormatting sqref="AH48:AH53">
    <cfRule type="cellIs" dxfId="15487" priority="323" operator="equal">
      <formula>0</formula>
    </cfRule>
  </conditionalFormatting>
  <conditionalFormatting sqref="V48:W53 Z48:AA53">
    <cfRule type="cellIs" dxfId="15486" priority="324" operator="equal">
      <formula>0</formula>
    </cfRule>
  </conditionalFormatting>
  <conditionalFormatting sqref="X48:X53">
    <cfRule type="cellIs" dxfId="15485" priority="325" operator="equal">
      <formula>0</formula>
    </cfRule>
  </conditionalFormatting>
  <conditionalFormatting sqref="AB51:AB53">
    <cfRule type="cellIs" dxfId="15484" priority="326" operator="equal">
      <formula>0</formula>
    </cfRule>
  </conditionalFormatting>
  <conditionalFormatting sqref="AB48:AB53 AC48:AG48">
    <cfRule type="cellIs" dxfId="15483" priority="327" operator="equal">
      <formula>0</formula>
    </cfRule>
  </conditionalFormatting>
  <conditionalFormatting sqref="AC51:AC53">
    <cfRule type="cellIs" dxfId="15482" priority="328" operator="equal">
      <formula>0</formula>
    </cfRule>
  </conditionalFormatting>
  <conditionalFormatting sqref="AC48:AC53">
    <cfRule type="cellIs" dxfId="15481" priority="329" operator="equal">
      <formula>0</formula>
    </cfRule>
  </conditionalFormatting>
  <conditionalFormatting sqref="AD51:AD53">
    <cfRule type="cellIs" dxfId="15480" priority="330" operator="equal">
      <formula>0</formula>
    </cfRule>
  </conditionalFormatting>
  <conditionalFormatting sqref="AD48:AD53">
    <cfRule type="cellIs" dxfId="15479" priority="331" operator="equal">
      <formula>0</formula>
    </cfRule>
  </conditionalFormatting>
  <conditionalFormatting sqref="AE51:AE53">
    <cfRule type="cellIs" dxfId="15478" priority="332" operator="equal">
      <formula>0</formula>
    </cfRule>
  </conditionalFormatting>
  <conditionalFormatting sqref="AE48:AE53">
    <cfRule type="cellIs" dxfId="15477" priority="333" operator="equal">
      <formula>0</formula>
    </cfRule>
  </conditionalFormatting>
  <conditionalFormatting sqref="AF51:AF53">
    <cfRule type="cellIs" dxfId="15476" priority="334" operator="equal">
      <formula>0</formula>
    </cfRule>
  </conditionalFormatting>
  <conditionalFormatting sqref="AF48:AF53">
    <cfRule type="cellIs" dxfId="15475" priority="335" operator="equal">
      <formula>0</formula>
    </cfRule>
  </conditionalFormatting>
  <conditionalFormatting sqref="AG51:AG53">
    <cfRule type="cellIs" dxfId="15474" priority="336" operator="equal">
      <formula>0</formula>
    </cfRule>
  </conditionalFormatting>
  <conditionalFormatting sqref="AG48:AG53">
    <cfRule type="cellIs" dxfId="15473" priority="337" operator="equal">
      <formula>0</formula>
    </cfRule>
  </conditionalFormatting>
  <conditionalFormatting sqref="V48:AK54">
    <cfRule type="expression" dxfId="15472" priority="338">
      <formula>LEN(TRIM(V48))=0</formula>
    </cfRule>
  </conditionalFormatting>
  <conditionalFormatting sqref="AD51:AD52">
    <cfRule type="cellIs" dxfId="15471" priority="339" operator="equal">
      <formula>0</formula>
    </cfRule>
  </conditionalFormatting>
  <conditionalFormatting sqref="AE51:AE52">
    <cfRule type="cellIs" dxfId="15470" priority="340" operator="equal">
      <formula>0</formula>
    </cfRule>
  </conditionalFormatting>
  <conditionalFormatting sqref="AF51:AG51">
    <cfRule type="cellIs" dxfId="15469" priority="341" operator="equal">
      <formula>0</formula>
    </cfRule>
  </conditionalFormatting>
  <conditionalFormatting sqref="AF52:AG52">
    <cfRule type="cellIs" dxfId="15468" priority="342" operator="equal">
      <formula>0</formula>
    </cfRule>
  </conditionalFormatting>
  <conditionalFormatting sqref="W65:Y65 V66:Y67 Z65:AA67 V61:AA64 AB61:AJ67 V56:AK56 V68:AJ68 V57:AA58 AK57:AK68 AH57:AJ58">
    <cfRule type="cellIs" dxfId="15467" priority="316" operator="equal">
      <formula>0</formula>
    </cfRule>
  </conditionalFormatting>
  <conditionalFormatting sqref="V65">
    <cfRule type="cellIs" dxfId="15466" priority="317" operator="equal">
      <formula>0</formula>
    </cfRule>
  </conditionalFormatting>
  <conditionalFormatting sqref="V56:AK56 V61:AJ68 V57:AA58 AK57:AK68 AH57:AJ58">
    <cfRule type="expression" dxfId="15465" priority="318">
      <formula>LEN(TRIM(V56))=0</formula>
    </cfRule>
  </conditionalFormatting>
  <conditionalFormatting sqref="V59:AJ60">
    <cfRule type="cellIs" dxfId="15464" priority="319" operator="equal">
      <formula>0</formula>
    </cfRule>
  </conditionalFormatting>
  <conditionalFormatting sqref="AH59:AH60">
    <cfRule type="cellIs" dxfId="15463" priority="320" operator="equal">
      <formula>0</formula>
    </cfRule>
  </conditionalFormatting>
  <conditionalFormatting sqref="V59:AJ60">
    <cfRule type="expression" dxfId="15462" priority="321">
      <formula>LEN(TRIM(V59))=0</formula>
    </cfRule>
  </conditionalFormatting>
  <conditionalFormatting sqref="AB57:AG58">
    <cfRule type="cellIs" dxfId="15461" priority="314" operator="equal">
      <formula>0</formula>
    </cfRule>
  </conditionalFormatting>
  <conditionalFormatting sqref="AB57:AG58">
    <cfRule type="expression" dxfId="15460" priority="315">
      <formula>LEN(TRIM(AB57))=0</formula>
    </cfRule>
  </conditionalFormatting>
  <conditionalFormatting sqref="V71:AJ76 AK70:AK75 AK77 V70:AA70 AH70:AJ70">
    <cfRule type="cellIs" dxfId="15459" priority="308" operator="equal">
      <formula>0</formula>
    </cfRule>
  </conditionalFormatting>
  <conditionalFormatting sqref="V77:AJ77">
    <cfRule type="cellIs" dxfId="15458" priority="309" operator="equal">
      <formula>0</formula>
    </cfRule>
  </conditionalFormatting>
  <conditionalFormatting sqref="V71:AK75 V77:AK77 V76:AJ76 V70:AA70 AH70:AK70">
    <cfRule type="expression" dxfId="15457" priority="310">
      <formula>LEN(TRIM(V70))=0</formula>
    </cfRule>
  </conditionalFormatting>
  <conditionalFormatting sqref="V77:AJ77">
    <cfRule type="cellIs" dxfId="15456" priority="311" operator="equal">
      <formula>0</formula>
    </cfRule>
  </conditionalFormatting>
  <conditionalFormatting sqref="V78:AJ78">
    <cfRule type="cellIs" dxfId="15455" priority="312" operator="equal">
      <formula>0</formula>
    </cfRule>
  </conditionalFormatting>
  <conditionalFormatting sqref="V78:AJ78">
    <cfRule type="expression" dxfId="15454" priority="313">
      <formula>LEN(TRIM(V78))=0</formula>
    </cfRule>
  </conditionalFormatting>
  <conditionalFormatting sqref="AK78">
    <cfRule type="cellIs" dxfId="15453" priority="306" operator="equal">
      <formula>0</formula>
    </cfRule>
  </conditionalFormatting>
  <conditionalFormatting sqref="AK78">
    <cfRule type="expression" dxfId="15452" priority="307">
      <formula>LEN(TRIM(AK78))=0</formula>
    </cfRule>
  </conditionalFormatting>
  <conditionalFormatting sqref="AK76">
    <cfRule type="cellIs" dxfId="15451" priority="304" operator="equal">
      <formula>0</formula>
    </cfRule>
  </conditionalFormatting>
  <conditionalFormatting sqref="AK76">
    <cfRule type="expression" dxfId="15450" priority="305">
      <formula>LEN(TRIM(AK76))=0</formula>
    </cfRule>
  </conditionalFormatting>
  <conditionalFormatting sqref="AB70:AG70">
    <cfRule type="cellIs" dxfId="15449" priority="302" operator="equal">
      <formula>0</formula>
    </cfRule>
  </conditionalFormatting>
  <conditionalFormatting sqref="AB70:AG70">
    <cfRule type="expression" dxfId="15448" priority="303">
      <formula>LEN(TRIM(AB70))=0</formula>
    </cfRule>
  </conditionalFormatting>
  <conditionalFormatting sqref="AH87:AK89 W87:AA89 AB87:AG88 AI84:AK86 Y84:Y86 V84:V89 V90:AK90">
    <cfRule type="cellIs" dxfId="15447" priority="281" operator="equal">
      <formula>0</formula>
    </cfRule>
  </conditionalFormatting>
  <conditionalFormatting sqref="AH84:AH89">
    <cfRule type="cellIs" dxfId="15446" priority="282" operator="equal">
      <formula>0</formula>
    </cfRule>
  </conditionalFormatting>
  <conditionalFormatting sqref="V84:W89 Z84:AA89">
    <cfRule type="cellIs" dxfId="15445" priority="283" operator="equal">
      <formula>0</formula>
    </cfRule>
  </conditionalFormatting>
  <conditionalFormatting sqref="X84:X89">
    <cfRule type="cellIs" dxfId="15444" priority="284" operator="equal">
      <formula>0</formula>
    </cfRule>
  </conditionalFormatting>
  <conditionalFormatting sqref="AB87:AB89">
    <cfRule type="cellIs" dxfId="15443" priority="285" operator="equal">
      <formula>0</formula>
    </cfRule>
  </conditionalFormatting>
  <conditionalFormatting sqref="AB84:AB89 AC84:AG84">
    <cfRule type="cellIs" dxfId="15442" priority="286" operator="equal">
      <formula>0</formula>
    </cfRule>
  </conditionalFormatting>
  <conditionalFormatting sqref="AC87:AC89">
    <cfRule type="cellIs" dxfId="15441" priority="287" operator="equal">
      <formula>0</formula>
    </cfRule>
  </conditionalFormatting>
  <conditionalFormatting sqref="AC84:AC89">
    <cfRule type="cellIs" dxfId="15440" priority="288" operator="equal">
      <formula>0</formula>
    </cfRule>
  </conditionalFormatting>
  <conditionalFormatting sqref="AD87:AD89">
    <cfRule type="cellIs" dxfId="15439" priority="289" operator="equal">
      <formula>0</formula>
    </cfRule>
  </conditionalFormatting>
  <conditionalFormatting sqref="AD84:AD89">
    <cfRule type="cellIs" dxfId="15438" priority="290" operator="equal">
      <formula>0</formula>
    </cfRule>
  </conditionalFormatting>
  <conditionalFormatting sqref="AE87:AE89">
    <cfRule type="cellIs" dxfId="15437" priority="291" operator="equal">
      <formula>0</formula>
    </cfRule>
  </conditionalFormatting>
  <conditionalFormatting sqref="AE84:AE89">
    <cfRule type="cellIs" dxfId="15436" priority="292" operator="equal">
      <formula>0</formula>
    </cfRule>
  </conditionalFormatting>
  <conditionalFormatting sqref="AF87:AF89">
    <cfRule type="cellIs" dxfId="15435" priority="293" operator="equal">
      <formula>0</formula>
    </cfRule>
  </conditionalFormatting>
  <conditionalFormatting sqref="AF84:AF89">
    <cfRule type="cellIs" dxfId="15434" priority="294" operator="equal">
      <formula>0</formula>
    </cfRule>
  </conditionalFormatting>
  <conditionalFormatting sqref="AG87:AG89">
    <cfRule type="cellIs" dxfId="15433" priority="295" operator="equal">
      <formula>0</formula>
    </cfRule>
  </conditionalFormatting>
  <conditionalFormatting sqref="AG84:AG89">
    <cfRule type="cellIs" dxfId="15432" priority="296" operator="equal">
      <formula>0</formula>
    </cfRule>
  </conditionalFormatting>
  <conditionalFormatting sqref="V84:AK90">
    <cfRule type="expression" dxfId="15431" priority="297">
      <formula>LEN(TRIM(V84))=0</formula>
    </cfRule>
  </conditionalFormatting>
  <conditionalFormatting sqref="AD87:AD88">
    <cfRule type="cellIs" dxfId="15430" priority="298" operator="equal">
      <formula>0</formula>
    </cfRule>
  </conditionalFormatting>
  <conditionalFormatting sqref="AE87:AE88">
    <cfRule type="cellIs" dxfId="15429" priority="299" operator="equal">
      <formula>0</formula>
    </cfRule>
  </conditionalFormatting>
  <conditionalFormatting sqref="AF87:AG87">
    <cfRule type="cellIs" dxfId="15428" priority="300" operator="equal">
      <formula>0</formula>
    </cfRule>
  </conditionalFormatting>
  <conditionalFormatting sqref="AF88:AG88">
    <cfRule type="cellIs" dxfId="15427" priority="301" operator="equal">
      <formula>0</formula>
    </cfRule>
  </conditionalFormatting>
  <conditionalFormatting sqref="W101:Y101 V102:Y103 Z101:AA103 V97:AA100 AB97:AJ103 V92:AK92 V104:AJ104 V93:AA94 AK93:AK104 AH93:AJ94">
    <cfRule type="cellIs" dxfId="15426" priority="275" operator="equal">
      <formula>0</formula>
    </cfRule>
  </conditionalFormatting>
  <conditionalFormatting sqref="V101">
    <cfRule type="cellIs" dxfId="15425" priority="276" operator="equal">
      <formula>0</formula>
    </cfRule>
  </conditionalFormatting>
  <conditionalFormatting sqref="V92:AK92 V97:AJ104 V93:AA94 AK93:AK104 AH93:AJ94">
    <cfRule type="expression" dxfId="15424" priority="277">
      <formula>LEN(TRIM(V92))=0</formula>
    </cfRule>
  </conditionalFormatting>
  <conditionalFormatting sqref="V95:AJ96">
    <cfRule type="cellIs" dxfId="15423" priority="278" operator="equal">
      <formula>0</formula>
    </cfRule>
  </conditionalFormatting>
  <conditionalFormatting sqref="AH95:AH96">
    <cfRule type="cellIs" dxfId="15422" priority="279" operator="equal">
      <formula>0</formula>
    </cfRule>
  </conditionalFormatting>
  <conditionalFormatting sqref="V95:AJ96">
    <cfRule type="expression" dxfId="15421" priority="280">
      <formula>LEN(TRIM(V95))=0</formula>
    </cfRule>
  </conditionalFormatting>
  <conditionalFormatting sqref="AB93:AG94">
    <cfRule type="cellIs" dxfId="15420" priority="273" operator="equal">
      <formula>0</formula>
    </cfRule>
  </conditionalFormatting>
  <conditionalFormatting sqref="AB93:AG94">
    <cfRule type="expression" dxfId="15419" priority="274">
      <formula>LEN(TRIM(AB93))=0</formula>
    </cfRule>
  </conditionalFormatting>
  <conditionalFormatting sqref="V107:AJ112 AK106:AK111 AK113 V106:AA106 AH106:AJ106">
    <cfRule type="cellIs" dxfId="15418" priority="267" operator="equal">
      <formula>0</formula>
    </cfRule>
  </conditionalFormatting>
  <conditionalFormatting sqref="V113:AJ113">
    <cfRule type="cellIs" dxfId="15417" priority="268" operator="equal">
      <formula>0</formula>
    </cfRule>
  </conditionalFormatting>
  <conditionalFormatting sqref="V107:AK111 V113:AK113 V112:AJ112 V106:AA106 AH106:AK106">
    <cfRule type="expression" dxfId="15416" priority="269">
      <formula>LEN(TRIM(V106))=0</formula>
    </cfRule>
  </conditionalFormatting>
  <conditionalFormatting sqref="V113:AJ113">
    <cfRule type="cellIs" dxfId="15415" priority="270" operator="equal">
      <formula>0</formula>
    </cfRule>
  </conditionalFormatting>
  <conditionalFormatting sqref="V114:AJ114">
    <cfRule type="cellIs" dxfId="15414" priority="271" operator="equal">
      <formula>0</formula>
    </cfRule>
  </conditionalFormatting>
  <conditionalFormatting sqref="V114:AJ114">
    <cfRule type="expression" dxfId="15413" priority="272">
      <formula>LEN(TRIM(V114))=0</formula>
    </cfRule>
  </conditionalFormatting>
  <conditionalFormatting sqref="AK114">
    <cfRule type="cellIs" dxfId="15412" priority="265" operator="equal">
      <formula>0</formula>
    </cfRule>
  </conditionalFormatting>
  <conditionalFormatting sqref="AK114">
    <cfRule type="expression" dxfId="15411" priority="266">
      <formula>LEN(TRIM(AK114))=0</formula>
    </cfRule>
  </conditionalFormatting>
  <conditionalFormatting sqref="AK112">
    <cfRule type="cellIs" dxfId="15410" priority="263" operator="equal">
      <formula>0</formula>
    </cfRule>
  </conditionalFormatting>
  <conditionalFormatting sqref="AK112">
    <cfRule type="expression" dxfId="15409" priority="264">
      <formula>LEN(TRIM(AK112))=0</formula>
    </cfRule>
  </conditionalFormatting>
  <conditionalFormatting sqref="AB106:AG106">
    <cfRule type="cellIs" dxfId="15408" priority="261" operator="equal">
      <formula>0</formula>
    </cfRule>
  </conditionalFormatting>
  <conditionalFormatting sqref="AB106:AG106">
    <cfRule type="expression" dxfId="15407" priority="262">
      <formula>LEN(TRIM(AB106))=0</formula>
    </cfRule>
  </conditionalFormatting>
  <conditionalFormatting sqref="AH123:AK125 W123:AA125 AB123:AG124 AI120:AK122 Y120:Y122 V120:V125 V126:AK126">
    <cfRule type="cellIs" dxfId="15406" priority="240" operator="equal">
      <formula>0</formula>
    </cfRule>
  </conditionalFormatting>
  <conditionalFormatting sqref="AH120:AH125">
    <cfRule type="cellIs" dxfId="15405" priority="241" operator="equal">
      <formula>0</formula>
    </cfRule>
  </conditionalFormatting>
  <conditionalFormatting sqref="V120:W125 Z120:AA125">
    <cfRule type="cellIs" dxfId="15404" priority="242" operator="equal">
      <formula>0</formula>
    </cfRule>
  </conditionalFormatting>
  <conditionalFormatting sqref="X120:X125">
    <cfRule type="cellIs" dxfId="15403" priority="243" operator="equal">
      <formula>0</formula>
    </cfRule>
  </conditionalFormatting>
  <conditionalFormatting sqref="AB123:AB125">
    <cfRule type="cellIs" dxfId="15402" priority="244" operator="equal">
      <formula>0</formula>
    </cfRule>
  </conditionalFormatting>
  <conditionalFormatting sqref="AB120:AB125 AC120:AG120">
    <cfRule type="cellIs" dxfId="15401" priority="245" operator="equal">
      <formula>0</formula>
    </cfRule>
  </conditionalFormatting>
  <conditionalFormatting sqref="AC123:AC125">
    <cfRule type="cellIs" dxfId="15400" priority="246" operator="equal">
      <formula>0</formula>
    </cfRule>
  </conditionalFormatting>
  <conditionalFormatting sqref="AC120:AC125">
    <cfRule type="cellIs" dxfId="15399" priority="247" operator="equal">
      <formula>0</formula>
    </cfRule>
  </conditionalFormatting>
  <conditionalFormatting sqref="AD123:AD125">
    <cfRule type="cellIs" dxfId="15398" priority="248" operator="equal">
      <formula>0</formula>
    </cfRule>
  </conditionalFormatting>
  <conditionalFormatting sqref="AD120:AD125">
    <cfRule type="cellIs" dxfId="15397" priority="249" operator="equal">
      <formula>0</formula>
    </cfRule>
  </conditionalFormatting>
  <conditionalFormatting sqref="AE123:AE125">
    <cfRule type="cellIs" dxfId="15396" priority="250" operator="equal">
      <formula>0</formula>
    </cfRule>
  </conditionalFormatting>
  <conditionalFormatting sqref="AE120:AE125">
    <cfRule type="cellIs" dxfId="15395" priority="251" operator="equal">
      <formula>0</formula>
    </cfRule>
  </conditionalFormatting>
  <conditionalFormatting sqref="AF123:AF125">
    <cfRule type="cellIs" dxfId="15394" priority="252" operator="equal">
      <formula>0</formula>
    </cfRule>
  </conditionalFormatting>
  <conditionalFormatting sqref="AF120:AF125">
    <cfRule type="cellIs" dxfId="15393" priority="253" operator="equal">
      <formula>0</formula>
    </cfRule>
  </conditionalFormatting>
  <conditionalFormatting sqref="AG123:AG125">
    <cfRule type="cellIs" dxfId="15392" priority="254" operator="equal">
      <formula>0</formula>
    </cfRule>
  </conditionalFormatting>
  <conditionalFormatting sqref="AG120:AG125">
    <cfRule type="cellIs" dxfId="15391" priority="255" operator="equal">
      <formula>0</formula>
    </cfRule>
  </conditionalFormatting>
  <conditionalFormatting sqref="V120:AK126">
    <cfRule type="expression" dxfId="15390" priority="256">
      <formula>LEN(TRIM(V120))=0</formula>
    </cfRule>
  </conditionalFormatting>
  <conditionalFormatting sqref="AD123:AD124">
    <cfRule type="cellIs" dxfId="15389" priority="257" operator="equal">
      <formula>0</formula>
    </cfRule>
  </conditionalFormatting>
  <conditionalFormatting sqref="AE123:AE124">
    <cfRule type="cellIs" dxfId="15388" priority="258" operator="equal">
      <formula>0</formula>
    </cfRule>
  </conditionalFormatting>
  <conditionalFormatting sqref="AF123:AG123">
    <cfRule type="cellIs" dxfId="15387" priority="259" operator="equal">
      <formula>0</formula>
    </cfRule>
  </conditionalFormatting>
  <conditionalFormatting sqref="AF124:AG124">
    <cfRule type="cellIs" dxfId="15386" priority="260" operator="equal">
      <formula>0</formula>
    </cfRule>
  </conditionalFormatting>
  <conditionalFormatting sqref="W137:Y137 V138:Y139 Z137:AA139 V133:AA136 AB133:AJ139 V128:AK128 V140:AJ140 V129:AA130 AK129:AK140 AH129:AJ130">
    <cfRule type="cellIs" dxfId="15385" priority="234" operator="equal">
      <formula>0</formula>
    </cfRule>
  </conditionalFormatting>
  <conditionalFormatting sqref="V137">
    <cfRule type="cellIs" dxfId="15384" priority="235" operator="equal">
      <formula>0</formula>
    </cfRule>
  </conditionalFormatting>
  <conditionalFormatting sqref="V128:AK128 V133:AJ140 V129:AA130 AK129:AK140 AH129:AJ130">
    <cfRule type="expression" dxfId="15383" priority="236">
      <formula>LEN(TRIM(V128))=0</formula>
    </cfRule>
  </conditionalFormatting>
  <conditionalFormatting sqref="V131:AJ132">
    <cfRule type="cellIs" dxfId="15382" priority="237" operator="equal">
      <formula>0</formula>
    </cfRule>
  </conditionalFormatting>
  <conditionalFormatting sqref="AH131:AH132">
    <cfRule type="cellIs" dxfId="15381" priority="238" operator="equal">
      <formula>0</formula>
    </cfRule>
  </conditionalFormatting>
  <conditionalFormatting sqref="V131:AJ132">
    <cfRule type="expression" dxfId="15380" priority="239">
      <formula>LEN(TRIM(V131))=0</formula>
    </cfRule>
  </conditionalFormatting>
  <conditionalFormatting sqref="AB129:AG130">
    <cfRule type="cellIs" dxfId="15379" priority="232" operator="equal">
      <formula>0</formula>
    </cfRule>
  </conditionalFormatting>
  <conditionalFormatting sqref="AB129:AG130">
    <cfRule type="expression" dxfId="15378" priority="233">
      <formula>LEN(TRIM(AB129))=0</formula>
    </cfRule>
  </conditionalFormatting>
  <conditionalFormatting sqref="V143:AJ148 AK142:AK147 AK149 V142:AA142 AH142:AJ142">
    <cfRule type="cellIs" dxfId="15377" priority="226" operator="equal">
      <formula>0</formula>
    </cfRule>
  </conditionalFormatting>
  <conditionalFormatting sqref="V149:AJ149">
    <cfRule type="cellIs" dxfId="15376" priority="227" operator="equal">
      <formula>0</formula>
    </cfRule>
  </conditionalFormatting>
  <conditionalFormatting sqref="V143:AK147 V149:AK149 V148:AJ148 V142:AA142 AH142:AK142">
    <cfRule type="expression" dxfId="15375" priority="228">
      <formula>LEN(TRIM(V142))=0</formula>
    </cfRule>
  </conditionalFormatting>
  <conditionalFormatting sqref="V149:AJ149">
    <cfRule type="cellIs" dxfId="15374" priority="229" operator="equal">
      <formula>0</formula>
    </cfRule>
  </conditionalFormatting>
  <conditionalFormatting sqref="V150:AJ150">
    <cfRule type="cellIs" dxfId="15373" priority="230" operator="equal">
      <formula>0</formula>
    </cfRule>
  </conditionalFormatting>
  <conditionalFormatting sqref="V150:AJ150">
    <cfRule type="expression" dxfId="15372" priority="231">
      <formula>LEN(TRIM(V150))=0</formula>
    </cfRule>
  </conditionalFormatting>
  <conditionalFormatting sqref="AK150">
    <cfRule type="cellIs" dxfId="15371" priority="224" operator="equal">
      <formula>0</formula>
    </cfRule>
  </conditionalFormatting>
  <conditionalFormatting sqref="AK150">
    <cfRule type="expression" dxfId="15370" priority="225">
      <formula>LEN(TRIM(AK150))=0</formula>
    </cfRule>
  </conditionalFormatting>
  <conditionalFormatting sqref="AK148">
    <cfRule type="cellIs" dxfId="15369" priority="222" operator="equal">
      <formula>0</formula>
    </cfRule>
  </conditionalFormatting>
  <conditionalFormatting sqref="AK148">
    <cfRule type="expression" dxfId="15368" priority="223">
      <formula>LEN(TRIM(AK148))=0</formula>
    </cfRule>
  </conditionalFormatting>
  <conditionalFormatting sqref="AB142:AG142">
    <cfRule type="cellIs" dxfId="15367" priority="220" operator="equal">
      <formula>0</formula>
    </cfRule>
  </conditionalFormatting>
  <conditionalFormatting sqref="AB142:AG142">
    <cfRule type="expression" dxfId="15366" priority="221">
      <formula>LEN(TRIM(AB142))=0</formula>
    </cfRule>
  </conditionalFormatting>
  <conditionalFormatting sqref="AH159:AK161 W159:AA161 AB159:AG160 AI156:AK158 Y156:Y158 V156:V161 V162:AK162">
    <cfRule type="cellIs" dxfId="15365" priority="199" operator="equal">
      <formula>0</formula>
    </cfRule>
  </conditionalFormatting>
  <conditionalFormatting sqref="AH156:AH161">
    <cfRule type="cellIs" dxfId="15364" priority="200" operator="equal">
      <formula>0</formula>
    </cfRule>
  </conditionalFormatting>
  <conditionalFormatting sqref="V156:W161 Z156:AA161">
    <cfRule type="cellIs" dxfId="15363" priority="201" operator="equal">
      <formula>0</formula>
    </cfRule>
  </conditionalFormatting>
  <conditionalFormatting sqref="X156:X161">
    <cfRule type="cellIs" dxfId="15362" priority="202" operator="equal">
      <formula>0</formula>
    </cfRule>
  </conditionalFormatting>
  <conditionalFormatting sqref="AB159:AB161">
    <cfRule type="cellIs" dxfId="15361" priority="203" operator="equal">
      <formula>0</formula>
    </cfRule>
  </conditionalFormatting>
  <conditionalFormatting sqref="AB156:AB161 AC156:AG156">
    <cfRule type="cellIs" dxfId="15360" priority="204" operator="equal">
      <formula>0</formula>
    </cfRule>
  </conditionalFormatting>
  <conditionalFormatting sqref="AC159:AC161">
    <cfRule type="cellIs" dxfId="15359" priority="205" operator="equal">
      <formula>0</formula>
    </cfRule>
  </conditionalFormatting>
  <conditionalFormatting sqref="AC156:AC161">
    <cfRule type="cellIs" dxfId="15358" priority="206" operator="equal">
      <formula>0</formula>
    </cfRule>
  </conditionalFormatting>
  <conditionalFormatting sqref="AD159:AD161">
    <cfRule type="cellIs" dxfId="15357" priority="207" operator="equal">
      <formula>0</formula>
    </cfRule>
  </conditionalFormatting>
  <conditionalFormatting sqref="AD156:AD161">
    <cfRule type="cellIs" dxfId="15356" priority="208" operator="equal">
      <formula>0</formula>
    </cfRule>
  </conditionalFormatting>
  <conditionalFormatting sqref="AE159:AE161">
    <cfRule type="cellIs" dxfId="15355" priority="209" operator="equal">
      <formula>0</formula>
    </cfRule>
  </conditionalFormatting>
  <conditionalFormatting sqref="AE156:AE161">
    <cfRule type="cellIs" dxfId="15354" priority="210" operator="equal">
      <formula>0</formula>
    </cfRule>
  </conditionalFormatting>
  <conditionalFormatting sqref="AF159:AF161">
    <cfRule type="cellIs" dxfId="15353" priority="211" operator="equal">
      <formula>0</formula>
    </cfRule>
  </conditionalFormatting>
  <conditionalFormatting sqref="AF156:AF161">
    <cfRule type="cellIs" dxfId="15352" priority="212" operator="equal">
      <formula>0</formula>
    </cfRule>
  </conditionalFormatting>
  <conditionalFormatting sqref="AG159:AG161">
    <cfRule type="cellIs" dxfId="15351" priority="213" operator="equal">
      <formula>0</formula>
    </cfRule>
  </conditionalFormatting>
  <conditionalFormatting sqref="AG156:AG161">
    <cfRule type="cellIs" dxfId="15350" priority="214" operator="equal">
      <formula>0</formula>
    </cfRule>
  </conditionalFormatting>
  <conditionalFormatting sqref="V156:AK162">
    <cfRule type="expression" dxfId="15349" priority="215">
      <formula>LEN(TRIM(V156))=0</formula>
    </cfRule>
  </conditionalFormatting>
  <conditionalFormatting sqref="AD159:AD160">
    <cfRule type="cellIs" dxfId="15348" priority="216" operator="equal">
      <formula>0</formula>
    </cfRule>
  </conditionalFormatting>
  <conditionalFormatting sqref="AE159:AE160">
    <cfRule type="cellIs" dxfId="15347" priority="217" operator="equal">
      <formula>0</formula>
    </cfRule>
  </conditionalFormatting>
  <conditionalFormatting sqref="AF159:AG159">
    <cfRule type="cellIs" dxfId="15346" priority="218" operator="equal">
      <formula>0</formula>
    </cfRule>
  </conditionalFormatting>
  <conditionalFormatting sqref="AF160:AG160">
    <cfRule type="cellIs" dxfId="15345" priority="219" operator="equal">
      <formula>0</formula>
    </cfRule>
  </conditionalFormatting>
  <conditionalFormatting sqref="W173:Y173 V174:Y175 Z173:AA175 V169:AA172 AB169:AJ175 V164:AK164 V176:AJ176 V165:AA166 AK165:AK176 AH165:AJ166">
    <cfRule type="cellIs" dxfId="15344" priority="193" operator="equal">
      <formula>0</formula>
    </cfRule>
  </conditionalFormatting>
  <conditionalFormatting sqref="V173">
    <cfRule type="cellIs" dxfId="15343" priority="194" operator="equal">
      <formula>0</formula>
    </cfRule>
  </conditionalFormatting>
  <conditionalFormatting sqref="V164:AK164 V169:AJ176 V165:AA166 AK165:AK176 AH165:AJ166">
    <cfRule type="expression" dxfId="15342" priority="195">
      <formula>LEN(TRIM(V164))=0</formula>
    </cfRule>
  </conditionalFormatting>
  <conditionalFormatting sqref="V167:AJ168">
    <cfRule type="cellIs" dxfId="15341" priority="196" operator="equal">
      <formula>0</formula>
    </cfRule>
  </conditionalFormatting>
  <conditionalFormatting sqref="AH167:AH168">
    <cfRule type="cellIs" dxfId="15340" priority="197" operator="equal">
      <formula>0</formula>
    </cfRule>
  </conditionalFormatting>
  <conditionalFormatting sqref="V167:AJ168">
    <cfRule type="expression" dxfId="15339" priority="198">
      <formula>LEN(TRIM(V167))=0</formula>
    </cfRule>
  </conditionalFormatting>
  <conditionalFormatting sqref="AB165:AG166">
    <cfRule type="cellIs" dxfId="15338" priority="191" operator="equal">
      <formula>0</formula>
    </cfRule>
  </conditionalFormatting>
  <conditionalFormatting sqref="AB165:AG166">
    <cfRule type="expression" dxfId="15337" priority="192">
      <formula>LEN(TRIM(AB165))=0</formula>
    </cfRule>
  </conditionalFormatting>
  <conditionalFormatting sqref="V179:AJ184 AK178:AK183 AK185 V178:AA178 AH178:AJ178">
    <cfRule type="cellIs" dxfId="15336" priority="185" operator="equal">
      <formula>0</formula>
    </cfRule>
  </conditionalFormatting>
  <conditionalFormatting sqref="V185:AJ185">
    <cfRule type="cellIs" dxfId="15335" priority="186" operator="equal">
      <formula>0</formula>
    </cfRule>
  </conditionalFormatting>
  <conditionalFormatting sqref="V179:AK183 V185:AK185 V184:AJ184 V178:AA178 AH178:AK178">
    <cfRule type="expression" dxfId="15334" priority="187">
      <formula>LEN(TRIM(V178))=0</formula>
    </cfRule>
  </conditionalFormatting>
  <conditionalFormatting sqref="V185:AJ185">
    <cfRule type="cellIs" dxfId="15333" priority="188" operator="equal">
      <formula>0</formula>
    </cfRule>
  </conditionalFormatting>
  <conditionalFormatting sqref="V186:AJ186">
    <cfRule type="cellIs" dxfId="15332" priority="189" operator="equal">
      <formula>0</formula>
    </cfRule>
  </conditionalFormatting>
  <conditionalFormatting sqref="V186:AJ186">
    <cfRule type="expression" dxfId="15331" priority="190">
      <formula>LEN(TRIM(V186))=0</formula>
    </cfRule>
  </conditionalFormatting>
  <conditionalFormatting sqref="AK186">
    <cfRule type="cellIs" dxfId="15330" priority="183" operator="equal">
      <formula>0</formula>
    </cfRule>
  </conditionalFormatting>
  <conditionalFormatting sqref="AK186">
    <cfRule type="expression" dxfId="15329" priority="184">
      <formula>LEN(TRIM(AK186))=0</formula>
    </cfRule>
  </conditionalFormatting>
  <conditionalFormatting sqref="AK184">
    <cfRule type="cellIs" dxfId="15328" priority="181" operator="equal">
      <formula>0</formula>
    </cfRule>
  </conditionalFormatting>
  <conditionalFormatting sqref="AK184">
    <cfRule type="expression" dxfId="15327" priority="182">
      <formula>LEN(TRIM(AK184))=0</formula>
    </cfRule>
  </conditionalFormatting>
  <conditionalFormatting sqref="AB178:AG178">
    <cfRule type="cellIs" dxfId="15326" priority="179" operator="equal">
      <formula>0</formula>
    </cfRule>
  </conditionalFormatting>
  <conditionalFormatting sqref="AB178:AG178">
    <cfRule type="expression" dxfId="15325" priority="180">
      <formula>LEN(TRIM(AB178))=0</formula>
    </cfRule>
  </conditionalFormatting>
  <conditionalFormatting sqref="AH195:AK197 W195:AA197 AB195:AG196 AI192:AK194 Y192:Y194 V192:V197 V198:AK198">
    <cfRule type="cellIs" dxfId="15324" priority="158" operator="equal">
      <formula>0</formula>
    </cfRule>
  </conditionalFormatting>
  <conditionalFormatting sqref="AH192:AH197">
    <cfRule type="cellIs" dxfId="15323" priority="159" operator="equal">
      <formula>0</formula>
    </cfRule>
  </conditionalFormatting>
  <conditionalFormatting sqref="V192:W197 Z192:AA197">
    <cfRule type="cellIs" dxfId="15322" priority="160" operator="equal">
      <formula>0</formula>
    </cfRule>
  </conditionalFormatting>
  <conditionalFormatting sqref="X192:X197">
    <cfRule type="cellIs" dxfId="15321" priority="161" operator="equal">
      <formula>0</formula>
    </cfRule>
  </conditionalFormatting>
  <conditionalFormatting sqref="AB195:AB197">
    <cfRule type="cellIs" dxfId="15320" priority="162" operator="equal">
      <formula>0</formula>
    </cfRule>
  </conditionalFormatting>
  <conditionalFormatting sqref="AB192:AB197 AC192:AG192">
    <cfRule type="cellIs" dxfId="15319" priority="163" operator="equal">
      <formula>0</formula>
    </cfRule>
  </conditionalFormatting>
  <conditionalFormatting sqref="AC195:AC197">
    <cfRule type="cellIs" dxfId="15318" priority="164" operator="equal">
      <formula>0</formula>
    </cfRule>
  </conditionalFormatting>
  <conditionalFormatting sqref="AC192:AC197">
    <cfRule type="cellIs" dxfId="15317" priority="165" operator="equal">
      <formula>0</formula>
    </cfRule>
  </conditionalFormatting>
  <conditionalFormatting sqref="AD195:AD197">
    <cfRule type="cellIs" dxfId="15316" priority="166" operator="equal">
      <formula>0</formula>
    </cfRule>
  </conditionalFormatting>
  <conditionalFormatting sqref="AD192:AD197">
    <cfRule type="cellIs" dxfId="15315" priority="167" operator="equal">
      <formula>0</formula>
    </cfRule>
  </conditionalFormatting>
  <conditionalFormatting sqref="AE195:AE197">
    <cfRule type="cellIs" dxfId="15314" priority="168" operator="equal">
      <formula>0</formula>
    </cfRule>
  </conditionalFormatting>
  <conditionalFormatting sqref="AE192:AE197">
    <cfRule type="cellIs" dxfId="15313" priority="169" operator="equal">
      <formula>0</formula>
    </cfRule>
  </conditionalFormatting>
  <conditionalFormatting sqref="AF195:AF197">
    <cfRule type="cellIs" dxfId="15312" priority="170" operator="equal">
      <formula>0</formula>
    </cfRule>
  </conditionalFormatting>
  <conditionalFormatting sqref="AF192:AF197">
    <cfRule type="cellIs" dxfId="15311" priority="171" operator="equal">
      <formula>0</formula>
    </cfRule>
  </conditionalFormatting>
  <conditionalFormatting sqref="AG195:AG197">
    <cfRule type="cellIs" dxfId="15310" priority="172" operator="equal">
      <formula>0</formula>
    </cfRule>
  </conditionalFormatting>
  <conditionalFormatting sqref="AG192:AG197">
    <cfRule type="cellIs" dxfId="15309" priority="173" operator="equal">
      <formula>0</formula>
    </cfRule>
  </conditionalFormatting>
  <conditionalFormatting sqref="V192:AK198">
    <cfRule type="expression" dxfId="15308" priority="174">
      <formula>LEN(TRIM(V192))=0</formula>
    </cfRule>
  </conditionalFormatting>
  <conditionalFormatting sqref="AD195:AD196">
    <cfRule type="cellIs" dxfId="15307" priority="175" operator="equal">
      <formula>0</formula>
    </cfRule>
  </conditionalFormatting>
  <conditionalFormatting sqref="AE195:AE196">
    <cfRule type="cellIs" dxfId="15306" priority="176" operator="equal">
      <formula>0</formula>
    </cfRule>
  </conditionalFormatting>
  <conditionalFormatting sqref="AF195:AG195">
    <cfRule type="cellIs" dxfId="15305" priority="177" operator="equal">
      <formula>0</formula>
    </cfRule>
  </conditionalFormatting>
  <conditionalFormatting sqref="AF196:AG196">
    <cfRule type="cellIs" dxfId="15304" priority="178" operator="equal">
      <formula>0</formula>
    </cfRule>
  </conditionalFormatting>
  <conditionalFormatting sqref="W209:Y209 V210:Y211 Z209:AA211 V205:AA208 AB205:AJ211 V200:AK200 V212:AJ212 V201:AA202 AK201:AK212 AH201:AJ202">
    <cfRule type="cellIs" dxfId="15303" priority="152" operator="equal">
      <formula>0</formula>
    </cfRule>
  </conditionalFormatting>
  <conditionalFormatting sqref="V209">
    <cfRule type="cellIs" dxfId="15302" priority="153" operator="equal">
      <formula>0</formula>
    </cfRule>
  </conditionalFormatting>
  <conditionalFormatting sqref="V200:AK200 V205:AJ212 V201:AA202 AK201:AK212 AH201:AJ202">
    <cfRule type="expression" dxfId="15301" priority="154">
      <formula>LEN(TRIM(V200))=0</formula>
    </cfRule>
  </conditionalFormatting>
  <conditionalFormatting sqref="V203:AJ204">
    <cfRule type="cellIs" dxfId="15300" priority="155" operator="equal">
      <formula>0</formula>
    </cfRule>
  </conditionalFormatting>
  <conditionalFormatting sqref="AH203:AH204">
    <cfRule type="cellIs" dxfId="15299" priority="156" operator="equal">
      <formula>0</formula>
    </cfRule>
  </conditionalFormatting>
  <conditionalFormatting sqref="V203:AJ204">
    <cfRule type="expression" dxfId="15298" priority="157">
      <formula>LEN(TRIM(V203))=0</formula>
    </cfRule>
  </conditionalFormatting>
  <conditionalFormatting sqref="AB201:AG202">
    <cfRule type="cellIs" dxfId="15297" priority="150" operator="equal">
      <formula>0</formula>
    </cfRule>
  </conditionalFormatting>
  <conditionalFormatting sqref="AB201:AG202">
    <cfRule type="expression" dxfId="15296" priority="151">
      <formula>LEN(TRIM(AB201))=0</formula>
    </cfRule>
  </conditionalFormatting>
  <conditionalFormatting sqref="V215:AJ220 AK214:AK219 AK221 V214:AA214 AH214:AJ214">
    <cfRule type="cellIs" dxfId="15295" priority="144" operator="equal">
      <formula>0</formula>
    </cfRule>
  </conditionalFormatting>
  <conditionalFormatting sqref="V221:AJ221">
    <cfRule type="cellIs" dxfId="15294" priority="145" operator="equal">
      <formula>0</formula>
    </cfRule>
  </conditionalFormatting>
  <conditionalFormatting sqref="V215:AK219 V221:AK221 V220:AJ220 V214:AA214 AH214:AK214">
    <cfRule type="expression" dxfId="15293" priority="146">
      <formula>LEN(TRIM(V214))=0</formula>
    </cfRule>
  </conditionalFormatting>
  <conditionalFormatting sqref="V221:AJ221">
    <cfRule type="cellIs" dxfId="15292" priority="147" operator="equal">
      <formula>0</formula>
    </cfRule>
  </conditionalFormatting>
  <conditionalFormatting sqref="V222:AJ222">
    <cfRule type="cellIs" dxfId="15291" priority="148" operator="equal">
      <formula>0</formula>
    </cfRule>
  </conditionalFormatting>
  <conditionalFormatting sqref="V222:AJ222">
    <cfRule type="expression" dxfId="15290" priority="149">
      <formula>LEN(TRIM(V222))=0</formula>
    </cfRule>
  </conditionalFormatting>
  <conditionalFormatting sqref="AK222">
    <cfRule type="cellIs" dxfId="15289" priority="142" operator="equal">
      <formula>0</formula>
    </cfRule>
  </conditionalFormatting>
  <conditionalFormatting sqref="AK222">
    <cfRule type="expression" dxfId="15288" priority="143">
      <formula>LEN(TRIM(AK222))=0</formula>
    </cfRule>
  </conditionalFormatting>
  <conditionalFormatting sqref="AK220">
    <cfRule type="cellIs" dxfId="15287" priority="140" operator="equal">
      <formula>0</formula>
    </cfRule>
  </conditionalFormatting>
  <conditionalFormatting sqref="AK220">
    <cfRule type="expression" dxfId="15286" priority="141">
      <formula>LEN(TRIM(AK220))=0</formula>
    </cfRule>
  </conditionalFormatting>
  <conditionalFormatting sqref="AB214:AG214">
    <cfRule type="cellIs" dxfId="15285" priority="138" operator="equal">
      <formula>0</formula>
    </cfRule>
  </conditionalFormatting>
  <conditionalFormatting sqref="AB214:AG214">
    <cfRule type="expression" dxfId="15284" priority="139">
      <formula>LEN(TRIM(AB214))=0</formula>
    </cfRule>
  </conditionalFormatting>
  <conditionalFormatting sqref="AH231:AK233 W231:AA233 AB231:AG232 AI228:AK230 Y228:Y230 V228:V233 V234:AK234">
    <cfRule type="cellIs" dxfId="15283" priority="117" operator="equal">
      <formula>0</formula>
    </cfRule>
  </conditionalFormatting>
  <conditionalFormatting sqref="AH228:AH233">
    <cfRule type="cellIs" dxfId="15282" priority="118" operator="equal">
      <formula>0</formula>
    </cfRule>
  </conditionalFormatting>
  <conditionalFormatting sqref="V228:W233 Z228:AA233">
    <cfRule type="cellIs" dxfId="15281" priority="119" operator="equal">
      <formula>0</formula>
    </cfRule>
  </conditionalFormatting>
  <conditionalFormatting sqref="X228:X233">
    <cfRule type="cellIs" dxfId="15280" priority="120" operator="equal">
      <formula>0</formula>
    </cfRule>
  </conditionalFormatting>
  <conditionalFormatting sqref="AB231:AB233">
    <cfRule type="cellIs" dxfId="15279" priority="121" operator="equal">
      <formula>0</formula>
    </cfRule>
  </conditionalFormatting>
  <conditionalFormatting sqref="AB228:AB233 AC228:AG228">
    <cfRule type="cellIs" dxfId="15278" priority="122" operator="equal">
      <formula>0</formula>
    </cfRule>
  </conditionalFormatting>
  <conditionalFormatting sqref="AC231:AC233">
    <cfRule type="cellIs" dxfId="15277" priority="123" operator="equal">
      <formula>0</formula>
    </cfRule>
  </conditionalFormatting>
  <conditionalFormatting sqref="AC228:AC233">
    <cfRule type="cellIs" dxfId="15276" priority="124" operator="equal">
      <formula>0</formula>
    </cfRule>
  </conditionalFormatting>
  <conditionalFormatting sqref="AD231:AD233">
    <cfRule type="cellIs" dxfId="15275" priority="125" operator="equal">
      <formula>0</formula>
    </cfRule>
  </conditionalFormatting>
  <conditionalFormatting sqref="AD228:AD233">
    <cfRule type="cellIs" dxfId="15274" priority="126" operator="equal">
      <formula>0</formula>
    </cfRule>
  </conditionalFormatting>
  <conditionalFormatting sqref="AE231:AE233">
    <cfRule type="cellIs" dxfId="15273" priority="127" operator="equal">
      <formula>0</formula>
    </cfRule>
  </conditionalFormatting>
  <conditionalFormatting sqref="AE228:AE233">
    <cfRule type="cellIs" dxfId="15272" priority="128" operator="equal">
      <formula>0</formula>
    </cfRule>
  </conditionalFormatting>
  <conditionalFormatting sqref="AF231:AF233">
    <cfRule type="cellIs" dxfId="15271" priority="129" operator="equal">
      <formula>0</formula>
    </cfRule>
  </conditionalFormatting>
  <conditionalFormatting sqref="AF228:AF233">
    <cfRule type="cellIs" dxfId="15270" priority="130" operator="equal">
      <formula>0</formula>
    </cfRule>
  </conditionalFormatting>
  <conditionalFormatting sqref="AG231:AG233">
    <cfRule type="cellIs" dxfId="15269" priority="131" operator="equal">
      <formula>0</formula>
    </cfRule>
  </conditionalFormatting>
  <conditionalFormatting sqref="AG228:AG233">
    <cfRule type="cellIs" dxfId="15268" priority="132" operator="equal">
      <formula>0</formula>
    </cfRule>
  </conditionalFormatting>
  <conditionalFormatting sqref="V228:AK234">
    <cfRule type="expression" dxfId="15267" priority="133">
      <formula>LEN(TRIM(V228))=0</formula>
    </cfRule>
  </conditionalFormatting>
  <conditionalFormatting sqref="AD231:AD232">
    <cfRule type="cellIs" dxfId="15266" priority="134" operator="equal">
      <formula>0</formula>
    </cfRule>
  </conditionalFormatting>
  <conditionalFormatting sqref="AE231:AE232">
    <cfRule type="cellIs" dxfId="15265" priority="135" operator="equal">
      <formula>0</formula>
    </cfRule>
  </conditionalFormatting>
  <conditionalFormatting sqref="AF231:AG231">
    <cfRule type="cellIs" dxfId="15264" priority="136" operator="equal">
      <formula>0</formula>
    </cfRule>
  </conditionalFormatting>
  <conditionalFormatting sqref="AF232:AG232">
    <cfRule type="cellIs" dxfId="15263" priority="137" operator="equal">
      <formula>0</formula>
    </cfRule>
  </conditionalFormatting>
  <conditionalFormatting sqref="W245:Y245 V246:Y247 Z245:AA247 V241:AA244 AB241:AJ247 V236:AK236 V248:AJ248 V237:AA238 AK237:AK248 AH237:AJ238">
    <cfRule type="cellIs" dxfId="15262" priority="111" operator="equal">
      <formula>0</formula>
    </cfRule>
  </conditionalFormatting>
  <conditionalFormatting sqref="V245">
    <cfRule type="cellIs" dxfId="15261" priority="112" operator="equal">
      <formula>0</formula>
    </cfRule>
  </conditionalFormatting>
  <conditionalFormatting sqref="V236:AK236 V241:AJ248 V237:AA238 AK237:AK248 AH237:AJ238">
    <cfRule type="expression" dxfId="15260" priority="113">
      <formula>LEN(TRIM(V236))=0</formula>
    </cfRule>
  </conditionalFormatting>
  <conditionalFormatting sqref="V239:AJ240">
    <cfRule type="cellIs" dxfId="15259" priority="114" operator="equal">
      <formula>0</formula>
    </cfRule>
  </conditionalFormatting>
  <conditionalFormatting sqref="AH239:AH240">
    <cfRule type="cellIs" dxfId="15258" priority="115" operator="equal">
      <formula>0</formula>
    </cfRule>
  </conditionalFormatting>
  <conditionalFormatting sqref="V239:AJ240">
    <cfRule type="expression" dxfId="15257" priority="116">
      <formula>LEN(TRIM(V239))=0</formula>
    </cfRule>
  </conditionalFormatting>
  <conditionalFormatting sqref="AB237:AG238">
    <cfRule type="cellIs" dxfId="15256" priority="109" operator="equal">
      <formula>0</formula>
    </cfRule>
  </conditionalFormatting>
  <conditionalFormatting sqref="AB237:AG238">
    <cfRule type="expression" dxfId="15255" priority="110">
      <formula>LEN(TRIM(AB237))=0</formula>
    </cfRule>
  </conditionalFormatting>
  <conditionalFormatting sqref="V251:AJ256 AK250:AK255 AK257 V250:AA250 AH250:AJ250">
    <cfRule type="cellIs" dxfId="15254" priority="103" operator="equal">
      <formula>0</formula>
    </cfRule>
  </conditionalFormatting>
  <conditionalFormatting sqref="V257:AJ257">
    <cfRule type="cellIs" dxfId="15253" priority="104" operator="equal">
      <formula>0</formula>
    </cfRule>
  </conditionalFormatting>
  <conditionalFormatting sqref="V251:AK255 V257:AK257 V256:AJ256 V250:AA250 AH250:AK250">
    <cfRule type="expression" dxfId="15252" priority="105">
      <formula>LEN(TRIM(V250))=0</formula>
    </cfRule>
  </conditionalFormatting>
  <conditionalFormatting sqref="V257:AJ257">
    <cfRule type="cellIs" dxfId="15251" priority="106" operator="equal">
      <formula>0</formula>
    </cfRule>
  </conditionalFormatting>
  <conditionalFormatting sqref="V258:AJ258">
    <cfRule type="cellIs" dxfId="15250" priority="107" operator="equal">
      <formula>0</formula>
    </cfRule>
  </conditionalFormatting>
  <conditionalFormatting sqref="V258:AJ258">
    <cfRule type="expression" dxfId="15249" priority="108">
      <formula>LEN(TRIM(V258))=0</formula>
    </cfRule>
  </conditionalFormatting>
  <conditionalFormatting sqref="AK258">
    <cfRule type="cellIs" dxfId="15248" priority="101" operator="equal">
      <formula>0</formula>
    </cfRule>
  </conditionalFormatting>
  <conditionalFormatting sqref="AK258">
    <cfRule type="expression" dxfId="15247" priority="102">
      <formula>LEN(TRIM(AK258))=0</formula>
    </cfRule>
  </conditionalFormatting>
  <conditionalFormatting sqref="AK256">
    <cfRule type="cellIs" dxfId="15246" priority="99" operator="equal">
      <formula>0</formula>
    </cfRule>
  </conditionalFormatting>
  <conditionalFormatting sqref="AK256">
    <cfRule type="expression" dxfId="15245" priority="100">
      <formula>LEN(TRIM(AK256))=0</formula>
    </cfRule>
  </conditionalFormatting>
  <conditionalFormatting sqref="AB250:AG250">
    <cfRule type="cellIs" dxfId="15244" priority="97" operator="equal">
      <formula>0</formula>
    </cfRule>
  </conditionalFormatting>
  <conditionalFormatting sqref="AB250:AG250">
    <cfRule type="expression" dxfId="15243" priority="98">
      <formula>LEN(TRIM(AB250))=0</formula>
    </cfRule>
  </conditionalFormatting>
  <conditionalFormatting sqref="J11">
    <cfRule type="cellIs" dxfId="15242" priority="84" operator="equal">
      <formula>0</formula>
    </cfRule>
  </conditionalFormatting>
  <conditionalFormatting sqref="K11">
    <cfRule type="cellIs" dxfId="15241" priority="83" operator="equal">
      <formula>0</formula>
    </cfRule>
  </conditionalFormatting>
  <conditionalFormatting sqref="L11">
    <cfRule type="cellIs" dxfId="15240" priority="82" operator="equal">
      <formula>0</formula>
    </cfRule>
  </conditionalFormatting>
  <conditionalFormatting sqref="M11">
    <cfRule type="cellIs" dxfId="15239" priority="81" operator="equal">
      <formula>0</formula>
    </cfRule>
  </conditionalFormatting>
  <conditionalFormatting sqref="N11">
    <cfRule type="cellIs" dxfId="15238" priority="80" operator="equal">
      <formula>0</formula>
    </cfRule>
  </conditionalFormatting>
  <conditionalFormatting sqref="O11">
    <cfRule type="cellIs" dxfId="15237" priority="79" operator="equal">
      <formula>0</formula>
    </cfRule>
  </conditionalFormatting>
  <conditionalFormatting sqref="AB11">
    <cfRule type="cellIs" dxfId="15236" priority="78" operator="equal">
      <formula>0</formula>
    </cfRule>
  </conditionalFormatting>
  <conditionalFormatting sqref="AC11">
    <cfRule type="cellIs" dxfId="15235" priority="77" operator="equal">
      <formula>0</formula>
    </cfRule>
  </conditionalFormatting>
  <conditionalFormatting sqref="AD11">
    <cfRule type="cellIs" dxfId="15234" priority="76" operator="equal">
      <formula>0</formula>
    </cfRule>
  </conditionalFormatting>
  <conditionalFormatting sqref="AE11">
    <cfRule type="cellIs" dxfId="15233" priority="75" operator="equal">
      <formula>0</formula>
    </cfRule>
  </conditionalFormatting>
  <conditionalFormatting sqref="AF11">
    <cfRule type="cellIs" dxfId="15232" priority="74" operator="equal">
      <formula>0</formula>
    </cfRule>
  </conditionalFormatting>
  <conditionalFormatting sqref="AG11">
    <cfRule type="cellIs" dxfId="15231" priority="73" operator="equal">
      <formula>0</formula>
    </cfRule>
  </conditionalFormatting>
  <conditionalFormatting sqref="J47">
    <cfRule type="cellIs" dxfId="15230" priority="72" operator="equal">
      <formula>0</formula>
    </cfRule>
  </conditionalFormatting>
  <conditionalFormatting sqref="K47">
    <cfRule type="cellIs" dxfId="15229" priority="71" operator="equal">
      <formula>0</formula>
    </cfRule>
  </conditionalFormatting>
  <conditionalFormatting sqref="L47">
    <cfRule type="cellIs" dxfId="15228" priority="70" operator="equal">
      <formula>0</formula>
    </cfRule>
  </conditionalFormatting>
  <conditionalFormatting sqref="M47">
    <cfRule type="cellIs" dxfId="15227" priority="69" operator="equal">
      <formula>0</formula>
    </cfRule>
  </conditionalFormatting>
  <conditionalFormatting sqref="N47">
    <cfRule type="cellIs" dxfId="15226" priority="68" operator="equal">
      <formula>0</formula>
    </cfRule>
  </conditionalFormatting>
  <conditionalFormatting sqref="O47">
    <cfRule type="cellIs" dxfId="15225" priority="67" operator="equal">
      <formula>0</formula>
    </cfRule>
  </conditionalFormatting>
  <conditionalFormatting sqref="AB47">
    <cfRule type="cellIs" dxfId="15224" priority="66" operator="equal">
      <formula>0</formula>
    </cfRule>
  </conditionalFormatting>
  <conditionalFormatting sqref="AC47">
    <cfRule type="cellIs" dxfId="15223" priority="65" operator="equal">
      <formula>0</formula>
    </cfRule>
  </conditionalFormatting>
  <conditionalFormatting sqref="AD47">
    <cfRule type="cellIs" dxfId="15222" priority="64" operator="equal">
      <formula>0</formula>
    </cfRule>
  </conditionalFormatting>
  <conditionalFormatting sqref="AE47">
    <cfRule type="cellIs" dxfId="15221" priority="63" operator="equal">
      <formula>0</formula>
    </cfRule>
  </conditionalFormatting>
  <conditionalFormatting sqref="AF47">
    <cfRule type="cellIs" dxfId="15220" priority="62" operator="equal">
      <formula>0</formula>
    </cfRule>
  </conditionalFormatting>
  <conditionalFormatting sqref="AG47">
    <cfRule type="cellIs" dxfId="15219" priority="61" operator="equal">
      <formula>0</formula>
    </cfRule>
  </conditionalFormatting>
  <conditionalFormatting sqref="J83">
    <cfRule type="cellIs" dxfId="15218" priority="60" operator="equal">
      <formula>0</formula>
    </cfRule>
  </conditionalFormatting>
  <conditionalFormatting sqref="K83">
    <cfRule type="cellIs" dxfId="15217" priority="59" operator="equal">
      <formula>0</formula>
    </cfRule>
  </conditionalFormatting>
  <conditionalFormatting sqref="L83">
    <cfRule type="cellIs" dxfId="15216" priority="58" operator="equal">
      <formula>0</formula>
    </cfRule>
  </conditionalFormatting>
  <conditionalFormatting sqref="M83">
    <cfRule type="cellIs" dxfId="15215" priority="57" operator="equal">
      <formula>0</formula>
    </cfRule>
  </conditionalFormatting>
  <conditionalFormatting sqref="N83">
    <cfRule type="cellIs" dxfId="15214" priority="56" operator="equal">
      <formula>0</formula>
    </cfRule>
  </conditionalFormatting>
  <conditionalFormatting sqref="O83">
    <cfRule type="cellIs" dxfId="15213" priority="55" operator="equal">
      <formula>0</formula>
    </cfRule>
  </conditionalFormatting>
  <conditionalFormatting sqref="AB83">
    <cfRule type="cellIs" dxfId="15212" priority="54" operator="equal">
      <formula>0</formula>
    </cfRule>
  </conditionalFormatting>
  <conditionalFormatting sqref="AC83">
    <cfRule type="cellIs" dxfId="15211" priority="53" operator="equal">
      <formula>0</formula>
    </cfRule>
  </conditionalFormatting>
  <conditionalFormatting sqref="AD83">
    <cfRule type="cellIs" dxfId="15210" priority="52" operator="equal">
      <formula>0</formula>
    </cfRule>
  </conditionalFormatting>
  <conditionalFormatting sqref="AE83">
    <cfRule type="cellIs" dxfId="15209" priority="51" operator="equal">
      <formula>0</formula>
    </cfRule>
  </conditionalFormatting>
  <conditionalFormatting sqref="AF83">
    <cfRule type="cellIs" dxfId="15208" priority="50" operator="equal">
      <formula>0</formula>
    </cfRule>
  </conditionalFormatting>
  <conditionalFormatting sqref="AG83">
    <cfRule type="cellIs" dxfId="15207" priority="49" operator="equal">
      <formula>0</formula>
    </cfRule>
  </conditionalFormatting>
  <conditionalFormatting sqref="J119">
    <cfRule type="cellIs" dxfId="15206" priority="48" operator="equal">
      <formula>0</formula>
    </cfRule>
  </conditionalFormatting>
  <conditionalFormatting sqref="K119">
    <cfRule type="cellIs" dxfId="15205" priority="47" operator="equal">
      <formula>0</formula>
    </cfRule>
  </conditionalFormatting>
  <conditionalFormatting sqref="L119">
    <cfRule type="cellIs" dxfId="15204" priority="46" operator="equal">
      <formula>0</formula>
    </cfRule>
  </conditionalFormatting>
  <conditionalFormatting sqref="M119">
    <cfRule type="cellIs" dxfId="15203" priority="45" operator="equal">
      <formula>0</formula>
    </cfRule>
  </conditionalFormatting>
  <conditionalFormatting sqref="N119">
    <cfRule type="cellIs" dxfId="15202" priority="44" operator="equal">
      <formula>0</formula>
    </cfRule>
  </conditionalFormatting>
  <conditionalFormatting sqref="O119">
    <cfRule type="cellIs" dxfId="15201" priority="43" operator="equal">
      <formula>0</formula>
    </cfRule>
  </conditionalFormatting>
  <conditionalFormatting sqref="AB119">
    <cfRule type="cellIs" dxfId="15200" priority="42" operator="equal">
      <formula>0</formula>
    </cfRule>
  </conditionalFormatting>
  <conditionalFormatting sqref="AC119">
    <cfRule type="cellIs" dxfId="15199" priority="41" operator="equal">
      <formula>0</formula>
    </cfRule>
  </conditionalFormatting>
  <conditionalFormatting sqref="AD119">
    <cfRule type="cellIs" dxfId="15198" priority="40" operator="equal">
      <formula>0</formula>
    </cfRule>
  </conditionalFormatting>
  <conditionalFormatting sqref="AE119">
    <cfRule type="cellIs" dxfId="15197" priority="39" operator="equal">
      <formula>0</formula>
    </cfRule>
  </conditionalFormatting>
  <conditionalFormatting sqref="AF119">
    <cfRule type="cellIs" dxfId="15196" priority="38" operator="equal">
      <formula>0</formula>
    </cfRule>
  </conditionalFormatting>
  <conditionalFormatting sqref="AG119">
    <cfRule type="cellIs" dxfId="15195" priority="37" operator="equal">
      <formula>0</formula>
    </cfRule>
  </conditionalFormatting>
  <conditionalFormatting sqref="J155">
    <cfRule type="cellIs" dxfId="15194" priority="36" operator="equal">
      <formula>0</formula>
    </cfRule>
  </conditionalFormatting>
  <conditionalFormatting sqref="K155">
    <cfRule type="cellIs" dxfId="15193" priority="35" operator="equal">
      <formula>0</formula>
    </cfRule>
  </conditionalFormatting>
  <conditionalFormatting sqref="L155">
    <cfRule type="cellIs" dxfId="15192" priority="34" operator="equal">
      <formula>0</formula>
    </cfRule>
  </conditionalFormatting>
  <conditionalFormatting sqref="M155">
    <cfRule type="cellIs" dxfId="15191" priority="33" operator="equal">
      <formula>0</formula>
    </cfRule>
  </conditionalFormatting>
  <conditionalFormatting sqref="N155">
    <cfRule type="cellIs" dxfId="15190" priority="32" operator="equal">
      <formula>0</formula>
    </cfRule>
  </conditionalFormatting>
  <conditionalFormatting sqref="O155">
    <cfRule type="cellIs" dxfId="15189" priority="31" operator="equal">
      <formula>0</formula>
    </cfRule>
  </conditionalFormatting>
  <conditionalFormatting sqref="AB155">
    <cfRule type="cellIs" dxfId="15188" priority="30" operator="equal">
      <formula>0</formula>
    </cfRule>
  </conditionalFormatting>
  <conditionalFormatting sqref="AC155">
    <cfRule type="cellIs" dxfId="15187" priority="29" operator="equal">
      <formula>0</formula>
    </cfRule>
  </conditionalFormatting>
  <conditionalFormatting sqref="AD155">
    <cfRule type="cellIs" dxfId="15186" priority="28" operator="equal">
      <formula>0</formula>
    </cfRule>
  </conditionalFormatting>
  <conditionalFormatting sqref="AE155">
    <cfRule type="cellIs" dxfId="15185" priority="27" operator="equal">
      <formula>0</formula>
    </cfRule>
  </conditionalFormatting>
  <conditionalFormatting sqref="AF155">
    <cfRule type="cellIs" dxfId="15184" priority="26" operator="equal">
      <formula>0</formula>
    </cfRule>
  </conditionalFormatting>
  <conditionalFormatting sqref="AG155">
    <cfRule type="cellIs" dxfId="15183" priority="25" operator="equal">
      <formula>0</formula>
    </cfRule>
  </conditionalFormatting>
  <conditionalFormatting sqref="J191">
    <cfRule type="cellIs" dxfId="15182" priority="24" operator="equal">
      <formula>0</formula>
    </cfRule>
  </conditionalFormatting>
  <conditionalFormatting sqref="K191">
    <cfRule type="cellIs" dxfId="15181" priority="23" operator="equal">
      <formula>0</formula>
    </cfRule>
  </conditionalFormatting>
  <conditionalFormatting sqref="L191">
    <cfRule type="cellIs" dxfId="15180" priority="22" operator="equal">
      <formula>0</formula>
    </cfRule>
  </conditionalFormatting>
  <conditionalFormatting sqref="M191">
    <cfRule type="cellIs" dxfId="15179" priority="21" operator="equal">
      <formula>0</formula>
    </cfRule>
  </conditionalFormatting>
  <conditionalFormatting sqref="N191">
    <cfRule type="cellIs" dxfId="15178" priority="20" operator="equal">
      <formula>0</formula>
    </cfRule>
  </conditionalFormatting>
  <conditionalFormatting sqref="O191">
    <cfRule type="cellIs" dxfId="15177" priority="19" operator="equal">
      <formula>0</formula>
    </cfRule>
  </conditionalFormatting>
  <conditionalFormatting sqref="AB191">
    <cfRule type="cellIs" dxfId="15176" priority="18" operator="equal">
      <formula>0</formula>
    </cfRule>
  </conditionalFormatting>
  <conditionalFormatting sqref="AC191">
    <cfRule type="cellIs" dxfId="15175" priority="17" operator="equal">
      <formula>0</formula>
    </cfRule>
  </conditionalFormatting>
  <conditionalFormatting sqref="AD191">
    <cfRule type="cellIs" dxfId="15174" priority="16" operator="equal">
      <formula>0</formula>
    </cfRule>
  </conditionalFormatting>
  <conditionalFormatting sqref="AE191">
    <cfRule type="cellIs" dxfId="15173" priority="15" operator="equal">
      <formula>0</formula>
    </cfRule>
  </conditionalFormatting>
  <conditionalFormatting sqref="AF191">
    <cfRule type="cellIs" dxfId="15172" priority="14" operator="equal">
      <formula>0</formula>
    </cfRule>
  </conditionalFormatting>
  <conditionalFormatting sqref="AG191">
    <cfRule type="cellIs" dxfId="15171" priority="13" operator="equal">
      <formula>0</formula>
    </cfRule>
  </conditionalFormatting>
  <conditionalFormatting sqref="J227">
    <cfRule type="cellIs" dxfId="15170" priority="12" operator="equal">
      <formula>0</formula>
    </cfRule>
  </conditionalFormatting>
  <conditionalFormatting sqref="K227">
    <cfRule type="cellIs" dxfId="15169" priority="11" operator="equal">
      <formula>0</formula>
    </cfRule>
  </conditionalFormatting>
  <conditionalFormatting sqref="L227">
    <cfRule type="cellIs" dxfId="15168" priority="10" operator="equal">
      <formula>0</formula>
    </cfRule>
  </conditionalFormatting>
  <conditionalFormatting sqref="M227">
    <cfRule type="cellIs" dxfId="15167" priority="9" operator="equal">
      <formula>0</formula>
    </cfRule>
  </conditionalFormatting>
  <conditionalFormatting sqref="N227">
    <cfRule type="cellIs" dxfId="15166" priority="8" operator="equal">
      <formula>0</formula>
    </cfRule>
  </conditionalFormatting>
  <conditionalFormatting sqref="O227">
    <cfRule type="cellIs" dxfId="15165" priority="7" operator="equal">
      <formula>0</formula>
    </cfRule>
  </conditionalFormatting>
  <conditionalFormatting sqref="AB227">
    <cfRule type="cellIs" dxfId="15164" priority="6" operator="equal">
      <formula>0</formula>
    </cfRule>
  </conditionalFormatting>
  <conditionalFormatting sqref="AC227">
    <cfRule type="cellIs" dxfId="15163" priority="5" operator="equal">
      <formula>0</formula>
    </cfRule>
  </conditionalFormatting>
  <conditionalFormatting sqref="AD227">
    <cfRule type="cellIs" dxfId="15162" priority="4" operator="equal">
      <formula>0</formula>
    </cfRule>
  </conditionalFormatting>
  <conditionalFormatting sqref="AE227">
    <cfRule type="cellIs" dxfId="15161" priority="3" operator="equal">
      <formula>0</formula>
    </cfRule>
  </conditionalFormatting>
  <conditionalFormatting sqref="AF227">
    <cfRule type="cellIs" dxfId="15160"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2862-846F-4A69-B1BE-6598FF20CEF1}">
  <dimension ref="C2:AK224"/>
  <sheetViews>
    <sheetView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361</v>
      </c>
      <c r="D8" s="699"/>
      <c r="E8" s="699"/>
      <c r="F8" s="699"/>
      <c r="G8" s="699"/>
      <c r="H8" s="699"/>
      <c r="I8" s="699"/>
      <c r="J8" s="699"/>
      <c r="K8" s="699"/>
      <c r="L8" s="699"/>
      <c r="M8" s="699"/>
      <c r="N8" s="699"/>
      <c r="O8" s="699"/>
      <c r="P8" s="699"/>
      <c r="Q8" s="699"/>
      <c r="R8" s="699"/>
      <c r="S8" s="699"/>
      <c r="U8" s="699" t="s">
        <v>361</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5.8150000000000004</v>
      </c>
      <c r="F12" s="643">
        <v>0</v>
      </c>
      <c r="G12" s="642">
        <v>9.3040000000000012E-2</v>
      </c>
      <c r="H12" s="643">
        <v>1075.0000000000002</v>
      </c>
      <c r="I12" s="643">
        <v>224.13674723416887</v>
      </c>
      <c r="J12" s="643">
        <v>191.59942379122555</v>
      </c>
      <c r="K12" s="643">
        <v>21.432553878964274</v>
      </c>
      <c r="L12" s="643">
        <v>0.38158375751522683</v>
      </c>
      <c r="M12" s="643">
        <v>0.1566638564915529</v>
      </c>
      <c r="N12" s="643">
        <v>57.826394702164251</v>
      </c>
      <c r="O12" s="643">
        <v>8.0717549324466145</v>
      </c>
      <c r="P12" s="644">
        <v>0</v>
      </c>
      <c r="Q12" s="643">
        <v>0</v>
      </c>
      <c r="R12" s="643">
        <v>0</v>
      </c>
      <c r="S12" s="645">
        <v>1584.5131621529763</v>
      </c>
      <c r="U12" s="641" t="s">
        <v>59</v>
      </c>
      <c r="V12" s="642">
        <v>0</v>
      </c>
      <c r="W12" s="643">
        <v>5.8150000000000004</v>
      </c>
      <c r="X12" s="643">
        <v>0</v>
      </c>
      <c r="Y12" s="642">
        <v>9.3040000000000012E-2</v>
      </c>
      <c r="Z12" s="643">
        <v>994.39393939393949</v>
      </c>
      <c r="AA12" s="643">
        <v>248.70674723416883</v>
      </c>
      <c r="AB12" s="643">
        <v>191.76566332259941</v>
      </c>
      <c r="AC12" s="643">
        <v>38.031253697312572</v>
      </c>
      <c r="AD12" s="643">
        <v>0.38158375751522683</v>
      </c>
      <c r="AE12" s="643">
        <v>0.1566638564915529</v>
      </c>
      <c r="AF12" s="643">
        <v>76.992812580470769</v>
      </c>
      <c r="AG12" s="643">
        <v>16.738826185514363</v>
      </c>
      <c r="AH12" s="644">
        <v>0</v>
      </c>
      <c r="AI12" s="643">
        <v>0</v>
      </c>
      <c r="AJ12" s="643">
        <v>0</v>
      </c>
      <c r="AK12" s="645">
        <v>1573.0755300280123</v>
      </c>
    </row>
    <row r="13" spans="3:37" ht="13.5">
      <c r="C13" s="641" t="s">
        <v>60</v>
      </c>
      <c r="D13" s="642">
        <v>48.827265231041785</v>
      </c>
      <c r="E13" s="643">
        <v>518.07410535010388</v>
      </c>
      <c r="F13" s="643">
        <v>107.87457071926454</v>
      </c>
      <c r="G13" s="642">
        <v>335.04873882059013</v>
      </c>
      <c r="H13" s="643">
        <v>0</v>
      </c>
      <c r="I13" s="643">
        <v>0</v>
      </c>
      <c r="J13" s="643">
        <v>3.6983557386050134</v>
      </c>
      <c r="K13" s="643">
        <v>0</v>
      </c>
      <c r="L13" s="643">
        <v>2.0715216469959126</v>
      </c>
      <c r="M13" s="643">
        <v>0</v>
      </c>
      <c r="N13" s="643">
        <v>0</v>
      </c>
      <c r="O13" s="643">
        <v>0</v>
      </c>
      <c r="P13" s="644">
        <v>0</v>
      </c>
      <c r="Q13" s="643">
        <v>0</v>
      </c>
      <c r="R13" s="643">
        <v>0</v>
      </c>
      <c r="S13" s="645">
        <v>1015.5945575066012</v>
      </c>
      <c r="U13" s="641" t="s">
        <v>60</v>
      </c>
      <c r="V13" s="642">
        <v>9.7783497021920969</v>
      </c>
      <c r="W13" s="643">
        <v>336.80990869295175</v>
      </c>
      <c r="X13" s="643">
        <v>55.498271181254346</v>
      </c>
      <c r="Y13" s="642">
        <v>207.3573846689826</v>
      </c>
      <c r="Z13" s="643">
        <v>0</v>
      </c>
      <c r="AA13" s="643">
        <v>0</v>
      </c>
      <c r="AB13" s="643">
        <v>3.6983557386050134</v>
      </c>
      <c r="AC13" s="643">
        <v>0</v>
      </c>
      <c r="AD13" s="643">
        <v>2.0715216469959126</v>
      </c>
      <c r="AE13" s="643">
        <v>0</v>
      </c>
      <c r="AF13" s="643">
        <v>0</v>
      </c>
      <c r="AG13" s="643">
        <v>0</v>
      </c>
      <c r="AH13" s="644">
        <v>0</v>
      </c>
      <c r="AI13" s="643">
        <v>0</v>
      </c>
      <c r="AJ13" s="643">
        <v>0</v>
      </c>
      <c r="AK13" s="645">
        <v>615.21379163098163</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-50.941346245748719</v>
      </c>
      <c r="Q14" s="643">
        <v>0</v>
      </c>
      <c r="R14" s="643">
        <v>0</v>
      </c>
      <c r="S14" s="645">
        <v>-50.941346245748719</v>
      </c>
      <c r="U14" s="641" t="s">
        <v>61</v>
      </c>
      <c r="V14" s="642">
        <v>0</v>
      </c>
      <c r="W14" s="643">
        <v>0</v>
      </c>
      <c r="X14" s="643">
        <v>0</v>
      </c>
      <c r="Y14" s="642">
        <v>0</v>
      </c>
      <c r="Z14" s="643">
        <v>0</v>
      </c>
      <c r="AA14" s="643">
        <v>0</v>
      </c>
      <c r="AB14" s="643">
        <v>0</v>
      </c>
      <c r="AC14" s="643">
        <v>0</v>
      </c>
      <c r="AD14" s="643">
        <v>0</v>
      </c>
      <c r="AE14" s="643">
        <v>0</v>
      </c>
      <c r="AF14" s="643">
        <v>0</v>
      </c>
      <c r="AG14" s="643">
        <v>0</v>
      </c>
      <c r="AH14" s="644">
        <v>-32.476172245636349</v>
      </c>
      <c r="AI14" s="643">
        <v>0</v>
      </c>
      <c r="AJ14" s="643">
        <v>0</v>
      </c>
      <c r="AK14" s="645">
        <v>-32.476172245636349</v>
      </c>
    </row>
    <row r="15" spans="3:37" ht="13.5">
      <c r="C15" s="641" t="s">
        <v>62</v>
      </c>
      <c r="D15" s="642">
        <v>0</v>
      </c>
      <c r="E15" s="643">
        <v>0</v>
      </c>
      <c r="F15" s="643">
        <v>-16.25862008896565</v>
      </c>
      <c r="G15" s="642">
        <v>0</v>
      </c>
      <c r="H15" s="643">
        <v>0</v>
      </c>
      <c r="I15" s="643">
        <v>0</v>
      </c>
      <c r="J15" s="643">
        <v>0</v>
      </c>
      <c r="K15" s="643">
        <v>0</v>
      </c>
      <c r="L15" s="643">
        <v>0</v>
      </c>
      <c r="M15" s="643">
        <v>0</v>
      </c>
      <c r="N15" s="643">
        <v>0</v>
      </c>
      <c r="O15" s="643">
        <v>0</v>
      </c>
      <c r="P15" s="644">
        <v>0</v>
      </c>
      <c r="Q15" s="643">
        <v>0</v>
      </c>
      <c r="R15" s="643">
        <v>0</v>
      </c>
      <c r="S15" s="645">
        <v>-16.25862008896565</v>
      </c>
      <c r="U15" s="641" t="s">
        <v>62</v>
      </c>
      <c r="V15" s="642">
        <v>0</v>
      </c>
      <c r="W15" s="643">
        <v>0</v>
      </c>
      <c r="X15" s="643">
        <v>-12.937868047131742</v>
      </c>
      <c r="Y15" s="642">
        <v>-1.5571295869756494</v>
      </c>
      <c r="Z15" s="643">
        <v>0</v>
      </c>
      <c r="AA15" s="643">
        <v>0</v>
      </c>
      <c r="AB15" s="643">
        <v>0</v>
      </c>
      <c r="AC15" s="643">
        <v>0</v>
      </c>
      <c r="AD15" s="643">
        <v>0</v>
      </c>
      <c r="AE15" s="643">
        <v>-0.27478757417217342</v>
      </c>
      <c r="AF15" s="643">
        <v>0</v>
      </c>
      <c r="AG15" s="643">
        <v>0</v>
      </c>
      <c r="AH15" s="644">
        <v>0</v>
      </c>
      <c r="AI15" s="643">
        <v>0</v>
      </c>
      <c r="AJ15" s="643">
        <v>0</v>
      </c>
      <c r="AK15" s="645">
        <v>-14.769785208279565</v>
      </c>
    </row>
    <row r="16" spans="3:37" ht="13.5">
      <c r="C16" s="641" t="s">
        <v>63</v>
      </c>
      <c r="D16" s="642">
        <v>0</v>
      </c>
      <c r="E16" s="643">
        <v>0</v>
      </c>
      <c r="F16" s="643">
        <v>-83.551471621484865</v>
      </c>
      <c r="G16" s="642">
        <v>0</v>
      </c>
      <c r="H16" s="643">
        <v>0</v>
      </c>
      <c r="I16" s="643">
        <v>0</v>
      </c>
      <c r="J16" s="643">
        <v>0</v>
      </c>
      <c r="K16" s="643">
        <v>0</v>
      </c>
      <c r="L16" s="643">
        <v>-0.85914301655193537</v>
      </c>
      <c r="M16" s="643">
        <v>0</v>
      </c>
      <c r="N16" s="643">
        <v>0</v>
      </c>
      <c r="O16" s="643">
        <v>0</v>
      </c>
      <c r="P16" s="644">
        <v>0</v>
      </c>
      <c r="Q16" s="643">
        <v>0</v>
      </c>
      <c r="R16" s="643">
        <v>0</v>
      </c>
      <c r="S16" s="645">
        <v>-84.410614638036805</v>
      </c>
      <c r="U16" s="641" t="s">
        <v>63</v>
      </c>
      <c r="V16" s="642">
        <v>0</v>
      </c>
      <c r="W16" s="643">
        <v>0</v>
      </c>
      <c r="X16" s="643">
        <v>-67.135202148658564</v>
      </c>
      <c r="Y16" s="642">
        <v>0</v>
      </c>
      <c r="Z16" s="643">
        <v>0</v>
      </c>
      <c r="AA16" s="643">
        <v>0</v>
      </c>
      <c r="AB16" s="643">
        <v>0</v>
      </c>
      <c r="AC16" s="643">
        <v>0</v>
      </c>
      <c r="AD16" s="643">
        <v>-15.117527463171397</v>
      </c>
      <c r="AE16" s="643">
        <v>0</v>
      </c>
      <c r="AF16" s="643">
        <v>0</v>
      </c>
      <c r="AG16" s="643">
        <v>0</v>
      </c>
      <c r="AH16" s="644">
        <v>0</v>
      </c>
      <c r="AI16" s="643">
        <v>0</v>
      </c>
      <c r="AJ16" s="643">
        <v>0</v>
      </c>
      <c r="AK16" s="645">
        <v>-82.252729611829963</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48.827265231041785</v>
      </c>
      <c r="E18" s="647">
        <v>523.88910535010393</v>
      </c>
      <c r="F18" s="647">
        <v>8.0644790088140255</v>
      </c>
      <c r="G18" s="647">
        <v>335.1417788205901</v>
      </c>
      <c r="H18" s="647">
        <v>1075.0000000000002</v>
      </c>
      <c r="I18" s="647">
        <v>224.13674723416887</v>
      </c>
      <c r="J18" s="647">
        <v>195.29777952983056</v>
      </c>
      <c r="K18" s="647">
        <v>21.432553878964274</v>
      </c>
      <c r="L18" s="647">
        <v>1.5939623879592042</v>
      </c>
      <c r="M18" s="647">
        <v>0.1566638564915529</v>
      </c>
      <c r="N18" s="647">
        <v>57.826394702164251</v>
      </c>
      <c r="O18" s="647">
        <v>8.0717549324466145</v>
      </c>
      <c r="P18" s="647">
        <v>-50.941346245748719</v>
      </c>
      <c r="Q18" s="647">
        <v>0</v>
      </c>
      <c r="R18" s="647">
        <v>0</v>
      </c>
      <c r="S18" s="647">
        <v>2448.4971386868265</v>
      </c>
      <c r="U18" s="646" t="s">
        <v>65</v>
      </c>
      <c r="V18" s="647">
        <v>9.7783497021920969</v>
      </c>
      <c r="W18" s="647">
        <v>342.62490869295175</v>
      </c>
      <c r="X18" s="647">
        <v>-24.574799014535962</v>
      </c>
      <c r="Y18" s="647">
        <v>205.89329508200694</v>
      </c>
      <c r="Z18" s="647">
        <v>994.39393939393949</v>
      </c>
      <c r="AA18" s="647">
        <v>248.70674723416883</v>
      </c>
      <c r="AB18" s="647">
        <v>195.46401906120443</v>
      </c>
      <c r="AC18" s="647">
        <v>38.031253697312572</v>
      </c>
      <c r="AD18" s="647">
        <v>-12.664422058660257</v>
      </c>
      <c r="AE18" s="647">
        <v>-0.11812371768062052</v>
      </c>
      <c r="AF18" s="647">
        <v>76.992812580470769</v>
      </c>
      <c r="AG18" s="647">
        <v>16.738826185514363</v>
      </c>
      <c r="AH18" s="647">
        <v>-32.476172245636349</v>
      </c>
      <c r="AI18" s="647">
        <v>0</v>
      </c>
      <c r="AJ18" s="647">
        <v>0</v>
      </c>
      <c r="AK18" s="647">
        <v>2058.7906345932479</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7.9696731063521415</v>
      </c>
      <c r="G21" s="642">
        <v>17.422222222222224</v>
      </c>
      <c r="H21" s="642">
        <v>1075.0000000000002</v>
      </c>
      <c r="I21" s="642">
        <v>224.13674723416887</v>
      </c>
      <c r="J21" s="651">
        <v>30.45355250478201</v>
      </c>
      <c r="K21" s="651">
        <v>7.4482212846984126</v>
      </c>
      <c r="L21" s="651">
        <v>2.4531054045111396</v>
      </c>
      <c r="M21" s="651">
        <v>0.47972213502804317</v>
      </c>
      <c r="N21" s="651">
        <v>0</v>
      </c>
      <c r="O21" s="651">
        <v>3.0833964576427819</v>
      </c>
      <c r="P21" s="642">
        <v>-609.30151807373261</v>
      </c>
      <c r="Q21" s="642">
        <v>0</v>
      </c>
      <c r="R21" s="642">
        <v>0</v>
      </c>
      <c r="S21" s="650">
        <v>761.97190791669834</v>
      </c>
      <c r="U21" s="648" t="s">
        <v>350</v>
      </c>
      <c r="V21" s="642">
        <v>0.62631490545869017</v>
      </c>
      <c r="W21" s="642">
        <v>0</v>
      </c>
      <c r="X21" s="642">
        <v>4.1060367427157782</v>
      </c>
      <c r="Y21" s="642">
        <v>24.857777777777773</v>
      </c>
      <c r="Z21" s="642">
        <v>994.39393939393949</v>
      </c>
      <c r="AA21" s="642">
        <v>248.70674723416883</v>
      </c>
      <c r="AB21" s="651">
        <v>24.641197042508384</v>
      </c>
      <c r="AC21" s="651">
        <v>6.6719525843779666</v>
      </c>
      <c r="AD21" s="651">
        <v>2.4531054045111396</v>
      </c>
      <c r="AE21" s="651">
        <v>4.5108332461391543</v>
      </c>
      <c r="AF21" s="651">
        <v>0</v>
      </c>
      <c r="AG21" s="651">
        <v>3.0833964576427819</v>
      </c>
      <c r="AH21" s="642">
        <v>-611.77151807373264</v>
      </c>
      <c r="AI21" s="642">
        <v>0</v>
      </c>
      <c r="AJ21" s="642">
        <v>2.3749999999999996</v>
      </c>
      <c r="AK21" s="650">
        <v>704.65478271550762</v>
      </c>
    </row>
    <row r="22" spans="3:37" ht="13.5">
      <c r="C22" s="648" t="s">
        <v>351</v>
      </c>
      <c r="D22" s="642">
        <v>0</v>
      </c>
      <c r="E22" s="642">
        <v>0</v>
      </c>
      <c r="F22" s="642">
        <v>0</v>
      </c>
      <c r="G22" s="642">
        <v>15.160725636684646</v>
      </c>
      <c r="H22" s="642">
        <v>0</v>
      </c>
      <c r="I22" s="642">
        <v>0</v>
      </c>
      <c r="J22" s="651">
        <v>12.939045348987106</v>
      </c>
      <c r="K22" s="651">
        <v>12.151724678588742</v>
      </c>
      <c r="L22" s="651">
        <v>0</v>
      </c>
      <c r="M22" s="651">
        <v>0.32322722394029924</v>
      </c>
      <c r="N22" s="651">
        <v>0</v>
      </c>
      <c r="O22" s="651">
        <v>2.1538235080806043</v>
      </c>
      <c r="P22" s="642">
        <v>0</v>
      </c>
      <c r="Q22" s="642">
        <v>-38.589386176372813</v>
      </c>
      <c r="R22" s="642">
        <v>0</v>
      </c>
      <c r="S22" s="650">
        <v>4.1391602199085806</v>
      </c>
      <c r="U22" s="648" t="s">
        <v>351</v>
      </c>
      <c r="V22" s="642">
        <v>0</v>
      </c>
      <c r="W22" s="642">
        <v>0</v>
      </c>
      <c r="X22" s="642">
        <v>0</v>
      </c>
      <c r="Y22" s="642">
        <v>15.290780965453443</v>
      </c>
      <c r="Z22" s="642">
        <v>0</v>
      </c>
      <c r="AA22" s="642">
        <v>0</v>
      </c>
      <c r="AB22" s="651">
        <v>28.500378674784677</v>
      </c>
      <c r="AC22" s="651">
        <v>25.381229817913329</v>
      </c>
      <c r="AD22" s="651">
        <v>0</v>
      </c>
      <c r="AE22" s="651">
        <v>2.712197771476935</v>
      </c>
      <c r="AF22" s="651">
        <v>0</v>
      </c>
      <c r="AG22" s="651">
        <v>8.3103526067541207</v>
      </c>
      <c r="AH22" s="642">
        <v>0</v>
      </c>
      <c r="AI22" s="642">
        <v>-73.223954421682024</v>
      </c>
      <c r="AJ22" s="642">
        <v>0</v>
      </c>
      <c r="AK22" s="650">
        <v>6.9709854147004844</v>
      </c>
    </row>
    <row r="23" spans="3:37" ht="13.5">
      <c r="C23" s="648" t="s">
        <v>352</v>
      </c>
      <c r="D23" s="642">
        <v>0</v>
      </c>
      <c r="E23" s="642">
        <v>0</v>
      </c>
      <c r="F23" s="642">
        <v>0</v>
      </c>
      <c r="G23" s="642">
        <v>0</v>
      </c>
      <c r="H23" s="642">
        <v>0</v>
      </c>
      <c r="I23" s="642">
        <v>0</v>
      </c>
      <c r="J23" s="652">
        <v>7.3987592400222235</v>
      </c>
      <c r="K23" s="652">
        <v>0</v>
      </c>
      <c r="L23" s="652">
        <v>0</v>
      </c>
      <c r="M23" s="652">
        <v>-6.5941441726698065</v>
      </c>
      <c r="N23" s="652">
        <v>0</v>
      </c>
      <c r="O23" s="652">
        <v>0</v>
      </c>
      <c r="P23" s="642">
        <v>0</v>
      </c>
      <c r="Q23" s="642">
        <v>0</v>
      </c>
      <c r="R23" s="642">
        <v>0</v>
      </c>
      <c r="S23" s="650">
        <v>0.80461506735241706</v>
      </c>
      <c r="U23" s="648" t="s">
        <v>352</v>
      </c>
      <c r="V23" s="642">
        <v>0</v>
      </c>
      <c r="W23" s="642">
        <v>0</v>
      </c>
      <c r="X23" s="642">
        <v>0</v>
      </c>
      <c r="Y23" s="642">
        <v>0</v>
      </c>
      <c r="Z23" s="642">
        <v>0</v>
      </c>
      <c r="AA23" s="642">
        <v>0</v>
      </c>
      <c r="AB23" s="652">
        <v>40.786473386605621</v>
      </c>
      <c r="AC23" s="652">
        <v>0</v>
      </c>
      <c r="AD23" s="652">
        <v>0</v>
      </c>
      <c r="AE23" s="652">
        <v>-36.350944405812257</v>
      </c>
      <c r="AF23" s="652">
        <v>0</v>
      </c>
      <c r="AG23" s="652">
        <v>0</v>
      </c>
      <c r="AH23" s="642">
        <v>0</v>
      </c>
      <c r="AI23" s="642">
        <v>0</v>
      </c>
      <c r="AJ23" s="642">
        <v>0</v>
      </c>
      <c r="AK23" s="650">
        <v>4.4355289807933644</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542.69343279650275</v>
      </c>
      <c r="F25" s="642">
        <v>-537.26649846853775</v>
      </c>
      <c r="G25" s="642">
        <v>0</v>
      </c>
      <c r="H25" s="642">
        <v>0</v>
      </c>
      <c r="I25" s="642">
        <v>0</v>
      </c>
      <c r="J25" s="642">
        <v>0</v>
      </c>
      <c r="K25" s="642">
        <v>0</v>
      </c>
      <c r="L25" s="642">
        <v>0</v>
      </c>
      <c r="M25" s="642">
        <v>0</v>
      </c>
      <c r="N25" s="642">
        <v>0</v>
      </c>
      <c r="O25" s="642">
        <v>0</v>
      </c>
      <c r="P25" s="642">
        <v>0</v>
      </c>
      <c r="Q25" s="642">
        <v>0</v>
      </c>
      <c r="R25" s="642">
        <v>0</v>
      </c>
      <c r="S25" s="650">
        <v>5.4269343279650002</v>
      </c>
      <c r="U25" s="648" t="s">
        <v>72</v>
      </c>
      <c r="V25" s="642">
        <v>0</v>
      </c>
      <c r="W25" s="642">
        <v>354.9229903070925</v>
      </c>
      <c r="X25" s="642">
        <v>-351.3737604040216</v>
      </c>
      <c r="Y25" s="642">
        <v>0</v>
      </c>
      <c r="Z25" s="642">
        <v>0</v>
      </c>
      <c r="AA25" s="642">
        <v>0</v>
      </c>
      <c r="AB25" s="642">
        <v>0</v>
      </c>
      <c r="AC25" s="642">
        <v>0</v>
      </c>
      <c r="AD25" s="642">
        <v>0</v>
      </c>
      <c r="AE25" s="642">
        <v>0</v>
      </c>
      <c r="AF25" s="642">
        <v>0</v>
      </c>
      <c r="AG25" s="642">
        <v>0</v>
      </c>
      <c r="AH25" s="642">
        <v>0</v>
      </c>
      <c r="AI25" s="642">
        <v>0</v>
      </c>
      <c r="AJ25" s="642">
        <v>0</v>
      </c>
      <c r="AK25" s="650">
        <v>3.5492299030709091</v>
      </c>
    </row>
    <row r="26" spans="3:37" ht="13.5">
      <c r="C26" s="648" t="s">
        <v>354</v>
      </c>
      <c r="D26" s="642">
        <v>0</v>
      </c>
      <c r="E26" s="642">
        <v>0</v>
      </c>
      <c r="F26" s="642">
        <v>0</v>
      </c>
      <c r="G26" s="642">
        <v>0</v>
      </c>
      <c r="H26" s="642">
        <v>0</v>
      </c>
      <c r="I26" s="642">
        <v>0</v>
      </c>
      <c r="J26" s="642">
        <v>32.75009012852766</v>
      </c>
      <c r="K26" s="642">
        <v>0</v>
      </c>
      <c r="L26" s="642">
        <v>-32.75009012852766</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-76.638831624044727</v>
      </c>
      <c r="AE26" s="642">
        <v>0</v>
      </c>
      <c r="AF26" s="642">
        <v>0</v>
      </c>
      <c r="AG26" s="642">
        <v>0</v>
      </c>
      <c r="AH26" s="642">
        <v>0</v>
      </c>
      <c r="AI26" s="642">
        <v>0</v>
      </c>
      <c r="AJ26" s="642">
        <v>0</v>
      </c>
      <c r="AK26" s="650">
        <v>-76.638831624044727</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-16.893833779014706</v>
      </c>
      <c r="AE27" s="642">
        <v>0</v>
      </c>
      <c r="AF27" s="642">
        <v>0</v>
      </c>
      <c r="AG27" s="642">
        <v>0</v>
      </c>
      <c r="AH27" s="642">
        <v>0</v>
      </c>
      <c r="AI27" s="642">
        <v>0</v>
      </c>
      <c r="AJ27" s="642">
        <v>0</v>
      </c>
      <c r="AK27" s="650">
        <v>-16.893833779014706</v>
      </c>
    </row>
    <row r="28" spans="3:37" ht="13.5">
      <c r="C28" s="648" t="s">
        <v>73</v>
      </c>
      <c r="D28" s="642">
        <v>0</v>
      </c>
      <c r="E28" s="642">
        <v>0</v>
      </c>
      <c r="F28" s="642">
        <v>0</v>
      </c>
      <c r="G28" s="642">
        <v>2.9190475912378031</v>
      </c>
      <c r="H28" s="642">
        <v>0</v>
      </c>
      <c r="I28" s="642">
        <v>0</v>
      </c>
      <c r="J28" s="642">
        <v>0</v>
      </c>
      <c r="K28" s="642">
        <v>3.3095777678433143E-2</v>
      </c>
      <c r="L28" s="642">
        <v>0</v>
      </c>
      <c r="M28" s="642">
        <v>5.9572399821179664E-2</v>
      </c>
      <c r="N28" s="642">
        <v>0</v>
      </c>
      <c r="O28" s="642">
        <v>0</v>
      </c>
      <c r="P28" s="642">
        <v>0.31236464325712177</v>
      </c>
      <c r="Q28" s="642">
        <v>0</v>
      </c>
      <c r="R28" s="642">
        <v>-2.3167044374903201</v>
      </c>
      <c r="S28" s="650">
        <v>1.0073759745042175</v>
      </c>
      <c r="U28" s="648" t="s">
        <v>73</v>
      </c>
      <c r="V28" s="642">
        <v>0</v>
      </c>
      <c r="W28" s="642">
        <v>0</v>
      </c>
      <c r="X28" s="642">
        <v>0</v>
      </c>
      <c r="Y28" s="642">
        <v>6.287229939138852</v>
      </c>
      <c r="Z28" s="642">
        <v>0</v>
      </c>
      <c r="AA28" s="642">
        <v>0</v>
      </c>
      <c r="AB28" s="642">
        <v>0</v>
      </c>
      <c r="AC28" s="642">
        <v>0.25073698660573684</v>
      </c>
      <c r="AD28" s="642">
        <v>0</v>
      </c>
      <c r="AE28" s="642">
        <v>1.1095111657303856</v>
      </c>
      <c r="AF28" s="642">
        <v>0</v>
      </c>
      <c r="AG28" s="642">
        <v>0</v>
      </c>
      <c r="AH28" s="642">
        <v>18.274688237257074</v>
      </c>
      <c r="AI28" s="642">
        <v>0</v>
      </c>
      <c r="AJ28" s="642">
        <v>-17.551589062401579</v>
      </c>
      <c r="AK28" s="650">
        <v>8.3705772663304678</v>
      </c>
    </row>
    <row r="29" spans="3:37" ht="13.5">
      <c r="C29" s="648" t="s">
        <v>356</v>
      </c>
      <c r="D29" s="642">
        <v>28.656195468750003</v>
      </c>
      <c r="E29" s="642">
        <v>-18.804327446398823</v>
      </c>
      <c r="F29" s="642">
        <v>24.594949618470011</v>
      </c>
      <c r="G29" s="642">
        <v>0</v>
      </c>
      <c r="H29" s="642">
        <v>0</v>
      </c>
      <c r="I29" s="642">
        <v>0</v>
      </c>
      <c r="J29" s="642">
        <v>0</v>
      </c>
      <c r="K29" s="642">
        <v>0</v>
      </c>
      <c r="L29" s="642">
        <v>0</v>
      </c>
      <c r="M29" s="642">
        <v>0</v>
      </c>
      <c r="N29" s="642">
        <v>0</v>
      </c>
      <c r="O29" s="642">
        <v>0</v>
      </c>
      <c r="P29" s="642">
        <v>0</v>
      </c>
      <c r="Q29" s="642">
        <v>0</v>
      </c>
      <c r="R29" s="642">
        <v>0</v>
      </c>
      <c r="S29" s="650">
        <v>34.446817640821195</v>
      </c>
      <c r="U29" s="648" t="s">
        <v>356</v>
      </c>
      <c r="V29" s="642">
        <v>3.6632235107421875</v>
      </c>
      <c r="W29" s="642">
        <v>-12.298081614140758</v>
      </c>
      <c r="X29" s="642">
        <v>16.085164362607916</v>
      </c>
      <c r="Y29" s="642">
        <v>0</v>
      </c>
      <c r="Z29" s="642">
        <v>0</v>
      </c>
      <c r="AA29" s="642">
        <v>0</v>
      </c>
      <c r="AB29" s="642">
        <v>0</v>
      </c>
      <c r="AC29" s="642">
        <v>0</v>
      </c>
      <c r="AD29" s="642">
        <v>0</v>
      </c>
      <c r="AE29" s="642">
        <v>0</v>
      </c>
      <c r="AF29" s="642">
        <v>0</v>
      </c>
      <c r="AG29" s="642">
        <v>0</v>
      </c>
      <c r="AH29" s="642">
        <v>0</v>
      </c>
      <c r="AI29" s="642">
        <v>0</v>
      </c>
      <c r="AJ29" s="642">
        <v>0</v>
      </c>
      <c r="AK29" s="650">
        <v>7.450306259209345</v>
      </c>
    </row>
    <row r="30" spans="3:37" ht="13.5">
      <c r="C30" s="648" t="s">
        <v>75</v>
      </c>
      <c r="D30" s="642">
        <v>11.144076015625002</v>
      </c>
      <c r="E30" s="642">
        <v>0</v>
      </c>
      <c r="F30" s="642">
        <v>18.451576715081096</v>
      </c>
      <c r="G30" s="642">
        <v>5.2652116849916704</v>
      </c>
      <c r="H30" s="642">
        <v>0</v>
      </c>
      <c r="I30" s="642">
        <v>0</v>
      </c>
      <c r="J30" s="642">
        <v>0</v>
      </c>
      <c r="K30" s="642">
        <v>0</v>
      </c>
      <c r="L30" s="642">
        <v>0</v>
      </c>
      <c r="M30" s="642">
        <v>0.10745329969370757</v>
      </c>
      <c r="N30" s="642">
        <v>0</v>
      </c>
      <c r="O30" s="642">
        <v>0</v>
      </c>
      <c r="P30" s="642">
        <v>33.522260759660846</v>
      </c>
      <c r="Q30" s="642">
        <v>0</v>
      </c>
      <c r="R30" s="642">
        <v>0</v>
      </c>
      <c r="S30" s="650">
        <v>68.490578475052317</v>
      </c>
      <c r="U30" s="648" t="s">
        <v>75</v>
      </c>
      <c r="V30" s="642">
        <v>4.4693862304687499</v>
      </c>
      <c r="W30" s="642">
        <v>0</v>
      </c>
      <c r="X30" s="642">
        <v>18.451576715081096</v>
      </c>
      <c r="Y30" s="642">
        <v>4.5667652369825715</v>
      </c>
      <c r="Z30" s="642">
        <v>0</v>
      </c>
      <c r="AA30" s="642">
        <v>0</v>
      </c>
      <c r="AB30" s="642">
        <v>0</v>
      </c>
      <c r="AC30" s="642">
        <v>0</v>
      </c>
      <c r="AD30" s="642">
        <v>0</v>
      </c>
      <c r="AE30" s="642">
        <v>0.8058997477028067</v>
      </c>
      <c r="AF30" s="642">
        <v>0</v>
      </c>
      <c r="AG30" s="642">
        <v>0</v>
      </c>
      <c r="AH30" s="642">
        <v>33.775215305115388</v>
      </c>
      <c r="AI30" s="642">
        <v>0</v>
      </c>
      <c r="AJ30" s="642">
        <v>0</v>
      </c>
      <c r="AK30" s="650">
        <v>62.068843235350613</v>
      </c>
    </row>
    <row r="31" spans="3:37" ht="13.5">
      <c r="C31" s="648" t="s">
        <v>76</v>
      </c>
      <c r="D31" s="642">
        <v>0</v>
      </c>
      <c r="E31" s="642">
        <v>0</v>
      </c>
      <c r="F31" s="642">
        <v>0</v>
      </c>
      <c r="G31" s="642">
        <v>3.8313802109978718</v>
      </c>
      <c r="H31" s="642">
        <v>0</v>
      </c>
      <c r="I31" s="642">
        <v>0</v>
      </c>
      <c r="J31" s="642">
        <v>0</v>
      </c>
      <c r="K31" s="642">
        <v>0</v>
      </c>
      <c r="L31" s="642">
        <v>0</v>
      </c>
      <c r="M31" s="642">
        <v>7.8191432877507586E-2</v>
      </c>
      <c r="N31" s="642">
        <v>0</v>
      </c>
      <c r="O31" s="642">
        <v>0</v>
      </c>
      <c r="P31" s="642">
        <v>42.744249460921445</v>
      </c>
      <c r="Q31" s="642">
        <v>2.9948048478615572</v>
      </c>
      <c r="R31" s="642">
        <v>0</v>
      </c>
      <c r="S31" s="650">
        <v>49.648625952658385</v>
      </c>
      <c r="U31" s="648" t="s">
        <v>76</v>
      </c>
      <c r="V31" s="642">
        <v>0</v>
      </c>
      <c r="W31" s="642">
        <v>0</v>
      </c>
      <c r="X31" s="642">
        <v>0</v>
      </c>
      <c r="Y31" s="642">
        <v>2.4425535766751323</v>
      </c>
      <c r="Z31" s="642">
        <v>0</v>
      </c>
      <c r="AA31" s="642">
        <v>0</v>
      </c>
      <c r="AB31" s="642">
        <v>0</v>
      </c>
      <c r="AC31" s="642">
        <v>0</v>
      </c>
      <c r="AD31" s="642">
        <v>0</v>
      </c>
      <c r="AE31" s="642">
        <v>0.43103886647208217</v>
      </c>
      <c r="AF31" s="642">
        <v>0</v>
      </c>
      <c r="AG31" s="642">
        <v>0</v>
      </c>
      <c r="AH31" s="642">
        <v>44.348699545879278</v>
      </c>
      <c r="AI31" s="642">
        <v>5.6786643797858867</v>
      </c>
      <c r="AJ31" s="642">
        <v>0</v>
      </c>
      <c r="AK31" s="650">
        <v>52.900956368812388</v>
      </c>
    </row>
    <row r="32" spans="3:37" ht="13.5">
      <c r="C32" s="646" t="s">
        <v>77</v>
      </c>
      <c r="D32" s="647">
        <v>42.627057125400256</v>
      </c>
      <c r="E32" s="647">
        <v>523.88910535010393</v>
      </c>
      <c r="F32" s="647">
        <v>-486.25029902863446</v>
      </c>
      <c r="G32" s="647">
        <v>44.598587346134217</v>
      </c>
      <c r="H32" s="647">
        <v>1075.0000000000002</v>
      </c>
      <c r="I32" s="647">
        <v>224.13674723416887</v>
      </c>
      <c r="J32" s="647">
        <v>83.541447222318993</v>
      </c>
      <c r="K32" s="647">
        <v>19.633041740965588</v>
      </c>
      <c r="L32" s="647">
        <v>-30.296984724016522</v>
      </c>
      <c r="M32" s="647">
        <v>-5.5459776813090693</v>
      </c>
      <c r="N32" s="647">
        <v>0</v>
      </c>
      <c r="O32" s="647">
        <v>5.2372199657233862</v>
      </c>
      <c r="P32" s="647">
        <v>-532.72264320989325</v>
      </c>
      <c r="Q32" s="647">
        <v>-35.594581328511254</v>
      </c>
      <c r="R32" s="647">
        <v>-2.3167044374903201</v>
      </c>
      <c r="S32" s="647">
        <v>925.93601557496061</v>
      </c>
      <c r="U32" s="646" t="s">
        <v>77</v>
      </c>
      <c r="V32" s="647">
        <v>8.7589246466696284</v>
      </c>
      <c r="W32" s="647">
        <v>342.62490869295175</v>
      </c>
      <c r="X32" s="647">
        <v>-312.73098258361676</v>
      </c>
      <c r="Y32" s="647">
        <v>53.445107496027774</v>
      </c>
      <c r="Z32" s="647">
        <v>994.39393939393949</v>
      </c>
      <c r="AA32" s="647">
        <v>248.70674723416883</v>
      </c>
      <c r="AB32" s="647">
        <v>93.928049103898687</v>
      </c>
      <c r="AC32" s="647">
        <v>32.303919388897036</v>
      </c>
      <c r="AD32" s="647">
        <v>-91.079559998548305</v>
      </c>
      <c r="AE32" s="647">
        <v>-26.781463608290892</v>
      </c>
      <c r="AF32" s="647">
        <v>0</v>
      </c>
      <c r="AG32" s="647">
        <v>11.393749064396903</v>
      </c>
      <c r="AH32" s="647">
        <v>-515.37291498548086</v>
      </c>
      <c r="AI32" s="647">
        <v>-67.545290041896138</v>
      </c>
      <c r="AJ32" s="647">
        <v>-15.176589062401579</v>
      </c>
      <c r="AK32" s="647">
        <v>756.86854474071572</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6.2002081056415257</v>
      </c>
      <c r="E34" s="642">
        <v>0</v>
      </c>
      <c r="F34" s="642">
        <v>23.255205938178186</v>
      </c>
      <c r="G34" s="642">
        <v>101.12865293850786</v>
      </c>
      <c r="H34" s="642">
        <v>0</v>
      </c>
      <c r="I34" s="642">
        <v>0</v>
      </c>
      <c r="J34" s="642">
        <v>19.565687098295676</v>
      </c>
      <c r="K34" s="642">
        <v>1.7744589215827917</v>
      </c>
      <c r="L34" s="642">
        <v>0.87520713476562495</v>
      </c>
      <c r="M34" s="642">
        <v>2.0825226770622867</v>
      </c>
      <c r="N34" s="642">
        <v>0</v>
      </c>
      <c r="O34" s="642">
        <v>3.8067188808088001E-4</v>
      </c>
      <c r="P34" s="642">
        <v>109.76937284793219</v>
      </c>
      <c r="Q34" s="642">
        <v>16.103287978552984</v>
      </c>
      <c r="R34" s="642">
        <v>0.32868640136718752</v>
      </c>
      <c r="S34" s="650">
        <v>281.08367071377444</v>
      </c>
      <c r="U34" s="648" t="s">
        <v>78</v>
      </c>
      <c r="V34" s="642">
        <v>1.01942505552247</v>
      </c>
      <c r="W34" s="642">
        <v>0</v>
      </c>
      <c r="X34" s="642">
        <v>12.936117077553076</v>
      </c>
      <c r="Y34" s="642">
        <v>67.349539979102474</v>
      </c>
      <c r="Z34" s="642">
        <v>0</v>
      </c>
      <c r="AA34" s="642">
        <v>0</v>
      </c>
      <c r="AB34" s="642">
        <v>16.313565187348217</v>
      </c>
      <c r="AC34" s="642">
        <v>5.7022810919996436</v>
      </c>
      <c r="AD34" s="642">
        <v>2.2588896484375001</v>
      </c>
      <c r="AE34" s="642">
        <v>11.903885554581411</v>
      </c>
      <c r="AF34" s="642">
        <v>0</v>
      </c>
      <c r="AG34" s="642">
        <v>3.8067188808088001E-4</v>
      </c>
      <c r="AH34" s="642">
        <v>135.13428233654639</v>
      </c>
      <c r="AI34" s="642">
        <v>21.466888656055119</v>
      </c>
      <c r="AJ34" s="642">
        <v>5.7972734375000003</v>
      </c>
      <c r="AK34" s="650">
        <v>279.88252869653439</v>
      </c>
    </row>
    <row r="35" spans="3:37" ht="13.5">
      <c r="C35" s="648" t="s">
        <v>79</v>
      </c>
      <c r="D35" s="642">
        <v>0</v>
      </c>
      <c r="E35" s="642">
        <v>0</v>
      </c>
      <c r="F35" s="642">
        <v>291.38745921478562</v>
      </c>
      <c r="G35" s="642">
        <v>24.020829745272028</v>
      </c>
      <c r="H35" s="642">
        <v>0</v>
      </c>
      <c r="I35" s="642">
        <v>0</v>
      </c>
      <c r="J35" s="642">
        <v>0</v>
      </c>
      <c r="K35" s="642">
        <v>0</v>
      </c>
      <c r="L35" s="642">
        <v>28.280041762715456</v>
      </c>
      <c r="M35" s="642">
        <v>0.49022101520963324</v>
      </c>
      <c r="N35" s="642">
        <v>0</v>
      </c>
      <c r="O35" s="642">
        <v>0</v>
      </c>
      <c r="P35" s="642">
        <v>46.654707564142761</v>
      </c>
      <c r="Q35" s="642">
        <v>0</v>
      </c>
      <c r="R35" s="642">
        <v>1.1135281120019407</v>
      </c>
      <c r="S35" s="650">
        <v>391.94678741412741</v>
      </c>
      <c r="U35" s="648" t="s">
        <v>79</v>
      </c>
      <c r="V35" s="642">
        <v>0</v>
      </c>
      <c r="W35" s="642">
        <v>0</v>
      </c>
      <c r="X35" s="642">
        <v>152.5395921226515</v>
      </c>
      <c r="Y35" s="642">
        <v>18.931026789455995</v>
      </c>
      <c r="Z35" s="642">
        <v>0</v>
      </c>
      <c r="AA35" s="642">
        <v>0</v>
      </c>
      <c r="AB35" s="642">
        <v>0</v>
      </c>
      <c r="AC35" s="642">
        <v>0</v>
      </c>
      <c r="AD35" s="642">
        <v>49.546406871337183</v>
      </c>
      <c r="AE35" s="642">
        <v>3.3407694334334113</v>
      </c>
      <c r="AF35" s="642">
        <v>0</v>
      </c>
      <c r="AG35" s="642">
        <v>0</v>
      </c>
      <c r="AH35" s="642">
        <v>60.923926311544285</v>
      </c>
      <c r="AI35" s="642">
        <v>0</v>
      </c>
      <c r="AJ35" s="642">
        <v>2.0956611258816777</v>
      </c>
      <c r="AK35" s="650">
        <v>287.37738265430403</v>
      </c>
    </row>
    <row r="36" spans="3:37" ht="13.5">
      <c r="C36" s="648" t="s">
        <v>80</v>
      </c>
      <c r="D36" s="642">
        <v>0</v>
      </c>
      <c r="E36" s="642">
        <v>0</v>
      </c>
      <c r="F36" s="642">
        <v>24.366054746482678</v>
      </c>
      <c r="G36" s="642">
        <v>88.830627596834503</v>
      </c>
      <c r="H36" s="642">
        <v>0</v>
      </c>
      <c r="I36" s="642">
        <v>0</v>
      </c>
      <c r="J36" s="642">
        <v>86.298448588028648</v>
      </c>
      <c r="K36" s="642">
        <v>0</v>
      </c>
      <c r="L36" s="642">
        <v>0</v>
      </c>
      <c r="M36" s="642">
        <v>1.8128699509558064</v>
      </c>
      <c r="N36" s="642">
        <v>49.305914152356948</v>
      </c>
      <c r="O36" s="642">
        <v>1.9759423218950023</v>
      </c>
      <c r="P36" s="642">
        <v>183.08170703950353</v>
      </c>
      <c r="Q36" s="642">
        <v>15.629207143582217</v>
      </c>
      <c r="R36" s="642">
        <v>0</v>
      </c>
      <c r="S36" s="650">
        <v>451.3007715396393</v>
      </c>
      <c r="U36" s="648" t="s">
        <v>80</v>
      </c>
      <c r="V36" s="642">
        <v>0</v>
      </c>
      <c r="W36" s="642">
        <v>0</v>
      </c>
      <c r="X36" s="642">
        <v>1.5212022418020299</v>
      </c>
      <c r="Y36" s="642">
        <v>34.748278571527685</v>
      </c>
      <c r="Z36" s="642">
        <v>0</v>
      </c>
      <c r="AA36" s="642">
        <v>0</v>
      </c>
      <c r="AB36" s="642">
        <v>75.181836567082826</v>
      </c>
      <c r="AC36" s="642">
        <v>0</v>
      </c>
      <c r="AD36" s="642">
        <v>0</v>
      </c>
      <c r="AE36" s="642">
        <v>6.1320491596813564</v>
      </c>
      <c r="AF36" s="642">
        <v>62.645467095100628</v>
      </c>
      <c r="AG36" s="642">
        <v>2.6978117080871646</v>
      </c>
      <c r="AH36" s="642">
        <v>158.40967854762758</v>
      </c>
      <c r="AI36" s="642">
        <v>35.928967439236224</v>
      </c>
      <c r="AJ36" s="642">
        <v>0</v>
      </c>
      <c r="AK36" s="650">
        <v>377.26529133014549</v>
      </c>
    </row>
    <row r="37" spans="3:37" ht="13.5">
      <c r="C37" s="648" t="s">
        <v>81</v>
      </c>
      <c r="D37" s="642">
        <v>0</v>
      </c>
      <c r="E37" s="642">
        <v>0</v>
      </c>
      <c r="F37" s="642">
        <v>9.1434406229634497</v>
      </c>
      <c r="G37" s="642">
        <v>62.772902131190932</v>
      </c>
      <c r="H37" s="642">
        <v>0</v>
      </c>
      <c r="I37" s="642">
        <v>0</v>
      </c>
      <c r="J37" s="642">
        <v>3.3792389882828151</v>
      </c>
      <c r="K37" s="642">
        <v>2.5053216415896862E-2</v>
      </c>
      <c r="L37" s="642">
        <v>0</v>
      </c>
      <c r="M37" s="642">
        <v>1.2810796353304272</v>
      </c>
      <c r="N37" s="642">
        <v>8.5204805498073064</v>
      </c>
      <c r="O37" s="642">
        <v>0.77988306826531983</v>
      </c>
      <c r="P37" s="642">
        <v>134.9475862077569</v>
      </c>
      <c r="Q37" s="642">
        <v>3.8620862063760555</v>
      </c>
      <c r="R37" s="642">
        <v>0</v>
      </c>
      <c r="S37" s="650">
        <v>224.71175062638912</v>
      </c>
      <c r="U37" s="648" t="s">
        <v>81</v>
      </c>
      <c r="V37" s="642">
        <v>0</v>
      </c>
      <c r="W37" s="642">
        <v>0</v>
      </c>
      <c r="X37" s="642">
        <v>2.5747324311170368</v>
      </c>
      <c r="Y37" s="642">
        <v>28.050706446538126</v>
      </c>
      <c r="Z37" s="642">
        <v>0</v>
      </c>
      <c r="AA37" s="642">
        <v>0</v>
      </c>
      <c r="AB37" s="642">
        <v>7.5276105699702738</v>
      </c>
      <c r="AC37" s="642">
        <v>2.5053216415896862E-2</v>
      </c>
      <c r="AD37" s="642">
        <v>0</v>
      </c>
      <c r="AE37" s="642">
        <v>4.9501246670361398</v>
      </c>
      <c r="AF37" s="642">
        <v>14.347345485370148</v>
      </c>
      <c r="AG37" s="642">
        <v>1.6839822655905561</v>
      </c>
      <c r="AH37" s="642">
        <v>120.05488498756245</v>
      </c>
      <c r="AI37" s="642">
        <v>10.149433946604795</v>
      </c>
      <c r="AJ37" s="642">
        <v>0</v>
      </c>
      <c r="AK37" s="650">
        <v>189.36387401620541</v>
      </c>
    </row>
    <row r="38" spans="3:37" ht="13.5">
      <c r="C38" s="648" t="s">
        <v>82</v>
      </c>
      <c r="D38" s="642">
        <v>0</v>
      </c>
      <c r="E38" s="642">
        <v>0</v>
      </c>
      <c r="F38" s="642">
        <v>31.378359933180146</v>
      </c>
      <c r="G38" s="642">
        <v>1.761464702880946</v>
      </c>
      <c r="H38" s="642">
        <v>0</v>
      </c>
      <c r="I38" s="642">
        <v>0</v>
      </c>
      <c r="J38" s="642">
        <v>2.5129576329044134</v>
      </c>
      <c r="K38" s="642">
        <v>0</v>
      </c>
      <c r="L38" s="642">
        <v>2.7366524531426237</v>
      </c>
      <c r="M38" s="642">
        <v>3.5948259242468285E-2</v>
      </c>
      <c r="N38" s="642">
        <v>0</v>
      </c>
      <c r="O38" s="642">
        <v>7.8328904674825409E-2</v>
      </c>
      <c r="P38" s="642">
        <v>7.1029233048090266</v>
      </c>
      <c r="Q38" s="642">
        <v>0</v>
      </c>
      <c r="R38" s="642">
        <v>0</v>
      </c>
      <c r="S38" s="650">
        <v>45.606635190834446</v>
      </c>
      <c r="U38" s="648" t="s">
        <v>82</v>
      </c>
      <c r="V38" s="642">
        <v>0</v>
      </c>
      <c r="W38" s="642">
        <v>0</v>
      </c>
      <c r="X38" s="642">
        <v>18.696617357576709</v>
      </c>
      <c r="Y38" s="642">
        <v>1.906896096641761</v>
      </c>
      <c r="Z38" s="642">
        <v>0</v>
      </c>
      <c r="AA38" s="642">
        <v>0</v>
      </c>
      <c r="AB38" s="642">
        <v>2.5129576329044134</v>
      </c>
      <c r="AC38" s="642">
        <v>0</v>
      </c>
      <c r="AD38" s="642">
        <v>18.28747352858748</v>
      </c>
      <c r="AE38" s="642">
        <v>0.33651107587795781</v>
      </c>
      <c r="AF38" s="642">
        <v>0</v>
      </c>
      <c r="AG38" s="642">
        <v>0.96290247555165809</v>
      </c>
      <c r="AH38" s="642">
        <v>7.1739705565638916</v>
      </c>
      <c r="AI38" s="642">
        <v>0</v>
      </c>
      <c r="AJ38" s="642">
        <v>0.24940873791150003</v>
      </c>
      <c r="AK38" s="650">
        <v>50.12673746161537</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0.22499999999999998</v>
      </c>
      <c r="Q39" s="642">
        <v>0</v>
      </c>
      <c r="R39" s="642">
        <v>0</v>
      </c>
      <c r="S39" s="650">
        <v>0.22499999999999998</v>
      </c>
      <c r="U39" s="648" t="s">
        <v>357</v>
      </c>
      <c r="V39" s="642">
        <v>0</v>
      </c>
      <c r="W39" s="642">
        <v>0</v>
      </c>
      <c r="X39" s="642">
        <v>0</v>
      </c>
      <c r="Y39" s="642">
        <v>0</v>
      </c>
      <c r="Z39" s="642">
        <v>0</v>
      </c>
      <c r="AA39" s="642">
        <v>0</v>
      </c>
      <c r="AB39" s="642">
        <v>0</v>
      </c>
      <c r="AC39" s="642">
        <v>0</v>
      </c>
      <c r="AD39" s="642">
        <v>0</v>
      </c>
      <c r="AE39" s="642">
        <v>0</v>
      </c>
      <c r="AF39" s="642">
        <v>0</v>
      </c>
      <c r="AG39" s="642">
        <v>0</v>
      </c>
      <c r="AH39" s="642">
        <v>1.2</v>
      </c>
      <c r="AI39" s="642">
        <v>0</v>
      </c>
      <c r="AJ39" s="642">
        <v>0</v>
      </c>
      <c r="AK39" s="650">
        <v>1.2</v>
      </c>
    </row>
    <row r="40" spans="3:37" ht="13.5">
      <c r="C40" s="646" t="s">
        <v>83</v>
      </c>
      <c r="D40" s="647">
        <v>6.2002081056415257</v>
      </c>
      <c r="E40" s="647">
        <v>0</v>
      </c>
      <c r="F40" s="647">
        <v>379.53052045559002</v>
      </c>
      <c r="G40" s="647">
        <v>278.51447711468631</v>
      </c>
      <c r="H40" s="647">
        <v>0</v>
      </c>
      <c r="I40" s="647">
        <v>0</v>
      </c>
      <c r="J40" s="647">
        <v>111.75633230751156</v>
      </c>
      <c r="K40" s="647">
        <v>1.7995121379986885</v>
      </c>
      <c r="L40" s="647">
        <v>31.891901350623705</v>
      </c>
      <c r="M40" s="647">
        <v>5.7026415378006226</v>
      </c>
      <c r="N40" s="647">
        <v>57.826394702164251</v>
      </c>
      <c r="O40" s="647">
        <v>2.8345349667232282</v>
      </c>
      <c r="P40" s="647">
        <v>481.78129696414442</v>
      </c>
      <c r="Q40" s="647">
        <v>35.594581328511254</v>
      </c>
      <c r="R40" s="647">
        <v>1.4422145133691282</v>
      </c>
      <c r="S40" s="647">
        <v>1394.8746154847647</v>
      </c>
      <c r="U40" s="646" t="s">
        <v>83</v>
      </c>
      <c r="V40" s="647">
        <v>1.01942505552247</v>
      </c>
      <c r="W40" s="647">
        <v>0</v>
      </c>
      <c r="X40" s="647">
        <v>188.26826123070035</v>
      </c>
      <c r="Y40" s="647">
        <v>150.98644788326604</v>
      </c>
      <c r="Z40" s="647">
        <v>0</v>
      </c>
      <c r="AA40" s="647">
        <v>0</v>
      </c>
      <c r="AB40" s="647">
        <v>101.53596995730574</v>
      </c>
      <c r="AC40" s="647">
        <v>5.727334308415541</v>
      </c>
      <c r="AD40" s="647">
        <v>70.092770048362169</v>
      </c>
      <c r="AE40" s="647">
        <v>26.663339890610278</v>
      </c>
      <c r="AF40" s="647">
        <v>76.992812580470769</v>
      </c>
      <c r="AG40" s="647">
        <v>5.3450771211174599</v>
      </c>
      <c r="AH40" s="647">
        <v>482.89674273984457</v>
      </c>
      <c r="AI40" s="647">
        <v>67.545290041896138</v>
      </c>
      <c r="AJ40" s="647">
        <v>8.1423433012931774</v>
      </c>
      <c r="AK40" s="647">
        <v>1185.2158141588047</v>
      </c>
    </row>
    <row r="41" spans="3:37" ht="13.5">
      <c r="C41" s="641" t="s">
        <v>84</v>
      </c>
      <c r="D41" s="642">
        <v>0</v>
      </c>
      <c r="E41" s="642">
        <v>0</v>
      </c>
      <c r="F41" s="642">
        <v>114.78425758185857</v>
      </c>
      <c r="G41" s="642">
        <v>12.028714359769619</v>
      </c>
      <c r="H41" s="642">
        <v>0</v>
      </c>
      <c r="I41" s="642">
        <v>0</v>
      </c>
      <c r="J41" s="642">
        <v>0</v>
      </c>
      <c r="K41" s="642">
        <v>0</v>
      </c>
      <c r="L41" s="642">
        <v>0</v>
      </c>
      <c r="M41" s="642">
        <v>0</v>
      </c>
      <c r="N41" s="642">
        <v>0</v>
      </c>
      <c r="O41" s="642">
        <v>0</v>
      </c>
      <c r="P41" s="642">
        <v>0</v>
      </c>
      <c r="Q41" s="642">
        <v>0</v>
      </c>
      <c r="R41" s="642">
        <v>0.87448992412119186</v>
      </c>
      <c r="S41" s="650">
        <v>127.68746186574938</v>
      </c>
      <c r="U41" s="641" t="s">
        <v>84</v>
      </c>
      <c r="V41" s="642">
        <v>0</v>
      </c>
      <c r="W41" s="642">
        <v>0</v>
      </c>
      <c r="X41" s="642">
        <v>99.887922338380434</v>
      </c>
      <c r="Y41" s="642">
        <v>1.4617397027131513</v>
      </c>
      <c r="Z41" s="642">
        <v>0</v>
      </c>
      <c r="AA41" s="642">
        <v>0</v>
      </c>
      <c r="AB41" s="642">
        <v>0</v>
      </c>
      <c r="AC41" s="642">
        <v>0</v>
      </c>
      <c r="AD41" s="642">
        <v>9.6859590362548822</v>
      </c>
      <c r="AE41" s="642">
        <v>0</v>
      </c>
      <c r="AF41" s="642">
        <v>0</v>
      </c>
      <c r="AG41" s="642">
        <v>0</v>
      </c>
      <c r="AH41" s="642">
        <v>0</v>
      </c>
      <c r="AI41" s="642">
        <v>0</v>
      </c>
      <c r="AJ41" s="642">
        <v>7.0342457611083988</v>
      </c>
      <c r="AK41" s="650">
        <v>118.06986683845686</v>
      </c>
    </row>
    <row r="42" spans="3:37" ht="13.5">
      <c r="C42" s="646" t="s">
        <v>85</v>
      </c>
      <c r="D42" s="647">
        <v>6.2002081056415257</v>
      </c>
      <c r="E42" s="647">
        <v>0</v>
      </c>
      <c r="F42" s="647">
        <v>494.3147780374486</v>
      </c>
      <c r="G42" s="647">
        <v>290.54319147445591</v>
      </c>
      <c r="H42" s="647">
        <v>0</v>
      </c>
      <c r="I42" s="647">
        <v>0</v>
      </c>
      <c r="J42" s="647">
        <v>111.75633230751156</v>
      </c>
      <c r="K42" s="647">
        <v>1.7995121379986885</v>
      </c>
      <c r="L42" s="647">
        <v>31.891901350623705</v>
      </c>
      <c r="M42" s="647">
        <v>5.7026415378006226</v>
      </c>
      <c r="N42" s="647">
        <v>57.826394702164251</v>
      </c>
      <c r="O42" s="647">
        <v>2.8345349667232282</v>
      </c>
      <c r="P42" s="647">
        <v>481.78129696414442</v>
      </c>
      <c r="Q42" s="647">
        <v>35.594581328511254</v>
      </c>
      <c r="R42" s="647">
        <v>2.3167044374903201</v>
      </c>
      <c r="S42" s="647">
        <v>1522.5620773505141</v>
      </c>
      <c r="U42" s="646" t="s">
        <v>85</v>
      </c>
      <c r="V42" s="647">
        <v>1.01942505552247</v>
      </c>
      <c r="W42" s="647">
        <v>0</v>
      </c>
      <c r="X42" s="647">
        <v>288.15618356908084</v>
      </c>
      <c r="Y42" s="647">
        <v>152.44818758597918</v>
      </c>
      <c r="Z42" s="647">
        <v>0</v>
      </c>
      <c r="AA42" s="647">
        <v>0</v>
      </c>
      <c r="AB42" s="647">
        <v>101.53596995730574</v>
      </c>
      <c r="AC42" s="647">
        <v>5.727334308415541</v>
      </c>
      <c r="AD42" s="647">
        <v>79.778729084617055</v>
      </c>
      <c r="AE42" s="647">
        <v>26.663339890610278</v>
      </c>
      <c r="AF42" s="647">
        <v>76.992812580470769</v>
      </c>
      <c r="AG42" s="647">
        <v>5.3450771211174599</v>
      </c>
      <c r="AH42" s="647">
        <v>482.89674273984457</v>
      </c>
      <c r="AI42" s="647">
        <v>67.545290041896138</v>
      </c>
      <c r="AJ42" s="647">
        <v>15.176589062401575</v>
      </c>
      <c r="AK42" s="647">
        <v>1303.2856809972616</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362</v>
      </c>
      <c r="D44" s="699"/>
      <c r="E44" s="699"/>
      <c r="F44" s="699"/>
      <c r="G44" s="699"/>
      <c r="H44" s="699"/>
      <c r="I44" s="699"/>
      <c r="J44" s="699"/>
      <c r="K44" s="699"/>
      <c r="L44" s="699"/>
      <c r="M44" s="699"/>
      <c r="N44" s="699"/>
      <c r="O44" s="699"/>
      <c r="P44" s="699"/>
      <c r="Q44" s="699"/>
      <c r="R44" s="699"/>
      <c r="S44" s="699"/>
      <c r="U44" s="699" t="s">
        <v>362</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2.3260000000000005</v>
      </c>
      <c r="F48" s="643">
        <v>0</v>
      </c>
      <c r="G48" s="642">
        <v>3.7216000000000006E-2</v>
      </c>
      <c r="H48" s="643">
        <v>1005.4545454545456</v>
      </c>
      <c r="I48" s="643">
        <v>248.9826967827097</v>
      </c>
      <c r="J48" s="643">
        <v>189.82090717884753</v>
      </c>
      <c r="K48" s="643">
        <v>21.067323208066789</v>
      </c>
      <c r="L48" s="643">
        <v>0.444514092196865</v>
      </c>
      <c r="M48" s="643">
        <v>0.15770970126630299</v>
      </c>
      <c r="N48" s="643">
        <v>60.832905155553725</v>
      </c>
      <c r="O48" s="643">
        <v>10.347989753579439</v>
      </c>
      <c r="P48" s="644">
        <v>0</v>
      </c>
      <c r="Q48" s="643">
        <v>0</v>
      </c>
      <c r="R48" s="643">
        <v>0</v>
      </c>
      <c r="S48" s="645">
        <v>1539.4718073267661</v>
      </c>
      <c r="U48" s="641" t="s">
        <v>59</v>
      </c>
      <c r="V48" s="642">
        <v>0</v>
      </c>
      <c r="W48" s="643">
        <v>2.3260000000000005</v>
      </c>
      <c r="X48" s="643">
        <v>0</v>
      </c>
      <c r="Y48" s="642">
        <v>3.7216000000000006E-2</v>
      </c>
      <c r="Z48" s="643">
        <v>949.39393939393938</v>
      </c>
      <c r="AA48" s="643">
        <v>279.58269678270966</v>
      </c>
      <c r="AB48" s="643">
        <v>196.53145821434362</v>
      </c>
      <c r="AC48" s="643">
        <v>37.828582612394825</v>
      </c>
      <c r="AD48" s="643">
        <v>0.444514092196865</v>
      </c>
      <c r="AE48" s="643">
        <v>0.15770970126630299</v>
      </c>
      <c r="AF48" s="643">
        <v>86.476611770328219</v>
      </c>
      <c r="AG48" s="643">
        <v>21.065809354780896</v>
      </c>
      <c r="AH48" s="644">
        <v>0</v>
      </c>
      <c r="AI48" s="643">
        <v>0</v>
      </c>
      <c r="AJ48" s="643">
        <v>0</v>
      </c>
      <c r="AK48" s="645">
        <v>1573.8445379219597</v>
      </c>
    </row>
    <row r="49" spans="3:37" ht="13.5">
      <c r="C49" s="641" t="s">
        <v>60</v>
      </c>
      <c r="D49" s="642">
        <v>48.372001461449948</v>
      </c>
      <c r="E49" s="643">
        <v>509.74501402008315</v>
      </c>
      <c r="F49" s="643">
        <v>84.255119008679685</v>
      </c>
      <c r="G49" s="642">
        <v>333.85211586331565</v>
      </c>
      <c r="H49" s="643">
        <v>0</v>
      </c>
      <c r="I49" s="643">
        <v>0</v>
      </c>
      <c r="J49" s="643">
        <v>4.1218275156281265</v>
      </c>
      <c r="K49" s="643">
        <v>0</v>
      </c>
      <c r="L49" s="643">
        <v>2.2815668000430724</v>
      </c>
      <c r="M49" s="643">
        <v>0</v>
      </c>
      <c r="N49" s="643">
        <v>0</v>
      </c>
      <c r="O49" s="643">
        <v>0</v>
      </c>
      <c r="P49" s="644">
        <v>0</v>
      </c>
      <c r="Q49" s="643">
        <v>0</v>
      </c>
      <c r="R49" s="643">
        <v>0</v>
      </c>
      <c r="S49" s="645">
        <v>982.62764466919975</v>
      </c>
      <c r="U49" s="641" t="s">
        <v>60</v>
      </c>
      <c r="V49" s="642">
        <v>8.3965846696126416</v>
      </c>
      <c r="W49" s="643">
        <v>294.49378048971494</v>
      </c>
      <c r="X49" s="643">
        <v>18.517216360631103</v>
      </c>
      <c r="Y49" s="642">
        <v>163.11536747865699</v>
      </c>
      <c r="Z49" s="643">
        <v>0</v>
      </c>
      <c r="AA49" s="643">
        <v>0</v>
      </c>
      <c r="AB49" s="643">
        <v>4.1218275156281265</v>
      </c>
      <c r="AC49" s="643">
        <v>0</v>
      </c>
      <c r="AD49" s="643">
        <v>2.2815668000430724</v>
      </c>
      <c r="AE49" s="643">
        <v>0</v>
      </c>
      <c r="AF49" s="643">
        <v>0</v>
      </c>
      <c r="AG49" s="643">
        <v>0</v>
      </c>
      <c r="AH49" s="644">
        <v>0</v>
      </c>
      <c r="AI49" s="643">
        <v>0</v>
      </c>
      <c r="AJ49" s="643">
        <v>0</v>
      </c>
      <c r="AK49" s="645">
        <v>490.9263433142869</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-38.942042128507637</v>
      </c>
      <c r="Q50" s="643">
        <v>0</v>
      </c>
      <c r="R50" s="643">
        <v>0</v>
      </c>
      <c r="S50" s="645">
        <v>-38.942042128507637</v>
      </c>
      <c r="U50" s="641" t="s">
        <v>61</v>
      </c>
      <c r="V50" s="642">
        <v>0</v>
      </c>
      <c r="W50" s="643">
        <v>0</v>
      </c>
      <c r="X50" s="643">
        <v>0</v>
      </c>
      <c r="Y50" s="642">
        <v>0</v>
      </c>
      <c r="Z50" s="643">
        <v>0</v>
      </c>
      <c r="AA50" s="643">
        <v>0</v>
      </c>
      <c r="AB50" s="643">
        <v>0</v>
      </c>
      <c r="AC50" s="643">
        <v>0</v>
      </c>
      <c r="AD50" s="643">
        <v>0</v>
      </c>
      <c r="AE50" s="643">
        <v>0</v>
      </c>
      <c r="AF50" s="643">
        <v>0</v>
      </c>
      <c r="AG50" s="643">
        <v>0</v>
      </c>
      <c r="AH50" s="644">
        <v>-20.693548582118865</v>
      </c>
      <c r="AI50" s="643">
        <v>0</v>
      </c>
      <c r="AJ50" s="643">
        <v>0</v>
      </c>
      <c r="AK50" s="645">
        <v>-20.693548582118865</v>
      </c>
    </row>
    <row r="51" spans="3:37" ht="13.5">
      <c r="C51" s="641" t="s">
        <v>62</v>
      </c>
      <c r="D51" s="642">
        <v>0</v>
      </c>
      <c r="E51" s="643">
        <v>0</v>
      </c>
      <c r="F51" s="643">
        <v>-16.016991189558784</v>
      </c>
      <c r="G51" s="642">
        <v>0</v>
      </c>
      <c r="H51" s="643">
        <v>0</v>
      </c>
      <c r="I51" s="643">
        <v>0</v>
      </c>
      <c r="J51" s="643">
        <v>0</v>
      </c>
      <c r="K51" s="643">
        <v>0</v>
      </c>
      <c r="L51" s="643">
        <v>0</v>
      </c>
      <c r="M51" s="643">
        <v>0</v>
      </c>
      <c r="N51" s="643">
        <v>0</v>
      </c>
      <c r="O51" s="643">
        <v>0</v>
      </c>
      <c r="P51" s="644">
        <v>0</v>
      </c>
      <c r="Q51" s="643">
        <v>0</v>
      </c>
      <c r="R51" s="643">
        <v>0</v>
      </c>
      <c r="S51" s="645">
        <v>-16.016991189558784</v>
      </c>
      <c r="U51" s="641" t="s">
        <v>62</v>
      </c>
      <c r="V51" s="642">
        <v>0</v>
      </c>
      <c r="W51" s="643">
        <v>0</v>
      </c>
      <c r="X51" s="643">
        <v>-11.216317309287092</v>
      </c>
      <c r="Y51" s="642">
        <v>-1.9971079411498778</v>
      </c>
      <c r="Z51" s="643">
        <v>0</v>
      </c>
      <c r="AA51" s="643">
        <v>0</v>
      </c>
      <c r="AB51" s="643">
        <v>0</v>
      </c>
      <c r="AC51" s="643">
        <v>0</v>
      </c>
      <c r="AD51" s="643">
        <v>0</v>
      </c>
      <c r="AE51" s="643">
        <v>-0.69888193239441998</v>
      </c>
      <c r="AF51" s="643">
        <v>0</v>
      </c>
      <c r="AG51" s="643">
        <v>0</v>
      </c>
      <c r="AH51" s="644">
        <v>0</v>
      </c>
      <c r="AI51" s="643">
        <v>0</v>
      </c>
      <c r="AJ51" s="643">
        <v>0</v>
      </c>
      <c r="AK51" s="645">
        <v>-13.912307182831389</v>
      </c>
    </row>
    <row r="52" spans="3:37" ht="13.5">
      <c r="C52" s="641" t="s">
        <v>63</v>
      </c>
      <c r="D52" s="642">
        <v>0</v>
      </c>
      <c r="E52" s="643">
        <v>0</v>
      </c>
      <c r="F52" s="643">
        <v>-85.676103269538828</v>
      </c>
      <c r="G52" s="642">
        <v>0</v>
      </c>
      <c r="H52" s="643">
        <v>0</v>
      </c>
      <c r="I52" s="643">
        <v>0</v>
      </c>
      <c r="J52" s="643">
        <v>0</v>
      </c>
      <c r="K52" s="643">
        <v>0</v>
      </c>
      <c r="L52" s="643">
        <v>-0.88445591317339634</v>
      </c>
      <c r="M52" s="643">
        <v>0</v>
      </c>
      <c r="N52" s="643">
        <v>0</v>
      </c>
      <c r="O52" s="643">
        <v>0</v>
      </c>
      <c r="P52" s="644">
        <v>0</v>
      </c>
      <c r="Q52" s="643">
        <v>0</v>
      </c>
      <c r="R52" s="643">
        <v>0</v>
      </c>
      <c r="S52" s="645">
        <v>-86.560559182712225</v>
      </c>
      <c r="U52" s="641" t="s">
        <v>63</v>
      </c>
      <c r="V52" s="642">
        <v>0</v>
      </c>
      <c r="W52" s="643">
        <v>0</v>
      </c>
      <c r="X52" s="643">
        <v>-61.793178017106612</v>
      </c>
      <c r="Y52" s="642">
        <v>0</v>
      </c>
      <c r="Z52" s="643">
        <v>0</v>
      </c>
      <c r="AA52" s="643">
        <v>0</v>
      </c>
      <c r="AB52" s="643">
        <v>0</v>
      </c>
      <c r="AC52" s="643">
        <v>0</v>
      </c>
      <c r="AD52" s="643">
        <v>-20.442150229714262</v>
      </c>
      <c r="AE52" s="643">
        <v>0</v>
      </c>
      <c r="AF52" s="643">
        <v>0</v>
      </c>
      <c r="AG52" s="643">
        <v>0</v>
      </c>
      <c r="AH52" s="644">
        <v>0</v>
      </c>
      <c r="AI52" s="643">
        <v>0</v>
      </c>
      <c r="AJ52" s="643">
        <v>0</v>
      </c>
      <c r="AK52" s="645">
        <v>-82.23532824682087</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48.372001461449948</v>
      </c>
      <c r="E54" s="647">
        <v>512.07101402008311</v>
      </c>
      <c r="F54" s="647">
        <v>-17.437975450417916</v>
      </c>
      <c r="G54" s="647">
        <v>333.88933186331565</v>
      </c>
      <c r="H54" s="647">
        <v>1005.4545454545456</v>
      </c>
      <c r="I54" s="647">
        <v>248.9826967827097</v>
      </c>
      <c r="J54" s="647">
        <v>193.94273469447566</v>
      </c>
      <c r="K54" s="647">
        <v>21.067323208066789</v>
      </c>
      <c r="L54" s="647">
        <v>1.8416249790665411</v>
      </c>
      <c r="M54" s="647">
        <v>0.15770970126630299</v>
      </c>
      <c r="N54" s="647">
        <v>60.832905155553725</v>
      </c>
      <c r="O54" s="647">
        <v>10.347989753579439</v>
      </c>
      <c r="P54" s="647">
        <v>-38.942042128507637</v>
      </c>
      <c r="Q54" s="647">
        <v>0</v>
      </c>
      <c r="R54" s="647">
        <v>0</v>
      </c>
      <c r="S54" s="647">
        <v>2380.5798594951875</v>
      </c>
      <c r="U54" s="646" t="s">
        <v>65</v>
      </c>
      <c r="V54" s="647">
        <v>8.3965846696126416</v>
      </c>
      <c r="W54" s="647">
        <v>296.81978048971496</v>
      </c>
      <c r="X54" s="647">
        <v>-54.492278965762601</v>
      </c>
      <c r="Y54" s="647">
        <v>161.15547553750713</v>
      </c>
      <c r="Z54" s="647">
        <v>949.39393939393938</v>
      </c>
      <c r="AA54" s="647">
        <v>279.58269678270966</v>
      </c>
      <c r="AB54" s="647">
        <v>200.65328572997174</v>
      </c>
      <c r="AC54" s="647">
        <v>37.828582612394825</v>
      </c>
      <c r="AD54" s="647">
        <v>-17.716069337474323</v>
      </c>
      <c r="AE54" s="647">
        <v>-0.54117223112811697</v>
      </c>
      <c r="AF54" s="647">
        <v>86.476611770328219</v>
      </c>
      <c r="AG54" s="647">
        <v>21.065809354780896</v>
      </c>
      <c r="AH54" s="647">
        <v>-20.693548582118865</v>
      </c>
      <c r="AI54" s="647">
        <v>0</v>
      </c>
      <c r="AJ54" s="647">
        <v>0</v>
      </c>
      <c r="AK54" s="647">
        <v>1947.9296972244754</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7.7008933134364401</v>
      </c>
      <c r="G57" s="642">
        <v>17.192982456140349</v>
      </c>
      <c r="H57" s="642">
        <v>1005.4545454545456</v>
      </c>
      <c r="I57" s="642">
        <v>248.9826967827097</v>
      </c>
      <c r="J57" s="651">
        <v>29.95115714704033</v>
      </c>
      <c r="K57" s="651">
        <v>7.1699357941539494</v>
      </c>
      <c r="L57" s="651">
        <v>2.7260808922399375</v>
      </c>
      <c r="M57" s="651">
        <v>0.47574727688811397</v>
      </c>
      <c r="N57" s="651">
        <v>0</v>
      </c>
      <c r="O57" s="651">
        <v>5.3758847536792693</v>
      </c>
      <c r="P57" s="642">
        <v>-611.6040304377284</v>
      </c>
      <c r="Q57" s="642">
        <v>0</v>
      </c>
      <c r="R57" s="642">
        <v>0</v>
      </c>
      <c r="S57" s="650">
        <v>716.25267907413024</v>
      </c>
      <c r="U57" s="648" t="s">
        <v>350</v>
      </c>
      <c r="V57" s="642">
        <v>0.62631490545869017</v>
      </c>
      <c r="W57" s="642">
        <v>0</v>
      </c>
      <c r="X57" s="642">
        <v>3.8372569498000768</v>
      </c>
      <c r="Y57" s="642">
        <v>12.853333333333333</v>
      </c>
      <c r="Z57" s="642">
        <v>949.39393939393938</v>
      </c>
      <c r="AA57" s="642">
        <v>279.58269678270966</v>
      </c>
      <c r="AB57" s="651">
        <v>24.143657694158538</v>
      </c>
      <c r="AC57" s="651">
        <v>6.0680800758314266</v>
      </c>
      <c r="AD57" s="651">
        <v>2.7260808922399375</v>
      </c>
      <c r="AE57" s="651">
        <v>4.1838174523267107</v>
      </c>
      <c r="AF57" s="651">
        <v>0</v>
      </c>
      <c r="AG57" s="651">
        <v>5.3758847536792693</v>
      </c>
      <c r="AH57" s="642">
        <v>-621.90403043772824</v>
      </c>
      <c r="AI57" s="642">
        <v>0</v>
      </c>
      <c r="AJ57" s="642">
        <v>3.8</v>
      </c>
      <c r="AK57" s="650">
        <v>670.68703179574891</v>
      </c>
    </row>
    <row r="58" spans="3:37" ht="13.5">
      <c r="C58" s="648" t="s">
        <v>351</v>
      </c>
      <c r="D58" s="642">
        <v>0</v>
      </c>
      <c r="E58" s="642">
        <v>0</v>
      </c>
      <c r="F58" s="642">
        <v>0</v>
      </c>
      <c r="G58" s="642">
        <v>15.048436077523924</v>
      </c>
      <c r="H58" s="642">
        <v>0</v>
      </c>
      <c r="I58" s="642">
        <v>0</v>
      </c>
      <c r="J58" s="651">
        <v>12.74533322609016</v>
      </c>
      <c r="K58" s="651">
        <v>12.056480951460374</v>
      </c>
      <c r="L58" s="651">
        <v>0</v>
      </c>
      <c r="M58" s="651">
        <v>0.32133708059977345</v>
      </c>
      <c r="N58" s="651">
        <v>0</v>
      </c>
      <c r="O58" s="651">
        <v>2.1348201063802894</v>
      </c>
      <c r="P58" s="642">
        <v>0</v>
      </c>
      <c r="Q58" s="642">
        <v>-38.309646115177976</v>
      </c>
      <c r="R58" s="642">
        <v>0</v>
      </c>
      <c r="S58" s="650">
        <v>3.9967613268765492</v>
      </c>
      <c r="U58" s="648" t="s">
        <v>351</v>
      </c>
      <c r="V58" s="642">
        <v>0</v>
      </c>
      <c r="W58" s="642">
        <v>0</v>
      </c>
      <c r="X58" s="642">
        <v>0</v>
      </c>
      <c r="Y58" s="642">
        <v>12.803359009118745</v>
      </c>
      <c r="Z58" s="642">
        <v>0</v>
      </c>
      <c r="AA58" s="642">
        <v>0</v>
      </c>
      <c r="AB58" s="651">
        <v>28.717481814983032</v>
      </c>
      <c r="AC58" s="651">
        <v>25.924008984647354</v>
      </c>
      <c r="AD58" s="651">
        <v>0</v>
      </c>
      <c r="AE58" s="651">
        <v>4.0573921431217457</v>
      </c>
      <c r="AF58" s="651">
        <v>0</v>
      </c>
      <c r="AG58" s="651">
        <v>9.7357518308203428</v>
      </c>
      <c r="AH58" s="642">
        <v>0</v>
      </c>
      <c r="AI58" s="642">
        <v>-74.504230286476243</v>
      </c>
      <c r="AJ58" s="642">
        <v>0</v>
      </c>
      <c r="AK58" s="650">
        <v>6.7337634962149808</v>
      </c>
    </row>
    <row r="59" spans="3:37" ht="13.5">
      <c r="C59" s="648" t="s">
        <v>352</v>
      </c>
      <c r="D59" s="642">
        <v>0</v>
      </c>
      <c r="E59" s="642">
        <v>0</v>
      </c>
      <c r="F59" s="642">
        <v>0</v>
      </c>
      <c r="G59" s="642">
        <v>0</v>
      </c>
      <c r="H59" s="642">
        <v>0</v>
      </c>
      <c r="I59" s="642">
        <v>0</v>
      </c>
      <c r="J59" s="652">
        <v>7.2695194025067336</v>
      </c>
      <c r="K59" s="652">
        <v>0</v>
      </c>
      <c r="L59" s="652">
        <v>0</v>
      </c>
      <c r="M59" s="652">
        <v>-6.5716455398660871</v>
      </c>
      <c r="N59" s="652">
        <v>0</v>
      </c>
      <c r="O59" s="652">
        <v>0</v>
      </c>
      <c r="P59" s="642">
        <v>0</v>
      </c>
      <c r="Q59" s="642">
        <v>0</v>
      </c>
      <c r="R59" s="642">
        <v>0</v>
      </c>
      <c r="S59" s="650">
        <v>0.69787386264064644</v>
      </c>
      <c r="U59" s="648" t="s">
        <v>352</v>
      </c>
      <c r="V59" s="642">
        <v>0</v>
      </c>
      <c r="W59" s="642">
        <v>0</v>
      </c>
      <c r="X59" s="642">
        <v>0</v>
      </c>
      <c r="Y59" s="642">
        <v>0</v>
      </c>
      <c r="Z59" s="642">
        <v>0</v>
      </c>
      <c r="AA59" s="642">
        <v>0</v>
      </c>
      <c r="AB59" s="652">
        <v>56.55251118568826</v>
      </c>
      <c r="AC59" s="652">
        <v>0</v>
      </c>
      <c r="AD59" s="652">
        <v>0</v>
      </c>
      <c r="AE59" s="652">
        <v>-51.12347011186219</v>
      </c>
      <c r="AF59" s="652">
        <v>0</v>
      </c>
      <c r="AG59" s="652">
        <v>0</v>
      </c>
      <c r="AH59" s="642">
        <v>0</v>
      </c>
      <c r="AI59" s="642">
        <v>0</v>
      </c>
      <c r="AJ59" s="642">
        <v>0</v>
      </c>
      <c r="AK59" s="650">
        <v>5.4290410738260704</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530.45114623720224</v>
      </c>
      <c r="F61" s="642">
        <v>-525.1466347748302</v>
      </c>
      <c r="G61" s="642">
        <v>0</v>
      </c>
      <c r="H61" s="642">
        <v>0</v>
      </c>
      <c r="I61" s="642">
        <v>0</v>
      </c>
      <c r="J61" s="642">
        <v>0</v>
      </c>
      <c r="K61" s="642">
        <v>0</v>
      </c>
      <c r="L61" s="642">
        <v>0</v>
      </c>
      <c r="M61" s="642">
        <v>0</v>
      </c>
      <c r="N61" s="642">
        <v>0</v>
      </c>
      <c r="O61" s="642">
        <v>0</v>
      </c>
      <c r="P61" s="642">
        <v>0</v>
      </c>
      <c r="Q61" s="642">
        <v>0</v>
      </c>
      <c r="R61" s="642">
        <v>0</v>
      </c>
      <c r="S61" s="650">
        <v>5.3045114623720337</v>
      </c>
      <c r="U61" s="648" t="s">
        <v>72</v>
      </c>
      <c r="V61" s="642">
        <v>0</v>
      </c>
      <c r="W61" s="642">
        <v>307.47374578102756</v>
      </c>
      <c r="X61" s="642">
        <v>-304.39900832321729</v>
      </c>
      <c r="Y61" s="642">
        <v>0</v>
      </c>
      <c r="Z61" s="642">
        <v>0</v>
      </c>
      <c r="AA61" s="642">
        <v>0</v>
      </c>
      <c r="AB61" s="642">
        <v>0</v>
      </c>
      <c r="AC61" s="642">
        <v>0</v>
      </c>
      <c r="AD61" s="642">
        <v>0</v>
      </c>
      <c r="AE61" s="642">
        <v>0</v>
      </c>
      <c r="AF61" s="642">
        <v>0</v>
      </c>
      <c r="AG61" s="642">
        <v>0</v>
      </c>
      <c r="AH61" s="642">
        <v>0</v>
      </c>
      <c r="AI61" s="642">
        <v>0</v>
      </c>
      <c r="AJ61" s="642">
        <v>0</v>
      </c>
      <c r="AK61" s="650">
        <v>3.0747374578102722</v>
      </c>
    </row>
    <row r="62" spans="3:37" ht="13.5">
      <c r="C62" s="648" t="s">
        <v>354</v>
      </c>
      <c r="D62" s="642">
        <v>0</v>
      </c>
      <c r="E62" s="642">
        <v>0</v>
      </c>
      <c r="F62" s="642">
        <v>0</v>
      </c>
      <c r="G62" s="642">
        <v>0</v>
      </c>
      <c r="H62" s="642">
        <v>0</v>
      </c>
      <c r="I62" s="642">
        <v>0</v>
      </c>
      <c r="J62" s="642">
        <v>30.470996070194996</v>
      </c>
      <c r="K62" s="642">
        <v>0</v>
      </c>
      <c r="L62" s="642">
        <v>-30.470996070194996</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-92.079399970639116</v>
      </c>
      <c r="AE62" s="642">
        <v>0</v>
      </c>
      <c r="AF62" s="642">
        <v>0</v>
      </c>
      <c r="AG62" s="642">
        <v>0</v>
      </c>
      <c r="AH62" s="642">
        <v>0</v>
      </c>
      <c r="AI62" s="642">
        <v>0</v>
      </c>
      <c r="AJ62" s="642">
        <v>0</v>
      </c>
      <c r="AK62" s="650">
        <v>-92.079399970639116</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-18.857582137623396</v>
      </c>
      <c r="AE63" s="642">
        <v>0</v>
      </c>
      <c r="AF63" s="642">
        <v>0</v>
      </c>
      <c r="AG63" s="642">
        <v>0</v>
      </c>
      <c r="AH63" s="642">
        <v>0</v>
      </c>
      <c r="AI63" s="642">
        <v>0</v>
      </c>
      <c r="AJ63" s="642">
        <v>0</v>
      </c>
      <c r="AK63" s="650">
        <v>-18.857582137623396</v>
      </c>
    </row>
    <row r="64" spans="3:37" ht="13.5">
      <c r="C64" s="648" t="s">
        <v>73</v>
      </c>
      <c r="D64" s="642">
        <v>0</v>
      </c>
      <c r="E64" s="642">
        <v>0</v>
      </c>
      <c r="F64" s="642">
        <v>0</v>
      </c>
      <c r="G64" s="642">
        <v>4.2253053989858387</v>
      </c>
      <c r="H64" s="642">
        <v>0</v>
      </c>
      <c r="I64" s="642">
        <v>0</v>
      </c>
      <c r="J64" s="642">
        <v>0</v>
      </c>
      <c r="K64" s="642">
        <v>4.8227473393893973E-2</v>
      </c>
      <c r="L64" s="642">
        <v>0</v>
      </c>
      <c r="M64" s="642">
        <v>8.6230722428282419E-2</v>
      </c>
      <c r="N64" s="642">
        <v>0</v>
      </c>
      <c r="O64" s="642">
        <v>0</v>
      </c>
      <c r="P64" s="642">
        <v>0.47800681593948002</v>
      </c>
      <c r="Q64" s="642">
        <v>0</v>
      </c>
      <c r="R64" s="642">
        <v>-3.3759231375725771</v>
      </c>
      <c r="S64" s="650">
        <v>1.4618472731749175</v>
      </c>
      <c r="U64" s="648" t="s">
        <v>73</v>
      </c>
      <c r="V64" s="642">
        <v>0</v>
      </c>
      <c r="W64" s="642">
        <v>0</v>
      </c>
      <c r="X64" s="642">
        <v>0</v>
      </c>
      <c r="Y64" s="642">
        <v>6.2430459874299995</v>
      </c>
      <c r="Z64" s="642">
        <v>0</v>
      </c>
      <c r="AA64" s="642">
        <v>0</v>
      </c>
      <c r="AB64" s="642">
        <v>0</v>
      </c>
      <c r="AC64" s="642">
        <v>0.34514849554566557</v>
      </c>
      <c r="AD64" s="642">
        <v>0</v>
      </c>
      <c r="AE64" s="642">
        <v>1.9714882065568418</v>
      </c>
      <c r="AF64" s="642">
        <v>0</v>
      </c>
      <c r="AG64" s="642">
        <v>0</v>
      </c>
      <c r="AH64" s="642">
        <v>26.797369919651668</v>
      </c>
      <c r="AI64" s="642">
        <v>0</v>
      </c>
      <c r="AJ64" s="642">
        <v>-24.160394688196586</v>
      </c>
      <c r="AK64" s="650">
        <v>11.196657920987594</v>
      </c>
    </row>
    <row r="65" spans="3:37" ht="13.5">
      <c r="C65" s="648" t="s">
        <v>356</v>
      </c>
      <c r="D65" s="642">
        <v>28.633394531250001</v>
      </c>
      <c r="E65" s="642">
        <v>-18.380132217119058</v>
      </c>
      <c r="F65" s="642">
        <v>24.040127313749448</v>
      </c>
      <c r="G65" s="642">
        <v>0</v>
      </c>
      <c r="H65" s="642">
        <v>0</v>
      </c>
      <c r="I65" s="642">
        <v>0</v>
      </c>
      <c r="J65" s="642">
        <v>0</v>
      </c>
      <c r="K65" s="642">
        <v>0</v>
      </c>
      <c r="L65" s="642">
        <v>0</v>
      </c>
      <c r="M65" s="642">
        <v>0</v>
      </c>
      <c r="N65" s="642">
        <v>0</v>
      </c>
      <c r="O65" s="642">
        <v>0</v>
      </c>
      <c r="P65" s="642">
        <v>0</v>
      </c>
      <c r="Q65" s="642">
        <v>0</v>
      </c>
      <c r="R65" s="642">
        <v>0</v>
      </c>
      <c r="S65" s="650">
        <v>34.293389627880387</v>
      </c>
      <c r="U65" s="648" t="s">
        <v>356</v>
      </c>
      <c r="V65" s="642">
        <v>2.8339389038085936</v>
      </c>
      <c r="W65" s="642">
        <v>-10.653965291312606</v>
      </c>
      <c r="X65" s="642">
        <v>13.93475732241321</v>
      </c>
      <c r="Y65" s="642">
        <v>0</v>
      </c>
      <c r="Z65" s="642">
        <v>0</v>
      </c>
      <c r="AA65" s="642">
        <v>0</v>
      </c>
      <c r="AB65" s="642">
        <v>0</v>
      </c>
      <c r="AC65" s="642">
        <v>0</v>
      </c>
      <c r="AD65" s="642">
        <v>0</v>
      </c>
      <c r="AE65" s="642">
        <v>0</v>
      </c>
      <c r="AF65" s="642">
        <v>0</v>
      </c>
      <c r="AG65" s="642">
        <v>0</v>
      </c>
      <c r="AH65" s="642">
        <v>0</v>
      </c>
      <c r="AI65" s="642">
        <v>0</v>
      </c>
      <c r="AJ65" s="642">
        <v>0</v>
      </c>
      <c r="AK65" s="650">
        <v>6.1147309349091987</v>
      </c>
    </row>
    <row r="66" spans="3:37" ht="13.5">
      <c r="C66" s="648" t="s">
        <v>75</v>
      </c>
      <c r="D66" s="642">
        <v>11.135208984375002</v>
      </c>
      <c r="E66" s="642">
        <v>0</v>
      </c>
      <c r="F66" s="642">
        <v>18.035338972064878</v>
      </c>
      <c r="G66" s="642">
        <v>5.1464370207933356</v>
      </c>
      <c r="H66" s="642">
        <v>0</v>
      </c>
      <c r="I66" s="642">
        <v>0</v>
      </c>
      <c r="J66" s="642">
        <v>0</v>
      </c>
      <c r="K66" s="642">
        <v>0</v>
      </c>
      <c r="L66" s="642">
        <v>0</v>
      </c>
      <c r="M66" s="642">
        <v>0.10502932695496604</v>
      </c>
      <c r="N66" s="642">
        <v>0</v>
      </c>
      <c r="O66" s="642">
        <v>0</v>
      </c>
      <c r="P66" s="642">
        <v>31.859130537431355</v>
      </c>
      <c r="Q66" s="642">
        <v>0</v>
      </c>
      <c r="R66" s="642">
        <v>0</v>
      </c>
      <c r="S66" s="650">
        <v>66.281144841619536</v>
      </c>
      <c r="U66" s="648" t="s">
        <v>75</v>
      </c>
      <c r="V66" s="642">
        <v>3.871097900390625</v>
      </c>
      <c r="W66" s="642">
        <v>0</v>
      </c>
      <c r="X66" s="642">
        <v>18.035338972064878</v>
      </c>
      <c r="Y66" s="642">
        <v>3.9911144242887096</v>
      </c>
      <c r="Z66" s="642">
        <v>0</v>
      </c>
      <c r="AA66" s="642">
        <v>0</v>
      </c>
      <c r="AB66" s="642">
        <v>0</v>
      </c>
      <c r="AC66" s="642">
        <v>0</v>
      </c>
      <c r="AD66" s="642">
        <v>0</v>
      </c>
      <c r="AE66" s="642">
        <v>1.2603519234595923</v>
      </c>
      <c r="AF66" s="642">
        <v>0</v>
      </c>
      <c r="AG66" s="642">
        <v>0</v>
      </c>
      <c r="AH66" s="642">
        <v>35.363675991976798</v>
      </c>
      <c r="AI66" s="642">
        <v>0</v>
      </c>
      <c r="AJ66" s="642">
        <v>0</v>
      </c>
      <c r="AK66" s="650">
        <v>62.521579212180605</v>
      </c>
    </row>
    <row r="67" spans="3:37" ht="13.5">
      <c r="C67" s="648" t="s">
        <v>76</v>
      </c>
      <c r="D67" s="642">
        <v>0</v>
      </c>
      <c r="E67" s="642">
        <v>0</v>
      </c>
      <c r="F67" s="642">
        <v>0</v>
      </c>
      <c r="G67" s="642">
        <v>3.818307882847094</v>
      </c>
      <c r="H67" s="642">
        <v>0</v>
      </c>
      <c r="I67" s="642">
        <v>0</v>
      </c>
      <c r="J67" s="642">
        <v>0</v>
      </c>
      <c r="K67" s="642">
        <v>0</v>
      </c>
      <c r="L67" s="642">
        <v>0</v>
      </c>
      <c r="M67" s="642">
        <v>7.7924650670348858E-2</v>
      </c>
      <c r="N67" s="642">
        <v>0</v>
      </c>
      <c r="O67" s="642">
        <v>0</v>
      </c>
      <c r="P67" s="642">
        <v>43.831436480126726</v>
      </c>
      <c r="Q67" s="642">
        <v>2.9732290990631256</v>
      </c>
      <c r="R67" s="642">
        <v>0</v>
      </c>
      <c r="S67" s="650">
        <v>50.700898112707293</v>
      </c>
      <c r="U67" s="648" t="s">
        <v>76</v>
      </c>
      <c r="V67" s="642">
        <v>0</v>
      </c>
      <c r="W67" s="642">
        <v>0</v>
      </c>
      <c r="X67" s="642">
        <v>0</v>
      </c>
      <c r="Y67" s="642">
        <v>1.9196559923426515</v>
      </c>
      <c r="Z67" s="642">
        <v>0</v>
      </c>
      <c r="AA67" s="642">
        <v>0</v>
      </c>
      <c r="AB67" s="642">
        <v>0</v>
      </c>
      <c r="AC67" s="642">
        <v>0</v>
      </c>
      <c r="AD67" s="642">
        <v>0</v>
      </c>
      <c r="AE67" s="642">
        <v>0.60620715547662674</v>
      </c>
      <c r="AF67" s="642">
        <v>0</v>
      </c>
      <c r="AG67" s="642">
        <v>0</v>
      </c>
      <c r="AH67" s="642">
        <v>46.019363501687437</v>
      </c>
      <c r="AI67" s="642">
        <v>5.777975473960776</v>
      </c>
      <c r="AJ67" s="642">
        <v>0</v>
      </c>
      <c r="AK67" s="650">
        <v>54.323202123467496</v>
      </c>
    </row>
    <row r="68" spans="3:37" ht="13.5">
      <c r="C68" s="646" t="s">
        <v>77</v>
      </c>
      <c r="D68" s="647">
        <v>42.595389156650249</v>
      </c>
      <c r="E68" s="647">
        <v>512.07101402008323</v>
      </c>
      <c r="F68" s="647">
        <v>-475.37027517557942</v>
      </c>
      <c r="G68" s="647">
        <v>45.431468836290541</v>
      </c>
      <c r="H68" s="647">
        <v>1005.4545454545456</v>
      </c>
      <c r="I68" s="647">
        <v>248.9826967827097</v>
      </c>
      <c r="J68" s="647">
        <v>80.437005845832218</v>
      </c>
      <c r="K68" s="647">
        <v>19.274644219008216</v>
      </c>
      <c r="L68" s="647">
        <v>-27.744915177955058</v>
      </c>
      <c r="M68" s="647">
        <v>-5.5053764823246025</v>
      </c>
      <c r="N68" s="647">
        <v>0</v>
      </c>
      <c r="O68" s="647">
        <v>7.5107048600595583</v>
      </c>
      <c r="P68" s="647">
        <v>-535.43545660423092</v>
      </c>
      <c r="Q68" s="647">
        <v>-35.336417016114851</v>
      </c>
      <c r="R68" s="647">
        <v>-3.3759231375725771</v>
      </c>
      <c r="S68" s="647">
        <v>878.98910558140176</v>
      </c>
      <c r="U68" s="646" t="s">
        <v>77</v>
      </c>
      <c r="V68" s="647">
        <v>7.3313517096579091</v>
      </c>
      <c r="W68" s="647">
        <v>296.81978048971496</v>
      </c>
      <c r="X68" s="647">
        <v>-268.59165507893914</v>
      </c>
      <c r="Y68" s="647">
        <v>37.810508746513442</v>
      </c>
      <c r="Z68" s="647">
        <v>949.39393939393938</v>
      </c>
      <c r="AA68" s="647">
        <v>279.58269678270966</v>
      </c>
      <c r="AB68" s="647">
        <v>109.41365069482983</v>
      </c>
      <c r="AC68" s="647">
        <v>32.337237556024441</v>
      </c>
      <c r="AD68" s="647">
        <v>-108.21090121602258</v>
      </c>
      <c r="AE68" s="647">
        <v>-39.044213230920668</v>
      </c>
      <c r="AF68" s="647">
        <v>0</v>
      </c>
      <c r="AG68" s="647">
        <v>15.111636584499612</v>
      </c>
      <c r="AH68" s="647">
        <v>-513.7236210244123</v>
      </c>
      <c r="AI68" s="647">
        <v>-68.726254812515464</v>
      </c>
      <c r="AJ68" s="647">
        <v>-20.360394688196585</v>
      </c>
      <c r="AK68" s="647">
        <v>709.14376190688279</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5.7766123047996905</v>
      </c>
      <c r="E70" s="642">
        <v>0</v>
      </c>
      <c r="F70" s="642">
        <v>22.402619678599791</v>
      </c>
      <c r="G70" s="642">
        <v>99.281124041468402</v>
      </c>
      <c r="H70" s="642">
        <v>0</v>
      </c>
      <c r="I70" s="642">
        <v>0</v>
      </c>
      <c r="J70" s="642">
        <v>20.258622771310847</v>
      </c>
      <c r="K70" s="642">
        <v>1.7675748663376085</v>
      </c>
      <c r="L70" s="642">
        <v>0.898333240234375</v>
      </c>
      <c r="M70" s="642">
        <v>2.0447588657198987</v>
      </c>
      <c r="N70" s="642">
        <v>0</v>
      </c>
      <c r="O70" s="642">
        <v>3.7946622282562846E-4</v>
      </c>
      <c r="P70" s="642">
        <v>110.87393457022205</v>
      </c>
      <c r="Q70" s="642">
        <v>16.091742927144434</v>
      </c>
      <c r="R70" s="642">
        <v>0.31004003906249999</v>
      </c>
      <c r="S70" s="650">
        <v>279.70574277112252</v>
      </c>
      <c r="U70" s="648" t="s">
        <v>78</v>
      </c>
      <c r="V70" s="642">
        <v>1.065232959954733</v>
      </c>
      <c r="W70" s="642">
        <v>0</v>
      </c>
      <c r="X70" s="642">
        <v>10.225742404389669</v>
      </c>
      <c r="Y70" s="642">
        <v>56.981112862578769</v>
      </c>
      <c r="Z70" s="642">
        <v>0</v>
      </c>
      <c r="AA70" s="642">
        <v>0</v>
      </c>
      <c r="AB70" s="642">
        <v>15.894636498884354</v>
      </c>
      <c r="AC70" s="642">
        <v>5.4662409336494147</v>
      </c>
      <c r="AD70" s="642">
        <v>3.5459101562500011</v>
      </c>
      <c r="AE70" s="642">
        <v>18.012649117932849</v>
      </c>
      <c r="AF70" s="642">
        <v>0</v>
      </c>
      <c r="AG70" s="642">
        <v>3.7946622282562846E-4</v>
      </c>
      <c r="AH70" s="642">
        <v>139.02742097426295</v>
      </c>
      <c r="AI70" s="642">
        <v>22.276590949645215</v>
      </c>
      <c r="AJ70" s="642">
        <v>6.4302626953124999</v>
      </c>
      <c r="AK70" s="650">
        <v>278.92617901908329</v>
      </c>
    </row>
    <row r="71" spans="3:37" ht="13.5">
      <c r="C71" s="648" t="s">
        <v>79</v>
      </c>
      <c r="D71" s="642">
        <v>0</v>
      </c>
      <c r="E71" s="642">
        <v>0</v>
      </c>
      <c r="F71" s="642">
        <v>266.09529408288529</v>
      </c>
      <c r="G71" s="642">
        <v>27.519674276690072</v>
      </c>
      <c r="H71" s="642">
        <v>0</v>
      </c>
      <c r="I71" s="642">
        <v>0</v>
      </c>
      <c r="J71" s="642">
        <v>0</v>
      </c>
      <c r="K71" s="642">
        <v>0</v>
      </c>
      <c r="L71" s="642">
        <v>25.787483151262677</v>
      </c>
      <c r="M71" s="642">
        <v>0.56162600564673626</v>
      </c>
      <c r="N71" s="642">
        <v>0</v>
      </c>
      <c r="O71" s="642">
        <v>0</v>
      </c>
      <c r="P71" s="642">
        <v>55.913522242788574</v>
      </c>
      <c r="Q71" s="642">
        <v>0</v>
      </c>
      <c r="R71" s="642">
        <v>1.6351140344190074</v>
      </c>
      <c r="S71" s="650">
        <v>377.5127137936924</v>
      </c>
      <c r="U71" s="648" t="s">
        <v>79</v>
      </c>
      <c r="V71" s="642">
        <v>0</v>
      </c>
      <c r="W71" s="642">
        <v>0</v>
      </c>
      <c r="X71" s="642">
        <v>96.606255591578162</v>
      </c>
      <c r="Y71" s="642">
        <v>18.337650579977414</v>
      </c>
      <c r="Z71" s="642">
        <v>0</v>
      </c>
      <c r="AA71" s="642">
        <v>0</v>
      </c>
      <c r="AB71" s="642">
        <v>0</v>
      </c>
      <c r="AC71" s="642">
        <v>0</v>
      </c>
      <c r="AD71" s="642">
        <v>50.618247990049454</v>
      </c>
      <c r="AE71" s="642">
        <v>5.9499820008855142</v>
      </c>
      <c r="AF71" s="642">
        <v>0</v>
      </c>
      <c r="AG71" s="642">
        <v>0</v>
      </c>
      <c r="AH71" s="642">
        <v>73.690348279738799</v>
      </c>
      <c r="AI71" s="642">
        <v>0</v>
      </c>
      <c r="AJ71" s="642">
        <v>3.6092463767880076</v>
      </c>
      <c r="AK71" s="650">
        <v>248.81173081901736</v>
      </c>
    </row>
    <row r="72" spans="3:37" ht="13.5">
      <c r="C72" s="648" t="s">
        <v>80</v>
      </c>
      <c r="D72" s="642">
        <v>0</v>
      </c>
      <c r="E72" s="642">
        <v>0</v>
      </c>
      <c r="F72" s="642">
        <v>20.365336948925044</v>
      </c>
      <c r="G72" s="642">
        <v>85.23124323075227</v>
      </c>
      <c r="H72" s="642">
        <v>0</v>
      </c>
      <c r="I72" s="642">
        <v>0</v>
      </c>
      <c r="J72" s="642">
        <v>86.726820353783026</v>
      </c>
      <c r="K72" s="642">
        <v>0</v>
      </c>
      <c r="L72" s="642">
        <v>0</v>
      </c>
      <c r="M72" s="642">
        <v>1.7394131271582098</v>
      </c>
      <c r="N72" s="642">
        <v>52.217429119397167</v>
      </c>
      <c r="O72" s="642">
        <v>2.0042749347218733</v>
      </c>
      <c r="P72" s="642">
        <v>185.58174281281848</v>
      </c>
      <c r="Q72" s="642">
        <v>15.554343379011728</v>
      </c>
      <c r="R72" s="642">
        <v>0</v>
      </c>
      <c r="S72" s="650">
        <v>449.42060390656781</v>
      </c>
      <c r="U72" s="648" t="s">
        <v>80</v>
      </c>
      <c r="V72" s="642">
        <v>0</v>
      </c>
      <c r="W72" s="642">
        <v>0</v>
      </c>
      <c r="X72" s="642">
        <v>1.2585168598114169</v>
      </c>
      <c r="Y72" s="642">
        <v>24.208168890995722</v>
      </c>
      <c r="Z72" s="642">
        <v>0</v>
      </c>
      <c r="AA72" s="642">
        <v>0</v>
      </c>
      <c r="AB72" s="642">
        <v>64.793825414524548</v>
      </c>
      <c r="AC72" s="642">
        <v>0</v>
      </c>
      <c r="AD72" s="642">
        <v>0</v>
      </c>
      <c r="AE72" s="642">
        <v>7.6446849129460164</v>
      </c>
      <c r="AF72" s="642">
        <v>71.984931036617454</v>
      </c>
      <c r="AG72" s="642">
        <v>3.153558114778761</v>
      </c>
      <c r="AH72" s="642">
        <v>153.74527198137548</v>
      </c>
      <c r="AI72" s="642">
        <v>35.336807466581455</v>
      </c>
      <c r="AJ72" s="642">
        <v>0</v>
      </c>
      <c r="AK72" s="650">
        <v>362.12576467763085</v>
      </c>
    </row>
    <row r="73" spans="3:37" ht="13.5">
      <c r="C73" s="648" t="s">
        <v>81</v>
      </c>
      <c r="D73" s="642">
        <v>0</v>
      </c>
      <c r="E73" s="642">
        <v>0</v>
      </c>
      <c r="F73" s="642">
        <v>7.1130915409553364</v>
      </c>
      <c r="G73" s="642">
        <v>63.054682395398032</v>
      </c>
      <c r="H73" s="642">
        <v>0</v>
      </c>
      <c r="I73" s="642">
        <v>0</v>
      </c>
      <c r="J73" s="642">
        <v>3.2976998041276677</v>
      </c>
      <c r="K73" s="642">
        <v>2.5104122720965388E-2</v>
      </c>
      <c r="L73" s="642">
        <v>0</v>
      </c>
      <c r="M73" s="642">
        <v>1.2868302529673068</v>
      </c>
      <c r="N73" s="642">
        <v>8.6154760361565579</v>
      </c>
      <c r="O73" s="642">
        <v>0.75786341807650337</v>
      </c>
      <c r="P73" s="642">
        <v>137.18962935697431</v>
      </c>
      <c r="Q73" s="642">
        <v>3.6903307099586842</v>
      </c>
      <c r="R73" s="642">
        <v>0</v>
      </c>
      <c r="S73" s="650">
        <v>225.03070763733538</v>
      </c>
      <c r="U73" s="648" t="s">
        <v>81</v>
      </c>
      <c r="V73" s="642">
        <v>0</v>
      </c>
      <c r="W73" s="642">
        <v>0</v>
      </c>
      <c r="X73" s="642">
        <v>2.1697022188790429</v>
      </c>
      <c r="Y73" s="642">
        <v>20.911765460712612</v>
      </c>
      <c r="Z73" s="642">
        <v>0</v>
      </c>
      <c r="AA73" s="642">
        <v>0</v>
      </c>
      <c r="AB73" s="642">
        <v>7.3285872023111214</v>
      </c>
      <c r="AC73" s="642">
        <v>2.5104122720965388E-2</v>
      </c>
      <c r="AD73" s="642">
        <v>0</v>
      </c>
      <c r="AE73" s="642">
        <v>6.6037154086460879</v>
      </c>
      <c r="AF73" s="642">
        <v>14.491680733710758</v>
      </c>
      <c r="AG73" s="642">
        <v>1.6347019702159422</v>
      </c>
      <c r="AH73" s="642">
        <v>117.90366143236871</v>
      </c>
      <c r="AI73" s="642">
        <v>11.11285639628878</v>
      </c>
      <c r="AJ73" s="642">
        <v>0</v>
      </c>
      <c r="AK73" s="650">
        <v>182.18177494585402</v>
      </c>
    </row>
    <row r="74" spans="3:37" ht="13.5">
      <c r="C74" s="648" t="s">
        <v>82</v>
      </c>
      <c r="D74" s="642">
        <v>0</v>
      </c>
      <c r="E74" s="642">
        <v>0</v>
      </c>
      <c r="F74" s="642">
        <v>30.218764596795413</v>
      </c>
      <c r="G74" s="642">
        <v>1.4924386728389218</v>
      </c>
      <c r="H74" s="642">
        <v>0</v>
      </c>
      <c r="I74" s="642">
        <v>0</v>
      </c>
      <c r="J74" s="642">
        <v>3.2225859194218685</v>
      </c>
      <c r="K74" s="642">
        <v>0</v>
      </c>
      <c r="L74" s="642">
        <v>2.9019247412329854</v>
      </c>
      <c r="M74" s="642">
        <v>3.0457932098753505E-2</v>
      </c>
      <c r="N74" s="642">
        <v>0</v>
      </c>
      <c r="O74" s="642">
        <v>7.4767074498679406E-2</v>
      </c>
      <c r="P74" s="642">
        <v>6.6555854929198803</v>
      </c>
      <c r="Q74" s="642">
        <v>0</v>
      </c>
      <c r="R74" s="642">
        <v>0</v>
      </c>
      <c r="S74" s="650">
        <v>44.596524429806507</v>
      </c>
      <c r="U74" s="648" t="s">
        <v>82</v>
      </c>
      <c r="V74" s="642">
        <v>0</v>
      </c>
      <c r="W74" s="642">
        <v>0</v>
      </c>
      <c r="X74" s="642">
        <v>13.476198254352189</v>
      </c>
      <c r="Y74" s="642">
        <v>1.4718796614135594</v>
      </c>
      <c r="Z74" s="642">
        <v>0</v>
      </c>
      <c r="AA74" s="642">
        <v>0</v>
      </c>
      <c r="AB74" s="642">
        <v>3.2225859194218685</v>
      </c>
      <c r="AC74" s="642">
        <v>0</v>
      </c>
      <c r="AD74" s="642">
        <v>23.463730160224294</v>
      </c>
      <c r="AE74" s="642">
        <v>0.46480410360428193</v>
      </c>
      <c r="AF74" s="642">
        <v>0</v>
      </c>
      <c r="AG74" s="642">
        <v>1.1655332190637568</v>
      </c>
      <c r="AH74" s="642">
        <v>6.7433697745475678</v>
      </c>
      <c r="AI74" s="642">
        <v>0</v>
      </c>
      <c r="AJ74" s="642">
        <v>0.29485655237537339</v>
      </c>
      <c r="AK74" s="650">
        <v>50.302957645002891</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0.27899999999999997</v>
      </c>
      <c r="Q75" s="642">
        <v>0</v>
      </c>
      <c r="R75" s="642">
        <v>0</v>
      </c>
      <c r="S75" s="650">
        <v>0.27899999999999997</v>
      </c>
      <c r="U75" s="648" t="s">
        <v>357</v>
      </c>
      <c r="V75" s="642">
        <v>0</v>
      </c>
      <c r="W75" s="642">
        <v>0</v>
      </c>
      <c r="X75" s="642">
        <v>0</v>
      </c>
      <c r="Y75" s="642">
        <v>0</v>
      </c>
      <c r="Z75" s="642">
        <v>0</v>
      </c>
      <c r="AA75" s="642">
        <v>0</v>
      </c>
      <c r="AB75" s="642">
        <v>0</v>
      </c>
      <c r="AC75" s="642">
        <v>0</v>
      </c>
      <c r="AD75" s="642">
        <v>0</v>
      </c>
      <c r="AE75" s="642">
        <v>0</v>
      </c>
      <c r="AF75" s="642">
        <v>0</v>
      </c>
      <c r="AG75" s="642">
        <v>0</v>
      </c>
      <c r="AH75" s="642">
        <v>1.92</v>
      </c>
      <c r="AI75" s="642">
        <v>0</v>
      </c>
      <c r="AJ75" s="642">
        <v>0</v>
      </c>
      <c r="AK75" s="650">
        <v>1.92</v>
      </c>
    </row>
    <row r="76" spans="3:37" ht="13.5">
      <c r="C76" s="646" t="s">
        <v>83</v>
      </c>
      <c r="D76" s="647">
        <v>5.7766123047996905</v>
      </c>
      <c r="E76" s="647">
        <v>0</v>
      </c>
      <c r="F76" s="647">
        <v>346.19510684816078</v>
      </c>
      <c r="G76" s="647">
        <v>276.57916261714774</v>
      </c>
      <c r="H76" s="647">
        <v>0</v>
      </c>
      <c r="I76" s="647">
        <v>0</v>
      </c>
      <c r="J76" s="647">
        <v>113.50572884864343</v>
      </c>
      <c r="K76" s="647">
        <v>1.7926789890585739</v>
      </c>
      <c r="L76" s="647">
        <v>29.587741132730038</v>
      </c>
      <c r="M76" s="647">
        <v>5.6630861835909059</v>
      </c>
      <c r="N76" s="647">
        <v>60.832905155553725</v>
      </c>
      <c r="O76" s="647">
        <v>2.8372848935198816</v>
      </c>
      <c r="P76" s="647">
        <v>496.49341447572323</v>
      </c>
      <c r="Q76" s="647">
        <v>35.336417016114851</v>
      </c>
      <c r="R76" s="647">
        <v>1.9451540734815074</v>
      </c>
      <c r="S76" s="647">
        <v>1376.5452925385248</v>
      </c>
      <c r="U76" s="646" t="s">
        <v>83</v>
      </c>
      <c r="V76" s="647">
        <v>1.065232959954733</v>
      </c>
      <c r="W76" s="647">
        <v>0</v>
      </c>
      <c r="X76" s="647">
        <v>123.73641532901047</v>
      </c>
      <c r="Y76" s="647">
        <v>121.91057745567808</v>
      </c>
      <c r="Z76" s="647">
        <v>0</v>
      </c>
      <c r="AA76" s="647">
        <v>0</v>
      </c>
      <c r="AB76" s="647">
        <v>91.239635035141916</v>
      </c>
      <c r="AC76" s="647">
        <v>5.4913450563703794</v>
      </c>
      <c r="AD76" s="647">
        <v>77.627888306523744</v>
      </c>
      <c r="AE76" s="647">
        <v>38.675835544014738</v>
      </c>
      <c r="AF76" s="647">
        <v>86.476611770328219</v>
      </c>
      <c r="AG76" s="647">
        <v>5.9541727702812857</v>
      </c>
      <c r="AH76" s="647">
        <v>493.03007244229349</v>
      </c>
      <c r="AI76" s="647">
        <v>68.72625481251545</v>
      </c>
      <c r="AJ76" s="647">
        <v>10.334365624475881</v>
      </c>
      <c r="AK76" s="647">
        <v>1124.2684071065887</v>
      </c>
    </row>
    <row r="77" spans="3:37" ht="13.5">
      <c r="C77" s="641" t="s">
        <v>84</v>
      </c>
      <c r="D77" s="642">
        <v>0</v>
      </c>
      <c r="E77" s="642">
        <v>0</v>
      </c>
      <c r="F77" s="642">
        <v>111.73719287700069</v>
      </c>
      <c r="G77" s="642">
        <v>11.878700409877391</v>
      </c>
      <c r="H77" s="642">
        <v>0</v>
      </c>
      <c r="I77" s="642">
        <v>0</v>
      </c>
      <c r="J77" s="642">
        <v>0</v>
      </c>
      <c r="K77" s="642">
        <v>0</v>
      </c>
      <c r="L77" s="642">
        <v>0</v>
      </c>
      <c r="M77" s="642">
        <v>0</v>
      </c>
      <c r="N77" s="642">
        <v>0</v>
      </c>
      <c r="O77" s="642">
        <v>0</v>
      </c>
      <c r="P77" s="642">
        <v>0</v>
      </c>
      <c r="Q77" s="642">
        <v>0</v>
      </c>
      <c r="R77" s="642">
        <v>1.43076906409107</v>
      </c>
      <c r="S77" s="650">
        <v>125.04666235096916</v>
      </c>
      <c r="U77" s="641" t="s">
        <v>84</v>
      </c>
      <c r="V77" s="642">
        <v>0</v>
      </c>
      <c r="W77" s="642">
        <v>0</v>
      </c>
      <c r="X77" s="642">
        <v>90.362960784166091</v>
      </c>
      <c r="Y77" s="642">
        <v>1.2615947910933976</v>
      </c>
      <c r="Z77" s="642">
        <v>0</v>
      </c>
      <c r="AA77" s="642">
        <v>0</v>
      </c>
      <c r="AB77" s="642">
        <v>0</v>
      </c>
      <c r="AC77" s="642">
        <v>0</v>
      </c>
      <c r="AD77" s="642">
        <v>14.679117373046875</v>
      </c>
      <c r="AE77" s="642">
        <v>0</v>
      </c>
      <c r="AF77" s="642">
        <v>0</v>
      </c>
      <c r="AG77" s="642">
        <v>0</v>
      </c>
      <c r="AH77" s="642">
        <v>0</v>
      </c>
      <c r="AI77" s="642">
        <v>0</v>
      </c>
      <c r="AJ77" s="642">
        <v>10.026029063720703</v>
      </c>
      <c r="AK77" s="650">
        <v>116.32970201202707</v>
      </c>
    </row>
    <row r="78" spans="3:37" ht="13.5">
      <c r="C78" s="646" t="s">
        <v>85</v>
      </c>
      <c r="D78" s="647">
        <v>5.7766123047996905</v>
      </c>
      <c r="E78" s="647">
        <v>0</v>
      </c>
      <c r="F78" s="647">
        <v>457.9322997251615</v>
      </c>
      <c r="G78" s="647">
        <v>288.45786302702516</v>
      </c>
      <c r="H78" s="647">
        <v>0</v>
      </c>
      <c r="I78" s="647">
        <v>0</v>
      </c>
      <c r="J78" s="647">
        <v>113.50572884864343</v>
      </c>
      <c r="K78" s="647">
        <v>1.7926789890585739</v>
      </c>
      <c r="L78" s="647">
        <v>29.587741132730038</v>
      </c>
      <c r="M78" s="647">
        <v>5.6630861835909059</v>
      </c>
      <c r="N78" s="647">
        <v>60.832905155553725</v>
      </c>
      <c r="O78" s="647">
        <v>2.8372848935198816</v>
      </c>
      <c r="P78" s="647">
        <v>496.49341447572323</v>
      </c>
      <c r="Q78" s="647">
        <v>35.336417016114851</v>
      </c>
      <c r="R78" s="647">
        <v>3.3759231375725776</v>
      </c>
      <c r="S78" s="647">
        <v>1501.5919548894938</v>
      </c>
      <c r="U78" s="646" t="s">
        <v>85</v>
      </c>
      <c r="V78" s="647">
        <v>1.065232959954733</v>
      </c>
      <c r="W78" s="647">
        <v>0</v>
      </c>
      <c r="X78" s="647">
        <v>214.09937611317656</v>
      </c>
      <c r="Y78" s="647">
        <v>123.17217224677148</v>
      </c>
      <c r="Z78" s="647">
        <v>0</v>
      </c>
      <c r="AA78" s="647">
        <v>0</v>
      </c>
      <c r="AB78" s="647">
        <v>91.239635035141916</v>
      </c>
      <c r="AC78" s="647">
        <v>5.4913450563703794</v>
      </c>
      <c r="AD78" s="647">
        <v>92.307005679570622</v>
      </c>
      <c r="AE78" s="647">
        <v>38.675835544014738</v>
      </c>
      <c r="AF78" s="647">
        <v>86.476611770328219</v>
      </c>
      <c r="AG78" s="647">
        <v>5.9541727702812857</v>
      </c>
      <c r="AH78" s="647">
        <v>493.03007244229349</v>
      </c>
      <c r="AI78" s="647">
        <v>68.72625481251545</v>
      </c>
      <c r="AJ78" s="647">
        <v>20.360394688196585</v>
      </c>
      <c r="AK78" s="647">
        <v>1240.5981091186156</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363</v>
      </c>
      <c r="D80" s="699"/>
      <c r="E80" s="699"/>
      <c r="F80" s="699"/>
      <c r="G80" s="699"/>
      <c r="H80" s="699"/>
      <c r="I80" s="699"/>
      <c r="J80" s="699"/>
      <c r="K80" s="699"/>
      <c r="L80" s="699"/>
      <c r="M80" s="699"/>
      <c r="N80" s="699"/>
      <c r="O80" s="699"/>
      <c r="P80" s="699"/>
      <c r="Q80" s="699"/>
      <c r="R80" s="699"/>
      <c r="S80" s="699"/>
      <c r="U80" s="699" t="s">
        <v>363</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0</v>
      </c>
      <c r="F84" s="643">
        <v>0</v>
      </c>
      <c r="G84" s="642">
        <v>0</v>
      </c>
      <c r="H84" s="643">
        <v>959.09090909090924</v>
      </c>
      <c r="I84" s="643">
        <v>265.54666314840352</v>
      </c>
      <c r="J84" s="643">
        <v>188.6372712469306</v>
      </c>
      <c r="K84" s="643">
        <v>20.835963621356942</v>
      </c>
      <c r="L84" s="643">
        <v>0.48646764865129044</v>
      </c>
      <c r="M84" s="643">
        <v>0.15840693111613638</v>
      </c>
      <c r="N84" s="643">
        <v>62.897832024028709</v>
      </c>
      <c r="O84" s="643">
        <v>11.865462020109925</v>
      </c>
      <c r="P84" s="644">
        <v>0</v>
      </c>
      <c r="Q84" s="643">
        <v>0</v>
      </c>
      <c r="R84" s="643">
        <v>0</v>
      </c>
      <c r="S84" s="645">
        <v>1509.5189757315065</v>
      </c>
      <c r="U84" s="641" t="s">
        <v>59</v>
      </c>
      <c r="V84" s="642">
        <v>0</v>
      </c>
      <c r="W84" s="643">
        <v>0</v>
      </c>
      <c r="X84" s="643">
        <v>0</v>
      </c>
      <c r="Y84" s="642">
        <v>0</v>
      </c>
      <c r="Z84" s="643">
        <v>919.39393939393949</v>
      </c>
      <c r="AA84" s="643">
        <v>300.16666314840353</v>
      </c>
      <c r="AB84" s="643">
        <v>196.07210414009427</v>
      </c>
      <c r="AC84" s="643">
        <v>37.690284018354092</v>
      </c>
      <c r="AD84" s="643">
        <v>0.48646764865129044</v>
      </c>
      <c r="AE84" s="643">
        <v>0.15840693111613638</v>
      </c>
      <c r="AF84" s="643">
        <v>92.901000398225491</v>
      </c>
      <c r="AG84" s="643">
        <v>23.979405132943342</v>
      </c>
      <c r="AH84" s="644">
        <v>0</v>
      </c>
      <c r="AI84" s="643">
        <v>0</v>
      </c>
      <c r="AJ84" s="643">
        <v>0</v>
      </c>
      <c r="AK84" s="645">
        <v>1570.8482708117278</v>
      </c>
    </row>
    <row r="85" spans="3:37" ht="13.5">
      <c r="C85" s="641" t="s">
        <v>60</v>
      </c>
      <c r="D85" s="642">
        <v>48.037640466799544</v>
      </c>
      <c r="E85" s="643">
        <v>504.19228646673599</v>
      </c>
      <c r="F85" s="643">
        <v>68.527294255032075</v>
      </c>
      <c r="G85" s="642">
        <v>332.96357284387591</v>
      </c>
      <c r="H85" s="643">
        <v>0</v>
      </c>
      <c r="I85" s="643">
        <v>0</v>
      </c>
      <c r="J85" s="643">
        <v>4.4041420336435353</v>
      </c>
      <c r="K85" s="643">
        <v>0</v>
      </c>
      <c r="L85" s="643">
        <v>2.4215969020745125</v>
      </c>
      <c r="M85" s="643">
        <v>0</v>
      </c>
      <c r="N85" s="643">
        <v>0</v>
      </c>
      <c r="O85" s="643">
        <v>0</v>
      </c>
      <c r="P85" s="644">
        <v>0</v>
      </c>
      <c r="Q85" s="643">
        <v>0</v>
      </c>
      <c r="R85" s="643">
        <v>0</v>
      </c>
      <c r="S85" s="645">
        <v>960.54653296816161</v>
      </c>
      <c r="U85" s="641" t="s">
        <v>60</v>
      </c>
      <c r="V85" s="642">
        <v>7.5315222042138927</v>
      </c>
      <c r="W85" s="643">
        <v>266.28302835422375</v>
      </c>
      <c r="X85" s="643">
        <v>14.660534841020075</v>
      </c>
      <c r="Y85" s="642">
        <v>136.19700966140181</v>
      </c>
      <c r="Z85" s="643">
        <v>0</v>
      </c>
      <c r="AA85" s="643">
        <v>0</v>
      </c>
      <c r="AB85" s="643">
        <v>4.4041420336435353</v>
      </c>
      <c r="AC85" s="643">
        <v>0</v>
      </c>
      <c r="AD85" s="643">
        <v>2.4215969020745125</v>
      </c>
      <c r="AE85" s="643">
        <v>0</v>
      </c>
      <c r="AF85" s="643">
        <v>0</v>
      </c>
      <c r="AG85" s="643">
        <v>0</v>
      </c>
      <c r="AH85" s="644">
        <v>0</v>
      </c>
      <c r="AI85" s="643">
        <v>0</v>
      </c>
      <c r="AJ85" s="643">
        <v>0</v>
      </c>
      <c r="AK85" s="645">
        <v>431.49783399657758</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-31.055970799843635</v>
      </c>
      <c r="Q86" s="643">
        <v>0</v>
      </c>
      <c r="R86" s="643">
        <v>0</v>
      </c>
      <c r="S86" s="645">
        <v>-31.055970799843635</v>
      </c>
      <c r="U86" s="641" t="s">
        <v>61</v>
      </c>
      <c r="V86" s="642">
        <v>0</v>
      </c>
      <c r="W86" s="643">
        <v>0</v>
      </c>
      <c r="X86" s="643">
        <v>-20.238165107819981</v>
      </c>
      <c r="Y86" s="642">
        <v>0</v>
      </c>
      <c r="Z86" s="643">
        <v>0</v>
      </c>
      <c r="AA86" s="643">
        <v>0</v>
      </c>
      <c r="AB86" s="643">
        <v>0</v>
      </c>
      <c r="AC86" s="643">
        <v>0</v>
      </c>
      <c r="AD86" s="643">
        <v>0</v>
      </c>
      <c r="AE86" s="643">
        <v>0</v>
      </c>
      <c r="AF86" s="643">
        <v>0</v>
      </c>
      <c r="AG86" s="643">
        <v>0</v>
      </c>
      <c r="AH86" s="644">
        <v>-12.632253344037395</v>
      </c>
      <c r="AI86" s="643">
        <v>0</v>
      </c>
      <c r="AJ86" s="643">
        <v>0</v>
      </c>
      <c r="AK86" s="645">
        <v>-32.870418451857375</v>
      </c>
    </row>
    <row r="87" spans="3:37" ht="13.5">
      <c r="C87" s="641" t="s">
        <v>62</v>
      </c>
      <c r="D87" s="642">
        <v>0</v>
      </c>
      <c r="E87" s="643">
        <v>0</v>
      </c>
      <c r="F87" s="643">
        <v>-15.855905256620872</v>
      </c>
      <c r="G87" s="642">
        <v>0</v>
      </c>
      <c r="H87" s="643">
        <v>0</v>
      </c>
      <c r="I87" s="643">
        <v>0</v>
      </c>
      <c r="J87" s="643">
        <v>0</v>
      </c>
      <c r="K87" s="643">
        <v>0</v>
      </c>
      <c r="L87" s="643">
        <v>0</v>
      </c>
      <c r="M87" s="643">
        <v>0</v>
      </c>
      <c r="N87" s="643">
        <v>0</v>
      </c>
      <c r="O87" s="643">
        <v>0</v>
      </c>
      <c r="P87" s="644">
        <v>0</v>
      </c>
      <c r="Q87" s="643">
        <v>0</v>
      </c>
      <c r="R87" s="643">
        <v>0</v>
      </c>
      <c r="S87" s="645">
        <v>-15.855905256620872</v>
      </c>
      <c r="U87" s="641" t="s">
        <v>62</v>
      </c>
      <c r="V87" s="642">
        <v>0</v>
      </c>
      <c r="W87" s="643">
        <v>0</v>
      </c>
      <c r="X87" s="643">
        <v>-10.068616817390659</v>
      </c>
      <c r="Y87" s="642">
        <v>-2.2904268439326967</v>
      </c>
      <c r="Z87" s="643">
        <v>0</v>
      </c>
      <c r="AA87" s="643">
        <v>0</v>
      </c>
      <c r="AB87" s="643">
        <v>0</v>
      </c>
      <c r="AC87" s="643">
        <v>0</v>
      </c>
      <c r="AD87" s="643">
        <v>0</v>
      </c>
      <c r="AE87" s="643">
        <v>-0.98161150454258428</v>
      </c>
      <c r="AF87" s="643">
        <v>0</v>
      </c>
      <c r="AG87" s="643">
        <v>0</v>
      </c>
      <c r="AH87" s="644">
        <v>0</v>
      </c>
      <c r="AI87" s="643">
        <v>0</v>
      </c>
      <c r="AJ87" s="643">
        <v>0</v>
      </c>
      <c r="AK87" s="645">
        <v>-13.34065516586594</v>
      </c>
    </row>
    <row r="88" spans="3:37" ht="13.5">
      <c r="C88" s="641" t="s">
        <v>63</v>
      </c>
      <c r="D88" s="642">
        <v>0</v>
      </c>
      <c r="E88" s="643">
        <v>0</v>
      </c>
      <c r="F88" s="643">
        <v>-87.092524368241456</v>
      </c>
      <c r="G88" s="642">
        <v>0</v>
      </c>
      <c r="H88" s="643">
        <v>0</v>
      </c>
      <c r="I88" s="643">
        <v>0</v>
      </c>
      <c r="J88" s="643">
        <v>0</v>
      </c>
      <c r="K88" s="643">
        <v>0</v>
      </c>
      <c r="L88" s="643">
        <v>-0.90133117758770376</v>
      </c>
      <c r="M88" s="643">
        <v>0</v>
      </c>
      <c r="N88" s="643">
        <v>0</v>
      </c>
      <c r="O88" s="643">
        <v>0</v>
      </c>
      <c r="P88" s="644">
        <v>0</v>
      </c>
      <c r="Q88" s="643">
        <v>0</v>
      </c>
      <c r="R88" s="643">
        <v>0</v>
      </c>
      <c r="S88" s="645">
        <v>-87.993855545829163</v>
      </c>
      <c r="U88" s="641" t="s">
        <v>63</v>
      </c>
      <c r="V88" s="642">
        <v>0</v>
      </c>
      <c r="W88" s="643">
        <v>0</v>
      </c>
      <c r="X88" s="643">
        <v>-58.231828596071985</v>
      </c>
      <c r="Y88" s="642">
        <v>0</v>
      </c>
      <c r="Z88" s="643">
        <v>0</v>
      </c>
      <c r="AA88" s="643">
        <v>0</v>
      </c>
      <c r="AB88" s="643">
        <v>0</v>
      </c>
      <c r="AC88" s="643">
        <v>0</v>
      </c>
      <c r="AD88" s="643">
        <v>-23.991898740742837</v>
      </c>
      <c r="AE88" s="643">
        <v>0</v>
      </c>
      <c r="AF88" s="643">
        <v>0</v>
      </c>
      <c r="AG88" s="643">
        <v>0</v>
      </c>
      <c r="AH88" s="644">
        <v>0</v>
      </c>
      <c r="AI88" s="643">
        <v>0</v>
      </c>
      <c r="AJ88" s="643">
        <v>0</v>
      </c>
      <c r="AK88" s="645">
        <v>-82.223727336814818</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48.037640466799544</v>
      </c>
      <c r="E90" s="647">
        <v>504.19228646673599</v>
      </c>
      <c r="F90" s="647">
        <v>-34.42113536983026</v>
      </c>
      <c r="G90" s="647">
        <v>332.96357284387591</v>
      </c>
      <c r="H90" s="647">
        <v>959.09090909090924</v>
      </c>
      <c r="I90" s="647">
        <v>265.54666314840352</v>
      </c>
      <c r="J90" s="647">
        <v>193.04141328057412</v>
      </c>
      <c r="K90" s="647">
        <v>20.835963621356942</v>
      </c>
      <c r="L90" s="647">
        <v>2.0067333731380987</v>
      </c>
      <c r="M90" s="647">
        <v>0.15840693111613638</v>
      </c>
      <c r="N90" s="647">
        <v>62.897832024028709</v>
      </c>
      <c r="O90" s="647">
        <v>11.865462020109925</v>
      </c>
      <c r="P90" s="647">
        <v>-31.055970799843635</v>
      </c>
      <c r="Q90" s="647">
        <v>0</v>
      </c>
      <c r="R90" s="647">
        <v>0</v>
      </c>
      <c r="S90" s="647">
        <v>2335.159777097374</v>
      </c>
      <c r="U90" s="646" t="s">
        <v>65</v>
      </c>
      <c r="V90" s="647">
        <v>7.5315222042138927</v>
      </c>
      <c r="W90" s="647">
        <v>266.28302835422375</v>
      </c>
      <c r="X90" s="647">
        <v>-73.87807568026254</v>
      </c>
      <c r="Y90" s="647">
        <v>133.90658281746911</v>
      </c>
      <c r="Z90" s="647">
        <v>919.39393939393949</v>
      </c>
      <c r="AA90" s="647">
        <v>300.16666314840353</v>
      </c>
      <c r="AB90" s="647">
        <v>200.47624617373779</v>
      </c>
      <c r="AC90" s="647">
        <v>37.690284018354092</v>
      </c>
      <c r="AD90" s="647">
        <v>-21.083834190017033</v>
      </c>
      <c r="AE90" s="647">
        <v>-0.82320457342644793</v>
      </c>
      <c r="AF90" s="647">
        <v>92.901000398225491</v>
      </c>
      <c r="AG90" s="647">
        <v>23.979405132943342</v>
      </c>
      <c r="AH90" s="647">
        <v>-12.632253344037395</v>
      </c>
      <c r="AI90" s="647">
        <v>0</v>
      </c>
      <c r="AJ90" s="647">
        <v>0</v>
      </c>
      <c r="AK90" s="647">
        <v>1873.9113038537675</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7.5217067848259731</v>
      </c>
      <c r="G93" s="642">
        <v>17.043478260869566</v>
      </c>
      <c r="H93" s="642">
        <v>959.09090909090924</v>
      </c>
      <c r="I93" s="642">
        <v>265.54666314840352</v>
      </c>
      <c r="J93" s="651">
        <v>29.657322749860491</v>
      </c>
      <c r="K93" s="651">
        <v>6.9984717304001904</v>
      </c>
      <c r="L93" s="651">
        <v>2.9080645507258027</v>
      </c>
      <c r="M93" s="651">
        <v>0.47316517381762646</v>
      </c>
      <c r="N93" s="651">
        <v>0</v>
      </c>
      <c r="O93" s="651">
        <v>6.9042102843702597</v>
      </c>
      <c r="P93" s="642">
        <v>-613.13903868039233</v>
      </c>
      <c r="Q93" s="642">
        <v>0</v>
      </c>
      <c r="R93" s="642">
        <v>0</v>
      </c>
      <c r="S93" s="650">
        <v>685.83173873481564</v>
      </c>
      <c r="U93" s="648" t="s">
        <v>350</v>
      </c>
      <c r="V93" s="642">
        <v>0.62631490545869017</v>
      </c>
      <c r="W93" s="642">
        <v>0</v>
      </c>
      <c r="X93" s="642">
        <v>3.6580704211896093</v>
      </c>
      <c r="Y93" s="642">
        <v>6.2086956521739127</v>
      </c>
      <c r="Z93" s="642">
        <v>919.39393939393949</v>
      </c>
      <c r="AA93" s="642">
        <v>300.16666314840353</v>
      </c>
      <c r="AB93" s="651">
        <v>23.86094386593884</v>
      </c>
      <c r="AC93" s="651">
        <v>5.6952120200596408</v>
      </c>
      <c r="AD93" s="651">
        <v>2.9080645507258027</v>
      </c>
      <c r="AE93" s="651">
        <v>2.7862086520784959</v>
      </c>
      <c r="AF93" s="651">
        <v>0</v>
      </c>
      <c r="AG93" s="651">
        <v>6.9042102843702597</v>
      </c>
      <c r="AH93" s="642">
        <v>-628.6590386803922</v>
      </c>
      <c r="AI93" s="642">
        <v>0</v>
      </c>
      <c r="AJ93" s="642">
        <v>4.7499999999999991</v>
      </c>
      <c r="AK93" s="650">
        <v>648.29928421394618</v>
      </c>
    </row>
    <row r="94" spans="3:37" ht="13.5">
      <c r="C94" s="648" t="s">
        <v>351</v>
      </c>
      <c r="D94" s="642">
        <v>0</v>
      </c>
      <c r="E94" s="642">
        <v>0</v>
      </c>
      <c r="F94" s="642">
        <v>0</v>
      </c>
      <c r="G94" s="642">
        <v>14.973464488470796</v>
      </c>
      <c r="H94" s="642">
        <v>0</v>
      </c>
      <c r="I94" s="642">
        <v>0</v>
      </c>
      <c r="J94" s="651">
        <v>12.61885930635281</v>
      </c>
      <c r="K94" s="651">
        <v>11.992989190910333</v>
      </c>
      <c r="L94" s="651">
        <v>0</v>
      </c>
      <c r="M94" s="651">
        <v>0.32007470171399477</v>
      </c>
      <c r="N94" s="651">
        <v>0</v>
      </c>
      <c r="O94" s="651">
        <v>2.1221335576886813</v>
      </c>
      <c r="P94" s="642">
        <v>0</v>
      </c>
      <c r="Q94" s="642">
        <v>-38.122859170635891</v>
      </c>
      <c r="R94" s="642">
        <v>0</v>
      </c>
      <c r="S94" s="650">
        <v>3.9046620745007217</v>
      </c>
      <c r="U94" s="648" t="s">
        <v>351</v>
      </c>
      <c r="V94" s="642">
        <v>0</v>
      </c>
      <c r="W94" s="642">
        <v>0</v>
      </c>
      <c r="X94" s="642">
        <v>0</v>
      </c>
      <c r="Y94" s="642">
        <v>11.236128743190402</v>
      </c>
      <c r="Z94" s="642">
        <v>0</v>
      </c>
      <c r="AA94" s="642">
        <v>0</v>
      </c>
      <c r="AB94" s="651">
        <v>28.835017835425074</v>
      </c>
      <c r="AC94" s="651">
        <v>26.276566272731909</v>
      </c>
      <c r="AD94" s="651">
        <v>0</v>
      </c>
      <c r="AE94" s="651">
        <v>4.8299775408676195</v>
      </c>
      <c r="AF94" s="651">
        <v>0</v>
      </c>
      <c r="AG94" s="651">
        <v>10.71495831218258</v>
      </c>
      <c r="AH94" s="642">
        <v>0</v>
      </c>
      <c r="AI94" s="642">
        <v>-75.331063655699538</v>
      </c>
      <c r="AJ94" s="642">
        <v>0</v>
      </c>
      <c r="AK94" s="650">
        <v>6.561585048698058</v>
      </c>
    </row>
    <row r="95" spans="3:37" ht="13.5">
      <c r="C95" s="648" t="s">
        <v>352</v>
      </c>
      <c r="D95" s="642">
        <v>0</v>
      </c>
      <c r="E95" s="642">
        <v>0</v>
      </c>
      <c r="F95" s="642">
        <v>0</v>
      </c>
      <c r="G95" s="642">
        <v>0</v>
      </c>
      <c r="H95" s="642">
        <v>0</v>
      </c>
      <c r="I95" s="642">
        <v>0</v>
      </c>
      <c r="J95" s="652">
        <v>7.1836152532588793</v>
      </c>
      <c r="K95" s="652">
        <v>0</v>
      </c>
      <c r="L95" s="652">
        <v>0</v>
      </c>
      <c r="M95" s="652">
        <v>-6.5550489185987271</v>
      </c>
      <c r="N95" s="652">
        <v>0</v>
      </c>
      <c r="O95" s="652">
        <v>0</v>
      </c>
      <c r="P95" s="642">
        <v>0</v>
      </c>
      <c r="Q95" s="642">
        <v>0</v>
      </c>
      <c r="R95" s="642">
        <v>0</v>
      </c>
      <c r="S95" s="650">
        <v>0.62856633466015222</v>
      </c>
      <c r="U95" s="648" t="s">
        <v>352</v>
      </c>
      <c r="V95" s="642">
        <v>0</v>
      </c>
      <c r="W95" s="642">
        <v>0</v>
      </c>
      <c r="X95" s="642">
        <v>0</v>
      </c>
      <c r="Y95" s="642">
        <v>0</v>
      </c>
      <c r="Z95" s="642">
        <v>0</v>
      </c>
      <c r="AA95" s="642">
        <v>0</v>
      </c>
      <c r="AB95" s="652">
        <v>63.436450079223192</v>
      </c>
      <c r="AC95" s="652">
        <v>0</v>
      </c>
      <c r="AD95" s="652">
        <v>0</v>
      </c>
      <c r="AE95" s="652">
        <v>-57.885760697291161</v>
      </c>
      <c r="AF95" s="652">
        <v>0</v>
      </c>
      <c r="AG95" s="652">
        <v>0</v>
      </c>
      <c r="AH95" s="642">
        <v>0</v>
      </c>
      <c r="AI95" s="642">
        <v>0</v>
      </c>
      <c r="AJ95" s="642">
        <v>0</v>
      </c>
      <c r="AK95" s="650">
        <v>5.5506893819320311</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522.28962186433523</v>
      </c>
      <c r="F97" s="642">
        <v>-517.06672564569192</v>
      </c>
      <c r="G97" s="642">
        <v>0</v>
      </c>
      <c r="H97" s="642">
        <v>0</v>
      </c>
      <c r="I97" s="642">
        <v>0</v>
      </c>
      <c r="J97" s="642">
        <v>0</v>
      </c>
      <c r="K97" s="642">
        <v>0</v>
      </c>
      <c r="L97" s="642">
        <v>0</v>
      </c>
      <c r="M97" s="642">
        <v>0</v>
      </c>
      <c r="N97" s="642">
        <v>0</v>
      </c>
      <c r="O97" s="642">
        <v>0</v>
      </c>
      <c r="P97" s="642">
        <v>0</v>
      </c>
      <c r="Q97" s="642">
        <v>0</v>
      </c>
      <c r="R97" s="642">
        <v>0</v>
      </c>
      <c r="S97" s="650">
        <v>5.2228962186433137</v>
      </c>
      <c r="U97" s="648" t="s">
        <v>72</v>
      </c>
      <c r="V97" s="642">
        <v>0</v>
      </c>
      <c r="W97" s="642">
        <v>275.84091609698424</v>
      </c>
      <c r="X97" s="642">
        <v>-273.0825069360144</v>
      </c>
      <c r="Y97" s="642">
        <v>0</v>
      </c>
      <c r="Z97" s="642">
        <v>0</v>
      </c>
      <c r="AA97" s="642">
        <v>0</v>
      </c>
      <c r="AB97" s="642">
        <v>0</v>
      </c>
      <c r="AC97" s="642">
        <v>0</v>
      </c>
      <c r="AD97" s="642">
        <v>0</v>
      </c>
      <c r="AE97" s="642">
        <v>0</v>
      </c>
      <c r="AF97" s="642">
        <v>0</v>
      </c>
      <c r="AG97" s="642">
        <v>0</v>
      </c>
      <c r="AH97" s="642">
        <v>0</v>
      </c>
      <c r="AI97" s="642">
        <v>0</v>
      </c>
      <c r="AJ97" s="642">
        <v>0</v>
      </c>
      <c r="AK97" s="650">
        <v>2.7584091609698476</v>
      </c>
    </row>
    <row r="98" spans="3:37" ht="13.5">
      <c r="C98" s="648" t="s">
        <v>354</v>
      </c>
      <c r="D98" s="642">
        <v>0</v>
      </c>
      <c r="E98" s="642">
        <v>0</v>
      </c>
      <c r="F98" s="642">
        <v>0</v>
      </c>
      <c r="G98" s="642">
        <v>0</v>
      </c>
      <c r="H98" s="642">
        <v>0</v>
      </c>
      <c r="I98" s="642">
        <v>0</v>
      </c>
      <c r="J98" s="642">
        <v>28.942309114060045</v>
      </c>
      <c r="K98" s="642">
        <v>0</v>
      </c>
      <c r="L98" s="642">
        <v>-28.942309114060045</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-101.68735143023177</v>
      </c>
      <c r="AE98" s="642">
        <v>0</v>
      </c>
      <c r="AF98" s="642">
        <v>0</v>
      </c>
      <c r="AG98" s="642">
        <v>0</v>
      </c>
      <c r="AH98" s="642">
        <v>0</v>
      </c>
      <c r="AI98" s="642">
        <v>0</v>
      </c>
      <c r="AJ98" s="642">
        <v>0</v>
      </c>
      <c r="AK98" s="650">
        <v>-101.68735143023177</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-20.330518764117095</v>
      </c>
      <c r="AE99" s="642">
        <v>0</v>
      </c>
      <c r="AF99" s="642">
        <v>0</v>
      </c>
      <c r="AG99" s="642">
        <v>0</v>
      </c>
      <c r="AH99" s="642">
        <v>0</v>
      </c>
      <c r="AI99" s="642">
        <v>0</v>
      </c>
      <c r="AJ99" s="642">
        <v>0</v>
      </c>
      <c r="AK99" s="650">
        <v>-20.330518764117095</v>
      </c>
    </row>
    <row r="100" spans="3:37" ht="13.5">
      <c r="C100" s="648" t="s">
        <v>73</v>
      </c>
      <c r="D100" s="642">
        <v>0</v>
      </c>
      <c r="E100" s="642">
        <v>0</v>
      </c>
      <c r="F100" s="642">
        <v>0</v>
      </c>
      <c r="G100" s="642">
        <v>5.1012543356530031</v>
      </c>
      <c r="H100" s="642">
        <v>0</v>
      </c>
      <c r="I100" s="642">
        <v>0</v>
      </c>
      <c r="J100" s="642">
        <v>0</v>
      </c>
      <c r="K100" s="642">
        <v>5.8487208617897309E-2</v>
      </c>
      <c r="L100" s="642">
        <v>0</v>
      </c>
      <c r="M100" s="642">
        <v>0.10410723133985722</v>
      </c>
      <c r="N100" s="642">
        <v>0</v>
      </c>
      <c r="O100" s="642">
        <v>0</v>
      </c>
      <c r="P100" s="642">
        <v>0.59767950412449788</v>
      </c>
      <c r="Q100" s="642">
        <v>0</v>
      </c>
      <c r="R100" s="642">
        <v>-4.094104603252811</v>
      </c>
      <c r="S100" s="650">
        <v>1.7674236764824451</v>
      </c>
      <c r="U100" s="648" t="s">
        <v>73</v>
      </c>
      <c r="V100" s="642">
        <v>0</v>
      </c>
      <c r="W100" s="642">
        <v>0</v>
      </c>
      <c r="X100" s="642">
        <v>0</v>
      </c>
      <c r="Y100" s="642">
        <v>5.6948243223481816</v>
      </c>
      <c r="Z100" s="642">
        <v>0</v>
      </c>
      <c r="AA100" s="642">
        <v>0</v>
      </c>
      <c r="AB100" s="642">
        <v>0</v>
      </c>
      <c r="AC100" s="642">
        <v>0.40677316588201312</v>
      </c>
      <c r="AD100" s="642">
        <v>0</v>
      </c>
      <c r="AE100" s="642">
        <v>2.440638995292078</v>
      </c>
      <c r="AF100" s="642">
        <v>0</v>
      </c>
      <c r="AG100" s="642">
        <v>0</v>
      </c>
      <c r="AH100" s="642">
        <v>32.838767990182951</v>
      </c>
      <c r="AI100" s="642">
        <v>0</v>
      </c>
      <c r="AJ100" s="642">
        <v>-28.474121611740912</v>
      </c>
      <c r="AK100" s="650">
        <v>12.906882861964313</v>
      </c>
    </row>
    <row r="101" spans="3:37" ht="13.5">
      <c r="C101" s="648" t="s">
        <v>356</v>
      </c>
      <c r="D101" s="642">
        <v>28.616489999999999</v>
      </c>
      <c r="E101" s="642">
        <v>-18.09733539759922</v>
      </c>
      <c r="F101" s="642">
        <v>23.670245777269074</v>
      </c>
      <c r="G101" s="642">
        <v>0</v>
      </c>
      <c r="H101" s="642">
        <v>0</v>
      </c>
      <c r="I101" s="642">
        <v>0</v>
      </c>
      <c r="J101" s="642">
        <v>0</v>
      </c>
      <c r="K101" s="642">
        <v>0</v>
      </c>
      <c r="L101" s="642">
        <v>0</v>
      </c>
      <c r="M101" s="642">
        <v>0</v>
      </c>
      <c r="N101" s="642">
        <v>0</v>
      </c>
      <c r="O101" s="642">
        <v>0</v>
      </c>
      <c r="P101" s="642">
        <v>0</v>
      </c>
      <c r="Q101" s="642">
        <v>0</v>
      </c>
      <c r="R101" s="642">
        <v>0</v>
      </c>
      <c r="S101" s="650">
        <v>34.189400379669848</v>
      </c>
      <c r="U101" s="648" t="s">
        <v>356</v>
      </c>
      <c r="V101" s="642">
        <v>2.3505202026367185</v>
      </c>
      <c r="W101" s="642">
        <v>-9.5578877427605047</v>
      </c>
      <c r="X101" s="642">
        <v>12.501152628950074</v>
      </c>
      <c r="Y101" s="642">
        <v>0</v>
      </c>
      <c r="Z101" s="642">
        <v>0</v>
      </c>
      <c r="AA101" s="642">
        <v>0</v>
      </c>
      <c r="AB101" s="642">
        <v>0</v>
      </c>
      <c r="AC101" s="642">
        <v>0</v>
      </c>
      <c r="AD101" s="642">
        <v>0</v>
      </c>
      <c r="AE101" s="642">
        <v>0</v>
      </c>
      <c r="AF101" s="642">
        <v>0</v>
      </c>
      <c r="AG101" s="642">
        <v>0</v>
      </c>
      <c r="AH101" s="642">
        <v>0</v>
      </c>
      <c r="AI101" s="642">
        <v>0</v>
      </c>
      <c r="AJ101" s="642">
        <v>0</v>
      </c>
      <c r="AK101" s="650">
        <v>5.2937850888262874</v>
      </c>
    </row>
    <row r="102" spans="3:37" ht="13.5">
      <c r="C102" s="648" t="s">
        <v>75</v>
      </c>
      <c r="D102" s="642">
        <v>11.128635000000001</v>
      </c>
      <c r="E102" s="642">
        <v>0</v>
      </c>
      <c r="F102" s="642">
        <v>17.757847143387398</v>
      </c>
      <c r="G102" s="642">
        <v>5.0672539113277812</v>
      </c>
      <c r="H102" s="642">
        <v>0</v>
      </c>
      <c r="I102" s="642">
        <v>0</v>
      </c>
      <c r="J102" s="642">
        <v>0</v>
      </c>
      <c r="K102" s="642">
        <v>0</v>
      </c>
      <c r="L102" s="642">
        <v>0</v>
      </c>
      <c r="M102" s="642">
        <v>0.1034133451291384</v>
      </c>
      <c r="N102" s="642">
        <v>0</v>
      </c>
      <c r="O102" s="642">
        <v>0</v>
      </c>
      <c r="P102" s="642">
        <v>30.750377055945027</v>
      </c>
      <c r="Q102" s="642">
        <v>0</v>
      </c>
      <c r="R102" s="642">
        <v>0</v>
      </c>
      <c r="S102" s="650">
        <v>64.807526455789343</v>
      </c>
      <c r="U102" s="648" t="s">
        <v>75</v>
      </c>
      <c r="V102" s="642">
        <v>3.4784289550781251</v>
      </c>
      <c r="W102" s="642">
        <v>0</v>
      </c>
      <c r="X102" s="642">
        <v>17.757847143387398</v>
      </c>
      <c r="Y102" s="642">
        <v>3.6194670795198434</v>
      </c>
      <c r="Z102" s="642">
        <v>0</v>
      </c>
      <c r="AA102" s="642">
        <v>0</v>
      </c>
      <c r="AB102" s="642">
        <v>0</v>
      </c>
      <c r="AC102" s="642">
        <v>0</v>
      </c>
      <c r="AD102" s="642">
        <v>0</v>
      </c>
      <c r="AE102" s="642">
        <v>1.5512001769370758</v>
      </c>
      <c r="AF102" s="642">
        <v>0</v>
      </c>
      <c r="AG102" s="642">
        <v>0</v>
      </c>
      <c r="AH102" s="642">
        <v>36.42264978321775</v>
      </c>
      <c r="AI102" s="642">
        <v>0</v>
      </c>
      <c r="AJ102" s="642">
        <v>0</v>
      </c>
      <c r="AK102" s="650">
        <v>62.829593138140197</v>
      </c>
    </row>
    <row r="103" spans="3:37" ht="13.5">
      <c r="C103" s="648" t="s">
        <v>76</v>
      </c>
      <c r="D103" s="642">
        <v>0</v>
      </c>
      <c r="E103" s="642">
        <v>0</v>
      </c>
      <c r="F103" s="642">
        <v>0</v>
      </c>
      <c r="G103" s="642">
        <v>3.8086647866957031</v>
      </c>
      <c r="H103" s="642">
        <v>0</v>
      </c>
      <c r="I103" s="642">
        <v>0</v>
      </c>
      <c r="J103" s="642">
        <v>0</v>
      </c>
      <c r="K103" s="642">
        <v>0</v>
      </c>
      <c r="L103" s="642">
        <v>0</v>
      </c>
      <c r="M103" s="642">
        <v>7.7727852789708229E-2</v>
      </c>
      <c r="N103" s="642">
        <v>0</v>
      </c>
      <c r="O103" s="642">
        <v>0</v>
      </c>
      <c r="P103" s="642">
        <v>44.547532005203358</v>
      </c>
      <c r="Q103" s="642">
        <v>2.958822517532107</v>
      </c>
      <c r="R103" s="642">
        <v>0</v>
      </c>
      <c r="S103" s="650">
        <v>51.392747162220878</v>
      </c>
      <c r="U103" s="648" t="s">
        <v>76</v>
      </c>
      <c r="V103" s="642">
        <v>0</v>
      </c>
      <c r="W103" s="642">
        <v>0</v>
      </c>
      <c r="X103" s="642">
        <v>0</v>
      </c>
      <c r="Y103" s="642">
        <v>1.6015823117827594</v>
      </c>
      <c r="Z103" s="642">
        <v>0</v>
      </c>
      <c r="AA103" s="642">
        <v>0</v>
      </c>
      <c r="AB103" s="642">
        <v>0</v>
      </c>
      <c r="AC103" s="642">
        <v>0</v>
      </c>
      <c r="AD103" s="642">
        <v>0</v>
      </c>
      <c r="AE103" s="642">
        <v>0.68639241933546835</v>
      </c>
      <c r="AF103" s="642">
        <v>0</v>
      </c>
      <c r="AG103" s="642">
        <v>0</v>
      </c>
      <c r="AH103" s="642">
        <v>47.148943407633553</v>
      </c>
      <c r="AI103" s="642">
        <v>5.8421151160056723</v>
      </c>
      <c r="AJ103" s="642">
        <v>0</v>
      </c>
      <c r="AK103" s="650">
        <v>55.279033254757444</v>
      </c>
    </row>
    <row r="104" spans="3:37" ht="13.5">
      <c r="C104" s="646" t="s">
        <v>77</v>
      </c>
      <c r="D104" s="647">
        <v>42.571910641025248</v>
      </c>
      <c r="E104" s="647">
        <v>504.19228646673599</v>
      </c>
      <c r="F104" s="647">
        <v>-468.11692594020946</v>
      </c>
      <c r="G104" s="647">
        <v>45.994115783016845</v>
      </c>
      <c r="H104" s="647">
        <v>959.09090909090924</v>
      </c>
      <c r="I104" s="647">
        <v>265.54666314840352</v>
      </c>
      <c r="J104" s="647">
        <v>78.402106423532217</v>
      </c>
      <c r="K104" s="647">
        <v>19.049948129928421</v>
      </c>
      <c r="L104" s="647">
        <v>-26.034244563334241</v>
      </c>
      <c r="M104" s="647">
        <v>-5.4765606138084015</v>
      </c>
      <c r="N104" s="647">
        <v>0</v>
      </c>
      <c r="O104" s="647">
        <v>9.0263438420589424</v>
      </c>
      <c r="P104" s="647">
        <v>-537.24345011511946</v>
      </c>
      <c r="Q104" s="647">
        <v>-35.164036653103786</v>
      </c>
      <c r="R104" s="647">
        <v>-4.094104603252811</v>
      </c>
      <c r="S104" s="647">
        <v>847.74496103678234</v>
      </c>
      <c r="U104" s="646" t="s">
        <v>77</v>
      </c>
      <c r="V104" s="647">
        <v>6.4552640631735336</v>
      </c>
      <c r="W104" s="647">
        <v>266.28302835422375</v>
      </c>
      <c r="X104" s="647">
        <v>-239.16543674248729</v>
      </c>
      <c r="Y104" s="647">
        <v>28.3606981090151</v>
      </c>
      <c r="Z104" s="647">
        <v>919.39393939393949</v>
      </c>
      <c r="AA104" s="647">
        <v>300.16666314840353</v>
      </c>
      <c r="AB104" s="647">
        <v>116.13241178058709</v>
      </c>
      <c r="AC104" s="647">
        <v>32.378551458673563</v>
      </c>
      <c r="AD104" s="647">
        <v>-119.10980564362306</v>
      </c>
      <c r="AE104" s="647">
        <v>-45.591342912780426</v>
      </c>
      <c r="AF104" s="647">
        <v>0</v>
      </c>
      <c r="AG104" s="647">
        <v>17.619168596552839</v>
      </c>
      <c r="AH104" s="647">
        <v>-512.24867749935788</v>
      </c>
      <c r="AI104" s="647">
        <v>-69.488948539693865</v>
      </c>
      <c r="AJ104" s="647">
        <v>-23.724121611740912</v>
      </c>
      <c r="AK104" s="647">
        <v>677.46139195488558</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5.4657298257742912</v>
      </c>
      <c r="E106" s="642">
        <v>0</v>
      </c>
      <c r="F106" s="642">
        <v>21.83935294215906</v>
      </c>
      <c r="G106" s="642">
        <v>97.960240418883188</v>
      </c>
      <c r="H106" s="642">
        <v>0</v>
      </c>
      <c r="I106" s="642">
        <v>0</v>
      </c>
      <c r="J106" s="642">
        <v>20.699069714826329</v>
      </c>
      <c r="K106" s="642">
        <v>1.7608774311708451</v>
      </c>
      <c r="L106" s="642">
        <v>0.9136629082031249</v>
      </c>
      <c r="M106" s="642">
        <v>2.0177626304462204</v>
      </c>
      <c r="N106" s="642">
        <v>0</v>
      </c>
      <c r="O106" s="642">
        <v>3.7866244598879411E-4</v>
      </c>
      <c r="P106" s="642">
        <v>111.48933548215857</v>
      </c>
      <c r="Q106" s="642">
        <v>16.083775404791947</v>
      </c>
      <c r="R106" s="642">
        <v>0.29766925048828125</v>
      </c>
      <c r="S106" s="650">
        <v>278.52785467134788</v>
      </c>
      <c r="U106" s="648" t="s">
        <v>78</v>
      </c>
      <c r="V106" s="642">
        <v>1.0762581410403587</v>
      </c>
      <c r="W106" s="642">
        <v>0</v>
      </c>
      <c r="X106" s="642">
        <v>8.4892491154216376</v>
      </c>
      <c r="Y106" s="642">
        <v>50.497915430959594</v>
      </c>
      <c r="Z106" s="642">
        <v>0</v>
      </c>
      <c r="AA106" s="642">
        <v>0</v>
      </c>
      <c r="AB106" s="642">
        <v>15.594949526554588</v>
      </c>
      <c r="AC106" s="642">
        <v>5.2865944994228578</v>
      </c>
      <c r="AD106" s="642">
        <v>4.3757583007812499</v>
      </c>
      <c r="AE106" s="642">
        <v>21.660537806594554</v>
      </c>
      <c r="AF106" s="642">
        <v>0</v>
      </c>
      <c r="AG106" s="642">
        <v>3.7866244598879411E-4</v>
      </c>
      <c r="AH106" s="642">
        <v>141.44668524271188</v>
      </c>
      <c r="AI106" s="642">
        <v>22.79177635880415</v>
      </c>
      <c r="AJ106" s="642">
        <v>6.850041015625</v>
      </c>
      <c r="AK106" s="650">
        <v>278.07014410036186</v>
      </c>
    </row>
    <row r="107" spans="3:37" ht="13.5">
      <c r="C107" s="648" t="s">
        <v>79</v>
      </c>
      <c r="D107" s="642">
        <v>0</v>
      </c>
      <c r="E107" s="642">
        <v>0</v>
      </c>
      <c r="F107" s="642">
        <v>249.23385066161848</v>
      </c>
      <c r="G107" s="642">
        <v>29.852237297635437</v>
      </c>
      <c r="H107" s="642">
        <v>0</v>
      </c>
      <c r="I107" s="642">
        <v>0</v>
      </c>
      <c r="J107" s="642">
        <v>0</v>
      </c>
      <c r="K107" s="642">
        <v>0</v>
      </c>
      <c r="L107" s="642">
        <v>24.125777410294155</v>
      </c>
      <c r="M107" s="642">
        <v>0.60922933260480494</v>
      </c>
      <c r="N107" s="642">
        <v>0</v>
      </c>
      <c r="O107" s="642">
        <v>0</v>
      </c>
      <c r="P107" s="642">
        <v>62.086065361885787</v>
      </c>
      <c r="Q107" s="642">
        <v>0</v>
      </c>
      <c r="R107" s="642">
        <v>1.9828379826970517</v>
      </c>
      <c r="S107" s="650">
        <v>367.88999804673568</v>
      </c>
      <c r="U107" s="648" t="s">
        <v>79</v>
      </c>
      <c r="V107" s="642">
        <v>0</v>
      </c>
      <c r="W107" s="642">
        <v>0</v>
      </c>
      <c r="X107" s="642">
        <v>59.317364570862594</v>
      </c>
      <c r="Y107" s="642">
        <v>17.942066440325025</v>
      </c>
      <c r="Z107" s="642">
        <v>0</v>
      </c>
      <c r="AA107" s="642">
        <v>0</v>
      </c>
      <c r="AB107" s="642">
        <v>0</v>
      </c>
      <c r="AC107" s="642">
        <v>0</v>
      </c>
      <c r="AD107" s="642">
        <v>51.332808735857633</v>
      </c>
      <c r="AE107" s="642">
        <v>7.6894570458535831</v>
      </c>
      <c r="AF107" s="642">
        <v>0</v>
      </c>
      <c r="AG107" s="642">
        <v>0</v>
      </c>
      <c r="AH107" s="642">
        <v>82.201296258535137</v>
      </c>
      <c r="AI107" s="642">
        <v>0</v>
      </c>
      <c r="AJ107" s="642">
        <v>4.6183032107255606</v>
      </c>
      <c r="AK107" s="650">
        <v>223.10129626215951</v>
      </c>
    </row>
    <row r="108" spans="3:37" ht="13.5">
      <c r="C108" s="648" t="s">
        <v>80</v>
      </c>
      <c r="D108" s="642">
        <v>0</v>
      </c>
      <c r="E108" s="642">
        <v>0</v>
      </c>
      <c r="F108" s="642">
        <v>17.698191750553285</v>
      </c>
      <c r="G108" s="642">
        <v>82.8316536533641</v>
      </c>
      <c r="H108" s="642">
        <v>0</v>
      </c>
      <c r="I108" s="642">
        <v>0</v>
      </c>
      <c r="J108" s="642">
        <v>87.012401530952616</v>
      </c>
      <c r="K108" s="642">
        <v>0</v>
      </c>
      <c r="L108" s="642">
        <v>0</v>
      </c>
      <c r="M108" s="642">
        <v>1.690441911293145</v>
      </c>
      <c r="N108" s="642">
        <v>54.219025663639314</v>
      </c>
      <c r="O108" s="642">
        <v>2.0231633432731213</v>
      </c>
      <c r="P108" s="642">
        <v>187.24843332836184</v>
      </c>
      <c r="Q108" s="642">
        <v>15.504434202631401</v>
      </c>
      <c r="R108" s="642">
        <v>0</v>
      </c>
      <c r="S108" s="650">
        <v>448.22774538406884</v>
      </c>
      <c r="U108" s="648" t="s">
        <v>80</v>
      </c>
      <c r="V108" s="642">
        <v>0</v>
      </c>
      <c r="W108" s="642">
        <v>0</v>
      </c>
      <c r="X108" s="642">
        <v>1.0833932718176746</v>
      </c>
      <c r="Y108" s="642">
        <v>18.084176496701136</v>
      </c>
      <c r="Z108" s="642">
        <v>0</v>
      </c>
      <c r="AA108" s="642">
        <v>0</v>
      </c>
      <c r="AB108" s="642">
        <v>57.868484646152382</v>
      </c>
      <c r="AC108" s="642">
        <v>0</v>
      </c>
      <c r="AD108" s="642">
        <v>0</v>
      </c>
      <c r="AE108" s="642">
        <v>7.7503613557290594</v>
      </c>
      <c r="AF108" s="642">
        <v>78.313096165620991</v>
      </c>
      <c r="AG108" s="642">
        <v>3.4573890525731583</v>
      </c>
      <c r="AH108" s="642">
        <v>150.63566760387405</v>
      </c>
      <c r="AI108" s="642">
        <v>34.942034151478268</v>
      </c>
      <c r="AJ108" s="642">
        <v>0</v>
      </c>
      <c r="AK108" s="650">
        <v>352.13460274394669</v>
      </c>
    </row>
    <row r="109" spans="3:37" ht="13.5">
      <c r="C109" s="648" t="s">
        <v>81</v>
      </c>
      <c r="D109" s="642">
        <v>0</v>
      </c>
      <c r="E109" s="642">
        <v>0</v>
      </c>
      <c r="F109" s="642">
        <v>5.759525486283259</v>
      </c>
      <c r="G109" s="642">
        <v>63.242535904869413</v>
      </c>
      <c r="H109" s="642">
        <v>0</v>
      </c>
      <c r="I109" s="642">
        <v>0</v>
      </c>
      <c r="J109" s="642">
        <v>3.243340348024236</v>
      </c>
      <c r="K109" s="642">
        <v>2.5138060257677737E-2</v>
      </c>
      <c r="L109" s="642">
        <v>0</v>
      </c>
      <c r="M109" s="642">
        <v>1.2906639980585595</v>
      </c>
      <c r="N109" s="642">
        <v>8.6788063603893928</v>
      </c>
      <c r="O109" s="642">
        <v>0.74318365128395913</v>
      </c>
      <c r="P109" s="642">
        <v>138.68432478978596</v>
      </c>
      <c r="Q109" s="642">
        <v>3.5758270456804375</v>
      </c>
      <c r="R109" s="642">
        <v>0</v>
      </c>
      <c r="S109" s="650">
        <v>225.24334564463288</v>
      </c>
      <c r="U109" s="648" t="s">
        <v>81</v>
      </c>
      <c r="V109" s="642">
        <v>0</v>
      </c>
      <c r="W109" s="642">
        <v>0</v>
      </c>
      <c r="X109" s="642">
        <v>1.8996820773870462</v>
      </c>
      <c r="Y109" s="642">
        <v>16.701006494583829</v>
      </c>
      <c r="Z109" s="642">
        <v>0</v>
      </c>
      <c r="AA109" s="642">
        <v>0</v>
      </c>
      <c r="AB109" s="642">
        <v>7.1959049572050198</v>
      </c>
      <c r="AC109" s="642">
        <v>2.5138060257677737E-2</v>
      </c>
      <c r="AD109" s="642">
        <v>0</v>
      </c>
      <c r="AE109" s="642">
        <v>7.1575742119644987</v>
      </c>
      <c r="AF109" s="642">
        <v>14.587904232604497</v>
      </c>
      <c r="AG109" s="642">
        <v>1.6018484399661996</v>
      </c>
      <c r="AH109" s="642">
        <v>116.46951239557291</v>
      </c>
      <c r="AI109" s="642">
        <v>11.755138029411436</v>
      </c>
      <c r="AJ109" s="642">
        <v>0</v>
      </c>
      <c r="AK109" s="650">
        <v>177.39370889895312</v>
      </c>
    </row>
    <row r="110" spans="3:37" ht="13.5">
      <c r="C110" s="648" t="s">
        <v>82</v>
      </c>
      <c r="D110" s="642">
        <v>0</v>
      </c>
      <c r="E110" s="642">
        <v>0</v>
      </c>
      <c r="F110" s="642">
        <v>29.471786733039881</v>
      </c>
      <c r="G110" s="642">
        <v>1.3166139535686423</v>
      </c>
      <c r="H110" s="642">
        <v>0</v>
      </c>
      <c r="I110" s="642">
        <v>0</v>
      </c>
      <c r="J110" s="642">
        <v>3.6844952632387193</v>
      </c>
      <c r="K110" s="642">
        <v>0</v>
      </c>
      <c r="L110" s="642">
        <v>3.0029030850571363</v>
      </c>
      <c r="M110" s="642">
        <v>2.6869672521809031E-2</v>
      </c>
      <c r="N110" s="642">
        <v>0</v>
      </c>
      <c r="O110" s="642">
        <v>7.2392521047915395E-2</v>
      </c>
      <c r="P110" s="642">
        <v>6.3643203530837074</v>
      </c>
      <c r="Q110" s="642">
        <v>0</v>
      </c>
      <c r="R110" s="642">
        <v>0</v>
      </c>
      <c r="S110" s="650">
        <v>43.939381581557811</v>
      </c>
      <c r="U110" s="648" t="s">
        <v>82</v>
      </c>
      <c r="V110" s="642">
        <v>0</v>
      </c>
      <c r="W110" s="642">
        <v>0</v>
      </c>
      <c r="X110" s="642">
        <v>10.199143313422546</v>
      </c>
      <c r="Y110" s="642">
        <v>1.1904851448286324</v>
      </c>
      <c r="Z110" s="642">
        <v>0</v>
      </c>
      <c r="AA110" s="642">
        <v>0</v>
      </c>
      <c r="AB110" s="642">
        <v>3.6844952632387193</v>
      </c>
      <c r="AC110" s="642">
        <v>0</v>
      </c>
      <c r="AD110" s="642">
        <v>26.674568203776872</v>
      </c>
      <c r="AE110" s="642">
        <v>0.51020791921227104</v>
      </c>
      <c r="AF110" s="642">
        <v>0</v>
      </c>
      <c r="AG110" s="642">
        <v>1.300620381405156</v>
      </c>
      <c r="AH110" s="642">
        <v>6.4632626546266092</v>
      </c>
      <c r="AI110" s="642">
        <v>0</v>
      </c>
      <c r="AJ110" s="642">
        <v>0.325155095351289</v>
      </c>
      <c r="AK110" s="650">
        <v>50.347937975862088</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0.31499999999999995</v>
      </c>
      <c r="Q111" s="642">
        <v>0</v>
      </c>
      <c r="R111" s="642">
        <v>0</v>
      </c>
      <c r="S111" s="650">
        <v>0.31499999999999995</v>
      </c>
      <c r="U111" s="648" t="s">
        <v>357</v>
      </c>
      <c r="V111" s="642">
        <v>0</v>
      </c>
      <c r="W111" s="642">
        <v>0</v>
      </c>
      <c r="X111" s="642">
        <v>0</v>
      </c>
      <c r="Y111" s="642">
        <v>0</v>
      </c>
      <c r="Z111" s="642">
        <v>0</v>
      </c>
      <c r="AA111" s="642">
        <v>0</v>
      </c>
      <c r="AB111" s="642">
        <v>0</v>
      </c>
      <c r="AC111" s="642">
        <v>0</v>
      </c>
      <c r="AD111" s="642">
        <v>0</v>
      </c>
      <c r="AE111" s="642">
        <v>0</v>
      </c>
      <c r="AF111" s="642">
        <v>0</v>
      </c>
      <c r="AG111" s="642">
        <v>0</v>
      </c>
      <c r="AH111" s="642">
        <v>2.4</v>
      </c>
      <c r="AI111" s="642">
        <v>0</v>
      </c>
      <c r="AJ111" s="642">
        <v>0</v>
      </c>
      <c r="AK111" s="650">
        <v>2.4</v>
      </c>
    </row>
    <row r="112" spans="3:37" ht="13.5">
      <c r="C112" s="646" t="s">
        <v>83</v>
      </c>
      <c r="D112" s="647">
        <v>5.4657298257742912</v>
      </c>
      <c r="E112" s="647">
        <v>0</v>
      </c>
      <c r="F112" s="647">
        <v>324.00270757365394</v>
      </c>
      <c r="G112" s="647">
        <v>275.2032812283208</v>
      </c>
      <c r="H112" s="647">
        <v>0</v>
      </c>
      <c r="I112" s="647">
        <v>0</v>
      </c>
      <c r="J112" s="647">
        <v>114.6393068570419</v>
      </c>
      <c r="K112" s="647">
        <v>1.7860154914285227</v>
      </c>
      <c r="L112" s="647">
        <v>28.042343403554419</v>
      </c>
      <c r="M112" s="647">
        <v>5.6349675449245389</v>
      </c>
      <c r="N112" s="647">
        <v>62.897832024028709</v>
      </c>
      <c r="O112" s="647">
        <v>2.8391181780509842</v>
      </c>
      <c r="P112" s="647">
        <v>506.18747931527582</v>
      </c>
      <c r="Q112" s="647">
        <v>35.164036653103793</v>
      </c>
      <c r="R112" s="647">
        <v>2.2805072331853329</v>
      </c>
      <c r="S112" s="647">
        <v>1364.1433253283431</v>
      </c>
      <c r="U112" s="646" t="s">
        <v>83</v>
      </c>
      <c r="V112" s="647">
        <v>1.0762581410403587</v>
      </c>
      <c r="W112" s="647">
        <v>0</v>
      </c>
      <c r="X112" s="647">
        <v>80.988832348911515</v>
      </c>
      <c r="Y112" s="647">
        <v>104.41565000739821</v>
      </c>
      <c r="Z112" s="647">
        <v>0</v>
      </c>
      <c r="AA112" s="647">
        <v>0</v>
      </c>
      <c r="AB112" s="647">
        <v>84.343834393150701</v>
      </c>
      <c r="AC112" s="647">
        <v>5.3117325596805349</v>
      </c>
      <c r="AD112" s="647">
        <v>82.383135240415754</v>
      </c>
      <c r="AE112" s="647">
        <v>44.768138339353968</v>
      </c>
      <c r="AF112" s="647">
        <v>92.901000398225491</v>
      </c>
      <c r="AG112" s="647">
        <v>6.3602365363905022</v>
      </c>
      <c r="AH112" s="647">
        <v>499.61642415532054</v>
      </c>
      <c r="AI112" s="647">
        <v>69.488948539693865</v>
      </c>
      <c r="AJ112" s="647">
        <v>11.793499321701848</v>
      </c>
      <c r="AK112" s="647">
        <v>1083.4476899812832</v>
      </c>
    </row>
    <row r="113" spans="3:37" ht="13.5">
      <c r="C113" s="641" t="s">
        <v>84</v>
      </c>
      <c r="D113" s="642">
        <v>0</v>
      </c>
      <c r="E113" s="642">
        <v>0</v>
      </c>
      <c r="F113" s="642">
        <v>109.69308299672531</v>
      </c>
      <c r="G113" s="642">
        <v>11.766175832538266</v>
      </c>
      <c r="H113" s="642">
        <v>0</v>
      </c>
      <c r="I113" s="642">
        <v>0</v>
      </c>
      <c r="J113" s="642">
        <v>0</v>
      </c>
      <c r="K113" s="642">
        <v>0</v>
      </c>
      <c r="L113" s="642">
        <v>0</v>
      </c>
      <c r="M113" s="642">
        <v>0</v>
      </c>
      <c r="N113" s="642">
        <v>0</v>
      </c>
      <c r="O113" s="642">
        <v>0</v>
      </c>
      <c r="P113" s="642">
        <v>0</v>
      </c>
      <c r="Q113" s="642">
        <v>0</v>
      </c>
      <c r="R113" s="642">
        <v>1.8135973700674786</v>
      </c>
      <c r="S113" s="650">
        <v>123.27285619933106</v>
      </c>
      <c r="U113" s="641" t="s">
        <v>84</v>
      </c>
      <c r="V113" s="642">
        <v>0</v>
      </c>
      <c r="W113" s="642">
        <v>0</v>
      </c>
      <c r="X113" s="642">
        <v>84.298528713313246</v>
      </c>
      <c r="Y113" s="642">
        <v>1.1302347010557652</v>
      </c>
      <c r="Z113" s="642">
        <v>0</v>
      </c>
      <c r="AA113" s="642">
        <v>0</v>
      </c>
      <c r="AB113" s="642">
        <v>0</v>
      </c>
      <c r="AC113" s="642">
        <v>0</v>
      </c>
      <c r="AD113" s="642">
        <v>17.754065118408207</v>
      </c>
      <c r="AE113" s="642">
        <v>0</v>
      </c>
      <c r="AF113" s="642">
        <v>0</v>
      </c>
      <c r="AG113" s="642">
        <v>0</v>
      </c>
      <c r="AH113" s="642">
        <v>0</v>
      </c>
      <c r="AI113" s="642">
        <v>0</v>
      </c>
      <c r="AJ113" s="642">
        <v>11.930622290039064</v>
      </c>
      <c r="AK113" s="650">
        <v>115.11345082281629</v>
      </c>
    </row>
    <row r="114" spans="3:37" ht="13.5">
      <c r="C114" s="646" t="s">
        <v>85</v>
      </c>
      <c r="D114" s="647">
        <v>5.4657298257742912</v>
      </c>
      <c r="E114" s="647">
        <v>0</v>
      </c>
      <c r="F114" s="647">
        <v>433.69579057037924</v>
      </c>
      <c r="G114" s="647">
        <v>286.9694570608591</v>
      </c>
      <c r="H114" s="647">
        <v>0</v>
      </c>
      <c r="I114" s="647">
        <v>0</v>
      </c>
      <c r="J114" s="647">
        <v>114.6393068570419</v>
      </c>
      <c r="K114" s="647">
        <v>1.7860154914285227</v>
      </c>
      <c r="L114" s="647">
        <v>28.042343403554419</v>
      </c>
      <c r="M114" s="647">
        <v>5.6349675449245389</v>
      </c>
      <c r="N114" s="647">
        <v>62.897832024028709</v>
      </c>
      <c r="O114" s="647">
        <v>2.8391181780509842</v>
      </c>
      <c r="P114" s="647">
        <v>506.18747931527582</v>
      </c>
      <c r="Q114" s="647">
        <v>35.164036653103793</v>
      </c>
      <c r="R114" s="647">
        <v>4.094104603252811</v>
      </c>
      <c r="S114" s="647">
        <v>1487.4161815276743</v>
      </c>
      <c r="U114" s="646" t="s">
        <v>85</v>
      </c>
      <c r="V114" s="647">
        <v>1.0762581410403587</v>
      </c>
      <c r="W114" s="647">
        <v>0</v>
      </c>
      <c r="X114" s="647">
        <v>165.28736106222476</v>
      </c>
      <c r="Y114" s="647">
        <v>105.54588470845398</v>
      </c>
      <c r="Z114" s="647">
        <v>0</v>
      </c>
      <c r="AA114" s="647">
        <v>0</v>
      </c>
      <c r="AB114" s="647">
        <v>84.343834393150701</v>
      </c>
      <c r="AC114" s="647">
        <v>5.3117325596805349</v>
      </c>
      <c r="AD114" s="647">
        <v>100.13720035882396</v>
      </c>
      <c r="AE114" s="647">
        <v>44.768138339353968</v>
      </c>
      <c r="AF114" s="647">
        <v>92.901000398225491</v>
      </c>
      <c r="AG114" s="647">
        <v>6.3602365363905022</v>
      </c>
      <c r="AH114" s="647">
        <v>499.61642415532054</v>
      </c>
      <c r="AI114" s="647">
        <v>69.488948539693865</v>
      </c>
      <c r="AJ114" s="647">
        <v>23.724121611740912</v>
      </c>
      <c r="AK114" s="647">
        <v>1198.5611408040995</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523</v>
      </c>
      <c r="D116" s="699"/>
      <c r="E116" s="699"/>
      <c r="F116" s="699"/>
      <c r="G116" s="699"/>
      <c r="H116" s="699"/>
      <c r="I116" s="699"/>
      <c r="J116" s="699"/>
      <c r="K116" s="699"/>
      <c r="L116" s="699"/>
      <c r="M116" s="699"/>
      <c r="N116" s="699"/>
      <c r="O116" s="699"/>
      <c r="P116" s="699"/>
      <c r="Q116" s="699"/>
      <c r="R116" s="699"/>
      <c r="S116" s="699"/>
      <c r="U116" s="699" t="s">
        <v>523</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0</v>
      </c>
      <c r="F120" s="643">
        <v>0</v>
      </c>
      <c r="G120" s="642">
        <v>0</v>
      </c>
      <c r="H120" s="643">
        <v>889.54545454545473</v>
      </c>
      <c r="I120" s="643">
        <v>290.38619522472999</v>
      </c>
      <c r="J120" s="643">
        <v>188.26463769943669</v>
      </c>
      <c r="K120" s="643">
        <v>20.519346122490408</v>
      </c>
      <c r="L120" s="643">
        <v>0.54648995449606019</v>
      </c>
      <c r="M120" s="643">
        <v>0.15914693380563083</v>
      </c>
      <c r="N120" s="643">
        <v>65.898689554178929</v>
      </c>
      <c r="O120" s="643">
        <v>11.930124482632028</v>
      </c>
      <c r="P120" s="644">
        <v>0</v>
      </c>
      <c r="Q120" s="643">
        <v>0</v>
      </c>
      <c r="R120" s="643">
        <v>0</v>
      </c>
      <c r="S120" s="645">
        <v>1467.2500845172242</v>
      </c>
      <c r="U120" s="641" t="s">
        <v>59</v>
      </c>
      <c r="V120" s="642">
        <v>0</v>
      </c>
      <c r="W120" s="643">
        <v>0</v>
      </c>
      <c r="X120" s="643">
        <v>0</v>
      </c>
      <c r="Y120" s="642">
        <v>0</v>
      </c>
      <c r="Z120" s="643">
        <v>873.030303030303</v>
      </c>
      <c r="AA120" s="643">
        <v>337.06619522473</v>
      </c>
      <c r="AB120" s="643">
        <v>206.15489309499102</v>
      </c>
      <c r="AC120" s="643">
        <v>37.137182251794961</v>
      </c>
      <c r="AD120" s="643">
        <v>0.54648995449606019</v>
      </c>
      <c r="AE120" s="643">
        <v>0.15914693380563083</v>
      </c>
      <c r="AF120" s="643">
        <v>103.02458403584798</v>
      </c>
      <c r="AG120" s="643">
        <v>25.833176078824131</v>
      </c>
      <c r="AH120" s="644">
        <v>0</v>
      </c>
      <c r="AI120" s="643">
        <v>0</v>
      </c>
      <c r="AJ120" s="643">
        <v>0</v>
      </c>
      <c r="AK120" s="645">
        <v>1582.9519706047927</v>
      </c>
    </row>
    <row r="121" spans="3:37" ht="13.5">
      <c r="C121" s="641" t="s">
        <v>60</v>
      </c>
      <c r="D121" s="642">
        <v>47.523331421865407</v>
      </c>
      <c r="E121" s="643">
        <v>492.37419513671523</v>
      </c>
      <c r="F121" s="643">
        <v>57.352326080251387</v>
      </c>
      <c r="G121" s="642">
        <v>328.8885225556333</v>
      </c>
      <c r="H121" s="643">
        <v>0</v>
      </c>
      <c r="I121" s="643">
        <v>0</v>
      </c>
      <c r="J121" s="643">
        <v>4.8075322078390377</v>
      </c>
      <c r="K121" s="643">
        <v>0</v>
      </c>
      <c r="L121" s="643">
        <v>2.6229179175778925</v>
      </c>
      <c r="M121" s="643">
        <v>0</v>
      </c>
      <c r="N121" s="643">
        <v>0</v>
      </c>
      <c r="O121" s="643">
        <v>0</v>
      </c>
      <c r="P121" s="644">
        <v>0</v>
      </c>
      <c r="Q121" s="643">
        <v>0</v>
      </c>
      <c r="R121" s="643">
        <v>0</v>
      </c>
      <c r="S121" s="645">
        <v>933.56882531988219</v>
      </c>
      <c r="U121" s="641" t="s">
        <v>60</v>
      </c>
      <c r="V121" s="642">
        <v>6.5260336126681251</v>
      </c>
      <c r="W121" s="643">
        <v>220.47790015098695</v>
      </c>
      <c r="X121" s="643">
        <v>14.513856185365357</v>
      </c>
      <c r="Y121" s="642">
        <v>102.1346675179243</v>
      </c>
      <c r="Z121" s="643">
        <v>0</v>
      </c>
      <c r="AA121" s="643">
        <v>0</v>
      </c>
      <c r="AB121" s="643">
        <v>4.8075322078390377</v>
      </c>
      <c r="AC121" s="643">
        <v>0</v>
      </c>
      <c r="AD121" s="643">
        <v>2.6229179175778925</v>
      </c>
      <c r="AE121" s="643">
        <v>0</v>
      </c>
      <c r="AF121" s="643">
        <v>0</v>
      </c>
      <c r="AG121" s="643">
        <v>0</v>
      </c>
      <c r="AH121" s="644">
        <v>0</v>
      </c>
      <c r="AI121" s="643">
        <v>0</v>
      </c>
      <c r="AJ121" s="643">
        <v>0</v>
      </c>
      <c r="AK121" s="645">
        <v>351.08290759236166</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-22.391147784534837</v>
      </c>
      <c r="Q122" s="643">
        <v>0</v>
      </c>
      <c r="R122" s="643">
        <v>0</v>
      </c>
      <c r="S122" s="645">
        <v>-22.391147784534837</v>
      </c>
      <c r="U122" s="641" t="s">
        <v>61</v>
      </c>
      <c r="V122" s="642">
        <v>0</v>
      </c>
      <c r="W122" s="643">
        <v>0</v>
      </c>
      <c r="X122" s="643">
        <v>-19.691193817618341</v>
      </c>
      <c r="Y122" s="642">
        <v>0</v>
      </c>
      <c r="Z122" s="643">
        <v>0</v>
      </c>
      <c r="AA122" s="643">
        <v>0</v>
      </c>
      <c r="AB122" s="643">
        <v>0</v>
      </c>
      <c r="AC122" s="643">
        <v>0</v>
      </c>
      <c r="AD122" s="643">
        <v>0</v>
      </c>
      <c r="AE122" s="643">
        <v>0</v>
      </c>
      <c r="AF122" s="643">
        <v>0</v>
      </c>
      <c r="AG122" s="643">
        <v>0</v>
      </c>
      <c r="AH122" s="644">
        <v>-17.389600315785174</v>
      </c>
      <c r="AI122" s="643">
        <v>0</v>
      </c>
      <c r="AJ122" s="643">
        <v>0</v>
      </c>
      <c r="AK122" s="645">
        <v>-37.080794133403515</v>
      </c>
    </row>
    <row r="123" spans="3:37" ht="13.5">
      <c r="C123" s="641" t="s">
        <v>62</v>
      </c>
      <c r="D123" s="642">
        <v>0</v>
      </c>
      <c r="E123" s="643">
        <v>0</v>
      </c>
      <c r="F123" s="643">
        <v>-15.496739011683466</v>
      </c>
      <c r="G123" s="642">
        <v>0</v>
      </c>
      <c r="H123" s="643">
        <v>0</v>
      </c>
      <c r="I123" s="643">
        <v>0</v>
      </c>
      <c r="J123" s="643">
        <v>0</v>
      </c>
      <c r="K123" s="643">
        <v>0</v>
      </c>
      <c r="L123" s="643">
        <v>0</v>
      </c>
      <c r="M123" s="643">
        <v>0</v>
      </c>
      <c r="N123" s="643">
        <v>0</v>
      </c>
      <c r="O123" s="643">
        <v>0</v>
      </c>
      <c r="P123" s="644">
        <v>0</v>
      </c>
      <c r="Q123" s="643">
        <v>0</v>
      </c>
      <c r="R123" s="643">
        <v>0</v>
      </c>
      <c r="S123" s="645">
        <v>-15.496739011683466</v>
      </c>
      <c r="U123" s="641" t="s">
        <v>62</v>
      </c>
      <c r="V123" s="642">
        <v>0</v>
      </c>
      <c r="W123" s="643">
        <v>0</v>
      </c>
      <c r="X123" s="643">
        <v>-8.5387827474702789</v>
      </c>
      <c r="Y123" s="642">
        <v>-2.2272473327152178</v>
      </c>
      <c r="Z123" s="643">
        <v>0</v>
      </c>
      <c r="AA123" s="643">
        <v>0</v>
      </c>
      <c r="AB123" s="643">
        <v>0</v>
      </c>
      <c r="AC123" s="643">
        <v>0</v>
      </c>
      <c r="AD123" s="643">
        <v>0</v>
      </c>
      <c r="AE123" s="643">
        <v>-1.7037211969591732</v>
      </c>
      <c r="AF123" s="643">
        <v>0</v>
      </c>
      <c r="AG123" s="643">
        <v>0</v>
      </c>
      <c r="AH123" s="644">
        <v>0</v>
      </c>
      <c r="AI123" s="643">
        <v>0</v>
      </c>
      <c r="AJ123" s="643">
        <v>0</v>
      </c>
      <c r="AK123" s="645">
        <v>-12.46975127714467</v>
      </c>
    </row>
    <row r="124" spans="3:37" ht="13.5">
      <c r="C124" s="641" t="s">
        <v>63</v>
      </c>
      <c r="D124" s="642">
        <v>0</v>
      </c>
      <c r="E124" s="643">
        <v>0</v>
      </c>
      <c r="F124" s="643">
        <v>-89.42656352071144</v>
      </c>
      <c r="G124" s="642">
        <v>0</v>
      </c>
      <c r="H124" s="643">
        <v>0</v>
      </c>
      <c r="I124" s="643">
        <v>0</v>
      </c>
      <c r="J124" s="643">
        <v>0</v>
      </c>
      <c r="K124" s="643">
        <v>0</v>
      </c>
      <c r="L124" s="643">
        <v>-0.92190198395554845</v>
      </c>
      <c r="M124" s="643">
        <v>0</v>
      </c>
      <c r="N124" s="643">
        <v>0</v>
      </c>
      <c r="O124" s="643">
        <v>0</v>
      </c>
      <c r="P124" s="644">
        <v>0</v>
      </c>
      <c r="Q124" s="643">
        <v>0</v>
      </c>
      <c r="R124" s="643">
        <v>0</v>
      </c>
      <c r="S124" s="645">
        <v>-90.34846550466699</v>
      </c>
      <c r="U124" s="641" t="s">
        <v>63</v>
      </c>
      <c r="V124" s="642">
        <v>0</v>
      </c>
      <c r="W124" s="643">
        <v>0</v>
      </c>
      <c r="X124" s="643">
        <v>-55.486888716289528</v>
      </c>
      <c r="Y124" s="642">
        <v>0</v>
      </c>
      <c r="Z124" s="643">
        <v>0</v>
      </c>
      <c r="AA124" s="643">
        <v>0</v>
      </c>
      <c r="AB124" s="643">
        <v>0</v>
      </c>
      <c r="AC124" s="643">
        <v>0</v>
      </c>
      <c r="AD124" s="643">
        <v>-26.575233608452013</v>
      </c>
      <c r="AE124" s="643">
        <v>0</v>
      </c>
      <c r="AF124" s="643">
        <v>0</v>
      </c>
      <c r="AG124" s="643">
        <v>0</v>
      </c>
      <c r="AH124" s="644">
        <v>0</v>
      </c>
      <c r="AI124" s="643">
        <v>0</v>
      </c>
      <c r="AJ124" s="643">
        <v>0</v>
      </c>
      <c r="AK124" s="645">
        <v>-82.062122324741537</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47.523331421865407</v>
      </c>
      <c r="E126" s="647">
        <v>492.37419513671523</v>
      </c>
      <c r="F126" s="647">
        <v>-47.570976452143519</v>
      </c>
      <c r="G126" s="647">
        <v>328.8885225556333</v>
      </c>
      <c r="H126" s="647">
        <v>889.54545454545473</v>
      </c>
      <c r="I126" s="647">
        <v>290.38619522472999</v>
      </c>
      <c r="J126" s="647">
        <v>193.07216990727574</v>
      </c>
      <c r="K126" s="647">
        <v>20.519346122490408</v>
      </c>
      <c r="L126" s="647">
        <v>2.247505888118404</v>
      </c>
      <c r="M126" s="647">
        <v>0.15914693380563083</v>
      </c>
      <c r="N126" s="647">
        <v>65.898689554178929</v>
      </c>
      <c r="O126" s="647">
        <v>11.930124482632028</v>
      </c>
      <c r="P126" s="647">
        <v>-22.391147784534837</v>
      </c>
      <c r="Q126" s="647">
        <v>0</v>
      </c>
      <c r="R126" s="647">
        <v>0</v>
      </c>
      <c r="S126" s="647">
        <v>2272.5825575362214</v>
      </c>
      <c r="U126" s="646" t="s">
        <v>65</v>
      </c>
      <c r="V126" s="647">
        <v>6.5260336126681251</v>
      </c>
      <c r="W126" s="647">
        <v>220.47790015098695</v>
      </c>
      <c r="X126" s="647">
        <v>-69.203009096012792</v>
      </c>
      <c r="Y126" s="647">
        <v>99.907420185209077</v>
      </c>
      <c r="Z126" s="647">
        <v>873.030303030303</v>
      </c>
      <c r="AA126" s="647">
        <v>337.06619522473</v>
      </c>
      <c r="AB126" s="647">
        <v>210.96242530283007</v>
      </c>
      <c r="AC126" s="647">
        <v>37.137182251794961</v>
      </c>
      <c r="AD126" s="647">
        <v>-23.405825736378059</v>
      </c>
      <c r="AE126" s="647">
        <v>-1.5445742631535424</v>
      </c>
      <c r="AF126" s="647">
        <v>103.02458403584798</v>
      </c>
      <c r="AG126" s="647">
        <v>25.833176078824131</v>
      </c>
      <c r="AH126" s="647">
        <v>-17.389600315785174</v>
      </c>
      <c r="AI126" s="647">
        <v>0</v>
      </c>
      <c r="AJ126" s="647">
        <v>0</v>
      </c>
      <c r="AK126" s="647">
        <v>1802.4222104618648</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7.7625293209280457</v>
      </c>
      <c r="G129" s="642">
        <v>16.824034334763951</v>
      </c>
      <c r="H129" s="642">
        <v>889.54545454545473</v>
      </c>
      <c r="I129" s="642">
        <v>290.38619522472999</v>
      </c>
      <c r="J129" s="651">
        <v>29.234857813431841</v>
      </c>
      <c r="K129" s="651">
        <v>6.7467623730381456</v>
      </c>
      <c r="L129" s="651">
        <v>3.1694078720739522</v>
      </c>
      <c r="M129" s="651">
        <v>0.46915285357606595</v>
      </c>
      <c r="N129" s="651">
        <v>0</v>
      </c>
      <c r="O129" s="651">
        <v>6.9727309871777221</v>
      </c>
      <c r="P129" s="642">
        <v>-615.41357369902562</v>
      </c>
      <c r="Q129" s="642">
        <v>0</v>
      </c>
      <c r="R129" s="642">
        <v>0</v>
      </c>
      <c r="S129" s="650">
        <v>638.52433726717402</v>
      </c>
      <c r="U129" s="648" t="s">
        <v>350</v>
      </c>
      <c r="V129" s="642">
        <v>0.62631490545869017</v>
      </c>
      <c r="W129" s="642">
        <v>0</v>
      </c>
      <c r="X129" s="642">
        <v>3.8988929572916824</v>
      </c>
      <c r="Y129" s="642">
        <v>3.6741630901287547</v>
      </c>
      <c r="Z129" s="642">
        <v>873.030303030303</v>
      </c>
      <c r="AA129" s="642">
        <v>337.06619522473</v>
      </c>
      <c r="AB129" s="651">
        <v>23.429523439383615</v>
      </c>
      <c r="AC129" s="651">
        <v>5.4991881500691626</v>
      </c>
      <c r="AD129" s="651">
        <v>3.1694078720739522</v>
      </c>
      <c r="AE129" s="651">
        <v>2.7864060724601858</v>
      </c>
      <c r="AF129" s="651">
        <v>0</v>
      </c>
      <c r="AG129" s="651">
        <v>6.9727309871777221</v>
      </c>
      <c r="AH129" s="642">
        <v>-649.11357369902544</v>
      </c>
      <c r="AI129" s="642">
        <v>0</v>
      </c>
      <c r="AJ129" s="642">
        <v>4.45</v>
      </c>
      <c r="AK129" s="650">
        <v>615.48955203005141</v>
      </c>
    </row>
    <row r="130" spans="3:37" ht="13.5">
      <c r="C130" s="648" t="s">
        <v>351</v>
      </c>
      <c r="D130" s="642">
        <v>0</v>
      </c>
      <c r="E130" s="642">
        <v>0</v>
      </c>
      <c r="F130" s="642">
        <v>0</v>
      </c>
      <c r="G130" s="642">
        <v>14.896462034387394</v>
      </c>
      <c r="H130" s="642">
        <v>0</v>
      </c>
      <c r="I130" s="642">
        <v>0</v>
      </c>
      <c r="J130" s="651">
        <v>12.461036592610267</v>
      </c>
      <c r="K130" s="651">
        <v>11.927183871567582</v>
      </c>
      <c r="L130" s="651">
        <v>0</v>
      </c>
      <c r="M130" s="651">
        <v>0.3188738120209938</v>
      </c>
      <c r="N130" s="651">
        <v>0</v>
      </c>
      <c r="O130" s="651">
        <v>2.1085025260592274</v>
      </c>
      <c r="P130" s="642">
        <v>0</v>
      </c>
      <c r="Q130" s="642">
        <v>-37.934258390495422</v>
      </c>
      <c r="R130" s="642">
        <v>0</v>
      </c>
      <c r="S130" s="650">
        <v>3.7778004461500441</v>
      </c>
      <c r="U130" s="648" t="s">
        <v>351</v>
      </c>
      <c r="V130" s="642">
        <v>0</v>
      </c>
      <c r="W130" s="642">
        <v>0</v>
      </c>
      <c r="X130" s="642">
        <v>0</v>
      </c>
      <c r="Y130" s="642">
        <v>8.218662070491261</v>
      </c>
      <c r="Z130" s="642">
        <v>0</v>
      </c>
      <c r="AA130" s="642">
        <v>0</v>
      </c>
      <c r="AB130" s="651">
        <v>28.560818034272483</v>
      </c>
      <c r="AC130" s="651">
        <v>26.163217208510932</v>
      </c>
      <c r="AD130" s="651">
        <v>0</v>
      </c>
      <c r="AE130" s="651">
        <v>5.9663093303449024</v>
      </c>
      <c r="AF130" s="651">
        <v>0</v>
      </c>
      <c r="AG130" s="651">
        <v>11.832895483778962</v>
      </c>
      <c r="AH130" s="642">
        <v>0</v>
      </c>
      <c r="AI130" s="642">
        <v>-74.578675527513624</v>
      </c>
      <c r="AJ130" s="642">
        <v>0</v>
      </c>
      <c r="AK130" s="650">
        <v>6.1632265998849274</v>
      </c>
    </row>
    <row r="131" spans="3:37" ht="13.5">
      <c r="C131" s="648" t="s">
        <v>352</v>
      </c>
      <c r="D131" s="642">
        <v>0</v>
      </c>
      <c r="E131" s="642">
        <v>0</v>
      </c>
      <c r="F131" s="642">
        <v>0</v>
      </c>
      <c r="G131" s="642">
        <v>0</v>
      </c>
      <c r="H131" s="642">
        <v>0</v>
      </c>
      <c r="I131" s="642">
        <v>0</v>
      </c>
      <c r="J131" s="652">
        <v>6.9979956174374891</v>
      </c>
      <c r="K131" s="652">
        <v>0</v>
      </c>
      <c r="L131" s="652">
        <v>0</v>
      </c>
      <c r="M131" s="652">
        <v>-6.4748954450340372</v>
      </c>
      <c r="N131" s="652">
        <v>0</v>
      </c>
      <c r="O131" s="652">
        <v>0</v>
      </c>
      <c r="P131" s="642">
        <v>0</v>
      </c>
      <c r="Q131" s="642">
        <v>0</v>
      </c>
      <c r="R131" s="642">
        <v>0</v>
      </c>
      <c r="S131" s="650">
        <v>0.52310017240345186</v>
      </c>
      <c r="U131" s="648" t="s">
        <v>352</v>
      </c>
      <c r="V131" s="642">
        <v>0</v>
      </c>
      <c r="W131" s="642">
        <v>0</v>
      </c>
      <c r="X131" s="642">
        <v>0</v>
      </c>
      <c r="Y131" s="642">
        <v>0</v>
      </c>
      <c r="Z131" s="642">
        <v>0</v>
      </c>
      <c r="AA131" s="642">
        <v>0</v>
      </c>
      <c r="AB131" s="652">
        <v>79.198989478899776</v>
      </c>
      <c r="AC131" s="652">
        <v>0</v>
      </c>
      <c r="AD131" s="652">
        <v>0</v>
      </c>
      <c r="AE131" s="652">
        <v>-73.278865015352025</v>
      </c>
      <c r="AF131" s="652">
        <v>0</v>
      </c>
      <c r="AG131" s="652">
        <v>0</v>
      </c>
      <c r="AH131" s="642">
        <v>0</v>
      </c>
      <c r="AI131" s="642">
        <v>0</v>
      </c>
      <c r="AJ131" s="642">
        <v>0</v>
      </c>
      <c r="AK131" s="650">
        <v>5.9201244635477508</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510.04733530503466</v>
      </c>
      <c r="F133" s="642">
        <v>-504.94686195198432</v>
      </c>
      <c r="G133" s="642">
        <v>0</v>
      </c>
      <c r="H133" s="642">
        <v>0</v>
      </c>
      <c r="I133" s="642">
        <v>0</v>
      </c>
      <c r="J133" s="642">
        <v>0</v>
      </c>
      <c r="K133" s="642">
        <v>0</v>
      </c>
      <c r="L133" s="642">
        <v>0</v>
      </c>
      <c r="M133" s="642">
        <v>0</v>
      </c>
      <c r="N133" s="642">
        <v>0</v>
      </c>
      <c r="O133" s="642">
        <v>0</v>
      </c>
      <c r="P133" s="642">
        <v>0</v>
      </c>
      <c r="Q133" s="642">
        <v>0</v>
      </c>
      <c r="R133" s="642">
        <v>0</v>
      </c>
      <c r="S133" s="650">
        <v>5.1004733530503472</v>
      </c>
      <c r="U133" s="648" t="s">
        <v>72</v>
      </c>
      <c r="V133" s="642">
        <v>0</v>
      </c>
      <c r="W133" s="642">
        <v>228.3916715709193</v>
      </c>
      <c r="X133" s="642">
        <v>-226.10775485521012</v>
      </c>
      <c r="Y133" s="642">
        <v>0</v>
      </c>
      <c r="Z133" s="642">
        <v>0</v>
      </c>
      <c r="AA133" s="642">
        <v>0</v>
      </c>
      <c r="AB133" s="642">
        <v>0</v>
      </c>
      <c r="AC133" s="642">
        <v>0</v>
      </c>
      <c r="AD133" s="642">
        <v>0</v>
      </c>
      <c r="AE133" s="642">
        <v>0</v>
      </c>
      <c r="AF133" s="642">
        <v>0</v>
      </c>
      <c r="AG133" s="642">
        <v>0</v>
      </c>
      <c r="AH133" s="642">
        <v>0</v>
      </c>
      <c r="AI133" s="642">
        <v>0</v>
      </c>
      <c r="AJ133" s="642">
        <v>0</v>
      </c>
      <c r="AK133" s="650">
        <v>2.2839167157091822</v>
      </c>
    </row>
    <row r="134" spans="3:37" ht="13.5">
      <c r="C134" s="648" t="s">
        <v>354</v>
      </c>
      <c r="D134" s="642">
        <v>0</v>
      </c>
      <c r="E134" s="642">
        <v>0</v>
      </c>
      <c r="F134" s="642">
        <v>0</v>
      </c>
      <c r="G134" s="642">
        <v>0</v>
      </c>
      <c r="H134" s="642">
        <v>0</v>
      </c>
      <c r="I134" s="642">
        <v>0</v>
      </c>
      <c r="J134" s="642">
        <v>27.710201800923624</v>
      </c>
      <c r="K134" s="642">
        <v>0</v>
      </c>
      <c r="L134" s="642">
        <v>-27.710201800923624</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-101.17003146857277</v>
      </c>
      <c r="AE134" s="642">
        <v>0</v>
      </c>
      <c r="AF134" s="642">
        <v>0</v>
      </c>
      <c r="AG134" s="642">
        <v>0</v>
      </c>
      <c r="AH134" s="642">
        <v>0</v>
      </c>
      <c r="AI134" s="642">
        <v>0</v>
      </c>
      <c r="AJ134" s="642">
        <v>0</v>
      </c>
      <c r="AK134" s="650">
        <v>-101.17003146857277</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-18.691082885283098</v>
      </c>
      <c r="AE135" s="642">
        <v>0</v>
      </c>
      <c r="AF135" s="642">
        <v>0</v>
      </c>
      <c r="AG135" s="642">
        <v>0</v>
      </c>
      <c r="AH135" s="642">
        <v>0</v>
      </c>
      <c r="AI135" s="642">
        <v>0</v>
      </c>
      <c r="AJ135" s="642">
        <v>0</v>
      </c>
      <c r="AK135" s="650">
        <v>-18.691082885283098</v>
      </c>
    </row>
    <row r="136" spans="3:37" ht="13.5">
      <c r="C136" s="648" t="s">
        <v>73</v>
      </c>
      <c r="D136" s="642">
        <v>0</v>
      </c>
      <c r="E136" s="642">
        <v>0</v>
      </c>
      <c r="F136" s="642">
        <v>0</v>
      </c>
      <c r="G136" s="642">
        <v>6.2864428714474423</v>
      </c>
      <c r="H136" s="642">
        <v>0</v>
      </c>
      <c r="I136" s="642">
        <v>0</v>
      </c>
      <c r="J136" s="642">
        <v>0</v>
      </c>
      <c r="K136" s="642">
        <v>7.2564905248031233E-2</v>
      </c>
      <c r="L136" s="642">
        <v>0</v>
      </c>
      <c r="M136" s="642">
        <v>0.12829475247851924</v>
      </c>
      <c r="N136" s="642">
        <v>0</v>
      </c>
      <c r="O136" s="642">
        <v>0</v>
      </c>
      <c r="P136" s="642">
        <v>0.77416476914506349</v>
      </c>
      <c r="Q136" s="642">
        <v>0</v>
      </c>
      <c r="R136" s="642">
        <v>-5.0795433673621861</v>
      </c>
      <c r="S136" s="650">
        <v>2.1819239309568701</v>
      </c>
      <c r="U136" s="648" t="s">
        <v>73</v>
      </c>
      <c r="V136" s="642">
        <v>0</v>
      </c>
      <c r="W136" s="642">
        <v>0</v>
      </c>
      <c r="X136" s="642">
        <v>0</v>
      </c>
      <c r="Y136" s="642">
        <v>3.7837340239051791</v>
      </c>
      <c r="Z136" s="642">
        <v>0</v>
      </c>
      <c r="AA136" s="642">
        <v>0</v>
      </c>
      <c r="AB136" s="642">
        <v>0</v>
      </c>
      <c r="AC136" s="642">
        <v>0.46597709654004676</v>
      </c>
      <c r="AD136" s="642">
        <v>0</v>
      </c>
      <c r="AE136" s="642">
        <v>2.7399453276554748</v>
      </c>
      <c r="AF136" s="642">
        <v>0</v>
      </c>
      <c r="AG136" s="642">
        <v>0</v>
      </c>
      <c r="AH136" s="642">
        <v>39.864323859285086</v>
      </c>
      <c r="AI136" s="642">
        <v>0</v>
      </c>
      <c r="AJ136" s="642">
        <v>-32.618396757803268</v>
      </c>
      <c r="AK136" s="650">
        <v>14.235583549582522</v>
      </c>
    </row>
    <row r="137" spans="3:37" ht="13.5">
      <c r="C137" s="648" t="s">
        <v>356</v>
      </c>
      <c r="D137" s="642">
        <v>28.588592812499996</v>
      </c>
      <c r="E137" s="642">
        <v>-17.673140168319453</v>
      </c>
      <c r="F137" s="642">
        <v>23.11542347254851</v>
      </c>
      <c r="G137" s="642">
        <v>0</v>
      </c>
      <c r="H137" s="642">
        <v>0</v>
      </c>
      <c r="I137" s="642">
        <v>0</v>
      </c>
      <c r="J137" s="642">
        <v>0</v>
      </c>
      <c r="K137" s="642">
        <v>0</v>
      </c>
      <c r="L137" s="642">
        <v>0</v>
      </c>
      <c r="M137" s="642">
        <v>0</v>
      </c>
      <c r="N137" s="642">
        <v>0</v>
      </c>
      <c r="O137" s="642">
        <v>0</v>
      </c>
      <c r="P137" s="642">
        <v>0</v>
      </c>
      <c r="Q137" s="642">
        <v>0</v>
      </c>
      <c r="R137" s="642">
        <v>0</v>
      </c>
      <c r="S137" s="650">
        <v>34.030876116729054</v>
      </c>
      <c r="U137" s="648" t="s">
        <v>356</v>
      </c>
      <c r="V137" s="642">
        <v>1.7459712219238281</v>
      </c>
      <c r="W137" s="642">
        <v>-7.9137714199323552</v>
      </c>
      <c r="X137" s="642">
        <v>10.35074558875537</v>
      </c>
      <c r="Y137" s="642">
        <v>0</v>
      </c>
      <c r="Z137" s="642">
        <v>0</v>
      </c>
      <c r="AA137" s="642">
        <v>0</v>
      </c>
      <c r="AB137" s="642">
        <v>0</v>
      </c>
      <c r="AC137" s="642">
        <v>0</v>
      </c>
      <c r="AD137" s="642">
        <v>0</v>
      </c>
      <c r="AE137" s="642">
        <v>0</v>
      </c>
      <c r="AF137" s="642">
        <v>0</v>
      </c>
      <c r="AG137" s="642">
        <v>0</v>
      </c>
      <c r="AH137" s="642">
        <v>0</v>
      </c>
      <c r="AI137" s="642">
        <v>0</v>
      </c>
      <c r="AJ137" s="642">
        <v>0</v>
      </c>
      <c r="AK137" s="650">
        <v>4.182945390746843</v>
      </c>
    </row>
    <row r="138" spans="3:37" ht="13.5">
      <c r="C138" s="648" t="s">
        <v>75</v>
      </c>
      <c r="D138" s="642">
        <v>11.11778609375</v>
      </c>
      <c r="E138" s="642">
        <v>0</v>
      </c>
      <c r="F138" s="642">
        <v>17.34160940037118</v>
      </c>
      <c r="G138" s="642">
        <v>4.9484792471294465</v>
      </c>
      <c r="H138" s="642">
        <v>0</v>
      </c>
      <c r="I138" s="642">
        <v>0</v>
      </c>
      <c r="J138" s="642">
        <v>0</v>
      </c>
      <c r="K138" s="642">
        <v>0</v>
      </c>
      <c r="L138" s="642">
        <v>0</v>
      </c>
      <c r="M138" s="642">
        <v>0.10098937239039688</v>
      </c>
      <c r="N138" s="642">
        <v>0</v>
      </c>
      <c r="O138" s="642">
        <v>0</v>
      </c>
      <c r="P138" s="642">
        <v>29.08691491128284</v>
      </c>
      <c r="Q138" s="642">
        <v>0</v>
      </c>
      <c r="R138" s="642">
        <v>0</v>
      </c>
      <c r="S138" s="650">
        <v>62.595779024923864</v>
      </c>
      <c r="U138" s="648" t="s">
        <v>75</v>
      </c>
      <c r="V138" s="642">
        <v>2.938742431640625</v>
      </c>
      <c r="W138" s="642">
        <v>0</v>
      </c>
      <c r="X138" s="642">
        <v>17.34160940037118</v>
      </c>
      <c r="Y138" s="642">
        <v>2.9286917993215091</v>
      </c>
      <c r="Z138" s="642">
        <v>0</v>
      </c>
      <c r="AA138" s="642">
        <v>0</v>
      </c>
      <c r="AB138" s="642">
        <v>0</v>
      </c>
      <c r="AC138" s="642">
        <v>0</v>
      </c>
      <c r="AD138" s="642">
        <v>0</v>
      </c>
      <c r="AE138" s="642">
        <v>2.1207768201983344</v>
      </c>
      <c r="AF138" s="642">
        <v>0</v>
      </c>
      <c r="AG138" s="642">
        <v>0</v>
      </c>
      <c r="AH138" s="642">
        <v>36.505051274919204</v>
      </c>
      <c r="AI138" s="642">
        <v>0</v>
      </c>
      <c r="AJ138" s="642">
        <v>0</v>
      </c>
      <c r="AK138" s="650">
        <v>61.834871726450849</v>
      </c>
    </row>
    <row r="139" spans="3:37" ht="13.5">
      <c r="C139" s="648" t="s">
        <v>76</v>
      </c>
      <c r="D139" s="642">
        <v>0</v>
      </c>
      <c r="E139" s="642">
        <v>0</v>
      </c>
      <c r="F139" s="642">
        <v>0</v>
      </c>
      <c r="G139" s="642">
        <v>3.7620934008695794</v>
      </c>
      <c r="H139" s="642">
        <v>0</v>
      </c>
      <c r="I139" s="642">
        <v>0</v>
      </c>
      <c r="J139" s="642">
        <v>0</v>
      </c>
      <c r="K139" s="642">
        <v>0</v>
      </c>
      <c r="L139" s="642">
        <v>0</v>
      </c>
      <c r="M139" s="642">
        <v>7.6777416344277136E-2</v>
      </c>
      <c r="N139" s="642">
        <v>0</v>
      </c>
      <c r="O139" s="642">
        <v>0</v>
      </c>
      <c r="P139" s="642">
        <v>45.374638558517056</v>
      </c>
      <c r="Q139" s="642">
        <v>2.9442994019327013</v>
      </c>
      <c r="R139" s="642">
        <v>0</v>
      </c>
      <c r="S139" s="650">
        <v>52.157808777663611</v>
      </c>
      <c r="U139" s="648" t="s">
        <v>76</v>
      </c>
      <c r="V139" s="642">
        <v>0</v>
      </c>
      <c r="W139" s="642">
        <v>0</v>
      </c>
      <c r="X139" s="642">
        <v>0</v>
      </c>
      <c r="Y139" s="642">
        <v>1.1999362424874132</v>
      </c>
      <c r="Z139" s="642">
        <v>0</v>
      </c>
      <c r="AA139" s="642">
        <v>0</v>
      </c>
      <c r="AB139" s="642">
        <v>0</v>
      </c>
      <c r="AC139" s="642">
        <v>0</v>
      </c>
      <c r="AD139" s="642">
        <v>0</v>
      </c>
      <c r="AE139" s="642">
        <v>0.86891934800812698</v>
      </c>
      <c r="AF139" s="642">
        <v>0</v>
      </c>
      <c r="AG139" s="642">
        <v>0</v>
      </c>
      <c r="AH139" s="642">
        <v>48.340685132761017</v>
      </c>
      <c r="AI139" s="642">
        <v>5.7839036819230412</v>
      </c>
      <c r="AJ139" s="642">
        <v>0</v>
      </c>
      <c r="AK139" s="650">
        <v>56.193444405179591</v>
      </c>
    </row>
    <row r="140" spans="3:37" ht="13.5">
      <c r="C140" s="646" t="s">
        <v>77</v>
      </c>
      <c r="D140" s="647">
        <v>42.533164547275248</v>
      </c>
      <c r="E140" s="647">
        <v>492.37419513671523</v>
      </c>
      <c r="F140" s="647">
        <v>-456.72729975813655</v>
      </c>
      <c r="G140" s="647">
        <v>46.717511888597819</v>
      </c>
      <c r="H140" s="647">
        <v>889.54545454545473</v>
      </c>
      <c r="I140" s="647">
        <v>290.38619522472999</v>
      </c>
      <c r="J140" s="647">
        <v>76.404091824403224</v>
      </c>
      <c r="K140" s="647">
        <v>18.74651114985376</v>
      </c>
      <c r="L140" s="647">
        <v>-24.540793928849673</v>
      </c>
      <c r="M140" s="647">
        <v>-5.3808072382237846</v>
      </c>
      <c r="N140" s="647">
        <v>0</v>
      </c>
      <c r="O140" s="647">
        <v>9.0812335132369491</v>
      </c>
      <c r="P140" s="647">
        <v>-540.17785546008065</v>
      </c>
      <c r="Q140" s="647">
        <v>-34.989958988562719</v>
      </c>
      <c r="R140" s="647">
        <v>-5.0795433673621861</v>
      </c>
      <c r="S140" s="647">
        <v>798.89209908905127</v>
      </c>
      <c r="U140" s="646" t="s">
        <v>77</v>
      </c>
      <c r="V140" s="647">
        <v>5.3110285590231427</v>
      </c>
      <c r="W140" s="647">
        <v>220.47790015098695</v>
      </c>
      <c r="X140" s="647">
        <v>-194.51650690879191</v>
      </c>
      <c r="Y140" s="647">
        <v>19.805187226334116</v>
      </c>
      <c r="Z140" s="647">
        <v>873.030303030303</v>
      </c>
      <c r="AA140" s="647">
        <v>337.06619522473</v>
      </c>
      <c r="AB140" s="647">
        <v>131.18933095255588</v>
      </c>
      <c r="AC140" s="647">
        <v>32.128382455120146</v>
      </c>
      <c r="AD140" s="647">
        <v>-116.69170648178192</v>
      </c>
      <c r="AE140" s="647">
        <v>-58.796508116684997</v>
      </c>
      <c r="AF140" s="647">
        <v>0</v>
      </c>
      <c r="AG140" s="647">
        <v>18.805626470956682</v>
      </c>
      <c r="AH140" s="647">
        <v>-524.40351343206009</v>
      </c>
      <c r="AI140" s="647">
        <v>-68.794771845590574</v>
      </c>
      <c r="AJ140" s="647">
        <v>-28.168396757803269</v>
      </c>
      <c r="AK140" s="647">
        <v>646.44255052729716</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4.9901668745901624</v>
      </c>
      <c r="E142" s="642">
        <v>0</v>
      </c>
      <c r="F142" s="642">
        <v>21.091530324656198</v>
      </c>
      <c r="G142" s="642">
        <v>96.151700548391091</v>
      </c>
      <c r="H142" s="642">
        <v>0</v>
      </c>
      <c r="I142" s="642">
        <v>0</v>
      </c>
      <c r="J142" s="642">
        <v>21.387862541024852</v>
      </c>
      <c r="K142" s="642">
        <v>1.7476152779545906</v>
      </c>
      <c r="L142" s="642">
        <v>0.94211085156249985</v>
      </c>
      <c r="M142" s="642">
        <v>1.9807569399951515</v>
      </c>
      <c r="N142" s="642">
        <v>0</v>
      </c>
      <c r="O142" s="642">
        <v>3.7669078281368638E-4</v>
      </c>
      <c r="P142" s="642">
        <v>112.73505933145552</v>
      </c>
      <c r="Q142" s="642">
        <v>16.12568637832603</v>
      </c>
      <c r="R142" s="642">
        <v>0.27920700073242188</v>
      </c>
      <c r="S142" s="650">
        <v>277.43207275947128</v>
      </c>
      <c r="U142" s="648" t="s">
        <v>78</v>
      </c>
      <c r="V142" s="642">
        <v>1.2150050536449819</v>
      </c>
      <c r="W142" s="642">
        <v>0</v>
      </c>
      <c r="X142" s="642">
        <v>6.016341039248414</v>
      </c>
      <c r="Y142" s="642">
        <v>39.709503776891196</v>
      </c>
      <c r="Z142" s="642">
        <v>0</v>
      </c>
      <c r="AA142" s="642">
        <v>0</v>
      </c>
      <c r="AB142" s="642">
        <v>15.202189846170386</v>
      </c>
      <c r="AC142" s="642">
        <v>4.9835801019927617</v>
      </c>
      <c r="AD142" s="642">
        <v>5.6103854980468748</v>
      </c>
      <c r="AE142" s="642">
        <v>28.773635244370734</v>
      </c>
      <c r="AF142" s="642">
        <v>0</v>
      </c>
      <c r="AG142" s="642">
        <v>3.7669078281368638E-4</v>
      </c>
      <c r="AH142" s="642">
        <v>146.07653830614987</v>
      </c>
      <c r="AI142" s="642">
        <v>23.647869298816833</v>
      </c>
      <c r="AJ142" s="642">
        <v>7.4826708984375001</v>
      </c>
      <c r="AK142" s="650">
        <v>278.71809575455239</v>
      </c>
    </row>
    <row r="143" spans="3:37" ht="13.5">
      <c r="C143" s="648" t="s">
        <v>79</v>
      </c>
      <c r="D143" s="642">
        <v>0</v>
      </c>
      <c r="E143" s="642">
        <v>0</v>
      </c>
      <c r="F143" s="642">
        <v>235.12748928743429</v>
      </c>
      <c r="G143" s="642">
        <v>31.099379517950805</v>
      </c>
      <c r="H143" s="642">
        <v>0</v>
      </c>
      <c r="I143" s="642">
        <v>0</v>
      </c>
      <c r="J143" s="642">
        <v>0</v>
      </c>
      <c r="K143" s="642">
        <v>0</v>
      </c>
      <c r="L143" s="642">
        <v>22.716725008445675</v>
      </c>
      <c r="M143" s="642">
        <v>0.63468121465205729</v>
      </c>
      <c r="N143" s="642">
        <v>0</v>
      </c>
      <c r="O143" s="642">
        <v>0</v>
      </c>
      <c r="P143" s="642">
        <v>68.565930798083699</v>
      </c>
      <c r="Q143" s="642">
        <v>0</v>
      </c>
      <c r="R143" s="642">
        <v>2.3844112104980786</v>
      </c>
      <c r="S143" s="650">
        <v>360.52861703706463</v>
      </c>
      <c r="U143" s="648" t="s">
        <v>79</v>
      </c>
      <c r="V143" s="642">
        <v>0</v>
      </c>
      <c r="W143" s="642">
        <v>0</v>
      </c>
      <c r="X143" s="642">
        <v>35.128929389637456</v>
      </c>
      <c r="Y143" s="642">
        <v>15.137064293513523</v>
      </c>
      <c r="Z143" s="642">
        <v>0</v>
      </c>
      <c r="AA143" s="642">
        <v>0</v>
      </c>
      <c r="AB143" s="642">
        <v>0</v>
      </c>
      <c r="AC143" s="642">
        <v>0</v>
      </c>
      <c r="AD143" s="642">
        <v>37.187580566982817</v>
      </c>
      <c r="AE143" s="642">
        <v>11.036020535724948</v>
      </c>
      <c r="AF143" s="642">
        <v>0</v>
      </c>
      <c r="AG143" s="642">
        <v>0</v>
      </c>
      <c r="AH143" s="642">
        <v>89.614524523742418</v>
      </c>
      <c r="AI143" s="642">
        <v>0</v>
      </c>
      <c r="AJ143" s="642">
        <v>5.6351763144479268</v>
      </c>
      <c r="AK143" s="650">
        <v>193.73929562404911</v>
      </c>
    </row>
    <row r="144" spans="3:37" ht="13.5">
      <c r="C144" s="648" t="s">
        <v>80</v>
      </c>
      <c r="D144" s="642">
        <v>0</v>
      </c>
      <c r="E144" s="642">
        <v>0</v>
      </c>
      <c r="F144" s="642">
        <v>13.724834206032371</v>
      </c>
      <c r="G144" s="642">
        <v>79.131512261322683</v>
      </c>
      <c r="H144" s="642">
        <v>0</v>
      </c>
      <c r="I144" s="642">
        <v>0</v>
      </c>
      <c r="J144" s="642">
        <v>87.797108848078949</v>
      </c>
      <c r="K144" s="642">
        <v>0</v>
      </c>
      <c r="L144" s="642">
        <v>0</v>
      </c>
      <c r="M144" s="642">
        <v>1.6149288216596467</v>
      </c>
      <c r="N144" s="642">
        <v>57.41835645436403</v>
      </c>
      <c r="O144" s="642">
        <v>2.0533643919476137</v>
      </c>
      <c r="P144" s="642">
        <v>189.45880926265392</v>
      </c>
      <c r="Q144" s="642">
        <v>15.417775800116472</v>
      </c>
      <c r="R144" s="642">
        <v>0</v>
      </c>
      <c r="S144" s="650">
        <v>446.61669004617568</v>
      </c>
      <c r="U144" s="648" t="s">
        <v>80</v>
      </c>
      <c r="V144" s="642">
        <v>0</v>
      </c>
      <c r="W144" s="642">
        <v>0</v>
      </c>
      <c r="X144" s="642">
        <v>1.0209129157283405</v>
      </c>
      <c r="Y144" s="642">
        <v>12.832027751754538</v>
      </c>
      <c r="Z144" s="642">
        <v>0</v>
      </c>
      <c r="AA144" s="642">
        <v>0</v>
      </c>
      <c r="AB144" s="642">
        <v>53.270322236782164</v>
      </c>
      <c r="AC144" s="642">
        <v>0</v>
      </c>
      <c r="AD144" s="642">
        <v>0</v>
      </c>
      <c r="AE144" s="642">
        <v>9.2921580271325972</v>
      </c>
      <c r="AF144" s="642">
        <v>88.292344554902868</v>
      </c>
      <c r="AG144" s="642">
        <v>3.9079432862869607</v>
      </c>
      <c r="AH144" s="642">
        <v>146.88666477766319</v>
      </c>
      <c r="AI144" s="642">
        <v>32.427264426374379</v>
      </c>
      <c r="AJ144" s="642">
        <v>0</v>
      </c>
      <c r="AK144" s="650">
        <v>347.92963797662509</v>
      </c>
    </row>
    <row r="145" spans="3:37" ht="13.5">
      <c r="C145" s="648" t="s">
        <v>81</v>
      </c>
      <c r="D145" s="642">
        <v>0</v>
      </c>
      <c r="E145" s="642">
        <v>0</v>
      </c>
      <c r="F145" s="642">
        <v>3.9083972405176572</v>
      </c>
      <c r="G145" s="642">
        <v>63.089348266301698</v>
      </c>
      <c r="H145" s="642">
        <v>0</v>
      </c>
      <c r="I145" s="642">
        <v>0</v>
      </c>
      <c r="J145" s="642">
        <v>3.1804221278939271</v>
      </c>
      <c r="K145" s="642">
        <v>2.5219694682056978E-2</v>
      </c>
      <c r="L145" s="642">
        <v>0</v>
      </c>
      <c r="M145" s="642">
        <v>1.287537719720443</v>
      </c>
      <c r="N145" s="642">
        <v>8.4803330998149011</v>
      </c>
      <c r="O145" s="642">
        <v>0.72631919579288284</v>
      </c>
      <c r="P145" s="642">
        <v>140.69299872549993</v>
      </c>
      <c r="Q145" s="642">
        <v>3.4464968101202174</v>
      </c>
      <c r="R145" s="642">
        <v>0</v>
      </c>
      <c r="S145" s="650">
        <v>224.8370728803437</v>
      </c>
      <c r="U145" s="648" t="s">
        <v>81</v>
      </c>
      <c r="V145" s="642">
        <v>0</v>
      </c>
      <c r="W145" s="642">
        <v>0</v>
      </c>
      <c r="X145" s="642">
        <v>1.4952361732398858</v>
      </c>
      <c r="Y145" s="642">
        <v>10.610341518374359</v>
      </c>
      <c r="Z145" s="642">
        <v>0</v>
      </c>
      <c r="AA145" s="642">
        <v>0</v>
      </c>
      <c r="AB145" s="642">
        <v>6.9978977014468793</v>
      </c>
      <c r="AC145" s="642">
        <v>2.5219694682056978E-2</v>
      </c>
      <c r="AD145" s="642">
        <v>0</v>
      </c>
      <c r="AE145" s="642">
        <v>7.6833507546848816</v>
      </c>
      <c r="AF145" s="642">
        <v>14.732239480945108</v>
      </c>
      <c r="AG145" s="642">
        <v>1.5525732622869153</v>
      </c>
      <c r="AH145" s="642">
        <v>115.23036268987886</v>
      </c>
      <c r="AI145" s="642">
        <v>12.719638120399363</v>
      </c>
      <c r="AJ145" s="642">
        <v>0</v>
      </c>
      <c r="AK145" s="650">
        <v>171.04685939593833</v>
      </c>
    </row>
    <row r="146" spans="3:37" ht="13.5">
      <c r="C146" s="648" t="s">
        <v>82</v>
      </c>
      <c r="D146" s="642">
        <v>0</v>
      </c>
      <c r="E146" s="642">
        <v>0</v>
      </c>
      <c r="F146" s="642">
        <v>28.471648080197657</v>
      </c>
      <c r="G146" s="642">
        <v>1.0804243241036344</v>
      </c>
      <c r="H146" s="642">
        <v>0</v>
      </c>
      <c r="I146" s="642">
        <v>0</v>
      </c>
      <c r="J146" s="642">
        <v>4.3026845658747828</v>
      </c>
      <c r="K146" s="642">
        <v>0</v>
      </c>
      <c r="L146" s="642">
        <v>3.1299020072385213</v>
      </c>
      <c r="M146" s="642">
        <v>2.2049476002114991E-2</v>
      </c>
      <c r="N146" s="642">
        <v>0</v>
      </c>
      <c r="O146" s="642">
        <v>6.8830690871769351E-2</v>
      </c>
      <c r="P146" s="642">
        <v>5.9739095578527968</v>
      </c>
      <c r="Q146" s="642">
        <v>0</v>
      </c>
      <c r="R146" s="642">
        <v>0</v>
      </c>
      <c r="S146" s="650">
        <v>43.049448702141277</v>
      </c>
      <c r="U146" s="648" t="s">
        <v>82</v>
      </c>
      <c r="V146" s="642">
        <v>0</v>
      </c>
      <c r="W146" s="642">
        <v>0</v>
      </c>
      <c r="X146" s="642">
        <v>5.8604701162543282</v>
      </c>
      <c r="Y146" s="642">
        <v>0.77721189491485598</v>
      </c>
      <c r="Z146" s="642">
        <v>0</v>
      </c>
      <c r="AA146" s="642">
        <v>0</v>
      </c>
      <c r="AB146" s="642">
        <v>4.3026845658747828</v>
      </c>
      <c r="AC146" s="642">
        <v>0</v>
      </c>
      <c r="AD146" s="642">
        <v>30.776202948565647</v>
      </c>
      <c r="AE146" s="642">
        <v>0.56280861355903367</v>
      </c>
      <c r="AF146" s="642">
        <v>0</v>
      </c>
      <c r="AG146" s="642">
        <v>1.5666563685107562</v>
      </c>
      <c r="AH146" s="642">
        <v>6.0858228188406986</v>
      </c>
      <c r="AI146" s="642">
        <v>0</v>
      </c>
      <c r="AJ146" s="642">
        <v>0.36062656029870238</v>
      </c>
      <c r="AK146" s="650">
        <v>50.292483886818808</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0.36</v>
      </c>
      <c r="Q147" s="642">
        <v>0</v>
      </c>
      <c r="R147" s="642">
        <v>0</v>
      </c>
      <c r="S147" s="650">
        <v>0.36</v>
      </c>
      <c r="U147" s="648" t="s">
        <v>357</v>
      </c>
      <c r="V147" s="642">
        <v>0</v>
      </c>
      <c r="W147" s="642">
        <v>0</v>
      </c>
      <c r="X147" s="642">
        <v>0</v>
      </c>
      <c r="Y147" s="642">
        <v>0</v>
      </c>
      <c r="Z147" s="642">
        <v>0</v>
      </c>
      <c r="AA147" s="642">
        <v>0</v>
      </c>
      <c r="AB147" s="642">
        <v>0</v>
      </c>
      <c r="AC147" s="642">
        <v>0</v>
      </c>
      <c r="AD147" s="642">
        <v>0</v>
      </c>
      <c r="AE147" s="642">
        <v>0</v>
      </c>
      <c r="AF147" s="642">
        <v>0</v>
      </c>
      <c r="AG147" s="642">
        <v>0</v>
      </c>
      <c r="AH147" s="642">
        <v>3.12</v>
      </c>
      <c r="AI147" s="642">
        <v>0</v>
      </c>
      <c r="AJ147" s="642">
        <v>0</v>
      </c>
      <c r="AK147" s="650">
        <v>3.12</v>
      </c>
    </row>
    <row r="148" spans="3:37" ht="13.5">
      <c r="C148" s="646" t="s">
        <v>83</v>
      </c>
      <c r="D148" s="647">
        <v>4.9901668745901624</v>
      </c>
      <c r="E148" s="647">
        <v>0</v>
      </c>
      <c r="F148" s="647">
        <v>302.32389913883821</v>
      </c>
      <c r="G148" s="647">
        <v>270.55236491806994</v>
      </c>
      <c r="H148" s="647">
        <v>0</v>
      </c>
      <c r="I148" s="647">
        <v>0</v>
      </c>
      <c r="J148" s="647">
        <v>116.66807808287251</v>
      </c>
      <c r="K148" s="647">
        <v>1.7728349726366477</v>
      </c>
      <c r="L148" s="647">
        <v>26.788737867246695</v>
      </c>
      <c r="M148" s="647">
        <v>5.5399541720294136</v>
      </c>
      <c r="N148" s="647">
        <v>65.898689554178929</v>
      </c>
      <c r="O148" s="647">
        <v>2.8488909693950797</v>
      </c>
      <c r="P148" s="647">
        <v>517.78670767554593</v>
      </c>
      <c r="Q148" s="647">
        <v>34.989958988562719</v>
      </c>
      <c r="R148" s="647">
        <v>2.6636182112305002</v>
      </c>
      <c r="S148" s="647">
        <v>1352.8239014251965</v>
      </c>
      <c r="U148" s="646" t="s">
        <v>83</v>
      </c>
      <c r="V148" s="647">
        <v>1.2150050536449819</v>
      </c>
      <c r="W148" s="647">
        <v>0</v>
      </c>
      <c r="X148" s="647">
        <v>49.521889634108419</v>
      </c>
      <c r="Y148" s="647">
        <v>79.066149235448464</v>
      </c>
      <c r="Z148" s="647">
        <v>0</v>
      </c>
      <c r="AA148" s="647">
        <v>0</v>
      </c>
      <c r="AB148" s="647">
        <v>79.773094350274206</v>
      </c>
      <c r="AC148" s="647">
        <v>5.0087997966748192</v>
      </c>
      <c r="AD148" s="647">
        <v>73.574169013595338</v>
      </c>
      <c r="AE148" s="647">
        <v>57.347973175472191</v>
      </c>
      <c r="AF148" s="647">
        <v>103.02458403584798</v>
      </c>
      <c r="AG148" s="647">
        <v>7.0275496078674458</v>
      </c>
      <c r="AH148" s="647">
        <v>507.01391311627498</v>
      </c>
      <c r="AI148" s="647">
        <v>68.794771845590574</v>
      </c>
      <c r="AJ148" s="647">
        <v>13.478473773184128</v>
      </c>
      <c r="AK148" s="647">
        <v>1044.8463726379837</v>
      </c>
    </row>
    <row r="149" spans="3:37" ht="13.5">
      <c r="C149" s="641" t="s">
        <v>84</v>
      </c>
      <c r="D149" s="642">
        <v>0</v>
      </c>
      <c r="E149" s="642">
        <v>0</v>
      </c>
      <c r="F149" s="642">
        <v>106.83242416715484</v>
      </c>
      <c r="G149" s="642">
        <v>11.6186457489655</v>
      </c>
      <c r="H149" s="642">
        <v>0</v>
      </c>
      <c r="I149" s="642">
        <v>0</v>
      </c>
      <c r="J149" s="642">
        <v>0</v>
      </c>
      <c r="K149" s="642">
        <v>0</v>
      </c>
      <c r="L149" s="642">
        <v>0</v>
      </c>
      <c r="M149" s="642">
        <v>0</v>
      </c>
      <c r="N149" s="642">
        <v>0</v>
      </c>
      <c r="O149" s="642">
        <v>0</v>
      </c>
      <c r="P149" s="642">
        <v>0</v>
      </c>
      <c r="Q149" s="642">
        <v>0</v>
      </c>
      <c r="R149" s="642">
        <v>2.4159251561316859</v>
      </c>
      <c r="S149" s="650">
        <v>120.86699507225204</v>
      </c>
      <c r="U149" s="641" t="s">
        <v>84</v>
      </c>
      <c r="V149" s="642">
        <v>0</v>
      </c>
      <c r="W149" s="642">
        <v>0</v>
      </c>
      <c r="X149" s="642">
        <v>75.791608178670685</v>
      </c>
      <c r="Y149" s="642">
        <v>0.94004440148578539</v>
      </c>
      <c r="Z149" s="642">
        <v>0</v>
      </c>
      <c r="AA149" s="642">
        <v>0</v>
      </c>
      <c r="AB149" s="642">
        <v>0</v>
      </c>
      <c r="AC149" s="642">
        <v>0</v>
      </c>
      <c r="AD149" s="642">
        <v>21.99170920776367</v>
      </c>
      <c r="AE149" s="642">
        <v>0</v>
      </c>
      <c r="AF149" s="642">
        <v>0</v>
      </c>
      <c r="AG149" s="642">
        <v>0</v>
      </c>
      <c r="AH149" s="642">
        <v>0</v>
      </c>
      <c r="AI149" s="642">
        <v>0</v>
      </c>
      <c r="AJ149" s="642">
        <v>14.689922984619141</v>
      </c>
      <c r="AK149" s="650">
        <v>113.41328477253928</v>
      </c>
    </row>
    <row r="150" spans="3:37" ht="13.5">
      <c r="C150" s="646" t="s">
        <v>85</v>
      </c>
      <c r="D150" s="647">
        <v>4.9901668745901624</v>
      </c>
      <c r="E150" s="647">
        <v>0</v>
      </c>
      <c r="F150" s="647">
        <v>409.15632330599311</v>
      </c>
      <c r="G150" s="647">
        <v>282.17101066703543</v>
      </c>
      <c r="H150" s="647">
        <v>0</v>
      </c>
      <c r="I150" s="647">
        <v>0</v>
      </c>
      <c r="J150" s="647">
        <v>116.66807808287251</v>
      </c>
      <c r="K150" s="647">
        <v>1.7728349726366477</v>
      </c>
      <c r="L150" s="647">
        <v>26.788737867246695</v>
      </c>
      <c r="M150" s="647">
        <v>5.5399541720294136</v>
      </c>
      <c r="N150" s="647">
        <v>65.898689554178929</v>
      </c>
      <c r="O150" s="647">
        <v>2.8488909693950797</v>
      </c>
      <c r="P150" s="647">
        <v>517.78670767554593</v>
      </c>
      <c r="Q150" s="647">
        <v>34.989958988562719</v>
      </c>
      <c r="R150" s="647">
        <v>5.0795433673621861</v>
      </c>
      <c r="S150" s="647">
        <v>1473.6908964974484</v>
      </c>
      <c r="U150" s="646" t="s">
        <v>85</v>
      </c>
      <c r="V150" s="647">
        <v>1.2150050536449819</v>
      </c>
      <c r="W150" s="647">
        <v>0</v>
      </c>
      <c r="X150" s="647">
        <v>125.31349781277912</v>
      </c>
      <c r="Y150" s="647">
        <v>80.006193636934256</v>
      </c>
      <c r="Z150" s="647">
        <v>0</v>
      </c>
      <c r="AA150" s="647">
        <v>0</v>
      </c>
      <c r="AB150" s="647">
        <v>79.773094350274206</v>
      </c>
      <c r="AC150" s="647">
        <v>5.0087997966748192</v>
      </c>
      <c r="AD150" s="647">
        <v>95.565878221359014</v>
      </c>
      <c r="AE150" s="647">
        <v>57.347973175472191</v>
      </c>
      <c r="AF150" s="647">
        <v>103.02458403584798</v>
      </c>
      <c r="AG150" s="647">
        <v>7.0275496078674458</v>
      </c>
      <c r="AH150" s="647">
        <v>507.01391311627498</v>
      </c>
      <c r="AI150" s="647">
        <v>68.794771845590574</v>
      </c>
      <c r="AJ150" s="647">
        <v>28.168396757803269</v>
      </c>
      <c r="AK150" s="647">
        <v>1158.2596574105228</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22.5">
      <c r="C152" s="699" t="s">
        <v>364</v>
      </c>
      <c r="D152" s="699"/>
      <c r="E152" s="699"/>
      <c r="F152" s="699"/>
      <c r="G152" s="699"/>
      <c r="H152" s="699"/>
      <c r="I152" s="699"/>
      <c r="J152" s="699"/>
      <c r="K152" s="699"/>
      <c r="L152" s="699"/>
      <c r="M152" s="699"/>
      <c r="N152" s="699"/>
      <c r="O152" s="699"/>
      <c r="P152" s="699"/>
      <c r="Q152" s="699"/>
      <c r="R152" s="699"/>
      <c r="S152" s="699"/>
      <c r="U152" s="699" t="s">
        <v>364</v>
      </c>
      <c r="V152" s="699"/>
      <c r="W152" s="699"/>
      <c r="X152" s="699"/>
      <c r="Y152" s="699"/>
      <c r="Z152" s="699"/>
      <c r="AA152" s="699"/>
      <c r="AB152" s="699"/>
      <c r="AC152" s="699"/>
      <c r="AD152" s="699"/>
      <c r="AE152" s="699"/>
      <c r="AF152" s="699"/>
      <c r="AG152" s="699"/>
      <c r="AH152" s="699"/>
      <c r="AI152" s="699"/>
      <c r="AJ152" s="699"/>
      <c r="AK152" s="699"/>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13" customHeight="1">
      <c r="C154" s="700" t="s">
        <v>128</v>
      </c>
      <c r="D154" s="701" t="s">
        <v>42</v>
      </c>
      <c r="E154" s="701" t="s">
        <v>52</v>
      </c>
      <c r="F154" s="701" t="s">
        <v>53</v>
      </c>
      <c r="G154" s="701" t="s">
        <v>32</v>
      </c>
      <c r="H154" s="701" t="s">
        <v>20</v>
      </c>
      <c r="I154" s="701" t="s">
        <v>55</v>
      </c>
      <c r="J154" s="701" t="s">
        <v>56</v>
      </c>
      <c r="K154" s="701"/>
      <c r="L154" s="701"/>
      <c r="M154" s="701"/>
      <c r="N154" s="701"/>
      <c r="O154" s="701"/>
      <c r="P154" s="701" t="s">
        <v>57</v>
      </c>
      <c r="Q154" s="701" t="s">
        <v>58</v>
      </c>
      <c r="R154" s="701" t="s">
        <v>31</v>
      </c>
      <c r="S154" s="701" t="s">
        <v>10</v>
      </c>
      <c r="U154" s="700" t="s">
        <v>128</v>
      </c>
      <c r="V154" s="701" t="s">
        <v>42</v>
      </c>
      <c r="W154" s="701" t="s">
        <v>52</v>
      </c>
      <c r="X154" s="701" t="s">
        <v>53</v>
      </c>
      <c r="Y154" s="701" t="s">
        <v>32</v>
      </c>
      <c r="Z154" s="701" t="s">
        <v>20</v>
      </c>
      <c r="AA154" s="701" t="s">
        <v>55</v>
      </c>
      <c r="AB154" s="701" t="s">
        <v>56</v>
      </c>
      <c r="AC154" s="701"/>
      <c r="AD154" s="701"/>
      <c r="AE154" s="701"/>
      <c r="AF154" s="701"/>
      <c r="AG154" s="701"/>
      <c r="AH154" s="701" t="s">
        <v>57</v>
      </c>
      <c r="AI154" s="701" t="s">
        <v>58</v>
      </c>
      <c r="AJ154" s="701" t="s">
        <v>31</v>
      </c>
      <c r="AK154" s="701" t="s">
        <v>10</v>
      </c>
    </row>
    <row r="155" spans="3:37" ht="46">
      <c r="C155" s="700"/>
      <c r="D155" s="701"/>
      <c r="E155" s="701"/>
      <c r="F155" s="701"/>
      <c r="G155" s="701"/>
      <c r="H155" s="701"/>
      <c r="I155" s="701"/>
      <c r="J155" s="640" t="s">
        <v>338</v>
      </c>
      <c r="K155" s="640" t="s">
        <v>40</v>
      </c>
      <c r="L155" s="640" t="s">
        <v>346</v>
      </c>
      <c r="M155" s="640" t="s">
        <v>347</v>
      </c>
      <c r="N155" s="640" t="s">
        <v>348</v>
      </c>
      <c r="O155" s="640" t="s">
        <v>349</v>
      </c>
      <c r="P155" s="701"/>
      <c r="Q155" s="701"/>
      <c r="R155" s="701"/>
      <c r="S155" s="701"/>
      <c r="U155" s="700"/>
      <c r="V155" s="701"/>
      <c r="W155" s="701"/>
      <c r="X155" s="701"/>
      <c r="Y155" s="701"/>
      <c r="Z155" s="701"/>
      <c r="AA155" s="701"/>
      <c r="AB155" s="640" t="s">
        <v>338</v>
      </c>
      <c r="AC155" s="640" t="s">
        <v>40</v>
      </c>
      <c r="AD155" s="640" t="s">
        <v>346</v>
      </c>
      <c r="AE155" s="640" t="s">
        <v>347</v>
      </c>
      <c r="AF155" s="640" t="s">
        <v>348</v>
      </c>
      <c r="AG155" s="640" t="s">
        <v>349</v>
      </c>
      <c r="AH155" s="701"/>
      <c r="AI155" s="701"/>
      <c r="AJ155" s="701"/>
      <c r="AK155" s="701"/>
    </row>
    <row r="156" spans="3:37" ht="13.5">
      <c r="C156" s="641" t="s">
        <v>59</v>
      </c>
      <c r="D156" s="642">
        <v>0</v>
      </c>
      <c r="E156" s="643">
        <v>0</v>
      </c>
      <c r="F156" s="643">
        <v>0</v>
      </c>
      <c r="G156" s="642">
        <v>0</v>
      </c>
      <c r="H156" s="643">
        <v>843.18181818181824</v>
      </c>
      <c r="I156" s="643">
        <v>306.94588327561422</v>
      </c>
      <c r="J156" s="643">
        <v>187.92158364867245</v>
      </c>
      <c r="K156" s="643">
        <v>20.316638839186872</v>
      </c>
      <c r="L156" s="643">
        <v>0.58650482505924006</v>
      </c>
      <c r="M156" s="643">
        <v>0.15964026893196048</v>
      </c>
      <c r="N156" s="643">
        <v>67.964408038916218</v>
      </c>
      <c r="O156" s="643">
        <v>11.973026235836867</v>
      </c>
      <c r="P156" s="644">
        <v>0</v>
      </c>
      <c r="Q156" s="643">
        <v>0</v>
      </c>
      <c r="R156" s="643">
        <v>0</v>
      </c>
      <c r="S156" s="645">
        <v>1439.0495033140362</v>
      </c>
      <c r="U156" s="641" t="s">
        <v>59</v>
      </c>
      <c r="V156" s="642">
        <v>0</v>
      </c>
      <c r="W156" s="643">
        <v>0</v>
      </c>
      <c r="X156" s="643">
        <v>0</v>
      </c>
      <c r="Y156" s="642">
        <v>0</v>
      </c>
      <c r="Z156" s="643">
        <v>842.12121212121212</v>
      </c>
      <c r="AA156" s="643">
        <v>361.66588327561419</v>
      </c>
      <c r="AB156" s="643">
        <v>209.7499476733077</v>
      </c>
      <c r="AC156" s="643">
        <v>36.742499370225779</v>
      </c>
      <c r="AD156" s="643">
        <v>0.58650482505924006</v>
      </c>
      <c r="AE156" s="643">
        <v>0.15964026893196048</v>
      </c>
      <c r="AF156" s="643">
        <v>109.8518848230913</v>
      </c>
      <c r="AG156" s="643">
        <v>27.041217028647232</v>
      </c>
      <c r="AH156" s="644">
        <v>0</v>
      </c>
      <c r="AI156" s="643">
        <v>0</v>
      </c>
      <c r="AJ156" s="643">
        <v>0</v>
      </c>
      <c r="AK156" s="645">
        <v>1587.9187893860897</v>
      </c>
    </row>
    <row r="157" spans="3:37" ht="13.5">
      <c r="C157" s="641" t="s">
        <v>60</v>
      </c>
      <c r="D157" s="642">
        <v>47.14481987923083</v>
      </c>
      <c r="E157" s="643">
        <v>484.495467583368</v>
      </c>
      <c r="F157" s="643">
        <v>50.019697053221719</v>
      </c>
      <c r="G157" s="642">
        <v>326.09010493911637</v>
      </c>
      <c r="H157" s="643">
        <v>0</v>
      </c>
      <c r="I157" s="643">
        <v>0</v>
      </c>
      <c r="J157" s="643">
        <v>5.0764589906360387</v>
      </c>
      <c r="K157" s="643">
        <v>0</v>
      </c>
      <c r="L157" s="643">
        <v>2.7571319279134792</v>
      </c>
      <c r="M157" s="643">
        <v>0</v>
      </c>
      <c r="N157" s="643">
        <v>0</v>
      </c>
      <c r="O157" s="643">
        <v>0</v>
      </c>
      <c r="P157" s="644">
        <v>0</v>
      </c>
      <c r="Q157" s="643">
        <v>0</v>
      </c>
      <c r="R157" s="643">
        <v>0</v>
      </c>
      <c r="S157" s="645">
        <v>915.58368037348657</v>
      </c>
      <c r="U157" s="641" t="s">
        <v>60</v>
      </c>
      <c r="V157" s="642">
        <v>5.8768320762591904</v>
      </c>
      <c r="W157" s="643">
        <v>189.94114801549574</v>
      </c>
      <c r="X157" s="643">
        <v>14.41607041492888</v>
      </c>
      <c r="Y157" s="642">
        <v>81.728531694283333</v>
      </c>
      <c r="Z157" s="643">
        <v>0</v>
      </c>
      <c r="AA157" s="643">
        <v>0</v>
      </c>
      <c r="AB157" s="643">
        <v>5.0764589906360387</v>
      </c>
      <c r="AC157" s="643">
        <v>0</v>
      </c>
      <c r="AD157" s="643">
        <v>2.7571319279134792</v>
      </c>
      <c r="AE157" s="643">
        <v>0</v>
      </c>
      <c r="AF157" s="643">
        <v>0</v>
      </c>
      <c r="AG157" s="643">
        <v>0</v>
      </c>
      <c r="AH157" s="644">
        <v>0</v>
      </c>
      <c r="AI157" s="643">
        <v>0</v>
      </c>
      <c r="AJ157" s="643">
        <v>0</v>
      </c>
      <c r="AK157" s="645">
        <v>299.79617311951665</v>
      </c>
    </row>
    <row r="158" spans="3:37" ht="13.5">
      <c r="C158" s="641" t="s">
        <v>61</v>
      </c>
      <c r="D158" s="642">
        <v>0</v>
      </c>
      <c r="E158" s="643">
        <v>0</v>
      </c>
      <c r="F158" s="643">
        <v>0</v>
      </c>
      <c r="G158" s="642">
        <v>0</v>
      </c>
      <c r="H158" s="643">
        <v>0</v>
      </c>
      <c r="I158" s="643">
        <v>0</v>
      </c>
      <c r="J158" s="643">
        <v>0</v>
      </c>
      <c r="K158" s="643">
        <v>0</v>
      </c>
      <c r="L158" s="643">
        <v>0</v>
      </c>
      <c r="M158" s="643">
        <v>0</v>
      </c>
      <c r="N158" s="643">
        <v>0</v>
      </c>
      <c r="O158" s="643">
        <v>0</v>
      </c>
      <c r="P158" s="644">
        <v>-16.706363002811486</v>
      </c>
      <c r="Q158" s="643">
        <v>0</v>
      </c>
      <c r="R158" s="643">
        <v>0</v>
      </c>
      <c r="S158" s="645">
        <v>-16.706363002811486</v>
      </c>
      <c r="U158" s="641" t="s">
        <v>61</v>
      </c>
      <c r="V158" s="642">
        <v>0</v>
      </c>
      <c r="W158" s="643">
        <v>0</v>
      </c>
      <c r="X158" s="643">
        <v>-18.378136852904419</v>
      </c>
      <c r="Y158" s="642">
        <v>0</v>
      </c>
      <c r="Z158" s="643">
        <v>0</v>
      </c>
      <c r="AA158" s="643">
        <v>0</v>
      </c>
      <c r="AB158" s="643">
        <v>0</v>
      </c>
      <c r="AC158" s="643">
        <v>0</v>
      </c>
      <c r="AD158" s="643">
        <v>0</v>
      </c>
      <c r="AE158" s="643">
        <v>0</v>
      </c>
      <c r="AF158" s="643">
        <v>0</v>
      </c>
      <c r="AG158" s="643">
        <v>0</v>
      </c>
      <c r="AH158" s="644">
        <v>-20.522831714543145</v>
      </c>
      <c r="AI158" s="643">
        <v>0</v>
      </c>
      <c r="AJ158" s="643">
        <v>0</v>
      </c>
      <c r="AK158" s="645">
        <v>-38.900968567447563</v>
      </c>
    </row>
    <row r="159" spans="3:37" ht="13.5">
      <c r="C159" s="641" t="s">
        <v>62</v>
      </c>
      <c r="D159" s="642">
        <v>0</v>
      </c>
      <c r="E159" s="643">
        <v>0</v>
      </c>
      <c r="F159" s="643">
        <v>-15.257294848391862</v>
      </c>
      <c r="G159" s="642">
        <v>0</v>
      </c>
      <c r="H159" s="643">
        <v>0</v>
      </c>
      <c r="I159" s="643">
        <v>0</v>
      </c>
      <c r="J159" s="643">
        <v>0</v>
      </c>
      <c r="K159" s="643">
        <v>0</v>
      </c>
      <c r="L159" s="643">
        <v>0</v>
      </c>
      <c r="M159" s="643">
        <v>0</v>
      </c>
      <c r="N159" s="643">
        <v>0</v>
      </c>
      <c r="O159" s="643">
        <v>0</v>
      </c>
      <c r="P159" s="644">
        <v>0</v>
      </c>
      <c r="Q159" s="643">
        <v>0</v>
      </c>
      <c r="R159" s="643">
        <v>0</v>
      </c>
      <c r="S159" s="645">
        <v>-15.257294848391862</v>
      </c>
      <c r="U159" s="641" t="s">
        <v>62</v>
      </c>
      <c r="V159" s="642">
        <v>0</v>
      </c>
      <c r="W159" s="643">
        <v>0</v>
      </c>
      <c r="X159" s="643">
        <v>-7.5188933675233587</v>
      </c>
      <c r="Y159" s="642">
        <v>-2.1851276585702322</v>
      </c>
      <c r="Z159" s="643">
        <v>0</v>
      </c>
      <c r="AA159" s="643">
        <v>0</v>
      </c>
      <c r="AB159" s="643">
        <v>0</v>
      </c>
      <c r="AC159" s="643">
        <v>0</v>
      </c>
      <c r="AD159" s="643">
        <v>0</v>
      </c>
      <c r="AE159" s="643">
        <v>-2.1851276585702322</v>
      </c>
      <c r="AF159" s="643">
        <v>0</v>
      </c>
      <c r="AG159" s="643">
        <v>0</v>
      </c>
      <c r="AH159" s="644">
        <v>0</v>
      </c>
      <c r="AI159" s="643">
        <v>0</v>
      </c>
      <c r="AJ159" s="643">
        <v>0</v>
      </c>
      <c r="AK159" s="645">
        <v>-11.889148684663823</v>
      </c>
    </row>
    <row r="160" spans="3:37" ht="13.5">
      <c r="C160" s="641" t="s">
        <v>63</v>
      </c>
      <c r="D160" s="642">
        <v>0</v>
      </c>
      <c r="E160" s="643">
        <v>0</v>
      </c>
      <c r="F160" s="643">
        <v>-90.982589622358091</v>
      </c>
      <c r="G160" s="642">
        <v>0</v>
      </c>
      <c r="H160" s="643">
        <v>0</v>
      </c>
      <c r="I160" s="643">
        <v>0</v>
      </c>
      <c r="J160" s="643">
        <v>0</v>
      </c>
      <c r="K160" s="643">
        <v>0</v>
      </c>
      <c r="L160" s="643">
        <v>-0.93561585486744514</v>
      </c>
      <c r="M160" s="643">
        <v>0</v>
      </c>
      <c r="N160" s="643">
        <v>0</v>
      </c>
      <c r="O160" s="643">
        <v>0</v>
      </c>
      <c r="P160" s="644">
        <v>0</v>
      </c>
      <c r="Q160" s="643">
        <v>0</v>
      </c>
      <c r="R160" s="643">
        <v>0</v>
      </c>
      <c r="S160" s="645">
        <v>-91.918205477225541</v>
      </c>
      <c r="U160" s="641" t="s">
        <v>63</v>
      </c>
      <c r="V160" s="642">
        <v>0</v>
      </c>
      <c r="W160" s="643">
        <v>0</v>
      </c>
      <c r="X160" s="643">
        <v>-53.656928796434556</v>
      </c>
      <c r="Y160" s="642">
        <v>0</v>
      </c>
      <c r="Z160" s="643">
        <v>0</v>
      </c>
      <c r="AA160" s="643">
        <v>0</v>
      </c>
      <c r="AB160" s="643">
        <v>0</v>
      </c>
      <c r="AC160" s="643">
        <v>0</v>
      </c>
      <c r="AD160" s="643">
        <v>-28.297456853591466</v>
      </c>
      <c r="AE160" s="643">
        <v>0</v>
      </c>
      <c r="AF160" s="643">
        <v>0</v>
      </c>
      <c r="AG160" s="643">
        <v>0</v>
      </c>
      <c r="AH160" s="644">
        <v>0</v>
      </c>
      <c r="AI160" s="643">
        <v>0</v>
      </c>
      <c r="AJ160" s="643">
        <v>0</v>
      </c>
      <c r="AK160" s="645">
        <v>-81.954385650026026</v>
      </c>
    </row>
    <row r="161" spans="3:37" ht="13.5">
      <c r="C161" s="641" t="s">
        <v>64</v>
      </c>
      <c r="D161" s="642">
        <v>0</v>
      </c>
      <c r="E161" s="643">
        <v>0</v>
      </c>
      <c r="F161" s="643">
        <v>0</v>
      </c>
      <c r="G161" s="642">
        <v>0</v>
      </c>
      <c r="H161" s="643">
        <v>0</v>
      </c>
      <c r="I161" s="643">
        <v>0</v>
      </c>
      <c r="J161" s="643">
        <v>0</v>
      </c>
      <c r="K161" s="643">
        <v>0</v>
      </c>
      <c r="L161" s="643">
        <v>0</v>
      </c>
      <c r="M161" s="643">
        <v>0</v>
      </c>
      <c r="N161" s="643">
        <v>0</v>
      </c>
      <c r="O161" s="643">
        <v>0</v>
      </c>
      <c r="P161" s="644">
        <v>0</v>
      </c>
      <c r="Q161" s="643">
        <v>0</v>
      </c>
      <c r="R161" s="643">
        <v>0</v>
      </c>
      <c r="S161" s="645">
        <v>0</v>
      </c>
      <c r="U161" s="641" t="s">
        <v>64</v>
      </c>
      <c r="V161" s="642">
        <v>0</v>
      </c>
      <c r="W161" s="643">
        <v>0</v>
      </c>
      <c r="X161" s="643">
        <v>0</v>
      </c>
      <c r="Y161" s="642">
        <v>0</v>
      </c>
      <c r="Z161" s="643">
        <v>0</v>
      </c>
      <c r="AA161" s="643">
        <v>0</v>
      </c>
      <c r="AB161" s="643">
        <v>0</v>
      </c>
      <c r="AC161" s="643">
        <v>0</v>
      </c>
      <c r="AD161" s="643">
        <v>0</v>
      </c>
      <c r="AE161" s="643">
        <v>0</v>
      </c>
      <c r="AF161" s="643">
        <v>0</v>
      </c>
      <c r="AG161" s="643">
        <v>0</v>
      </c>
      <c r="AH161" s="644">
        <v>0</v>
      </c>
      <c r="AI161" s="643">
        <v>0</v>
      </c>
      <c r="AJ161" s="643">
        <v>0</v>
      </c>
      <c r="AK161" s="645">
        <v>0</v>
      </c>
    </row>
    <row r="162" spans="3:37" ht="13.5">
      <c r="C162" s="646" t="s">
        <v>65</v>
      </c>
      <c r="D162" s="647">
        <v>47.14481987923083</v>
      </c>
      <c r="E162" s="647">
        <v>484.495467583368</v>
      </c>
      <c r="F162" s="647">
        <v>-56.220187417528237</v>
      </c>
      <c r="G162" s="647">
        <v>326.09010493911637</v>
      </c>
      <c r="H162" s="647">
        <v>843.18181818181824</v>
      </c>
      <c r="I162" s="647">
        <v>306.94588327561422</v>
      </c>
      <c r="J162" s="647">
        <v>192.99804263930849</v>
      </c>
      <c r="K162" s="647">
        <v>20.316638839186872</v>
      </c>
      <c r="L162" s="647">
        <v>2.4080208981052738</v>
      </c>
      <c r="M162" s="647">
        <v>0.15964026893196048</v>
      </c>
      <c r="N162" s="647">
        <v>67.964408038916218</v>
      </c>
      <c r="O162" s="647">
        <v>11.973026235836867</v>
      </c>
      <c r="P162" s="647">
        <v>-16.706363002811486</v>
      </c>
      <c r="Q162" s="647">
        <v>0</v>
      </c>
      <c r="R162" s="647">
        <v>0</v>
      </c>
      <c r="S162" s="647">
        <v>2230.7513203590943</v>
      </c>
      <c r="U162" s="646" t="s">
        <v>65</v>
      </c>
      <c r="V162" s="647">
        <v>5.8768320762591904</v>
      </c>
      <c r="W162" s="647">
        <v>189.94114801549574</v>
      </c>
      <c r="X162" s="647">
        <v>-65.137888601933454</v>
      </c>
      <c r="Y162" s="647">
        <v>79.543404035713095</v>
      </c>
      <c r="Z162" s="647">
        <v>842.12121212121212</v>
      </c>
      <c r="AA162" s="647">
        <v>361.66588327561419</v>
      </c>
      <c r="AB162" s="647">
        <v>214.82640666394374</v>
      </c>
      <c r="AC162" s="647">
        <v>36.742499370225779</v>
      </c>
      <c r="AD162" s="647">
        <v>-24.953820100618749</v>
      </c>
      <c r="AE162" s="647">
        <v>-2.0254873896382719</v>
      </c>
      <c r="AF162" s="647">
        <v>109.8518848230913</v>
      </c>
      <c r="AG162" s="647">
        <v>27.041217028647232</v>
      </c>
      <c r="AH162" s="647">
        <v>-20.522831714543145</v>
      </c>
      <c r="AI162" s="647">
        <v>0</v>
      </c>
      <c r="AJ162" s="647">
        <v>0</v>
      </c>
      <c r="AK162" s="647">
        <v>1754.970459603469</v>
      </c>
    </row>
    <row r="163" spans="3:37" ht="13">
      <c r="C163" s="636"/>
      <c r="D163" s="636">
        <v>0</v>
      </c>
      <c r="E163" s="636">
        <v>0</v>
      </c>
      <c r="F163" s="636">
        <v>0</v>
      </c>
      <c r="G163" s="636">
        <v>0</v>
      </c>
      <c r="H163" s="636">
        <v>0</v>
      </c>
      <c r="I163" s="636">
        <v>0</v>
      </c>
      <c r="J163" s="636">
        <v>0</v>
      </c>
      <c r="K163" s="636">
        <v>0</v>
      </c>
      <c r="L163" s="636">
        <v>0</v>
      </c>
      <c r="M163" s="636">
        <v>0</v>
      </c>
      <c r="N163" s="636">
        <v>0</v>
      </c>
      <c r="O163" s="636">
        <v>0</v>
      </c>
      <c r="P163" s="636">
        <v>0</v>
      </c>
      <c r="Q163" s="636">
        <v>0</v>
      </c>
      <c r="R163" s="636">
        <v>0</v>
      </c>
      <c r="S163" s="636">
        <v>0</v>
      </c>
      <c r="U163" s="636"/>
      <c r="V163" s="636">
        <v>0</v>
      </c>
      <c r="W163" s="636">
        <v>0</v>
      </c>
      <c r="X163" s="636">
        <v>0</v>
      </c>
      <c r="Y163" s="636">
        <v>0</v>
      </c>
      <c r="Z163" s="636">
        <v>0</v>
      </c>
      <c r="AA163" s="636">
        <v>0</v>
      </c>
      <c r="AB163" s="636">
        <v>0</v>
      </c>
      <c r="AC163" s="636">
        <v>0</v>
      </c>
      <c r="AD163" s="636">
        <v>0</v>
      </c>
      <c r="AE163" s="636">
        <v>0</v>
      </c>
      <c r="AF163" s="636">
        <v>0</v>
      </c>
      <c r="AG163" s="636">
        <v>0</v>
      </c>
      <c r="AH163" s="636">
        <v>0</v>
      </c>
      <c r="AI163" s="636">
        <v>0</v>
      </c>
      <c r="AJ163" s="636">
        <v>0</v>
      </c>
      <c r="AK163" s="636">
        <v>0</v>
      </c>
    </row>
    <row r="164" spans="3:37" ht="13.5">
      <c r="C164" s="648" t="s">
        <v>67</v>
      </c>
      <c r="D164" s="642">
        <v>0</v>
      </c>
      <c r="E164" s="649">
        <v>0</v>
      </c>
      <c r="F164" s="649">
        <v>0</v>
      </c>
      <c r="G164" s="642">
        <v>0</v>
      </c>
      <c r="H164" s="642">
        <v>0</v>
      </c>
      <c r="I164" s="642">
        <v>0</v>
      </c>
      <c r="J164" s="642">
        <v>0</v>
      </c>
      <c r="K164" s="642">
        <v>0</v>
      </c>
      <c r="L164" s="642">
        <v>0</v>
      </c>
      <c r="M164" s="642">
        <v>0</v>
      </c>
      <c r="N164" s="642">
        <v>0</v>
      </c>
      <c r="O164" s="642">
        <v>0</v>
      </c>
      <c r="P164" s="642">
        <v>0</v>
      </c>
      <c r="Q164" s="642">
        <v>0</v>
      </c>
      <c r="R164" s="642">
        <v>0</v>
      </c>
      <c r="S164" s="650">
        <v>0</v>
      </c>
      <c r="U164" s="648" t="s">
        <v>67</v>
      </c>
      <c r="V164" s="642">
        <v>0</v>
      </c>
      <c r="W164" s="649">
        <v>0</v>
      </c>
      <c r="X164" s="649">
        <v>0</v>
      </c>
      <c r="Y164" s="642">
        <v>0</v>
      </c>
      <c r="Z164" s="642">
        <v>0</v>
      </c>
      <c r="AA164" s="642">
        <v>0</v>
      </c>
      <c r="AB164" s="642">
        <v>0</v>
      </c>
      <c r="AC164" s="642">
        <v>0</v>
      </c>
      <c r="AD164" s="642">
        <v>0</v>
      </c>
      <c r="AE164" s="642">
        <v>0</v>
      </c>
      <c r="AF164" s="642">
        <v>0</v>
      </c>
      <c r="AG164" s="642">
        <v>0</v>
      </c>
      <c r="AH164" s="642">
        <v>0</v>
      </c>
      <c r="AI164" s="642">
        <v>0</v>
      </c>
      <c r="AJ164" s="642">
        <v>0</v>
      </c>
      <c r="AK164" s="650">
        <v>0</v>
      </c>
    </row>
    <row r="165" spans="3:37" ht="13.5">
      <c r="C165" s="648" t="s">
        <v>350</v>
      </c>
      <c r="D165" s="642">
        <v>2.8267856410252494</v>
      </c>
      <c r="E165" s="642">
        <v>0</v>
      </c>
      <c r="F165" s="642">
        <v>7.9230776783294274</v>
      </c>
      <c r="G165" s="642">
        <v>16.680851063829788</v>
      </c>
      <c r="H165" s="642">
        <v>843.18181818181824</v>
      </c>
      <c r="I165" s="642">
        <v>306.94588327561422</v>
      </c>
      <c r="J165" s="651">
        <v>28.98717588629853</v>
      </c>
      <c r="K165" s="651">
        <v>6.5903281241207718</v>
      </c>
      <c r="L165" s="651">
        <v>3.3436367529727189</v>
      </c>
      <c r="M165" s="651">
        <v>0.46654149749263618</v>
      </c>
      <c r="N165" s="651">
        <v>0</v>
      </c>
      <c r="O165" s="651">
        <v>7.0184114557160298</v>
      </c>
      <c r="P165" s="642">
        <v>-616.92993037811448</v>
      </c>
      <c r="Q165" s="642">
        <v>0</v>
      </c>
      <c r="R165" s="642">
        <v>0</v>
      </c>
      <c r="S165" s="650">
        <v>607.03457917910316</v>
      </c>
      <c r="U165" s="648" t="s">
        <v>350</v>
      </c>
      <c r="V165" s="642">
        <v>0.62631490545869017</v>
      </c>
      <c r="W165" s="642">
        <v>0</v>
      </c>
      <c r="X165" s="642">
        <v>4.0594413146930641</v>
      </c>
      <c r="Y165" s="642">
        <v>2.3404255319148937</v>
      </c>
      <c r="Z165" s="642">
        <v>842.12121212121212</v>
      </c>
      <c r="AA165" s="642">
        <v>361.66588327561419</v>
      </c>
      <c r="AB165" s="651">
        <v>23.182357378111952</v>
      </c>
      <c r="AC165" s="651">
        <v>5.3775678130216455</v>
      </c>
      <c r="AD165" s="651">
        <v>3.3436367529727189</v>
      </c>
      <c r="AE165" s="651">
        <v>2.4665414974926363</v>
      </c>
      <c r="AF165" s="651">
        <v>0</v>
      </c>
      <c r="AG165" s="651">
        <v>7.0184114557160298</v>
      </c>
      <c r="AH165" s="642">
        <v>-662.7499303781143</v>
      </c>
      <c r="AI165" s="642">
        <v>0</v>
      </c>
      <c r="AJ165" s="642">
        <v>4.25</v>
      </c>
      <c r="AK165" s="650">
        <v>593.70186166809344</v>
      </c>
    </row>
    <row r="166" spans="3:37" ht="13.5">
      <c r="C166" s="648" t="s">
        <v>351</v>
      </c>
      <c r="D166" s="642">
        <v>0</v>
      </c>
      <c r="E166" s="642">
        <v>0</v>
      </c>
      <c r="F166" s="642">
        <v>0</v>
      </c>
      <c r="G166" s="642">
        <v>14.843815057329421</v>
      </c>
      <c r="H166" s="642">
        <v>0</v>
      </c>
      <c r="I166" s="642">
        <v>0</v>
      </c>
      <c r="J166" s="651">
        <v>12.357161229114668</v>
      </c>
      <c r="K166" s="651">
        <v>11.882304060636951</v>
      </c>
      <c r="L166" s="651">
        <v>0</v>
      </c>
      <c r="M166" s="651">
        <v>0.31804644322561132</v>
      </c>
      <c r="N166" s="651">
        <v>0</v>
      </c>
      <c r="O166" s="651">
        <v>2.0992086164963606</v>
      </c>
      <c r="P166" s="642">
        <v>0</v>
      </c>
      <c r="Q166" s="642">
        <v>-37.805081951347923</v>
      </c>
      <c r="R166" s="642">
        <v>0</v>
      </c>
      <c r="S166" s="650">
        <v>3.6954534554550835</v>
      </c>
      <c r="U166" s="648" t="s">
        <v>351</v>
      </c>
      <c r="V166" s="642">
        <v>0</v>
      </c>
      <c r="W166" s="642">
        <v>0</v>
      </c>
      <c r="X166" s="642">
        <v>0</v>
      </c>
      <c r="Y166" s="642">
        <v>6.4668066457611202</v>
      </c>
      <c r="Z166" s="642">
        <v>0</v>
      </c>
      <c r="AA166" s="642">
        <v>0</v>
      </c>
      <c r="AB166" s="651">
        <v>28.361573193229066</v>
      </c>
      <c r="AC166" s="651">
        <v>26.076316433417247</v>
      </c>
      <c r="AD166" s="651">
        <v>0</v>
      </c>
      <c r="AE166" s="651">
        <v>6.4819180878167435</v>
      </c>
      <c r="AF166" s="651">
        <v>0</v>
      </c>
      <c r="AG166" s="651">
        <v>12.550380584079129</v>
      </c>
      <c r="AH166" s="642">
        <v>0</v>
      </c>
      <c r="AI166" s="642">
        <v>-74.043519390541746</v>
      </c>
      <c r="AJ166" s="642">
        <v>0</v>
      </c>
      <c r="AK166" s="650">
        <v>5.8934755537615651</v>
      </c>
    </row>
    <row r="167" spans="3:37" ht="13.5">
      <c r="C167" s="648" t="s">
        <v>352</v>
      </c>
      <c r="D167" s="642">
        <v>0</v>
      </c>
      <c r="E167" s="642">
        <v>0</v>
      </c>
      <c r="F167" s="642">
        <v>0</v>
      </c>
      <c r="G167" s="642">
        <v>0</v>
      </c>
      <c r="H167" s="642">
        <v>0</v>
      </c>
      <c r="I167" s="642">
        <v>0</v>
      </c>
      <c r="J167" s="652">
        <v>6.8755991242523775</v>
      </c>
      <c r="K167" s="652">
        <v>0</v>
      </c>
      <c r="L167" s="652">
        <v>0</v>
      </c>
      <c r="M167" s="652">
        <v>-6.4200906822706569</v>
      </c>
      <c r="N167" s="652">
        <v>0</v>
      </c>
      <c r="O167" s="652">
        <v>0</v>
      </c>
      <c r="P167" s="642">
        <v>0</v>
      </c>
      <c r="Q167" s="642">
        <v>0</v>
      </c>
      <c r="R167" s="642">
        <v>0</v>
      </c>
      <c r="S167" s="650">
        <v>0.45550844198172058</v>
      </c>
      <c r="U167" s="648" t="s">
        <v>352</v>
      </c>
      <c r="V167" s="642">
        <v>0</v>
      </c>
      <c r="W167" s="642">
        <v>0</v>
      </c>
      <c r="X167" s="642">
        <v>0</v>
      </c>
      <c r="Y167" s="642">
        <v>0</v>
      </c>
      <c r="Z167" s="642">
        <v>0</v>
      </c>
      <c r="AA167" s="642">
        <v>0</v>
      </c>
      <c r="AB167" s="652">
        <v>86.654179241552072</v>
      </c>
      <c r="AC167" s="652">
        <v>0</v>
      </c>
      <c r="AD167" s="652">
        <v>0</v>
      </c>
      <c r="AE167" s="652">
        <v>-80.913339866799248</v>
      </c>
      <c r="AF167" s="652">
        <v>0</v>
      </c>
      <c r="AG167" s="652">
        <v>0</v>
      </c>
      <c r="AH167" s="642">
        <v>0</v>
      </c>
      <c r="AI167" s="642">
        <v>0</v>
      </c>
      <c r="AJ167" s="642">
        <v>0</v>
      </c>
      <c r="AK167" s="650">
        <v>5.7408393747528237</v>
      </c>
    </row>
    <row r="168" spans="3:37" ht="13.5">
      <c r="C168" s="648" t="s">
        <v>353</v>
      </c>
      <c r="D168" s="642">
        <v>0</v>
      </c>
      <c r="E168" s="642">
        <v>0</v>
      </c>
      <c r="F168" s="642">
        <v>0</v>
      </c>
      <c r="G168" s="642">
        <v>0</v>
      </c>
      <c r="H168" s="642">
        <v>0</v>
      </c>
      <c r="I168" s="642">
        <v>0</v>
      </c>
      <c r="J168" s="642">
        <v>0</v>
      </c>
      <c r="K168" s="642">
        <v>0</v>
      </c>
      <c r="L168" s="642">
        <v>0</v>
      </c>
      <c r="M168" s="642">
        <v>0</v>
      </c>
      <c r="N168" s="642">
        <v>0</v>
      </c>
      <c r="O168" s="642">
        <v>0</v>
      </c>
      <c r="P168" s="642">
        <v>0</v>
      </c>
      <c r="Q168" s="642">
        <v>0</v>
      </c>
      <c r="R168" s="642">
        <v>0</v>
      </c>
      <c r="S168" s="650">
        <v>0</v>
      </c>
      <c r="U168" s="648" t="s">
        <v>353</v>
      </c>
      <c r="V168" s="642">
        <v>0</v>
      </c>
      <c r="W168" s="642">
        <v>0</v>
      </c>
      <c r="X168" s="642">
        <v>0</v>
      </c>
      <c r="Y168" s="642">
        <v>0</v>
      </c>
      <c r="Z168" s="642">
        <v>0</v>
      </c>
      <c r="AA168" s="642">
        <v>0</v>
      </c>
      <c r="AB168" s="642">
        <v>0</v>
      </c>
      <c r="AC168" s="642">
        <v>0</v>
      </c>
      <c r="AD168" s="642">
        <v>0</v>
      </c>
      <c r="AE168" s="642">
        <v>0</v>
      </c>
      <c r="AF168" s="642">
        <v>0</v>
      </c>
      <c r="AG168" s="642">
        <v>0</v>
      </c>
      <c r="AH168" s="642">
        <v>0</v>
      </c>
      <c r="AI168" s="642">
        <v>0</v>
      </c>
      <c r="AJ168" s="642">
        <v>0</v>
      </c>
      <c r="AK168" s="650">
        <v>0</v>
      </c>
    </row>
    <row r="169" spans="3:37" ht="13.5">
      <c r="C169" s="648" t="s">
        <v>72</v>
      </c>
      <c r="D169" s="642">
        <v>0</v>
      </c>
      <c r="E169" s="642">
        <v>501.8858109321676</v>
      </c>
      <c r="F169" s="642">
        <v>-496.86695282284592</v>
      </c>
      <c r="G169" s="642">
        <v>0</v>
      </c>
      <c r="H169" s="642">
        <v>0</v>
      </c>
      <c r="I169" s="642">
        <v>0</v>
      </c>
      <c r="J169" s="642">
        <v>0</v>
      </c>
      <c r="K169" s="642">
        <v>0</v>
      </c>
      <c r="L169" s="642">
        <v>0</v>
      </c>
      <c r="M169" s="642">
        <v>0</v>
      </c>
      <c r="N169" s="642">
        <v>0</v>
      </c>
      <c r="O169" s="642">
        <v>0</v>
      </c>
      <c r="P169" s="642">
        <v>0</v>
      </c>
      <c r="Q169" s="642">
        <v>0</v>
      </c>
      <c r="R169" s="642">
        <v>0</v>
      </c>
      <c r="S169" s="650">
        <v>5.018858109321684</v>
      </c>
      <c r="U169" s="648" t="s">
        <v>72</v>
      </c>
      <c r="V169" s="642">
        <v>0</v>
      </c>
      <c r="W169" s="642">
        <v>196.75884188687598</v>
      </c>
      <c r="X169" s="642">
        <v>-194.79125346800723</v>
      </c>
      <c r="Y169" s="642">
        <v>0</v>
      </c>
      <c r="Z169" s="642">
        <v>0</v>
      </c>
      <c r="AA169" s="642">
        <v>0</v>
      </c>
      <c r="AB169" s="642">
        <v>0</v>
      </c>
      <c r="AC169" s="642">
        <v>0</v>
      </c>
      <c r="AD169" s="642">
        <v>0</v>
      </c>
      <c r="AE169" s="642">
        <v>0</v>
      </c>
      <c r="AF169" s="642">
        <v>0</v>
      </c>
      <c r="AG169" s="642">
        <v>0</v>
      </c>
      <c r="AH169" s="642">
        <v>0</v>
      </c>
      <c r="AI169" s="642">
        <v>0</v>
      </c>
      <c r="AJ169" s="642">
        <v>0</v>
      </c>
      <c r="AK169" s="650">
        <v>1.9675884188687576</v>
      </c>
    </row>
    <row r="170" spans="3:37" ht="13.5">
      <c r="C170" s="648" t="s">
        <v>354</v>
      </c>
      <c r="D170" s="642">
        <v>0</v>
      </c>
      <c r="E170" s="642">
        <v>0</v>
      </c>
      <c r="F170" s="642">
        <v>0</v>
      </c>
      <c r="G170" s="642">
        <v>0</v>
      </c>
      <c r="H170" s="642">
        <v>0</v>
      </c>
      <c r="I170" s="642">
        <v>0</v>
      </c>
      <c r="J170" s="642">
        <v>26.867608526350821</v>
      </c>
      <c r="K170" s="642">
        <v>0</v>
      </c>
      <c r="L170" s="642">
        <v>-26.867608526350821</v>
      </c>
      <c r="M170" s="642">
        <v>0</v>
      </c>
      <c r="N170" s="642">
        <v>0</v>
      </c>
      <c r="O170" s="642">
        <v>0</v>
      </c>
      <c r="P170" s="642">
        <v>0</v>
      </c>
      <c r="Q170" s="642">
        <v>0</v>
      </c>
      <c r="R170" s="642">
        <v>0</v>
      </c>
      <c r="S170" s="650">
        <v>0</v>
      </c>
      <c r="U170" s="648" t="s">
        <v>354</v>
      </c>
      <c r="V170" s="642">
        <v>0</v>
      </c>
      <c r="W170" s="642">
        <v>0</v>
      </c>
      <c r="X170" s="642">
        <v>0</v>
      </c>
      <c r="Y170" s="642">
        <v>0</v>
      </c>
      <c r="Z170" s="642">
        <v>0</v>
      </c>
      <c r="AA170" s="642">
        <v>0</v>
      </c>
      <c r="AB170" s="642" t="e">
        <v>#VALUE!</v>
      </c>
      <c r="AC170" s="642">
        <v>0</v>
      </c>
      <c r="AD170" s="642">
        <v>-99.513749603669936</v>
      </c>
      <c r="AE170" s="642">
        <v>0</v>
      </c>
      <c r="AF170" s="642">
        <v>0</v>
      </c>
      <c r="AG170" s="642">
        <v>0</v>
      </c>
      <c r="AH170" s="642">
        <v>0</v>
      </c>
      <c r="AI170" s="642">
        <v>0</v>
      </c>
      <c r="AJ170" s="642">
        <v>0</v>
      </c>
      <c r="AK170" s="650">
        <v>-99.513749603669936</v>
      </c>
    </row>
    <row r="171" spans="3:37" ht="13.5">
      <c r="C171" s="648" t="s">
        <v>355</v>
      </c>
      <c r="D171" s="642">
        <v>0</v>
      </c>
      <c r="E171" s="642">
        <v>0</v>
      </c>
      <c r="F171" s="642">
        <v>0</v>
      </c>
      <c r="G171" s="642">
        <v>0</v>
      </c>
      <c r="H171" s="642">
        <v>0</v>
      </c>
      <c r="I171" s="642">
        <v>0</v>
      </c>
      <c r="J171" s="642">
        <v>0</v>
      </c>
      <c r="K171" s="642">
        <v>0</v>
      </c>
      <c r="L171" s="642">
        <v>0</v>
      </c>
      <c r="M171" s="642">
        <v>0</v>
      </c>
      <c r="N171" s="642">
        <v>0</v>
      </c>
      <c r="O171" s="642">
        <v>0</v>
      </c>
      <c r="P171" s="642">
        <v>0</v>
      </c>
      <c r="Q171" s="642">
        <v>0</v>
      </c>
      <c r="R171" s="642">
        <v>0</v>
      </c>
      <c r="S171" s="650">
        <v>0</v>
      </c>
      <c r="U171" s="648" t="s">
        <v>355</v>
      </c>
      <c r="V171" s="642">
        <v>0</v>
      </c>
      <c r="W171" s="642">
        <v>0</v>
      </c>
      <c r="X171" s="642">
        <v>0</v>
      </c>
      <c r="Y171" s="642">
        <v>0</v>
      </c>
      <c r="Z171" s="642">
        <v>0</v>
      </c>
      <c r="AA171" s="642">
        <v>0</v>
      </c>
      <c r="AB171" s="642">
        <v>0</v>
      </c>
      <c r="AC171" s="642">
        <v>0</v>
      </c>
      <c r="AD171" s="642">
        <v>-17.985934640167208</v>
      </c>
      <c r="AE171" s="642">
        <v>0</v>
      </c>
      <c r="AF171" s="642">
        <v>0</v>
      </c>
      <c r="AG171" s="642">
        <v>0</v>
      </c>
      <c r="AH171" s="642">
        <v>0</v>
      </c>
      <c r="AI171" s="642">
        <v>0</v>
      </c>
      <c r="AJ171" s="642">
        <v>0</v>
      </c>
      <c r="AK171" s="650">
        <v>-17.985934640167208</v>
      </c>
    </row>
    <row r="172" spans="3:37" ht="13.5">
      <c r="C172" s="648" t="s">
        <v>73</v>
      </c>
      <c r="D172" s="642">
        <v>0</v>
      </c>
      <c r="E172" s="642">
        <v>0</v>
      </c>
      <c r="F172" s="642">
        <v>0</v>
      </c>
      <c r="G172" s="642">
        <v>7.0830222331165276</v>
      </c>
      <c r="H172" s="642">
        <v>0</v>
      </c>
      <c r="I172" s="642">
        <v>0</v>
      </c>
      <c r="J172" s="642">
        <v>0</v>
      </c>
      <c r="K172" s="642">
        <v>8.2131519400701847E-2</v>
      </c>
      <c r="L172" s="642">
        <v>0</v>
      </c>
      <c r="M172" s="642">
        <v>0.14455147414523528</v>
      </c>
      <c r="N172" s="642">
        <v>0</v>
      </c>
      <c r="O172" s="642">
        <v>0</v>
      </c>
      <c r="P172" s="642">
        <v>0.90023160054861806</v>
      </c>
      <c r="Q172" s="642">
        <v>0</v>
      </c>
      <c r="R172" s="642">
        <v>-5.7492063580491291</v>
      </c>
      <c r="S172" s="650">
        <v>2.4607304691619536</v>
      </c>
      <c r="U172" s="648" t="s">
        <v>73</v>
      </c>
      <c r="V172" s="642">
        <v>0</v>
      </c>
      <c r="W172" s="642">
        <v>0</v>
      </c>
      <c r="X172" s="642">
        <v>0</v>
      </c>
      <c r="Y172" s="642">
        <v>2.5209228009552263</v>
      </c>
      <c r="Z172" s="642">
        <v>0</v>
      </c>
      <c r="AA172" s="642">
        <v>0</v>
      </c>
      <c r="AB172" s="642">
        <v>0</v>
      </c>
      <c r="AC172" s="642">
        <v>0.50418456019104518</v>
      </c>
      <c r="AD172" s="642">
        <v>0</v>
      </c>
      <c r="AE172" s="642">
        <v>2.5209228009552263</v>
      </c>
      <c r="AF172" s="642">
        <v>0</v>
      </c>
      <c r="AG172" s="642">
        <v>0</v>
      </c>
      <c r="AH172" s="642">
        <v>44.712737508757456</v>
      </c>
      <c r="AI172" s="642">
        <v>0</v>
      </c>
      <c r="AJ172" s="642">
        <v>-35.29291921337316</v>
      </c>
      <c r="AK172" s="650">
        <v>14.965848457485791</v>
      </c>
    </row>
    <row r="173" spans="3:37" ht="13.5">
      <c r="C173" s="648" t="s">
        <v>356</v>
      </c>
      <c r="D173" s="642">
        <v>28.568314687499999</v>
      </c>
      <c r="E173" s="642">
        <v>-17.390343348799608</v>
      </c>
      <c r="F173" s="642">
        <v>22.745541936068136</v>
      </c>
      <c r="G173" s="642">
        <v>0</v>
      </c>
      <c r="H173" s="642">
        <v>0</v>
      </c>
      <c r="I173" s="642">
        <v>0</v>
      </c>
      <c r="J173" s="642">
        <v>0</v>
      </c>
      <c r="K173" s="642">
        <v>0</v>
      </c>
      <c r="L173" s="642">
        <v>0</v>
      </c>
      <c r="M173" s="642">
        <v>0</v>
      </c>
      <c r="N173" s="642">
        <v>0</v>
      </c>
      <c r="O173" s="642">
        <v>0</v>
      </c>
      <c r="P173" s="642">
        <v>0</v>
      </c>
      <c r="Q173" s="642">
        <v>0</v>
      </c>
      <c r="R173" s="642">
        <v>0</v>
      </c>
      <c r="S173" s="650">
        <v>33.923513274768524</v>
      </c>
      <c r="U173" s="648" t="s">
        <v>356</v>
      </c>
      <c r="V173" s="642">
        <v>1.4001075134277343</v>
      </c>
      <c r="W173" s="642">
        <v>-6.8176938713802535</v>
      </c>
      <c r="X173" s="642">
        <v>8.9171408952922331</v>
      </c>
      <c r="Y173" s="642">
        <v>0</v>
      </c>
      <c r="Z173" s="642">
        <v>0</v>
      </c>
      <c r="AA173" s="642">
        <v>0</v>
      </c>
      <c r="AB173" s="642">
        <v>0</v>
      </c>
      <c r="AC173" s="642">
        <v>0</v>
      </c>
      <c r="AD173" s="642">
        <v>0</v>
      </c>
      <c r="AE173" s="642">
        <v>0</v>
      </c>
      <c r="AF173" s="642">
        <v>0</v>
      </c>
      <c r="AG173" s="642">
        <v>0</v>
      </c>
      <c r="AH173" s="642">
        <v>0</v>
      </c>
      <c r="AI173" s="642">
        <v>0</v>
      </c>
      <c r="AJ173" s="642">
        <v>0</v>
      </c>
      <c r="AK173" s="650">
        <v>3.4995545373397139</v>
      </c>
    </row>
    <row r="174" spans="3:37" ht="13.5">
      <c r="C174" s="648" t="s">
        <v>75</v>
      </c>
      <c r="D174" s="642">
        <v>11.109900156250001</v>
      </c>
      <c r="E174" s="642">
        <v>0</v>
      </c>
      <c r="F174" s="642">
        <v>17.0641175716937</v>
      </c>
      <c r="G174" s="642">
        <v>4.8692961376638904</v>
      </c>
      <c r="H174" s="642">
        <v>0</v>
      </c>
      <c r="I174" s="642">
        <v>0</v>
      </c>
      <c r="J174" s="642">
        <v>0</v>
      </c>
      <c r="K174" s="642">
        <v>0</v>
      </c>
      <c r="L174" s="642">
        <v>0</v>
      </c>
      <c r="M174" s="642">
        <v>9.9373390564569189E-2</v>
      </c>
      <c r="N174" s="642">
        <v>0</v>
      </c>
      <c r="O174" s="642">
        <v>0</v>
      </c>
      <c r="P174" s="642">
        <v>27.977940148174714</v>
      </c>
      <c r="Q174" s="642">
        <v>0</v>
      </c>
      <c r="R174" s="642">
        <v>0</v>
      </c>
      <c r="S174" s="650">
        <v>61.12062740434687</v>
      </c>
      <c r="U174" s="648" t="s">
        <v>75</v>
      </c>
      <c r="V174" s="642">
        <v>2.585423095703125</v>
      </c>
      <c r="W174" s="642">
        <v>0</v>
      </c>
      <c r="X174" s="642">
        <v>17.0641175716937</v>
      </c>
      <c r="Y174" s="642">
        <v>2.4843347641142297</v>
      </c>
      <c r="Z174" s="642">
        <v>0</v>
      </c>
      <c r="AA174" s="642">
        <v>0</v>
      </c>
      <c r="AB174" s="642">
        <v>0</v>
      </c>
      <c r="AC174" s="642">
        <v>0</v>
      </c>
      <c r="AD174" s="642">
        <v>0</v>
      </c>
      <c r="AE174" s="642">
        <v>2.4843347641142297</v>
      </c>
      <c r="AF174" s="642">
        <v>0</v>
      </c>
      <c r="AG174" s="642">
        <v>0</v>
      </c>
      <c r="AH174" s="642">
        <v>36.559985602720168</v>
      </c>
      <c r="AI174" s="642">
        <v>0</v>
      </c>
      <c r="AJ174" s="642">
        <v>0</v>
      </c>
      <c r="AK174" s="650">
        <v>61.178195798345449</v>
      </c>
    </row>
    <row r="175" spans="3:37" ht="13.5">
      <c r="C175" s="648" t="s">
        <v>76</v>
      </c>
      <c r="D175" s="642">
        <v>0</v>
      </c>
      <c r="E175" s="642">
        <v>0</v>
      </c>
      <c r="F175" s="642">
        <v>0</v>
      </c>
      <c r="G175" s="642">
        <v>3.7302503173667452</v>
      </c>
      <c r="H175" s="642">
        <v>0</v>
      </c>
      <c r="I175" s="642">
        <v>0</v>
      </c>
      <c r="J175" s="642">
        <v>0</v>
      </c>
      <c r="K175" s="642">
        <v>0</v>
      </c>
      <c r="L175" s="642">
        <v>0</v>
      </c>
      <c r="M175" s="642">
        <v>7.6127557497280507E-2</v>
      </c>
      <c r="N175" s="642">
        <v>0</v>
      </c>
      <c r="O175" s="642">
        <v>0</v>
      </c>
      <c r="P175" s="642">
        <v>45.919010237367587</v>
      </c>
      <c r="Q175" s="642">
        <v>2.9343505562312622</v>
      </c>
      <c r="R175" s="642">
        <v>0</v>
      </c>
      <c r="S175" s="650">
        <v>52.659738668462872</v>
      </c>
      <c r="U175" s="648" t="s">
        <v>76</v>
      </c>
      <c r="V175" s="642">
        <v>0</v>
      </c>
      <c r="W175" s="642">
        <v>0</v>
      </c>
      <c r="X175" s="642">
        <v>0</v>
      </c>
      <c r="Y175" s="642">
        <v>0.95944671778813329</v>
      </c>
      <c r="Z175" s="642">
        <v>0</v>
      </c>
      <c r="AA175" s="642">
        <v>0</v>
      </c>
      <c r="AB175" s="642">
        <v>0</v>
      </c>
      <c r="AC175" s="642">
        <v>0</v>
      </c>
      <c r="AD175" s="642">
        <v>0</v>
      </c>
      <c r="AE175" s="642">
        <v>0.95944671778813329</v>
      </c>
      <c r="AF175" s="642">
        <v>0</v>
      </c>
      <c r="AG175" s="642">
        <v>0</v>
      </c>
      <c r="AH175" s="642">
        <v>49.138117436745475</v>
      </c>
      <c r="AI175" s="642">
        <v>5.7424951548403769</v>
      </c>
      <c r="AJ175" s="642">
        <v>0</v>
      </c>
      <c r="AK175" s="650">
        <v>56.799506027162117</v>
      </c>
    </row>
    <row r="176" spans="3:37" ht="13.5">
      <c r="C176" s="646" t="s">
        <v>77</v>
      </c>
      <c r="D176" s="647">
        <v>42.505000484775252</v>
      </c>
      <c r="E176" s="647">
        <v>484.495467583368</v>
      </c>
      <c r="F176" s="647">
        <v>-449.13421563675462</v>
      </c>
      <c r="G176" s="647">
        <v>47.207234809306371</v>
      </c>
      <c r="H176" s="647">
        <v>843.18181818181824</v>
      </c>
      <c r="I176" s="647">
        <v>306.94588327561422</v>
      </c>
      <c r="J176" s="647">
        <v>75.087544766016393</v>
      </c>
      <c r="K176" s="647">
        <v>18.554763704158422</v>
      </c>
      <c r="L176" s="647">
        <v>-23.523971773378101</v>
      </c>
      <c r="M176" s="647">
        <v>-5.3154503193453246</v>
      </c>
      <c r="N176" s="647">
        <v>0</v>
      </c>
      <c r="O176" s="647">
        <v>9.1176200722123912</v>
      </c>
      <c r="P176" s="647">
        <v>-542.13274839202359</v>
      </c>
      <c r="Q176" s="647">
        <v>-34.870731395116664</v>
      </c>
      <c r="R176" s="647">
        <v>-5.7492063580491291</v>
      </c>
      <c r="S176" s="647">
        <v>766.36900900260184</v>
      </c>
      <c r="U176" s="646" t="s">
        <v>77</v>
      </c>
      <c r="V176" s="647">
        <v>4.6118455145895494</v>
      </c>
      <c r="W176" s="647">
        <v>189.94114801549574</v>
      </c>
      <c r="X176" s="647">
        <v>-164.75055368632826</v>
      </c>
      <c r="Y176" s="647">
        <v>14.771936460533603</v>
      </c>
      <c r="Z176" s="647">
        <v>842.12121212121212</v>
      </c>
      <c r="AA176" s="647">
        <v>361.66588327561419</v>
      </c>
      <c r="AB176" s="647">
        <v>138.19810981289308</v>
      </c>
      <c r="AC176" s="647">
        <v>31.958068806629939</v>
      </c>
      <c r="AD176" s="647">
        <v>-114.15604749086444</v>
      </c>
      <c r="AE176" s="647">
        <v>-66.000175998632287</v>
      </c>
      <c r="AF176" s="647">
        <v>0</v>
      </c>
      <c r="AG176" s="647">
        <v>19.568792039795159</v>
      </c>
      <c r="AH176" s="647">
        <v>-532.33908982989124</v>
      </c>
      <c r="AI176" s="647">
        <v>-68.301024235701377</v>
      </c>
      <c r="AJ176" s="647">
        <v>-31.04291921337316</v>
      </c>
      <c r="AK176" s="647">
        <v>626.24718559197242</v>
      </c>
    </row>
    <row r="177" spans="3:37" ht="13">
      <c r="C177" s="636"/>
      <c r="D177" s="636">
        <v>0</v>
      </c>
      <c r="E177" s="636">
        <v>0</v>
      </c>
      <c r="F177" s="636">
        <v>0</v>
      </c>
      <c r="G177" s="636">
        <v>0</v>
      </c>
      <c r="H177" s="636">
        <v>0</v>
      </c>
      <c r="I177" s="636">
        <v>0</v>
      </c>
      <c r="J177" s="636">
        <v>0</v>
      </c>
      <c r="K177" s="636">
        <v>0</v>
      </c>
      <c r="L177" s="636">
        <v>0</v>
      </c>
      <c r="M177" s="636">
        <v>0</v>
      </c>
      <c r="N177" s="636">
        <v>0</v>
      </c>
      <c r="O177" s="636">
        <v>0</v>
      </c>
      <c r="P177" s="636">
        <v>0</v>
      </c>
      <c r="Q177" s="636">
        <v>0</v>
      </c>
      <c r="R177" s="636">
        <v>0</v>
      </c>
      <c r="S177" s="636">
        <v>0</v>
      </c>
      <c r="U177" s="636"/>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row>
    <row r="178" spans="3:37" ht="13.5">
      <c r="C178" s="648" t="s">
        <v>78</v>
      </c>
      <c r="D178" s="642">
        <v>4.6398193944555786</v>
      </c>
      <c r="E178" s="642">
        <v>0</v>
      </c>
      <c r="F178" s="642">
        <v>20.598782441852151</v>
      </c>
      <c r="G178" s="642">
        <v>94.839699954986926</v>
      </c>
      <c r="H178" s="642">
        <v>0</v>
      </c>
      <c r="I178" s="642">
        <v>0</v>
      </c>
      <c r="J178" s="642">
        <v>21.821162214793436</v>
      </c>
      <c r="K178" s="642">
        <v>1.7366010173968038</v>
      </c>
      <c r="L178" s="642">
        <v>0.96096945898437491</v>
      </c>
      <c r="M178" s="642">
        <v>1.9539169420126139</v>
      </c>
      <c r="N178" s="642">
        <v>0</v>
      </c>
      <c r="O178" s="642">
        <v>3.7537634069694789E-4</v>
      </c>
      <c r="P178" s="642">
        <v>113.419965125608</v>
      </c>
      <c r="Q178" s="642">
        <v>16.150451210263412</v>
      </c>
      <c r="R178" s="642">
        <v>0.26695886230468752</v>
      </c>
      <c r="S178" s="650">
        <v>276.38870199899873</v>
      </c>
      <c r="U178" s="648" t="s">
        <v>78</v>
      </c>
      <c r="V178" s="642">
        <v>1.264986561669641</v>
      </c>
      <c r="W178" s="642">
        <v>0</v>
      </c>
      <c r="X178" s="642">
        <v>4.4259635061357878</v>
      </c>
      <c r="Y178" s="642">
        <v>33.008089674756327</v>
      </c>
      <c r="Z178" s="642">
        <v>0</v>
      </c>
      <c r="AA178" s="642">
        <v>0</v>
      </c>
      <c r="AB178" s="642">
        <v>14.926911405045434</v>
      </c>
      <c r="AC178" s="642">
        <v>4.7591564459641997</v>
      </c>
      <c r="AD178" s="642">
        <v>6.4130046386718744</v>
      </c>
      <c r="AE178" s="642">
        <v>33.02650253605492</v>
      </c>
      <c r="AF178" s="642">
        <v>0</v>
      </c>
      <c r="AG178" s="642">
        <v>3.7537634069694789E-4</v>
      </c>
      <c r="AH178" s="642">
        <v>148.98135712801343</v>
      </c>
      <c r="AI178" s="642">
        <v>24.187634778338289</v>
      </c>
      <c r="AJ178" s="642">
        <v>7.9027373046875002</v>
      </c>
      <c r="AK178" s="650">
        <v>278.8967193556781</v>
      </c>
    </row>
    <row r="179" spans="3:37" ht="13.5">
      <c r="C179" s="648" t="s">
        <v>79</v>
      </c>
      <c r="D179" s="642">
        <v>0</v>
      </c>
      <c r="E179" s="642">
        <v>0</v>
      </c>
      <c r="F179" s="642">
        <v>225.72324837131151</v>
      </c>
      <c r="G179" s="642">
        <v>31.930807664827714</v>
      </c>
      <c r="H179" s="642">
        <v>0</v>
      </c>
      <c r="I179" s="642">
        <v>0</v>
      </c>
      <c r="J179" s="642">
        <v>0</v>
      </c>
      <c r="K179" s="642">
        <v>0</v>
      </c>
      <c r="L179" s="642">
        <v>21.777356740546686</v>
      </c>
      <c r="M179" s="642">
        <v>0.65164913601689212</v>
      </c>
      <c r="N179" s="642">
        <v>0</v>
      </c>
      <c r="O179" s="642">
        <v>0</v>
      </c>
      <c r="P179" s="642">
        <v>72.885841088882287</v>
      </c>
      <c r="Q179" s="642">
        <v>0</v>
      </c>
      <c r="R179" s="642">
        <v>2.6521266956987635</v>
      </c>
      <c r="S179" s="650">
        <v>355.62102969728386</v>
      </c>
      <c r="U179" s="648" t="s">
        <v>79</v>
      </c>
      <c r="V179" s="642">
        <v>0</v>
      </c>
      <c r="W179" s="642">
        <v>0</v>
      </c>
      <c r="X179" s="642">
        <v>19.003305935487372</v>
      </c>
      <c r="Y179" s="642">
        <v>13.267062862305856</v>
      </c>
      <c r="Z179" s="642">
        <v>0</v>
      </c>
      <c r="AA179" s="642">
        <v>0</v>
      </c>
      <c r="AB179" s="642">
        <v>0</v>
      </c>
      <c r="AC179" s="642">
        <v>0</v>
      </c>
      <c r="AD179" s="642">
        <v>27.757428454399612</v>
      </c>
      <c r="AE179" s="642">
        <v>13.267062862305856</v>
      </c>
      <c r="AF179" s="642">
        <v>0</v>
      </c>
      <c r="AG179" s="642">
        <v>0</v>
      </c>
      <c r="AH179" s="642">
        <v>94.556676700547257</v>
      </c>
      <c r="AI179" s="642">
        <v>0</v>
      </c>
      <c r="AJ179" s="642">
        <v>6.3130917169295051</v>
      </c>
      <c r="AK179" s="650">
        <v>174.16462853197544</v>
      </c>
    </row>
    <row r="180" spans="3:37" ht="13.5">
      <c r="C180" s="648" t="s">
        <v>80</v>
      </c>
      <c r="D180" s="642">
        <v>0</v>
      </c>
      <c r="E180" s="642">
        <v>0</v>
      </c>
      <c r="F180" s="642">
        <v>11.075929176351762</v>
      </c>
      <c r="G180" s="642">
        <v>76.664751333295058</v>
      </c>
      <c r="H180" s="642">
        <v>0</v>
      </c>
      <c r="I180" s="642">
        <v>0</v>
      </c>
      <c r="J180" s="642">
        <v>88.320247059496523</v>
      </c>
      <c r="K180" s="642">
        <v>0</v>
      </c>
      <c r="L180" s="642">
        <v>0</v>
      </c>
      <c r="M180" s="642">
        <v>1.5645867619039808</v>
      </c>
      <c r="N180" s="642">
        <v>59.616390446150973</v>
      </c>
      <c r="O180" s="642">
        <v>2.0734984243972754</v>
      </c>
      <c r="P180" s="642">
        <v>190.93239321884863</v>
      </c>
      <c r="Q180" s="642">
        <v>15.360003531773184</v>
      </c>
      <c r="R180" s="642">
        <v>0</v>
      </c>
      <c r="S180" s="650">
        <v>445.60779995221742</v>
      </c>
      <c r="U180" s="648" t="s">
        <v>80</v>
      </c>
      <c r="V180" s="642">
        <v>0</v>
      </c>
      <c r="W180" s="642">
        <v>0</v>
      </c>
      <c r="X180" s="642">
        <v>0.97925934500211753</v>
      </c>
      <c r="Y180" s="642">
        <v>9.8253088649292142</v>
      </c>
      <c r="Z180" s="642">
        <v>0</v>
      </c>
      <c r="AA180" s="642">
        <v>0</v>
      </c>
      <c r="AB180" s="642">
        <v>50.204880630535357</v>
      </c>
      <c r="AC180" s="642">
        <v>0</v>
      </c>
      <c r="AD180" s="642">
        <v>0</v>
      </c>
      <c r="AE180" s="642">
        <v>9.8253088649292142</v>
      </c>
      <c r="AF180" s="642">
        <v>95.02342184325245</v>
      </c>
      <c r="AG180" s="642">
        <v>4.208312775429496</v>
      </c>
      <c r="AH180" s="642">
        <v>144.38732956018927</v>
      </c>
      <c r="AI180" s="642">
        <v>30.75075127630511</v>
      </c>
      <c r="AJ180" s="642">
        <v>0</v>
      </c>
      <c r="AK180" s="650">
        <v>345.20457316057224</v>
      </c>
    </row>
    <row r="181" spans="3:37" ht="13.5">
      <c r="C181" s="648" t="s">
        <v>81</v>
      </c>
      <c r="D181" s="642">
        <v>0</v>
      </c>
      <c r="E181" s="642">
        <v>0</v>
      </c>
      <c r="F181" s="642">
        <v>2.6743117433405894</v>
      </c>
      <c r="G181" s="642">
        <v>62.987223173923248</v>
      </c>
      <c r="H181" s="642">
        <v>0</v>
      </c>
      <c r="I181" s="642">
        <v>0</v>
      </c>
      <c r="J181" s="642">
        <v>3.1384766478070549</v>
      </c>
      <c r="K181" s="642">
        <v>2.5274117631643136E-2</v>
      </c>
      <c r="L181" s="642">
        <v>0</v>
      </c>
      <c r="M181" s="642">
        <v>1.2854535341616988</v>
      </c>
      <c r="N181" s="642">
        <v>8.34801759276524</v>
      </c>
      <c r="O181" s="642">
        <v>0.71507622546549865</v>
      </c>
      <c r="P181" s="642">
        <v>142.0321146826426</v>
      </c>
      <c r="Q181" s="642">
        <v>3.3602766530800707</v>
      </c>
      <c r="R181" s="642">
        <v>0</v>
      </c>
      <c r="S181" s="650">
        <v>224.56622437081765</v>
      </c>
      <c r="U181" s="648" t="s">
        <v>81</v>
      </c>
      <c r="V181" s="642">
        <v>0</v>
      </c>
      <c r="W181" s="642">
        <v>0</v>
      </c>
      <c r="X181" s="642">
        <v>1.2256055704751125</v>
      </c>
      <c r="Y181" s="642">
        <v>7.2918833253665882</v>
      </c>
      <c r="Z181" s="642">
        <v>0</v>
      </c>
      <c r="AA181" s="642">
        <v>0</v>
      </c>
      <c r="AB181" s="642">
        <v>6.8658928642747856</v>
      </c>
      <c r="AC181" s="642">
        <v>2.5274117631643136E-2</v>
      </c>
      <c r="AD181" s="642">
        <v>0</v>
      </c>
      <c r="AE181" s="642">
        <v>7.2918833253665882</v>
      </c>
      <c r="AF181" s="642">
        <v>14.828462979838848</v>
      </c>
      <c r="AG181" s="642">
        <v>1.5197231438340593</v>
      </c>
      <c r="AH181" s="642">
        <v>114.40426288608282</v>
      </c>
      <c r="AI181" s="642">
        <v>13.362638181057982</v>
      </c>
      <c r="AJ181" s="642">
        <v>0</v>
      </c>
      <c r="AK181" s="650">
        <v>166.8156263939284</v>
      </c>
    </row>
    <row r="182" spans="3:37" ht="13.5">
      <c r="C182" s="648" t="s">
        <v>82</v>
      </c>
      <c r="D182" s="642">
        <v>0</v>
      </c>
      <c r="E182" s="642">
        <v>0</v>
      </c>
      <c r="F182" s="642">
        <v>27.931723909553636</v>
      </c>
      <c r="G182" s="642">
        <v>0.95472649492283324</v>
      </c>
      <c r="H182" s="642">
        <v>0</v>
      </c>
      <c r="I182" s="642">
        <v>0</v>
      </c>
      <c r="J182" s="642">
        <v>4.6306119511950978</v>
      </c>
      <c r="K182" s="642">
        <v>0</v>
      </c>
      <c r="L182" s="642">
        <v>3.1934862443619529</v>
      </c>
      <c r="M182" s="642">
        <v>1.9484214182098638E-2</v>
      </c>
      <c r="N182" s="642">
        <v>0</v>
      </c>
      <c r="O182" s="642">
        <v>6.6456137421005312E-2</v>
      </c>
      <c r="P182" s="642">
        <v>5.7660712732306445</v>
      </c>
      <c r="Q182" s="642">
        <v>0</v>
      </c>
      <c r="R182" s="642">
        <v>0</v>
      </c>
      <c r="S182" s="650">
        <v>42.562560224867276</v>
      </c>
      <c r="U182" s="648" t="s">
        <v>82</v>
      </c>
      <c r="V182" s="642">
        <v>0</v>
      </c>
      <c r="W182" s="642">
        <v>0</v>
      </c>
      <c r="X182" s="642">
        <v>3.5775053425595864</v>
      </c>
      <c r="Y182" s="642">
        <v>0.56393102033742082</v>
      </c>
      <c r="Z182" s="642">
        <v>0</v>
      </c>
      <c r="AA182" s="642">
        <v>0</v>
      </c>
      <c r="AB182" s="642">
        <v>4.6306119511950978</v>
      </c>
      <c r="AC182" s="642">
        <v>0</v>
      </c>
      <c r="AD182" s="642">
        <v>32.861113305842508</v>
      </c>
      <c r="AE182" s="642">
        <v>0.56393102033742082</v>
      </c>
      <c r="AF182" s="642">
        <v>0</v>
      </c>
      <c r="AG182" s="642">
        <v>1.7440136932478227</v>
      </c>
      <c r="AH182" s="642">
        <v>5.8866318405152116</v>
      </c>
      <c r="AI182" s="642">
        <v>0</v>
      </c>
      <c r="AJ182" s="642">
        <v>0.38427420359697795</v>
      </c>
      <c r="AK182" s="650">
        <v>50.21201237763205</v>
      </c>
    </row>
    <row r="183" spans="3:37" ht="13.5">
      <c r="C183" s="648" t="s">
        <v>357</v>
      </c>
      <c r="D183" s="642">
        <v>0</v>
      </c>
      <c r="E183" s="642">
        <v>0</v>
      </c>
      <c r="F183" s="642">
        <v>0</v>
      </c>
      <c r="G183" s="642">
        <v>0</v>
      </c>
      <c r="H183" s="642">
        <v>0</v>
      </c>
      <c r="I183" s="642">
        <v>0</v>
      </c>
      <c r="J183" s="642">
        <v>0</v>
      </c>
      <c r="K183" s="642">
        <v>0</v>
      </c>
      <c r="L183" s="642">
        <v>0</v>
      </c>
      <c r="M183" s="642">
        <v>0</v>
      </c>
      <c r="N183" s="642">
        <v>0</v>
      </c>
      <c r="O183" s="642">
        <v>0</v>
      </c>
      <c r="P183" s="642">
        <v>0.39</v>
      </c>
      <c r="Q183" s="642">
        <v>0</v>
      </c>
      <c r="R183" s="642">
        <v>0</v>
      </c>
      <c r="S183" s="650">
        <v>0.39</v>
      </c>
      <c r="U183" s="648" t="s">
        <v>357</v>
      </c>
      <c r="V183" s="642">
        <v>0</v>
      </c>
      <c r="W183" s="642">
        <v>0</v>
      </c>
      <c r="X183" s="642">
        <v>0</v>
      </c>
      <c r="Y183" s="642">
        <v>0</v>
      </c>
      <c r="Z183" s="642">
        <v>0</v>
      </c>
      <c r="AA183" s="642">
        <v>0</v>
      </c>
      <c r="AB183" s="642">
        <v>0</v>
      </c>
      <c r="AC183" s="642">
        <v>0</v>
      </c>
      <c r="AD183" s="642">
        <v>0</v>
      </c>
      <c r="AE183" s="642">
        <v>0</v>
      </c>
      <c r="AF183" s="642">
        <v>0</v>
      </c>
      <c r="AG183" s="642">
        <v>0</v>
      </c>
      <c r="AH183" s="642">
        <v>3.5999999999999996</v>
      </c>
      <c r="AI183" s="642">
        <v>0</v>
      </c>
      <c r="AJ183" s="642">
        <v>0</v>
      </c>
      <c r="AK183" s="650">
        <v>3.5999999999999996</v>
      </c>
    </row>
    <row r="184" spans="3:37" ht="13.5">
      <c r="C184" s="646" t="s">
        <v>83</v>
      </c>
      <c r="D184" s="647">
        <v>4.6398193944555786</v>
      </c>
      <c r="E184" s="647">
        <v>0</v>
      </c>
      <c r="F184" s="647">
        <v>288.00399564240968</v>
      </c>
      <c r="G184" s="647">
        <v>267.37720862195579</v>
      </c>
      <c r="H184" s="647">
        <v>0</v>
      </c>
      <c r="I184" s="647">
        <v>0</v>
      </c>
      <c r="J184" s="647">
        <v>117.91049787329212</v>
      </c>
      <c r="K184" s="647">
        <v>1.7618751350284469</v>
      </c>
      <c r="L184" s="647">
        <v>25.931812443893016</v>
      </c>
      <c r="M184" s="647">
        <v>5.4750905882772853</v>
      </c>
      <c r="N184" s="647">
        <v>67.964408038916218</v>
      </c>
      <c r="O184" s="647">
        <v>2.8554061636244761</v>
      </c>
      <c r="P184" s="647">
        <v>525.4263853892121</v>
      </c>
      <c r="Q184" s="647">
        <v>34.870731395116664</v>
      </c>
      <c r="R184" s="647">
        <v>2.9190855580034509</v>
      </c>
      <c r="S184" s="647">
        <v>1345.1363162441851</v>
      </c>
      <c r="U184" s="646" t="s">
        <v>83</v>
      </c>
      <c r="V184" s="647">
        <v>1.264986561669641</v>
      </c>
      <c r="W184" s="647">
        <v>0</v>
      </c>
      <c r="X184" s="647">
        <v>29.211639699659976</v>
      </c>
      <c r="Y184" s="647">
        <v>63.956275747695408</v>
      </c>
      <c r="Z184" s="647">
        <v>0</v>
      </c>
      <c r="AA184" s="647">
        <v>0</v>
      </c>
      <c r="AB184" s="647">
        <v>76.628296851050663</v>
      </c>
      <c r="AC184" s="647">
        <v>4.7844305635958433</v>
      </c>
      <c r="AD184" s="647">
        <v>67.031546398914003</v>
      </c>
      <c r="AE184" s="647">
        <v>63.974688608994001</v>
      </c>
      <c r="AF184" s="647">
        <v>109.8518848230913</v>
      </c>
      <c r="AG184" s="647">
        <v>7.4724249888520751</v>
      </c>
      <c r="AH184" s="647">
        <v>511.81625811534803</v>
      </c>
      <c r="AI184" s="647">
        <v>68.301024235701377</v>
      </c>
      <c r="AJ184" s="647">
        <v>14.600103225213982</v>
      </c>
      <c r="AK184" s="647">
        <v>1018.8935598197862</v>
      </c>
    </row>
    <row r="185" spans="3:37" ht="13.5">
      <c r="C185" s="641" t="s">
        <v>84</v>
      </c>
      <c r="D185" s="642">
        <v>0</v>
      </c>
      <c r="E185" s="642">
        <v>0</v>
      </c>
      <c r="F185" s="642">
        <v>104.91003257681685</v>
      </c>
      <c r="G185" s="642">
        <v>11.505661507854215</v>
      </c>
      <c r="H185" s="642">
        <v>0</v>
      </c>
      <c r="I185" s="642">
        <v>0</v>
      </c>
      <c r="J185" s="642">
        <v>0</v>
      </c>
      <c r="K185" s="642">
        <v>0</v>
      </c>
      <c r="L185" s="642">
        <v>0</v>
      </c>
      <c r="M185" s="642">
        <v>0</v>
      </c>
      <c r="N185" s="642">
        <v>0</v>
      </c>
      <c r="O185" s="642">
        <v>0</v>
      </c>
      <c r="P185" s="642">
        <v>0</v>
      </c>
      <c r="Q185" s="642">
        <v>0</v>
      </c>
      <c r="R185" s="642">
        <v>2.8301208000456781</v>
      </c>
      <c r="S185" s="650">
        <v>119.24581488471674</v>
      </c>
      <c r="U185" s="641" t="s">
        <v>84</v>
      </c>
      <c r="V185" s="642">
        <v>0</v>
      </c>
      <c r="W185" s="642">
        <v>0</v>
      </c>
      <c r="X185" s="642">
        <v>70.401025384734808</v>
      </c>
      <c r="Y185" s="642">
        <v>0.81519182748409058</v>
      </c>
      <c r="Z185" s="642">
        <v>0</v>
      </c>
      <c r="AA185" s="642">
        <v>0</v>
      </c>
      <c r="AB185" s="642">
        <v>0</v>
      </c>
      <c r="AC185" s="642">
        <v>0</v>
      </c>
      <c r="AD185" s="642">
        <v>24.563190847778323</v>
      </c>
      <c r="AE185" s="642">
        <v>0</v>
      </c>
      <c r="AF185" s="642">
        <v>0</v>
      </c>
      <c r="AG185" s="642">
        <v>0</v>
      </c>
      <c r="AH185" s="642">
        <v>0</v>
      </c>
      <c r="AI185" s="642">
        <v>0</v>
      </c>
      <c r="AJ185" s="642">
        <v>16.442815988159179</v>
      </c>
      <c r="AK185" s="650">
        <v>112.22222404815641</v>
      </c>
    </row>
    <row r="186" spans="3:37" ht="13.5">
      <c r="C186" s="646" t="s">
        <v>85</v>
      </c>
      <c r="D186" s="647">
        <v>4.6398193944555786</v>
      </c>
      <c r="E186" s="647">
        <v>0</v>
      </c>
      <c r="F186" s="647">
        <v>392.91402821922651</v>
      </c>
      <c r="G186" s="647">
        <v>278.88287012980999</v>
      </c>
      <c r="H186" s="647">
        <v>0</v>
      </c>
      <c r="I186" s="647">
        <v>0</v>
      </c>
      <c r="J186" s="647">
        <v>117.91049787329212</v>
      </c>
      <c r="K186" s="647">
        <v>1.7618751350284469</v>
      </c>
      <c r="L186" s="647">
        <v>25.931812443893016</v>
      </c>
      <c r="M186" s="647">
        <v>5.4750905882772853</v>
      </c>
      <c r="N186" s="647">
        <v>67.964408038916218</v>
      </c>
      <c r="O186" s="647">
        <v>2.8554061636244761</v>
      </c>
      <c r="P186" s="647">
        <v>525.4263853892121</v>
      </c>
      <c r="Q186" s="647">
        <v>34.870731395116664</v>
      </c>
      <c r="R186" s="647">
        <v>5.7492063580491291</v>
      </c>
      <c r="S186" s="647">
        <v>1464.3821311289018</v>
      </c>
      <c r="U186" s="646" t="s">
        <v>85</v>
      </c>
      <c r="V186" s="647">
        <v>1.264986561669641</v>
      </c>
      <c r="W186" s="647">
        <v>0</v>
      </c>
      <c r="X186" s="647">
        <v>99.612665084394791</v>
      </c>
      <c r="Y186" s="647">
        <v>64.7714675751795</v>
      </c>
      <c r="Z186" s="647">
        <v>0</v>
      </c>
      <c r="AA186" s="647">
        <v>0</v>
      </c>
      <c r="AB186" s="647">
        <v>76.628296851050663</v>
      </c>
      <c r="AC186" s="647">
        <v>4.7844305635958433</v>
      </c>
      <c r="AD186" s="647">
        <v>91.594737246692318</v>
      </c>
      <c r="AE186" s="647">
        <v>63.974688608994001</v>
      </c>
      <c r="AF186" s="647">
        <v>109.8518848230913</v>
      </c>
      <c r="AG186" s="647">
        <v>7.4724249888520751</v>
      </c>
      <c r="AH186" s="647">
        <v>511.81625811534803</v>
      </c>
      <c r="AI186" s="647">
        <v>68.301024235701377</v>
      </c>
      <c r="AJ186" s="647">
        <v>31.04291921337316</v>
      </c>
      <c r="AK186" s="647">
        <v>1131.1157838679426</v>
      </c>
    </row>
    <row r="187" spans="3:37" ht="13">
      <c r="C187" s="636"/>
      <c r="D187" s="636"/>
      <c r="E187" s="636"/>
      <c r="F187" s="636"/>
      <c r="G187" s="636"/>
      <c r="H187" s="636"/>
      <c r="I187" s="636"/>
      <c r="J187" s="636"/>
      <c r="K187" s="636"/>
      <c r="L187" s="636"/>
      <c r="M187" s="636"/>
      <c r="N187" s="636"/>
      <c r="O187" s="636"/>
      <c r="P187" s="636"/>
      <c r="Q187" s="636"/>
      <c r="R187" s="636"/>
      <c r="S187" s="636"/>
      <c r="U187" s="636"/>
      <c r="V187" s="636"/>
      <c r="W187" s="636"/>
      <c r="X187" s="636"/>
      <c r="Y187" s="636"/>
      <c r="Z187" s="636"/>
      <c r="AA187" s="636"/>
      <c r="AB187" s="636"/>
      <c r="AC187" s="636"/>
      <c r="AD187" s="636"/>
      <c r="AE187" s="636"/>
      <c r="AF187" s="636"/>
      <c r="AG187" s="636"/>
      <c r="AH187" s="636"/>
      <c r="AI187" s="636"/>
      <c r="AJ187" s="636"/>
      <c r="AK187" s="636"/>
    </row>
    <row r="188" spans="3:37" ht="22.5">
      <c r="C188" s="699" t="s">
        <v>89</v>
      </c>
      <c r="D188" s="699"/>
      <c r="E188" s="699"/>
      <c r="F188" s="699"/>
      <c r="G188" s="699"/>
      <c r="H188" s="699"/>
      <c r="I188" s="699"/>
      <c r="J188" s="699"/>
      <c r="K188" s="699"/>
      <c r="L188" s="699"/>
      <c r="M188" s="699"/>
      <c r="N188" s="699"/>
      <c r="O188" s="699"/>
      <c r="P188" s="699"/>
      <c r="Q188" s="699"/>
      <c r="R188" s="699"/>
      <c r="S188" s="699"/>
      <c r="U188" s="699" t="s">
        <v>89</v>
      </c>
      <c r="V188" s="699"/>
      <c r="W188" s="699"/>
      <c r="X188" s="699"/>
      <c r="Y188" s="699"/>
      <c r="Z188" s="699"/>
      <c r="AA188" s="699"/>
      <c r="AB188" s="699"/>
      <c r="AC188" s="699"/>
      <c r="AD188" s="699"/>
      <c r="AE188" s="699"/>
      <c r="AF188" s="699"/>
      <c r="AG188" s="699"/>
      <c r="AH188" s="699"/>
      <c r="AI188" s="699"/>
      <c r="AJ188" s="699"/>
      <c r="AK188" s="699"/>
    </row>
    <row r="189" spans="3:37" ht="13">
      <c r="C189" s="636"/>
      <c r="D189" s="636"/>
      <c r="E189" s="636"/>
      <c r="F189" s="636"/>
      <c r="G189" s="636"/>
      <c r="H189" s="636"/>
      <c r="I189" s="636"/>
      <c r="J189" s="636"/>
      <c r="K189" s="636"/>
      <c r="L189" s="636"/>
      <c r="M189" s="636"/>
      <c r="N189" s="636"/>
      <c r="O189" s="636"/>
      <c r="P189" s="636"/>
      <c r="Q189" s="636"/>
      <c r="R189" s="636"/>
      <c r="S189" s="636"/>
      <c r="U189" s="636"/>
      <c r="V189" s="636"/>
      <c r="W189" s="636"/>
      <c r="X189" s="636"/>
      <c r="Y189" s="636"/>
      <c r="Z189" s="636"/>
      <c r="AA189" s="636"/>
      <c r="AB189" s="636"/>
      <c r="AC189" s="636"/>
      <c r="AD189" s="636"/>
      <c r="AE189" s="636"/>
      <c r="AF189" s="636"/>
      <c r="AG189" s="636"/>
      <c r="AH189" s="636"/>
      <c r="AI189" s="636"/>
      <c r="AJ189" s="636"/>
      <c r="AK189" s="636"/>
    </row>
    <row r="190" spans="3:37" ht="13" customHeight="1">
      <c r="C190" s="700" t="s">
        <v>128</v>
      </c>
      <c r="D190" s="701" t="s">
        <v>42</v>
      </c>
      <c r="E190" s="701" t="s">
        <v>52</v>
      </c>
      <c r="F190" s="701" t="s">
        <v>53</v>
      </c>
      <c r="G190" s="701" t="s">
        <v>32</v>
      </c>
      <c r="H190" s="701" t="s">
        <v>20</v>
      </c>
      <c r="I190" s="701" t="s">
        <v>55</v>
      </c>
      <c r="J190" s="701" t="s">
        <v>56</v>
      </c>
      <c r="K190" s="701"/>
      <c r="L190" s="701"/>
      <c r="M190" s="701"/>
      <c r="N190" s="701"/>
      <c r="O190" s="701"/>
      <c r="P190" s="701" t="s">
        <v>57</v>
      </c>
      <c r="Q190" s="701" t="s">
        <v>58</v>
      </c>
      <c r="R190" s="701" t="s">
        <v>31</v>
      </c>
      <c r="S190" s="701" t="s">
        <v>10</v>
      </c>
      <c r="U190" s="700" t="s">
        <v>128</v>
      </c>
      <c r="V190" s="701" t="s">
        <v>42</v>
      </c>
      <c r="W190" s="701" t="s">
        <v>52</v>
      </c>
      <c r="X190" s="701" t="s">
        <v>53</v>
      </c>
      <c r="Y190" s="701" t="s">
        <v>32</v>
      </c>
      <c r="Z190" s="701" t="s">
        <v>20</v>
      </c>
      <c r="AA190" s="701" t="s">
        <v>55</v>
      </c>
      <c r="AB190" s="701" t="s">
        <v>56</v>
      </c>
      <c r="AC190" s="701"/>
      <c r="AD190" s="701"/>
      <c r="AE190" s="701"/>
      <c r="AF190" s="701"/>
      <c r="AG190" s="701"/>
      <c r="AH190" s="701" t="s">
        <v>57</v>
      </c>
      <c r="AI190" s="701" t="s">
        <v>58</v>
      </c>
      <c r="AJ190" s="701" t="s">
        <v>31</v>
      </c>
      <c r="AK190" s="701" t="s">
        <v>10</v>
      </c>
    </row>
    <row r="191" spans="3:37" ht="46">
      <c r="C191" s="700"/>
      <c r="D191" s="701"/>
      <c r="E191" s="701"/>
      <c r="F191" s="701"/>
      <c r="G191" s="701"/>
      <c r="H191" s="701"/>
      <c r="I191" s="701"/>
      <c r="J191" s="640" t="s">
        <v>338</v>
      </c>
      <c r="K191" s="640" t="s">
        <v>40</v>
      </c>
      <c r="L191" s="640" t="s">
        <v>346</v>
      </c>
      <c r="M191" s="640" t="s">
        <v>347</v>
      </c>
      <c r="N191" s="640" t="s">
        <v>348</v>
      </c>
      <c r="O191" s="640" t="s">
        <v>349</v>
      </c>
      <c r="P191" s="701"/>
      <c r="Q191" s="701"/>
      <c r="R191" s="701"/>
      <c r="S191" s="701"/>
      <c r="U191" s="700"/>
      <c r="V191" s="701"/>
      <c r="W191" s="701"/>
      <c r="X191" s="701"/>
      <c r="Y191" s="701"/>
      <c r="Z191" s="701"/>
      <c r="AA191" s="701"/>
      <c r="AB191" s="640" t="s">
        <v>338</v>
      </c>
      <c r="AC191" s="640" t="s">
        <v>40</v>
      </c>
      <c r="AD191" s="640" t="s">
        <v>346</v>
      </c>
      <c r="AE191" s="640" t="s">
        <v>347</v>
      </c>
      <c r="AF191" s="640" t="s">
        <v>348</v>
      </c>
      <c r="AG191" s="640" t="s">
        <v>349</v>
      </c>
      <c r="AH191" s="701"/>
      <c r="AI191" s="701"/>
      <c r="AJ191" s="701"/>
      <c r="AK191" s="701"/>
    </row>
    <row r="192" spans="3:37" ht="13.5">
      <c r="C192" s="641" t="s">
        <v>59</v>
      </c>
      <c r="D192" s="642">
        <v>0</v>
      </c>
      <c r="E192" s="643">
        <v>0</v>
      </c>
      <c r="F192" s="643">
        <v>0</v>
      </c>
      <c r="G192" s="642">
        <v>0</v>
      </c>
      <c r="H192" s="643">
        <v>727.27272727272737</v>
      </c>
      <c r="I192" s="643">
        <v>338.37995078139568</v>
      </c>
      <c r="J192" s="643">
        <v>185.12606679296266</v>
      </c>
      <c r="K192" s="643">
        <v>19.887492227897642</v>
      </c>
      <c r="L192" s="643">
        <v>0.67629573379861951</v>
      </c>
      <c r="M192" s="643">
        <v>0.16041590589481752</v>
      </c>
      <c r="N192" s="643">
        <v>75.083762899489528</v>
      </c>
      <c r="O192" s="643">
        <v>12.515766779598991</v>
      </c>
      <c r="P192" s="644">
        <v>0</v>
      </c>
      <c r="Q192" s="643">
        <v>0</v>
      </c>
      <c r="R192" s="643">
        <v>0</v>
      </c>
      <c r="S192" s="645">
        <v>1359.1024783937653</v>
      </c>
      <c r="U192" s="641" t="s">
        <v>59</v>
      </c>
      <c r="V192" s="642">
        <v>0</v>
      </c>
      <c r="W192" s="643">
        <v>0</v>
      </c>
      <c r="X192" s="643">
        <v>0</v>
      </c>
      <c r="Y192" s="642">
        <v>0</v>
      </c>
      <c r="Z192" s="643">
        <v>764.84848484848499</v>
      </c>
      <c r="AA192" s="643">
        <v>423.19995078139567</v>
      </c>
      <c r="AB192" s="643">
        <v>256.09062969225096</v>
      </c>
      <c r="AC192" s="643">
        <v>36.108430969743218</v>
      </c>
      <c r="AD192" s="643">
        <v>0.67629573379861951</v>
      </c>
      <c r="AE192" s="643">
        <v>0.16041590589481752</v>
      </c>
      <c r="AF192" s="643">
        <v>123.16818516374138</v>
      </c>
      <c r="AG192" s="643">
        <v>30.250193334526926</v>
      </c>
      <c r="AH192" s="644">
        <v>0</v>
      </c>
      <c r="AI192" s="643">
        <v>0</v>
      </c>
      <c r="AJ192" s="643">
        <v>0</v>
      </c>
      <c r="AK192" s="645">
        <v>1634.5025864298366</v>
      </c>
    </row>
    <row r="193" spans="3:37" ht="13.5">
      <c r="C193" s="641" t="s">
        <v>60</v>
      </c>
      <c r="D193" s="642">
        <v>46.099891323621534</v>
      </c>
      <c r="E193" s="643">
        <v>464.7986487</v>
      </c>
      <c r="F193" s="643">
        <v>48.534128715927544</v>
      </c>
      <c r="G193" s="642">
        <v>345.55093723566335</v>
      </c>
      <c r="H193" s="643">
        <v>0</v>
      </c>
      <c r="I193" s="643">
        <v>0</v>
      </c>
      <c r="J193" s="643">
        <v>5.7213435879484642</v>
      </c>
      <c r="K193" s="643">
        <v>0</v>
      </c>
      <c r="L193" s="643">
        <v>3.0565993326094723</v>
      </c>
      <c r="M193" s="643">
        <v>0</v>
      </c>
      <c r="N193" s="643">
        <v>0</v>
      </c>
      <c r="O193" s="643">
        <v>0</v>
      </c>
      <c r="P193" s="644">
        <v>0</v>
      </c>
      <c r="Q193" s="643">
        <v>0</v>
      </c>
      <c r="R193" s="643">
        <v>0</v>
      </c>
      <c r="S193" s="645">
        <v>913.76154889577037</v>
      </c>
      <c r="U193" s="641" t="s">
        <v>60</v>
      </c>
      <c r="V193" s="642">
        <v>4.5871215860372576</v>
      </c>
      <c r="W193" s="643">
        <v>113.59926767676768</v>
      </c>
      <c r="X193" s="643">
        <v>20.138935454909394</v>
      </c>
      <c r="Y193" s="642">
        <v>0.51452681198611927</v>
      </c>
      <c r="Z193" s="643">
        <v>0</v>
      </c>
      <c r="AA193" s="643">
        <v>0</v>
      </c>
      <c r="AB193" s="643">
        <v>5.7213435879484642</v>
      </c>
      <c r="AC193" s="643">
        <v>0</v>
      </c>
      <c r="AD193" s="643">
        <v>3.0565993326094723</v>
      </c>
      <c r="AE193" s="643">
        <v>0</v>
      </c>
      <c r="AF193" s="643">
        <v>0</v>
      </c>
      <c r="AG193" s="643">
        <v>0</v>
      </c>
      <c r="AH193" s="644">
        <v>0</v>
      </c>
      <c r="AI193" s="643">
        <v>0</v>
      </c>
      <c r="AJ193" s="643">
        <v>0</v>
      </c>
      <c r="AK193" s="645">
        <v>147.6177944502584</v>
      </c>
    </row>
    <row r="194" spans="3:37" ht="13.5">
      <c r="C194" s="641" t="s">
        <v>61</v>
      </c>
      <c r="D194" s="642">
        <v>0</v>
      </c>
      <c r="E194" s="643">
        <v>0</v>
      </c>
      <c r="F194" s="643">
        <v>0</v>
      </c>
      <c r="G194" s="642">
        <v>0</v>
      </c>
      <c r="H194" s="643">
        <v>0</v>
      </c>
      <c r="I194" s="643">
        <v>0</v>
      </c>
      <c r="J194" s="643">
        <v>0</v>
      </c>
      <c r="K194" s="643">
        <v>0</v>
      </c>
      <c r="L194" s="643">
        <v>0</v>
      </c>
      <c r="M194" s="643">
        <v>0</v>
      </c>
      <c r="N194" s="643">
        <v>0</v>
      </c>
      <c r="O194" s="643">
        <v>0</v>
      </c>
      <c r="P194" s="644">
        <v>-12.7985093299136</v>
      </c>
      <c r="Q194" s="643">
        <v>0</v>
      </c>
      <c r="R194" s="643">
        <v>0</v>
      </c>
      <c r="S194" s="645">
        <v>-12.7985093299136</v>
      </c>
      <c r="U194" s="641" t="s">
        <v>61</v>
      </c>
      <c r="V194" s="642">
        <v>0</v>
      </c>
      <c r="W194" s="643">
        <v>0</v>
      </c>
      <c r="X194" s="643">
        <v>0</v>
      </c>
      <c r="Y194" s="642">
        <v>0</v>
      </c>
      <c r="Z194" s="643">
        <v>0</v>
      </c>
      <c r="AA194" s="643">
        <v>0</v>
      </c>
      <c r="AB194" s="643">
        <v>0</v>
      </c>
      <c r="AC194" s="643">
        <v>0</v>
      </c>
      <c r="AD194" s="643">
        <v>0</v>
      </c>
      <c r="AE194" s="643">
        <v>0</v>
      </c>
      <c r="AF194" s="643">
        <v>0</v>
      </c>
      <c r="AG194" s="643">
        <v>0</v>
      </c>
      <c r="AH194" s="644">
        <v>-41.639986107117011</v>
      </c>
      <c r="AI194" s="643">
        <v>0</v>
      </c>
      <c r="AJ194" s="643">
        <v>0</v>
      </c>
      <c r="AK194" s="645">
        <v>-41.639986107117011</v>
      </c>
    </row>
    <row r="195" spans="3:37" ht="13.5">
      <c r="C195" s="641" t="s">
        <v>62</v>
      </c>
      <c r="D195" s="642">
        <v>0</v>
      </c>
      <c r="E195" s="643">
        <v>0</v>
      </c>
      <c r="F195" s="643">
        <v>-14.431507774067331</v>
      </c>
      <c r="G195" s="642">
        <v>0</v>
      </c>
      <c r="H195" s="643">
        <v>0</v>
      </c>
      <c r="I195" s="643">
        <v>0</v>
      </c>
      <c r="J195" s="643">
        <v>0</v>
      </c>
      <c r="K195" s="643">
        <v>0</v>
      </c>
      <c r="L195" s="643">
        <v>0</v>
      </c>
      <c r="M195" s="643">
        <v>0</v>
      </c>
      <c r="N195" s="643">
        <v>0</v>
      </c>
      <c r="O195" s="643">
        <v>0</v>
      </c>
      <c r="P195" s="644">
        <v>0</v>
      </c>
      <c r="Q195" s="643">
        <v>0</v>
      </c>
      <c r="R195" s="643">
        <v>0</v>
      </c>
      <c r="S195" s="645">
        <v>-14.431507774067331</v>
      </c>
      <c r="U195" s="641" t="s">
        <v>62</v>
      </c>
      <c r="V195" s="642">
        <v>0</v>
      </c>
      <c r="W195" s="643">
        <v>0</v>
      </c>
      <c r="X195" s="643">
        <v>-5.3013702027186111</v>
      </c>
      <c r="Y195" s="642">
        <v>0</v>
      </c>
      <c r="Z195" s="643">
        <v>0</v>
      </c>
      <c r="AA195" s="643">
        <v>0</v>
      </c>
      <c r="AB195" s="643">
        <v>0</v>
      </c>
      <c r="AC195" s="643">
        <v>0</v>
      </c>
      <c r="AD195" s="643">
        <v>0</v>
      </c>
      <c r="AE195" s="643">
        <v>-5.1137296191648005</v>
      </c>
      <c r="AF195" s="643">
        <v>0</v>
      </c>
      <c r="AG195" s="643">
        <v>0</v>
      </c>
      <c r="AH195" s="644">
        <v>0</v>
      </c>
      <c r="AI195" s="643">
        <v>0</v>
      </c>
      <c r="AJ195" s="643">
        <v>0</v>
      </c>
      <c r="AK195" s="645">
        <v>-10.415099821883413</v>
      </c>
    </row>
    <row r="196" spans="3:37" ht="13.5">
      <c r="C196" s="641" t="s">
        <v>63</v>
      </c>
      <c r="D196" s="642">
        <v>0</v>
      </c>
      <c r="E196" s="643">
        <v>0</v>
      </c>
      <c r="F196" s="643">
        <v>-93.443844381495637</v>
      </c>
      <c r="G196" s="642">
        <v>0</v>
      </c>
      <c r="H196" s="643">
        <v>0</v>
      </c>
      <c r="I196" s="643">
        <v>0</v>
      </c>
      <c r="J196" s="643">
        <v>0</v>
      </c>
      <c r="K196" s="643">
        <v>0</v>
      </c>
      <c r="L196" s="643">
        <v>-0.96889726774865159</v>
      </c>
      <c r="M196" s="643">
        <v>0</v>
      </c>
      <c r="N196" s="643">
        <v>0</v>
      </c>
      <c r="O196" s="643">
        <v>0</v>
      </c>
      <c r="P196" s="644">
        <v>0</v>
      </c>
      <c r="Q196" s="643">
        <v>0</v>
      </c>
      <c r="R196" s="643">
        <v>0</v>
      </c>
      <c r="S196" s="645">
        <v>-94.412741649244282</v>
      </c>
      <c r="U196" s="641" t="s">
        <v>63</v>
      </c>
      <c r="V196" s="642">
        <v>0</v>
      </c>
      <c r="W196" s="643">
        <v>0</v>
      </c>
      <c r="X196" s="643">
        <v>-35.841594545498886</v>
      </c>
      <c r="Y196" s="642">
        <v>0</v>
      </c>
      <c r="Z196" s="643">
        <v>0</v>
      </c>
      <c r="AA196" s="643">
        <v>0</v>
      </c>
      <c r="AB196" s="643">
        <v>0</v>
      </c>
      <c r="AC196" s="643">
        <v>0</v>
      </c>
      <c r="AD196" s="643">
        <v>-46.567340427053182</v>
      </c>
      <c r="AE196" s="643">
        <v>0</v>
      </c>
      <c r="AF196" s="643">
        <v>0</v>
      </c>
      <c r="AG196" s="643">
        <v>0</v>
      </c>
      <c r="AH196" s="644">
        <v>0</v>
      </c>
      <c r="AI196" s="643">
        <v>0</v>
      </c>
      <c r="AJ196" s="643">
        <v>0</v>
      </c>
      <c r="AK196" s="645">
        <v>-82.408934972552061</v>
      </c>
    </row>
    <row r="197" spans="3:37" ht="13.5">
      <c r="C197" s="641" t="s">
        <v>64</v>
      </c>
      <c r="D197" s="642">
        <v>0</v>
      </c>
      <c r="E197" s="643">
        <v>0</v>
      </c>
      <c r="F197" s="643">
        <v>0</v>
      </c>
      <c r="G197" s="642">
        <v>0</v>
      </c>
      <c r="H197" s="643">
        <v>0</v>
      </c>
      <c r="I197" s="643">
        <v>0</v>
      </c>
      <c r="J197" s="643">
        <v>0</v>
      </c>
      <c r="K197" s="643">
        <v>0</v>
      </c>
      <c r="L197" s="643">
        <v>0</v>
      </c>
      <c r="M197" s="643">
        <v>0</v>
      </c>
      <c r="N197" s="643">
        <v>0</v>
      </c>
      <c r="O197" s="643">
        <v>0</v>
      </c>
      <c r="P197" s="644">
        <v>0</v>
      </c>
      <c r="Q197" s="643">
        <v>0</v>
      </c>
      <c r="R197" s="643">
        <v>0</v>
      </c>
      <c r="S197" s="645">
        <v>0</v>
      </c>
      <c r="U197" s="641" t="s">
        <v>64</v>
      </c>
      <c r="V197" s="642">
        <v>0</v>
      </c>
      <c r="W197" s="643">
        <v>0</v>
      </c>
      <c r="X197" s="643">
        <v>0</v>
      </c>
      <c r="Y197" s="642">
        <v>0</v>
      </c>
      <c r="Z197" s="643">
        <v>0</v>
      </c>
      <c r="AA197" s="643">
        <v>0</v>
      </c>
      <c r="AB197" s="643">
        <v>0</v>
      </c>
      <c r="AC197" s="643">
        <v>0</v>
      </c>
      <c r="AD197" s="643">
        <v>0</v>
      </c>
      <c r="AE197" s="643">
        <v>0</v>
      </c>
      <c r="AF197" s="643">
        <v>0</v>
      </c>
      <c r="AG197" s="643">
        <v>0</v>
      </c>
      <c r="AH197" s="644">
        <v>0</v>
      </c>
      <c r="AI197" s="643">
        <v>0</v>
      </c>
      <c r="AJ197" s="643">
        <v>0</v>
      </c>
      <c r="AK197" s="645">
        <v>0</v>
      </c>
    </row>
    <row r="198" spans="3:37" ht="13.5">
      <c r="C198" s="646" t="s">
        <v>65</v>
      </c>
      <c r="D198" s="647">
        <v>46.099891323621534</v>
      </c>
      <c r="E198" s="647">
        <v>464.7986487</v>
      </c>
      <c r="F198" s="647">
        <v>-59.341223439635421</v>
      </c>
      <c r="G198" s="647">
        <v>345.55093723566335</v>
      </c>
      <c r="H198" s="647">
        <v>727.27272727272737</v>
      </c>
      <c r="I198" s="647">
        <v>338.37995078139568</v>
      </c>
      <c r="J198" s="647">
        <v>190.84741038091113</v>
      </c>
      <c r="K198" s="647">
        <v>19.887492227897642</v>
      </c>
      <c r="L198" s="647">
        <v>2.7639977986594397</v>
      </c>
      <c r="M198" s="647">
        <v>0.16041590589481752</v>
      </c>
      <c r="N198" s="647">
        <v>75.083762899489528</v>
      </c>
      <c r="O198" s="647">
        <v>12.515766779598991</v>
      </c>
      <c r="P198" s="647">
        <v>-12.7985093299136</v>
      </c>
      <c r="Q198" s="647">
        <v>0</v>
      </c>
      <c r="R198" s="647">
        <v>0</v>
      </c>
      <c r="S198" s="647">
        <v>2151.2212685363102</v>
      </c>
      <c r="U198" s="646" t="s">
        <v>65</v>
      </c>
      <c r="V198" s="647">
        <v>4.5871215860372576</v>
      </c>
      <c r="W198" s="647">
        <v>113.59926767676768</v>
      </c>
      <c r="X198" s="647">
        <v>-21.004029293308101</v>
      </c>
      <c r="Y198" s="647">
        <v>0.51452681198611927</v>
      </c>
      <c r="Z198" s="647">
        <v>764.84848484848499</v>
      </c>
      <c r="AA198" s="647">
        <v>423.19995078139567</v>
      </c>
      <c r="AB198" s="647">
        <v>261.81197328019942</v>
      </c>
      <c r="AC198" s="647">
        <v>36.108430969743218</v>
      </c>
      <c r="AD198" s="647">
        <v>-42.834445360645091</v>
      </c>
      <c r="AE198" s="647">
        <v>-4.9533137132699832</v>
      </c>
      <c r="AF198" s="647">
        <v>123.16818516374138</v>
      </c>
      <c r="AG198" s="647">
        <v>30.250193334526926</v>
      </c>
      <c r="AH198" s="647">
        <v>-41.639986107117011</v>
      </c>
      <c r="AI198" s="647">
        <v>0</v>
      </c>
      <c r="AJ198" s="647">
        <v>0</v>
      </c>
      <c r="AK198" s="647">
        <v>1647.6563599785427</v>
      </c>
    </row>
    <row r="199" spans="3:37" ht="13">
      <c r="C199" s="636"/>
      <c r="D199" s="636">
        <v>0</v>
      </c>
      <c r="E199" s="636">
        <v>0</v>
      </c>
      <c r="F199" s="636">
        <v>0</v>
      </c>
      <c r="G199" s="636">
        <v>0</v>
      </c>
      <c r="H199" s="636">
        <v>0</v>
      </c>
      <c r="I199" s="636">
        <v>0</v>
      </c>
      <c r="J199" s="636">
        <v>0</v>
      </c>
      <c r="K199" s="636">
        <v>0</v>
      </c>
      <c r="L199" s="636">
        <v>0</v>
      </c>
      <c r="M199" s="636">
        <v>0</v>
      </c>
      <c r="N199" s="636">
        <v>0</v>
      </c>
      <c r="O199" s="636">
        <v>0</v>
      </c>
      <c r="P199" s="636">
        <v>0</v>
      </c>
      <c r="Q199" s="636">
        <v>0</v>
      </c>
      <c r="R199" s="636">
        <v>0</v>
      </c>
      <c r="S199" s="636">
        <v>0</v>
      </c>
      <c r="U199" s="636"/>
      <c r="V199" s="636">
        <v>0</v>
      </c>
      <c r="W199" s="636">
        <v>0</v>
      </c>
      <c r="X199" s="636">
        <v>0</v>
      </c>
      <c r="Y199" s="636">
        <v>0</v>
      </c>
      <c r="Z199" s="636">
        <v>0</v>
      </c>
      <c r="AA199" s="636">
        <v>0</v>
      </c>
      <c r="AB199" s="636">
        <v>0</v>
      </c>
      <c r="AC199" s="636">
        <v>0</v>
      </c>
      <c r="AD199" s="636">
        <v>0</v>
      </c>
      <c r="AE199" s="636">
        <v>0</v>
      </c>
      <c r="AF199" s="636">
        <v>0</v>
      </c>
      <c r="AG199" s="636">
        <v>0</v>
      </c>
      <c r="AH199" s="636">
        <v>0</v>
      </c>
      <c r="AI199" s="636">
        <v>0</v>
      </c>
      <c r="AJ199" s="636">
        <v>0</v>
      </c>
      <c r="AK199" s="636">
        <v>0</v>
      </c>
    </row>
    <row r="200" spans="3:37" ht="13.5">
      <c r="C200" s="648" t="s">
        <v>67</v>
      </c>
      <c r="D200" s="642">
        <v>0</v>
      </c>
      <c r="E200" s="649">
        <v>0</v>
      </c>
      <c r="F200" s="649">
        <v>0</v>
      </c>
      <c r="G200" s="642">
        <v>0</v>
      </c>
      <c r="H200" s="642">
        <v>0</v>
      </c>
      <c r="I200" s="642">
        <v>0</v>
      </c>
      <c r="J200" s="642">
        <v>0</v>
      </c>
      <c r="K200" s="642">
        <v>0</v>
      </c>
      <c r="L200" s="642">
        <v>0</v>
      </c>
      <c r="M200" s="642">
        <v>0</v>
      </c>
      <c r="N200" s="642">
        <v>0</v>
      </c>
      <c r="O200" s="642">
        <v>0</v>
      </c>
      <c r="P200" s="642">
        <v>0</v>
      </c>
      <c r="Q200" s="642">
        <v>0</v>
      </c>
      <c r="R200" s="642">
        <v>0</v>
      </c>
      <c r="S200" s="650">
        <v>0</v>
      </c>
      <c r="U200" s="648" t="s">
        <v>67</v>
      </c>
      <c r="V200" s="642">
        <v>0</v>
      </c>
      <c r="W200" s="649">
        <v>0</v>
      </c>
      <c r="X200" s="649">
        <v>0</v>
      </c>
      <c r="Y200" s="642">
        <v>0</v>
      </c>
      <c r="Z200" s="642">
        <v>0</v>
      </c>
      <c r="AA200" s="642">
        <v>0</v>
      </c>
      <c r="AB200" s="642">
        <v>0</v>
      </c>
      <c r="AC200" s="642">
        <v>0</v>
      </c>
      <c r="AD200" s="642">
        <v>0</v>
      </c>
      <c r="AE200" s="642">
        <v>0</v>
      </c>
      <c r="AF200" s="642">
        <v>0</v>
      </c>
      <c r="AG200" s="642">
        <v>0</v>
      </c>
      <c r="AH200" s="642">
        <v>0</v>
      </c>
      <c r="AI200" s="642">
        <v>0</v>
      </c>
      <c r="AJ200" s="642">
        <v>0</v>
      </c>
      <c r="AK200" s="650">
        <v>0</v>
      </c>
    </row>
    <row r="201" spans="3:37" ht="13.5">
      <c r="C201" s="648" t="s">
        <v>350</v>
      </c>
      <c r="D201" s="642">
        <v>2.8267856410252494</v>
      </c>
      <c r="E201" s="642">
        <v>0</v>
      </c>
      <c r="F201" s="642">
        <v>8.0599105831015567</v>
      </c>
      <c r="G201" s="642">
        <v>46.530346198952707</v>
      </c>
      <c r="H201" s="642">
        <v>727.27272727272737</v>
      </c>
      <c r="I201" s="642">
        <v>338.37995078139568</v>
      </c>
      <c r="J201" s="651">
        <v>28.452469116356035</v>
      </c>
      <c r="K201" s="651">
        <v>6.2305848357200952</v>
      </c>
      <c r="L201" s="651">
        <v>3.7328950664080915</v>
      </c>
      <c r="M201" s="651">
        <v>1.0761160081227215</v>
      </c>
      <c r="N201" s="651">
        <v>0</v>
      </c>
      <c r="O201" s="651">
        <v>7.5664382136221358</v>
      </c>
      <c r="P201" s="642">
        <v>-629.14515201417555</v>
      </c>
      <c r="Q201" s="642">
        <v>0</v>
      </c>
      <c r="R201" s="642">
        <v>0</v>
      </c>
      <c r="S201" s="650">
        <v>540.98307170325586</v>
      </c>
      <c r="U201" s="648" t="s">
        <v>350</v>
      </c>
      <c r="V201" s="642">
        <v>0.62631490545869017</v>
      </c>
      <c r="W201" s="642">
        <v>0</v>
      </c>
      <c r="X201" s="642">
        <v>4.1962742194651934</v>
      </c>
      <c r="Y201" s="642">
        <v>0</v>
      </c>
      <c r="Z201" s="642">
        <v>764.84848484848499</v>
      </c>
      <c r="AA201" s="642">
        <v>423.19995078139567</v>
      </c>
      <c r="AB201" s="651">
        <v>22.478183728982629</v>
      </c>
      <c r="AC201" s="651">
        <v>5.0926371917675839</v>
      </c>
      <c r="AD201" s="651">
        <v>3.7328950664080915</v>
      </c>
      <c r="AE201" s="651">
        <v>0.79318377276994545</v>
      </c>
      <c r="AF201" s="651">
        <v>0</v>
      </c>
      <c r="AG201" s="651">
        <v>7.5664382136221358</v>
      </c>
      <c r="AH201" s="642">
        <v>-696.77718495359215</v>
      </c>
      <c r="AI201" s="642">
        <v>0</v>
      </c>
      <c r="AJ201" s="642">
        <v>3.75</v>
      </c>
      <c r="AK201" s="650">
        <v>539.50717777476291</v>
      </c>
    </row>
    <row r="202" spans="3:37" ht="13.5">
      <c r="C202" s="648" t="s">
        <v>351</v>
      </c>
      <c r="D202" s="642">
        <v>0</v>
      </c>
      <c r="E202" s="642">
        <v>0</v>
      </c>
      <c r="F202" s="642">
        <v>0</v>
      </c>
      <c r="G202" s="642">
        <v>14.783508517784153</v>
      </c>
      <c r="H202" s="642">
        <v>0</v>
      </c>
      <c r="I202" s="642">
        <v>0</v>
      </c>
      <c r="J202" s="651">
        <v>12.163067049530284</v>
      </c>
      <c r="K202" s="651">
        <v>11.829214997579474</v>
      </c>
      <c r="L202" s="651">
        <v>0</v>
      </c>
      <c r="M202" s="651">
        <v>0.31740804730172578</v>
      </c>
      <c r="N202" s="651">
        <v>0</v>
      </c>
      <c r="O202" s="651">
        <v>2.086875550337155</v>
      </c>
      <c r="P202" s="642">
        <v>0</v>
      </c>
      <c r="Q202" s="642">
        <v>-37.667878685561853</v>
      </c>
      <c r="R202" s="642">
        <v>0</v>
      </c>
      <c r="S202" s="650">
        <v>3.5121954769709394</v>
      </c>
      <c r="U202" s="648" t="s">
        <v>351</v>
      </c>
      <c r="V202" s="642">
        <v>0</v>
      </c>
      <c r="W202" s="642">
        <v>0</v>
      </c>
      <c r="X202" s="642">
        <v>0</v>
      </c>
      <c r="Y202" s="642">
        <v>0</v>
      </c>
      <c r="Z202" s="642">
        <v>0</v>
      </c>
      <c r="AA202" s="642">
        <v>0</v>
      </c>
      <c r="AB202" s="651">
        <v>28.523630086620891</v>
      </c>
      <c r="AC202" s="651">
        <v>26.288013396118924</v>
      </c>
      <c r="AD202" s="651">
        <v>0</v>
      </c>
      <c r="AE202" s="651">
        <v>10.611192177482708</v>
      </c>
      <c r="AF202" s="651">
        <v>0</v>
      </c>
      <c r="AG202" s="651">
        <v>14.121402979798832</v>
      </c>
      <c r="AH202" s="642">
        <v>0</v>
      </c>
      <c r="AI202" s="642">
        <v>-74.176724382187018</v>
      </c>
      <c r="AJ202" s="642">
        <v>0</v>
      </c>
      <c r="AK202" s="650">
        <v>5.3675142578343316</v>
      </c>
    </row>
    <row r="203" spans="3:37" ht="13.5">
      <c r="C203" s="648" t="s">
        <v>352</v>
      </c>
      <c r="D203" s="642">
        <v>0</v>
      </c>
      <c r="E203" s="642">
        <v>0</v>
      </c>
      <c r="F203" s="642">
        <v>0</v>
      </c>
      <c r="G203" s="642">
        <v>0</v>
      </c>
      <c r="H203" s="642">
        <v>0</v>
      </c>
      <c r="I203" s="642">
        <v>0</v>
      </c>
      <c r="J203" s="652">
        <v>7.1450792385721682</v>
      </c>
      <c r="K203" s="652">
        <v>0</v>
      </c>
      <c r="L203" s="652">
        <v>0</v>
      </c>
      <c r="M203" s="652">
        <v>-6.8235506728364204</v>
      </c>
      <c r="N203" s="652">
        <v>0</v>
      </c>
      <c r="O203" s="652">
        <v>0</v>
      </c>
      <c r="P203" s="642">
        <v>0</v>
      </c>
      <c r="Q203" s="642">
        <v>0</v>
      </c>
      <c r="R203" s="642">
        <v>0</v>
      </c>
      <c r="S203" s="650">
        <v>0.32152856573574784</v>
      </c>
      <c r="U203" s="648" t="s">
        <v>352</v>
      </c>
      <c r="V203" s="642">
        <v>0</v>
      </c>
      <c r="W203" s="642">
        <v>0</v>
      </c>
      <c r="X203" s="642">
        <v>0</v>
      </c>
      <c r="Y203" s="642">
        <v>0</v>
      </c>
      <c r="Z203" s="642">
        <v>0</v>
      </c>
      <c r="AA203" s="642">
        <v>0</v>
      </c>
      <c r="AB203" s="652">
        <v>137.81211213320262</v>
      </c>
      <c r="AC203" s="652">
        <v>0</v>
      </c>
      <c r="AD203" s="652">
        <v>0</v>
      </c>
      <c r="AE203" s="652">
        <v>-131.61056708720849</v>
      </c>
      <c r="AF203" s="652">
        <v>0</v>
      </c>
      <c r="AG203" s="652">
        <v>0</v>
      </c>
      <c r="AH203" s="642">
        <v>0</v>
      </c>
      <c r="AI203" s="642">
        <v>0</v>
      </c>
      <c r="AJ203" s="642">
        <v>0</v>
      </c>
      <c r="AK203" s="650">
        <v>6.2015450459941235</v>
      </c>
    </row>
    <row r="204" spans="3:37" ht="13.5">
      <c r="C204" s="648" t="s">
        <v>353</v>
      </c>
      <c r="D204" s="642">
        <v>0</v>
      </c>
      <c r="E204" s="642">
        <v>0</v>
      </c>
      <c r="F204" s="642">
        <v>0</v>
      </c>
      <c r="G204" s="642">
        <v>0</v>
      </c>
      <c r="H204" s="642">
        <v>0</v>
      </c>
      <c r="I204" s="642">
        <v>0</v>
      </c>
      <c r="J204" s="642">
        <v>0</v>
      </c>
      <c r="K204" s="642">
        <v>0</v>
      </c>
      <c r="L204" s="642">
        <v>0</v>
      </c>
      <c r="M204" s="642">
        <v>0</v>
      </c>
      <c r="N204" s="642">
        <v>0</v>
      </c>
      <c r="O204" s="642">
        <v>0</v>
      </c>
      <c r="P204" s="642">
        <v>0</v>
      </c>
      <c r="Q204" s="642">
        <v>0</v>
      </c>
      <c r="R204" s="642">
        <v>0</v>
      </c>
      <c r="S204" s="650">
        <v>0</v>
      </c>
      <c r="U204" s="648" t="s">
        <v>353</v>
      </c>
      <c r="V204" s="642">
        <v>0</v>
      </c>
      <c r="W204" s="642">
        <v>0</v>
      </c>
      <c r="X204" s="642">
        <v>0</v>
      </c>
      <c r="Y204" s="642">
        <v>0</v>
      </c>
      <c r="Z204" s="642">
        <v>0</v>
      </c>
      <c r="AA204" s="642">
        <v>0</v>
      </c>
      <c r="AB204" s="642">
        <v>0</v>
      </c>
      <c r="AC204" s="642">
        <v>0</v>
      </c>
      <c r="AD204" s="642">
        <v>0</v>
      </c>
      <c r="AE204" s="642">
        <v>0</v>
      </c>
      <c r="AF204" s="642">
        <v>0</v>
      </c>
      <c r="AG204" s="642">
        <v>0</v>
      </c>
      <c r="AH204" s="642">
        <v>0</v>
      </c>
      <c r="AI204" s="642">
        <v>0</v>
      </c>
      <c r="AJ204" s="642">
        <v>0</v>
      </c>
      <c r="AK204" s="650">
        <v>0</v>
      </c>
    </row>
    <row r="205" spans="3:37" ht="13.5">
      <c r="C205" s="648" t="s">
        <v>72</v>
      </c>
      <c r="D205" s="642">
        <v>0</v>
      </c>
      <c r="E205" s="642">
        <v>481.48200000000003</v>
      </c>
      <c r="F205" s="642">
        <v>-476.66718000000003</v>
      </c>
      <c r="G205" s="642">
        <v>0</v>
      </c>
      <c r="H205" s="642">
        <v>0</v>
      </c>
      <c r="I205" s="642">
        <v>0</v>
      </c>
      <c r="J205" s="642">
        <v>0</v>
      </c>
      <c r="K205" s="642">
        <v>0</v>
      </c>
      <c r="L205" s="642">
        <v>0</v>
      </c>
      <c r="M205" s="642">
        <v>0</v>
      </c>
      <c r="N205" s="642">
        <v>0</v>
      </c>
      <c r="O205" s="642">
        <v>0</v>
      </c>
      <c r="P205" s="642">
        <v>0</v>
      </c>
      <c r="Q205" s="642">
        <v>0</v>
      </c>
      <c r="R205" s="642">
        <v>0</v>
      </c>
      <c r="S205" s="650">
        <v>4.8148199999999974</v>
      </c>
      <c r="U205" s="648" t="s">
        <v>72</v>
      </c>
      <c r="V205" s="642">
        <v>0</v>
      </c>
      <c r="W205" s="642">
        <v>117.67676767676768</v>
      </c>
      <c r="X205" s="642">
        <v>-116.5</v>
      </c>
      <c r="Y205" s="642">
        <v>0</v>
      </c>
      <c r="Z205" s="642">
        <v>0</v>
      </c>
      <c r="AA205" s="642">
        <v>0</v>
      </c>
      <c r="AB205" s="642">
        <v>0</v>
      </c>
      <c r="AC205" s="642">
        <v>0</v>
      </c>
      <c r="AD205" s="642">
        <v>0</v>
      </c>
      <c r="AE205" s="642">
        <v>0</v>
      </c>
      <c r="AF205" s="642">
        <v>0</v>
      </c>
      <c r="AG205" s="642">
        <v>0</v>
      </c>
      <c r="AH205" s="642">
        <v>0</v>
      </c>
      <c r="AI205" s="642">
        <v>0</v>
      </c>
      <c r="AJ205" s="642">
        <v>0</v>
      </c>
      <c r="AK205" s="650">
        <v>1.1767676767676818</v>
      </c>
    </row>
    <row r="206" spans="3:37" ht="13.5">
      <c r="C206" s="648" t="s">
        <v>354</v>
      </c>
      <c r="D206" s="642">
        <v>0</v>
      </c>
      <c r="E206" s="642">
        <v>0</v>
      </c>
      <c r="F206" s="642">
        <v>0</v>
      </c>
      <c r="G206" s="642">
        <v>0</v>
      </c>
      <c r="H206" s="642">
        <v>0</v>
      </c>
      <c r="I206" s="642">
        <v>0</v>
      </c>
      <c r="J206" s="642">
        <v>26.125483595276659</v>
      </c>
      <c r="K206" s="642">
        <v>0</v>
      </c>
      <c r="L206" s="642">
        <v>-26.125483595276659</v>
      </c>
      <c r="M206" s="642">
        <v>0</v>
      </c>
      <c r="N206" s="642">
        <v>0</v>
      </c>
      <c r="O206" s="642">
        <v>0</v>
      </c>
      <c r="P206" s="642">
        <v>0</v>
      </c>
      <c r="Q206" s="642">
        <v>0</v>
      </c>
      <c r="R206" s="642">
        <v>0</v>
      </c>
      <c r="S206" s="650">
        <v>0</v>
      </c>
      <c r="U206" s="648" t="s">
        <v>354</v>
      </c>
      <c r="V206" s="642">
        <v>0</v>
      </c>
      <c r="W206" s="642">
        <v>0</v>
      </c>
      <c r="X206" s="642">
        <v>0</v>
      </c>
      <c r="Y206" s="642">
        <v>0</v>
      </c>
      <c r="Z206" s="642">
        <v>0</v>
      </c>
      <c r="AA206" s="642">
        <v>0</v>
      </c>
      <c r="AB206" s="642" t="e">
        <v>#VALUE!</v>
      </c>
      <c r="AC206" s="642">
        <v>0</v>
      </c>
      <c r="AD206" s="642">
        <v>-100.69655001825291</v>
      </c>
      <c r="AE206" s="642">
        <v>0</v>
      </c>
      <c r="AF206" s="642">
        <v>0</v>
      </c>
      <c r="AG206" s="642">
        <v>0</v>
      </c>
      <c r="AH206" s="642">
        <v>0</v>
      </c>
      <c r="AI206" s="642">
        <v>0</v>
      </c>
      <c r="AJ206" s="642">
        <v>0</v>
      </c>
      <c r="AK206" s="650">
        <v>-100.69655001825291</v>
      </c>
    </row>
    <row r="207" spans="3:37" ht="13.5">
      <c r="C207" s="648" t="s">
        <v>355</v>
      </c>
      <c r="D207" s="642">
        <v>0</v>
      </c>
      <c r="E207" s="642">
        <v>0</v>
      </c>
      <c r="F207" s="642">
        <v>0</v>
      </c>
      <c r="G207" s="642">
        <v>0</v>
      </c>
      <c r="H207" s="642">
        <v>0</v>
      </c>
      <c r="I207" s="642">
        <v>0</v>
      </c>
      <c r="J207" s="642">
        <v>0</v>
      </c>
      <c r="K207" s="642">
        <v>0</v>
      </c>
      <c r="L207" s="642">
        <v>0</v>
      </c>
      <c r="M207" s="642">
        <v>0</v>
      </c>
      <c r="N207" s="642">
        <v>0</v>
      </c>
      <c r="O207" s="642">
        <v>0</v>
      </c>
      <c r="P207" s="642">
        <v>0</v>
      </c>
      <c r="Q207" s="642">
        <v>0</v>
      </c>
      <c r="R207" s="642">
        <v>0</v>
      </c>
      <c r="S207" s="650">
        <v>0</v>
      </c>
      <c r="U207" s="648" t="s">
        <v>355</v>
      </c>
      <c r="V207" s="642">
        <v>0</v>
      </c>
      <c r="W207" s="642">
        <v>0</v>
      </c>
      <c r="X207" s="642">
        <v>0</v>
      </c>
      <c r="Y207" s="642">
        <v>0</v>
      </c>
      <c r="Z207" s="642">
        <v>0</v>
      </c>
      <c r="AA207" s="642">
        <v>0</v>
      </c>
      <c r="AB207" s="642">
        <v>0</v>
      </c>
      <c r="AC207" s="642">
        <v>0</v>
      </c>
      <c r="AD207" s="642">
        <v>-28.460377640694865</v>
      </c>
      <c r="AE207" s="642">
        <v>0</v>
      </c>
      <c r="AF207" s="642">
        <v>0</v>
      </c>
      <c r="AG207" s="642">
        <v>0</v>
      </c>
      <c r="AH207" s="642">
        <v>0</v>
      </c>
      <c r="AI207" s="642">
        <v>0</v>
      </c>
      <c r="AJ207" s="642">
        <v>0</v>
      </c>
      <c r="AK207" s="650">
        <v>-28.460377640694865</v>
      </c>
    </row>
    <row r="208" spans="3:37" ht="13.5">
      <c r="C208" s="648" t="s">
        <v>73</v>
      </c>
      <c r="D208" s="642">
        <v>0</v>
      </c>
      <c r="E208" s="642">
        <v>0</v>
      </c>
      <c r="F208" s="642">
        <v>0</v>
      </c>
      <c r="G208" s="642">
        <v>8.6128889644156494</v>
      </c>
      <c r="H208" s="642">
        <v>0</v>
      </c>
      <c r="I208" s="642">
        <v>0</v>
      </c>
      <c r="J208" s="642">
        <v>0</v>
      </c>
      <c r="K208" s="642">
        <v>0.10101910584583218</v>
      </c>
      <c r="L208" s="642">
        <v>0</v>
      </c>
      <c r="M208" s="642">
        <v>0.17577324417174797</v>
      </c>
      <c r="N208" s="642">
        <v>0</v>
      </c>
      <c r="O208" s="642">
        <v>0</v>
      </c>
      <c r="P208" s="642">
        <v>1.1785562348680418</v>
      </c>
      <c r="Q208" s="642">
        <v>0</v>
      </c>
      <c r="R208" s="642">
        <v>-7.071337409208251</v>
      </c>
      <c r="S208" s="650">
        <v>2.99690014009302</v>
      </c>
      <c r="U208" s="648" t="s">
        <v>73</v>
      </c>
      <c r="V208" s="642">
        <v>0</v>
      </c>
      <c r="W208" s="642">
        <v>0</v>
      </c>
      <c r="X208" s="642">
        <v>0</v>
      </c>
      <c r="Y208" s="642">
        <v>0</v>
      </c>
      <c r="Z208" s="642">
        <v>0</v>
      </c>
      <c r="AA208" s="642">
        <v>0</v>
      </c>
      <c r="AB208" s="642">
        <v>0</v>
      </c>
      <c r="AC208" s="642">
        <v>0.58294529496624936</v>
      </c>
      <c r="AD208" s="642">
        <v>0</v>
      </c>
      <c r="AE208" s="642">
        <v>0</v>
      </c>
      <c r="AF208" s="642">
        <v>0</v>
      </c>
      <c r="AG208" s="642">
        <v>0</v>
      </c>
      <c r="AH208" s="642">
        <v>56.108484640501494</v>
      </c>
      <c r="AI208" s="642">
        <v>0</v>
      </c>
      <c r="AJ208" s="642">
        <v>-40.806170647637451</v>
      </c>
      <c r="AK208" s="650">
        <v>15.885259287830294</v>
      </c>
    </row>
    <row r="209" spans="3:37" ht="13.5">
      <c r="C209" s="648" t="s">
        <v>356</v>
      </c>
      <c r="D209" s="642">
        <v>28.51179328125</v>
      </c>
      <c r="E209" s="642">
        <v>-16.683351300000002</v>
      </c>
      <c r="F209" s="642">
        <v>21.820838094867195</v>
      </c>
      <c r="G209" s="642">
        <v>0</v>
      </c>
      <c r="H209" s="642">
        <v>0</v>
      </c>
      <c r="I209" s="642">
        <v>0</v>
      </c>
      <c r="J209" s="642">
        <v>0</v>
      </c>
      <c r="K209" s="642">
        <v>0</v>
      </c>
      <c r="L209" s="642">
        <v>0</v>
      </c>
      <c r="M209" s="642">
        <v>0</v>
      </c>
      <c r="N209" s="642">
        <v>0</v>
      </c>
      <c r="O209" s="642">
        <v>0</v>
      </c>
      <c r="P209" s="642">
        <v>0</v>
      </c>
      <c r="Q209" s="642">
        <v>0</v>
      </c>
      <c r="R209" s="642">
        <v>0</v>
      </c>
      <c r="S209" s="650">
        <v>33.649280076117194</v>
      </c>
      <c r="U209" s="648" t="s">
        <v>356</v>
      </c>
      <c r="V209" s="642">
        <v>0.72303211975097659</v>
      </c>
      <c r="W209" s="642">
        <v>-4.0775000000000006</v>
      </c>
      <c r="X209" s="642">
        <v>5.333129161634389</v>
      </c>
      <c r="Y209" s="642">
        <v>0</v>
      </c>
      <c r="Z209" s="642">
        <v>0</v>
      </c>
      <c r="AA209" s="642">
        <v>0</v>
      </c>
      <c r="AB209" s="642">
        <v>0</v>
      </c>
      <c r="AC209" s="642">
        <v>0</v>
      </c>
      <c r="AD209" s="642">
        <v>0</v>
      </c>
      <c r="AE209" s="642">
        <v>0</v>
      </c>
      <c r="AF209" s="642">
        <v>0</v>
      </c>
      <c r="AG209" s="642">
        <v>0</v>
      </c>
      <c r="AH209" s="642">
        <v>0</v>
      </c>
      <c r="AI209" s="642">
        <v>0</v>
      </c>
      <c r="AJ209" s="642">
        <v>0</v>
      </c>
      <c r="AK209" s="650">
        <v>1.978661281385365</v>
      </c>
    </row>
    <row r="210" spans="3:37" ht="13.5">
      <c r="C210" s="648" t="s">
        <v>75</v>
      </c>
      <c r="D210" s="642">
        <v>11.087919609375001</v>
      </c>
      <c r="E210" s="642">
        <v>0</v>
      </c>
      <c r="F210" s="642">
        <v>16.370388000000002</v>
      </c>
      <c r="G210" s="642">
        <v>4.6713383640000004</v>
      </c>
      <c r="H210" s="642">
        <v>0</v>
      </c>
      <c r="I210" s="642">
        <v>0</v>
      </c>
      <c r="J210" s="642">
        <v>0</v>
      </c>
      <c r="K210" s="642">
        <v>0</v>
      </c>
      <c r="L210" s="642">
        <v>0</v>
      </c>
      <c r="M210" s="642">
        <v>9.5333436000000008E-2</v>
      </c>
      <c r="N210" s="642">
        <v>0</v>
      </c>
      <c r="O210" s="642">
        <v>0</v>
      </c>
      <c r="P210" s="642">
        <v>26.129145836866744</v>
      </c>
      <c r="Q210" s="642">
        <v>0</v>
      </c>
      <c r="R210" s="642">
        <v>0</v>
      </c>
      <c r="S210" s="650">
        <v>58.35412524624175</v>
      </c>
      <c r="U210" s="648" t="s">
        <v>75</v>
      </c>
      <c r="V210" s="642">
        <v>1.73775830078125</v>
      </c>
      <c r="W210" s="642">
        <v>0</v>
      </c>
      <c r="X210" s="642">
        <v>16.370388000000002</v>
      </c>
      <c r="Y210" s="642">
        <v>0</v>
      </c>
      <c r="Z210" s="642">
        <v>0</v>
      </c>
      <c r="AA210" s="642">
        <v>0</v>
      </c>
      <c r="AB210" s="642">
        <v>0</v>
      </c>
      <c r="AC210" s="642">
        <v>0</v>
      </c>
      <c r="AD210" s="642">
        <v>0</v>
      </c>
      <c r="AE210" s="642">
        <v>4.7666718000000001</v>
      </c>
      <c r="AF210" s="642">
        <v>0</v>
      </c>
      <c r="AG210" s="642">
        <v>0</v>
      </c>
      <c r="AH210" s="642">
        <v>36.696565665655768</v>
      </c>
      <c r="AI210" s="642">
        <v>0</v>
      </c>
      <c r="AJ210" s="642">
        <v>0</v>
      </c>
      <c r="AK210" s="650">
        <v>59.571383766437016</v>
      </c>
    </row>
    <row r="211" spans="3:37" ht="13.5">
      <c r="C211" s="648" t="s">
        <v>76</v>
      </c>
      <c r="D211" s="642">
        <v>0</v>
      </c>
      <c r="E211" s="642">
        <v>0</v>
      </c>
      <c r="F211" s="642">
        <v>0</v>
      </c>
      <c r="G211" s="642">
        <v>3.9646717348100942</v>
      </c>
      <c r="H211" s="642">
        <v>0</v>
      </c>
      <c r="I211" s="642">
        <v>0</v>
      </c>
      <c r="J211" s="642">
        <v>0</v>
      </c>
      <c r="K211" s="642">
        <v>0</v>
      </c>
      <c r="L211" s="642">
        <v>0</v>
      </c>
      <c r="M211" s="642">
        <v>8.0911668057348868E-2</v>
      </c>
      <c r="N211" s="642">
        <v>0</v>
      </c>
      <c r="O211" s="642">
        <v>0</v>
      </c>
      <c r="P211" s="642">
        <v>47.131742012269626</v>
      </c>
      <c r="Q211" s="642">
        <v>2.9238621334994321</v>
      </c>
      <c r="R211" s="642">
        <v>0</v>
      </c>
      <c r="S211" s="650">
        <v>54.101187548636503</v>
      </c>
      <c r="U211" s="648" t="s">
        <v>76</v>
      </c>
      <c r="V211" s="642">
        <v>0</v>
      </c>
      <c r="W211" s="642">
        <v>0</v>
      </c>
      <c r="X211" s="642">
        <v>0</v>
      </c>
      <c r="Y211" s="642">
        <v>0</v>
      </c>
      <c r="Z211" s="642">
        <v>0</v>
      </c>
      <c r="AA211" s="642">
        <v>0</v>
      </c>
      <c r="AB211" s="642">
        <v>0</v>
      </c>
      <c r="AC211" s="642">
        <v>0</v>
      </c>
      <c r="AD211" s="642">
        <v>0</v>
      </c>
      <c r="AE211" s="642">
        <v>1.5605996097297452</v>
      </c>
      <c r="AF211" s="642">
        <v>0</v>
      </c>
      <c r="AG211" s="642">
        <v>0</v>
      </c>
      <c r="AH211" s="642">
        <v>50.104610120731024</v>
      </c>
      <c r="AI211" s="642">
        <v>5.7529608775183565</v>
      </c>
      <c r="AJ211" s="642">
        <v>0</v>
      </c>
      <c r="AK211" s="650">
        <v>57.418170607979121</v>
      </c>
    </row>
    <row r="212" spans="3:37" ht="13.5">
      <c r="C212" s="646" t="s">
        <v>77</v>
      </c>
      <c r="D212" s="647">
        <v>42.426498531650253</v>
      </c>
      <c r="E212" s="647">
        <v>464.7986487</v>
      </c>
      <c r="F212" s="647">
        <v>-430.41604332203127</v>
      </c>
      <c r="G212" s="647">
        <v>78.562753779962591</v>
      </c>
      <c r="H212" s="647">
        <v>727.27272727272737</v>
      </c>
      <c r="I212" s="647">
        <v>338.37995078139568</v>
      </c>
      <c r="J212" s="647">
        <v>73.88609899973514</v>
      </c>
      <c r="K212" s="647">
        <v>18.1608189391454</v>
      </c>
      <c r="L212" s="647">
        <v>-22.392588528868568</v>
      </c>
      <c r="M212" s="647">
        <v>-5.0780082691828765</v>
      </c>
      <c r="N212" s="647">
        <v>0</v>
      </c>
      <c r="O212" s="647">
        <v>9.6533137639592894</v>
      </c>
      <c r="P212" s="647">
        <v>-554.70570793017112</v>
      </c>
      <c r="Q212" s="647">
        <v>-34.744016552062419</v>
      </c>
      <c r="R212" s="647">
        <v>-7.071337409208251</v>
      </c>
      <c r="S212" s="647">
        <v>698.73310875705101</v>
      </c>
      <c r="U212" s="646" t="s">
        <v>77</v>
      </c>
      <c r="V212" s="647">
        <v>3.0871053259909167</v>
      </c>
      <c r="W212" s="647">
        <v>113.59926767676768</v>
      </c>
      <c r="X212" s="647">
        <v>-90.60020861890041</v>
      </c>
      <c r="Y212" s="647">
        <v>0</v>
      </c>
      <c r="Z212" s="647">
        <v>764.84848484848499</v>
      </c>
      <c r="AA212" s="647">
        <v>423.19995078139567</v>
      </c>
      <c r="AB212" s="647">
        <v>188.81392594880614</v>
      </c>
      <c r="AC212" s="647">
        <v>31.963595882852758</v>
      </c>
      <c r="AD212" s="647">
        <v>-125.42403259253969</v>
      </c>
      <c r="AE212" s="647">
        <v>-113.87891972722609</v>
      </c>
      <c r="AF212" s="647">
        <v>0</v>
      </c>
      <c r="AG212" s="647">
        <v>21.687841193420969</v>
      </c>
      <c r="AH212" s="647">
        <v>-553.86752452670385</v>
      </c>
      <c r="AI212" s="647">
        <v>-68.423763504668656</v>
      </c>
      <c r="AJ212" s="647">
        <v>-37.056170647637451</v>
      </c>
      <c r="AK212" s="647">
        <v>557.94955204004305</v>
      </c>
    </row>
    <row r="213" spans="3:37" ht="13">
      <c r="C213" s="636"/>
      <c r="D213" s="636">
        <v>0</v>
      </c>
      <c r="E213" s="636">
        <v>0</v>
      </c>
      <c r="F213" s="636">
        <v>0</v>
      </c>
      <c r="G213" s="636">
        <v>0</v>
      </c>
      <c r="H213" s="636">
        <v>0</v>
      </c>
      <c r="I213" s="636">
        <v>0</v>
      </c>
      <c r="J213" s="636">
        <v>0</v>
      </c>
      <c r="K213" s="636">
        <v>0</v>
      </c>
      <c r="L213" s="636">
        <v>0</v>
      </c>
      <c r="M213" s="636">
        <v>0</v>
      </c>
      <c r="N213" s="636">
        <v>0</v>
      </c>
      <c r="O213" s="636">
        <v>0</v>
      </c>
      <c r="P213" s="636">
        <v>0</v>
      </c>
      <c r="Q213" s="636">
        <v>0</v>
      </c>
      <c r="R213" s="636">
        <v>0</v>
      </c>
      <c r="S213" s="636">
        <v>0</v>
      </c>
      <c r="U213" s="636"/>
      <c r="V213" s="636">
        <v>0</v>
      </c>
      <c r="W213" s="636">
        <v>0</v>
      </c>
      <c r="X213" s="636">
        <v>0</v>
      </c>
      <c r="Y213" s="636">
        <v>0</v>
      </c>
      <c r="Z213" s="636">
        <v>0</v>
      </c>
      <c r="AA213" s="636">
        <v>0</v>
      </c>
      <c r="AB213" s="636">
        <v>0</v>
      </c>
      <c r="AC213" s="636">
        <v>0</v>
      </c>
      <c r="AD213" s="636">
        <v>0</v>
      </c>
      <c r="AE213" s="636">
        <v>0</v>
      </c>
      <c r="AF213" s="636">
        <v>0</v>
      </c>
      <c r="AG213" s="636">
        <v>0</v>
      </c>
      <c r="AH213" s="636">
        <v>0</v>
      </c>
      <c r="AI213" s="636">
        <v>0</v>
      </c>
      <c r="AJ213" s="636">
        <v>0</v>
      </c>
      <c r="AK213" s="636">
        <v>0</v>
      </c>
    </row>
    <row r="214" spans="3:37" ht="13.5">
      <c r="C214" s="648" t="s">
        <v>78</v>
      </c>
      <c r="D214" s="642">
        <v>3.6733927919712848</v>
      </c>
      <c r="E214" s="642">
        <v>0</v>
      </c>
      <c r="F214" s="642">
        <v>19.397200033553816</v>
      </c>
      <c r="G214" s="642">
        <v>91.130108310207916</v>
      </c>
      <c r="H214" s="642">
        <v>0</v>
      </c>
      <c r="I214" s="642">
        <v>0</v>
      </c>
      <c r="J214" s="642">
        <v>22.791437377983073</v>
      </c>
      <c r="K214" s="642">
        <v>1.7013098714668424</v>
      </c>
      <c r="L214" s="642">
        <v>1.007010953125</v>
      </c>
      <c r="M214" s="642">
        <v>1.8779931367345493</v>
      </c>
      <c r="N214" s="642">
        <v>0</v>
      </c>
      <c r="O214" s="642">
        <v>3.7093504340600874E-4</v>
      </c>
      <c r="P214" s="642">
        <v>114.54790196708234</v>
      </c>
      <c r="Q214" s="642">
        <v>16.21056036467343</v>
      </c>
      <c r="R214" s="642">
        <v>0.23655174255371095</v>
      </c>
      <c r="S214" s="650">
        <v>272.57383748439537</v>
      </c>
      <c r="U214" s="648" t="s">
        <v>78</v>
      </c>
      <c r="V214" s="642">
        <v>1.5000162600463405</v>
      </c>
      <c r="W214" s="642">
        <v>0</v>
      </c>
      <c r="X214" s="642">
        <v>0.65820239923796242</v>
      </c>
      <c r="Y214" s="642">
        <v>0</v>
      </c>
      <c r="Z214" s="642">
        <v>0</v>
      </c>
      <c r="AA214" s="642">
        <v>0</v>
      </c>
      <c r="AB214" s="642">
        <v>14.22856522114639</v>
      </c>
      <c r="AC214" s="642">
        <v>4.1194716696050602</v>
      </c>
      <c r="AD214" s="642">
        <v>8.3494072265624997</v>
      </c>
      <c r="AE214" s="642">
        <v>60.539358802903692</v>
      </c>
      <c r="AF214" s="642">
        <v>0</v>
      </c>
      <c r="AG214" s="642">
        <v>3.7093504340600874E-4</v>
      </c>
      <c r="AH214" s="642">
        <v>157.01971492382648</v>
      </c>
      <c r="AI214" s="642">
        <v>25.540840498351418</v>
      </c>
      <c r="AJ214" s="642">
        <v>8.9542294921874994</v>
      </c>
      <c r="AK214" s="650">
        <v>280.91017742891074</v>
      </c>
    </row>
    <row r="215" spans="3:37" ht="13.5">
      <c r="C215" s="648" t="s">
        <v>79</v>
      </c>
      <c r="D215" s="642">
        <v>0</v>
      </c>
      <c r="E215" s="642">
        <v>0</v>
      </c>
      <c r="F215" s="642">
        <v>216.8751541495462</v>
      </c>
      <c r="G215" s="642">
        <v>32.745585882615877</v>
      </c>
      <c r="H215" s="642">
        <v>0</v>
      </c>
      <c r="I215" s="642">
        <v>0</v>
      </c>
      <c r="J215" s="642">
        <v>0</v>
      </c>
      <c r="K215" s="642">
        <v>0</v>
      </c>
      <c r="L215" s="642">
        <v>20.896591906701669</v>
      </c>
      <c r="M215" s="642">
        <v>0.66827726291052814</v>
      </c>
      <c r="N215" s="642">
        <v>0</v>
      </c>
      <c r="O215" s="642">
        <v>0</v>
      </c>
      <c r="P215" s="642">
        <v>80.819270278256823</v>
      </c>
      <c r="Q215" s="642">
        <v>0</v>
      </c>
      <c r="R215" s="642">
        <v>2.9193508940431485</v>
      </c>
      <c r="S215" s="650">
        <v>354.92423037407423</v>
      </c>
      <c r="U215" s="648" t="s">
        <v>79</v>
      </c>
      <c r="V215" s="642">
        <v>0</v>
      </c>
      <c r="W215" s="642">
        <v>0</v>
      </c>
      <c r="X215" s="642">
        <v>8.8339079607242379</v>
      </c>
      <c r="Y215" s="642">
        <v>0</v>
      </c>
      <c r="Z215" s="642">
        <v>0</v>
      </c>
      <c r="AA215" s="642">
        <v>0</v>
      </c>
      <c r="AB215" s="642">
        <v>0</v>
      </c>
      <c r="AC215" s="642">
        <v>0</v>
      </c>
      <c r="AD215" s="642">
        <v>12.788272739607951</v>
      </c>
      <c r="AE215" s="642">
        <v>24.887279738493259</v>
      </c>
      <c r="AF215" s="642">
        <v>0</v>
      </c>
      <c r="AG215" s="642">
        <v>0</v>
      </c>
      <c r="AH215" s="642">
        <v>93.844452584108197</v>
      </c>
      <c r="AI215" s="642">
        <v>0</v>
      </c>
      <c r="AJ215" s="642">
        <v>7.1149935986121697</v>
      </c>
      <c r="AK215" s="650">
        <v>147.46890662154581</v>
      </c>
    </row>
    <row r="216" spans="3:37" ht="13.5">
      <c r="C216" s="648" t="s">
        <v>80</v>
      </c>
      <c r="D216" s="642">
        <v>0</v>
      </c>
      <c r="E216" s="642">
        <v>0</v>
      </c>
      <c r="F216" s="642">
        <v>5.2094674308398901</v>
      </c>
      <c r="G216" s="642">
        <v>68.551385920257417</v>
      </c>
      <c r="H216" s="642">
        <v>0</v>
      </c>
      <c r="I216" s="642">
        <v>0</v>
      </c>
      <c r="J216" s="642">
        <v>86.155325304334795</v>
      </c>
      <c r="K216" s="642">
        <v>0</v>
      </c>
      <c r="L216" s="642">
        <v>0</v>
      </c>
      <c r="M216" s="642">
        <v>1.3990078759236206</v>
      </c>
      <c r="N216" s="642">
        <v>66.478227859390046</v>
      </c>
      <c r="O216" s="642">
        <v>2.1206229173139883</v>
      </c>
      <c r="P216" s="642">
        <v>194.47767196350526</v>
      </c>
      <c r="Q216" s="642">
        <v>15.182773802844931</v>
      </c>
      <c r="R216" s="642">
        <v>0</v>
      </c>
      <c r="S216" s="650">
        <v>439.5744830744099</v>
      </c>
      <c r="U216" s="648" t="s">
        <v>80</v>
      </c>
      <c r="V216" s="642">
        <v>0</v>
      </c>
      <c r="W216" s="642">
        <v>0</v>
      </c>
      <c r="X216" s="642">
        <v>0.92826525658471626</v>
      </c>
      <c r="Y216" s="642">
        <v>0</v>
      </c>
      <c r="Z216" s="642">
        <v>0</v>
      </c>
      <c r="AA216" s="642">
        <v>0</v>
      </c>
      <c r="AB216" s="642">
        <v>47.227858114444189</v>
      </c>
      <c r="AC216" s="642">
        <v>0</v>
      </c>
      <c r="AD216" s="642">
        <v>0</v>
      </c>
      <c r="AE216" s="642">
        <v>17.293312779197663</v>
      </c>
      <c r="AF216" s="642">
        <v>108.09916343666818</v>
      </c>
      <c r="AG216" s="642">
        <v>4.9369795689122755</v>
      </c>
      <c r="AH216" s="642">
        <v>137.38519988829395</v>
      </c>
      <c r="AI216" s="642">
        <v>27.91071693101145</v>
      </c>
      <c r="AJ216" s="642">
        <v>0</v>
      </c>
      <c r="AK216" s="650">
        <v>343.78149597511242</v>
      </c>
    </row>
    <row r="217" spans="3:37" ht="13.5">
      <c r="C217" s="648" t="s">
        <v>81</v>
      </c>
      <c r="D217" s="642">
        <v>0</v>
      </c>
      <c r="E217" s="642">
        <v>0</v>
      </c>
      <c r="F217" s="642">
        <v>2.3181271880740835</v>
      </c>
      <c r="G217" s="642">
        <v>62.553452404821357</v>
      </c>
      <c r="H217" s="642">
        <v>0</v>
      </c>
      <c r="I217" s="642">
        <v>0</v>
      </c>
      <c r="J217" s="642">
        <v>3.0090868580403627</v>
      </c>
      <c r="K217" s="642">
        <v>2.5363417285398034E-2</v>
      </c>
      <c r="L217" s="642">
        <v>0</v>
      </c>
      <c r="M217" s="642">
        <v>1.27660106948615</v>
      </c>
      <c r="N217" s="642">
        <v>8.6055350400994808</v>
      </c>
      <c r="O217" s="642">
        <v>0.68093940948821108</v>
      </c>
      <c r="P217" s="642">
        <v>146.08879967332064</v>
      </c>
      <c r="Q217" s="642">
        <v>3.3506823845440552</v>
      </c>
      <c r="R217" s="642">
        <v>0</v>
      </c>
      <c r="S217" s="650">
        <v>227.90858744515972</v>
      </c>
      <c r="U217" s="648" t="s">
        <v>81</v>
      </c>
      <c r="V217" s="642">
        <v>0</v>
      </c>
      <c r="W217" s="642">
        <v>0</v>
      </c>
      <c r="X217" s="642">
        <v>0.55102356567889155</v>
      </c>
      <c r="Y217" s="642">
        <v>0</v>
      </c>
      <c r="Z217" s="642">
        <v>0</v>
      </c>
      <c r="AA217" s="642">
        <v>0</v>
      </c>
      <c r="AB217" s="642">
        <v>6.5361621549849476</v>
      </c>
      <c r="AC217" s="642">
        <v>2.5363417285398034E-2</v>
      </c>
      <c r="AD217" s="642">
        <v>0</v>
      </c>
      <c r="AE217" s="642">
        <v>5.3379988256415478</v>
      </c>
      <c r="AF217" s="642">
        <v>15.069021727073199</v>
      </c>
      <c r="AG217" s="642">
        <v>1.4375946320597892</v>
      </c>
      <c r="AH217" s="642">
        <v>112.31243747223964</v>
      </c>
      <c r="AI217" s="642">
        <v>14.972206075305797</v>
      </c>
      <c r="AJ217" s="642">
        <v>0</v>
      </c>
      <c r="AK217" s="650">
        <v>156.24180787026921</v>
      </c>
    </row>
    <row r="218" spans="3:37" ht="13.5">
      <c r="C218" s="648" t="s">
        <v>82</v>
      </c>
      <c r="D218" s="642">
        <v>0</v>
      </c>
      <c r="E218" s="642">
        <v>0</v>
      </c>
      <c r="F218" s="642">
        <v>27.219719362233906</v>
      </c>
      <c r="G218" s="642">
        <v>0.81069667111944488</v>
      </c>
      <c r="H218" s="642">
        <v>0</v>
      </c>
      <c r="I218" s="642">
        <v>0</v>
      </c>
      <c r="J218" s="642">
        <v>5.0054618408177598</v>
      </c>
      <c r="K218" s="642">
        <v>0</v>
      </c>
      <c r="L218" s="642">
        <v>3.2629555410385191</v>
      </c>
      <c r="M218" s="642">
        <v>1.6544830022845812E-2</v>
      </c>
      <c r="N218" s="642">
        <v>0</v>
      </c>
      <c r="O218" s="642">
        <v>6.051975379409523E-2</v>
      </c>
      <c r="P218" s="642">
        <v>5.5235547180923223</v>
      </c>
      <c r="Q218" s="642">
        <v>0</v>
      </c>
      <c r="R218" s="642">
        <v>0</v>
      </c>
      <c r="S218" s="650">
        <v>41.899452717118898</v>
      </c>
      <c r="U218" s="648" t="s">
        <v>82</v>
      </c>
      <c r="V218" s="642">
        <v>0</v>
      </c>
      <c r="W218" s="642">
        <v>0</v>
      </c>
      <c r="X218" s="642">
        <v>0.67158967449506357</v>
      </c>
      <c r="Y218" s="642">
        <v>0</v>
      </c>
      <c r="Z218" s="642">
        <v>0</v>
      </c>
      <c r="AA218" s="642">
        <v>0</v>
      </c>
      <c r="AB218" s="642">
        <v>5.0054618408177598</v>
      </c>
      <c r="AC218" s="642">
        <v>0</v>
      </c>
      <c r="AD218" s="642">
        <v>35.167200828266267</v>
      </c>
      <c r="AE218" s="642">
        <v>0.86765586771995196</v>
      </c>
      <c r="AF218" s="642">
        <v>0</v>
      </c>
      <c r="AG218" s="642">
        <v>2.1874070050904897</v>
      </c>
      <c r="AH218" s="642">
        <v>5.6657335511185538</v>
      </c>
      <c r="AI218" s="642">
        <v>0</v>
      </c>
      <c r="AJ218" s="642">
        <v>0.44339331184266689</v>
      </c>
      <c r="AK218" s="650">
        <v>50.008442079350758</v>
      </c>
    </row>
    <row r="219" spans="3:37" ht="13.5">
      <c r="C219" s="648" t="s">
        <v>357</v>
      </c>
      <c r="D219" s="642">
        <v>0</v>
      </c>
      <c r="E219" s="642">
        <v>0</v>
      </c>
      <c r="F219" s="642">
        <v>0</v>
      </c>
      <c r="G219" s="642">
        <v>0</v>
      </c>
      <c r="H219" s="642">
        <v>0</v>
      </c>
      <c r="I219" s="642">
        <v>0</v>
      </c>
      <c r="J219" s="642">
        <v>0</v>
      </c>
      <c r="K219" s="642">
        <v>0</v>
      </c>
      <c r="L219" s="642">
        <v>0</v>
      </c>
      <c r="M219" s="642">
        <v>0</v>
      </c>
      <c r="N219" s="642">
        <v>0</v>
      </c>
      <c r="O219" s="642">
        <v>0</v>
      </c>
      <c r="P219" s="642">
        <v>0.44999999999999996</v>
      </c>
      <c r="Q219" s="642">
        <v>0</v>
      </c>
      <c r="R219" s="642">
        <v>0</v>
      </c>
      <c r="S219" s="650">
        <v>0.44999999999999996</v>
      </c>
      <c r="U219" s="648" t="s">
        <v>357</v>
      </c>
      <c r="V219" s="642">
        <v>0</v>
      </c>
      <c r="W219" s="642">
        <v>0</v>
      </c>
      <c r="X219" s="642">
        <v>0</v>
      </c>
      <c r="Y219" s="642">
        <v>0</v>
      </c>
      <c r="Z219" s="642">
        <v>0</v>
      </c>
      <c r="AA219" s="642">
        <v>0</v>
      </c>
      <c r="AB219" s="642">
        <v>0</v>
      </c>
      <c r="AC219" s="642">
        <v>0</v>
      </c>
      <c r="AD219" s="642">
        <v>0</v>
      </c>
      <c r="AE219" s="642">
        <v>0</v>
      </c>
      <c r="AF219" s="642">
        <v>0</v>
      </c>
      <c r="AG219" s="642">
        <v>0</v>
      </c>
      <c r="AH219" s="642">
        <v>6</v>
      </c>
      <c r="AI219" s="642">
        <v>0</v>
      </c>
      <c r="AJ219" s="642">
        <v>0</v>
      </c>
      <c r="AK219" s="650">
        <v>6</v>
      </c>
    </row>
    <row r="220" spans="3:37" ht="13.5">
      <c r="C220" s="646" t="s">
        <v>83</v>
      </c>
      <c r="D220" s="647">
        <v>3.6733927919712848</v>
      </c>
      <c r="E220" s="647">
        <v>0</v>
      </c>
      <c r="F220" s="647">
        <v>271.01966816424783</v>
      </c>
      <c r="G220" s="647">
        <v>255.79122918902203</v>
      </c>
      <c r="H220" s="647">
        <v>0</v>
      </c>
      <c r="I220" s="647">
        <v>0</v>
      </c>
      <c r="J220" s="647">
        <v>116.96131138117599</v>
      </c>
      <c r="K220" s="647">
        <v>1.7266732887522405</v>
      </c>
      <c r="L220" s="647">
        <v>25.166558400865188</v>
      </c>
      <c r="M220" s="647">
        <v>5.238424175077693</v>
      </c>
      <c r="N220" s="647">
        <v>75.083762899489528</v>
      </c>
      <c r="O220" s="647">
        <v>2.8624530156397006</v>
      </c>
      <c r="P220" s="647">
        <v>541.90719860025752</v>
      </c>
      <c r="Q220" s="647">
        <v>34.744016552062419</v>
      </c>
      <c r="R220" s="647">
        <v>3.1559026365968594</v>
      </c>
      <c r="S220" s="647">
        <v>1337.3305910951583</v>
      </c>
      <c r="U220" s="646" t="s">
        <v>83</v>
      </c>
      <c r="V220" s="647">
        <v>1.5000162600463405</v>
      </c>
      <c r="W220" s="647">
        <v>0</v>
      </c>
      <c r="X220" s="647">
        <v>11.642988856720871</v>
      </c>
      <c r="Y220" s="647">
        <v>0</v>
      </c>
      <c r="Z220" s="647">
        <v>0</v>
      </c>
      <c r="AA220" s="647">
        <v>0</v>
      </c>
      <c r="AB220" s="647">
        <v>72.998047331393281</v>
      </c>
      <c r="AC220" s="647">
        <v>4.1448350868904589</v>
      </c>
      <c r="AD220" s="647">
        <v>56.30488079443672</v>
      </c>
      <c r="AE220" s="647">
        <v>108.92560601395611</v>
      </c>
      <c r="AF220" s="647">
        <v>123.16818516374138</v>
      </c>
      <c r="AG220" s="647">
        <v>8.5623521411059595</v>
      </c>
      <c r="AH220" s="647">
        <v>512.22753841958684</v>
      </c>
      <c r="AI220" s="647">
        <v>68.423763504668656</v>
      </c>
      <c r="AJ220" s="647">
        <v>16.512616402642333</v>
      </c>
      <c r="AK220" s="647">
        <v>984.4108299751889</v>
      </c>
    </row>
    <row r="221" spans="3:37" ht="13.5">
      <c r="C221" s="641" t="s">
        <v>84</v>
      </c>
      <c r="D221" s="642">
        <v>0</v>
      </c>
      <c r="E221" s="642">
        <v>0</v>
      </c>
      <c r="F221" s="642">
        <v>100.05515171814793</v>
      </c>
      <c r="G221" s="642">
        <v>11.196954266678716</v>
      </c>
      <c r="H221" s="642">
        <v>0</v>
      </c>
      <c r="I221" s="642">
        <v>0</v>
      </c>
      <c r="J221" s="642">
        <v>0</v>
      </c>
      <c r="K221" s="642">
        <v>0</v>
      </c>
      <c r="L221" s="642">
        <v>0</v>
      </c>
      <c r="M221" s="642">
        <v>0</v>
      </c>
      <c r="N221" s="642">
        <v>0</v>
      </c>
      <c r="O221" s="642">
        <v>0</v>
      </c>
      <c r="P221" s="642">
        <v>0</v>
      </c>
      <c r="Q221" s="642">
        <v>0</v>
      </c>
      <c r="R221" s="642">
        <v>3.9154347726113912</v>
      </c>
      <c r="S221" s="650">
        <v>115.16754075743803</v>
      </c>
      <c r="U221" s="641" t="s">
        <v>84</v>
      </c>
      <c r="V221" s="642">
        <v>0</v>
      </c>
      <c r="W221" s="642">
        <v>0</v>
      </c>
      <c r="X221" s="642">
        <v>57.953190468871433</v>
      </c>
      <c r="Y221" s="642">
        <v>0.51452681198611927</v>
      </c>
      <c r="Z221" s="642">
        <v>0</v>
      </c>
      <c r="AA221" s="642">
        <v>0</v>
      </c>
      <c r="AB221" s="642">
        <v>0</v>
      </c>
      <c r="AC221" s="642">
        <v>0</v>
      </c>
      <c r="AD221" s="642">
        <v>30.108432000732424</v>
      </c>
      <c r="AE221" s="642">
        <v>0</v>
      </c>
      <c r="AF221" s="642">
        <v>0</v>
      </c>
      <c r="AG221" s="642">
        <v>0</v>
      </c>
      <c r="AH221" s="642">
        <v>0</v>
      </c>
      <c r="AI221" s="642">
        <v>0</v>
      </c>
      <c r="AJ221" s="642">
        <v>20.543554244995118</v>
      </c>
      <c r="AK221" s="650">
        <v>109.1197035265851</v>
      </c>
    </row>
    <row r="222" spans="3:37" ht="13.5">
      <c r="C222" s="646" t="s">
        <v>85</v>
      </c>
      <c r="D222" s="647">
        <v>3.6733927919712848</v>
      </c>
      <c r="E222" s="647">
        <v>0</v>
      </c>
      <c r="F222" s="647">
        <v>371.07481988239573</v>
      </c>
      <c r="G222" s="647">
        <v>266.98818345570078</v>
      </c>
      <c r="H222" s="647">
        <v>0</v>
      </c>
      <c r="I222" s="647">
        <v>0</v>
      </c>
      <c r="J222" s="647">
        <v>116.96131138117599</v>
      </c>
      <c r="K222" s="647">
        <v>1.7266732887522405</v>
      </c>
      <c r="L222" s="647">
        <v>25.166558400865188</v>
      </c>
      <c r="M222" s="647">
        <v>5.238424175077693</v>
      </c>
      <c r="N222" s="647">
        <v>75.083762899489528</v>
      </c>
      <c r="O222" s="647">
        <v>2.8624530156397006</v>
      </c>
      <c r="P222" s="647">
        <v>541.90719860025752</v>
      </c>
      <c r="Q222" s="647">
        <v>34.744016552062419</v>
      </c>
      <c r="R222" s="647">
        <v>7.071337409208251</v>
      </c>
      <c r="S222" s="647">
        <v>1452.4981318525963</v>
      </c>
      <c r="U222" s="646" t="s">
        <v>85</v>
      </c>
      <c r="V222" s="647">
        <v>1.5000162600463405</v>
      </c>
      <c r="W222" s="647">
        <v>0</v>
      </c>
      <c r="X222" s="647">
        <v>69.596179325592303</v>
      </c>
      <c r="Y222" s="647">
        <v>0.51452681198611927</v>
      </c>
      <c r="Z222" s="647">
        <v>0</v>
      </c>
      <c r="AA222" s="647">
        <v>0</v>
      </c>
      <c r="AB222" s="647">
        <v>72.998047331393281</v>
      </c>
      <c r="AC222" s="647">
        <v>4.1448350868904589</v>
      </c>
      <c r="AD222" s="647">
        <v>86.413312795169148</v>
      </c>
      <c r="AE222" s="647">
        <v>108.92560601395611</v>
      </c>
      <c r="AF222" s="647">
        <v>123.16818516374138</v>
      </c>
      <c r="AG222" s="647">
        <v>8.5623521411059595</v>
      </c>
      <c r="AH222" s="647">
        <v>512.22753841958684</v>
      </c>
      <c r="AI222" s="647">
        <v>68.423763504668656</v>
      </c>
      <c r="AJ222" s="647">
        <v>37.056170647637451</v>
      </c>
      <c r="AK222" s="647">
        <v>1093.530533501774</v>
      </c>
    </row>
    <row r="223" spans="3:37" ht="13">
      <c r="C223" s="636"/>
      <c r="D223" s="636"/>
      <c r="E223" s="636"/>
      <c r="F223" s="636"/>
      <c r="G223" s="636"/>
      <c r="H223" s="636"/>
      <c r="I223" s="636"/>
      <c r="J223" s="636"/>
      <c r="K223" s="636"/>
      <c r="L223" s="636"/>
      <c r="M223" s="636"/>
      <c r="N223" s="636"/>
      <c r="O223" s="636"/>
      <c r="P223" s="636"/>
      <c r="Q223" s="636"/>
      <c r="R223" s="636"/>
      <c r="S223" s="636"/>
      <c r="U223" s="636"/>
      <c r="V223" s="636"/>
      <c r="W223" s="636"/>
      <c r="X223" s="636"/>
      <c r="Y223" s="636"/>
      <c r="Z223" s="636"/>
      <c r="AA223" s="636"/>
      <c r="AB223" s="636"/>
      <c r="AC223" s="636"/>
      <c r="AD223" s="636"/>
      <c r="AE223" s="636"/>
      <c r="AF223" s="636"/>
      <c r="AG223" s="636"/>
      <c r="AH223" s="636"/>
      <c r="AI223" s="636"/>
      <c r="AJ223" s="636"/>
      <c r="AK223" s="636"/>
    </row>
    <row r="224" spans="3:37" ht="13">
      <c r="C224" s="636"/>
      <c r="D224" s="636"/>
      <c r="E224" s="636"/>
      <c r="F224" s="636"/>
      <c r="G224" s="636"/>
      <c r="H224" s="636"/>
      <c r="I224" s="636"/>
      <c r="J224" s="636"/>
      <c r="K224" s="636"/>
      <c r="L224" s="636"/>
      <c r="M224" s="636"/>
      <c r="N224" s="636"/>
      <c r="O224" s="636"/>
      <c r="P224" s="636"/>
      <c r="Q224" s="636"/>
      <c r="R224" s="636"/>
      <c r="S224" s="636"/>
      <c r="U224" s="636"/>
      <c r="V224" s="636"/>
      <c r="W224" s="636"/>
      <c r="X224" s="636"/>
      <c r="Y224" s="636"/>
      <c r="Z224" s="636"/>
      <c r="AA224" s="636"/>
      <c r="AB224" s="636"/>
      <c r="AC224" s="636"/>
      <c r="AD224" s="636"/>
      <c r="AE224" s="636"/>
      <c r="AF224" s="636"/>
      <c r="AG224" s="636"/>
      <c r="AH224" s="636"/>
      <c r="AI224" s="636"/>
      <c r="AJ224" s="636"/>
      <c r="AK224" s="636"/>
    </row>
  </sheetData>
  <mergeCells count="158">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191">
    <cfRule type="cellIs" dxfId="15159" priority="1" operator="equal">
      <formula>0</formula>
    </cfRule>
  </conditionalFormatting>
  <conditionalFormatting sqref="P15:S17 E15:I17 J15:O16 Q12:S14 G12:G14 D12:D17 D18:S18">
    <cfRule type="cellIs" dxfId="15158" priority="597" operator="equal">
      <formula>0</formula>
    </cfRule>
  </conditionalFormatting>
  <conditionalFormatting sqref="P12:P17">
    <cfRule type="cellIs" dxfId="15157" priority="598" operator="equal">
      <formula>0</formula>
    </cfRule>
  </conditionalFormatting>
  <conditionalFormatting sqref="D12:E17 H12:I17">
    <cfRule type="cellIs" dxfId="15156" priority="599" operator="equal">
      <formula>0</formula>
    </cfRule>
  </conditionalFormatting>
  <conditionalFormatting sqref="F12:F17">
    <cfRule type="cellIs" dxfId="15155" priority="600" operator="equal">
      <formula>0</formula>
    </cfRule>
  </conditionalFormatting>
  <conditionalFormatting sqref="J15:J17">
    <cfRule type="cellIs" dxfId="15154" priority="601" operator="equal">
      <formula>0</formula>
    </cfRule>
  </conditionalFormatting>
  <conditionalFormatting sqref="J12:J17 K12:O12">
    <cfRule type="cellIs" dxfId="15153" priority="602" operator="equal">
      <formula>0</formula>
    </cfRule>
  </conditionalFormatting>
  <conditionalFormatting sqref="K15:K17">
    <cfRule type="cellIs" dxfId="15152" priority="603" operator="equal">
      <formula>0</formula>
    </cfRule>
  </conditionalFormatting>
  <conditionalFormatting sqref="K12:K17">
    <cfRule type="cellIs" dxfId="15151" priority="604" operator="equal">
      <formula>0</formula>
    </cfRule>
  </conditionalFormatting>
  <conditionalFormatting sqref="L15:L17">
    <cfRule type="cellIs" dxfId="15150" priority="605" operator="equal">
      <formula>0</formula>
    </cfRule>
  </conditionalFormatting>
  <conditionalFormatting sqref="L12:L17">
    <cfRule type="cellIs" dxfId="15149" priority="606" operator="equal">
      <formula>0</formula>
    </cfRule>
  </conditionalFormatting>
  <conditionalFormatting sqref="M15:M17">
    <cfRule type="cellIs" dxfId="15148" priority="607" operator="equal">
      <formula>0</formula>
    </cfRule>
  </conditionalFormatting>
  <conditionalFormatting sqref="M12:M17">
    <cfRule type="cellIs" dxfId="15147" priority="608" operator="equal">
      <formula>0</formula>
    </cfRule>
  </conditionalFormatting>
  <conditionalFormatting sqref="N15:N17">
    <cfRule type="cellIs" dxfId="15146" priority="609" operator="equal">
      <formula>0</formula>
    </cfRule>
  </conditionalFormatting>
  <conditionalFormatting sqref="N12:N17">
    <cfRule type="cellIs" dxfId="15145" priority="610" operator="equal">
      <formula>0</formula>
    </cfRule>
  </conditionalFormatting>
  <conditionalFormatting sqref="O15:O17">
    <cfRule type="cellIs" dxfId="15144" priority="611" operator="equal">
      <formula>0</formula>
    </cfRule>
  </conditionalFormatting>
  <conditionalFormatting sqref="O12:O17">
    <cfRule type="cellIs" dxfId="15143" priority="612" operator="equal">
      <formula>0</formula>
    </cfRule>
  </conditionalFormatting>
  <conditionalFormatting sqref="D12:S18">
    <cfRule type="expression" dxfId="15142" priority="613">
      <formula>LEN(TRIM(D12))=0</formula>
    </cfRule>
  </conditionalFormatting>
  <conditionalFormatting sqref="L15:L16">
    <cfRule type="cellIs" dxfId="15141" priority="614" operator="equal">
      <formula>0</formula>
    </cfRule>
  </conditionalFormatting>
  <conditionalFormatting sqref="M15:M16">
    <cfRule type="cellIs" dxfId="15140" priority="615" operator="equal">
      <formula>0</formula>
    </cfRule>
  </conditionalFormatting>
  <conditionalFormatting sqref="N15:O15">
    <cfRule type="cellIs" dxfId="15139" priority="616" operator="equal">
      <formula>0</formula>
    </cfRule>
  </conditionalFormatting>
  <conditionalFormatting sqref="N16:O16">
    <cfRule type="cellIs" dxfId="15138" priority="617" operator="equal">
      <formula>0</formula>
    </cfRule>
  </conditionalFormatting>
  <conditionalFormatting sqref="E29:G29 D30:G31 H29:I31 D25:I28 J25:R31 D20:S20 D32:R32 D21:I22 S21:S32 P21:R22">
    <cfRule type="cellIs" dxfId="15137" priority="591" operator="equal">
      <formula>0</formula>
    </cfRule>
  </conditionalFormatting>
  <conditionalFormatting sqref="D29">
    <cfRule type="cellIs" dxfId="15136" priority="592" operator="equal">
      <formula>0</formula>
    </cfRule>
  </conditionalFormatting>
  <conditionalFormatting sqref="D20:S20 D25:R32 D21:I22 S21:S32 P21:R22">
    <cfRule type="expression" dxfId="15135" priority="593">
      <formula>LEN(TRIM(D20))=0</formula>
    </cfRule>
  </conditionalFormatting>
  <conditionalFormatting sqref="D23:R24">
    <cfRule type="cellIs" dxfId="15134" priority="594" operator="equal">
      <formula>0</formula>
    </cfRule>
  </conditionalFormatting>
  <conditionalFormatting sqref="P23:P24">
    <cfRule type="cellIs" dxfId="15133" priority="595" operator="equal">
      <formula>0</formula>
    </cfRule>
  </conditionalFormatting>
  <conditionalFormatting sqref="D23:R24">
    <cfRule type="expression" dxfId="15132" priority="596">
      <formula>LEN(TRIM(D23))=0</formula>
    </cfRule>
  </conditionalFormatting>
  <conditionalFormatting sqref="J21:O22">
    <cfRule type="cellIs" dxfId="15131" priority="589" operator="equal">
      <formula>0</formula>
    </cfRule>
  </conditionalFormatting>
  <conditionalFormatting sqref="J21:O22">
    <cfRule type="expression" dxfId="15130" priority="590">
      <formula>LEN(TRIM(J21))=0</formula>
    </cfRule>
  </conditionalFormatting>
  <conditionalFormatting sqref="D35:R40 S34:S39 S41 D34:I34 P34:R34">
    <cfRule type="cellIs" dxfId="15129" priority="583" operator="equal">
      <formula>0</formula>
    </cfRule>
  </conditionalFormatting>
  <conditionalFormatting sqref="D41:R41">
    <cfRule type="cellIs" dxfId="15128" priority="584" operator="equal">
      <formula>0</formula>
    </cfRule>
  </conditionalFormatting>
  <conditionalFormatting sqref="D35:S39 D41:S41 D40:R40 D34:I34 P34:S34">
    <cfRule type="expression" dxfId="15127" priority="585">
      <formula>LEN(TRIM(D34))=0</formula>
    </cfRule>
  </conditionalFormatting>
  <conditionalFormatting sqref="D41:R41">
    <cfRule type="cellIs" dxfId="15126" priority="586" operator="equal">
      <formula>0</formula>
    </cfRule>
  </conditionalFormatting>
  <conditionalFormatting sqref="D42:R42">
    <cfRule type="cellIs" dxfId="15125" priority="587" operator="equal">
      <formula>0</formula>
    </cfRule>
  </conditionalFormatting>
  <conditionalFormatting sqref="D42:R42">
    <cfRule type="expression" dxfId="15124" priority="588">
      <formula>LEN(TRIM(D42))=0</formula>
    </cfRule>
  </conditionalFormatting>
  <conditionalFormatting sqref="S42">
    <cfRule type="cellIs" dxfId="15123" priority="581" operator="equal">
      <formula>0</formula>
    </cfRule>
  </conditionalFormatting>
  <conditionalFormatting sqref="S42">
    <cfRule type="expression" dxfId="15122" priority="582">
      <formula>LEN(TRIM(S42))=0</formula>
    </cfRule>
  </conditionalFormatting>
  <conditionalFormatting sqref="S40">
    <cfRule type="cellIs" dxfId="15121" priority="579" operator="equal">
      <formula>0</formula>
    </cfRule>
  </conditionalFormatting>
  <conditionalFormatting sqref="S40">
    <cfRule type="expression" dxfId="15120" priority="580">
      <formula>LEN(TRIM(S40))=0</formula>
    </cfRule>
  </conditionalFormatting>
  <conditionalFormatting sqref="J34:O34">
    <cfRule type="cellIs" dxfId="15119" priority="577" operator="equal">
      <formula>0</formula>
    </cfRule>
  </conditionalFormatting>
  <conditionalFormatting sqref="J34:O34">
    <cfRule type="expression" dxfId="15118" priority="578">
      <formula>LEN(TRIM(J34))=0</formula>
    </cfRule>
  </conditionalFormatting>
  <conditionalFormatting sqref="P51:S53 E51:I53 J51:O52 Q48:S50 G48:G50 D48:D53 D54:S54">
    <cfRule type="cellIs" dxfId="15117" priority="556" operator="equal">
      <formula>0</formula>
    </cfRule>
  </conditionalFormatting>
  <conditionalFormatting sqref="P48:P53">
    <cfRule type="cellIs" dxfId="15116" priority="557" operator="equal">
      <formula>0</formula>
    </cfRule>
  </conditionalFormatting>
  <conditionalFormatting sqref="D48:E53 H48:I53">
    <cfRule type="cellIs" dxfId="15115" priority="558" operator="equal">
      <formula>0</formula>
    </cfRule>
  </conditionalFormatting>
  <conditionalFormatting sqref="F48:F53">
    <cfRule type="cellIs" dxfId="15114" priority="559" operator="equal">
      <formula>0</formula>
    </cfRule>
  </conditionalFormatting>
  <conditionalFormatting sqref="J51:J53">
    <cfRule type="cellIs" dxfId="15113" priority="560" operator="equal">
      <formula>0</formula>
    </cfRule>
  </conditionalFormatting>
  <conditionalFormatting sqref="J48:J53 K48:O48">
    <cfRule type="cellIs" dxfId="15112" priority="561" operator="equal">
      <formula>0</formula>
    </cfRule>
  </conditionalFormatting>
  <conditionalFormatting sqref="K51:K53">
    <cfRule type="cellIs" dxfId="15111" priority="562" operator="equal">
      <formula>0</formula>
    </cfRule>
  </conditionalFormatting>
  <conditionalFormatting sqref="K48:K53">
    <cfRule type="cellIs" dxfId="15110" priority="563" operator="equal">
      <formula>0</formula>
    </cfRule>
  </conditionalFormatting>
  <conditionalFormatting sqref="L51:L53">
    <cfRule type="cellIs" dxfId="15109" priority="564" operator="equal">
      <formula>0</formula>
    </cfRule>
  </conditionalFormatting>
  <conditionalFormatting sqref="L48:L53">
    <cfRule type="cellIs" dxfId="15108" priority="565" operator="equal">
      <formula>0</formula>
    </cfRule>
  </conditionalFormatting>
  <conditionalFormatting sqref="M51:M53">
    <cfRule type="cellIs" dxfId="15107" priority="566" operator="equal">
      <formula>0</formula>
    </cfRule>
  </conditionalFormatting>
  <conditionalFormatting sqref="M48:M53">
    <cfRule type="cellIs" dxfId="15106" priority="567" operator="equal">
      <formula>0</formula>
    </cfRule>
  </conditionalFormatting>
  <conditionalFormatting sqref="N51:N53">
    <cfRule type="cellIs" dxfId="15105" priority="568" operator="equal">
      <formula>0</formula>
    </cfRule>
  </conditionalFormatting>
  <conditionalFormatting sqref="N48:N53">
    <cfRule type="cellIs" dxfId="15104" priority="569" operator="equal">
      <formula>0</formula>
    </cfRule>
  </conditionalFormatting>
  <conditionalFormatting sqref="O51:O53">
    <cfRule type="cellIs" dxfId="15103" priority="570" operator="equal">
      <formula>0</formula>
    </cfRule>
  </conditionalFormatting>
  <conditionalFormatting sqref="O48:O53">
    <cfRule type="cellIs" dxfId="15102" priority="571" operator="equal">
      <formula>0</formula>
    </cfRule>
  </conditionalFormatting>
  <conditionalFormatting sqref="D48:S54">
    <cfRule type="expression" dxfId="15101" priority="572">
      <formula>LEN(TRIM(D48))=0</formula>
    </cfRule>
  </conditionalFormatting>
  <conditionalFormatting sqref="L51:L52">
    <cfRule type="cellIs" dxfId="15100" priority="573" operator="equal">
      <formula>0</formula>
    </cfRule>
  </conditionalFormatting>
  <conditionalFormatting sqref="M51:M52">
    <cfRule type="cellIs" dxfId="15099" priority="574" operator="equal">
      <formula>0</formula>
    </cfRule>
  </conditionalFormatting>
  <conditionalFormatting sqref="N51:O51">
    <cfRule type="cellIs" dxfId="15098" priority="575" operator="equal">
      <formula>0</formula>
    </cfRule>
  </conditionalFormatting>
  <conditionalFormatting sqref="N52:O52">
    <cfRule type="cellIs" dxfId="15097" priority="576" operator="equal">
      <formula>0</formula>
    </cfRule>
  </conditionalFormatting>
  <conditionalFormatting sqref="E65:G65 D66:G67 H65:I67 D61:I64 J61:R67 D56:S56 D68:R68 D57:I58 S57:S68 P57:R58">
    <cfRule type="cellIs" dxfId="15096" priority="550" operator="equal">
      <formula>0</formula>
    </cfRule>
  </conditionalFormatting>
  <conditionalFormatting sqref="D65">
    <cfRule type="cellIs" dxfId="15095" priority="551" operator="equal">
      <formula>0</formula>
    </cfRule>
  </conditionalFormatting>
  <conditionalFormatting sqref="D56:S56 D61:R68 D57:I58 S57:S68 P57:R58">
    <cfRule type="expression" dxfId="15094" priority="552">
      <formula>LEN(TRIM(D56))=0</formula>
    </cfRule>
  </conditionalFormatting>
  <conditionalFormatting sqref="D59:R60">
    <cfRule type="cellIs" dxfId="15093" priority="553" operator="equal">
      <formula>0</formula>
    </cfRule>
  </conditionalFormatting>
  <conditionalFormatting sqref="P59:P60">
    <cfRule type="cellIs" dxfId="15092" priority="554" operator="equal">
      <formula>0</formula>
    </cfRule>
  </conditionalFormatting>
  <conditionalFormatting sqref="D59:R60">
    <cfRule type="expression" dxfId="15091" priority="555">
      <formula>LEN(TRIM(D59))=0</formula>
    </cfRule>
  </conditionalFormatting>
  <conditionalFormatting sqref="J57:O58">
    <cfRule type="cellIs" dxfId="15090" priority="548" operator="equal">
      <formula>0</formula>
    </cfRule>
  </conditionalFormatting>
  <conditionalFormatting sqref="J57:O58">
    <cfRule type="expression" dxfId="15089" priority="549">
      <formula>LEN(TRIM(J57))=0</formula>
    </cfRule>
  </conditionalFormatting>
  <conditionalFormatting sqref="D71:R76 S70:S75 S77 D70:I70 P70:R70">
    <cfRule type="cellIs" dxfId="15088" priority="542" operator="equal">
      <formula>0</formula>
    </cfRule>
  </conditionalFormatting>
  <conditionalFormatting sqref="D77:R77">
    <cfRule type="cellIs" dxfId="15087" priority="543" operator="equal">
      <formula>0</formula>
    </cfRule>
  </conditionalFormatting>
  <conditionalFormatting sqref="D71:S75 D77:S77 D76:R76 D70:I70 P70:S70">
    <cfRule type="expression" dxfId="15086" priority="544">
      <formula>LEN(TRIM(D70))=0</formula>
    </cfRule>
  </conditionalFormatting>
  <conditionalFormatting sqref="D77:R77">
    <cfRule type="cellIs" dxfId="15085" priority="545" operator="equal">
      <formula>0</formula>
    </cfRule>
  </conditionalFormatting>
  <conditionalFormatting sqref="D78:R78">
    <cfRule type="cellIs" dxfId="15084" priority="546" operator="equal">
      <formula>0</formula>
    </cfRule>
  </conditionalFormatting>
  <conditionalFormatting sqref="D78:R78">
    <cfRule type="expression" dxfId="15083" priority="547">
      <formula>LEN(TRIM(D78))=0</formula>
    </cfRule>
  </conditionalFormatting>
  <conditionalFormatting sqref="S78">
    <cfRule type="cellIs" dxfId="15082" priority="540" operator="equal">
      <formula>0</formula>
    </cfRule>
  </conditionalFormatting>
  <conditionalFormatting sqref="S78">
    <cfRule type="expression" dxfId="15081" priority="541">
      <formula>LEN(TRIM(S78))=0</formula>
    </cfRule>
  </conditionalFormatting>
  <conditionalFormatting sqref="S76">
    <cfRule type="cellIs" dxfId="15080" priority="538" operator="equal">
      <formula>0</formula>
    </cfRule>
  </conditionalFormatting>
  <conditionalFormatting sqref="S76">
    <cfRule type="expression" dxfId="15079" priority="539">
      <formula>LEN(TRIM(S76))=0</formula>
    </cfRule>
  </conditionalFormatting>
  <conditionalFormatting sqref="J70:O70">
    <cfRule type="cellIs" dxfId="15078" priority="536" operator="equal">
      <formula>0</formula>
    </cfRule>
  </conditionalFormatting>
  <conditionalFormatting sqref="J70:O70">
    <cfRule type="expression" dxfId="15077" priority="537">
      <formula>LEN(TRIM(J70))=0</formula>
    </cfRule>
  </conditionalFormatting>
  <conditionalFormatting sqref="P87:S89 E87:I89 J87:O88 Q84:S86 G84:G86 D84:D89 D90:S90">
    <cfRule type="cellIs" dxfId="15076" priority="515" operator="equal">
      <formula>0</formula>
    </cfRule>
  </conditionalFormatting>
  <conditionalFormatting sqref="P84:P89">
    <cfRule type="cellIs" dxfId="15075" priority="516" operator="equal">
      <formula>0</formula>
    </cfRule>
  </conditionalFormatting>
  <conditionalFormatting sqref="D84:E89 H84:I89">
    <cfRule type="cellIs" dxfId="15074" priority="517" operator="equal">
      <formula>0</formula>
    </cfRule>
  </conditionalFormatting>
  <conditionalFormatting sqref="F84:F89">
    <cfRule type="cellIs" dxfId="15073" priority="518" operator="equal">
      <formula>0</formula>
    </cfRule>
  </conditionalFormatting>
  <conditionalFormatting sqref="J87:J89">
    <cfRule type="cellIs" dxfId="15072" priority="519" operator="equal">
      <formula>0</formula>
    </cfRule>
  </conditionalFormatting>
  <conditionalFormatting sqref="J84:J89 K84:O84">
    <cfRule type="cellIs" dxfId="15071" priority="520" operator="equal">
      <formula>0</formula>
    </cfRule>
  </conditionalFormatting>
  <conditionalFormatting sqref="K87:K89">
    <cfRule type="cellIs" dxfId="15070" priority="521" operator="equal">
      <formula>0</formula>
    </cfRule>
  </conditionalFormatting>
  <conditionalFormatting sqref="K84:K89">
    <cfRule type="cellIs" dxfId="15069" priority="522" operator="equal">
      <formula>0</formula>
    </cfRule>
  </conditionalFormatting>
  <conditionalFormatting sqref="L87:L89">
    <cfRule type="cellIs" dxfId="15068" priority="523" operator="equal">
      <formula>0</formula>
    </cfRule>
  </conditionalFormatting>
  <conditionalFormatting sqref="L84:L89">
    <cfRule type="cellIs" dxfId="15067" priority="524" operator="equal">
      <formula>0</formula>
    </cfRule>
  </conditionalFormatting>
  <conditionalFormatting sqref="M87:M89">
    <cfRule type="cellIs" dxfId="15066" priority="525" operator="equal">
      <formula>0</formula>
    </cfRule>
  </conditionalFormatting>
  <conditionalFormatting sqref="M84:M89">
    <cfRule type="cellIs" dxfId="15065" priority="526" operator="equal">
      <formula>0</formula>
    </cfRule>
  </conditionalFormatting>
  <conditionalFormatting sqref="N87:N89">
    <cfRule type="cellIs" dxfId="15064" priority="527" operator="equal">
      <formula>0</formula>
    </cfRule>
  </conditionalFormatting>
  <conditionalFormatting sqref="N84:N89">
    <cfRule type="cellIs" dxfId="15063" priority="528" operator="equal">
      <formula>0</formula>
    </cfRule>
  </conditionalFormatting>
  <conditionalFormatting sqref="O87:O89">
    <cfRule type="cellIs" dxfId="15062" priority="529" operator="equal">
      <formula>0</formula>
    </cfRule>
  </conditionalFormatting>
  <conditionalFormatting sqref="O84:O89">
    <cfRule type="cellIs" dxfId="15061" priority="530" operator="equal">
      <formula>0</formula>
    </cfRule>
  </conditionalFormatting>
  <conditionalFormatting sqref="D84:S90">
    <cfRule type="expression" dxfId="15060" priority="531">
      <formula>LEN(TRIM(D84))=0</formula>
    </cfRule>
  </conditionalFormatting>
  <conditionalFormatting sqref="L87:L88">
    <cfRule type="cellIs" dxfId="15059" priority="532" operator="equal">
      <formula>0</formula>
    </cfRule>
  </conditionalFormatting>
  <conditionalFormatting sqref="M87:M88">
    <cfRule type="cellIs" dxfId="15058" priority="533" operator="equal">
      <formula>0</formula>
    </cfRule>
  </conditionalFormatting>
  <conditionalFormatting sqref="N87:O87">
    <cfRule type="cellIs" dxfId="15057" priority="534" operator="equal">
      <formula>0</formula>
    </cfRule>
  </conditionalFormatting>
  <conditionalFormatting sqref="N88:O88">
    <cfRule type="cellIs" dxfId="15056" priority="535" operator="equal">
      <formula>0</formula>
    </cfRule>
  </conditionalFormatting>
  <conditionalFormatting sqref="E101:G101 D102:G103 H101:I103 D97:I100 J97:R103 D92:S92 D104:R104 D93:I94 S93:S104 P93:R94">
    <cfRule type="cellIs" dxfId="15055" priority="509" operator="equal">
      <formula>0</formula>
    </cfRule>
  </conditionalFormatting>
  <conditionalFormatting sqref="D101">
    <cfRule type="cellIs" dxfId="15054" priority="510" operator="equal">
      <formula>0</formula>
    </cfRule>
  </conditionalFormatting>
  <conditionalFormatting sqref="D92:S92 D97:R104 D93:I94 S93:S104 P93:R94">
    <cfRule type="expression" dxfId="15053" priority="511">
      <formula>LEN(TRIM(D92))=0</formula>
    </cfRule>
  </conditionalFormatting>
  <conditionalFormatting sqref="D95:R96">
    <cfRule type="cellIs" dxfId="15052" priority="512" operator="equal">
      <formula>0</formula>
    </cfRule>
  </conditionalFormatting>
  <conditionalFormatting sqref="P95:P96">
    <cfRule type="cellIs" dxfId="15051" priority="513" operator="equal">
      <formula>0</formula>
    </cfRule>
  </conditionalFormatting>
  <conditionalFormatting sqref="D95:R96">
    <cfRule type="expression" dxfId="15050" priority="514">
      <formula>LEN(TRIM(D95))=0</formula>
    </cfRule>
  </conditionalFormatting>
  <conditionalFormatting sqref="J93:O94">
    <cfRule type="cellIs" dxfId="15049" priority="507" operator="equal">
      <formula>0</formula>
    </cfRule>
  </conditionalFormatting>
  <conditionalFormatting sqref="J93:O94">
    <cfRule type="expression" dxfId="15048" priority="508">
      <formula>LEN(TRIM(J93))=0</formula>
    </cfRule>
  </conditionalFormatting>
  <conditionalFormatting sqref="D107:R112 S106:S111 S113 D106:I106 P106:R106">
    <cfRule type="cellIs" dxfId="15047" priority="501" operator="equal">
      <formula>0</formula>
    </cfRule>
  </conditionalFormatting>
  <conditionalFormatting sqref="D113:R113">
    <cfRule type="cellIs" dxfId="15046" priority="502" operator="equal">
      <formula>0</formula>
    </cfRule>
  </conditionalFormatting>
  <conditionalFormatting sqref="D107:S111 D113:S113 D112:R112 D106:I106 P106:S106">
    <cfRule type="expression" dxfId="15045" priority="503">
      <formula>LEN(TRIM(D106))=0</formula>
    </cfRule>
  </conditionalFormatting>
  <conditionalFormatting sqref="D113:R113">
    <cfRule type="cellIs" dxfId="15044" priority="504" operator="equal">
      <formula>0</formula>
    </cfRule>
  </conditionalFormatting>
  <conditionalFormatting sqref="D114:R114">
    <cfRule type="cellIs" dxfId="15043" priority="505" operator="equal">
      <formula>0</formula>
    </cfRule>
  </conditionalFormatting>
  <conditionalFormatting sqref="D114:R114">
    <cfRule type="expression" dxfId="15042" priority="506">
      <formula>LEN(TRIM(D114))=0</formula>
    </cfRule>
  </conditionalFormatting>
  <conditionalFormatting sqref="S114">
    <cfRule type="cellIs" dxfId="15041" priority="499" operator="equal">
      <formula>0</formula>
    </cfRule>
  </conditionalFormatting>
  <conditionalFormatting sqref="S114">
    <cfRule type="expression" dxfId="15040" priority="500">
      <formula>LEN(TRIM(S114))=0</formula>
    </cfRule>
  </conditionalFormatting>
  <conditionalFormatting sqref="S112">
    <cfRule type="cellIs" dxfId="15039" priority="497" operator="equal">
      <formula>0</formula>
    </cfRule>
  </conditionalFormatting>
  <conditionalFormatting sqref="S112">
    <cfRule type="expression" dxfId="15038" priority="498">
      <formula>LEN(TRIM(S112))=0</formula>
    </cfRule>
  </conditionalFormatting>
  <conditionalFormatting sqref="J106:O106">
    <cfRule type="cellIs" dxfId="15037" priority="495" operator="equal">
      <formula>0</formula>
    </cfRule>
  </conditionalFormatting>
  <conditionalFormatting sqref="J106:O106">
    <cfRule type="expression" dxfId="15036" priority="496">
      <formula>LEN(TRIM(J106))=0</formula>
    </cfRule>
  </conditionalFormatting>
  <conditionalFormatting sqref="P123:S125 E123:I125 J123:O124 Q120:S122 G120:G122 D120:D125 D126:S126">
    <cfRule type="cellIs" dxfId="15035" priority="474" operator="equal">
      <formula>0</formula>
    </cfRule>
  </conditionalFormatting>
  <conditionalFormatting sqref="P120:P125">
    <cfRule type="cellIs" dxfId="15034" priority="475" operator="equal">
      <formula>0</formula>
    </cfRule>
  </conditionalFormatting>
  <conditionalFormatting sqref="D120:E125 H120:I125">
    <cfRule type="cellIs" dxfId="15033" priority="476" operator="equal">
      <formula>0</formula>
    </cfRule>
  </conditionalFormatting>
  <conditionalFormatting sqref="F120:F125">
    <cfRule type="cellIs" dxfId="15032" priority="477" operator="equal">
      <formula>0</formula>
    </cfRule>
  </conditionalFormatting>
  <conditionalFormatting sqref="J123:J125">
    <cfRule type="cellIs" dxfId="15031" priority="478" operator="equal">
      <formula>0</formula>
    </cfRule>
  </conditionalFormatting>
  <conditionalFormatting sqref="J120:J125 K120:O120">
    <cfRule type="cellIs" dxfId="15030" priority="479" operator="equal">
      <formula>0</formula>
    </cfRule>
  </conditionalFormatting>
  <conditionalFormatting sqref="K123:K125">
    <cfRule type="cellIs" dxfId="15029" priority="480" operator="equal">
      <formula>0</formula>
    </cfRule>
  </conditionalFormatting>
  <conditionalFormatting sqref="K120:K125">
    <cfRule type="cellIs" dxfId="15028" priority="481" operator="equal">
      <formula>0</formula>
    </cfRule>
  </conditionalFormatting>
  <conditionalFormatting sqref="L123:L125">
    <cfRule type="cellIs" dxfId="15027" priority="482" operator="equal">
      <formula>0</formula>
    </cfRule>
  </conditionalFormatting>
  <conditionalFormatting sqref="L120:L125">
    <cfRule type="cellIs" dxfId="15026" priority="483" operator="equal">
      <formula>0</formula>
    </cfRule>
  </conditionalFormatting>
  <conditionalFormatting sqref="M123:M125">
    <cfRule type="cellIs" dxfId="15025" priority="484" operator="equal">
      <formula>0</formula>
    </cfRule>
  </conditionalFormatting>
  <conditionalFormatting sqref="M120:M125">
    <cfRule type="cellIs" dxfId="15024" priority="485" operator="equal">
      <formula>0</formula>
    </cfRule>
  </conditionalFormatting>
  <conditionalFormatting sqref="N123:N125">
    <cfRule type="cellIs" dxfId="15023" priority="486" operator="equal">
      <formula>0</formula>
    </cfRule>
  </conditionalFormatting>
  <conditionalFormatting sqref="N120:N125">
    <cfRule type="cellIs" dxfId="15022" priority="487" operator="equal">
      <formula>0</formula>
    </cfRule>
  </conditionalFormatting>
  <conditionalFormatting sqref="O123:O125">
    <cfRule type="cellIs" dxfId="15021" priority="488" operator="equal">
      <formula>0</formula>
    </cfRule>
  </conditionalFormatting>
  <conditionalFormatting sqref="O120:O125">
    <cfRule type="cellIs" dxfId="15020" priority="489" operator="equal">
      <formula>0</formula>
    </cfRule>
  </conditionalFormatting>
  <conditionalFormatting sqref="D120:S126">
    <cfRule type="expression" dxfId="15019" priority="490">
      <formula>LEN(TRIM(D120))=0</formula>
    </cfRule>
  </conditionalFormatting>
  <conditionalFormatting sqref="L123:L124">
    <cfRule type="cellIs" dxfId="15018" priority="491" operator="equal">
      <formula>0</formula>
    </cfRule>
  </conditionalFormatting>
  <conditionalFormatting sqref="M123:M124">
    <cfRule type="cellIs" dxfId="15017" priority="492" operator="equal">
      <formula>0</formula>
    </cfRule>
  </conditionalFormatting>
  <conditionalFormatting sqref="N123:O123">
    <cfRule type="cellIs" dxfId="15016" priority="493" operator="equal">
      <formula>0</formula>
    </cfRule>
  </conditionalFormatting>
  <conditionalFormatting sqref="N124:O124">
    <cfRule type="cellIs" dxfId="15015" priority="494" operator="equal">
      <formula>0</formula>
    </cfRule>
  </conditionalFormatting>
  <conditionalFormatting sqref="E137:G137 D138:G139 H137:I139 D133:I136 J133:R139 D128:S128 D140:R140 D129:I130 S129:S140 P129:R130">
    <cfRule type="cellIs" dxfId="15014" priority="468" operator="equal">
      <formula>0</formula>
    </cfRule>
  </conditionalFormatting>
  <conditionalFormatting sqref="D137">
    <cfRule type="cellIs" dxfId="15013" priority="469" operator="equal">
      <formula>0</formula>
    </cfRule>
  </conditionalFormatting>
  <conditionalFormatting sqref="D128:S128 D133:R140 D129:I130 S129:S140 P129:R130">
    <cfRule type="expression" dxfId="15012" priority="470">
      <formula>LEN(TRIM(D128))=0</formula>
    </cfRule>
  </conditionalFormatting>
  <conditionalFormatting sqref="D131:R132">
    <cfRule type="cellIs" dxfId="15011" priority="471" operator="equal">
      <formula>0</formula>
    </cfRule>
  </conditionalFormatting>
  <conditionalFormatting sqref="P131:P132">
    <cfRule type="cellIs" dxfId="15010" priority="472" operator="equal">
      <formula>0</formula>
    </cfRule>
  </conditionalFormatting>
  <conditionalFormatting sqref="D131:R132">
    <cfRule type="expression" dxfId="15009" priority="473">
      <formula>LEN(TRIM(D131))=0</formula>
    </cfRule>
  </conditionalFormatting>
  <conditionalFormatting sqref="J129:O130">
    <cfRule type="cellIs" dxfId="15008" priority="466" operator="equal">
      <formula>0</formula>
    </cfRule>
  </conditionalFormatting>
  <conditionalFormatting sqref="J129:O130">
    <cfRule type="expression" dxfId="15007" priority="467">
      <formula>LEN(TRIM(J129))=0</formula>
    </cfRule>
  </conditionalFormatting>
  <conditionalFormatting sqref="D143:R148 S142:S147 S149 D142:I142 P142:R142">
    <cfRule type="cellIs" dxfId="15006" priority="460" operator="equal">
      <formula>0</formula>
    </cfRule>
  </conditionalFormatting>
  <conditionalFormatting sqref="D149:R149">
    <cfRule type="cellIs" dxfId="15005" priority="461" operator="equal">
      <formula>0</formula>
    </cfRule>
  </conditionalFormatting>
  <conditionalFormatting sqref="D143:S147 D149:S149 D148:R148 D142:I142 P142:S142">
    <cfRule type="expression" dxfId="15004" priority="462">
      <formula>LEN(TRIM(D142))=0</formula>
    </cfRule>
  </conditionalFormatting>
  <conditionalFormatting sqref="D149:R149">
    <cfRule type="cellIs" dxfId="15003" priority="463" operator="equal">
      <formula>0</formula>
    </cfRule>
  </conditionalFormatting>
  <conditionalFormatting sqref="D150:R150">
    <cfRule type="cellIs" dxfId="15002" priority="464" operator="equal">
      <formula>0</formula>
    </cfRule>
  </conditionalFormatting>
  <conditionalFormatting sqref="D150:R150">
    <cfRule type="expression" dxfId="15001" priority="465">
      <formula>LEN(TRIM(D150))=0</formula>
    </cfRule>
  </conditionalFormatting>
  <conditionalFormatting sqref="S150">
    <cfRule type="cellIs" dxfId="15000" priority="458" operator="equal">
      <formula>0</formula>
    </cfRule>
  </conditionalFormatting>
  <conditionalFormatting sqref="S150">
    <cfRule type="expression" dxfId="14999" priority="459">
      <formula>LEN(TRIM(S150))=0</formula>
    </cfRule>
  </conditionalFormatting>
  <conditionalFormatting sqref="S148">
    <cfRule type="cellIs" dxfId="14998" priority="456" operator="equal">
      <formula>0</formula>
    </cfRule>
  </conditionalFormatting>
  <conditionalFormatting sqref="S148">
    <cfRule type="expression" dxfId="14997" priority="457">
      <formula>LEN(TRIM(S148))=0</formula>
    </cfRule>
  </conditionalFormatting>
  <conditionalFormatting sqref="J142:O142">
    <cfRule type="cellIs" dxfId="14996" priority="454" operator="equal">
      <formula>0</formula>
    </cfRule>
  </conditionalFormatting>
  <conditionalFormatting sqref="J142:O142">
    <cfRule type="expression" dxfId="14995" priority="455">
      <formula>LEN(TRIM(J142))=0</formula>
    </cfRule>
  </conditionalFormatting>
  <conditionalFormatting sqref="P159:S161 E159:I161 J159:O160 Q156:S158 G156:G158 D156:D161 D162:S162">
    <cfRule type="cellIs" dxfId="14994" priority="433" operator="equal">
      <formula>0</formula>
    </cfRule>
  </conditionalFormatting>
  <conditionalFormatting sqref="P156:P161">
    <cfRule type="cellIs" dxfId="14993" priority="434" operator="equal">
      <formula>0</formula>
    </cfRule>
  </conditionalFormatting>
  <conditionalFormatting sqref="D156:E161 H156:I161">
    <cfRule type="cellIs" dxfId="14992" priority="435" operator="equal">
      <formula>0</formula>
    </cfRule>
  </conditionalFormatting>
  <conditionalFormatting sqref="F156:F161">
    <cfRule type="cellIs" dxfId="14991" priority="436" operator="equal">
      <formula>0</formula>
    </cfRule>
  </conditionalFormatting>
  <conditionalFormatting sqref="J159:J161">
    <cfRule type="cellIs" dxfId="14990" priority="437" operator="equal">
      <formula>0</formula>
    </cfRule>
  </conditionalFormatting>
  <conditionalFormatting sqref="J156:J161 K156:O156">
    <cfRule type="cellIs" dxfId="14989" priority="438" operator="equal">
      <formula>0</formula>
    </cfRule>
  </conditionalFormatting>
  <conditionalFormatting sqref="K159:K161">
    <cfRule type="cellIs" dxfId="14988" priority="439" operator="equal">
      <formula>0</formula>
    </cfRule>
  </conditionalFormatting>
  <conditionalFormatting sqref="K156:K161">
    <cfRule type="cellIs" dxfId="14987" priority="440" operator="equal">
      <formula>0</formula>
    </cfRule>
  </conditionalFormatting>
  <conditionalFormatting sqref="L159:L161">
    <cfRule type="cellIs" dxfId="14986" priority="441" operator="equal">
      <formula>0</formula>
    </cfRule>
  </conditionalFormatting>
  <conditionalFormatting sqref="L156:L161">
    <cfRule type="cellIs" dxfId="14985" priority="442" operator="equal">
      <formula>0</formula>
    </cfRule>
  </conditionalFormatting>
  <conditionalFormatting sqref="M159:M161">
    <cfRule type="cellIs" dxfId="14984" priority="443" operator="equal">
      <formula>0</formula>
    </cfRule>
  </conditionalFormatting>
  <conditionalFormatting sqref="M156:M161">
    <cfRule type="cellIs" dxfId="14983" priority="444" operator="equal">
      <formula>0</formula>
    </cfRule>
  </conditionalFormatting>
  <conditionalFormatting sqref="N159:N161">
    <cfRule type="cellIs" dxfId="14982" priority="445" operator="equal">
      <formula>0</formula>
    </cfRule>
  </conditionalFormatting>
  <conditionalFormatting sqref="N156:N161">
    <cfRule type="cellIs" dxfId="14981" priority="446" operator="equal">
      <formula>0</formula>
    </cfRule>
  </conditionalFormatting>
  <conditionalFormatting sqref="O159:O161">
    <cfRule type="cellIs" dxfId="14980" priority="447" operator="equal">
      <formula>0</formula>
    </cfRule>
  </conditionalFormatting>
  <conditionalFormatting sqref="O156:O161">
    <cfRule type="cellIs" dxfId="14979" priority="448" operator="equal">
      <formula>0</formula>
    </cfRule>
  </conditionalFormatting>
  <conditionalFormatting sqref="D156:S162">
    <cfRule type="expression" dxfId="14978" priority="449">
      <formula>LEN(TRIM(D156))=0</formula>
    </cfRule>
  </conditionalFormatting>
  <conditionalFormatting sqref="L159:L160">
    <cfRule type="cellIs" dxfId="14977" priority="450" operator="equal">
      <formula>0</formula>
    </cfRule>
  </conditionalFormatting>
  <conditionalFormatting sqref="M159:M160">
    <cfRule type="cellIs" dxfId="14976" priority="451" operator="equal">
      <formula>0</formula>
    </cfRule>
  </conditionalFormatting>
  <conditionalFormatting sqref="N159:O159">
    <cfRule type="cellIs" dxfId="14975" priority="452" operator="equal">
      <formula>0</formula>
    </cfRule>
  </conditionalFormatting>
  <conditionalFormatting sqref="N160:O160">
    <cfRule type="cellIs" dxfId="14974" priority="453" operator="equal">
      <formula>0</formula>
    </cfRule>
  </conditionalFormatting>
  <conditionalFormatting sqref="E173:G173 D174:G175 H173:I175 D169:I172 J169:R175 D164:S164 D176:R176 D165:I166 S165:S176 P165:R166">
    <cfRule type="cellIs" dxfId="14973" priority="427" operator="equal">
      <formula>0</formula>
    </cfRule>
  </conditionalFormatting>
  <conditionalFormatting sqref="D173">
    <cfRule type="cellIs" dxfId="14972" priority="428" operator="equal">
      <formula>0</formula>
    </cfRule>
  </conditionalFormatting>
  <conditionalFormatting sqref="D164:S164 D169:R176 D165:I166 S165:S176 P165:R166">
    <cfRule type="expression" dxfId="14971" priority="429">
      <formula>LEN(TRIM(D164))=0</formula>
    </cfRule>
  </conditionalFormatting>
  <conditionalFormatting sqref="D167:R168">
    <cfRule type="cellIs" dxfId="14970" priority="430" operator="equal">
      <formula>0</formula>
    </cfRule>
  </conditionalFormatting>
  <conditionalFormatting sqref="P167:P168">
    <cfRule type="cellIs" dxfId="14969" priority="431" operator="equal">
      <formula>0</formula>
    </cfRule>
  </conditionalFormatting>
  <conditionalFormatting sqref="D167:R168">
    <cfRule type="expression" dxfId="14968" priority="432">
      <formula>LEN(TRIM(D167))=0</formula>
    </cfRule>
  </conditionalFormatting>
  <conditionalFormatting sqref="J165:O166">
    <cfRule type="cellIs" dxfId="14967" priority="425" operator="equal">
      <formula>0</formula>
    </cfRule>
  </conditionalFormatting>
  <conditionalFormatting sqref="J165:O166">
    <cfRule type="expression" dxfId="14966" priority="426">
      <formula>LEN(TRIM(J165))=0</formula>
    </cfRule>
  </conditionalFormatting>
  <conditionalFormatting sqref="D179:R184 S178:S183 S185 D178:I178 P178:R178">
    <cfRule type="cellIs" dxfId="14965" priority="419" operator="equal">
      <formula>0</formula>
    </cfRule>
  </conditionalFormatting>
  <conditionalFormatting sqref="D185:R185">
    <cfRule type="cellIs" dxfId="14964" priority="420" operator="equal">
      <formula>0</formula>
    </cfRule>
  </conditionalFormatting>
  <conditionalFormatting sqref="D179:S183 D185:S185 D184:R184 D178:I178 P178:S178">
    <cfRule type="expression" dxfId="14963" priority="421">
      <formula>LEN(TRIM(D178))=0</formula>
    </cfRule>
  </conditionalFormatting>
  <conditionalFormatting sqref="D185:R185">
    <cfRule type="cellIs" dxfId="14962" priority="422" operator="equal">
      <formula>0</formula>
    </cfRule>
  </conditionalFormatting>
  <conditionalFormatting sqref="D186:R186">
    <cfRule type="cellIs" dxfId="14961" priority="423" operator="equal">
      <formula>0</formula>
    </cfRule>
  </conditionalFormatting>
  <conditionalFormatting sqref="D186:R186">
    <cfRule type="expression" dxfId="14960" priority="424">
      <formula>LEN(TRIM(D186))=0</formula>
    </cfRule>
  </conditionalFormatting>
  <conditionalFormatting sqref="S186">
    <cfRule type="cellIs" dxfId="14959" priority="417" operator="equal">
      <formula>0</formula>
    </cfRule>
  </conditionalFormatting>
  <conditionalFormatting sqref="S186">
    <cfRule type="expression" dxfId="14958" priority="418">
      <formula>LEN(TRIM(S186))=0</formula>
    </cfRule>
  </conditionalFormatting>
  <conditionalFormatting sqref="S184">
    <cfRule type="cellIs" dxfId="14957" priority="415" operator="equal">
      <formula>0</formula>
    </cfRule>
  </conditionalFormatting>
  <conditionalFormatting sqref="S184">
    <cfRule type="expression" dxfId="14956" priority="416">
      <formula>LEN(TRIM(S184))=0</formula>
    </cfRule>
  </conditionalFormatting>
  <conditionalFormatting sqref="J178:O178">
    <cfRule type="cellIs" dxfId="14955" priority="413" operator="equal">
      <formula>0</formula>
    </cfRule>
  </conditionalFormatting>
  <conditionalFormatting sqref="J178:O178">
    <cfRule type="expression" dxfId="14954" priority="414">
      <formula>LEN(TRIM(J178))=0</formula>
    </cfRule>
  </conditionalFormatting>
  <conditionalFormatting sqref="P195:S197 E195:I197 J195:O196 Q192:S194 G192:G194 D192:D197 D198:S198">
    <cfRule type="cellIs" dxfId="14953" priority="392" operator="equal">
      <formula>0</formula>
    </cfRule>
  </conditionalFormatting>
  <conditionalFormatting sqref="P192:P197">
    <cfRule type="cellIs" dxfId="14952" priority="393" operator="equal">
      <formula>0</formula>
    </cfRule>
  </conditionalFormatting>
  <conditionalFormatting sqref="D192:E197 H192:I197">
    <cfRule type="cellIs" dxfId="14951" priority="394" operator="equal">
      <formula>0</formula>
    </cfRule>
  </conditionalFormatting>
  <conditionalFormatting sqref="F192:F197">
    <cfRule type="cellIs" dxfId="14950" priority="395" operator="equal">
      <formula>0</formula>
    </cfRule>
  </conditionalFormatting>
  <conditionalFormatting sqref="J195:J197">
    <cfRule type="cellIs" dxfId="14949" priority="396" operator="equal">
      <formula>0</formula>
    </cfRule>
  </conditionalFormatting>
  <conditionalFormatting sqref="J192:J197 K192:O192">
    <cfRule type="cellIs" dxfId="14948" priority="397" operator="equal">
      <formula>0</formula>
    </cfRule>
  </conditionalFormatting>
  <conditionalFormatting sqref="K195:K197">
    <cfRule type="cellIs" dxfId="14947" priority="398" operator="equal">
      <formula>0</formula>
    </cfRule>
  </conditionalFormatting>
  <conditionalFormatting sqref="K192:K197">
    <cfRule type="cellIs" dxfId="14946" priority="399" operator="equal">
      <formula>0</formula>
    </cfRule>
  </conditionalFormatting>
  <conditionalFormatting sqref="L195:L197">
    <cfRule type="cellIs" dxfId="14945" priority="400" operator="equal">
      <formula>0</formula>
    </cfRule>
  </conditionalFormatting>
  <conditionalFormatting sqref="L192:L197">
    <cfRule type="cellIs" dxfId="14944" priority="401" operator="equal">
      <formula>0</formula>
    </cfRule>
  </conditionalFormatting>
  <conditionalFormatting sqref="M195:M197">
    <cfRule type="cellIs" dxfId="14943" priority="402" operator="equal">
      <formula>0</formula>
    </cfRule>
  </conditionalFormatting>
  <conditionalFormatting sqref="M192:M197">
    <cfRule type="cellIs" dxfId="14942" priority="403" operator="equal">
      <formula>0</formula>
    </cfRule>
  </conditionalFormatting>
  <conditionalFormatting sqref="N195:N197">
    <cfRule type="cellIs" dxfId="14941" priority="404" operator="equal">
      <formula>0</formula>
    </cfRule>
  </conditionalFormatting>
  <conditionalFormatting sqref="N192:N197">
    <cfRule type="cellIs" dxfId="14940" priority="405" operator="equal">
      <formula>0</formula>
    </cfRule>
  </conditionalFormatting>
  <conditionalFormatting sqref="O195:O197">
    <cfRule type="cellIs" dxfId="14939" priority="406" operator="equal">
      <formula>0</formula>
    </cfRule>
  </conditionalFormatting>
  <conditionalFormatting sqref="O192:O197">
    <cfRule type="cellIs" dxfId="14938" priority="407" operator="equal">
      <formula>0</formula>
    </cfRule>
  </conditionalFormatting>
  <conditionalFormatting sqref="D192:S198">
    <cfRule type="expression" dxfId="14937" priority="408">
      <formula>LEN(TRIM(D192))=0</formula>
    </cfRule>
  </conditionalFormatting>
  <conditionalFormatting sqref="L195:L196">
    <cfRule type="cellIs" dxfId="14936" priority="409" operator="equal">
      <formula>0</formula>
    </cfRule>
  </conditionalFormatting>
  <conditionalFormatting sqref="M195:M196">
    <cfRule type="cellIs" dxfId="14935" priority="410" operator="equal">
      <formula>0</formula>
    </cfRule>
  </conditionalFormatting>
  <conditionalFormatting sqref="N195:O195">
    <cfRule type="cellIs" dxfId="14934" priority="411" operator="equal">
      <formula>0</formula>
    </cfRule>
  </conditionalFormatting>
  <conditionalFormatting sqref="N196:O196">
    <cfRule type="cellIs" dxfId="14933" priority="412" operator="equal">
      <formula>0</formula>
    </cfRule>
  </conditionalFormatting>
  <conditionalFormatting sqref="E209:G209 D210:G211 H209:I211 D205:I208 J205:R211 D200:S200 D212:R212 D201:I202 S201:S212 P201:R202">
    <cfRule type="cellIs" dxfId="14932" priority="386" operator="equal">
      <formula>0</formula>
    </cfRule>
  </conditionalFormatting>
  <conditionalFormatting sqref="D209">
    <cfRule type="cellIs" dxfId="14931" priority="387" operator="equal">
      <formula>0</formula>
    </cfRule>
  </conditionalFormatting>
  <conditionalFormatting sqref="D200:S200 D205:R212 D201:I202 S201:S212 P201:R202">
    <cfRule type="expression" dxfId="14930" priority="388">
      <formula>LEN(TRIM(D200))=0</formula>
    </cfRule>
  </conditionalFormatting>
  <conditionalFormatting sqref="D203:R204">
    <cfRule type="cellIs" dxfId="14929" priority="389" operator="equal">
      <formula>0</formula>
    </cfRule>
  </conditionalFormatting>
  <conditionalFormatting sqref="P203:P204">
    <cfRule type="cellIs" dxfId="14928" priority="390" operator="equal">
      <formula>0</formula>
    </cfRule>
  </conditionalFormatting>
  <conditionalFormatting sqref="D203:R204">
    <cfRule type="expression" dxfId="14927" priority="391">
      <formula>LEN(TRIM(D203))=0</formula>
    </cfRule>
  </conditionalFormatting>
  <conditionalFormatting sqref="J201:O202">
    <cfRule type="cellIs" dxfId="14926" priority="384" operator="equal">
      <formula>0</formula>
    </cfRule>
  </conditionalFormatting>
  <conditionalFormatting sqref="J201:O202">
    <cfRule type="expression" dxfId="14925" priority="385">
      <formula>LEN(TRIM(J201))=0</formula>
    </cfRule>
  </conditionalFormatting>
  <conditionalFormatting sqref="D215:R220 S214:S219 S221 D214:I214 P214:R214">
    <cfRule type="cellIs" dxfId="14924" priority="378" operator="equal">
      <formula>0</formula>
    </cfRule>
  </conditionalFormatting>
  <conditionalFormatting sqref="D221:R221">
    <cfRule type="cellIs" dxfId="14923" priority="379" operator="equal">
      <formula>0</formula>
    </cfRule>
  </conditionalFormatting>
  <conditionalFormatting sqref="D215:S219 D221:S221 D220:R220 D214:I214 P214:S214">
    <cfRule type="expression" dxfId="14922" priority="380">
      <formula>LEN(TRIM(D214))=0</formula>
    </cfRule>
  </conditionalFormatting>
  <conditionalFormatting sqref="D221:R221">
    <cfRule type="cellIs" dxfId="14921" priority="381" operator="equal">
      <formula>0</formula>
    </cfRule>
  </conditionalFormatting>
  <conditionalFormatting sqref="D222:R222">
    <cfRule type="cellIs" dxfId="14920" priority="382" operator="equal">
      <formula>0</formula>
    </cfRule>
  </conditionalFormatting>
  <conditionalFormatting sqref="D222:R222">
    <cfRule type="expression" dxfId="14919" priority="383">
      <formula>LEN(TRIM(D222))=0</formula>
    </cfRule>
  </conditionalFormatting>
  <conditionalFormatting sqref="S222">
    <cfRule type="cellIs" dxfId="14918" priority="376" operator="equal">
      <formula>0</formula>
    </cfRule>
  </conditionalFormatting>
  <conditionalFormatting sqref="S222">
    <cfRule type="expression" dxfId="14917" priority="377">
      <formula>LEN(TRIM(S222))=0</formula>
    </cfRule>
  </conditionalFormatting>
  <conditionalFormatting sqref="S220">
    <cfRule type="cellIs" dxfId="14916" priority="374" operator="equal">
      <formula>0</formula>
    </cfRule>
  </conditionalFormatting>
  <conditionalFormatting sqref="S220">
    <cfRule type="expression" dxfId="14915" priority="375">
      <formula>LEN(TRIM(S220))=0</formula>
    </cfRule>
  </conditionalFormatting>
  <conditionalFormatting sqref="J214:O214">
    <cfRule type="cellIs" dxfId="14914" priority="372" operator="equal">
      <formula>0</formula>
    </cfRule>
  </conditionalFormatting>
  <conditionalFormatting sqref="J214:O214">
    <cfRule type="expression" dxfId="14913" priority="373">
      <formula>LEN(TRIM(J214))=0</formula>
    </cfRule>
  </conditionalFormatting>
  <conditionalFormatting sqref="AH15:AK17 W15:AA17 AB15:AG16 AI12:AK14 Y12:Y14 V12:V17 V18:AK18">
    <cfRule type="cellIs" dxfId="14912" priority="310" operator="equal">
      <formula>0</formula>
    </cfRule>
  </conditionalFormatting>
  <conditionalFormatting sqref="AH12:AH17">
    <cfRule type="cellIs" dxfId="14911" priority="311" operator="equal">
      <formula>0</formula>
    </cfRule>
  </conditionalFormatting>
  <conditionalFormatting sqref="V12:W17 Z12:AA17">
    <cfRule type="cellIs" dxfId="14910" priority="312" operator="equal">
      <formula>0</formula>
    </cfRule>
  </conditionalFormatting>
  <conditionalFormatting sqref="X12:X17">
    <cfRule type="cellIs" dxfId="14909" priority="313" operator="equal">
      <formula>0</formula>
    </cfRule>
  </conditionalFormatting>
  <conditionalFormatting sqref="AB15:AB17">
    <cfRule type="cellIs" dxfId="14908" priority="314" operator="equal">
      <formula>0</formula>
    </cfRule>
  </conditionalFormatting>
  <conditionalFormatting sqref="AB12:AB17 AC12:AG12">
    <cfRule type="cellIs" dxfId="14907" priority="315" operator="equal">
      <formula>0</formula>
    </cfRule>
  </conditionalFormatting>
  <conditionalFormatting sqref="AC15:AC17">
    <cfRule type="cellIs" dxfId="14906" priority="316" operator="equal">
      <formula>0</formula>
    </cfRule>
  </conditionalFormatting>
  <conditionalFormatting sqref="AC12:AC17">
    <cfRule type="cellIs" dxfId="14905" priority="317" operator="equal">
      <formula>0</formula>
    </cfRule>
  </conditionalFormatting>
  <conditionalFormatting sqref="AD15:AD17">
    <cfRule type="cellIs" dxfId="14904" priority="318" operator="equal">
      <formula>0</formula>
    </cfRule>
  </conditionalFormatting>
  <conditionalFormatting sqref="AD12:AD17">
    <cfRule type="cellIs" dxfId="14903" priority="319" operator="equal">
      <formula>0</formula>
    </cfRule>
  </conditionalFormatting>
  <conditionalFormatting sqref="AE15:AE17">
    <cfRule type="cellIs" dxfId="14902" priority="320" operator="equal">
      <formula>0</formula>
    </cfRule>
  </conditionalFormatting>
  <conditionalFormatting sqref="AE12:AE17">
    <cfRule type="cellIs" dxfId="14901" priority="321" operator="equal">
      <formula>0</formula>
    </cfRule>
  </conditionalFormatting>
  <conditionalFormatting sqref="AF15:AF17">
    <cfRule type="cellIs" dxfId="14900" priority="322" operator="equal">
      <formula>0</formula>
    </cfRule>
  </conditionalFormatting>
  <conditionalFormatting sqref="AF12:AF17">
    <cfRule type="cellIs" dxfId="14899" priority="323" operator="equal">
      <formula>0</formula>
    </cfRule>
  </conditionalFormatting>
  <conditionalFormatting sqref="AG15:AG17">
    <cfRule type="cellIs" dxfId="14898" priority="324" operator="equal">
      <formula>0</formula>
    </cfRule>
  </conditionalFormatting>
  <conditionalFormatting sqref="AG12:AG17">
    <cfRule type="cellIs" dxfId="14897" priority="325" operator="equal">
      <formula>0</formula>
    </cfRule>
  </conditionalFormatting>
  <conditionalFormatting sqref="V12:AK18">
    <cfRule type="expression" dxfId="14896" priority="326">
      <formula>LEN(TRIM(V12))=0</formula>
    </cfRule>
  </conditionalFormatting>
  <conditionalFormatting sqref="AD15:AD16">
    <cfRule type="cellIs" dxfId="14895" priority="327" operator="equal">
      <formula>0</formula>
    </cfRule>
  </conditionalFormatting>
  <conditionalFormatting sqref="AE15:AE16">
    <cfRule type="cellIs" dxfId="14894" priority="328" operator="equal">
      <formula>0</formula>
    </cfRule>
  </conditionalFormatting>
  <conditionalFormatting sqref="AF15:AG15">
    <cfRule type="cellIs" dxfId="14893" priority="329" operator="equal">
      <formula>0</formula>
    </cfRule>
  </conditionalFormatting>
  <conditionalFormatting sqref="AF16:AG16">
    <cfRule type="cellIs" dxfId="14892" priority="330" operator="equal">
      <formula>0</formula>
    </cfRule>
  </conditionalFormatting>
  <conditionalFormatting sqref="W29:Y29 V30:Y31 Z29:AA31 V25:AA28 AB25:AJ31 V20:AK20 V32:AJ32 V21:AA22 AK21:AK32 AH21:AJ22">
    <cfRule type="cellIs" dxfId="14891" priority="304" operator="equal">
      <formula>0</formula>
    </cfRule>
  </conditionalFormatting>
  <conditionalFormatting sqref="V29">
    <cfRule type="cellIs" dxfId="14890" priority="305" operator="equal">
      <formula>0</formula>
    </cfRule>
  </conditionalFormatting>
  <conditionalFormatting sqref="V20:AK20 V25:AJ32 V21:AA22 AK21:AK32 AH21:AJ22">
    <cfRule type="expression" dxfId="14889" priority="306">
      <formula>LEN(TRIM(V20))=0</formula>
    </cfRule>
  </conditionalFormatting>
  <conditionalFormatting sqref="V23:AJ24">
    <cfRule type="cellIs" dxfId="14888" priority="307" operator="equal">
      <formula>0</formula>
    </cfRule>
  </conditionalFormatting>
  <conditionalFormatting sqref="AH23:AH24">
    <cfRule type="cellIs" dxfId="14887" priority="308" operator="equal">
      <formula>0</formula>
    </cfRule>
  </conditionalFormatting>
  <conditionalFormatting sqref="V23:AJ24">
    <cfRule type="expression" dxfId="14886" priority="309">
      <formula>LEN(TRIM(V23))=0</formula>
    </cfRule>
  </conditionalFormatting>
  <conditionalFormatting sqref="AB21:AG22">
    <cfRule type="cellIs" dxfId="14885" priority="302" operator="equal">
      <formula>0</formula>
    </cfRule>
  </conditionalFormatting>
  <conditionalFormatting sqref="AB21:AG22">
    <cfRule type="expression" dxfId="14884" priority="303">
      <formula>LEN(TRIM(AB21))=0</formula>
    </cfRule>
  </conditionalFormatting>
  <conditionalFormatting sqref="V35:AJ40 AK34:AK39 AK41 V34:AA34 AH34:AJ34">
    <cfRule type="cellIs" dxfId="14883" priority="296" operator="equal">
      <formula>0</formula>
    </cfRule>
  </conditionalFormatting>
  <conditionalFormatting sqref="V41:AJ41">
    <cfRule type="cellIs" dxfId="14882" priority="297" operator="equal">
      <formula>0</formula>
    </cfRule>
  </conditionalFormatting>
  <conditionalFormatting sqref="V35:AK39 V41:AK41 V40:AJ40 V34:AA34 AH34:AK34">
    <cfRule type="expression" dxfId="14881" priority="298">
      <formula>LEN(TRIM(V34))=0</formula>
    </cfRule>
  </conditionalFormatting>
  <conditionalFormatting sqref="V41:AJ41">
    <cfRule type="cellIs" dxfId="14880" priority="299" operator="equal">
      <formula>0</formula>
    </cfRule>
  </conditionalFormatting>
  <conditionalFormatting sqref="V42:AJ42">
    <cfRule type="cellIs" dxfId="14879" priority="300" operator="equal">
      <formula>0</formula>
    </cfRule>
  </conditionalFormatting>
  <conditionalFormatting sqref="V42:AJ42">
    <cfRule type="expression" dxfId="14878" priority="301">
      <formula>LEN(TRIM(V42))=0</formula>
    </cfRule>
  </conditionalFormatting>
  <conditionalFormatting sqref="AK42">
    <cfRule type="cellIs" dxfId="14877" priority="294" operator="equal">
      <formula>0</formula>
    </cfRule>
  </conditionalFormatting>
  <conditionalFormatting sqref="AK42">
    <cfRule type="expression" dxfId="14876" priority="295">
      <formula>LEN(TRIM(AK42))=0</formula>
    </cfRule>
  </conditionalFormatting>
  <conditionalFormatting sqref="AK40">
    <cfRule type="cellIs" dxfId="14875" priority="292" operator="equal">
      <formula>0</formula>
    </cfRule>
  </conditionalFormatting>
  <conditionalFormatting sqref="AK40">
    <cfRule type="expression" dxfId="14874" priority="293">
      <formula>LEN(TRIM(AK40))=0</formula>
    </cfRule>
  </conditionalFormatting>
  <conditionalFormatting sqref="AB34:AG34">
    <cfRule type="cellIs" dxfId="14873" priority="290" operator="equal">
      <formula>0</formula>
    </cfRule>
  </conditionalFormatting>
  <conditionalFormatting sqref="AB34:AG34">
    <cfRule type="expression" dxfId="14872" priority="291">
      <formula>LEN(TRIM(AB34))=0</formula>
    </cfRule>
  </conditionalFormatting>
  <conditionalFormatting sqref="AH51:AK53 W51:AA53 AB51:AG52 AI48:AK50 Y48:Y50 V48:V53 V54:AK54">
    <cfRule type="cellIs" dxfId="14871" priority="269" operator="equal">
      <formula>0</formula>
    </cfRule>
  </conditionalFormatting>
  <conditionalFormatting sqref="AH48:AH53">
    <cfRule type="cellIs" dxfId="14870" priority="270" operator="equal">
      <formula>0</formula>
    </cfRule>
  </conditionalFormatting>
  <conditionalFormatting sqref="V48:W53 Z48:AA53">
    <cfRule type="cellIs" dxfId="14869" priority="271" operator="equal">
      <formula>0</formula>
    </cfRule>
  </conditionalFormatting>
  <conditionalFormatting sqref="X48:X53">
    <cfRule type="cellIs" dxfId="14868" priority="272" operator="equal">
      <formula>0</formula>
    </cfRule>
  </conditionalFormatting>
  <conditionalFormatting sqref="AB51:AB53">
    <cfRule type="cellIs" dxfId="14867" priority="273" operator="equal">
      <formula>0</formula>
    </cfRule>
  </conditionalFormatting>
  <conditionalFormatting sqref="AB48:AB53 AC48:AG48">
    <cfRule type="cellIs" dxfId="14866" priority="274" operator="equal">
      <formula>0</formula>
    </cfRule>
  </conditionalFormatting>
  <conditionalFormatting sqref="AC51:AC53">
    <cfRule type="cellIs" dxfId="14865" priority="275" operator="equal">
      <formula>0</formula>
    </cfRule>
  </conditionalFormatting>
  <conditionalFormatting sqref="AC48:AC53">
    <cfRule type="cellIs" dxfId="14864" priority="276" operator="equal">
      <formula>0</formula>
    </cfRule>
  </conditionalFormatting>
  <conditionalFormatting sqref="AD51:AD53">
    <cfRule type="cellIs" dxfId="14863" priority="277" operator="equal">
      <formula>0</formula>
    </cfRule>
  </conditionalFormatting>
  <conditionalFormatting sqref="AD48:AD53">
    <cfRule type="cellIs" dxfId="14862" priority="278" operator="equal">
      <formula>0</formula>
    </cfRule>
  </conditionalFormatting>
  <conditionalFormatting sqref="AE51:AE53">
    <cfRule type="cellIs" dxfId="14861" priority="279" operator="equal">
      <formula>0</formula>
    </cfRule>
  </conditionalFormatting>
  <conditionalFormatting sqref="AE48:AE53">
    <cfRule type="cellIs" dxfId="14860" priority="280" operator="equal">
      <formula>0</formula>
    </cfRule>
  </conditionalFormatting>
  <conditionalFormatting sqref="AF51:AF53">
    <cfRule type="cellIs" dxfId="14859" priority="281" operator="equal">
      <formula>0</formula>
    </cfRule>
  </conditionalFormatting>
  <conditionalFormatting sqref="AF48:AF53">
    <cfRule type="cellIs" dxfId="14858" priority="282" operator="equal">
      <formula>0</formula>
    </cfRule>
  </conditionalFormatting>
  <conditionalFormatting sqref="AG51:AG53">
    <cfRule type="cellIs" dxfId="14857" priority="283" operator="equal">
      <formula>0</formula>
    </cfRule>
  </conditionalFormatting>
  <conditionalFormatting sqref="AG48:AG53">
    <cfRule type="cellIs" dxfId="14856" priority="284" operator="equal">
      <formula>0</formula>
    </cfRule>
  </conditionalFormatting>
  <conditionalFormatting sqref="V48:AK54">
    <cfRule type="expression" dxfId="14855" priority="285">
      <formula>LEN(TRIM(V48))=0</formula>
    </cfRule>
  </conditionalFormatting>
  <conditionalFormatting sqref="AD51:AD52">
    <cfRule type="cellIs" dxfId="14854" priority="286" operator="equal">
      <formula>0</formula>
    </cfRule>
  </conditionalFormatting>
  <conditionalFormatting sqref="AE51:AE52">
    <cfRule type="cellIs" dxfId="14853" priority="287" operator="equal">
      <formula>0</formula>
    </cfRule>
  </conditionalFormatting>
  <conditionalFormatting sqref="AF51:AG51">
    <cfRule type="cellIs" dxfId="14852" priority="288" operator="equal">
      <formula>0</formula>
    </cfRule>
  </conditionalFormatting>
  <conditionalFormatting sqref="AF52:AG52">
    <cfRule type="cellIs" dxfId="14851" priority="289" operator="equal">
      <formula>0</formula>
    </cfRule>
  </conditionalFormatting>
  <conditionalFormatting sqref="W65:Y65 V66:Y67 Z65:AA67 V61:AA64 AB61:AJ67 V56:AK56 V68:AJ68 V57:AA58 AK57:AK68 AH57:AJ58">
    <cfRule type="cellIs" dxfId="14850" priority="263" operator="equal">
      <formula>0</formula>
    </cfRule>
  </conditionalFormatting>
  <conditionalFormatting sqref="V65">
    <cfRule type="cellIs" dxfId="14849" priority="264" operator="equal">
      <formula>0</formula>
    </cfRule>
  </conditionalFormatting>
  <conditionalFormatting sqref="V56:AK56 V61:AJ68 V57:AA58 AK57:AK68 AH57:AJ58">
    <cfRule type="expression" dxfId="14848" priority="265">
      <formula>LEN(TRIM(V56))=0</formula>
    </cfRule>
  </conditionalFormatting>
  <conditionalFormatting sqref="V59:AJ60">
    <cfRule type="cellIs" dxfId="14847" priority="266" operator="equal">
      <formula>0</formula>
    </cfRule>
  </conditionalFormatting>
  <conditionalFormatting sqref="AH59:AH60">
    <cfRule type="cellIs" dxfId="14846" priority="267" operator="equal">
      <formula>0</formula>
    </cfRule>
  </conditionalFormatting>
  <conditionalFormatting sqref="V59:AJ60">
    <cfRule type="expression" dxfId="14845" priority="268">
      <formula>LEN(TRIM(V59))=0</formula>
    </cfRule>
  </conditionalFormatting>
  <conditionalFormatting sqref="AB57:AG58">
    <cfRule type="cellIs" dxfId="14844" priority="261" operator="equal">
      <formula>0</formula>
    </cfRule>
  </conditionalFormatting>
  <conditionalFormatting sqref="AB57:AG58">
    <cfRule type="expression" dxfId="14843" priority="262">
      <formula>LEN(TRIM(AB57))=0</formula>
    </cfRule>
  </conditionalFormatting>
  <conditionalFormatting sqref="V71:AJ76 AK70:AK75 AK77 V70:AA70 AH70:AJ70">
    <cfRule type="cellIs" dxfId="14842" priority="255" operator="equal">
      <formula>0</formula>
    </cfRule>
  </conditionalFormatting>
  <conditionalFormatting sqref="V77:AJ77">
    <cfRule type="cellIs" dxfId="14841" priority="256" operator="equal">
      <formula>0</formula>
    </cfRule>
  </conditionalFormatting>
  <conditionalFormatting sqref="V71:AK75 V77:AK77 V76:AJ76 V70:AA70 AH70:AK70">
    <cfRule type="expression" dxfId="14840" priority="257">
      <formula>LEN(TRIM(V70))=0</formula>
    </cfRule>
  </conditionalFormatting>
  <conditionalFormatting sqref="V77:AJ77">
    <cfRule type="cellIs" dxfId="14839" priority="258" operator="equal">
      <formula>0</formula>
    </cfRule>
  </conditionalFormatting>
  <conditionalFormatting sqref="V78:AJ78">
    <cfRule type="cellIs" dxfId="14838" priority="259" operator="equal">
      <formula>0</formula>
    </cfRule>
  </conditionalFormatting>
  <conditionalFormatting sqref="V78:AJ78">
    <cfRule type="expression" dxfId="14837" priority="260">
      <formula>LEN(TRIM(V78))=0</formula>
    </cfRule>
  </conditionalFormatting>
  <conditionalFormatting sqref="AK78">
    <cfRule type="cellIs" dxfId="14836" priority="253" operator="equal">
      <formula>0</formula>
    </cfRule>
  </conditionalFormatting>
  <conditionalFormatting sqref="AK78">
    <cfRule type="expression" dxfId="14835" priority="254">
      <formula>LEN(TRIM(AK78))=0</formula>
    </cfRule>
  </conditionalFormatting>
  <conditionalFormatting sqref="AK76">
    <cfRule type="cellIs" dxfId="14834" priority="251" operator="equal">
      <formula>0</formula>
    </cfRule>
  </conditionalFormatting>
  <conditionalFormatting sqref="AK76">
    <cfRule type="expression" dxfId="14833" priority="252">
      <formula>LEN(TRIM(AK76))=0</formula>
    </cfRule>
  </conditionalFormatting>
  <conditionalFormatting sqref="AB70:AG70">
    <cfRule type="cellIs" dxfId="14832" priority="249" operator="equal">
      <formula>0</formula>
    </cfRule>
  </conditionalFormatting>
  <conditionalFormatting sqref="AB70:AG70">
    <cfRule type="expression" dxfId="14831" priority="250">
      <formula>LEN(TRIM(AB70))=0</formula>
    </cfRule>
  </conditionalFormatting>
  <conditionalFormatting sqref="AH87:AK89 W87:AA89 AB87:AG88 AI84:AK86 Y84:Y86 V84:V89 V90:AK90">
    <cfRule type="cellIs" dxfId="14830" priority="228" operator="equal">
      <formula>0</formula>
    </cfRule>
  </conditionalFormatting>
  <conditionalFormatting sqref="AH84:AH89">
    <cfRule type="cellIs" dxfId="14829" priority="229" operator="equal">
      <formula>0</formula>
    </cfRule>
  </conditionalFormatting>
  <conditionalFormatting sqref="V84:W89 Z84:AA89">
    <cfRule type="cellIs" dxfId="14828" priority="230" operator="equal">
      <formula>0</formula>
    </cfRule>
  </conditionalFormatting>
  <conditionalFormatting sqref="X84:X89">
    <cfRule type="cellIs" dxfId="14827" priority="231" operator="equal">
      <formula>0</formula>
    </cfRule>
  </conditionalFormatting>
  <conditionalFormatting sqref="AB87:AB89">
    <cfRule type="cellIs" dxfId="14826" priority="232" operator="equal">
      <formula>0</formula>
    </cfRule>
  </conditionalFormatting>
  <conditionalFormatting sqref="AB84:AB89 AC84:AG84">
    <cfRule type="cellIs" dxfId="14825" priority="233" operator="equal">
      <formula>0</formula>
    </cfRule>
  </conditionalFormatting>
  <conditionalFormatting sqref="AC87:AC89">
    <cfRule type="cellIs" dxfId="14824" priority="234" operator="equal">
      <formula>0</formula>
    </cfRule>
  </conditionalFormatting>
  <conditionalFormatting sqref="AC84:AC89">
    <cfRule type="cellIs" dxfId="14823" priority="235" operator="equal">
      <formula>0</formula>
    </cfRule>
  </conditionalFormatting>
  <conditionalFormatting sqref="AD87:AD89">
    <cfRule type="cellIs" dxfId="14822" priority="236" operator="equal">
      <formula>0</formula>
    </cfRule>
  </conditionalFormatting>
  <conditionalFormatting sqref="AD84:AD89">
    <cfRule type="cellIs" dxfId="14821" priority="237" operator="equal">
      <formula>0</formula>
    </cfRule>
  </conditionalFormatting>
  <conditionalFormatting sqref="AE87:AE89">
    <cfRule type="cellIs" dxfId="14820" priority="238" operator="equal">
      <formula>0</formula>
    </cfRule>
  </conditionalFormatting>
  <conditionalFormatting sqref="AE84:AE89">
    <cfRule type="cellIs" dxfId="14819" priority="239" operator="equal">
      <formula>0</formula>
    </cfRule>
  </conditionalFormatting>
  <conditionalFormatting sqref="AF87:AF89">
    <cfRule type="cellIs" dxfId="14818" priority="240" operator="equal">
      <formula>0</formula>
    </cfRule>
  </conditionalFormatting>
  <conditionalFormatting sqref="AF84:AF89">
    <cfRule type="cellIs" dxfId="14817" priority="241" operator="equal">
      <formula>0</formula>
    </cfRule>
  </conditionalFormatting>
  <conditionalFormatting sqref="AG87:AG89">
    <cfRule type="cellIs" dxfId="14816" priority="242" operator="equal">
      <formula>0</formula>
    </cfRule>
  </conditionalFormatting>
  <conditionalFormatting sqref="AG84:AG89">
    <cfRule type="cellIs" dxfId="14815" priority="243" operator="equal">
      <formula>0</formula>
    </cfRule>
  </conditionalFormatting>
  <conditionalFormatting sqref="V84:AK90">
    <cfRule type="expression" dxfId="14814" priority="244">
      <formula>LEN(TRIM(V84))=0</formula>
    </cfRule>
  </conditionalFormatting>
  <conditionalFormatting sqref="AD87:AD88">
    <cfRule type="cellIs" dxfId="14813" priority="245" operator="equal">
      <formula>0</formula>
    </cfRule>
  </conditionalFormatting>
  <conditionalFormatting sqref="AE87:AE88">
    <cfRule type="cellIs" dxfId="14812" priority="246" operator="equal">
      <formula>0</formula>
    </cfRule>
  </conditionalFormatting>
  <conditionalFormatting sqref="AF87:AG87">
    <cfRule type="cellIs" dxfId="14811" priority="247" operator="equal">
      <formula>0</formula>
    </cfRule>
  </conditionalFormatting>
  <conditionalFormatting sqref="AF88:AG88">
    <cfRule type="cellIs" dxfId="14810" priority="248" operator="equal">
      <formula>0</formula>
    </cfRule>
  </conditionalFormatting>
  <conditionalFormatting sqref="W101:Y101 V102:Y103 Z101:AA103 V97:AA100 AB97:AJ103 V92:AK92 V104:AJ104 V93:AA94 AK93:AK104 AH93:AJ94">
    <cfRule type="cellIs" dxfId="14809" priority="222" operator="equal">
      <formula>0</formula>
    </cfRule>
  </conditionalFormatting>
  <conditionalFormatting sqref="V101">
    <cfRule type="cellIs" dxfId="14808" priority="223" operator="equal">
      <formula>0</formula>
    </cfRule>
  </conditionalFormatting>
  <conditionalFormatting sqref="V92:AK92 V97:AJ104 V93:AA94 AK93:AK104 AH93:AJ94">
    <cfRule type="expression" dxfId="14807" priority="224">
      <formula>LEN(TRIM(V92))=0</formula>
    </cfRule>
  </conditionalFormatting>
  <conditionalFormatting sqref="V95:AJ96">
    <cfRule type="cellIs" dxfId="14806" priority="225" operator="equal">
      <formula>0</formula>
    </cfRule>
  </conditionalFormatting>
  <conditionalFormatting sqref="AH95:AH96">
    <cfRule type="cellIs" dxfId="14805" priority="226" operator="equal">
      <formula>0</formula>
    </cfRule>
  </conditionalFormatting>
  <conditionalFormatting sqref="V95:AJ96">
    <cfRule type="expression" dxfId="14804" priority="227">
      <formula>LEN(TRIM(V95))=0</formula>
    </cfRule>
  </conditionalFormatting>
  <conditionalFormatting sqref="AB93:AG94">
    <cfRule type="cellIs" dxfId="14803" priority="220" operator="equal">
      <formula>0</formula>
    </cfRule>
  </conditionalFormatting>
  <conditionalFormatting sqref="AB93:AG94">
    <cfRule type="expression" dxfId="14802" priority="221">
      <formula>LEN(TRIM(AB93))=0</formula>
    </cfRule>
  </conditionalFormatting>
  <conditionalFormatting sqref="V107:AJ112 AK106:AK111 AK113 V106:AA106 AH106:AJ106">
    <cfRule type="cellIs" dxfId="14801" priority="214" operator="equal">
      <formula>0</formula>
    </cfRule>
  </conditionalFormatting>
  <conditionalFormatting sqref="V113:AJ113">
    <cfRule type="cellIs" dxfId="14800" priority="215" operator="equal">
      <formula>0</formula>
    </cfRule>
  </conditionalFormatting>
  <conditionalFormatting sqref="V107:AK111 V113:AK113 V112:AJ112 V106:AA106 AH106:AK106">
    <cfRule type="expression" dxfId="14799" priority="216">
      <formula>LEN(TRIM(V106))=0</formula>
    </cfRule>
  </conditionalFormatting>
  <conditionalFormatting sqref="V113:AJ113">
    <cfRule type="cellIs" dxfId="14798" priority="217" operator="equal">
      <formula>0</formula>
    </cfRule>
  </conditionalFormatting>
  <conditionalFormatting sqref="V114:AJ114">
    <cfRule type="cellIs" dxfId="14797" priority="218" operator="equal">
      <formula>0</formula>
    </cfRule>
  </conditionalFormatting>
  <conditionalFormatting sqref="V114:AJ114">
    <cfRule type="expression" dxfId="14796" priority="219">
      <formula>LEN(TRIM(V114))=0</formula>
    </cfRule>
  </conditionalFormatting>
  <conditionalFormatting sqref="AK114">
    <cfRule type="cellIs" dxfId="14795" priority="212" operator="equal">
      <formula>0</formula>
    </cfRule>
  </conditionalFormatting>
  <conditionalFormatting sqref="AK114">
    <cfRule type="expression" dxfId="14794" priority="213">
      <formula>LEN(TRIM(AK114))=0</formula>
    </cfRule>
  </conditionalFormatting>
  <conditionalFormatting sqref="AK112">
    <cfRule type="cellIs" dxfId="14793" priority="210" operator="equal">
      <formula>0</formula>
    </cfRule>
  </conditionalFormatting>
  <conditionalFormatting sqref="AK112">
    <cfRule type="expression" dxfId="14792" priority="211">
      <formula>LEN(TRIM(AK112))=0</formula>
    </cfRule>
  </conditionalFormatting>
  <conditionalFormatting sqref="AB106:AG106">
    <cfRule type="cellIs" dxfId="14791" priority="208" operator="equal">
      <formula>0</formula>
    </cfRule>
  </conditionalFormatting>
  <conditionalFormatting sqref="AB106:AG106">
    <cfRule type="expression" dxfId="14790" priority="209">
      <formula>LEN(TRIM(AB106))=0</formula>
    </cfRule>
  </conditionalFormatting>
  <conditionalFormatting sqref="AH123:AK125 W123:AA125 AB123:AG124 AI120:AK122 Y120:Y122 V120:V125 V126:AK126">
    <cfRule type="cellIs" dxfId="14789" priority="187" operator="equal">
      <formula>0</formula>
    </cfRule>
  </conditionalFormatting>
  <conditionalFormatting sqref="AH120:AH125">
    <cfRule type="cellIs" dxfId="14788" priority="188" operator="equal">
      <formula>0</formula>
    </cfRule>
  </conditionalFormatting>
  <conditionalFormatting sqref="V120:W125 Z120:AA125">
    <cfRule type="cellIs" dxfId="14787" priority="189" operator="equal">
      <formula>0</formula>
    </cfRule>
  </conditionalFormatting>
  <conditionalFormatting sqref="X120:X125">
    <cfRule type="cellIs" dxfId="14786" priority="190" operator="equal">
      <formula>0</formula>
    </cfRule>
  </conditionalFormatting>
  <conditionalFormatting sqref="AB123:AB125">
    <cfRule type="cellIs" dxfId="14785" priority="191" operator="equal">
      <formula>0</formula>
    </cfRule>
  </conditionalFormatting>
  <conditionalFormatting sqref="AB120:AB125 AC120:AG120">
    <cfRule type="cellIs" dxfId="14784" priority="192" operator="equal">
      <formula>0</formula>
    </cfRule>
  </conditionalFormatting>
  <conditionalFormatting sqref="AC123:AC125">
    <cfRule type="cellIs" dxfId="14783" priority="193" operator="equal">
      <formula>0</formula>
    </cfRule>
  </conditionalFormatting>
  <conditionalFormatting sqref="AC120:AC125">
    <cfRule type="cellIs" dxfId="14782" priority="194" operator="equal">
      <formula>0</formula>
    </cfRule>
  </conditionalFormatting>
  <conditionalFormatting sqref="AD123:AD125">
    <cfRule type="cellIs" dxfId="14781" priority="195" operator="equal">
      <formula>0</formula>
    </cfRule>
  </conditionalFormatting>
  <conditionalFormatting sqref="AD120:AD125">
    <cfRule type="cellIs" dxfId="14780" priority="196" operator="equal">
      <formula>0</formula>
    </cfRule>
  </conditionalFormatting>
  <conditionalFormatting sqref="AE123:AE125">
    <cfRule type="cellIs" dxfId="14779" priority="197" operator="equal">
      <formula>0</formula>
    </cfRule>
  </conditionalFormatting>
  <conditionalFormatting sqref="AE120:AE125">
    <cfRule type="cellIs" dxfId="14778" priority="198" operator="equal">
      <formula>0</formula>
    </cfRule>
  </conditionalFormatting>
  <conditionalFormatting sqref="AF123:AF125">
    <cfRule type="cellIs" dxfId="14777" priority="199" operator="equal">
      <formula>0</formula>
    </cfRule>
  </conditionalFormatting>
  <conditionalFormatting sqref="AF120:AF125">
    <cfRule type="cellIs" dxfId="14776" priority="200" operator="equal">
      <formula>0</formula>
    </cfRule>
  </conditionalFormatting>
  <conditionalFormatting sqref="AG123:AG125">
    <cfRule type="cellIs" dxfId="14775" priority="201" operator="equal">
      <formula>0</formula>
    </cfRule>
  </conditionalFormatting>
  <conditionalFormatting sqref="AG120:AG125">
    <cfRule type="cellIs" dxfId="14774" priority="202" operator="equal">
      <formula>0</formula>
    </cfRule>
  </conditionalFormatting>
  <conditionalFormatting sqref="V120:AK126">
    <cfRule type="expression" dxfId="14773" priority="203">
      <formula>LEN(TRIM(V120))=0</formula>
    </cfRule>
  </conditionalFormatting>
  <conditionalFormatting sqref="AD123:AD124">
    <cfRule type="cellIs" dxfId="14772" priority="204" operator="equal">
      <formula>0</formula>
    </cfRule>
  </conditionalFormatting>
  <conditionalFormatting sqref="AE123:AE124">
    <cfRule type="cellIs" dxfId="14771" priority="205" operator="equal">
      <formula>0</formula>
    </cfRule>
  </conditionalFormatting>
  <conditionalFormatting sqref="AF123:AG123">
    <cfRule type="cellIs" dxfId="14770" priority="206" operator="equal">
      <formula>0</formula>
    </cfRule>
  </conditionalFormatting>
  <conditionalFormatting sqref="AF124:AG124">
    <cfRule type="cellIs" dxfId="14769" priority="207" operator="equal">
      <formula>0</formula>
    </cfRule>
  </conditionalFormatting>
  <conditionalFormatting sqref="W137:Y137 V138:Y139 Z137:AA139 V133:AA136 AB133:AJ139 V128:AK128 V140:AJ140 V129:AA130 AK129:AK140 AH129:AJ130">
    <cfRule type="cellIs" dxfId="14768" priority="181" operator="equal">
      <formula>0</formula>
    </cfRule>
  </conditionalFormatting>
  <conditionalFormatting sqref="V137">
    <cfRule type="cellIs" dxfId="14767" priority="182" operator="equal">
      <formula>0</formula>
    </cfRule>
  </conditionalFormatting>
  <conditionalFormatting sqref="V128:AK128 V133:AJ140 V129:AA130 AK129:AK140 AH129:AJ130">
    <cfRule type="expression" dxfId="14766" priority="183">
      <formula>LEN(TRIM(V128))=0</formula>
    </cfRule>
  </conditionalFormatting>
  <conditionalFormatting sqref="V131:AJ132">
    <cfRule type="cellIs" dxfId="14765" priority="184" operator="equal">
      <formula>0</formula>
    </cfRule>
  </conditionalFormatting>
  <conditionalFormatting sqref="AH131:AH132">
    <cfRule type="cellIs" dxfId="14764" priority="185" operator="equal">
      <formula>0</formula>
    </cfRule>
  </conditionalFormatting>
  <conditionalFormatting sqref="V131:AJ132">
    <cfRule type="expression" dxfId="14763" priority="186">
      <formula>LEN(TRIM(V131))=0</formula>
    </cfRule>
  </conditionalFormatting>
  <conditionalFormatting sqref="AB129:AG130">
    <cfRule type="cellIs" dxfId="14762" priority="179" operator="equal">
      <formula>0</formula>
    </cfRule>
  </conditionalFormatting>
  <conditionalFormatting sqref="AB129:AG130">
    <cfRule type="expression" dxfId="14761" priority="180">
      <formula>LEN(TRIM(AB129))=0</formula>
    </cfRule>
  </conditionalFormatting>
  <conditionalFormatting sqref="V143:AJ148 AK142:AK147 AK149 V142:AA142 AH142:AJ142">
    <cfRule type="cellIs" dxfId="14760" priority="173" operator="equal">
      <formula>0</formula>
    </cfRule>
  </conditionalFormatting>
  <conditionalFormatting sqref="V149:AJ149">
    <cfRule type="cellIs" dxfId="14759" priority="174" operator="equal">
      <formula>0</formula>
    </cfRule>
  </conditionalFormatting>
  <conditionalFormatting sqref="V143:AK147 V149:AK149 V148:AJ148 V142:AA142 AH142:AK142">
    <cfRule type="expression" dxfId="14758" priority="175">
      <formula>LEN(TRIM(V142))=0</formula>
    </cfRule>
  </conditionalFormatting>
  <conditionalFormatting sqref="V149:AJ149">
    <cfRule type="cellIs" dxfId="14757" priority="176" operator="equal">
      <formula>0</formula>
    </cfRule>
  </conditionalFormatting>
  <conditionalFormatting sqref="V150:AJ150">
    <cfRule type="cellIs" dxfId="14756" priority="177" operator="equal">
      <formula>0</formula>
    </cfRule>
  </conditionalFormatting>
  <conditionalFormatting sqref="V150:AJ150">
    <cfRule type="expression" dxfId="14755" priority="178">
      <formula>LEN(TRIM(V150))=0</formula>
    </cfRule>
  </conditionalFormatting>
  <conditionalFormatting sqref="AK150">
    <cfRule type="cellIs" dxfId="14754" priority="171" operator="equal">
      <formula>0</formula>
    </cfRule>
  </conditionalFormatting>
  <conditionalFormatting sqref="AK150">
    <cfRule type="expression" dxfId="14753" priority="172">
      <formula>LEN(TRIM(AK150))=0</formula>
    </cfRule>
  </conditionalFormatting>
  <conditionalFormatting sqref="AK148">
    <cfRule type="cellIs" dxfId="14752" priority="169" operator="equal">
      <formula>0</formula>
    </cfRule>
  </conditionalFormatting>
  <conditionalFormatting sqref="AK148">
    <cfRule type="expression" dxfId="14751" priority="170">
      <formula>LEN(TRIM(AK148))=0</formula>
    </cfRule>
  </conditionalFormatting>
  <conditionalFormatting sqref="AB142:AG142">
    <cfRule type="cellIs" dxfId="14750" priority="167" operator="equal">
      <formula>0</formula>
    </cfRule>
  </conditionalFormatting>
  <conditionalFormatting sqref="AB142:AG142">
    <cfRule type="expression" dxfId="14749" priority="168">
      <formula>LEN(TRIM(AB142))=0</formula>
    </cfRule>
  </conditionalFormatting>
  <conditionalFormatting sqref="AH159:AK161 W159:AA161 AB159:AG160 AI156:AK158 Y156:Y158 V156:V161 V162:AK162">
    <cfRule type="cellIs" dxfId="14748" priority="146" operator="equal">
      <formula>0</formula>
    </cfRule>
  </conditionalFormatting>
  <conditionalFormatting sqref="AH156:AH161">
    <cfRule type="cellIs" dxfId="14747" priority="147" operator="equal">
      <formula>0</formula>
    </cfRule>
  </conditionalFormatting>
  <conditionalFormatting sqref="V156:W161 Z156:AA161">
    <cfRule type="cellIs" dxfId="14746" priority="148" operator="equal">
      <formula>0</formula>
    </cfRule>
  </conditionalFormatting>
  <conditionalFormatting sqref="X156:X161">
    <cfRule type="cellIs" dxfId="14745" priority="149" operator="equal">
      <formula>0</formula>
    </cfRule>
  </conditionalFormatting>
  <conditionalFormatting sqref="AB159:AB161">
    <cfRule type="cellIs" dxfId="14744" priority="150" operator="equal">
      <formula>0</formula>
    </cfRule>
  </conditionalFormatting>
  <conditionalFormatting sqref="AB156:AB161 AC156:AG156">
    <cfRule type="cellIs" dxfId="14743" priority="151" operator="equal">
      <formula>0</formula>
    </cfRule>
  </conditionalFormatting>
  <conditionalFormatting sqref="AC159:AC161">
    <cfRule type="cellIs" dxfId="14742" priority="152" operator="equal">
      <formula>0</formula>
    </cfRule>
  </conditionalFormatting>
  <conditionalFormatting sqref="AC156:AC161">
    <cfRule type="cellIs" dxfId="14741" priority="153" operator="equal">
      <formula>0</formula>
    </cfRule>
  </conditionalFormatting>
  <conditionalFormatting sqref="AD159:AD161">
    <cfRule type="cellIs" dxfId="14740" priority="154" operator="equal">
      <formula>0</formula>
    </cfRule>
  </conditionalFormatting>
  <conditionalFormatting sqref="AD156:AD161">
    <cfRule type="cellIs" dxfId="14739" priority="155" operator="equal">
      <formula>0</formula>
    </cfRule>
  </conditionalFormatting>
  <conditionalFormatting sqref="AE159:AE161">
    <cfRule type="cellIs" dxfId="14738" priority="156" operator="equal">
      <formula>0</formula>
    </cfRule>
  </conditionalFormatting>
  <conditionalFormatting sqref="AE156:AE161">
    <cfRule type="cellIs" dxfId="14737" priority="157" operator="equal">
      <formula>0</formula>
    </cfRule>
  </conditionalFormatting>
  <conditionalFormatting sqref="AF159:AF161">
    <cfRule type="cellIs" dxfId="14736" priority="158" operator="equal">
      <formula>0</formula>
    </cfRule>
  </conditionalFormatting>
  <conditionalFormatting sqref="AF156:AF161">
    <cfRule type="cellIs" dxfId="14735" priority="159" operator="equal">
      <formula>0</formula>
    </cfRule>
  </conditionalFormatting>
  <conditionalFormatting sqref="AG159:AG161">
    <cfRule type="cellIs" dxfId="14734" priority="160" operator="equal">
      <formula>0</formula>
    </cfRule>
  </conditionalFormatting>
  <conditionalFormatting sqref="AG156:AG161">
    <cfRule type="cellIs" dxfId="14733" priority="161" operator="equal">
      <formula>0</formula>
    </cfRule>
  </conditionalFormatting>
  <conditionalFormatting sqref="V156:AK162">
    <cfRule type="expression" dxfId="14732" priority="162">
      <formula>LEN(TRIM(V156))=0</formula>
    </cfRule>
  </conditionalFormatting>
  <conditionalFormatting sqref="AD159:AD160">
    <cfRule type="cellIs" dxfId="14731" priority="163" operator="equal">
      <formula>0</formula>
    </cfRule>
  </conditionalFormatting>
  <conditionalFormatting sqref="AE159:AE160">
    <cfRule type="cellIs" dxfId="14730" priority="164" operator="equal">
      <formula>0</formula>
    </cfRule>
  </conditionalFormatting>
  <conditionalFormatting sqref="AF159:AG159">
    <cfRule type="cellIs" dxfId="14729" priority="165" operator="equal">
      <formula>0</formula>
    </cfRule>
  </conditionalFormatting>
  <conditionalFormatting sqref="AF160:AG160">
    <cfRule type="cellIs" dxfId="14728" priority="166" operator="equal">
      <formula>0</formula>
    </cfRule>
  </conditionalFormatting>
  <conditionalFormatting sqref="W173:Y173 V174:Y175 Z173:AA175 V169:AA172 AB169:AJ175 V164:AK164 V176:AJ176 V165:AA166 AK165:AK176 AH165:AJ166">
    <cfRule type="cellIs" dxfId="14727" priority="140" operator="equal">
      <formula>0</formula>
    </cfRule>
  </conditionalFormatting>
  <conditionalFormatting sqref="V173">
    <cfRule type="cellIs" dxfId="14726" priority="141" operator="equal">
      <formula>0</formula>
    </cfRule>
  </conditionalFormatting>
  <conditionalFormatting sqref="V164:AK164 V169:AJ176 V165:AA166 AK165:AK176 AH165:AJ166">
    <cfRule type="expression" dxfId="14725" priority="142">
      <formula>LEN(TRIM(V164))=0</formula>
    </cfRule>
  </conditionalFormatting>
  <conditionalFormatting sqref="V167:AJ168">
    <cfRule type="cellIs" dxfId="14724" priority="143" operator="equal">
      <formula>0</formula>
    </cfRule>
  </conditionalFormatting>
  <conditionalFormatting sqref="AH167:AH168">
    <cfRule type="cellIs" dxfId="14723" priority="144" operator="equal">
      <formula>0</formula>
    </cfRule>
  </conditionalFormatting>
  <conditionalFormatting sqref="V167:AJ168">
    <cfRule type="expression" dxfId="14722" priority="145">
      <formula>LEN(TRIM(V167))=0</formula>
    </cfRule>
  </conditionalFormatting>
  <conditionalFormatting sqref="AB165:AG166">
    <cfRule type="cellIs" dxfId="14721" priority="138" operator="equal">
      <formula>0</formula>
    </cfRule>
  </conditionalFormatting>
  <conditionalFormatting sqref="AB165:AG166">
    <cfRule type="expression" dxfId="14720" priority="139">
      <formula>LEN(TRIM(AB165))=0</formula>
    </cfRule>
  </conditionalFormatting>
  <conditionalFormatting sqref="V179:AJ184 AK178:AK183 AK185 V178:AA178 AH178:AJ178">
    <cfRule type="cellIs" dxfId="14719" priority="132" operator="equal">
      <formula>0</formula>
    </cfRule>
  </conditionalFormatting>
  <conditionalFormatting sqref="V185:AJ185">
    <cfRule type="cellIs" dxfId="14718" priority="133" operator="equal">
      <formula>0</formula>
    </cfRule>
  </conditionalFormatting>
  <conditionalFormatting sqref="V179:AK183 V185:AK185 V184:AJ184 V178:AA178 AH178:AK178">
    <cfRule type="expression" dxfId="14717" priority="134">
      <formula>LEN(TRIM(V178))=0</formula>
    </cfRule>
  </conditionalFormatting>
  <conditionalFormatting sqref="V185:AJ185">
    <cfRule type="cellIs" dxfId="14716" priority="135" operator="equal">
      <formula>0</formula>
    </cfRule>
  </conditionalFormatting>
  <conditionalFormatting sqref="V186:AJ186">
    <cfRule type="cellIs" dxfId="14715" priority="136" operator="equal">
      <formula>0</formula>
    </cfRule>
  </conditionalFormatting>
  <conditionalFormatting sqref="V186:AJ186">
    <cfRule type="expression" dxfId="14714" priority="137">
      <formula>LEN(TRIM(V186))=0</formula>
    </cfRule>
  </conditionalFormatting>
  <conditionalFormatting sqref="AK186">
    <cfRule type="cellIs" dxfId="14713" priority="130" operator="equal">
      <formula>0</formula>
    </cfRule>
  </conditionalFormatting>
  <conditionalFormatting sqref="AK186">
    <cfRule type="expression" dxfId="14712" priority="131">
      <formula>LEN(TRIM(AK186))=0</formula>
    </cfRule>
  </conditionalFormatting>
  <conditionalFormatting sqref="AK184">
    <cfRule type="cellIs" dxfId="14711" priority="128" operator="equal">
      <formula>0</formula>
    </cfRule>
  </conditionalFormatting>
  <conditionalFormatting sqref="AK184">
    <cfRule type="expression" dxfId="14710" priority="129">
      <formula>LEN(TRIM(AK184))=0</formula>
    </cfRule>
  </conditionalFormatting>
  <conditionalFormatting sqref="AB178:AG178">
    <cfRule type="cellIs" dxfId="14709" priority="126" operator="equal">
      <formula>0</formula>
    </cfRule>
  </conditionalFormatting>
  <conditionalFormatting sqref="AB178:AG178">
    <cfRule type="expression" dxfId="14708" priority="127">
      <formula>LEN(TRIM(AB178))=0</formula>
    </cfRule>
  </conditionalFormatting>
  <conditionalFormatting sqref="AH195:AK197 W195:AA197 AB195:AG196 AI192:AK194 Y192:Y194 V192:V197 V198:AK198">
    <cfRule type="cellIs" dxfId="14707" priority="105" operator="equal">
      <formula>0</formula>
    </cfRule>
  </conditionalFormatting>
  <conditionalFormatting sqref="AH192:AH197">
    <cfRule type="cellIs" dxfId="14706" priority="106" operator="equal">
      <formula>0</formula>
    </cfRule>
  </conditionalFormatting>
  <conditionalFormatting sqref="V192:W197 Z192:AA197">
    <cfRule type="cellIs" dxfId="14705" priority="107" operator="equal">
      <formula>0</formula>
    </cfRule>
  </conditionalFormatting>
  <conditionalFormatting sqref="X192:X197">
    <cfRule type="cellIs" dxfId="14704" priority="108" operator="equal">
      <formula>0</formula>
    </cfRule>
  </conditionalFormatting>
  <conditionalFormatting sqref="AB195:AB197">
    <cfRule type="cellIs" dxfId="14703" priority="109" operator="equal">
      <formula>0</formula>
    </cfRule>
  </conditionalFormatting>
  <conditionalFormatting sqref="AB192:AB197 AC192:AG192">
    <cfRule type="cellIs" dxfId="14702" priority="110" operator="equal">
      <formula>0</formula>
    </cfRule>
  </conditionalFormatting>
  <conditionalFormatting sqref="AC195:AC197">
    <cfRule type="cellIs" dxfId="14701" priority="111" operator="equal">
      <formula>0</formula>
    </cfRule>
  </conditionalFormatting>
  <conditionalFormatting sqref="AC192:AC197">
    <cfRule type="cellIs" dxfId="14700" priority="112" operator="equal">
      <formula>0</formula>
    </cfRule>
  </conditionalFormatting>
  <conditionalFormatting sqref="AD195:AD197">
    <cfRule type="cellIs" dxfId="14699" priority="113" operator="equal">
      <formula>0</formula>
    </cfRule>
  </conditionalFormatting>
  <conditionalFormatting sqref="AD192:AD197">
    <cfRule type="cellIs" dxfId="14698" priority="114" operator="equal">
      <formula>0</formula>
    </cfRule>
  </conditionalFormatting>
  <conditionalFormatting sqref="AE195:AE197">
    <cfRule type="cellIs" dxfId="14697" priority="115" operator="equal">
      <formula>0</formula>
    </cfRule>
  </conditionalFormatting>
  <conditionalFormatting sqref="AE192:AE197">
    <cfRule type="cellIs" dxfId="14696" priority="116" operator="equal">
      <formula>0</formula>
    </cfRule>
  </conditionalFormatting>
  <conditionalFormatting sqref="AF195:AF197">
    <cfRule type="cellIs" dxfId="14695" priority="117" operator="equal">
      <formula>0</formula>
    </cfRule>
  </conditionalFormatting>
  <conditionalFormatting sqref="AF192:AF197">
    <cfRule type="cellIs" dxfId="14694" priority="118" operator="equal">
      <formula>0</formula>
    </cfRule>
  </conditionalFormatting>
  <conditionalFormatting sqref="AG195:AG197">
    <cfRule type="cellIs" dxfId="14693" priority="119" operator="equal">
      <formula>0</formula>
    </cfRule>
  </conditionalFormatting>
  <conditionalFormatting sqref="AG192:AG197">
    <cfRule type="cellIs" dxfId="14692" priority="120" operator="equal">
      <formula>0</formula>
    </cfRule>
  </conditionalFormatting>
  <conditionalFormatting sqref="V192:AK198">
    <cfRule type="expression" dxfId="14691" priority="121">
      <formula>LEN(TRIM(V192))=0</formula>
    </cfRule>
  </conditionalFormatting>
  <conditionalFormatting sqref="AD195:AD196">
    <cfRule type="cellIs" dxfId="14690" priority="122" operator="equal">
      <formula>0</formula>
    </cfRule>
  </conditionalFormatting>
  <conditionalFormatting sqref="AE195:AE196">
    <cfRule type="cellIs" dxfId="14689" priority="123" operator="equal">
      <formula>0</formula>
    </cfRule>
  </conditionalFormatting>
  <conditionalFormatting sqref="AF195:AG195">
    <cfRule type="cellIs" dxfId="14688" priority="124" operator="equal">
      <formula>0</formula>
    </cfRule>
  </conditionalFormatting>
  <conditionalFormatting sqref="AF196:AG196">
    <cfRule type="cellIs" dxfId="14687" priority="125" operator="equal">
      <formula>0</formula>
    </cfRule>
  </conditionalFormatting>
  <conditionalFormatting sqref="W209:Y209 V210:Y211 Z209:AA211 V205:AA208 AB205:AJ211 V200:AK200 V212:AJ212 V201:AA202 AK201:AK212 AH201:AJ202">
    <cfRule type="cellIs" dxfId="14686" priority="99" operator="equal">
      <formula>0</formula>
    </cfRule>
  </conditionalFormatting>
  <conditionalFormatting sqref="V209">
    <cfRule type="cellIs" dxfId="14685" priority="100" operator="equal">
      <formula>0</formula>
    </cfRule>
  </conditionalFormatting>
  <conditionalFormatting sqref="V200:AK200 V205:AJ212 V201:AA202 AK201:AK212 AH201:AJ202">
    <cfRule type="expression" dxfId="14684" priority="101">
      <formula>LEN(TRIM(V200))=0</formula>
    </cfRule>
  </conditionalFormatting>
  <conditionalFormatting sqref="V203:AJ204">
    <cfRule type="cellIs" dxfId="14683" priority="102" operator="equal">
      <formula>0</formula>
    </cfRule>
  </conditionalFormatting>
  <conditionalFormatting sqref="AH203:AH204">
    <cfRule type="cellIs" dxfId="14682" priority="103" operator="equal">
      <formula>0</formula>
    </cfRule>
  </conditionalFormatting>
  <conditionalFormatting sqref="V203:AJ204">
    <cfRule type="expression" dxfId="14681" priority="104">
      <formula>LEN(TRIM(V203))=0</formula>
    </cfRule>
  </conditionalFormatting>
  <conditionalFormatting sqref="AB201:AG202">
    <cfRule type="cellIs" dxfId="14680" priority="97" operator="equal">
      <formula>0</formula>
    </cfRule>
  </conditionalFormatting>
  <conditionalFormatting sqref="AB201:AG202">
    <cfRule type="expression" dxfId="14679" priority="98">
      <formula>LEN(TRIM(AB201))=0</formula>
    </cfRule>
  </conditionalFormatting>
  <conditionalFormatting sqref="V215:AJ220 AK214:AK219 AK221 V214:AA214 AH214:AJ214">
    <cfRule type="cellIs" dxfId="14678" priority="91" operator="equal">
      <formula>0</formula>
    </cfRule>
  </conditionalFormatting>
  <conditionalFormatting sqref="V221:AJ221">
    <cfRule type="cellIs" dxfId="14677" priority="92" operator="equal">
      <formula>0</formula>
    </cfRule>
  </conditionalFormatting>
  <conditionalFormatting sqref="V215:AK219 V221:AK221 V220:AJ220 V214:AA214 AH214:AK214">
    <cfRule type="expression" dxfId="14676" priority="93">
      <formula>LEN(TRIM(V214))=0</formula>
    </cfRule>
  </conditionalFormatting>
  <conditionalFormatting sqref="V221:AJ221">
    <cfRule type="cellIs" dxfId="14675" priority="94" operator="equal">
      <formula>0</formula>
    </cfRule>
  </conditionalFormatting>
  <conditionalFormatting sqref="V222:AJ222">
    <cfRule type="cellIs" dxfId="14674" priority="95" operator="equal">
      <formula>0</formula>
    </cfRule>
  </conditionalFormatting>
  <conditionalFormatting sqref="V222:AJ222">
    <cfRule type="expression" dxfId="14673" priority="96">
      <formula>LEN(TRIM(V222))=0</formula>
    </cfRule>
  </conditionalFormatting>
  <conditionalFormatting sqref="AK222">
    <cfRule type="cellIs" dxfId="14672" priority="89" operator="equal">
      <formula>0</formula>
    </cfRule>
  </conditionalFormatting>
  <conditionalFormatting sqref="AK222">
    <cfRule type="expression" dxfId="14671" priority="90">
      <formula>LEN(TRIM(AK222))=0</formula>
    </cfRule>
  </conditionalFormatting>
  <conditionalFormatting sqref="AK220">
    <cfRule type="cellIs" dxfId="14670" priority="87" operator="equal">
      <formula>0</formula>
    </cfRule>
  </conditionalFormatting>
  <conditionalFormatting sqref="AK220">
    <cfRule type="expression" dxfId="14669" priority="88">
      <formula>LEN(TRIM(AK220))=0</formula>
    </cfRule>
  </conditionalFormatting>
  <conditionalFormatting sqref="AB214:AG214">
    <cfRule type="cellIs" dxfId="14668" priority="85" operator="equal">
      <formula>0</formula>
    </cfRule>
  </conditionalFormatting>
  <conditionalFormatting sqref="AB214:AG214">
    <cfRule type="expression" dxfId="14667" priority="86">
      <formula>LEN(TRIM(AB214))=0</formula>
    </cfRule>
  </conditionalFormatting>
  <conditionalFormatting sqref="J11">
    <cfRule type="cellIs" dxfId="14666" priority="72" operator="equal">
      <formula>0</formula>
    </cfRule>
  </conditionalFormatting>
  <conditionalFormatting sqref="K11">
    <cfRule type="cellIs" dxfId="14665" priority="71" operator="equal">
      <formula>0</formula>
    </cfRule>
  </conditionalFormatting>
  <conditionalFormatting sqref="L11">
    <cfRule type="cellIs" dxfId="14664" priority="70" operator="equal">
      <formula>0</formula>
    </cfRule>
  </conditionalFormatting>
  <conditionalFormatting sqref="M11">
    <cfRule type="cellIs" dxfId="14663" priority="69" operator="equal">
      <formula>0</formula>
    </cfRule>
  </conditionalFormatting>
  <conditionalFormatting sqref="N11">
    <cfRule type="cellIs" dxfId="14662" priority="68" operator="equal">
      <formula>0</formula>
    </cfRule>
  </conditionalFormatting>
  <conditionalFormatting sqref="O11">
    <cfRule type="cellIs" dxfId="14661" priority="67" operator="equal">
      <formula>0</formula>
    </cfRule>
  </conditionalFormatting>
  <conditionalFormatting sqref="AB11">
    <cfRule type="cellIs" dxfId="14660" priority="66" operator="equal">
      <formula>0</formula>
    </cfRule>
  </conditionalFormatting>
  <conditionalFormatting sqref="AC11">
    <cfRule type="cellIs" dxfId="14659" priority="65" operator="equal">
      <formula>0</formula>
    </cfRule>
  </conditionalFormatting>
  <conditionalFormatting sqref="AD11">
    <cfRule type="cellIs" dxfId="14658" priority="64" operator="equal">
      <formula>0</formula>
    </cfRule>
  </conditionalFormatting>
  <conditionalFormatting sqref="AE11">
    <cfRule type="cellIs" dxfId="14657" priority="63" operator="equal">
      <formula>0</formula>
    </cfRule>
  </conditionalFormatting>
  <conditionalFormatting sqref="AF11">
    <cfRule type="cellIs" dxfId="14656" priority="62" operator="equal">
      <formula>0</formula>
    </cfRule>
  </conditionalFormatting>
  <conditionalFormatting sqref="AG11">
    <cfRule type="cellIs" dxfId="14655" priority="61" operator="equal">
      <formula>0</formula>
    </cfRule>
  </conditionalFormatting>
  <conditionalFormatting sqref="J47">
    <cfRule type="cellIs" dxfId="14654" priority="60" operator="equal">
      <formula>0</formula>
    </cfRule>
  </conditionalFormatting>
  <conditionalFormatting sqref="K47">
    <cfRule type="cellIs" dxfId="14653" priority="59" operator="equal">
      <formula>0</formula>
    </cfRule>
  </conditionalFormatting>
  <conditionalFormatting sqref="L47">
    <cfRule type="cellIs" dxfId="14652" priority="58" operator="equal">
      <formula>0</formula>
    </cfRule>
  </conditionalFormatting>
  <conditionalFormatting sqref="M47">
    <cfRule type="cellIs" dxfId="14651" priority="57" operator="equal">
      <formula>0</formula>
    </cfRule>
  </conditionalFormatting>
  <conditionalFormatting sqref="N47">
    <cfRule type="cellIs" dxfId="14650" priority="56" operator="equal">
      <formula>0</formula>
    </cfRule>
  </conditionalFormatting>
  <conditionalFormatting sqref="O47">
    <cfRule type="cellIs" dxfId="14649" priority="55" operator="equal">
      <formula>0</formula>
    </cfRule>
  </conditionalFormatting>
  <conditionalFormatting sqref="AB47">
    <cfRule type="cellIs" dxfId="14648" priority="54" operator="equal">
      <formula>0</formula>
    </cfRule>
  </conditionalFormatting>
  <conditionalFormatting sqref="AC47">
    <cfRule type="cellIs" dxfId="14647" priority="53" operator="equal">
      <formula>0</formula>
    </cfRule>
  </conditionalFormatting>
  <conditionalFormatting sqref="AD47">
    <cfRule type="cellIs" dxfId="14646" priority="52" operator="equal">
      <formula>0</formula>
    </cfRule>
  </conditionalFormatting>
  <conditionalFormatting sqref="AE47">
    <cfRule type="cellIs" dxfId="14645" priority="51" operator="equal">
      <formula>0</formula>
    </cfRule>
  </conditionalFormatting>
  <conditionalFormatting sqref="AF47">
    <cfRule type="cellIs" dxfId="14644" priority="50" operator="equal">
      <formula>0</formula>
    </cfRule>
  </conditionalFormatting>
  <conditionalFormatting sqref="AG47">
    <cfRule type="cellIs" dxfId="14643" priority="49" operator="equal">
      <formula>0</formula>
    </cfRule>
  </conditionalFormatting>
  <conditionalFormatting sqref="J83">
    <cfRule type="cellIs" dxfId="14642" priority="48" operator="equal">
      <formula>0</formula>
    </cfRule>
  </conditionalFormatting>
  <conditionalFormatting sqref="K83">
    <cfRule type="cellIs" dxfId="14641" priority="47" operator="equal">
      <formula>0</formula>
    </cfRule>
  </conditionalFormatting>
  <conditionalFormatting sqref="L83">
    <cfRule type="cellIs" dxfId="14640" priority="46" operator="equal">
      <formula>0</formula>
    </cfRule>
  </conditionalFormatting>
  <conditionalFormatting sqref="M83">
    <cfRule type="cellIs" dxfId="14639" priority="45" operator="equal">
      <formula>0</formula>
    </cfRule>
  </conditionalFormatting>
  <conditionalFormatting sqref="N83">
    <cfRule type="cellIs" dxfId="14638" priority="44" operator="equal">
      <formula>0</formula>
    </cfRule>
  </conditionalFormatting>
  <conditionalFormatting sqref="O83">
    <cfRule type="cellIs" dxfId="14637" priority="43" operator="equal">
      <formula>0</formula>
    </cfRule>
  </conditionalFormatting>
  <conditionalFormatting sqref="AB83">
    <cfRule type="cellIs" dxfId="14636" priority="42" operator="equal">
      <formula>0</formula>
    </cfRule>
  </conditionalFormatting>
  <conditionalFormatting sqref="AC83">
    <cfRule type="cellIs" dxfId="14635" priority="41" operator="equal">
      <formula>0</formula>
    </cfRule>
  </conditionalFormatting>
  <conditionalFormatting sqref="AD83">
    <cfRule type="cellIs" dxfId="14634" priority="40" operator="equal">
      <formula>0</formula>
    </cfRule>
  </conditionalFormatting>
  <conditionalFormatting sqref="AE83">
    <cfRule type="cellIs" dxfId="14633" priority="39" operator="equal">
      <formula>0</formula>
    </cfRule>
  </conditionalFormatting>
  <conditionalFormatting sqref="AF83">
    <cfRule type="cellIs" dxfId="14632" priority="38" operator="equal">
      <formula>0</formula>
    </cfRule>
  </conditionalFormatting>
  <conditionalFormatting sqref="AG83">
    <cfRule type="cellIs" dxfId="14631" priority="37" operator="equal">
      <formula>0</formula>
    </cfRule>
  </conditionalFormatting>
  <conditionalFormatting sqref="J119">
    <cfRule type="cellIs" dxfId="14630" priority="36" operator="equal">
      <formula>0</formula>
    </cfRule>
  </conditionalFormatting>
  <conditionalFormatting sqref="K119">
    <cfRule type="cellIs" dxfId="14629" priority="35" operator="equal">
      <formula>0</formula>
    </cfRule>
  </conditionalFormatting>
  <conditionalFormatting sqref="L119">
    <cfRule type="cellIs" dxfId="14628" priority="34" operator="equal">
      <formula>0</formula>
    </cfRule>
  </conditionalFormatting>
  <conditionalFormatting sqref="M119">
    <cfRule type="cellIs" dxfId="14627" priority="33" operator="equal">
      <formula>0</formula>
    </cfRule>
  </conditionalFormatting>
  <conditionalFormatting sqref="N119">
    <cfRule type="cellIs" dxfId="14626" priority="32" operator="equal">
      <formula>0</formula>
    </cfRule>
  </conditionalFormatting>
  <conditionalFormatting sqref="O119">
    <cfRule type="cellIs" dxfId="14625" priority="31" operator="equal">
      <formula>0</formula>
    </cfRule>
  </conditionalFormatting>
  <conditionalFormatting sqref="AB119">
    <cfRule type="cellIs" dxfId="14624" priority="30" operator="equal">
      <formula>0</formula>
    </cfRule>
  </conditionalFormatting>
  <conditionalFormatting sqref="AC119">
    <cfRule type="cellIs" dxfId="14623" priority="29" operator="equal">
      <formula>0</formula>
    </cfRule>
  </conditionalFormatting>
  <conditionalFormatting sqref="AD119">
    <cfRule type="cellIs" dxfId="14622" priority="28" operator="equal">
      <formula>0</formula>
    </cfRule>
  </conditionalFormatting>
  <conditionalFormatting sqref="AE119">
    <cfRule type="cellIs" dxfId="14621" priority="27" operator="equal">
      <formula>0</formula>
    </cfRule>
  </conditionalFormatting>
  <conditionalFormatting sqref="AF119">
    <cfRule type="cellIs" dxfId="14620" priority="26" operator="equal">
      <formula>0</formula>
    </cfRule>
  </conditionalFormatting>
  <conditionalFormatting sqref="AG119">
    <cfRule type="cellIs" dxfId="14619" priority="25" operator="equal">
      <formula>0</formula>
    </cfRule>
  </conditionalFormatting>
  <conditionalFormatting sqref="J155">
    <cfRule type="cellIs" dxfId="14618" priority="24" operator="equal">
      <formula>0</formula>
    </cfRule>
  </conditionalFormatting>
  <conditionalFormatting sqref="K155">
    <cfRule type="cellIs" dxfId="14617" priority="23" operator="equal">
      <formula>0</formula>
    </cfRule>
  </conditionalFormatting>
  <conditionalFormatting sqref="L155">
    <cfRule type="cellIs" dxfId="14616" priority="22" operator="equal">
      <formula>0</formula>
    </cfRule>
  </conditionalFormatting>
  <conditionalFormatting sqref="M155">
    <cfRule type="cellIs" dxfId="14615" priority="21" operator="equal">
      <formula>0</formula>
    </cfRule>
  </conditionalFormatting>
  <conditionalFormatting sqref="N155">
    <cfRule type="cellIs" dxfId="14614" priority="20" operator="equal">
      <formula>0</formula>
    </cfRule>
  </conditionalFormatting>
  <conditionalFormatting sqref="O155">
    <cfRule type="cellIs" dxfId="14613" priority="19" operator="equal">
      <formula>0</formula>
    </cfRule>
  </conditionalFormatting>
  <conditionalFormatting sqref="AB155">
    <cfRule type="cellIs" dxfId="14612" priority="18" operator="equal">
      <formula>0</formula>
    </cfRule>
  </conditionalFormatting>
  <conditionalFormatting sqref="AC155">
    <cfRule type="cellIs" dxfId="14611" priority="17" operator="equal">
      <formula>0</formula>
    </cfRule>
  </conditionalFormatting>
  <conditionalFormatting sqref="AD155">
    <cfRule type="cellIs" dxfId="14610" priority="16" operator="equal">
      <formula>0</formula>
    </cfRule>
  </conditionalFormatting>
  <conditionalFormatting sqref="AE155">
    <cfRule type="cellIs" dxfId="14609" priority="15" operator="equal">
      <formula>0</formula>
    </cfRule>
  </conditionalFormatting>
  <conditionalFormatting sqref="AF155">
    <cfRule type="cellIs" dxfId="14608" priority="14" operator="equal">
      <formula>0</formula>
    </cfRule>
  </conditionalFormatting>
  <conditionalFormatting sqref="AG155">
    <cfRule type="cellIs" dxfId="14607" priority="13" operator="equal">
      <formula>0</formula>
    </cfRule>
  </conditionalFormatting>
  <conditionalFormatting sqref="J191">
    <cfRule type="cellIs" dxfId="14606" priority="12" operator="equal">
      <formula>0</formula>
    </cfRule>
  </conditionalFormatting>
  <conditionalFormatting sqref="K191">
    <cfRule type="cellIs" dxfId="14605" priority="11" operator="equal">
      <formula>0</formula>
    </cfRule>
  </conditionalFormatting>
  <conditionalFormatting sqref="L191">
    <cfRule type="cellIs" dxfId="14604" priority="10" operator="equal">
      <formula>0</formula>
    </cfRule>
  </conditionalFormatting>
  <conditionalFormatting sqref="M191">
    <cfRule type="cellIs" dxfId="14603" priority="9" operator="equal">
      <formula>0</formula>
    </cfRule>
  </conditionalFormatting>
  <conditionalFormatting sqref="N191">
    <cfRule type="cellIs" dxfId="14602" priority="8" operator="equal">
      <formula>0</formula>
    </cfRule>
  </conditionalFormatting>
  <conditionalFormatting sqref="O191">
    <cfRule type="cellIs" dxfId="14601" priority="7" operator="equal">
      <formula>0</formula>
    </cfRule>
  </conditionalFormatting>
  <conditionalFormatting sqref="AB191">
    <cfRule type="cellIs" dxfId="14600" priority="6" operator="equal">
      <formula>0</formula>
    </cfRule>
  </conditionalFormatting>
  <conditionalFormatting sqref="AC191">
    <cfRule type="cellIs" dxfId="14599" priority="5" operator="equal">
      <formula>0</formula>
    </cfRule>
  </conditionalFormatting>
  <conditionalFormatting sqref="AD191">
    <cfRule type="cellIs" dxfId="14598" priority="4" operator="equal">
      <formula>0</formula>
    </cfRule>
  </conditionalFormatting>
  <conditionalFormatting sqref="AE191">
    <cfRule type="cellIs" dxfId="14597" priority="3" operator="equal">
      <formula>0</formula>
    </cfRule>
  </conditionalFormatting>
  <conditionalFormatting sqref="AF191">
    <cfRule type="cellIs" dxfId="14596"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022-026D-476D-B320-DBBE1889DDED}">
  <dimension ref="C2:AK188"/>
  <sheetViews>
    <sheetView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362</v>
      </c>
      <c r="D8" s="699"/>
      <c r="E8" s="699"/>
      <c r="F8" s="699"/>
      <c r="G8" s="699"/>
      <c r="H8" s="699"/>
      <c r="I8" s="699"/>
      <c r="J8" s="699"/>
      <c r="K8" s="699"/>
      <c r="L8" s="699"/>
      <c r="M8" s="699"/>
      <c r="N8" s="699"/>
      <c r="O8" s="699"/>
      <c r="P8" s="699"/>
      <c r="Q8" s="699"/>
      <c r="R8" s="699"/>
      <c r="S8" s="699"/>
      <c r="U8" s="699" t="s">
        <v>362</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2.3260000000000005</v>
      </c>
      <c r="F12" s="643">
        <v>0</v>
      </c>
      <c r="G12" s="642">
        <v>3.7216000000000006E-2</v>
      </c>
      <c r="H12" s="643">
        <v>1005.4545454545456</v>
      </c>
      <c r="I12" s="643">
        <v>248.9826967827097</v>
      </c>
      <c r="J12" s="643">
        <v>189.82090717884753</v>
      </c>
      <c r="K12" s="643">
        <v>21.067323208066789</v>
      </c>
      <c r="L12" s="643">
        <v>0.444514092196865</v>
      </c>
      <c r="M12" s="643">
        <v>0.15770970126630299</v>
      </c>
      <c r="N12" s="643">
        <v>60.832905155553725</v>
      </c>
      <c r="O12" s="643">
        <v>10.347989753579439</v>
      </c>
      <c r="P12" s="644">
        <v>0</v>
      </c>
      <c r="Q12" s="643">
        <v>0</v>
      </c>
      <c r="R12" s="643">
        <v>0</v>
      </c>
      <c r="S12" s="645">
        <v>1539.4718073267661</v>
      </c>
      <c r="U12" s="641" t="s">
        <v>59</v>
      </c>
      <c r="V12" s="642">
        <v>0</v>
      </c>
      <c r="W12" s="643">
        <v>2.3260000000000005</v>
      </c>
      <c r="X12" s="643">
        <v>0</v>
      </c>
      <c r="Y12" s="642">
        <v>3.7216000000000006E-2</v>
      </c>
      <c r="Z12" s="643">
        <v>949.39393939393938</v>
      </c>
      <c r="AA12" s="643">
        <v>279.58269678270966</v>
      </c>
      <c r="AB12" s="643">
        <v>196.53145821434362</v>
      </c>
      <c r="AC12" s="643">
        <v>37.828582612394825</v>
      </c>
      <c r="AD12" s="643">
        <v>0.444514092196865</v>
      </c>
      <c r="AE12" s="643">
        <v>0.15770970126630299</v>
      </c>
      <c r="AF12" s="643">
        <v>86.476611770328219</v>
      </c>
      <c r="AG12" s="643">
        <v>21.065809354780896</v>
      </c>
      <c r="AH12" s="644">
        <v>0</v>
      </c>
      <c r="AI12" s="643">
        <v>0</v>
      </c>
      <c r="AJ12" s="643">
        <v>0</v>
      </c>
      <c r="AK12" s="645">
        <v>1573.8445379219597</v>
      </c>
    </row>
    <row r="13" spans="3:37" ht="13.5">
      <c r="C13" s="641" t="s">
        <v>60</v>
      </c>
      <c r="D13" s="642">
        <v>48.372001461449948</v>
      </c>
      <c r="E13" s="643">
        <v>509.74501402008315</v>
      </c>
      <c r="F13" s="643">
        <v>84.255119008679685</v>
      </c>
      <c r="G13" s="642">
        <v>333.85211586331565</v>
      </c>
      <c r="H13" s="643">
        <v>0</v>
      </c>
      <c r="I13" s="643">
        <v>0</v>
      </c>
      <c r="J13" s="643">
        <v>4.1218275156281265</v>
      </c>
      <c r="K13" s="643">
        <v>0</v>
      </c>
      <c r="L13" s="643">
        <v>2.2815668000430724</v>
      </c>
      <c r="M13" s="643">
        <v>0</v>
      </c>
      <c r="N13" s="643">
        <v>0</v>
      </c>
      <c r="O13" s="643">
        <v>0</v>
      </c>
      <c r="P13" s="644">
        <v>0</v>
      </c>
      <c r="Q13" s="643">
        <v>0</v>
      </c>
      <c r="R13" s="643">
        <v>0</v>
      </c>
      <c r="S13" s="645">
        <v>982.62764466919975</v>
      </c>
      <c r="U13" s="641" t="s">
        <v>60</v>
      </c>
      <c r="V13" s="642">
        <v>8.3965846696126416</v>
      </c>
      <c r="W13" s="643">
        <v>294.49378048971494</v>
      </c>
      <c r="X13" s="643">
        <v>18.517216360631103</v>
      </c>
      <c r="Y13" s="642">
        <v>163.11536747865699</v>
      </c>
      <c r="Z13" s="643">
        <v>0</v>
      </c>
      <c r="AA13" s="643">
        <v>0</v>
      </c>
      <c r="AB13" s="643">
        <v>4.1218275156281265</v>
      </c>
      <c r="AC13" s="643">
        <v>0</v>
      </c>
      <c r="AD13" s="643">
        <v>2.2815668000430724</v>
      </c>
      <c r="AE13" s="643">
        <v>0</v>
      </c>
      <c r="AF13" s="643">
        <v>0</v>
      </c>
      <c r="AG13" s="643">
        <v>0</v>
      </c>
      <c r="AH13" s="644">
        <v>0</v>
      </c>
      <c r="AI13" s="643">
        <v>0</v>
      </c>
      <c r="AJ13" s="643">
        <v>0</v>
      </c>
      <c r="AK13" s="645">
        <v>490.9263433142869</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-38.942042128507637</v>
      </c>
      <c r="Q14" s="643">
        <v>0</v>
      </c>
      <c r="R14" s="643">
        <v>0</v>
      </c>
      <c r="S14" s="645">
        <v>-38.942042128507637</v>
      </c>
      <c r="U14" s="641" t="s">
        <v>61</v>
      </c>
      <c r="V14" s="642">
        <v>0</v>
      </c>
      <c r="W14" s="643">
        <v>0</v>
      </c>
      <c r="X14" s="643">
        <v>0</v>
      </c>
      <c r="Y14" s="642">
        <v>0</v>
      </c>
      <c r="Z14" s="643">
        <v>0</v>
      </c>
      <c r="AA14" s="643">
        <v>0</v>
      </c>
      <c r="AB14" s="643">
        <v>0</v>
      </c>
      <c r="AC14" s="643">
        <v>0</v>
      </c>
      <c r="AD14" s="643">
        <v>0</v>
      </c>
      <c r="AE14" s="643">
        <v>0</v>
      </c>
      <c r="AF14" s="643">
        <v>0</v>
      </c>
      <c r="AG14" s="643">
        <v>0</v>
      </c>
      <c r="AH14" s="644">
        <v>-20.693548582118865</v>
      </c>
      <c r="AI14" s="643">
        <v>0</v>
      </c>
      <c r="AJ14" s="643">
        <v>0</v>
      </c>
      <c r="AK14" s="645">
        <v>-20.693548582118865</v>
      </c>
    </row>
    <row r="15" spans="3:37" ht="13.5">
      <c r="C15" s="641" t="s">
        <v>62</v>
      </c>
      <c r="D15" s="642">
        <v>0</v>
      </c>
      <c r="E15" s="643">
        <v>0</v>
      </c>
      <c r="F15" s="643">
        <v>-16.016991189558784</v>
      </c>
      <c r="G15" s="642">
        <v>0</v>
      </c>
      <c r="H15" s="643">
        <v>0</v>
      </c>
      <c r="I15" s="643">
        <v>0</v>
      </c>
      <c r="J15" s="643">
        <v>0</v>
      </c>
      <c r="K15" s="643">
        <v>0</v>
      </c>
      <c r="L15" s="643">
        <v>0</v>
      </c>
      <c r="M15" s="643">
        <v>0</v>
      </c>
      <c r="N15" s="643">
        <v>0</v>
      </c>
      <c r="O15" s="643">
        <v>0</v>
      </c>
      <c r="P15" s="644">
        <v>0</v>
      </c>
      <c r="Q15" s="643">
        <v>0</v>
      </c>
      <c r="R15" s="643">
        <v>0</v>
      </c>
      <c r="S15" s="645">
        <v>-16.016991189558784</v>
      </c>
      <c r="U15" s="641" t="s">
        <v>62</v>
      </c>
      <c r="V15" s="642">
        <v>0</v>
      </c>
      <c r="W15" s="643">
        <v>0</v>
      </c>
      <c r="X15" s="643">
        <v>-11.216317309287092</v>
      </c>
      <c r="Y15" s="642">
        <v>-1.9971079411498778</v>
      </c>
      <c r="Z15" s="643">
        <v>0</v>
      </c>
      <c r="AA15" s="643">
        <v>0</v>
      </c>
      <c r="AB15" s="643">
        <v>0</v>
      </c>
      <c r="AC15" s="643">
        <v>0</v>
      </c>
      <c r="AD15" s="643">
        <v>0</v>
      </c>
      <c r="AE15" s="643">
        <v>-0.69888193239441998</v>
      </c>
      <c r="AF15" s="643">
        <v>0</v>
      </c>
      <c r="AG15" s="643">
        <v>0</v>
      </c>
      <c r="AH15" s="644">
        <v>0</v>
      </c>
      <c r="AI15" s="643">
        <v>0</v>
      </c>
      <c r="AJ15" s="643">
        <v>0</v>
      </c>
      <c r="AK15" s="645">
        <v>-13.912307182831389</v>
      </c>
    </row>
    <row r="16" spans="3:37" ht="13.5">
      <c r="C16" s="641" t="s">
        <v>63</v>
      </c>
      <c r="D16" s="642">
        <v>0</v>
      </c>
      <c r="E16" s="643">
        <v>0</v>
      </c>
      <c r="F16" s="643">
        <v>-85.676103269538828</v>
      </c>
      <c r="G16" s="642">
        <v>0</v>
      </c>
      <c r="H16" s="643">
        <v>0</v>
      </c>
      <c r="I16" s="643">
        <v>0</v>
      </c>
      <c r="J16" s="643">
        <v>0</v>
      </c>
      <c r="K16" s="643">
        <v>0</v>
      </c>
      <c r="L16" s="643">
        <v>-0.88445591317339634</v>
      </c>
      <c r="M16" s="643">
        <v>0</v>
      </c>
      <c r="N16" s="643">
        <v>0</v>
      </c>
      <c r="O16" s="643">
        <v>0</v>
      </c>
      <c r="P16" s="644">
        <v>0</v>
      </c>
      <c r="Q16" s="643">
        <v>0</v>
      </c>
      <c r="R16" s="643">
        <v>0</v>
      </c>
      <c r="S16" s="645">
        <v>-86.560559182712225</v>
      </c>
      <c r="U16" s="641" t="s">
        <v>63</v>
      </c>
      <c r="V16" s="642">
        <v>0</v>
      </c>
      <c r="W16" s="643">
        <v>0</v>
      </c>
      <c r="X16" s="643">
        <v>-61.793178017106612</v>
      </c>
      <c r="Y16" s="642">
        <v>0</v>
      </c>
      <c r="Z16" s="643">
        <v>0</v>
      </c>
      <c r="AA16" s="643">
        <v>0</v>
      </c>
      <c r="AB16" s="643">
        <v>0</v>
      </c>
      <c r="AC16" s="643">
        <v>0</v>
      </c>
      <c r="AD16" s="643">
        <v>-20.442150229714262</v>
      </c>
      <c r="AE16" s="643">
        <v>0</v>
      </c>
      <c r="AF16" s="643">
        <v>0</v>
      </c>
      <c r="AG16" s="643">
        <v>0</v>
      </c>
      <c r="AH16" s="644">
        <v>0</v>
      </c>
      <c r="AI16" s="643">
        <v>0</v>
      </c>
      <c r="AJ16" s="643">
        <v>0</v>
      </c>
      <c r="AK16" s="645">
        <v>-82.23532824682087</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48.372001461449948</v>
      </c>
      <c r="E18" s="647">
        <v>512.07101402008311</v>
      </c>
      <c r="F18" s="647">
        <v>-17.437975450417916</v>
      </c>
      <c r="G18" s="647">
        <v>333.88933186331565</v>
      </c>
      <c r="H18" s="647">
        <v>1005.4545454545456</v>
      </c>
      <c r="I18" s="647">
        <v>248.9826967827097</v>
      </c>
      <c r="J18" s="647">
        <v>193.94273469447566</v>
      </c>
      <c r="K18" s="647">
        <v>21.067323208066789</v>
      </c>
      <c r="L18" s="647">
        <v>1.8416249790665411</v>
      </c>
      <c r="M18" s="647">
        <v>0.15770970126630299</v>
      </c>
      <c r="N18" s="647">
        <v>60.832905155553725</v>
      </c>
      <c r="O18" s="647">
        <v>10.347989753579439</v>
      </c>
      <c r="P18" s="647">
        <v>-38.942042128507637</v>
      </c>
      <c r="Q18" s="647">
        <v>0</v>
      </c>
      <c r="R18" s="647">
        <v>0</v>
      </c>
      <c r="S18" s="647">
        <v>2380.5798594951875</v>
      </c>
      <c r="U18" s="646" t="s">
        <v>65</v>
      </c>
      <c r="V18" s="647">
        <v>8.3965846696126416</v>
      </c>
      <c r="W18" s="647">
        <v>296.81978048971496</v>
      </c>
      <c r="X18" s="647">
        <v>-54.492278965762601</v>
      </c>
      <c r="Y18" s="647">
        <v>161.15547553750713</v>
      </c>
      <c r="Z18" s="647">
        <v>949.39393939393938</v>
      </c>
      <c r="AA18" s="647">
        <v>279.58269678270966</v>
      </c>
      <c r="AB18" s="647">
        <v>200.65328572997174</v>
      </c>
      <c r="AC18" s="647">
        <v>37.828582612394825</v>
      </c>
      <c r="AD18" s="647">
        <v>-17.716069337474323</v>
      </c>
      <c r="AE18" s="647">
        <v>-0.54117223112811697</v>
      </c>
      <c r="AF18" s="647">
        <v>86.476611770328219</v>
      </c>
      <c r="AG18" s="647">
        <v>21.065809354780896</v>
      </c>
      <c r="AH18" s="647">
        <v>-20.693548582118865</v>
      </c>
      <c r="AI18" s="647">
        <v>0</v>
      </c>
      <c r="AJ18" s="647">
        <v>0</v>
      </c>
      <c r="AK18" s="647">
        <v>1947.9296972244754</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7.7008933134364401</v>
      </c>
      <c r="G21" s="642">
        <v>17.192982456140349</v>
      </c>
      <c r="H21" s="642">
        <v>1005.4545454545456</v>
      </c>
      <c r="I21" s="642">
        <v>248.9826967827097</v>
      </c>
      <c r="J21" s="651">
        <v>29.95115714704033</v>
      </c>
      <c r="K21" s="651">
        <v>7.1699357941539494</v>
      </c>
      <c r="L21" s="651">
        <v>2.7260808922399375</v>
      </c>
      <c r="M21" s="651">
        <v>0.47574727688811397</v>
      </c>
      <c r="N21" s="651">
        <v>0</v>
      </c>
      <c r="O21" s="651">
        <v>5.3758847536792693</v>
      </c>
      <c r="P21" s="642">
        <v>-611.6040304377284</v>
      </c>
      <c r="Q21" s="642">
        <v>0</v>
      </c>
      <c r="R21" s="642">
        <v>0</v>
      </c>
      <c r="S21" s="650">
        <v>716.25267907413024</v>
      </c>
      <c r="U21" s="648" t="s">
        <v>350</v>
      </c>
      <c r="V21" s="642">
        <v>0.62631490545869017</v>
      </c>
      <c r="W21" s="642">
        <v>0</v>
      </c>
      <c r="X21" s="642">
        <v>3.8372569498000768</v>
      </c>
      <c r="Y21" s="642">
        <v>12.853333333333333</v>
      </c>
      <c r="Z21" s="642">
        <v>949.39393939393938</v>
      </c>
      <c r="AA21" s="642">
        <v>279.58269678270966</v>
      </c>
      <c r="AB21" s="651">
        <v>24.143657694158538</v>
      </c>
      <c r="AC21" s="651">
        <v>6.0680800758314266</v>
      </c>
      <c r="AD21" s="651">
        <v>2.7260808922399375</v>
      </c>
      <c r="AE21" s="651">
        <v>4.1838174523267107</v>
      </c>
      <c r="AF21" s="651">
        <v>0</v>
      </c>
      <c r="AG21" s="651">
        <v>5.3758847536792693</v>
      </c>
      <c r="AH21" s="642">
        <v>-621.90403043772824</v>
      </c>
      <c r="AI21" s="642">
        <v>0</v>
      </c>
      <c r="AJ21" s="642">
        <v>3.8</v>
      </c>
      <c r="AK21" s="650">
        <v>670.68703179574891</v>
      </c>
    </row>
    <row r="22" spans="3:37" ht="13.5">
      <c r="C22" s="648" t="s">
        <v>351</v>
      </c>
      <c r="D22" s="642">
        <v>0</v>
      </c>
      <c r="E22" s="642">
        <v>0</v>
      </c>
      <c r="F22" s="642">
        <v>0</v>
      </c>
      <c r="G22" s="642">
        <v>15.048436077523924</v>
      </c>
      <c r="H22" s="642">
        <v>0</v>
      </c>
      <c r="I22" s="642">
        <v>0</v>
      </c>
      <c r="J22" s="651">
        <v>12.74533322609016</v>
      </c>
      <c r="K22" s="651">
        <v>12.056480951460374</v>
      </c>
      <c r="L22" s="651">
        <v>0</v>
      </c>
      <c r="M22" s="651">
        <v>0.32133708059977345</v>
      </c>
      <c r="N22" s="651">
        <v>0</v>
      </c>
      <c r="O22" s="651">
        <v>2.1348201063802894</v>
      </c>
      <c r="P22" s="642">
        <v>0</v>
      </c>
      <c r="Q22" s="642">
        <v>-38.309646115177976</v>
      </c>
      <c r="R22" s="642">
        <v>0</v>
      </c>
      <c r="S22" s="650">
        <v>3.9967613268765492</v>
      </c>
      <c r="U22" s="648" t="s">
        <v>351</v>
      </c>
      <c r="V22" s="642">
        <v>0</v>
      </c>
      <c r="W22" s="642">
        <v>0</v>
      </c>
      <c r="X22" s="642">
        <v>0</v>
      </c>
      <c r="Y22" s="642">
        <v>12.803359009118745</v>
      </c>
      <c r="Z22" s="642">
        <v>0</v>
      </c>
      <c r="AA22" s="642">
        <v>0</v>
      </c>
      <c r="AB22" s="651">
        <v>28.717481814983032</v>
      </c>
      <c r="AC22" s="651">
        <v>25.924008984647354</v>
      </c>
      <c r="AD22" s="651">
        <v>0</v>
      </c>
      <c r="AE22" s="651">
        <v>4.0573921431217457</v>
      </c>
      <c r="AF22" s="651">
        <v>0</v>
      </c>
      <c r="AG22" s="651">
        <v>9.7357518308203428</v>
      </c>
      <c r="AH22" s="642">
        <v>0</v>
      </c>
      <c r="AI22" s="642">
        <v>-74.504230286476243</v>
      </c>
      <c r="AJ22" s="642">
        <v>0</v>
      </c>
      <c r="AK22" s="650">
        <v>6.7337634962149808</v>
      </c>
    </row>
    <row r="23" spans="3:37" ht="13.5">
      <c r="C23" s="648" t="s">
        <v>352</v>
      </c>
      <c r="D23" s="642">
        <v>0</v>
      </c>
      <c r="E23" s="642">
        <v>0</v>
      </c>
      <c r="F23" s="642">
        <v>0</v>
      </c>
      <c r="G23" s="642">
        <v>0</v>
      </c>
      <c r="H23" s="642">
        <v>0</v>
      </c>
      <c r="I23" s="642">
        <v>0</v>
      </c>
      <c r="J23" s="652">
        <v>7.2695194025067336</v>
      </c>
      <c r="K23" s="652">
        <v>0</v>
      </c>
      <c r="L23" s="652">
        <v>0</v>
      </c>
      <c r="M23" s="652">
        <v>-6.5716455398660871</v>
      </c>
      <c r="N23" s="652">
        <v>0</v>
      </c>
      <c r="O23" s="652">
        <v>0</v>
      </c>
      <c r="P23" s="642">
        <v>0</v>
      </c>
      <c r="Q23" s="642">
        <v>0</v>
      </c>
      <c r="R23" s="642">
        <v>0</v>
      </c>
      <c r="S23" s="650">
        <v>0.69787386264064644</v>
      </c>
      <c r="U23" s="648" t="s">
        <v>352</v>
      </c>
      <c r="V23" s="642">
        <v>0</v>
      </c>
      <c r="W23" s="642">
        <v>0</v>
      </c>
      <c r="X23" s="642">
        <v>0</v>
      </c>
      <c r="Y23" s="642">
        <v>0</v>
      </c>
      <c r="Z23" s="642">
        <v>0</v>
      </c>
      <c r="AA23" s="642">
        <v>0</v>
      </c>
      <c r="AB23" s="652">
        <v>56.55251118568826</v>
      </c>
      <c r="AC23" s="652">
        <v>0</v>
      </c>
      <c r="AD23" s="652">
        <v>0</v>
      </c>
      <c r="AE23" s="652">
        <v>-51.12347011186219</v>
      </c>
      <c r="AF23" s="652">
        <v>0</v>
      </c>
      <c r="AG23" s="652">
        <v>0</v>
      </c>
      <c r="AH23" s="642">
        <v>0</v>
      </c>
      <c r="AI23" s="642">
        <v>0</v>
      </c>
      <c r="AJ23" s="642">
        <v>0</v>
      </c>
      <c r="AK23" s="650">
        <v>5.4290410738260704</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530.45114623720224</v>
      </c>
      <c r="F25" s="642">
        <v>-525.1466347748302</v>
      </c>
      <c r="G25" s="642">
        <v>0</v>
      </c>
      <c r="H25" s="642">
        <v>0</v>
      </c>
      <c r="I25" s="642">
        <v>0</v>
      </c>
      <c r="J25" s="642">
        <v>0</v>
      </c>
      <c r="K25" s="642">
        <v>0</v>
      </c>
      <c r="L25" s="642">
        <v>0</v>
      </c>
      <c r="M25" s="642">
        <v>0</v>
      </c>
      <c r="N25" s="642">
        <v>0</v>
      </c>
      <c r="O25" s="642">
        <v>0</v>
      </c>
      <c r="P25" s="642">
        <v>0</v>
      </c>
      <c r="Q25" s="642">
        <v>0</v>
      </c>
      <c r="R25" s="642">
        <v>0</v>
      </c>
      <c r="S25" s="650">
        <v>5.3045114623720337</v>
      </c>
      <c r="U25" s="648" t="s">
        <v>72</v>
      </c>
      <c r="V25" s="642">
        <v>0</v>
      </c>
      <c r="W25" s="642">
        <v>307.47374578102756</v>
      </c>
      <c r="X25" s="642">
        <v>-304.39900832321729</v>
      </c>
      <c r="Y25" s="642">
        <v>0</v>
      </c>
      <c r="Z25" s="642">
        <v>0</v>
      </c>
      <c r="AA25" s="642">
        <v>0</v>
      </c>
      <c r="AB25" s="642">
        <v>0</v>
      </c>
      <c r="AC25" s="642">
        <v>0</v>
      </c>
      <c r="AD25" s="642">
        <v>0</v>
      </c>
      <c r="AE25" s="642">
        <v>0</v>
      </c>
      <c r="AF25" s="642">
        <v>0</v>
      </c>
      <c r="AG25" s="642">
        <v>0</v>
      </c>
      <c r="AH25" s="642">
        <v>0</v>
      </c>
      <c r="AI25" s="642">
        <v>0</v>
      </c>
      <c r="AJ25" s="642">
        <v>0</v>
      </c>
      <c r="AK25" s="650">
        <v>3.0747374578102722</v>
      </c>
    </row>
    <row r="26" spans="3:37" ht="13.5">
      <c r="C26" s="648" t="s">
        <v>354</v>
      </c>
      <c r="D26" s="642">
        <v>0</v>
      </c>
      <c r="E26" s="642">
        <v>0</v>
      </c>
      <c r="F26" s="642">
        <v>0</v>
      </c>
      <c r="G26" s="642">
        <v>0</v>
      </c>
      <c r="H26" s="642">
        <v>0</v>
      </c>
      <c r="I26" s="642">
        <v>0</v>
      </c>
      <c r="J26" s="642">
        <v>30.470996070194996</v>
      </c>
      <c r="K26" s="642">
        <v>0</v>
      </c>
      <c r="L26" s="642">
        <v>-30.470996070194996</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-92.079399970639116</v>
      </c>
      <c r="AE26" s="642">
        <v>0</v>
      </c>
      <c r="AF26" s="642">
        <v>0</v>
      </c>
      <c r="AG26" s="642">
        <v>0</v>
      </c>
      <c r="AH26" s="642">
        <v>0</v>
      </c>
      <c r="AI26" s="642">
        <v>0</v>
      </c>
      <c r="AJ26" s="642">
        <v>0</v>
      </c>
      <c r="AK26" s="650">
        <v>-92.079399970639116</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-18.857582137623396</v>
      </c>
      <c r="AE27" s="642">
        <v>0</v>
      </c>
      <c r="AF27" s="642">
        <v>0</v>
      </c>
      <c r="AG27" s="642">
        <v>0</v>
      </c>
      <c r="AH27" s="642">
        <v>0</v>
      </c>
      <c r="AI27" s="642">
        <v>0</v>
      </c>
      <c r="AJ27" s="642">
        <v>0</v>
      </c>
      <c r="AK27" s="650">
        <v>-18.857582137623396</v>
      </c>
    </row>
    <row r="28" spans="3:37" ht="13.5">
      <c r="C28" s="648" t="s">
        <v>73</v>
      </c>
      <c r="D28" s="642">
        <v>0</v>
      </c>
      <c r="E28" s="642">
        <v>0</v>
      </c>
      <c r="F28" s="642">
        <v>0</v>
      </c>
      <c r="G28" s="642">
        <v>4.2253053989858387</v>
      </c>
      <c r="H28" s="642">
        <v>0</v>
      </c>
      <c r="I28" s="642">
        <v>0</v>
      </c>
      <c r="J28" s="642">
        <v>0</v>
      </c>
      <c r="K28" s="642">
        <v>4.8227473393893973E-2</v>
      </c>
      <c r="L28" s="642">
        <v>0</v>
      </c>
      <c r="M28" s="642">
        <v>8.6230722428282419E-2</v>
      </c>
      <c r="N28" s="642">
        <v>0</v>
      </c>
      <c r="O28" s="642">
        <v>0</v>
      </c>
      <c r="P28" s="642">
        <v>0.47800681593948002</v>
      </c>
      <c r="Q28" s="642">
        <v>0</v>
      </c>
      <c r="R28" s="642">
        <v>-3.3759231375725771</v>
      </c>
      <c r="S28" s="650">
        <v>1.4618472731749175</v>
      </c>
      <c r="U28" s="648" t="s">
        <v>73</v>
      </c>
      <c r="V28" s="642">
        <v>0</v>
      </c>
      <c r="W28" s="642">
        <v>0</v>
      </c>
      <c r="X28" s="642">
        <v>0</v>
      </c>
      <c r="Y28" s="642">
        <v>6.2430459874299995</v>
      </c>
      <c r="Z28" s="642">
        <v>0</v>
      </c>
      <c r="AA28" s="642">
        <v>0</v>
      </c>
      <c r="AB28" s="642">
        <v>0</v>
      </c>
      <c r="AC28" s="642">
        <v>0.34514849554566557</v>
      </c>
      <c r="AD28" s="642">
        <v>0</v>
      </c>
      <c r="AE28" s="642">
        <v>1.9714882065568418</v>
      </c>
      <c r="AF28" s="642">
        <v>0</v>
      </c>
      <c r="AG28" s="642">
        <v>0</v>
      </c>
      <c r="AH28" s="642">
        <v>26.797369919651668</v>
      </c>
      <c r="AI28" s="642">
        <v>0</v>
      </c>
      <c r="AJ28" s="642">
        <v>-24.160394688196586</v>
      </c>
      <c r="AK28" s="650">
        <v>11.196657920987594</v>
      </c>
    </row>
    <row r="29" spans="3:37" ht="13.5">
      <c r="C29" s="648" t="s">
        <v>356</v>
      </c>
      <c r="D29" s="642">
        <v>28.633394531250001</v>
      </c>
      <c r="E29" s="642">
        <v>-18.380132217119058</v>
      </c>
      <c r="F29" s="642">
        <v>24.040127313749448</v>
      </c>
      <c r="G29" s="642">
        <v>0</v>
      </c>
      <c r="H29" s="642">
        <v>0</v>
      </c>
      <c r="I29" s="642">
        <v>0</v>
      </c>
      <c r="J29" s="642">
        <v>0</v>
      </c>
      <c r="K29" s="642">
        <v>0</v>
      </c>
      <c r="L29" s="642">
        <v>0</v>
      </c>
      <c r="M29" s="642">
        <v>0</v>
      </c>
      <c r="N29" s="642">
        <v>0</v>
      </c>
      <c r="O29" s="642">
        <v>0</v>
      </c>
      <c r="P29" s="642">
        <v>0</v>
      </c>
      <c r="Q29" s="642">
        <v>0</v>
      </c>
      <c r="R29" s="642">
        <v>0</v>
      </c>
      <c r="S29" s="650">
        <v>34.293389627880387</v>
      </c>
      <c r="U29" s="648" t="s">
        <v>356</v>
      </c>
      <c r="V29" s="642">
        <v>2.8339389038085936</v>
      </c>
      <c r="W29" s="642">
        <v>-10.653965291312606</v>
      </c>
      <c r="X29" s="642">
        <v>13.93475732241321</v>
      </c>
      <c r="Y29" s="642">
        <v>0</v>
      </c>
      <c r="Z29" s="642">
        <v>0</v>
      </c>
      <c r="AA29" s="642">
        <v>0</v>
      </c>
      <c r="AB29" s="642">
        <v>0</v>
      </c>
      <c r="AC29" s="642">
        <v>0</v>
      </c>
      <c r="AD29" s="642">
        <v>0</v>
      </c>
      <c r="AE29" s="642">
        <v>0</v>
      </c>
      <c r="AF29" s="642">
        <v>0</v>
      </c>
      <c r="AG29" s="642">
        <v>0</v>
      </c>
      <c r="AH29" s="642">
        <v>0</v>
      </c>
      <c r="AI29" s="642">
        <v>0</v>
      </c>
      <c r="AJ29" s="642">
        <v>0</v>
      </c>
      <c r="AK29" s="650">
        <v>6.1147309349091987</v>
      </c>
    </row>
    <row r="30" spans="3:37" ht="13.5">
      <c r="C30" s="648" t="s">
        <v>75</v>
      </c>
      <c r="D30" s="642">
        <v>11.135208984375002</v>
      </c>
      <c r="E30" s="642">
        <v>0</v>
      </c>
      <c r="F30" s="642">
        <v>18.035338972064878</v>
      </c>
      <c r="G30" s="642">
        <v>5.1464370207933356</v>
      </c>
      <c r="H30" s="642">
        <v>0</v>
      </c>
      <c r="I30" s="642">
        <v>0</v>
      </c>
      <c r="J30" s="642">
        <v>0</v>
      </c>
      <c r="K30" s="642">
        <v>0</v>
      </c>
      <c r="L30" s="642">
        <v>0</v>
      </c>
      <c r="M30" s="642">
        <v>0.10502932695496604</v>
      </c>
      <c r="N30" s="642">
        <v>0</v>
      </c>
      <c r="O30" s="642">
        <v>0</v>
      </c>
      <c r="P30" s="642">
        <v>31.859130537431355</v>
      </c>
      <c r="Q30" s="642">
        <v>0</v>
      </c>
      <c r="R30" s="642">
        <v>0</v>
      </c>
      <c r="S30" s="650">
        <v>66.281144841619536</v>
      </c>
      <c r="U30" s="648" t="s">
        <v>75</v>
      </c>
      <c r="V30" s="642">
        <v>3.871097900390625</v>
      </c>
      <c r="W30" s="642">
        <v>0</v>
      </c>
      <c r="X30" s="642">
        <v>18.035338972064878</v>
      </c>
      <c r="Y30" s="642">
        <v>3.9911144242887096</v>
      </c>
      <c r="Z30" s="642">
        <v>0</v>
      </c>
      <c r="AA30" s="642">
        <v>0</v>
      </c>
      <c r="AB30" s="642">
        <v>0</v>
      </c>
      <c r="AC30" s="642">
        <v>0</v>
      </c>
      <c r="AD30" s="642">
        <v>0</v>
      </c>
      <c r="AE30" s="642">
        <v>1.2603519234595923</v>
      </c>
      <c r="AF30" s="642">
        <v>0</v>
      </c>
      <c r="AG30" s="642">
        <v>0</v>
      </c>
      <c r="AH30" s="642">
        <v>35.363675991976798</v>
      </c>
      <c r="AI30" s="642">
        <v>0</v>
      </c>
      <c r="AJ30" s="642">
        <v>0</v>
      </c>
      <c r="AK30" s="650">
        <v>62.521579212180605</v>
      </c>
    </row>
    <row r="31" spans="3:37" ht="13.5">
      <c r="C31" s="648" t="s">
        <v>76</v>
      </c>
      <c r="D31" s="642">
        <v>0</v>
      </c>
      <c r="E31" s="642">
        <v>0</v>
      </c>
      <c r="F31" s="642">
        <v>0</v>
      </c>
      <c r="G31" s="642">
        <v>3.818307882847094</v>
      </c>
      <c r="H31" s="642">
        <v>0</v>
      </c>
      <c r="I31" s="642">
        <v>0</v>
      </c>
      <c r="J31" s="642">
        <v>0</v>
      </c>
      <c r="K31" s="642">
        <v>0</v>
      </c>
      <c r="L31" s="642">
        <v>0</v>
      </c>
      <c r="M31" s="642">
        <v>7.7924650670348858E-2</v>
      </c>
      <c r="N31" s="642">
        <v>0</v>
      </c>
      <c r="O31" s="642">
        <v>0</v>
      </c>
      <c r="P31" s="642">
        <v>43.831436480126726</v>
      </c>
      <c r="Q31" s="642">
        <v>2.9732290990631256</v>
      </c>
      <c r="R31" s="642">
        <v>0</v>
      </c>
      <c r="S31" s="650">
        <v>50.700898112707293</v>
      </c>
      <c r="U31" s="648" t="s">
        <v>76</v>
      </c>
      <c r="V31" s="642">
        <v>0</v>
      </c>
      <c r="W31" s="642">
        <v>0</v>
      </c>
      <c r="X31" s="642">
        <v>0</v>
      </c>
      <c r="Y31" s="642">
        <v>1.9196559923426515</v>
      </c>
      <c r="Z31" s="642">
        <v>0</v>
      </c>
      <c r="AA31" s="642">
        <v>0</v>
      </c>
      <c r="AB31" s="642">
        <v>0</v>
      </c>
      <c r="AC31" s="642">
        <v>0</v>
      </c>
      <c r="AD31" s="642">
        <v>0</v>
      </c>
      <c r="AE31" s="642">
        <v>0.60620715547662674</v>
      </c>
      <c r="AF31" s="642">
        <v>0</v>
      </c>
      <c r="AG31" s="642">
        <v>0</v>
      </c>
      <c r="AH31" s="642">
        <v>46.019363501687437</v>
      </c>
      <c r="AI31" s="642">
        <v>5.777975473960776</v>
      </c>
      <c r="AJ31" s="642">
        <v>0</v>
      </c>
      <c r="AK31" s="650">
        <v>54.323202123467496</v>
      </c>
    </row>
    <row r="32" spans="3:37" ht="13.5">
      <c r="C32" s="646" t="s">
        <v>77</v>
      </c>
      <c r="D32" s="647">
        <v>42.595389156650249</v>
      </c>
      <c r="E32" s="647">
        <v>512.07101402008323</v>
      </c>
      <c r="F32" s="647">
        <v>-475.37027517557942</v>
      </c>
      <c r="G32" s="647">
        <v>45.431468836290541</v>
      </c>
      <c r="H32" s="647">
        <v>1005.4545454545456</v>
      </c>
      <c r="I32" s="647">
        <v>248.9826967827097</v>
      </c>
      <c r="J32" s="647">
        <v>80.437005845832218</v>
      </c>
      <c r="K32" s="647">
        <v>19.274644219008216</v>
      </c>
      <c r="L32" s="647">
        <v>-27.744915177955058</v>
      </c>
      <c r="M32" s="647">
        <v>-5.5053764823246025</v>
      </c>
      <c r="N32" s="647">
        <v>0</v>
      </c>
      <c r="O32" s="647">
        <v>7.5107048600595583</v>
      </c>
      <c r="P32" s="647">
        <v>-535.43545660423092</v>
      </c>
      <c r="Q32" s="647">
        <v>-35.336417016114851</v>
      </c>
      <c r="R32" s="647">
        <v>-3.3759231375725771</v>
      </c>
      <c r="S32" s="647">
        <v>878.98910558140176</v>
      </c>
      <c r="U32" s="646" t="s">
        <v>77</v>
      </c>
      <c r="V32" s="647">
        <v>7.3313517096579091</v>
      </c>
      <c r="W32" s="647">
        <v>296.81978048971496</v>
      </c>
      <c r="X32" s="647">
        <v>-268.59165507893914</v>
      </c>
      <c r="Y32" s="647">
        <v>37.810508746513442</v>
      </c>
      <c r="Z32" s="647">
        <v>949.39393939393938</v>
      </c>
      <c r="AA32" s="647">
        <v>279.58269678270966</v>
      </c>
      <c r="AB32" s="647">
        <v>109.41365069482983</v>
      </c>
      <c r="AC32" s="647">
        <v>32.337237556024441</v>
      </c>
      <c r="AD32" s="647">
        <v>-108.21090121602258</v>
      </c>
      <c r="AE32" s="647">
        <v>-39.044213230920668</v>
      </c>
      <c r="AF32" s="647">
        <v>0</v>
      </c>
      <c r="AG32" s="647">
        <v>15.111636584499612</v>
      </c>
      <c r="AH32" s="647">
        <v>-513.7236210244123</v>
      </c>
      <c r="AI32" s="647">
        <v>-68.726254812515464</v>
      </c>
      <c r="AJ32" s="647">
        <v>-20.360394688196585</v>
      </c>
      <c r="AK32" s="647">
        <v>709.14376190688279</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5.7766123047996905</v>
      </c>
      <c r="E34" s="642">
        <v>0</v>
      </c>
      <c r="F34" s="642">
        <v>22.402619678599791</v>
      </c>
      <c r="G34" s="642">
        <v>99.281124041468402</v>
      </c>
      <c r="H34" s="642">
        <v>0</v>
      </c>
      <c r="I34" s="642">
        <v>0</v>
      </c>
      <c r="J34" s="642">
        <v>20.258622771310847</v>
      </c>
      <c r="K34" s="642">
        <v>1.7675748663376085</v>
      </c>
      <c r="L34" s="642">
        <v>0.898333240234375</v>
      </c>
      <c r="M34" s="642">
        <v>2.0447588657198987</v>
      </c>
      <c r="N34" s="642">
        <v>0</v>
      </c>
      <c r="O34" s="642">
        <v>3.7946622282562846E-4</v>
      </c>
      <c r="P34" s="642">
        <v>110.87393457022205</v>
      </c>
      <c r="Q34" s="642">
        <v>16.091742927144434</v>
      </c>
      <c r="R34" s="642">
        <v>0.31004003906249999</v>
      </c>
      <c r="S34" s="650">
        <v>279.70574277112252</v>
      </c>
      <c r="U34" s="648" t="s">
        <v>78</v>
      </c>
      <c r="V34" s="642">
        <v>1.065232959954733</v>
      </c>
      <c r="W34" s="642">
        <v>0</v>
      </c>
      <c r="X34" s="642">
        <v>10.225742404389669</v>
      </c>
      <c r="Y34" s="642">
        <v>56.981112862578769</v>
      </c>
      <c r="Z34" s="642">
        <v>0</v>
      </c>
      <c r="AA34" s="642">
        <v>0</v>
      </c>
      <c r="AB34" s="642">
        <v>15.894636498884354</v>
      </c>
      <c r="AC34" s="642">
        <v>5.4662409336494147</v>
      </c>
      <c r="AD34" s="642">
        <v>3.5459101562500011</v>
      </c>
      <c r="AE34" s="642">
        <v>18.012649117932849</v>
      </c>
      <c r="AF34" s="642">
        <v>0</v>
      </c>
      <c r="AG34" s="642">
        <v>3.7946622282562846E-4</v>
      </c>
      <c r="AH34" s="642">
        <v>139.02742097426295</v>
      </c>
      <c r="AI34" s="642">
        <v>22.276590949645215</v>
      </c>
      <c r="AJ34" s="642">
        <v>6.4302626953124999</v>
      </c>
      <c r="AK34" s="650">
        <v>278.92617901908329</v>
      </c>
    </row>
    <row r="35" spans="3:37" ht="13.5">
      <c r="C35" s="648" t="s">
        <v>79</v>
      </c>
      <c r="D35" s="642">
        <v>0</v>
      </c>
      <c r="E35" s="642">
        <v>0</v>
      </c>
      <c r="F35" s="642">
        <v>266.09529408288529</v>
      </c>
      <c r="G35" s="642">
        <v>27.519674276690072</v>
      </c>
      <c r="H35" s="642">
        <v>0</v>
      </c>
      <c r="I35" s="642">
        <v>0</v>
      </c>
      <c r="J35" s="642">
        <v>0</v>
      </c>
      <c r="K35" s="642">
        <v>0</v>
      </c>
      <c r="L35" s="642">
        <v>25.787483151262677</v>
      </c>
      <c r="M35" s="642">
        <v>0.56162600564673626</v>
      </c>
      <c r="N35" s="642">
        <v>0</v>
      </c>
      <c r="O35" s="642">
        <v>0</v>
      </c>
      <c r="P35" s="642">
        <v>55.913522242788574</v>
      </c>
      <c r="Q35" s="642">
        <v>0</v>
      </c>
      <c r="R35" s="642">
        <v>1.6351140344190074</v>
      </c>
      <c r="S35" s="650">
        <v>377.5127137936924</v>
      </c>
      <c r="U35" s="648" t="s">
        <v>79</v>
      </c>
      <c r="V35" s="642">
        <v>0</v>
      </c>
      <c r="W35" s="642">
        <v>0</v>
      </c>
      <c r="X35" s="642">
        <v>96.606255591578162</v>
      </c>
      <c r="Y35" s="642">
        <v>18.337650579977414</v>
      </c>
      <c r="Z35" s="642">
        <v>0</v>
      </c>
      <c r="AA35" s="642">
        <v>0</v>
      </c>
      <c r="AB35" s="642">
        <v>0</v>
      </c>
      <c r="AC35" s="642">
        <v>0</v>
      </c>
      <c r="AD35" s="642">
        <v>50.618247990049454</v>
      </c>
      <c r="AE35" s="642">
        <v>5.9499820008855142</v>
      </c>
      <c r="AF35" s="642">
        <v>0</v>
      </c>
      <c r="AG35" s="642">
        <v>0</v>
      </c>
      <c r="AH35" s="642">
        <v>73.690348279738799</v>
      </c>
      <c r="AI35" s="642">
        <v>0</v>
      </c>
      <c r="AJ35" s="642">
        <v>3.6092463767880076</v>
      </c>
      <c r="AK35" s="650">
        <v>248.81173081901736</v>
      </c>
    </row>
    <row r="36" spans="3:37" ht="13.5">
      <c r="C36" s="648" t="s">
        <v>80</v>
      </c>
      <c r="D36" s="642">
        <v>0</v>
      </c>
      <c r="E36" s="642">
        <v>0</v>
      </c>
      <c r="F36" s="642">
        <v>20.365336948925044</v>
      </c>
      <c r="G36" s="642">
        <v>85.23124323075227</v>
      </c>
      <c r="H36" s="642">
        <v>0</v>
      </c>
      <c r="I36" s="642">
        <v>0</v>
      </c>
      <c r="J36" s="642">
        <v>86.726820353783026</v>
      </c>
      <c r="K36" s="642">
        <v>0</v>
      </c>
      <c r="L36" s="642">
        <v>0</v>
      </c>
      <c r="M36" s="642">
        <v>1.7394131271582098</v>
      </c>
      <c r="N36" s="642">
        <v>52.217429119397167</v>
      </c>
      <c r="O36" s="642">
        <v>2.0042749347218733</v>
      </c>
      <c r="P36" s="642">
        <v>185.58174281281848</v>
      </c>
      <c r="Q36" s="642">
        <v>15.554343379011728</v>
      </c>
      <c r="R36" s="642">
        <v>0</v>
      </c>
      <c r="S36" s="650">
        <v>449.42060390656781</v>
      </c>
      <c r="U36" s="648" t="s">
        <v>80</v>
      </c>
      <c r="V36" s="642">
        <v>0</v>
      </c>
      <c r="W36" s="642">
        <v>0</v>
      </c>
      <c r="X36" s="642">
        <v>1.2585168598114169</v>
      </c>
      <c r="Y36" s="642">
        <v>24.208168890995722</v>
      </c>
      <c r="Z36" s="642">
        <v>0</v>
      </c>
      <c r="AA36" s="642">
        <v>0</v>
      </c>
      <c r="AB36" s="642">
        <v>64.793825414524548</v>
      </c>
      <c r="AC36" s="642">
        <v>0</v>
      </c>
      <c r="AD36" s="642">
        <v>0</v>
      </c>
      <c r="AE36" s="642">
        <v>7.6446849129460164</v>
      </c>
      <c r="AF36" s="642">
        <v>71.984931036617454</v>
      </c>
      <c r="AG36" s="642">
        <v>3.153558114778761</v>
      </c>
      <c r="AH36" s="642">
        <v>153.74527198137548</v>
      </c>
      <c r="AI36" s="642">
        <v>35.336807466581455</v>
      </c>
      <c r="AJ36" s="642">
        <v>0</v>
      </c>
      <c r="AK36" s="650">
        <v>362.12576467763085</v>
      </c>
    </row>
    <row r="37" spans="3:37" ht="13.5">
      <c r="C37" s="648" t="s">
        <v>81</v>
      </c>
      <c r="D37" s="642">
        <v>0</v>
      </c>
      <c r="E37" s="642">
        <v>0</v>
      </c>
      <c r="F37" s="642">
        <v>7.1130915409553364</v>
      </c>
      <c r="G37" s="642">
        <v>63.054682395398032</v>
      </c>
      <c r="H37" s="642">
        <v>0</v>
      </c>
      <c r="I37" s="642">
        <v>0</v>
      </c>
      <c r="J37" s="642">
        <v>3.2976998041276677</v>
      </c>
      <c r="K37" s="642">
        <v>2.5104122720965388E-2</v>
      </c>
      <c r="L37" s="642">
        <v>0</v>
      </c>
      <c r="M37" s="642">
        <v>1.2868302529673068</v>
      </c>
      <c r="N37" s="642">
        <v>8.6154760361565579</v>
      </c>
      <c r="O37" s="642">
        <v>0.75786341807650337</v>
      </c>
      <c r="P37" s="642">
        <v>137.18962935697431</v>
      </c>
      <c r="Q37" s="642">
        <v>3.6903307099586842</v>
      </c>
      <c r="R37" s="642">
        <v>0</v>
      </c>
      <c r="S37" s="650">
        <v>225.03070763733538</v>
      </c>
      <c r="U37" s="648" t="s">
        <v>81</v>
      </c>
      <c r="V37" s="642">
        <v>0</v>
      </c>
      <c r="W37" s="642">
        <v>0</v>
      </c>
      <c r="X37" s="642">
        <v>2.1697022188790429</v>
      </c>
      <c r="Y37" s="642">
        <v>20.911765460712612</v>
      </c>
      <c r="Z37" s="642">
        <v>0</v>
      </c>
      <c r="AA37" s="642">
        <v>0</v>
      </c>
      <c r="AB37" s="642">
        <v>7.3285872023111214</v>
      </c>
      <c r="AC37" s="642">
        <v>2.5104122720965388E-2</v>
      </c>
      <c r="AD37" s="642">
        <v>0</v>
      </c>
      <c r="AE37" s="642">
        <v>6.6037154086460879</v>
      </c>
      <c r="AF37" s="642">
        <v>14.491680733710758</v>
      </c>
      <c r="AG37" s="642">
        <v>1.6347019702159422</v>
      </c>
      <c r="AH37" s="642">
        <v>117.90366143236871</v>
      </c>
      <c r="AI37" s="642">
        <v>11.11285639628878</v>
      </c>
      <c r="AJ37" s="642">
        <v>0</v>
      </c>
      <c r="AK37" s="650">
        <v>182.18177494585402</v>
      </c>
    </row>
    <row r="38" spans="3:37" ht="13.5">
      <c r="C38" s="648" t="s">
        <v>82</v>
      </c>
      <c r="D38" s="642">
        <v>0</v>
      </c>
      <c r="E38" s="642">
        <v>0</v>
      </c>
      <c r="F38" s="642">
        <v>30.218764596795413</v>
      </c>
      <c r="G38" s="642">
        <v>1.4924386728389218</v>
      </c>
      <c r="H38" s="642">
        <v>0</v>
      </c>
      <c r="I38" s="642">
        <v>0</v>
      </c>
      <c r="J38" s="642">
        <v>3.2225859194218685</v>
      </c>
      <c r="K38" s="642">
        <v>0</v>
      </c>
      <c r="L38" s="642">
        <v>2.9019247412329854</v>
      </c>
      <c r="M38" s="642">
        <v>3.0457932098753505E-2</v>
      </c>
      <c r="N38" s="642">
        <v>0</v>
      </c>
      <c r="O38" s="642">
        <v>7.4767074498679406E-2</v>
      </c>
      <c r="P38" s="642">
        <v>6.6555854929198803</v>
      </c>
      <c r="Q38" s="642">
        <v>0</v>
      </c>
      <c r="R38" s="642">
        <v>0</v>
      </c>
      <c r="S38" s="650">
        <v>44.596524429806507</v>
      </c>
      <c r="U38" s="648" t="s">
        <v>82</v>
      </c>
      <c r="V38" s="642">
        <v>0</v>
      </c>
      <c r="W38" s="642">
        <v>0</v>
      </c>
      <c r="X38" s="642">
        <v>13.476198254352189</v>
      </c>
      <c r="Y38" s="642">
        <v>1.4718796614135594</v>
      </c>
      <c r="Z38" s="642">
        <v>0</v>
      </c>
      <c r="AA38" s="642">
        <v>0</v>
      </c>
      <c r="AB38" s="642">
        <v>3.2225859194218685</v>
      </c>
      <c r="AC38" s="642">
        <v>0</v>
      </c>
      <c r="AD38" s="642">
        <v>23.463730160224294</v>
      </c>
      <c r="AE38" s="642">
        <v>0.46480410360428193</v>
      </c>
      <c r="AF38" s="642">
        <v>0</v>
      </c>
      <c r="AG38" s="642">
        <v>1.1655332190637568</v>
      </c>
      <c r="AH38" s="642">
        <v>6.7433697745475678</v>
      </c>
      <c r="AI38" s="642">
        <v>0</v>
      </c>
      <c r="AJ38" s="642">
        <v>0.29485655237537339</v>
      </c>
      <c r="AK38" s="650">
        <v>50.302957645002891</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0.27899999999999997</v>
      </c>
      <c r="Q39" s="642">
        <v>0</v>
      </c>
      <c r="R39" s="642">
        <v>0</v>
      </c>
      <c r="S39" s="650">
        <v>0.27899999999999997</v>
      </c>
      <c r="U39" s="648" t="s">
        <v>357</v>
      </c>
      <c r="V39" s="642">
        <v>0</v>
      </c>
      <c r="W39" s="642">
        <v>0</v>
      </c>
      <c r="X39" s="642">
        <v>0</v>
      </c>
      <c r="Y39" s="642">
        <v>0</v>
      </c>
      <c r="Z39" s="642">
        <v>0</v>
      </c>
      <c r="AA39" s="642">
        <v>0</v>
      </c>
      <c r="AB39" s="642">
        <v>0</v>
      </c>
      <c r="AC39" s="642">
        <v>0</v>
      </c>
      <c r="AD39" s="642">
        <v>0</v>
      </c>
      <c r="AE39" s="642">
        <v>0</v>
      </c>
      <c r="AF39" s="642">
        <v>0</v>
      </c>
      <c r="AG39" s="642">
        <v>0</v>
      </c>
      <c r="AH39" s="642">
        <v>1.92</v>
      </c>
      <c r="AI39" s="642">
        <v>0</v>
      </c>
      <c r="AJ39" s="642">
        <v>0</v>
      </c>
      <c r="AK39" s="650">
        <v>1.92</v>
      </c>
    </row>
    <row r="40" spans="3:37" ht="13.5">
      <c r="C40" s="646" t="s">
        <v>83</v>
      </c>
      <c r="D40" s="647">
        <v>5.7766123047996905</v>
      </c>
      <c r="E40" s="647">
        <v>0</v>
      </c>
      <c r="F40" s="647">
        <v>346.19510684816078</v>
      </c>
      <c r="G40" s="647">
        <v>276.57916261714774</v>
      </c>
      <c r="H40" s="647">
        <v>0</v>
      </c>
      <c r="I40" s="647">
        <v>0</v>
      </c>
      <c r="J40" s="647">
        <v>113.50572884864343</v>
      </c>
      <c r="K40" s="647">
        <v>1.7926789890585739</v>
      </c>
      <c r="L40" s="647">
        <v>29.587741132730038</v>
      </c>
      <c r="M40" s="647">
        <v>5.6630861835909059</v>
      </c>
      <c r="N40" s="647">
        <v>60.832905155553725</v>
      </c>
      <c r="O40" s="647">
        <v>2.8372848935198816</v>
      </c>
      <c r="P40" s="647">
        <v>496.49341447572323</v>
      </c>
      <c r="Q40" s="647">
        <v>35.336417016114851</v>
      </c>
      <c r="R40" s="647">
        <v>1.9451540734815074</v>
      </c>
      <c r="S40" s="647">
        <v>1376.5452925385248</v>
      </c>
      <c r="U40" s="646" t="s">
        <v>83</v>
      </c>
      <c r="V40" s="647">
        <v>1.065232959954733</v>
      </c>
      <c r="W40" s="647">
        <v>0</v>
      </c>
      <c r="X40" s="647">
        <v>123.73641532901047</v>
      </c>
      <c r="Y40" s="647">
        <v>121.91057745567808</v>
      </c>
      <c r="Z40" s="647">
        <v>0</v>
      </c>
      <c r="AA40" s="647">
        <v>0</v>
      </c>
      <c r="AB40" s="647">
        <v>91.239635035141916</v>
      </c>
      <c r="AC40" s="647">
        <v>5.4913450563703794</v>
      </c>
      <c r="AD40" s="647">
        <v>77.627888306523744</v>
      </c>
      <c r="AE40" s="647">
        <v>38.675835544014738</v>
      </c>
      <c r="AF40" s="647">
        <v>86.476611770328219</v>
      </c>
      <c r="AG40" s="647">
        <v>5.9541727702812857</v>
      </c>
      <c r="AH40" s="647">
        <v>493.03007244229349</v>
      </c>
      <c r="AI40" s="647">
        <v>68.72625481251545</v>
      </c>
      <c r="AJ40" s="647">
        <v>10.334365624475881</v>
      </c>
      <c r="AK40" s="647">
        <v>1124.2684071065887</v>
      </c>
    </row>
    <row r="41" spans="3:37" ht="13.5">
      <c r="C41" s="641" t="s">
        <v>84</v>
      </c>
      <c r="D41" s="642">
        <v>0</v>
      </c>
      <c r="E41" s="642">
        <v>0</v>
      </c>
      <c r="F41" s="642">
        <v>111.73719287700069</v>
      </c>
      <c r="G41" s="642">
        <v>11.878700409877391</v>
      </c>
      <c r="H41" s="642">
        <v>0</v>
      </c>
      <c r="I41" s="642">
        <v>0</v>
      </c>
      <c r="J41" s="642">
        <v>0</v>
      </c>
      <c r="K41" s="642">
        <v>0</v>
      </c>
      <c r="L41" s="642">
        <v>0</v>
      </c>
      <c r="M41" s="642">
        <v>0</v>
      </c>
      <c r="N41" s="642">
        <v>0</v>
      </c>
      <c r="O41" s="642">
        <v>0</v>
      </c>
      <c r="P41" s="642">
        <v>0</v>
      </c>
      <c r="Q41" s="642">
        <v>0</v>
      </c>
      <c r="R41" s="642">
        <v>1.43076906409107</v>
      </c>
      <c r="S41" s="650">
        <v>125.04666235096916</v>
      </c>
      <c r="U41" s="641" t="s">
        <v>84</v>
      </c>
      <c r="V41" s="642">
        <v>0</v>
      </c>
      <c r="W41" s="642">
        <v>0</v>
      </c>
      <c r="X41" s="642">
        <v>90.362960784166091</v>
      </c>
      <c r="Y41" s="642">
        <v>1.2615947910933976</v>
      </c>
      <c r="Z41" s="642">
        <v>0</v>
      </c>
      <c r="AA41" s="642">
        <v>0</v>
      </c>
      <c r="AB41" s="642">
        <v>0</v>
      </c>
      <c r="AC41" s="642">
        <v>0</v>
      </c>
      <c r="AD41" s="642">
        <v>14.679117373046875</v>
      </c>
      <c r="AE41" s="642">
        <v>0</v>
      </c>
      <c r="AF41" s="642">
        <v>0</v>
      </c>
      <c r="AG41" s="642">
        <v>0</v>
      </c>
      <c r="AH41" s="642">
        <v>0</v>
      </c>
      <c r="AI41" s="642">
        <v>0</v>
      </c>
      <c r="AJ41" s="642">
        <v>10.026029063720703</v>
      </c>
      <c r="AK41" s="650">
        <v>116.32970201202707</v>
      </c>
    </row>
    <row r="42" spans="3:37" ht="13.5">
      <c r="C42" s="646" t="s">
        <v>85</v>
      </c>
      <c r="D42" s="647">
        <v>5.7766123047996905</v>
      </c>
      <c r="E42" s="647">
        <v>0</v>
      </c>
      <c r="F42" s="647">
        <v>457.9322997251615</v>
      </c>
      <c r="G42" s="647">
        <v>288.45786302702516</v>
      </c>
      <c r="H42" s="647">
        <v>0</v>
      </c>
      <c r="I42" s="647">
        <v>0</v>
      </c>
      <c r="J42" s="647">
        <v>113.50572884864343</v>
      </c>
      <c r="K42" s="647">
        <v>1.7926789890585739</v>
      </c>
      <c r="L42" s="647">
        <v>29.587741132730038</v>
      </c>
      <c r="M42" s="647">
        <v>5.6630861835909059</v>
      </c>
      <c r="N42" s="647">
        <v>60.832905155553725</v>
      </c>
      <c r="O42" s="647">
        <v>2.8372848935198816</v>
      </c>
      <c r="P42" s="647">
        <v>496.49341447572323</v>
      </c>
      <c r="Q42" s="647">
        <v>35.336417016114851</v>
      </c>
      <c r="R42" s="647">
        <v>3.3759231375725776</v>
      </c>
      <c r="S42" s="647">
        <v>1501.5919548894938</v>
      </c>
      <c r="U42" s="646" t="s">
        <v>85</v>
      </c>
      <c r="V42" s="647">
        <v>1.065232959954733</v>
      </c>
      <c r="W42" s="647">
        <v>0</v>
      </c>
      <c r="X42" s="647">
        <v>214.09937611317656</v>
      </c>
      <c r="Y42" s="647">
        <v>123.17217224677148</v>
      </c>
      <c r="Z42" s="647">
        <v>0</v>
      </c>
      <c r="AA42" s="647">
        <v>0</v>
      </c>
      <c r="AB42" s="647">
        <v>91.239635035141916</v>
      </c>
      <c r="AC42" s="647">
        <v>5.4913450563703794</v>
      </c>
      <c r="AD42" s="647">
        <v>92.307005679570622</v>
      </c>
      <c r="AE42" s="647">
        <v>38.675835544014738</v>
      </c>
      <c r="AF42" s="647">
        <v>86.476611770328219</v>
      </c>
      <c r="AG42" s="647">
        <v>5.9541727702812857</v>
      </c>
      <c r="AH42" s="647">
        <v>493.03007244229349</v>
      </c>
      <c r="AI42" s="647">
        <v>68.72625481251545</v>
      </c>
      <c r="AJ42" s="647">
        <v>20.360394688196585</v>
      </c>
      <c r="AK42" s="647">
        <v>1240.5981091186156</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363</v>
      </c>
      <c r="D44" s="699"/>
      <c r="E44" s="699"/>
      <c r="F44" s="699"/>
      <c r="G44" s="699"/>
      <c r="H44" s="699"/>
      <c r="I44" s="699"/>
      <c r="J44" s="699"/>
      <c r="K44" s="699"/>
      <c r="L44" s="699"/>
      <c r="M44" s="699"/>
      <c r="N44" s="699"/>
      <c r="O44" s="699"/>
      <c r="P44" s="699"/>
      <c r="Q44" s="699"/>
      <c r="R44" s="699"/>
      <c r="S44" s="699"/>
      <c r="U44" s="699" t="s">
        <v>363</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0</v>
      </c>
      <c r="F48" s="643">
        <v>0</v>
      </c>
      <c r="G48" s="642">
        <v>0</v>
      </c>
      <c r="H48" s="643">
        <v>959.09090909090924</v>
      </c>
      <c r="I48" s="643">
        <v>265.54666314840352</v>
      </c>
      <c r="J48" s="643">
        <v>188.6372712469306</v>
      </c>
      <c r="K48" s="643">
        <v>20.835963621356942</v>
      </c>
      <c r="L48" s="643">
        <v>0.48646764865129044</v>
      </c>
      <c r="M48" s="643">
        <v>0.15840693111613638</v>
      </c>
      <c r="N48" s="643">
        <v>62.897832024028709</v>
      </c>
      <c r="O48" s="643">
        <v>11.865462020109925</v>
      </c>
      <c r="P48" s="644">
        <v>0</v>
      </c>
      <c r="Q48" s="643">
        <v>0</v>
      </c>
      <c r="R48" s="643">
        <v>0</v>
      </c>
      <c r="S48" s="645">
        <v>1509.5189757315065</v>
      </c>
      <c r="U48" s="641" t="s">
        <v>59</v>
      </c>
      <c r="V48" s="642">
        <v>0</v>
      </c>
      <c r="W48" s="643">
        <v>0</v>
      </c>
      <c r="X48" s="643">
        <v>0</v>
      </c>
      <c r="Y48" s="642">
        <v>0</v>
      </c>
      <c r="Z48" s="643">
        <v>919.39393939393949</v>
      </c>
      <c r="AA48" s="643">
        <v>300.16666314840353</v>
      </c>
      <c r="AB48" s="643">
        <v>196.07210414009427</v>
      </c>
      <c r="AC48" s="643">
        <v>37.690284018354092</v>
      </c>
      <c r="AD48" s="643">
        <v>0.48646764865129044</v>
      </c>
      <c r="AE48" s="643">
        <v>0.15840693111613638</v>
      </c>
      <c r="AF48" s="643">
        <v>92.901000398225491</v>
      </c>
      <c r="AG48" s="643">
        <v>23.979405132943342</v>
      </c>
      <c r="AH48" s="644">
        <v>0</v>
      </c>
      <c r="AI48" s="643">
        <v>0</v>
      </c>
      <c r="AJ48" s="643">
        <v>0</v>
      </c>
      <c r="AK48" s="645">
        <v>1570.8482708117278</v>
      </c>
    </row>
    <row r="49" spans="3:37" ht="13.5">
      <c r="C49" s="641" t="s">
        <v>60</v>
      </c>
      <c r="D49" s="642">
        <v>48.037640466799544</v>
      </c>
      <c r="E49" s="643">
        <v>504.19228646673599</v>
      </c>
      <c r="F49" s="643">
        <v>68.527294255032075</v>
      </c>
      <c r="G49" s="642">
        <v>332.96357284387591</v>
      </c>
      <c r="H49" s="643">
        <v>0</v>
      </c>
      <c r="I49" s="643">
        <v>0</v>
      </c>
      <c r="J49" s="643">
        <v>4.4041420336435353</v>
      </c>
      <c r="K49" s="643">
        <v>0</v>
      </c>
      <c r="L49" s="643">
        <v>2.4215969020745125</v>
      </c>
      <c r="M49" s="643">
        <v>0</v>
      </c>
      <c r="N49" s="643">
        <v>0</v>
      </c>
      <c r="O49" s="643">
        <v>0</v>
      </c>
      <c r="P49" s="644">
        <v>0</v>
      </c>
      <c r="Q49" s="643">
        <v>0</v>
      </c>
      <c r="R49" s="643">
        <v>0</v>
      </c>
      <c r="S49" s="645">
        <v>960.54653296816161</v>
      </c>
      <c r="U49" s="641" t="s">
        <v>60</v>
      </c>
      <c r="V49" s="642">
        <v>7.5315222042138927</v>
      </c>
      <c r="W49" s="643">
        <v>266.28302835422375</v>
      </c>
      <c r="X49" s="643">
        <v>14.660534841020075</v>
      </c>
      <c r="Y49" s="642">
        <v>136.19700966140181</v>
      </c>
      <c r="Z49" s="643">
        <v>0</v>
      </c>
      <c r="AA49" s="643">
        <v>0</v>
      </c>
      <c r="AB49" s="643">
        <v>4.4041420336435353</v>
      </c>
      <c r="AC49" s="643">
        <v>0</v>
      </c>
      <c r="AD49" s="643">
        <v>2.4215969020745125</v>
      </c>
      <c r="AE49" s="643">
        <v>0</v>
      </c>
      <c r="AF49" s="643">
        <v>0</v>
      </c>
      <c r="AG49" s="643">
        <v>0</v>
      </c>
      <c r="AH49" s="644">
        <v>0</v>
      </c>
      <c r="AI49" s="643">
        <v>0</v>
      </c>
      <c r="AJ49" s="643">
        <v>0</v>
      </c>
      <c r="AK49" s="645">
        <v>431.49783399657758</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-31.055970799843635</v>
      </c>
      <c r="Q50" s="643">
        <v>0</v>
      </c>
      <c r="R50" s="643">
        <v>0</v>
      </c>
      <c r="S50" s="645">
        <v>-31.055970799843635</v>
      </c>
      <c r="U50" s="641" t="s">
        <v>61</v>
      </c>
      <c r="V50" s="642">
        <v>0</v>
      </c>
      <c r="W50" s="643">
        <v>0</v>
      </c>
      <c r="X50" s="643">
        <v>-20.238165107819981</v>
      </c>
      <c r="Y50" s="642">
        <v>0</v>
      </c>
      <c r="Z50" s="643">
        <v>0</v>
      </c>
      <c r="AA50" s="643">
        <v>0</v>
      </c>
      <c r="AB50" s="643">
        <v>0</v>
      </c>
      <c r="AC50" s="643">
        <v>0</v>
      </c>
      <c r="AD50" s="643">
        <v>0</v>
      </c>
      <c r="AE50" s="643">
        <v>0</v>
      </c>
      <c r="AF50" s="643">
        <v>0</v>
      </c>
      <c r="AG50" s="643">
        <v>0</v>
      </c>
      <c r="AH50" s="644">
        <v>-12.632253344037395</v>
      </c>
      <c r="AI50" s="643">
        <v>0</v>
      </c>
      <c r="AJ50" s="643">
        <v>0</v>
      </c>
      <c r="AK50" s="645">
        <v>-32.870418451857375</v>
      </c>
    </row>
    <row r="51" spans="3:37" ht="13.5">
      <c r="C51" s="641" t="s">
        <v>62</v>
      </c>
      <c r="D51" s="642">
        <v>0</v>
      </c>
      <c r="E51" s="643">
        <v>0</v>
      </c>
      <c r="F51" s="643">
        <v>-15.855905256620872</v>
      </c>
      <c r="G51" s="642">
        <v>0</v>
      </c>
      <c r="H51" s="643">
        <v>0</v>
      </c>
      <c r="I51" s="643">
        <v>0</v>
      </c>
      <c r="J51" s="643">
        <v>0</v>
      </c>
      <c r="K51" s="643">
        <v>0</v>
      </c>
      <c r="L51" s="643">
        <v>0</v>
      </c>
      <c r="M51" s="643">
        <v>0</v>
      </c>
      <c r="N51" s="643">
        <v>0</v>
      </c>
      <c r="O51" s="643">
        <v>0</v>
      </c>
      <c r="P51" s="644">
        <v>0</v>
      </c>
      <c r="Q51" s="643">
        <v>0</v>
      </c>
      <c r="R51" s="643">
        <v>0</v>
      </c>
      <c r="S51" s="645">
        <v>-15.855905256620872</v>
      </c>
      <c r="U51" s="641" t="s">
        <v>62</v>
      </c>
      <c r="V51" s="642">
        <v>0</v>
      </c>
      <c r="W51" s="643">
        <v>0</v>
      </c>
      <c r="X51" s="643">
        <v>-10.068616817390659</v>
      </c>
      <c r="Y51" s="642">
        <v>-2.2904268439326967</v>
      </c>
      <c r="Z51" s="643">
        <v>0</v>
      </c>
      <c r="AA51" s="643">
        <v>0</v>
      </c>
      <c r="AB51" s="643">
        <v>0</v>
      </c>
      <c r="AC51" s="643">
        <v>0</v>
      </c>
      <c r="AD51" s="643">
        <v>0</v>
      </c>
      <c r="AE51" s="643">
        <v>-0.98161150454258428</v>
      </c>
      <c r="AF51" s="643">
        <v>0</v>
      </c>
      <c r="AG51" s="643">
        <v>0</v>
      </c>
      <c r="AH51" s="644">
        <v>0</v>
      </c>
      <c r="AI51" s="643">
        <v>0</v>
      </c>
      <c r="AJ51" s="643">
        <v>0</v>
      </c>
      <c r="AK51" s="645">
        <v>-13.34065516586594</v>
      </c>
    </row>
    <row r="52" spans="3:37" ht="13.5">
      <c r="C52" s="641" t="s">
        <v>63</v>
      </c>
      <c r="D52" s="642">
        <v>0</v>
      </c>
      <c r="E52" s="643">
        <v>0</v>
      </c>
      <c r="F52" s="643">
        <v>-87.092524368241456</v>
      </c>
      <c r="G52" s="642">
        <v>0</v>
      </c>
      <c r="H52" s="643">
        <v>0</v>
      </c>
      <c r="I52" s="643">
        <v>0</v>
      </c>
      <c r="J52" s="643">
        <v>0</v>
      </c>
      <c r="K52" s="643">
        <v>0</v>
      </c>
      <c r="L52" s="643">
        <v>-0.90133117758770376</v>
      </c>
      <c r="M52" s="643">
        <v>0</v>
      </c>
      <c r="N52" s="643">
        <v>0</v>
      </c>
      <c r="O52" s="643">
        <v>0</v>
      </c>
      <c r="P52" s="644">
        <v>0</v>
      </c>
      <c r="Q52" s="643">
        <v>0</v>
      </c>
      <c r="R52" s="643">
        <v>0</v>
      </c>
      <c r="S52" s="645">
        <v>-87.993855545829163</v>
      </c>
      <c r="U52" s="641" t="s">
        <v>63</v>
      </c>
      <c r="V52" s="642">
        <v>0</v>
      </c>
      <c r="W52" s="643">
        <v>0</v>
      </c>
      <c r="X52" s="643">
        <v>-58.231828596071985</v>
      </c>
      <c r="Y52" s="642">
        <v>0</v>
      </c>
      <c r="Z52" s="643">
        <v>0</v>
      </c>
      <c r="AA52" s="643">
        <v>0</v>
      </c>
      <c r="AB52" s="643">
        <v>0</v>
      </c>
      <c r="AC52" s="643">
        <v>0</v>
      </c>
      <c r="AD52" s="643">
        <v>-23.991898740742837</v>
      </c>
      <c r="AE52" s="643">
        <v>0</v>
      </c>
      <c r="AF52" s="643">
        <v>0</v>
      </c>
      <c r="AG52" s="643">
        <v>0</v>
      </c>
      <c r="AH52" s="644">
        <v>0</v>
      </c>
      <c r="AI52" s="643">
        <v>0</v>
      </c>
      <c r="AJ52" s="643">
        <v>0</v>
      </c>
      <c r="AK52" s="645">
        <v>-82.223727336814818</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48.037640466799544</v>
      </c>
      <c r="E54" s="647">
        <v>504.19228646673599</v>
      </c>
      <c r="F54" s="647">
        <v>-34.42113536983026</v>
      </c>
      <c r="G54" s="647">
        <v>332.96357284387591</v>
      </c>
      <c r="H54" s="647">
        <v>959.09090909090924</v>
      </c>
      <c r="I54" s="647">
        <v>265.54666314840352</v>
      </c>
      <c r="J54" s="647">
        <v>193.04141328057412</v>
      </c>
      <c r="K54" s="647">
        <v>20.835963621356942</v>
      </c>
      <c r="L54" s="647">
        <v>2.0067333731380987</v>
      </c>
      <c r="M54" s="647">
        <v>0.15840693111613638</v>
      </c>
      <c r="N54" s="647">
        <v>62.897832024028709</v>
      </c>
      <c r="O54" s="647">
        <v>11.865462020109925</v>
      </c>
      <c r="P54" s="647">
        <v>-31.055970799843635</v>
      </c>
      <c r="Q54" s="647">
        <v>0</v>
      </c>
      <c r="R54" s="647">
        <v>0</v>
      </c>
      <c r="S54" s="647">
        <v>2335.159777097374</v>
      </c>
      <c r="U54" s="646" t="s">
        <v>65</v>
      </c>
      <c r="V54" s="647">
        <v>7.5315222042138927</v>
      </c>
      <c r="W54" s="647">
        <v>266.28302835422375</v>
      </c>
      <c r="X54" s="647">
        <v>-73.87807568026254</v>
      </c>
      <c r="Y54" s="647">
        <v>133.90658281746911</v>
      </c>
      <c r="Z54" s="647">
        <v>919.39393939393949</v>
      </c>
      <c r="AA54" s="647">
        <v>300.16666314840353</v>
      </c>
      <c r="AB54" s="647">
        <v>200.47624617373779</v>
      </c>
      <c r="AC54" s="647">
        <v>37.690284018354092</v>
      </c>
      <c r="AD54" s="647">
        <v>-21.083834190017033</v>
      </c>
      <c r="AE54" s="647">
        <v>-0.82320457342644793</v>
      </c>
      <c r="AF54" s="647">
        <v>92.901000398225491</v>
      </c>
      <c r="AG54" s="647">
        <v>23.979405132943342</v>
      </c>
      <c r="AH54" s="647">
        <v>-12.632253344037395</v>
      </c>
      <c r="AI54" s="647">
        <v>0</v>
      </c>
      <c r="AJ54" s="647">
        <v>0</v>
      </c>
      <c r="AK54" s="647">
        <v>1873.9113038537675</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7.5217067848259731</v>
      </c>
      <c r="G57" s="642">
        <v>17.043478260869566</v>
      </c>
      <c r="H57" s="642">
        <v>959.09090909090924</v>
      </c>
      <c r="I57" s="642">
        <v>265.54666314840352</v>
      </c>
      <c r="J57" s="651">
        <v>29.657322749860491</v>
      </c>
      <c r="K57" s="651">
        <v>6.9984717304001904</v>
      </c>
      <c r="L57" s="651">
        <v>2.9080645507258027</v>
      </c>
      <c r="M57" s="651">
        <v>0.47316517381762646</v>
      </c>
      <c r="N57" s="651">
        <v>0</v>
      </c>
      <c r="O57" s="651">
        <v>6.9042102843702597</v>
      </c>
      <c r="P57" s="642">
        <v>-613.13903868039233</v>
      </c>
      <c r="Q57" s="642">
        <v>0</v>
      </c>
      <c r="R57" s="642">
        <v>0</v>
      </c>
      <c r="S57" s="650">
        <v>685.83173873481564</v>
      </c>
      <c r="U57" s="648" t="s">
        <v>350</v>
      </c>
      <c r="V57" s="642">
        <v>0.62631490545869017</v>
      </c>
      <c r="W57" s="642">
        <v>0</v>
      </c>
      <c r="X57" s="642">
        <v>3.6580704211896093</v>
      </c>
      <c r="Y57" s="642">
        <v>6.2086956521739127</v>
      </c>
      <c r="Z57" s="642">
        <v>919.39393939393949</v>
      </c>
      <c r="AA57" s="642">
        <v>300.16666314840353</v>
      </c>
      <c r="AB57" s="651">
        <v>23.86094386593884</v>
      </c>
      <c r="AC57" s="651">
        <v>5.6952120200596408</v>
      </c>
      <c r="AD57" s="651">
        <v>2.9080645507258027</v>
      </c>
      <c r="AE57" s="651">
        <v>2.7862086520784959</v>
      </c>
      <c r="AF57" s="651">
        <v>0</v>
      </c>
      <c r="AG57" s="651">
        <v>6.9042102843702597</v>
      </c>
      <c r="AH57" s="642">
        <v>-628.6590386803922</v>
      </c>
      <c r="AI57" s="642">
        <v>0</v>
      </c>
      <c r="AJ57" s="642">
        <v>4.7499999999999991</v>
      </c>
      <c r="AK57" s="650">
        <v>648.29928421394618</v>
      </c>
    </row>
    <row r="58" spans="3:37" ht="13.5">
      <c r="C58" s="648" t="s">
        <v>351</v>
      </c>
      <c r="D58" s="642">
        <v>0</v>
      </c>
      <c r="E58" s="642">
        <v>0</v>
      </c>
      <c r="F58" s="642">
        <v>0</v>
      </c>
      <c r="G58" s="642">
        <v>14.973464488470796</v>
      </c>
      <c r="H58" s="642">
        <v>0</v>
      </c>
      <c r="I58" s="642">
        <v>0</v>
      </c>
      <c r="J58" s="651">
        <v>12.61885930635281</v>
      </c>
      <c r="K58" s="651">
        <v>11.992989190910333</v>
      </c>
      <c r="L58" s="651">
        <v>0</v>
      </c>
      <c r="M58" s="651">
        <v>0.32007470171399477</v>
      </c>
      <c r="N58" s="651">
        <v>0</v>
      </c>
      <c r="O58" s="651">
        <v>2.1221335576886813</v>
      </c>
      <c r="P58" s="642">
        <v>0</v>
      </c>
      <c r="Q58" s="642">
        <v>-38.122859170635891</v>
      </c>
      <c r="R58" s="642">
        <v>0</v>
      </c>
      <c r="S58" s="650">
        <v>3.9046620745007217</v>
      </c>
      <c r="U58" s="648" t="s">
        <v>351</v>
      </c>
      <c r="V58" s="642">
        <v>0</v>
      </c>
      <c r="W58" s="642">
        <v>0</v>
      </c>
      <c r="X58" s="642">
        <v>0</v>
      </c>
      <c r="Y58" s="642">
        <v>11.236128743190402</v>
      </c>
      <c r="Z58" s="642">
        <v>0</v>
      </c>
      <c r="AA58" s="642">
        <v>0</v>
      </c>
      <c r="AB58" s="651">
        <v>28.835017835425074</v>
      </c>
      <c r="AC58" s="651">
        <v>26.276566272731909</v>
      </c>
      <c r="AD58" s="651">
        <v>0</v>
      </c>
      <c r="AE58" s="651">
        <v>4.8299775408676195</v>
      </c>
      <c r="AF58" s="651">
        <v>0</v>
      </c>
      <c r="AG58" s="651">
        <v>10.71495831218258</v>
      </c>
      <c r="AH58" s="642">
        <v>0</v>
      </c>
      <c r="AI58" s="642">
        <v>-75.331063655699538</v>
      </c>
      <c r="AJ58" s="642">
        <v>0</v>
      </c>
      <c r="AK58" s="650">
        <v>6.561585048698058</v>
      </c>
    </row>
    <row r="59" spans="3:37" ht="13.5">
      <c r="C59" s="648" t="s">
        <v>352</v>
      </c>
      <c r="D59" s="642">
        <v>0</v>
      </c>
      <c r="E59" s="642">
        <v>0</v>
      </c>
      <c r="F59" s="642">
        <v>0</v>
      </c>
      <c r="G59" s="642">
        <v>0</v>
      </c>
      <c r="H59" s="642">
        <v>0</v>
      </c>
      <c r="I59" s="642">
        <v>0</v>
      </c>
      <c r="J59" s="652">
        <v>7.1836152532588793</v>
      </c>
      <c r="K59" s="652">
        <v>0</v>
      </c>
      <c r="L59" s="652">
        <v>0</v>
      </c>
      <c r="M59" s="652">
        <v>-6.5550489185987271</v>
      </c>
      <c r="N59" s="652">
        <v>0</v>
      </c>
      <c r="O59" s="652">
        <v>0</v>
      </c>
      <c r="P59" s="642">
        <v>0</v>
      </c>
      <c r="Q59" s="642">
        <v>0</v>
      </c>
      <c r="R59" s="642">
        <v>0</v>
      </c>
      <c r="S59" s="650">
        <v>0.62856633466015222</v>
      </c>
      <c r="U59" s="648" t="s">
        <v>352</v>
      </c>
      <c r="V59" s="642">
        <v>0</v>
      </c>
      <c r="W59" s="642">
        <v>0</v>
      </c>
      <c r="X59" s="642">
        <v>0</v>
      </c>
      <c r="Y59" s="642">
        <v>0</v>
      </c>
      <c r="Z59" s="642">
        <v>0</v>
      </c>
      <c r="AA59" s="642">
        <v>0</v>
      </c>
      <c r="AB59" s="652">
        <v>63.436450079223192</v>
      </c>
      <c r="AC59" s="652">
        <v>0</v>
      </c>
      <c r="AD59" s="652">
        <v>0</v>
      </c>
      <c r="AE59" s="652">
        <v>-57.885760697291161</v>
      </c>
      <c r="AF59" s="652">
        <v>0</v>
      </c>
      <c r="AG59" s="652">
        <v>0</v>
      </c>
      <c r="AH59" s="642">
        <v>0</v>
      </c>
      <c r="AI59" s="642">
        <v>0</v>
      </c>
      <c r="AJ59" s="642">
        <v>0</v>
      </c>
      <c r="AK59" s="650">
        <v>5.5506893819320311</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522.28962186433523</v>
      </c>
      <c r="F61" s="642">
        <v>-517.06672564569192</v>
      </c>
      <c r="G61" s="642">
        <v>0</v>
      </c>
      <c r="H61" s="642">
        <v>0</v>
      </c>
      <c r="I61" s="642">
        <v>0</v>
      </c>
      <c r="J61" s="642">
        <v>0</v>
      </c>
      <c r="K61" s="642">
        <v>0</v>
      </c>
      <c r="L61" s="642">
        <v>0</v>
      </c>
      <c r="M61" s="642">
        <v>0</v>
      </c>
      <c r="N61" s="642">
        <v>0</v>
      </c>
      <c r="O61" s="642">
        <v>0</v>
      </c>
      <c r="P61" s="642">
        <v>0</v>
      </c>
      <c r="Q61" s="642">
        <v>0</v>
      </c>
      <c r="R61" s="642">
        <v>0</v>
      </c>
      <c r="S61" s="650">
        <v>5.2228962186433137</v>
      </c>
      <c r="U61" s="648" t="s">
        <v>72</v>
      </c>
      <c r="V61" s="642">
        <v>0</v>
      </c>
      <c r="W61" s="642">
        <v>275.84091609698424</v>
      </c>
      <c r="X61" s="642">
        <v>-273.0825069360144</v>
      </c>
      <c r="Y61" s="642">
        <v>0</v>
      </c>
      <c r="Z61" s="642">
        <v>0</v>
      </c>
      <c r="AA61" s="642">
        <v>0</v>
      </c>
      <c r="AB61" s="642">
        <v>0</v>
      </c>
      <c r="AC61" s="642">
        <v>0</v>
      </c>
      <c r="AD61" s="642">
        <v>0</v>
      </c>
      <c r="AE61" s="642">
        <v>0</v>
      </c>
      <c r="AF61" s="642">
        <v>0</v>
      </c>
      <c r="AG61" s="642">
        <v>0</v>
      </c>
      <c r="AH61" s="642">
        <v>0</v>
      </c>
      <c r="AI61" s="642">
        <v>0</v>
      </c>
      <c r="AJ61" s="642">
        <v>0</v>
      </c>
      <c r="AK61" s="650">
        <v>2.7584091609698476</v>
      </c>
    </row>
    <row r="62" spans="3:37" ht="13.5">
      <c r="C62" s="648" t="s">
        <v>354</v>
      </c>
      <c r="D62" s="642">
        <v>0</v>
      </c>
      <c r="E62" s="642">
        <v>0</v>
      </c>
      <c r="F62" s="642">
        <v>0</v>
      </c>
      <c r="G62" s="642">
        <v>0</v>
      </c>
      <c r="H62" s="642">
        <v>0</v>
      </c>
      <c r="I62" s="642">
        <v>0</v>
      </c>
      <c r="J62" s="642">
        <v>28.942309114060045</v>
      </c>
      <c r="K62" s="642">
        <v>0</v>
      </c>
      <c r="L62" s="642">
        <v>-28.942309114060045</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-101.68735143023177</v>
      </c>
      <c r="AE62" s="642">
        <v>0</v>
      </c>
      <c r="AF62" s="642">
        <v>0</v>
      </c>
      <c r="AG62" s="642">
        <v>0</v>
      </c>
      <c r="AH62" s="642">
        <v>0</v>
      </c>
      <c r="AI62" s="642">
        <v>0</v>
      </c>
      <c r="AJ62" s="642">
        <v>0</v>
      </c>
      <c r="AK62" s="650">
        <v>-101.68735143023177</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-20.330518764117095</v>
      </c>
      <c r="AE63" s="642">
        <v>0</v>
      </c>
      <c r="AF63" s="642">
        <v>0</v>
      </c>
      <c r="AG63" s="642">
        <v>0</v>
      </c>
      <c r="AH63" s="642">
        <v>0</v>
      </c>
      <c r="AI63" s="642">
        <v>0</v>
      </c>
      <c r="AJ63" s="642">
        <v>0</v>
      </c>
      <c r="AK63" s="650">
        <v>-20.330518764117095</v>
      </c>
    </row>
    <row r="64" spans="3:37" ht="13.5">
      <c r="C64" s="648" t="s">
        <v>73</v>
      </c>
      <c r="D64" s="642">
        <v>0</v>
      </c>
      <c r="E64" s="642">
        <v>0</v>
      </c>
      <c r="F64" s="642">
        <v>0</v>
      </c>
      <c r="G64" s="642">
        <v>5.1012543356530031</v>
      </c>
      <c r="H64" s="642">
        <v>0</v>
      </c>
      <c r="I64" s="642">
        <v>0</v>
      </c>
      <c r="J64" s="642">
        <v>0</v>
      </c>
      <c r="K64" s="642">
        <v>5.8487208617897309E-2</v>
      </c>
      <c r="L64" s="642">
        <v>0</v>
      </c>
      <c r="M64" s="642">
        <v>0.10410723133985722</v>
      </c>
      <c r="N64" s="642">
        <v>0</v>
      </c>
      <c r="O64" s="642">
        <v>0</v>
      </c>
      <c r="P64" s="642">
        <v>0.59767950412449788</v>
      </c>
      <c r="Q64" s="642">
        <v>0</v>
      </c>
      <c r="R64" s="642">
        <v>-4.094104603252811</v>
      </c>
      <c r="S64" s="650">
        <v>1.7674236764824451</v>
      </c>
      <c r="U64" s="648" t="s">
        <v>73</v>
      </c>
      <c r="V64" s="642">
        <v>0</v>
      </c>
      <c r="W64" s="642">
        <v>0</v>
      </c>
      <c r="X64" s="642">
        <v>0</v>
      </c>
      <c r="Y64" s="642">
        <v>5.6948243223481816</v>
      </c>
      <c r="Z64" s="642">
        <v>0</v>
      </c>
      <c r="AA64" s="642">
        <v>0</v>
      </c>
      <c r="AB64" s="642">
        <v>0</v>
      </c>
      <c r="AC64" s="642">
        <v>0.40677316588201312</v>
      </c>
      <c r="AD64" s="642">
        <v>0</v>
      </c>
      <c r="AE64" s="642">
        <v>2.440638995292078</v>
      </c>
      <c r="AF64" s="642">
        <v>0</v>
      </c>
      <c r="AG64" s="642">
        <v>0</v>
      </c>
      <c r="AH64" s="642">
        <v>32.838767990182951</v>
      </c>
      <c r="AI64" s="642">
        <v>0</v>
      </c>
      <c r="AJ64" s="642">
        <v>-28.474121611740912</v>
      </c>
      <c r="AK64" s="650">
        <v>12.906882861964313</v>
      </c>
    </row>
    <row r="65" spans="3:37" ht="13.5">
      <c r="C65" s="648" t="s">
        <v>356</v>
      </c>
      <c r="D65" s="642">
        <v>28.616489999999999</v>
      </c>
      <c r="E65" s="642">
        <v>-18.09733539759922</v>
      </c>
      <c r="F65" s="642">
        <v>23.670245777269074</v>
      </c>
      <c r="G65" s="642">
        <v>0</v>
      </c>
      <c r="H65" s="642">
        <v>0</v>
      </c>
      <c r="I65" s="642">
        <v>0</v>
      </c>
      <c r="J65" s="642">
        <v>0</v>
      </c>
      <c r="K65" s="642">
        <v>0</v>
      </c>
      <c r="L65" s="642">
        <v>0</v>
      </c>
      <c r="M65" s="642">
        <v>0</v>
      </c>
      <c r="N65" s="642">
        <v>0</v>
      </c>
      <c r="O65" s="642">
        <v>0</v>
      </c>
      <c r="P65" s="642">
        <v>0</v>
      </c>
      <c r="Q65" s="642">
        <v>0</v>
      </c>
      <c r="R65" s="642">
        <v>0</v>
      </c>
      <c r="S65" s="650">
        <v>34.189400379669848</v>
      </c>
      <c r="U65" s="648" t="s">
        <v>356</v>
      </c>
      <c r="V65" s="642">
        <v>2.3505202026367185</v>
      </c>
      <c r="W65" s="642">
        <v>-9.5578877427605047</v>
      </c>
      <c r="X65" s="642">
        <v>12.501152628950074</v>
      </c>
      <c r="Y65" s="642">
        <v>0</v>
      </c>
      <c r="Z65" s="642">
        <v>0</v>
      </c>
      <c r="AA65" s="642">
        <v>0</v>
      </c>
      <c r="AB65" s="642">
        <v>0</v>
      </c>
      <c r="AC65" s="642">
        <v>0</v>
      </c>
      <c r="AD65" s="642">
        <v>0</v>
      </c>
      <c r="AE65" s="642">
        <v>0</v>
      </c>
      <c r="AF65" s="642">
        <v>0</v>
      </c>
      <c r="AG65" s="642">
        <v>0</v>
      </c>
      <c r="AH65" s="642">
        <v>0</v>
      </c>
      <c r="AI65" s="642">
        <v>0</v>
      </c>
      <c r="AJ65" s="642">
        <v>0</v>
      </c>
      <c r="AK65" s="650">
        <v>5.2937850888262874</v>
      </c>
    </row>
    <row r="66" spans="3:37" ht="13.5">
      <c r="C66" s="648" t="s">
        <v>75</v>
      </c>
      <c r="D66" s="642">
        <v>11.128635000000001</v>
      </c>
      <c r="E66" s="642">
        <v>0</v>
      </c>
      <c r="F66" s="642">
        <v>17.757847143387398</v>
      </c>
      <c r="G66" s="642">
        <v>5.0672539113277812</v>
      </c>
      <c r="H66" s="642">
        <v>0</v>
      </c>
      <c r="I66" s="642">
        <v>0</v>
      </c>
      <c r="J66" s="642">
        <v>0</v>
      </c>
      <c r="K66" s="642">
        <v>0</v>
      </c>
      <c r="L66" s="642">
        <v>0</v>
      </c>
      <c r="M66" s="642">
        <v>0.1034133451291384</v>
      </c>
      <c r="N66" s="642">
        <v>0</v>
      </c>
      <c r="O66" s="642">
        <v>0</v>
      </c>
      <c r="P66" s="642">
        <v>30.750377055945027</v>
      </c>
      <c r="Q66" s="642">
        <v>0</v>
      </c>
      <c r="R66" s="642">
        <v>0</v>
      </c>
      <c r="S66" s="650">
        <v>64.807526455789343</v>
      </c>
      <c r="U66" s="648" t="s">
        <v>75</v>
      </c>
      <c r="V66" s="642">
        <v>3.4784289550781251</v>
      </c>
      <c r="W66" s="642">
        <v>0</v>
      </c>
      <c r="X66" s="642">
        <v>17.757847143387398</v>
      </c>
      <c r="Y66" s="642">
        <v>3.6194670795198434</v>
      </c>
      <c r="Z66" s="642">
        <v>0</v>
      </c>
      <c r="AA66" s="642">
        <v>0</v>
      </c>
      <c r="AB66" s="642">
        <v>0</v>
      </c>
      <c r="AC66" s="642">
        <v>0</v>
      </c>
      <c r="AD66" s="642">
        <v>0</v>
      </c>
      <c r="AE66" s="642">
        <v>1.5512001769370758</v>
      </c>
      <c r="AF66" s="642">
        <v>0</v>
      </c>
      <c r="AG66" s="642">
        <v>0</v>
      </c>
      <c r="AH66" s="642">
        <v>36.42264978321775</v>
      </c>
      <c r="AI66" s="642">
        <v>0</v>
      </c>
      <c r="AJ66" s="642">
        <v>0</v>
      </c>
      <c r="AK66" s="650">
        <v>62.829593138140197</v>
      </c>
    </row>
    <row r="67" spans="3:37" ht="13.5">
      <c r="C67" s="648" t="s">
        <v>76</v>
      </c>
      <c r="D67" s="642">
        <v>0</v>
      </c>
      <c r="E67" s="642">
        <v>0</v>
      </c>
      <c r="F67" s="642">
        <v>0</v>
      </c>
      <c r="G67" s="642">
        <v>3.8086647866957031</v>
      </c>
      <c r="H67" s="642">
        <v>0</v>
      </c>
      <c r="I67" s="642">
        <v>0</v>
      </c>
      <c r="J67" s="642">
        <v>0</v>
      </c>
      <c r="K67" s="642">
        <v>0</v>
      </c>
      <c r="L67" s="642">
        <v>0</v>
      </c>
      <c r="M67" s="642">
        <v>7.7727852789708229E-2</v>
      </c>
      <c r="N67" s="642">
        <v>0</v>
      </c>
      <c r="O67" s="642">
        <v>0</v>
      </c>
      <c r="P67" s="642">
        <v>44.547532005203358</v>
      </c>
      <c r="Q67" s="642">
        <v>2.958822517532107</v>
      </c>
      <c r="R67" s="642">
        <v>0</v>
      </c>
      <c r="S67" s="650">
        <v>51.392747162220878</v>
      </c>
      <c r="U67" s="648" t="s">
        <v>76</v>
      </c>
      <c r="V67" s="642">
        <v>0</v>
      </c>
      <c r="W67" s="642">
        <v>0</v>
      </c>
      <c r="X67" s="642">
        <v>0</v>
      </c>
      <c r="Y67" s="642">
        <v>1.6015823117827594</v>
      </c>
      <c r="Z67" s="642">
        <v>0</v>
      </c>
      <c r="AA67" s="642">
        <v>0</v>
      </c>
      <c r="AB67" s="642">
        <v>0</v>
      </c>
      <c r="AC67" s="642">
        <v>0</v>
      </c>
      <c r="AD67" s="642">
        <v>0</v>
      </c>
      <c r="AE67" s="642">
        <v>0.68639241933546835</v>
      </c>
      <c r="AF67" s="642">
        <v>0</v>
      </c>
      <c r="AG67" s="642">
        <v>0</v>
      </c>
      <c r="AH67" s="642">
        <v>47.148943407633553</v>
      </c>
      <c r="AI67" s="642">
        <v>5.8421151160056723</v>
      </c>
      <c r="AJ67" s="642">
        <v>0</v>
      </c>
      <c r="AK67" s="650">
        <v>55.279033254757444</v>
      </c>
    </row>
    <row r="68" spans="3:37" ht="13.5">
      <c r="C68" s="646" t="s">
        <v>77</v>
      </c>
      <c r="D68" s="647">
        <v>42.571910641025248</v>
      </c>
      <c r="E68" s="647">
        <v>504.19228646673599</v>
      </c>
      <c r="F68" s="647">
        <v>-468.11692594020946</v>
      </c>
      <c r="G68" s="647">
        <v>45.994115783016845</v>
      </c>
      <c r="H68" s="647">
        <v>959.09090909090924</v>
      </c>
      <c r="I68" s="647">
        <v>265.54666314840352</v>
      </c>
      <c r="J68" s="647">
        <v>78.402106423532217</v>
      </c>
      <c r="K68" s="647">
        <v>19.049948129928421</v>
      </c>
      <c r="L68" s="647">
        <v>-26.034244563334241</v>
      </c>
      <c r="M68" s="647">
        <v>-5.4765606138084015</v>
      </c>
      <c r="N68" s="647">
        <v>0</v>
      </c>
      <c r="O68" s="647">
        <v>9.0263438420589424</v>
      </c>
      <c r="P68" s="647">
        <v>-537.24345011511946</v>
      </c>
      <c r="Q68" s="647">
        <v>-35.164036653103786</v>
      </c>
      <c r="R68" s="647">
        <v>-4.094104603252811</v>
      </c>
      <c r="S68" s="647">
        <v>847.74496103678234</v>
      </c>
      <c r="U68" s="646" t="s">
        <v>77</v>
      </c>
      <c r="V68" s="647">
        <v>6.4552640631735336</v>
      </c>
      <c r="W68" s="647">
        <v>266.28302835422375</v>
      </c>
      <c r="X68" s="647">
        <v>-239.16543674248729</v>
      </c>
      <c r="Y68" s="647">
        <v>28.3606981090151</v>
      </c>
      <c r="Z68" s="647">
        <v>919.39393939393949</v>
      </c>
      <c r="AA68" s="647">
        <v>300.16666314840353</v>
      </c>
      <c r="AB68" s="647">
        <v>116.13241178058709</v>
      </c>
      <c r="AC68" s="647">
        <v>32.378551458673563</v>
      </c>
      <c r="AD68" s="647">
        <v>-119.10980564362306</v>
      </c>
      <c r="AE68" s="647">
        <v>-45.591342912780426</v>
      </c>
      <c r="AF68" s="647">
        <v>0</v>
      </c>
      <c r="AG68" s="647">
        <v>17.619168596552839</v>
      </c>
      <c r="AH68" s="647">
        <v>-512.24867749935788</v>
      </c>
      <c r="AI68" s="647">
        <v>-69.488948539693865</v>
      </c>
      <c r="AJ68" s="647">
        <v>-23.724121611740912</v>
      </c>
      <c r="AK68" s="647">
        <v>677.46139195488558</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5.4657298257742912</v>
      </c>
      <c r="E70" s="642">
        <v>0</v>
      </c>
      <c r="F70" s="642">
        <v>21.83935294215906</v>
      </c>
      <c r="G70" s="642">
        <v>97.960240418883188</v>
      </c>
      <c r="H70" s="642">
        <v>0</v>
      </c>
      <c r="I70" s="642">
        <v>0</v>
      </c>
      <c r="J70" s="642">
        <v>20.699069714826329</v>
      </c>
      <c r="K70" s="642">
        <v>1.7608774311708451</v>
      </c>
      <c r="L70" s="642">
        <v>0.9136629082031249</v>
      </c>
      <c r="M70" s="642">
        <v>2.0177626304462204</v>
      </c>
      <c r="N70" s="642">
        <v>0</v>
      </c>
      <c r="O70" s="642">
        <v>3.7866244598879411E-4</v>
      </c>
      <c r="P70" s="642">
        <v>111.48933548215857</v>
      </c>
      <c r="Q70" s="642">
        <v>16.083775404791947</v>
      </c>
      <c r="R70" s="642">
        <v>0.29766925048828125</v>
      </c>
      <c r="S70" s="650">
        <v>278.52785467134788</v>
      </c>
      <c r="U70" s="648" t="s">
        <v>78</v>
      </c>
      <c r="V70" s="642">
        <v>1.0762581410403587</v>
      </c>
      <c r="W70" s="642">
        <v>0</v>
      </c>
      <c r="X70" s="642">
        <v>8.4892491154216376</v>
      </c>
      <c r="Y70" s="642">
        <v>50.497915430959594</v>
      </c>
      <c r="Z70" s="642">
        <v>0</v>
      </c>
      <c r="AA70" s="642">
        <v>0</v>
      </c>
      <c r="AB70" s="642">
        <v>15.594949526554588</v>
      </c>
      <c r="AC70" s="642">
        <v>5.2865944994228578</v>
      </c>
      <c r="AD70" s="642">
        <v>4.3757583007812499</v>
      </c>
      <c r="AE70" s="642">
        <v>21.660537806594554</v>
      </c>
      <c r="AF70" s="642">
        <v>0</v>
      </c>
      <c r="AG70" s="642">
        <v>3.7866244598879411E-4</v>
      </c>
      <c r="AH70" s="642">
        <v>141.44668524271188</v>
      </c>
      <c r="AI70" s="642">
        <v>22.79177635880415</v>
      </c>
      <c r="AJ70" s="642">
        <v>6.850041015625</v>
      </c>
      <c r="AK70" s="650">
        <v>278.07014410036186</v>
      </c>
    </row>
    <row r="71" spans="3:37" ht="13.5">
      <c r="C71" s="648" t="s">
        <v>79</v>
      </c>
      <c r="D71" s="642">
        <v>0</v>
      </c>
      <c r="E71" s="642">
        <v>0</v>
      </c>
      <c r="F71" s="642">
        <v>249.23385066161848</v>
      </c>
      <c r="G71" s="642">
        <v>29.852237297635437</v>
      </c>
      <c r="H71" s="642">
        <v>0</v>
      </c>
      <c r="I71" s="642">
        <v>0</v>
      </c>
      <c r="J71" s="642">
        <v>0</v>
      </c>
      <c r="K71" s="642">
        <v>0</v>
      </c>
      <c r="L71" s="642">
        <v>24.125777410294155</v>
      </c>
      <c r="M71" s="642">
        <v>0.60922933260480494</v>
      </c>
      <c r="N71" s="642">
        <v>0</v>
      </c>
      <c r="O71" s="642">
        <v>0</v>
      </c>
      <c r="P71" s="642">
        <v>62.086065361885787</v>
      </c>
      <c r="Q71" s="642">
        <v>0</v>
      </c>
      <c r="R71" s="642">
        <v>1.9828379826970517</v>
      </c>
      <c r="S71" s="650">
        <v>367.88999804673568</v>
      </c>
      <c r="U71" s="648" t="s">
        <v>79</v>
      </c>
      <c r="V71" s="642">
        <v>0</v>
      </c>
      <c r="W71" s="642">
        <v>0</v>
      </c>
      <c r="X71" s="642">
        <v>59.317364570862594</v>
      </c>
      <c r="Y71" s="642">
        <v>17.942066440325025</v>
      </c>
      <c r="Z71" s="642">
        <v>0</v>
      </c>
      <c r="AA71" s="642">
        <v>0</v>
      </c>
      <c r="AB71" s="642">
        <v>0</v>
      </c>
      <c r="AC71" s="642">
        <v>0</v>
      </c>
      <c r="AD71" s="642">
        <v>51.332808735857633</v>
      </c>
      <c r="AE71" s="642">
        <v>7.6894570458535831</v>
      </c>
      <c r="AF71" s="642">
        <v>0</v>
      </c>
      <c r="AG71" s="642">
        <v>0</v>
      </c>
      <c r="AH71" s="642">
        <v>82.201296258535137</v>
      </c>
      <c r="AI71" s="642">
        <v>0</v>
      </c>
      <c r="AJ71" s="642">
        <v>4.6183032107255606</v>
      </c>
      <c r="AK71" s="650">
        <v>223.10129626215951</v>
      </c>
    </row>
    <row r="72" spans="3:37" ht="13.5">
      <c r="C72" s="648" t="s">
        <v>80</v>
      </c>
      <c r="D72" s="642">
        <v>0</v>
      </c>
      <c r="E72" s="642">
        <v>0</v>
      </c>
      <c r="F72" s="642">
        <v>17.698191750553285</v>
      </c>
      <c r="G72" s="642">
        <v>82.8316536533641</v>
      </c>
      <c r="H72" s="642">
        <v>0</v>
      </c>
      <c r="I72" s="642">
        <v>0</v>
      </c>
      <c r="J72" s="642">
        <v>87.012401530952616</v>
      </c>
      <c r="K72" s="642">
        <v>0</v>
      </c>
      <c r="L72" s="642">
        <v>0</v>
      </c>
      <c r="M72" s="642">
        <v>1.690441911293145</v>
      </c>
      <c r="N72" s="642">
        <v>54.219025663639314</v>
      </c>
      <c r="O72" s="642">
        <v>2.0231633432731213</v>
      </c>
      <c r="P72" s="642">
        <v>187.24843332836184</v>
      </c>
      <c r="Q72" s="642">
        <v>15.504434202631401</v>
      </c>
      <c r="R72" s="642">
        <v>0</v>
      </c>
      <c r="S72" s="650">
        <v>448.22774538406884</v>
      </c>
      <c r="U72" s="648" t="s">
        <v>80</v>
      </c>
      <c r="V72" s="642">
        <v>0</v>
      </c>
      <c r="W72" s="642">
        <v>0</v>
      </c>
      <c r="X72" s="642">
        <v>1.0833932718176746</v>
      </c>
      <c r="Y72" s="642">
        <v>18.084176496701136</v>
      </c>
      <c r="Z72" s="642">
        <v>0</v>
      </c>
      <c r="AA72" s="642">
        <v>0</v>
      </c>
      <c r="AB72" s="642">
        <v>57.868484646152382</v>
      </c>
      <c r="AC72" s="642">
        <v>0</v>
      </c>
      <c r="AD72" s="642">
        <v>0</v>
      </c>
      <c r="AE72" s="642">
        <v>7.7503613557290594</v>
      </c>
      <c r="AF72" s="642">
        <v>78.313096165620991</v>
      </c>
      <c r="AG72" s="642">
        <v>3.4573890525731583</v>
      </c>
      <c r="AH72" s="642">
        <v>150.63566760387405</v>
      </c>
      <c r="AI72" s="642">
        <v>34.942034151478268</v>
      </c>
      <c r="AJ72" s="642">
        <v>0</v>
      </c>
      <c r="AK72" s="650">
        <v>352.13460274394669</v>
      </c>
    </row>
    <row r="73" spans="3:37" ht="13.5">
      <c r="C73" s="648" t="s">
        <v>81</v>
      </c>
      <c r="D73" s="642">
        <v>0</v>
      </c>
      <c r="E73" s="642">
        <v>0</v>
      </c>
      <c r="F73" s="642">
        <v>5.759525486283259</v>
      </c>
      <c r="G73" s="642">
        <v>63.242535904869413</v>
      </c>
      <c r="H73" s="642">
        <v>0</v>
      </c>
      <c r="I73" s="642">
        <v>0</v>
      </c>
      <c r="J73" s="642">
        <v>3.243340348024236</v>
      </c>
      <c r="K73" s="642">
        <v>2.5138060257677737E-2</v>
      </c>
      <c r="L73" s="642">
        <v>0</v>
      </c>
      <c r="M73" s="642">
        <v>1.2906639980585595</v>
      </c>
      <c r="N73" s="642">
        <v>8.6788063603893928</v>
      </c>
      <c r="O73" s="642">
        <v>0.74318365128395913</v>
      </c>
      <c r="P73" s="642">
        <v>138.68432478978596</v>
      </c>
      <c r="Q73" s="642">
        <v>3.5758270456804375</v>
      </c>
      <c r="R73" s="642">
        <v>0</v>
      </c>
      <c r="S73" s="650">
        <v>225.24334564463288</v>
      </c>
      <c r="U73" s="648" t="s">
        <v>81</v>
      </c>
      <c r="V73" s="642">
        <v>0</v>
      </c>
      <c r="W73" s="642">
        <v>0</v>
      </c>
      <c r="X73" s="642">
        <v>1.8996820773870462</v>
      </c>
      <c r="Y73" s="642">
        <v>16.701006494583829</v>
      </c>
      <c r="Z73" s="642">
        <v>0</v>
      </c>
      <c r="AA73" s="642">
        <v>0</v>
      </c>
      <c r="AB73" s="642">
        <v>7.1959049572050198</v>
      </c>
      <c r="AC73" s="642">
        <v>2.5138060257677737E-2</v>
      </c>
      <c r="AD73" s="642">
        <v>0</v>
      </c>
      <c r="AE73" s="642">
        <v>7.1575742119644987</v>
      </c>
      <c r="AF73" s="642">
        <v>14.587904232604497</v>
      </c>
      <c r="AG73" s="642">
        <v>1.6018484399661996</v>
      </c>
      <c r="AH73" s="642">
        <v>116.46951239557291</v>
      </c>
      <c r="AI73" s="642">
        <v>11.755138029411436</v>
      </c>
      <c r="AJ73" s="642">
        <v>0</v>
      </c>
      <c r="AK73" s="650">
        <v>177.39370889895312</v>
      </c>
    </row>
    <row r="74" spans="3:37" ht="13.5">
      <c r="C74" s="648" t="s">
        <v>82</v>
      </c>
      <c r="D74" s="642">
        <v>0</v>
      </c>
      <c r="E74" s="642">
        <v>0</v>
      </c>
      <c r="F74" s="642">
        <v>29.471786733039881</v>
      </c>
      <c r="G74" s="642">
        <v>1.3166139535686423</v>
      </c>
      <c r="H74" s="642">
        <v>0</v>
      </c>
      <c r="I74" s="642">
        <v>0</v>
      </c>
      <c r="J74" s="642">
        <v>3.6844952632387193</v>
      </c>
      <c r="K74" s="642">
        <v>0</v>
      </c>
      <c r="L74" s="642">
        <v>3.0029030850571363</v>
      </c>
      <c r="M74" s="642">
        <v>2.6869672521809031E-2</v>
      </c>
      <c r="N74" s="642">
        <v>0</v>
      </c>
      <c r="O74" s="642">
        <v>7.2392521047915395E-2</v>
      </c>
      <c r="P74" s="642">
        <v>6.3643203530837074</v>
      </c>
      <c r="Q74" s="642">
        <v>0</v>
      </c>
      <c r="R74" s="642">
        <v>0</v>
      </c>
      <c r="S74" s="650">
        <v>43.939381581557811</v>
      </c>
      <c r="U74" s="648" t="s">
        <v>82</v>
      </c>
      <c r="V74" s="642">
        <v>0</v>
      </c>
      <c r="W74" s="642">
        <v>0</v>
      </c>
      <c r="X74" s="642">
        <v>10.199143313422546</v>
      </c>
      <c r="Y74" s="642">
        <v>1.1904851448286324</v>
      </c>
      <c r="Z74" s="642">
        <v>0</v>
      </c>
      <c r="AA74" s="642">
        <v>0</v>
      </c>
      <c r="AB74" s="642">
        <v>3.6844952632387193</v>
      </c>
      <c r="AC74" s="642">
        <v>0</v>
      </c>
      <c r="AD74" s="642">
        <v>26.674568203776872</v>
      </c>
      <c r="AE74" s="642">
        <v>0.51020791921227104</v>
      </c>
      <c r="AF74" s="642">
        <v>0</v>
      </c>
      <c r="AG74" s="642">
        <v>1.300620381405156</v>
      </c>
      <c r="AH74" s="642">
        <v>6.4632626546266092</v>
      </c>
      <c r="AI74" s="642">
        <v>0</v>
      </c>
      <c r="AJ74" s="642">
        <v>0.325155095351289</v>
      </c>
      <c r="AK74" s="650">
        <v>50.347937975862088</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0.31499999999999995</v>
      </c>
      <c r="Q75" s="642">
        <v>0</v>
      </c>
      <c r="R75" s="642">
        <v>0</v>
      </c>
      <c r="S75" s="650">
        <v>0.31499999999999995</v>
      </c>
      <c r="U75" s="648" t="s">
        <v>357</v>
      </c>
      <c r="V75" s="642">
        <v>0</v>
      </c>
      <c r="W75" s="642">
        <v>0</v>
      </c>
      <c r="X75" s="642">
        <v>0</v>
      </c>
      <c r="Y75" s="642">
        <v>0</v>
      </c>
      <c r="Z75" s="642">
        <v>0</v>
      </c>
      <c r="AA75" s="642">
        <v>0</v>
      </c>
      <c r="AB75" s="642">
        <v>0</v>
      </c>
      <c r="AC75" s="642">
        <v>0</v>
      </c>
      <c r="AD75" s="642">
        <v>0</v>
      </c>
      <c r="AE75" s="642">
        <v>0</v>
      </c>
      <c r="AF75" s="642">
        <v>0</v>
      </c>
      <c r="AG75" s="642">
        <v>0</v>
      </c>
      <c r="AH75" s="642">
        <v>2.4</v>
      </c>
      <c r="AI75" s="642">
        <v>0</v>
      </c>
      <c r="AJ75" s="642">
        <v>0</v>
      </c>
      <c r="AK75" s="650">
        <v>2.4</v>
      </c>
    </row>
    <row r="76" spans="3:37" ht="13.5">
      <c r="C76" s="646" t="s">
        <v>83</v>
      </c>
      <c r="D76" s="647">
        <v>5.4657298257742912</v>
      </c>
      <c r="E76" s="647">
        <v>0</v>
      </c>
      <c r="F76" s="647">
        <v>324.00270757365394</v>
      </c>
      <c r="G76" s="647">
        <v>275.2032812283208</v>
      </c>
      <c r="H76" s="647">
        <v>0</v>
      </c>
      <c r="I76" s="647">
        <v>0</v>
      </c>
      <c r="J76" s="647">
        <v>114.6393068570419</v>
      </c>
      <c r="K76" s="647">
        <v>1.7860154914285227</v>
      </c>
      <c r="L76" s="647">
        <v>28.042343403554419</v>
      </c>
      <c r="M76" s="647">
        <v>5.6349675449245389</v>
      </c>
      <c r="N76" s="647">
        <v>62.897832024028709</v>
      </c>
      <c r="O76" s="647">
        <v>2.8391181780509842</v>
      </c>
      <c r="P76" s="647">
        <v>506.18747931527582</v>
      </c>
      <c r="Q76" s="647">
        <v>35.164036653103793</v>
      </c>
      <c r="R76" s="647">
        <v>2.2805072331853329</v>
      </c>
      <c r="S76" s="647">
        <v>1364.1433253283431</v>
      </c>
      <c r="U76" s="646" t="s">
        <v>83</v>
      </c>
      <c r="V76" s="647">
        <v>1.0762581410403587</v>
      </c>
      <c r="W76" s="647">
        <v>0</v>
      </c>
      <c r="X76" s="647">
        <v>80.988832348911515</v>
      </c>
      <c r="Y76" s="647">
        <v>104.41565000739821</v>
      </c>
      <c r="Z76" s="647">
        <v>0</v>
      </c>
      <c r="AA76" s="647">
        <v>0</v>
      </c>
      <c r="AB76" s="647">
        <v>84.343834393150701</v>
      </c>
      <c r="AC76" s="647">
        <v>5.3117325596805349</v>
      </c>
      <c r="AD76" s="647">
        <v>82.383135240415754</v>
      </c>
      <c r="AE76" s="647">
        <v>44.768138339353968</v>
      </c>
      <c r="AF76" s="647">
        <v>92.901000398225491</v>
      </c>
      <c r="AG76" s="647">
        <v>6.3602365363905022</v>
      </c>
      <c r="AH76" s="647">
        <v>499.61642415532054</v>
      </c>
      <c r="AI76" s="647">
        <v>69.488948539693865</v>
      </c>
      <c r="AJ76" s="647">
        <v>11.793499321701848</v>
      </c>
      <c r="AK76" s="647">
        <v>1083.4476899812832</v>
      </c>
    </row>
    <row r="77" spans="3:37" ht="13.5">
      <c r="C77" s="641" t="s">
        <v>84</v>
      </c>
      <c r="D77" s="642">
        <v>0</v>
      </c>
      <c r="E77" s="642">
        <v>0</v>
      </c>
      <c r="F77" s="642">
        <v>109.69308299672531</v>
      </c>
      <c r="G77" s="642">
        <v>11.766175832538266</v>
      </c>
      <c r="H77" s="642">
        <v>0</v>
      </c>
      <c r="I77" s="642">
        <v>0</v>
      </c>
      <c r="J77" s="642">
        <v>0</v>
      </c>
      <c r="K77" s="642">
        <v>0</v>
      </c>
      <c r="L77" s="642">
        <v>0</v>
      </c>
      <c r="M77" s="642">
        <v>0</v>
      </c>
      <c r="N77" s="642">
        <v>0</v>
      </c>
      <c r="O77" s="642">
        <v>0</v>
      </c>
      <c r="P77" s="642">
        <v>0</v>
      </c>
      <c r="Q77" s="642">
        <v>0</v>
      </c>
      <c r="R77" s="642">
        <v>1.8135973700674786</v>
      </c>
      <c r="S77" s="650">
        <v>123.27285619933106</v>
      </c>
      <c r="U77" s="641" t="s">
        <v>84</v>
      </c>
      <c r="V77" s="642">
        <v>0</v>
      </c>
      <c r="W77" s="642">
        <v>0</v>
      </c>
      <c r="X77" s="642">
        <v>84.298528713313246</v>
      </c>
      <c r="Y77" s="642">
        <v>1.1302347010557652</v>
      </c>
      <c r="Z77" s="642">
        <v>0</v>
      </c>
      <c r="AA77" s="642">
        <v>0</v>
      </c>
      <c r="AB77" s="642">
        <v>0</v>
      </c>
      <c r="AC77" s="642">
        <v>0</v>
      </c>
      <c r="AD77" s="642">
        <v>17.754065118408207</v>
      </c>
      <c r="AE77" s="642">
        <v>0</v>
      </c>
      <c r="AF77" s="642">
        <v>0</v>
      </c>
      <c r="AG77" s="642">
        <v>0</v>
      </c>
      <c r="AH77" s="642">
        <v>0</v>
      </c>
      <c r="AI77" s="642">
        <v>0</v>
      </c>
      <c r="AJ77" s="642">
        <v>11.930622290039064</v>
      </c>
      <c r="AK77" s="650">
        <v>115.11345082281629</v>
      </c>
    </row>
    <row r="78" spans="3:37" ht="13.5">
      <c r="C78" s="646" t="s">
        <v>85</v>
      </c>
      <c r="D78" s="647">
        <v>5.4657298257742912</v>
      </c>
      <c r="E78" s="647">
        <v>0</v>
      </c>
      <c r="F78" s="647">
        <v>433.69579057037924</v>
      </c>
      <c r="G78" s="647">
        <v>286.9694570608591</v>
      </c>
      <c r="H78" s="647">
        <v>0</v>
      </c>
      <c r="I78" s="647">
        <v>0</v>
      </c>
      <c r="J78" s="647">
        <v>114.6393068570419</v>
      </c>
      <c r="K78" s="647">
        <v>1.7860154914285227</v>
      </c>
      <c r="L78" s="647">
        <v>28.042343403554419</v>
      </c>
      <c r="M78" s="647">
        <v>5.6349675449245389</v>
      </c>
      <c r="N78" s="647">
        <v>62.897832024028709</v>
      </c>
      <c r="O78" s="647">
        <v>2.8391181780509842</v>
      </c>
      <c r="P78" s="647">
        <v>506.18747931527582</v>
      </c>
      <c r="Q78" s="647">
        <v>35.164036653103793</v>
      </c>
      <c r="R78" s="647">
        <v>4.094104603252811</v>
      </c>
      <c r="S78" s="647">
        <v>1487.4161815276743</v>
      </c>
      <c r="U78" s="646" t="s">
        <v>85</v>
      </c>
      <c r="V78" s="647">
        <v>1.0762581410403587</v>
      </c>
      <c r="W78" s="647">
        <v>0</v>
      </c>
      <c r="X78" s="647">
        <v>165.28736106222476</v>
      </c>
      <c r="Y78" s="647">
        <v>105.54588470845398</v>
      </c>
      <c r="Z78" s="647">
        <v>0</v>
      </c>
      <c r="AA78" s="647">
        <v>0</v>
      </c>
      <c r="AB78" s="647">
        <v>84.343834393150701</v>
      </c>
      <c r="AC78" s="647">
        <v>5.3117325596805349</v>
      </c>
      <c r="AD78" s="647">
        <v>100.13720035882396</v>
      </c>
      <c r="AE78" s="647">
        <v>44.768138339353968</v>
      </c>
      <c r="AF78" s="647">
        <v>92.901000398225491</v>
      </c>
      <c r="AG78" s="647">
        <v>6.3602365363905022</v>
      </c>
      <c r="AH78" s="647">
        <v>499.61642415532054</v>
      </c>
      <c r="AI78" s="647">
        <v>69.488948539693865</v>
      </c>
      <c r="AJ78" s="647">
        <v>23.724121611740912</v>
      </c>
      <c r="AK78" s="647">
        <v>1198.5611408040995</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523</v>
      </c>
      <c r="D80" s="699"/>
      <c r="E80" s="699"/>
      <c r="F80" s="699"/>
      <c r="G80" s="699"/>
      <c r="H80" s="699"/>
      <c r="I80" s="699"/>
      <c r="J80" s="699"/>
      <c r="K80" s="699"/>
      <c r="L80" s="699"/>
      <c r="M80" s="699"/>
      <c r="N80" s="699"/>
      <c r="O80" s="699"/>
      <c r="P80" s="699"/>
      <c r="Q80" s="699"/>
      <c r="R80" s="699"/>
      <c r="S80" s="699"/>
      <c r="U80" s="699" t="s">
        <v>523</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0</v>
      </c>
      <c r="F84" s="643">
        <v>0</v>
      </c>
      <c r="G84" s="642">
        <v>0</v>
      </c>
      <c r="H84" s="643">
        <v>889.54545454545473</v>
      </c>
      <c r="I84" s="643">
        <v>290.38619522472999</v>
      </c>
      <c r="J84" s="643">
        <v>188.26463769943669</v>
      </c>
      <c r="K84" s="643">
        <v>20.519346122490408</v>
      </c>
      <c r="L84" s="643">
        <v>0.54648995449606019</v>
      </c>
      <c r="M84" s="643">
        <v>0.15914693380563083</v>
      </c>
      <c r="N84" s="643">
        <v>65.898689554178929</v>
      </c>
      <c r="O84" s="643">
        <v>11.930124482632028</v>
      </c>
      <c r="P84" s="644">
        <v>0</v>
      </c>
      <c r="Q84" s="643">
        <v>0</v>
      </c>
      <c r="R84" s="643">
        <v>0</v>
      </c>
      <c r="S84" s="645">
        <v>1467.2500845172242</v>
      </c>
      <c r="U84" s="641" t="s">
        <v>59</v>
      </c>
      <c r="V84" s="642">
        <v>0</v>
      </c>
      <c r="W84" s="643">
        <v>0</v>
      </c>
      <c r="X84" s="643">
        <v>0</v>
      </c>
      <c r="Y84" s="642">
        <v>0</v>
      </c>
      <c r="Z84" s="643">
        <v>873.030303030303</v>
      </c>
      <c r="AA84" s="643">
        <v>337.06619522473</v>
      </c>
      <c r="AB84" s="643">
        <v>206.15489309499102</v>
      </c>
      <c r="AC84" s="643">
        <v>37.137182251794961</v>
      </c>
      <c r="AD84" s="643">
        <v>0.54648995449606019</v>
      </c>
      <c r="AE84" s="643">
        <v>0.15914693380563083</v>
      </c>
      <c r="AF84" s="643">
        <v>103.02458403584798</v>
      </c>
      <c r="AG84" s="643">
        <v>25.833176078824131</v>
      </c>
      <c r="AH84" s="644">
        <v>0</v>
      </c>
      <c r="AI84" s="643">
        <v>0</v>
      </c>
      <c r="AJ84" s="643">
        <v>0</v>
      </c>
      <c r="AK84" s="645">
        <v>1582.9519706047927</v>
      </c>
    </row>
    <row r="85" spans="3:37" ht="13.5">
      <c r="C85" s="641" t="s">
        <v>60</v>
      </c>
      <c r="D85" s="642">
        <v>47.523331421865407</v>
      </c>
      <c r="E85" s="643">
        <v>492.37419513671523</v>
      </c>
      <c r="F85" s="643">
        <v>57.352326080251387</v>
      </c>
      <c r="G85" s="642">
        <v>328.8885225556333</v>
      </c>
      <c r="H85" s="643">
        <v>0</v>
      </c>
      <c r="I85" s="643">
        <v>0</v>
      </c>
      <c r="J85" s="643">
        <v>4.8075322078390377</v>
      </c>
      <c r="K85" s="643">
        <v>0</v>
      </c>
      <c r="L85" s="643">
        <v>2.6229179175778925</v>
      </c>
      <c r="M85" s="643">
        <v>0</v>
      </c>
      <c r="N85" s="643">
        <v>0</v>
      </c>
      <c r="O85" s="643">
        <v>0</v>
      </c>
      <c r="P85" s="644">
        <v>0</v>
      </c>
      <c r="Q85" s="643">
        <v>0</v>
      </c>
      <c r="R85" s="643">
        <v>0</v>
      </c>
      <c r="S85" s="645">
        <v>933.56882531988219</v>
      </c>
      <c r="U85" s="641" t="s">
        <v>60</v>
      </c>
      <c r="V85" s="642">
        <v>6.5260336126681251</v>
      </c>
      <c r="W85" s="643">
        <v>220.47790015098695</v>
      </c>
      <c r="X85" s="643">
        <v>14.513856185365357</v>
      </c>
      <c r="Y85" s="642">
        <v>102.1346675179243</v>
      </c>
      <c r="Z85" s="643">
        <v>0</v>
      </c>
      <c r="AA85" s="643">
        <v>0</v>
      </c>
      <c r="AB85" s="643">
        <v>4.8075322078390377</v>
      </c>
      <c r="AC85" s="643">
        <v>0</v>
      </c>
      <c r="AD85" s="643">
        <v>2.6229179175778925</v>
      </c>
      <c r="AE85" s="643">
        <v>0</v>
      </c>
      <c r="AF85" s="643">
        <v>0</v>
      </c>
      <c r="AG85" s="643">
        <v>0</v>
      </c>
      <c r="AH85" s="644">
        <v>0</v>
      </c>
      <c r="AI85" s="643">
        <v>0</v>
      </c>
      <c r="AJ85" s="643">
        <v>0</v>
      </c>
      <c r="AK85" s="645">
        <v>351.08290759236166</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-22.391147784534837</v>
      </c>
      <c r="Q86" s="643">
        <v>0</v>
      </c>
      <c r="R86" s="643">
        <v>0</v>
      </c>
      <c r="S86" s="645">
        <v>-22.391147784534837</v>
      </c>
      <c r="U86" s="641" t="s">
        <v>61</v>
      </c>
      <c r="V86" s="642">
        <v>0</v>
      </c>
      <c r="W86" s="643">
        <v>0</v>
      </c>
      <c r="X86" s="643">
        <v>-19.691193817618341</v>
      </c>
      <c r="Y86" s="642">
        <v>0</v>
      </c>
      <c r="Z86" s="643">
        <v>0</v>
      </c>
      <c r="AA86" s="643">
        <v>0</v>
      </c>
      <c r="AB86" s="643">
        <v>0</v>
      </c>
      <c r="AC86" s="643">
        <v>0</v>
      </c>
      <c r="AD86" s="643">
        <v>0</v>
      </c>
      <c r="AE86" s="643">
        <v>0</v>
      </c>
      <c r="AF86" s="643">
        <v>0</v>
      </c>
      <c r="AG86" s="643">
        <v>0</v>
      </c>
      <c r="AH86" s="644">
        <v>-17.389600315785174</v>
      </c>
      <c r="AI86" s="643">
        <v>0</v>
      </c>
      <c r="AJ86" s="643">
        <v>0</v>
      </c>
      <c r="AK86" s="645">
        <v>-37.080794133403515</v>
      </c>
    </row>
    <row r="87" spans="3:37" ht="13.5">
      <c r="C87" s="641" t="s">
        <v>62</v>
      </c>
      <c r="D87" s="642">
        <v>0</v>
      </c>
      <c r="E87" s="643">
        <v>0</v>
      </c>
      <c r="F87" s="643">
        <v>-15.496739011683466</v>
      </c>
      <c r="G87" s="642">
        <v>0</v>
      </c>
      <c r="H87" s="643">
        <v>0</v>
      </c>
      <c r="I87" s="643">
        <v>0</v>
      </c>
      <c r="J87" s="643">
        <v>0</v>
      </c>
      <c r="K87" s="643">
        <v>0</v>
      </c>
      <c r="L87" s="643">
        <v>0</v>
      </c>
      <c r="M87" s="643">
        <v>0</v>
      </c>
      <c r="N87" s="643">
        <v>0</v>
      </c>
      <c r="O87" s="643">
        <v>0</v>
      </c>
      <c r="P87" s="644">
        <v>0</v>
      </c>
      <c r="Q87" s="643">
        <v>0</v>
      </c>
      <c r="R87" s="643">
        <v>0</v>
      </c>
      <c r="S87" s="645">
        <v>-15.496739011683466</v>
      </c>
      <c r="U87" s="641" t="s">
        <v>62</v>
      </c>
      <c r="V87" s="642">
        <v>0</v>
      </c>
      <c r="W87" s="643">
        <v>0</v>
      </c>
      <c r="X87" s="643">
        <v>-8.5387827474702789</v>
      </c>
      <c r="Y87" s="642">
        <v>-2.2272473327152178</v>
      </c>
      <c r="Z87" s="643">
        <v>0</v>
      </c>
      <c r="AA87" s="643">
        <v>0</v>
      </c>
      <c r="AB87" s="643">
        <v>0</v>
      </c>
      <c r="AC87" s="643">
        <v>0</v>
      </c>
      <c r="AD87" s="643">
        <v>0</v>
      </c>
      <c r="AE87" s="643">
        <v>-1.7037211969591732</v>
      </c>
      <c r="AF87" s="643">
        <v>0</v>
      </c>
      <c r="AG87" s="643">
        <v>0</v>
      </c>
      <c r="AH87" s="644">
        <v>0</v>
      </c>
      <c r="AI87" s="643">
        <v>0</v>
      </c>
      <c r="AJ87" s="643">
        <v>0</v>
      </c>
      <c r="AK87" s="645">
        <v>-12.46975127714467</v>
      </c>
    </row>
    <row r="88" spans="3:37" ht="13.5">
      <c r="C88" s="641" t="s">
        <v>63</v>
      </c>
      <c r="D88" s="642">
        <v>0</v>
      </c>
      <c r="E88" s="643">
        <v>0</v>
      </c>
      <c r="F88" s="643">
        <v>-89.42656352071144</v>
      </c>
      <c r="G88" s="642">
        <v>0</v>
      </c>
      <c r="H88" s="643">
        <v>0</v>
      </c>
      <c r="I88" s="643">
        <v>0</v>
      </c>
      <c r="J88" s="643">
        <v>0</v>
      </c>
      <c r="K88" s="643">
        <v>0</v>
      </c>
      <c r="L88" s="643">
        <v>-0.92190198395554845</v>
      </c>
      <c r="M88" s="643">
        <v>0</v>
      </c>
      <c r="N88" s="643">
        <v>0</v>
      </c>
      <c r="O88" s="643">
        <v>0</v>
      </c>
      <c r="P88" s="644">
        <v>0</v>
      </c>
      <c r="Q88" s="643">
        <v>0</v>
      </c>
      <c r="R88" s="643">
        <v>0</v>
      </c>
      <c r="S88" s="645">
        <v>-90.34846550466699</v>
      </c>
      <c r="U88" s="641" t="s">
        <v>63</v>
      </c>
      <c r="V88" s="642">
        <v>0</v>
      </c>
      <c r="W88" s="643">
        <v>0</v>
      </c>
      <c r="X88" s="643">
        <v>-55.486888716289528</v>
      </c>
      <c r="Y88" s="642">
        <v>0</v>
      </c>
      <c r="Z88" s="643">
        <v>0</v>
      </c>
      <c r="AA88" s="643">
        <v>0</v>
      </c>
      <c r="AB88" s="643">
        <v>0</v>
      </c>
      <c r="AC88" s="643">
        <v>0</v>
      </c>
      <c r="AD88" s="643">
        <v>-26.575233608452013</v>
      </c>
      <c r="AE88" s="643">
        <v>0</v>
      </c>
      <c r="AF88" s="643">
        <v>0</v>
      </c>
      <c r="AG88" s="643">
        <v>0</v>
      </c>
      <c r="AH88" s="644">
        <v>0</v>
      </c>
      <c r="AI88" s="643">
        <v>0</v>
      </c>
      <c r="AJ88" s="643">
        <v>0</v>
      </c>
      <c r="AK88" s="645">
        <v>-82.062122324741537</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47.523331421865407</v>
      </c>
      <c r="E90" s="647">
        <v>492.37419513671523</v>
      </c>
      <c r="F90" s="647">
        <v>-47.570976452143519</v>
      </c>
      <c r="G90" s="647">
        <v>328.8885225556333</v>
      </c>
      <c r="H90" s="647">
        <v>889.54545454545473</v>
      </c>
      <c r="I90" s="647">
        <v>290.38619522472999</v>
      </c>
      <c r="J90" s="647">
        <v>193.07216990727574</v>
      </c>
      <c r="K90" s="647">
        <v>20.519346122490408</v>
      </c>
      <c r="L90" s="647">
        <v>2.247505888118404</v>
      </c>
      <c r="M90" s="647">
        <v>0.15914693380563083</v>
      </c>
      <c r="N90" s="647">
        <v>65.898689554178929</v>
      </c>
      <c r="O90" s="647">
        <v>11.930124482632028</v>
      </c>
      <c r="P90" s="647">
        <v>-22.391147784534837</v>
      </c>
      <c r="Q90" s="647">
        <v>0</v>
      </c>
      <c r="R90" s="647">
        <v>0</v>
      </c>
      <c r="S90" s="647">
        <v>2272.5825575362214</v>
      </c>
      <c r="U90" s="646" t="s">
        <v>65</v>
      </c>
      <c r="V90" s="647">
        <v>6.5260336126681251</v>
      </c>
      <c r="W90" s="647">
        <v>220.47790015098695</v>
      </c>
      <c r="X90" s="647">
        <v>-69.203009096012792</v>
      </c>
      <c r="Y90" s="647">
        <v>99.907420185209077</v>
      </c>
      <c r="Z90" s="647">
        <v>873.030303030303</v>
      </c>
      <c r="AA90" s="647">
        <v>337.06619522473</v>
      </c>
      <c r="AB90" s="647">
        <v>210.96242530283007</v>
      </c>
      <c r="AC90" s="647">
        <v>37.137182251794961</v>
      </c>
      <c r="AD90" s="647">
        <v>-23.405825736378059</v>
      </c>
      <c r="AE90" s="647">
        <v>-1.5445742631535424</v>
      </c>
      <c r="AF90" s="647">
        <v>103.02458403584798</v>
      </c>
      <c r="AG90" s="647">
        <v>25.833176078824131</v>
      </c>
      <c r="AH90" s="647">
        <v>-17.389600315785174</v>
      </c>
      <c r="AI90" s="647">
        <v>0</v>
      </c>
      <c r="AJ90" s="647">
        <v>0</v>
      </c>
      <c r="AK90" s="647">
        <v>1802.4222104618648</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7.7625293209280457</v>
      </c>
      <c r="G93" s="642">
        <v>16.824034334763951</v>
      </c>
      <c r="H93" s="642">
        <v>889.54545454545473</v>
      </c>
      <c r="I93" s="642">
        <v>290.38619522472999</v>
      </c>
      <c r="J93" s="651">
        <v>29.234857813431841</v>
      </c>
      <c r="K93" s="651">
        <v>6.7467623730381456</v>
      </c>
      <c r="L93" s="651">
        <v>3.1694078720739522</v>
      </c>
      <c r="M93" s="651">
        <v>0.46915285357606595</v>
      </c>
      <c r="N93" s="651">
        <v>0</v>
      </c>
      <c r="O93" s="651">
        <v>6.9727309871777221</v>
      </c>
      <c r="P93" s="642">
        <v>-615.41357369902562</v>
      </c>
      <c r="Q93" s="642">
        <v>0</v>
      </c>
      <c r="R93" s="642">
        <v>0</v>
      </c>
      <c r="S93" s="650">
        <v>638.52433726717402</v>
      </c>
      <c r="U93" s="648" t="s">
        <v>350</v>
      </c>
      <c r="V93" s="642">
        <v>0.62631490545869017</v>
      </c>
      <c r="W93" s="642">
        <v>0</v>
      </c>
      <c r="X93" s="642">
        <v>3.8988929572916824</v>
      </c>
      <c r="Y93" s="642">
        <v>3.6741630901287547</v>
      </c>
      <c r="Z93" s="642">
        <v>873.030303030303</v>
      </c>
      <c r="AA93" s="642">
        <v>337.06619522473</v>
      </c>
      <c r="AB93" s="651">
        <v>23.429523439383615</v>
      </c>
      <c r="AC93" s="651">
        <v>5.4991881500691626</v>
      </c>
      <c r="AD93" s="651">
        <v>3.1694078720739522</v>
      </c>
      <c r="AE93" s="651">
        <v>2.7864060724601858</v>
      </c>
      <c r="AF93" s="651">
        <v>0</v>
      </c>
      <c r="AG93" s="651">
        <v>6.9727309871777221</v>
      </c>
      <c r="AH93" s="642">
        <v>-649.11357369902544</v>
      </c>
      <c r="AI93" s="642">
        <v>0</v>
      </c>
      <c r="AJ93" s="642">
        <v>4.45</v>
      </c>
      <c r="AK93" s="650">
        <v>615.48955203005141</v>
      </c>
    </row>
    <row r="94" spans="3:37" ht="13.5">
      <c r="C94" s="648" t="s">
        <v>351</v>
      </c>
      <c r="D94" s="642">
        <v>0</v>
      </c>
      <c r="E94" s="642">
        <v>0</v>
      </c>
      <c r="F94" s="642">
        <v>0</v>
      </c>
      <c r="G94" s="642">
        <v>14.896462034387394</v>
      </c>
      <c r="H94" s="642">
        <v>0</v>
      </c>
      <c r="I94" s="642">
        <v>0</v>
      </c>
      <c r="J94" s="651">
        <v>12.461036592610267</v>
      </c>
      <c r="K94" s="651">
        <v>11.927183871567582</v>
      </c>
      <c r="L94" s="651">
        <v>0</v>
      </c>
      <c r="M94" s="651">
        <v>0.3188738120209938</v>
      </c>
      <c r="N94" s="651">
        <v>0</v>
      </c>
      <c r="O94" s="651">
        <v>2.1085025260592274</v>
      </c>
      <c r="P94" s="642">
        <v>0</v>
      </c>
      <c r="Q94" s="642">
        <v>-37.934258390495422</v>
      </c>
      <c r="R94" s="642">
        <v>0</v>
      </c>
      <c r="S94" s="650">
        <v>3.7778004461500441</v>
      </c>
      <c r="U94" s="648" t="s">
        <v>351</v>
      </c>
      <c r="V94" s="642">
        <v>0</v>
      </c>
      <c r="W94" s="642">
        <v>0</v>
      </c>
      <c r="X94" s="642">
        <v>0</v>
      </c>
      <c r="Y94" s="642">
        <v>8.218662070491261</v>
      </c>
      <c r="Z94" s="642">
        <v>0</v>
      </c>
      <c r="AA94" s="642">
        <v>0</v>
      </c>
      <c r="AB94" s="651">
        <v>28.560818034272483</v>
      </c>
      <c r="AC94" s="651">
        <v>26.163217208510932</v>
      </c>
      <c r="AD94" s="651">
        <v>0</v>
      </c>
      <c r="AE94" s="651">
        <v>5.9663093303449024</v>
      </c>
      <c r="AF94" s="651">
        <v>0</v>
      </c>
      <c r="AG94" s="651">
        <v>11.832895483778962</v>
      </c>
      <c r="AH94" s="642">
        <v>0</v>
      </c>
      <c r="AI94" s="642">
        <v>-74.578675527513624</v>
      </c>
      <c r="AJ94" s="642">
        <v>0</v>
      </c>
      <c r="AK94" s="650">
        <v>6.1632265998849274</v>
      </c>
    </row>
    <row r="95" spans="3:37" ht="13.5">
      <c r="C95" s="648" t="s">
        <v>352</v>
      </c>
      <c r="D95" s="642">
        <v>0</v>
      </c>
      <c r="E95" s="642">
        <v>0</v>
      </c>
      <c r="F95" s="642">
        <v>0</v>
      </c>
      <c r="G95" s="642">
        <v>0</v>
      </c>
      <c r="H95" s="642">
        <v>0</v>
      </c>
      <c r="I95" s="642">
        <v>0</v>
      </c>
      <c r="J95" s="652">
        <v>6.9979956174374891</v>
      </c>
      <c r="K95" s="652">
        <v>0</v>
      </c>
      <c r="L95" s="652">
        <v>0</v>
      </c>
      <c r="M95" s="652">
        <v>-6.4748954450340372</v>
      </c>
      <c r="N95" s="652">
        <v>0</v>
      </c>
      <c r="O95" s="652">
        <v>0</v>
      </c>
      <c r="P95" s="642">
        <v>0</v>
      </c>
      <c r="Q95" s="642">
        <v>0</v>
      </c>
      <c r="R95" s="642">
        <v>0</v>
      </c>
      <c r="S95" s="650">
        <v>0.52310017240345186</v>
      </c>
      <c r="U95" s="648" t="s">
        <v>352</v>
      </c>
      <c r="V95" s="642">
        <v>0</v>
      </c>
      <c r="W95" s="642">
        <v>0</v>
      </c>
      <c r="X95" s="642">
        <v>0</v>
      </c>
      <c r="Y95" s="642">
        <v>0</v>
      </c>
      <c r="Z95" s="642">
        <v>0</v>
      </c>
      <c r="AA95" s="642">
        <v>0</v>
      </c>
      <c r="AB95" s="652">
        <v>79.198989478899776</v>
      </c>
      <c r="AC95" s="652">
        <v>0</v>
      </c>
      <c r="AD95" s="652">
        <v>0</v>
      </c>
      <c r="AE95" s="652">
        <v>-73.278865015352025</v>
      </c>
      <c r="AF95" s="652">
        <v>0</v>
      </c>
      <c r="AG95" s="652">
        <v>0</v>
      </c>
      <c r="AH95" s="642">
        <v>0</v>
      </c>
      <c r="AI95" s="642">
        <v>0</v>
      </c>
      <c r="AJ95" s="642">
        <v>0</v>
      </c>
      <c r="AK95" s="650">
        <v>5.9201244635477508</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510.04733530503466</v>
      </c>
      <c r="F97" s="642">
        <v>-504.94686195198432</v>
      </c>
      <c r="G97" s="642">
        <v>0</v>
      </c>
      <c r="H97" s="642">
        <v>0</v>
      </c>
      <c r="I97" s="642">
        <v>0</v>
      </c>
      <c r="J97" s="642">
        <v>0</v>
      </c>
      <c r="K97" s="642">
        <v>0</v>
      </c>
      <c r="L97" s="642">
        <v>0</v>
      </c>
      <c r="M97" s="642">
        <v>0</v>
      </c>
      <c r="N97" s="642">
        <v>0</v>
      </c>
      <c r="O97" s="642">
        <v>0</v>
      </c>
      <c r="P97" s="642">
        <v>0</v>
      </c>
      <c r="Q97" s="642">
        <v>0</v>
      </c>
      <c r="R97" s="642">
        <v>0</v>
      </c>
      <c r="S97" s="650">
        <v>5.1004733530503472</v>
      </c>
      <c r="U97" s="648" t="s">
        <v>72</v>
      </c>
      <c r="V97" s="642">
        <v>0</v>
      </c>
      <c r="W97" s="642">
        <v>228.3916715709193</v>
      </c>
      <c r="X97" s="642">
        <v>-226.10775485521012</v>
      </c>
      <c r="Y97" s="642">
        <v>0</v>
      </c>
      <c r="Z97" s="642">
        <v>0</v>
      </c>
      <c r="AA97" s="642">
        <v>0</v>
      </c>
      <c r="AB97" s="642">
        <v>0</v>
      </c>
      <c r="AC97" s="642">
        <v>0</v>
      </c>
      <c r="AD97" s="642">
        <v>0</v>
      </c>
      <c r="AE97" s="642">
        <v>0</v>
      </c>
      <c r="AF97" s="642">
        <v>0</v>
      </c>
      <c r="AG97" s="642">
        <v>0</v>
      </c>
      <c r="AH97" s="642">
        <v>0</v>
      </c>
      <c r="AI97" s="642">
        <v>0</v>
      </c>
      <c r="AJ97" s="642">
        <v>0</v>
      </c>
      <c r="AK97" s="650">
        <v>2.2839167157091822</v>
      </c>
    </row>
    <row r="98" spans="3:37" ht="13.5">
      <c r="C98" s="648" t="s">
        <v>354</v>
      </c>
      <c r="D98" s="642">
        <v>0</v>
      </c>
      <c r="E98" s="642">
        <v>0</v>
      </c>
      <c r="F98" s="642">
        <v>0</v>
      </c>
      <c r="G98" s="642">
        <v>0</v>
      </c>
      <c r="H98" s="642">
        <v>0</v>
      </c>
      <c r="I98" s="642">
        <v>0</v>
      </c>
      <c r="J98" s="642">
        <v>27.710201800923624</v>
      </c>
      <c r="K98" s="642">
        <v>0</v>
      </c>
      <c r="L98" s="642">
        <v>-27.710201800923624</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-101.17003146857277</v>
      </c>
      <c r="AE98" s="642">
        <v>0</v>
      </c>
      <c r="AF98" s="642">
        <v>0</v>
      </c>
      <c r="AG98" s="642">
        <v>0</v>
      </c>
      <c r="AH98" s="642">
        <v>0</v>
      </c>
      <c r="AI98" s="642">
        <v>0</v>
      </c>
      <c r="AJ98" s="642">
        <v>0</v>
      </c>
      <c r="AK98" s="650">
        <v>-101.17003146857277</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-18.691082885283098</v>
      </c>
      <c r="AE99" s="642">
        <v>0</v>
      </c>
      <c r="AF99" s="642">
        <v>0</v>
      </c>
      <c r="AG99" s="642">
        <v>0</v>
      </c>
      <c r="AH99" s="642">
        <v>0</v>
      </c>
      <c r="AI99" s="642">
        <v>0</v>
      </c>
      <c r="AJ99" s="642">
        <v>0</v>
      </c>
      <c r="AK99" s="650">
        <v>-18.691082885283098</v>
      </c>
    </row>
    <row r="100" spans="3:37" ht="13.5">
      <c r="C100" s="648" t="s">
        <v>73</v>
      </c>
      <c r="D100" s="642">
        <v>0</v>
      </c>
      <c r="E100" s="642">
        <v>0</v>
      </c>
      <c r="F100" s="642">
        <v>0</v>
      </c>
      <c r="G100" s="642">
        <v>6.2864428714474423</v>
      </c>
      <c r="H100" s="642">
        <v>0</v>
      </c>
      <c r="I100" s="642">
        <v>0</v>
      </c>
      <c r="J100" s="642">
        <v>0</v>
      </c>
      <c r="K100" s="642">
        <v>7.2564905248031233E-2</v>
      </c>
      <c r="L100" s="642">
        <v>0</v>
      </c>
      <c r="M100" s="642">
        <v>0.12829475247851924</v>
      </c>
      <c r="N100" s="642">
        <v>0</v>
      </c>
      <c r="O100" s="642">
        <v>0</v>
      </c>
      <c r="P100" s="642">
        <v>0.77416476914506349</v>
      </c>
      <c r="Q100" s="642">
        <v>0</v>
      </c>
      <c r="R100" s="642">
        <v>-5.0795433673621861</v>
      </c>
      <c r="S100" s="650">
        <v>2.1819239309568701</v>
      </c>
      <c r="U100" s="648" t="s">
        <v>73</v>
      </c>
      <c r="V100" s="642">
        <v>0</v>
      </c>
      <c r="W100" s="642">
        <v>0</v>
      </c>
      <c r="X100" s="642">
        <v>0</v>
      </c>
      <c r="Y100" s="642">
        <v>3.7837340239051791</v>
      </c>
      <c r="Z100" s="642">
        <v>0</v>
      </c>
      <c r="AA100" s="642">
        <v>0</v>
      </c>
      <c r="AB100" s="642">
        <v>0</v>
      </c>
      <c r="AC100" s="642">
        <v>0.46597709654004676</v>
      </c>
      <c r="AD100" s="642">
        <v>0</v>
      </c>
      <c r="AE100" s="642">
        <v>2.7399453276554748</v>
      </c>
      <c r="AF100" s="642">
        <v>0</v>
      </c>
      <c r="AG100" s="642">
        <v>0</v>
      </c>
      <c r="AH100" s="642">
        <v>39.864323859285086</v>
      </c>
      <c r="AI100" s="642">
        <v>0</v>
      </c>
      <c r="AJ100" s="642">
        <v>-32.618396757803268</v>
      </c>
      <c r="AK100" s="650">
        <v>14.235583549582522</v>
      </c>
    </row>
    <row r="101" spans="3:37" ht="13.5">
      <c r="C101" s="648" t="s">
        <v>356</v>
      </c>
      <c r="D101" s="642">
        <v>28.588592812499996</v>
      </c>
      <c r="E101" s="642">
        <v>-17.673140168319453</v>
      </c>
      <c r="F101" s="642">
        <v>23.11542347254851</v>
      </c>
      <c r="G101" s="642">
        <v>0</v>
      </c>
      <c r="H101" s="642">
        <v>0</v>
      </c>
      <c r="I101" s="642">
        <v>0</v>
      </c>
      <c r="J101" s="642">
        <v>0</v>
      </c>
      <c r="K101" s="642">
        <v>0</v>
      </c>
      <c r="L101" s="642">
        <v>0</v>
      </c>
      <c r="M101" s="642">
        <v>0</v>
      </c>
      <c r="N101" s="642">
        <v>0</v>
      </c>
      <c r="O101" s="642">
        <v>0</v>
      </c>
      <c r="P101" s="642">
        <v>0</v>
      </c>
      <c r="Q101" s="642">
        <v>0</v>
      </c>
      <c r="R101" s="642">
        <v>0</v>
      </c>
      <c r="S101" s="650">
        <v>34.030876116729054</v>
      </c>
      <c r="U101" s="648" t="s">
        <v>356</v>
      </c>
      <c r="V101" s="642">
        <v>1.7459712219238281</v>
      </c>
      <c r="W101" s="642">
        <v>-7.9137714199323552</v>
      </c>
      <c r="X101" s="642">
        <v>10.35074558875537</v>
      </c>
      <c r="Y101" s="642">
        <v>0</v>
      </c>
      <c r="Z101" s="642">
        <v>0</v>
      </c>
      <c r="AA101" s="642">
        <v>0</v>
      </c>
      <c r="AB101" s="642">
        <v>0</v>
      </c>
      <c r="AC101" s="642">
        <v>0</v>
      </c>
      <c r="AD101" s="642">
        <v>0</v>
      </c>
      <c r="AE101" s="642">
        <v>0</v>
      </c>
      <c r="AF101" s="642">
        <v>0</v>
      </c>
      <c r="AG101" s="642">
        <v>0</v>
      </c>
      <c r="AH101" s="642">
        <v>0</v>
      </c>
      <c r="AI101" s="642">
        <v>0</v>
      </c>
      <c r="AJ101" s="642">
        <v>0</v>
      </c>
      <c r="AK101" s="650">
        <v>4.182945390746843</v>
      </c>
    </row>
    <row r="102" spans="3:37" ht="13.5">
      <c r="C102" s="648" t="s">
        <v>75</v>
      </c>
      <c r="D102" s="642">
        <v>11.11778609375</v>
      </c>
      <c r="E102" s="642">
        <v>0</v>
      </c>
      <c r="F102" s="642">
        <v>17.34160940037118</v>
      </c>
      <c r="G102" s="642">
        <v>4.9484792471294465</v>
      </c>
      <c r="H102" s="642">
        <v>0</v>
      </c>
      <c r="I102" s="642">
        <v>0</v>
      </c>
      <c r="J102" s="642">
        <v>0</v>
      </c>
      <c r="K102" s="642">
        <v>0</v>
      </c>
      <c r="L102" s="642">
        <v>0</v>
      </c>
      <c r="M102" s="642">
        <v>0.10098937239039688</v>
      </c>
      <c r="N102" s="642">
        <v>0</v>
      </c>
      <c r="O102" s="642">
        <v>0</v>
      </c>
      <c r="P102" s="642">
        <v>29.08691491128284</v>
      </c>
      <c r="Q102" s="642">
        <v>0</v>
      </c>
      <c r="R102" s="642">
        <v>0</v>
      </c>
      <c r="S102" s="650">
        <v>62.595779024923864</v>
      </c>
      <c r="U102" s="648" t="s">
        <v>75</v>
      </c>
      <c r="V102" s="642">
        <v>2.938742431640625</v>
      </c>
      <c r="W102" s="642">
        <v>0</v>
      </c>
      <c r="X102" s="642">
        <v>17.34160940037118</v>
      </c>
      <c r="Y102" s="642">
        <v>2.9286917993215091</v>
      </c>
      <c r="Z102" s="642">
        <v>0</v>
      </c>
      <c r="AA102" s="642">
        <v>0</v>
      </c>
      <c r="AB102" s="642">
        <v>0</v>
      </c>
      <c r="AC102" s="642">
        <v>0</v>
      </c>
      <c r="AD102" s="642">
        <v>0</v>
      </c>
      <c r="AE102" s="642">
        <v>2.1207768201983344</v>
      </c>
      <c r="AF102" s="642">
        <v>0</v>
      </c>
      <c r="AG102" s="642">
        <v>0</v>
      </c>
      <c r="AH102" s="642">
        <v>36.505051274919204</v>
      </c>
      <c r="AI102" s="642">
        <v>0</v>
      </c>
      <c r="AJ102" s="642">
        <v>0</v>
      </c>
      <c r="AK102" s="650">
        <v>61.834871726450849</v>
      </c>
    </row>
    <row r="103" spans="3:37" ht="13.5">
      <c r="C103" s="648" t="s">
        <v>76</v>
      </c>
      <c r="D103" s="642">
        <v>0</v>
      </c>
      <c r="E103" s="642">
        <v>0</v>
      </c>
      <c r="F103" s="642">
        <v>0</v>
      </c>
      <c r="G103" s="642">
        <v>3.7620934008695794</v>
      </c>
      <c r="H103" s="642">
        <v>0</v>
      </c>
      <c r="I103" s="642">
        <v>0</v>
      </c>
      <c r="J103" s="642">
        <v>0</v>
      </c>
      <c r="K103" s="642">
        <v>0</v>
      </c>
      <c r="L103" s="642">
        <v>0</v>
      </c>
      <c r="M103" s="642">
        <v>7.6777416344277136E-2</v>
      </c>
      <c r="N103" s="642">
        <v>0</v>
      </c>
      <c r="O103" s="642">
        <v>0</v>
      </c>
      <c r="P103" s="642">
        <v>45.374638558517056</v>
      </c>
      <c r="Q103" s="642">
        <v>2.9442994019327013</v>
      </c>
      <c r="R103" s="642">
        <v>0</v>
      </c>
      <c r="S103" s="650">
        <v>52.157808777663611</v>
      </c>
      <c r="U103" s="648" t="s">
        <v>76</v>
      </c>
      <c r="V103" s="642">
        <v>0</v>
      </c>
      <c r="W103" s="642">
        <v>0</v>
      </c>
      <c r="X103" s="642">
        <v>0</v>
      </c>
      <c r="Y103" s="642">
        <v>1.1999362424874132</v>
      </c>
      <c r="Z103" s="642">
        <v>0</v>
      </c>
      <c r="AA103" s="642">
        <v>0</v>
      </c>
      <c r="AB103" s="642">
        <v>0</v>
      </c>
      <c r="AC103" s="642">
        <v>0</v>
      </c>
      <c r="AD103" s="642">
        <v>0</v>
      </c>
      <c r="AE103" s="642">
        <v>0.86891934800812698</v>
      </c>
      <c r="AF103" s="642">
        <v>0</v>
      </c>
      <c r="AG103" s="642">
        <v>0</v>
      </c>
      <c r="AH103" s="642">
        <v>48.340685132761017</v>
      </c>
      <c r="AI103" s="642">
        <v>5.7839036819230412</v>
      </c>
      <c r="AJ103" s="642">
        <v>0</v>
      </c>
      <c r="AK103" s="650">
        <v>56.193444405179591</v>
      </c>
    </row>
    <row r="104" spans="3:37" ht="13.5">
      <c r="C104" s="646" t="s">
        <v>77</v>
      </c>
      <c r="D104" s="647">
        <v>42.533164547275248</v>
      </c>
      <c r="E104" s="647">
        <v>492.37419513671523</v>
      </c>
      <c r="F104" s="647">
        <v>-456.72729975813655</v>
      </c>
      <c r="G104" s="647">
        <v>46.717511888597819</v>
      </c>
      <c r="H104" s="647">
        <v>889.54545454545473</v>
      </c>
      <c r="I104" s="647">
        <v>290.38619522472999</v>
      </c>
      <c r="J104" s="647">
        <v>76.404091824403224</v>
      </c>
      <c r="K104" s="647">
        <v>18.74651114985376</v>
      </c>
      <c r="L104" s="647">
        <v>-24.540793928849673</v>
      </c>
      <c r="M104" s="647">
        <v>-5.3808072382237846</v>
      </c>
      <c r="N104" s="647">
        <v>0</v>
      </c>
      <c r="O104" s="647">
        <v>9.0812335132369491</v>
      </c>
      <c r="P104" s="647">
        <v>-540.17785546008065</v>
      </c>
      <c r="Q104" s="647">
        <v>-34.989958988562719</v>
      </c>
      <c r="R104" s="647">
        <v>-5.0795433673621861</v>
      </c>
      <c r="S104" s="647">
        <v>798.89209908905127</v>
      </c>
      <c r="U104" s="646" t="s">
        <v>77</v>
      </c>
      <c r="V104" s="647">
        <v>5.3110285590231427</v>
      </c>
      <c r="W104" s="647">
        <v>220.47790015098695</v>
      </c>
      <c r="X104" s="647">
        <v>-194.51650690879191</v>
      </c>
      <c r="Y104" s="647">
        <v>19.805187226334116</v>
      </c>
      <c r="Z104" s="647">
        <v>873.030303030303</v>
      </c>
      <c r="AA104" s="647">
        <v>337.06619522473</v>
      </c>
      <c r="AB104" s="647">
        <v>131.18933095255588</v>
      </c>
      <c r="AC104" s="647">
        <v>32.128382455120146</v>
      </c>
      <c r="AD104" s="647">
        <v>-116.69170648178192</v>
      </c>
      <c r="AE104" s="647">
        <v>-58.796508116684997</v>
      </c>
      <c r="AF104" s="647">
        <v>0</v>
      </c>
      <c r="AG104" s="647">
        <v>18.805626470956682</v>
      </c>
      <c r="AH104" s="647">
        <v>-524.40351343206009</v>
      </c>
      <c r="AI104" s="647">
        <v>-68.794771845590574</v>
      </c>
      <c r="AJ104" s="647">
        <v>-28.168396757803269</v>
      </c>
      <c r="AK104" s="647">
        <v>646.44255052729716</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4.9901668745901624</v>
      </c>
      <c r="E106" s="642">
        <v>0</v>
      </c>
      <c r="F106" s="642">
        <v>21.091530324656198</v>
      </c>
      <c r="G106" s="642">
        <v>96.151700548391091</v>
      </c>
      <c r="H106" s="642">
        <v>0</v>
      </c>
      <c r="I106" s="642">
        <v>0</v>
      </c>
      <c r="J106" s="642">
        <v>21.387862541024852</v>
      </c>
      <c r="K106" s="642">
        <v>1.7476152779545906</v>
      </c>
      <c r="L106" s="642">
        <v>0.94211085156249985</v>
      </c>
      <c r="M106" s="642">
        <v>1.9807569399951515</v>
      </c>
      <c r="N106" s="642">
        <v>0</v>
      </c>
      <c r="O106" s="642">
        <v>3.7669078281368638E-4</v>
      </c>
      <c r="P106" s="642">
        <v>112.73505933145552</v>
      </c>
      <c r="Q106" s="642">
        <v>16.12568637832603</v>
      </c>
      <c r="R106" s="642">
        <v>0.27920700073242188</v>
      </c>
      <c r="S106" s="650">
        <v>277.43207275947128</v>
      </c>
      <c r="U106" s="648" t="s">
        <v>78</v>
      </c>
      <c r="V106" s="642">
        <v>1.2150050536449819</v>
      </c>
      <c r="W106" s="642">
        <v>0</v>
      </c>
      <c r="X106" s="642">
        <v>6.016341039248414</v>
      </c>
      <c r="Y106" s="642">
        <v>39.709503776891196</v>
      </c>
      <c r="Z106" s="642">
        <v>0</v>
      </c>
      <c r="AA106" s="642">
        <v>0</v>
      </c>
      <c r="AB106" s="642">
        <v>15.202189846170386</v>
      </c>
      <c r="AC106" s="642">
        <v>4.9835801019927617</v>
      </c>
      <c r="AD106" s="642">
        <v>5.6103854980468748</v>
      </c>
      <c r="AE106" s="642">
        <v>28.773635244370734</v>
      </c>
      <c r="AF106" s="642">
        <v>0</v>
      </c>
      <c r="AG106" s="642">
        <v>3.7669078281368638E-4</v>
      </c>
      <c r="AH106" s="642">
        <v>146.07653830614987</v>
      </c>
      <c r="AI106" s="642">
        <v>23.647869298816833</v>
      </c>
      <c r="AJ106" s="642">
        <v>7.4826708984375001</v>
      </c>
      <c r="AK106" s="650">
        <v>278.71809575455239</v>
      </c>
    </row>
    <row r="107" spans="3:37" ht="13.5">
      <c r="C107" s="648" t="s">
        <v>79</v>
      </c>
      <c r="D107" s="642">
        <v>0</v>
      </c>
      <c r="E107" s="642">
        <v>0</v>
      </c>
      <c r="F107" s="642">
        <v>235.12748928743429</v>
      </c>
      <c r="G107" s="642">
        <v>31.099379517950805</v>
      </c>
      <c r="H107" s="642">
        <v>0</v>
      </c>
      <c r="I107" s="642">
        <v>0</v>
      </c>
      <c r="J107" s="642">
        <v>0</v>
      </c>
      <c r="K107" s="642">
        <v>0</v>
      </c>
      <c r="L107" s="642">
        <v>22.716725008445675</v>
      </c>
      <c r="M107" s="642">
        <v>0.63468121465205729</v>
      </c>
      <c r="N107" s="642">
        <v>0</v>
      </c>
      <c r="O107" s="642">
        <v>0</v>
      </c>
      <c r="P107" s="642">
        <v>68.565930798083699</v>
      </c>
      <c r="Q107" s="642">
        <v>0</v>
      </c>
      <c r="R107" s="642">
        <v>2.3844112104980786</v>
      </c>
      <c r="S107" s="650">
        <v>360.52861703706463</v>
      </c>
      <c r="U107" s="648" t="s">
        <v>79</v>
      </c>
      <c r="V107" s="642">
        <v>0</v>
      </c>
      <c r="W107" s="642">
        <v>0</v>
      </c>
      <c r="X107" s="642">
        <v>35.128929389637456</v>
      </c>
      <c r="Y107" s="642">
        <v>15.137064293513523</v>
      </c>
      <c r="Z107" s="642">
        <v>0</v>
      </c>
      <c r="AA107" s="642">
        <v>0</v>
      </c>
      <c r="AB107" s="642">
        <v>0</v>
      </c>
      <c r="AC107" s="642">
        <v>0</v>
      </c>
      <c r="AD107" s="642">
        <v>37.187580566982817</v>
      </c>
      <c r="AE107" s="642">
        <v>11.036020535724948</v>
      </c>
      <c r="AF107" s="642">
        <v>0</v>
      </c>
      <c r="AG107" s="642">
        <v>0</v>
      </c>
      <c r="AH107" s="642">
        <v>89.614524523742418</v>
      </c>
      <c r="AI107" s="642">
        <v>0</v>
      </c>
      <c r="AJ107" s="642">
        <v>5.6351763144479268</v>
      </c>
      <c r="AK107" s="650">
        <v>193.73929562404911</v>
      </c>
    </row>
    <row r="108" spans="3:37" ht="13.5">
      <c r="C108" s="648" t="s">
        <v>80</v>
      </c>
      <c r="D108" s="642">
        <v>0</v>
      </c>
      <c r="E108" s="642">
        <v>0</v>
      </c>
      <c r="F108" s="642">
        <v>13.724834206032371</v>
      </c>
      <c r="G108" s="642">
        <v>79.131512261322683</v>
      </c>
      <c r="H108" s="642">
        <v>0</v>
      </c>
      <c r="I108" s="642">
        <v>0</v>
      </c>
      <c r="J108" s="642">
        <v>87.797108848078949</v>
      </c>
      <c r="K108" s="642">
        <v>0</v>
      </c>
      <c r="L108" s="642">
        <v>0</v>
      </c>
      <c r="M108" s="642">
        <v>1.6149288216596467</v>
      </c>
      <c r="N108" s="642">
        <v>57.41835645436403</v>
      </c>
      <c r="O108" s="642">
        <v>2.0533643919476137</v>
      </c>
      <c r="P108" s="642">
        <v>189.45880926265392</v>
      </c>
      <c r="Q108" s="642">
        <v>15.417775800116472</v>
      </c>
      <c r="R108" s="642">
        <v>0</v>
      </c>
      <c r="S108" s="650">
        <v>446.61669004617568</v>
      </c>
      <c r="U108" s="648" t="s">
        <v>80</v>
      </c>
      <c r="V108" s="642">
        <v>0</v>
      </c>
      <c r="W108" s="642">
        <v>0</v>
      </c>
      <c r="X108" s="642">
        <v>1.0209129157283405</v>
      </c>
      <c r="Y108" s="642">
        <v>12.832027751754538</v>
      </c>
      <c r="Z108" s="642">
        <v>0</v>
      </c>
      <c r="AA108" s="642">
        <v>0</v>
      </c>
      <c r="AB108" s="642">
        <v>53.270322236782164</v>
      </c>
      <c r="AC108" s="642">
        <v>0</v>
      </c>
      <c r="AD108" s="642">
        <v>0</v>
      </c>
      <c r="AE108" s="642">
        <v>9.2921580271325972</v>
      </c>
      <c r="AF108" s="642">
        <v>88.292344554902868</v>
      </c>
      <c r="AG108" s="642">
        <v>3.9079432862869607</v>
      </c>
      <c r="AH108" s="642">
        <v>146.88666477766319</v>
      </c>
      <c r="AI108" s="642">
        <v>32.427264426374379</v>
      </c>
      <c r="AJ108" s="642">
        <v>0</v>
      </c>
      <c r="AK108" s="650">
        <v>347.92963797662509</v>
      </c>
    </row>
    <row r="109" spans="3:37" ht="13.5">
      <c r="C109" s="648" t="s">
        <v>81</v>
      </c>
      <c r="D109" s="642">
        <v>0</v>
      </c>
      <c r="E109" s="642">
        <v>0</v>
      </c>
      <c r="F109" s="642">
        <v>3.9083972405176572</v>
      </c>
      <c r="G109" s="642">
        <v>63.089348266301698</v>
      </c>
      <c r="H109" s="642">
        <v>0</v>
      </c>
      <c r="I109" s="642">
        <v>0</v>
      </c>
      <c r="J109" s="642">
        <v>3.1804221278939271</v>
      </c>
      <c r="K109" s="642">
        <v>2.5219694682056978E-2</v>
      </c>
      <c r="L109" s="642">
        <v>0</v>
      </c>
      <c r="M109" s="642">
        <v>1.287537719720443</v>
      </c>
      <c r="N109" s="642">
        <v>8.4803330998149011</v>
      </c>
      <c r="O109" s="642">
        <v>0.72631919579288284</v>
      </c>
      <c r="P109" s="642">
        <v>140.69299872549993</v>
      </c>
      <c r="Q109" s="642">
        <v>3.4464968101202174</v>
      </c>
      <c r="R109" s="642">
        <v>0</v>
      </c>
      <c r="S109" s="650">
        <v>224.8370728803437</v>
      </c>
      <c r="U109" s="648" t="s">
        <v>81</v>
      </c>
      <c r="V109" s="642">
        <v>0</v>
      </c>
      <c r="W109" s="642">
        <v>0</v>
      </c>
      <c r="X109" s="642">
        <v>1.4952361732398858</v>
      </c>
      <c r="Y109" s="642">
        <v>10.610341518374359</v>
      </c>
      <c r="Z109" s="642">
        <v>0</v>
      </c>
      <c r="AA109" s="642">
        <v>0</v>
      </c>
      <c r="AB109" s="642">
        <v>6.9978977014468793</v>
      </c>
      <c r="AC109" s="642">
        <v>2.5219694682056978E-2</v>
      </c>
      <c r="AD109" s="642">
        <v>0</v>
      </c>
      <c r="AE109" s="642">
        <v>7.6833507546848816</v>
      </c>
      <c r="AF109" s="642">
        <v>14.732239480945108</v>
      </c>
      <c r="AG109" s="642">
        <v>1.5525732622869153</v>
      </c>
      <c r="AH109" s="642">
        <v>115.23036268987886</v>
      </c>
      <c r="AI109" s="642">
        <v>12.719638120399363</v>
      </c>
      <c r="AJ109" s="642">
        <v>0</v>
      </c>
      <c r="AK109" s="650">
        <v>171.04685939593833</v>
      </c>
    </row>
    <row r="110" spans="3:37" ht="13.5">
      <c r="C110" s="648" t="s">
        <v>82</v>
      </c>
      <c r="D110" s="642">
        <v>0</v>
      </c>
      <c r="E110" s="642">
        <v>0</v>
      </c>
      <c r="F110" s="642">
        <v>28.471648080197657</v>
      </c>
      <c r="G110" s="642">
        <v>1.0804243241036344</v>
      </c>
      <c r="H110" s="642">
        <v>0</v>
      </c>
      <c r="I110" s="642">
        <v>0</v>
      </c>
      <c r="J110" s="642">
        <v>4.3026845658747828</v>
      </c>
      <c r="K110" s="642">
        <v>0</v>
      </c>
      <c r="L110" s="642">
        <v>3.1299020072385213</v>
      </c>
      <c r="M110" s="642">
        <v>2.2049476002114991E-2</v>
      </c>
      <c r="N110" s="642">
        <v>0</v>
      </c>
      <c r="O110" s="642">
        <v>6.8830690871769351E-2</v>
      </c>
      <c r="P110" s="642">
        <v>5.9739095578527968</v>
      </c>
      <c r="Q110" s="642">
        <v>0</v>
      </c>
      <c r="R110" s="642">
        <v>0</v>
      </c>
      <c r="S110" s="650">
        <v>43.049448702141277</v>
      </c>
      <c r="U110" s="648" t="s">
        <v>82</v>
      </c>
      <c r="V110" s="642">
        <v>0</v>
      </c>
      <c r="W110" s="642">
        <v>0</v>
      </c>
      <c r="X110" s="642">
        <v>5.8604701162543282</v>
      </c>
      <c r="Y110" s="642">
        <v>0.77721189491485598</v>
      </c>
      <c r="Z110" s="642">
        <v>0</v>
      </c>
      <c r="AA110" s="642">
        <v>0</v>
      </c>
      <c r="AB110" s="642">
        <v>4.3026845658747828</v>
      </c>
      <c r="AC110" s="642">
        <v>0</v>
      </c>
      <c r="AD110" s="642">
        <v>30.776202948565647</v>
      </c>
      <c r="AE110" s="642">
        <v>0.56280861355903367</v>
      </c>
      <c r="AF110" s="642">
        <v>0</v>
      </c>
      <c r="AG110" s="642">
        <v>1.5666563685107562</v>
      </c>
      <c r="AH110" s="642">
        <v>6.0858228188406986</v>
      </c>
      <c r="AI110" s="642">
        <v>0</v>
      </c>
      <c r="AJ110" s="642">
        <v>0.36062656029870238</v>
      </c>
      <c r="AK110" s="650">
        <v>50.292483886818808</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0.36</v>
      </c>
      <c r="Q111" s="642">
        <v>0</v>
      </c>
      <c r="R111" s="642">
        <v>0</v>
      </c>
      <c r="S111" s="650">
        <v>0.36</v>
      </c>
      <c r="U111" s="648" t="s">
        <v>357</v>
      </c>
      <c r="V111" s="642">
        <v>0</v>
      </c>
      <c r="W111" s="642">
        <v>0</v>
      </c>
      <c r="X111" s="642">
        <v>0</v>
      </c>
      <c r="Y111" s="642">
        <v>0</v>
      </c>
      <c r="Z111" s="642">
        <v>0</v>
      </c>
      <c r="AA111" s="642">
        <v>0</v>
      </c>
      <c r="AB111" s="642">
        <v>0</v>
      </c>
      <c r="AC111" s="642">
        <v>0</v>
      </c>
      <c r="AD111" s="642">
        <v>0</v>
      </c>
      <c r="AE111" s="642">
        <v>0</v>
      </c>
      <c r="AF111" s="642">
        <v>0</v>
      </c>
      <c r="AG111" s="642">
        <v>0</v>
      </c>
      <c r="AH111" s="642">
        <v>3.12</v>
      </c>
      <c r="AI111" s="642">
        <v>0</v>
      </c>
      <c r="AJ111" s="642">
        <v>0</v>
      </c>
      <c r="AK111" s="650">
        <v>3.12</v>
      </c>
    </row>
    <row r="112" spans="3:37" ht="13.5">
      <c r="C112" s="646" t="s">
        <v>83</v>
      </c>
      <c r="D112" s="647">
        <v>4.9901668745901624</v>
      </c>
      <c r="E112" s="647">
        <v>0</v>
      </c>
      <c r="F112" s="647">
        <v>302.32389913883821</v>
      </c>
      <c r="G112" s="647">
        <v>270.55236491806994</v>
      </c>
      <c r="H112" s="647">
        <v>0</v>
      </c>
      <c r="I112" s="647">
        <v>0</v>
      </c>
      <c r="J112" s="647">
        <v>116.66807808287251</v>
      </c>
      <c r="K112" s="647">
        <v>1.7728349726366477</v>
      </c>
      <c r="L112" s="647">
        <v>26.788737867246695</v>
      </c>
      <c r="M112" s="647">
        <v>5.5399541720294136</v>
      </c>
      <c r="N112" s="647">
        <v>65.898689554178929</v>
      </c>
      <c r="O112" s="647">
        <v>2.8488909693950797</v>
      </c>
      <c r="P112" s="647">
        <v>517.78670767554593</v>
      </c>
      <c r="Q112" s="647">
        <v>34.989958988562719</v>
      </c>
      <c r="R112" s="647">
        <v>2.6636182112305002</v>
      </c>
      <c r="S112" s="647">
        <v>1352.8239014251965</v>
      </c>
      <c r="U112" s="646" t="s">
        <v>83</v>
      </c>
      <c r="V112" s="647">
        <v>1.2150050536449819</v>
      </c>
      <c r="W112" s="647">
        <v>0</v>
      </c>
      <c r="X112" s="647">
        <v>49.521889634108419</v>
      </c>
      <c r="Y112" s="647">
        <v>79.066149235448464</v>
      </c>
      <c r="Z112" s="647">
        <v>0</v>
      </c>
      <c r="AA112" s="647">
        <v>0</v>
      </c>
      <c r="AB112" s="647">
        <v>79.773094350274206</v>
      </c>
      <c r="AC112" s="647">
        <v>5.0087997966748192</v>
      </c>
      <c r="AD112" s="647">
        <v>73.574169013595338</v>
      </c>
      <c r="AE112" s="647">
        <v>57.347973175472191</v>
      </c>
      <c r="AF112" s="647">
        <v>103.02458403584798</v>
      </c>
      <c r="AG112" s="647">
        <v>7.0275496078674458</v>
      </c>
      <c r="AH112" s="647">
        <v>507.01391311627498</v>
      </c>
      <c r="AI112" s="647">
        <v>68.794771845590574</v>
      </c>
      <c r="AJ112" s="647">
        <v>13.478473773184128</v>
      </c>
      <c r="AK112" s="647">
        <v>1044.8463726379837</v>
      </c>
    </row>
    <row r="113" spans="3:37" ht="13.5">
      <c r="C113" s="641" t="s">
        <v>84</v>
      </c>
      <c r="D113" s="642">
        <v>0</v>
      </c>
      <c r="E113" s="642">
        <v>0</v>
      </c>
      <c r="F113" s="642">
        <v>106.83242416715484</v>
      </c>
      <c r="G113" s="642">
        <v>11.6186457489655</v>
      </c>
      <c r="H113" s="642">
        <v>0</v>
      </c>
      <c r="I113" s="642">
        <v>0</v>
      </c>
      <c r="J113" s="642">
        <v>0</v>
      </c>
      <c r="K113" s="642">
        <v>0</v>
      </c>
      <c r="L113" s="642">
        <v>0</v>
      </c>
      <c r="M113" s="642">
        <v>0</v>
      </c>
      <c r="N113" s="642">
        <v>0</v>
      </c>
      <c r="O113" s="642">
        <v>0</v>
      </c>
      <c r="P113" s="642">
        <v>0</v>
      </c>
      <c r="Q113" s="642">
        <v>0</v>
      </c>
      <c r="R113" s="642">
        <v>2.4159251561316859</v>
      </c>
      <c r="S113" s="650">
        <v>120.86699507225204</v>
      </c>
      <c r="U113" s="641" t="s">
        <v>84</v>
      </c>
      <c r="V113" s="642">
        <v>0</v>
      </c>
      <c r="W113" s="642">
        <v>0</v>
      </c>
      <c r="X113" s="642">
        <v>75.791608178670685</v>
      </c>
      <c r="Y113" s="642">
        <v>0.94004440148578539</v>
      </c>
      <c r="Z113" s="642">
        <v>0</v>
      </c>
      <c r="AA113" s="642">
        <v>0</v>
      </c>
      <c r="AB113" s="642">
        <v>0</v>
      </c>
      <c r="AC113" s="642">
        <v>0</v>
      </c>
      <c r="AD113" s="642">
        <v>21.99170920776367</v>
      </c>
      <c r="AE113" s="642">
        <v>0</v>
      </c>
      <c r="AF113" s="642">
        <v>0</v>
      </c>
      <c r="AG113" s="642">
        <v>0</v>
      </c>
      <c r="AH113" s="642">
        <v>0</v>
      </c>
      <c r="AI113" s="642">
        <v>0</v>
      </c>
      <c r="AJ113" s="642">
        <v>14.689922984619141</v>
      </c>
      <c r="AK113" s="650">
        <v>113.41328477253928</v>
      </c>
    </row>
    <row r="114" spans="3:37" ht="13.5">
      <c r="C114" s="646" t="s">
        <v>85</v>
      </c>
      <c r="D114" s="647">
        <v>4.9901668745901624</v>
      </c>
      <c r="E114" s="647">
        <v>0</v>
      </c>
      <c r="F114" s="647">
        <v>409.15632330599311</v>
      </c>
      <c r="G114" s="647">
        <v>282.17101066703543</v>
      </c>
      <c r="H114" s="647">
        <v>0</v>
      </c>
      <c r="I114" s="647">
        <v>0</v>
      </c>
      <c r="J114" s="647">
        <v>116.66807808287251</v>
      </c>
      <c r="K114" s="647">
        <v>1.7728349726366477</v>
      </c>
      <c r="L114" s="647">
        <v>26.788737867246695</v>
      </c>
      <c r="M114" s="647">
        <v>5.5399541720294136</v>
      </c>
      <c r="N114" s="647">
        <v>65.898689554178929</v>
      </c>
      <c r="O114" s="647">
        <v>2.8488909693950797</v>
      </c>
      <c r="P114" s="647">
        <v>517.78670767554593</v>
      </c>
      <c r="Q114" s="647">
        <v>34.989958988562719</v>
      </c>
      <c r="R114" s="647">
        <v>5.0795433673621861</v>
      </c>
      <c r="S114" s="647">
        <v>1473.6908964974484</v>
      </c>
      <c r="U114" s="646" t="s">
        <v>85</v>
      </c>
      <c r="V114" s="647">
        <v>1.2150050536449819</v>
      </c>
      <c r="W114" s="647">
        <v>0</v>
      </c>
      <c r="X114" s="647">
        <v>125.31349781277912</v>
      </c>
      <c r="Y114" s="647">
        <v>80.006193636934256</v>
      </c>
      <c r="Z114" s="647">
        <v>0</v>
      </c>
      <c r="AA114" s="647">
        <v>0</v>
      </c>
      <c r="AB114" s="647">
        <v>79.773094350274206</v>
      </c>
      <c r="AC114" s="647">
        <v>5.0087997966748192</v>
      </c>
      <c r="AD114" s="647">
        <v>95.565878221359014</v>
      </c>
      <c r="AE114" s="647">
        <v>57.347973175472191</v>
      </c>
      <c r="AF114" s="647">
        <v>103.02458403584798</v>
      </c>
      <c r="AG114" s="647">
        <v>7.0275496078674458</v>
      </c>
      <c r="AH114" s="647">
        <v>507.01391311627498</v>
      </c>
      <c r="AI114" s="647">
        <v>68.794771845590574</v>
      </c>
      <c r="AJ114" s="647">
        <v>28.168396757803269</v>
      </c>
      <c r="AK114" s="647">
        <v>1158.2596574105228</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364</v>
      </c>
      <c r="D116" s="699"/>
      <c r="E116" s="699"/>
      <c r="F116" s="699"/>
      <c r="G116" s="699"/>
      <c r="H116" s="699"/>
      <c r="I116" s="699"/>
      <c r="J116" s="699"/>
      <c r="K116" s="699"/>
      <c r="L116" s="699"/>
      <c r="M116" s="699"/>
      <c r="N116" s="699"/>
      <c r="O116" s="699"/>
      <c r="P116" s="699"/>
      <c r="Q116" s="699"/>
      <c r="R116" s="699"/>
      <c r="S116" s="699"/>
      <c r="U116" s="699" t="s">
        <v>364</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0</v>
      </c>
      <c r="F120" s="643">
        <v>0</v>
      </c>
      <c r="G120" s="642">
        <v>0</v>
      </c>
      <c r="H120" s="643">
        <v>843.18181818181824</v>
      </c>
      <c r="I120" s="643">
        <v>306.94588327561422</v>
      </c>
      <c r="J120" s="643">
        <v>187.92158364867245</v>
      </c>
      <c r="K120" s="643">
        <v>20.316638839186872</v>
      </c>
      <c r="L120" s="643">
        <v>0.58650482505924006</v>
      </c>
      <c r="M120" s="643">
        <v>0.15964026893196048</v>
      </c>
      <c r="N120" s="643">
        <v>67.964408038916218</v>
      </c>
      <c r="O120" s="643">
        <v>11.973026235836867</v>
      </c>
      <c r="P120" s="644">
        <v>0</v>
      </c>
      <c r="Q120" s="643">
        <v>0</v>
      </c>
      <c r="R120" s="643">
        <v>0</v>
      </c>
      <c r="S120" s="645">
        <v>1439.0495033140362</v>
      </c>
      <c r="U120" s="641" t="s">
        <v>59</v>
      </c>
      <c r="V120" s="642">
        <v>0</v>
      </c>
      <c r="W120" s="643">
        <v>0</v>
      </c>
      <c r="X120" s="643">
        <v>0</v>
      </c>
      <c r="Y120" s="642">
        <v>0</v>
      </c>
      <c r="Z120" s="643">
        <v>842.12121212121212</v>
      </c>
      <c r="AA120" s="643">
        <v>361.66588327561419</v>
      </c>
      <c r="AB120" s="643">
        <v>209.7499476733077</v>
      </c>
      <c r="AC120" s="643">
        <v>36.742499370225779</v>
      </c>
      <c r="AD120" s="643">
        <v>0.58650482505924006</v>
      </c>
      <c r="AE120" s="643">
        <v>0.15964026893196048</v>
      </c>
      <c r="AF120" s="643">
        <v>109.8518848230913</v>
      </c>
      <c r="AG120" s="643">
        <v>27.041217028647232</v>
      </c>
      <c r="AH120" s="644">
        <v>0</v>
      </c>
      <c r="AI120" s="643">
        <v>0</v>
      </c>
      <c r="AJ120" s="643">
        <v>0</v>
      </c>
      <c r="AK120" s="645">
        <v>1587.9187893860897</v>
      </c>
    </row>
    <row r="121" spans="3:37" ht="13.5">
      <c r="C121" s="641" t="s">
        <v>60</v>
      </c>
      <c r="D121" s="642">
        <v>47.14481987923083</v>
      </c>
      <c r="E121" s="643">
        <v>484.495467583368</v>
      </c>
      <c r="F121" s="643">
        <v>50.019697053221719</v>
      </c>
      <c r="G121" s="642">
        <v>326.09010493911637</v>
      </c>
      <c r="H121" s="643">
        <v>0</v>
      </c>
      <c r="I121" s="643">
        <v>0</v>
      </c>
      <c r="J121" s="643">
        <v>5.0764589906360387</v>
      </c>
      <c r="K121" s="643">
        <v>0</v>
      </c>
      <c r="L121" s="643">
        <v>2.7571319279134792</v>
      </c>
      <c r="M121" s="643">
        <v>0</v>
      </c>
      <c r="N121" s="643">
        <v>0</v>
      </c>
      <c r="O121" s="643">
        <v>0</v>
      </c>
      <c r="P121" s="644">
        <v>0</v>
      </c>
      <c r="Q121" s="643">
        <v>0</v>
      </c>
      <c r="R121" s="643">
        <v>0</v>
      </c>
      <c r="S121" s="645">
        <v>915.58368037348657</v>
      </c>
      <c r="U121" s="641" t="s">
        <v>60</v>
      </c>
      <c r="V121" s="642">
        <v>5.8768320762591904</v>
      </c>
      <c r="W121" s="643">
        <v>189.94114801549574</v>
      </c>
      <c r="X121" s="643">
        <v>14.41607041492888</v>
      </c>
      <c r="Y121" s="642">
        <v>81.728531694283333</v>
      </c>
      <c r="Z121" s="643">
        <v>0</v>
      </c>
      <c r="AA121" s="643">
        <v>0</v>
      </c>
      <c r="AB121" s="643">
        <v>5.0764589906360387</v>
      </c>
      <c r="AC121" s="643">
        <v>0</v>
      </c>
      <c r="AD121" s="643">
        <v>2.7571319279134792</v>
      </c>
      <c r="AE121" s="643">
        <v>0</v>
      </c>
      <c r="AF121" s="643">
        <v>0</v>
      </c>
      <c r="AG121" s="643">
        <v>0</v>
      </c>
      <c r="AH121" s="644">
        <v>0</v>
      </c>
      <c r="AI121" s="643">
        <v>0</v>
      </c>
      <c r="AJ121" s="643">
        <v>0</v>
      </c>
      <c r="AK121" s="645">
        <v>299.79617311951665</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-16.706363002811486</v>
      </c>
      <c r="Q122" s="643">
        <v>0</v>
      </c>
      <c r="R122" s="643">
        <v>0</v>
      </c>
      <c r="S122" s="645">
        <v>-16.706363002811486</v>
      </c>
      <c r="U122" s="641" t="s">
        <v>61</v>
      </c>
      <c r="V122" s="642">
        <v>0</v>
      </c>
      <c r="W122" s="643">
        <v>0</v>
      </c>
      <c r="X122" s="643">
        <v>-18.378136852904419</v>
      </c>
      <c r="Y122" s="642">
        <v>0</v>
      </c>
      <c r="Z122" s="643">
        <v>0</v>
      </c>
      <c r="AA122" s="643">
        <v>0</v>
      </c>
      <c r="AB122" s="643">
        <v>0</v>
      </c>
      <c r="AC122" s="643">
        <v>0</v>
      </c>
      <c r="AD122" s="643">
        <v>0</v>
      </c>
      <c r="AE122" s="643">
        <v>0</v>
      </c>
      <c r="AF122" s="643">
        <v>0</v>
      </c>
      <c r="AG122" s="643">
        <v>0</v>
      </c>
      <c r="AH122" s="644">
        <v>-20.522831714543145</v>
      </c>
      <c r="AI122" s="643">
        <v>0</v>
      </c>
      <c r="AJ122" s="643">
        <v>0</v>
      </c>
      <c r="AK122" s="645">
        <v>-38.900968567447563</v>
      </c>
    </row>
    <row r="123" spans="3:37" ht="13.5">
      <c r="C123" s="641" t="s">
        <v>62</v>
      </c>
      <c r="D123" s="642">
        <v>0</v>
      </c>
      <c r="E123" s="643">
        <v>0</v>
      </c>
      <c r="F123" s="643">
        <v>-15.257294848391862</v>
      </c>
      <c r="G123" s="642">
        <v>0</v>
      </c>
      <c r="H123" s="643">
        <v>0</v>
      </c>
      <c r="I123" s="643">
        <v>0</v>
      </c>
      <c r="J123" s="643">
        <v>0</v>
      </c>
      <c r="K123" s="643">
        <v>0</v>
      </c>
      <c r="L123" s="643">
        <v>0</v>
      </c>
      <c r="M123" s="643">
        <v>0</v>
      </c>
      <c r="N123" s="643">
        <v>0</v>
      </c>
      <c r="O123" s="643">
        <v>0</v>
      </c>
      <c r="P123" s="644">
        <v>0</v>
      </c>
      <c r="Q123" s="643">
        <v>0</v>
      </c>
      <c r="R123" s="643">
        <v>0</v>
      </c>
      <c r="S123" s="645">
        <v>-15.257294848391862</v>
      </c>
      <c r="U123" s="641" t="s">
        <v>62</v>
      </c>
      <c r="V123" s="642">
        <v>0</v>
      </c>
      <c r="W123" s="643">
        <v>0</v>
      </c>
      <c r="X123" s="643">
        <v>-7.5188933675233587</v>
      </c>
      <c r="Y123" s="642">
        <v>-2.1851276585702322</v>
      </c>
      <c r="Z123" s="643">
        <v>0</v>
      </c>
      <c r="AA123" s="643">
        <v>0</v>
      </c>
      <c r="AB123" s="643">
        <v>0</v>
      </c>
      <c r="AC123" s="643">
        <v>0</v>
      </c>
      <c r="AD123" s="643">
        <v>0</v>
      </c>
      <c r="AE123" s="643">
        <v>-2.1851276585702322</v>
      </c>
      <c r="AF123" s="643">
        <v>0</v>
      </c>
      <c r="AG123" s="643">
        <v>0</v>
      </c>
      <c r="AH123" s="644">
        <v>0</v>
      </c>
      <c r="AI123" s="643">
        <v>0</v>
      </c>
      <c r="AJ123" s="643">
        <v>0</v>
      </c>
      <c r="AK123" s="645">
        <v>-11.889148684663823</v>
      </c>
    </row>
    <row r="124" spans="3:37" ht="13.5">
      <c r="C124" s="641" t="s">
        <v>63</v>
      </c>
      <c r="D124" s="642">
        <v>0</v>
      </c>
      <c r="E124" s="643">
        <v>0</v>
      </c>
      <c r="F124" s="643">
        <v>-90.982589622358091</v>
      </c>
      <c r="G124" s="642">
        <v>0</v>
      </c>
      <c r="H124" s="643">
        <v>0</v>
      </c>
      <c r="I124" s="643">
        <v>0</v>
      </c>
      <c r="J124" s="643">
        <v>0</v>
      </c>
      <c r="K124" s="643">
        <v>0</v>
      </c>
      <c r="L124" s="643">
        <v>-0.93561585486744514</v>
      </c>
      <c r="M124" s="643">
        <v>0</v>
      </c>
      <c r="N124" s="643">
        <v>0</v>
      </c>
      <c r="O124" s="643">
        <v>0</v>
      </c>
      <c r="P124" s="644">
        <v>0</v>
      </c>
      <c r="Q124" s="643">
        <v>0</v>
      </c>
      <c r="R124" s="643">
        <v>0</v>
      </c>
      <c r="S124" s="645">
        <v>-91.918205477225541</v>
      </c>
      <c r="U124" s="641" t="s">
        <v>63</v>
      </c>
      <c r="V124" s="642">
        <v>0</v>
      </c>
      <c r="W124" s="643">
        <v>0</v>
      </c>
      <c r="X124" s="643">
        <v>-53.656928796434556</v>
      </c>
      <c r="Y124" s="642">
        <v>0</v>
      </c>
      <c r="Z124" s="643">
        <v>0</v>
      </c>
      <c r="AA124" s="643">
        <v>0</v>
      </c>
      <c r="AB124" s="643">
        <v>0</v>
      </c>
      <c r="AC124" s="643">
        <v>0</v>
      </c>
      <c r="AD124" s="643">
        <v>-28.297456853591466</v>
      </c>
      <c r="AE124" s="643">
        <v>0</v>
      </c>
      <c r="AF124" s="643">
        <v>0</v>
      </c>
      <c r="AG124" s="643">
        <v>0</v>
      </c>
      <c r="AH124" s="644">
        <v>0</v>
      </c>
      <c r="AI124" s="643">
        <v>0</v>
      </c>
      <c r="AJ124" s="643">
        <v>0</v>
      </c>
      <c r="AK124" s="645">
        <v>-81.954385650026026</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47.14481987923083</v>
      </c>
      <c r="E126" s="647">
        <v>484.495467583368</v>
      </c>
      <c r="F126" s="647">
        <v>-56.220187417528237</v>
      </c>
      <c r="G126" s="647">
        <v>326.09010493911637</v>
      </c>
      <c r="H126" s="647">
        <v>843.18181818181824</v>
      </c>
      <c r="I126" s="647">
        <v>306.94588327561422</v>
      </c>
      <c r="J126" s="647">
        <v>192.99804263930849</v>
      </c>
      <c r="K126" s="647">
        <v>20.316638839186872</v>
      </c>
      <c r="L126" s="647">
        <v>2.4080208981052738</v>
      </c>
      <c r="M126" s="647">
        <v>0.15964026893196048</v>
      </c>
      <c r="N126" s="647">
        <v>67.964408038916218</v>
      </c>
      <c r="O126" s="647">
        <v>11.973026235836867</v>
      </c>
      <c r="P126" s="647">
        <v>-16.706363002811486</v>
      </c>
      <c r="Q126" s="647">
        <v>0</v>
      </c>
      <c r="R126" s="647">
        <v>0</v>
      </c>
      <c r="S126" s="647">
        <v>2230.7513203590943</v>
      </c>
      <c r="U126" s="646" t="s">
        <v>65</v>
      </c>
      <c r="V126" s="647">
        <v>5.8768320762591904</v>
      </c>
      <c r="W126" s="647">
        <v>189.94114801549574</v>
      </c>
      <c r="X126" s="647">
        <v>-65.137888601933454</v>
      </c>
      <c r="Y126" s="647">
        <v>79.543404035713095</v>
      </c>
      <c r="Z126" s="647">
        <v>842.12121212121212</v>
      </c>
      <c r="AA126" s="647">
        <v>361.66588327561419</v>
      </c>
      <c r="AB126" s="647">
        <v>214.82640666394374</v>
      </c>
      <c r="AC126" s="647">
        <v>36.742499370225779</v>
      </c>
      <c r="AD126" s="647">
        <v>-24.953820100618749</v>
      </c>
      <c r="AE126" s="647">
        <v>-2.0254873896382719</v>
      </c>
      <c r="AF126" s="647">
        <v>109.8518848230913</v>
      </c>
      <c r="AG126" s="647">
        <v>27.041217028647232</v>
      </c>
      <c r="AH126" s="647">
        <v>-20.522831714543145</v>
      </c>
      <c r="AI126" s="647">
        <v>0</v>
      </c>
      <c r="AJ126" s="647">
        <v>0</v>
      </c>
      <c r="AK126" s="647">
        <v>1754.970459603469</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7.9230776783294274</v>
      </c>
      <c r="G129" s="642">
        <v>16.680851063829788</v>
      </c>
      <c r="H129" s="642">
        <v>843.18181818181824</v>
      </c>
      <c r="I129" s="642">
        <v>306.94588327561422</v>
      </c>
      <c r="J129" s="651">
        <v>28.98717588629853</v>
      </c>
      <c r="K129" s="651">
        <v>6.5903281241207718</v>
      </c>
      <c r="L129" s="651">
        <v>3.3436367529727189</v>
      </c>
      <c r="M129" s="651">
        <v>0.46654149749263618</v>
      </c>
      <c r="N129" s="651">
        <v>0</v>
      </c>
      <c r="O129" s="651">
        <v>7.0184114557160298</v>
      </c>
      <c r="P129" s="642">
        <v>-616.92993037811448</v>
      </c>
      <c r="Q129" s="642">
        <v>0</v>
      </c>
      <c r="R129" s="642">
        <v>0</v>
      </c>
      <c r="S129" s="650">
        <v>607.03457917910316</v>
      </c>
      <c r="U129" s="648" t="s">
        <v>350</v>
      </c>
      <c r="V129" s="642">
        <v>0.62631490545869017</v>
      </c>
      <c r="W129" s="642">
        <v>0</v>
      </c>
      <c r="X129" s="642">
        <v>4.0594413146930641</v>
      </c>
      <c r="Y129" s="642">
        <v>2.3404255319148937</v>
      </c>
      <c r="Z129" s="642">
        <v>842.12121212121212</v>
      </c>
      <c r="AA129" s="642">
        <v>361.66588327561419</v>
      </c>
      <c r="AB129" s="651">
        <v>23.182357378111952</v>
      </c>
      <c r="AC129" s="651">
        <v>5.3775678130216455</v>
      </c>
      <c r="AD129" s="651">
        <v>3.3436367529727189</v>
      </c>
      <c r="AE129" s="651">
        <v>2.4665414974926363</v>
      </c>
      <c r="AF129" s="651">
        <v>0</v>
      </c>
      <c r="AG129" s="651">
        <v>7.0184114557160298</v>
      </c>
      <c r="AH129" s="642">
        <v>-662.7499303781143</v>
      </c>
      <c r="AI129" s="642">
        <v>0</v>
      </c>
      <c r="AJ129" s="642">
        <v>4.25</v>
      </c>
      <c r="AK129" s="650">
        <v>593.70186166809344</v>
      </c>
    </row>
    <row r="130" spans="3:37" ht="13.5">
      <c r="C130" s="648" t="s">
        <v>351</v>
      </c>
      <c r="D130" s="642">
        <v>0</v>
      </c>
      <c r="E130" s="642">
        <v>0</v>
      </c>
      <c r="F130" s="642">
        <v>0</v>
      </c>
      <c r="G130" s="642">
        <v>14.843815057329421</v>
      </c>
      <c r="H130" s="642">
        <v>0</v>
      </c>
      <c r="I130" s="642">
        <v>0</v>
      </c>
      <c r="J130" s="651">
        <v>12.357161229114668</v>
      </c>
      <c r="K130" s="651">
        <v>11.882304060636951</v>
      </c>
      <c r="L130" s="651">
        <v>0</v>
      </c>
      <c r="M130" s="651">
        <v>0.31804644322561132</v>
      </c>
      <c r="N130" s="651">
        <v>0</v>
      </c>
      <c r="O130" s="651">
        <v>2.0992086164963606</v>
      </c>
      <c r="P130" s="642">
        <v>0</v>
      </c>
      <c r="Q130" s="642">
        <v>-37.805081951347923</v>
      </c>
      <c r="R130" s="642">
        <v>0</v>
      </c>
      <c r="S130" s="650">
        <v>3.6954534554550835</v>
      </c>
      <c r="U130" s="648" t="s">
        <v>351</v>
      </c>
      <c r="V130" s="642">
        <v>0</v>
      </c>
      <c r="W130" s="642">
        <v>0</v>
      </c>
      <c r="X130" s="642">
        <v>0</v>
      </c>
      <c r="Y130" s="642">
        <v>6.4668066457611202</v>
      </c>
      <c r="Z130" s="642">
        <v>0</v>
      </c>
      <c r="AA130" s="642">
        <v>0</v>
      </c>
      <c r="AB130" s="651">
        <v>28.361573193229066</v>
      </c>
      <c r="AC130" s="651">
        <v>26.076316433417247</v>
      </c>
      <c r="AD130" s="651">
        <v>0</v>
      </c>
      <c r="AE130" s="651">
        <v>6.4819180878167435</v>
      </c>
      <c r="AF130" s="651">
        <v>0</v>
      </c>
      <c r="AG130" s="651">
        <v>12.550380584079129</v>
      </c>
      <c r="AH130" s="642">
        <v>0</v>
      </c>
      <c r="AI130" s="642">
        <v>-74.043519390541746</v>
      </c>
      <c r="AJ130" s="642">
        <v>0</v>
      </c>
      <c r="AK130" s="650">
        <v>5.8934755537615651</v>
      </c>
    </row>
    <row r="131" spans="3:37" ht="13.5">
      <c r="C131" s="648" t="s">
        <v>352</v>
      </c>
      <c r="D131" s="642">
        <v>0</v>
      </c>
      <c r="E131" s="642">
        <v>0</v>
      </c>
      <c r="F131" s="642">
        <v>0</v>
      </c>
      <c r="G131" s="642">
        <v>0</v>
      </c>
      <c r="H131" s="642">
        <v>0</v>
      </c>
      <c r="I131" s="642">
        <v>0</v>
      </c>
      <c r="J131" s="652">
        <v>6.8755991242523775</v>
      </c>
      <c r="K131" s="652">
        <v>0</v>
      </c>
      <c r="L131" s="652">
        <v>0</v>
      </c>
      <c r="M131" s="652">
        <v>-6.4200906822706569</v>
      </c>
      <c r="N131" s="652">
        <v>0</v>
      </c>
      <c r="O131" s="652">
        <v>0</v>
      </c>
      <c r="P131" s="642">
        <v>0</v>
      </c>
      <c r="Q131" s="642">
        <v>0</v>
      </c>
      <c r="R131" s="642">
        <v>0</v>
      </c>
      <c r="S131" s="650">
        <v>0.45550844198172058</v>
      </c>
      <c r="U131" s="648" t="s">
        <v>352</v>
      </c>
      <c r="V131" s="642">
        <v>0</v>
      </c>
      <c r="W131" s="642">
        <v>0</v>
      </c>
      <c r="X131" s="642">
        <v>0</v>
      </c>
      <c r="Y131" s="642">
        <v>0</v>
      </c>
      <c r="Z131" s="642">
        <v>0</v>
      </c>
      <c r="AA131" s="642">
        <v>0</v>
      </c>
      <c r="AB131" s="652">
        <v>86.654179241552072</v>
      </c>
      <c r="AC131" s="652">
        <v>0</v>
      </c>
      <c r="AD131" s="652">
        <v>0</v>
      </c>
      <c r="AE131" s="652">
        <v>-80.913339866799248</v>
      </c>
      <c r="AF131" s="652">
        <v>0</v>
      </c>
      <c r="AG131" s="652">
        <v>0</v>
      </c>
      <c r="AH131" s="642">
        <v>0</v>
      </c>
      <c r="AI131" s="642">
        <v>0</v>
      </c>
      <c r="AJ131" s="642">
        <v>0</v>
      </c>
      <c r="AK131" s="650">
        <v>5.7408393747528237</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501.8858109321676</v>
      </c>
      <c r="F133" s="642">
        <v>-496.86695282284592</v>
      </c>
      <c r="G133" s="642">
        <v>0</v>
      </c>
      <c r="H133" s="642">
        <v>0</v>
      </c>
      <c r="I133" s="642">
        <v>0</v>
      </c>
      <c r="J133" s="642">
        <v>0</v>
      </c>
      <c r="K133" s="642">
        <v>0</v>
      </c>
      <c r="L133" s="642">
        <v>0</v>
      </c>
      <c r="M133" s="642">
        <v>0</v>
      </c>
      <c r="N133" s="642">
        <v>0</v>
      </c>
      <c r="O133" s="642">
        <v>0</v>
      </c>
      <c r="P133" s="642">
        <v>0</v>
      </c>
      <c r="Q133" s="642">
        <v>0</v>
      </c>
      <c r="R133" s="642">
        <v>0</v>
      </c>
      <c r="S133" s="650">
        <v>5.018858109321684</v>
      </c>
      <c r="U133" s="648" t="s">
        <v>72</v>
      </c>
      <c r="V133" s="642">
        <v>0</v>
      </c>
      <c r="W133" s="642">
        <v>196.75884188687598</v>
      </c>
      <c r="X133" s="642">
        <v>-194.79125346800723</v>
      </c>
      <c r="Y133" s="642">
        <v>0</v>
      </c>
      <c r="Z133" s="642">
        <v>0</v>
      </c>
      <c r="AA133" s="642">
        <v>0</v>
      </c>
      <c r="AB133" s="642">
        <v>0</v>
      </c>
      <c r="AC133" s="642">
        <v>0</v>
      </c>
      <c r="AD133" s="642">
        <v>0</v>
      </c>
      <c r="AE133" s="642">
        <v>0</v>
      </c>
      <c r="AF133" s="642">
        <v>0</v>
      </c>
      <c r="AG133" s="642">
        <v>0</v>
      </c>
      <c r="AH133" s="642">
        <v>0</v>
      </c>
      <c r="AI133" s="642">
        <v>0</v>
      </c>
      <c r="AJ133" s="642">
        <v>0</v>
      </c>
      <c r="AK133" s="650">
        <v>1.9675884188687576</v>
      </c>
    </row>
    <row r="134" spans="3:37" ht="13.5">
      <c r="C134" s="648" t="s">
        <v>354</v>
      </c>
      <c r="D134" s="642">
        <v>0</v>
      </c>
      <c r="E134" s="642">
        <v>0</v>
      </c>
      <c r="F134" s="642">
        <v>0</v>
      </c>
      <c r="G134" s="642">
        <v>0</v>
      </c>
      <c r="H134" s="642">
        <v>0</v>
      </c>
      <c r="I134" s="642">
        <v>0</v>
      </c>
      <c r="J134" s="642">
        <v>26.867608526350821</v>
      </c>
      <c r="K134" s="642">
        <v>0</v>
      </c>
      <c r="L134" s="642">
        <v>-26.867608526350821</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-99.513749603669936</v>
      </c>
      <c r="AE134" s="642">
        <v>0</v>
      </c>
      <c r="AF134" s="642">
        <v>0</v>
      </c>
      <c r="AG134" s="642">
        <v>0</v>
      </c>
      <c r="AH134" s="642">
        <v>0</v>
      </c>
      <c r="AI134" s="642">
        <v>0</v>
      </c>
      <c r="AJ134" s="642">
        <v>0</v>
      </c>
      <c r="AK134" s="650">
        <v>-99.513749603669936</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-17.985934640167208</v>
      </c>
      <c r="AE135" s="642">
        <v>0</v>
      </c>
      <c r="AF135" s="642">
        <v>0</v>
      </c>
      <c r="AG135" s="642">
        <v>0</v>
      </c>
      <c r="AH135" s="642">
        <v>0</v>
      </c>
      <c r="AI135" s="642">
        <v>0</v>
      </c>
      <c r="AJ135" s="642">
        <v>0</v>
      </c>
      <c r="AK135" s="650">
        <v>-17.985934640167208</v>
      </c>
    </row>
    <row r="136" spans="3:37" ht="13.5">
      <c r="C136" s="648" t="s">
        <v>73</v>
      </c>
      <c r="D136" s="642">
        <v>0</v>
      </c>
      <c r="E136" s="642">
        <v>0</v>
      </c>
      <c r="F136" s="642">
        <v>0</v>
      </c>
      <c r="G136" s="642">
        <v>7.0830222331165276</v>
      </c>
      <c r="H136" s="642">
        <v>0</v>
      </c>
      <c r="I136" s="642">
        <v>0</v>
      </c>
      <c r="J136" s="642">
        <v>0</v>
      </c>
      <c r="K136" s="642">
        <v>8.2131519400701847E-2</v>
      </c>
      <c r="L136" s="642">
        <v>0</v>
      </c>
      <c r="M136" s="642">
        <v>0.14455147414523528</v>
      </c>
      <c r="N136" s="642">
        <v>0</v>
      </c>
      <c r="O136" s="642">
        <v>0</v>
      </c>
      <c r="P136" s="642">
        <v>0.90023160054861806</v>
      </c>
      <c r="Q136" s="642">
        <v>0</v>
      </c>
      <c r="R136" s="642">
        <v>-5.7492063580491291</v>
      </c>
      <c r="S136" s="650">
        <v>2.4607304691619536</v>
      </c>
      <c r="U136" s="648" t="s">
        <v>73</v>
      </c>
      <c r="V136" s="642">
        <v>0</v>
      </c>
      <c r="W136" s="642">
        <v>0</v>
      </c>
      <c r="X136" s="642">
        <v>0</v>
      </c>
      <c r="Y136" s="642">
        <v>2.5209228009552263</v>
      </c>
      <c r="Z136" s="642">
        <v>0</v>
      </c>
      <c r="AA136" s="642">
        <v>0</v>
      </c>
      <c r="AB136" s="642">
        <v>0</v>
      </c>
      <c r="AC136" s="642">
        <v>0.50418456019104518</v>
      </c>
      <c r="AD136" s="642">
        <v>0</v>
      </c>
      <c r="AE136" s="642">
        <v>2.5209228009552263</v>
      </c>
      <c r="AF136" s="642">
        <v>0</v>
      </c>
      <c r="AG136" s="642">
        <v>0</v>
      </c>
      <c r="AH136" s="642">
        <v>44.712737508757456</v>
      </c>
      <c r="AI136" s="642">
        <v>0</v>
      </c>
      <c r="AJ136" s="642">
        <v>-35.29291921337316</v>
      </c>
      <c r="AK136" s="650">
        <v>14.965848457485791</v>
      </c>
    </row>
    <row r="137" spans="3:37" ht="13.5">
      <c r="C137" s="648" t="s">
        <v>356</v>
      </c>
      <c r="D137" s="642">
        <v>28.568314687499999</v>
      </c>
      <c r="E137" s="642">
        <v>-17.390343348799608</v>
      </c>
      <c r="F137" s="642">
        <v>22.745541936068136</v>
      </c>
      <c r="G137" s="642">
        <v>0</v>
      </c>
      <c r="H137" s="642">
        <v>0</v>
      </c>
      <c r="I137" s="642">
        <v>0</v>
      </c>
      <c r="J137" s="642">
        <v>0</v>
      </c>
      <c r="K137" s="642">
        <v>0</v>
      </c>
      <c r="L137" s="642">
        <v>0</v>
      </c>
      <c r="M137" s="642">
        <v>0</v>
      </c>
      <c r="N137" s="642">
        <v>0</v>
      </c>
      <c r="O137" s="642">
        <v>0</v>
      </c>
      <c r="P137" s="642">
        <v>0</v>
      </c>
      <c r="Q137" s="642">
        <v>0</v>
      </c>
      <c r="R137" s="642">
        <v>0</v>
      </c>
      <c r="S137" s="650">
        <v>33.923513274768524</v>
      </c>
      <c r="U137" s="648" t="s">
        <v>356</v>
      </c>
      <c r="V137" s="642">
        <v>1.4001075134277343</v>
      </c>
      <c r="W137" s="642">
        <v>-6.8176938713802535</v>
      </c>
      <c r="X137" s="642">
        <v>8.9171408952922331</v>
      </c>
      <c r="Y137" s="642">
        <v>0</v>
      </c>
      <c r="Z137" s="642">
        <v>0</v>
      </c>
      <c r="AA137" s="642">
        <v>0</v>
      </c>
      <c r="AB137" s="642">
        <v>0</v>
      </c>
      <c r="AC137" s="642">
        <v>0</v>
      </c>
      <c r="AD137" s="642">
        <v>0</v>
      </c>
      <c r="AE137" s="642">
        <v>0</v>
      </c>
      <c r="AF137" s="642">
        <v>0</v>
      </c>
      <c r="AG137" s="642">
        <v>0</v>
      </c>
      <c r="AH137" s="642">
        <v>0</v>
      </c>
      <c r="AI137" s="642">
        <v>0</v>
      </c>
      <c r="AJ137" s="642">
        <v>0</v>
      </c>
      <c r="AK137" s="650">
        <v>3.4995545373397139</v>
      </c>
    </row>
    <row r="138" spans="3:37" ht="13.5">
      <c r="C138" s="648" t="s">
        <v>75</v>
      </c>
      <c r="D138" s="642">
        <v>11.109900156250001</v>
      </c>
      <c r="E138" s="642">
        <v>0</v>
      </c>
      <c r="F138" s="642">
        <v>17.0641175716937</v>
      </c>
      <c r="G138" s="642">
        <v>4.8692961376638904</v>
      </c>
      <c r="H138" s="642">
        <v>0</v>
      </c>
      <c r="I138" s="642">
        <v>0</v>
      </c>
      <c r="J138" s="642">
        <v>0</v>
      </c>
      <c r="K138" s="642">
        <v>0</v>
      </c>
      <c r="L138" s="642">
        <v>0</v>
      </c>
      <c r="M138" s="642">
        <v>9.9373390564569189E-2</v>
      </c>
      <c r="N138" s="642">
        <v>0</v>
      </c>
      <c r="O138" s="642">
        <v>0</v>
      </c>
      <c r="P138" s="642">
        <v>27.977940148174714</v>
      </c>
      <c r="Q138" s="642">
        <v>0</v>
      </c>
      <c r="R138" s="642">
        <v>0</v>
      </c>
      <c r="S138" s="650">
        <v>61.12062740434687</v>
      </c>
      <c r="U138" s="648" t="s">
        <v>75</v>
      </c>
      <c r="V138" s="642">
        <v>2.585423095703125</v>
      </c>
      <c r="W138" s="642">
        <v>0</v>
      </c>
      <c r="X138" s="642">
        <v>17.0641175716937</v>
      </c>
      <c r="Y138" s="642">
        <v>2.4843347641142297</v>
      </c>
      <c r="Z138" s="642">
        <v>0</v>
      </c>
      <c r="AA138" s="642">
        <v>0</v>
      </c>
      <c r="AB138" s="642">
        <v>0</v>
      </c>
      <c r="AC138" s="642">
        <v>0</v>
      </c>
      <c r="AD138" s="642">
        <v>0</v>
      </c>
      <c r="AE138" s="642">
        <v>2.4843347641142297</v>
      </c>
      <c r="AF138" s="642">
        <v>0</v>
      </c>
      <c r="AG138" s="642">
        <v>0</v>
      </c>
      <c r="AH138" s="642">
        <v>36.559985602720168</v>
      </c>
      <c r="AI138" s="642">
        <v>0</v>
      </c>
      <c r="AJ138" s="642">
        <v>0</v>
      </c>
      <c r="AK138" s="650">
        <v>61.178195798345449</v>
      </c>
    </row>
    <row r="139" spans="3:37" ht="13.5">
      <c r="C139" s="648" t="s">
        <v>76</v>
      </c>
      <c r="D139" s="642">
        <v>0</v>
      </c>
      <c r="E139" s="642">
        <v>0</v>
      </c>
      <c r="F139" s="642">
        <v>0</v>
      </c>
      <c r="G139" s="642">
        <v>3.7302503173667452</v>
      </c>
      <c r="H139" s="642">
        <v>0</v>
      </c>
      <c r="I139" s="642">
        <v>0</v>
      </c>
      <c r="J139" s="642">
        <v>0</v>
      </c>
      <c r="K139" s="642">
        <v>0</v>
      </c>
      <c r="L139" s="642">
        <v>0</v>
      </c>
      <c r="M139" s="642">
        <v>7.6127557497280507E-2</v>
      </c>
      <c r="N139" s="642">
        <v>0</v>
      </c>
      <c r="O139" s="642">
        <v>0</v>
      </c>
      <c r="P139" s="642">
        <v>45.919010237367587</v>
      </c>
      <c r="Q139" s="642">
        <v>2.9343505562312622</v>
      </c>
      <c r="R139" s="642">
        <v>0</v>
      </c>
      <c r="S139" s="650">
        <v>52.659738668462872</v>
      </c>
      <c r="U139" s="648" t="s">
        <v>76</v>
      </c>
      <c r="V139" s="642">
        <v>0</v>
      </c>
      <c r="W139" s="642">
        <v>0</v>
      </c>
      <c r="X139" s="642">
        <v>0</v>
      </c>
      <c r="Y139" s="642">
        <v>0.95944671778813329</v>
      </c>
      <c r="Z139" s="642">
        <v>0</v>
      </c>
      <c r="AA139" s="642">
        <v>0</v>
      </c>
      <c r="AB139" s="642">
        <v>0</v>
      </c>
      <c r="AC139" s="642">
        <v>0</v>
      </c>
      <c r="AD139" s="642">
        <v>0</v>
      </c>
      <c r="AE139" s="642">
        <v>0.95944671778813329</v>
      </c>
      <c r="AF139" s="642">
        <v>0</v>
      </c>
      <c r="AG139" s="642">
        <v>0</v>
      </c>
      <c r="AH139" s="642">
        <v>49.138117436745475</v>
      </c>
      <c r="AI139" s="642">
        <v>5.7424951548403769</v>
      </c>
      <c r="AJ139" s="642">
        <v>0</v>
      </c>
      <c r="AK139" s="650">
        <v>56.799506027162117</v>
      </c>
    </row>
    <row r="140" spans="3:37" ht="13.5">
      <c r="C140" s="646" t="s">
        <v>77</v>
      </c>
      <c r="D140" s="647">
        <v>42.505000484775252</v>
      </c>
      <c r="E140" s="647">
        <v>484.495467583368</v>
      </c>
      <c r="F140" s="647">
        <v>-449.13421563675462</v>
      </c>
      <c r="G140" s="647">
        <v>47.207234809306371</v>
      </c>
      <c r="H140" s="647">
        <v>843.18181818181824</v>
      </c>
      <c r="I140" s="647">
        <v>306.94588327561422</v>
      </c>
      <c r="J140" s="647">
        <v>75.087544766016393</v>
      </c>
      <c r="K140" s="647">
        <v>18.554763704158422</v>
      </c>
      <c r="L140" s="647">
        <v>-23.523971773378101</v>
      </c>
      <c r="M140" s="647">
        <v>-5.3154503193453246</v>
      </c>
      <c r="N140" s="647">
        <v>0</v>
      </c>
      <c r="O140" s="647">
        <v>9.1176200722123912</v>
      </c>
      <c r="P140" s="647">
        <v>-542.13274839202359</v>
      </c>
      <c r="Q140" s="647">
        <v>-34.870731395116664</v>
      </c>
      <c r="R140" s="647">
        <v>-5.7492063580491291</v>
      </c>
      <c r="S140" s="647">
        <v>766.36900900260184</v>
      </c>
      <c r="U140" s="646" t="s">
        <v>77</v>
      </c>
      <c r="V140" s="647">
        <v>4.6118455145895494</v>
      </c>
      <c r="W140" s="647">
        <v>189.94114801549574</v>
      </c>
      <c r="X140" s="647">
        <v>-164.75055368632826</v>
      </c>
      <c r="Y140" s="647">
        <v>14.771936460533603</v>
      </c>
      <c r="Z140" s="647">
        <v>842.12121212121212</v>
      </c>
      <c r="AA140" s="647">
        <v>361.66588327561419</v>
      </c>
      <c r="AB140" s="647">
        <v>138.19810981289308</v>
      </c>
      <c r="AC140" s="647">
        <v>31.958068806629939</v>
      </c>
      <c r="AD140" s="647">
        <v>-114.15604749086444</v>
      </c>
      <c r="AE140" s="647">
        <v>-66.000175998632287</v>
      </c>
      <c r="AF140" s="647">
        <v>0</v>
      </c>
      <c r="AG140" s="647">
        <v>19.568792039795159</v>
      </c>
      <c r="AH140" s="647">
        <v>-532.33908982989124</v>
      </c>
      <c r="AI140" s="647">
        <v>-68.301024235701377</v>
      </c>
      <c r="AJ140" s="647">
        <v>-31.04291921337316</v>
      </c>
      <c r="AK140" s="647">
        <v>626.24718559197242</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4.6398193944555786</v>
      </c>
      <c r="E142" s="642">
        <v>0</v>
      </c>
      <c r="F142" s="642">
        <v>20.598782441852151</v>
      </c>
      <c r="G142" s="642">
        <v>94.839699954986926</v>
      </c>
      <c r="H142" s="642">
        <v>0</v>
      </c>
      <c r="I142" s="642">
        <v>0</v>
      </c>
      <c r="J142" s="642">
        <v>21.821162214793436</v>
      </c>
      <c r="K142" s="642">
        <v>1.7366010173968038</v>
      </c>
      <c r="L142" s="642">
        <v>0.96096945898437491</v>
      </c>
      <c r="M142" s="642">
        <v>1.9539169420126139</v>
      </c>
      <c r="N142" s="642">
        <v>0</v>
      </c>
      <c r="O142" s="642">
        <v>3.7537634069694789E-4</v>
      </c>
      <c r="P142" s="642">
        <v>113.419965125608</v>
      </c>
      <c r="Q142" s="642">
        <v>16.150451210263412</v>
      </c>
      <c r="R142" s="642">
        <v>0.26695886230468752</v>
      </c>
      <c r="S142" s="650">
        <v>276.38870199899873</v>
      </c>
      <c r="U142" s="648" t="s">
        <v>78</v>
      </c>
      <c r="V142" s="642">
        <v>1.264986561669641</v>
      </c>
      <c r="W142" s="642">
        <v>0</v>
      </c>
      <c r="X142" s="642">
        <v>4.4259635061357878</v>
      </c>
      <c r="Y142" s="642">
        <v>33.008089674756327</v>
      </c>
      <c r="Z142" s="642">
        <v>0</v>
      </c>
      <c r="AA142" s="642">
        <v>0</v>
      </c>
      <c r="AB142" s="642">
        <v>14.926911405045434</v>
      </c>
      <c r="AC142" s="642">
        <v>4.7591564459641997</v>
      </c>
      <c r="AD142" s="642">
        <v>6.4130046386718744</v>
      </c>
      <c r="AE142" s="642">
        <v>33.02650253605492</v>
      </c>
      <c r="AF142" s="642">
        <v>0</v>
      </c>
      <c r="AG142" s="642">
        <v>3.7537634069694789E-4</v>
      </c>
      <c r="AH142" s="642">
        <v>148.98135712801343</v>
      </c>
      <c r="AI142" s="642">
        <v>24.187634778338289</v>
      </c>
      <c r="AJ142" s="642">
        <v>7.9027373046875002</v>
      </c>
      <c r="AK142" s="650">
        <v>278.8967193556781</v>
      </c>
    </row>
    <row r="143" spans="3:37" ht="13.5">
      <c r="C143" s="648" t="s">
        <v>79</v>
      </c>
      <c r="D143" s="642">
        <v>0</v>
      </c>
      <c r="E143" s="642">
        <v>0</v>
      </c>
      <c r="F143" s="642">
        <v>225.72324837131151</v>
      </c>
      <c r="G143" s="642">
        <v>31.930807664827714</v>
      </c>
      <c r="H143" s="642">
        <v>0</v>
      </c>
      <c r="I143" s="642">
        <v>0</v>
      </c>
      <c r="J143" s="642">
        <v>0</v>
      </c>
      <c r="K143" s="642">
        <v>0</v>
      </c>
      <c r="L143" s="642">
        <v>21.777356740546686</v>
      </c>
      <c r="M143" s="642">
        <v>0.65164913601689212</v>
      </c>
      <c r="N143" s="642">
        <v>0</v>
      </c>
      <c r="O143" s="642">
        <v>0</v>
      </c>
      <c r="P143" s="642">
        <v>72.885841088882287</v>
      </c>
      <c r="Q143" s="642">
        <v>0</v>
      </c>
      <c r="R143" s="642">
        <v>2.6521266956987635</v>
      </c>
      <c r="S143" s="650">
        <v>355.62102969728386</v>
      </c>
      <c r="U143" s="648" t="s">
        <v>79</v>
      </c>
      <c r="V143" s="642">
        <v>0</v>
      </c>
      <c r="W143" s="642">
        <v>0</v>
      </c>
      <c r="X143" s="642">
        <v>19.003305935487372</v>
      </c>
      <c r="Y143" s="642">
        <v>13.267062862305856</v>
      </c>
      <c r="Z143" s="642">
        <v>0</v>
      </c>
      <c r="AA143" s="642">
        <v>0</v>
      </c>
      <c r="AB143" s="642">
        <v>0</v>
      </c>
      <c r="AC143" s="642">
        <v>0</v>
      </c>
      <c r="AD143" s="642">
        <v>27.757428454399612</v>
      </c>
      <c r="AE143" s="642">
        <v>13.267062862305856</v>
      </c>
      <c r="AF143" s="642">
        <v>0</v>
      </c>
      <c r="AG143" s="642">
        <v>0</v>
      </c>
      <c r="AH143" s="642">
        <v>94.556676700547257</v>
      </c>
      <c r="AI143" s="642">
        <v>0</v>
      </c>
      <c r="AJ143" s="642">
        <v>6.3130917169295051</v>
      </c>
      <c r="AK143" s="650">
        <v>174.16462853197544</v>
      </c>
    </row>
    <row r="144" spans="3:37" ht="13.5">
      <c r="C144" s="648" t="s">
        <v>80</v>
      </c>
      <c r="D144" s="642">
        <v>0</v>
      </c>
      <c r="E144" s="642">
        <v>0</v>
      </c>
      <c r="F144" s="642">
        <v>11.075929176351762</v>
      </c>
      <c r="G144" s="642">
        <v>76.664751333295058</v>
      </c>
      <c r="H144" s="642">
        <v>0</v>
      </c>
      <c r="I144" s="642">
        <v>0</v>
      </c>
      <c r="J144" s="642">
        <v>88.320247059496523</v>
      </c>
      <c r="K144" s="642">
        <v>0</v>
      </c>
      <c r="L144" s="642">
        <v>0</v>
      </c>
      <c r="M144" s="642">
        <v>1.5645867619039808</v>
      </c>
      <c r="N144" s="642">
        <v>59.616390446150973</v>
      </c>
      <c r="O144" s="642">
        <v>2.0734984243972754</v>
      </c>
      <c r="P144" s="642">
        <v>190.93239321884863</v>
      </c>
      <c r="Q144" s="642">
        <v>15.360003531773184</v>
      </c>
      <c r="R144" s="642">
        <v>0</v>
      </c>
      <c r="S144" s="650">
        <v>445.60779995221742</v>
      </c>
      <c r="U144" s="648" t="s">
        <v>80</v>
      </c>
      <c r="V144" s="642">
        <v>0</v>
      </c>
      <c r="W144" s="642">
        <v>0</v>
      </c>
      <c r="X144" s="642">
        <v>0.97925934500211753</v>
      </c>
      <c r="Y144" s="642">
        <v>9.8253088649292142</v>
      </c>
      <c r="Z144" s="642">
        <v>0</v>
      </c>
      <c r="AA144" s="642">
        <v>0</v>
      </c>
      <c r="AB144" s="642">
        <v>50.204880630535357</v>
      </c>
      <c r="AC144" s="642">
        <v>0</v>
      </c>
      <c r="AD144" s="642">
        <v>0</v>
      </c>
      <c r="AE144" s="642">
        <v>9.8253088649292142</v>
      </c>
      <c r="AF144" s="642">
        <v>95.02342184325245</v>
      </c>
      <c r="AG144" s="642">
        <v>4.208312775429496</v>
      </c>
      <c r="AH144" s="642">
        <v>144.38732956018927</v>
      </c>
      <c r="AI144" s="642">
        <v>30.75075127630511</v>
      </c>
      <c r="AJ144" s="642">
        <v>0</v>
      </c>
      <c r="AK144" s="650">
        <v>345.20457316057224</v>
      </c>
    </row>
    <row r="145" spans="3:37" ht="13.5">
      <c r="C145" s="648" t="s">
        <v>81</v>
      </c>
      <c r="D145" s="642">
        <v>0</v>
      </c>
      <c r="E145" s="642">
        <v>0</v>
      </c>
      <c r="F145" s="642">
        <v>2.6743117433405894</v>
      </c>
      <c r="G145" s="642">
        <v>62.987223173923248</v>
      </c>
      <c r="H145" s="642">
        <v>0</v>
      </c>
      <c r="I145" s="642">
        <v>0</v>
      </c>
      <c r="J145" s="642">
        <v>3.1384766478070549</v>
      </c>
      <c r="K145" s="642">
        <v>2.5274117631643136E-2</v>
      </c>
      <c r="L145" s="642">
        <v>0</v>
      </c>
      <c r="M145" s="642">
        <v>1.2854535341616988</v>
      </c>
      <c r="N145" s="642">
        <v>8.34801759276524</v>
      </c>
      <c r="O145" s="642">
        <v>0.71507622546549865</v>
      </c>
      <c r="P145" s="642">
        <v>142.0321146826426</v>
      </c>
      <c r="Q145" s="642">
        <v>3.3602766530800707</v>
      </c>
      <c r="R145" s="642">
        <v>0</v>
      </c>
      <c r="S145" s="650">
        <v>224.56622437081765</v>
      </c>
      <c r="U145" s="648" t="s">
        <v>81</v>
      </c>
      <c r="V145" s="642">
        <v>0</v>
      </c>
      <c r="W145" s="642">
        <v>0</v>
      </c>
      <c r="X145" s="642">
        <v>1.2256055704751125</v>
      </c>
      <c r="Y145" s="642">
        <v>7.2918833253665882</v>
      </c>
      <c r="Z145" s="642">
        <v>0</v>
      </c>
      <c r="AA145" s="642">
        <v>0</v>
      </c>
      <c r="AB145" s="642">
        <v>6.8658928642747856</v>
      </c>
      <c r="AC145" s="642">
        <v>2.5274117631643136E-2</v>
      </c>
      <c r="AD145" s="642">
        <v>0</v>
      </c>
      <c r="AE145" s="642">
        <v>7.2918833253665882</v>
      </c>
      <c r="AF145" s="642">
        <v>14.828462979838848</v>
      </c>
      <c r="AG145" s="642">
        <v>1.5197231438340593</v>
      </c>
      <c r="AH145" s="642">
        <v>114.40426288608282</v>
      </c>
      <c r="AI145" s="642">
        <v>13.362638181057982</v>
      </c>
      <c r="AJ145" s="642">
        <v>0</v>
      </c>
      <c r="AK145" s="650">
        <v>166.8156263939284</v>
      </c>
    </row>
    <row r="146" spans="3:37" ht="13.5">
      <c r="C146" s="648" t="s">
        <v>82</v>
      </c>
      <c r="D146" s="642">
        <v>0</v>
      </c>
      <c r="E146" s="642">
        <v>0</v>
      </c>
      <c r="F146" s="642">
        <v>27.931723909553636</v>
      </c>
      <c r="G146" s="642">
        <v>0.95472649492283324</v>
      </c>
      <c r="H146" s="642">
        <v>0</v>
      </c>
      <c r="I146" s="642">
        <v>0</v>
      </c>
      <c r="J146" s="642">
        <v>4.6306119511950978</v>
      </c>
      <c r="K146" s="642">
        <v>0</v>
      </c>
      <c r="L146" s="642">
        <v>3.1934862443619529</v>
      </c>
      <c r="M146" s="642">
        <v>1.9484214182098638E-2</v>
      </c>
      <c r="N146" s="642">
        <v>0</v>
      </c>
      <c r="O146" s="642">
        <v>6.6456137421005312E-2</v>
      </c>
      <c r="P146" s="642">
        <v>5.7660712732306445</v>
      </c>
      <c r="Q146" s="642">
        <v>0</v>
      </c>
      <c r="R146" s="642">
        <v>0</v>
      </c>
      <c r="S146" s="650">
        <v>42.562560224867276</v>
      </c>
      <c r="U146" s="648" t="s">
        <v>82</v>
      </c>
      <c r="V146" s="642">
        <v>0</v>
      </c>
      <c r="W146" s="642">
        <v>0</v>
      </c>
      <c r="X146" s="642">
        <v>3.5775053425595864</v>
      </c>
      <c r="Y146" s="642">
        <v>0.56393102033742082</v>
      </c>
      <c r="Z146" s="642">
        <v>0</v>
      </c>
      <c r="AA146" s="642">
        <v>0</v>
      </c>
      <c r="AB146" s="642">
        <v>4.6306119511950978</v>
      </c>
      <c r="AC146" s="642">
        <v>0</v>
      </c>
      <c r="AD146" s="642">
        <v>32.861113305842508</v>
      </c>
      <c r="AE146" s="642">
        <v>0.56393102033742082</v>
      </c>
      <c r="AF146" s="642">
        <v>0</v>
      </c>
      <c r="AG146" s="642">
        <v>1.7440136932478227</v>
      </c>
      <c r="AH146" s="642">
        <v>5.8866318405152116</v>
      </c>
      <c r="AI146" s="642">
        <v>0</v>
      </c>
      <c r="AJ146" s="642">
        <v>0.38427420359697795</v>
      </c>
      <c r="AK146" s="650">
        <v>50.21201237763205</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0.39</v>
      </c>
      <c r="Q147" s="642">
        <v>0</v>
      </c>
      <c r="R147" s="642">
        <v>0</v>
      </c>
      <c r="S147" s="650">
        <v>0.39</v>
      </c>
      <c r="U147" s="648" t="s">
        <v>357</v>
      </c>
      <c r="V147" s="642">
        <v>0</v>
      </c>
      <c r="W147" s="642">
        <v>0</v>
      </c>
      <c r="X147" s="642">
        <v>0</v>
      </c>
      <c r="Y147" s="642">
        <v>0</v>
      </c>
      <c r="Z147" s="642">
        <v>0</v>
      </c>
      <c r="AA147" s="642">
        <v>0</v>
      </c>
      <c r="AB147" s="642">
        <v>0</v>
      </c>
      <c r="AC147" s="642">
        <v>0</v>
      </c>
      <c r="AD147" s="642">
        <v>0</v>
      </c>
      <c r="AE147" s="642">
        <v>0</v>
      </c>
      <c r="AF147" s="642">
        <v>0</v>
      </c>
      <c r="AG147" s="642">
        <v>0</v>
      </c>
      <c r="AH147" s="642">
        <v>3.5999999999999996</v>
      </c>
      <c r="AI147" s="642">
        <v>0</v>
      </c>
      <c r="AJ147" s="642">
        <v>0</v>
      </c>
      <c r="AK147" s="650">
        <v>3.5999999999999996</v>
      </c>
    </row>
    <row r="148" spans="3:37" ht="13.5">
      <c r="C148" s="646" t="s">
        <v>83</v>
      </c>
      <c r="D148" s="647">
        <v>4.6398193944555786</v>
      </c>
      <c r="E148" s="647">
        <v>0</v>
      </c>
      <c r="F148" s="647">
        <v>288.00399564240968</v>
      </c>
      <c r="G148" s="647">
        <v>267.37720862195579</v>
      </c>
      <c r="H148" s="647">
        <v>0</v>
      </c>
      <c r="I148" s="647">
        <v>0</v>
      </c>
      <c r="J148" s="647">
        <v>117.91049787329212</v>
      </c>
      <c r="K148" s="647">
        <v>1.7618751350284469</v>
      </c>
      <c r="L148" s="647">
        <v>25.931812443893016</v>
      </c>
      <c r="M148" s="647">
        <v>5.4750905882772853</v>
      </c>
      <c r="N148" s="647">
        <v>67.964408038916218</v>
      </c>
      <c r="O148" s="647">
        <v>2.8554061636244761</v>
      </c>
      <c r="P148" s="647">
        <v>525.4263853892121</v>
      </c>
      <c r="Q148" s="647">
        <v>34.870731395116664</v>
      </c>
      <c r="R148" s="647">
        <v>2.9190855580034509</v>
      </c>
      <c r="S148" s="647">
        <v>1345.1363162441851</v>
      </c>
      <c r="U148" s="646" t="s">
        <v>83</v>
      </c>
      <c r="V148" s="647">
        <v>1.264986561669641</v>
      </c>
      <c r="W148" s="647">
        <v>0</v>
      </c>
      <c r="X148" s="647">
        <v>29.211639699659976</v>
      </c>
      <c r="Y148" s="647">
        <v>63.956275747695408</v>
      </c>
      <c r="Z148" s="647">
        <v>0</v>
      </c>
      <c r="AA148" s="647">
        <v>0</v>
      </c>
      <c r="AB148" s="647">
        <v>76.628296851050663</v>
      </c>
      <c r="AC148" s="647">
        <v>4.7844305635958433</v>
      </c>
      <c r="AD148" s="647">
        <v>67.031546398914003</v>
      </c>
      <c r="AE148" s="647">
        <v>63.974688608994001</v>
      </c>
      <c r="AF148" s="647">
        <v>109.8518848230913</v>
      </c>
      <c r="AG148" s="647">
        <v>7.4724249888520751</v>
      </c>
      <c r="AH148" s="647">
        <v>511.81625811534803</v>
      </c>
      <c r="AI148" s="647">
        <v>68.301024235701377</v>
      </c>
      <c r="AJ148" s="647">
        <v>14.600103225213982</v>
      </c>
      <c r="AK148" s="647">
        <v>1018.8935598197862</v>
      </c>
    </row>
    <row r="149" spans="3:37" ht="13.5">
      <c r="C149" s="641" t="s">
        <v>84</v>
      </c>
      <c r="D149" s="642">
        <v>0</v>
      </c>
      <c r="E149" s="642">
        <v>0</v>
      </c>
      <c r="F149" s="642">
        <v>104.91003257681685</v>
      </c>
      <c r="G149" s="642">
        <v>11.505661507854215</v>
      </c>
      <c r="H149" s="642">
        <v>0</v>
      </c>
      <c r="I149" s="642">
        <v>0</v>
      </c>
      <c r="J149" s="642">
        <v>0</v>
      </c>
      <c r="K149" s="642">
        <v>0</v>
      </c>
      <c r="L149" s="642">
        <v>0</v>
      </c>
      <c r="M149" s="642">
        <v>0</v>
      </c>
      <c r="N149" s="642">
        <v>0</v>
      </c>
      <c r="O149" s="642">
        <v>0</v>
      </c>
      <c r="P149" s="642">
        <v>0</v>
      </c>
      <c r="Q149" s="642">
        <v>0</v>
      </c>
      <c r="R149" s="642">
        <v>2.8301208000456781</v>
      </c>
      <c r="S149" s="650">
        <v>119.24581488471674</v>
      </c>
      <c r="U149" s="641" t="s">
        <v>84</v>
      </c>
      <c r="V149" s="642">
        <v>0</v>
      </c>
      <c r="W149" s="642">
        <v>0</v>
      </c>
      <c r="X149" s="642">
        <v>70.401025384734808</v>
      </c>
      <c r="Y149" s="642">
        <v>0.81519182748409058</v>
      </c>
      <c r="Z149" s="642">
        <v>0</v>
      </c>
      <c r="AA149" s="642">
        <v>0</v>
      </c>
      <c r="AB149" s="642">
        <v>0</v>
      </c>
      <c r="AC149" s="642">
        <v>0</v>
      </c>
      <c r="AD149" s="642">
        <v>24.563190847778323</v>
      </c>
      <c r="AE149" s="642">
        <v>0</v>
      </c>
      <c r="AF149" s="642">
        <v>0</v>
      </c>
      <c r="AG149" s="642">
        <v>0</v>
      </c>
      <c r="AH149" s="642">
        <v>0</v>
      </c>
      <c r="AI149" s="642">
        <v>0</v>
      </c>
      <c r="AJ149" s="642">
        <v>16.442815988159179</v>
      </c>
      <c r="AK149" s="650">
        <v>112.22222404815641</v>
      </c>
    </row>
    <row r="150" spans="3:37" ht="13.5">
      <c r="C150" s="646" t="s">
        <v>85</v>
      </c>
      <c r="D150" s="647">
        <v>4.6398193944555786</v>
      </c>
      <c r="E150" s="647">
        <v>0</v>
      </c>
      <c r="F150" s="647">
        <v>392.91402821922651</v>
      </c>
      <c r="G150" s="647">
        <v>278.88287012980999</v>
      </c>
      <c r="H150" s="647">
        <v>0</v>
      </c>
      <c r="I150" s="647">
        <v>0</v>
      </c>
      <c r="J150" s="647">
        <v>117.91049787329212</v>
      </c>
      <c r="K150" s="647">
        <v>1.7618751350284469</v>
      </c>
      <c r="L150" s="647">
        <v>25.931812443893016</v>
      </c>
      <c r="M150" s="647">
        <v>5.4750905882772853</v>
      </c>
      <c r="N150" s="647">
        <v>67.964408038916218</v>
      </c>
      <c r="O150" s="647">
        <v>2.8554061636244761</v>
      </c>
      <c r="P150" s="647">
        <v>525.4263853892121</v>
      </c>
      <c r="Q150" s="647">
        <v>34.870731395116664</v>
      </c>
      <c r="R150" s="647">
        <v>5.7492063580491291</v>
      </c>
      <c r="S150" s="647">
        <v>1464.3821311289018</v>
      </c>
      <c r="U150" s="646" t="s">
        <v>85</v>
      </c>
      <c r="V150" s="647">
        <v>1.264986561669641</v>
      </c>
      <c r="W150" s="647">
        <v>0</v>
      </c>
      <c r="X150" s="647">
        <v>99.612665084394791</v>
      </c>
      <c r="Y150" s="647">
        <v>64.7714675751795</v>
      </c>
      <c r="Z150" s="647">
        <v>0</v>
      </c>
      <c r="AA150" s="647">
        <v>0</v>
      </c>
      <c r="AB150" s="647">
        <v>76.628296851050663</v>
      </c>
      <c r="AC150" s="647">
        <v>4.7844305635958433</v>
      </c>
      <c r="AD150" s="647">
        <v>91.594737246692318</v>
      </c>
      <c r="AE150" s="647">
        <v>63.974688608994001</v>
      </c>
      <c r="AF150" s="647">
        <v>109.8518848230913</v>
      </c>
      <c r="AG150" s="647">
        <v>7.4724249888520751</v>
      </c>
      <c r="AH150" s="647">
        <v>511.81625811534803</v>
      </c>
      <c r="AI150" s="647">
        <v>68.301024235701377</v>
      </c>
      <c r="AJ150" s="647">
        <v>31.04291921337316</v>
      </c>
      <c r="AK150" s="647">
        <v>1131.1157838679426</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22.5">
      <c r="C152" s="699" t="s">
        <v>89</v>
      </c>
      <c r="D152" s="699"/>
      <c r="E152" s="699"/>
      <c r="F152" s="699"/>
      <c r="G152" s="699"/>
      <c r="H152" s="699"/>
      <c r="I152" s="699"/>
      <c r="J152" s="699"/>
      <c r="K152" s="699"/>
      <c r="L152" s="699"/>
      <c r="M152" s="699"/>
      <c r="N152" s="699"/>
      <c r="O152" s="699"/>
      <c r="P152" s="699"/>
      <c r="Q152" s="699"/>
      <c r="R152" s="699"/>
      <c r="S152" s="699"/>
      <c r="U152" s="699" t="s">
        <v>89</v>
      </c>
      <c r="V152" s="699"/>
      <c r="W152" s="699"/>
      <c r="X152" s="699"/>
      <c r="Y152" s="699"/>
      <c r="Z152" s="699"/>
      <c r="AA152" s="699"/>
      <c r="AB152" s="699"/>
      <c r="AC152" s="699"/>
      <c r="AD152" s="699"/>
      <c r="AE152" s="699"/>
      <c r="AF152" s="699"/>
      <c r="AG152" s="699"/>
      <c r="AH152" s="699"/>
      <c r="AI152" s="699"/>
      <c r="AJ152" s="699"/>
      <c r="AK152" s="699"/>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13" customHeight="1">
      <c r="C154" s="700" t="s">
        <v>128</v>
      </c>
      <c r="D154" s="701" t="s">
        <v>42</v>
      </c>
      <c r="E154" s="701" t="s">
        <v>52</v>
      </c>
      <c r="F154" s="701" t="s">
        <v>53</v>
      </c>
      <c r="G154" s="701" t="s">
        <v>32</v>
      </c>
      <c r="H154" s="701" t="s">
        <v>20</v>
      </c>
      <c r="I154" s="701" t="s">
        <v>55</v>
      </c>
      <c r="J154" s="701" t="s">
        <v>56</v>
      </c>
      <c r="K154" s="701"/>
      <c r="L154" s="701"/>
      <c r="M154" s="701"/>
      <c r="N154" s="701"/>
      <c r="O154" s="701"/>
      <c r="P154" s="701" t="s">
        <v>57</v>
      </c>
      <c r="Q154" s="701" t="s">
        <v>58</v>
      </c>
      <c r="R154" s="701" t="s">
        <v>31</v>
      </c>
      <c r="S154" s="701" t="s">
        <v>10</v>
      </c>
      <c r="U154" s="700" t="s">
        <v>128</v>
      </c>
      <c r="V154" s="701" t="s">
        <v>42</v>
      </c>
      <c r="W154" s="701" t="s">
        <v>52</v>
      </c>
      <c r="X154" s="701" t="s">
        <v>53</v>
      </c>
      <c r="Y154" s="701" t="s">
        <v>32</v>
      </c>
      <c r="Z154" s="701" t="s">
        <v>20</v>
      </c>
      <c r="AA154" s="701" t="s">
        <v>55</v>
      </c>
      <c r="AB154" s="701" t="s">
        <v>56</v>
      </c>
      <c r="AC154" s="701"/>
      <c r="AD154" s="701"/>
      <c r="AE154" s="701"/>
      <c r="AF154" s="701"/>
      <c r="AG154" s="701"/>
      <c r="AH154" s="701" t="s">
        <v>57</v>
      </c>
      <c r="AI154" s="701" t="s">
        <v>58</v>
      </c>
      <c r="AJ154" s="701" t="s">
        <v>31</v>
      </c>
      <c r="AK154" s="701" t="s">
        <v>10</v>
      </c>
    </row>
    <row r="155" spans="3:37" ht="46">
      <c r="C155" s="700"/>
      <c r="D155" s="701"/>
      <c r="E155" s="701"/>
      <c r="F155" s="701"/>
      <c r="G155" s="701"/>
      <c r="H155" s="701"/>
      <c r="I155" s="701"/>
      <c r="J155" s="640" t="s">
        <v>338</v>
      </c>
      <c r="K155" s="640" t="s">
        <v>40</v>
      </c>
      <c r="L155" s="640" t="s">
        <v>346</v>
      </c>
      <c r="M155" s="640" t="s">
        <v>347</v>
      </c>
      <c r="N155" s="640" t="s">
        <v>348</v>
      </c>
      <c r="O155" s="640" t="s">
        <v>349</v>
      </c>
      <c r="P155" s="701"/>
      <c r="Q155" s="701"/>
      <c r="R155" s="701"/>
      <c r="S155" s="701"/>
      <c r="U155" s="700"/>
      <c r="V155" s="701"/>
      <c r="W155" s="701"/>
      <c r="X155" s="701"/>
      <c r="Y155" s="701"/>
      <c r="Z155" s="701"/>
      <c r="AA155" s="701"/>
      <c r="AB155" s="640" t="s">
        <v>338</v>
      </c>
      <c r="AC155" s="640" t="s">
        <v>40</v>
      </c>
      <c r="AD155" s="640" t="s">
        <v>346</v>
      </c>
      <c r="AE155" s="640" t="s">
        <v>347</v>
      </c>
      <c r="AF155" s="640" t="s">
        <v>348</v>
      </c>
      <c r="AG155" s="640" t="s">
        <v>349</v>
      </c>
      <c r="AH155" s="701"/>
      <c r="AI155" s="701"/>
      <c r="AJ155" s="701"/>
      <c r="AK155" s="701"/>
    </row>
    <row r="156" spans="3:37" ht="13.5">
      <c r="C156" s="641" t="s">
        <v>59</v>
      </c>
      <c r="D156" s="642">
        <v>0</v>
      </c>
      <c r="E156" s="643">
        <v>0</v>
      </c>
      <c r="F156" s="643">
        <v>0</v>
      </c>
      <c r="G156" s="642">
        <v>0</v>
      </c>
      <c r="H156" s="643">
        <v>727.27272727272737</v>
      </c>
      <c r="I156" s="643">
        <v>338.37995078139568</v>
      </c>
      <c r="J156" s="643">
        <v>185.12606679296266</v>
      </c>
      <c r="K156" s="643">
        <v>19.887492227897642</v>
      </c>
      <c r="L156" s="643">
        <v>0.67629573379861951</v>
      </c>
      <c r="M156" s="643">
        <v>0.16041590589481752</v>
      </c>
      <c r="N156" s="643">
        <v>75.083762899489528</v>
      </c>
      <c r="O156" s="643">
        <v>12.515766779598991</v>
      </c>
      <c r="P156" s="644">
        <v>0</v>
      </c>
      <c r="Q156" s="643">
        <v>0</v>
      </c>
      <c r="R156" s="643">
        <v>0</v>
      </c>
      <c r="S156" s="645">
        <v>1359.1024783937653</v>
      </c>
      <c r="U156" s="641" t="s">
        <v>59</v>
      </c>
      <c r="V156" s="642">
        <v>0</v>
      </c>
      <c r="W156" s="643">
        <v>0</v>
      </c>
      <c r="X156" s="643">
        <v>0</v>
      </c>
      <c r="Y156" s="642">
        <v>0</v>
      </c>
      <c r="Z156" s="643">
        <v>764.84848484848499</v>
      </c>
      <c r="AA156" s="643">
        <v>423.19995078139567</v>
      </c>
      <c r="AB156" s="643">
        <v>256.09062969225096</v>
      </c>
      <c r="AC156" s="643">
        <v>36.108430969743218</v>
      </c>
      <c r="AD156" s="643">
        <v>0.67629573379861951</v>
      </c>
      <c r="AE156" s="643">
        <v>0.16041590589481752</v>
      </c>
      <c r="AF156" s="643">
        <v>123.16818516374138</v>
      </c>
      <c r="AG156" s="643">
        <v>30.250193334526926</v>
      </c>
      <c r="AH156" s="644">
        <v>0</v>
      </c>
      <c r="AI156" s="643">
        <v>0</v>
      </c>
      <c r="AJ156" s="643">
        <v>0</v>
      </c>
      <c r="AK156" s="645">
        <v>1634.5025864298366</v>
      </c>
    </row>
    <row r="157" spans="3:37" ht="13.5">
      <c r="C157" s="641" t="s">
        <v>60</v>
      </c>
      <c r="D157" s="642">
        <v>46.099891323621534</v>
      </c>
      <c r="E157" s="643">
        <v>464.7986487</v>
      </c>
      <c r="F157" s="643">
        <v>48.534128715927544</v>
      </c>
      <c r="G157" s="642">
        <v>345.55093723566335</v>
      </c>
      <c r="H157" s="643">
        <v>0</v>
      </c>
      <c r="I157" s="643">
        <v>0</v>
      </c>
      <c r="J157" s="643">
        <v>5.7213435879484642</v>
      </c>
      <c r="K157" s="643">
        <v>0</v>
      </c>
      <c r="L157" s="643">
        <v>3.0565993326094723</v>
      </c>
      <c r="M157" s="643">
        <v>0</v>
      </c>
      <c r="N157" s="643">
        <v>0</v>
      </c>
      <c r="O157" s="643">
        <v>0</v>
      </c>
      <c r="P157" s="644">
        <v>0</v>
      </c>
      <c r="Q157" s="643">
        <v>0</v>
      </c>
      <c r="R157" s="643">
        <v>0</v>
      </c>
      <c r="S157" s="645">
        <v>913.76154889577037</v>
      </c>
      <c r="U157" s="641" t="s">
        <v>60</v>
      </c>
      <c r="V157" s="642">
        <v>4.5871215860372576</v>
      </c>
      <c r="W157" s="643">
        <v>113.59926767676768</v>
      </c>
      <c r="X157" s="643">
        <v>20.138935454909394</v>
      </c>
      <c r="Y157" s="642">
        <v>0.51452681198611927</v>
      </c>
      <c r="Z157" s="643">
        <v>0</v>
      </c>
      <c r="AA157" s="643">
        <v>0</v>
      </c>
      <c r="AB157" s="643">
        <v>5.7213435879484642</v>
      </c>
      <c r="AC157" s="643">
        <v>0</v>
      </c>
      <c r="AD157" s="643">
        <v>3.0565993326094723</v>
      </c>
      <c r="AE157" s="643">
        <v>0</v>
      </c>
      <c r="AF157" s="643">
        <v>0</v>
      </c>
      <c r="AG157" s="643">
        <v>0</v>
      </c>
      <c r="AH157" s="644">
        <v>0</v>
      </c>
      <c r="AI157" s="643">
        <v>0</v>
      </c>
      <c r="AJ157" s="643">
        <v>0</v>
      </c>
      <c r="AK157" s="645">
        <v>147.6177944502584</v>
      </c>
    </row>
    <row r="158" spans="3:37" ht="13.5">
      <c r="C158" s="641" t="s">
        <v>61</v>
      </c>
      <c r="D158" s="642">
        <v>0</v>
      </c>
      <c r="E158" s="643">
        <v>0</v>
      </c>
      <c r="F158" s="643">
        <v>0</v>
      </c>
      <c r="G158" s="642">
        <v>0</v>
      </c>
      <c r="H158" s="643">
        <v>0</v>
      </c>
      <c r="I158" s="643">
        <v>0</v>
      </c>
      <c r="J158" s="643">
        <v>0</v>
      </c>
      <c r="K158" s="643">
        <v>0</v>
      </c>
      <c r="L158" s="643">
        <v>0</v>
      </c>
      <c r="M158" s="643">
        <v>0</v>
      </c>
      <c r="N158" s="643">
        <v>0</v>
      </c>
      <c r="O158" s="643">
        <v>0</v>
      </c>
      <c r="P158" s="644">
        <v>-12.7985093299136</v>
      </c>
      <c r="Q158" s="643">
        <v>0</v>
      </c>
      <c r="R158" s="643">
        <v>0</v>
      </c>
      <c r="S158" s="645">
        <v>-12.7985093299136</v>
      </c>
      <c r="U158" s="641" t="s">
        <v>61</v>
      </c>
      <c r="V158" s="642">
        <v>0</v>
      </c>
      <c r="W158" s="643">
        <v>0</v>
      </c>
      <c r="X158" s="643">
        <v>0</v>
      </c>
      <c r="Y158" s="642">
        <v>0</v>
      </c>
      <c r="Z158" s="643">
        <v>0</v>
      </c>
      <c r="AA158" s="643">
        <v>0</v>
      </c>
      <c r="AB158" s="643">
        <v>0</v>
      </c>
      <c r="AC158" s="643">
        <v>0</v>
      </c>
      <c r="AD158" s="643">
        <v>0</v>
      </c>
      <c r="AE158" s="643">
        <v>0</v>
      </c>
      <c r="AF158" s="643">
        <v>0</v>
      </c>
      <c r="AG158" s="643">
        <v>0</v>
      </c>
      <c r="AH158" s="644">
        <v>-41.639986107117011</v>
      </c>
      <c r="AI158" s="643">
        <v>0</v>
      </c>
      <c r="AJ158" s="643">
        <v>0</v>
      </c>
      <c r="AK158" s="645">
        <v>-41.639986107117011</v>
      </c>
    </row>
    <row r="159" spans="3:37" ht="13.5">
      <c r="C159" s="641" t="s">
        <v>62</v>
      </c>
      <c r="D159" s="642">
        <v>0</v>
      </c>
      <c r="E159" s="643">
        <v>0</v>
      </c>
      <c r="F159" s="643">
        <v>-14.431507774067331</v>
      </c>
      <c r="G159" s="642">
        <v>0</v>
      </c>
      <c r="H159" s="643">
        <v>0</v>
      </c>
      <c r="I159" s="643">
        <v>0</v>
      </c>
      <c r="J159" s="643">
        <v>0</v>
      </c>
      <c r="K159" s="643">
        <v>0</v>
      </c>
      <c r="L159" s="643">
        <v>0</v>
      </c>
      <c r="M159" s="643">
        <v>0</v>
      </c>
      <c r="N159" s="643">
        <v>0</v>
      </c>
      <c r="O159" s="643">
        <v>0</v>
      </c>
      <c r="P159" s="644">
        <v>0</v>
      </c>
      <c r="Q159" s="643">
        <v>0</v>
      </c>
      <c r="R159" s="643">
        <v>0</v>
      </c>
      <c r="S159" s="645">
        <v>-14.431507774067331</v>
      </c>
      <c r="U159" s="641" t="s">
        <v>62</v>
      </c>
      <c r="V159" s="642">
        <v>0</v>
      </c>
      <c r="W159" s="643">
        <v>0</v>
      </c>
      <c r="X159" s="643">
        <v>-5.3013702027186111</v>
      </c>
      <c r="Y159" s="642">
        <v>0</v>
      </c>
      <c r="Z159" s="643">
        <v>0</v>
      </c>
      <c r="AA159" s="643">
        <v>0</v>
      </c>
      <c r="AB159" s="643">
        <v>0</v>
      </c>
      <c r="AC159" s="643">
        <v>0</v>
      </c>
      <c r="AD159" s="643">
        <v>0</v>
      </c>
      <c r="AE159" s="643">
        <v>-5.1137296191648005</v>
      </c>
      <c r="AF159" s="643">
        <v>0</v>
      </c>
      <c r="AG159" s="643">
        <v>0</v>
      </c>
      <c r="AH159" s="644">
        <v>0</v>
      </c>
      <c r="AI159" s="643">
        <v>0</v>
      </c>
      <c r="AJ159" s="643">
        <v>0</v>
      </c>
      <c r="AK159" s="645">
        <v>-10.415099821883413</v>
      </c>
    </row>
    <row r="160" spans="3:37" ht="13.5">
      <c r="C160" s="641" t="s">
        <v>63</v>
      </c>
      <c r="D160" s="642">
        <v>0</v>
      </c>
      <c r="E160" s="643">
        <v>0</v>
      </c>
      <c r="F160" s="643">
        <v>-93.443844381495637</v>
      </c>
      <c r="G160" s="642">
        <v>0</v>
      </c>
      <c r="H160" s="643">
        <v>0</v>
      </c>
      <c r="I160" s="643">
        <v>0</v>
      </c>
      <c r="J160" s="643">
        <v>0</v>
      </c>
      <c r="K160" s="643">
        <v>0</v>
      </c>
      <c r="L160" s="643">
        <v>-0.96889726774865159</v>
      </c>
      <c r="M160" s="643">
        <v>0</v>
      </c>
      <c r="N160" s="643">
        <v>0</v>
      </c>
      <c r="O160" s="643">
        <v>0</v>
      </c>
      <c r="P160" s="644">
        <v>0</v>
      </c>
      <c r="Q160" s="643">
        <v>0</v>
      </c>
      <c r="R160" s="643">
        <v>0</v>
      </c>
      <c r="S160" s="645">
        <v>-94.412741649244282</v>
      </c>
      <c r="U160" s="641" t="s">
        <v>63</v>
      </c>
      <c r="V160" s="642">
        <v>0</v>
      </c>
      <c r="W160" s="643">
        <v>0</v>
      </c>
      <c r="X160" s="643">
        <v>-35.841594545498886</v>
      </c>
      <c r="Y160" s="642">
        <v>0</v>
      </c>
      <c r="Z160" s="643">
        <v>0</v>
      </c>
      <c r="AA160" s="643">
        <v>0</v>
      </c>
      <c r="AB160" s="643">
        <v>0</v>
      </c>
      <c r="AC160" s="643">
        <v>0</v>
      </c>
      <c r="AD160" s="643">
        <v>-46.567340427053182</v>
      </c>
      <c r="AE160" s="643">
        <v>0</v>
      </c>
      <c r="AF160" s="643">
        <v>0</v>
      </c>
      <c r="AG160" s="643">
        <v>0</v>
      </c>
      <c r="AH160" s="644">
        <v>0</v>
      </c>
      <c r="AI160" s="643">
        <v>0</v>
      </c>
      <c r="AJ160" s="643">
        <v>0</v>
      </c>
      <c r="AK160" s="645">
        <v>-82.408934972552061</v>
      </c>
    </row>
    <row r="161" spans="3:37" ht="13.5">
      <c r="C161" s="641" t="s">
        <v>64</v>
      </c>
      <c r="D161" s="642">
        <v>0</v>
      </c>
      <c r="E161" s="643">
        <v>0</v>
      </c>
      <c r="F161" s="643">
        <v>0</v>
      </c>
      <c r="G161" s="642">
        <v>0</v>
      </c>
      <c r="H161" s="643">
        <v>0</v>
      </c>
      <c r="I161" s="643">
        <v>0</v>
      </c>
      <c r="J161" s="643">
        <v>0</v>
      </c>
      <c r="K161" s="643">
        <v>0</v>
      </c>
      <c r="L161" s="643">
        <v>0</v>
      </c>
      <c r="M161" s="643">
        <v>0</v>
      </c>
      <c r="N161" s="643">
        <v>0</v>
      </c>
      <c r="O161" s="643">
        <v>0</v>
      </c>
      <c r="P161" s="644">
        <v>0</v>
      </c>
      <c r="Q161" s="643">
        <v>0</v>
      </c>
      <c r="R161" s="643">
        <v>0</v>
      </c>
      <c r="S161" s="645">
        <v>0</v>
      </c>
      <c r="U161" s="641" t="s">
        <v>64</v>
      </c>
      <c r="V161" s="642">
        <v>0</v>
      </c>
      <c r="W161" s="643">
        <v>0</v>
      </c>
      <c r="X161" s="643">
        <v>0</v>
      </c>
      <c r="Y161" s="642">
        <v>0</v>
      </c>
      <c r="Z161" s="643">
        <v>0</v>
      </c>
      <c r="AA161" s="643">
        <v>0</v>
      </c>
      <c r="AB161" s="643">
        <v>0</v>
      </c>
      <c r="AC161" s="643">
        <v>0</v>
      </c>
      <c r="AD161" s="643">
        <v>0</v>
      </c>
      <c r="AE161" s="643">
        <v>0</v>
      </c>
      <c r="AF161" s="643">
        <v>0</v>
      </c>
      <c r="AG161" s="643">
        <v>0</v>
      </c>
      <c r="AH161" s="644">
        <v>0</v>
      </c>
      <c r="AI161" s="643">
        <v>0</v>
      </c>
      <c r="AJ161" s="643">
        <v>0</v>
      </c>
      <c r="AK161" s="645">
        <v>0</v>
      </c>
    </row>
    <row r="162" spans="3:37" ht="13.5">
      <c r="C162" s="646" t="s">
        <v>65</v>
      </c>
      <c r="D162" s="647">
        <v>46.099891323621534</v>
      </c>
      <c r="E162" s="647">
        <v>464.7986487</v>
      </c>
      <c r="F162" s="647">
        <v>-59.341223439635421</v>
      </c>
      <c r="G162" s="647">
        <v>345.55093723566335</v>
      </c>
      <c r="H162" s="647">
        <v>727.27272727272737</v>
      </c>
      <c r="I162" s="647">
        <v>338.37995078139568</v>
      </c>
      <c r="J162" s="647">
        <v>190.84741038091113</v>
      </c>
      <c r="K162" s="647">
        <v>19.887492227897642</v>
      </c>
      <c r="L162" s="647">
        <v>2.7639977986594397</v>
      </c>
      <c r="M162" s="647">
        <v>0.16041590589481752</v>
      </c>
      <c r="N162" s="647">
        <v>75.083762899489528</v>
      </c>
      <c r="O162" s="647">
        <v>12.515766779598991</v>
      </c>
      <c r="P162" s="647">
        <v>-12.7985093299136</v>
      </c>
      <c r="Q162" s="647">
        <v>0</v>
      </c>
      <c r="R162" s="647">
        <v>0</v>
      </c>
      <c r="S162" s="647">
        <v>2151.2212685363102</v>
      </c>
      <c r="U162" s="646" t="s">
        <v>65</v>
      </c>
      <c r="V162" s="647">
        <v>4.5871215860372576</v>
      </c>
      <c r="W162" s="647">
        <v>113.59926767676768</v>
      </c>
      <c r="X162" s="647">
        <v>-21.004029293308101</v>
      </c>
      <c r="Y162" s="647">
        <v>0.51452681198611927</v>
      </c>
      <c r="Z162" s="647">
        <v>764.84848484848499</v>
      </c>
      <c r="AA162" s="647">
        <v>423.19995078139567</v>
      </c>
      <c r="AB162" s="647">
        <v>261.81197328019942</v>
      </c>
      <c r="AC162" s="647">
        <v>36.108430969743218</v>
      </c>
      <c r="AD162" s="647">
        <v>-42.834445360645091</v>
      </c>
      <c r="AE162" s="647">
        <v>-4.9533137132699832</v>
      </c>
      <c r="AF162" s="647">
        <v>123.16818516374138</v>
      </c>
      <c r="AG162" s="647">
        <v>30.250193334526926</v>
      </c>
      <c r="AH162" s="647">
        <v>-41.639986107117011</v>
      </c>
      <c r="AI162" s="647">
        <v>0</v>
      </c>
      <c r="AJ162" s="647">
        <v>0</v>
      </c>
      <c r="AK162" s="647">
        <v>1647.6563599785427</v>
      </c>
    </row>
    <row r="163" spans="3:37" ht="13">
      <c r="C163" s="636"/>
      <c r="D163" s="636">
        <v>0</v>
      </c>
      <c r="E163" s="636">
        <v>0</v>
      </c>
      <c r="F163" s="636">
        <v>0</v>
      </c>
      <c r="G163" s="636">
        <v>0</v>
      </c>
      <c r="H163" s="636">
        <v>0</v>
      </c>
      <c r="I163" s="636">
        <v>0</v>
      </c>
      <c r="J163" s="636">
        <v>0</v>
      </c>
      <c r="K163" s="636">
        <v>0</v>
      </c>
      <c r="L163" s="636">
        <v>0</v>
      </c>
      <c r="M163" s="636">
        <v>0</v>
      </c>
      <c r="N163" s="636">
        <v>0</v>
      </c>
      <c r="O163" s="636">
        <v>0</v>
      </c>
      <c r="P163" s="636">
        <v>0</v>
      </c>
      <c r="Q163" s="636">
        <v>0</v>
      </c>
      <c r="R163" s="636">
        <v>0</v>
      </c>
      <c r="S163" s="636">
        <v>0</v>
      </c>
      <c r="U163" s="636"/>
      <c r="V163" s="636">
        <v>0</v>
      </c>
      <c r="W163" s="636">
        <v>0</v>
      </c>
      <c r="X163" s="636">
        <v>0</v>
      </c>
      <c r="Y163" s="636">
        <v>0</v>
      </c>
      <c r="Z163" s="636">
        <v>0</v>
      </c>
      <c r="AA163" s="636">
        <v>0</v>
      </c>
      <c r="AB163" s="636">
        <v>0</v>
      </c>
      <c r="AC163" s="636">
        <v>0</v>
      </c>
      <c r="AD163" s="636">
        <v>0</v>
      </c>
      <c r="AE163" s="636">
        <v>0</v>
      </c>
      <c r="AF163" s="636">
        <v>0</v>
      </c>
      <c r="AG163" s="636">
        <v>0</v>
      </c>
      <c r="AH163" s="636">
        <v>0</v>
      </c>
      <c r="AI163" s="636">
        <v>0</v>
      </c>
      <c r="AJ163" s="636">
        <v>0</v>
      </c>
      <c r="AK163" s="636">
        <v>0</v>
      </c>
    </row>
    <row r="164" spans="3:37" ht="13.5">
      <c r="C164" s="648" t="s">
        <v>67</v>
      </c>
      <c r="D164" s="642">
        <v>0</v>
      </c>
      <c r="E164" s="649">
        <v>0</v>
      </c>
      <c r="F164" s="649">
        <v>0</v>
      </c>
      <c r="G164" s="642">
        <v>0</v>
      </c>
      <c r="H164" s="642">
        <v>0</v>
      </c>
      <c r="I164" s="642">
        <v>0</v>
      </c>
      <c r="J164" s="642">
        <v>0</v>
      </c>
      <c r="K164" s="642">
        <v>0</v>
      </c>
      <c r="L164" s="642">
        <v>0</v>
      </c>
      <c r="M164" s="642">
        <v>0</v>
      </c>
      <c r="N164" s="642">
        <v>0</v>
      </c>
      <c r="O164" s="642">
        <v>0</v>
      </c>
      <c r="P164" s="642">
        <v>0</v>
      </c>
      <c r="Q164" s="642">
        <v>0</v>
      </c>
      <c r="R164" s="642">
        <v>0</v>
      </c>
      <c r="S164" s="650">
        <v>0</v>
      </c>
      <c r="U164" s="648" t="s">
        <v>67</v>
      </c>
      <c r="V164" s="642">
        <v>0</v>
      </c>
      <c r="W164" s="649">
        <v>0</v>
      </c>
      <c r="X164" s="649">
        <v>0</v>
      </c>
      <c r="Y164" s="642">
        <v>0</v>
      </c>
      <c r="Z164" s="642">
        <v>0</v>
      </c>
      <c r="AA164" s="642">
        <v>0</v>
      </c>
      <c r="AB164" s="642">
        <v>0</v>
      </c>
      <c r="AC164" s="642">
        <v>0</v>
      </c>
      <c r="AD164" s="642">
        <v>0</v>
      </c>
      <c r="AE164" s="642">
        <v>0</v>
      </c>
      <c r="AF164" s="642">
        <v>0</v>
      </c>
      <c r="AG164" s="642">
        <v>0</v>
      </c>
      <c r="AH164" s="642">
        <v>0</v>
      </c>
      <c r="AI164" s="642">
        <v>0</v>
      </c>
      <c r="AJ164" s="642">
        <v>0</v>
      </c>
      <c r="AK164" s="650">
        <v>0</v>
      </c>
    </row>
    <row r="165" spans="3:37" ht="13.5">
      <c r="C165" s="648" t="s">
        <v>350</v>
      </c>
      <c r="D165" s="642">
        <v>2.8267856410252494</v>
      </c>
      <c r="E165" s="642">
        <v>0</v>
      </c>
      <c r="F165" s="642">
        <v>8.0599105831015567</v>
      </c>
      <c r="G165" s="642">
        <v>46.530346198952707</v>
      </c>
      <c r="H165" s="642">
        <v>727.27272727272737</v>
      </c>
      <c r="I165" s="642">
        <v>338.37995078139568</v>
      </c>
      <c r="J165" s="651">
        <v>28.452469116356035</v>
      </c>
      <c r="K165" s="651">
        <v>6.2305848357200952</v>
      </c>
      <c r="L165" s="651">
        <v>3.7328950664080915</v>
      </c>
      <c r="M165" s="651">
        <v>1.0761160081227215</v>
      </c>
      <c r="N165" s="651">
        <v>0</v>
      </c>
      <c r="O165" s="651">
        <v>7.5664382136221358</v>
      </c>
      <c r="P165" s="642">
        <v>-629.14515201417555</v>
      </c>
      <c r="Q165" s="642">
        <v>0</v>
      </c>
      <c r="R165" s="642">
        <v>0</v>
      </c>
      <c r="S165" s="650">
        <v>540.98307170325586</v>
      </c>
      <c r="U165" s="648" t="s">
        <v>350</v>
      </c>
      <c r="V165" s="642">
        <v>0.62631490545869017</v>
      </c>
      <c r="W165" s="642">
        <v>0</v>
      </c>
      <c r="X165" s="642">
        <v>4.1962742194651934</v>
      </c>
      <c r="Y165" s="642">
        <v>0</v>
      </c>
      <c r="Z165" s="642">
        <v>764.84848484848499</v>
      </c>
      <c r="AA165" s="642">
        <v>423.19995078139567</v>
      </c>
      <c r="AB165" s="651">
        <v>22.478183728982629</v>
      </c>
      <c r="AC165" s="651">
        <v>5.0926371917675839</v>
      </c>
      <c r="AD165" s="651">
        <v>3.7328950664080915</v>
      </c>
      <c r="AE165" s="651">
        <v>0.79318377276994545</v>
      </c>
      <c r="AF165" s="651">
        <v>0</v>
      </c>
      <c r="AG165" s="651">
        <v>7.5664382136221358</v>
      </c>
      <c r="AH165" s="642">
        <v>-696.77718495359215</v>
      </c>
      <c r="AI165" s="642">
        <v>0</v>
      </c>
      <c r="AJ165" s="642">
        <v>3.75</v>
      </c>
      <c r="AK165" s="650">
        <v>539.50717777476291</v>
      </c>
    </row>
    <row r="166" spans="3:37" ht="13.5">
      <c r="C166" s="648" t="s">
        <v>351</v>
      </c>
      <c r="D166" s="642">
        <v>0</v>
      </c>
      <c r="E166" s="642">
        <v>0</v>
      </c>
      <c r="F166" s="642">
        <v>0</v>
      </c>
      <c r="G166" s="642">
        <v>14.783508517784153</v>
      </c>
      <c r="H166" s="642">
        <v>0</v>
      </c>
      <c r="I166" s="642">
        <v>0</v>
      </c>
      <c r="J166" s="651">
        <v>12.163067049530284</v>
      </c>
      <c r="K166" s="651">
        <v>11.829214997579474</v>
      </c>
      <c r="L166" s="651">
        <v>0</v>
      </c>
      <c r="M166" s="651">
        <v>0.31740804730172578</v>
      </c>
      <c r="N166" s="651">
        <v>0</v>
      </c>
      <c r="O166" s="651">
        <v>2.086875550337155</v>
      </c>
      <c r="P166" s="642">
        <v>0</v>
      </c>
      <c r="Q166" s="642">
        <v>-37.667878685561853</v>
      </c>
      <c r="R166" s="642">
        <v>0</v>
      </c>
      <c r="S166" s="650">
        <v>3.5121954769709394</v>
      </c>
      <c r="U166" s="648" t="s">
        <v>351</v>
      </c>
      <c r="V166" s="642">
        <v>0</v>
      </c>
      <c r="W166" s="642">
        <v>0</v>
      </c>
      <c r="X166" s="642">
        <v>0</v>
      </c>
      <c r="Y166" s="642">
        <v>0</v>
      </c>
      <c r="Z166" s="642">
        <v>0</v>
      </c>
      <c r="AA166" s="642">
        <v>0</v>
      </c>
      <c r="AB166" s="651">
        <v>28.523630086620891</v>
      </c>
      <c r="AC166" s="651">
        <v>26.288013396118924</v>
      </c>
      <c r="AD166" s="651">
        <v>0</v>
      </c>
      <c r="AE166" s="651">
        <v>10.611192177482708</v>
      </c>
      <c r="AF166" s="651">
        <v>0</v>
      </c>
      <c r="AG166" s="651">
        <v>14.121402979798832</v>
      </c>
      <c r="AH166" s="642">
        <v>0</v>
      </c>
      <c r="AI166" s="642">
        <v>-74.176724382187018</v>
      </c>
      <c r="AJ166" s="642">
        <v>0</v>
      </c>
      <c r="AK166" s="650">
        <v>5.3675142578343316</v>
      </c>
    </row>
    <row r="167" spans="3:37" ht="13.5">
      <c r="C167" s="648" t="s">
        <v>352</v>
      </c>
      <c r="D167" s="642">
        <v>0</v>
      </c>
      <c r="E167" s="642">
        <v>0</v>
      </c>
      <c r="F167" s="642">
        <v>0</v>
      </c>
      <c r="G167" s="642">
        <v>0</v>
      </c>
      <c r="H167" s="642">
        <v>0</v>
      </c>
      <c r="I167" s="642">
        <v>0</v>
      </c>
      <c r="J167" s="652">
        <v>7.1450792385721682</v>
      </c>
      <c r="K167" s="652">
        <v>0</v>
      </c>
      <c r="L167" s="652">
        <v>0</v>
      </c>
      <c r="M167" s="652">
        <v>-6.8235506728364204</v>
      </c>
      <c r="N167" s="652">
        <v>0</v>
      </c>
      <c r="O167" s="652">
        <v>0</v>
      </c>
      <c r="P167" s="642">
        <v>0</v>
      </c>
      <c r="Q167" s="642">
        <v>0</v>
      </c>
      <c r="R167" s="642">
        <v>0</v>
      </c>
      <c r="S167" s="650">
        <v>0.32152856573574784</v>
      </c>
      <c r="U167" s="648" t="s">
        <v>352</v>
      </c>
      <c r="V167" s="642">
        <v>0</v>
      </c>
      <c r="W167" s="642">
        <v>0</v>
      </c>
      <c r="X167" s="642">
        <v>0</v>
      </c>
      <c r="Y167" s="642">
        <v>0</v>
      </c>
      <c r="Z167" s="642">
        <v>0</v>
      </c>
      <c r="AA167" s="642">
        <v>0</v>
      </c>
      <c r="AB167" s="652">
        <v>137.81211213320262</v>
      </c>
      <c r="AC167" s="652">
        <v>0</v>
      </c>
      <c r="AD167" s="652">
        <v>0</v>
      </c>
      <c r="AE167" s="652">
        <v>-131.61056708720849</v>
      </c>
      <c r="AF167" s="652">
        <v>0</v>
      </c>
      <c r="AG167" s="652">
        <v>0</v>
      </c>
      <c r="AH167" s="642">
        <v>0</v>
      </c>
      <c r="AI167" s="642">
        <v>0</v>
      </c>
      <c r="AJ167" s="642">
        <v>0</v>
      </c>
      <c r="AK167" s="650">
        <v>6.2015450459941235</v>
      </c>
    </row>
    <row r="168" spans="3:37" ht="13.5">
      <c r="C168" s="648" t="s">
        <v>353</v>
      </c>
      <c r="D168" s="642">
        <v>0</v>
      </c>
      <c r="E168" s="642">
        <v>0</v>
      </c>
      <c r="F168" s="642">
        <v>0</v>
      </c>
      <c r="G168" s="642">
        <v>0</v>
      </c>
      <c r="H168" s="642">
        <v>0</v>
      </c>
      <c r="I168" s="642">
        <v>0</v>
      </c>
      <c r="J168" s="642">
        <v>0</v>
      </c>
      <c r="K168" s="642">
        <v>0</v>
      </c>
      <c r="L168" s="642">
        <v>0</v>
      </c>
      <c r="M168" s="642">
        <v>0</v>
      </c>
      <c r="N168" s="642">
        <v>0</v>
      </c>
      <c r="O168" s="642">
        <v>0</v>
      </c>
      <c r="P168" s="642">
        <v>0</v>
      </c>
      <c r="Q168" s="642">
        <v>0</v>
      </c>
      <c r="R168" s="642">
        <v>0</v>
      </c>
      <c r="S168" s="650">
        <v>0</v>
      </c>
      <c r="U168" s="648" t="s">
        <v>353</v>
      </c>
      <c r="V168" s="642">
        <v>0</v>
      </c>
      <c r="W168" s="642">
        <v>0</v>
      </c>
      <c r="X168" s="642">
        <v>0</v>
      </c>
      <c r="Y168" s="642">
        <v>0</v>
      </c>
      <c r="Z168" s="642">
        <v>0</v>
      </c>
      <c r="AA168" s="642">
        <v>0</v>
      </c>
      <c r="AB168" s="642">
        <v>0</v>
      </c>
      <c r="AC168" s="642">
        <v>0</v>
      </c>
      <c r="AD168" s="642">
        <v>0</v>
      </c>
      <c r="AE168" s="642">
        <v>0</v>
      </c>
      <c r="AF168" s="642">
        <v>0</v>
      </c>
      <c r="AG168" s="642">
        <v>0</v>
      </c>
      <c r="AH168" s="642">
        <v>0</v>
      </c>
      <c r="AI168" s="642">
        <v>0</v>
      </c>
      <c r="AJ168" s="642">
        <v>0</v>
      </c>
      <c r="AK168" s="650">
        <v>0</v>
      </c>
    </row>
    <row r="169" spans="3:37" ht="13.5">
      <c r="C169" s="648" t="s">
        <v>72</v>
      </c>
      <c r="D169" s="642">
        <v>0</v>
      </c>
      <c r="E169" s="642">
        <v>481.48200000000003</v>
      </c>
      <c r="F169" s="642">
        <v>-476.66718000000003</v>
      </c>
      <c r="G169" s="642">
        <v>0</v>
      </c>
      <c r="H169" s="642">
        <v>0</v>
      </c>
      <c r="I169" s="642">
        <v>0</v>
      </c>
      <c r="J169" s="642">
        <v>0</v>
      </c>
      <c r="K169" s="642">
        <v>0</v>
      </c>
      <c r="L169" s="642">
        <v>0</v>
      </c>
      <c r="M169" s="642">
        <v>0</v>
      </c>
      <c r="N169" s="642">
        <v>0</v>
      </c>
      <c r="O169" s="642">
        <v>0</v>
      </c>
      <c r="P169" s="642">
        <v>0</v>
      </c>
      <c r="Q169" s="642">
        <v>0</v>
      </c>
      <c r="R169" s="642">
        <v>0</v>
      </c>
      <c r="S169" s="650">
        <v>4.8148199999999974</v>
      </c>
      <c r="U169" s="648" t="s">
        <v>72</v>
      </c>
      <c r="V169" s="642">
        <v>0</v>
      </c>
      <c r="W169" s="642">
        <v>117.67676767676768</v>
      </c>
      <c r="X169" s="642">
        <v>-116.5</v>
      </c>
      <c r="Y169" s="642">
        <v>0</v>
      </c>
      <c r="Z169" s="642">
        <v>0</v>
      </c>
      <c r="AA169" s="642">
        <v>0</v>
      </c>
      <c r="AB169" s="642">
        <v>0</v>
      </c>
      <c r="AC169" s="642">
        <v>0</v>
      </c>
      <c r="AD169" s="642">
        <v>0</v>
      </c>
      <c r="AE169" s="642">
        <v>0</v>
      </c>
      <c r="AF169" s="642">
        <v>0</v>
      </c>
      <c r="AG169" s="642">
        <v>0</v>
      </c>
      <c r="AH169" s="642">
        <v>0</v>
      </c>
      <c r="AI169" s="642">
        <v>0</v>
      </c>
      <c r="AJ169" s="642">
        <v>0</v>
      </c>
      <c r="AK169" s="650">
        <v>1.1767676767676818</v>
      </c>
    </row>
    <row r="170" spans="3:37" ht="13.5">
      <c r="C170" s="648" t="s">
        <v>354</v>
      </c>
      <c r="D170" s="642">
        <v>0</v>
      </c>
      <c r="E170" s="642">
        <v>0</v>
      </c>
      <c r="F170" s="642">
        <v>0</v>
      </c>
      <c r="G170" s="642">
        <v>0</v>
      </c>
      <c r="H170" s="642">
        <v>0</v>
      </c>
      <c r="I170" s="642">
        <v>0</v>
      </c>
      <c r="J170" s="642">
        <v>26.125483595276659</v>
      </c>
      <c r="K170" s="642">
        <v>0</v>
      </c>
      <c r="L170" s="642">
        <v>-26.125483595276659</v>
      </c>
      <c r="M170" s="642">
        <v>0</v>
      </c>
      <c r="N170" s="642">
        <v>0</v>
      </c>
      <c r="O170" s="642">
        <v>0</v>
      </c>
      <c r="P170" s="642">
        <v>0</v>
      </c>
      <c r="Q170" s="642">
        <v>0</v>
      </c>
      <c r="R170" s="642">
        <v>0</v>
      </c>
      <c r="S170" s="650">
        <v>0</v>
      </c>
      <c r="U170" s="648" t="s">
        <v>354</v>
      </c>
      <c r="V170" s="642">
        <v>0</v>
      </c>
      <c r="W170" s="642">
        <v>0</v>
      </c>
      <c r="X170" s="642">
        <v>0</v>
      </c>
      <c r="Y170" s="642">
        <v>0</v>
      </c>
      <c r="Z170" s="642">
        <v>0</v>
      </c>
      <c r="AA170" s="642">
        <v>0</v>
      </c>
      <c r="AB170" s="642" t="e">
        <v>#VALUE!</v>
      </c>
      <c r="AC170" s="642">
        <v>0</v>
      </c>
      <c r="AD170" s="642">
        <v>-100.69655001825291</v>
      </c>
      <c r="AE170" s="642">
        <v>0</v>
      </c>
      <c r="AF170" s="642">
        <v>0</v>
      </c>
      <c r="AG170" s="642">
        <v>0</v>
      </c>
      <c r="AH170" s="642">
        <v>0</v>
      </c>
      <c r="AI170" s="642">
        <v>0</v>
      </c>
      <c r="AJ170" s="642">
        <v>0</v>
      </c>
      <c r="AK170" s="650">
        <v>-100.69655001825291</v>
      </c>
    </row>
    <row r="171" spans="3:37" ht="13.5">
      <c r="C171" s="648" t="s">
        <v>355</v>
      </c>
      <c r="D171" s="642">
        <v>0</v>
      </c>
      <c r="E171" s="642">
        <v>0</v>
      </c>
      <c r="F171" s="642">
        <v>0</v>
      </c>
      <c r="G171" s="642">
        <v>0</v>
      </c>
      <c r="H171" s="642">
        <v>0</v>
      </c>
      <c r="I171" s="642">
        <v>0</v>
      </c>
      <c r="J171" s="642">
        <v>0</v>
      </c>
      <c r="K171" s="642">
        <v>0</v>
      </c>
      <c r="L171" s="642">
        <v>0</v>
      </c>
      <c r="M171" s="642">
        <v>0</v>
      </c>
      <c r="N171" s="642">
        <v>0</v>
      </c>
      <c r="O171" s="642">
        <v>0</v>
      </c>
      <c r="P171" s="642">
        <v>0</v>
      </c>
      <c r="Q171" s="642">
        <v>0</v>
      </c>
      <c r="R171" s="642">
        <v>0</v>
      </c>
      <c r="S171" s="650">
        <v>0</v>
      </c>
      <c r="U171" s="648" t="s">
        <v>355</v>
      </c>
      <c r="V171" s="642">
        <v>0</v>
      </c>
      <c r="W171" s="642">
        <v>0</v>
      </c>
      <c r="X171" s="642">
        <v>0</v>
      </c>
      <c r="Y171" s="642">
        <v>0</v>
      </c>
      <c r="Z171" s="642">
        <v>0</v>
      </c>
      <c r="AA171" s="642">
        <v>0</v>
      </c>
      <c r="AB171" s="642">
        <v>0</v>
      </c>
      <c r="AC171" s="642">
        <v>0</v>
      </c>
      <c r="AD171" s="642">
        <v>-28.460377640694865</v>
      </c>
      <c r="AE171" s="642">
        <v>0</v>
      </c>
      <c r="AF171" s="642">
        <v>0</v>
      </c>
      <c r="AG171" s="642">
        <v>0</v>
      </c>
      <c r="AH171" s="642">
        <v>0</v>
      </c>
      <c r="AI171" s="642">
        <v>0</v>
      </c>
      <c r="AJ171" s="642">
        <v>0</v>
      </c>
      <c r="AK171" s="650">
        <v>-28.460377640694865</v>
      </c>
    </row>
    <row r="172" spans="3:37" ht="13.5">
      <c r="C172" s="648" t="s">
        <v>73</v>
      </c>
      <c r="D172" s="642">
        <v>0</v>
      </c>
      <c r="E172" s="642">
        <v>0</v>
      </c>
      <c r="F172" s="642">
        <v>0</v>
      </c>
      <c r="G172" s="642">
        <v>8.6128889644156494</v>
      </c>
      <c r="H172" s="642">
        <v>0</v>
      </c>
      <c r="I172" s="642">
        <v>0</v>
      </c>
      <c r="J172" s="642">
        <v>0</v>
      </c>
      <c r="K172" s="642">
        <v>0.10101910584583218</v>
      </c>
      <c r="L172" s="642">
        <v>0</v>
      </c>
      <c r="M172" s="642">
        <v>0.17577324417174797</v>
      </c>
      <c r="N172" s="642">
        <v>0</v>
      </c>
      <c r="O172" s="642">
        <v>0</v>
      </c>
      <c r="P172" s="642">
        <v>1.1785562348680418</v>
      </c>
      <c r="Q172" s="642">
        <v>0</v>
      </c>
      <c r="R172" s="642">
        <v>-7.071337409208251</v>
      </c>
      <c r="S172" s="650">
        <v>2.99690014009302</v>
      </c>
      <c r="U172" s="648" t="s">
        <v>73</v>
      </c>
      <c r="V172" s="642">
        <v>0</v>
      </c>
      <c r="W172" s="642">
        <v>0</v>
      </c>
      <c r="X172" s="642">
        <v>0</v>
      </c>
      <c r="Y172" s="642">
        <v>0</v>
      </c>
      <c r="Z172" s="642">
        <v>0</v>
      </c>
      <c r="AA172" s="642">
        <v>0</v>
      </c>
      <c r="AB172" s="642">
        <v>0</v>
      </c>
      <c r="AC172" s="642">
        <v>0.58294529496624936</v>
      </c>
      <c r="AD172" s="642">
        <v>0</v>
      </c>
      <c r="AE172" s="642">
        <v>0</v>
      </c>
      <c r="AF172" s="642">
        <v>0</v>
      </c>
      <c r="AG172" s="642">
        <v>0</v>
      </c>
      <c r="AH172" s="642">
        <v>56.108484640501494</v>
      </c>
      <c r="AI172" s="642">
        <v>0</v>
      </c>
      <c r="AJ172" s="642">
        <v>-40.806170647637451</v>
      </c>
      <c r="AK172" s="650">
        <v>15.885259287830294</v>
      </c>
    </row>
    <row r="173" spans="3:37" ht="13.5">
      <c r="C173" s="648" t="s">
        <v>356</v>
      </c>
      <c r="D173" s="642">
        <v>28.51179328125</v>
      </c>
      <c r="E173" s="642">
        <v>-16.683351300000002</v>
      </c>
      <c r="F173" s="642">
        <v>21.820838094867195</v>
      </c>
      <c r="G173" s="642">
        <v>0</v>
      </c>
      <c r="H173" s="642">
        <v>0</v>
      </c>
      <c r="I173" s="642">
        <v>0</v>
      </c>
      <c r="J173" s="642">
        <v>0</v>
      </c>
      <c r="K173" s="642">
        <v>0</v>
      </c>
      <c r="L173" s="642">
        <v>0</v>
      </c>
      <c r="M173" s="642">
        <v>0</v>
      </c>
      <c r="N173" s="642">
        <v>0</v>
      </c>
      <c r="O173" s="642">
        <v>0</v>
      </c>
      <c r="P173" s="642">
        <v>0</v>
      </c>
      <c r="Q173" s="642">
        <v>0</v>
      </c>
      <c r="R173" s="642">
        <v>0</v>
      </c>
      <c r="S173" s="650">
        <v>33.649280076117194</v>
      </c>
      <c r="U173" s="648" t="s">
        <v>356</v>
      </c>
      <c r="V173" s="642">
        <v>0.72303211975097659</v>
      </c>
      <c r="W173" s="642">
        <v>-4.0775000000000006</v>
      </c>
      <c r="X173" s="642">
        <v>5.333129161634389</v>
      </c>
      <c r="Y173" s="642">
        <v>0</v>
      </c>
      <c r="Z173" s="642">
        <v>0</v>
      </c>
      <c r="AA173" s="642">
        <v>0</v>
      </c>
      <c r="AB173" s="642">
        <v>0</v>
      </c>
      <c r="AC173" s="642">
        <v>0</v>
      </c>
      <c r="AD173" s="642">
        <v>0</v>
      </c>
      <c r="AE173" s="642">
        <v>0</v>
      </c>
      <c r="AF173" s="642">
        <v>0</v>
      </c>
      <c r="AG173" s="642">
        <v>0</v>
      </c>
      <c r="AH173" s="642">
        <v>0</v>
      </c>
      <c r="AI173" s="642">
        <v>0</v>
      </c>
      <c r="AJ173" s="642">
        <v>0</v>
      </c>
      <c r="AK173" s="650">
        <v>1.978661281385365</v>
      </c>
    </row>
    <row r="174" spans="3:37" ht="13.5">
      <c r="C174" s="648" t="s">
        <v>75</v>
      </c>
      <c r="D174" s="642">
        <v>11.087919609375001</v>
      </c>
      <c r="E174" s="642">
        <v>0</v>
      </c>
      <c r="F174" s="642">
        <v>16.370388000000002</v>
      </c>
      <c r="G174" s="642">
        <v>4.6713383640000004</v>
      </c>
      <c r="H174" s="642">
        <v>0</v>
      </c>
      <c r="I174" s="642">
        <v>0</v>
      </c>
      <c r="J174" s="642">
        <v>0</v>
      </c>
      <c r="K174" s="642">
        <v>0</v>
      </c>
      <c r="L174" s="642">
        <v>0</v>
      </c>
      <c r="M174" s="642">
        <v>9.5333436000000008E-2</v>
      </c>
      <c r="N174" s="642">
        <v>0</v>
      </c>
      <c r="O174" s="642">
        <v>0</v>
      </c>
      <c r="P174" s="642">
        <v>26.129145836866744</v>
      </c>
      <c r="Q174" s="642">
        <v>0</v>
      </c>
      <c r="R174" s="642">
        <v>0</v>
      </c>
      <c r="S174" s="650">
        <v>58.35412524624175</v>
      </c>
      <c r="U174" s="648" t="s">
        <v>75</v>
      </c>
      <c r="V174" s="642">
        <v>1.73775830078125</v>
      </c>
      <c r="W174" s="642">
        <v>0</v>
      </c>
      <c r="X174" s="642">
        <v>16.370388000000002</v>
      </c>
      <c r="Y174" s="642">
        <v>0</v>
      </c>
      <c r="Z174" s="642">
        <v>0</v>
      </c>
      <c r="AA174" s="642">
        <v>0</v>
      </c>
      <c r="AB174" s="642">
        <v>0</v>
      </c>
      <c r="AC174" s="642">
        <v>0</v>
      </c>
      <c r="AD174" s="642">
        <v>0</v>
      </c>
      <c r="AE174" s="642">
        <v>4.7666718000000001</v>
      </c>
      <c r="AF174" s="642">
        <v>0</v>
      </c>
      <c r="AG174" s="642">
        <v>0</v>
      </c>
      <c r="AH174" s="642">
        <v>36.696565665655768</v>
      </c>
      <c r="AI174" s="642">
        <v>0</v>
      </c>
      <c r="AJ174" s="642">
        <v>0</v>
      </c>
      <c r="AK174" s="650">
        <v>59.571383766437016</v>
      </c>
    </row>
    <row r="175" spans="3:37" ht="13.5">
      <c r="C175" s="648" t="s">
        <v>76</v>
      </c>
      <c r="D175" s="642">
        <v>0</v>
      </c>
      <c r="E175" s="642">
        <v>0</v>
      </c>
      <c r="F175" s="642">
        <v>0</v>
      </c>
      <c r="G175" s="642">
        <v>3.9646717348100942</v>
      </c>
      <c r="H175" s="642">
        <v>0</v>
      </c>
      <c r="I175" s="642">
        <v>0</v>
      </c>
      <c r="J175" s="642">
        <v>0</v>
      </c>
      <c r="K175" s="642">
        <v>0</v>
      </c>
      <c r="L175" s="642">
        <v>0</v>
      </c>
      <c r="M175" s="642">
        <v>8.0911668057348868E-2</v>
      </c>
      <c r="N175" s="642">
        <v>0</v>
      </c>
      <c r="O175" s="642">
        <v>0</v>
      </c>
      <c r="P175" s="642">
        <v>47.131742012269626</v>
      </c>
      <c r="Q175" s="642">
        <v>2.9238621334994321</v>
      </c>
      <c r="R175" s="642">
        <v>0</v>
      </c>
      <c r="S175" s="650">
        <v>54.101187548636503</v>
      </c>
      <c r="U175" s="648" t="s">
        <v>76</v>
      </c>
      <c r="V175" s="642">
        <v>0</v>
      </c>
      <c r="W175" s="642">
        <v>0</v>
      </c>
      <c r="X175" s="642">
        <v>0</v>
      </c>
      <c r="Y175" s="642">
        <v>0</v>
      </c>
      <c r="Z175" s="642">
        <v>0</v>
      </c>
      <c r="AA175" s="642">
        <v>0</v>
      </c>
      <c r="AB175" s="642">
        <v>0</v>
      </c>
      <c r="AC175" s="642">
        <v>0</v>
      </c>
      <c r="AD175" s="642">
        <v>0</v>
      </c>
      <c r="AE175" s="642">
        <v>1.5605996097297452</v>
      </c>
      <c r="AF175" s="642">
        <v>0</v>
      </c>
      <c r="AG175" s="642">
        <v>0</v>
      </c>
      <c r="AH175" s="642">
        <v>50.104610120731024</v>
      </c>
      <c r="AI175" s="642">
        <v>5.7529608775183565</v>
      </c>
      <c r="AJ175" s="642">
        <v>0</v>
      </c>
      <c r="AK175" s="650">
        <v>57.418170607979121</v>
      </c>
    </row>
    <row r="176" spans="3:37" ht="13.5">
      <c r="C176" s="646" t="s">
        <v>77</v>
      </c>
      <c r="D176" s="647">
        <v>42.426498531650253</v>
      </c>
      <c r="E176" s="647">
        <v>464.7986487</v>
      </c>
      <c r="F176" s="647">
        <v>-430.41604332203127</v>
      </c>
      <c r="G176" s="647">
        <v>78.562753779962591</v>
      </c>
      <c r="H176" s="647">
        <v>727.27272727272737</v>
      </c>
      <c r="I176" s="647">
        <v>338.37995078139568</v>
      </c>
      <c r="J176" s="647">
        <v>73.88609899973514</v>
      </c>
      <c r="K176" s="647">
        <v>18.1608189391454</v>
      </c>
      <c r="L176" s="647">
        <v>-22.392588528868568</v>
      </c>
      <c r="M176" s="647">
        <v>-5.0780082691828765</v>
      </c>
      <c r="N176" s="647">
        <v>0</v>
      </c>
      <c r="O176" s="647">
        <v>9.6533137639592894</v>
      </c>
      <c r="P176" s="647">
        <v>-554.70570793017112</v>
      </c>
      <c r="Q176" s="647">
        <v>-34.744016552062419</v>
      </c>
      <c r="R176" s="647">
        <v>-7.071337409208251</v>
      </c>
      <c r="S176" s="647">
        <v>698.73310875705101</v>
      </c>
      <c r="U176" s="646" t="s">
        <v>77</v>
      </c>
      <c r="V176" s="647">
        <v>3.0871053259909167</v>
      </c>
      <c r="W176" s="647">
        <v>113.59926767676768</v>
      </c>
      <c r="X176" s="647">
        <v>-90.60020861890041</v>
      </c>
      <c r="Y176" s="647">
        <v>0</v>
      </c>
      <c r="Z176" s="647">
        <v>764.84848484848499</v>
      </c>
      <c r="AA176" s="647">
        <v>423.19995078139567</v>
      </c>
      <c r="AB176" s="647">
        <v>188.81392594880614</v>
      </c>
      <c r="AC176" s="647">
        <v>31.963595882852758</v>
      </c>
      <c r="AD176" s="647">
        <v>-125.42403259253969</v>
      </c>
      <c r="AE176" s="647">
        <v>-113.87891972722609</v>
      </c>
      <c r="AF176" s="647">
        <v>0</v>
      </c>
      <c r="AG176" s="647">
        <v>21.687841193420969</v>
      </c>
      <c r="AH176" s="647">
        <v>-553.86752452670385</v>
      </c>
      <c r="AI176" s="647">
        <v>-68.423763504668656</v>
      </c>
      <c r="AJ176" s="647">
        <v>-37.056170647637451</v>
      </c>
      <c r="AK176" s="647">
        <v>557.94955204004305</v>
      </c>
    </row>
    <row r="177" spans="3:37" ht="13">
      <c r="C177" s="636"/>
      <c r="D177" s="636">
        <v>0</v>
      </c>
      <c r="E177" s="636">
        <v>0</v>
      </c>
      <c r="F177" s="636">
        <v>0</v>
      </c>
      <c r="G177" s="636">
        <v>0</v>
      </c>
      <c r="H177" s="636">
        <v>0</v>
      </c>
      <c r="I177" s="636">
        <v>0</v>
      </c>
      <c r="J177" s="636">
        <v>0</v>
      </c>
      <c r="K177" s="636">
        <v>0</v>
      </c>
      <c r="L177" s="636">
        <v>0</v>
      </c>
      <c r="M177" s="636">
        <v>0</v>
      </c>
      <c r="N177" s="636">
        <v>0</v>
      </c>
      <c r="O177" s="636">
        <v>0</v>
      </c>
      <c r="P177" s="636">
        <v>0</v>
      </c>
      <c r="Q177" s="636">
        <v>0</v>
      </c>
      <c r="R177" s="636">
        <v>0</v>
      </c>
      <c r="S177" s="636">
        <v>0</v>
      </c>
      <c r="U177" s="636"/>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row>
    <row r="178" spans="3:37" ht="13.5">
      <c r="C178" s="648" t="s">
        <v>78</v>
      </c>
      <c r="D178" s="642">
        <v>3.6733927919712848</v>
      </c>
      <c r="E178" s="642">
        <v>0</v>
      </c>
      <c r="F178" s="642">
        <v>19.397200033553816</v>
      </c>
      <c r="G178" s="642">
        <v>91.130108310207916</v>
      </c>
      <c r="H178" s="642">
        <v>0</v>
      </c>
      <c r="I178" s="642">
        <v>0</v>
      </c>
      <c r="J178" s="642">
        <v>22.791437377983073</v>
      </c>
      <c r="K178" s="642">
        <v>1.7013098714668424</v>
      </c>
      <c r="L178" s="642">
        <v>1.007010953125</v>
      </c>
      <c r="M178" s="642">
        <v>1.8779931367345493</v>
      </c>
      <c r="N178" s="642">
        <v>0</v>
      </c>
      <c r="O178" s="642">
        <v>3.7093504340600874E-4</v>
      </c>
      <c r="P178" s="642">
        <v>114.54790196708234</v>
      </c>
      <c r="Q178" s="642">
        <v>16.21056036467343</v>
      </c>
      <c r="R178" s="642">
        <v>0.23655174255371095</v>
      </c>
      <c r="S178" s="650">
        <v>272.57383748439537</v>
      </c>
      <c r="U178" s="648" t="s">
        <v>78</v>
      </c>
      <c r="V178" s="642">
        <v>1.5000162600463405</v>
      </c>
      <c r="W178" s="642">
        <v>0</v>
      </c>
      <c r="X178" s="642">
        <v>0.65820239923796242</v>
      </c>
      <c r="Y178" s="642">
        <v>0</v>
      </c>
      <c r="Z178" s="642">
        <v>0</v>
      </c>
      <c r="AA178" s="642">
        <v>0</v>
      </c>
      <c r="AB178" s="642">
        <v>14.22856522114639</v>
      </c>
      <c r="AC178" s="642">
        <v>4.1194716696050602</v>
      </c>
      <c r="AD178" s="642">
        <v>8.3494072265624997</v>
      </c>
      <c r="AE178" s="642">
        <v>60.539358802903692</v>
      </c>
      <c r="AF178" s="642">
        <v>0</v>
      </c>
      <c r="AG178" s="642">
        <v>3.7093504340600874E-4</v>
      </c>
      <c r="AH178" s="642">
        <v>157.01971492382648</v>
      </c>
      <c r="AI178" s="642">
        <v>25.540840498351418</v>
      </c>
      <c r="AJ178" s="642">
        <v>8.9542294921874994</v>
      </c>
      <c r="AK178" s="650">
        <v>280.91017742891074</v>
      </c>
    </row>
    <row r="179" spans="3:37" ht="13.5">
      <c r="C179" s="648" t="s">
        <v>79</v>
      </c>
      <c r="D179" s="642">
        <v>0</v>
      </c>
      <c r="E179" s="642">
        <v>0</v>
      </c>
      <c r="F179" s="642">
        <v>216.8751541495462</v>
      </c>
      <c r="G179" s="642">
        <v>32.745585882615877</v>
      </c>
      <c r="H179" s="642">
        <v>0</v>
      </c>
      <c r="I179" s="642">
        <v>0</v>
      </c>
      <c r="J179" s="642">
        <v>0</v>
      </c>
      <c r="K179" s="642">
        <v>0</v>
      </c>
      <c r="L179" s="642">
        <v>20.896591906701669</v>
      </c>
      <c r="M179" s="642">
        <v>0.66827726291052814</v>
      </c>
      <c r="N179" s="642">
        <v>0</v>
      </c>
      <c r="O179" s="642">
        <v>0</v>
      </c>
      <c r="P179" s="642">
        <v>80.819270278256823</v>
      </c>
      <c r="Q179" s="642">
        <v>0</v>
      </c>
      <c r="R179" s="642">
        <v>2.9193508940431485</v>
      </c>
      <c r="S179" s="650">
        <v>354.92423037407423</v>
      </c>
      <c r="U179" s="648" t="s">
        <v>79</v>
      </c>
      <c r="V179" s="642">
        <v>0</v>
      </c>
      <c r="W179" s="642">
        <v>0</v>
      </c>
      <c r="X179" s="642">
        <v>8.8339079607242379</v>
      </c>
      <c r="Y179" s="642">
        <v>0</v>
      </c>
      <c r="Z179" s="642">
        <v>0</v>
      </c>
      <c r="AA179" s="642">
        <v>0</v>
      </c>
      <c r="AB179" s="642">
        <v>0</v>
      </c>
      <c r="AC179" s="642">
        <v>0</v>
      </c>
      <c r="AD179" s="642">
        <v>12.788272739607951</v>
      </c>
      <c r="AE179" s="642">
        <v>24.887279738493259</v>
      </c>
      <c r="AF179" s="642">
        <v>0</v>
      </c>
      <c r="AG179" s="642">
        <v>0</v>
      </c>
      <c r="AH179" s="642">
        <v>93.844452584108197</v>
      </c>
      <c r="AI179" s="642">
        <v>0</v>
      </c>
      <c r="AJ179" s="642">
        <v>7.1149935986121697</v>
      </c>
      <c r="AK179" s="650">
        <v>147.46890662154581</v>
      </c>
    </row>
    <row r="180" spans="3:37" ht="13.5">
      <c r="C180" s="648" t="s">
        <v>80</v>
      </c>
      <c r="D180" s="642">
        <v>0</v>
      </c>
      <c r="E180" s="642">
        <v>0</v>
      </c>
      <c r="F180" s="642">
        <v>5.2094674308398901</v>
      </c>
      <c r="G180" s="642">
        <v>68.551385920257417</v>
      </c>
      <c r="H180" s="642">
        <v>0</v>
      </c>
      <c r="I180" s="642">
        <v>0</v>
      </c>
      <c r="J180" s="642">
        <v>86.155325304334795</v>
      </c>
      <c r="K180" s="642">
        <v>0</v>
      </c>
      <c r="L180" s="642">
        <v>0</v>
      </c>
      <c r="M180" s="642">
        <v>1.3990078759236206</v>
      </c>
      <c r="N180" s="642">
        <v>66.478227859390046</v>
      </c>
      <c r="O180" s="642">
        <v>2.1206229173139883</v>
      </c>
      <c r="P180" s="642">
        <v>194.47767196350526</v>
      </c>
      <c r="Q180" s="642">
        <v>15.182773802844931</v>
      </c>
      <c r="R180" s="642">
        <v>0</v>
      </c>
      <c r="S180" s="650">
        <v>439.5744830744099</v>
      </c>
      <c r="U180" s="648" t="s">
        <v>80</v>
      </c>
      <c r="V180" s="642">
        <v>0</v>
      </c>
      <c r="W180" s="642">
        <v>0</v>
      </c>
      <c r="X180" s="642">
        <v>0.92826525658471626</v>
      </c>
      <c r="Y180" s="642">
        <v>0</v>
      </c>
      <c r="Z180" s="642">
        <v>0</v>
      </c>
      <c r="AA180" s="642">
        <v>0</v>
      </c>
      <c r="AB180" s="642">
        <v>47.227858114444189</v>
      </c>
      <c r="AC180" s="642">
        <v>0</v>
      </c>
      <c r="AD180" s="642">
        <v>0</v>
      </c>
      <c r="AE180" s="642">
        <v>17.293312779197663</v>
      </c>
      <c r="AF180" s="642">
        <v>108.09916343666818</v>
      </c>
      <c r="AG180" s="642">
        <v>4.9369795689122755</v>
      </c>
      <c r="AH180" s="642">
        <v>137.38519988829395</v>
      </c>
      <c r="AI180" s="642">
        <v>27.91071693101145</v>
      </c>
      <c r="AJ180" s="642">
        <v>0</v>
      </c>
      <c r="AK180" s="650">
        <v>343.78149597511242</v>
      </c>
    </row>
    <row r="181" spans="3:37" ht="13.5">
      <c r="C181" s="648" t="s">
        <v>81</v>
      </c>
      <c r="D181" s="642">
        <v>0</v>
      </c>
      <c r="E181" s="642">
        <v>0</v>
      </c>
      <c r="F181" s="642">
        <v>2.3181271880740835</v>
      </c>
      <c r="G181" s="642">
        <v>62.553452404821357</v>
      </c>
      <c r="H181" s="642">
        <v>0</v>
      </c>
      <c r="I181" s="642">
        <v>0</v>
      </c>
      <c r="J181" s="642">
        <v>3.0090868580403627</v>
      </c>
      <c r="K181" s="642">
        <v>2.5363417285398034E-2</v>
      </c>
      <c r="L181" s="642">
        <v>0</v>
      </c>
      <c r="M181" s="642">
        <v>1.27660106948615</v>
      </c>
      <c r="N181" s="642">
        <v>8.6055350400994808</v>
      </c>
      <c r="O181" s="642">
        <v>0.68093940948821108</v>
      </c>
      <c r="P181" s="642">
        <v>146.08879967332064</v>
      </c>
      <c r="Q181" s="642">
        <v>3.3506823845440552</v>
      </c>
      <c r="R181" s="642">
        <v>0</v>
      </c>
      <c r="S181" s="650">
        <v>227.90858744515972</v>
      </c>
      <c r="U181" s="648" t="s">
        <v>81</v>
      </c>
      <c r="V181" s="642">
        <v>0</v>
      </c>
      <c r="W181" s="642">
        <v>0</v>
      </c>
      <c r="X181" s="642">
        <v>0.55102356567889155</v>
      </c>
      <c r="Y181" s="642">
        <v>0</v>
      </c>
      <c r="Z181" s="642">
        <v>0</v>
      </c>
      <c r="AA181" s="642">
        <v>0</v>
      </c>
      <c r="AB181" s="642">
        <v>6.5361621549849476</v>
      </c>
      <c r="AC181" s="642">
        <v>2.5363417285398034E-2</v>
      </c>
      <c r="AD181" s="642">
        <v>0</v>
      </c>
      <c r="AE181" s="642">
        <v>5.3379988256415478</v>
      </c>
      <c r="AF181" s="642">
        <v>15.069021727073199</v>
      </c>
      <c r="AG181" s="642">
        <v>1.4375946320597892</v>
      </c>
      <c r="AH181" s="642">
        <v>112.31243747223964</v>
      </c>
      <c r="AI181" s="642">
        <v>14.972206075305797</v>
      </c>
      <c r="AJ181" s="642">
        <v>0</v>
      </c>
      <c r="AK181" s="650">
        <v>156.24180787026921</v>
      </c>
    </row>
    <row r="182" spans="3:37" ht="13.5">
      <c r="C182" s="648" t="s">
        <v>82</v>
      </c>
      <c r="D182" s="642">
        <v>0</v>
      </c>
      <c r="E182" s="642">
        <v>0</v>
      </c>
      <c r="F182" s="642">
        <v>27.219719362233906</v>
      </c>
      <c r="G182" s="642">
        <v>0.81069667111944488</v>
      </c>
      <c r="H182" s="642">
        <v>0</v>
      </c>
      <c r="I182" s="642">
        <v>0</v>
      </c>
      <c r="J182" s="642">
        <v>5.0054618408177598</v>
      </c>
      <c r="K182" s="642">
        <v>0</v>
      </c>
      <c r="L182" s="642">
        <v>3.2629555410385191</v>
      </c>
      <c r="M182" s="642">
        <v>1.6544830022845812E-2</v>
      </c>
      <c r="N182" s="642">
        <v>0</v>
      </c>
      <c r="O182" s="642">
        <v>6.051975379409523E-2</v>
      </c>
      <c r="P182" s="642">
        <v>5.5235547180923223</v>
      </c>
      <c r="Q182" s="642">
        <v>0</v>
      </c>
      <c r="R182" s="642">
        <v>0</v>
      </c>
      <c r="S182" s="650">
        <v>41.899452717118898</v>
      </c>
      <c r="U182" s="648" t="s">
        <v>82</v>
      </c>
      <c r="V182" s="642">
        <v>0</v>
      </c>
      <c r="W182" s="642">
        <v>0</v>
      </c>
      <c r="X182" s="642">
        <v>0.67158967449506357</v>
      </c>
      <c r="Y182" s="642">
        <v>0</v>
      </c>
      <c r="Z182" s="642">
        <v>0</v>
      </c>
      <c r="AA182" s="642">
        <v>0</v>
      </c>
      <c r="AB182" s="642">
        <v>5.0054618408177598</v>
      </c>
      <c r="AC182" s="642">
        <v>0</v>
      </c>
      <c r="AD182" s="642">
        <v>35.167200828266267</v>
      </c>
      <c r="AE182" s="642">
        <v>0.86765586771995196</v>
      </c>
      <c r="AF182" s="642">
        <v>0</v>
      </c>
      <c r="AG182" s="642">
        <v>2.1874070050904897</v>
      </c>
      <c r="AH182" s="642">
        <v>5.6657335511185538</v>
      </c>
      <c r="AI182" s="642">
        <v>0</v>
      </c>
      <c r="AJ182" s="642">
        <v>0.44339331184266689</v>
      </c>
      <c r="AK182" s="650">
        <v>50.008442079350758</v>
      </c>
    </row>
    <row r="183" spans="3:37" ht="13.5">
      <c r="C183" s="648" t="s">
        <v>357</v>
      </c>
      <c r="D183" s="642">
        <v>0</v>
      </c>
      <c r="E183" s="642">
        <v>0</v>
      </c>
      <c r="F183" s="642">
        <v>0</v>
      </c>
      <c r="G183" s="642">
        <v>0</v>
      </c>
      <c r="H183" s="642">
        <v>0</v>
      </c>
      <c r="I183" s="642">
        <v>0</v>
      </c>
      <c r="J183" s="642">
        <v>0</v>
      </c>
      <c r="K183" s="642">
        <v>0</v>
      </c>
      <c r="L183" s="642">
        <v>0</v>
      </c>
      <c r="M183" s="642">
        <v>0</v>
      </c>
      <c r="N183" s="642">
        <v>0</v>
      </c>
      <c r="O183" s="642">
        <v>0</v>
      </c>
      <c r="P183" s="642">
        <v>0.44999999999999996</v>
      </c>
      <c r="Q183" s="642">
        <v>0</v>
      </c>
      <c r="R183" s="642">
        <v>0</v>
      </c>
      <c r="S183" s="650">
        <v>0.44999999999999996</v>
      </c>
      <c r="U183" s="648" t="s">
        <v>357</v>
      </c>
      <c r="V183" s="642">
        <v>0</v>
      </c>
      <c r="W183" s="642">
        <v>0</v>
      </c>
      <c r="X183" s="642">
        <v>0</v>
      </c>
      <c r="Y183" s="642">
        <v>0</v>
      </c>
      <c r="Z183" s="642">
        <v>0</v>
      </c>
      <c r="AA183" s="642">
        <v>0</v>
      </c>
      <c r="AB183" s="642">
        <v>0</v>
      </c>
      <c r="AC183" s="642">
        <v>0</v>
      </c>
      <c r="AD183" s="642">
        <v>0</v>
      </c>
      <c r="AE183" s="642">
        <v>0</v>
      </c>
      <c r="AF183" s="642">
        <v>0</v>
      </c>
      <c r="AG183" s="642">
        <v>0</v>
      </c>
      <c r="AH183" s="642">
        <v>6</v>
      </c>
      <c r="AI183" s="642">
        <v>0</v>
      </c>
      <c r="AJ183" s="642">
        <v>0</v>
      </c>
      <c r="AK183" s="650">
        <v>6</v>
      </c>
    </row>
    <row r="184" spans="3:37" ht="13.5">
      <c r="C184" s="646" t="s">
        <v>83</v>
      </c>
      <c r="D184" s="647">
        <v>3.6733927919712848</v>
      </c>
      <c r="E184" s="647">
        <v>0</v>
      </c>
      <c r="F184" s="647">
        <v>271.01966816424783</v>
      </c>
      <c r="G184" s="647">
        <v>255.79122918902203</v>
      </c>
      <c r="H184" s="647">
        <v>0</v>
      </c>
      <c r="I184" s="647">
        <v>0</v>
      </c>
      <c r="J184" s="647">
        <v>116.96131138117599</v>
      </c>
      <c r="K184" s="647">
        <v>1.7266732887522405</v>
      </c>
      <c r="L184" s="647">
        <v>25.166558400865188</v>
      </c>
      <c r="M184" s="647">
        <v>5.238424175077693</v>
      </c>
      <c r="N184" s="647">
        <v>75.083762899489528</v>
      </c>
      <c r="O184" s="647">
        <v>2.8624530156397006</v>
      </c>
      <c r="P184" s="647">
        <v>541.90719860025752</v>
      </c>
      <c r="Q184" s="647">
        <v>34.744016552062419</v>
      </c>
      <c r="R184" s="647">
        <v>3.1559026365968594</v>
      </c>
      <c r="S184" s="647">
        <v>1337.3305910951583</v>
      </c>
      <c r="U184" s="646" t="s">
        <v>83</v>
      </c>
      <c r="V184" s="647">
        <v>1.5000162600463405</v>
      </c>
      <c r="W184" s="647">
        <v>0</v>
      </c>
      <c r="X184" s="647">
        <v>11.642988856720871</v>
      </c>
      <c r="Y184" s="647">
        <v>0</v>
      </c>
      <c r="Z184" s="647">
        <v>0</v>
      </c>
      <c r="AA184" s="647">
        <v>0</v>
      </c>
      <c r="AB184" s="647">
        <v>72.998047331393281</v>
      </c>
      <c r="AC184" s="647">
        <v>4.1448350868904589</v>
      </c>
      <c r="AD184" s="647">
        <v>56.30488079443672</v>
      </c>
      <c r="AE184" s="647">
        <v>108.92560601395611</v>
      </c>
      <c r="AF184" s="647">
        <v>123.16818516374138</v>
      </c>
      <c r="AG184" s="647">
        <v>8.5623521411059595</v>
      </c>
      <c r="AH184" s="647">
        <v>512.22753841958684</v>
      </c>
      <c r="AI184" s="647">
        <v>68.423763504668656</v>
      </c>
      <c r="AJ184" s="647">
        <v>16.512616402642333</v>
      </c>
      <c r="AK184" s="647">
        <v>984.4108299751889</v>
      </c>
    </row>
    <row r="185" spans="3:37" ht="13.5">
      <c r="C185" s="641" t="s">
        <v>84</v>
      </c>
      <c r="D185" s="642">
        <v>0</v>
      </c>
      <c r="E185" s="642">
        <v>0</v>
      </c>
      <c r="F185" s="642">
        <v>100.05515171814793</v>
      </c>
      <c r="G185" s="642">
        <v>11.196954266678716</v>
      </c>
      <c r="H185" s="642">
        <v>0</v>
      </c>
      <c r="I185" s="642">
        <v>0</v>
      </c>
      <c r="J185" s="642">
        <v>0</v>
      </c>
      <c r="K185" s="642">
        <v>0</v>
      </c>
      <c r="L185" s="642">
        <v>0</v>
      </c>
      <c r="M185" s="642">
        <v>0</v>
      </c>
      <c r="N185" s="642">
        <v>0</v>
      </c>
      <c r="O185" s="642">
        <v>0</v>
      </c>
      <c r="P185" s="642">
        <v>0</v>
      </c>
      <c r="Q185" s="642">
        <v>0</v>
      </c>
      <c r="R185" s="642">
        <v>3.9154347726113912</v>
      </c>
      <c r="S185" s="650">
        <v>115.16754075743803</v>
      </c>
      <c r="U185" s="641" t="s">
        <v>84</v>
      </c>
      <c r="V185" s="642">
        <v>0</v>
      </c>
      <c r="W185" s="642">
        <v>0</v>
      </c>
      <c r="X185" s="642">
        <v>57.953190468871433</v>
      </c>
      <c r="Y185" s="642">
        <v>0.51452681198611927</v>
      </c>
      <c r="Z185" s="642">
        <v>0</v>
      </c>
      <c r="AA185" s="642">
        <v>0</v>
      </c>
      <c r="AB185" s="642">
        <v>0</v>
      </c>
      <c r="AC185" s="642">
        <v>0</v>
      </c>
      <c r="AD185" s="642">
        <v>30.108432000732424</v>
      </c>
      <c r="AE185" s="642">
        <v>0</v>
      </c>
      <c r="AF185" s="642">
        <v>0</v>
      </c>
      <c r="AG185" s="642">
        <v>0</v>
      </c>
      <c r="AH185" s="642">
        <v>0</v>
      </c>
      <c r="AI185" s="642">
        <v>0</v>
      </c>
      <c r="AJ185" s="642">
        <v>20.543554244995118</v>
      </c>
      <c r="AK185" s="650">
        <v>109.1197035265851</v>
      </c>
    </row>
    <row r="186" spans="3:37" ht="13.5">
      <c r="C186" s="646" t="s">
        <v>85</v>
      </c>
      <c r="D186" s="647">
        <v>3.6733927919712848</v>
      </c>
      <c r="E186" s="647">
        <v>0</v>
      </c>
      <c r="F186" s="647">
        <v>371.07481988239573</v>
      </c>
      <c r="G186" s="647">
        <v>266.98818345570078</v>
      </c>
      <c r="H186" s="647">
        <v>0</v>
      </c>
      <c r="I186" s="647">
        <v>0</v>
      </c>
      <c r="J186" s="647">
        <v>116.96131138117599</v>
      </c>
      <c r="K186" s="647">
        <v>1.7266732887522405</v>
      </c>
      <c r="L186" s="647">
        <v>25.166558400865188</v>
      </c>
      <c r="M186" s="647">
        <v>5.238424175077693</v>
      </c>
      <c r="N186" s="647">
        <v>75.083762899489528</v>
      </c>
      <c r="O186" s="647">
        <v>2.8624530156397006</v>
      </c>
      <c r="P186" s="647">
        <v>541.90719860025752</v>
      </c>
      <c r="Q186" s="647">
        <v>34.744016552062419</v>
      </c>
      <c r="R186" s="647">
        <v>7.071337409208251</v>
      </c>
      <c r="S186" s="647">
        <v>1452.4981318525963</v>
      </c>
      <c r="U186" s="646" t="s">
        <v>85</v>
      </c>
      <c r="V186" s="647">
        <v>1.5000162600463405</v>
      </c>
      <c r="W186" s="647">
        <v>0</v>
      </c>
      <c r="X186" s="647">
        <v>69.596179325592303</v>
      </c>
      <c r="Y186" s="647">
        <v>0.51452681198611927</v>
      </c>
      <c r="Z186" s="647">
        <v>0</v>
      </c>
      <c r="AA186" s="647">
        <v>0</v>
      </c>
      <c r="AB186" s="647">
        <v>72.998047331393281</v>
      </c>
      <c r="AC186" s="647">
        <v>4.1448350868904589</v>
      </c>
      <c r="AD186" s="647">
        <v>86.413312795169148</v>
      </c>
      <c r="AE186" s="647">
        <v>108.92560601395611</v>
      </c>
      <c r="AF186" s="647">
        <v>123.16818516374138</v>
      </c>
      <c r="AG186" s="647">
        <v>8.5623521411059595</v>
      </c>
      <c r="AH186" s="647">
        <v>512.22753841958684</v>
      </c>
      <c r="AI186" s="647">
        <v>68.423763504668656</v>
      </c>
      <c r="AJ186" s="647">
        <v>37.056170647637451</v>
      </c>
      <c r="AK186" s="647">
        <v>1093.530533501774</v>
      </c>
    </row>
    <row r="187" spans="3:37" ht="13">
      <c r="C187" s="636"/>
      <c r="D187" s="636"/>
      <c r="E187" s="636"/>
      <c r="F187" s="636"/>
      <c r="G187" s="636"/>
      <c r="H187" s="636"/>
      <c r="I187" s="636"/>
      <c r="J187" s="636"/>
      <c r="K187" s="636"/>
      <c r="L187" s="636"/>
      <c r="M187" s="636"/>
      <c r="N187" s="636"/>
      <c r="O187" s="636"/>
      <c r="P187" s="636"/>
      <c r="Q187" s="636"/>
      <c r="R187" s="636"/>
      <c r="S187" s="636"/>
      <c r="U187" s="636"/>
      <c r="V187" s="636"/>
      <c r="W187" s="636"/>
      <c r="X187" s="636"/>
      <c r="Y187" s="636"/>
      <c r="Z187" s="636"/>
      <c r="AA187" s="636"/>
      <c r="AB187" s="636"/>
      <c r="AC187" s="636"/>
      <c r="AD187" s="636"/>
      <c r="AE187" s="636"/>
      <c r="AF187" s="636"/>
      <c r="AG187" s="636"/>
      <c r="AH187" s="636"/>
      <c r="AI187" s="636"/>
      <c r="AJ187" s="636"/>
      <c r="AK187" s="636"/>
    </row>
    <row r="188" spans="3:37" ht="13">
      <c r="C188" s="636"/>
      <c r="D188" s="636"/>
      <c r="E188" s="636"/>
      <c r="F188" s="636"/>
      <c r="G188" s="636"/>
      <c r="H188" s="636"/>
      <c r="I188" s="636"/>
      <c r="J188" s="636"/>
      <c r="K188" s="636"/>
      <c r="L188" s="636"/>
      <c r="M188" s="636"/>
      <c r="N188" s="636"/>
      <c r="O188" s="636"/>
      <c r="P188" s="636"/>
      <c r="Q188" s="636"/>
      <c r="R188" s="636"/>
      <c r="S188" s="636"/>
      <c r="U188" s="636"/>
      <c r="V188" s="636"/>
      <c r="W188" s="636"/>
      <c r="X188" s="636"/>
      <c r="Y188" s="636"/>
      <c r="Z188" s="636"/>
      <c r="AA188" s="636"/>
      <c r="AB188" s="636"/>
      <c r="AC188" s="636"/>
      <c r="AD188" s="636"/>
      <c r="AE188" s="636"/>
      <c r="AF188" s="636"/>
      <c r="AG188" s="636"/>
      <c r="AH188" s="636"/>
      <c r="AI188" s="636"/>
      <c r="AJ188" s="636"/>
      <c r="AK188" s="636"/>
    </row>
  </sheetData>
  <mergeCells count="132">
    <mergeCell ref="AI154:AI155"/>
    <mergeCell ref="AJ154:AJ155"/>
    <mergeCell ref="AK154:AK155"/>
    <mergeCell ref="W154:W155"/>
    <mergeCell ref="X154:X155"/>
    <mergeCell ref="Y154:Y155"/>
    <mergeCell ref="Z154:Z155"/>
    <mergeCell ref="C154:C155"/>
    <mergeCell ref="D154:D155"/>
    <mergeCell ref="E154:E155"/>
    <mergeCell ref="F154:F155"/>
    <mergeCell ref="G154:G155"/>
    <mergeCell ref="H154:H155"/>
    <mergeCell ref="I154:I155"/>
    <mergeCell ref="J154:O154"/>
    <mergeCell ref="AH154:AH155"/>
    <mergeCell ref="AH118:AH119"/>
    <mergeCell ref="AI118:AI119"/>
    <mergeCell ref="AJ118:AJ119"/>
    <mergeCell ref="AK118:AK119"/>
    <mergeCell ref="U118:U119"/>
    <mergeCell ref="V118:V119"/>
    <mergeCell ref="W118:W119"/>
    <mergeCell ref="X118:X119"/>
    <mergeCell ref="Y118:Y119"/>
    <mergeCell ref="Z118:Z119"/>
    <mergeCell ref="AA154:AA155"/>
    <mergeCell ref="AB154:AG154"/>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P154:P155"/>
    <mergeCell ref="Q154:Q155"/>
    <mergeCell ref="R154:R155"/>
    <mergeCell ref="S154:S155"/>
    <mergeCell ref="U154:U155"/>
    <mergeCell ref="V154:V155"/>
    <mergeCell ref="C152:S152"/>
    <mergeCell ref="U152:AK152"/>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155">
    <cfRule type="cellIs" dxfId="14595" priority="1" operator="equal">
      <formula>0</formula>
    </cfRule>
  </conditionalFormatting>
  <conditionalFormatting sqref="P15:S17 E15:I17 J15:O16 Q12:S14 G12:G14 D12:D17 D18:S18">
    <cfRule type="cellIs" dxfId="14594" priority="503" operator="equal">
      <formula>0</formula>
    </cfRule>
  </conditionalFormatting>
  <conditionalFormatting sqref="P12:P17">
    <cfRule type="cellIs" dxfId="14593" priority="504" operator="equal">
      <formula>0</formula>
    </cfRule>
  </conditionalFormatting>
  <conditionalFormatting sqref="D12:E17 H12:I17">
    <cfRule type="cellIs" dxfId="14592" priority="505" operator="equal">
      <formula>0</formula>
    </cfRule>
  </conditionalFormatting>
  <conditionalFormatting sqref="F12:F17">
    <cfRule type="cellIs" dxfId="14591" priority="506" operator="equal">
      <formula>0</formula>
    </cfRule>
  </conditionalFormatting>
  <conditionalFormatting sqref="J15:J17">
    <cfRule type="cellIs" dxfId="14590" priority="507" operator="equal">
      <formula>0</formula>
    </cfRule>
  </conditionalFormatting>
  <conditionalFormatting sqref="J12:J17 K12:O12">
    <cfRule type="cellIs" dxfId="14589" priority="508" operator="equal">
      <formula>0</formula>
    </cfRule>
  </conditionalFormatting>
  <conditionalFormatting sqref="K15:K17">
    <cfRule type="cellIs" dxfId="14588" priority="509" operator="equal">
      <formula>0</formula>
    </cfRule>
  </conditionalFormatting>
  <conditionalFormatting sqref="K12:K17">
    <cfRule type="cellIs" dxfId="14587" priority="510" operator="equal">
      <formula>0</formula>
    </cfRule>
  </conditionalFormatting>
  <conditionalFormatting sqref="L15:L17">
    <cfRule type="cellIs" dxfId="14586" priority="511" operator="equal">
      <formula>0</formula>
    </cfRule>
  </conditionalFormatting>
  <conditionalFormatting sqref="L12:L17">
    <cfRule type="cellIs" dxfId="14585" priority="512" operator="equal">
      <formula>0</formula>
    </cfRule>
  </conditionalFormatting>
  <conditionalFormatting sqref="M15:M17">
    <cfRule type="cellIs" dxfId="14584" priority="513" operator="equal">
      <formula>0</formula>
    </cfRule>
  </conditionalFormatting>
  <conditionalFormatting sqref="M12:M17">
    <cfRule type="cellIs" dxfId="14583" priority="514" operator="equal">
      <formula>0</formula>
    </cfRule>
  </conditionalFormatting>
  <conditionalFormatting sqref="N15:N17">
    <cfRule type="cellIs" dxfId="14582" priority="515" operator="equal">
      <formula>0</formula>
    </cfRule>
  </conditionalFormatting>
  <conditionalFormatting sqref="N12:N17">
    <cfRule type="cellIs" dxfId="14581" priority="516" operator="equal">
      <formula>0</formula>
    </cfRule>
  </conditionalFormatting>
  <conditionalFormatting sqref="O15:O17">
    <cfRule type="cellIs" dxfId="14580" priority="517" operator="equal">
      <formula>0</formula>
    </cfRule>
  </conditionalFormatting>
  <conditionalFormatting sqref="O12:O17">
    <cfRule type="cellIs" dxfId="14579" priority="518" operator="equal">
      <formula>0</formula>
    </cfRule>
  </conditionalFormatting>
  <conditionalFormatting sqref="D12:S18">
    <cfRule type="expression" dxfId="14578" priority="519">
      <formula>LEN(TRIM(D12))=0</formula>
    </cfRule>
  </conditionalFormatting>
  <conditionalFormatting sqref="L15:L16">
    <cfRule type="cellIs" dxfId="14577" priority="520" operator="equal">
      <formula>0</formula>
    </cfRule>
  </conditionalFormatting>
  <conditionalFormatting sqref="M15:M16">
    <cfRule type="cellIs" dxfId="14576" priority="521" operator="equal">
      <formula>0</formula>
    </cfRule>
  </conditionalFormatting>
  <conditionalFormatting sqref="N15:O15">
    <cfRule type="cellIs" dxfId="14575" priority="522" operator="equal">
      <formula>0</formula>
    </cfRule>
  </conditionalFormatting>
  <conditionalFormatting sqref="N16:O16">
    <cfRule type="cellIs" dxfId="14574" priority="523" operator="equal">
      <formula>0</formula>
    </cfRule>
  </conditionalFormatting>
  <conditionalFormatting sqref="E29:G29 D30:G31 H29:I31 D25:I28 J25:R31 D20:S20 D32:R32 D21:I22 S21:S32 P21:R22">
    <cfRule type="cellIs" dxfId="14573" priority="497" operator="equal">
      <formula>0</formula>
    </cfRule>
  </conditionalFormatting>
  <conditionalFormatting sqref="D29">
    <cfRule type="cellIs" dxfId="14572" priority="498" operator="equal">
      <formula>0</formula>
    </cfRule>
  </conditionalFormatting>
  <conditionalFormatting sqref="D20:S20 D25:R32 D21:I22 S21:S32 P21:R22">
    <cfRule type="expression" dxfId="14571" priority="499">
      <formula>LEN(TRIM(D20))=0</formula>
    </cfRule>
  </conditionalFormatting>
  <conditionalFormatting sqref="D23:R24">
    <cfRule type="cellIs" dxfId="14570" priority="500" operator="equal">
      <formula>0</formula>
    </cfRule>
  </conditionalFormatting>
  <conditionalFormatting sqref="P23:P24">
    <cfRule type="cellIs" dxfId="14569" priority="501" operator="equal">
      <formula>0</formula>
    </cfRule>
  </conditionalFormatting>
  <conditionalFormatting sqref="D23:R24">
    <cfRule type="expression" dxfId="14568" priority="502">
      <formula>LEN(TRIM(D23))=0</formula>
    </cfRule>
  </conditionalFormatting>
  <conditionalFormatting sqref="J21:O22">
    <cfRule type="cellIs" dxfId="14567" priority="495" operator="equal">
      <formula>0</formula>
    </cfRule>
  </conditionalFormatting>
  <conditionalFormatting sqref="J21:O22">
    <cfRule type="expression" dxfId="14566" priority="496">
      <formula>LEN(TRIM(J21))=0</formula>
    </cfRule>
  </conditionalFormatting>
  <conditionalFormatting sqref="D35:R40 S34:S39 S41 D34:I34 P34:R34">
    <cfRule type="cellIs" dxfId="14565" priority="489" operator="equal">
      <formula>0</formula>
    </cfRule>
  </conditionalFormatting>
  <conditionalFormatting sqref="D41:R41">
    <cfRule type="cellIs" dxfId="14564" priority="490" operator="equal">
      <formula>0</formula>
    </cfRule>
  </conditionalFormatting>
  <conditionalFormatting sqref="D35:S39 D41:S41 D40:R40 D34:I34 P34:S34">
    <cfRule type="expression" dxfId="14563" priority="491">
      <formula>LEN(TRIM(D34))=0</formula>
    </cfRule>
  </conditionalFormatting>
  <conditionalFormatting sqref="D41:R41">
    <cfRule type="cellIs" dxfId="14562" priority="492" operator="equal">
      <formula>0</formula>
    </cfRule>
  </conditionalFormatting>
  <conditionalFormatting sqref="D42:R42">
    <cfRule type="cellIs" dxfId="14561" priority="493" operator="equal">
      <formula>0</formula>
    </cfRule>
  </conditionalFormatting>
  <conditionalFormatting sqref="D42:R42">
    <cfRule type="expression" dxfId="14560" priority="494">
      <formula>LEN(TRIM(D42))=0</formula>
    </cfRule>
  </conditionalFormatting>
  <conditionalFormatting sqref="S42">
    <cfRule type="cellIs" dxfId="14559" priority="487" operator="equal">
      <formula>0</formula>
    </cfRule>
  </conditionalFormatting>
  <conditionalFormatting sqref="S42">
    <cfRule type="expression" dxfId="14558" priority="488">
      <formula>LEN(TRIM(S42))=0</formula>
    </cfRule>
  </conditionalFormatting>
  <conditionalFormatting sqref="S40">
    <cfRule type="cellIs" dxfId="14557" priority="485" operator="equal">
      <formula>0</formula>
    </cfRule>
  </conditionalFormatting>
  <conditionalFormatting sqref="S40">
    <cfRule type="expression" dxfId="14556" priority="486">
      <formula>LEN(TRIM(S40))=0</formula>
    </cfRule>
  </conditionalFormatting>
  <conditionalFormatting sqref="J34:O34">
    <cfRule type="cellIs" dxfId="14555" priority="483" operator="equal">
      <formula>0</formula>
    </cfRule>
  </conditionalFormatting>
  <conditionalFormatting sqref="J34:O34">
    <cfRule type="expression" dxfId="14554" priority="484">
      <formula>LEN(TRIM(J34))=0</formula>
    </cfRule>
  </conditionalFormatting>
  <conditionalFormatting sqref="P51:S53 E51:I53 J51:O52 Q48:S50 G48:G50 D48:D53 D54:S54">
    <cfRule type="cellIs" dxfId="14553" priority="462" operator="equal">
      <formula>0</formula>
    </cfRule>
  </conditionalFormatting>
  <conditionalFormatting sqref="P48:P53">
    <cfRule type="cellIs" dxfId="14552" priority="463" operator="equal">
      <formula>0</formula>
    </cfRule>
  </conditionalFormatting>
  <conditionalFormatting sqref="D48:E53 H48:I53">
    <cfRule type="cellIs" dxfId="14551" priority="464" operator="equal">
      <formula>0</formula>
    </cfRule>
  </conditionalFormatting>
  <conditionalFormatting sqref="F48:F53">
    <cfRule type="cellIs" dxfId="14550" priority="465" operator="equal">
      <formula>0</formula>
    </cfRule>
  </conditionalFormatting>
  <conditionalFormatting sqref="J51:J53">
    <cfRule type="cellIs" dxfId="14549" priority="466" operator="equal">
      <formula>0</formula>
    </cfRule>
  </conditionalFormatting>
  <conditionalFormatting sqref="J48:J53 K48:O48">
    <cfRule type="cellIs" dxfId="14548" priority="467" operator="equal">
      <formula>0</formula>
    </cfRule>
  </conditionalFormatting>
  <conditionalFormatting sqref="K51:K53">
    <cfRule type="cellIs" dxfId="14547" priority="468" operator="equal">
      <formula>0</formula>
    </cfRule>
  </conditionalFormatting>
  <conditionalFormatting sqref="K48:K53">
    <cfRule type="cellIs" dxfId="14546" priority="469" operator="equal">
      <formula>0</formula>
    </cfRule>
  </conditionalFormatting>
  <conditionalFormatting sqref="L51:L53">
    <cfRule type="cellIs" dxfId="14545" priority="470" operator="equal">
      <formula>0</formula>
    </cfRule>
  </conditionalFormatting>
  <conditionalFormatting sqref="L48:L53">
    <cfRule type="cellIs" dxfId="14544" priority="471" operator="equal">
      <formula>0</formula>
    </cfRule>
  </conditionalFormatting>
  <conditionalFormatting sqref="M51:M53">
    <cfRule type="cellIs" dxfId="14543" priority="472" operator="equal">
      <formula>0</formula>
    </cfRule>
  </conditionalFormatting>
  <conditionalFormatting sqref="M48:M53">
    <cfRule type="cellIs" dxfId="14542" priority="473" operator="equal">
      <formula>0</formula>
    </cfRule>
  </conditionalFormatting>
  <conditionalFormatting sqref="N51:N53">
    <cfRule type="cellIs" dxfId="14541" priority="474" operator="equal">
      <formula>0</formula>
    </cfRule>
  </conditionalFormatting>
  <conditionalFormatting sqref="N48:N53">
    <cfRule type="cellIs" dxfId="14540" priority="475" operator="equal">
      <formula>0</formula>
    </cfRule>
  </conditionalFormatting>
  <conditionalFormatting sqref="O51:O53">
    <cfRule type="cellIs" dxfId="14539" priority="476" operator="equal">
      <formula>0</formula>
    </cfRule>
  </conditionalFormatting>
  <conditionalFormatting sqref="O48:O53">
    <cfRule type="cellIs" dxfId="14538" priority="477" operator="equal">
      <formula>0</formula>
    </cfRule>
  </conditionalFormatting>
  <conditionalFormatting sqref="D48:S54">
    <cfRule type="expression" dxfId="14537" priority="478">
      <formula>LEN(TRIM(D48))=0</formula>
    </cfRule>
  </conditionalFormatting>
  <conditionalFormatting sqref="L51:L52">
    <cfRule type="cellIs" dxfId="14536" priority="479" operator="equal">
      <formula>0</formula>
    </cfRule>
  </conditionalFormatting>
  <conditionalFormatting sqref="M51:M52">
    <cfRule type="cellIs" dxfId="14535" priority="480" operator="equal">
      <formula>0</formula>
    </cfRule>
  </conditionalFormatting>
  <conditionalFormatting sqref="N51:O51">
    <cfRule type="cellIs" dxfId="14534" priority="481" operator="equal">
      <formula>0</formula>
    </cfRule>
  </conditionalFormatting>
  <conditionalFormatting sqref="N52:O52">
    <cfRule type="cellIs" dxfId="14533" priority="482" operator="equal">
      <formula>0</formula>
    </cfRule>
  </conditionalFormatting>
  <conditionalFormatting sqref="E65:G65 D66:G67 H65:I67 D61:I64 J61:R67 D56:S56 D68:R68 D57:I58 S57:S68 P57:R58">
    <cfRule type="cellIs" dxfId="14532" priority="456" operator="equal">
      <formula>0</formula>
    </cfRule>
  </conditionalFormatting>
  <conditionalFormatting sqref="D65">
    <cfRule type="cellIs" dxfId="14531" priority="457" operator="equal">
      <formula>0</formula>
    </cfRule>
  </conditionalFormatting>
  <conditionalFormatting sqref="D56:S56 D61:R68 D57:I58 S57:S68 P57:R58">
    <cfRule type="expression" dxfId="14530" priority="458">
      <formula>LEN(TRIM(D56))=0</formula>
    </cfRule>
  </conditionalFormatting>
  <conditionalFormatting sqref="D59:R60">
    <cfRule type="cellIs" dxfId="14529" priority="459" operator="equal">
      <formula>0</formula>
    </cfRule>
  </conditionalFormatting>
  <conditionalFormatting sqref="P59:P60">
    <cfRule type="cellIs" dxfId="14528" priority="460" operator="equal">
      <formula>0</formula>
    </cfRule>
  </conditionalFormatting>
  <conditionalFormatting sqref="D59:R60">
    <cfRule type="expression" dxfId="14527" priority="461">
      <formula>LEN(TRIM(D59))=0</formula>
    </cfRule>
  </conditionalFormatting>
  <conditionalFormatting sqref="J57:O58">
    <cfRule type="cellIs" dxfId="14526" priority="454" operator="equal">
      <formula>0</formula>
    </cfRule>
  </conditionalFormatting>
  <conditionalFormatting sqref="J57:O58">
    <cfRule type="expression" dxfId="14525" priority="455">
      <formula>LEN(TRIM(J57))=0</formula>
    </cfRule>
  </conditionalFormatting>
  <conditionalFormatting sqref="D71:R76 S70:S75 S77 D70:I70 P70:R70">
    <cfRule type="cellIs" dxfId="14524" priority="448" operator="equal">
      <formula>0</formula>
    </cfRule>
  </conditionalFormatting>
  <conditionalFormatting sqref="D77:R77">
    <cfRule type="cellIs" dxfId="14523" priority="449" operator="equal">
      <formula>0</formula>
    </cfRule>
  </conditionalFormatting>
  <conditionalFormatting sqref="D71:S75 D77:S77 D76:R76 D70:I70 P70:S70">
    <cfRule type="expression" dxfId="14522" priority="450">
      <formula>LEN(TRIM(D70))=0</formula>
    </cfRule>
  </conditionalFormatting>
  <conditionalFormatting sqref="D77:R77">
    <cfRule type="cellIs" dxfId="14521" priority="451" operator="equal">
      <formula>0</formula>
    </cfRule>
  </conditionalFormatting>
  <conditionalFormatting sqref="D78:R78">
    <cfRule type="cellIs" dxfId="14520" priority="452" operator="equal">
      <formula>0</formula>
    </cfRule>
  </conditionalFormatting>
  <conditionalFormatting sqref="D78:R78">
    <cfRule type="expression" dxfId="14519" priority="453">
      <formula>LEN(TRIM(D78))=0</formula>
    </cfRule>
  </conditionalFormatting>
  <conditionalFormatting sqref="S78">
    <cfRule type="cellIs" dxfId="14518" priority="446" operator="equal">
      <formula>0</formula>
    </cfRule>
  </conditionalFormatting>
  <conditionalFormatting sqref="S78">
    <cfRule type="expression" dxfId="14517" priority="447">
      <formula>LEN(TRIM(S78))=0</formula>
    </cfRule>
  </conditionalFormatting>
  <conditionalFormatting sqref="S76">
    <cfRule type="cellIs" dxfId="14516" priority="444" operator="equal">
      <formula>0</formula>
    </cfRule>
  </conditionalFormatting>
  <conditionalFormatting sqref="S76">
    <cfRule type="expression" dxfId="14515" priority="445">
      <formula>LEN(TRIM(S76))=0</formula>
    </cfRule>
  </conditionalFormatting>
  <conditionalFormatting sqref="J70:O70">
    <cfRule type="cellIs" dxfId="14514" priority="442" operator="equal">
      <formula>0</formula>
    </cfRule>
  </conditionalFormatting>
  <conditionalFormatting sqref="J70:O70">
    <cfRule type="expression" dxfId="14513" priority="443">
      <formula>LEN(TRIM(J70))=0</formula>
    </cfRule>
  </conditionalFormatting>
  <conditionalFormatting sqref="P87:S89 E87:I89 J87:O88 Q84:S86 G84:G86 D84:D89 D90:S90">
    <cfRule type="cellIs" dxfId="14512" priority="421" operator="equal">
      <formula>0</formula>
    </cfRule>
  </conditionalFormatting>
  <conditionalFormatting sqref="P84:P89">
    <cfRule type="cellIs" dxfId="14511" priority="422" operator="equal">
      <formula>0</formula>
    </cfRule>
  </conditionalFormatting>
  <conditionalFormatting sqref="D84:E89 H84:I89">
    <cfRule type="cellIs" dxfId="14510" priority="423" operator="equal">
      <formula>0</formula>
    </cfRule>
  </conditionalFormatting>
  <conditionalFormatting sqref="F84:F89">
    <cfRule type="cellIs" dxfId="14509" priority="424" operator="equal">
      <formula>0</formula>
    </cfRule>
  </conditionalFormatting>
  <conditionalFormatting sqref="J87:J89">
    <cfRule type="cellIs" dxfId="14508" priority="425" operator="equal">
      <formula>0</formula>
    </cfRule>
  </conditionalFormatting>
  <conditionalFormatting sqref="J84:J89 K84:O84">
    <cfRule type="cellIs" dxfId="14507" priority="426" operator="equal">
      <formula>0</formula>
    </cfRule>
  </conditionalFormatting>
  <conditionalFormatting sqref="K87:K89">
    <cfRule type="cellIs" dxfId="14506" priority="427" operator="equal">
      <formula>0</formula>
    </cfRule>
  </conditionalFormatting>
  <conditionalFormatting sqref="K84:K89">
    <cfRule type="cellIs" dxfId="14505" priority="428" operator="equal">
      <formula>0</formula>
    </cfRule>
  </conditionalFormatting>
  <conditionalFormatting sqref="L87:L89">
    <cfRule type="cellIs" dxfId="14504" priority="429" operator="equal">
      <formula>0</formula>
    </cfRule>
  </conditionalFormatting>
  <conditionalFormatting sqref="L84:L89">
    <cfRule type="cellIs" dxfId="14503" priority="430" operator="equal">
      <formula>0</formula>
    </cfRule>
  </conditionalFormatting>
  <conditionalFormatting sqref="M87:M89">
    <cfRule type="cellIs" dxfId="14502" priority="431" operator="equal">
      <formula>0</formula>
    </cfRule>
  </conditionalFormatting>
  <conditionalFormatting sqref="M84:M89">
    <cfRule type="cellIs" dxfId="14501" priority="432" operator="equal">
      <formula>0</formula>
    </cfRule>
  </conditionalFormatting>
  <conditionalFormatting sqref="N87:N89">
    <cfRule type="cellIs" dxfId="14500" priority="433" operator="equal">
      <formula>0</formula>
    </cfRule>
  </conditionalFormatting>
  <conditionalFormatting sqref="N84:N89">
    <cfRule type="cellIs" dxfId="14499" priority="434" operator="equal">
      <formula>0</formula>
    </cfRule>
  </conditionalFormatting>
  <conditionalFormatting sqref="O87:O89">
    <cfRule type="cellIs" dxfId="14498" priority="435" operator="equal">
      <formula>0</formula>
    </cfRule>
  </conditionalFormatting>
  <conditionalFormatting sqref="O84:O89">
    <cfRule type="cellIs" dxfId="14497" priority="436" operator="equal">
      <formula>0</formula>
    </cfRule>
  </conditionalFormatting>
  <conditionalFormatting sqref="D84:S90">
    <cfRule type="expression" dxfId="14496" priority="437">
      <formula>LEN(TRIM(D84))=0</formula>
    </cfRule>
  </conditionalFormatting>
  <conditionalFormatting sqref="L87:L88">
    <cfRule type="cellIs" dxfId="14495" priority="438" operator="equal">
      <formula>0</formula>
    </cfRule>
  </conditionalFormatting>
  <conditionalFormatting sqref="M87:M88">
    <cfRule type="cellIs" dxfId="14494" priority="439" operator="equal">
      <formula>0</formula>
    </cfRule>
  </conditionalFormatting>
  <conditionalFormatting sqref="N87:O87">
    <cfRule type="cellIs" dxfId="14493" priority="440" operator="equal">
      <formula>0</formula>
    </cfRule>
  </conditionalFormatting>
  <conditionalFormatting sqref="N88:O88">
    <cfRule type="cellIs" dxfId="14492" priority="441" operator="equal">
      <formula>0</formula>
    </cfRule>
  </conditionalFormatting>
  <conditionalFormatting sqref="E101:G101 D102:G103 H101:I103 D97:I100 J97:R103 D92:S92 D104:R104 D93:I94 S93:S104 P93:R94">
    <cfRule type="cellIs" dxfId="14491" priority="415" operator="equal">
      <formula>0</formula>
    </cfRule>
  </conditionalFormatting>
  <conditionalFormatting sqref="D101">
    <cfRule type="cellIs" dxfId="14490" priority="416" operator="equal">
      <formula>0</formula>
    </cfRule>
  </conditionalFormatting>
  <conditionalFormatting sqref="D92:S92 D97:R104 D93:I94 S93:S104 P93:R94">
    <cfRule type="expression" dxfId="14489" priority="417">
      <formula>LEN(TRIM(D92))=0</formula>
    </cfRule>
  </conditionalFormatting>
  <conditionalFormatting sqref="D95:R96">
    <cfRule type="cellIs" dxfId="14488" priority="418" operator="equal">
      <formula>0</formula>
    </cfRule>
  </conditionalFormatting>
  <conditionalFormatting sqref="P95:P96">
    <cfRule type="cellIs" dxfId="14487" priority="419" operator="equal">
      <formula>0</formula>
    </cfRule>
  </conditionalFormatting>
  <conditionalFormatting sqref="D95:R96">
    <cfRule type="expression" dxfId="14486" priority="420">
      <formula>LEN(TRIM(D95))=0</formula>
    </cfRule>
  </conditionalFormatting>
  <conditionalFormatting sqref="J93:O94">
    <cfRule type="cellIs" dxfId="14485" priority="413" operator="equal">
      <formula>0</formula>
    </cfRule>
  </conditionalFormatting>
  <conditionalFormatting sqref="J93:O94">
    <cfRule type="expression" dxfId="14484" priority="414">
      <formula>LEN(TRIM(J93))=0</formula>
    </cfRule>
  </conditionalFormatting>
  <conditionalFormatting sqref="D107:R112 S106:S111 S113 D106:I106 P106:R106">
    <cfRule type="cellIs" dxfId="14483" priority="407" operator="equal">
      <formula>0</formula>
    </cfRule>
  </conditionalFormatting>
  <conditionalFormatting sqref="D113:R113">
    <cfRule type="cellIs" dxfId="14482" priority="408" operator="equal">
      <formula>0</formula>
    </cfRule>
  </conditionalFormatting>
  <conditionalFormatting sqref="D107:S111 D113:S113 D112:R112 D106:I106 P106:S106">
    <cfRule type="expression" dxfId="14481" priority="409">
      <formula>LEN(TRIM(D106))=0</formula>
    </cfRule>
  </conditionalFormatting>
  <conditionalFormatting sqref="D113:R113">
    <cfRule type="cellIs" dxfId="14480" priority="410" operator="equal">
      <formula>0</formula>
    </cfRule>
  </conditionalFormatting>
  <conditionalFormatting sqref="D114:R114">
    <cfRule type="cellIs" dxfId="14479" priority="411" operator="equal">
      <formula>0</formula>
    </cfRule>
  </conditionalFormatting>
  <conditionalFormatting sqref="D114:R114">
    <cfRule type="expression" dxfId="14478" priority="412">
      <formula>LEN(TRIM(D114))=0</formula>
    </cfRule>
  </conditionalFormatting>
  <conditionalFormatting sqref="S114">
    <cfRule type="cellIs" dxfId="14477" priority="405" operator="equal">
      <formula>0</formula>
    </cfRule>
  </conditionalFormatting>
  <conditionalFormatting sqref="S114">
    <cfRule type="expression" dxfId="14476" priority="406">
      <formula>LEN(TRIM(S114))=0</formula>
    </cfRule>
  </conditionalFormatting>
  <conditionalFormatting sqref="S112">
    <cfRule type="cellIs" dxfId="14475" priority="403" operator="equal">
      <formula>0</formula>
    </cfRule>
  </conditionalFormatting>
  <conditionalFormatting sqref="S112">
    <cfRule type="expression" dxfId="14474" priority="404">
      <formula>LEN(TRIM(S112))=0</formula>
    </cfRule>
  </conditionalFormatting>
  <conditionalFormatting sqref="J106:O106">
    <cfRule type="cellIs" dxfId="14473" priority="401" operator="equal">
      <formula>0</formula>
    </cfRule>
  </conditionalFormatting>
  <conditionalFormatting sqref="J106:O106">
    <cfRule type="expression" dxfId="14472" priority="402">
      <formula>LEN(TRIM(J106))=0</formula>
    </cfRule>
  </conditionalFormatting>
  <conditionalFormatting sqref="P123:S125 E123:I125 J123:O124 Q120:S122 G120:G122 D120:D125 D126:S126">
    <cfRule type="cellIs" dxfId="14471" priority="380" operator="equal">
      <formula>0</formula>
    </cfRule>
  </conditionalFormatting>
  <conditionalFormatting sqref="P120:P125">
    <cfRule type="cellIs" dxfId="14470" priority="381" operator="equal">
      <formula>0</formula>
    </cfRule>
  </conditionalFormatting>
  <conditionalFormatting sqref="D120:E125 H120:I125">
    <cfRule type="cellIs" dxfId="14469" priority="382" operator="equal">
      <formula>0</formula>
    </cfRule>
  </conditionalFormatting>
  <conditionalFormatting sqref="F120:F125">
    <cfRule type="cellIs" dxfId="14468" priority="383" operator="equal">
      <formula>0</formula>
    </cfRule>
  </conditionalFormatting>
  <conditionalFormatting sqref="J123:J125">
    <cfRule type="cellIs" dxfId="14467" priority="384" operator="equal">
      <formula>0</formula>
    </cfRule>
  </conditionalFormatting>
  <conditionalFormatting sqref="J120:J125 K120:O120">
    <cfRule type="cellIs" dxfId="14466" priority="385" operator="equal">
      <formula>0</formula>
    </cfRule>
  </conditionalFormatting>
  <conditionalFormatting sqref="K123:K125">
    <cfRule type="cellIs" dxfId="14465" priority="386" operator="equal">
      <formula>0</formula>
    </cfRule>
  </conditionalFormatting>
  <conditionalFormatting sqref="K120:K125">
    <cfRule type="cellIs" dxfId="14464" priority="387" operator="equal">
      <formula>0</formula>
    </cfRule>
  </conditionalFormatting>
  <conditionalFormatting sqref="L123:L125">
    <cfRule type="cellIs" dxfId="14463" priority="388" operator="equal">
      <formula>0</formula>
    </cfRule>
  </conditionalFormatting>
  <conditionalFormatting sqref="L120:L125">
    <cfRule type="cellIs" dxfId="14462" priority="389" operator="equal">
      <formula>0</formula>
    </cfRule>
  </conditionalFormatting>
  <conditionalFormatting sqref="M123:M125">
    <cfRule type="cellIs" dxfId="14461" priority="390" operator="equal">
      <formula>0</formula>
    </cfRule>
  </conditionalFormatting>
  <conditionalFormatting sqref="M120:M125">
    <cfRule type="cellIs" dxfId="14460" priority="391" operator="equal">
      <formula>0</formula>
    </cfRule>
  </conditionalFormatting>
  <conditionalFormatting sqref="N123:N125">
    <cfRule type="cellIs" dxfId="14459" priority="392" operator="equal">
      <formula>0</formula>
    </cfRule>
  </conditionalFormatting>
  <conditionalFormatting sqref="N120:N125">
    <cfRule type="cellIs" dxfId="14458" priority="393" operator="equal">
      <formula>0</formula>
    </cfRule>
  </conditionalFormatting>
  <conditionalFormatting sqref="O123:O125">
    <cfRule type="cellIs" dxfId="14457" priority="394" operator="equal">
      <formula>0</formula>
    </cfRule>
  </conditionalFormatting>
  <conditionalFormatting sqref="O120:O125">
    <cfRule type="cellIs" dxfId="14456" priority="395" operator="equal">
      <formula>0</formula>
    </cfRule>
  </conditionalFormatting>
  <conditionalFormatting sqref="D120:S126">
    <cfRule type="expression" dxfId="14455" priority="396">
      <formula>LEN(TRIM(D120))=0</formula>
    </cfRule>
  </conditionalFormatting>
  <conditionalFormatting sqref="L123:L124">
    <cfRule type="cellIs" dxfId="14454" priority="397" operator="equal">
      <formula>0</formula>
    </cfRule>
  </conditionalFormatting>
  <conditionalFormatting sqref="M123:M124">
    <cfRule type="cellIs" dxfId="14453" priority="398" operator="equal">
      <formula>0</formula>
    </cfRule>
  </conditionalFormatting>
  <conditionalFormatting sqref="N123:O123">
    <cfRule type="cellIs" dxfId="14452" priority="399" operator="equal">
      <formula>0</formula>
    </cfRule>
  </conditionalFormatting>
  <conditionalFormatting sqref="N124:O124">
    <cfRule type="cellIs" dxfId="14451" priority="400" operator="equal">
      <formula>0</formula>
    </cfRule>
  </conditionalFormatting>
  <conditionalFormatting sqref="E137:G137 D138:G139 H137:I139 D133:I136 J133:R139 D128:S128 D140:R140 D129:I130 S129:S140 P129:R130">
    <cfRule type="cellIs" dxfId="14450" priority="374" operator="equal">
      <formula>0</formula>
    </cfRule>
  </conditionalFormatting>
  <conditionalFormatting sqref="D137">
    <cfRule type="cellIs" dxfId="14449" priority="375" operator="equal">
      <formula>0</formula>
    </cfRule>
  </conditionalFormatting>
  <conditionalFormatting sqref="D128:S128 D133:R140 D129:I130 S129:S140 P129:R130">
    <cfRule type="expression" dxfId="14448" priority="376">
      <formula>LEN(TRIM(D128))=0</formula>
    </cfRule>
  </conditionalFormatting>
  <conditionalFormatting sqref="D131:R132">
    <cfRule type="cellIs" dxfId="14447" priority="377" operator="equal">
      <formula>0</formula>
    </cfRule>
  </conditionalFormatting>
  <conditionalFormatting sqref="P131:P132">
    <cfRule type="cellIs" dxfId="14446" priority="378" operator="equal">
      <formula>0</formula>
    </cfRule>
  </conditionalFormatting>
  <conditionalFormatting sqref="D131:R132">
    <cfRule type="expression" dxfId="14445" priority="379">
      <formula>LEN(TRIM(D131))=0</formula>
    </cfRule>
  </conditionalFormatting>
  <conditionalFormatting sqref="J129:O130">
    <cfRule type="cellIs" dxfId="14444" priority="372" operator="equal">
      <formula>0</formula>
    </cfRule>
  </conditionalFormatting>
  <conditionalFormatting sqref="J129:O130">
    <cfRule type="expression" dxfId="14443" priority="373">
      <formula>LEN(TRIM(J129))=0</formula>
    </cfRule>
  </conditionalFormatting>
  <conditionalFormatting sqref="D143:R148 S142:S147 S149 D142:I142 P142:R142">
    <cfRule type="cellIs" dxfId="14442" priority="366" operator="equal">
      <formula>0</formula>
    </cfRule>
  </conditionalFormatting>
  <conditionalFormatting sqref="D149:R149">
    <cfRule type="cellIs" dxfId="14441" priority="367" operator="equal">
      <formula>0</formula>
    </cfRule>
  </conditionalFormatting>
  <conditionalFormatting sqref="D143:S147 D149:S149 D148:R148 D142:I142 P142:S142">
    <cfRule type="expression" dxfId="14440" priority="368">
      <formula>LEN(TRIM(D142))=0</formula>
    </cfRule>
  </conditionalFormatting>
  <conditionalFormatting sqref="D149:R149">
    <cfRule type="cellIs" dxfId="14439" priority="369" operator="equal">
      <formula>0</formula>
    </cfRule>
  </conditionalFormatting>
  <conditionalFormatting sqref="D150:R150">
    <cfRule type="cellIs" dxfId="14438" priority="370" operator="equal">
      <formula>0</formula>
    </cfRule>
  </conditionalFormatting>
  <conditionalFormatting sqref="D150:R150">
    <cfRule type="expression" dxfId="14437" priority="371">
      <formula>LEN(TRIM(D150))=0</formula>
    </cfRule>
  </conditionalFormatting>
  <conditionalFormatting sqref="S150">
    <cfRule type="cellIs" dxfId="14436" priority="364" operator="equal">
      <formula>0</formula>
    </cfRule>
  </conditionalFormatting>
  <conditionalFormatting sqref="S150">
    <cfRule type="expression" dxfId="14435" priority="365">
      <formula>LEN(TRIM(S150))=0</formula>
    </cfRule>
  </conditionalFormatting>
  <conditionalFormatting sqref="S148">
    <cfRule type="cellIs" dxfId="14434" priority="362" operator="equal">
      <formula>0</formula>
    </cfRule>
  </conditionalFormatting>
  <conditionalFormatting sqref="S148">
    <cfRule type="expression" dxfId="14433" priority="363">
      <formula>LEN(TRIM(S148))=0</formula>
    </cfRule>
  </conditionalFormatting>
  <conditionalFormatting sqref="J142:O142">
    <cfRule type="cellIs" dxfId="14432" priority="360" operator="equal">
      <formula>0</formula>
    </cfRule>
  </conditionalFormatting>
  <conditionalFormatting sqref="J142:O142">
    <cfRule type="expression" dxfId="14431" priority="361">
      <formula>LEN(TRIM(J142))=0</formula>
    </cfRule>
  </conditionalFormatting>
  <conditionalFormatting sqref="P159:S161 E159:I161 J159:O160 Q156:S158 G156:G158 D156:D161 D162:S162">
    <cfRule type="cellIs" dxfId="14430" priority="339" operator="equal">
      <formula>0</formula>
    </cfRule>
  </conditionalFormatting>
  <conditionalFormatting sqref="P156:P161">
    <cfRule type="cellIs" dxfId="14429" priority="340" operator="equal">
      <formula>0</formula>
    </cfRule>
  </conditionalFormatting>
  <conditionalFormatting sqref="D156:E161 H156:I161">
    <cfRule type="cellIs" dxfId="14428" priority="341" operator="equal">
      <formula>0</formula>
    </cfRule>
  </conditionalFormatting>
  <conditionalFormatting sqref="F156:F161">
    <cfRule type="cellIs" dxfId="14427" priority="342" operator="equal">
      <formula>0</formula>
    </cfRule>
  </conditionalFormatting>
  <conditionalFormatting sqref="J159:J161">
    <cfRule type="cellIs" dxfId="14426" priority="343" operator="equal">
      <formula>0</formula>
    </cfRule>
  </conditionalFormatting>
  <conditionalFormatting sqref="J156:J161 K156:O156">
    <cfRule type="cellIs" dxfId="14425" priority="344" operator="equal">
      <formula>0</formula>
    </cfRule>
  </conditionalFormatting>
  <conditionalFormatting sqref="K159:K161">
    <cfRule type="cellIs" dxfId="14424" priority="345" operator="equal">
      <formula>0</formula>
    </cfRule>
  </conditionalFormatting>
  <conditionalFormatting sqref="K156:K161">
    <cfRule type="cellIs" dxfId="14423" priority="346" operator="equal">
      <formula>0</formula>
    </cfRule>
  </conditionalFormatting>
  <conditionalFormatting sqref="L159:L161">
    <cfRule type="cellIs" dxfId="14422" priority="347" operator="equal">
      <formula>0</formula>
    </cfRule>
  </conditionalFormatting>
  <conditionalFormatting sqref="L156:L161">
    <cfRule type="cellIs" dxfId="14421" priority="348" operator="equal">
      <formula>0</formula>
    </cfRule>
  </conditionalFormatting>
  <conditionalFormatting sqref="M159:M161">
    <cfRule type="cellIs" dxfId="14420" priority="349" operator="equal">
      <formula>0</formula>
    </cfRule>
  </conditionalFormatting>
  <conditionalFormatting sqref="M156:M161">
    <cfRule type="cellIs" dxfId="14419" priority="350" operator="equal">
      <formula>0</formula>
    </cfRule>
  </conditionalFormatting>
  <conditionalFormatting sqref="N159:N161">
    <cfRule type="cellIs" dxfId="14418" priority="351" operator="equal">
      <formula>0</formula>
    </cfRule>
  </conditionalFormatting>
  <conditionalFormatting sqref="N156:N161">
    <cfRule type="cellIs" dxfId="14417" priority="352" operator="equal">
      <formula>0</formula>
    </cfRule>
  </conditionalFormatting>
  <conditionalFormatting sqref="O159:O161">
    <cfRule type="cellIs" dxfId="14416" priority="353" operator="equal">
      <formula>0</formula>
    </cfRule>
  </conditionalFormatting>
  <conditionalFormatting sqref="O156:O161">
    <cfRule type="cellIs" dxfId="14415" priority="354" operator="equal">
      <formula>0</formula>
    </cfRule>
  </conditionalFormatting>
  <conditionalFormatting sqref="D156:S162">
    <cfRule type="expression" dxfId="14414" priority="355">
      <formula>LEN(TRIM(D156))=0</formula>
    </cfRule>
  </conditionalFormatting>
  <conditionalFormatting sqref="L159:L160">
    <cfRule type="cellIs" dxfId="14413" priority="356" operator="equal">
      <formula>0</formula>
    </cfRule>
  </conditionalFormatting>
  <conditionalFormatting sqref="M159:M160">
    <cfRule type="cellIs" dxfId="14412" priority="357" operator="equal">
      <formula>0</formula>
    </cfRule>
  </conditionalFormatting>
  <conditionalFormatting sqref="N159:O159">
    <cfRule type="cellIs" dxfId="14411" priority="358" operator="equal">
      <formula>0</formula>
    </cfRule>
  </conditionalFormatting>
  <conditionalFormatting sqref="N160:O160">
    <cfRule type="cellIs" dxfId="14410" priority="359" operator="equal">
      <formula>0</formula>
    </cfRule>
  </conditionalFormatting>
  <conditionalFormatting sqref="E173:G173 D174:G175 H173:I175 D169:I172 J169:R175 D164:S164 D176:R176 D165:I166 S165:S176 P165:R166">
    <cfRule type="cellIs" dxfId="14409" priority="333" operator="equal">
      <formula>0</formula>
    </cfRule>
  </conditionalFormatting>
  <conditionalFormatting sqref="D173">
    <cfRule type="cellIs" dxfId="14408" priority="334" operator="equal">
      <formula>0</formula>
    </cfRule>
  </conditionalFormatting>
  <conditionalFormatting sqref="D164:S164 D169:R176 D165:I166 S165:S176 P165:R166">
    <cfRule type="expression" dxfId="14407" priority="335">
      <formula>LEN(TRIM(D164))=0</formula>
    </cfRule>
  </conditionalFormatting>
  <conditionalFormatting sqref="D167:R168">
    <cfRule type="cellIs" dxfId="14406" priority="336" operator="equal">
      <formula>0</formula>
    </cfRule>
  </conditionalFormatting>
  <conditionalFormatting sqref="P167:P168">
    <cfRule type="cellIs" dxfId="14405" priority="337" operator="equal">
      <formula>0</formula>
    </cfRule>
  </conditionalFormatting>
  <conditionalFormatting sqref="D167:R168">
    <cfRule type="expression" dxfId="14404" priority="338">
      <formula>LEN(TRIM(D167))=0</formula>
    </cfRule>
  </conditionalFormatting>
  <conditionalFormatting sqref="J165:O166">
    <cfRule type="cellIs" dxfId="14403" priority="331" operator="equal">
      <formula>0</formula>
    </cfRule>
  </conditionalFormatting>
  <conditionalFormatting sqref="J165:O166">
    <cfRule type="expression" dxfId="14402" priority="332">
      <formula>LEN(TRIM(J165))=0</formula>
    </cfRule>
  </conditionalFormatting>
  <conditionalFormatting sqref="D179:R184 S178:S183 S185 D178:I178 P178:R178">
    <cfRule type="cellIs" dxfId="14401" priority="325" operator="equal">
      <formula>0</formula>
    </cfRule>
  </conditionalFormatting>
  <conditionalFormatting sqref="D185:R185">
    <cfRule type="cellIs" dxfId="14400" priority="326" operator="equal">
      <formula>0</formula>
    </cfRule>
  </conditionalFormatting>
  <conditionalFormatting sqref="D179:S183 D185:S185 D184:R184 D178:I178 P178:S178">
    <cfRule type="expression" dxfId="14399" priority="327">
      <formula>LEN(TRIM(D178))=0</formula>
    </cfRule>
  </conditionalFormatting>
  <conditionalFormatting sqref="D185:R185">
    <cfRule type="cellIs" dxfId="14398" priority="328" operator="equal">
      <formula>0</formula>
    </cfRule>
  </conditionalFormatting>
  <conditionalFormatting sqref="D186:R186">
    <cfRule type="cellIs" dxfId="14397" priority="329" operator="equal">
      <formula>0</formula>
    </cfRule>
  </conditionalFormatting>
  <conditionalFormatting sqref="D186:R186">
    <cfRule type="expression" dxfId="14396" priority="330">
      <formula>LEN(TRIM(D186))=0</formula>
    </cfRule>
  </conditionalFormatting>
  <conditionalFormatting sqref="S186">
    <cfRule type="cellIs" dxfId="14395" priority="323" operator="equal">
      <formula>0</formula>
    </cfRule>
  </conditionalFormatting>
  <conditionalFormatting sqref="S186">
    <cfRule type="expression" dxfId="14394" priority="324">
      <formula>LEN(TRIM(S186))=0</formula>
    </cfRule>
  </conditionalFormatting>
  <conditionalFormatting sqref="S184">
    <cfRule type="cellIs" dxfId="14393" priority="321" operator="equal">
      <formula>0</formula>
    </cfRule>
  </conditionalFormatting>
  <conditionalFormatting sqref="S184">
    <cfRule type="expression" dxfId="14392" priority="322">
      <formula>LEN(TRIM(S184))=0</formula>
    </cfRule>
  </conditionalFormatting>
  <conditionalFormatting sqref="J178:O178">
    <cfRule type="cellIs" dxfId="14391" priority="319" operator="equal">
      <formula>0</formula>
    </cfRule>
  </conditionalFormatting>
  <conditionalFormatting sqref="J178:O178">
    <cfRule type="expression" dxfId="14390" priority="320">
      <formula>LEN(TRIM(J178))=0</formula>
    </cfRule>
  </conditionalFormatting>
  <conditionalFormatting sqref="AH15:AK17 W15:AA17 AB15:AG16 AI12:AK14 Y12:Y14 V12:V17 V18:AK18">
    <cfRule type="cellIs" dxfId="14389" priority="257" operator="equal">
      <formula>0</formula>
    </cfRule>
  </conditionalFormatting>
  <conditionalFormatting sqref="AH12:AH17">
    <cfRule type="cellIs" dxfId="14388" priority="258" operator="equal">
      <formula>0</formula>
    </cfRule>
  </conditionalFormatting>
  <conditionalFormatting sqref="V12:W17 Z12:AA17">
    <cfRule type="cellIs" dxfId="14387" priority="259" operator="equal">
      <formula>0</formula>
    </cfRule>
  </conditionalFormatting>
  <conditionalFormatting sqref="X12:X17">
    <cfRule type="cellIs" dxfId="14386" priority="260" operator="equal">
      <formula>0</formula>
    </cfRule>
  </conditionalFormatting>
  <conditionalFormatting sqref="AB15:AB17">
    <cfRule type="cellIs" dxfId="14385" priority="261" operator="equal">
      <formula>0</formula>
    </cfRule>
  </conditionalFormatting>
  <conditionalFormatting sqref="AB12:AB17 AC12:AG12">
    <cfRule type="cellIs" dxfId="14384" priority="262" operator="equal">
      <formula>0</formula>
    </cfRule>
  </conditionalFormatting>
  <conditionalFormatting sqref="AC15:AC17">
    <cfRule type="cellIs" dxfId="14383" priority="263" operator="equal">
      <formula>0</formula>
    </cfRule>
  </conditionalFormatting>
  <conditionalFormatting sqref="AC12:AC17">
    <cfRule type="cellIs" dxfId="14382" priority="264" operator="equal">
      <formula>0</formula>
    </cfRule>
  </conditionalFormatting>
  <conditionalFormatting sqref="AD15:AD17">
    <cfRule type="cellIs" dxfId="14381" priority="265" operator="equal">
      <formula>0</formula>
    </cfRule>
  </conditionalFormatting>
  <conditionalFormatting sqref="AD12:AD17">
    <cfRule type="cellIs" dxfId="14380" priority="266" operator="equal">
      <formula>0</formula>
    </cfRule>
  </conditionalFormatting>
  <conditionalFormatting sqref="AE15:AE17">
    <cfRule type="cellIs" dxfId="14379" priority="267" operator="equal">
      <formula>0</formula>
    </cfRule>
  </conditionalFormatting>
  <conditionalFormatting sqref="AE12:AE17">
    <cfRule type="cellIs" dxfId="14378" priority="268" operator="equal">
      <formula>0</formula>
    </cfRule>
  </conditionalFormatting>
  <conditionalFormatting sqref="AF15:AF17">
    <cfRule type="cellIs" dxfId="14377" priority="269" operator="equal">
      <formula>0</formula>
    </cfRule>
  </conditionalFormatting>
  <conditionalFormatting sqref="AF12:AF17">
    <cfRule type="cellIs" dxfId="14376" priority="270" operator="equal">
      <formula>0</formula>
    </cfRule>
  </conditionalFormatting>
  <conditionalFormatting sqref="AG15:AG17">
    <cfRule type="cellIs" dxfId="14375" priority="271" operator="equal">
      <formula>0</formula>
    </cfRule>
  </conditionalFormatting>
  <conditionalFormatting sqref="AG12:AG17">
    <cfRule type="cellIs" dxfId="14374" priority="272" operator="equal">
      <formula>0</formula>
    </cfRule>
  </conditionalFormatting>
  <conditionalFormatting sqref="V12:AK18">
    <cfRule type="expression" dxfId="14373" priority="273">
      <formula>LEN(TRIM(V12))=0</formula>
    </cfRule>
  </conditionalFormatting>
  <conditionalFormatting sqref="AD15:AD16">
    <cfRule type="cellIs" dxfId="14372" priority="274" operator="equal">
      <formula>0</formula>
    </cfRule>
  </conditionalFormatting>
  <conditionalFormatting sqref="AE15:AE16">
    <cfRule type="cellIs" dxfId="14371" priority="275" operator="equal">
      <formula>0</formula>
    </cfRule>
  </conditionalFormatting>
  <conditionalFormatting sqref="AF15:AG15">
    <cfRule type="cellIs" dxfId="14370" priority="276" operator="equal">
      <formula>0</formula>
    </cfRule>
  </conditionalFormatting>
  <conditionalFormatting sqref="AF16:AG16">
    <cfRule type="cellIs" dxfId="14369" priority="277" operator="equal">
      <formula>0</formula>
    </cfRule>
  </conditionalFormatting>
  <conditionalFormatting sqref="W29:Y29 V30:Y31 Z29:AA31 V25:AA28 AB25:AJ31 V20:AK20 V32:AJ32 V21:AA22 AK21:AK32 AH21:AJ22">
    <cfRule type="cellIs" dxfId="14368" priority="251" operator="equal">
      <formula>0</formula>
    </cfRule>
  </conditionalFormatting>
  <conditionalFormatting sqref="V29">
    <cfRule type="cellIs" dxfId="14367" priority="252" operator="equal">
      <formula>0</formula>
    </cfRule>
  </conditionalFormatting>
  <conditionalFormatting sqref="V20:AK20 V25:AJ32 V21:AA22 AK21:AK32 AH21:AJ22">
    <cfRule type="expression" dxfId="14366" priority="253">
      <formula>LEN(TRIM(V20))=0</formula>
    </cfRule>
  </conditionalFormatting>
  <conditionalFormatting sqref="V23:AJ24">
    <cfRule type="cellIs" dxfId="14365" priority="254" operator="equal">
      <formula>0</formula>
    </cfRule>
  </conditionalFormatting>
  <conditionalFormatting sqref="AH23:AH24">
    <cfRule type="cellIs" dxfId="14364" priority="255" operator="equal">
      <formula>0</formula>
    </cfRule>
  </conditionalFormatting>
  <conditionalFormatting sqref="V23:AJ24">
    <cfRule type="expression" dxfId="14363" priority="256">
      <formula>LEN(TRIM(V23))=0</formula>
    </cfRule>
  </conditionalFormatting>
  <conditionalFormatting sqref="AB21:AG22">
    <cfRule type="cellIs" dxfId="14362" priority="249" operator="equal">
      <formula>0</formula>
    </cfRule>
  </conditionalFormatting>
  <conditionalFormatting sqref="AB21:AG22">
    <cfRule type="expression" dxfId="14361" priority="250">
      <formula>LEN(TRIM(AB21))=0</formula>
    </cfRule>
  </conditionalFormatting>
  <conditionalFormatting sqref="V35:AJ40 AK34:AK39 AK41 V34:AA34 AH34:AJ34">
    <cfRule type="cellIs" dxfId="14360" priority="243" operator="equal">
      <formula>0</formula>
    </cfRule>
  </conditionalFormatting>
  <conditionalFormatting sqref="V41:AJ41">
    <cfRule type="cellIs" dxfId="14359" priority="244" operator="equal">
      <formula>0</formula>
    </cfRule>
  </conditionalFormatting>
  <conditionalFormatting sqref="V35:AK39 V41:AK41 V40:AJ40 V34:AA34 AH34:AK34">
    <cfRule type="expression" dxfId="14358" priority="245">
      <formula>LEN(TRIM(V34))=0</formula>
    </cfRule>
  </conditionalFormatting>
  <conditionalFormatting sqref="V41:AJ41">
    <cfRule type="cellIs" dxfId="14357" priority="246" operator="equal">
      <formula>0</formula>
    </cfRule>
  </conditionalFormatting>
  <conditionalFormatting sqref="V42:AJ42">
    <cfRule type="cellIs" dxfId="14356" priority="247" operator="equal">
      <formula>0</formula>
    </cfRule>
  </conditionalFormatting>
  <conditionalFormatting sqref="V42:AJ42">
    <cfRule type="expression" dxfId="14355" priority="248">
      <formula>LEN(TRIM(V42))=0</formula>
    </cfRule>
  </conditionalFormatting>
  <conditionalFormatting sqref="AK42">
    <cfRule type="cellIs" dxfId="14354" priority="241" operator="equal">
      <formula>0</formula>
    </cfRule>
  </conditionalFormatting>
  <conditionalFormatting sqref="AK42">
    <cfRule type="expression" dxfId="14353" priority="242">
      <formula>LEN(TRIM(AK42))=0</formula>
    </cfRule>
  </conditionalFormatting>
  <conditionalFormatting sqref="AK40">
    <cfRule type="cellIs" dxfId="14352" priority="239" operator="equal">
      <formula>0</formula>
    </cfRule>
  </conditionalFormatting>
  <conditionalFormatting sqref="AK40">
    <cfRule type="expression" dxfId="14351" priority="240">
      <formula>LEN(TRIM(AK40))=0</formula>
    </cfRule>
  </conditionalFormatting>
  <conditionalFormatting sqref="AB34:AG34">
    <cfRule type="cellIs" dxfId="14350" priority="237" operator="equal">
      <formula>0</formula>
    </cfRule>
  </conditionalFormatting>
  <conditionalFormatting sqref="AB34:AG34">
    <cfRule type="expression" dxfId="14349" priority="238">
      <formula>LEN(TRIM(AB34))=0</formula>
    </cfRule>
  </conditionalFormatting>
  <conditionalFormatting sqref="AH51:AK53 W51:AA53 AB51:AG52 AI48:AK50 Y48:Y50 V48:V53 V54:AK54">
    <cfRule type="cellIs" dxfId="14348" priority="216" operator="equal">
      <formula>0</formula>
    </cfRule>
  </conditionalFormatting>
  <conditionalFormatting sqref="AH48:AH53">
    <cfRule type="cellIs" dxfId="14347" priority="217" operator="equal">
      <formula>0</formula>
    </cfRule>
  </conditionalFormatting>
  <conditionalFormatting sqref="V48:W53 Z48:AA53">
    <cfRule type="cellIs" dxfId="14346" priority="218" operator="equal">
      <formula>0</formula>
    </cfRule>
  </conditionalFormatting>
  <conditionalFormatting sqref="X48:X53">
    <cfRule type="cellIs" dxfId="14345" priority="219" operator="equal">
      <formula>0</formula>
    </cfRule>
  </conditionalFormatting>
  <conditionalFormatting sqref="AB51:AB53">
    <cfRule type="cellIs" dxfId="14344" priority="220" operator="equal">
      <formula>0</formula>
    </cfRule>
  </conditionalFormatting>
  <conditionalFormatting sqref="AB48:AB53 AC48:AG48">
    <cfRule type="cellIs" dxfId="14343" priority="221" operator="equal">
      <formula>0</formula>
    </cfRule>
  </conditionalFormatting>
  <conditionalFormatting sqref="AC51:AC53">
    <cfRule type="cellIs" dxfId="14342" priority="222" operator="equal">
      <formula>0</formula>
    </cfRule>
  </conditionalFormatting>
  <conditionalFormatting sqref="AC48:AC53">
    <cfRule type="cellIs" dxfId="14341" priority="223" operator="equal">
      <formula>0</formula>
    </cfRule>
  </conditionalFormatting>
  <conditionalFormatting sqref="AD51:AD53">
    <cfRule type="cellIs" dxfId="14340" priority="224" operator="equal">
      <formula>0</formula>
    </cfRule>
  </conditionalFormatting>
  <conditionalFormatting sqref="AD48:AD53">
    <cfRule type="cellIs" dxfId="14339" priority="225" operator="equal">
      <formula>0</formula>
    </cfRule>
  </conditionalFormatting>
  <conditionalFormatting sqref="AE51:AE53">
    <cfRule type="cellIs" dxfId="14338" priority="226" operator="equal">
      <formula>0</formula>
    </cfRule>
  </conditionalFormatting>
  <conditionalFormatting sqref="AE48:AE53">
    <cfRule type="cellIs" dxfId="14337" priority="227" operator="equal">
      <formula>0</formula>
    </cfRule>
  </conditionalFormatting>
  <conditionalFormatting sqref="AF51:AF53">
    <cfRule type="cellIs" dxfId="14336" priority="228" operator="equal">
      <formula>0</formula>
    </cfRule>
  </conditionalFormatting>
  <conditionalFormatting sqref="AF48:AF53">
    <cfRule type="cellIs" dxfId="14335" priority="229" operator="equal">
      <formula>0</formula>
    </cfRule>
  </conditionalFormatting>
  <conditionalFormatting sqref="AG51:AG53">
    <cfRule type="cellIs" dxfId="14334" priority="230" operator="equal">
      <formula>0</formula>
    </cfRule>
  </conditionalFormatting>
  <conditionalFormatting sqref="AG48:AG53">
    <cfRule type="cellIs" dxfId="14333" priority="231" operator="equal">
      <formula>0</formula>
    </cfRule>
  </conditionalFormatting>
  <conditionalFormatting sqref="V48:AK54">
    <cfRule type="expression" dxfId="14332" priority="232">
      <formula>LEN(TRIM(V48))=0</formula>
    </cfRule>
  </conditionalFormatting>
  <conditionalFormatting sqref="AD51:AD52">
    <cfRule type="cellIs" dxfId="14331" priority="233" operator="equal">
      <formula>0</formula>
    </cfRule>
  </conditionalFormatting>
  <conditionalFormatting sqref="AE51:AE52">
    <cfRule type="cellIs" dxfId="14330" priority="234" operator="equal">
      <formula>0</formula>
    </cfRule>
  </conditionalFormatting>
  <conditionalFormatting sqref="AF51:AG51">
    <cfRule type="cellIs" dxfId="14329" priority="235" operator="equal">
      <formula>0</formula>
    </cfRule>
  </conditionalFormatting>
  <conditionalFormatting sqref="AF52:AG52">
    <cfRule type="cellIs" dxfId="14328" priority="236" operator="equal">
      <formula>0</formula>
    </cfRule>
  </conditionalFormatting>
  <conditionalFormatting sqref="W65:Y65 V66:Y67 Z65:AA67 V61:AA64 AB61:AJ67 V56:AK56 V68:AJ68 V57:AA58 AK57:AK68 AH57:AJ58">
    <cfRule type="cellIs" dxfId="14327" priority="210" operator="equal">
      <formula>0</formula>
    </cfRule>
  </conditionalFormatting>
  <conditionalFormatting sqref="V65">
    <cfRule type="cellIs" dxfId="14326" priority="211" operator="equal">
      <formula>0</formula>
    </cfRule>
  </conditionalFormatting>
  <conditionalFormatting sqref="V56:AK56 V61:AJ68 V57:AA58 AK57:AK68 AH57:AJ58">
    <cfRule type="expression" dxfId="14325" priority="212">
      <formula>LEN(TRIM(V56))=0</formula>
    </cfRule>
  </conditionalFormatting>
  <conditionalFormatting sqref="V59:AJ60">
    <cfRule type="cellIs" dxfId="14324" priority="213" operator="equal">
      <formula>0</formula>
    </cfRule>
  </conditionalFormatting>
  <conditionalFormatting sqref="AH59:AH60">
    <cfRule type="cellIs" dxfId="14323" priority="214" operator="equal">
      <formula>0</formula>
    </cfRule>
  </conditionalFormatting>
  <conditionalFormatting sqref="V59:AJ60">
    <cfRule type="expression" dxfId="14322" priority="215">
      <formula>LEN(TRIM(V59))=0</formula>
    </cfRule>
  </conditionalFormatting>
  <conditionalFormatting sqref="AB57:AG58">
    <cfRule type="cellIs" dxfId="14321" priority="208" operator="equal">
      <formula>0</formula>
    </cfRule>
  </conditionalFormatting>
  <conditionalFormatting sqref="AB57:AG58">
    <cfRule type="expression" dxfId="14320" priority="209">
      <formula>LEN(TRIM(AB57))=0</formula>
    </cfRule>
  </conditionalFormatting>
  <conditionalFormatting sqref="V71:AJ76 AK70:AK75 AK77 V70:AA70 AH70:AJ70">
    <cfRule type="cellIs" dxfId="14319" priority="202" operator="equal">
      <formula>0</formula>
    </cfRule>
  </conditionalFormatting>
  <conditionalFormatting sqref="V77:AJ77">
    <cfRule type="cellIs" dxfId="14318" priority="203" operator="equal">
      <formula>0</formula>
    </cfRule>
  </conditionalFormatting>
  <conditionalFormatting sqref="V71:AK75 V77:AK77 V76:AJ76 V70:AA70 AH70:AK70">
    <cfRule type="expression" dxfId="14317" priority="204">
      <formula>LEN(TRIM(V70))=0</formula>
    </cfRule>
  </conditionalFormatting>
  <conditionalFormatting sqref="V77:AJ77">
    <cfRule type="cellIs" dxfId="14316" priority="205" operator="equal">
      <formula>0</formula>
    </cfRule>
  </conditionalFormatting>
  <conditionalFormatting sqref="V78:AJ78">
    <cfRule type="cellIs" dxfId="14315" priority="206" operator="equal">
      <formula>0</formula>
    </cfRule>
  </conditionalFormatting>
  <conditionalFormatting sqref="V78:AJ78">
    <cfRule type="expression" dxfId="14314" priority="207">
      <formula>LEN(TRIM(V78))=0</formula>
    </cfRule>
  </conditionalFormatting>
  <conditionalFormatting sqref="AK78">
    <cfRule type="cellIs" dxfId="14313" priority="200" operator="equal">
      <formula>0</formula>
    </cfRule>
  </conditionalFormatting>
  <conditionalFormatting sqref="AK78">
    <cfRule type="expression" dxfId="14312" priority="201">
      <formula>LEN(TRIM(AK78))=0</formula>
    </cfRule>
  </conditionalFormatting>
  <conditionalFormatting sqref="AK76">
    <cfRule type="cellIs" dxfId="14311" priority="198" operator="equal">
      <formula>0</formula>
    </cfRule>
  </conditionalFormatting>
  <conditionalFormatting sqref="AK76">
    <cfRule type="expression" dxfId="14310" priority="199">
      <formula>LEN(TRIM(AK76))=0</formula>
    </cfRule>
  </conditionalFormatting>
  <conditionalFormatting sqref="AB70:AG70">
    <cfRule type="cellIs" dxfId="14309" priority="196" operator="equal">
      <formula>0</formula>
    </cfRule>
  </conditionalFormatting>
  <conditionalFormatting sqref="AB70:AG70">
    <cfRule type="expression" dxfId="14308" priority="197">
      <formula>LEN(TRIM(AB70))=0</formula>
    </cfRule>
  </conditionalFormatting>
  <conditionalFormatting sqref="AH87:AK89 W87:AA89 AB87:AG88 AI84:AK86 Y84:Y86 V84:V89 V90:AK90">
    <cfRule type="cellIs" dxfId="14307" priority="175" operator="equal">
      <formula>0</formula>
    </cfRule>
  </conditionalFormatting>
  <conditionalFormatting sqref="AH84:AH89">
    <cfRule type="cellIs" dxfId="14306" priority="176" operator="equal">
      <formula>0</formula>
    </cfRule>
  </conditionalFormatting>
  <conditionalFormatting sqref="V84:W89 Z84:AA89">
    <cfRule type="cellIs" dxfId="14305" priority="177" operator="equal">
      <formula>0</formula>
    </cfRule>
  </conditionalFormatting>
  <conditionalFormatting sqref="X84:X89">
    <cfRule type="cellIs" dxfId="14304" priority="178" operator="equal">
      <formula>0</formula>
    </cfRule>
  </conditionalFormatting>
  <conditionalFormatting sqref="AB87:AB89">
    <cfRule type="cellIs" dxfId="14303" priority="179" operator="equal">
      <formula>0</formula>
    </cfRule>
  </conditionalFormatting>
  <conditionalFormatting sqref="AB84:AB89 AC84:AG84">
    <cfRule type="cellIs" dxfId="14302" priority="180" operator="equal">
      <formula>0</formula>
    </cfRule>
  </conditionalFormatting>
  <conditionalFormatting sqref="AC87:AC89">
    <cfRule type="cellIs" dxfId="14301" priority="181" operator="equal">
      <formula>0</formula>
    </cfRule>
  </conditionalFormatting>
  <conditionalFormatting sqref="AC84:AC89">
    <cfRule type="cellIs" dxfId="14300" priority="182" operator="equal">
      <formula>0</formula>
    </cfRule>
  </conditionalFormatting>
  <conditionalFormatting sqref="AD87:AD89">
    <cfRule type="cellIs" dxfId="14299" priority="183" operator="equal">
      <formula>0</formula>
    </cfRule>
  </conditionalFormatting>
  <conditionalFormatting sqref="AD84:AD89">
    <cfRule type="cellIs" dxfId="14298" priority="184" operator="equal">
      <formula>0</formula>
    </cfRule>
  </conditionalFormatting>
  <conditionalFormatting sqref="AE87:AE89">
    <cfRule type="cellIs" dxfId="14297" priority="185" operator="equal">
      <formula>0</formula>
    </cfRule>
  </conditionalFormatting>
  <conditionalFormatting sqref="AE84:AE89">
    <cfRule type="cellIs" dxfId="14296" priority="186" operator="equal">
      <formula>0</formula>
    </cfRule>
  </conditionalFormatting>
  <conditionalFormatting sqref="AF87:AF89">
    <cfRule type="cellIs" dxfId="14295" priority="187" operator="equal">
      <formula>0</formula>
    </cfRule>
  </conditionalFormatting>
  <conditionalFormatting sqref="AF84:AF89">
    <cfRule type="cellIs" dxfId="14294" priority="188" operator="equal">
      <formula>0</formula>
    </cfRule>
  </conditionalFormatting>
  <conditionalFormatting sqref="AG87:AG89">
    <cfRule type="cellIs" dxfId="14293" priority="189" operator="equal">
      <formula>0</formula>
    </cfRule>
  </conditionalFormatting>
  <conditionalFormatting sqref="AG84:AG89">
    <cfRule type="cellIs" dxfId="14292" priority="190" operator="equal">
      <formula>0</formula>
    </cfRule>
  </conditionalFormatting>
  <conditionalFormatting sqref="V84:AK90">
    <cfRule type="expression" dxfId="14291" priority="191">
      <formula>LEN(TRIM(V84))=0</formula>
    </cfRule>
  </conditionalFormatting>
  <conditionalFormatting sqref="AD87:AD88">
    <cfRule type="cellIs" dxfId="14290" priority="192" operator="equal">
      <formula>0</formula>
    </cfRule>
  </conditionalFormatting>
  <conditionalFormatting sqref="AE87:AE88">
    <cfRule type="cellIs" dxfId="14289" priority="193" operator="equal">
      <formula>0</formula>
    </cfRule>
  </conditionalFormatting>
  <conditionalFormatting sqref="AF87:AG87">
    <cfRule type="cellIs" dxfId="14288" priority="194" operator="equal">
      <formula>0</formula>
    </cfRule>
  </conditionalFormatting>
  <conditionalFormatting sqref="AF88:AG88">
    <cfRule type="cellIs" dxfId="14287" priority="195" operator="equal">
      <formula>0</formula>
    </cfRule>
  </conditionalFormatting>
  <conditionalFormatting sqref="W101:Y101 V102:Y103 Z101:AA103 V97:AA100 AB97:AJ103 V92:AK92 V104:AJ104 V93:AA94 AK93:AK104 AH93:AJ94">
    <cfRule type="cellIs" dxfId="14286" priority="169" operator="equal">
      <formula>0</formula>
    </cfRule>
  </conditionalFormatting>
  <conditionalFormatting sqref="V101">
    <cfRule type="cellIs" dxfId="14285" priority="170" operator="equal">
      <formula>0</formula>
    </cfRule>
  </conditionalFormatting>
  <conditionalFormatting sqref="V92:AK92 V97:AJ104 V93:AA94 AK93:AK104 AH93:AJ94">
    <cfRule type="expression" dxfId="14284" priority="171">
      <formula>LEN(TRIM(V92))=0</formula>
    </cfRule>
  </conditionalFormatting>
  <conditionalFormatting sqref="V95:AJ96">
    <cfRule type="cellIs" dxfId="14283" priority="172" operator="equal">
      <formula>0</formula>
    </cfRule>
  </conditionalFormatting>
  <conditionalFormatting sqref="AH95:AH96">
    <cfRule type="cellIs" dxfId="14282" priority="173" operator="equal">
      <formula>0</formula>
    </cfRule>
  </conditionalFormatting>
  <conditionalFormatting sqref="V95:AJ96">
    <cfRule type="expression" dxfId="14281" priority="174">
      <formula>LEN(TRIM(V95))=0</formula>
    </cfRule>
  </conditionalFormatting>
  <conditionalFormatting sqref="AB93:AG94">
    <cfRule type="cellIs" dxfId="14280" priority="167" operator="equal">
      <formula>0</formula>
    </cfRule>
  </conditionalFormatting>
  <conditionalFormatting sqref="AB93:AG94">
    <cfRule type="expression" dxfId="14279" priority="168">
      <formula>LEN(TRIM(AB93))=0</formula>
    </cfRule>
  </conditionalFormatting>
  <conditionalFormatting sqref="V107:AJ112 AK106:AK111 AK113 V106:AA106 AH106:AJ106">
    <cfRule type="cellIs" dxfId="14278" priority="161" operator="equal">
      <formula>0</formula>
    </cfRule>
  </conditionalFormatting>
  <conditionalFormatting sqref="V113:AJ113">
    <cfRule type="cellIs" dxfId="14277" priority="162" operator="equal">
      <formula>0</formula>
    </cfRule>
  </conditionalFormatting>
  <conditionalFormatting sqref="V107:AK111 V113:AK113 V112:AJ112 V106:AA106 AH106:AK106">
    <cfRule type="expression" dxfId="14276" priority="163">
      <formula>LEN(TRIM(V106))=0</formula>
    </cfRule>
  </conditionalFormatting>
  <conditionalFormatting sqref="V113:AJ113">
    <cfRule type="cellIs" dxfId="14275" priority="164" operator="equal">
      <formula>0</formula>
    </cfRule>
  </conditionalFormatting>
  <conditionalFormatting sqref="V114:AJ114">
    <cfRule type="cellIs" dxfId="14274" priority="165" operator="equal">
      <formula>0</formula>
    </cfRule>
  </conditionalFormatting>
  <conditionalFormatting sqref="V114:AJ114">
    <cfRule type="expression" dxfId="14273" priority="166">
      <formula>LEN(TRIM(V114))=0</formula>
    </cfRule>
  </conditionalFormatting>
  <conditionalFormatting sqref="AK114">
    <cfRule type="cellIs" dxfId="14272" priority="159" operator="equal">
      <formula>0</formula>
    </cfRule>
  </conditionalFormatting>
  <conditionalFormatting sqref="AK114">
    <cfRule type="expression" dxfId="14271" priority="160">
      <formula>LEN(TRIM(AK114))=0</formula>
    </cfRule>
  </conditionalFormatting>
  <conditionalFormatting sqref="AK112">
    <cfRule type="cellIs" dxfId="14270" priority="157" operator="equal">
      <formula>0</formula>
    </cfRule>
  </conditionalFormatting>
  <conditionalFormatting sqref="AK112">
    <cfRule type="expression" dxfId="14269" priority="158">
      <formula>LEN(TRIM(AK112))=0</formula>
    </cfRule>
  </conditionalFormatting>
  <conditionalFormatting sqref="AB106:AG106">
    <cfRule type="cellIs" dxfId="14268" priority="155" operator="equal">
      <formula>0</formula>
    </cfRule>
  </conditionalFormatting>
  <conditionalFormatting sqref="AB106:AG106">
    <cfRule type="expression" dxfId="14267" priority="156">
      <formula>LEN(TRIM(AB106))=0</formula>
    </cfRule>
  </conditionalFormatting>
  <conditionalFormatting sqref="AH123:AK125 W123:AA125 AB123:AG124 AI120:AK122 Y120:Y122 V120:V125 V126:AK126">
    <cfRule type="cellIs" dxfId="14266" priority="134" operator="equal">
      <formula>0</formula>
    </cfRule>
  </conditionalFormatting>
  <conditionalFormatting sqref="AH120:AH125">
    <cfRule type="cellIs" dxfId="14265" priority="135" operator="equal">
      <formula>0</formula>
    </cfRule>
  </conditionalFormatting>
  <conditionalFormatting sqref="V120:W125 Z120:AA125">
    <cfRule type="cellIs" dxfId="14264" priority="136" operator="equal">
      <formula>0</formula>
    </cfRule>
  </conditionalFormatting>
  <conditionalFormatting sqref="X120:X125">
    <cfRule type="cellIs" dxfId="14263" priority="137" operator="equal">
      <formula>0</formula>
    </cfRule>
  </conditionalFormatting>
  <conditionalFormatting sqref="AB123:AB125">
    <cfRule type="cellIs" dxfId="14262" priority="138" operator="equal">
      <formula>0</formula>
    </cfRule>
  </conditionalFormatting>
  <conditionalFormatting sqref="AB120:AB125 AC120:AG120">
    <cfRule type="cellIs" dxfId="14261" priority="139" operator="equal">
      <formula>0</formula>
    </cfRule>
  </conditionalFormatting>
  <conditionalFormatting sqref="AC123:AC125">
    <cfRule type="cellIs" dxfId="14260" priority="140" operator="equal">
      <formula>0</formula>
    </cfRule>
  </conditionalFormatting>
  <conditionalFormatting sqref="AC120:AC125">
    <cfRule type="cellIs" dxfId="14259" priority="141" operator="equal">
      <formula>0</formula>
    </cfRule>
  </conditionalFormatting>
  <conditionalFormatting sqref="AD123:AD125">
    <cfRule type="cellIs" dxfId="14258" priority="142" operator="equal">
      <formula>0</formula>
    </cfRule>
  </conditionalFormatting>
  <conditionalFormatting sqref="AD120:AD125">
    <cfRule type="cellIs" dxfId="14257" priority="143" operator="equal">
      <formula>0</formula>
    </cfRule>
  </conditionalFormatting>
  <conditionalFormatting sqref="AE123:AE125">
    <cfRule type="cellIs" dxfId="14256" priority="144" operator="equal">
      <formula>0</formula>
    </cfRule>
  </conditionalFormatting>
  <conditionalFormatting sqref="AE120:AE125">
    <cfRule type="cellIs" dxfId="14255" priority="145" operator="equal">
      <formula>0</formula>
    </cfRule>
  </conditionalFormatting>
  <conditionalFormatting sqref="AF123:AF125">
    <cfRule type="cellIs" dxfId="14254" priority="146" operator="equal">
      <formula>0</formula>
    </cfRule>
  </conditionalFormatting>
  <conditionalFormatting sqref="AF120:AF125">
    <cfRule type="cellIs" dxfId="14253" priority="147" operator="equal">
      <formula>0</formula>
    </cfRule>
  </conditionalFormatting>
  <conditionalFormatting sqref="AG123:AG125">
    <cfRule type="cellIs" dxfId="14252" priority="148" operator="equal">
      <formula>0</formula>
    </cfRule>
  </conditionalFormatting>
  <conditionalFormatting sqref="AG120:AG125">
    <cfRule type="cellIs" dxfId="14251" priority="149" operator="equal">
      <formula>0</formula>
    </cfRule>
  </conditionalFormatting>
  <conditionalFormatting sqref="V120:AK126">
    <cfRule type="expression" dxfId="14250" priority="150">
      <formula>LEN(TRIM(V120))=0</formula>
    </cfRule>
  </conditionalFormatting>
  <conditionalFormatting sqref="AD123:AD124">
    <cfRule type="cellIs" dxfId="14249" priority="151" operator="equal">
      <formula>0</formula>
    </cfRule>
  </conditionalFormatting>
  <conditionalFormatting sqref="AE123:AE124">
    <cfRule type="cellIs" dxfId="14248" priority="152" operator="equal">
      <formula>0</formula>
    </cfRule>
  </conditionalFormatting>
  <conditionalFormatting sqref="AF123:AG123">
    <cfRule type="cellIs" dxfId="14247" priority="153" operator="equal">
      <formula>0</formula>
    </cfRule>
  </conditionalFormatting>
  <conditionalFormatting sqref="AF124:AG124">
    <cfRule type="cellIs" dxfId="14246" priority="154" operator="equal">
      <formula>0</formula>
    </cfRule>
  </conditionalFormatting>
  <conditionalFormatting sqref="W137:Y137 V138:Y139 Z137:AA139 V133:AA136 AB133:AJ139 V128:AK128 V140:AJ140 V129:AA130 AK129:AK140 AH129:AJ130">
    <cfRule type="cellIs" dxfId="14245" priority="128" operator="equal">
      <formula>0</formula>
    </cfRule>
  </conditionalFormatting>
  <conditionalFormatting sqref="V137">
    <cfRule type="cellIs" dxfId="14244" priority="129" operator="equal">
      <formula>0</formula>
    </cfRule>
  </conditionalFormatting>
  <conditionalFormatting sqref="V128:AK128 V133:AJ140 V129:AA130 AK129:AK140 AH129:AJ130">
    <cfRule type="expression" dxfId="14243" priority="130">
      <formula>LEN(TRIM(V128))=0</formula>
    </cfRule>
  </conditionalFormatting>
  <conditionalFormatting sqref="V131:AJ132">
    <cfRule type="cellIs" dxfId="14242" priority="131" operator="equal">
      <formula>0</formula>
    </cfRule>
  </conditionalFormatting>
  <conditionalFormatting sqref="AH131:AH132">
    <cfRule type="cellIs" dxfId="14241" priority="132" operator="equal">
      <formula>0</formula>
    </cfRule>
  </conditionalFormatting>
  <conditionalFormatting sqref="V131:AJ132">
    <cfRule type="expression" dxfId="14240" priority="133">
      <formula>LEN(TRIM(V131))=0</formula>
    </cfRule>
  </conditionalFormatting>
  <conditionalFormatting sqref="AB129:AG130">
    <cfRule type="cellIs" dxfId="14239" priority="126" operator="equal">
      <formula>0</formula>
    </cfRule>
  </conditionalFormatting>
  <conditionalFormatting sqref="AB129:AG130">
    <cfRule type="expression" dxfId="14238" priority="127">
      <formula>LEN(TRIM(AB129))=0</formula>
    </cfRule>
  </conditionalFormatting>
  <conditionalFormatting sqref="V143:AJ148 AK142:AK147 AK149 V142:AA142 AH142:AJ142">
    <cfRule type="cellIs" dxfId="14237" priority="120" operator="equal">
      <formula>0</formula>
    </cfRule>
  </conditionalFormatting>
  <conditionalFormatting sqref="V149:AJ149">
    <cfRule type="cellIs" dxfId="14236" priority="121" operator="equal">
      <formula>0</formula>
    </cfRule>
  </conditionalFormatting>
  <conditionalFormatting sqref="V143:AK147 V149:AK149 V148:AJ148 V142:AA142 AH142:AK142">
    <cfRule type="expression" dxfId="14235" priority="122">
      <formula>LEN(TRIM(V142))=0</formula>
    </cfRule>
  </conditionalFormatting>
  <conditionalFormatting sqref="V149:AJ149">
    <cfRule type="cellIs" dxfId="14234" priority="123" operator="equal">
      <formula>0</formula>
    </cfRule>
  </conditionalFormatting>
  <conditionalFormatting sqref="V150:AJ150">
    <cfRule type="cellIs" dxfId="14233" priority="124" operator="equal">
      <formula>0</formula>
    </cfRule>
  </conditionalFormatting>
  <conditionalFormatting sqref="V150:AJ150">
    <cfRule type="expression" dxfId="14232" priority="125">
      <formula>LEN(TRIM(V150))=0</formula>
    </cfRule>
  </conditionalFormatting>
  <conditionalFormatting sqref="AK150">
    <cfRule type="cellIs" dxfId="14231" priority="118" operator="equal">
      <formula>0</formula>
    </cfRule>
  </conditionalFormatting>
  <conditionalFormatting sqref="AK150">
    <cfRule type="expression" dxfId="14230" priority="119">
      <formula>LEN(TRIM(AK150))=0</formula>
    </cfRule>
  </conditionalFormatting>
  <conditionalFormatting sqref="AK148">
    <cfRule type="cellIs" dxfId="14229" priority="116" operator="equal">
      <formula>0</formula>
    </cfRule>
  </conditionalFormatting>
  <conditionalFormatting sqref="AK148">
    <cfRule type="expression" dxfId="14228" priority="117">
      <formula>LEN(TRIM(AK148))=0</formula>
    </cfRule>
  </conditionalFormatting>
  <conditionalFormatting sqref="AB142:AG142">
    <cfRule type="cellIs" dxfId="14227" priority="114" operator="equal">
      <formula>0</formula>
    </cfRule>
  </conditionalFormatting>
  <conditionalFormatting sqref="AB142:AG142">
    <cfRule type="expression" dxfId="14226" priority="115">
      <formula>LEN(TRIM(AB142))=0</formula>
    </cfRule>
  </conditionalFormatting>
  <conditionalFormatting sqref="AH159:AK161 W159:AA161 AB159:AG160 AI156:AK158 Y156:Y158 V156:V161 V162:AK162">
    <cfRule type="cellIs" dxfId="14225" priority="93" operator="equal">
      <formula>0</formula>
    </cfRule>
  </conditionalFormatting>
  <conditionalFormatting sqref="AH156:AH161">
    <cfRule type="cellIs" dxfId="14224" priority="94" operator="equal">
      <formula>0</formula>
    </cfRule>
  </conditionalFormatting>
  <conditionalFormatting sqref="V156:W161 Z156:AA161">
    <cfRule type="cellIs" dxfId="14223" priority="95" operator="equal">
      <formula>0</formula>
    </cfRule>
  </conditionalFormatting>
  <conditionalFormatting sqref="X156:X161">
    <cfRule type="cellIs" dxfId="14222" priority="96" operator="equal">
      <formula>0</formula>
    </cfRule>
  </conditionalFormatting>
  <conditionalFormatting sqref="AB159:AB161">
    <cfRule type="cellIs" dxfId="14221" priority="97" operator="equal">
      <formula>0</formula>
    </cfRule>
  </conditionalFormatting>
  <conditionalFormatting sqref="AB156:AB161 AC156:AG156">
    <cfRule type="cellIs" dxfId="14220" priority="98" operator="equal">
      <formula>0</formula>
    </cfRule>
  </conditionalFormatting>
  <conditionalFormatting sqref="AC159:AC161">
    <cfRule type="cellIs" dxfId="14219" priority="99" operator="equal">
      <formula>0</formula>
    </cfRule>
  </conditionalFormatting>
  <conditionalFormatting sqref="AC156:AC161">
    <cfRule type="cellIs" dxfId="14218" priority="100" operator="equal">
      <formula>0</formula>
    </cfRule>
  </conditionalFormatting>
  <conditionalFormatting sqref="AD159:AD161">
    <cfRule type="cellIs" dxfId="14217" priority="101" operator="equal">
      <formula>0</formula>
    </cfRule>
  </conditionalFormatting>
  <conditionalFormatting sqref="AD156:AD161">
    <cfRule type="cellIs" dxfId="14216" priority="102" operator="equal">
      <formula>0</formula>
    </cfRule>
  </conditionalFormatting>
  <conditionalFormatting sqref="AE159:AE161">
    <cfRule type="cellIs" dxfId="14215" priority="103" operator="equal">
      <formula>0</formula>
    </cfRule>
  </conditionalFormatting>
  <conditionalFormatting sqref="AE156:AE161">
    <cfRule type="cellIs" dxfId="14214" priority="104" operator="equal">
      <formula>0</formula>
    </cfRule>
  </conditionalFormatting>
  <conditionalFormatting sqref="AF159:AF161">
    <cfRule type="cellIs" dxfId="14213" priority="105" operator="equal">
      <formula>0</formula>
    </cfRule>
  </conditionalFormatting>
  <conditionalFormatting sqref="AF156:AF161">
    <cfRule type="cellIs" dxfId="14212" priority="106" operator="equal">
      <formula>0</formula>
    </cfRule>
  </conditionalFormatting>
  <conditionalFormatting sqref="AG159:AG161">
    <cfRule type="cellIs" dxfId="14211" priority="107" operator="equal">
      <formula>0</formula>
    </cfRule>
  </conditionalFormatting>
  <conditionalFormatting sqref="AG156:AG161">
    <cfRule type="cellIs" dxfId="14210" priority="108" operator="equal">
      <formula>0</formula>
    </cfRule>
  </conditionalFormatting>
  <conditionalFormatting sqref="V156:AK162">
    <cfRule type="expression" dxfId="14209" priority="109">
      <formula>LEN(TRIM(V156))=0</formula>
    </cfRule>
  </conditionalFormatting>
  <conditionalFormatting sqref="AD159:AD160">
    <cfRule type="cellIs" dxfId="14208" priority="110" operator="equal">
      <formula>0</formula>
    </cfRule>
  </conditionalFormatting>
  <conditionalFormatting sqref="AE159:AE160">
    <cfRule type="cellIs" dxfId="14207" priority="111" operator="equal">
      <formula>0</formula>
    </cfRule>
  </conditionalFormatting>
  <conditionalFormatting sqref="AF159:AG159">
    <cfRule type="cellIs" dxfId="14206" priority="112" operator="equal">
      <formula>0</formula>
    </cfRule>
  </conditionalFormatting>
  <conditionalFormatting sqref="AF160:AG160">
    <cfRule type="cellIs" dxfId="14205" priority="113" operator="equal">
      <formula>0</formula>
    </cfRule>
  </conditionalFormatting>
  <conditionalFormatting sqref="W173:Y173 V174:Y175 Z173:AA175 V169:AA172 AB169:AJ175 V164:AK164 V176:AJ176 V165:AA166 AK165:AK176 AH165:AJ166">
    <cfRule type="cellIs" dxfId="14204" priority="87" operator="equal">
      <formula>0</formula>
    </cfRule>
  </conditionalFormatting>
  <conditionalFormatting sqref="V173">
    <cfRule type="cellIs" dxfId="14203" priority="88" operator="equal">
      <formula>0</formula>
    </cfRule>
  </conditionalFormatting>
  <conditionalFormatting sqref="V164:AK164 V169:AJ176 V165:AA166 AK165:AK176 AH165:AJ166">
    <cfRule type="expression" dxfId="14202" priority="89">
      <formula>LEN(TRIM(V164))=0</formula>
    </cfRule>
  </conditionalFormatting>
  <conditionalFormatting sqref="V167:AJ168">
    <cfRule type="cellIs" dxfId="14201" priority="90" operator="equal">
      <formula>0</formula>
    </cfRule>
  </conditionalFormatting>
  <conditionalFormatting sqref="AH167:AH168">
    <cfRule type="cellIs" dxfId="14200" priority="91" operator="equal">
      <formula>0</formula>
    </cfRule>
  </conditionalFormatting>
  <conditionalFormatting sqref="V167:AJ168">
    <cfRule type="expression" dxfId="14199" priority="92">
      <formula>LEN(TRIM(V167))=0</formula>
    </cfRule>
  </conditionalFormatting>
  <conditionalFormatting sqref="AB165:AG166">
    <cfRule type="cellIs" dxfId="14198" priority="85" operator="equal">
      <formula>0</formula>
    </cfRule>
  </conditionalFormatting>
  <conditionalFormatting sqref="AB165:AG166">
    <cfRule type="expression" dxfId="14197" priority="86">
      <formula>LEN(TRIM(AB165))=0</formula>
    </cfRule>
  </conditionalFormatting>
  <conditionalFormatting sqref="V179:AJ184 AK178:AK183 AK185 V178:AA178 AH178:AJ178">
    <cfRule type="cellIs" dxfId="14196" priority="79" operator="equal">
      <formula>0</formula>
    </cfRule>
  </conditionalFormatting>
  <conditionalFormatting sqref="V185:AJ185">
    <cfRule type="cellIs" dxfId="14195" priority="80" operator="equal">
      <formula>0</formula>
    </cfRule>
  </conditionalFormatting>
  <conditionalFormatting sqref="V179:AK183 V185:AK185 V184:AJ184 V178:AA178 AH178:AK178">
    <cfRule type="expression" dxfId="14194" priority="81">
      <formula>LEN(TRIM(V178))=0</formula>
    </cfRule>
  </conditionalFormatting>
  <conditionalFormatting sqref="V185:AJ185">
    <cfRule type="cellIs" dxfId="14193" priority="82" operator="equal">
      <formula>0</formula>
    </cfRule>
  </conditionalFormatting>
  <conditionalFormatting sqref="V186:AJ186">
    <cfRule type="cellIs" dxfId="14192" priority="83" operator="equal">
      <formula>0</formula>
    </cfRule>
  </conditionalFormatting>
  <conditionalFormatting sqref="V186:AJ186">
    <cfRule type="expression" dxfId="14191" priority="84">
      <formula>LEN(TRIM(V186))=0</formula>
    </cfRule>
  </conditionalFormatting>
  <conditionalFormatting sqref="AK186">
    <cfRule type="cellIs" dxfId="14190" priority="77" operator="equal">
      <formula>0</formula>
    </cfRule>
  </conditionalFormatting>
  <conditionalFormatting sqref="AK186">
    <cfRule type="expression" dxfId="14189" priority="78">
      <formula>LEN(TRIM(AK186))=0</formula>
    </cfRule>
  </conditionalFormatting>
  <conditionalFormatting sqref="AK184">
    <cfRule type="cellIs" dxfId="14188" priority="75" operator="equal">
      <formula>0</formula>
    </cfRule>
  </conditionalFormatting>
  <conditionalFormatting sqref="AK184">
    <cfRule type="expression" dxfId="14187" priority="76">
      <formula>LEN(TRIM(AK184))=0</formula>
    </cfRule>
  </conditionalFormatting>
  <conditionalFormatting sqref="AB178:AG178">
    <cfRule type="cellIs" dxfId="14186" priority="73" operator="equal">
      <formula>0</formula>
    </cfRule>
  </conditionalFormatting>
  <conditionalFormatting sqref="AB178:AG178">
    <cfRule type="expression" dxfId="14185" priority="74">
      <formula>LEN(TRIM(AB178))=0</formula>
    </cfRule>
  </conditionalFormatting>
  <conditionalFormatting sqref="J11">
    <cfRule type="cellIs" dxfId="14184" priority="60" operator="equal">
      <formula>0</formula>
    </cfRule>
  </conditionalFormatting>
  <conditionalFormatting sqref="K11">
    <cfRule type="cellIs" dxfId="14183" priority="59" operator="equal">
      <formula>0</formula>
    </cfRule>
  </conditionalFormatting>
  <conditionalFormatting sqref="L11">
    <cfRule type="cellIs" dxfId="14182" priority="58" operator="equal">
      <formula>0</formula>
    </cfRule>
  </conditionalFormatting>
  <conditionalFormatting sqref="M11">
    <cfRule type="cellIs" dxfId="14181" priority="57" operator="equal">
      <formula>0</formula>
    </cfRule>
  </conditionalFormatting>
  <conditionalFormatting sqref="N11">
    <cfRule type="cellIs" dxfId="14180" priority="56" operator="equal">
      <formula>0</formula>
    </cfRule>
  </conditionalFormatting>
  <conditionalFormatting sqref="O11">
    <cfRule type="cellIs" dxfId="14179" priority="55" operator="equal">
      <formula>0</formula>
    </cfRule>
  </conditionalFormatting>
  <conditionalFormatting sqref="AB11">
    <cfRule type="cellIs" dxfId="14178" priority="54" operator="equal">
      <formula>0</formula>
    </cfRule>
  </conditionalFormatting>
  <conditionalFormatting sqref="AC11">
    <cfRule type="cellIs" dxfId="14177" priority="53" operator="equal">
      <formula>0</formula>
    </cfRule>
  </conditionalFormatting>
  <conditionalFormatting sqref="AD11">
    <cfRule type="cellIs" dxfId="14176" priority="52" operator="equal">
      <formula>0</formula>
    </cfRule>
  </conditionalFormatting>
  <conditionalFormatting sqref="AE11">
    <cfRule type="cellIs" dxfId="14175" priority="51" operator="equal">
      <formula>0</formula>
    </cfRule>
  </conditionalFormatting>
  <conditionalFormatting sqref="AF11">
    <cfRule type="cellIs" dxfId="14174" priority="50" operator="equal">
      <formula>0</formula>
    </cfRule>
  </conditionalFormatting>
  <conditionalFormatting sqref="AG11">
    <cfRule type="cellIs" dxfId="14173" priority="49" operator="equal">
      <formula>0</formula>
    </cfRule>
  </conditionalFormatting>
  <conditionalFormatting sqref="J47">
    <cfRule type="cellIs" dxfId="14172" priority="48" operator="equal">
      <formula>0</formula>
    </cfRule>
  </conditionalFormatting>
  <conditionalFormatting sqref="K47">
    <cfRule type="cellIs" dxfId="14171" priority="47" operator="equal">
      <formula>0</formula>
    </cfRule>
  </conditionalFormatting>
  <conditionalFormatting sqref="L47">
    <cfRule type="cellIs" dxfId="14170" priority="46" operator="equal">
      <formula>0</formula>
    </cfRule>
  </conditionalFormatting>
  <conditionalFormatting sqref="M47">
    <cfRule type="cellIs" dxfId="14169" priority="45" operator="equal">
      <formula>0</formula>
    </cfRule>
  </conditionalFormatting>
  <conditionalFormatting sqref="N47">
    <cfRule type="cellIs" dxfId="14168" priority="44" operator="equal">
      <formula>0</formula>
    </cfRule>
  </conditionalFormatting>
  <conditionalFormatting sqref="O47">
    <cfRule type="cellIs" dxfId="14167" priority="43" operator="equal">
      <formula>0</formula>
    </cfRule>
  </conditionalFormatting>
  <conditionalFormatting sqref="AB47">
    <cfRule type="cellIs" dxfId="14166" priority="42" operator="equal">
      <formula>0</formula>
    </cfRule>
  </conditionalFormatting>
  <conditionalFormatting sqref="AC47">
    <cfRule type="cellIs" dxfId="14165" priority="41" operator="equal">
      <formula>0</formula>
    </cfRule>
  </conditionalFormatting>
  <conditionalFormatting sqref="AD47">
    <cfRule type="cellIs" dxfId="14164" priority="40" operator="equal">
      <formula>0</formula>
    </cfRule>
  </conditionalFormatting>
  <conditionalFormatting sqref="AE47">
    <cfRule type="cellIs" dxfId="14163" priority="39" operator="equal">
      <formula>0</formula>
    </cfRule>
  </conditionalFormatting>
  <conditionalFormatting sqref="AF47">
    <cfRule type="cellIs" dxfId="14162" priority="38" operator="equal">
      <formula>0</formula>
    </cfRule>
  </conditionalFormatting>
  <conditionalFormatting sqref="AG47">
    <cfRule type="cellIs" dxfId="14161" priority="37" operator="equal">
      <formula>0</formula>
    </cfRule>
  </conditionalFormatting>
  <conditionalFormatting sqref="J83">
    <cfRule type="cellIs" dxfId="14160" priority="36" operator="equal">
      <formula>0</formula>
    </cfRule>
  </conditionalFormatting>
  <conditionalFormatting sqref="K83">
    <cfRule type="cellIs" dxfId="14159" priority="35" operator="equal">
      <formula>0</formula>
    </cfRule>
  </conditionalFormatting>
  <conditionalFormatting sqref="L83">
    <cfRule type="cellIs" dxfId="14158" priority="34" operator="equal">
      <formula>0</formula>
    </cfRule>
  </conditionalFormatting>
  <conditionalFormatting sqref="M83">
    <cfRule type="cellIs" dxfId="14157" priority="33" operator="equal">
      <formula>0</formula>
    </cfRule>
  </conditionalFormatting>
  <conditionalFormatting sqref="N83">
    <cfRule type="cellIs" dxfId="14156" priority="32" operator="equal">
      <formula>0</formula>
    </cfRule>
  </conditionalFormatting>
  <conditionalFormatting sqref="O83">
    <cfRule type="cellIs" dxfId="14155" priority="31" operator="equal">
      <formula>0</formula>
    </cfRule>
  </conditionalFormatting>
  <conditionalFormatting sqref="AB83">
    <cfRule type="cellIs" dxfId="14154" priority="30" operator="equal">
      <formula>0</formula>
    </cfRule>
  </conditionalFormatting>
  <conditionalFormatting sqref="AC83">
    <cfRule type="cellIs" dxfId="14153" priority="29" operator="equal">
      <formula>0</formula>
    </cfRule>
  </conditionalFormatting>
  <conditionalFormatting sqref="AD83">
    <cfRule type="cellIs" dxfId="14152" priority="28" operator="equal">
      <formula>0</formula>
    </cfRule>
  </conditionalFormatting>
  <conditionalFormatting sqref="AE83">
    <cfRule type="cellIs" dxfId="14151" priority="27" operator="equal">
      <formula>0</formula>
    </cfRule>
  </conditionalFormatting>
  <conditionalFormatting sqref="AF83">
    <cfRule type="cellIs" dxfId="14150" priority="26" operator="equal">
      <formula>0</formula>
    </cfRule>
  </conditionalFormatting>
  <conditionalFormatting sqref="AG83">
    <cfRule type="cellIs" dxfId="14149" priority="25" operator="equal">
      <formula>0</formula>
    </cfRule>
  </conditionalFormatting>
  <conditionalFormatting sqref="J119">
    <cfRule type="cellIs" dxfId="14148" priority="24" operator="equal">
      <formula>0</formula>
    </cfRule>
  </conditionalFormatting>
  <conditionalFormatting sqref="K119">
    <cfRule type="cellIs" dxfId="14147" priority="23" operator="equal">
      <formula>0</formula>
    </cfRule>
  </conditionalFormatting>
  <conditionalFormatting sqref="L119">
    <cfRule type="cellIs" dxfId="14146" priority="22" operator="equal">
      <formula>0</formula>
    </cfRule>
  </conditionalFormatting>
  <conditionalFormatting sqref="M119">
    <cfRule type="cellIs" dxfId="14145" priority="21" operator="equal">
      <formula>0</formula>
    </cfRule>
  </conditionalFormatting>
  <conditionalFormatting sqref="N119">
    <cfRule type="cellIs" dxfId="14144" priority="20" operator="equal">
      <formula>0</formula>
    </cfRule>
  </conditionalFormatting>
  <conditionalFormatting sqref="O119">
    <cfRule type="cellIs" dxfId="14143" priority="19" operator="equal">
      <formula>0</formula>
    </cfRule>
  </conditionalFormatting>
  <conditionalFormatting sqref="AB119">
    <cfRule type="cellIs" dxfId="14142" priority="18" operator="equal">
      <formula>0</formula>
    </cfRule>
  </conditionalFormatting>
  <conditionalFormatting sqref="AC119">
    <cfRule type="cellIs" dxfId="14141" priority="17" operator="equal">
      <formula>0</formula>
    </cfRule>
  </conditionalFormatting>
  <conditionalFormatting sqref="AD119">
    <cfRule type="cellIs" dxfId="14140" priority="16" operator="equal">
      <formula>0</formula>
    </cfRule>
  </conditionalFormatting>
  <conditionalFormatting sqref="AE119">
    <cfRule type="cellIs" dxfId="14139" priority="15" operator="equal">
      <formula>0</formula>
    </cfRule>
  </conditionalFormatting>
  <conditionalFormatting sqref="AF119">
    <cfRule type="cellIs" dxfId="14138" priority="14" operator="equal">
      <formula>0</formula>
    </cfRule>
  </conditionalFormatting>
  <conditionalFormatting sqref="AG119">
    <cfRule type="cellIs" dxfId="14137" priority="13" operator="equal">
      <formula>0</formula>
    </cfRule>
  </conditionalFormatting>
  <conditionalFormatting sqref="J155">
    <cfRule type="cellIs" dxfId="14136" priority="12" operator="equal">
      <formula>0</formula>
    </cfRule>
  </conditionalFormatting>
  <conditionalFormatting sqref="K155">
    <cfRule type="cellIs" dxfId="14135" priority="11" operator="equal">
      <formula>0</formula>
    </cfRule>
  </conditionalFormatting>
  <conditionalFormatting sqref="L155">
    <cfRule type="cellIs" dxfId="14134" priority="10" operator="equal">
      <formula>0</formula>
    </cfRule>
  </conditionalFormatting>
  <conditionalFormatting sqref="M155">
    <cfRule type="cellIs" dxfId="14133" priority="9" operator="equal">
      <formula>0</formula>
    </cfRule>
  </conditionalFormatting>
  <conditionalFormatting sqref="N155">
    <cfRule type="cellIs" dxfId="14132" priority="8" operator="equal">
      <formula>0</formula>
    </cfRule>
  </conditionalFormatting>
  <conditionalFormatting sqref="O155">
    <cfRule type="cellIs" dxfId="14131" priority="7" operator="equal">
      <formula>0</formula>
    </cfRule>
  </conditionalFormatting>
  <conditionalFormatting sqref="AB155">
    <cfRule type="cellIs" dxfId="14130" priority="6" operator="equal">
      <formula>0</formula>
    </cfRule>
  </conditionalFormatting>
  <conditionalFormatting sqref="AC155">
    <cfRule type="cellIs" dxfId="14129" priority="5" operator="equal">
      <formula>0</formula>
    </cfRule>
  </conditionalFormatting>
  <conditionalFormatting sqref="AD155">
    <cfRule type="cellIs" dxfId="14128" priority="4" operator="equal">
      <formula>0</formula>
    </cfRule>
  </conditionalFormatting>
  <conditionalFormatting sqref="AE155">
    <cfRule type="cellIs" dxfId="14127" priority="3" operator="equal">
      <formula>0</formula>
    </cfRule>
  </conditionalFormatting>
  <conditionalFormatting sqref="AF155">
    <cfRule type="cellIs" dxfId="14126"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47086-1C4E-4C6B-B6DF-7902BB43FA8F}">
  <dimension ref="C2:AK152"/>
  <sheetViews>
    <sheetView topLeftCell="A2"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363</v>
      </c>
      <c r="D8" s="699"/>
      <c r="E8" s="699"/>
      <c r="F8" s="699"/>
      <c r="G8" s="699"/>
      <c r="H8" s="699"/>
      <c r="I8" s="699"/>
      <c r="J8" s="699"/>
      <c r="K8" s="699"/>
      <c r="L8" s="699"/>
      <c r="M8" s="699"/>
      <c r="N8" s="699"/>
      <c r="O8" s="699"/>
      <c r="P8" s="699"/>
      <c r="Q8" s="699"/>
      <c r="R8" s="699"/>
      <c r="S8" s="699"/>
      <c r="U8" s="699" t="s">
        <v>363</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0</v>
      </c>
      <c r="F12" s="643">
        <v>0</v>
      </c>
      <c r="G12" s="642">
        <v>0</v>
      </c>
      <c r="H12" s="643">
        <v>959.09090909090924</v>
      </c>
      <c r="I12" s="643">
        <v>265.54666314840352</v>
      </c>
      <c r="J12" s="643">
        <v>188.6372712469306</v>
      </c>
      <c r="K12" s="643">
        <v>20.835963621356942</v>
      </c>
      <c r="L12" s="643">
        <v>0.48646764865129044</v>
      </c>
      <c r="M12" s="643">
        <v>0.15840693111613638</v>
      </c>
      <c r="N12" s="643">
        <v>62.897832024028709</v>
      </c>
      <c r="O12" s="643">
        <v>11.865462020109925</v>
      </c>
      <c r="P12" s="644">
        <v>0</v>
      </c>
      <c r="Q12" s="643">
        <v>0</v>
      </c>
      <c r="R12" s="643">
        <v>0</v>
      </c>
      <c r="S12" s="645">
        <v>1509.5189757315065</v>
      </c>
      <c r="U12" s="641" t="s">
        <v>59</v>
      </c>
      <c r="V12" s="642">
        <v>0</v>
      </c>
      <c r="W12" s="643">
        <v>0</v>
      </c>
      <c r="X12" s="643">
        <v>0</v>
      </c>
      <c r="Y12" s="642">
        <v>0</v>
      </c>
      <c r="Z12" s="643">
        <v>919.39393939393949</v>
      </c>
      <c r="AA12" s="643">
        <v>300.16666314840353</v>
      </c>
      <c r="AB12" s="643">
        <v>196.07210414009427</v>
      </c>
      <c r="AC12" s="643">
        <v>37.690284018354092</v>
      </c>
      <c r="AD12" s="643">
        <v>0.48646764865129044</v>
      </c>
      <c r="AE12" s="643">
        <v>0.15840693111613638</v>
      </c>
      <c r="AF12" s="643">
        <v>92.901000398225491</v>
      </c>
      <c r="AG12" s="643">
        <v>23.979405132943342</v>
      </c>
      <c r="AH12" s="644">
        <v>0</v>
      </c>
      <c r="AI12" s="643">
        <v>0</v>
      </c>
      <c r="AJ12" s="643">
        <v>0</v>
      </c>
      <c r="AK12" s="645">
        <v>1570.8482708117278</v>
      </c>
    </row>
    <row r="13" spans="3:37" ht="13.5">
      <c r="C13" s="641" t="s">
        <v>60</v>
      </c>
      <c r="D13" s="642">
        <v>48.037640466799544</v>
      </c>
      <c r="E13" s="643">
        <v>504.19228646673599</v>
      </c>
      <c r="F13" s="643">
        <v>68.527294255032075</v>
      </c>
      <c r="G13" s="642">
        <v>332.96357284387591</v>
      </c>
      <c r="H13" s="643">
        <v>0</v>
      </c>
      <c r="I13" s="643">
        <v>0</v>
      </c>
      <c r="J13" s="643">
        <v>4.4041420336435353</v>
      </c>
      <c r="K13" s="643">
        <v>0</v>
      </c>
      <c r="L13" s="643">
        <v>2.4215969020745125</v>
      </c>
      <c r="M13" s="643">
        <v>0</v>
      </c>
      <c r="N13" s="643">
        <v>0</v>
      </c>
      <c r="O13" s="643">
        <v>0</v>
      </c>
      <c r="P13" s="644">
        <v>0</v>
      </c>
      <c r="Q13" s="643">
        <v>0</v>
      </c>
      <c r="R13" s="643">
        <v>0</v>
      </c>
      <c r="S13" s="645">
        <v>960.54653296816161</v>
      </c>
      <c r="U13" s="641" t="s">
        <v>60</v>
      </c>
      <c r="V13" s="642">
        <v>7.5315222042138927</v>
      </c>
      <c r="W13" s="643">
        <v>266.28302835422375</v>
      </c>
      <c r="X13" s="643">
        <v>14.660534841020075</v>
      </c>
      <c r="Y13" s="642">
        <v>136.19700966140181</v>
      </c>
      <c r="Z13" s="643">
        <v>0</v>
      </c>
      <c r="AA13" s="643">
        <v>0</v>
      </c>
      <c r="AB13" s="643">
        <v>4.4041420336435353</v>
      </c>
      <c r="AC13" s="643">
        <v>0</v>
      </c>
      <c r="AD13" s="643">
        <v>2.4215969020745125</v>
      </c>
      <c r="AE13" s="643">
        <v>0</v>
      </c>
      <c r="AF13" s="643">
        <v>0</v>
      </c>
      <c r="AG13" s="643">
        <v>0</v>
      </c>
      <c r="AH13" s="644">
        <v>0</v>
      </c>
      <c r="AI13" s="643">
        <v>0</v>
      </c>
      <c r="AJ13" s="643">
        <v>0</v>
      </c>
      <c r="AK13" s="645">
        <v>431.49783399657758</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-31.055970799843635</v>
      </c>
      <c r="Q14" s="643">
        <v>0</v>
      </c>
      <c r="R14" s="643">
        <v>0</v>
      </c>
      <c r="S14" s="645">
        <v>-31.055970799843635</v>
      </c>
      <c r="U14" s="641" t="s">
        <v>61</v>
      </c>
      <c r="V14" s="642">
        <v>0</v>
      </c>
      <c r="W14" s="643">
        <v>0</v>
      </c>
      <c r="X14" s="643">
        <v>-20.238165107819981</v>
      </c>
      <c r="Y14" s="642">
        <v>0</v>
      </c>
      <c r="Z14" s="643">
        <v>0</v>
      </c>
      <c r="AA14" s="643">
        <v>0</v>
      </c>
      <c r="AB14" s="643">
        <v>0</v>
      </c>
      <c r="AC14" s="643">
        <v>0</v>
      </c>
      <c r="AD14" s="643">
        <v>0</v>
      </c>
      <c r="AE14" s="643">
        <v>0</v>
      </c>
      <c r="AF14" s="643">
        <v>0</v>
      </c>
      <c r="AG14" s="643">
        <v>0</v>
      </c>
      <c r="AH14" s="644">
        <v>-12.632253344037395</v>
      </c>
      <c r="AI14" s="643">
        <v>0</v>
      </c>
      <c r="AJ14" s="643">
        <v>0</v>
      </c>
      <c r="AK14" s="645">
        <v>-32.870418451857375</v>
      </c>
    </row>
    <row r="15" spans="3:37" ht="13.5">
      <c r="C15" s="641" t="s">
        <v>62</v>
      </c>
      <c r="D15" s="642">
        <v>0</v>
      </c>
      <c r="E15" s="643">
        <v>0</v>
      </c>
      <c r="F15" s="643">
        <v>-15.855905256620872</v>
      </c>
      <c r="G15" s="642">
        <v>0</v>
      </c>
      <c r="H15" s="643">
        <v>0</v>
      </c>
      <c r="I15" s="643">
        <v>0</v>
      </c>
      <c r="J15" s="643">
        <v>0</v>
      </c>
      <c r="K15" s="643">
        <v>0</v>
      </c>
      <c r="L15" s="643">
        <v>0</v>
      </c>
      <c r="M15" s="643">
        <v>0</v>
      </c>
      <c r="N15" s="643">
        <v>0</v>
      </c>
      <c r="O15" s="643">
        <v>0</v>
      </c>
      <c r="P15" s="644">
        <v>0</v>
      </c>
      <c r="Q15" s="643">
        <v>0</v>
      </c>
      <c r="R15" s="643">
        <v>0</v>
      </c>
      <c r="S15" s="645">
        <v>-15.855905256620872</v>
      </c>
      <c r="U15" s="641" t="s">
        <v>62</v>
      </c>
      <c r="V15" s="642">
        <v>0</v>
      </c>
      <c r="W15" s="643">
        <v>0</v>
      </c>
      <c r="X15" s="643">
        <v>-10.068616817390659</v>
      </c>
      <c r="Y15" s="642">
        <v>-2.2904268439326967</v>
      </c>
      <c r="Z15" s="643">
        <v>0</v>
      </c>
      <c r="AA15" s="643">
        <v>0</v>
      </c>
      <c r="AB15" s="643">
        <v>0</v>
      </c>
      <c r="AC15" s="643">
        <v>0</v>
      </c>
      <c r="AD15" s="643">
        <v>0</v>
      </c>
      <c r="AE15" s="643">
        <v>-0.98161150454258428</v>
      </c>
      <c r="AF15" s="643">
        <v>0</v>
      </c>
      <c r="AG15" s="643">
        <v>0</v>
      </c>
      <c r="AH15" s="644">
        <v>0</v>
      </c>
      <c r="AI15" s="643">
        <v>0</v>
      </c>
      <c r="AJ15" s="643">
        <v>0</v>
      </c>
      <c r="AK15" s="645">
        <v>-13.34065516586594</v>
      </c>
    </row>
    <row r="16" spans="3:37" ht="13.5">
      <c r="C16" s="641" t="s">
        <v>63</v>
      </c>
      <c r="D16" s="642">
        <v>0</v>
      </c>
      <c r="E16" s="643">
        <v>0</v>
      </c>
      <c r="F16" s="643">
        <v>-87.092524368241456</v>
      </c>
      <c r="G16" s="642">
        <v>0</v>
      </c>
      <c r="H16" s="643">
        <v>0</v>
      </c>
      <c r="I16" s="643">
        <v>0</v>
      </c>
      <c r="J16" s="643">
        <v>0</v>
      </c>
      <c r="K16" s="643">
        <v>0</v>
      </c>
      <c r="L16" s="643">
        <v>-0.90133117758770376</v>
      </c>
      <c r="M16" s="643">
        <v>0</v>
      </c>
      <c r="N16" s="643">
        <v>0</v>
      </c>
      <c r="O16" s="643">
        <v>0</v>
      </c>
      <c r="P16" s="644">
        <v>0</v>
      </c>
      <c r="Q16" s="643">
        <v>0</v>
      </c>
      <c r="R16" s="643">
        <v>0</v>
      </c>
      <c r="S16" s="645">
        <v>-87.993855545829163</v>
      </c>
      <c r="U16" s="641" t="s">
        <v>63</v>
      </c>
      <c r="V16" s="642">
        <v>0</v>
      </c>
      <c r="W16" s="643">
        <v>0</v>
      </c>
      <c r="X16" s="643">
        <v>-58.231828596071985</v>
      </c>
      <c r="Y16" s="642">
        <v>0</v>
      </c>
      <c r="Z16" s="643">
        <v>0</v>
      </c>
      <c r="AA16" s="643">
        <v>0</v>
      </c>
      <c r="AB16" s="643">
        <v>0</v>
      </c>
      <c r="AC16" s="643">
        <v>0</v>
      </c>
      <c r="AD16" s="643">
        <v>-23.991898740742837</v>
      </c>
      <c r="AE16" s="643">
        <v>0</v>
      </c>
      <c r="AF16" s="643">
        <v>0</v>
      </c>
      <c r="AG16" s="643">
        <v>0</v>
      </c>
      <c r="AH16" s="644">
        <v>0</v>
      </c>
      <c r="AI16" s="643">
        <v>0</v>
      </c>
      <c r="AJ16" s="643">
        <v>0</v>
      </c>
      <c r="AK16" s="645">
        <v>-82.223727336814818</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48.037640466799544</v>
      </c>
      <c r="E18" s="647">
        <v>504.19228646673599</v>
      </c>
      <c r="F18" s="647">
        <v>-34.42113536983026</v>
      </c>
      <c r="G18" s="647">
        <v>332.96357284387591</v>
      </c>
      <c r="H18" s="647">
        <v>959.09090909090924</v>
      </c>
      <c r="I18" s="647">
        <v>265.54666314840352</v>
      </c>
      <c r="J18" s="647">
        <v>193.04141328057412</v>
      </c>
      <c r="K18" s="647">
        <v>20.835963621356942</v>
      </c>
      <c r="L18" s="647">
        <v>2.0067333731380987</v>
      </c>
      <c r="M18" s="647">
        <v>0.15840693111613638</v>
      </c>
      <c r="N18" s="647">
        <v>62.897832024028709</v>
      </c>
      <c r="O18" s="647">
        <v>11.865462020109925</v>
      </c>
      <c r="P18" s="647">
        <v>-31.055970799843635</v>
      </c>
      <c r="Q18" s="647">
        <v>0</v>
      </c>
      <c r="R18" s="647">
        <v>0</v>
      </c>
      <c r="S18" s="647">
        <v>2335.159777097374</v>
      </c>
      <c r="U18" s="646" t="s">
        <v>65</v>
      </c>
      <c r="V18" s="647">
        <v>7.5315222042138927</v>
      </c>
      <c r="W18" s="647">
        <v>266.28302835422375</v>
      </c>
      <c r="X18" s="647">
        <v>-73.87807568026254</v>
      </c>
      <c r="Y18" s="647">
        <v>133.90658281746911</v>
      </c>
      <c r="Z18" s="647">
        <v>919.39393939393949</v>
      </c>
      <c r="AA18" s="647">
        <v>300.16666314840353</v>
      </c>
      <c r="AB18" s="647">
        <v>200.47624617373779</v>
      </c>
      <c r="AC18" s="647">
        <v>37.690284018354092</v>
      </c>
      <c r="AD18" s="647">
        <v>-21.083834190017033</v>
      </c>
      <c r="AE18" s="647">
        <v>-0.82320457342644793</v>
      </c>
      <c r="AF18" s="647">
        <v>92.901000398225491</v>
      </c>
      <c r="AG18" s="647">
        <v>23.979405132943342</v>
      </c>
      <c r="AH18" s="647">
        <v>-12.632253344037395</v>
      </c>
      <c r="AI18" s="647">
        <v>0</v>
      </c>
      <c r="AJ18" s="647">
        <v>0</v>
      </c>
      <c r="AK18" s="647">
        <v>1873.9113038537675</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7.5217067848259731</v>
      </c>
      <c r="G21" s="642">
        <v>17.043478260869566</v>
      </c>
      <c r="H21" s="642">
        <v>959.09090909090924</v>
      </c>
      <c r="I21" s="642">
        <v>265.54666314840352</v>
      </c>
      <c r="J21" s="651">
        <v>29.657322749860491</v>
      </c>
      <c r="K21" s="651">
        <v>6.9984717304001904</v>
      </c>
      <c r="L21" s="651">
        <v>2.9080645507258027</v>
      </c>
      <c r="M21" s="651">
        <v>0.47316517381762646</v>
      </c>
      <c r="N21" s="651">
        <v>0</v>
      </c>
      <c r="O21" s="651">
        <v>6.9042102843702597</v>
      </c>
      <c r="P21" s="642">
        <v>-613.13903868039233</v>
      </c>
      <c r="Q21" s="642">
        <v>0</v>
      </c>
      <c r="R21" s="642">
        <v>0</v>
      </c>
      <c r="S21" s="650">
        <v>685.83173873481564</v>
      </c>
      <c r="U21" s="648" t="s">
        <v>350</v>
      </c>
      <c r="V21" s="642">
        <v>0.62631490545869017</v>
      </c>
      <c r="W21" s="642">
        <v>0</v>
      </c>
      <c r="X21" s="642">
        <v>3.6580704211896093</v>
      </c>
      <c r="Y21" s="642">
        <v>6.2086956521739127</v>
      </c>
      <c r="Z21" s="642">
        <v>919.39393939393949</v>
      </c>
      <c r="AA21" s="642">
        <v>300.16666314840353</v>
      </c>
      <c r="AB21" s="651">
        <v>23.86094386593884</v>
      </c>
      <c r="AC21" s="651">
        <v>5.6952120200596408</v>
      </c>
      <c r="AD21" s="651">
        <v>2.9080645507258027</v>
      </c>
      <c r="AE21" s="651">
        <v>2.7862086520784959</v>
      </c>
      <c r="AF21" s="651">
        <v>0</v>
      </c>
      <c r="AG21" s="651">
        <v>6.9042102843702597</v>
      </c>
      <c r="AH21" s="642">
        <v>-628.6590386803922</v>
      </c>
      <c r="AI21" s="642">
        <v>0</v>
      </c>
      <c r="AJ21" s="642">
        <v>4.7499999999999991</v>
      </c>
      <c r="AK21" s="650">
        <v>648.29928421394618</v>
      </c>
    </row>
    <row r="22" spans="3:37" ht="13.5">
      <c r="C22" s="648" t="s">
        <v>351</v>
      </c>
      <c r="D22" s="642">
        <v>0</v>
      </c>
      <c r="E22" s="642">
        <v>0</v>
      </c>
      <c r="F22" s="642">
        <v>0</v>
      </c>
      <c r="G22" s="642">
        <v>14.973464488470796</v>
      </c>
      <c r="H22" s="642">
        <v>0</v>
      </c>
      <c r="I22" s="642">
        <v>0</v>
      </c>
      <c r="J22" s="651">
        <v>12.61885930635281</v>
      </c>
      <c r="K22" s="651">
        <v>11.992989190910333</v>
      </c>
      <c r="L22" s="651">
        <v>0</v>
      </c>
      <c r="M22" s="651">
        <v>0.32007470171399477</v>
      </c>
      <c r="N22" s="651">
        <v>0</v>
      </c>
      <c r="O22" s="651">
        <v>2.1221335576886813</v>
      </c>
      <c r="P22" s="642">
        <v>0</v>
      </c>
      <c r="Q22" s="642">
        <v>-38.122859170635891</v>
      </c>
      <c r="R22" s="642">
        <v>0</v>
      </c>
      <c r="S22" s="650">
        <v>3.9046620745007217</v>
      </c>
      <c r="U22" s="648" t="s">
        <v>351</v>
      </c>
      <c r="V22" s="642">
        <v>0</v>
      </c>
      <c r="W22" s="642">
        <v>0</v>
      </c>
      <c r="X22" s="642">
        <v>0</v>
      </c>
      <c r="Y22" s="642">
        <v>11.236128743190402</v>
      </c>
      <c r="Z22" s="642">
        <v>0</v>
      </c>
      <c r="AA22" s="642">
        <v>0</v>
      </c>
      <c r="AB22" s="651">
        <v>28.835017835425074</v>
      </c>
      <c r="AC22" s="651">
        <v>26.276566272731909</v>
      </c>
      <c r="AD22" s="651">
        <v>0</v>
      </c>
      <c r="AE22" s="651">
        <v>4.8299775408676195</v>
      </c>
      <c r="AF22" s="651">
        <v>0</v>
      </c>
      <c r="AG22" s="651">
        <v>10.71495831218258</v>
      </c>
      <c r="AH22" s="642">
        <v>0</v>
      </c>
      <c r="AI22" s="642">
        <v>-75.331063655699538</v>
      </c>
      <c r="AJ22" s="642">
        <v>0</v>
      </c>
      <c r="AK22" s="650">
        <v>6.561585048698058</v>
      </c>
    </row>
    <row r="23" spans="3:37" ht="13.5">
      <c r="C23" s="648" t="s">
        <v>352</v>
      </c>
      <c r="D23" s="642">
        <v>0</v>
      </c>
      <c r="E23" s="642">
        <v>0</v>
      </c>
      <c r="F23" s="642">
        <v>0</v>
      </c>
      <c r="G23" s="642">
        <v>0</v>
      </c>
      <c r="H23" s="642">
        <v>0</v>
      </c>
      <c r="I23" s="642">
        <v>0</v>
      </c>
      <c r="J23" s="652">
        <v>7.1836152532588793</v>
      </c>
      <c r="K23" s="652">
        <v>0</v>
      </c>
      <c r="L23" s="652">
        <v>0</v>
      </c>
      <c r="M23" s="652">
        <v>-6.5550489185987271</v>
      </c>
      <c r="N23" s="652">
        <v>0</v>
      </c>
      <c r="O23" s="652">
        <v>0</v>
      </c>
      <c r="P23" s="642">
        <v>0</v>
      </c>
      <c r="Q23" s="642">
        <v>0</v>
      </c>
      <c r="R23" s="642">
        <v>0</v>
      </c>
      <c r="S23" s="650">
        <v>0.62856633466015222</v>
      </c>
      <c r="U23" s="648" t="s">
        <v>352</v>
      </c>
      <c r="V23" s="642">
        <v>0</v>
      </c>
      <c r="W23" s="642">
        <v>0</v>
      </c>
      <c r="X23" s="642">
        <v>0</v>
      </c>
      <c r="Y23" s="642">
        <v>0</v>
      </c>
      <c r="Z23" s="642">
        <v>0</v>
      </c>
      <c r="AA23" s="642">
        <v>0</v>
      </c>
      <c r="AB23" s="652">
        <v>63.436450079223192</v>
      </c>
      <c r="AC23" s="652">
        <v>0</v>
      </c>
      <c r="AD23" s="652">
        <v>0</v>
      </c>
      <c r="AE23" s="652">
        <v>-57.885760697291161</v>
      </c>
      <c r="AF23" s="652">
        <v>0</v>
      </c>
      <c r="AG23" s="652">
        <v>0</v>
      </c>
      <c r="AH23" s="642">
        <v>0</v>
      </c>
      <c r="AI23" s="642">
        <v>0</v>
      </c>
      <c r="AJ23" s="642">
        <v>0</v>
      </c>
      <c r="AK23" s="650">
        <v>5.5506893819320311</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522.28962186433523</v>
      </c>
      <c r="F25" s="642">
        <v>-517.06672564569192</v>
      </c>
      <c r="G25" s="642">
        <v>0</v>
      </c>
      <c r="H25" s="642">
        <v>0</v>
      </c>
      <c r="I25" s="642">
        <v>0</v>
      </c>
      <c r="J25" s="642">
        <v>0</v>
      </c>
      <c r="K25" s="642">
        <v>0</v>
      </c>
      <c r="L25" s="642">
        <v>0</v>
      </c>
      <c r="M25" s="642">
        <v>0</v>
      </c>
      <c r="N25" s="642">
        <v>0</v>
      </c>
      <c r="O25" s="642">
        <v>0</v>
      </c>
      <c r="P25" s="642">
        <v>0</v>
      </c>
      <c r="Q25" s="642">
        <v>0</v>
      </c>
      <c r="R25" s="642">
        <v>0</v>
      </c>
      <c r="S25" s="650">
        <v>5.2228962186433137</v>
      </c>
      <c r="U25" s="648" t="s">
        <v>72</v>
      </c>
      <c r="V25" s="642">
        <v>0</v>
      </c>
      <c r="W25" s="642">
        <v>275.84091609698424</v>
      </c>
      <c r="X25" s="642">
        <v>-273.0825069360144</v>
      </c>
      <c r="Y25" s="642">
        <v>0</v>
      </c>
      <c r="Z25" s="642">
        <v>0</v>
      </c>
      <c r="AA25" s="642">
        <v>0</v>
      </c>
      <c r="AB25" s="642">
        <v>0</v>
      </c>
      <c r="AC25" s="642">
        <v>0</v>
      </c>
      <c r="AD25" s="642">
        <v>0</v>
      </c>
      <c r="AE25" s="642">
        <v>0</v>
      </c>
      <c r="AF25" s="642">
        <v>0</v>
      </c>
      <c r="AG25" s="642">
        <v>0</v>
      </c>
      <c r="AH25" s="642">
        <v>0</v>
      </c>
      <c r="AI25" s="642">
        <v>0</v>
      </c>
      <c r="AJ25" s="642">
        <v>0</v>
      </c>
      <c r="AK25" s="650">
        <v>2.7584091609698476</v>
      </c>
    </row>
    <row r="26" spans="3:37" ht="13.5">
      <c r="C26" s="648" t="s">
        <v>354</v>
      </c>
      <c r="D26" s="642">
        <v>0</v>
      </c>
      <c r="E26" s="642">
        <v>0</v>
      </c>
      <c r="F26" s="642">
        <v>0</v>
      </c>
      <c r="G26" s="642">
        <v>0</v>
      </c>
      <c r="H26" s="642">
        <v>0</v>
      </c>
      <c r="I26" s="642">
        <v>0</v>
      </c>
      <c r="J26" s="642">
        <v>28.942309114060045</v>
      </c>
      <c r="K26" s="642">
        <v>0</v>
      </c>
      <c r="L26" s="642">
        <v>-28.942309114060045</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-101.68735143023177</v>
      </c>
      <c r="AE26" s="642">
        <v>0</v>
      </c>
      <c r="AF26" s="642">
        <v>0</v>
      </c>
      <c r="AG26" s="642">
        <v>0</v>
      </c>
      <c r="AH26" s="642">
        <v>0</v>
      </c>
      <c r="AI26" s="642">
        <v>0</v>
      </c>
      <c r="AJ26" s="642">
        <v>0</v>
      </c>
      <c r="AK26" s="650">
        <v>-101.68735143023177</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-20.330518764117095</v>
      </c>
      <c r="AE27" s="642">
        <v>0</v>
      </c>
      <c r="AF27" s="642">
        <v>0</v>
      </c>
      <c r="AG27" s="642">
        <v>0</v>
      </c>
      <c r="AH27" s="642">
        <v>0</v>
      </c>
      <c r="AI27" s="642">
        <v>0</v>
      </c>
      <c r="AJ27" s="642">
        <v>0</v>
      </c>
      <c r="AK27" s="650">
        <v>-20.330518764117095</v>
      </c>
    </row>
    <row r="28" spans="3:37" ht="13.5">
      <c r="C28" s="648" t="s">
        <v>73</v>
      </c>
      <c r="D28" s="642">
        <v>0</v>
      </c>
      <c r="E28" s="642">
        <v>0</v>
      </c>
      <c r="F28" s="642">
        <v>0</v>
      </c>
      <c r="G28" s="642">
        <v>5.1012543356530031</v>
      </c>
      <c r="H28" s="642">
        <v>0</v>
      </c>
      <c r="I28" s="642">
        <v>0</v>
      </c>
      <c r="J28" s="642">
        <v>0</v>
      </c>
      <c r="K28" s="642">
        <v>5.8487208617897309E-2</v>
      </c>
      <c r="L28" s="642">
        <v>0</v>
      </c>
      <c r="M28" s="642">
        <v>0.10410723133985722</v>
      </c>
      <c r="N28" s="642">
        <v>0</v>
      </c>
      <c r="O28" s="642">
        <v>0</v>
      </c>
      <c r="P28" s="642">
        <v>0.59767950412449788</v>
      </c>
      <c r="Q28" s="642">
        <v>0</v>
      </c>
      <c r="R28" s="642">
        <v>-4.094104603252811</v>
      </c>
      <c r="S28" s="650">
        <v>1.7674236764824451</v>
      </c>
      <c r="U28" s="648" t="s">
        <v>73</v>
      </c>
      <c r="V28" s="642">
        <v>0</v>
      </c>
      <c r="W28" s="642">
        <v>0</v>
      </c>
      <c r="X28" s="642">
        <v>0</v>
      </c>
      <c r="Y28" s="642">
        <v>5.6948243223481816</v>
      </c>
      <c r="Z28" s="642">
        <v>0</v>
      </c>
      <c r="AA28" s="642">
        <v>0</v>
      </c>
      <c r="AB28" s="642">
        <v>0</v>
      </c>
      <c r="AC28" s="642">
        <v>0.40677316588201312</v>
      </c>
      <c r="AD28" s="642">
        <v>0</v>
      </c>
      <c r="AE28" s="642">
        <v>2.440638995292078</v>
      </c>
      <c r="AF28" s="642">
        <v>0</v>
      </c>
      <c r="AG28" s="642">
        <v>0</v>
      </c>
      <c r="AH28" s="642">
        <v>32.838767990182951</v>
      </c>
      <c r="AI28" s="642">
        <v>0</v>
      </c>
      <c r="AJ28" s="642">
        <v>-28.474121611740912</v>
      </c>
      <c r="AK28" s="650">
        <v>12.906882861964313</v>
      </c>
    </row>
    <row r="29" spans="3:37" ht="13.5">
      <c r="C29" s="648" t="s">
        <v>356</v>
      </c>
      <c r="D29" s="642">
        <v>28.616489999999999</v>
      </c>
      <c r="E29" s="642">
        <v>-18.09733539759922</v>
      </c>
      <c r="F29" s="642">
        <v>23.670245777269074</v>
      </c>
      <c r="G29" s="642">
        <v>0</v>
      </c>
      <c r="H29" s="642">
        <v>0</v>
      </c>
      <c r="I29" s="642">
        <v>0</v>
      </c>
      <c r="J29" s="642">
        <v>0</v>
      </c>
      <c r="K29" s="642">
        <v>0</v>
      </c>
      <c r="L29" s="642">
        <v>0</v>
      </c>
      <c r="M29" s="642">
        <v>0</v>
      </c>
      <c r="N29" s="642">
        <v>0</v>
      </c>
      <c r="O29" s="642">
        <v>0</v>
      </c>
      <c r="P29" s="642">
        <v>0</v>
      </c>
      <c r="Q29" s="642">
        <v>0</v>
      </c>
      <c r="R29" s="642">
        <v>0</v>
      </c>
      <c r="S29" s="650">
        <v>34.189400379669848</v>
      </c>
      <c r="U29" s="648" t="s">
        <v>356</v>
      </c>
      <c r="V29" s="642">
        <v>2.3505202026367185</v>
      </c>
      <c r="W29" s="642">
        <v>-9.5578877427605047</v>
      </c>
      <c r="X29" s="642">
        <v>12.501152628950074</v>
      </c>
      <c r="Y29" s="642">
        <v>0</v>
      </c>
      <c r="Z29" s="642">
        <v>0</v>
      </c>
      <c r="AA29" s="642">
        <v>0</v>
      </c>
      <c r="AB29" s="642">
        <v>0</v>
      </c>
      <c r="AC29" s="642">
        <v>0</v>
      </c>
      <c r="AD29" s="642">
        <v>0</v>
      </c>
      <c r="AE29" s="642">
        <v>0</v>
      </c>
      <c r="AF29" s="642">
        <v>0</v>
      </c>
      <c r="AG29" s="642">
        <v>0</v>
      </c>
      <c r="AH29" s="642">
        <v>0</v>
      </c>
      <c r="AI29" s="642">
        <v>0</v>
      </c>
      <c r="AJ29" s="642">
        <v>0</v>
      </c>
      <c r="AK29" s="650">
        <v>5.2937850888262874</v>
      </c>
    </row>
    <row r="30" spans="3:37" ht="13.5">
      <c r="C30" s="648" t="s">
        <v>75</v>
      </c>
      <c r="D30" s="642">
        <v>11.128635000000001</v>
      </c>
      <c r="E30" s="642">
        <v>0</v>
      </c>
      <c r="F30" s="642">
        <v>17.757847143387398</v>
      </c>
      <c r="G30" s="642">
        <v>5.0672539113277812</v>
      </c>
      <c r="H30" s="642">
        <v>0</v>
      </c>
      <c r="I30" s="642">
        <v>0</v>
      </c>
      <c r="J30" s="642">
        <v>0</v>
      </c>
      <c r="K30" s="642">
        <v>0</v>
      </c>
      <c r="L30" s="642">
        <v>0</v>
      </c>
      <c r="M30" s="642">
        <v>0.1034133451291384</v>
      </c>
      <c r="N30" s="642">
        <v>0</v>
      </c>
      <c r="O30" s="642">
        <v>0</v>
      </c>
      <c r="P30" s="642">
        <v>30.750377055945027</v>
      </c>
      <c r="Q30" s="642">
        <v>0</v>
      </c>
      <c r="R30" s="642">
        <v>0</v>
      </c>
      <c r="S30" s="650">
        <v>64.807526455789343</v>
      </c>
      <c r="U30" s="648" t="s">
        <v>75</v>
      </c>
      <c r="V30" s="642">
        <v>3.4784289550781251</v>
      </c>
      <c r="W30" s="642">
        <v>0</v>
      </c>
      <c r="X30" s="642">
        <v>17.757847143387398</v>
      </c>
      <c r="Y30" s="642">
        <v>3.6194670795198434</v>
      </c>
      <c r="Z30" s="642">
        <v>0</v>
      </c>
      <c r="AA30" s="642">
        <v>0</v>
      </c>
      <c r="AB30" s="642">
        <v>0</v>
      </c>
      <c r="AC30" s="642">
        <v>0</v>
      </c>
      <c r="AD30" s="642">
        <v>0</v>
      </c>
      <c r="AE30" s="642">
        <v>1.5512001769370758</v>
      </c>
      <c r="AF30" s="642">
        <v>0</v>
      </c>
      <c r="AG30" s="642">
        <v>0</v>
      </c>
      <c r="AH30" s="642">
        <v>36.42264978321775</v>
      </c>
      <c r="AI30" s="642">
        <v>0</v>
      </c>
      <c r="AJ30" s="642">
        <v>0</v>
      </c>
      <c r="AK30" s="650">
        <v>62.829593138140197</v>
      </c>
    </row>
    <row r="31" spans="3:37" ht="13.5">
      <c r="C31" s="648" t="s">
        <v>76</v>
      </c>
      <c r="D31" s="642">
        <v>0</v>
      </c>
      <c r="E31" s="642">
        <v>0</v>
      </c>
      <c r="F31" s="642">
        <v>0</v>
      </c>
      <c r="G31" s="642">
        <v>3.8086647866957031</v>
      </c>
      <c r="H31" s="642">
        <v>0</v>
      </c>
      <c r="I31" s="642">
        <v>0</v>
      </c>
      <c r="J31" s="642">
        <v>0</v>
      </c>
      <c r="K31" s="642">
        <v>0</v>
      </c>
      <c r="L31" s="642">
        <v>0</v>
      </c>
      <c r="M31" s="642">
        <v>7.7727852789708229E-2</v>
      </c>
      <c r="N31" s="642">
        <v>0</v>
      </c>
      <c r="O31" s="642">
        <v>0</v>
      </c>
      <c r="P31" s="642">
        <v>44.547532005203358</v>
      </c>
      <c r="Q31" s="642">
        <v>2.958822517532107</v>
      </c>
      <c r="R31" s="642">
        <v>0</v>
      </c>
      <c r="S31" s="650">
        <v>51.392747162220878</v>
      </c>
      <c r="U31" s="648" t="s">
        <v>76</v>
      </c>
      <c r="V31" s="642">
        <v>0</v>
      </c>
      <c r="W31" s="642">
        <v>0</v>
      </c>
      <c r="X31" s="642">
        <v>0</v>
      </c>
      <c r="Y31" s="642">
        <v>1.6015823117827594</v>
      </c>
      <c r="Z31" s="642">
        <v>0</v>
      </c>
      <c r="AA31" s="642">
        <v>0</v>
      </c>
      <c r="AB31" s="642">
        <v>0</v>
      </c>
      <c r="AC31" s="642">
        <v>0</v>
      </c>
      <c r="AD31" s="642">
        <v>0</v>
      </c>
      <c r="AE31" s="642">
        <v>0.68639241933546835</v>
      </c>
      <c r="AF31" s="642">
        <v>0</v>
      </c>
      <c r="AG31" s="642">
        <v>0</v>
      </c>
      <c r="AH31" s="642">
        <v>47.148943407633553</v>
      </c>
      <c r="AI31" s="642">
        <v>5.8421151160056723</v>
      </c>
      <c r="AJ31" s="642">
        <v>0</v>
      </c>
      <c r="AK31" s="650">
        <v>55.279033254757444</v>
      </c>
    </row>
    <row r="32" spans="3:37" ht="13.5">
      <c r="C32" s="646" t="s">
        <v>77</v>
      </c>
      <c r="D32" s="647">
        <v>42.571910641025248</v>
      </c>
      <c r="E32" s="647">
        <v>504.19228646673599</v>
      </c>
      <c r="F32" s="647">
        <v>-468.11692594020946</v>
      </c>
      <c r="G32" s="647">
        <v>45.994115783016845</v>
      </c>
      <c r="H32" s="647">
        <v>959.09090909090924</v>
      </c>
      <c r="I32" s="647">
        <v>265.54666314840352</v>
      </c>
      <c r="J32" s="647">
        <v>78.402106423532217</v>
      </c>
      <c r="K32" s="647">
        <v>19.049948129928421</v>
      </c>
      <c r="L32" s="647">
        <v>-26.034244563334241</v>
      </c>
      <c r="M32" s="647">
        <v>-5.4765606138084015</v>
      </c>
      <c r="N32" s="647">
        <v>0</v>
      </c>
      <c r="O32" s="647">
        <v>9.0263438420589424</v>
      </c>
      <c r="P32" s="647">
        <v>-537.24345011511946</v>
      </c>
      <c r="Q32" s="647">
        <v>-35.164036653103786</v>
      </c>
      <c r="R32" s="647">
        <v>-4.094104603252811</v>
      </c>
      <c r="S32" s="647">
        <v>847.74496103678234</v>
      </c>
      <c r="U32" s="646" t="s">
        <v>77</v>
      </c>
      <c r="V32" s="647">
        <v>6.4552640631735336</v>
      </c>
      <c r="W32" s="647">
        <v>266.28302835422375</v>
      </c>
      <c r="X32" s="647">
        <v>-239.16543674248729</v>
      </c>
      <c r="Y32" s="647">
        <v>28.3606981090151</v>
      </c>
      <c r="Z32" s="647">
        <v>919.39393939393949</v>
      </c>
      <c r="AA32" s="647">
        <v>300.16666314840353</v>
      </c>
      <c r="AB32" s="647">
        <v>116.13241178058709</v>
      </c>
      <c r="AC32" s="647">
        <v>32.378551458673563</v>
      </c>
      <c r="AD32" s="647">
        <v>-119.10980564362306</v>
      </c>
      <c r="AE32" s="647">
        <v>-45.591342912780426</v>
      </c>
      <c r="AF32" s="647">
        <v>0</v>
      </c>
      <c r="AG32" s="647">
        <v>17.619168596552839</v>
      </c>
      <c r="AH32" s="647">
        <v>-512.24867749935788</v>
      </c>
      <c r="AI32" s="647">
        <v>-69.488948539693865</v>
      </c>
      <c r="AJ32" s="647">
        <v>-23.724121611740912</v>
      </c>
      <c r="AK32" s="647">
        <v>677.46139195488558</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5.4657298257742912</v>
      </c>
      <c r="E34" s="642">
        <v>0</v>
      </c>
      <c r="F34" s="642">
        <v>21.83935294215906</v>
      </c>
      <c r="G34" s="642">
        <v>97.960240418883188</v>
      </c>
      <c r="H34" s="642">
        <v>0</v>
      </c>
      <c r="I34" s="642">
        <v>0</v>
      </c>
      <c r="J34" s="642">
        <v>20.699069714826329</v>
      </c>
      <c r="K34" s="642">
        <v>1.7608774311708451</v>
      </c>
      <c r="L34" s="642">
        <v>0.9136629082031249</v>
      </c>
      <c r="M34" s="642">
        <v>2.0177626304462204</v>
      </c>
      <c r="N34" s="642">
        <v>0</v>
      </c>
      <c r="O34" s="642">
        <v>3.7866244598879411E-4</v>
      </c>
      <c r="P34" s="642">
        <v>111.48933548215857</v>
      </c>
      <c r="Q34" s="642">
        <v>16.083775404791947</v>
      </c>
      <c r="R34" s="642">
        <v>0.29766925048828125</v>
      </c>
      <c r="S34" s="650">
        <v>278.52785467134788</v>
      </c>
      <c r="U34" s="648" t="s">
        <v>78</v>
      </c>
      <c r="V34" s="642">
        <v>1.0762581410403587</v>
      </c>
      <c r="W34" s="642">
        <v>0</v>
      </c>
      <c r="X34" s="642">
        <v>8.4892491154216376</v>
      </c>
      <c r="Y34" s="642">
        <v>50.497915430959594</v>
      </c>
      <c r="Z34" s="642">
        <v>0</v>
      </c>
      <c r="AA34" s="642">
        <v>0</v>
      </c>
      <c r="AB34" s="642">
        <v>15.594949526554588</v>
      </c>
      <c r="AC34" s="642">
        <v>5.2865944994228578</v>
      </c>
      <c r="AD34" s="642">
        <v>4.3757583007812499</v>
      </c>
      <c r="AE34" s="642">
        <v>21.660537806594554</v>
      </c>
      <c r="AF34" s="642">
        <v>0</v>
      </c>
      <c r="AG34" s="642">
        <v>3.7866244598879411E-4</v>
      </c>
      <c r="AH34" s="642">
        <v>141.44668524271188</v>
      </c>
      <c r="AI34" s="642">
        <v>22.79177635880415</v>
      </c>
      <c r="AJ34" s="642">
        <v>6.850041015625</v>
      </c>
      <c r="AK34" s="650">
        <v>278.07014410036186</v>
      </c>
    </row>
    <row r="35" spans="3:37" ht="13.5">
      <c r="C35" s="648" t="s">
        <v>79</v>
      </c>
      <c r="D35" s="642">
        <v>0</v>
      </c>
      <c r="E35" s="642">
        <v>0</v>
      </c>
      <c r="F35" s="642">
        <v>249.23385066161848</v>
      </c>
      <c r="G35" s="642">
        <v>29.852237297635437</v>
      </c>
      <c r="H35" s="642">
        <v>0</v>
      </c>
      <c r="I35" s="642">
        <v>0</v>
      </c>
      <c r="J35" s="642">
        <v>0</v>
      </c>
      <c r="K35" s="642">
        <v>0</v>
      </c>
      <c r="L35" s="642">
        <v>24.125777410294155</v>
      </c>
      <c r="M35" s="642">
        <v>0.60922933260480494</v>
      </c>
      <c r="N35" s="642">
        <v>0</v>
      </c>
      <c r="O35" s="642">
        <v>0</v>
      </c>
      <c r="P35" s="642">
        <v>62.086065361885787</v>
      </c>
      <c r="Q35" s="642">
        <v>0</v>
      </c>
      <c r="R35" s="642">
        <v>1.9828379826970517</v>
      </c>
      <c r="S35" s="650">
        <v>367.88999804673568</v>
      </c>
      <c r="U35" s="648" t="s">
        <v>79</v>
      </c>
      <c r="V35" s="642">
        <v>0</v>
      </c>
      <c r="W35" s="642">
        <v>0</v>
      </c>
      <c r="X35" s="642">
        <v>59.317364570862594</v>
      </c>
      <c r="Y35" s="642">
        <v>17.942066440325025</v>
      </c>
      <c r="Z35" s="642">
        <v>0</v>
      </c>
      <c r="AA35" s="642">
        <v>0</v>
      </c>
      <c r="AB35" s="642">
        <v>0</v>
      </c>
      <c r="AC35" s="642">
        <v>0</v>
      </c>
      <c r="AD35" s="642">
        <v>51.332808735857633</v>
      </c>
      <c r="AE35" s="642">
        <v>7.6894570458535831</v>
      </c>
      <c r="AF35" s="642">
        <v>0</v>
      </c>
      <c r="AG35" s="642">
        <v>0</v>
      </c>
      <c r="AH35" s="642">
        <v>82.201296258535137</v>
      </c>
      <c r="AI35" s="642">
        <v>0</v>
      </c>
      <c r="AJ35" s="642">
        <v>4.6183032107255606</v>
      </c>
      <c r="AK35" s="650">
        <v>223.10129626215951</v>
      </c>
    </row>
    <row r="36" spans="3:37" ht="13.5">
      <c r="C36" s="648" t="s">
        <v>80</v>
      </c>
      <c r="D36" s="642">
        <v>0</v>
      </c>
      <c r="E36" s="642">
        <v>0</v>
      </c>
      <c r="F36" s="642">
        <v>17.698191750553285</v>
      </c>
      <c r="G36" s="642">
        <v>82.8316536533641</v>
      </c>
      <c r="H36" s="642">
        <v>0</v>
      </c>
      <c r="I36" s="642">
        <v>0</v>
      </c>
      <c r="J36" s="642">
        <v>87.012401530952616</v>
      </c>
      <c r="K36" s="642">
        <v>0</v>
      </c>
      <c r="L36" s="642">
        <v>0</v>
      </c>
      <c r="M36" s="642">
        <v>1.690441911293145</v>
      </c>
      <c r="N36" s="642">
        <v>54.219025663639314</v>
      </c>
      <c r="O36" s="642">
        <v>2.0231633432731213</v>
      </c>
      <c r="P36" s="642">
        <v>187.24843332836184</v>
      </c>
      <c r="Q36" s="642">
        <v>15.504434202631401</v>
      </c>
      <c r="R36" s="642">
        <v>0</v>
      </c>
      <c r="S36" s="650">
        <v>448.22774538406884</v>
      </c>
      <c r="U36" s="648" t="s">
        <v>80</v>
      </c>
      <c r="V36" s="642">
        <v>0</v>
      </c>
      <c r="W36" s="642">
        <v>0</v>
      </c>
      <c r="X36" s="642">
        <v>1.0833932718176746</v>
      </c>
      <c r="Y36" s="642">
        <v>18.084176496701136</v>
      </c>
      <c r="Z36" s="642">
        <v>0</v>
      </c>
      <c r="AA36" s="642">
        <v>0</v>
      </c>
      <c r="AB36" s="642">
        <v>57.868484646152382</v>
      </c>
      <c r="AC36" s="642">
        <v>0</v>
      </c>
      <c r="AD36" s="642">
        <v>0</v>
      </c>
      <c r="AE36" s="642">
        <v>7.7503613557290594</v>
      </c>
      <c r="AF36" s="642">
        <v>78.313096165620991</v>
      </c>
      <c r="AG36" s="642">
        <v>3.4573890525731583</v>
      </c>
      <c r="AH36" s="642">
        <v>150.63566760387405</v>
      </c>
      <c r="AI36" s="642">
        <v>34.942034151478268</v>
      </c>
      <c r="AJ36" s="642">
        <v>0</v>
      </c>
      <c r="AK36" s="650">
        <v>352.13460274394669</v>
      </c>
    </row>
    <row r="37" spans="3:37" ht="13.5">
      <c r="C37" s="648" t="s">
        <v>81</v>
      </c>
      <c r="D37" s="642">
        <v>0</v>
      </c>
      <c r="E37" s="642">
        <v>0</v>
      </c>
      <c r="F37" s="642">
        <v>5.759525486283259</v>
      </c>
      <c r="G37" s="642">
        <v>63.242535904869413</v>
      </c>
      <c r="H37" s="642">
        <v>0</v>
      </c>
      <c r="I37" s="642">
        <v>0</v>
      </c>
      <c r="J37" s="642">
        <v>3.243340348024236</v>
      </c>
      <c r="K37" s="642">
        <v>2.5138060257677737E-2</v>
      </c>
      <c r="L37" s="642">
        <v>0</v>
      </c>
      <c r="M37" s="642">
        <v>1.2906639980585595</v>
      </c>
      <c r="N37" s="642">
        <v>8.6788063603893928</v>
      </c>
      <c r="O37" s="642">
        <v>0.74318365128395913</v>
      </c>
      <c r="P37" s="642">
        <v>138.68432478978596</v>
      </c>
      <c r="Q37" s="642">
        <v>3.5758270456804375</v>
      </c>
      <c r="R37" s="642">
        <v>0</v>
      </c>
      <c r="S37" s="650">
        <v>225.24334564463288</v>
      </c>
      <c r="U37" s="648" t="s">
        <v>81</v>
      </c>
      <c r="V37" s="642">
        <v>0</v>
      </c>
      <c r="W37" s="642">
        <v>0</v>
      </c>
      <c r="X37" s="642">
        <v>1.8996820773870462</v>
      </c>
      <c r="Y37" s="642">
        <v>16.701006494583829</v>
      </c>
      <c r="Z37" s="642">
        <v>0</v>
      </c>
      <c r="AA37" s="642">
        <v>0</v>
      </c>
      <c r="AB37" s="642">
        <v>7.1959049572050198</v>
      </c>
      <c r="AC37" s="642">
        <v>2.5138060257677737E-2</v>
      </c>
      <c r="AD37" s="642">
        <v>0</v>
      </c>
      <c r="AE37" s="642">
        <v>7.1575742119644987</v>
      </c>
      <c r="AF37" s="642">
        <v>14.587904232604497</v>
      </c>
      <c r="AG37" s="642">
        <v>1.6018484399661996</v>
      </c>
      <c r="AH37" s="642">
        <v>116.46951239557291</v>
      </c>
      <c r="AI37" s="642">
        <v>11.755138029411436</v>
      </c>
      <c r="AJ37" s="642">
        <v>0</v>
      </c>
      <c r="AK37" s="650">
        <v>177.39370889895312</v>
      </c>
    </row>
    <row r="38" spans="3:37" ht="13.5">
      <c r="C38" s="648" t="s">
        <v>82</v>
      </c>
      <c r="D38" s="642">
        <v>0</v>
      </c>
      <c r="E38" s="642">
        <v>0</v>
      </c>
      <c r="F38" s="642">
        <v>29.471786733039881</v>
      </c>
      <c r="G38" s="642">
        <v>1.3166139535686423</v>
      </c>
      <c r="H38" s="642">
        <v>0</v>
      </c>
      <c r="I38" s="642">
        <v>0</v>
      </c>
      <c r="J38" s="642">
        <v>3.6844952632387193</v>
      </c>
      <c r="K38" s="642">
        <v>0</v>
      </c>
      <c r="L38" s="642">
        <v>3.0029030850571363</v>
      </c>
      <c r="M38" s="642">
        <v>2.6869672521809031E-2</v>
      </c>
      <c r="N38" s="642">
        <v>0</v>
      </c>
      <c r="O38" s="642">
        <v>7.2392521047915395E-2</v>
      </c>
      <c r="P38" s="642">
        <v>6.3643203530837074</v>
      </c>
      <c r="Q38" s="642">
        <v>0</v>
      </c>
      <c r="R38" s="642">
        <v>0</v>
      </c>
      <c r="S38" s="650">
        <v>43.939381581557811</v>
      </c>
      <c r="U38" s="648" t="s">
        <v>82</v>
      </c>
      <c r="V38" s="642">
        <v>0</v>
      </c>
      <c r="W38" s="642">
        <v>0</v>
      </c>
      <c r="X38" s="642">
        <v>10.199143313422546</v>
      </c>
      <c r="Y38" s="642">
        <v>1.1904851448286324</v>
      </c>
      <c r="Z38" s="642">
        <v>0</v>
      </c>
      <c r="AA38" s="642">
        <v>0</v>
      </c>
      <c r="AB38" s="642">
        <v>3.6844952632387193</v>
      </c>
      <c r="AC38" s="642">
        <v>0</v>
      </c>
      <c r="AD38" s="642">
        <v>26.674568203776872</v>
      </c>
      <c r="AE38" s="642">
        <v>0.51020791921227104</v>
      </c>
      <c r="AF38" s="642">
        <v>0</v>
      </c>
      <c r="AG38" s="642">
        <v>1.300620381405156</v>
      </c>
      <c r="AH38" s="642">
        <v>6.4632626546266092</v>
      </c>
      <c r="AI38" s="642">
        <v>0</v>
      </c>
      <c r="AJ38" s="642">
        <v>0.325155095351289</v>
      </c>
      <c r="AK38" s="650">
        <v>50.347937975862088</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0.31499999999999995</v>
      </c>
      <c r="Q39" s="642">
        <v>0</v>
      </c>
      <c r="R39" s="642">
        <v>0</v>
      </c>
      <c r="S39" s="650">
        <v>0.31499999999999995</v>
      </c>
      <c r="U39" s="648" t="s">
        <v>357</v>
      </c>
      <c r="V39" s="642">
        <v>0</v>
      </c>
      <c r="W39" s="642">
        <v>0</v>
      </c>
      <c r="X39" s="642">
        <v>0</v>
      </c>
      <c r="Y39" s="642">
        <v>0</v>
      </c>
      <c r="Z39" s="642">
        <v>0</v>
      </c>
      <c r="AA39" s="642">
        <v>0</v>
      </c>
      <c r="AB39" s="642">
        <v>0</v>
      </c>
      <c r="AC39" s="642">
        <v>0</v>
      </c>
      <c r="AD39" s="642">
        <v>0</v>
      </c>
      <c r="AE39" s="642">
        <v>0</v>
      </c>
      <c r="AF39" s="642">
        <v>0</v>
      </c>
      <c r="AG39" s="642">
        <v>0</v>
      </c>
      <c r="AH39" s="642">
        <v>2.4</v>
      </c>
      <c r="AI39" s="642">
        <v>0</v>
      </c>
      <c r="AJ39" s="642">
        <v>0</v>
      </c>
      <c r="AK39" s="650">
        <v>2.4</v>
      </c>
    </row>
    <row r="40" spans="3:37" ht="13.5">
      <c r="C40" s="646" t="s">
        <v>83</v>
      </c>
      <c r="D40" s="647">
        <v>5.4657298257742912</v>
      </c>
      <c r="E40" s="647">
        <v>0</v>
      </c>
      <c r="F40" s="647">
        <v>324.00270757365394</v>
      </c>
      <c r="G40" s="647">
        <v>275.2032812283208</v>
      </c>
      <c r="H40" s="647">
        <v>0</v>
      </c>
      <c r="I40" s="647">
        <v>0</v>
      </c>
      <c r="J40" s="647">
        <v>114.6393068570419</v>
      </c>
      <c r="K40" s="647">
        <v>1.7860154914285227</v>
      </c>
      <c r="L40" s="647">
        <v>28.042343403554419</v>
      </c>
      <c r="M40" s="647">
        <v>5.6349675449245389</v>
      </c>
      <c r="N40" s="647">
        <v>62.897832024028709</v>
      </c>
      <c r="O40" s="647">
        <v>2.8391181780509842</v>
      </c>
      <c r="P40" s="647">
        <v>506.18747931527582</v>
      </c>
      <c r="Q40" s="647">
        <v>35.164036653103793</v>
      </c>
      <c r="R40" s="647">
        <v>2.2805072331853329</v>
      </c>
      <c r="S40" s="647">
        <v>1364.1433253283431</v>
      </c>
      <c r="U40" s="646" t="s">
        <v>83</v>
      </c>
      <c r="V40" s="647">
        <v>1.0762581410403587</v>
      </c>
      <c r="W40" s="647">
        <v>0</v>
      </c>
      <c r="X40" s="647">
        <v>80.988832348911515</v>
      </c>
      <c r="Y40" s="647">
        <v>104.41565000739821</v>
      </c>
      <c r="Z40" s="647">
        <v>0</v>
      </c>
      <c r="AA40" s="647">
        <v>0</v>
      </c>
      <c r="AB40" s="647">
        <v>84.343834393150701</v>
      </c>
      <c r="AC40" s="647">
        <v>5.3117325596805349</v>
      </c>
      <c r="AD40" s="647">
        <v>82.383135240415754</v>
      </c>
      <c r="AE40" s="647">
        <v>44.768138339353968</v>
      </c>
      <c r="AF40" s="647">
        <v>92.901000398225491</v>
      </c>
      <c r="AG40" s="647">
        <v>6.3602365363905022</v>
      </c>
      <c r="AH40" s="647">
        <v>499.61642415532054</v>
      </c>
      <c r="AI40" s="647">
        <v>69.488948539693865</v>
      </c>
      <c r="AJ40" s="647">
        <v>11.793499321701848</v>
      </c>
      <c r="AK40" s="647">
        <v>1083.4476899812832</v>
      </c>
    </row>
    <row r="41" spans="3:37" ht="13.5">
      <c r="C41" s="641" t="s">
        <v>84</v>
      </c>
      <c r="D41" s="642">
        <v>0</v>
      </c>
      <c r="E41" s="642">
        <v>0</v>
      </c>
      <c r="F41" s="642">
        <v>109.69308299672531</v>
      </c>
      <c r="G41" s="642">
        <v>11.766175832538266</v>
      </c>
      <c r="H41" s="642">
        <v>0</v>
      </c>
      <c r="I41" s="642">
        <v>0</v>
      </c>
      <c r="J41" s="642">
        <v>0</v>
      </c>
      <c r="K41" s="642">
        <v>0</v>
      </c>
      <c r="L41" s="642">
        <v>0</v>
      </c>
      <c r="M41" s="642">
        <v>0</v>
      </c>
      <c r="N41" s="642">
        <v>0</v>
      </c>
      <c r="O41" s="642">
        <v>0</v>
      </c>
      <c r="P41" s="642">
        <v>0</v>
      </c>
      <c r="Q41" s="642">
        <v>0</v>
      </c>
      <c r="R41" s="642">
        <v>1.8135973700674786</v>
      </c>
      <c r="S41" s="650">
        <v>123.27285619933106</v>
      </c>
      <c r="U41" s="641" t="s">
        <v>84</v>
      </c>
      <c r="V41" s="642">
        <v>0</v>
      </c>
      <c r="W41" s="642">
        <v>0</v>
      </c>
      <c r="X41" s="642">
        <v>84.298528713313246</v>
      </c>
      <c r="Y41" s="642">
        <v>1.1302347010557652</v>
      </c>
      <c r="Z41" s="642">
        <v>0</v>
      </c>
      <c r="AA41" s="642">
        <v>0</v>
      </c>
      <c r="AB41" s="642">
        <v>0</v>
      </c>
      <c r="AC41" s="642">
        <v>0</v>
      </c>
      <c r="AD41" s="642">
        <v>17.754065118408207</v>
      </c>
      <c r="AE41" s="642">
        <v>0</v>
      </c>
      <c r="AF41" s="642">
        <v>0</v>
      </c>
      <c r="AG41" s="642">
        <v>0</v>
      </c>
      <c r="AH41" s="642">
        <v>0</v>
      </c>
      <c r="AI41" s="642">
        <v>0</v>
      </c>
      <c r="AJ41" s="642">
        <v>11.930622290039064</v>
      </c>
      <c r="AK41" s="650">
        <v>115.11345082281629</v>
      </c>
    </row>
    <row r="42" spans="3:37" ht="13.5">
      <c r="C42" s="646" t="s">
        <v>85</v>
      </c>
      <c r="D42" s="647">
        <v>5.4657298257742912</v>
      </c>
      <c r="E42" s="647">
        <v>0</v>
      </c>
      <c r="F42" s="647">
        <v>433.69579057037924</v>
      </c>
      <c r="G42" s="647">
        <v>286.9694570608591</v>
      </c>
      <c r="H42" s="647">
        <v>0</v>
      </c>
      <c r="I42" s="647">
        <v>0</v>
      </c>
      <c r="J42" s="647">
        <v>114.6393068570419</v>
      </c>
      <c r="K42" s="647">
        <v>1.7860154914285227</v>
      </c>
      <c r="L42" s="647">
        <v>28.042343403554419</v>
      </c>
      <c r="M42" s="647">
        <v>5.6349675449245389</v>
      </c>
      <c r="N42" s="647">
        <v>62.897832024028709</v>
      </c>
      <c r="O42" s="647">
        <v>2.8391181780509842</v>
      </c>
      <c r="P42" s="647">
        <v>506.18747931527582</v>
      </c>
      <c r="Q42" s="647">
        <v>35.164036653103793</v>
      </c>
      <c r="R42" s="647">
        <v>4.094104603252811</v>
      </c>
      <c r="S42" s="647">
        <v>1487.4161815276743</v>
      </c>
      <c r="U42" s="646" t="s">
        <v>85</v>
      </c>
      <c r="V42" s="647">
        <v>1.0762581410403587</v>
      </c>
      <c r="W42" s="647">
        <v>0</v>
      </c>
      <c r="X42" s="647">
        <v>165.28736106222476</v>
      </c>
      <c r="Y42" s="647">
        <v>105.54588470845398</v>
      </c>
      <c r="Z42" s="647">
        <v>0</v>
      </c>
      <c r="AA42" s="647">
        <v>0</v>
      </c>
      <c r="AB42" s="647">
        <v>84.343834393150701</v>
      </c>
      <c r="AC42" s="647">
        <v>5.3117325596805349</v>
      </c>
      <c r="AD42" s="647">
        <v>100.13720035882396</v>
      </c>
      <c r="AE42" s="647">
        <v>44.768138339353968</v>
      </c>
      <c r="AF42" s="647">
        <v>92.901000398225491</v>
      </c>
      <c r="AG42" s="647">
        <v>6.3602365363905022</v>
      </c>
      <c r="AH42" s="647">
        <v>499.61642415532054</v>
      </c>
      <c r="AI42" s="647">
        <v>69.488948539693865</v>
      </c>
      <c r="AJ42" s="647">
        <v>23.724121611740912</v>
      </c>
      <c r="AK42" s="647">
        <v>1198.5611408040995</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523</v>
      </c>
      <c r="D44" s="699"/>
      <c r="E44" s="699"/>
      <c r="F44" s="699"/>
      <c r="G44" s="699"/>
      <c r="H44" s="699"/>
      <c r="I44" s="699"/>
      <c r="J44" s="699"/>
      <c r="K44" s="699"/>
      <c r="L44" s="699"/>
      <c r="M44" s="699"/>
      <c r="N44" s="699"/>
      <c r="O44" s="699"/>
      <c r="P44" s="699"/>
      <c r="Q44" s="699"/>
      <c r="R44" s="699"/>
      <c r="S44" s="699"/>
      <c r="U44" s="699" t="s">
        <v>523</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0</v>
      </c>
      <c r="F48" s="643">
        <v>0</v>
      </c>
      <c r="G48" s="642">
        <v>0</v>
      </c>
      <c r="H48" s="643">
        <v>889.54545454545473</v>
      </c>
      <c r="I48" s="643">
        <v>290.38619522472999</v>
      </c>
      <c r="J48" s="643">
        <v>188.26463769943669</v>
      </c>
      <c r="K48" s="643">
        <v>20.519346122490408</v>
      </c>
      <c r="L48" s="643">
        <v>0.54648995449606019</v>
      </c>
      <c r="M48" s="643">
        <v>0.15914693380563083</v>
      </c>
      <c r="N48" s="643">
        <v>65.898689554178929</v>
      </c>
      <c r="O48" s="643">
        <v>11.930124482632028</v>
      </c>
      <c r="P48" s="644">
        <v>0</v>
      </c>
      <c r="Q48" s="643">
        <v>0</v>
      </c>
      <c r="R48" s="643">
        <v>0</v>
      </c>
      <c r="S48" s="645">
        <v>1467.2500845172242</v>
      </c>
      <c r="U48" s="641" t="s">
        <v>59</v>
      </c>
      <c r="V48" s="642">
        <v>0</v>
      </c>
      <c r="W48" s="643">
        <v>0</v>
      </c>
      <c r="X48" s="643">
        <v>0</v>
      </c>
      <c r="Y48" s="642">
        <v>0</v>
      </c>
      <c r="Z48" s="643">
        <v>873.030303030303</v>
      </c>
      <c r="AA48" s="643">
        <v>337.06619522473</v>
      </c>
      <c r="AB48" s="643">
        <v>206.15489309499102</v>
      </c>
      <c r="AC48" s="643">
        <v>37.137182251794961</v>
      </c>
      <c r="AD48" s="643">
        <v>0.54648995449606019</v>
      </c>
      <c r="AE48" s="643">
        <v>0.15914693380563083</v>
      </c>
      <c r="AF48" s="643">
        <v>103.02458403584798</v>
      </c>
      <c r="AG48" s="643">
        <v>25.833176078824131</v>
      </c>
      <c r="AH48" s="644">
        <v>0</v>
      </c>
      <c r="AI48" s="643">
        <v>0</v>
      </c>
      <c r="AJ48" s="643">
        <v>0</v>
      </c>
      <c r="AK48" s="645">
        <v>1582.9519706047927</v>
      </c>
    </row>
    <row r="49" spans="3:37" ht="13.5">
      <c r="C49" s="641" t="s">
        <v>60</v>
      </c>
      <c r="D49" s="642">
        <v>47.523331421865407</v>
      </c>
      <c r="E49" s="643">
        <v>492.37419513671523</v>
      </c>
      <c r="F49" s="643">
        <v>57.352326080251387</v>
      </c>
      <c r="G49" s="642">
        <v>328.8885225556333</v>
      </c>
      <c r="H49" s="643">
        <v>0</v>
      </c>
      <c r="I49" s="643">
        <v>0</v>
      </c>
      <c r="J49" s="643">
        <v>4.8075322078390377</v>
      </c>
      <c r="K49" s="643">
        <v>0</v>
      </c>
      <c r="L49" s="643">
        <v>2.6229179175778925</v>
      </c>
      <c r="M49" s="643">
        <v>0</v>
      </c>
      <c r="N49" s="643">
        <v>0</v>
      </c>
      <c r="O49" s="643">
        <v>0</v>
      </c>
      <c r="P49" s="644">
        <v>0</v>
      </c>
      <c r="Q49" s="643">
        <v>0</v>
      </c>
      <c r="R49" s="643">
        <v>0</v>
      </c>
      <c r="S49" s="645">
        <v>933.56882531988219</v>
      </c>
      <c r="U49" s="641" t="s">
        <v>60</v>
      </c>
      <c r="V49" s="642">
        <v>6.5260336126681251</v>
      </c>
      <c r="W49" s="643">
        <v>220.47790015098695</v>
      </c>
      <c r="X49" s="643">
        <v>14.513856185365357</v>
      </c>
      <c r="Y49" s="642">
        <v>102.1346675179243</v>
      </c>
      <c r="Z49" s="643">
        <v>0</v>
      </c>
      <c r="AA49" s="643">
        <v>0</v>
      </c>
      <c r="AB49" s="643">
        <v>4.8075322078390377</v>
      </c>
      <c r="AC49" s="643">
        <v>0</v>
      </c>
      <c r="AD49" s="643">
        <v>2.6229179175778925</v>
      </c>
      <c r="AE49" s="643">
        <v>0</v>
      </c>
      <c r="AF49" s="643">
        <v>0</v>
      </c>
      <c r="AG49" s="643">
        <v>0</v>
      </c>
      <c r="AH49" s="644">
        <v>0</v>
      </c>
      <c r="AI49" s="643">
        <v>0</v>
      </c>
      <c r="AJ49" s="643">
        <v>0</v>
      </c>
      <c r="AK49" s="645">
        <v>351.08290759236166</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-22.391147784534837</v>
      </c>
      <c r="Q50" s="643">
        <v>0</v>
      </c>
      <c r="R50" s="643">
        <v>0</v>
      </c>
      <c r="S50" s="645">
        <v>-22.391147784534837</v>
      </c>
      <c r="U50" s="641" t="s">
        <v>61</v>
      </c>
      <c r="V50" s="642">
        <v>0</v>
      </c>
      <c r="W50" s="643">
        <v>0</v>
      </c>
      <c r="X50" s="643">
        <v>-19.691193817618341</v>
      </c>
      <c r="Y50" s="642">
        <v>0</v>
      </c>
      <c r="Z50" s="643">
        <v>0</v>
      </c>
      <c r="AA50" s="643">
        <v>0</v>
      </c>
      <c r="AB50" s="643">
        <v>0</v>
      </c>
      <c r="AC50" s="643">
        <v>0</v>
      </c>
      <c r="AD50" s="643">
        <v>0</v>
      </c>
      <c r="AE50" s="643">
        <v>0</v>
      </c>
      <c r="AF50" s="643">
        <v>0</v>
      </c>
      <c r="AG50" s="643">
        <v>0</v>
      </c>
      <c r="AH50" s="644">
        <v>-17.389600315785174</v>
      </c>
      <c r="AI50" s="643">
        <v>0</v>
      </c>
      <c r="AJ50" s="643">
        <v>0</v>
      </c>
      <c r="AK50" s="645">
        <v>-37.080794133403515</v>
      </c>
    </row>
    <row r="51" spans="3:37" ht="13.5">
      <c r="C51" s="641" t="s">
        <v>62</v>
      </c>
      <c r="D51" s="642">
        <v>0</v>
      </c>
      <c r="E51" s="643">
        <v>0</v>
      </c>
      <c r="F51" s="643">
        <v>-15.496739011683466</v>
      </c>
      <c r="G51" s="642">
        <v>0</v>
      </c>
      <c r="H51" s="643">
        <v>0</v>
      </c>
      <c r="I51" s="643">
        <v>0</v>
      </c>
      <c r="J51" s="643">
        <v>0</v>
      </c>
      <c r="K51" s="643">
        <v>0</v>
      </c>
      <c r="L51" s="643">
        <v>0</v>
      </c>
      <c r="M51" s="643">
        <v>0</v>
      </c>
      <c r="N51" s="643">
        <v>0</v>
      </c>
      <c r="O51" s="643">
        <v>0</v>
      </c>
      <c r="P51" s="644">
        <v>0</v>
      </c>
      <c r="Q51" s="643">
        <v>0</v>
      </c>
      <c r="R51" s="643">
        <v>0</v>
      </c>
      <c r="S51" s="645">
        <v>-15.496739011683466</v>
      </c>
      <c r="U51" s="641" t="s">
        <v>62</v>
      </c>
      <c r="V51" s="642">
        <v>0</v>
      </c>
      <c r="W51" s="643">
        <v>0</v>
      </c>
      <c r="X51" s="643">
        <v>-8.5387827474702789</v>
      </c>
      <c r="Y51" s="642">
        <v>-2.2272473327152178</v>
      </c>
      <c r="Z51" s="643">
        <v>0</v>
      </c>
      <c r="AA51" s="643">
        <v>0</v>
      </c>
      <c r="AB51" s="643">
        <v>0</v>
      </c>
      <c r="AC51" s="643">
        <v>0</v>
      </c>
      <c r="AD51" s="643">
        <v>0</v>
      </c>
      <c r="AE51" s="643">
        <v>-1.7037211969591732</v>
      </c>
      <c r="AF51" s="643">
        <v>0</v>
      </c>
      <c r="AG51" s="643">
        <v>0</v>
      </c>
      <c r="AH51" s="644">
        <v>0</v>
      </c>
      <c r="AI51" s="643">
        <v>0</v>
      </c>
      <c r="AJ51" s="643">
        <v>0</v>
      </c>
      <c r="AK51" s="645">
        <v>-12.46975127714467</v>
      </c>
    </row>
    <row r="52" spans="3:37" ht="13.5">
      <c r="C52" s="641" t="s">
        <v>63</v>
      </c>
      <c r="D52" s="642">
        <v>0</v>
      </c>
      <c r="E52" s="643">
        <v>0</v>
      </c>
      <c r="F52" s="643">
        <v>-89.42656352071144</v>
      </c>
      <c r="G52" s="642">
        <v>0</v>
      </c>
      <c r="H52" s="643">
        <v>0</v>
      </c>
      <c r="I52" s="643">
        <v>0</v>
      </c>
      <c r="J52" s="643">
        <v>0</v>
      </c>
      <c r="K52" s="643">
        <v>0</v>
      </c>
      <c r="L52" s="643">
        <v>-0.92190198395554845</v>
      </c>
      <c r="M52" s="643">
        <v>0</v>
      </c>
      <c r="N52" s="643">
        <v>0</v>
      </c>
      <c r="O52" s="643">
        <v>0</v>
      </c>
      <c r="P52" s="644">
        <v>0</v>
      </c>
      <c r="Q52" s="643">
        <v>0</v>
      </c>
      <c r="R52" s="643">
        <v>0</v>
      </c>
      <c r="S52" s="645">
        <v>-90.34846550466699</v>
      </c>
      <c r="U52" s="641" t="s">
        <v>63</v>
      </c>
      <c r="V52" s="642">
        <v>0</v>
      </c>
      <c r="W52" s="643">
        <v>0</v>
      </c>
      <c r="X52" s="643">
        <v>-55.486888716289528</v>
      </c>
      <c r="Y52" s="642">
        <v>0</v>
      </c>
      <c r="Z52" s="643">
        <v>0</v>
      </c>
      <c r="AA52" s="643">
        <v>0</v>
      </c>
      <c r="AB52" s="643">
        <v>0</v>
      </c>
      <c r="AC52" s="643">
        <v>0</v>
      </c>
      <c r="AD52" s="643">
        <v>-26.575233608452013</v>
      </c>
      <c r="AE52" s="643">
        <v>0</v>
      </c>
      <c r="AF52" s="643">
        <v>0</v>
      </c>
      <c r="AG52" s="643">
        <v>0</v>
      </c>
      <c r="AH52" s="644">
        <v>0</v>
      </c>
      <c r="AI52" s="643">
        <v>0</v>
      </c>
      <c r="AJ52" s="643">
        <v>0</v>
      </c>
      <c r="AK52" s="645">
        <v>-82.062122324741537</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47.523331421865407</v>
      </c>
      <c r="E54" s="647">
        <v>492.37419513671523</v>
      </c>
      <c r="F54" s="647">
        <v>-47.570976452143519</v>
      </c>
      <c r="G54" s="647">
        <v>328.8885225556333</v>
      </c>
      <c r="H54" s="647">
        <v>889.54545454545473</v>
      </c>
      <c r="I54" s="647">
        <v>290.38619522472999</v>
      </c>
      <c r="J54" s="647">
        <v>193.07216990727574</v>
      </c>
      <c r="K54" s="647">
        <v>20.519346122490408</v>
      </c>
      <c r="L54" s="647">
        <v>2.247505888118404</v>
      </c>
      <c r="M54" s="647">
        <v>0.15914693380563083</v>
      </c>
      <c r="N54" s="647">
        <v>65.898689554178929</v>
      </c>
      <c r="O54" s="647">
        <v>11.930124482632028</v>
      </c>
      <c r="P54" s="647">
        <v>-22.391147784534837</v>
      </c>
      <c r="Q54" s="647">
        <v>0</v>
      </c>
      <c r="R54" s="647">
        <v>0</v>
      </c>
      <c r="S54" s="647">
        <v>2272.5825575362214</v>
      </c>
      <c r="U54" s="646" t="s">
        <v>65</v>
      </c>
      <c r="V54" s="647">
        <v>6.5260336126681251</v>
      </c>
      <c r="W54" s="647">
        <v>220.47790015098695</v>
      </c>
      <c r="X54" s="647">
        <v>-69.203009096012792</v>
      </c>
      <c r="Y54" s="647">
        <v>99.907420185209077</v>
      </c>
      <c r="Z54" s="647">
        <v>873.030303030303</v>
      </c>
      <c r="AA54" s="647">
        <v>337.06619522473</v>
      </c>
      <c r="AB54" s="647">
        <v>210.96242530283007</v>
      </c>
      <c r="AC54" s="647">
        <v>37.137182251794961</v>
      </c>
      <c r="AD54" s="647">
        <v>-23.405825736378059</v>
      </c>
      <c r="AE54" s="647">
        <v>-1.5445742631535424</v>
      </c>
      <c r="AF54" s="647">
        <v>103.02458403584798</v>
      </c>
      <c r="AG54" s="647">
        <v>25.833176078824131</v>
      </c>
      <c r="AH54" s="647">
        <v>-17.389600315785174</v>
      </c>
      <c r="AI54" s="647">
        <v>0</v>
      </c>
      <c r="AJ54" s="647">
        <v>0</v>
      </c>
      <c r="AK54" s="647">
        <v>1802.4222104618648</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7.7625293209280457</v>
      </c>
      <c r="G57" s="642">
        <v>16.824034334763951</v>
      </c>
      <c r="H57" s="642">
        <v>889.54545454545473</v>
      </c>
      <c r="I57" s="642">
        <v>290.38619522472999</v>
      </c>
      <c r="J57" s="651">
        <v>29.234857813431841</v>
      </c>
      <c r="K57" s="651">
        <v>6.7467623730381456</v>
      </c>
      <c r="L57" s="651">
        <v>3.1694078720739522</v>
      </c>
      <c r="M57" s="651">
        <v>0.46915285357606595</v>
      </c>
      <c r="N57" s="651">
        <v>0</v>
      </c>
      <c r="O57" s="651">
        <v>6.9727309871777221</v>
      </c>
      <c r="P57" s="642">
        <v>-615.41357369902562</v>
      </c>
      <c r="Q57" s="642">
        <v>0</v>
      </c>
      <c r="R57" s="642">
        <v>0</v>
      </c>
      <c r="S57" s="650">
        <v>638.52433726717402</v>
      </c>
      <c r="U57" s="648" t="s">
        <v>350</v>
      </c>
      <c r="V57" s="642">
        <v>0.62631490545869017</v>
      </c>
      <c r="W57" s="642">
        <v>0</v>
      </c>
      <c r="X57" s="642">
        <v>3.8988929572916824</v>
      </c>
      <c r="Y57" s="642">
        <v>3.6741630901287547</v>
      </c>
      <c r="Z57" s="642">
        <v>873.030303030303</v>
      </c>
      <c r="AA57" s="642">
        <v>337.06619522473</v>
      </c>
      <c r="AB57" s="651">
        <v>23.429523439383615</v>
      </c>
      <c r="AC57" s="651">
        <v>5.4991881500691626</v>
      </c>
      <c r="AD57" s="651">
        <v>3.1694078720739522</v>
      </c>
      <c r="AE57" s="651">
        <v>2.7864060724601858</v>
      </c>
      <c r="AF57" s="651">
        <v>0</v>
      </c>
      <c r="AG57" s="651">
        <v>6.9727309871777221</v>
      </c>
      <c r="AH57" s="642">
        <v>-649.11357369902544</v>
      </c>
      <c r="AI57" s="642">
        <v>0</v>
      </c>
      <c r="AJ57" s="642">
        <v>4.45</v>
      </c>
      <c r="AK57" s="650">
        <v>615.48955203005141</v>
      </c>
    </row>
    <row r="58" spans="3:37" ht="13.5">
      <c r="C58" s="648" t="s">
        <v>351</v>
      </c>
      <c r="D58" s="642">
        <v>0</v>
      </c>
      <c r="E58" s="642">
        <v>0</v>
      </c>
      <c r="F58" s="642">
        <v>0</v>
      </c>
      <c r="G58" s="642">
        <v>14.896462034387394</v>
      </c>
      <c r="H58" s="642">
        <v>0</v>
      </c>
      <c r="I58" s="642">
        <v>0</v>
      </c>
      <c r="J58" s="651">
        <v>12.461036592610267</v>
      </c>
      <c r="K58" s="651">
        <v>11.927183871567582</v>
      </c>
      <c r="L58" s="651">
        <v>0</v>
      </c>
      <c r="M58" s="651">
        <v>0.3188738120209938</v>
      </c>
      <c r="N58" s="651">
        <v>0</v>
      </c>
      <c r="O58" s="651">
        <v>2.1085025260592274</v>
      </c>
      <c r="P58" s="642">
        <v>0</v>
      </c>
      <c r="Q58" s="642">
        <v>-37.934258390495422</v>
      </c>
      <c r="R58" s="642">
        <v>0</v>
      </c>
      <c r="S58" s="650">
        <v>3.7778004461500441</v>
      </c>
      <c r="U58" s="648" t="s">
        <v>351</v>
      </c>
      <c r="V58" s="642">
        <v>0</v>
      </c>
      <c r="W58" s="642">
        <v>0</v>
      </c>
      <c r="X58" s="642">
        <v>0</v>
      </c>
      <c r="Y58" s="642">
        <v>8.218662070491261</v>
      </c>
      <c r="Z58" s="642">
        <v>0</v>
      </c>
      <c r="AA58" s="642">
        <v>0</v>
      </c>
      <c r="AB58" s="651">
        <v>28.560818034272483</v>
      </c>
      <c r="AC58" s="651">
        <v>26.163217208510932</v>
      </c>
      <c r="AD58" s="651">
        <v>0</v>
      </c>
      <c r="AE58" s="651">
        <v>5.9663093303449024</v>
      </c>
      <c r="AF58" s="651">
        <v>0</v>
      </c>
      <c r="AG58" s="651">
        <v>11.832895483778962</v>
      </c>
      <c r="AH58" s="642">
        <v>0</v>
      </c>
      <c r="AI58" s="642">
        <v>-74.578675527513624</v>
      </c>
      <c r="AJ58" s="642">
        <v>0</v>
      </c>
      <c r="AK58" s="650">
        <v>6.1632265998849274</v>
      </c>
    </row>
    <row r="59" spans="3:37" ht="13.5">
      <c r="C59" s="648" t="s">
        <v>352</v>
      </c>
      <c r="D59" s="642">
        <v>0</v>
      </c>
      <c r="E59" s="642">
        <v>0</v>
      </c>
      <c r="F59" s="642">
        <v>0</v>
      </c>
      <c r="G59" s="642">
        <v>0</v>
      </c>
      <c r="H59" s="642">
        <v>0</v>
      </c>
      <c r="I59" s="642">
        <v>0</v>
      </c>
      <c r="J59" s="652">
        <v>6.9979956174374891</v>
      </c>
      <c r="K59" s="652">
        <v>0</v>
      </c>
      <c r="L59" s="652">
        <v>0</v>
      </c>
      <c r="M59" s="652">
        <v>-6.4748954450340372</v>
      </c>
      <c r="N59" s="652">
        <v>0</v>
      </c>
      <c r="O59" s="652">
        <v>0</v>
      </c>
      <c r="P59" s="642">
        <v>0</v>
      </c>
      <c r="Q59" s="642">
        <v>0</v>
      </c>
      <c r="R59" s="642">
        <v>0</v>
      </c>
      <c r="S59" s="650">
        <v>0.52310017240345186</v>
      </c>
      <c r="U59" s="648" t="s">
        <v>352</v>
      </c>
      <c r="V59" s="642">
        <v>0</v>
      </c>
      <c r="W59" s="642">
        <v>0</v>
      </c>
      <c r="X59" s="642">
        <v>0</v>
      </c>
      <c r="Y59" s="642">
        <v>0</v>
      </c>
      <c r="Z59" s="642">
        <v>0</v>
      </c>
      <c r="AA59" s="642">
        <v>0</v>
      </c>
      <c r="AB59" s="652">
        <v>79.198989478899776</v>
      </c>
      <c r="AC59" s="652">
        <v>0</v>
      </c>
      <c r="AD59" s="652">
        <v>0</v>
      </c>
      <c r="AE59" s="652">
        <v>-73.278865015352025</v>
      </c>
      <c r="AF59" s="652">
        <v>0</v>
      </c>
      <c r="AG59" s="652">
        <v>0</v>
      </c>
      <c r="AH59" s="642">
        <v>0</v>
      </c>
      <c r="AI59" s="642">
        <v>0</v>
      </c>
      <c r="AJ59" s="642">
        <v>0</v>
      </c>
      <c r="AK59" s="650">
        <v>5.9201244635477508</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510.04733530503466</v>
      </c>
      <c r="F61" s="642">
        <v>-504.94686195198432</v>
      </c>
      <c r="G61" s="642">
        <v>0</v>
      </c>
      <c r="H61" s="642">
        <v>0</v>
      </c>
      <c r="I61" s="642">
        <v>0</v>
      </c>
      <c r="J61" s="642">
        <v>0</v>
      </c>
      <c r="K61" s="642">
        <v>0</v>
      </c>
      <c r="L61" s="642">
        <v>0</v>
      </c>
      <c r="M61" s="642">
        <v>0</v>
      </c>
      <c r="N61" s="642">
        <v>0</v>
      </c>
      <c r="O61" s="642">
        <v>0</v>
      </c>
      <c r="P61" s="642">
        <v>0</v>
      </c>
      <c r="Q61" s="642">
        <v>0</v>
      </c>
      <c r="R61" s="642">
        <v>0</v>
      </c>
      <c r="S61" s="650">
        <v>5.1004733530503472</v>
      </c>
      <c r="U61" s="648" t="s">
        <v>72</v>
      </c>
      <c r="V61" s="642">
        <v>0</v>
      </c>
      <c r="W61" s="642">
        <v>228.3916715709193</v>
      </c>
      <c r="X61" s="642">
        <v>-226.10775485521012</v>
      </c>
      <c r="Y61" s="642">
        <v>0</v>
      </c>
      <c r="Z61" s="642">
        <v>0</v>
      </c>
      <c r="AA61" s="642">
        <v>0</v>
      </c>
      <c r="AB61" s="642">
        <v>0</v>
      </c>
      <c r="AC61" s="642">
        <v>0</v>
      </c>
      <c r="AD61" s="642">
        <v>0</v>
      </c>
      <c r="AE61" s="642">
        <v>0</v>
      </c>
      <c r="AF61" s="642">
        <v>0</v>
      </c>
      <c r="AG61" s="642">
        <v>0</v>
      </c>
      <c r="AH61" s="642">
        <v>0</v>
      </c>
      <c r="AI61" s="642">
        <v>0</v>
      </c>
      <c r="AJ61" s="642">
        <v>0</v>
      </c>
      <c r="AK61" s="650">
        <v>2.2839167157091822</v>
      </c>
    </row>
    <row r="62" spans="3:37" ht="13.5">
      <c r="C62" s="648" t="s">
        <v>354</v>
      </c>
      <c r="D62" s="642">
        <v>0</v>
      </c>
      <c r="E62" s="642">
        <v>0</v>
      </c>
      <c r="F62" s="642">
        <v>0</v>
      </c>
      <c r="G62" s="642">
        <v>0</v>
      </c>
      <c r="H62" s="642">
        <v>0</v>
      </c>
      <c r="I62" s="642">
        <v>0</v>
      </c>
      <c r="J62" s="642">
        <v>27.710201800923624</v>
      </c>
      <c r="K62" s="642">
        <v>0</v>
      </c>
      <c r="L62" s="642">
        <v>-27.710201800923624</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-101.17003146857277</v>
      </c>
      <c r="AE62" s="642">
        <v>0</v>
      </c>
      <c r="AF62" s="642">
        <v>0</v>
      </c>
      <c r="AG62" s="642">
        <v>0</v>
      </c>
      <c r="AH62" s="642">
        <v>0</v>
      </c>
      <c r="AI62" s="642">
        <v>0</v>
      </c>
      <c r="AJ62" s="642">
        <v>0</v>
      </c>
      <c r="AK62" s="650">
        <v>-101.17003146857277</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-18.691082885283098</v>
      </c>
      <c r="AE63" s="642">
        <v>0</v>
      </c>
      <c r="AF63" s="642">
        <v>0</v>
      </c>
      <c r="AG63" s="642">
        <v>0</v>
      </c>
      <c r="AH63" s="642">
        <v>0</v>
      </c>
      <c r="AI63" s="642">
        <v>0</v>
      </c>
      <c r="AJ63" s="642">
        <v>0</v>
      </c>
      <c r="AK63" s="650">
        <v>-18.691082885283098</v>
      </c>
    </row>
    <row r="64" spans="3:37" ht="13.5">
      <c r="C64" s="648" t="s">
        <v>73</v>
      </c>
      <c r="D64" s="642">
        <v>0</v>
      </c>
      <c r="E64" s="642">
        <v>0</v>
      </c>
      <c r="F64" s="642">
        <v>0</v>
      </c>
      <c r="G64" s="642">
        <v>6.2864428714474423</v>
      </c>
      <c r="H64" s="642">
        <v>0</v>
      </c>
      <c r="I64" s="642">
        <v>0</v>
      </c>
      <c r="J64" s="642">
        <v>0</v>
      </c>
      <c r="K64" s="642">
        <v>7.2564905248031233E-2</v>
      </c>
      <c r="L64" s="642">
        <v>0</v>
      </c>
      <c r="M64" s="642">
        <v>0.12829475247851924</v>
      </c>
      <c r="N64" s="642">
        <v>0</v>
      </c>
      <c r="O64" s="642">
        <v>0</v>
      </c>
      <c r="P64" s="642">
        <v>0.77416476914506349</v>
      </c>
      <c r="Q64" s="642">
        <v>0</v>
      </c>
      <c r="R64" s="642">
        <v>-5.0795433673621861</v>
      </c>
      <c r="S64" s="650">
        <v>2.1819239309568701</v>
      </c>
      <c r="U64" s="648" t="s">
        <v>73</v>
      </c>
      <c r="V64" s="642">
        <v>0</v>
      </c>
      <c r="W64" s="642">
        <v>0</v>
      </c>
      <c r="X64" s="642">
        <v>0</v>
      </c>
      <c r="Y64" s="642">
        <v>3.7837340239051791</v>
      </c>
      <c r="Z64" s="642">
        <v>0</v>
      </c>
      <c r="AA64" s="642">
        <v>0</v>
      </c>
      <c r="AB64" s="642">
        <v>0</v>
      </c>
      <c r="AC64" s="642">
        <v>0.46597709654004676</v>
      </c>
      <c r="AD64" s="642">
        <v>0</v>
      </c>
      <c r="AE64" s="642">
        <v>2.7399453276554748</v>
      </c>
      <c r="AF64" s="642">
        <v>0</v>
      </c>
      <c r="AG64" s="642">
        <v>0</v>
      </c>
      <c r="AH64" s="642">
        <v>39.864323859285086</v>
      </c>
      <c r="AI64" s="642">
        <v>0</v>
      </c>
      <c r="AJ64" s="642">
        <v>-32.618396757803268</v>
      </c>
      <c r="AK64" s="650">
        <v>14.235583549582522</v>
      </c>
    </row>
    <row r="65" spans="3:37" ht="13.5">
      <c r="C65" s="648" t="s">
        <v>356</v>
      </c>
      <c r="D65" s="642">
        <v>28.588592812499996</v>
      </c>
      <c r="E65" s="642">
        <v>-17.673140168319453</v>
      </c>
      <c r="F65" s="642">
        <v>23.11542347254851</v>
      </c>
      <c r="G65" s="642">
        <v>0</v>
      </c>
      <c r="H65" s="642">
        <v>0</v>
      </c>
      <c r="I65" s="642">
        <v>0</v>
      </c>
      <c r="J65" s="642">
        <v>0</v>
      </c>
      <c r="K65" s="642">
        <v>0</v>
      </c>
      <c r="L65" s="642">
        <v>0</v>
      </c>
      <c r="M65" s="642">
        <v>0</v>
      </c>
      <c r="N65" s="642">
        <v>0</v>
      </c>
      <c r="O65" s="642">
        <v>0</v>
      </c>
      <c r="P65" s="642">
        <v>0</v>
      </c>
      <c r="Q65" s="642">
        <v>0</v>
      </c>
      <c r="R65" s="642">
        <v>0</v>
      </c>
      <c r="S65" s="650">
        <v>34.030876116729054</v>
      </c>
      <c r="U65" s="648" t="s">
        <v>356</v>
      </c>
      <c r="V65" s="642">
        <v>1.7459712219238281</v>
      </c>
      <c r="W65" s="642">
        <v>-7.9137714199323552</v>
      </c>
      <c r="X65" s="642">
        <v>10.35074558875537</v>
      </c>
      <c r="Y65" s="642">
        <v>0</v>
      </c>
      <c r="Z65" s="642">
        <v>0</v>
      </c>
      <c r="AA65" s="642">
        <v>0</v>
      </c>
      <c r="AB65" s="642">
        <v>0</v>
      </c>
      <c r="AC65" s="642">
        <v>0</v>
      </c>
      <c r="AD65" s="642">
        <v>0</v>
      </c>
      <c r="AE65" s="642">
        <v>0</v>
      </c>
      <c r="AF65" s="642">
        <v>0</v>
      </c>
      <c r="AG65" s="642">
        <v>0</v>
      </c>
      <c r="AH65" s="642">
        <v>0</v>
      </c>
      <c r="AI65" s="642">
        <v>0</v>
      </c>
      <c r="AJ65" s="642">
        <v>0</v>
      </c>
      <c r="AK65" s="650">
        <v>4.182945390746843</v>
      </c>
    </row>
    <row r="66" spans="3:37" ht="13.5">
      <c r="C66" s="648" t="s">
        <v>75</v>
      </c>
      <c r="D66" s="642">
        <v>11.11778609375</v>
      </c>
      <c r="E66" s="642">
        <v>0</v>
      </c>
      <c r="F66" s="642">
        <v>17.34160940037118</v>
      </c>
      <c r="G66" s="642">
        <v>4.9484792471294465</v>
      </c>
      <c r="H66" s="642">
        <v>0</v>
      </c>
      <c r="I66" s="642">
        <v>0</v>
      </c>
      <c r="J66" s="642">
        <v>0</v>
      </c>
      <c r="K66" s="642">
        <v>0</v>
      </c>
      <c r="L66" s="642">
        <v>0</v>
      </c>
      <c r="M66" s="642">
        <v>0.10098937239039688</v>
      </c>
      <c r="N66" s="642">
        <v>0</v>
      </c>
      <c r="O66" s="642">
        <v>0</v>
      </c>
      <c r="P66" s="642">
        <v>29.08691491128284</v>
      </c>
      <c r="Q66" s="642">
        <v>0</v>
      </c>
      <c r="R66" s="642">
        <v>0</v>
      </c>
      <c r="S66" s="650">
        <v>62.595779024923864</v>
      </c>
      <c r="U66" s="648" t="s">
        <v>75</v>
      </c>
      <c r="V66" s="642">
        <v>2.938742431640625</v>
      </c>
      <c r="W66" s="642">
        <v>0</v>
      </c>
      <c r="X66" s="642">
        <v>17.34160940037118</v>
      </c>
      <c r="Y66" s="642">
        <v>2.9286917993215091</v>
      </c>
      <c r="Z66" s="642">
        <v>0</v>
      </c>
      <c r="AA66" s="642">
        <v>0</v>
      </c>
      <c r="AB66" s="642">
        <v>0</v>
      </c>
      <c r="AC66" s="642">
        <v>0</v>
      </c>
      <c r="AD66" s="642">
        <v>0</v>
      </c>
      <c r="AE66" s="642">
        <v>2.1207768201983344</v>
      </c>
      <c r="AF66" s="642">
        <v>0</v>
      </c>
      <c r="AG66" s="642">
        <v>0</v>
      </c>
      <c r="AH66" s="642">
        <v>36.505051274919204</v>
      </c>
      <c r="AI66" s="642">
        <v>0</v>
      </c>
      <c r="AJ66" s="642">
        <v>0</v>
      </c>
      <c r="AK66" s="650">
        <v>61.834871726450849</v>
      </c>
    </row>
    <row r="67" spans="3:37" ht="13.5">
      <c r="C67" s="648" t="s">
        <v>76</v>
      </c>
      <c r="D67" s="642">
        <v>0</v>
      </c>
      <c r="E67" s="642">
        <v>0</v>
      </c>
      <c r="F67" s="642">
        <v>0</v>
      </c>
      <c r="G67" s="642">
        <v>3.7620934008695794</v>
      </c>
      <c r="H67" s="642">
        <v>0</v>
      </c>
      <c r="I67" s="642">
        <v>0</v>
      </c>
      <c r="J67" s="642">
        <v>0</v>
      </c>
      <c r="K67" s="642">
        <v>0</v>
      </c>
      <c r="L67" s="642">
        <v>0</v>
      </c>
      <c r="M67" s="642">
        <v>7.6777416344277136E-2</v>
      </c>
      <c r="N67" s="642">
        <v>0</v>
      </c>
      <c r="O67" s="642">
        <v>0</v>
      </c>
      <c r="P67" s="642">
        <v>45.374638558517056</v>
      </c>
      <c r="Q67" s="642">
        <v>2.9442994019327013</v>
      </c>
      <c r="R67" s="642">
        <v>0</v>
      </c>
      <c r="S67" s="650">
        <v>52.157808777663611</v>
      </c>
      <c r="U67" s="648" t="s">
        <v>76</v>
      </c>
      <c r="V67" s="642">
        <v>0</v>
      </c>
      <c r="W67" s="642">
        <v>0</v>
      </c>
      <c r="X67" s="642">
        <v>0</v>
      </c>
      <c r="Y67" s="642">
        <v>1.1999362424874132</v>
      </c>
      <c r="Z67" s="642">
        <v>0</v>
      </c>
      <c r="AA67" s="642">
        <v>0</v>
      </c>
      <c r="AB67" s="642">
        <v>0</v>
      </c>
      <c r="AC67" s="642">
        <v>0</v>
      </c>
      <c r="AD67" s="642">
        <v>0</v>
      </c>
      <c r="AE67" s="642">
        <v>0.86891934800812698</v>
      </c>
      <c r="AF67" s="642">
        <v>0</v>
      </c>
      <c r="AG67" s="642">
        <v>0</v>
      </c>
      <c r="AH67" s="642">
        <v>48.340685132761017</v>
      </c>
      <c r="AI67" s="642">
        <v>5.7839036819230412</v>
      </c>
      <c r="AJ67" s="642">
        <v>0</v>
      </c>
      <c r="AK67" s="650">
        <v>56.193444405179591</v>
      </c>
    </row>
    <row r="68" spans="3:37" ht="13.5">
      <c r="C68" s="646" t="s">
        <v>77</v>
      </c>
      <c r="D68" s="647">
        <v>42.533164547275248</v>
      </c>
      <c r="E68" s="647">
        <v>492.37419513671523</v>
      </c>
      <c r="F68" s="647">
        <v>-456.72729975813655</v>
      </c>
      <c r="G68" s="647">
        <v>46.717511888597819</v>
      </c>
      <c r="H68" s="647">
        <v>889.54545454545473</v>
      </c>
      <c r="I68" s="647">
        <v>290.38619522472999</v>
      </c>
      <c r="J68" s="647">
        <v>76.404091824403224</v>
      </c>
      <c r="K68" s="647">
        <v>18.74651114985376</v>
      </c>
      <c r="L68" s="647">
        <v>-24.540793928849673</v>
      </c>
      <c r="M68" s="647">
        <v>-5.3808072382237846</v>
      </c>
      <c r="N68" s="647">
        <v>0</v>
      </c>
      <c r="O68" s="647">
        <v>9.0812335132369491</v>
      </c>
      <c r="P68" s="647">
        <v>-540.17785546008065</v>
      </c>
      <c r="Q68" s="647">
        <v>-34.989958988562719</v>
      </c>
      <c r="R68" s="647">
        <v>-5.0795433673621861</v>
      </c>
      <c r="S68" s="647">
        <v>798.89209908905127</v>
      </c>
      <c r="U68" s="646" t="s">
        <v>77</v>
      </c>
      <c r="V68" s="647">
        <v>5.3110285590231427</v>
      </c>
      <c r="W68" s="647">
        <v>220.47790015098695</v>
      </c>
      <c r="X68" s="647">
        <v>-194.51650690879191</v>
      </c>
      <c r="Y68" s="647">
        <v>19.805187226334116</v>
      </c>
      <c r="Z68" s="647">
        <v>873.030303030303</v>
      </c>
      <c r="AA68" s="647">
        <v>337.06619522473</v>
      </c>
      <c r="AB68" s="647">
        <v>131.18933095255588</v>
      </c>
      <c r="AC68" s="647">
        <v>32.128382455120146</v>
      </c>
      <c r="AD68" s="647">
        <v>-116.69170648178192</v>
      </c>
      <c r="AE68" s="647">
        <v>-58.796508116684997</v>
      </c>
      <c r="AF68" s="647">
        <v>0</v>
      </c>
      <c r="AG68" s="647">
        <v>18.805626470956682</v>
      </c>
      <c r="AH68" s="647">
        <v>-524.40351343206009</v>
      </c>
      <c r="AI68" s="647">
        <v>-68.794771845590574</v>
      </c>
      <c r="AJ68" s="647">
        <v>-28.168396757803269</v>
      </c>
      <c r="AK68" s="647">
        <v>646.44255052729716</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4.9901668745901624</v>
      </c>
      <c r="E70" s="642">
        <v>0</v>
      </c>
      <c r="F70" s="642">
        <v>21.091530324656198</v>
      </c>
      <c r="G70" s="642">
        <v>96.151700548391091</v>
      </c>
      <c r="H70" s="642">
        <v>0</v>
      </c>
      <c r="I70" s="642">
        <v>0</v>
      </c>
      <c r="J70" s="642">
        <v>21.387862541024852</v>
      </c>
      <c r="K70" s="642">
        <v>1.7476152779545906</v>
      </c>
      <c r="L70" s="642">
        <v>0.94211085156249985</v>
      </c>
      <c r="M70" s="642">
        <v>1.9807569399951515</v>
      </c>
      <c r="N70" s="642">
        <v>0</v>
      </c>
      <c r="O70" s="642">
        <v>3.7669078281368638E-4</v>
      </c>
      <c r="P70" s="642">
        <v>112.73505933145552</v>
      </c>
      <c r="Q70" s="642">
        <v>16.12568637832603</v>
      </c>
      <c r="R70" s="642">
        <v>0.27920700073242188</v>
      </c>
      <c r="S70" s="650">
        <v>277.43207275947128</v>
      </c>
      <c r="U70" s="648" t="s">
        <v>78</v>
      </c>
      <c r="V70" s="642">
        <v>1.2150050536449819</v>
      </c>
      <c r="W70" s="642">
        <v>0</v>
      </c>
      <c r="X70" s="642">
        <v>6.016341039248414</v>
      </c>
      <c r="Y70" s="642">
        <v>39.709503776891196</v>
      </c>
      <c r="Z70" s="642">
        <v>0</v>
      </c>
      <c r="AA70" s="642">
        <v>0</v>
      </c>
      <c r="AB70" s="642">
        <v>15.202189846170386</v>
      </c>
      <c r="AC70" s="642">
        <v>4.9835801019927617</v>
      </c>
      <c r="AD70" s="642">
        <v>5.6103854980468748</v>
      </c>
      <c r="AE70" s="642">
        <v>28.773635244370734</v>
      </c>
      <c r="AF70" s="642">
        <v>0</v>
      </c>
      <c r="AG70" s="642">
        <v>3.7669078281368638E-4</v>
      </c>
      <c r="AH70" s="642">
        <v>146.07653830614987</v>
      </c>
      <c r="AI70" s="642">
        <v>23.647869298816833</v>
      </c>
      <c r="AJ70" s="642">
        <v>7.4826708984375001</v>
      </c>
      <c r="AK70" s="650">
        <v>278.71809575455239</v>
      </c>
    </row>
    <row r="71" spans="3:37" ht="13.5">
      <c r="C71" s="648" t="s">
        <v>79</v>
      </c>
      <c r="D71" s="642">
        <v>0</v>
      </c>
      <c r="E71" s="642">
        <v>0</v>
      </c>
      <c r="F71" s="642">
        <v>235.12748928743429</v>
      </c>
      <c r="G71" s="642">
        <v>31.099379517950805</v>
      </c>
      <c r="H71" s="642">
        <v>0</v>
      </c>
      <c r="I71" s="642">
        <v>0</v>
      </c>
      <c r="J71" s="642">
        <v>0</v>
      </c>
      <c r="K71" s="642">
        <v>0</v>
      </c>
      <c r="L71" s="642">
        <v>22.716725008445675</v>
      </c>
      <c r="M71" s="642">
        <v>0.63468121465205729</v>
      </c>
      <c r="N71" s="642">
        <v>0</v>
      </c>
      <c r="O71" s="642">
        <v>0</v>
      </c>
      <c r="P71" s="642">
        <v>68.565930798083699</v>
      </c>
      <c r="Q71" s="642">
        <v>0</v>
      </c>
      <c r="R71" s="642">
        <v>2.3844112104980786</v>
      </c>
      <c r="S71" s="650">
        <v>360.52861703706463</v>
      </c>
      <c r="U71" s="648" t="s">
        <v>79</v>
      </c>
      <c r="V71" s="642">
        <v>0</v>
      </c>
      <c r="W71" s="642">
        <v>0</v>
      </c>
      <c r="X71" s="642">
        <v>35.128929389637456</v>
      </c>
      <c r="Y71" s="642">
        <v>15.137064293513523</v>
      </c>
      <c r="Z71" s="642">
        <v>0</v>
      </c>
      <c r="AA71" s="642">
        <v>0</v>
      </c>
      <c r="AB71" s="642">
        <v>0</v>
      </c>
      <c r="AC71" s="642">
        <v>0</v>
      </c>
      <c r="AD71" s="642">
        <v>37.187580566982817</v>
      </c>
      <c r="AE71" s="642">
        <v>11.036020535724948</v>
      </c>
      <c r="AF71" s="642">
        <v>0</v>
      </c>
      <c r="AG71" s="642">
        <v>0</v>
      </c>
      <c r="AH71" s="642">
        <v>89.614524523742418</v>
      </c>
      <c r="AI71" s="642">
        <v>0</v>
      </c>
      <c r="AJ71" s="642">
        <v>5.6351763144479268</v>
      </c>
      <c r="AK71" s="650">
        <v>193.73929562404911</v>
      </c>
    </row>
    <row r="72" spans="3:37" ht="13.5">
      <c r="C72" s="648" t="s">
        <v>80</v>
      </c>
      <c r="D72" s="642">
        <v>0</v>
      </c>
      <c r="E72" s="642">
        <v>0</v>
      </c>
      <c r="F72" s="642">
        <v>13.724834206032371</v>
      </c>
      <c r="G72" s="642">
        <v>79.131512261322683</v>
      </c>
      <c r="H72" s="642">
        <v>0</v>
      </c>
      <c r="I72" s="642">
        <v>0</v>
      </c>
      <c r="J72" s="642">
        <v>87.797108848078949</v>
      </c>
      <c r="K72" s="642">
        <v>0</v>
      </c>
      <c r="L72" s="642">
        <v>0</v>
      </c>
      <c r="M72" s="642">
        <v>1.6149288216596467</v>
      </c>
      <c r="N72" s="642">
        <v>57.41835645436403</v>
      </c>
      <c r="O72" s="642">
        <v>2.0533643919476137</v>
      </c>
      <c r="P72" s="642">
        <v>189.45880926265392</v>
      </c>
      <c r="Q72" s="642">
        <v>15.417775800116472</v>
      </c>
      <c r="R72" s="642">
        <v>0</v>
      </c>
      <c r="S72" s="650">
        <v>446.61669004617568</v>
      </c>
      <c r="U72" s="648" t="s">
        <v>80</v>
      </c>
      <c r="V72" s="642">
        <v>0</v>
      </c>
      <c r="W72" s="642">
        <v>0</v>
      </c>
      <c r="X72" s="642">
        <v>1.0209129157283405</v>
      </c>
      <c r="Y72" s="642">
        <v>12.832027751754538</v>
      </c>
      <c r="Z72" s="642">
        <v>0</v>
      </c>
      <c r="AA72" s="642">
        <v>0</v>
      </c>
      <c r="AB72" s="642">
        <v>53.270322236782164</v>
      </c>
      <c r="AC72" s="642">
        <v>0</v>
      </c>
      <c r="AD72" s="642">
        <v>0</v>
      </c>
      <c r="AE72" s="642">
        <v>9.2921580271325972</v>
      </c>
      <c r="AF72" s="642">
        <v>88.292344554902868</v>
      </c>
      <c r="AG72" s="642">
        <v>3.9079432862869607</v>
      </c>
      <c r="AH72" s="642">
        <v>146.88666477766319</v>
      </c>
      <c r="AI72" s="642">
        <v>32.427264426374379</v>
      </c>
      <c r="AJ72" s="642">
        <v>0</v>
      </c>
      <c r="AK72" s="650">
        <v>347.92963797662509</v>
      </c>
    </row>
    <row r="73" spans="3:37" ht="13.5">
      <c r="C73" s="648" t="s">
        <v>81</v>
      </c>
      <c r="D73" s="642">
        <v>0</v>
      </c>
      <c r="E73" s="642">
        <v>0</v>
      </c>
      <c r="F73" s="642">
        <v>3.9083972405176572</v>
      </c>
      <c r="G73" s="642">
        <v>63.089348266301698</v>
      </c>
      <c r="H73" s="642">
        <v>0</v>
      </c>
      <c r="I73" s="642">
        <v>0</v>
      </c>
      <c r="J73" s="642">
        <v>3.1804221278939271</v>
      </c>
      <c r="K73" s="642">
        <v>2.5219694682056978E-2</v>
      </c>
      <c r="L73" s="642">
        <v>0</v>
      </c>
      <c r="M73" s="642">
        <v>1.287537719720443</v>
      </c>
      <c r="N73" s="642">
        <v>8.4803330998149011</v>
      </c>
      <c r="O73" s="642">
        <v>0.72631919579288284</v>
      </c>
      <c r="P73" s="642">
        <v>140.69299872549993</v>
      </c>
      <c r="Q73" s="642">
        <v>3.4464968101202174</v>
      </c>
      <c r="R73" s="642">
        <v>0</v>
      </c>
      <c r="S73" s="650">
        <v>224.8370728803437</v>
      </c>
      <c r="U73" s="648" t="s">
        <v>81</v>
      </c>
      <c r="V73" s="642">
        <v>0</v>
      </c>
      <c r="W73" s="642">
        <v>0</v>
      </c>
      <c r="X73" s="642">
        <v>1.4952361732398858</v>
      </c>
      <c r="Y73" s="642">
        <v>10.610341518374359</v>
      </c>
      <c r="Z73" s="642">
        <v>0</v>
      </c>
      <c r="AA73" s="642">
        <v>0</v>
      </c>
      <c r="AB73" s="642">
        <v>6.9978977014468793</v>
      </c>
      <c r="AC73" s="642">
        <v>2.5219694682056978E-2</v>
      </c>
      <c r="AD73" s="642">
        <v>0</v>
      </c>
      <c r="AE73" s="642">
        <v>7.6833507546848816</v>
      </c>
      <c r="AF73" s="642">
        <v>14.732239480945108</v>
      </c>
      <c r="AG73" s="642">
        <v>1.5525732622869153</v>
      </c>
      <c r="AH73" s="642">
        <v>115.23036268987886</v>
      </c>
      <c r="AI73" s="642">
        <v>12.719638120399363</v>
      </c>
      <c r="AJ73" s="642">
        <v>0</v>
      </c>
      <c r="AK73" s="650">
        <v>171.04685939593833</v>
      </c>
    </row>
    <row r="74" spans="3:37" ht="13.5">
      <c r="C74" s="648" t="s">
        <v>82</v>
      </c>
      <c r="D74" s="642">
        <v>0</v>
      </c>
      <c r="E74" s="642">
        <v>0</v>
      </c>
      <c r="F74" s="642">
        <v>28.471648080197657</v>
      </c>
      <c r="G74" s="642">
        <v>1.0804243241036344</v>
      </c>
      <c r="H74" s="642">
        <v>0</v>
      </c>
      <c r="I74" s="642">
        <v>0</v>
      </c>
      <c r="J74" s="642">
        <v>4.3026845658747828</v>
      </c>
      <c r="K74" s="642">
        <v>0</v>
      </c>
      <c r="L74" s="642">
        <v>3.1299020072385213</v>
      </c>
      <c r="M74" s="642">
        <v>2.2049476002114991E-2</v>
      </c>
      <c r="N74" s="642">
        <v>0</v>
      </c>
      <c r="O74" s="642">
        <v>6.8830690871769351E-2</v>
      </c>
      <c r="P74" s="642">
        <v>5.9739095578527968</v>
      </c>
      <c r="Q74" s="642">
        <v>0</v>
      </c>
      <c r="R74" s="642">
        <v>0</v>
      </c>
      <c r="S74" s="650">
        <v>43.049448702141277</v>
      </c>
      <c r="U74" s="648" t="s">
        <v>82</v>
      </c>
      <c r="V74" s="642">
        <v>0</v>
      </c>
      <c r="W74" s="642">
        <v>0</v>
      </c>
      <c r="X74" s="642">
        <v>5.8604701162543282</v>
      </c>
      <c r="Y74" s="642">
        <v>0.77721189491485598</v>
      </c>
      <c r="Z74" s="642">
        <v>0</v>
      </c>
      <c r="AA74" s="642">
        <v>0</v>
      </c>
      <c r="AB74" s="642">
        <v>4.3026845658747828</v>
      </c>
      <c r="AC74" s="642">
        <v>0</v>
      </c>
      <c r="AD74" s="642">
        <v>30.776202948565647</v>
      </c>
      <c r="AE74" s="642">
        <v>0.56280861355903367</v>
      </c>
      <c r="AF74" s="642">
        <v>0</v>
      </c>
      <c r="AG74" s="642">
        <v>1.5666563685107562</v>
      </c>
      <c r="AH74" s="642">
        <v>6.0858228188406986</v>
      </c>
      <c r="AI74" s="642">
        <v>0</v>
      </c>
      <c r="AJ74" s="642">
        <v>0.36062656029870238</v>
      </c>
      <c r="AK74" s="650">
        <v>50.292483886818808</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0.36</v>
      </c>
      <c r="Q75" s="642">
        <v>0</v>
      </c>
      <c r="R75" s="642">
        <v>0</v>
      </c>
      <c r="S75" s="650">
        <v>0.36</v>
      </c>
      <c r="U75" s="648" t="s">
        <v>357</v>
      </c>
      <c r="V75" s="642">
        <v>0</v>
      </c>
      <c r="W75" s="642">
        <v>0</v>
      </c>
      <c r="X75" s="642">
        <v>0</v>
      </c>
      <c r="Y75" s="642">
        <v>0</v>
      </c>
      <c r="Z75" s="642">
        <v>0</v>
      </c>
      <c r="AA75" s="642">
        <v>0</v>
      </c>
      <c r="AB75" s="642">
        <v>0</v>
      </c>
      <c r="AC75" s="642">
        <v>0</v>
      </c>
      <c r="AD75" s="642">
        <v>0</v>
      </c>
      <c r="AE75" s="642">
        <v>0</v>
      </c>
      <c r="AF75" s="642">
        <v>0</v>
      </c>
      <c r="AG75" s="642">
        <v>0</v>
      </c>
      <c r="AH75" s="642">
        <v>3.12</v>
      </c>
      <c r="AI75" s="642">
        <v>0</v>
      </c>
      <c r="AJ75" s="642">
        <v>0</v>
      </c>
      <c r="AK75" s="650">
        <v>3.12</v>
      </c>
    </row>
    <row r="76" spans="3:37" ht="13.5">
      <c r="C76" s="646" t="s">
        <v>83</v>
      </c>
      <c r="D76" s="647">
        <v>4.9901668745901624</v>
      </c>
      <c r="E76" s="647">
        <v>0</v>
      </c>
      <c r="F76" s="647">
        <v>302.32389913883821</v>
      </c>
      <c r="G76" s="647">
        <v>270.55236491806994</v>
      </c>
      <c r="H76" s="647">
        <v>0</v>
      </c>
      <c r="I76" s="647">
        <v>0</v>
      </c>
      <c r="J76" s="647">
        <v>116.66807808287251</v>
      </c>
      <c r="K76" s="647">
        <v>1.7728349726366477</v>
      </c>
      <c r="L76" s="647">
        <v>26.788737867246695</v>
      </c>
      <c r="M76" s="647">
        <v>5.5399541720294136</v>
      </c>
      <c r="N76" s="647">
        <v>65.898689554178929</v>
      </c>
      <c r="O76" s="647">
        <v>2.8488909693950797</v>
      </c>
      <c r="P76" s="647">
        <v>517.78670767554593</v>
      </c>
      <c r="Q76" s="647">
        <v>34.989958988562719</v>
      </c>
      <c r="R76" s="647">
        <v>2.6636182112305002</v>
      </c>
      <c r="S76" s="647">
        <v>1352.8239014251965</v>
      </c>
      <c r="U76" s="646" t="s">
        <v>83</v>
      </c>
      <c r="V76" s="647">
        <v>1.2150050536449819</v>
      </c>
      <c r="W76" s="647">
        <v>0</v>
      </c>
      <c r="X76" s="647">
        <v>49.521889634108419</v>
      </c>
      <c r="Y76" s="647">
        <v>79.066149235448464</v>
      </c>
      <c r="Z76" s="647">
        <v>0</v>
      </c>
      <c r="AA76" s="647">
        <v>0</v>
      </c>
      <c r="AB76" s="647">
        <v>79.773094350274206</v>
      </c>
      <c r="AC76" s="647">
        <v>5.0087997966748192</v>
      </c>
      <c r="AD76" s="647">
        <v>73.574169013595338</v>
      </c>
      <c r="AE76" s="647">
        <v>57.347973175472191</v>
      </c>
      <c r="AF76" s="647">
        <v>103.02458403584798</v>
      </c>
      <c r="AG76" s="647">
        <v>7.0275496078674458</v>
      </c>
      <c r="AH76" s="647">
        <v>507.01391311627498</v>
      </c>
      <c r="AI76" s="647">
        <v>68.794771845590574</v>
      </c>
      <c r="AJ76" s="647">
        <v>13.478473773184128</v>
      </c>
      <c r="AK76" s="647">
        <v>1044.8463726379837</v>
      </c>
    </row>
    <row r="77" spans="3:37" ht="13.5">
      <c r="C77" s="641" t="s">
        <v>84</v>
      </c>
      <c r="D77" s="642">
        <v>0</v>
      </c>
      <c r="E77" s="642">
        <v>0</v>
      </c>
      <c r="F77" s="642">
        <v>106.83242416715484</v>
      </c>
      <c r="G77" s="642">
        <v>11.6186457489655</v>
      </c>
      <c r="H77" s="642">
        <v>0</v>
      </c>
      <c r="I77" s="642">
        <v>0</v>
      </c>
      <c r="J77" s="642">
        <v>0</v>
      </c>
      <c r="K77" s="642">
        <v>0</v>
      </c>
      <c r="L77" s="642">
        <v>0</v>
      </c>
      <c r="M77" s="642">
        <v>0</v>
      </c>
      <c r="N77" s="642">
        <v>0</v>
      </c>
      <c r="O77" s="642">
        <v>0</v>
      </c>
      <c r="P77" s="642">
        <v>0</v>
      </c>
      <c r="Q77" s="642">
        <v>0</v>
      </c>
      <c r="R77" s="642">
        <v>2.4159251561316859</v>
      </c>
      <c r="S77" s="650">
        <v>120.86699507225204</v>
      </c>
      <c r="U77" s="641" t="s">
        <v>84</v>
      </c>
      <c r="V77" s="642">
        <v>0</v>
      </c>
      <c r="W77" s="642">
        <v>0</v>
      </c>
      <c r="X77" s="642">
        <v>75.791608178670685</v>
      </c>
      <c r="Y77" s="642">
        <v>0.94004440148578539</v>
      </c>
      <c r="Z77" s="642">
        <v>0</v>
      </c>
      <c r="AA77" s="642">
        <v>0</v>
      </c>
      <c r="AB77" s="642">
        <v>0</v>
      </c>
      <c r="AC77" s="642">
        <v>0</v>
      </c>
      <c r="AD77" s="642">
        <v>21.99170920776367</v>
      </c>
      <c r="AE77" s="642">
        <v>0</v>
      </c>
      <c r="AF77" s="642">
        <v>0</v>
      </c>
      <c r="AG77" s="642">
        <v>0</v>
      </c>
      <c r="AH77" s="642">
        <v>0</v>
      </c>
      <c r="AI77" s="642">
        <v>0</v>
      </c>
      <c r="AJ77" s="642">
        <v>14.689922984619141</v>
      </c>
      <c r="AK77" s="650">
        <v>113.41328477253928</v>
      </c>
    </row>
    <row r="78" spans="3:37" ht="13.5">
      <c r="C78" s="646" t="s">
        <v>85</v>
      </c>
      <c r="D78" s="647">
        <v>4.9901668745901624</v>
      </c>
      <c r="E78" s="647">
        <v>0</v>
      </c>
      <c r="F78" s="647">
        <v>409.15632330599311</v>
      </c>
      <c r="G78" s="647">
        <v>282.17101066703543</v>
      </c>
      <c r="H78" s="647">
        <v>0</v>
      </c>
      <c r="I78" s="647">
        <v>0</v>
      </c>
      <c r="J78" s="647">
        <v>116.66807808287251</v>
      </c>
      <c r="K78" s="647">
        <v>1.7728349726366477</v>
      </c>
      <c r="L78" s="647">
        <v>26.788737867246695</v>
      </c>
      <c r="M78" s="647">
        <v>5.5399541720294136</v>
      </c>
      <c r="N78" s="647">
        <v>65.898689554178929</v>
      </c>
      <c r="O78" s="647">
        <v>2.8488909693950797</v>
      </c>
      <c r="P78" s="647">
        <v>517.78670767554593</v>
      </c>
      <c r="Q78" s="647">
        <v>34.989958988562719</v>
      </c>
      <c r="R78" s="647">
        <v>5.0795433673621861</v>
      </c>
      <c r="S78" s="647">
        <v>1473.6908964974484</v>
      </c>
      <c r="U78" s="646" t="s">
        <v>85</v>
      </c>
      <c r="V78" s="647">
        <v>1.2150050536449819</v>
      </c>
      <c r="W78" s="647">
        <v>0</v>
      </c>
      <c r="X78" s="647">
        <v>125.31349781277912</v>
      </c>
      <c r="Y78" s="647">
        <v>80.006193636934256</v>
      </c>
      <c r="Z78" s="647">
        <v>0</v>
      </c>
      <c r="AA78" s="647">
        <v>0</v>
      </c>
      <c r="AB78" s="647">
        <v>79.773094350274206</v>
      </c>
      <c r="AC78" s="647">
        <v>5.0087997966748192</v>
      </c>
      <c r="AD78" s="647">
        <v>95.565878221359014</v>
      </c>
      <c r="AE78" s="647">
        <v>57.347973175472191</v>
      </c>
      <c r="AF78" s="647">
        <v>103.02458403584798</v>
      </c>
      <c r="AG78" s="647">
        <v>7.0275496078674458</v>
      </c>
      <c r="AH78" s="647">
        <v>507.01391311627498</v>
      </c>
      <c r="AI78" s="647">
        <v>68.794771845590574</v>
      </c>
      <c r="AJ78" s="647">
        <v>28.168396757803269</v>
      </c>
      <c r="AK78" s="647">
        <v>1158.2596574105228</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364</v>
      </c>
      <c r="D80" s="699"/>
      <c r="E80" s="699"/>
      <c r="F80" s="699"/>
      <c r="G80" s="699"/>
      <c r="H80" s="699"/>
      <c r="I80" s="699"/>
      <c r="J80" s="699"/>
      <c r="K80" s="699"/>
      <c r="L80" s="699"/>
      <c r="M80" s="699"/>
      <c r="N80" s="699"/>
      <c r="O80" s="699"/>
      <c r="P80" s="699"/>
      <c r="Q80" s="699"/>
      <c r="R80" s="699"/>
      <c r="S80" s="699"/>
      <c r="U80" s="699" t="s">
        <v>364</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0</v>
      </c>
      <c r="F84" s="643">
        <v>0</v>
      </c>
      <c r="G84" s="642">
        <v>0</v>
      </c>
      <c r="H84" s="643">
        <v>843.18181818181824</v>
      </c>
      <c r="I84" s="643">
        <v>306.94588327561422</v>
      </c>
      <c r="J84" s="643">
        <v>187.92158364867245</v>
      </c>
      <c r="K84" s="643">
        <v>20.316638839186872</v>
      </c>
      <c r="L84" s="643">
        <v>0.58650482505924006</v>
      </c>
      <c r="M84" s="643">
        <v>0.15964026893196048</v>
      </c>
      <c r="N84" s="643">
        <v>67.964408038916218</v>
      </c>
      <c r="O84" s="643">
        <v>11.973026235836867</v>
      </c>
      <c r="P84" s="644">
        <v>0</v>
      </c>
      <c r="Q84" s="643">
        <v>0</v>
      </c>
      <c r="R84" s="643">
        <v>0</v>
      </c>
      <c r="S84" s="645">
        <v>1439.0495033140362</v>
      </c>
      <c r="U84" s="641" t="s">
        <v>59</v>
      </c>
      <c r="V84" s="642">
        <v>0</v>
      </c>
      <c r="W84" s="643">
        <v>0</v>
      </c>
      <c r="X84" s="643">
        <v>0</v>
      </c>
      <c r="Y84" s="642">
        <v>0</v>
      </c>
      <c r="Z84" s="643">
        <v>842.12121212121212</v>
      </c>
      <c r="AA84" s="643">
        <v>361.66588327561419</v>
      </c>
      <c r="AB84" s="643">
        <v>209.7499476733077</v>
      </c>
      <c r="AC84" s="643">
        <v>36.742499370225779</v>
      </c>
      <c r="AD84" s="643">
        <v>0.58650482505924006</v>
      </c>
      <c r="AE84" s="643">
        <v>0.15964026893196048</v>
      </c>
      <c r="AF84" s="643">
        <v>109.8518848230913</v>
      </c>
      <c r="AG84" s="643">
        <v>27.041217028647232</v>
      </c>
      <c r="AH84" s="644">
        <v>0</v>
      </c>
      <c r="AI84" s="643">
        <v>0</v>
      </c>
      <c r="AJ84" s="643">
        <v>0</v>
      </c>
      <c r="AK84" s="645">
        <v>1587.9187893860897</v>
      </c>
    </row>
    <row r="85" spans="3:37" ht="13.5">
      <c r="C85" s="641" t="s">
        <v>60</v>
      </c>
      <c r="D85" s="642">
        <v>47.14481987923083</v>
      </c>
      <c r="E85" s="643">
        <v>484.495467583368</v>
      </c>
      <c r="F85" s="643">
        <v>50.019697053221719</v>
      </c>
      <c r="G85" s="642">
        <v>326.09010493911637</v>
      </c>
      <c r="H85" s="643">
        <v>0</v>
      </c>
      <c r="I85" s="643">
        <v>0</v>
      </c>
      <c r="J85" s="643">
        <v>5.0764589906360387</v>
      </c>
      <c r="K85" s="643">
        <v>0</v>
      </c>
      <c r="L85" s="643">
        <v>2.7571319279134792</v>
      </c>
      <c r="M85" s="643">
        <v>0</v>
      </c>
      <c r="N85" s="643">
        <v>0</v>
      </c>
      <c r="O85" s="643">
        <v>0</v>
      </c>
      <c r="P85" s="644">
        <v>0</v>
      </c>
      <c r="Q85" s="643">
        <v>0</v>
      </c>
      <c r="R85" s="643">
        <v>0</v>
      </c>
      <c r="S85" s="645">
        <v>915.58368037348657</v>
      </c>
      <c r="U85" s="641" t="s">
        <v>60</v>
      </c>
      <c r="V85" s="642">
        <v>5.8768320762591904</v>
      </c>
      <c r="W85" s="643">
        <v>189.94114801549574</v>
      </c>
      <c r="X85" s="643">
        <v>14.41607041492888</v>
      </c>
      <c r="Y85" s="642">
        <v>81.728531694283333</v>
      </c>
      <c r="Z85" s="643">
        <v>0</v>
      </c>
      <c r="AA85" s="643">
        <v>0</v>
      </c>
      <c r="AB85" s="643">
        <v>5.0764589906360387</v>
      </c>
      <c r="AC85" s="643">
        <v>0</v>
      </c>
      <c r="AD85" s="643">
        <v>2.7571319279134792</v>
      </c>
      <c r="AE85" s="643">
        <v>0</v>
      </c>
      <c r="AF85" s="643">
        <v>0</v>
      </c>
      <c r="AG85" s="643">
        <v>0</v>
      </c>
      <c r="AH85" s="644">
        <v>0</v>
      </c>
      <c r="AI85" s="643">
        <v>0</v>
      </c>
      <c r="AJ85" s="643">
        <v>0</v>
      </c>
      <c r="AK85" s="645">
        <v>299.79617311951665</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-16.706363002811486</v>
      </c>
      <c r="Q86" s="643">
        <v>0</v>
      </c>
      <c r="R86" s="643">
        <v>0</v>
      </c>
      <c r="S86" s="645">
        <v>-16.706363002811486</v>
      </c>
      <c r="U86" s="641" t="s">
        <v>61</v>
      </c>
      <c r="V86" s="642">
        <v>0</v>
      </c>
      <c r="W86" s="643">
        <v>0</v>
      </c>
      <c r="X86" s="643">
        <v>-18.378136852904419</v>
      </c>
      <c r="Y86" s="642">
        <v>0</v>
      </c>
      <c r="Z86" s="643">
        <v>0</v>
      </c>
      <c r="AA86" s="643">
        <v>0</v>
      </c>
      <c r="AB86" s="643">
        <v>0</v>
      </c>
      <c r="AC86" s="643">
        <v>0</v>
      </c>
      <c r="AD86" s="643">
        <v>0</v>
      </c>
      <c r="AE86" s="643">
        <v>0</v>
      </c>
      <c r="AF86" s="643">
        <v>0</v>
      </c>
      <c r="AG86" s="643">
        <v>0</v>
      </c>
      <c r="AH86" s="644">
        <v>-20.522831714543145</v>
      </c>
      <c r="AI86" s="643">
        <v>0</v>
      </c>
      <c r="AJ86" s="643">
        <v>0</v>
      </c>
      <c r="AK86" s="645">
        <v>-38.900968567447563</v>
      </c>
    </row>
    <row r="87" spans="3:37" ht="13.5">
      <c r="C87" s="641" t="s">
        <v>62</v>
      </c>
      <c r="D87" s="642">
        <v>0</v>
      </c>
      <c r="E87" s="643">
        <v>0</v>
      </c>
      <c r="F87" s="643">
        <v>-15.257294848391862</v>
      </c>
      <c r="G87" s="642">
        <v>0</v>
      </c>
      <c r="H87" s="643">
        <v>0</v>
      </c>
      <c r="I87" s="643">
        <v>0</v>
      </c>
      <c r="J87" s="643">
        <v>0</v>
      </c>
      <c r="K87" s="643">
        <v>0</v>
      </c>
      <c r="L87" s="643">
        <v>0</v>
      </c>
      <c r="M87" s="643">
        <v>0</v>
      </c>
      <c r="N87" s="643">
        <v>0</v>
      </c>
      <c r="O87" s="643">
        <v>0</v>
      </c>
      <c r="P87" s="644">
        <v>0</v>
      </c>
      <c r="Q87" s="643">
        <v>0</v>
      </c>
      <c r="R87" s="643">
        <v>0</v>
      </c>
      <c r="S87" s="645">
        <v>-15.257294848391862</v>
      </c>
      <c r="U87" s="641" t="s">
        <v>62</v>
      </c>
      <c r="V87" s="642">
        <v>0</v>
      </c>
      <c r="W87" s="643">
        <v>0</v>
      </c>
      <c r="X87" s="643">
        <v>-7.5188933675233587</v>
      </c>
      <c r="Y87" s="642">
        <v>-2.1851276585702322</v>
      </c>
      <c r="Z87" s="643">
        <v>0</v>
      </c>
      <c r="AA87" s="643">
        <v>0</v>
      </c>
      <c r="AB87" s="643">
        <v>0</v>
      </c>
      <c r="AC87" s="643">
        <v>0</v>
      </c>
      <c r="AD87" s="643">
        <v>0</v>
      </c>
      <c r="AE87" s="643">
        <v>-2.1851276585702322</v>
      </c>
      <c r="AF87" s="643">
        <v>0</v>
      </c>
      <c r="AG87" s="643">
        <v>0</v>
      </c>
      <c r="AH87" s="644">
        <v>0</v>
      </c>
      <c r="AI87" s="643">
        <v>0</v>
      </c>
      <c r="AJ87" s="643">
        <v>0</v>
      </c>
      <c r="AK87" s="645">
        <v>-11.889148684663823</v>
      </c>
    </row>
    <row r="88" spans="3:37" ht="13.5">
      <c r="C88" s="641" t="s">
        <v>63</v>
      </c>
      <c r="D88" s="642">
        <v>0</v>
      </c>
      <c r="E88" s="643">
        <v>0</v>
      </c>
      <c r="F88" s="643">
        <v>-90.982589622358091</v>
      </c>
      <c r="G88" s="642">
        <v>0</v>
      </c>
      <c r="H88" s="643">
        <v>0</v>
      </c>
      <c r="I88" s="643">
        <v>0</v>
      </c>
      <c r="J88" s="643">
        <v>0</v>
      </c>
      <c r="K88" s="643">
        <v>0</v>
      </c>
      <c r="L88" s="643">
        <v>-0.93561585486744514</v>
      </c>
      <c r="M88" s="643">
        <v>0</v>
      </c>
      <c r="N88" s="643">
        <v>0</v>
      </c>
      <c r="O88" s="643">
        <v>0</v>
      </c>
      <c r="P88" s="644">
        <v>0</v>
      </c>
      <c r="Q88" s="643">
        <v>0</v>
      </c>
      <c r="R88" s="643">
        <v>0</v>
      </c>
      <c r="S88" s="645">
        <v>-91.918205477225541</v>
      </c>
      <c r="U88" s="641" t="s">
        <v>63</v>
      </c>
      <c r="V88" s="642">
        <v>0</v>
      </c>
      <c r="W88" s="643">
        <v>0</v>
      </c>
      <c r="X88" s="643">
        <v>-53.656928796434556</v>
      </c>
      <c r="Y88" s="642">
        <v>0</v>
      </c>
      <c r="Z88" s="643">
        <v>0</v>
      </c>
      <c r="AA88" s="643">
        <v>0</v>
      </c>
      <c r="AB88" s="643">
        <v>0</v>
      </c>
      <c r="AC88" s="643">
        <v>0</v>
      </c>
      <c r="AD88" s="643">
        <v>-28.297456853591466</v>
      </c>
      <c r="AE88" s="643">
        <v>0</v>
      </c>
      <c r="AF88" s="643">
        <v>0</v>
      </c>
      <c r="AG88" s="643">
        <v>0</v>
      </c>
      <c r="AH88" s="644">
        <v>0</v>
      </c>
      <c r="AI88" s="643">
        <v>0</v>
      </c>
      <c r="AJ88" s="643">
        <v>0</v>
      </c>
      <c r="AK88" s="645">
        <v>-81.954385650026026</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47.14481987923083</v>
      </c>
      <c r="E90" s="647">
        <v>484.495467583368</v>
      </c>
      <c r="F90" s="647">
        <v>-56.220187417528237</v>
      </c>
      <c r="G90" s="647">
        <v>326.09010493911637</v>
      </c>
      <c r="H90" s="647">
        <v>843.18181818181824</v>
      </c>
      <c r="I90" s="647">
        <v>306.94588327561422</v>
      </c>
      <c r="J90" s="647">
        <v>192.99804263930849</v>
      </c>
      <c r="K90" s="647">
        <v>20.316638839186872</v>
      </c>
      <c r="L90" s="647">
        <v>2.4080208981052738</v>
      </c>
      <c r="M90" s="647">
        <v>0.15964026893196048</v>
      </c>
      <c r="N90" s="647">
        <v>67.964408038916218</v>
      </c>
      <c r="O90" s="647">
        <v>11.973026235836867</v>
      </c>
      <c r="P90" s="647">
        <v>-16.706363002811486</v>
      </c>
      <c r="Q90" s="647">
        <v>0</v>
      </c>
      <c r="R90" s="647">
        <v>0</v>
      </c>
      <c r="S90" s="647">
        <v>2230.7513203590943</v>
      </c>
      <c r="U90" s="646" t="s">
        <v>65</v>
      </c>
      <c r="V90" s="647">
        <v>5.8768320762591904</v>
      </c>
      <c r="W90" s="647">
        <v>189.94114801549574</v>
      </c>
      <c r="X90" s="647">
        <v>-65.137888601933454</v>
      </c>
      <c r="Y90" s="647">
        <v>79.543404035713095</v>
      </c>
      <c r="Z90" s="647">
        <v>842.12121212121212</v>
      </c>
      <c r="AA90" s="647">
        <v>361.66588327561419</v>
      </c>
      <c r="AB90" s="647">
        <v>214.82640666394374</v>
      </c>
      <c r="AC90" s="647">
        <v>36.742499370225779</v>
      </c>
      <c r="AD90" s="647">
        <v>-24.953820100618749</v>
      </c>
      <c r="AE90" s="647">
        <v>-2.0254873896382719</v>
      </c>
      <c r="AF90" s="647">
        <v>109.8518848230913</v>
      </c>
      <c r="AG90" s="647">
        <v>27.041217028647232</v>
      </c>
      <c r="AH90" s="647">
        <v>-20.522831714543145</v>
      </c>
      <c r="AI90" s="647">
        <v>0</v>
      </c>
      <c r="AJ90" s="647">
        <v>0</v>
      </c>
      <c r="AK90" s="647">
        <v>1754.970459603469</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7.9230776783294274</v>
      </c>
      <c r="G93" s="642">
        <v>16.680851063829788</v>
      </c>
      <c r="H93" s="642">
        <v>843.18181818181824</v>
      </c>
      <c r="I93" s="642">
        <v>306.94588327561422</v>
      </c>
      <c r="J93" s="651">
        <v>28.98717588629853</v>
      </c>
      <c r="K93" s="651">
        <v>6.5903281241207718</v>
      </c>
      <c r="L93" s="651">
        <v>3.3436367529727189</v>
      </c>
      <c r="M93" s="651">
        <v>0.46654149749263618</v>
      </c>
      <c r="N93" s="651">
        <v>0</v>
      </c>
      <c r="O93" s="651">
        <v>7.0184114557160298</v>
      </c>
      <c r="P93" s="642">
        <v>-616.92993037811448</v>
      </c>
      <c r="Q93" s="642">
        <v>0</v>
      </c>
      <c r="R93" s="642">
        <v>0</v>
      </c>
      <c r="S93" s="650">
        <v>607.03457917910316</v>
      </c>
      <c r="U93" s="648" t="s">
        <v>350</v>
      </c>
      <c r="V93" s="642">
        <v>0.62631490545869017</v>
      </c>
      <c r="W93" s="642">
        <v>0</v>
      </c>
      <c r="X93" s="642">
        <v>4.0594413146930641</v>
      </c>
      <c r="Y93" s="642">
        <v>2.3404255319148937</v>
      </c>
      <c r="Z93" s="642">
        <v>842.12121212121212</v>
      </c>
      <c r="AA93" s="642">
        <v>361.66588327561419</v>
      </c>
      <c r="AB93" s="651">
        <v>23.182357378111952</v>
      </c>
      <c r="AC93" s="651">
        <v>5.3775678130216455</v>
      </c>
      <c r="AD93" s="651">
        <v>3.3436367529727189</v>
      </c>
      <c r="AE93" s="651">
        <v>2.4665414974926363</v>
      </c>
      <c r="AF93" s="651">
        <v>0</v>
      </c>
      <c r="AG93" s="651">
        <v>7.0184114557160298</v>
      </c>
      <c r="AH93" s="642">
        <v>-662.7499303781143</v>
      </c>
      <c r="AI93" s="642">
        <v>0</v>
      </c>
      <c r="AJ93" s="642">
        <v>4.25</v>
      </c>
      <c r="AK93" s="650">
        <v>593.70186166809344</v>
      </c>
    </row>
    <row r="94" spans="3:37" ht="13.5">
      <c r="C94" s="648" t="s">
        <v>351</v>
      </c>
      <c r="D94" s="642">
        <v>0</v>
      </c>
      <c r="E94" s="642">
        <v>0</v>
      </c>
      <c r="F94" s="642">
        <v>0</v>
      </c>
      <c r="G94" s="642">
        <v>14.843815057329421</v>
      </c>
      <c r="H94" s="642">
        <v>0</v>
      </c>
      <c r="I94" s="642">
        <v>0</v>
      </c>
      <c r="J94" s="651">
        <v>12.357161229114668</v>
      </c>
      <c r="K94" s="651">
        <v>11.882304060636951</v>
      </c>
      <c r="L94" s="651">
        <v>0</v>
      </c>
      <c r="M94" s="651">
        <v>0.31804644322561132</v>
      </c>
      <c r="N94" s="651">
        <v>0</v>
      </c>
      <c r="O94" s="651">
        <v>2.0992086164963606</v>
      </c>
      <c r="P94" s="642">
        <v>0</v>
      </c>
      <c r="Q94" s="642">
        <v>-37.805081951347923</v>
      </c>
      <c r="R94" s="642">
        <v>0</v>
      </c>
      <c r="S94" s="650">
        <v>3.6954534554550835</v>
      </c>
      <c r="U94" s="648" t="s">
        <v>351</v>
      </c>
      <c r="V94" s="642">
        <v>0</v>
      </c>
      <c r="W94" s="642">
        <v>0</v>
      </c>
      <c r="X94" s="642">
        <v>0</v>
      </c>
      <c r="Y94" s="642">
        <v>6.4668066457611202</v>
      </c>
      <c r="Z94" s="642">
        <v>0</v>
      </c>
      <c r="AA94" s="642">
        <v>0</v>
      </c>
      <c r="AB94" s="651">
        <v>28.361573193229066</v>
      </c>
      <c r="AC94" s="651">
        <v>26.076316433417247</v>
      </c>
      <c r="AD94" s="651">
        <v>0</v>
      </c>
      <c r="AE94" s="651">
        <v>6.4819180878167435</v>
      </c>
      <c r="AF94" s="651">
        <v>0</v>
      </c>
      <c r="AG94" s="651">
        <v>12.550380584079129</v>
      </c>
      <c r="AH94" s="642">
        <v>0</v>
      </c>
      <c r="AI94" s="642">
        <v>-74.043519390541746</v>
      </c>
      <c r="AJ94" s="642">
        <v>0</v>
      </c>
      <c r="AK94" s="650">
        <v>5.8934755537615651</v>
      </c>
    </row>
    <row r="95" spans="3:37" ht="13.5">
      <c r="C95" s="648" t="s">
        <v>352</v>
      </c>
      <c r="D95" s="642">
        <v>0</v>
      </c>
      <c r="E95" s="642">
        <v>0</v>
      </c>
      <c r="F95" s="642">
        <v>0</v>
      </c>
      <c r="G95" s="642">
        <v>0</v>
      </c>
      <c r="H95" s="642">
        <v>0</v>
      </c>
      <c r="I95" s="642">
        <v>0</v>
      </c>
      <c r="J95" s="652">
        <v>6.8755991242523775</v>
      </c>
      <c r="K95" s="652">
        <v>0</v>
      </c>
      <c r="L95" s="652">
        <v>0</v>
      </c>
      <c r="M95" s="652">
        <v>-6.4200906822706569</v>
      </c>
      <c r="N95" s="652">
        <v>0</v>
      </c>
      <c r="O95" s="652">
        <v>0</v>
      </c>
      <c r="P95" s="642">
        <v>0</v>
      </c>
      <c r="Q95" s="642">
        <v>0</v>
      </c>
      <c r="R95" s="642">
        <v>0</v>
      </c>
      <c r="S95" s="650">
        <v>0.45550844198172058</v>
      </c>
      <c r="U95" s="648" t="s">
        <v>352</v>
      </c>
      <c r="V95" s="642">
        <v>0</v>
      </c>
      <c r="W95" s="642">
        <v>0</v>
      </c>
      <c r="X95" s="642">
        <v>0</v>
      </c>
      <c r="Y95" s="642">
        <v>0</v>
      </c>
      <c r="Z95" s="642">
        <v>0</v>
      </c>
      <c r="AA95" s="642">
        <v>0</v>
      </c>
      <c r="AB95" s="652">
        <v>86.654179241552072</v>
      </c>
      <c r="AC95" s="652">
        <v>0</v>
      </c>
      <c r="AD95" s="652">
        <v>0</v>
      </c>
      <c r="AE95" s="652">
        <v>-80.913339866799248</v>
      </c>
      <c r="AF95" s="652">
        <v>0</v>
      </c>
      <c r="AG95" s="652">
        <v>0</v>
      </c>
      <c r="AH95" s="642">
        <v>0</v>
      </c>
      <c r="AI95" s="642">
        <v>0</v>
      </c>
      <c r="AJ95" s="642">
        <v>0</v>
      </c>
      <c r="AK95" s="650">
        <v>5.7408393747528237</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501.8858109321676</v>
      </c>
      <c r="F97" s="642">
        <v>-496.86695282284592</v>
      </c>
      <c r="G97" s="642">
        <v>0</v>
      </c>
      <c r="H97" s="642">
        <v>0</v>
      </c>
      <c r="I97" s="642">
        <v>0</v>
      </c>
      <c r="J97" s="642">
        <v>0</v>
      </c>
      <c r="K97" s="642">
        <v>0</v>
      </c>
      <c r="L97" s="642">
        <v>0</v>
      </c>
      <c r="M97" s="642">
        <v>0</v>
      </c>
      <c r="N97" s="642">
        <v>0</v>
      </c>
      <c r="O97" s="642">
        <v>0</v>
      </c>
      <c r="P97" s="642">
        <v>0</v>
      </c>
      <c r="Q97" s="642">
        <v>0</v>
      </c>
      <c r="R97" s="642">
        <v>0</v>
      </c>
      <c r="S97" s="650">
        <v>5.018858109321684</v>
      </c>
      <c r="U97" s="648" t="s">
        <v>72</v>
      </c>
      <c r="V97" s="642">
        <v>0</v>
      </c>
      <c r="W97" s="642">
        <v>196.75884188687598</v>
      </c>
      <c r="X97" s="642">
        <v>-194.79125346800723</v>
      </c>
      <c r="Y97" s="642">
        <v>0</v>
      </c>
      <c r="Z97" s="642">
        <v>0</v>
      </c>
      <c r="AA97" s="642">
        <v>0</v>
      </c>
      <c r="AB97" s="642">
        <v>0</v>
      </c>
      <c r="AC97" s="642">
        <v>0</v>
      </c>
      <c r="AD97" s="642">
        <v>0</v>
      </c>
      <c r="AE97" s="642">
        <v>0</v>
      </c>
      <c r="AF97" s="642">
        <v>0</v>
      </c>
      <c r="AG97" s="642">
        <v>0</v>
      </c>
      <c r="AH97" s="642">
        <v>0</v>
      </c>
      <c r="AI97" s="642">
        <v>0</v>
      </c>
      <c r="AJ97" s="642">
        <v>0</v>
      </c>
      <c r="AK97" s="650">
        <v>1.9675884188687576</v>
      </c>
    </row>
    <row r="98" spans="3:37" ht="13.5">
      <c r="C98" s="648" t="s">
        <v>354</v>
      </c>
      <c r="D98" s="642">
        <v>0</v>
      </c>
      <c r="E98" s="642">
        <v>0</v>
      </c>
      <c r="F98" s="642">
        <v>0</v>
      </c>
      <c r="G98" s="642">
        <v>0</v>
      </c>
      <c r="H98" s="642">
        <v>0</v>
      </c>
      <c r="I98" s="642">
        <v>0</v>
      </c>
      <c r="J98" s="642">
        <v>26.867608526350821</v>
      </c>
      <c r="K98" s="642">
        <v>0</v>
      </c>
      <c r="L98" s="642">
        <v>-26.867608526350821</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-99.513749603669936</v>
      </c>
      <c r="AE98" s="642">
        <v>0</v>
      </c>
      <c r="AF98" s="642">
        <v>0</v>
      </c>
      <c r="AG98" s="642">
        <v>0</v>
      </c>
      <c r="AH98" s="642">
        <v>0</v>
      </c>
      <c r="AI98" s="642">
        <v>0</v>
      </c>
      <c r="AJ98" s="642">
        <v>0</v>
      </c>
      <c r="AK98" s="650">
        <v>-99.513749603669936</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-17.985934640167208</v>
      </c>
      <c r="AE99" s="642">
        <v>0</v>
      </c>
      <c r="AF99" s="642">
        <v>0</v>
      </c>
      <c r="AG99" s="642">
        <v>0</v>
      </c>
      <c r="AH99" s="642">
        <v>0</v>
      </c>
      <c r="AI99" s="642">
        <v>0</v>
      </c>
      <c r="AJ99" s="642">
        <v>0</v>
      </c>
      <c r="AK99" s="650">
        <v>-17.985934640167208</v>
      </c>
    </row>
    <row r="100" spans="3:37" ht="13.5">
      <c r="C100" s="648" t="s">
        <v>73</v>
      </c>
      <c r="D100" s="642">
        <v>0</v>
      </c>
      <c r="E100" s="642">
        <v>0</v>
      </c>
      <c r="F100" s="642">
        <v>0</v>
      </c>
      <c r="G100" s="642">
        <v>7.0830222331165276</v>
      </c>
      <c r="H100" s="642">
        <v>0</v>
      </c>
      <c r="I100" s="642">
        <v>0</v>
      </c>
      <c r="J100" s="642">
        <v>0</v>
      </c>
      <c r="K100" s="642">
        <v>8.2131519400701847E-2</v>
      </c>
      <c r="L100" s="642">
        <v>0</v>
      </c>
      <c r="M100" s="642">
        <v>0.14455147414523528</v>
      </c>
      <c r="N100" s="642">
        <v>0</v>
      </c>
      <c r="O100" s="642">
        <v>0</v>
      </c>
      <c r="P100" s="642">
        <v>0.90023160054861806</v>
      </c>
      <c r="Q100" s="642">
        <v>0</v>
      </c>
      <c r="R100" s="642">
        <v>-5.7492063580491291</v>
      </c>
      <c r="S100" s="650">
        <v>2.4607304691619536</v>
      </c>
      <c r="U100" s="648" t="s">
        <v>73</v>
      </c>
      <c r="V100" s="642">
        <v>0</v>
      </c>
      <c r="W100" s="642">
        <v>0</v>
      </c>
      <c r="X100" s="642">
        <v>0</v>
      </c>
      <c r="Y100" s="642">
        <v>2.5209228009552263</v>
      </c>
      <c r="Z100" s="642">
        <v>0</v>
      </c>
      <c r="AA100" s="642">
        <v>0</v>
      </c>
      <c r="AB100" s="642">
        <v>0</v>
      </c>
      <c r="AC100" s="642">
        <v>0.50418456019104518</v>
      </c>
      <c r="AD100" s="642">
        <v>0</v>
      </c>
      <c r="AE100" s="642">
        <v>2.5209228009552263</v>
      </c>
      <c r="AF100" s="642">
        <v>0</v>
      </c>
      <c r="AG100" s="642">
        <v>0</v>
      </c>
      <c r="AH100" s="642">
        <v>44.712737508757456</v>
      </c>
      <c r="AI100" s="642">
        <v>0</v>
      </c>
      <c r="AJ100" s="642">
        <v>-35.29291921337316</v>
      </c>
      <c r="AK100" s="650">
        <v>14.965848457485791</v>
      </c>
    </row>
    <row r="101" spans="3:37" ht="13.5">
      <c r="C101" s="648" t="s">
        <v>356</v>
      </c>
      <c r="D101" s="642">
        <v>28.568314687499999</v>
      </c>
      <c r="E101" s="642">
        <v>-17.390343348799608</v>
      </c>
      <c r="F101" s="642">
        <v>22.745541936068136</v>
      </c>
      <c r="G101" s="642">
        <v>0</v>
      </c>
      <c r="H101" s="642">
        <v>0</v>
      </c>
      <c r="I101" s="642">
        <v>0</v>
      </c>
      <c r="J101" s="642">
        <v>0</v>
      </c>
      <c r="K101" s="642">
        <v>0</v>
      </c>
      <c r="L101" s="642">
        <v>0</v>
      </c>
      <c r="M101" s="642">
        <v>0</v>
      </c>
      <c r="N101" s="642">
        <v>0</v>
      </c>
      <c r="O101" s="642">
        <v>0</v>
      </c>
      <c r="P101" s="642">
        <v>0</v>
      </c>
      <c r="Q101" s="642">
        <v>0</v>
      </c>
      <c r="R101" s="642">
        <v>0</v>
      </c>
      <c r="S101" s="650">
        <v>33.923513274768524</v>
      </c>
      <c r="U101" s="648" t="s">
        <v>356</v>
      </c>
      <c r="V101" s="642">
        <v>1.4001075134277343</v>
      </c>
      <c r="W101" s="642">
        <v>-6.8176938713802535</v>
      </c>
      <c r="X101" s="642">
        <v>8.9171408952922331</v>
      </c>
      <c r="Y101" s="642">
        <v>0</v>
      </c>
      <c r="Z101" s="642">
        <v>0</v>
      </c>
      <c r="AA101" s="642">
        <v>0</v>
      </c>
      <c r="AB101" s="642">
        <v>0</v>
      </c>
      <c r="AC101" s="642">
        <v>0</v>
      </c>
      <c r="AD101" s="642">
        <v>0</v>
      </c>
      <c r="AE101" s="642">
        <v>0</v>
      </c>
      <c r="AF101" s="642">
        <v>0</v>
      </c>
      <c r="AG101" s="642">
        <v>0</v>
      </c>
      <c r="AH101" s="642">
        <v>0</v>
      </c>
      <c r="AI101" s="642">
        <v>0</v>
      </c>
      <c r="AJ101" s="642">
        <v>0</v>
      </c>
      <c r="AK101" s="650">
        <v>3.4995545373397139</v>
      </c>
    </row>
    <row r="102" spans="3:37" ht="13.5">
      <c r="C102" s="648" t="s">
        <v>75</v>
      </c>
      <c r="D102" s="642">
        <v>11.109900156250001</v>
      </c>
      <c r="E102" s="642">
        <v>0</v>
      </c>
      <c r="F102" s="642">
        <v>17.0641175716937</v>
      </c>
      <c r="G102" s="642">
        <v>4.8692961376638904</v>
      </c>
      <c r="H102" s="642">
        <v>0</v>
      </c>
      <c r="I102" s="642">
        <v>0</v>
      </c>
      <c r="J102" s="642">
        <v>0</v>
      </c>
      <c r="K102" s="642">
        <v>0</v>
      </c>
      <c r="L102" s="642">
        <v>0</v>
      </c>
      <c r="M102" s="642">
        <v>9.9373390564569189E-2</v>
      </c>
      <c r="N102" s="642">
        <v>0</v>
      </c>
      <c r="O102" s="642">
        <v>0</v>
      </c>
      <c r="P102" s="642">
        <v>27.977940148174714</v>
      </c>
      <c r="Q102" s="642">
        <v>0</v>
      </c>
      <c r="R102" s="642">
        <v>0</v>
      </c>
      <c r="S102" s="650">
        <v>61.12062740434687</v>
      </c>
      <c r="U102" s="648" t="s">
        <v>75</v>
      </c>
      <c r="V102" s="642">
        <v>2.585423095703125</v>
      </c>
      <c r="W102" s="642">
        <v>0</v>
      </c>
      <c r="X102" s="642">
        <v>17.0641175716937</v>
      </c>
      <c r="Y102" s="642">
        <v>2.4843347641142297</v>
      </c>
      <c r="Z102" s="642">
        <v>0</v>
      </c>
      <c r="AA102" s="642">
        <v>0</v>
      </c>
      <c r="AB102" s="642">
        <v>0</v>
      </c>
      <c r="AC102" s="642">
        <v>0</v>
      </c>
      <c r="AD102" s="642">
        <v>0</v>
      </c>
      <c r="AE102" s="642">
        <v>2.4843347641142297</v>
      </c>
      <c r="AF102" s="642">
        <v>0</v>
      </c>
      <c r="AG102" s="642">
        <v>0</v>
      </c>
      <c r="AH102" s="642">
        <v>36.559985602720168</v>
      </c>
      <c r="AI102" s="642">
        <v>0</v>
      </c>
      <c r="AJ102" s="642">
        <v>0</v>
      </c>
      <c r="AK102" s="650">
        <v>61.178195798345449</v>
      </c>
    </row>
    <row r="103" spans="3:37" ht="13.5">
      <c r="C103" s="648" t="s">
        <v>76</v>
      </c>
      <c r="D103" s="642">
        <v>0</v>
      </c>
      <c r="E103" s="642">
        <v>0</v>
      </c>
      <c r="F103" s="642">
        <v>0</v>
      </c>
      <c r="G103" s="642">
        <v>3.7302503173667452</v>
      </c>
      <c r="H103" s="642">
        <v>0</v>
      </c>
      <c r="I103" s="642">
        <v>0</v>
      </c>
      <c r="J103" s="642">
        <v>0</v>
      </c>
      <c r="K103" s="642">
        <v>0</v>
      </c>
      <c r="L103" s="642">
        <v>0</v>
      </c>
      <c r="M103" s="642">
        <v>7.6127557497280507E-2</v>
      </c>
      <c r="N103" s="642">
        <v>0</v>
      </c>
      <c r="O103" s="642">
        <v>0</v>
      </c>
      <c r="P103" s="642">
        <v>45.919010237367587</v>
      </c>
      <c r="Q103" s="642">
        <v>2.9343505562312622</v>
      </c>
      <c r="R103" s="642">
        <v>0</v>
      </c>
      <c r="S103" s="650">
        <v>52.659738668462872</v>
      </c>
      <c r="U103" s="648" t="s">
        <v>76</v>
      </c>
      <c r="V103" s="642">
        <v>0</v>
      </c>
      <c r="W103" s="642">
        <v>0</v>
      </c>
      <c r="X103" s="642">
        <v>0</v>
      </c>
      <c r="Y103" s="642">
        <v>0.95944671778813329</v>
      </c>
      <c r="Z103" s="642">
        <v>0</v>
      </c>
      <c r="AA103" s="642">
        <v>0</v>
      </c>
      <c r="AB103" s="642">
        <v>0</v>
      </c>
      <c r="AC103" s="642">
        <v>0</v>
      </c>
      <c r="AD103" s="642">
        <v>0</v>
      </c>
      <c r="AE103" s="642">
        <v>0.95944671778813329</v>
      </c>
      <c r="AF103" s="642">
        <v>0</v>
      </c>
      <c r="AG103" s="642">
        <v>0</v>
      </c>
      <c r="AH103" s="642">
        <v>49.138117436745475</v>
      </c>
      <c r="AI103" s="642">
        <v>5.7424951548403769</v>
      </c>
      <c r="AJ103" s="642">
        <v>0</v>
      </c>
      <c r="AK103" s="650">
        <v>56.799506027162117</v>
      </c>
    </row>
    <row r="104" spans="3:37" ht="13.5">
      <c r="C104" s="646" t="s">
        <v>77</v>
      </c>
      <c r="D104" s="647">
        <v>42.505000484775252</v>
      </c>
      <c r="E104" s="647">
        <v>484.495467583368</v>
      </c>
      <c r="F104" s="647">
        <v>-449.13421563675462</v>
      </c>
      <c r="G104" s="647">
        <v>47.207234809306371</v>
      </c>
      <c r="H104" s="647">
        <v>843.18181818181824</v>
      </c>
      <c r="I104" s="647">
        <v>306.94588327561422</v>
      </c>
      <c r="J104" s="647">
        <v>75.087544766016393</v>
      </c>
      <c r="K104" s="647">
        <v>18.554763704158422</v>
      </c>
      <c r="L104" s="647">
        <v>-23.523971773378101</v>
      </c>
      <c r="M104" s="647">
        <v>-5.3154503193453246</v>
      </c>
      <c r="N104" s="647">
        <v>0</v>
      </c>
      <c r="O104" s="647">
        <v>9.1176200722123912</v>
      </c>
      <c r="P104" s="647">
        <v>-542.13274839202359</v>
      </c>
      <c r="Q104" s="647">
        <v>-34.870731395116664</v>
      </c>
      <c r="R104" s="647">
        <v>-5.7492063580491291</v>
      </c>
      <c r="S104" s="647">
        <v>766.36900900260184</v>
      </c>
      <c r="U104" s="646" t="s">
        <v>77</v>
      </c>
      <c r="V104" s="647">
        <v>4.6118455145895494</v>
      </c>
      <c r="W104" s="647">
        <v>189.94114801549574</v>
      </c>
      <c r="X104" s="647">
        <v>-164.75055368632826</v>
      </c>
      <c r="Y104" s="647">
        <v>14.771936460533603</v>
      </c>
      <c r="Z104" s="647">
        <v>842.12121212121212</v>
      </c>
      <c r="AA104" s="647">
        <v>361.66588327561419</v>
      </c>
      <c r="AB104" s="647">
        <v>138.19810981289308</v>
      </c>
      <c r="AC104" s="647">
        <v>31.958068806629939</v>
      </c>
      <c r="AD104" s="647">
        <v>-114.15604749086444</v>
      </c>
      <c r="AE104" s="647">
        <v>-66.000175998632287</v>
      </c>
      <c r="AF104" s="647">
        <v>0</v>
      </c>
      <c r="AG104" s="647">
        <v>19.568792039795159</v>
      </c>
      <c r="AH104" s="647">
        <v>-532.33908982989124</v>
      </c>
      <c r="AI104" s="647">
        <v>-68.301024235701377</v>
      </c>
      <c r="AJ104" s="647">
        <v>-31.04291921337316</v>
      </c>
      <c r="AK104" s="647">
        <v>626.24718559197242</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4.6398193944555786</v>
      </c>
      <c r="E106" s="642">
        <v>0</v>
      </c>
      <c r="F106" s="642">
        <v>20.598782441852151</v>
      </c>
      <c r="G106" s="642">
        <v>94.839699954986926</v>
      </c>
      <c r="H106" s="642">
        <v>0</v>
      </c>
      <c r="I106" s="642">
        <v>0</v>
      </c>
      <c r="J106" s="642">
        <v>21.821162214793436</v>
      </c>
      <c r="K106" s="642">
        <v>1.7366010173968038</v>
      </c>
      <c r="L106" s="642">
        <v>0.96096945898437491</v>
      </c>
      <c r="M106" s="642">
        <v>1.9539169420126139</v>
      </c>
      <c r="N106" s="642">
        <v>0</v>
      </c>
      <c r="O106" s="642">
        <v>3.7537634069694789E-4</v>
      </c>
      <c r="P106" s="642">
        <v>113.419965125608</v>
      </c>
      <c r="Q106" s="642">
        <v>16.150451210263412</v>
      </c>
      <c r="R106" s="642">
        <v>0.26695886230468752</v>
      </c>
      <c r="S106" s="650">
        <v>276.38870199899873</v>
      </c>
      <c r="U106" s="648" t="s">
        <v>78</v>
      </c>
      <c r="V106" s="642">
        <v>1.264986561669641</v>
      </c>
      <c r="W106" s="642">
        <v>0</v>
      </c>
      <c r="X106" s="642">
        <v>4.4259635061357878</v>
      </c>
      <c r="Y106" s="642">
        <v>33.008089674756327</v>
      </c>
      <c r="Z106" s="642">
        <v>0</v>
      </c>
      <c r="AA106" s="642">
        <v>0</v>
      </c>
      <c r="AB106" s="642">
        <v>14.926911405045434</v>
      </c>
      <c r="AC106" s="642">
        <v>4.7591564459641997</v>
      </c>
      <c r="AD106" s="642">
        <v>6.4130046386718744</v>
      </c>
      <c r="AE106" s="642">
        <v>33.02650253605492</v>
      </c>
      <c r="AF106" s="642">
        <v>0</v>
      </c>
      <c r="AG106" s="642">
        <v>3.7537634069694789E-4</v>
      </c>
      <c r="AH106" s="642">
        <v>148.98135712801343</v>
      </c>
      <c r="AI106" s="642">
        <v>24.187634778338289</v>
      </c>
      <c r="AJ106" s="642">
        <v>7.9027373046875002</v>
      </c>
      <c r="AK106" s="650">
        <v>278.8967193556781</v>
      </c>
    </row>
    <row r="107" spans="3:37" ht="13.5">
      <c r="C107" s="648" t="s">
        <v>79</v>
      </c>
      <c r="D107" s="642">
        <v>0</v>
      </c>
      <c r="E107" s="642">
        <v>0</v>
      </c>
      <c r="F107" s="642">
        <v>225.72324837131151</v>
      </c>
      <c r="G107" s="642">
        <v>31.930807664827714</v>
      </c>
      <c r="H107" s="642">
        <v>0</v>
      </c>
      <c r="I107" s="642">
        <v>0</v>
      </c>
      <c r="J107" s="642">
        <v>0</v>
      </c>
      <c r="K107" s="642">
        <v>0</v>
      </c>
      <c r="L107" s="642">
        <v>21.777356740546686</v>
      </c>
      <c r="M107" s="642">
        <v>0.65164913601689212</v>
      </c>
      <c r="N107" s="642">
        <v>0</v>
      </c>
      <c r="O107" s="642">
        <v>0</v>
      </c>
      <c r="P107" s="642">
        <v>72.885841088882287</v>
      </c>
      <c r="Q107" s="642">
        <v>0</v>
      </c>
      <c r="R107" s="642">
        <v>2.6521266956987635</v>
      </c>
      <c r="S107" s="650">
        <v>355.62102969728386</v>
      </c>
      <c r="U107" s="648" t="s">
        <v>79</v>
      </c>
      <c r="V107" s="642">
        <v>0</v>
      </c>
      <c r="W107" s="642">
        <v>0</v>
      </c>
      <c r="X107" s="642">
        <v>19.003305935487372</v>
      </c>
      <c r="Y107" s="642">
        <v>13.267062862305856</v>
      </c>
      <c r="Z107" s="642">
        <v>0</v>
      </c>
      <c r="AA107" s="642">
        <v>0</v>
      </c>
      <c r="AB107" s="642">
        <v>0</v>
      </c>
      <c r="AC107" s="642">
        <v>0</v>
      </c>
      <c r="AD107" s="642">
        <v>27.757428454399612</v>
      </c>
      <c r="AE107" s="642">
        <v>13.267062862305856</v>
      </c>
      <c r="AF107" s="642">
        <v>0</v>
      </c>
      <c r="AG107" s="642">
        <v>0</v>
      </c>
      <c r="AH107" s="642">
        <v>94.556676700547257</v>
      </c>
      <c r="AI107" s="642">
        <v>0</v>
      </c>
      <c r="AJ107" s="642">
        <v>6.3130917169295051</v>
      </c>
      <c r="AK107" s="650">
        <v>174.16462853197544</v>
      </c>
    </row>
    <row r="108" spans="3:37" ht="13.5">
      <c r="C108" s="648" t="s">
        <v>80</v>
      </c>
      <c r="D108" s="642">
        <v>0</v>
      </c>
      <c r="E108" s="642">
        <v>0</v>
      </c>
      <c r="F108" s="642">
        <v>11.075929176351762</v>
      </c>
      <c r="G108" s="642">
        <v>76.664751333295058</v>
      </c>
      <c r="H108" s="642">
        <v>0</v>
      </c>
      <c r="I108" s="642">
        <v>0</v>
      </c>
      <c r="J108" s="642">
        <v>88.320247059496523</v>
      </c>
      <c r="K108" s="642">
        <v>0</v>
      </c>
      <c r="L108" s="642">
        <v>0</v>
      </c>
      <c r="M108" s="642">
        <v>1.5645867619039808</v>
      </c>
      <c r="N108" s="642">
        <v>59.616390446150973</v>
      </c>
      <c r="O108" s="642">
        <v>2.0734984243972754</v>
      </c>
      <c r="P108" s="642">
        <v>190.93239321884863</v>
      </c>
      <c r="Q108" s="642">
        <v>15.360003531773184</v>
      </c>
      <c r="R108" s="642">
        <v>0</v>
      </c>
      <c r="S108" s="650">
        <v>445.60779995221742</v>
      </c>
      <c r="U108" s="648" t="s">
        <v>80</v>
      </c>
      <c r="V108" s="642">
        <v>0</v>
      </c>
      <c r="W108" s="642">
        <v>0</v>
      </c>
      <c r="X108" s="642">
        <v>0.97925934500211753</v>
      </c>
      <c r="Y108" s="642">
        <v>9.8253088649292142</v>
      </c>
      <c r="Z108" s="642">
        <v>0</v>
      </c>
      <c r="AA108" s="642">
        <v>0</v>
      </c>
      <c r="AB108" s="642">
        <v>50.204880630535357</v>
      </c>
      <c r="AC108" s="642">
        <v>0</v>
      </c>
      <c r="AD108" s="642">
        <v>0</v>
      </c>
      <c r="AE108" s="642">
        <v>9.8253088649292142</v>
      </c>
      <c r="AF108" s="642">
        <v>95.02342184325245</v>
      </c>
      <c r="AG108" s="642">
        <v>4.208312775429496</v>
      </c>
      <c r="AH108" s="642">
        <v>144.38732956018927</v>
      </c>
      <c r="AI108" s="642">
        <v>30.75075127630511</v>
      </c>
      <c r="AJ108" s="642">
        <v>0</v>
      </c>
      <c r="AK108" s="650">
        <v>345.20457316057224</v>
      </c>
    </row>
    <row r="109" spans="3:37" ht="13.5">
      <c r="C109" s="648" t="s">
        <v>81</v>
      </c>
      <c r="D109" s="642">
        <v>0</v>
      </c>
      <c r="E109" s="642">
        <v>0</v>
      </c>
      <c r="F109" s="642">
        <v>2.6743117433405894</v>
      </c>
      <c r="G109" s="642">
        <v>62.987223173923248</v>
      </c>
      <c r="H109" s="642">
        <v>0</v>
      </c>
      <c r="I109" s="642">
        <v>0</v>
      </c>
      <c r="J109" s="642">
        <v>3.1384766478070549</v>
      </c>
      <c r="K109" s="642">
        <v>2.5274117631643136E-2</v>
      </c>
      <c r="L109" s="642">
        <v>0</v>
      </c>
      <c r="M109" s="642">
        <v>1.2854535341616988</v>
      </c>
      <c r="N109" s="642">
        <v>8.34801759276524</v>
      </c>
      <c r="O109" s="642">
        <v>0.71507622546549865</v>
      </c>
      <c r="P109" s="642">
        <v>142.0321146826426</v>
      </c>
      <c r="Q109" s="642">
        <v>3.3602766530800707</v>
      </c>
      <c r="R109" s="642">
        <v>0</v>
      </c>
      <c r="S109" s="650">
        <v>224.56622437081765</v>
      </c>
      <c r="U109" s="648" t="s">
        <v>81</v>
      </c>
      <c r="V109" s="642">
        <v>0</v>
      </c>
      <c r="W109" s="642">
        <v>0</v>
      </c>
      <c r="X109" s="642">
        <v>1.2256055704751125</v>
      </c>
      <c r="Y109" s="642">
        <v>7.2918833253665882</v>
      </c>
      <c r="Z109" s="642">
        <v>0</v>
      </c>
      <c r="AA109" s="642">
        <v>0</v>
      </c>
      <c r="AB109" s="642">
        <v>6.8658928642747856</v>
      </c>
      <c r="AC109" s="642">
        <v>2.5274117631643136E-2</v>
      </c>
      <c r="AD109" s="642">
        <v>0</v>
      </c>
      <c r="AE109" s="642">
        <v>7.2918833253665882</v>
      </c>
      <c r="AF109" s="642">
        <v>14.828462979838848</v>
      </c>
      <c r="AG109" s="642">
        <v>1.5197231438340593</v>
      </c>
      <c r="AH109" s="642">
        <v>114.40426288608282</v>
      </c>
      <c r="AI109" s="642">
        <v>13.362638181057982</v>
      </c>
      <c r="AJ109" s="642">
        <v>0</v>
      </c>
      <c r="AK109" s="650">
        <v>166.8156263939284</v>
      </c>
    </row>
    <row r="110" spans="3:37" ht="13.5">
      <c r="C110" s="648" t="s">
        <v>82</v>
      </c>
      <c r="D110" s="642">
        <v>0</v>
      </c>
      <c r="E110" s="642">
        <v>0</v>
      </c>
      <c r="F110" s="642">
        <v>27.931723909553636</v>
      </c>
      <c r="G110" s="642">
        <v>0.95472649492283324</v>
      </c>
      <c r="H110" s="642">
        <v>0</v>
      </c>
      <c r="I110" s="642">
        <v>0</v>
      </c>
      <c r="J110" s="642">
        <v>4.6306119511950978</v>
      </c>
      <c r="K110" s="642">
        <v>0</v>
      </c>
      <c r="L110" s="642">
        <v>3.1934862443619529</v>
      </c>
      <c r="M110" s="642">
        <v>1.9484214182098638E-2</v>
      </c>
      <c r="N110" s="642">
        <v>0</v>
      </c>
      <c r="O110" s="642">
        <v>6.6456137421005312E-2</v>
      </c>
      <c r="P110" s="642">
        <v>5.7660712732306445</v>
      </c>
      <c r="Q110" s="642">
        <v>0</v>
      </c>
      <c r="R110" s="642">
        <v>0</v>
      </c>
      <c r="S110" s="650">
        <v>42.562560224867276</v>
      </c>
      <c r="U110" s="648" t="s">
        <v>82</v>
      </c>
      <c r="V110" s="642">
        <v>0</v>
      </c>
      <c r="W110" s="642">
        <v>0</v>
      </c>
      <c r="X110" s="642">
        <v>3.5775053425595864</v>
      </c>
      <c r="Y110" s="642">
        <v>0.56393102033742082</v>
      </c>
      <c r="Z110" s="642">
        <v>0</v>
      </c>
      <c r="AA110" s="642">
        <v>0</v>
      </c>
      <c r="AB110" s="642">
        <v>4.6306119511950978</v>
      </c>
      <c r="AC110" s="642">
        <v>0</v>
      </c>
      <c r="AD110" s="642">
        <v>32.861113305842508</v>
      </c>
      <c r="AE110" s="642">
        <v>0.56393102033742082</v>
      </c>
      <c r="AF110" s="642">
        <v>0</v>
      </c>
      <c r="AG110" s="642">
        <v>1.7440136932478227</v>
      </c>
      <c r="AH110" s="642">
        <v>5.8866318405152116</v>
      </c>
      <c r="AI110" s="642">
        <v>0</v>
      </c>
      <c r="AJ110" s="642">
        <v>0.38427420359697795</v>
      </c>
      <c r="AK110" s="650">
        <v>50.21201237763205</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0.39</v>
      </c>
      <c r="Q111" s="642">
        <v>0</v>
      </c>
      <c r="R111" s="642">
        <v>0</v>
      </c>
      <c r="S111" s="650">
        <v>0.39</v>
      </c>
      <c r="U111" s="648" t="s">
        <v>357</v>
      </c>
      <c r="V111" s="642">
        <v>0</v>
      </c>
      <c r="W111" s="642">
        <v>0</v>
      </c>
      <c r="X111" s="642">
        <v>0</v>
      </c>
      <c r="Y111" s="642">
        <v>0</v>
      </c>
      <c r="Z111" s="642">
        <v>0</v>
      </c>
      <c r="AA111" s="642">
        <v>0</v>
      </c>
      <c r="AB111" s="642">
        <v>0</v>
      </c>
      <c r="AC111" s="642">
        <v>0</v>
      </c>
      <c r="AD111" s="642">
        <v>0</v>
      </c>
      <c r="AE111" s="642">
        <v>0</v>
      </c>
      <c r="AF111" s="642">
        <v>0</v>
      </c>
      <c r="AG111" s="642">
        <v>0</v>
      </c>
      <c r="AH111" s="642">
        <v>3.5999999999999996</v>
      </c>
      <c r="AI111" s="642">
        <v>0</v>
      </c>
      <c r="AJ111" s="642">
        <v>0</v>
      </c>
      <c r="AK111" s="650">
        <v>3.5999999999999996</v>
      </c>
    </row>
    <row r="112" spans="3:37" ht="13.5">
      <c r="C112" s="646" t="s">
        <v>83</v>
      </c>
      <c r="D112" s="647">
        <v>4.6398193944555786</v>
      </c>
      <c r="E112" s="647">
        <v>0</v>
      </c>
      <c r="F112" s="647">
        <v>288.00399564240968</v>
      </c>
      <c r="G112" s="647">
        <v>267.37720862195579</v>
      </c>
      <c r="H112" s="647">
        <v>0</v>
      </c>
      <c r="I112" s="647">
        <v>0</v>
      </c>
      <c r="J112" s="647">
        <v>117.91049787329212</v>
      </c>
      <c r="K112" s="647">
        <v>1.7618751350284469</v>
      </c>
      <c r="L112" s="647">
        <v>25.931812443893016</v>
      </c>
      <c r="M112" s="647">
        <v>5.4750905882772853</v>
      </c>
      <c r="N112" s="647">
        <v>67.964408038916218</v>
      </c>
      <c r="O112" s="647">
        <v>2.8554061636244761</v>
      </c>
      <c r="P112" s="647">
        <v>525.4263853892121</v>
      </c>
      <c r="Q112" s="647">
        <v>34.870731395116664</v>
      </c>
      <c r="R112" s="647">
        <v>2.9190855580034509</v>
      </c>
      <c r="S112" s="647">
        <v>1345.1363162441851</v>
      </c>
      <c r="U112" s="646" t="s">
        <v>83</v>
      </c>
      <c r="V112" s="647">
        <v>1.264986561669641</v>
      </c>
      <c r="W112" s="647">
        <v>0</v>
      </c>
      <c r="X112" s="647">
        <v>29.211639699659976</v>
      </c>
      <c r="Y112" s="647">
        <v>63.956275747695408</v>
      </c>
      <c r="Z112" s="647">
        <v>0</v>
      </c>
      <c r="AA112" s="647">
        <v>0</v>
      </c>
      <c r="AB112" s="647">
        <v>76.628296851050663</v>
      </c>
      <c r="AC112" s="647">
        <v>4.7844305635958433</v>
      </c>
      <c r="AD112" s="647">
        <v>67.031546398914003</v>
      </c>
      <c r="AE112" s="647">
        <v>63.974688608994001</v>
      </c>
      <c r="AF112" s="647">
        <v>109.8518848230913</v>
      </c>
      <c r="AG112" s="647">
        <v>7.4724249888520751</v>
      </c>
      <c r="AH112" s="647">
        <v>511.81625811534803</v>
      </c>
      <c r="AI112" s="647">
        <v>68.301024235701377</v>
      </c>
      <c r="AJ112" s="647">
        <v>14.600103225213982</v>
      </c>
      <c r="AK112" s="647">
        <v>1018.8935598197862</v>
      </c>
    </row>
    <row r="113" spans="3:37" ht="13.5">
      <c r="C113" s="641" t="s">
        <v>84</v>
      </c>
      <c r="D113" s="642">
        <v>0</v>
      </c>
      <c r="E113" s="642">
        <v>0</v>
      </c>
      <c r="F113" s="642">
        <v>104.91003257681685</v>
      </c>
      <c r="G113" s="642">
        <v>11.505661507854215</v>
      </c>
      <c r="H113" s="642">
        <v>0</v>
      </c>
      <c r="I113" s="642">
        <v>0</v>
      </c>
      <c r="J113" s="642">
        <v>0</v>
      </c>
      <c r="K113" s="642">
        <v>0</v>
      </c>
      <c r="L113" s="642">
        <v>0</v>
      </c>
      <c r="M113" s="642">
        <v>0</v>
      </c>
      <c r="N113" s="642">
        <v>0</v>
      </c>
      <c r="O113" s="642">
        <v>0</v>
      </c>
      <c r="P113" s="642">
        <v>0</v>
      </c>
      <c r="Q113" s="642">
        <v>0</v>
      </c>
      <c r="R113" s="642">
        <v>2.8301208000456781</v>
      </c>
      <c r="S113" s="650">
        <v>119.24581488471674</v>
      </c>
      <c r="U113" s="641" t="s">
        <v>84</v>
      </c>
      <c r="V113" s="642">
        <v>0</v>
      </c>
      <c r="W113" s="642">
        <v>0</v>
      </c>
      <c r="X113" s="642">
        <v>70.401025384734808</v>
      </c>
      <c r="Y113" s="642">
        <v>0.81519182748409058</v>
      </c>
      <c r="Z113" s="642">
        <v>0</v>
      </c>
      <c r="AA113" s="642">
        <v>0</v>
      </c>
      <c r="AB113" s="642">
        <v>0</v>
      </c>
      <c r="AC113" s="642">
        <v>0</v>
      </c>
      <c r="AD113" s="642">
        <v>24.563190847778323</v>
      </c>
      <c r="AE113" s="642">
        <v>0</v>
      </c>
      <c r="AF113" s="642">
        <v>0</v>
      </c>
      <c r="AG113" s="642">
        <v>0</v>
      </c>
      <c r="AH113" s="642">
        <v>0</v>
      </c>
      <c r="AI113" s="642">
        <v>0</v>
      </c>
      <c r="AJ113" s="642">
        <v>16.442815988159179</v>
      </c>
      <c r="AK113" s="650">
        <v>112.22222404815641</v>
      </c>
    </row>
    <row r="114" spans="3:37" ht="13.5">
      <c r="C114" s="646" t="s">
        <v>85</v>
      </c>
      <c r="D114" s="647">
        <v>4.6398193944555786</v>
      </c>
      <c r="E114" s="647">
        <v>0</v>
      </c>
      <c r="F114" s="647">
        <v>392.91402821922651</v>
      </c>
      <c r="G114" s="647">
        <v>278.88287012980999</v>
      </c>
      <c r="H114" s="647">
        <v>0</v>
      </c>
      <c r="I114" s="647">
        <v>0</v>
      </c>
      <c r="J114" s="647">
        <v>117.91049787329212</v>
      </c>
      <c r="K114" s="647">
        <v>1.7618751350284469</v>
      </c>
      <c r="L114" s="647">
        <v>25.931812443893016</v>
      </c>
      <c r="M114" s="647">
        <v>5.4750905882772853</v>
      </c>
      <c r="N114" s="647">
        <v>67.964408038916218</v>
      </c>
      <c r="O114" s="647">
        <v>2.8554061636244761</v>
      </c>
      <c r="P114" s="647">
        <v>525.4263853892121</v>
      </c>
      <c r="Q114" s="647">
        <v>34.870731395116664</v>
      </c>
      <c r="R114" s="647">
        <v>5.7492063580491291</v>
      </c>
      <c r="S114" s="647">
        <v>1464.3821311289018</v>
      </c>
      <c r="U114" s="646" t="s">
        <v>85</v>
      </c>
      <c r="V114" s="647">
        <v>1.264986561669641</v>
      </c>
      <c r="W114" s="647">
        <v>0</v>
      </c>
      <c r="X114" s="647">
        <v>99.612665084394791</v>
      </c>
      <c r="Y114" s="647">
        <v>64.7714675751795</v>
      </c>
      <c r="Z114" s="647">
        <v>0</v>
      </c>
      <c r="AA114" s="647">
        <v>0</v>
      </c>
      <c r="AB114" s="647">
        <v>76.628296851050663</v>
      </c>
      <c r="AC114" s="647">
        <v>4.7844305635958433</v>
      </c>
      <c r="AD114" s="647">
        <v>91.594737246692318</v>
      </c>
      <c r="AE114" s="647">
        <v>63.974688608994001</v>
      </c>
      <c r="AF114" s="647">
        <v>109.8518848230913</v>
      </c>
      <c r="AG114" s="647">
        <v>7.4724249888520751</v>
      </c>
      <c r="AH114" s="647">
        <v>511.81625811534803</v>
      </c>
      <c r="AI114" s="647">
        <v>68.301024235701377</v>
      </c>
      <c r="AJ114" s="647">
        <v>31.04291921337316</v>
      </c>
      <c r="AK114" s="647">
        <v>1131.1157838679426</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22.5">
      <c r="C116" s="699" t="s">
        <v>89</v>
      </c>
      <c r="D116" s="699"/>
      <c r="E116" s="699"/>
      <c r="F116" s="699"/>
      <c r="G116" s="699"/>
      <c r="H116" s="699"/>
      <c r="I116" s="699"/>
      <c r="J116" s="699"/>
      <c r="K116" s="699"/>
      <c r="L116" s="699"/>
      <c r="M116" s="699"/>
      <c r="N116" s="699"/>
      <c r="O116" s="699"/>
      <c r="P116" s="699"/>
      <c r="Q116" s="699"/>
      <c r="R116" s="699"/>
      <c r="S116" s="699"/>
      <c r="U116" s="699" t="s">
        <v>89</v>
      </c>
      <c r="V116" s="699"/>
      <c r="W116" s="699"/>
      <c r="X116" s="699"/>
      <c r="Y116" s="699"/>
      <c r="Z116" s="699"/>
      <c r="AA116" s="699"/>
      <c r="AB116" s="699"/>
      <c r="AC116" s="699"/>
      <c r="AD116" s="699"/>
      <c r="AE116" s="699"/>
      <c r="AF116" s="699"/>
      <c r="AG116" s="699"/>
      <c r="AH116" s="699"/>
      <c r="AI116" s="699"/>
      <c r="AJ116" s="699"/>
      <c r="AK116" s="699"/>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13" customHeight="1">
      <c r="C118" s="700" t="s">
        <v>128</v>
      </c>
      <c r="D118" s="701" t="s">
        <v>42</v>
      </c>
      <c r="E118" s="701" t="s">
        <v>52</v>
      </c>
      <c r="F118" s="701" t="s">
        <v>53</v>
      </c>
      <c r="G118" s="701" t="s">
        <v>32</v>
      </c>
      <c r="H118" s="701" t="s">
        <v>20</v>
      </c>
      <c r="I118" s="701" t="s">
        <v>55</v>
      </c>
      <c r="J118" s="701" t="s">
        <v>56</v>
      </c>
      <c r="K118" s="701"/>
      <c r="L118" s="701"/>
      <c r="M118" s="701"/>
      <c r="N118" s="701"/>
      <c r="O118" s="701"/>
      <c r="P118" s="701" t="s">
        <v>57</v>
      </c>
      <c r="Q118" s="701" t="s">
        <v>58</v>
      </c>
      <c r="R118" s="701" t="s">
        <v>31</v>
      </c>
      <c r="S118" s="701" t="s">
        <v>10</v>
      </c>
      <c r="U118" s="700" t="s">
        <v>128</v>
      </c>
      <c r="V118" s="701" t="s">
        <v>42</v>
      </c>
      <c r="W118" s="701" t="s">
        <v>52</v>
      </c>
      <c r="X118" s="701" t="s">
        <v>53</v>
      </c>
      <c r="Y118" s="701" t="s">
        <v>32</v>
      </c>
      <c r="Z118" s="701" t="s">
        <v>20</v>
      </c>
      <c r="AA118" s="701" t="s">
        <v>55</v>
      </c>
      <c r="AB118" s="701" t="s">
        <v>56</v>
      </c>
      <c r="AC118" s="701"/>
      <c r="AD118" s="701"/>
      <c r="AE118" s="701"/>
      <c r="AF118" s="701"/>
      <c r="AG118" s="701"/>
      <c r="AH118" s="701" t="s">
        <v>57</v>
      </c>
      <c r="AI118" s="701" t="s">
        <v>58</v>
      </c>
      <c r="AJ118" s="701" t="s">
        <v>31</v>
      </c>
      <c r="AK118" s="701" t="s">
        <v>10</v>
      </c>
    </row>
    <row r="119" spans="3:37" ht="46">
      <c r="C119" s="700"/>
      <c r="D119" s="701"/>
      <c r="E119" s="701"/>
      <c r="F119" s="701"/>
      <c r="G119" s="701"/>
      <c r="H119" s="701"/>
      <c r="I119" s="701"/>
      <c r="J119" s="640" t="s">
        <v>338</v>
      </c>
      <c r="K119" s="640" t="s">
        <v>40</v>
      </c>
      <c r="L119" s="640" t="s">
        <v>346</v>
      </c>
      <c r="M119" s="640" t="s">
        <v>347</v>
      </c>
      <c r="N119" s="640" t="s">
        <v>348</v>
      </c>
      <c r="O119" s="640" t="s">
        <v>349</v>
      </c>
      <c r="P119" s="701"/>
      <c r="Q119" s="701"/>
      <c r="R119" s="701"/>
      <c r="S119" s="701"/>
      <c r="U119" s="700"/>
      <c r="V119" s="701"/>
      <c r="W119" s="701"/>
      <c r="X119" s="701"/>
      <c r="Y119" s="701"/>
      <c r="Z119" s="701"/>
      <c r="AA119" s="701"/>
      <c r="AB119" s="640" t="s">
        <v>338</v>
      </c>
      <c r="AC119" s="640" t="s">
        <v>40</v>
      </c>
      <c r="AD119" s="640" t="s">
        <v>346</v>
      </c>
      <c r="AE119" s="640" t="s">
        <v>347</v>
      </c>
      <c r="AF119" s="640" t="s">
        <v>348</v>
      </c>
      <c r="AG119" s="640" t="s">
        <v>349</v>
      </c>
      <c r="AH119" s="701"/>
      <c r="AI119" s="701"/>
      <c r="AJ119" s="701"/>
      <c r="AK119" s="701"/>
    </row>
    <row r="120" spans="3:37" ht="13.5">
      <c r="C120" s="641" t="s">
        <v>59</v>
      </c>
      <c r="D120" s="642">
        <v>0</v>
      </c>
      <c r="E120" s="643">
        <v>0</v>
      </c>
      <c r="F120" s="643">
        <v>0</v>
      </c>
      <c r="G120" s="642">
        <v>0</v>
      </c>
      <c r="H120" s="643">
        <v>727.27272727272737</v>
      </c>
      <c r="I120" s="643">
        <v>338.37995078139568</v>
      </c>
      <c r="J120" s="643">
        <v>185.12606679296266</v>
      </c>
      <c r="K120" s="643">
        <v>19.887492227897642</v>
      </c>
      <c r="L120" s="643">
        <v>0.67629573379861951</v>
      </c>
      <c r="M120" s="643">
        <v>0.16041590589481752</v>
      </c>
      <c r="N120" s="643">
        <v>75.083762899489528</v>
      </c>
      <c r="O120" s="643">
        <v>12.515766779598991</v>
      </c>
      <c r="P120" s="644">
        <v>0</v>
      </c>
      <c r="Q120" s="643">
        <v>0</v>
      </c>
      <c r="R120" s="643">
        <v>0</v>
      </c>
      <c r="S120" s="645">
        <v>1359.1024783937653</v>
      </c>
      <c r="U120" s="641" t="s">
        <v>59</v>
      </c>
      <c r="V120" s="642">
        <v>0</v>
      </c>
      <c r="W120" s="643">
        <v>0</v>
      </c>
      <c r="X120" s="643">
        <v>0</v>
      </c>
      <c r="Y120" s="642">
        <v>0</v>
      </c>
      <c r="Z120" s="643">
        <v>764.84848484848499</v>
      </c>
      <c r="AA120" s="643">
        <v>423.19995078139567</v>
      </c>
      <c r="AB120" s="643">
        <v>256.09062969225096</v>
      </c>
      <c r="AC120" s="643">
        <v>36.108430969743218</v>
      </c>
      <c r="AD120" s="643">
        <v>0.67629573379861951</v>
      </c>
      <c r="AE120" s="643">
        <v>0.16041590589481752</v>
      </c>
      <c r="AF120" s="643">
        <v>123.16818516374138</v>
      </c>
      <c r="AG120" s="643">
        <v>30.250193334526926</v>
      </c>
      <c r="AH120" s="644">
        <v>0</v>
      </c>
      <c r="AI120" s="643">
        <v>0</v>
      </c>
      <c r="AJ120" s="643">
        <v>0</v>
      </c>
      <c r="AK120" s="645">
        <v>1634.5025864298366</v>
      </c>
    </row>
    <row r="121" spans="3:37" ht="13.5">
      <c r="C121" s="641" t="s">
        <v>60</v>
      </c>
      <c r="D121" s="642">
        <v>46.099891323621534</v>
      </c>
      <c r="E121" s="643">
        <v>464.7986487</v>
      </c>
      <c r="F121" s="643">
        <v>48.534128715927544</v>
      </c>
      <c r="G121" s="642">
        <v>345.55093723566335</v>
      </c>
      <c r="H121" s="643">
        <v>0</v>
      </c>
      <c r="I121" s="643">
        <v>0</v>
      </c>
      <c r="J121" s="643">
        <v>5.7213435879484642</v>
      </c>
      <c r="K121" s="643">
        <v>0</v>
      </c>
      <c r="L121" s="643">
        <v>3.0565993326094723</v>
      </c>
      <c r="M121" s="643">
        <v>0</v>
      </c>
      <c r="N121" s="643">
        <v>0</v>
      </c>
      <c r="O121" s="643">
        <v>0</v>
      </c>
      <c r="P121" s="644">
        <v>0</v>
      </c>
      <c r="Q121" s="643">
        <v>0</v>
      </c>
      <c r="R121" s="643">
        <v>0</v>
      </c>
      <c r="S121" s="645">
        <v>913.76154889577037</v>
      </c>
      <c r="U121" s="641" t="s">
        <v>60</v>
      </c>
      <c r="V121" s="642">
        <v>4.5871215860372576</v>
      </c>
      <c r="W121" s="643">
        <v>113.59926767676768</v>
      </c>
      <c r="X121" s="643">
        <v>20.138935454909394</v>
      </c>
      <c r="Y121" s="642">
        <v>0.51452681198611927</v>
      </c>
      <c r="Z121" s="643">
        <v>0</v>
      </c>
      <c r="AA121" s="643">
        <v>0</v>
      </c>
      <c r="AB121" s="643">
        <v>5.7213435879484642</v>
      </c>
      <c r="AC121" s="643">
        <v>0</v>
      </c>
      <c r="AD121" s="643">
        <v>3.0565993326094723</v>
      </c>
      <c r="AE121" s="643">
        <v>0</v>
      </c>
      <c r="AF121" s="643">
        <v>0</v>
      </c>
      <c r="AG121" s="643">
        <v>0</v>
      </c>
      <c r="AH121" s="644">
        <v>0</v>
      </c>
      <c r="AI121" s="643">
        <v>0</v>
      </c>
      <c r="AJ121" s="643">
        <v>0</v>
      </c>
      <c r="AK121" s="645">
        <v>147.6177944502584</v>
      </c>
    </row>
    <row r="122" spans="3:37" ht="13.5">
      <c r="C122" s="641" t="s">
        <v>61</v>
      </c>
      <c r="D122" s="642">
        <v>0</v>
      </c>
      <c r="E122" s="643">
        <v>0</v>
      </c>
      <c r="F122" s="643">
        <v>0</v>
      </c>
      <c r="G122" s="642">
        <v>0</v>
      </c>
      <c r="H122" s="643">
        <v>0</v>
      </c>
      <c r="I122" s="643">
        <v>0</v>
      </c>
      <c r="J122" s="643">
        <v>0</v>
      </c>
      <c r="K122" s="643">
        <v>0</v>
      </c>
      <c r="L122" s="643">
        <v>0</v>
      </c>
      <c r="M122" s="643">
        <v>0</v>
      </c>
      <c r="N122" s="643">
        <v>0</v>
      </c>
      <c r="O122" s="643">
        <v>0</v>
      </c>
      <c r="P122" s="644">
        <v>-12.7985093299136</v>
      </c>
      <c r="Q122" s="643">
        <v>0</v>
      </c>
      <c r="R122" s="643">
        <v>0</v>
      </c>
      <c r="S122" s="645">
        <v>-12.7985093299136</v>
      </c>
      <c r="U122" s="641" t="s">
        <v>61</v>
      </c>
      <c r="V122" s="642">
        <v>0</v>
      </c>
      <c r="W122" s="643">
        <v>0</v>
      </c>
      <c r="X122" s="643">
        <v>0</v>
      </c>
      <c r="Y122" s="642">
        <v>0</v>
      </c>
      <c r="Z122" s="643">
        <v>0</v>
      </c>
      <c r="AA122" s="643">
        <v>0</v>
      </c>
      <c r="AB122" s="643">
        <v>0</v>
      </c>
      <c r="AC122" s="643">
        <v>0</v>
      </c>
      <c r="AD122" s="643">
        <v>0</v>
      </c>
      <c r="AE122" s="643">
        <v>0</v>
      </c>
      <c r="AF122" s="643">
        <v>0</v>
      </c>
      <c r="AG122" s="643">
        <v>0</v>
      </c>
      <c r="AH122" s="644">
        <v>-41.639986107117011</v>
      </c>
      <c r="AI122" s="643">
        <v>0</v>
      </c>
      <c r="AJ122" s="643">
        <v>0</v>
      </c>
      <c r="AK122" s="645">
        <v>-41.639986107117011</v>
      </c>
    </row>
    <row r="123" spans="3:37" ht="13.5">
      <c r="C123" s="641" t="s">
        <v>62</v>
      </c>
      <c r="D123" s="642">
        <v>0</v>
      </c>
      <c r="E123" s="643">
        <v>0</v>
      </c>
      <c r="F123" s="643">
        <v>-14.431507774067331</v>
      </c>
      <c r="G123" s="642">
        <v>0</v>
      </c>
      <c r="H123" s="643">
        <v>0</v>
      </c>
      <c r="I123" s="643">
        <v>0</v>
      </c>
      <c r="J123" s="643">
        <v>0</v>
      </c>
      <c r="K123" s="643">
        <v>0</v>
      </c>
      <c r="L123" s="643">
        <v>0</v>
      </c>
      <c r="M123" s="643">
        <v>0</v>
      </c>
      <c r="N123" s="643">
        <v>0</v>
      </c>
      <c r="O123" s="643">
        <v>0</v>
      </c>
      <c r="P123" s="644">
        <v>0</v>
      </c>
      <c r="Q123" s="643">
        <v>0</v>
      </c>
      <c r="R123" s="643">
        <v>0</v>
      </c>
      <c r="S123" s="645">
        <v>-14.431507774067331</v>
      </c>
      <c r="U123" s="641" t="s">
        <v>62</v>
      </c>
      <c r="V123" s="642">
        <v>0</v>
      </c>
      <c r="W123" s="643">
        <v>0</v>
      </c>
      <c r="X123" s="643">
        <v>-5.3013702027186111</v>
      </c>
      <c r="Y123" s="642">
        <v>0</v>
      </c>
      <c r="Z123" s="643">
        <v>0</v>
      </c>
      <c r="AA123" s="643">
        <v>0</v>
      </c>
      <c r="AB123" s="643">
        <v>0</v>
      </c>
      <c r="AC123" s="643">
        <v>0</v>
      </c>
      <c r="AD123" s="643">
        <v>0</v>
      </c>
      <c r="AE123" s="643">
        <v>-5.1137296191648005</v>
      </c>
      <c r="AF123" s="643">
        <v>0</v>
      </c>
      <c r="AG123" s="643">
        <v>0</v>
      </c>
      <c r="AH123" s="644">
        <v>0</v>
      </c>
      <c r="AI123" s="643">
        <v>0</v>
      </c>
      <c r="AJ123" s="643">
        <v>0</v>
      </c>
      <c r="AK123" s="645">
        <v>-10.415099821883413</v>
      </c>
    </row>
    <row r="124" spans="3:37" ht="13.5">
      <c r="C124" s="641" t="s">
        <v>63</v>
      </c>
      <c r="D124" s="642">
        <v>0</v>
      </c>
      <c r="E124" s="643">
        <v>0</v>
      </c>
      <c r="F124" s="643">
        <v>-93.443844381495637</v>
      </c>
      <c r="G124" s="642">
        <v>0</v>
      </c>
      <c r="H124" s="643">
        <v>0</v>
      </c>
      <c r="I124" s="643">
        <v>0</v>
      </c>
      <c r="J124" s="643">
        <v>0</v>
      </c>
      <c r="K124" s="643">
        <v>0</v>
      </c>
      <c r="L124" s="643">
        <v>-0.96889726774865159</v>
      </c>
      <c r="M124" s="643">
        <v>0</v>
      </c>
      <c r="N124" s="643">
        <v>0</v>
      </c>
      <c r="O124" s="643">
        <v>0</v>
      </c>
      <c r="P124" s="644">
        <v>0</v>
      </c>
      <c r="Q124" s="643">
        <v>0</v>
      </c>
      <c r="R124" s="643">
        <v>0</v>
      </c>
      <c r="S124" s="645">
        <v>-94.412741649244282</v>
      </c>
      <c r="U124" s="641" t="s">
        <v>63</v>
      </c>
      <c r="V124" s="642">
        <v>0</v>
      </c>
      <c r="W124" s="643">
        <v>0</v>
      </c>
      <c r="X124" s="643">
        <v>-35.841594545498886</v>
      </c>
      <c r="Y124" s="642">
        <v>0</v>
      </c>
      <c r="Z124" s="643">
        <v>0</v>
      </c>
      <c r="AA124" s="643">
        <v>0</v>
      </c>
      <c r="AB124" s="643">
        <v>0</v>
      </c>
      <c r="AC124" s="643">
        <v>0</v>
      </c>
      <c r="AD124" s="643">
        <v>-46.567340427053182</v>
      </c>
      <c r="AE124" s="643">
        <v>0</v>
      </c>
      <c r="AF124" s="643">
        <v>0</v>
      </c>
      <c r="AG124" s="643">
        <v>0</v>
      </c>
      <c r="AH124" s="644">
        <v>0</v>
      </c>
      <c r="AI124" s="643">
        <v>0</v>
      </c>
      <c r="AJ124" s="643">
        <v>0</v>
      </c>
      <c r="AK124" s="645">
        <v>-82.408934972552061</v>
      </c>
    </row>
    <row r="125" spans="3:37" ht="13.5">
      <c r="C125" s="641" t="s">
        <v>64</v>
      </c>
      <c r="D125" s="642">
        <v>0</v>
      </c>
      <c r="E125" s="643">
        <v>0</v>
      </c>
      <c r="F125" s="643">
        <v>0</v>
      </c>
      <c r="G125" s="642">
        <v>0</v>
      </c>
      <c r="H125" s="643">
        <v>0</v>
      </c>
      <c r="I125" s="643">
        <v>0</v>
      </c>
      <c r="J125" s="643">
        <v>0</v>
      </c>
      <c r="K125" s="643">
        <v>0</v>
      </c>
      <c r="L125" s="643">
        <v>0</v>
      </c>
      <c r="M125" s="643">
        <v>0</v>
      </c>
      <c r="N125" s="643">
        <v>0</v>
      </c>
      <c r="O125" s="643">
        <v>0</v>
      </c>
      <c r="P125" s="644">
        <v>0</v>
      </c>
      <c r="Q125" s="643">
        <v>0</v>
      </c>
      <c r="R125" s="643">
        <v>0</v>
      </c>
      <c r="S125" s="645">
        <v>0</v>
      </c>
      <c r="U125" s="641" t="s">
        <v>64</v>
      </c>
      <c r="V125" s="642">
        <v>0</v>
      </c>
      <c r="W125" s="643">
        <v>0</v>
      </c>
      <c r="X125" s="643">
        <v>0</v>
      </c>
      <c r="Y125" s="642">
        <v>0</v>
      </c>
      <c r="Z125" s="643">
        <v>0</v>
      </c>
      <c r="AA125" s="643">
        <v>0</v>
      </c>
      <c r="AB125" s="643">
        <v>0</v>
      </c>
      <c r="AC125" s="643">
        <v>0</v>
      </c>
      <c r="AD125" s="643">
        <v>0</v>
      </c>
      <c r="AE125" s="643">
        <v>0</v>
      </c>
      <c r="AF125" s="643">
        <v>0</v>
      </c>
      <c r="AG125" s="643">
        <v>0</v>
      </c>
      <c r="AH125" s="644">
        <v>0</v>
      </c>
      <c r="AI125" s="643">
        <v>0</v>
      </c>
      <c r="AJ125" s="643">
        <v>0</v>
      </c>
      <c r="AK125" s="645">
        <v>0</v>
      </c>
    </row>
    <row r="126" spans="3:37" ht="13.5">
      <c r="C126" s="646" t="s">
        <v>65</v>
      </c>
      <c r="D126" s="647">
        <v>46.099891323621534</v>
      </c>
      <c r="E126" s="647">
        <v>464.7986487</v>
      </c>
      <c r="F126" s="647">
        <v>-59.341223439635421</v>
      </c>
      <c r="G126" s="647">
        <v>345.55093723566335</v>
      </c>
      <c r="H126" s="647">
        <v>727.27272727272737</v>
      </c>
      <c r="I126" s="647">
        <v>338.37995078139568</v>
      </c>
      <c r="J126" s="647">
        <v>190.84741038091113</v>
      </c>
      <c r="K126" s="647">
        <v>19.887492227897642</v>
      </c>
      <c r="L126" s="647">
        <v>2.7639977986594397</v>
      </c>
      <c r="M126" s="647">
        <v>0.16041590589481752</v>
      </c>
      <c r="N126" s="647">
        <v>75.083762899489528</v>
      </c>
      <c r="O126" s="647">
        <v>12.515766779598991</v>
      </c>
      <c r="P126" s="647">
        <v>-12.7985093299136</v>
      </c>
      <c r="Q126" s="647">
        <v>0</v>
      </c>
      <c r="R126" s="647">
        <v>0</v>
      </c>
      <c r="S126" s="647">
        <v>2151.2212685363102</v>
      </c>
      <c r="U126" s="646" t="s">
        <v>65</v>
      </c>
      <c r="V126" s="647">
        <v>4.5871215860372576</v>
      </c>
      <c r="W126" s="647">
        <v>113.59926767676768</v>
      </c>
      <c r="X126" s="647">
        <v>-21.004029293308101</v>
      </c>
      <c r="Y126" s="647">
        <v>0.51452681198611927</v>
      </c>
      <c r="Z126" s="647">
        <v>764.84848484848499</v>
      </c>
      <c r="AA126" s="647">
        <v>423.19995078139567</v>
      </c>
      <c r="AB126" s="647">
        <v>261.81197328019942</v>
      </c>
      <c r="AC126" s="647">
        <v>36.108430969743218</v>
      </c>
      <c r="AD126" s="647">
        <v>-42.834445360645091</v>
      </c>
      <c r="AE126" s="647">
        <v>-4.9533137132699832</v>
      </c>
      <c r="AF126" s="647">
        <v>123.16818516374138</v>
      </c>
      <c r="AG126" s="647">
        <v>30.250193334526926</v>
      </c>
      <c r="AH126" s="647">
        <v>-41.639986107117011</v>
      </c>
      <c r="AI126" s="647">
        <v>0</v>
      </c>
      <c r="AJ126" s="647">
        <v>0</v>
      </c>
      <c r="AK126" s="647">
        <v>1647.6563599785427</v>
      </c>
    </row>
    <row r="127" spans="3:37" ht="13">
      <c r="C127" s="636"/>
      <c r="D127" s="636">
        <v>0</v>
      </c>
      <c r="E127" s="636">
        <v>0</v>
      </c>
      <c r="F127" s="636">
        <v>0</v>
      </c>
      <c r="G127" s="636">
        <v>0</v>
      </c>
      <c r="H127" s="636">
        <v>0</v>
      </c>
      <c r="I127" s="636">
        <v>0</v>
      </c>
      <c r="J127" s="636">
        <v>0</v>
      </c>
      <c r="K127" s="636">
        <v>0</v>
      </c>
      <c r="L127" s="636">
        <v>0</v>
      </c>
      <c r="M127" s="636">
        <v>0</v>
      </c>
      <c r="N127" s="636">
        <v>0</v>
      </c>
      <c r="O127" s="636">
        <v>0</v>
      </c>
      <c r="P127" s="636">
        <v>0</v>
      </c>
      <c r="Q127" s="636">
        <v>0</v>
      </c>
      <c r="R127" s="636">
        <v>0</v>
      </c>
      <c r="S127" s="636">
        <v>0</v>
      </c>
      <c r="U127" s="636"/>
      <c r="V127" s="636">
        <v>0</v>
      </c>
      <c r="W127" s="636">
        <v>0</v>
      </c>
      <c r="X127" s="636">
        <v>0</v>
      </c>
      <c r="Y127" s="636">
        <v>0</v>
      </c>
      <c r="Z127" s="636">
        <v>0</v>
      </c>
      <c r="AA127" s="636">
        <v>0</v>
      </c>
      <c r="AB127" s="636">
        <v>0</v>
      </c>
      <c r="AC127" s="636">
        <v>0</v>
      </c>
      <c r="AD127" s="636">
        <v>0</v>
      </c>
      <c r="AE127" s="636">
        <v>0</v>
      </c>
      <c r="AF127" s="636">
        <v>0</v>
      </c>
      <c r="AG127" s="636">
        <v>0</v>
      </c>
      <c r="AH127" s="636">
        <v>0</v>
      </c>
      <c r="AI127" s="636">
        <v>0</v>
      </c>
      <c r="AJ127" s="636">
        <v>0</v>
      </c>
      <c r="AK127" s="636">
        <v>0</v>
      </c>
    </row>
    <row r="128" spans="3:37" ht="13.5">
      <c r="C128" s="648" t="s">
        <v>67</v>
      </c>
      <c r="D128" s="642">
        <v>0</v>
      </c>
      <c r="E128" s="649">
        <v>0</v>
      </c>
      <c r="F128" s="649">
        <v>0</v>
      </c>
      <c r="G128" s="642">
        <v>0</v>
      </c>
      <c r="H128" s="642">
        <v>0</v>
      </c>
      <c r="I128" s="642">
        <v>0</v>
      </c>
      <c r="J128" s="642">
        <v>0</v>
      </c>
      <c r="K128" s="642">
        <v>0</v>
      </c>
      <c r="L128" s="642">
        <v>0</v>
      </c>
      <c r="M128" s="642">
        <v>0</v>
      </c>
      <c r="N128" s="642">
        <v>0</v>
      </c>
      <c r="O128" s="642">
        <v>0</v>
      </c>
      <c r="P128" s="642">
        <v>0</v>
      </c>
      <c r="Q128" s="642">
        <v>0</v>
      </c>
      <c r="R128" s="642">
        <v>0</v>
      </c>
      <c r="S128" s="650">
        <v>0</v>
      </c>
      <c r="U128" s="648" t="s">
        <v>67</v>
      </c>
      <c r="V128" s="642">
        <v>0</v>
      </c>
      <c r="W128" s="649">
        <v>0</v>
      </c>
      <c r="X128" s="649">
        <v>0</v>
      </c>
      <c r="Y128" s="642">
        <v>0</v>
      </c>
      <c r="Z128" s="642">
        <v>0</v>
      </c>
      <c r="AA128" s="642">
        <v>0</v>
      </c>
      <c r="AB128" s="642">
        <v>0</v>
      </c>
      <c r="AC128" s="642">
        <v>0</v>
      </c>
      <c r="AD128" s="642">
        <v>0</v>
      </c>
      <c r="AE128" s="642">
        <v>0</v>
      </c>
      <c r="AF128" s="642">
        <v>0</v>
      </c>
      <c r="AG128" s="642">
        <v>0</v>
      </c>
      <c r="AH128" s="642">
        <v>0</v>
      </c>
      <c r="AI128" s="642">
        <v>0</v>
      </c>
      <c r="AJ128" s="642">
        <v>0</v>
      </c>
      <c r="AK128" s="650">
        <v>0</v>
      </c>
    </row>
    <row r="129" spans="3:37" ht="13.5">
      <c r="C129" s="648" t="s">
        <v>350</v>
      </c>
      <c r="D129" s="642">
        <v>2.8267856410252494</v>
      </c>
      <c r="E129" s="642">
        <v>0</v>
      </c>
      <c r="F129" s="642">
        <v>8.0599105831015567</v>
      </c>
      <c r="G129" s="642">
        <v>46.530346198952707</v>
      </c>
      <c r="H129" s="642">
        <v>727.27272727272737</v>
      </c>
      <c r="I129" s="642">
        <v>338.37995078139568</v>
      </c>
      <c r="J129" s="651">
        <v>28.452469116356035</v>
      </c>
      <c r="K129" s="651">
        <v>6.2305848357200952</v>
      </c>
      <c r="L129" s="651">
        <v>3.7328950664080915</v>
      </c>
      <c r="M129" s="651">
        <v>1.0761160081227215</v>
      </c>
      <c r="N129" s="651">
        <v>0</v>
      </c>
      <c r="O129" s="651">
        <v>7.5664382136221358</v>
      </c>
      <c r="P129" s="642">
        <v>-629.14515201417555</v>
      </c>
      <c r="Q129" s="642">
        <v>0</v>
      </c>
      <c r="R129" s="642">
        <v>0</v>
      </c>
      <c r="S129" s="650">
        <v>540.98307170325586</v>
      </c>
      <c r="U129" s="648" t="s">
        <v>350</v>
      </c>
      <c r="V129" s="642">
        <v>0.62631490545869017</v>
      </c>
      <c r="W129" s="642">
        <v>0</v>
      </c>
      <c r="X129" s="642">
        <v>4.1962742194651934</v>
      </c>
      <c r="Y129" s="642">
        <v>0</v>
      </c>
      <c r="Z129" s="642">
        <v>764.84848484848499</v>
      </c>
      <c r="AA129" s="642">
        <v>423.19995078139567</v>
      </c>
      <c r="AB129" s="651">
        <v>22.478183728982629</v>
      </c>
      <c r="AC129" s="651">
        <v>5.0926371917675839</v>
      </c>
      <c r="AD129" s="651">
        <v>3.7328950664080915</v>
      </c>
      <c r="AE129" s="651">
        <v>0.79318377276994545</v>
      </c>
      <c r="AF129" s="651">
        <v>0</v>
      </c>
      <c r="AG129" s="651">
        <v>7.5664382136221358</v>
      </c>
      <c r="AH129" s="642">
        <v>-696.77718495359215</v>
      </c>
      <c r="AI129" s="642">
        <v>0</v>
      </c>
      <c r="AJ129" s="642">
        <v>3.75</v>
      </c>
      <c r="AK129" s="650">
        <v>539.50717777476291</v>
      </c>
    </row>
    <row r="130" spans="3:37" ht="13.5">
      <c r="C130" s="648" t="s">
        <v>351</v>
      </c>
      <c r="D130" s="642">
        <v>0</v>
      </c>
      <c r="E130" s="642">
        <v>0</v>
      </c>
      <c r="F130" s="642">
        <v>0</v>
      </c>
      <c r="G130" s="642">
        <v>14.783508517784153</v>
      </c>
      <c r="H130" s="642">
        <v>0</v>
      </c>
      <c r="I130" s="642">
        <v>0</v>
      </c>
      <c r="J130" s="651">
        <v>12.163067049530284</v>
      </c>
      <c r="K130" s="651">
        <v>11.829214997579474</v>
      </c>
      <c r="L130" s="651">
        <v>0</v>
      </c>
      <c r="M130" s="651">
        <v>0.31740804730172578</v>
      </c>
      <c r="N130" s="651">
        <v>0</v>
      </c>
      <c r="O130" s="651">
        <v>2.086875550337155</v>
      </c>
      <c r="P130" s="642">
        <v>0</v>
      </c>
      <c r="Q130" s="642">
        <v>-37.667878685561853</v>
      </c>
      <c r="R130" s="642">
        <v>0</v>
      </c>
      <c r="S130" s="650">
        <v>3.5121954769709394</v>
      </c>
      <c r="U130" s="648" t="s">
        <v>351</v>
      </c>
      <c r="V130" s="642">
        <v>0</v>
      </c>
      <c r="W130" s="642">
        <v>0</v>
      </c>
      <c r="X130" s="642">
        <v>0</v>
      </c>
      <c r="Y130" s="642">
        <v>0</v>
      </c>
      <c r="Z130" s="642">
        <v>0</v>
      </c>
      <c r="AA130" s="642">
        <v>0</v>
      </c>
      <c r="AB130" s="651">
        <v>28.523630086620891</v>
      </c>
      <c r="AC130" s="651">
        <v>26.288013396118924</v>
      </c>
      <c r="AD130" s="651">
        <v>0</v>
      </c>
      <c r="AE130" s="651">
        <v>10.611192177482708</v>
      </c>
      <c r="AF130" s="651">
        <v>0</v>
      </c>
      <c r="AG130" s="651">
        <v>14.121402979798832</v>
      </c>
      <c r="AH130" s="642">
        <v>0</v>
      </c>
      <c r="AI130" s="642">
        <v>-74.176724382187018</v>
      </c>
      <c r="AJ130" s="642">
        <v>0</v>
      </c>
      <c r="AK130" s="650">
        <v>5.3675142578343316</v>
      </c>
    </row>
    <row r="131" spans="3:37" ht="13.5">
      <c r="C131" s="648" t="s">
        <v>352</v>
      </c>
      <c r="D131" s="642">
        <v>0</v>
      </c>
      <c r="E131" s="642">
        <v>0</v>
      </c>
      <c r="F131" s="642">
        <v>0</v>
      </c>
      <c r="G131" s="642">
        <v>0</v>
      </c>
      <c r="H131" s="642">
        <v>0</v>
      </c>
      <c r="I131" s="642">
        <v>0</v>
      </c>
      <c r="J131" s="652">
        <v>7.1450792385721682</v>
      </c>
      <c r="K131" s="652">
        <v>0</v>
      </c>
      <c r="L131" s="652">
        <v>0</v>
      </c>
      <c r="M131" s="652">
        <v>-6.8235506728364204</v>
      </c>
      <c r="N131" s="652">
        <v>0</v>
      </c>
      <c r="O131" s="652">
        <v>0</v>
      </c>
      <c r="P131" s="642">
        <v>0</v>
      </c>
      <c r="Q131" s="642">
        <v>0</v>
      </c>
      <c r="R131" s="642">
        <v>0</v>
      </c>
      <c r="S131" s="650">
        <v>0.32152856573574784</v>
      </c>
      <c r="U131" s="648" t="s">
        <v>352</v>
      </c>
      <c r="V131" s="642">
        <v>0</v>
      </c>
      <c r="W131" s="642">
        <v>0</v>
      </c>
      <c r="X131" s="642">
        <v>0</v>
      </c>
      <c r="Y131" s="642">
        <v>0</v>
      </c>
      <c r="Z131" s="642">
        <v>0</v>
      </c>
      <c r="AA131" s="642">
        <v>0</v>
      </c>
      <c r="AB131" s="652">
        <v>137.81211213320262</v>
      </c>
      <c r="AC131" s="652">
        <v>0</v>
      </c>
      <c r="AD131" s="652">
        <v>0</v>
      </c>
      <c r="AE131" s="652">
        <v>-131.61056708720849</v>
      </c>
      <c r="AF131" s="652">
        <v>0</v>
      </c>
      <c r="AG131" s="652">
        <v>0</v>
      </c>
      <c r="AH131" s="642">
        <v>0</v>
      </c>
      <c r="AI131" s="642">
        <v>0</v>
      </c>
      <c r="AJ131" s="642">
        <v>0</v>
      </c>
      <c r="AK131" s="650">
        <v>6.2015450459941235</v>
      </c>
    </row>
    <row r="132" spans="3:37" ht="13.5">
      <c r="C132" s="648" t="s">
        <v>353</v>
      </c>
      <c r="D132" s="642">
        <v>0</v>
      </c>
      <c r="E132" s="642">
        <v>0</v>
      </c>
      <c r="F132" s="642">
        <v>0</v>
      </c>
      <c r="G132" s="642">
        <v>0</v>
      </c>
      <c r="H132" s="642">
        <v>0</v>
      </c>
      <c r="I132" s="642">
        <v>0</v>
      </c>
      <c r="J132" s="642">
        <v>0</v>
      </c>
      <c r="K132" s="642">
        <v>0</v>
      </c>
      <c r="L132" s="642">
        <v>0</v>
      </c>
      <c r="M132" s="642">
        <v>0</v>
      </c>
      <c r="N132" s="642">
        <v>0</v>
      </c>
      <c r="O132" s="642">
        <v>0</v>
      </c>
      <c r="P132" s="642">
        <v>0</v>
      </c>
      <c r="Q132" s="642">
        <v>0</v>
      </c>
      <c r="R132" s="642">
        <v>0</v>
      </c>
      <c r="S132" s="650">
        <v>0</v>
      </c>
      <c r="U132" s="648" t="s">
        <v>353</v>
      </c>
      <c r="V132" s="642">
        <v>0</v>
      </c>
      <c r="W132" s="642">
        <v>0</v>
      </c>
      <c r="X132" s="642">
        <v>0</v>
      </c>
      <c r="Y132" s="642">
        <v>0</v>
      </c>
      <c r="Z132" s="642">
        <v>0</v>
      </c>
      <c r="AA132" s="642">
        <v>0</v>
      </c>
      <c r="AB132" s="642">
        <v>0</v>
      </c>
      <c r="AC132" s="642">
        <v>0</v>
      </c>
      <c r="AD132" s="642">
        <v>0</v>
      </c>
      <c r="AE132" s="642">
        <v>0</v>
      </c>
      <c r="AF132" s="642">
        <v>0</v>
      </c>
      <c r="AG132" s="642">
        <v>0</v>
      </c>
      <c r="AH132" s="642">
        <v>0</v>
      </c>
      <c r="AI132" s="642">
        <v>0</v>
      </c>
      <c r="AJ132" s="642">
        <v>0</v>
      </c>
      <c r="AK132" s="650">
        <v>0</v>
      </c>
    </row>
    <row r="133" spans="3:37" ht="13.5">
      <c r="C133" s="648" t="s">
        <v>72</v>
      </c>
      <c r="D133" s="642">
        <v>0</v>
      </c>
      <c r="E133" s="642">
        <v>481.48200000000003</v>
      </c>
      <c r="F133" s="642">
        <v>-476.66718000000003</v>
      </c>
      <c r="G133" s="642">
        <v>0</v>
      </c>
      <c r="H133" s="642">
        <v>0</v>
      </c>
      <c r="I133" s="642">
        <v>0</v>
      </c>
      <c r="J133" s="642">
        <v>0</v>
      </c>
      <c r="K133" s="642">
        <v>0</v>
      </c>
      <c r="L133" s="642">
        <v>0</v>
      </c>
      <c r="M133" s="642">
        <v>0</v>
      </c>
      <c r="N133" s="642">
        <v>0</v>
      </c>
      <c r="O133" s="642">
        <v>0</v>
      </c>
      <c r="P133" s="642">
        <v>0</v>
      </c>
      <c r="Q133" s="642">
        <v>0</v>
      </c>
      <c r="R133" s="642">
        <v>0</v>
      </c>
      <c r="S133" s="650">
        <v>4.8148199999999974</v>
      </c>
      <c r="U133" s="648" t="s">
        <v>72</v>
      </c>
      <c r="V133" s="642">
        <v>0</v>
      </c>
      <c r="W133" s="642">
        <v>117.67676767676768</v>
      </c>
      <c r="X133" s="642">
        <v>-116.5</v>
      </c>
      <c r="Y133" s="642">
        <v>0</v>
      </c>
      <c r="Z133" s="642">
        <v>0</v>
      </c>
      <c r="AA133" s="642">
        <v>0</v>
      </c>
      <c r="AB133" s="642">
        <v>0</v>
      </c>
      <c r="AC133" s="642">
        <v>0</v>
      </c>
      <c r="AD133" s="642">
        <v>0</v>
      </c>
      <c r="AE133" s="642">
        <v>0</v>
      </c>
      <c r="AF133" s="642">
        <v>0</v>
      </c>
      <c r="AG133" s="642">
        <v>0</v>
      </c>
      <c r="AH133" s="642">
        <v>0</v>
      </c>
      <c r="AI133" s="642">
        <v>0</v>
      </c>
      <c r="AJ133" s="642">
        <v>0</v>
      </c>
      <c r="AK133" s="650">
        <v>1.1767676767676818</v>
      </c>
    </row>
    <row r="134" spans="3:37" ht="13.5">
      <c r="C134" s="648" t="s">
        <v>354</v>
      </c>
      <c r="D134" s="642">
        <v>0</v>
      </c>
      <c r="E134" s="642">
        <v>0</v>
      </c>
      <c r="F134" s="642">
        <v>0</v>
      </c>
      <c r="G134" s="642">
        <v>0</v>
      </c>
      <c r="H134" s="642">
        <v>0</v>
      </c>
      <c r="I134" s="642">
        <v>0</v>
      </c>
      <c r="J134" s="642">
        <v>26.125483595276659</v>
      </c>
      <c r="K134" s="642">
        <v>0</v>
      </c>
      <c r="L134" s="642">
        <v>-26.125483595276659</v>
      </c>
      <c r="M134" s="642">
        <v>0</v>
      </c>
      <c r="N134" s="642">
        <v>0</v>
      </c>
      <c r="O134" s="642">
        <v>0</v>
      </c>
      <c r="P134" s="642">
        <v>0</v>
      </c>
      <c r="Q134" s="642">
        <v>0</v>
      </c>
      <c r="R134" s="642">
        <v>0</v>
      </c>
      <c r="S134" s="650">
        <v>0</v>
      </c>
      <c r="U134" s="648" t="s">
        <v>354</v>
      </c>
      <c r="V134" s="642">
        <v>0</v>
      </c>
      <c r="W134" s="642">
        <v>0</v>
      </c>
      <c r="X134" s="642">
        <v>0</v>
      </c>
      <c r="Y134" s="642">
        <v>0</v>
      </c>
      <c r="Z134" s="642">
        <v>0</v>
      </c>
      <c r="AA134" s="642">
        <v>0</v>
      </c>
      <c r="AB134" s="642" t="e">
        <v>#VALUE!</v>
      </c>
      <c r="AC134" s="642">
        <v>0</v>
      </c>
      <c r="AD134" s="642">
        <v>-100.69655001825291</v>
      </c>
      <c r="AE134" s="642">
        <v>0</v>
      </c>
      <c r="AF134" s="642">
        <v>0</v>
      </c>
      <c r="AG134" s="642">
        <v>0</v>
      </c>
      <c r="AH134" s="642">
        <v>0</v>
      </c>
      <c r="AI134" s="642">
        <v>0</v>
      </c>
      <c r="AJ134" s="642">
        <v>0</v>
      </c>
      <c r="AK134" s="650">
        <v>-100.69655001825291</v>
      </c>
    </row>
    <row r="135" spans="3:37" ht="13.5">
      <c r="C135" s="648" t="s">
        <v>355</v>
      </c>
      <c r="D135" s="642">
        <v>0</v>
      </c>
      <c r="E135" s="642">
        <v>0</v>
      </c>
      <c r="F135" s="642">
        <v>0</v>
      </c>
      <c r="G135" s="642">
        <v>0</v>
      </c>
      <c r="H135" s="642">
        <v>0</v>
      </c>
      <c r="I135" s="642">
        <v>0</v>
      </c>
      <c r="J135" s="642">
        <v>0</v>
      </c>
      <c r="K135" s="642">
        <v>0</v>
      </c>
      <c r="L135" s="642">
        <v>0</v>
      </c>
      <c r="M135" s="642">
        <v>0</v>
      </c>
      <c r="N135" s="642">
        <v>0</v>
      </c>
      <c r="O135" s="642">
        <v>0</v>
      </c>
      <c r="P135" s="642">
        <v>0</v>
      </c>
      <c r="Q135" s="642">
        <v>0</v>
      </c>
      <c r="R135" s="642">
        <v>0</v>
      </c>
      <c r="S135" s="650">
        <v>0</v>
      </c>
      <c r="U135" s="648" t="s">
        <v>355</v>
      </c>
      <c r="V135" s="642">
        <v>0</v>
      </c>
      <c r="W135" s="642">
        <v>0</v>
      </c>
      <c r="X135" s="642">
        <v>0</v>
      </c>
      <c r="Y135" s="642">
        <v>0</v>
      </c>
      <c r="Z135" s="642">
        <v>0</v>
      </c>
      <c r="AA135" s="642">
        <v>0</v>
      </c>
      <c r="AB135" s="642">
        <v>0</v>
      </c>
      <c r="AC135" s="642">
        <v>0</v>
      </c>
      <c r="AD135" s="642">
        <v>-28.460377640694865</v>
      </c>
      <c r="AE135" s="642">
        <v>0</v>
      </c>
      <c r="AF135" s="642">
        <v>0</v>
      </c>
      <c r="AG135" s="642">
        <v>0</v>
      </c>
      <c r="AH135" s="642">
        <v>0</v>
      </c>
      <c r="AI135" s="642">
        <v>0</v>
      </c>
      <c r="AJ135" s="642">
        <v>0</v>
      </c>
      <c r="AK135" s="650">
        <v>-28.460377640694865</v>
      </c>
    </row>
    <row r="136" spans="3:37" ht="13.5">
      <c r="C136" s="648" t="s">
        <v>73</v>
      </c>
      <c r="D136" s="642">
        <v>0</v>
      </c>
      <c r="E136" s="642">
        <v>0</v>
      </c>
      <c r="F136" s="642">
        <v>0</v>
      </c>
      <c r="G136" s="642">
        <v>8.6128889644156494</v>
      </c>
      <c r="H136" s="642">
        <v>0</v>
      </c>
      <c r="I136" s="642">
        <v>0</v>
      </c>
      <c r="J136" s="642">
        <v>0</v>
      </c>
      <c r="K136" s="642">
        <v>0.10101910584583218</v>
      </c>
      <c r="L136" s="642">
        <v>0</v>
      </c>
      <c r="M136" s="642">
        <v>0.17577324417174797</v>
      </c>
      <c r="N136" s="642">
        <v>0</v>
      </c>
      <c r="O136" s="642">
        <v>0</v>
      </c>
      <c r="P136" s="642">
        <v>1.1785562348680418</v>
      </c>
      <c r="Q136" s="642">
        <v>0</v>
      </c>
      <c r="R136" s="642">
        <v>-7.071337409208251</v>
      </c>
      <c r="S136" s="650">
        <v>2.99690014009302</v>
      </c>
      <c r="U136" s="648" t="s">
        <v>73</v>
      </c>
      <c r="V136" s="642">
        <v>0</v>
      </c>
      <c r="W136" s="642">
        <v>0</v>
      </c>
      <c r="X136" s="642">
        <v>0</v>
      </c>
      <c r="Y136" s="642">
        <v>0</v>
      </c>
      <c r="Z136" s="642">
        <v>0</v>
      </c>
      <c r="AA136" s="642">
        <v>0</v>
      </c>
      <c r="AB136" s="642">
        <v>0</v>
      </c>
      <c r="AC136" s="642">
        <v>0.58294529496624936</v>
      </c>
      <c r="AD136" s="642">
        <v>0</v>
      </c>
      <c r="AE136" s="642">
        <v>0</v>
      </c>
      <c r="AF136" s="642">
        <v>0</v>
      </c>
      <c r="AG136" s="642">
        <v>0</v>
      </c>
      <c r="AH136" s="642">
        <v>56.108484640501494</v>
      </c>
      <c r="AI136" s="642">
        <v>0</v>
      </c>
      <c r="AJ136" s="642">
        <v>-40.806170647637451</v>
      </c>
      <c r="AK136" s="650">
        <v>15.885259287830294</v>
      </c>
    </row>
    <row r="137" spans="3:37" ht="13.5">
      <c r="C137" s="648" t="s">
        <v>356</v>
      </c>
      <c r="D137" s="642">
        <v>28.51179328125</v>
      </c>
      <c r="E137" s="642">
        <v>-16.683351300000002</v>
      </c>
      <c r="F137" s="642">
        <v>21.820838094867195</v>
      </c>
      <c r="G137" s="642">
        <v>0</v>
      </c>
      <c r="H137" s="642">
        <v>0</v>
      </c>
      <c r="I137" s="642">
        <v>0</v>
      </c>
      <c r="J137" s="642">
        <v>0</v>
      </c>
      <c r="K137" s="642">
        <v>0</v>
      </c>
      <c r="L137" s="642">
        <v>0</v>
      </c>
      <c r="M137" s="642">
        <v>0</v>
      </c>
      <c r="N137" s="642">
        <v>0</v>
      </c>
      <c r="O137" s="642">
        <v>0</v>
      </c>
      <c r="P137" s="642">
        <v>0</v>
      </c>
      <c r="Q137" s="642">
        <v>0</v>
      </c>
      <c r="R137" s="642">
        <v>0</v>
      </c>
      <c r="S137" s="650">
        <v>33.649280076117194</v>
      </c>
      <c r="U137" s="648" t="s">
        <v>356</v>
      </c>
      <c r="V137" s="642">
        <v>0.72303211975097659</v>
      </c>
      <c r="W137" s="642">
        <v>-4.0775000000000006</v>
      </c>
      <c r="X137" s="642">
        <v>5.333129161634389</v>
      </c>
      <c r="Y137" s="642">
        <v>0</v>
      </c>
      <c r="Z137" s="642">
        <v>0</v>
      </c>
      <c r="AA137" s="642">
        <v>0</v>
      </c>
      <c r="AB137" s="642">
        <v>0</v>
      </c>
      <c r="AC137" s="642">
        <v>0</v>
      </c>
      <c r="AD137" s="642">
        <v>0</v>
      </c>
      <c r="AE137" s="642">
        <v>0</v>
      </c>
      <c r="AF137" s="642">
        <v>0</v>
      </c>
      <c r="AG137" s="642">
        <v>0</v>
      </c>
      <c r="AH137" s="642">
        <v>0</v>
      </c>
      <c r="AI137" s="642">
        <v>0</v>
      </c>
      <c r="AJ137" s="642">
        <v>0</v>
      </c>
      <c r="AK137" s="650">
        <v>1.978661281385365</v>
      </c>
    </row>
    <row r="138" spans="3:37" ht="13.5">
      <c r="C138" s="648" t="s">
        <v>75</v>
      </c>
      <c r="D138" s="642">
        <v>11.087919609375001</v>
      </c>
      <c r="E138" s="642">
        <v>0</v>
      </c>
      <c r="F138" s="642">
        <v>16.370388000000002</v>
      </c>
      <c r="G138" s="642">
        <v>4.6713383640000004</v>
      </c>
      <c r="H138" s="642">
        <v>0</v>
      </c>
      <c r="I138" s="642">
        <v>0</v>
      </c>
      <c r="J138" s="642">
        <v>0</v>
      </c>
      <c r="K138" s="642">
        <v>0</v>
      </c>
      <c r="L138" s="642">
        <v>0</v>
      </c>
      <c r="M138" s="642">
        <v>9.5333436000000008E-2</v>
      </c>
      <c r="N138" s="642">
        <v>0</v>
      </c>
      <c r="O138" s="642">
        <v>0</v>
      </c>
      <c r="P138" s="642">
        <v>26.129145836866744</v>
      </c>
      <c r="Q138" s="642">
        <v>0</v>
      </c>
      <c r="R138" s="642">
        <v>0</v>
      </c>
      <c r="S138" s="650">
        <v>58.35412524624175</v>
      </c>
      <c r="U138" s="648" t="s">
        <v>75</v>
      </c>
      <c r="V138" s="642">
        <v>1.73775830078125</v>
      </c>
      <c r="W138" s="642">
        <v>0</v>
      </c>
      <c r="X138" s="642">
        <v>16.370388000000002</v>
      </c>
      <c r="Y138" s="642">
        <v>0</v>
      </c>
      <c r="Z138" s="642">
        <v>0</v>
      </c>
      <c r="AA138" s="642">
        <v>0</v>
      </c>
      <c r="AB138" s="642">
        <v>0</v>
      </c>
      <c r="AC138" s="642">
        <v>0</v>
      </c>
      <c r="AD138" s="642">
        <v>0</v>
      </c>
      <c r="AE138" s="642">
        <v>4.7666718000000001</v>
      </c>
      <c r="AF138" s="642">
        <v>0</v>
      </c>
      <c r="AG138" s="642">
        <v>0</v>
      </c>
      <c r="AH138" s="642">
        <v>36.696565665655768</v>
      </c>
      <c r="AI138" s="642">
        <v>0</v>
      </c>
      <c r="AJ138" s="642">
        <v>0</v>
      </c>
      <c r="AK138" s="650">
        <v>59.571383766437016</v>
      </c>
    </row>
    <row r="139" spans="3:37" ht="13.5">
      <c r="C139" s="648" t="s">
        <v>76</v>
      </c>
      <c r="D139" s="642">
        <v>0</v>
      </c>
      <c r="E139" s="642">
        <v>0</v>
      </c>
      <c r="F139" s="642">
        <v>0</v>
      </c>
      <c r="G139" s="642">
        <v>3.9646717348100942</v>
      </c>
      <c r="H139" s="642">
        <v>0</v>
      </c>
      <c r="I139" s="642">
        <v>0</v>
      </c>
      <c r="J139" s="642">
        <v>0</v>
      </c>
      <c r="K139" s="642">
        <v>0</v>
      </c>
      <c r="L139" s="642">
        <v>0</v>
      </c>
      <c r="M139" s="642">
        <v>8.0911668057348868E-2</v>
      </c>
      <c r="N139" s="642">
        <v>0</v>
      </c>
      <c r="O139" s="642">
        <v>0</v>
      </c>
      <c r="P139" s="642">
        <v>47.131742012269626</v>
      </c>
      <c r="Q139" s="642">
        <v>2.9238621334994321</v>
      </c>
      <c r="R139" s="642">
        <v>0</v>
      </c>
      <c r="S139" s="650">
        <v>54.101187548636503</v>
      </c>
      <c r="U139" s="648" t="s">
        <v>76</v>
      </c>
      <c r="V139" s="642">
        <v>0</v>
      </c>
      <c r="W139" s="642">
        <v>0</v>
      </c>
      <c r="X139" s="642">
        <v>0</v>
      </c>
      <c r="Y139" s="642">
        <v>0</v>
      </c>
      <c r="Z139" s="642">
        <v>0</v>
      </c>
      <c r="AA139" s="642">
        <v>0</v>
      </c>
      <c r="AB139" s="642">
        <v>0</v>
      </c>
      <c r="AC139" s="642">
        <v>0</v>
      </c>
      <c r="AD139" s="642">
        <v>0</v>
      </c>
      <c r="AE139" s="642">
        <v>1.5605996097297452</v>
      </c>
      <c r="AF139" s="642">
        <v>0</v>
      </c>
      <c r="AG139" s="642">
        <v>0</v>
      </c>
      <c r="AH139" s="642">
        <v>50.104610120731024</v>
      </c>
      <c r="AI139" s="642">
        <v>5.7529608775183565</v>
      </c>
      <c r="AJ139" s="642">
        <v>0</v>
      </c>
      <c r="AK139" s="650">
        <v>57.418170607979121</v>
      </c>
    </row>
    <row r="140" spans="3:37" ht="13.5">
      <c r="C140" s="646" t="s">
        <v>77</v>
      </c>
      <c r="D140" s="647">
        <v>42.426498531650253</v>
      </c>
      <c r="E140" s="647">
        <v>464.7986487</v>
      </c>
      <c r="F140" s="647">
        <v>-430.41604332203127</v>
      </c>
      <c r="G140" s="647">
        <v>78.562753779962591</v>
      </c>
      <c r="H140" s="647">
        <v>727.27272727272737</v>
      </c>
      <c r="I140" s="647">
        <v>338.37995078139568</v>
      </c>
      <c r="J140" s="647">
        <v>73.88609899973514</v>
      </c>
      <c r="K140" s="647">
        <v>18.1608189391454</v>
      </c>
      <c r="L140" s="647">
        <v>-22.392588528868568</v>
      </c>
      <c r="M140" s="647">
        <v>-5.0780082691828765</v>
      </c>
      <c r="N140" s="647">
        <v>0</v>
      </c>
      <c r="O140" s="647">
        <v>9.6533137639592894</v>
      </c>
      <c r="P140" s="647">
        <v>-554.70570793017112</v>
      </c>
      <c r="Q140" s="647">
        <v>-34.744016552062419</v>
      </c>
      <c r="R140" s="647">
        <v>-7.071337409208251</v>
      </c>
      <c r="S140" s="647">
        <v>698.73310875705101</v>
      </c>
      <c r="U140" s="646" t="s">
        <v>77</v>
      </c>
      <c r="V140" s="647">
        <v>3.0871053259909167</v>
      </c>
      <c r="W140" s="647">
        <v>113.59926767676768</v>
      </c>
      <c r="X140" s="647">
        <v>-90.60020861890041</v>
      </c>
      <c r="Y140" s="647">
        <v>0</v>
      </c>
      <c r="Z140" s="647">
        <v>764.84848484848499</v>
      </c>
      <c r="AA140" s="647">
        <v>423.19995078139567</v>
      </c>
      <c r="AB140" s="647">
        <v>188.81392594880614</v>
      </c>
      <c r="AC140" s="647">
        <v>31.963595882852758</v>
      </c>
      <c r="AD140" s="647">
        <v>-125.42403259253969</v>
      </c>
      <c r="AE140" s="647">
        <v>-113.87891972722609</v>
      </c>
      <c r="AF140" s="647">
        <v>0</v>
      </c>
      <c r="AG140" s="647">
        <v>21.687841193420969</v>
      </c>
      <c r="AH140" s="647">
        <v>-553.86752452670385</v>
      </c>
      <c r="AI140" s="647">
        <v>-68.423763504668656</v>
      </c>
      <c r="AJ140" s="647">
        <v>-37.056170647637451</v>
      </c>
      <c r="AK140" s="647">
        <v>557.94955204004305</v>
      </c>
    </row>
    <row r="141" spans="3:37" ht="13">
      <c r="C141" s="636"/>
      <c r="D141" s="636">
        <v>0</v>
      </c>
      <c r="E141" s="636">
        <v>0</v>
      </c>
      <c r="F141" s="636">
        <v>0</v>
      </c>
      <c r="G141" s="636">
        <v>0</v>
      </c>
      <c r="H141" s="636">
        <v>0</v>
      </c>
      <c r="I141" s="636">
        <v>0</v>
      </c>
      <c r="J141" s="636">
        <v>0</v>
      </c>
      <c r="K141" s="636">
        <v>0</v>
      </c>
      <c r="L141" s="636">
        <v>0</v>
      </c>
      <c r="M141" s="636">
        <v>0</v>
      </c>
      <c r="N141" s="636">
        <v>0</v>
      </c>
      <c r="O141" s="636">
        <v>0</v>
      </c>
      <c r="P141" s="636">
        <v>0</v>
      </c>
      <c r="Q141" s="636">
        <v>0</v>
      </c>
      <c r="R141" s="636">
        <v>0</v>
      </c>
      <c r="S141" s="636">
        <v>0</v>
      </c>
      <c r="U141" s="636"/>
      <c r="V141" s="636">
        <v>0</v>
      </c>
      <c r="W141" s="636">
        <v>0</v>
      </c>
      <c r="X141" s="636">
        <v>0</v>
      </c>
      <c r="Y141" s="636">
        <v>0</v>
      </c>
      <c r="Z141" s="636">
        <v>0</v>
      </c>
      <c r="AA141" s="636">
        <v>0</v>
      </c>
      <c r="AB141" s="636">
        <v>0</v>
      </c>
      <c r="AC141" s="636">
        <v>0</v>
      </c>
      <c r="AD141" s="636">
        <v>0</v>
      </c>
      <c r="AE141" s="636">
        <v>0</v>
      </c>
      <c r="AF141" s="636">
        <v>0</v>
      </c>
      <c r="AG141" s="636">
        <v>0</v>
      </c>
      <c r="AH141" s="636">
        <v>0</v>
      </c>
      <c r="AI141" s="636">
        <v>0</v>
      </c>
      <c r="AJ141" s="636">
        <v>0</v>
      </c>
      <c r="AK141" s="636">
        <v>0</v>
      </c>
    </row>
    <row r="142" spans="3:37" ht="13.5">
      <c r="C142" s="648" t="s">
        <v>78</v>
      </c>
      <c r="D142" s="642">
        <v>3.6733927919712848</v>
      </c>
      <c r="E142" s="642">
        <v>0</v>
      </c>
      <c r="F142" s="642">
        <v>19.397200033553816</v>
      </c>
      <c r="G142" s="642">
        <v>91.130108310207916</v>
      </c>
      <c r="H142" s="642">
        <v>0</v>
      </c>
      <c r="I142" s="642">
        <v>0</v>
      </c>
      <c r="J142" s="642">
        <v>22.791437377983073</v>
      </c>
      <c r="K142" s="642">
        <v>1.7013098714668424</v>
      </c>
      <c r="L142" s="642">
        <v>1.007010953125</v>
      </c>
      <c r="M142" s="642">
        <v>1.8779931367345493</v>
      </c>
      <c r="N142" s="642">
        <v>0</v>
      </c>
      <c r="O142" s="642">
        <v>3.7093504340600874E-4</v>
      </c>
      <c r="P142" s="642">
        <v>114.54790196708234</v>
      </c>
      <c r="Q142" s="642">
        <v>16.21056036467343</v>
      </c>
      <c r="R142" s="642">
        <v>0.23655174255371095</v>
      </c>
      <c r="S142" s="650">
        <v>272.57383748439537</v>
      </c>
      <c r="U142" s="648" t="s">
        <v>78</v>
      </c>
      <c r="V142" s="642">
        <v>1.5000162600463405</v>
      </c>
      <c r="W142" s="642">
        <v>0</v>
      </c>
      <c r="X142" s="642">
        <v>0.65820239923796242</v>
      </c>
      <c r="Y142" s="642">
        <v>0</v>
      </c>
      <c r="Z142" s="642">
        <v>0</v>
      </c>
      <c r="AA142" s="642">
        <v>0</v>
      </c>
      <c r="AB142" s="642">
        <v>14.22856522114639</v>
      </c>
      <c r="AC142" s="642">
        <v>4.1194716696050602</v>
      </c>
      <c r="AD142" s="642">
        <v>8.3494072265624997</v>
      </c>
      <c r="AE142" s="642">
        <v>60.539358802903692</v>
      </c>
      <c r="AF142" s="642">
        <v>0</v>
      </c>
      <c r="AG142" s="642">
        <v>3.7093504340600874E-4</v>
      </c>
      <c r="AH142" s="642">
        <v>157.01971492382648</v>
      </c>
      <c r="AI142" s="642">
        <v>25.540840498351418</v>
      </c>
      <c r="AJ142" s="642">
        <v>8.9542294921874994</v>
      </c>
      <c r="AK142" s="650">
        <v>280.91017742891074</v>
      </c>
    </row>
    <row r="143" spans="3:37" ht="13.5">
      <c r="C143" s="648" t="s">
        <v>79</v>
      </c>
      <c r="D143" s="642">
        <v>0</v>
      </c>
      <c r="E143" s="642">
        <v>0</v>
      </c>
      <c r="F143" s="642">
        <v>216.8751541495462</v>
      </c>
      <c r="G143" s="642">
        <v>32.745585882615877</v>
      </c>
      <c r="H143" s="642">
        <v>0</v>
      </c>
      <c r="I143" s="642">
        <v>0</v>
      </c>
      <c r="J143" s="642">
        <v>0</v>
      </c>
      <c r="K143" s="642">
        <v>0</v>
      </c>
      <c r="L143" s="642">
        <v>20.896591906701669</v>
      </c>
      <c r="M143" s="642">
        <v>0.66827726291052814</v>
      </c>
      <c r="N143" s="642">
        <v>0</v>
      </c>
      <c r="O143" s="642">
        <v>0</v>
      </c>
      <c r="P143" s="642">
        <v>80.819270278256823</v>
      </c>
      <c r="Q143" s="642">
        <v>0</v>
      </c>
      <c r="R143" s="642">
        <v>2.9193508940431485</v>
      </c>
      <c r="S143" s="650">
        <v>354.92423037407423</v>
      </c>
      <c r="U143" s="648" t="s">
        <v>79</v>
      </c>
      <c r="V143" s="642">
        <v>0</v>
      </c>
      <c r="W143" s="642">
        <v>0</v>
      </c>
      <c r="X143" s="642">
        <v>8.8339079607242379</v>
      </c>
      <c r="Y143" s="642">
        <v>0</v>
      </c>
      <c r="Z143" s="642">
        <v>0</v>
      </c>
      <c r="AA143" s="642">
        <v>0</v>
      </c>
      <c r="AB143" s="642">
        <v>0</v>
      </c>
      <c r="AC143" s="642">
        <v>0</v>
      </c>
      <c r="AD143" s="642">
        <v>12.788272739607951</v>
      </c>
      <c r="AE143" s="642">
        <v>24.887279738493259</v>
      </c>
      <c r="AF143" s="642">
        <v>0</v>
      </c>
      <c r="AG143" s="642">
        <v>0</v>
      </c>
      <c r="AH143" s="642">
        <v>93.844452584108197</v>
      </c>
      <c r="AI143" s="642">
        <v>0</v>
      </c>
      <c r="AJ143" s="642">
        <v>7.1149935986121697</v>
      </c>
      <c r="AK143" s="650">
        <v>147.46890662154581</v>
      </c>
    </row>
    <row r="144" spans="3:37" ht="13.5">
      <c r="C144" s="648" t="s">
        <v>80</v>
      </c>
      <c r="D144" s="642">
        <v>0</v>
      </c>
      <c r="E144" s="642">
        <v>0</v>
      </c>
      <c r="F144" s="642">
        <v>5.2094674308398901</v>
      </c>
      <c r="G144" s="642">
        <v>68.551385920257417</v>
      </c>
      <c r="H144" s="642">
        <v>0</v>
      </c>
      <c r="I144" s="642">
        <v>0</v>
      </c>
      <c r="J144" s="642">
        <v>86.155325304334795</v>
      </c>
      <c r="K144" s="642">
        <v>0</v>
      </c>
      <c r="L144" s="642">
        <v>0</v>
      </c>
      <c r="M144" s="642">
        <v>1.3990078759236206</v>
      </c>
      <c r="N144" s="642">
        <v>66.478227859390046</v>
      </c>
      <c r="O144" s="642">
        <v>2.1206229173139883</v>
      </c>
      <c r="P144" s="642">
        <v>194.47767196350526</v>
      </c>
      <c r="Q144" s="642">
        <v>15.182773802844931</v>
      </c>
      <c r="R144" s="642">
        <v>0</v>
      </c>
      <c r="S144" s="650">
        <v>439.5744830744099</v>
      </c>
      <c r="U144" s="648" t="s">
        <v>80</v>
      </c>
      <c r="V144" s="642">
        <v>0</v>
      </c>
      <c r="W144" s="642">
        <v>0</v>
      </c>
      <c r="X144" s="642">
        <v>0.92826525658471626</v>
      </c>
      <c r="Y144" s="642">
        <v>0</v>
      </c>
      <c r="Z144" s="642">
        <v>0</v>
      </c>
      <c r="AA144" s="642">
        <v>0</v>
      </c>
      <c r="AB144" s="642">
        <v>47.227858114444189</v>
      </c>
      <c r="AC144" s="642">
        <v>0</v>
      </c>
      <c r="AD144" s="642">
        <v>0</v>
      </c>
      <c r="AE144" s="642">
        <v>17.293312779197663</v>
      </c>
      <c r="AF144" s="642">
        <v>108.09916343666818</v>
      </c>
      <c r="AG144" s="642">
        <v>4.9369795689122755</v>
      </c>
      <c r="AH144" s="642">
        <v>137.38519988829395</v>
      </c>
      <c r="AI144" s="642">
        <v>27.91071693101145</v>
      </c>
      <c r="AJ144" s="642">
        <v>0</v>
      </c>
      <c r="AK144" s="650">
        <v>343.78149597511242</v>
      </c>
    </row>
    <row r="145" spans="3:37" ht="13.5">
      <c r="C145" s="648" t="s">
        <v>81</v>
      </c>
      <c r="D145" s="642">
        <v>0</v>
      </c>
      <c r="E145" s="642">
        <v>0</v>
      </c>
      <c r="F145" s="642">
        <v>2.3181271880740835</v>
      </c>
      <c r="G145" s="642">
        <v>62.553452404821357</v>
      </c>
      <c r="H145" s="642">
        <v>0</v>
      </c>
      <c r="I145" s="642">
        <v>0</v>
      </c>
      <c r="J145" s="642">
        <v>3.0090868580403627</v>
      </c>
      <c r="K145" s="642">
        <v>2.5363417285398034E-2</v>
      </c>
      <c r="L145" s="642">
        <v>0</v>
      </c>
      <c r="M145" s="642">
        <v>1.27660106948615</v>
      </c>
      <c r="N145" s="642">
        <v>8.6055350400994808</v>
      </c>
      <c r="O145" s="642">
        <v>0.68093940948821108</v>
      </c>
      <c r="P145" s="642">
        <v>146.08879967332064</v>
      </c>
      <c r="Q145" s="642">
        <v>3.3506823845440552</v>
      </c>
      <c r="R145" s="642">
        <v>0</v>
      </c>
      <c r="S145" s="650">
        <v>227.90858744515972</v>
      </c>
      <c r="U145" s="648" t="s">
        <v>81</v>
      </c>
      <c r="V145" s="642">
        <v>0</v>
      </c>
      <c r="W145" s="642">
        <v>0</v>
      </c>
      <c r="X145" s="642">
        <v>0.55102356567889155</v>
      </c>
      <c r="Y145" s="642">
        <v>0</v>
      </c>
      <c r="Z145" s="642">
        <v>0</v>
      </c>
      <c r="AA145" s="642">
        <v>0</v>
      </c>
      <c r="AB145" s="642">
        <v>6.5361621549849476</v>
      </c>
      <c r="AC145" s="642">
        <v>2.5363417285398034E-2</v>
      </c>
      <c r="AD145" s="642">
        <v>0</v>
      </c>
      <c r="AE145" s="642">
        <v>5.3379988256415478</v>
      </c>
      <c r="AF145" s="642">
        <v>15.069021727073199</v>
      </c>
      <c r="AG145" s="642">
        <v>1.4375946320597892</v>
      </c>
      <c r="AH145" s="642">
        <v>112.31243747223964</v>
      </c>
      <c r="AI145" s="642">
        <v>14.972206075305797</v>
      </c>
      <c r="AJ145" s="642">
        <v>0</v>
      </c>
      <c r="AK145" s="650">
        <v>156.24180787026921</v>
      </c>
    </row>
    <row r="146" spans="3:37" ht="13.5">
      <c r="C146" s="648" t="s">
        <v>82</v>
      </c>
      <c r="D146" s="642">
        <v>0</v>
      </c>
      <c r="E146" s="642">
        <v>0</v>
      </c>
      <c r="F146" s="642">
        <v>27.219719362233906</v>
      </c>
      <c r="G146" s="642">
        <v>0.81069667111944488</v>
      </c>
      <c r="H146" s="642">
        <v>0</v>
      </c>
      <c r="I146" s="642">
        <v>0</v>
      </c>
      <c r="J146" s="642">
        <v>5.0054618408177598</v>
      </c>
      <c r="K146" s="642">
        <v>0</v>
      </c>
      <c r="L146" s="642">
        <v>3.2629555410385191</v>
      </c>
      <c r="M146" s="642">
        <v>1.6544830022845812E-2</v>
      </c>
      <c r="N146" s="642">
        <v>0</v>
      </c>
      <c r="O146" s="642">
        <v>6.051975379409523E-2</v>
      </c>
      <c r="P146" s="642">
        <v>5.5235547180923223</v>
      </c>
      <c r="Q146" s="642">
        <v>0</v>
      </c>
      <c r="R146" s="642">
        <v>0</v>
      </c>
      <c r="S146" s="650">
        <v>41.899452717118898</v>
      </c>
      <c r="U146" s="648" t="s">
        <v>82</v>
      </c>
      <c r="V146" s="642">
        <v>0</v>
      </c>
      <c r="W146" s="642">
        <v>0</v>
      </c>
      <c r="X146" s="642">
        <v>0.67158967449506357</v>
      </c>
      <c r="Y146" s="642">
        <v>0</v>
      </c>
      <c r="Z146" s="642">
        <v>0</v>
      </c>
      <c r="AA146" s="642">
        <v>0</v>
      </c>
      <c r="AB146" s="642">
        <v>5.0054618408177598</v>
      </c>
      <c r="AC146" s="642">
        <v>0</v>
      </c>
      <c r="AD146" s="642">
        <v>35.167200828266267</v>
      </c>
      <c r="AE146" s="642">
        <v>0.86765586771995196</v>
      </c>
      <c r="AF146" s="642">
        <v>0</v>
      </c>
      <c r="AG146" s="642">
        <v>2.1874070050904897</v>
      </c>
      <c r="AH146" s="642">
        <v>5.6657335511185538</v>
      </c>
      <c r="AI146" s="642">
        <v>0</v>
      </c>
      <c r="AJ146" s="642">
        <v>0.44339331184266689</v>
      </c>
      <c r="AK146" s="650">
        <v>50.008442079350758</v>
      </c>
    </row>
    <row r="147" spans="3:37" ht="13.5">
      <c r="C147" s="648" t="s">
        <v>357</v>
      </c>
      <c r="D147" s="642">
        <v>0</v>
      </c>
      <c r="E147" s="642">
        <v>0</v>
      </c>
      <c r="F147" s="642">
        <v>0</v>
      </c>
      <c r="G147" s="642">
        <v>0</v>
      </c>
      <c r="H147" s="642">
        <v>0</v>
      </c>
      <c r="I147" s="642">
        <v>0</v>
      </c>
      <c r="J147" s="642">
        <v>0</v>
      </c>
      <c r="K147" s="642">
        <v>0</v>
      </c>
      <c r="L147" s="642">
        <v>0</v>
      </c>
      <c r="M147" s="642">
        <v>0</v>
      </c>
      <c r="N147" s="642">
        <v>0</v>
      </c>
      <c r="O147" s="642">
        <v>0</v>
      </c>
      <c r="P147" s="642">
        <v>0.44999999999999996</v>
      </c>
      <c r="Q147" s="642">
        <v>0</v>
      </c>
      <c r="R147" s="642">
        <v>0</v>
      </c>
      <c r="S147" s="650">
        <v>0.44999999999999996</v>
      </c>
      <c r="U147" s="648" t="s">
        <v>357</v>
      </c>
      <c r="V147" s="642">
        <v>0</v>
      </c>
      <c r="W147" s="642">
        <v>0</v>
      </c>
      <c r="X147" s="642">
        <v>0</v>
      </c>
      <c r="Y147" s="642">
        <v>0</v>
      </c>
      <c r="Z147" s="642">
        <v>0</v>
      </c>
      <c r="AA147" s="642">
        <v>0</v>
      </c>
      <c r="AB147" s="642">
        <v>0</v>
      </c>
      <c r="AC147" s="642">
        <v>0</v>
      </c>
      <c r="AD147" s="642">
        <v>0</v>
      </c>
      <c r="AE147" s="642">
        <v>0</v>
      </c>
      <c r="AF147" s="642">
        <v>0</v>
      </c>
      <c r="AG147" s="642">
        <v>0</v>
      </c>
      <c r="AH147" s="642">
        <v>6</v>
      </c>
      <c r="AI147" s="642">
        <v>0</v>
      </c>
      <c r="AJ147" s="642">
        <v>0</v>
      </c>
      <c r="AK147" s="650">
        <v>6</v>
      </c>
    </row>
    <row r="148" spans="3:37" ht="13.5">
      <c r="C148" s="646" t="s">
        <v>83</v>
      </c>
      <c r="D148" s="647">
        <v>3.6733927919712848</v>
      </c>
      <c r="E148" s="647">
        <v>0</v>
      </c>
      <c r="F148" s="647">
        <v>271.01966816424783</v>
      </c>
      <c r="G148" s="647">
        <v>255.79122918902203</v>
      </c>
      <c r="H148" s="647">
        <v>0</v>
      </c>
      <c r="I148" s="647">
        <v>0</v>
      </c>
      <c r="J148" s="647">
        <v>116.96131138117599</v>
      </c>
      <c r="K148" s="647">
        <v>1.7266732887522405</v>
      </c>
      <c r="L148" s="647">
        <v>25.166558400865188</v>
      </c>
      <c r="M148" s="647">
        <v>5.238424175077693</v>
      </c>
      <c r="N148" s="647">
        <v>75.083762899489528</v>
      </c>
      <c r="O148" s="647">
        <v>2.8624530156397006</v>
      </c>
      <c r="P148" s="647">
        <v>541.90719860025752</v>
      </c>
      <c r="Q148" s="647">
        <v>34.744016552062419</v>
      </c>
      <c r="R148" s="647">
        <v>3.1559026365968594</v>
      </c>
      <c r="S148" s="647">
        <v>1337.3305910951583</v>
      </c>
      <c r="U148" s="646" t="s">
        <v>83</v>
      </c>
      <c r="V148" s="647">
        <v>1.5000162600463405</v>
      </c>
      <c r="W148" s="647">
        <v>0</v>
      </c>
      <c r="X148" s="647">
        <v>11.642988856720871</v>
      </c>
      <c r="Y148" s="647">
        <v>0</v>
      </c>
      <c r="Z148" s="647">
        <v>0</v>
      </c>
      <c r="AA148" s="647">
        <v>0</v>
      </c>
      <c r="AB148" s="647">
        <v>72.998047331393281</v>
      </c>
      <c r="AC148" s="647">
        <v>4.1448350868904589</v>
      </c>
      <c r="AD148" s="647">
        <v>56.30488079443672</v>
      </c>
      <c r="AE148" s="647">
        <v>108.92560601395611</v>
      </c>
      <c r="AF148" s="647">
        <v>123.16818516374138</v>
      </c>
      <c r="AG148" s="647">
        <v>8.5623521411059595</v>
      </c>
      <c r="AH148" s="647">
        <v>512.22753841958684</v>
      </c>
      <c r="AI148" s="647">
        <v>68.423763504668656</v>
      </c>
      <c r="AJ148" s="647">
        <v>16.512616402642333</v>
      </c>
      <c r="AK148" s="647">
        <v>984.4108299751889</v>
      </c>
    </row>
    <row r="149" spans="3:37" ht="13.5">
      <c r="C149" s="641" t="s">
        <v>84</v>
      </c>
      <c r="D149" s="642">
        <v>0</v>
      </c>
      <c r="E149" s="642">
        <v>0</v>
      </c>
      <c r="F149" s="642">
        <v>100.05515171814793</v>
      </c>
      <c r="G149" s="642">
        <v>11.196954266678716</v>
      </c>
      <c r="H149" s="642">
        <v>0</v>
      </c>
      <c r="I149" s="642">
        <v>0</v>
      </c>
      <c r="J149" s="642">
        <v>0</v>
      </c>
      <c r="K149" s="642">
        <v>0</v>
      </c>
      <c r="L149" s="642">
        <v>0</v>
      </c>
      <c r="M149" s="642">
        <v>0</v>
      </c>
      <c r="N149" s="642">
        <v>0</v>
      </c>
      <c r="O149" s="642">
        <v>0</v>
      </c>
      <c r="P149" s="642">
        <v>0</v>
      </c>
      <c r="Q149" s="642">
        <v>0</v>
      </c>
      <c r="R149" s="642">
        <v>3.9154347726113912</v>
      </c>
      <c r="S149" s="650">
        <v>115.16754075743803</v>
      </c>
      <c r="U149" s="641" t="s">
        <v>84</v>
      </c>
      <c r="V149" s="642">
        <v>0</v>
      </c>
      <c r="W149" s="642">
        <v>0</v>
      </c>
      <c r="X149" s="642">
        <v>57.953190468871433</v>
      </c>
      <c r="Y149" s="642">
        <v>0.51452681198611927</v>
      </c>
      <c r="Z149" s="642">
        <v>0</v>
      </c>
      <c r="AA149" s="642">
        <v>0</v>
      </c>
      <c r="AB149" s="642">
        <v>0</v>
      </c>
      <c r="AC149" s="642">
        <v>0</v>
      </c>
      <c r="AD149" s="642">
        <v>30.108432000732424</v>
      </c>
      <c r="AE149" s="642">
        <v>0</v>
      </c>
      <c r="AF149" s="642">
        <v>0</v>
      </c>
      <c r="AG149" s="642">
        <v>0</v>
      </c>
      <c r="AH149" s="642">
        <v>0</v>
      </c>
      <c r="AI149" s="642">
        <v>0</v>
      </c>
      <c r="AJ149" s="642">
        <v>20.543554244995118</v>
      </c>
      <c r="AK149" s="650">
        <v>109.1197035265851</v>
      </c>
    </row>
    <row r="150" spans="3:37" ht="13.5">
      <c r="C150" s="646" t="s">
        <v>85</v>
      </c>
      <c r="D150" s="647">
        <v>3.6733927919712848</v>
      </c>
      <c r="E150" s="647">
        <v>0</v>
      </c>
      <c r="F150" s="647">
        <v>371.07481988239573</v>
      </c>
      <c r="G150" s="647">
        <v>266.98818345570078</v>
      </c>
      <c r="H150" s="647">
        <v>0</v>
      </c>
      <c r="I150" s="647">
        <v>0</v>
      </c>
      <c r="J150" s="647">
        <v>116.96131138117599</v>
      </c>
      <c r="K150" s="647">
        <v>1.7266732887522405</v>
      </c>
      <c r="L150" s="647">
        <v>25.166558400865188</v>
      </c>
      <c r="M150" s="647">
        <v>5.238424175077693</v>
      </c>
      <c r="N150" s="647">
        <v>75.083762899489528</v>
      </c>
      <c r="O150" s="647">
        <v>2.8624530156397006</v>
      </c>
      <c r="P150" s="647">
        <v>541.90719860025752</v>
      </c>
      <c r="Q150" s="647">
        <v>34.744016552062419</v>
      </c>
      <c r="R150" s="647">
        <v>7.071337409208251</v>
      </c>
      <c r="S150" s="647">
        <v>1452.4981318525963</v>
      </c>
      <c r="U150" s="646" t="s">
        <v>85</v>
      </c>
      <c r="V150" s="647">
        <v>1.5000162600463405</v>
      </c>
      <c r="W150" s="647">
        <v>0</v>
      </c>
      <c r="X150" s="647">
        <v>69.596179325592303</v>
      </c>
      <c r="Y150" s="647">
        <v>0.51452681198611927</v>
      </c>
      <c r="Z150" s="647">
        <v>0</v>
      </c>
      <c r="AA150" s="647">
        <v>0</v>
      </c>
      <c r="AB150" s="647">
        <v>72.998047331393281</v>
      </c>
      <c r="AC150" s="647">
        <v>4.1448350868904589</v>
      </c>
      <c r="AD150" s="647">
        <v>86.413312795169148</v>
      </c>
      <c r="AE150" s="647">
        <v>108.92560601395611</v>
      </c>
      <c r="AF150" s="647">
        <v>123.16818516374138</v>
      </c>
      <c r="AG150" s="647">
        <v>8.5623521411059595</v>
      </c>
      <c r="AH150" s="647">
        <v>512.22753841958684</v>
      </c>
      <c r="AI150" s="647">
        <v>68.423763504668656</v>
      </c>
      <c r="AJ150" s="647">
        <v>37.056170647637451</v>
      </c>
      <c r="AK150" s="647">
        <v>1093.530533501774</v>
      </c>
    </row>
    <row r="151" spans="3:37" ht="13">
      <c r="C151" s="636"/>
      <c r="D151" s="636"/>
      <c r="E151" s="636"/>
      <c r="F151" s="636"/>
      <c r="G151" s="636"/>
      <c r="H151" s="636"/>
      <c r="I151" s="636"/>
      <c r="J151" s="636"/>
      <c r="K151" s="636"/>
      <c r="L151" s="636"/>
      <c r="M151" s="636"/>
      <c r="N151" s="636"/>
      <c r="O151" s="636"/>
      <c r="P151" s="636"/>
      <c r="Q151" s="636"/>
      <c r="R151" s="636"/>
      <c r="S151" s="636"/>
      <c r="U151" s="636"/>
      <c r="V151" s="636"/>
      <c r="W151" s="636"/>
      <c r="X151" s="636"/>
      <c r="Y151" s="636"/>
      <c r="Z151" s="636"/>
      <c r="AA151" s="636"/>
      <c r="AB151" s="636"/>
      <c r="AC151" s="636"/>
      <c r="AD151" s="636"/>
      <c r="AE151" s="636"/>
      <c r="AF151" s="636"/>
      <c r="AG151" s="636"/>
      <c r="AH151" s="636"/>
      <c r="AI151" s="636"/>
      <c r="AJ151" s="636"/>
      <c r="AK151" s="636"/>
    </row>
    <row r="152" spans="3:37" ht="13">
      <c r="C152" s="636"/>
      <c r="D152" s="636"/>
      <c r="E152" s="636"/>
      <c r="F152" s="636"/>
      <c r="G152" s="636"/>
      <c r="H152" s="636"/>
      <c r="I152" s="636"/>
      <c r="J152" s="636"/>
      <c r="K152" s="636"/>
      <c r="L152" s="636"/>
      <c r="M152" s="636"/>
      <c r="N152" s="636"/>
      <c r="O152" s="636"/>
      <c r="P152" s="636"/>
      <c r="Q152" s="636"/>
      <c r="R152" s="636"/>
      <c r="S152" s="636"/>
      <c r="U152" s="636"/>
      <c r="V152" s="636"/>
      <c r="W152" s="636"/>
      <c r="X152" s="636"/>
      <c r="Y152" s="636"/>
      <c r="Z152" s="636"/>
      <c r="AA152" s="636"/>
      <c r="AB152" s="636"/>
      <c r="AC152" s="636"/>
      <c r="AD152" s="636"/>
      <c r="AE152" s="636"/>
      <c r="AF152" s="636"/>
      <c r="AG152" s="636"/>
      <c r="AH152" s="636"/>
      <c r="AI152" s="636"/>
      <c r="AJ152" s="636"/>
      <c r="AK152" s="636"/>
    </row>
  </sheetData>
  <mergeCells count="106">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AG119">
    <cfRule type="cellIs" dxfId="14125" priority="1" operator="equal">
      <formula>0</formula>
    </cfRule>
  </conditionalFormatting>
  <conditionalFormatting sqref="P15:S17 E15:I17 J15:O16 Q12:S14 G12:G14 D12:D17 D18:S18">
    <cfRule type="cellIs" dxfId="14124" priority="409" operator="equal">
      <formula>0</formula>
    </cfRule>
  </conditionalFormatting>
  <conditionalFormatting sqref="P12:P17">
    <cfRule type="cellIs" dxfId="14123" priority="410" operator="equal">
      <formula>0</formula>
    </cfRule>
  </conditionalFormatting>
  <conditionalFormatting sqref="D12:E17 H12:I17">
    <cfRule type="cellIs" dxfId="14122" priority="411" operator="equal">
      <formula>0</formula>
    </cfRule>
  </conditionalFormatting>
  <conditionalFormatting sqref="F12:F17">
    <cfRule type="cellIs" dxfId="14121" priority="412" operator="equal">
      <formula>0</formula>
    </cfRule>
  </conditionalFormatting>
  <conditionalFormatting sqref="J15:J17">
    <cfRule type="cellIs" dxfId="14120" priority="413" operator="equal">
      <formula>0</formula>
    </cfRule>
  </conditionalFormatting>
  <conditionalFormatting sqref="J12:J17 K12:O12">
    <cfRule type="cellIs" dxfId="14119" priority="414" operator="equal">
      <formula>0</formula>
    </cfRule>
  </conditionalFormatting>
  <conditionalFormatting sqref="K15:K17">
    <cfRule type="cellIs" dxfId="14118" priority="415" operator="equal">
      <formula>0</formula>
    </cfRule>
  </conditionalFormatting>
  <conditionalFormatting sqref="K12:K17">
    <cfRule type="cellIs" dxfId="14117" priority="416" operator="equal">
      <formula>0</formula>
    </cfRule>
  </conditionalFormatting>
  <conditionalFormatting sqref="L15:L17">
    <cfRule type="cellIs" dxfId="14116" priority="417" operator="equal">
      <formula>0</formula>
    </cfRule>
  </conditionalFormatting>
  <conditionalFormatting sqref="L12:L17">
    <cfRule type="cellIs" dxfId="14115" priority="418" operator="equal">
      <formula>0</formula>
    </cfRule>
  </conditionalFormatting>
  <conditionalFormatting sqref="M15:M17">
    <cfRule type="cellIs" dxfId="14114" priority="419" operator="equal">
      <formula>0</formula>
    </cfRule>
  </conditionalFormatting>
  <conditionalFormatting sqref="M12:M17">
    <cfRule type="cellIs" dxfId="14113" priority="420" operator="equal">
      <formula>0</formula>
    </cfRule>
  </conditionalFormatting>
  <conditionalFormatting sqref="N15:N17">
    <cfRule type="cellIs" dxfId="14112" priority="421" operator="equal">
      <formula>0</formula>
    </cfRule>
  </conditionalFormatting>
  <conditionalFormatting sqref="N12:N17">
    <cfRule type="cellIs" dxfId="14111" priority="422" operator="equal">
      <formula>0</formula>
    </cfRule>
  </conditionalFormatting>
  <conditionalFormatting sqref="O15:O17">
    <cfRule type="cellIs" dxfId="14110" priority="423" operator="equal">
      <formula>0</formula>
    </cfRule>
  </conditionalFormatting>
  <conditionalFormatting sqref="O12:O17">
    <cfRule type="cellIs" dxfId="14109" priority="424" operator="equal">
      <formula>0</formula>
    </cfRule>
  </conditionalFormatting>
  <conditionalFormatting sqref="D12:S18">
    <cfRule type="expression" dxfId="14108" priority="425">
      <formula>LEN(TRIM(D12))=0</formula>
    </cfRule>
  </conditionalFormatting>
  <conditionalFormatting sqref="L15:L16">
    <cfRule type="cellIs" dxfId="14107" priority="426" operator="equal">
      <formula>0</formula>
    </cfRule>
  </conditionalFormatting>
  <conditionalFormatting sqref="M15:M16">
    <cfRule type="cellIs" dxfId="14106" priority="427" operator="equal">
      <formula>0</formula>
    </cfRule>
  </conditionalFormatting>
  <conditionalFormatting sqref="N15:O15">
    <cfRule type="cellIs" dxfId="14105" priority="428" operator="equal">
      <formula>0</formula>
    </cfRule>
  </conditionalFormatting>
  <conditionalFormatting sqref="N16:O16">
    <cfRule type="cellIs" dxfId="14104" priority="429" operator="equal">
      <formula>0</formula>
    </cfRule>
  </conditionalFormatting>
  <conditionalFormatting sqref="E29:G29 D30:G31 H29:I31 D25:I28 J25:R31 D20:S20 D32:R32 D21:I22 S21:S32 P21:R22">
    <cfRule type="cellIs" dxfId="14103" priority="403" operator="equal">
      <formula>0</formula>
    </cfRule>
  </conditionalFormatting>
  <conditionalFormatting sqref="D29">
    <cfRule type="cellIs" dxfId="14102" priority="404" operator="equal">
      <formula>0</formula>
    </cfRule>
  </conditionalFormatting>
  <conditionalFormatting sqref="D20:S20 D25:R32 D21:I22 S21:S32 P21:R22">
    <cfRule type="expression" dxfId="14101" priority="405">
      <formula>LEN(TRIM(D20))=0</formula>
    </cfRule>
  </conditionalFormatting>
  <conditionalFormatting sqref="D23:R24">
    <cfRule type="cellIs" dxfId="14100" priority="406" operator="equal">
      <formula>0</formula>
    </cfRule>
  </conditionalFormatting>
  <conditionalFormatting sqref="P23:P24">
    <cfRule type="cellIs" dxfId="14099" priority="407" operator="equal">
      <formula>0</formula>
    </cfRule>
  </conditionalFormatting>
  <conditionalFormatting sqref="D23:R24">
    <cfRule type="expression" dxfId="14098" priority="408">
      <formula>LEN(TRIM(D23))=0</formula>
    </cfRule>
  </conditionalFormatting>
  <conditionalFormatting sqref="J21:O22">
    <cfRule type="cellIs" dxfId="14097" priority="401" operator="equal">
      <formula>0</formula>
    </cfRule>
  </conditionalFormatting>
  <conditionalFormatting sqref="J21:O22">
    <cfRule type="expression" dxfId="14096" priority="402">
      <formula>LEN(TRIM(J21))=0</formula>
    </cfRule>
  </conditionalFormatting>
  <conditionalFormatting sqref="D35:R40 S34:S39 S41 D34:I34 P34:R34">
    <cfRule type="cellIs" dxfId="14095" priority="395" operator="equal">
      <formula>0</formula>
    </cfRule>
  </conditionalFormatting>
  <conditionalFormatting sqref="D41:R41">
    <cfRule type="cellIs" dxfId="14094" priority="396" operator="equal">
      <formula>0</formula>
    </cfRule>
  </conditionalFormatting>
  <conditionalFormatting sqref="D35:S39 D41:S41 D40:R40 D34:I34 P34:S34">
    <cfRule type="expression" dxfId="14093" priority="397">
      <formula>LEN(TRIM(D34))=0</formula>
    </cfRule>
  </conditionalFormatting>
  <conditionalFormatting sqref="D41:R41">
    <cfRule type="cellIs" dxfId="14092" priority="398" operator="equal">
      <formula>0</formula>
    </cfRule>
  </conditionalFormatting>
  <conditionalFormatting sqref="D42:R42">
    <cfRule type="cellIs" dxfId="14091" priority="399" operator="equal">
      <formula>0</formula>
    </cfRule>
  </conditionalFormatting>
  <conditionalFormatting sqref="D42:R42">
    <cfRule type="expression" dxfId="14090" priority="400">
      <formula>LEN(TRIM(D42))=0</formula>
    </cfRule>
  </conditionalFormatting>
  <conditionalFormatting sqref="S42">
    <cfRule type="cellIs" dxfId="14089" priority="393" operator="equal">
      <formula>0</formula>
    </cfRule>
  </conditionalFormatting>
  <conditionalFormatting sqref="S42">
    <cfRule type="expression" dxfId="14088" priority="394">
      <formula>LEN(TRIM(S42))=0</formula>
    </cfRule>
  </conditionalFormatting>
  <conditionalFormatting sqref="S40">
    <cfRule type="cellIs" dxfId="14087" priority="391" operator="equal">
      <formula>0</formula>
    </cfRule>
  </conditionalFormatting>
  <conditionalFormatting sqref="S40">
    <cfRule type="expression" dxfId="14086" priority="392">
      <formula>LEN(TRIM(S40))=0</formula>
    </cfRule>
  </conditionalFormatting>
  <conditionalFormatting sqref="J34:O34">
    <cfRule type="cellIs" dxfId="14085" priority="389" operator="equal">
      <formula>0</formula>
    </cfRule>
  </conditionalFormatting>
  <conditionalFormatting sqref="J34:O34">
    <cfRule type="expression" dxfId="14084" priority="390">
      <formula>LEN(TRIM(J34))=0</formula>
    </cfRule>
  </conditionalFormatting>
  <conditionalFormatting sqref="P51:S53 E51:I53 J51:O52 Q48:S50 G48:G50 D48:D53 D54:S54">
    <cfRule type="cellIs" dxfId="14083" priority="368" operator="equal">
      <formula>0</formula>
    </cfRule>
  </conditionalFormatting>
  <conditionalFormatting sqref="P48:P53">
    <cfRule type="cellIs" dxfId="14082" priority="369" operator="equal">
      <formula>0</formula>
    </cfRule>
  </conditionalFormatting>
  <conditionalFormatting sqref="D48:E53 H48:I53">
    <cfRule type="cellIs" dxfId="14081" priority="370" operator="equal">
      <formula>0</formula>
    </cfRule>
  </conditionalFormatting>
  <conditionalFormatting sqref="F48:F53">
    <cfRule type="cellIs" dxfId="14080" priority="371" operator="equal">
      <formula>0</formula>
    </cfRule>
  </conditionalFormatting>
  <conditionalFormatting sqref="J51:J53">
    <cfRule type="cellIs" dxfId="14079" priority="372" operator="equal">
      <formula>0</formula>
    </cfRule>
  </conditionalFormatting>
  <conditionalFormatting sqref="J48:J53 K48:O48">
    <cfRule type="cellIs" dxfId="14078" priority="373" operator="equal">
      <formula>0</formula>
    </cfRule>
  </conditionalFormatting>
  <conditionalFormatting sqref="K51:K53">
    <cfRule type="cellIs" dxfId="14077" priority="374" operator="equal">
      <formula>0</formula>
    </cfRule>
  </conditionalFormatting>
  <conditionalFormatting sqref="K48:K53">
    <cfRule type="cellIs" dxfId="14076" priority="375" operator="equal">
      <formula>0</formula>
    </cfRule>
  </conditionalFormatting>
  <conditionalFormatting sqref="L51:L53">
    <cfRule type="cellIs" dxfId="14075" priority="376" operator="equal">
      <formula>0</formula>
    </cfRule>
  </conditionalFormatting>
  <conditionalFormatting sqref="L48:L53">
    <cfRule type="cellIs" dxfId="14074" priority="377" operator="equal">
      <formula>0</formula>
    </cfRule>
  </conditionalFormatting>
  <conditionalFormatting sqref="M51:M53">
    <cfRule type="cellIs" dxfId="14073" priority="378" operator="equal">
      <formula>0</formula>
    </cfRule>
  </conditionalFormatting>
  <conditionalFormatting sqref="M48:M53">
    <cfRule type="cellIs" dxfId="14072" priority="379" operator="equal">
      <formula>0</formula>
    </cfRule>
  </conditionalFormatting>
  <conditionalFormatting sqref="N51:N53">
    <cfRule type="cellIs" dxfId="14071" priority="380" operator="equal">
      <formula>0</formula>
    </cfRule>
  </conditionalFormatting>
  <conditionalFormatting sqref="N48:N53">
    <cfRule type="cellIs" dxfId="14070" priority="381" operator="equal">
      <formula>0</formula>
    </cfRule>
  </conditionalFormatting>
  <conditionalFormatting sqref="O51:O53">
    <cfRule type="cellIs" dxfId="14069" priority="382" operator="equal">
      <formula>0</formula>
    </cfRule>
  </conditionalFormatting>
  <conditionalFormatting sqref="O48:O53">
    <cfRule type="cellIs" dxfId="14068" priority="383" operator="equal">
      <formula>0</formula>
    </cfRule>
  </conditionalFormatting>
  <conditionalFormatting sqref="D48:S54">
    <cfRule type="expression" dxfId="14067" priority="384">
      <formula>LEN(TRIM(D48))=0</formula>
    </cfRule>
  </conditionalFormatting>
  <conditionalFormatting sqref="L51:L52">
    <cfRule type="cellIs" dxfId="14066" priority="385" operator="equal">
      <formula>0</formula>
    </cfRule>
  </conditionalFormatting>
  <conditionalFormatting sqref="M51:M52">
    <cfRule type="cellIs" dxfId="14065" priority="386" operator="equal">
      <formula>0</formula>
    </cfRule>
  </conditionalFormatting>
  <conditionalFormatting sqref="N51:O51">
    <cfRule type="cellIs" dxfId="14064" priority="387" operator="equal">
      <formula>0</formula>
    </cfRule>
  </conditionalFormatting>
  <conditionalFormatting sqref="N52:O52">
    <cfRule type="cellIs" dxfId="14063" priority="388" operator="equal">
      <formula>0</formula>
    </cfRule>
  </conditionalFormatting>
  <conditionalFormatting sqref="E65:G65 D66:G67 H65:I67 D61:I64 J61:R67 D56:S56 D68:R68 D57:I58 S57:S68 P57:R58">
    <cfRule type="cellIs" dxfId="14062" priority="362" operator="equal">
      <formula>0</formula>
    </cfRule>
  </conditionalFormatting>
  <conditionalFormatting sqref="D65">
    <cfRule type="cellIs" dxfId="14061" priority="363" operator="equal">
      <formula>0</formula>
    </cfRule>
  </conditionalFormatting>
  <conditionalFormatting sqref="D56:S56 D61:R68 D57:I58 S57:S68 P57:R58">
    <cfRule type="expression" dxfId="14060" priority="364">
      <formula>LEN(TRIM(D56))=0</formula>
    </cfRule>
  </conditionalFormatting>
  <conditionalFormatting sqref="D59:R60">
    <cfRule type="cellIs" dxfId="14059" priority="365" operator="equal">
      <formula>0</formula>
    </cfRule>
  </conditionalFormatting>
  <conditionalFormatting sqref="P59:P60">
    <cfRule type="cellIs" dxfId="14058" priority="366" operator="equal">
      <formula>0</formula>
    </cfRule>
  </conditionalFormatting>
  <conditionalFormatting sqref="D59:R60">
    <cfRule type="expression" dxfId="14057" priority="367">
      <formula>LEN(TRIM(D59))=0</formula>
    </cfRule>
  </conditionalFormatting>
  <conditionalFormatting sqref="J57:O58">
    <cfRule type="cellIs" dxfId="14056" priority="360" operator="equal">
      <formula>0</formula>
    </cfRule>
  </conditionalFormatting>
  <conditionalFormatting sqref="J57:O58">
    <cfRule type="expression" dxfId="14055" priority="361">
      <formula>LEN(TRIM(J57))=0</formula>
    </cfRule>
  </conditionalFormatting>
  <conditionalFormatting sqref="D71:R76 S70:S75 S77 D70:I70 P70:R70">
    <cfRule type="cellIs" dxfId="14054" priority="354" operator="equal">
      <formula>0</formula>
    </cfRule>
  </conditionalFormatting>
  <conditionalFormatting sqref="D77:R77">
    <cfRule type="cellIs" dxfId="14053" priority="355" operator="equal">
      <formula>0</formula>
    </cfRule>
  </conditionalFormatting>
  <conditionalFormatting sqref="D71:S75 D77:S77 D76:R76 D70:I70 P70:S70">
    <cfRule type="expression" dxfId="14052" priority="356">
      <formula>LEN(TRIM(D70))=0</formula>
    </cfRule>
  </conditionalFormatting>
  <conditionalFormatting sqref="D77:R77">
    <cfRule type="cellIs" dxfId="14051" priority="357" operator="equal">
      <formula>0</formula>
    </cfRule>
  </conditionalFormatting>
  <conditionalFormatting sqref="D78:R78">
    <cfRule type="cellIs" dxfId="14050" priority="358" operator="equal">
      <formula>0</formula>
    </cfRule>
  </conditionalFormatting>
  <conditionalFormatting sqref="D78:R78">
    <cfRule type="expression" dxfId="14049" priority="359">
      <formula>LEN(TRIM(D78))=0</formula>
    </cfRule>
  </conditionalFormatting>
  <conditionalFormatting sqref="S78">
    <cfRule type="cellIs" dxfId="14048" priority="352" operator="equal">
      <formula>0</formula>
    </cfRule>
  </conditionalFormatting>
  <conditionalFormatting sqref="S78">
    <cfRule type="expression" dxfId="14047" priority="353">
      <formula>LEN(TRIM(S78))=0</formula>
    </cfRule>
  </conditionalFormatting>
  <conditionalFormatting sqref="S76">
    <cfRule type="cellIs" dxfId="14046" priority="350" operator="equal">
      <formula>0</formula>
    </cfRule>
  </conditionalFormatting>
  <conditionalFormatting sqref="S76">
    <cfRule type="expression" dxfId="14045" priority="351">
      <formula>LEN(TRIM(S76))=0</formula>
    </cfRule>
  </conditionalFormatting>
  <conditionalFormatting sqref="J70:O70">
    <cfRule type="cellIs" dxfId="14044" priority="348" operator="equal">
      <formula>0</formula>
    </cfRule>
  </conditionalFormatting>
  <conditionalFormatting sqref="J70:O70">
    <cfRule type="expression" dxfId="14043" priority="349">
      <formula>LEN(TRIM(J70))=0</formula>
    </cfRule>
  </conditionalFormatting>
  <conditionalFormatting sqref="P87:S89 E87:I89 J87:O88 Q84:S86 G84:G86 D84:D89 D90:S90">
    <cfRule type="cellIs" dxfId="14042" priority="327" operator="equal">
      <formula>0</formula>
    </cfRule>
  </conditionalFormatting>
  <conditionalFormatting sqref="P84:P89">
    <cfRule type="cellIs" dxfId="14041" priority="328" operator="equal">
      <formula>0</formula>
    </cfRule>
  </conditionalFormatting>
  <conditionalFormatting sqref="D84:E89 H84:I89">
    <cfRule type="cellIs" dxfId="14040" priority="329" operator="equal">
      <formula>0</formula>
    </cfRule>
  </conditionalFormatting>
  <conditionalFormatting sqref="F84:F89">
    <cfRule type="cellIs" dxfId="14039" priority="330" operator="equal">
      <formula>0</formula>
    </cfRule>
  </conditionalFormatting>
  <conditionalFormatting sqref="J87:J89">
    <cfRule type="cellIs" dxfId="14038" priority="331" operator="equal">
      <formula>0</formula>
    </cfRule>
  </conditionalFormatting>
  <conditionalFormatting sqref="J84:J89 K84:O84">
    <cfRule type="cellIs" dxfId="14037" priority="332" operator="equal">
      <formula>0</formula>
    </cfRule>
  </conditionalFormatting>
  <conditionalFormatting sqref="K87:K89">
    <cfRule type="cellIs" dxfId="14036" priority="333" operator="equal">
      <formula>0</formula>
    </cfRule>
  </conditionalFormatting>
  <conditionalFormatting sqref="K84:K89">
    <cfRule type="cellIs" dxfId="14035" priority="334" operator="equal">
      <formula>0</formula>
    </cfRule>
  </conditionalFormatting>
  <conditionalFormatting sqref="L87:L89">
    <cfRule type="cellIs" dxfId="14034" priority="335" operator="equal">
      <formula>0</formula>
    </cfRule>
  </conditionalFormatting>
  <conditionalFormatting sqref="L84:L89">
    <cfRule type="cellIs" dxfId="14033" priority="336" operator="equal">
      <formula>0</formula>
    </cfRule>
  </conditionalFormatting>
  <conditionalFormatting sqref="M87:M89">
    <cfRule type="cellIs" dxfId="14032" priority="337" operator="equal">
      <formula>0</formula>
    </cfRule>
  </conditionalFormatting>
  <conditionalFormatting sqref="M84:M89">
    <cfRule type="cellIs" dxfId="14031" priority="338" operator="equal">
      <formula>0</formula>
    </cfRule>
  </conditionalFormatting>
  <conditionalFormatting sqref="N87:N89">
    <cfRule type="cellIs" dxfId="14030" priority="339" operator="equal">
      <formula>0</formula>
    </cfRule>
  </conditionalFormatting>
  <conditionalFormatting sqref="N84:N89">
    <cfRule type="cellIs" dxfId="14029" priority="340" operator="equal">
      <formula>0</formula>
    </cfRule>
  </conditionalFormatting>
  <conditionalFormatting sqref="O87:O89">
    <cfRule type="cellIs" dxfId="14028" priority="341" operator="equal">
      <formula>0</formula>
    </cfRule>
  </conditionalFormatting>
  <conditionalFormatting sqref="O84:O89">
    <cfRule type="cellIs" dxfId="14027" priority="342" operator="equal">
      <formula>0</formula>
    </cfRule>
  </conditionalFormatting>
  <conditionalFormatting sqref="D84:S90">
    <cfRule type="expression" dxfId="14026" priority="343">
      <formula>LEN(TRIM(D84))=0</formula>
    </cfRule>
  </conditionalFormatting>
  <conditionalFormatting sqref="L87:L88">
    <cfRule type="cellIs" dxfId="14025" priority="344" operator="equal">
      <formula>0</formula>
    </cfRule>
  </conditionalFormatting>
  <conditionalFormatting sqref="M87:M88">
    <cfRule type="cellIs" dxfId="14024" priority="345" operator="equal">
      <formula>0</formula>
    </cfRule>
  </conditionalFormatting>
  <conditionalFormatting sqref="N87:O87">
    <cfRule type="cellIs" dxfId="14023" priority="346" operator="equal">
      <formula>0</formula>
    </cfRule>
  </conditionalFormatting>
  <conditionalFormatting sqref="N88:O88">
    <cfRule type="cellIs" dxfId="14022" priority="347" operator="equal">
      <formula>0</formula>
    </cfRule>
  </conditionalFormatting>
  <conditionalFormatting sqref="E101:G101 D102:G103 H101:I103 D97:I100 J97:R103 D92:S92 D104:R104 D93:I94 S93:S104 P93:R94">
    <cfRule type="cellIs" dxfId="14021" priority="321" operator="equal">
      <formula>0</formula>
    </cfRule>
  </conditionalFormatting>
  <conditionalFormatting sqref="D101">
    <cfRule type="cellIs" dxfId="14020" priority="322" operator="equal">
      <formula>0</formula>
    </cfRule>
  </conditionalFormatting>
  <conditionalFormatting sqref="D92:S92 D97:R104 D93:I94 S93:S104 P93:R94">
    <cfRule type="expression" dxfId="14019" priority="323">
      <formula>LEN(TRIM(D92))=0</formula>
    </cfRule>
  </conditionalFormatting>
  <conditionalFormatting sqref="D95:R96">
    <cfRule type="cellIs" dxfId="14018" priority="324" operator="equal">
      <formula>0</formula>
    </cfRule>
  </conditionalFormatting>
  <conditionalFormatting sqref="P95:P96">
    <cfRule type="cellIs" dxfId="14017" priority="325" operator="equal">
      <formula>0</formula>
    </cfRule>
  </conditionalFormatting>
  <conditionalFormatting sqref="D95:R96">
    <cfRule type="expression" dxfId="14016" priority="326">
      <formula>LEN(TRIM(D95))=0</formula>
    </cfRule>
  </conditionalFormatting>
  <conditionalFormatting sqref="J93:O94">
    <cfRule type="cellIs" dxfId="14015" priority="319" operator="equal">
      <formula>0</formula>
    </cfRule>
  </conditionalFormatting>
  <conditionalFormatting sqref="J93:O94">
    <cfRule type="expression" dxfId="14014" priority="320">
      <formula>LEN(TRIM(J93))=0</formula>
    </cfRule>
  </conditionalFormatting>
  <conditionalFormatting sqref="D107:R112 S106:S111 S113 D106:I106 P106:R106">
    <cfRule type="cellIs" dxfId="14013" priority="313" operator="equal">
      <formula>0</formula>
    </cfRule>
  </conditionalFormatting>
  <conditionalFormatting sqref="D113:R113">
    <cfRule type="cellIs" dxfId="14012" priority="314" operator="equal">
      <formula>0</formula>
    </cfRule>
  </conditionalFormatting>
  <conditionalFormatting sqref="D107:S111 D113:S113 D112:R112 D106:I106 P106:S106">
    <cfRule type="expression" dxfId="14011" priority="315">
      <formula>LEN(TRIM(D106))=0</formula>
    </cfRule>
  </conditionalFormatting>
  <conditionalFormatting sqref="D113:R113">
    <cfRule type="cellIs" dxfId="14010" priority="316" operator="equal">
      <formula>0</formula>
    </cfRule>
  </conditionalFormatting>
  <conditionalFormatting sqref="D114:R114">
    <cfRule type="cellIs" dxfId="14009" priority="317" operator="equal">
      <formula>0</formula>
    </cfRule>
  </conditionalFormatting>
  <conditionalFormatting sqref="D114:R114">
    <cfRule type="expression" dxfId="14008" priority="318">
      <formula>LEN(TRIM(D114))=0</formula>
    </cfRule>
  </conditionalFormatting>
  <conditionalFormatting sqref="S114">
    <cfRule type="cellIs" dxfId="14007" priority="311" operator="equal">
      <formula>0</formula>
    </cfRule>
  </conditionalFormatting>
  <conditionalFormatting sqref="S114">
    <cfRule type="expression" dxfId="14006" priority="312">
      <formula>LEN(TRIM(S114))=0</formula>
    </cfRule>
  </conditionalFormatting>
  <conditionalFormatting sqref="S112">
    <cfRule type="cellIs" dxfId="14005" priority="309" operator="equal">
      <formula>0</formula>
    </cfRule>
  </conditionalFormatting>
  <conditionalFormatting sqref="S112">
    <cfRule type="expression" dxfId="14004" priority="310">
      <formula>LEN(TRIM(S112))=0</formula>
    </cfRule>
  </conditionalFormatting>
  <conditionalFormatting sqref="J106:O106">
    <cfRule type="cellIs" dxfId="14003" priority="307" operator="equal">
      <formula>0</formula>
    </cfRule>
  </conditionalFormatting>
  <conditionalFormatting sqref="J106:O106">
    <cfRule type="expression" dxfId="14002" priority="308">
      <formula>LEN(TRIM(J106))=0</formula>
    </cfRule>
  </conditionalFormatting>
  <conditionalFormatting sqref="P123:S125 E123:I125 J123:O124 Q120:S122 G120:G122 D120:D125 D126:S126">
    <cfRule type="cellIs" dxfId="14001" priority="286" operator="equal">
      <formula>0</formula>
    </cfRule>
  </conditionalFormatting>
  <conditionalFormatting sqref="P120:P125">
    <cfRule type="cellIs" dxfId="14000" priority="287" operator="equal">
      <formula>0</formula>
    </cfRule>
  </conditionalFormatting>
  <conditionalFormatting sqref="D120:E125 H120:I125">
    <cfRule type="cellIs" dxfId="13999" priority="288" operator="equal">
      <formula>0</formula>
    </cfRule>
  </conditionalFormatting>
  <conditionalFormatting sqref="F120:F125">
    <cfRule type="cellIs" dxfId="13998" priority="289" operator="equal">
      <formula>0</formula>
    </cfRule>
  </conditionalFormatting>
  <conditionalFormatting sqref="J123:J125">
    <cfRule type="cellIs" dxfId="13997" priority="290" operator="equal">
      <formula>0</formula>
    </cfRule>
  </conditionalFormatting>
  <conditionalFormatting sqref="J120:J125 K120:O120">
    <cfRule type="cellIs" dxfId="13996" priority="291" operator="equal">
      <formula>0</formula>
    </cfRule>
  </conditionalFormatting>
  <conditionalFormatting sqref="K123:K125">
    <cfRule type="cellIs" dxfId="13995" priority="292" operator="equal">
      <formula>0</formula>
    </cfRule>
  </conditionalFormatting>
  <conditionalFormatting sqref="K120:K125">
    <cfRule type="cellIs" dxfId="13994" priority="293" operator="equal">
      <formula>0</formula>
    </cfRule>
  </conditionalFormatting>
  <conditionalFormatting sqref="L123:L125">
    <cfRule type="cellIs" dxfId="13993" priority="294" operator="equal">
      <formula>0</formula>
    </cfRule>
  </conditionalFormatting>
  <conditionalFormatting sqref="L120:L125">
    <cfRule type="cellIs" dxfId="13992" priority="295" operator="equal">
      <formula>0</formula>
    </cfRule>
  </conditionalFormatting>
  <conditionalFormatting sqref="M123:M125">
    <cfRule type="cellIs" dxfId="13991" priority="296" operator="equal">
      <formula>0</formula>
    </cfRule>
  </conditionalFormatting>
  <conditionalFormatting sqref="M120:M125">
    <cfRule type="cellIs" dxfId="13990" priority="297" operator="equal">
      <formula>0</formula>
    </cfRule>
  </conditionalFormatting>
  <conditionalFormatting sqref="N123:N125">
    <cfRule type="cellIs" dxfId="13989" priority="298" operator="equal">
      <formula>0</formula>
    </cfRule>
  </conditionalFormatting>
  <conditionalFormatting sqref="N120:N125">
    <cfRule type="cellIs" dxfId="13988" priority="299" operator="equal">
      <formula>0</formula>
    </cfRule>
  </conditionalFormatting>
  <conditionalFormatting sqref="O123:O125">
    <cfRule type="cellIs" dxfId="13987" priority="300" operator="equal">
      <formula>0</formula>
    </cfRule>
  </conditionalFormatting>
  <conditionalFormatting sqref="O120:O125">
    <cfRule type="cellIs" dxfId="13986" priority="301" operator="equal">
      <formula>0</formula>
    </cfRule>
  </conditionalFormatting>
  <conditionalFormatting sqref="D120:S126">
    <cfRule type="expression" dxfId="13985" priority="302">
      <formula>LEN(TRIM(D120))=0</formula>
    </cfRule>
  </conditionalFormatting>
  <conditionalFormatting sqref="L123:L124">
    <cfRule type="cellIs" dxfId="13984" priority="303" operator="equal">
      <formula>0</formula>
    </cfRule>
  </conditionalFormatting>
  <conditionalFormatting sqref="M123:M124">
    <cfRule type="cellIs" dxfId="13983" priority="304" operator="equal">
      <formula>0</formula>
    </cfRule>
  </conditionalFormatting>
  <conditionalFormatting sqref="N123:O123">
    <cfRule type="cellIs" dxfId="13982" priority="305" operator="equal">
      <formula>0</formula>
    </cfRule>
  </conditionalFormatting>
  <conditionalFormatting sqref="N124:O124">
    <cfRule type="cellIs" dxfId="13981" priority="306" operator="equal">
      <formula>0</formula>
    </cfRule>
  </conditionalFormatting>
  <conditionalFormatting sqref="E137:G137 D138:G139 H137:I139 D133:I136 J133:R139 D128:S128 D140:R140 D129:I130 S129:S140 P129:R130">
    <cfRule type="cellIs" dxfId="13980" priority="280" operator="equal">
      <formula>0</formula>
    </cfRule>
  </conditionalFormatting>
  <conditionalFormatting sqref="D137">
    <cfRule type="cellIs" dxfId="13979" priority="281" operator="equal">
      <formula>0</formula>
    </cfRule>
  </conditionalFormatting>
  <conditionalFormatting sqref="D128:S128 D133:R140 D129:I130 S129:S140 P129:R130">
    <cfRule type="expression" dxfId="13978" priority="282">
      <formula>LEN(TRIM(D128))=0</formula>
    </cfRule>
  </conditionalFormatting>
  <conditionalFormatting sqref="D131:R132">
    <cfRule type="cellIs" dxfId="13977" priority="283" operator="equal">
      <formula>0</formula>
    </cfRule>
  </conditionalFormatting>
  <conditionalFormatting sqref="P131:P132">
    <cfRule type="cellIs" dxfId="13976" priority="284" operator="equal">
      <formula>0</formula>
    </cfRule>
  </conditionalFormatting>
  <conditionalFormatting sqref="D131:R132">
    <cfRule type="expression" dxfId="13975" priority="285">
      <formula>LEN(TRIM(D131))=0</formula>
    </cfRule>
  </conditionalFormatting>
  <conditionalFormatting sqref="J129:O130">
    <cfRule type="cellIs" dxfId="13974" priority="278" operator="equal">
      <formula>0</formula>
    </cfRule>
  </conditionalFormatting>
  <conditionalFormatting sqref="J129:O130">
    <cfRule type="expression" dxfId="13973" priority="279">
      <formula>LEN(TRIM(J129))=0</formula>
    </cfRule>
  </conditionalFormatting>
  <conditionalFormatting sqref="D143:R148 S142:S147 S149 D142:I142 P142:R142">
    <cfRule type="cellIs" dxfId="13972" priority="272" operator="equal">
      <formula>0</formula>
    </cfRule>
  </conditionalFormatting>
  <conditionalFormatting sqref="D149:R149">
    <cfRule type="cellIs" dxfId="13971" priority="273" operator="equal">
      <formula>0</formula>
    </cfRule>
  </conditionalFormatting>
  <conditionalFormatting sqref="D143:S147 D149:S149 D148:R148 D142:I142 P142:S142">
    <cfRule type="expression" dxfId="13970" priority="274">
      <formula>LEN(TRIM(D142))=0</formula>
    </cfRule>
  </conditionalFormatting>
  <conditionalFormatting sqref="D149:R149">
    <cfRule type="cellIs" dxfId="13969" priority="275" operator="equal">
      <formula>0</formula>
    </cfRule>
  </conditionalFormatting>
  <conditionalFormatting sqref="D150:R150">
    <cfRule type="cellIs" dxfId="13968" priority="276" operator="equal">
      <formula>0</formula>
    </cfRule>
  </conditionalFormatting>
  <conditionalFormatting sqref="D150:R150">
    <cfRule type="expression" dxfId="13967" priority="277">
      <formula>LEN(TRIM(D150))=0</formula>
    </cfRule>
  </conditionalFormatting>
  <conditionalFormatting sqref="S150">
    <cfRule type="cellIs" dxfId="13966" priority="270" operator="equal">
      <formula>0</formula>
    </cfRule>
  </conditionalFormatting>
  <conditionalFormatting sqref="S150">
    <cfRule type="expression" dxfId="13965" priority="271">
      <formula>LEN(TRIM(S150))=0</formula>
    </cfRule>
  </conditionalFormatting>
  <conditionalFormatting sqref="S148">
    <cfRule type="cellIs" dxfId="13964" priority="268" operator="equal">
      <formula>0</formula>
    </cfRule>
  </conditionalFormatting>
  <conditionalFormatting sqref="S148">
    <cfRule type="expression" dxfId="13963" priority="269">
      <formula>LEN(TRIM(S148))=0</formula>
    </cfRule>
  </conditionalFormatting>
  <conditionalFormatting sqref="J142:O142">
    <cfRule type="cellIs" dxfId="13962" priority="266" operator="equal">
      <formula>0</formula>
    </cfRule>
  </conditionalFormatting>
  <conditionalFormatting sqref="J142:O142">
    <cfRule type="expression" dxfId="13961" priority="267">
      <formula>LEN(TRIM(J142))=0</formula>
    </cfRule>
  </conditionalFormatting>
  <conditionalFormatting sqref="AH15:AK17 W15:AA17 AB15:AG16 AI12:AK14 Y12:Y14 V12:V17 V18:AK18">
    <cfRule type="cellIs" dxfId="13960" priority="204" operator="equal">
      <formula>0</formula>
    </cfRule>
  </conditionalFormatting>
  <conditionalFormatting sqref="AH12:AH17">
    <cfRule type="cellIs" dxfId="13959" priority="205" operator="equal">
      <formula>0</formula>
    </cfRule>
  </conditionalFormatting>
  <conditionalFormatting sqref="V12:W17 Z12:AA17">
    <cfRule type="cellIs" dxfId="13958" priority="206" operator="equal">
      <formula>0</formula>
    </cfRule>
  </conditionalFormatting>
  <conditionalFormatting sqref="X12:X17">
    <cfRule type="cellIs" dxfId="13957" priority="207" operator="equal">
      <formula>0</formula>
    </cfRule>
  </conditionalFormatting>
  <conditionalFormatting sqref="AB15:AB17">
    <cfRule type="cellIs" dxfId="13956" priority="208" operator="equal">
      <formula>0</formula>
    </cfRule>
  </conditionalFormatting>
  <conditionalFormatting sqref="AB12:AB17 AC12:AG12">
    <cfRule type="cellIs" dxfId="13955" priority="209" operator="equal">
      <formula>0</formula>
    </cfRule>
  </conditionalFormatting>
  <conditionalFormatting sqref="AC15:AC17">
    <cfRule type="cellIs" dxfId="13954" priority="210" operator="equal">
      <formula>0</formula>
    </cfRule>
  </conditionalFormatting>
  <conditionalFormatting sqref="AC12:AC17">
    <cfRule type="cellIs" dxfId="13953" priority="211" operator="equal">
      <formula>0</formula>
    </cfRule>
  </conditionalFormatting>
  <conditionalFormatting sqref="AD15:AD17">
    <cfRule type="cellIs" dxfId="13952" priority="212" operator="equal">
      <formula>0</formula>
    </cfRule>
  </conditionalFormatting>
  <conditionalFormatting sqref="AD12:AD17">
    <cfRule type="cellIs" dxfId="13951" priority="213" operator="equal">
      <formula>0</formula>
    </cfRule>
  </conditionalFormatting>
  <conditionalFormatting sqref="AE15:AE17">
    <cfRule type="cellIs" dxfId="13950" priority="214" operator="equal">
      <formula>0</formula>
    </cfRule>
  </conditionalFormatting>
  <conditionalFormatting sqref="AE12:AE17">
    <cfRule type="cellIs" dxfId="13949" priority="215" operator="equal">
      <formula>0</formula>
    </cfRule>
  </conditionalFormatting>
  <conditionalFormatting sqref="AF15:AF17">
    <cfRule type="cellIs" dxfId="13948" priority="216" operator="equal">
      <formula>0</formula>
    </cfRule>
  </conditionalFormatting>
  <conditionalFormatting sqref="AF12:AF17">
    <cfRule type="cellIs" dxfId="13947" priority="217" operator="equal">
      <formula>0</formula>
    </cfRule>
  </conditionalFormatting>
  <conditionalFormatting sqref="AG15:AG17">
    <cfRule type="cellIs" dxfId="13946" priority="218" operator="equal">
      <formula>0</formula>
    </cfRule>
  </conditionalFormatting>
  <conditionalFormatting sqref="AG12:AG17">
    <cfRule type="cellIs" dxfId="13945" priority="219" operator="equal">
      <formula>0</formula>
    </cfRule>
  </conditionalFormatting>
  <conditionalFormatting sqref="V12:AK18">
    <cfRule type="expression" dxfId="13944" priority="220">
      <formula>LEN(TRIM(V12))=0</formula>
    </cfRule>
  </conditionalFormatting>
  <conditionalFormatting sqref="AD15:AD16">
    <cfRule type="cellIs" dxfId="13943" priority="221" operator="equal">
      <formula>0</formula>
    </cfRule>
  </conditionalFormatting>
  <conditionalFormatting sqref="AE15:AE16">
    <cfRule type="cellIs" dxfId="13942" priority="222" operator="equal">
      <formula>0</formula>
    </cfRule>
  </conditionalFormatting>
  <conditionalFormatting sqref="AF15:AG15">
    <cfRule type="cellIs" dxfId="13941" priority="223" operator="equal">
      <formula>0</formula>
    </cfRule>
  </conditionalFormatting>
  <conditionalFormatting sqref="AF16:AG16">
    <cfRule type="cellIs" dxfId="13940" priority="224" operator="equal">
      <formula>0</formula>
    </cfRule>
  </conditionalFormatting>
  <conditionalFormatting sqref="W29:Y29 V30:Y31 Z29:AA31 V25:AA28 AB25:AJ31 V20:AK20 V32:AJ32 V21:AA22 AK21:AK32 AH21:AJ22">
    <cfRule type="cellIs" dxfId="13939" priority="198" operator="equal">
      <formula>0</formula>
    </cfRule>
  </conditionalFormatting>
  <conditionalFormatting sqref="V29">
    <cfRule type="cellIs" dxfId="13938" priority="199" operator="equal">
      <formula>0</formula>
    </cfRule>
  </conditionalFormatting>
  <conditionalFormatting sqref="V20:AK20 V25:AJ32 V21:AA22 AK21:AK32 AH21:AJ22">
    <cfRule type="expression" dxfId="13937" priority="200">
      <formula>LEN(TRIM(V20))=0</formula>
    </cfRule>
  </conditionalFormatting>
  <conditionalFormatting sqref="V23:AJ24">
    <cfRule type="cellIs" dxfId="13936" priority="201" operator="equal">
      <formula>0</formula>
    </cfRule>
  </conditionalFormatting>
  <conditionalFormatting sqref="AH23:AH24">
    <cfRule type="cellIs" dxfId="13935" priority="202" operator="equal">
      <formula>0</formula>
    </cfRule>
  </conditionalFormatting>
  <conditionalFormatting sqref="V23:AJ24">
    <cfRule type="expression" dxfId="13934" priority="203">
      <formula>LEN(TRIM(V23))=0</formula>
    </cfRule>
  </conditionalFormatting>
  <conditionalFormatting sqref="AB21:AG22">
    <cfRule type="cellIs" dxfId="13933" priority="196" operator="equal">
      <formula>0</formula>
    </cfRule>
  </conditionalFormatting>
  <conditionalFormatting sqref="AB21:AG22">
    <cfRule type="expression" dxfId="13932" priority="197">
      <formula>LEN(TRIM(AB21))=0</formula>
    </cfRule>
  </conditionalFormatting>
  <conditionalFormatting sqref="V35:AJ40 AK34:AK39 AK41 V34:AA34 AH34:AJ34">
    <cfRule type="cellIs" dxfId="13931" priority="190" operator="equal">
      <formula>0</formula>
    </cfRule>
  </conditionalFormatting>
  <conditionalFormatting sqref="V41:AJ41">
    <cfRule type="cellIs" dxfId="13930" priority="191" operator="equal">
      <formula>0</formula>
    </cfRule>
  </conditionalFormatting>
  <conditionalFormatting sqref="V35:AK39 V41:AK41 V40:AJ40 V34:AA34 AH34:AK34">
    <cfRule type="expression" dxfId="13929" priority="192">
      <formula>LEN(TRIM(V34))=0</formula>
    </cfRule>
  </conditionalFormatting>
  <conditionalFormatting sqref="V41:AJ41">
    <cfRule type="cellIs" dxfId="13928" priority="193" operator="equal">
      <formula>0</formula>
    </cfRule>
  </conditionalFormatting>
  <conditionalFormatting sqref="V42:AJ42">
    <cfRule type="cellIs" dxfId="13927" priority="194" operator="equal">
      <formula>0</formula>
    </cfRule>
  </conditionalFormatting>
  <conditionalFormatting sqref="V42:AJ42">
    <cfRule type="expression" dxfId="13926" priority="195">
      <formula>LEN(TRIM(V42))=0</formula>
    </cfRule>
  </conditionalFormatting>
  <conditionalFormatting sqref="AK42">
    <cfRule type="cellIs" dxfId="13925" priority="188" operator="equal">
      <formula>0</formula>
    </cfRule>
  </conditionalFormatting>
  <conditionalFormatting sqref="AK42">
    <cfRule type="expression" dxfId="13924" priority="189">
      <formula>LEN(TRIM(AK42))=0</formula>
    </cfRule>
  </conditionalFormatting>
  <conditionalFormatting sqref="AK40">
    <cfRule type="cellIs" dxfId="13923" priority="186" operator="equal">
      <formula>0</formula>
    </cfRule>
  </conditionalFormatting>
  <conditionalFormatting sqref="AK40">
    <cfRule type="expression" dxfId="13922" priority="187">
      <formula>LEN(TRIM(AK40))=0</formula>
    </cfRule>
  </conditionalFormatting>
  <conditionalFormatting sqref="AB34:AG34">
    <cfRule type="cellIs" dxfId="13921" priority="184" operator="equal">
      <formula>0</formula>
    </cfRule>
  </conditionalFormatting>
  <conditionalFormatting sqref="AB34:AG34">
    <cfRule type="expression" dxfId="13920" priority="185">
      <formula>LEN(TRIM(AB34))=0</formula>
    </cfRule>
  </conditionalFormatting>
  <conditionalFormatting sqref="AH51:AK53 W51:AA53 AB51:AG52 AI48:AK50 Y48:Y50 V48:V53 V54:AK54">
    <cfRule type="cellIs" dxfId="13919" priority="163" operator="equal">
      <formula>0</formula>
    </cfRule>
  </conditionalFormatting>
  <conditionalFormatting sqref="AH48:AH53">
    <cfRule type="cellIs" dxfId="13918" priority="164" operator="equal">
      <formula>0</formula>
    </cfRule>
  </conditionalFormatting>
  <conditionalFormatting sqref="V48:W53 Z48:AA53">
    <cfRule type="cellIs" dxfId="13917" priority="165" operator="equal">
      <formula>0</formula>
    </cfRule>
  </conditionalFormatting>
  <conditionalFormatting sqref="X48:X53">
    <cfRule type="cellIs" dxfId="13916" priority="166" operator="equal">
      <formula>0</formula>
    </cfRule>
  </conditionalFormatting>
  <conditionalFormatting sqref="AB51:AB53">
    <cfRule type="cellIs" dxfId="13915" priority="167" operator="equal">
      <formula>0</formula>
    </cfRule>
  </conditionalFormatting>
  <conditionalFormatting sqref="AB48:AB53 AC48:AG48">
    <cfRule type="cellIs" dxfId="13914" priority="168" operator="equal">
      <formula>0</formula>
    </cfRule>
  </conditionalFormatting>
  <conditionalFormatting sqref="AC51:AC53">
    <cfRule type="cellIs" dxfId="13913" priority="169" operator="equal">
      <formula>0</formula>
    </cfRule>
  </conditionalFormatting>
  <conditionalFormatting sqref="AC48:AC53">
    <cfRule type="cellIs" dxfId="13912" priority="170" operator="equal">
      <formula>0</formula>
    </cfRule>
  </conditionalFormatting>
  <conditionalFormatting sqref="AD51:AD53">
    <cfRule type="cellIs" dxfId="13911" priority="171" operator="equal">
      <formula>0</formula>
    </cfRule>
  </conditionalFormatting>
  <conditionalFormatting sqref="AD48:AD53">
    <cfRule type="cellIs" dxfId="13910" priority="172" operator="equal">
      <formula>0</formula>
    </cfRule>
  </conditionalFormatting>
  <conditionalFormatting sqref="AE51:AE53">
    <cfRule type="cellIs" dxfId="13909" priority="173" operator="equal">
      <formula>0</formula>
    </cfRule>
  </conditionalFormatting>
  <conditionalFormatting sqref="AE48:AE53">
    <cfRule type="cellIs" dxfId="13908" priority="174" operator="equal">
      <formula>0</formula>
    </cfRule>
  </conditionalFormatting>
  <conditionalFormatting sqref="AF51:AF53">
    <cfRule type="cellIs" dxfId="13907" priority="175" operator="equal">
      <formula>0</formula>
    </cfRule>
  </conditionalFormatting>
  <conditionalFormatting sqref="AF48:AF53">
    <cfRule type="cellIs" dxfId="13906" priority="176" operator="equal">
      <formula>0</formula>
    </cfRule>
  </conditionalFormatting>
  <conditionalFormatting sqref="AG51:AG53">
    <cfRule type="cellIs" dxfId="13905" priority="177" operator="equal">
      <formula>0</formula>
    </cfRule>
  </conditionalFormatting>
  <conditionalFormatting sqref="AG48:AG53">
    <cfRule type="cellIs" dxfId="13904" priority="178" operator="equal">
      <formula>0</formula>
    </cfRule>
  </conditionalFormatting>
  <conditionalFormatting sqref="V48:AK54">
    <cfRule type="expression" dxfId="13903" priority="179">
      <formula>LEN(TRIM(V48))=0</formula>
    </cfRule>
  </conditionalFormatting>
  <conditionalFormatting sqref="AD51:AD52">
    <cfRule type="cellIs" dxfId="13902" priority="180" operator="equal">
      <formula>0</formula>
    </cfRule>
  </conditionalFormatting>
  <conditionalFormatting sqref="AE51:AE52">
    <cfRule type="cellIs" dxfId="13901" priority="181" operator="equal">
      <formula>0</formula>
    </cfRule>
  </conditionalFormatting>
  <conditionalFormatting sqref="AF51:AG51">
    <cfRule type="cellIs" dxfId="13900" priority="182" operator="equal">
      <formula>0</formula>
    </cfRule>
  </conditionalFormatting>
  <conditionalFormatting sqref="AF52:AG52">
    <cfRule type="cellIs" dxfId="13899" priority="183" operator="equal">
      <formula>0</formula>
    </cfRule>
  </conditionalFormatting>
  <conditionalFormatting sqref="W65:Y65 V66:Y67 Z65:AA67 V61:AA64 AB61:AJ67 V56:AK56 V68:AJ68 V57:AA58 AK57:AK68 AH57:AJ58">
    <cfRule type="cellIs" dxfId="13898" priority="157" operator="equal">
      <formula>0</formula>
    </cfRule>
  </conditionalFormatting>
  <conditionalFormatting sqref="V65">
    <cfRule type="cellIs" dxfId="13897" priority="158" operator="equal">
      <formula>0</formula>
    </cfRule>
  </conditionalFormatting>
  <conditionalFormatting sqref="V56:AK56 V61:AJ68 V57:AA58 AK57:AK68 AH57:AJ58">
    <cfRule type="expression" dxfId="13896" priority="159">
      <formula>LEN(TRIM(V56))=0</formula>
    </cfRule>
  </conditionalFormatting>
  <conditionalFormatting sqref="V59:AJ60">
    <cfRule type="cellIs" dxfId="13895" priority="160" operator="equal">
      <formula>0</formula>
    </cfRule>
  </conditionalFormatting>
  <conditionalFormatting sqref="AH59:AH60">
    <cfRule type="cellIs" dxfId="13894" priority="161" operator="equal">
      <formula>0</formula>
    </cfRule>
  </conditionalFormatting>
  <conditionalFormatting sqref="V59:AJ60">
    <cfRule type="expression" dxfId="13893" priority="162">
      <formula>LEN(TRIM(V59))=0</formula>
    </cfRule>
  </conditionalFormatting>
  <conditionalFormatting sqref="AB57:AG58">
    <cfRule type="cellIs" dxfId="13892" priority="155" operator="equal">
      <formula>0</formula>
    </cfRule>
  </conditionalFormatting>
  <conditionalFormatting sqref="AB57:AG58">
    <cfRule type="expression" dxfId="13891" priority="156">
      <formula>LEN(TRIM(AB57))=0</formula>
    </cfRule>
  </conditionalFormatting>
  <conditionalFormatting sqref="V71:AJ76 AK70:AK75 AK77 V70:AA70 AH70:AJ70">
    <cfRule type="cellIs" dxfId="13890" priority="149" operator="equal">
      <formula>0</formula>
    </cfRule>
  </conditionalFormatting>
  <conditionalFormatting sqref="V77:AJ77">
    <cfRule type="cellIs" dxfId="13889" priority="150" operator="equal">
      <formula>0</formula>
    </cfRule>
  </conditionalFormatting>
  <conditionalFormatting sqref="V71:AK75 V77:AK77 V76:AJ76 V70:AA70 AH70:AK70">
    <cfRule type="expression" dxfId="13888" priority="151">
      <formula>LEN(TRIM(V70))=0</formula>
    </cfRule>
  </conditionalFormatting>
  <conditionalFormatting sqref="V77:AJ77">
    <cfRule type="cellIs" dxfId="13887" priority="152" operator="equal">
      <formula>0</formula>
    </cfRule>
  </conditionalFormatting>
  <conditionalFormatting sqref="V78:AJ78">
    <cfRule type="cellIs" dxfId="13886" priority="153" operator="equal">
      <formula>0</formula>
    </cfRule>
  </conditionalFormatting>
  <conditionalFormatting sqref="V78:AJ78">
    <cfRule type="expression" dxfId="13885" priority="154">
      <formula>LEN(TRIM(V78))=0</formula>
    </cfRule>
  </conditionalFormatting>
  <conditionalFormatting sqref="AK78">
    <cfRule type="cellIs" dxfId="13884" priority="147" operator="equal">
      <formula>0</formula>
    </cfRule>
  </conditionalFormatting>
  <conditionalFormatting sqref="AK78">
    <cfRule type="expression" dxfId="13883" priority="148">
      <formula>LEN(TRIM(AK78))=0</formula>
    </cfRule>
  </conditionalFormatting>
  <conditionalFormatting sqref="AK76">
    <cfRule type="cellIs" dxfId="13882" priority="145" operator="equal">
      <formula>0</formula>
    </cfRule>
  </conditionalFormatting>
  <conditionalFormatting sqref="AK76">
    <cfRule type="expression" dxfId="13881" priority="146">
      <formula>LEN(TRIM(AK76))=0</formula>
    </cfRule>
  </conditionalFormatting>
  <conditionalFormatting sqref="AB70:AG70">
    <cfRule type="cellIs" dxfId="13880" priority="143" operator="equal">
      <formula>0</formula>
    </cfRule>
  </conditionalFormatting>
  <conditionalFormatting sqref="AB70:AG70">
    <cfRule type="expression" dxfId="13879" priority="144">
      <formula>LEN(TRIM(AB70))=0</formula>
    </cfRule>
  </conditionalFormatting>
  <conditionalFormatting sqref="AH87:AK89 W87:AA89 AB87:AG88 AI84:AK86 Y84:Y86 V84:V89 V90:AK90">
    <cfRule type="cellIs" dxfId="13878" priority="122" operator="equal">
      <formula>0</formula>
    </cfRule>
  </conditionalFormatting>
  <conditionalFormatting sqref="AH84:AH89">
    <cfRule type="cellIs" dxfId="13877" priority="123" operator="equal">
      <formula>0</formula>
    </cfRule>
  </conditionalFormatting>
  <conditionalFormatting sqref="V84:W89 Z84:AA89">
    <cfRule type="cellIs" dxfId="13876" priority="124" operator="equal">
      <formula>0</formula>
    </cfRule>
  </conditionalFormatting>
  <conditionalFormatting sqref="X84:X89">
    <cfRule type="cellIs" dxfId="13875" priority="125" operator="equal">
      <formula>0</formula>
    </cfRule>
  </conditionalFormatting>
  <conditionalFormatting sqref="AB87:AB89">
    <cfRule type="cellIs" dxfId="13874" priority="126" operator="equal">
      <formula>0</formula>
    </cfRule>
  </conditionalFormatting>
  <conditionalFormatting sqref="AB84:AB89 AC84:AG84">
    <cfRule type="cellIs" dxfId="13873" priority="127" operator="equal">
      <formula>0</formula>
    </cfRule>
  </conditionalFormatting>
  <conditionalFormatting sqref="AC87:AC89">
    <cfRule type="cellIs" dxfId="13872" priority="128" operator="equal">
      <formula>0</formula>
    </cfRule>
  </conditionalFormatting>
  <conditionalFormatting sqref="AC84:AC89">
    <cfRule type="cellIs" dxfId="13871" priority="129" operator="equal">
      <formula>0</formula>
    </cfRule>
  </conditionalFormatting>
  <conditionalFormatting sqref="AD87:AD89">
    <cfRule type="cellIs" dxfId="13870" priority="130" operator="equal">
      <formula>0</formula>
    </cfRule>
  </conditionalFormatting>
  <conditionalFormatting sqref="AD84:AD89">
    <cfRule type="cellIs" dxfId="13869" priority="131" operator="equal">
      <formula>0</formula>
    </cfRule>
  </conditionalFormatting>
  <conditionalFormatting sqref="AE87:AE89">
    <cfRule type="cellIs" dxfId="13868" priority="132" operator="equal">
      <formula>0</formula>
    </cfRule>
  </conditionalFormatting>
  <conditionalFormatting sqref="AE84:AE89">
    <cfRule type="cellIs" dxfId="13867" priority="133" operator="equal">
      <formula>0</formula>
    </cfRule>
  </conditionalFormatting>
  <conditionalFormatting sqref="AF87:AF89">
    <cfRule type="cellIs" dxfId="13866" priority="134" operator="equal">
      <formula>0</formula>
    </cfRule>
  </conditionalFormatting>
  <conditionalFormatting sqref="AF84:AF89">
    <cfRule type="cellIs" dxfId="13865" priority="135" operator="equal">
      <formula>0</formula>
    </cfRule>
  </conditionalFormatting>
  <conditionalFormatting sqref="AG87:AG89">
    <cfRule type="cellIs" dxfId="13864" priority="136" operator="equal">
      <formula>0</formula>
    </cfRule>
  </conditionalFormatting>
  <conditionalFormatting sqref="AG84:AG89">
    <cfRule type="cellIs" dxfId="13863" priority="137" operator="equal">
      <formula>0</formula>
    </cfRule>
  </conditionalFormatting>
  <conditionalFormatting sqref="V84:AK90">
    <cfRule type="expression" dxfId="13862" priority="138">
      <formula>LEN(TRIM(V84))=0</formula>
    </cfRule>
  </conditionalFormatting>
  <conditionalFormatting sqref="AD87:AD88">
    <cfRule type="cellIs" dxfId="13861" priority="139" operator="equal">
      <formula>0</formula>
    </cfRule>
  </conditionalFormatting>
  <conditionalFormatting sqref="AE87:AE88">
    <cfRule type="cellIs" dxfId="13860" priority="140" operator="equal">
      <formula>0</formula>
    </cfRule>
  </conditionalFormatting>
  <conditionalFormatting sqref="AF87:AG87">
    <cfRule type="cellIs" dxfId="13859" priority="141" operator="equal">
      <formula>0</formula>
    </cfRule>
  </conditionalFormatting>
  <conditionalFormatting sqref="AF88:AG88">
    <cfRule type="cellIs" dxfId="13858" priority="142" operator="equal">
      <formula>0</formula>
    </cfRule>
  </conditionalFormatting>
  <conditionalFormatting sqref="W101:Y101 V102:Y103 Z101:AA103 V97:AA100 AB97:AJ103 V92:AK92 V104:AJ104 V93:AA94 AK93:AK104 AH93:AJ94">
    <cfRule type="cellIs" dxfId="13857" priority="116" operator="equal">
      <formula>0</formula>
    </cfRule>
  </conditionalFormatting>
  <conditionalFormatting sqref="V101">
    <cfRule type="cellIs" dxfId="13856" priority="117" operator="equal">
      <formula>0</formula>
    </cfRule>
  </conditionalFormatting>
  <conditionalFormatting sqref="V92:AK92 V97:AJ104 V93:AA94 AK93:AK104 AH93:AJ94">
    <cfRule type="expression" dxfId="13855" priority="118">
      <formula>LEN(TRIM(V92))=0</formula>
    </cfRule>
  </conditionalFormatting>
  <conditionalFormatting sqref="V95:AJ96">
    <cfRule type="cellIs" dxfId="13854" priority="119" operator="equal">
      <formula>0</formula>
    </cfRule>
  </conditionalFormatting>
  <conditionalFormatting sqref="AH95:AH96">
    <cfRule type="cellIs" dxfId="13853" priority="120" operator="equal">
      <formula>0</formula>
    </cfRule>
  </conditionalFormatting>
  <conditionalFormatting sqref="V95:AJ96">
    <cfRule type="expression" dxfId="13852" priority="121">
      <formula>LEN(TRIM(V95))=0</formula>
    </cfRule>
  </conditionalFormatting>
  <conditionalFormatting sqref="AB93:AG94">
    <cfRule type="cellIs" dxfId="13851" priority="114" operator="equal">
      <formula>0</formula>
    </cfRule>
  </conditionalFormatting>
  <conditionalFormatting sqref="AB93:AG94">
    <cfRule type="expression" dxfId="13850" priority="115">
      <formula>LEN(TRIM(AB93))=0</formula>
    </cfRule>
  </conditionalFormatting>
  <conditionalFormatting sqref="V107:AJ112 AK106:AK111 AK113 V106:AA106 AH106:AJ106">
    <cfRule type="cellIs" dxfId="13849" priority="108" operator="equal">
      <formula>0</formula>
    </cfRule>
  </conditionalFormatting>
  <conditionalFormatting sqref="V113:AJ113">
    <cfRule type="cellIs" dxfId="13848" priority="109" operator="equal">
      <formula>0</formula>
    </cfRule>
  </conditionalFormatting>
  <conditionalFormatting sqref="V107:AK111 V113:AK113 V112:AJ112 V106:AA106 AH106:AK106">
    <cfRule type="expression" dxfId="13847" priority="110">
      <formula>LEN(TRIM(V106))=0</formula>
    </cfRule>
  </conditionalFormatting>
  <conditionalFormatting sqref="V113:AJ113">
    <cfRule type="cellIs" dxfId="13846" priority="111" operator="equal">
      <formula>0</formula>
    </cfRule>
  </conditionalFormatting>
  <conditionalFormatting sqref="V114:AJ114">
    <cfRule type="cellIs" dxfId="13845" priority="112" operator="equal">
      <formula>0</formula>
    </cfRule>
  </conditionalFormatting>
  <conditionalFormatting sqref="V114:AJ114">
    <cfRule type="expression" dxfId="13844" priority="113">
      <formula>LEN(TRIM(V114))=0</formula>
    </cfRule>
  </conditionalFormatting>
  <conditionalFormatting sqref="AK114">
    <cfRule type="cellIs" dxfId="13843" priority="106" operator="equal">
      <formula>0</formula>
    </cfRule>
  </conditionalFormatting>
  <conditionalFormatting sqref="AK114">
    <cfRule type="expression" dxfId="13842" priority="107">
      <formula>LEN(TRIM(AK114))=0</formula>
    </cfRule>
  </conditionalFormatting>
  <conditionalFormatting sqref="AK112">
    <cfRule type="cellIs" dxfId="13841" priority="104" operator="equal">
      <formula>0</formula>
    </cfRule>
  </conditionalFormatting>
  <conditionalFormatting sqref="AK112">
    <cfRule type="expression" dxfId="13840" priority="105">
      <formula>LEN(TRIM(AK112))=0</formula>
    </cfRule>
  </conditionalFormatting>
  <conditionalFormatting sqref="AB106:AG106">
    <cfRule type="cellIs" dxfId="13839" priority="102" operator="equal">
      <formula>0</formula>
    </cfRule>
  </conditionalFormatting>
  <conditionalFormatting sqref="AB106:AG106">
    <cfRule type="expression" dxfId="13838" priority="103">
      <formula>LEN(TRIM(AB106))=0</formula>
    </cfRule>
  </conditionalFormatting>
  <conditionalFormatting sqref="AH123:AK125 W123:AA125 AB123:AG124 AI120:AK122 Y120:Y122 V120:V125 V126:AK126">
    <cfRule type="cellIs" dxfId="13837" priority="81" operator="equal">
      <formula>0</formula>
    </cfRule>
  </conditionalFormatting>
  <conditionalFormatting sqref="AH120:AH125">
    <cfRule type="cellIs" dxfId="13836" priority="82" operator="equal">
      <formula>0</formula>
    </cfRule>
  </conditionalFormatting>
  <conditionalFormatting sqref="V120:W125 Z120:AA125">
    <cfRule type="cellIs" dxfId="13835" priority="83" operator="equal">
      <formula>0</formula>
    </cfRule>
  </conditionalFormatting>
  <conditionalFormatting sqref="X120:X125">
    <cfRule type="cellIs" dxfId="13834" priority="84" operator="equal">
      <formula>0</formula>
    </cfRule>
  </conditionalFormatting>
  <conditionalFormatting sqref="AB123:AB125">
    <cfRule type="cellIs" dxfId="13833" priority="85" operator="equal">
      <formula>0</formula>
    </cfRule>
  </conditionalFormatting>
  <conditionalFormatting sqref="AB120:AB125 AC120:AG120">
    <cfRule type="cellIs" dxfId="13832" priority="86" operator="equal">
      <formula>0</formula>
    </cfRule>
  </conditionalFormatting>
  <conditionalFormatting sqref="AC123:AC125">
    <cfRule type="cellIs" dxfId="13831" priority="87" operator="equal">
      <formula>0</formula>
    </cfRule>
  </conditionalFormatting>
  <conditionalFormatting sqref="AC120:AC125">
    <cfRule type="cellIs" dxfId="13830" priority="88" operator="equal">
      <formula>0</formula>
    </cfRule>
  </conditionalFormatting>
  <conditionalFormatting sqref="AD123:AD125">
    <cfRule type="cellIs" dxfId="13829" priority="89" operator="equal">
      <formula>0</formula>
    </cfRule>
  </conditionalFormatting>
  <conditionalFormatting sqref="AD120:AD125">
    <cfRule type="cellIs" dxfId="13828" priority="90" operator="equal">
      <formula>0</formula>
    </cfRule>
  </conditionalFormatting>
  <conditionalFormatting sqref="AE123:AE125">
    <cfRule type="cellIs" dxfId="13827" priority="91" operator="equal">
      <formula>0</formula>
    </cfRule>
  </conditionalFormatting>
  <conditionalFormatting sqref="AE120:AE125">
    <cfRule type="cellIs" dxfId="13826" priority="92" operator="equal">
      <formula>0</formula>
    </cfRule>
  </conditionalFormatting>
  <conditionalFormatting sqref="AF123:AF125">
    <cfRule type="cellIs" dxfId="13825" priority="93" operator="equal">
      <formula>0</formula>
    </cfRule>
  </conditionalFormatting>
  <conditionalFormatting sqref="AF120:AF125">
    <cfRule type="cellIs" dxfId="13824" priority="94" operator="equal">
      <formula>0</formula>
    </cfRule>
  </conditionalFormatting>
  <conditionalFormatting sqref="AG123:AG125">
    <cfRule type="cellIs" dxfId="13823" priority="95" operator="equal">
      <formula>0</formula>
    </cfRule>
  </conditionalFormatting>
  <conditionalFormatting sqref="AG120:AG125">
    <cfRule type="cellIs" dxfId="13822" priority="96" operator="equal">
      <formula>0</formula>
    </cfRule>
  </conditionalFormatting>
  <conditionalFormatting sqref="V120:AK126">
    <cfRule type="expression" dxfId="13821" priority="97">
      <formula>LEN(TRIM(V120))=0</formula>
    </cfRule>
  </conditionalFormatting>
  <conditionalFormatting sqref="AD123:AD124">
    <cfRule type="cellIs" dxfId="13820" priority="98" operator="equal">
      <formula>0</formula>
    </cfRule>
  </conditionalFormatting>
  <conditionalFormatting sqref="AE123:AE124">
    <cfRule type="cellIs" dxfId="13819" priority="99" operator="equal">
      <formula>0</formula>
    </cfRule>
  </conditionalFormatting>
  <conditionalFormatting sqref="AF123:AG123">
    <cfRule type="cellIs" dxfId="13818" priority="100" operator="equal">
      <formula>0</formula>
    </cfRule>
  </conditionalFormatting>
  <conditionalFormatting sqref="AF124:AG124">
    <cfRule type="cellIs" dxfId="13817" priority="101" operator="equal">
      <formula>0</formula>
    </cfRule>
  </conditionalFormatting>
  <conditionalFormatting sqref="W137:Y137 V138:Y139 Z137:AA139 V133:AA136 AB133:AJ139 V128:AK128 V140:AJ140 V129:AA130 AK129:AK140 AH129:AJ130">
    <cfRule type="cellIs" dxfId="13816" priority="75" operator="equal">
      <formula>0</formula>
    </cfRule>
  </conditionalFormatting>
  <conditionalFormatting sqref="V137">
    <cfRule type="cellIs" dxfId="13815" priority="76" operator="equal">
      <formula>0</formula>
    </cfRule>
  </conditionalFormatting>
  <conditionalFormatting sqref="V128:AK128 V133:AJ140 V129:AA130 AK129:AK140 AH129:AJ130">
    <cfRule type="expression" dxfId="13814" priority="77">
      <formula>LEN(TRIM(V128))=0</formula>
    </cfRule>
  </conditionalFormatting>
  <conditionalFormatting sqref="V131:AJ132">
    <cfRule type="cellIs" dxfId="13813" priority="78" operator="equal">
      <formula>0</formula>
    </cfRule>
  </conditionalFormatting>
  <conditionalFormatting sqref="AH131:AH132">
    <cfRule type="cellIs" dxfId="13812" priority="79" operator="equal">
      <formula>0</formula>
    </cfRule>
  </conditionalFormatting>
  <conditionalFormatting sqref="V131:AJ132">
    <cfRule type="expression" dxfId="13811" priority="80">
      <formula>LEN(TRIM(V131))=0</formula>
    </cfRule>
  </conditionalFormatting>
  <conditionalFormatting sqref="AB129:AG130">
    <cfRule type="cellIs" dxfId="13810" priority="73" operator="equal">
      <formula>0</formula>
    </cfRule>
  </conditionalFormatting>
  <conditionalFormatting sqref="AB129:AG130">
    <cfRule type="expression" dxfId="13809" priority="74">
      <formula>LEN(TRIM(AB129))=0</formula>
    </cfRule>
  </conditionalFormatting>
  <conditionalFormatting sqref="V143:AJ148 AK142:AK147 AK149 V142:AA142 AH142:AJ142">
    <cfRule type="cellIs" dxfId="13808" priority="67" operator="equal">
      <formula>0</formula>
    </cfRule>
  </conditionalFormatting>
  <conditionalFormatting sqref="V149:AJ149">
    <cfRule type="cellIs" dxfId="13807" priority="68" operator="equal">
      <formula>0</formula>
    </cfRule>
  </conditionalFormatting>
  <conditionalFormatting sqref="V143:AK147 V149:AK149 V148:AJ148 V142:AA142 AH142:AK142">
    <cfRule type="expression" dxfId="13806" priority="69">
      <formula>LEN(TRIM(V142))=0</formula>
    </cfRule>
  </conditionalFormatting>
  <conditionalFormatting sqref="V149:AJ149">
    <cfRule type="cellIs" dxfId="13805" priority="70" operator="equal">
      <formula>0</formula>
    </cfRule>
  </conditionalFormatting>
  <conditionalFormatting sqref="V150:AJ150">
    <cfRule type="cellIs" dxfId="13804" priority="71" operator="equal">
      <formula>0</formula>
    </cfRule>
  </conditionalFormatting>
  <conditionalFormatting sqref="V150:AJ150">
    <cfRule type="expression" dxfId="13803" priority="72">
      <formula>LEN(TRIM(V150))=0</formula>
    </cfRule>
  </conditionalFormatting>
  <conditionalFormatting sqref="AK150">
    <cfRule type="cellIs" dxfId="13802" priority="65" operator="equal">
      <formula>0</formula>
    </cfRule>
  </conditionalFormatting>
  <conditionalFormatting sqref="AK150">
    <cfRule type="expression" dxfId="13801" priority="66">
      <formula>LEN(TRIM(AK150))=0</formula>
    </cfRule>
  </conditionalFormatting>
  <conditionalFormatting sqref="AK148">
    <cfRule type="cellIs" dxfId="13800" priority="63" operator="equal">
      <formula>0</formula>
    </cfRule>
  </conditionalFormatting>
  <conditionalFormatting sqref="AK148">
    <cfRule type="expression" dxfId="13799" priority="64">
      <formula>LEN(TRIM(AK148))=0</formula>
    </cfRule>
  </conditionalFormatting>
  <conditionalFormatting sqref="AB142:AG142">
    <cfRule type="cellIs" dxfId="13798" priority="61" operator="equal">
      <formula>0</formula>
    </cfRule>
  </conditionalFormatting>
  <conditionalFormatting sqref="AB142:AG142">
    <cfRule type="expression" dxfId="13797" priority="62">
      <formula>LEN(TRIM(AB142))=0</formula>
    </cfRule>
  </conditionalFormatting>
  <conditionalFormatting sqref="J11">
    <cfRule type="cellIs" dxfId="13796" priority="48" operator="equal">
      <formula>0</formula>
    </cfRule>
  </conditionalFormatting>
  <conditionalFormatting sqref="K11">
    <cfRule type="cellIs" dxfId="13795" priority="47" operator="equal">
      <formula>0</formula>
    </cfRule>
  </conditionalFormatting>
  <conditionalFormatting sqref="L11">
    <cfRule type="cellIs" dxfId="13794" priority="46" operator="equal">
      <formula>0</formula>
    </cfRule>
  </conditionalFormatting>
  <conditionalFormatting sqref="M11">
    <cfRule type="cellIs" dxfId="13793" priority="45" operator="equal">
      <formula>0</formula>
    </cfRule>
  </conditionalFormatting>
  <conditionalFormatting sqref="N11">
    <cfRule type="cellIs" dxfId="13792" priority="44" operator="equal">
      <formula>0</formula>
    </cfRule>
  </conditionalFormatting>
  <conditionalFormatting sqref="O11">
    <cfRule type="cellIs" dxfId="13791" priority="43" operator="equal">
      <formula>0</formula>
    </cfRule>
  </conditionalFormatting>
  <conditionalFormatting sqref="AB11">
    <cfRule type="cellIs" dxfId="13790" priority="42" operator="equal">
      <formula>0</formula>
    </cfRule>
  </conditionalFormatting>
  <conditionalFormatting sqref="AC11">
    <cfRule type="cellIs" dxfId="13789" priority="41" operator="equal">
      <formula>0</formula>
    </cfRule>
  </conditionalFormatting>
  <conditionalFormatting sqref="AD11">
    <cfRule type="cellIs" dxfId="13788" priority="40" operator="equal">
      <formula>0</formula>
    </cfRule>
  </conditionalFormatting>
  <conditionalFormatting sqref="AE11">
    <cfRule type="cellIs" dxfId="13787" priority="39" operator="equal">
      <formula>0</formula>
    </cfRule>
  </conditionalFormatting>
  <conditionalFormatting sqref="AF11">
    <cfRule type="cellIs" dxfId="13786" priority="38" operator="equal">
      <formula>0</formula>
    </cfRule>
  </conditionalFormatting>
  <conditionalFormatting sqref="AG11">
    <cfRule type="cellIs" dxfId="13785" priority="37" operator="equal">
      <formula>0</formula>
    </cfRule>
  </conditionalFormatting>
  <conditionalFormatting sqref="J47">
    <cfRule type="cellIs" dxfId="13784" priority="36" operator="equal">
      <formula>0</formula>
    </cfRule>
  </conditionalFormatting>
  <conditionalFormatting sqref="K47">
    <cfRule type="cellIs" dxfId="13783" priority="35" operator="equal">
      <formula>0</formula>
    </cfRule>
  </conditionalFormatting>
  <conditionalFormatting sqref="L47">
    <cfRule type="cellIs" dxfId="13782" priority="34" operator="equal">
      <formula>0</formula>
    </cfRule>
  </conditionalFormatting>
  <conditionalFormatting sqref="M47">
    <cfRule type="cellIs" dxfId="13781" priority="33" operator="equal">
      <formula>0</formula>
    </cfRule>
  </conditionalFormatting>
  <conditionalFormatting sqref="N47">
    <cfRule type="cellIs" dxfId="13780" priority="32" operator="equal">
      <formula>0</formula>
    </cfRule>
  </conditionalFormatting>
  <conditionalFormatting sqref="O47">
    <cfRule type="cellIs" dxfId="13779" priority="31" operator="equal">
      <formula>0</formula>
    </cfRule>
  </conditionalFormatting>
  <conditionalFormatting sqref="AB47">
    <cfRule type="cellIs" dxfId="13778" priority="30" operator="equal">
      <formula>0</formula>
    </cfRule>
  </conditionalFormatting>
  <conditionalFormatting sqref="AC47">
    <cfRule type="cellIs" dxfId="13777" priority="29" operator="equal">
      <formula>0</formula>
    </cfRule>
  </conditionalFormatting>
  <conditionalFormatting sqref="AD47">
    <cfRule type="cellIs" dxfId="13776" priority="28" operator="equal">
      <formula>0</formula>
    </cfRule>
  </conditionalFormatting>
  <conditionalFormatting sqref="AE47">
    <cfRule type="cellIs" dxfId="13775" priority="27" operator="equal">
      <formula>0</formula>
    </cfRule>
  </conditionalFormatting>
  <conditionalFormatting sqref="AF47">
    <cfRule type="cellIs" dxfId="13774" priority="26" operator="equal">
      <formula>0</formula>
    </cfRule>
  </conditionalFormatting>
  <conditionalFormatting sqref="AG47">
    <cfRule type="cellIs" dxfId="13773" priority="25" operator="equal">
      <formula>0</formula>
    </cfRule>
  </conditionalFormatting>
  <conditionalFormatting sqref="J83">
    <cfRule type="cellIs" dxfId="13772" priority="24" operator="equal">
      <formula>0</formula>
    </cfRule>
  </conditionalFormatting>
  <conditionalFormatting sqref="K83">
    <cfRule type="cellIs" dxfId="13771" priority="23" operator="equal">
      <formula>0</formula>
    </cfRule>
  </conditionalFormatting>
  <conditionalFormatting sqref="L83">
    <cfRule type="cellIs" dxfId="13770" priority="22" operator="equal">
      <formula>0</formula>
    </cfRule>
  </conditionalFormatting>
  <conditionalFormatting sqref="M83">
    <cfRule type="cellIs" dxfId="13769" priority="21" operator="equal">
      <formula>0</formula>
    </cfRule>
  </conditionalFormatting>
  <conditionalFormatting sqref="N83">
    <cfRule type="cellIs" dxfId="13768" priority="20" operator="equal">
      <formula>0</formula>
    </cfRule>
  </conditionalFormatting>
  <conditionalFormatting sqref="O83">
    <cfRule type="cellIs" dxfId="13767" priority="19" operator="equal">
      <formula>0</formula>
    </cfRule>
  </conditionalFormatting>
  <conditionalFormatting sqref="AB83">
    <cfRule type="cellIs" dxfId="13766" priority="18" operator="equal">
      <formula>0</formula>
    </cfRule>
  </conditionalFormatting>
  <conditionalFormatting sqref="AC83">
    <cfRule type="cellIs" dxfId="13765" priority="17" operator="equal">
      <formula>0</formula>
    </cfRule>
  </conditionalFormatting>
  <conditionalFormatting sqref="AD83">
    <cfRule type="cellIs" dxfId="13764" priority="16" operator="equal">
      <formula>0</formula>
    </cfRule>
  </conditionalFormatting>
  <conditionalFormatting sqref="AE83">
    <cfRule type="cellIs" dxfId="13763" priority="15" operator="equal">
      <formula>0</formula>
    </cfRule>
  </conditionalFormatting>
  <conditionalFormatting sqref="AF83">
    <cfRule type="cellIs" dxfId="13762" priority="14" operator="equal">
      <formula>0</formula>
    </cfRule>
  </conditionalFormatting>
  <conditionalFormatting sqref="AG83">
    <cfRule type="cellIs" dxfId="13761" priority="13" operator="equal">
      <formula>0</formula>
    </cfRule>
  </conditionalFormatting>
  <conditionalFormatting sqref="J119">
    <cfRule type="cellIs" dxfId="13760" priority="12" operator="equal">
      <formula>0</formula>
    </cfRule>
  </conditionalFormatting>
  <conditionalFormatting sqref="K119">
    <cfRule type="cellIs" dxfId="13759" priority="11" operator="equal">
      <formula>0</formula>
    </cfRule>
  </conditionalFormatting>
  <conditionalFormatting sqref="L119">
    <cfRule type="cellIs" dxfId="13758" priority="10" operator="equal">
      <formula>0</formula>
    </cfRule>
  </conditionalFormatting>
  <conditionalFormatting sqref="M119">
    <cfRule type="cellIs" dxfId="13757" priority="9" operator="equal">
      <formula>0</formula>
    </cfRule>
  </conditionalFormatting>
  <conditionalFormatting sqref="N119">
    <cfRule type="cellIs" dxfId="13756" priority="8" operator="equal">
      <formula>0</formula>
    </cfRule>
  </conditionalFormatting>
  <conditionalFormatting sqref="O119">
    <cfRule type="cellIs" dxfId="13755" priority="7" operator="equal">
      <formula>0</formula>
    </cfRule>
  </conditionalFormatting>
  <conditionalFormatting sqref="AB119">
    <cfRule type="cellIs" dxfId="13754" priority="6" operator="equal">
      <formula>0</formula>
    </cfRule>
  </conditionalFormatting>
  <conditionalFormatting sqref="AC119">
    <cfRule type="cellIs" dxfId="13753" priority="5" operator="equal">
      <formula>0</formula>
    </cfRule>
  </conditionalFormatting>
  <conditionalFormatting sqref="AD119">
    <cfRule type="cellIs" dxfId="13752" priority="4" operator="equal">
      <formula>0</formula>
    </cfRule>
  </conditionalFormatting>
  <conditionalFormatting sqref="AE119">
    <cfRule type="cellIs" dxfId="13751" priority="3" operator="equal">
      <formula>0</formula>
    </cfRule>
  </conditionalFormatting>
  <conditionalFormatting sqref="AF119">
    <cfRule type="cellIs" dxfId="13750"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31A7A-883D-4F9E-BCDA-EEFA649A8E86}">
  <dimension ref="C2:AK116"/>
  <sheetViews>
    <sheetView topLeftCell="A2"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523</v>
      </c>
      <c r="D8" s="699"/>
      <c r="E8" s="699"/>
      <c r="F8" s="699"/>
      <c r="G8" s="699"/>
      <c r="H8" s="699"/>
      <c r="I8" s="699"/>
      <c r="J8" s="699"/>
      <c r="K8" s="699"/>
      <c r="L8" s="699"/>
      <c r="M8" s="699"/>
      <c r="N8" s="699"/>
      <c r="O8" s="699"/>
      <c r="P8" s="699"/>
      <c r="Q8" s="699"/>
      <c r="R8" s="699"/>
      <c r="S8" s="699"/>
      <c r="U8" s="699" t="s">
        <v>523</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0</v>
      </c>
      <c r="F12" s="643">
        <v>0</v>
      </c>
      <c r="G12" s="642">
        <v>0</v>
      </c>
      <c r="H12" s="643">
        <v>889.54545454545473</v>
      </c>
      <c r="I12" s="643">
        <v>290.38619522472999</v>
      </c>
      <c r="J12" s="643">
        <v>188.26463769943669</v>
      </c>
      <c r="K12" s="643">
        <v>20.519346122490408</v>
      </c>
      <c r="L12" s="643">
        <v>0.54648995449606019</v>
      </c>
      <c r="M12" s="643">
        <v>0.15914693380563083</v>
      </c>
      <c r="N12" s="643">
        <v>65.898689554178929</v>
      </c>
      <c r="O12" s="643">
        <v>11.930124482632028</v>
      </c>
      <c r="P12" s="644">
        <v>0</v>
      </c>
      <c r="Q12" s="643">
        <v>0</v>
      </c>
      <c r="R12" s="643">
        <v>0</v>
      </c>
      <c r="S12" s="645">
        <v>1467.2500845172242</v>
      </c>
      <c r="U12" s="641" t="s">
        <v>59</v>
      </c>
      <c r="V12" s="642">
        <v>0</v>
      </c>
      <c r="W12" s="643">
        <v>0</v>
      </c>
      <c r="X12" s="643">
        <v>0</v>
      </c>
      <c r="Y12" s="642">
        <v>0</v>
      </c>
      <c r="Z12" s="643">
        <v>873.030303030303</v>
      </c>
      <c r="AA12" s="643">
        <v>337.06619522473</v>
      </c>
      <c r="AB12" s="643">
        <v>206.15489309499102</v>
      </c>
      <c r="AC12" s="643">
        <v>37.137182251794961</v>
      </c>
      <c r="AD12" s="643">
        <v>0.54648995449606019</v>
      </c>
      <c r="AE12" s="643">
        <v>0.15914693380563083</v>
      </c>
      <c r="AF12" s="643">
        <v>103.02458403584798</v>
      </c>
      <c r="AG12" s="643">
        <v>25.833176078824131</v>
      </c>
      <c r="AH12" s="644">
        <v>0</v>
      </c>
      <c r="AI12" s="643">
        <v>0</v>
      </c>
      <c r="AJ12" s="643">
        <v>0</v>
      </c>
      <c r="AK12" s="645">
        <v>1582.9519706047927</v>
      </c>
    </row>
    <row r="13" spans="3:37" ht="13.5">
      <c r="C13" s="641" t="s">
        <v>60</v>
      </c>
      <c r="D13" s="642">
        <v>47.523331421865407</v>
      </c>
      <c r="E13" s="643">
        <v>492.37419513671523</v>
      </c>
      <c r="F13" s="643">
        <v>57.352326080251387</v>
      </c>
      <c r="G13" s="642">
        <v>328.8885225556333</v>
      </c>
      <c r="H13" s="643">
        <v>0</v>
      </c>
      <c r="I13" s="643">
        <v>0</v>
      </c>
      <c r="J13" s="643">
        <v>4.8075322078390377</v>
      </c>
      <c r="K13" s="643">
        <v>0</v>
      </c>
      <c r="L13" s="643">
        <v>2.6229179175778925</v>
      </c>
      <c r="M13" s="643">
        <v>0</v>
      </c>
      <c r="N13" s="643">
        <v>0</v>
      </c>
      <c r="O13" s="643">
        <v>0</v>
      </c>
      <c r="P13" s="644">
        <v>0</v>
      </c>
      <c r="Q13" s="643">
        <v>0</v>
      </c>
      <c r="R13" s="643">
        <v>0</v>
      </c>
      <c r="S13" s="645">
        <v>933.56882531988219</v>
      </c>
      <c r="U13" s="641" t="s">
        <v>60</v>
      </c>
      <c r="V13" s="642">
        <v>6.5260336126681251</v>
      </c>
      <c r="W13" s="643">
        <v>220.47790015098695</v>
      </c>
      <c r="X13" s="643">
        <v>14.513856185365357</v>
      </c>
      <c r="Y13" s="642">
        <v>102.1346675179243</v>
      </c>
      <c r="Z13" s="643">
        <v>0</v>
      </c>
      <c r="AA13" s="643">
        <v>0</v>
      </c>
      <c r="AB13" s="643">
        <v>4.8075322078390377</v>
      </c>
      <c r="AC13" s="643">
        <v>0</v>
      </c>
      <c r="AD13" s="643">
        <v>2.6229179175778925</v>
      </c>
      <c r="AE13" s="643">
        <v>0</v>
      </c>
      <c r="AF13" s="643">
        <v>0</v>
      </c>
      <c r="AG13" s="643">
        <v>0</v>
      </c>
      <c r="AH13" s="644">
        <v>0</v>
      </c>
      <c r="AI13" s="643">
        <v>0</v>
      </c>
      <c r="AJ13" s="643">
        <v>0</v>
      </c>
      <c r="AK13" s="645">
        <v>351.08290759236166</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-22.391147784534837</v>
      </c>
      <c r="Q14" s="643">
        <v>0</v>
      </c>
      <c r="R14" s="643">
        <v>0</v>
      </c>
      <c r="S14" s="645">
        <v>-22.391147784534837</v>
      </c>
      <c r="U14" s="641" t="s">
        <v>61</v>
      </c>
      <c r="V14" s="642">
        <v>0</v>
      </c>
      <c r="W14" s="643">
        <v>0</v>
      </c>
      <c r="X14" s="643">
        <v>-19.691193817618341</v>
      </c>
      <c r="Y14" s="642">
        <v>0</v>
      </c>
      <c r="Z14" s="643">
        <v>0</v>
      </c>
      <c r="AA14" s="643">
        <v>0</v>
      </c>
      <c r="AB14" s="643">
        <v>0</v>
      </c>
      <c r="AC14" s="643">
        <v>0</v>
      </c>
      <c r="AD14" s="643">
        <v>0</v>
      </c>
      <c r="AE14" s="643">
        <v>0</v>
      </c>
      <c r="AF14" s="643">
        <v>0</v>
      </c>
      <c r="AG14" s="643">
        <v>0</v>
      </c>
      <c r="AH14" s="644">
        <v>-17.389600315785174</v>
      </c>
      <c r="AI14" s="643">
        <v>0</v>
      </c>
      <c r="AJ14" s="643">
        <v>0</v>
      </c>
      <c r="AK14" s="645">
        <v>-37.080794133403515</v>
      </c>
    </row>
    <row r="15" spans="3:37" ht="13.5">
      <c r="C15" s="641" t="s">
        <v>62</v>
      </c>
      <c r="D15" s="642">
        <v>0</v>
      </c>
      <c r="E15" s="643">
        <v>0</v>
      </c>
      <c r="F15" s="643">
        <v>-15.496739011683466</v>
      </c>
      <c r="G15" s="642">
        <v>0</v>
      </c>
      <c r="H15" s="643">
        <v>0</v>
      </c>
      <c r="I15" s="643">
        <v>0</v>
      </c>
      <c r="J15" s="643">
        <v>0</v>
      </c>
      <c r="K15" s="643">
        <v>0</v>
      </c>
      <c r="L15" s="643">
        <v>0</v>
      </c>
      <c r="M15" s="643">
        <v>0</v>
      </c>
      <c r="N15" s="643">
        <v>0</v>
      </c>
      <c r="O15" s="643">
        <v>0</v>
      </c>
      <c r="P15" s="644">
        <v>0</v>
      </c>
      <c r="Q15" s="643">
        <v>0</v>
      </c>
      <c r="R15" s="643">
        <v>0</v>
      </c>
      <c r="S15" s="645">
        <v>-15.496739011683466</v>
      </c>
      <c r="U15" s="641" t="s">
        <v>62</v>
      </c>
      <c r="V15" s="642">
        <v>0</v>
      </c>
      <c r="W15" s="643">
        <v>0</v>
      </c>
      <c r="X15" s="643">
        <v>-8.5387827474702789</v>
      </c>
      <c r="Y15" s="642">
        <v>-2.2272473327152178</v>
      </c>
      <c r="Z15" s="643">
        <v>0</v>
      </c>
      <c r="AA15" s="643">
        <v>0</v>
      </c>
      <c r="AB15" s="643">
        <v>0</v>
      </c>
      <c r="AC15" s="643">
        <v>0</v>
      </c>
      <c r="AD15" s="643">
        <v>0</v>
      </c>
      <c r="AE15" s="643">
        <v>-1.7037211969591732</v>
      </c>
      <c r="AF15" s="643">
        <v>0</v>
      </c>
      <c r="AG15" s="643">
        <v>0</v>
      </c>
      <c r="AH15" s="644">
        <v>0</v>
      </c>
      <c r="AI15" s="643">
        <v>0</v>
      </c>
      <c r="AJ15" s="643">
        <v>0</v>
      </c>
      <c r="AK15" s="645">
        <v>-12.46975127714467</v>
      </c>
    </row>
    <row r="16" spans="3:37" ht="13.5">
      <c r="C16" s="641" t="s">
        <v>63</v>
      </c>
      <c r="D16" s="642">
        <v>0</v>
      </c>
      <c r="E16" s="643">
        <v>0</v>
      </c>
      <c r="F16" s="643">
        <v>-89.42656352071144</v>
      </c>
      <c r="G16" s="642">
        <v>0</v>
      </c>
      <c r="H16" s="643">
        <v>0</v>
      </c>
      <c r="I16" s="643">
        <v>0</v>
      </c>
      <c r="J16" s="643">
        <v>0</v>
      </c>
      <c r="K16" s="643">
        <v>0</v>
      </c>
      <c r="L16" s="643">
        <v>-0.92190198395554845</v>
      </c>
      <c r="M16" s="643">
        <v>0</v>
      </c>
      <c r="N16" s="643">
        <v>0</v>
      </c>
      <c r="O16" s="643">
        <v>0</v>
      </c>
      <c r="P16" s="644">
        <v>0</v>
      </c>
      <c r="Q16" s="643">
        <v>0</v>
      </c>
      <c r="R16" s="643">
        <v>0</v>
      </c>
      <c r="S16" s="645">
        <v>-90.34846550466699</v>
      </c>
      <c r="U16" s="641" t="s">
        <v>63</v>
      </c>
      <c r="V16" s="642">
        <v>0</v>
      </c>
      <c r="W16" s="643">
        <v>0</v>
      </c>
      <c r="X16" s="643">
        <v>-55.486888716289528</v>
      </c>
      <c r="Y16" s="642">
        <v>0</v>
      </c>
      <c r="Z16" s="643">
        <v>0</v>
      </c>
      <c r="AA16" s="643">
        <v>0</v>
      </c>
      <c r="AB16" s="643">
        <v>0</v>
      </c>
      <c r="AC16" s="643">
        <v>0</v>
      </c>
      <c r="AD16" s="643">
        <v>-26.575233608452013</v>
      </c>
      <c r="AE16" s="643">
        <v>0</v>
      </c>
      <c r="AF16" s="643">
        <v>0</v>
      </c>
      <c r="AG16" s="643">
        <v>0</v>
      </c>
      <c r="AH16" s="644">
        <v>0</v>
      </c>
      <c r="AI16" s="643">
        <v>0</v>
      </c>
      <c r="AJ16" s="643">
        <v>0</v>
      </c>
      <c r="AK16" s="645">
        <v>-82.062122324741537</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47.523331421865407</v>
      </c>
      <c r="E18" s="647">
        <v>492.37419513671523</v>
      </c>
      <c r="F18" s="647">
        <v>-47.570976452143519</v>
      </c>
      <c r="G18" s="647">
        <v>328.8885225556333</v>
      </c>
      <c r="H18" s="647">
        <v>889.54545454545473</v>
      </c>
      <c r="I18" s="647">
        <v>290.38619522472999</v>
      </c>
      <c r="J18" s="647">
        <v>193.07216990727574</v>
      </c>
      <c r="K18" s="647">
        <v>20.519346122490408</v>
      </c>
      <c r="L18" s="647">
        <v>2.247505888118404</v>
      </c>
      <c r="M18" s="647">
        <v>0.15914693380563083</v>
      </c>
      <c r="N18" s="647">
        <v>65.898689554178929</v>
      </c>
      <c r="O18" s="647">
        <v>11.930124482632028</v>
      </c>
      <c r="P18" s="647">
        <v>-22.391147784534837</v>
      </c>
      <c r="Q18" s="647">
        <v>0</v>
      </c>
      <c r="R18" s="647">
        <v>0</v>
      </c>
      <c r="S18" s="647">
        <v>2272.5825575362214</v>
      </c>
      <c r="U18" s="646" t="s">
        <v>65</v>
      </c>
      <c r="V18" s="647">
        <v>6.5260336126681251</v>
      </c>
      <c r="W18" s="647">
        <v>220.47790015098695</v>
      </c>
      <c r="X18" s="647">
        <v>-69.203009096012792</v>
      </c>
      <c r="Y18" s="647">
        <v>99.907420185209077</v>
      </c>
      <c r="Z18" s="647">
        <v>873.030303030303</v>
      </c>
      <c r="AA18" s="647">
        <v>337.06619522473</v>
      </c>
      <c r="AB18" s="647">
        <v>210.96242530283007</v>
      </c>
      <c r="AC18" s="647">
        <v>37.137182251794961</v>
      </c>
      <c r="AD18" s="647">
        <v>-23.405825736378059</v>
      </c>
      <c r="AE18" s="647">
        <v>-1.5445742631535424</v>
      </c>
      <c r="AF18" s="647">
        <v>103.02458403584798</v>
      </c>
      <c r="AG18" s="647">
        <v>25.833176078824131</v>
      </c>
      <c r="AH18" s="647">
        <v>-17.389600315785174</v>
      </c>
      <c r="AI18" s="647">
        <v>0</v>
      </c>
      <c r="AJ18" s="647">
        <v>0</v>
      </c>
      <c r="AK18" s="647">
        <v>1802.4222104618648</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7.7625293209280457</v>
      </c>
      <c r="G21" s="642">
        <v>16.824034334763951</v>
      </c>
      <c r="H21" s="642">
        <v>889.54545454545473</v>
      </c>
      <c r="I21" s="642">
        <v>290.38619522472999</v>
      </c>
      <c r="J21" s="651">
        <v>29.234857813431841</v>
      </c>
      <c r="K21" s="651">
        <v>6.7467623730381456</v>
      </c>
      <c r="L21" s="651">
        <v>3.1694078720739522</v>
      </c>
      <c r="M21" s="651">
        <v>0.46915285357606595</v>
      </c>
      <c r="N21" s="651">
        <v>0</v>
      </c>
      <c r="O21" s="651">
        <v>6.9727309871777221</v>
      </c>
      <c r="P21" s="642">
        <v>-615.41357369902562</v>
      </c>
      <c r="Q21" s="642">
        <v>0</v>
      </c>
      <c r="R21" s="642">
        <v>0</v>
      </c>
      <c r="S21" s="650">
        <v>638.52433726717402</v>
      </c>
      <c r="U21" s="648" t="s">
        <v>350</v>
      </c>
      <c r="V21" s="642">
        <v>0.62631490545869017</v>
      </c>
      <c r="W21" s="642">
        <v>0</v>
      </c>
      <c r="X21" s="642">
        <v>3.8988929572916824</v>
      </c>
      <c r="Y21" s="642">
        <v>3.6741630901287547</v>
      </c>
      <c r="Z21" s="642">
        <v>873.030303030303</v>
      </c>
      <c r="AA21" s="642">
        <v>337.06619522473</v>
      </c>
      <c r="AB21" s="651">
        <v>23.429523439383615</v>
      </c>
      <c r="AC21" s="651">
        <v>5.4991881500691626</v>
      </c>
      <c r="AD21" s="651">
        <v>3.1694078720739522</v>
      </c>
      <c r="AE21" s="651">
        <v>2.7864060724601858</v>
      </c>
      <c r="AF21" s="651">
        <v>0</v>
      </c>
      <c r="AG21" s="651">
        <v>6.9727309871777221</v>
      </c>
      <c r="AH21" s="642">
        <v>-649.11357369902544</v>
      </c>
      <c r="AI21" s="642">
        <v>0</v>
      </c>
      <c r="AJ21" s="642">
        <v>4.45</v>
      </c>
      <c r="AK21" s="650">
        <v>615.48955203005141</v>
      </c>
    </row>
    <row r="22" spans="3:37" ht="13.5">
      <c r="C22" s="648" t="s">
        <v>351</v>
      </c>
      <c r="D22" s="642">
        <v>0</v>
      </c>
      <c r="E22" s="642">
        <v>0</v>
      </c>
      <c r="F22" s="642">
        <v>0</v>
      </c>
      <c r="G22" s="642">
        <v>14.896462034387394</v>
      </c>
      <c r="H22" s="642">
        <v>0</v>
      </c>
      <c r="I22" s="642">
        <v>0</v>
      </c>
      <c r="J22" s="651">
        <v>12.461036592610267</v>
      </c>
      <c r="K22" s="651">
        <v>11.927183871567582</v>
      </c>
      <c r="L22" s="651">
        <v>0</v>
      </c>
      <c r="M22" s="651">
        <v>0.3188738120209938</v>
      </c>
      <c r="N22" s="651">
        <v>0</v>
      </c>
      <c r="O22" s="651">
        <v>2.1085025260592274</v>
      </c>
      <c r="P22" s="642">
        <v>0</v>
      </c>
      <c r="Q22" s="642">
        <v>-37.934258390495422</v>
      </c>
      <c r="R22" s="642">
        <v>0</v>
      </c>
      <c r="S22" s="650">
        <v>3.7778004461500441</v>
      </c>
      <c r="U22" s="648" t="s">
        <v>351</v>
      </c>
      <c r="V22" s="642">
        <v>0</v>
      </c>
      <c r="W22" s="642">
        <v>0</v>
      </c>
      <c r="X22" s="642">
        <v>0</v>
      </c>
      <c r="Y22" s="642">
        <v>8.218662070491261</v>
      </c>
      <c r="Z22" s="642">
        <v>0</v>
      </c>
      <c r="AA22" s="642">
        <v>0</v>
      </c>
      <c r="AB22" s="651">
        <v>28.560818034272483</v>
      </c>
      <c r="AC22" s="651">
        <v>26.163217208510932</v>
      </c>
      <c r="AD22" s="651">
        <v>0</v>
      </c>
      <c r="AE22" s="651">
        <v>5.9663093303449024</v>
      </c>
      <c r="AF22" s="651">
        <v>0</v>
      </c>
      <c r="AG22" s="651">
        <v>11.832895483778962</v>
      </c>
      <c r="AH22" s="642">
        <v>0</v>
      </c>
      <c r="AI22" s="642">
        <v>-74.578675527513624</v>
      </c>
      <c r="AJ22" s="642">
        <v>0</v>
      </c>
      <c r="AK22" s="650">
        <v>6.1632265998849274</v>
      </c>
    </row>
    <row r="23" spans="3:37" ht="13.5">
      <c r="C23" s="648" t="s">
        <v>352</v>
      </c>
      <c r="D23" s="642">
        <v>0</v>
      </c>
      <c r="E23" s="642">
        <v>0</v>
      </c>
      <c r="F23" s="642">
        <v>0</v>
      </c>
      <c r="G23" s="642">
        <v>0</v>
      </c>
      <c r="H23" s="642">
        <v>0</v>
      </c>
      <c r="I23" s="642">
        <v>0</v>
      </c>
      <c r="J23" s="652">
        <v>6.9979956174374891</v>
      </c>
      <c r="K23" s="652">
        <v>0</v>
      </c>
      <c r="L23" s="652">
        <v>0</v>
      </c>
      <c r="M23" s="652">
        <v>-6.4748954450340372</v>
      </c>
      <c r="N23" s="652">
        <v>0</v>
      </c>
      <c r="O23" s="652">
        <v>0</v>
      </c>
      <c r="P23" s="642">
        <v>0</v>
      </c>
      <c r="Q23" s="642">
        <v>0</v>
      </c>
      <c r="R23" s="642">
        <v>0</v>
      </c>
      <c r="S23" s="650">
        <v>0.52310017240345186</v>
      </c>
      <c r="U23" s="648" t="s">
        <v>352</v>
      </c>
      <c r="V23" s="642">
        <v>0</v>
      </c>
      <c r="W23" s="642">
        <v>0</v>
      </c>
      <c r="X23" s="642">
        <v>0</v>
      </c>
      <c r="Y23" s="642">
        <v>0</v>
      </c>
      <c r="Z23" s="642">
        <v>0</v>
      </c>
      <c r="AA23" s="642">
        <v>0</v>
      </c>
      <c r="AB23" s="652">
        <v>79.198989478899776</v>
      </c>
      <c r="AC23" s="652">
        <v>0</v>
      </c>
      <c r="AD23" s="652">
        <v>0</v>
      </c>
      <c r="AE23" s="652">
        <v>-73.278865015352025</v>
      </c>
      <c r="AF23" s="652">
        <v>0</v>
      </c>
      <c r="AG23" s="652">
        <v>0</v>
      </c>
      <c r="AH23" s="642">
        <v>0</v>
      </c>
      <c r="AI23" s="642">
        <v>0</v>
      </c>
      <c r="AJ23" s="642">
        <v>0</v>
      </c>
      <c r="AK23" s="650">
        <v>5.9201244635477508</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510.04733530503466</v>
      </c>
      <c r="F25" s="642">
        <v>-504.94686195198432</v>
      </c>
      <c r="G25" s="642">
        <v>0</v>
      </c>
      <c r="H25" s="642">
        <v>0</v>
      </c>
      <c r="I25" s="642">
        <v>0</v>
      </c>
      <c r="J25" s="642">
        <v>0</v>
      </c>
      <c r="K25" s="642">
        <v>0</v>
      </c>
      <c r="L25" s="642">
        <v>0</v>
      </c>
      <c r="M25" s="642">
        <v>0</v>
      </c>
      <c r="N25" s="642">
        <v>0</v>
      </c>
      <c r="O25" s="642">
        <v>0</v>
      </c>
      <c r="P25" s="642">
        <v>0</v>
      </c>
      <c r="Q25" s="642">
        <v>0</v>
      </c>
      <c r="R25" s="642">
        <v>0</v>
      </c>
      <c r="S25" s="650">
        <v>5.1004733530503472</v>
      </c>
      <c r="U25" s="648" t="s">
        <v>72</v>
      </c>
      <c r="V25" s="642">
        <v>0</v>
      </c>
      <c r="W25" s="642">
        <v>228.3916715709193</v>
      </c>
      <c r="X25" s="642">
        <v>-226.10775485521012</v>
      </c>
      <c r="Y25" s="642">
        <v>0</v>
      </c>
      <c r="Z25" s="642">
        <v>0</v>
      </c>
      <c r="AA25" s="642">
        <v>0</v>
      </c>
      <c r="AB25" s="642">
        <v>0</v>
      </c>
      <c r="AC25" s="642">
        <v>0</v>
      </c>
      <c r="AD25" s="642">
        <v>0</v>
      </c>
      <c r="AE25" s="642">
        <v>0</v>
      </c>
      <c r="AF25" s="642">
        <v>0</v>
      </c>
      <c r="AG25" s="642">
        <v>0</v>
      </c>
      <c r="AH25" s="642">
        <v>0</v>
      </c>
      <c r="AI25" s="642">
        <v>0</v>
      </c>
      <c r="AJ25" s="642">
        <v>0</v>
      </c>
      <c r="AK25" s="650">
        <v>2.2839167157091822</v>
      </c>
    </row>
    <row r="26" spans="3:37" ht="13.5">
      <c r="C26" s="648" t="s">
        <v>354</v>
      </c>
      <c r="D26" s="642">
        <v>0</v>
      </c>
      <c r="E26" s="642">
        <v>0</v>
      </c>
      <c r="F26" s="642">
        <v>0</v>
      </c>
      <c r="G26" s="642">
        <v>0</v>
      </c>
      <c r="H26" s="642">
        <v>0</v>
      </c>
      <c r="I26" s="642">
        <v>0</v>
      </c>
      <c r="J26" s="642">
        <v>27.710201800923624</v>
      </c>
      <c r="K26" s="642">
        <v>0</v>
      </c>
      <c r="L26" s="642">
        <v>-27.710201800923624</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-101.17003146857277</v>
      </c>
      <c r="AE26" s="642">
        <v>0</v>
      </c>
      <c r="AF26" s="642">
        <v>0</v>
      </c>
      <c r="AG26" s="642">
        <v>0</v>
      </c>
      <c r="AH26" s="642">
        <v>0</v>
      </c>
      <c r="AI26" s="642">
        <v>0</v>
      </c>
      <c r="AJ26" s="642">
        <v>0</v>
      </c>
      <c r="AK26" s="650">
        <v>-101.17003146857277</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-18.691082885283098</v>
      </c>
      <c r="AE27" s="642">
        <v>0</v>
      </c>
      <c r="AF27" s="642">
        <v>0</v>
      </c>
      <c r="AG27" s="642">
        <v>0</v>
      </c>
      <c r="AH27" s="642">
        <v>0</v>
      </c>
      <c r="AI27" s="642">
        <v>0</v>
      </c>
      <c r="AJ27" s="642">
        <v>0</v>
      </c>
      <c r="AK27" s="650">
        <v>-18.691082885283098</v>
      </c>
    </row>
    <row r="28" spans="3:37" ht="13.5">
      <c r="C28" s="648" t="s">
        <v>73</v>
      </c>
      <c r="D28" s="642">
        <v>0</v>
      </c>
      <c r="E28" s="642">
        <v>0</v>
      </c>
      <c r="F28" s="642">
        <v>0</v>
      </c>
      <c r="G28" s="642">
        <v>6.2864428714474423</v>
      </c>
      <c r="H28" s="642">
        <v>0</v>
      </c>
      <c r="I28" s="642">
        <v>0</v>
      </c>
      <c r="J28" s="642">
        <v>0</v>
      </c>
      <c r="K28" s="642">
        <v>7.2564905248031233E-2</v>
      </c>
      <c r="L28" s="642">
        <v>0</v>
      </c>
      <c r="M28" s="642">
        <v>0.12829475247851924</v>
      </c>
      <c r="N28" s="642">
        <v>0</v>
      </c>
      <c r="O28" s="642">
        <v>0</v>
      </c>
      <c r="P28" s="642">
        <v>0.77416476914506349</v>
      </c>
      <c r="Q28" s="642">
        <v>0</v>
      </c>
      <c r="R28" s="642">
        <v>-5.0795433673621861</v>
      </c>
      <c r="S28" s="650">
        <v>2.1819239309568701</v>
      </c>
      <c r="U28" s="648" t="s">
        <v>73</v>
      </c>
      <c r="V28" s="642">
        <v>0</v>
      </c>
      <c r="W28" s="642">
        <v>0</v>
      </c>
      <c r="X28" s="642">
        <v>0</v>
      </c>
      <c r="Y28" s="642">
        <v>3.7837340239051791</v>
      </c>
      <c r="Z28" s="642">
        <v>0</v>
      </c>
      <c r="AA28" s="642">
        <v>0</v>
      </c>
      <c r="AB28" s="642">
        <v>0</v>
      </c>
      <c r="AC28" s="642">
        <v>0.46597709654004676</v>
      </c>
      <c r="AD28" s="642">
        <v>0</v>
      </c>
      <c r="AE28" s="642">
        <v>2.7399453276554748</v>
      </c>
      <c r="AF28" s="642">
        <v>0</v>
      </c>
      <c r="AG28" s="642">
        <v>0</v>
      </c>
      <c r="AH28" s="642">
        <v>39.864323859285086</v>
      </c>
      <c r="AI28" s="642">
        <v>0</v>
      </c>
      <c r="AJ28" s="642">
        <v>-32.618396757803268</v>
      </c>
      <c r="AK28" s="650">
        <v>14.235583549582522</v>
      </c>
    </row>
    <row r="29" spans="3:37" ht="13.5">
      <c r="C29" s="648" t="s">
        <v>356</v>
      </c>
      <c r="D29" s="642">
        <v>28.588592812499996</v>
      </c>
      <c r="E29" s="642">
        <v>-17.673140168319453</v>
      </c>
      <c r="F29" s="642">
        <v>23.11542347254851</v>
      </c>
      <c r="G29" s="642">
        <v>0</v>
      </c>
      <c r="H29" s="642">
        <v>0</v>
      </c>
      <c r="I29" s="642">
        <v>0</v>
      </c>
      <c r="J29" s="642">
        <v>0</v>
      </c>
      <c r="K29" s="642">
        <v>0</v>
      </c>
      <c r="L29" s="642">
        <v>0</v>
      </c>
      <c r="M29" s="642">
        <v>0</v>
      </c>
      <c r="N29" s="642">
        <v>0</v>
      </c>
      <c r="O29" s="642">
        <v>0</v>
      </c>
      <c r="P29" s="642">
        <v>0</v>
      </c>
      <c r="Q29" s="642">
        <v>0</v>
      </c>
      <c r="R29" s="642">
        <v>0</v>
      </c>
      <c r="S29" s="650">
        <v>34.030876116729054</v>
      </c>
      <c r="U29" s="648" t="s">
        <v>356</v>
      </c>
      <c r="V29" s="642">
        <v>1.7459712219238281</v>
      </c>
      <c r="W29" s="642">
        <v>-7.9137714199323552</v>
      </c>
      <c r="X29" s="642">
        <v>10.35074558875537</v>
      </c>
      <c r="Y29" s="642">
        <v>0</v>
      </c>
      <c r="Z29" s="642">
        <v>0</v>
      </c>
      <c r="AA29" s="642">
        <v>0</v>
      </c>
      <c r="AB29" s="642">
        <v>0</v>
      </c>
      <c r="AC29" s="642">
        <v>0</v>
      </c>
      <c r="AD29" s="642">
        <v>0</v>
      </c>
      <c r="AE29" s="642">
        <v>0</v>
      </c>
      <c r="AF29" s="642">
        <v>0</v>
      </c>
      <c r="AG29" s="642">
        <v>0</v>
      </c>
      <c r="AH29" s="642">
        <v>0</v>
      </c>
      <c r="AI29" s="642">
        <v>0</v>
      </c>
      <c r="AJ29" s="642">
        <v>0</v>
      </c>
      <c r="AK29" s="650">
        <v>4.182945390746843</v>
      </c>
    </row>
    <row r="30" spans="3:37" ht="13.5">
      <c r="C30" s="648" t="s">
        <v>75</v>
      </c>
      <c r="D30" s="642">
        <v>11.11778609375</v>
      </c>
      <c r="E30" s="642">
        <v>0</v>
      </c>
      <c r="F30" s="642">
        <v>17.34160940037118</v>
      </c>
      <c r="G30" s="642">
        <v>4.9484792471294465</v>
      </c>
      <c r="H30" s="642">
        <v>0</v>
      </c>
      <c r="I30" s="642">
        <v>0</v>
      </c>
      <c r="J30" s="642">
        <v>0</v>
      </c>
      <c r="K30" s="642">
        <v>0</v>
      </c>
      <c r="L30" s="642">
        <v>0</v>
      </c>
      <c r="M30" s="642">
        <v>0.10098937239039688</v>
      </c>
      <c r="N30" s="642">
        <v>0</v>
      </c>
      <c r="O30" s="642">
        <v>0</v>
      </c>
      <c r="P30" s="642">
        <v>29.08691491128284</v>
      </c>
      <c r="Q30" s="642">
        <v>0</v>
      </c>
      <c r="R30" s="642">
        <v>0</v>
      </c>
      <c r="S30" s="650">
        <v>62.595779024923864</v>
      </c>
      <c r="U30" s="648" t="s">
        <v>75</v>
      </c>
      <c r="V30" s="642">
        <v>2.938742431640625</v>
      </c>
      <c r="W30" s="642">
        <v>0</v>
      </c>
      <c r="X30" s="642">
        <v>17.34160940037118</v>
      </c>
      <c r="Y30" s="642">
        <v>2.9286917993215091</v>
      </c>
      <c r="Z30" s="642">
        <v>0</v>
      </c>
      <c r="AA30" s="642">
        <v>0</v>
      </c>
      <c r="AB30" s="642">
        <v>0</v>
      </c>
      <c r="AC30" s="642">
        <v>0</v>
      </c>
      <c r="AD30" s="642">
        <v>0</v>
      </c>
      <c r="AE30" s="642">
        <v>2.1207768201983344</v>
      </c>
      <c r="AF30" s="642">
        <v>0</v>
      </c>
      <c r="AG30" s="642">
        <v>0</v>
      </c>
      <c r="AH30" s="642">
        <v>36.505051274919204</v>
      </c>
      <c r="AI30" s="642">
        <v>0</v>
      </c>
      <c r="AJ30" s="642">
        <v>0</v>
      </c>
      <c r="AK30" s="650">
        <v>61.834871726450849</v>
      </c>
    </row>
    <row r="31" spans="3:37" ht="13.5">
      <c r="C31" s="648" t="s">
        <v>76</v>
      </c>
      <c r="D31" s="642">
        <v>0</v>
      </c>
      <c r="E31" s="642">
        <v>0</v>
      </c>
      <c r="F31" s="642">
        <v>0</v>
      </c>
      <c r="G31" s="642">
        <v>3.7620934008695794</v>
      </c>
      <c r="H31" s="642">
        <v>0</v>
      </c>
      <c r="I31" s="642">
        <v>0</v>
      </c>
      <c r="J31" s="642">
        <v>0</v>
      </c>
      <c r="K31" s="642">
        <v>0</v>
      </c>
      <c r="L31" s="642">
        <v>0</v>
      </c>
      <c r="M31" s="642">
        <v>7.6777416344277136E-2</v>
      </c>
      <c r="N31" s="642">
        <v>0</v>
      </c>
      <c r="O31" s="642">
        <v>0</v>
      </c>
      <c r="P31" s="642">
        <v>45.374638558517056</v>
      </c>
      <c r="Q31" s="642">
        <v>2.9442994019327013</v>
      </c>
      <c r="R31" s="642">
        <v>0</v>
      </c>
      <c r="S31" s="650">
        <v>52.157808777663611</v>
      </c>
      <c r="U31" s="648" t="s">
        <v>76</v>
      </c>
      <c r="V31" s="642">
        <v>0</v>
      </c>
      <c r="W31" s="642">
        <v>0</v>
      </c>
      <c r="X31" s="642">
        <v>0</v>
      </c>
      <c r="Y31" s="642">
        <v>1.1999362424874132</v>
      </c>
      <c r="Z31" s="642">
        <v>0</v>
      </c>
      <c r="AA31" s="642">
        <v>0</v>
      </c>
      <c r="AB31" s="642">
        <v>0</v>
      </c>
      <c r="AC31" s="642">
        <v>0</v>
      </c>
      <c r="AD31" s="642">
        <v>0</v>
      </c>
      <c r="AE31" s="642">
        <v>0.86891934800812698</v>
      </c>
      <c r="AF31" s="642">
        <v>0</v>
      </c>
      <c r="AG31" s="642">
        <v>0</v>
      </c>
      <c r="AH31" s="642">
        <v>48.340685132761017</v>
      </c>
      <c r="AI31" s="642">
        <v>5.7839036819230412</v>
      </c>
      <c r="AJ31" s="642">
        <v>0</v>
      </c>
      <c r="AK31" s="650">
        <v>56.193444405179591</v>
      </c>
    </row>
    <row r="32" spans="3:37" ht="13.5">
      <c r="C32" s="646" t="s">
        <v>77</v>
      </c>
      <c r="D32" s="647">
        <v>42.533164547275248</v>
      </c>
      <c r="E32" s="647">
        <v>492.37419513671523</v>
      </c>
      <c r="F32" s="647">
        <v>-456.72729975813655</v>
      </c>
      <c r="G32" s="647">
        <v>46.717511888597819</v>
      </c>
      <c r="H32" s="647">
        <v>889.54545454545473</v>
      </c>
      <c r="I32" s="647">
        <v>290.38619522472999</v>
      </c>
      <c r="J32" s="647">
        <v>76.404091824403224</v>
      </c>
      <c r="K32" s="647">
        <v>18.74651114985376</v>
      </c>
      <c r="L32" s="647">
        <v>-24.540793928849673</v>
      </c>
      <c r="M32" s="647">
        <v>-5.3808072382237846</v>
      </c>
      <c r="N32" s="647">
        <v>0</v>
      </c>
      <c r="O32" s="647">
        <v>9.0812335132369491</v>
      </c>
      <c r="P32" s="647">
        <v>-540.17785546008065</v>
      </c>
      <c r="Q32" s="647">
        <v>-34.989958988562719</v>
      </c>
      <c r="R32" s="647">
        <v>-5.0795433673621861</v>
      </c>
      <c r="S32" s="647">
        <v>798.89209908905127</v>
      </c>
      <c r="U32" s="646" t="s">
        <v>77</v>
      </c>
      <c r="V32" s="647">
        <v>5.3110285590231427</v>
      </c>
      <c r="W32" s="647">
        <v>220.47790015098695</v>
      </c>
      <c r="X32" s="647">
        <v>-194.51650690879191</v>
      </c>
      <c r="Y32" s="647">
        <v>19.805187226334116</v>
      </c>
      <c r="Z32" s="647">
        <v>873.030303030303</v>
      </c>
      <c r="AA32" s="647">
        <v>337.06619522473</v>
      </c>
      <c r="AB32" s="647">
        <v>131.18933095255588</v>
      </c>
      <c r="AC32" s="647">
        <v>32.128382455120146</v>
      </c>
      <c r="AD32" s="647">
        <v>-116.69170648178192</v>
      </c>
      <c r="AE32" s="647">
        <v>-58.796508116684997</v>
      </c>
      <c r="AF32" s="647">
        <v>0</v>
      </c>
      <c r="AG32" s="647">
        <v>18.805626470956682</v>
      </c>
      <c r="AH32" s="647">
        <v>-524.40351343206009</v>
      </c>
      <c r="AI32" s="647">
        <v>-68.794771845590574</v>
      </c>
      <c r="AJ32" s="647">
        <v>-28.168396757803269</v>
      </c>
      <c r="AK32" s="647">
        <v>646.44255052729716</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4.9901668745901624</v>
      </c>
      <c r="E34" s="642">
        <v>0</v>
      </c>
      <c r="F34" s="642">
        <v>21.091530324656198</v>
      </c>
      <c r="G34" s="642">
        <v>96.151700548391091</v>
      </c>
      <c r="H34" s="642">
        <v>0</v>
      </c>
      <c r="I34" s="642">
        <v>0</v>
      </c>
      <c r="J34" s="642">
        <v>21.387862541024852</v>
      </c>
      <c r="K34" s="642">
        <v>1.7476152779545906</v>
      </c>
      <c r="L34" s="642">
        <v>0.94211085156249985</v>
      </c>
      <c r="M34" s="642">
        <v>1.9807569399951515</v>
      </c>
      <c r="N34" s="642">
        <v>0</v>
      </c>
      <c r="O34" s="642">
        <v>3.7669078281368638E-4</v>
      </c>
      <c r="P34" s="642">
        <v>112.73505933145552</v>
      </c>
      <c r="Q34" s="642">
        <v>16.12568637832603</v>
      </c>
      <c r="R34" s="642">
        <v>0.27920700073242188</v>
      </c>
      <c r="S34" s="650">
        <v>277.43207275947128</v>
      </c>
      <c r="U34" s="648" t="s">
        <v>78</v>
      </c>
      <c r="V34" s="642">
        <v>1.2150050536449819</v>
      </c>
      <c r="W34" s="642">
        <v>0</v>
      </c>
      <c r="X34" s="642">
        <v>6.016341039248414</v>
      </c>
      <c r="Y34" s="642">
        <v>39.709503776891196</v>
      </c>
      <c r="Z34" s="642">
        <v>0</v>
      </c>
      <c r="AA34" s="642">
        <v>0</v>
      </c>
      <c r="AB34" s="642">
        <v>15.202189846170386</v>
      </c>
      <c r="AC34" s="642">
        <v>4.9835801019927617</v>
      </c>
      <c r="AD34" s="642">
        <v>5.6103854980468748</v>
      </c>
      <c r="AE34" s="642">
        <v>28.773635244370734</v>
      </c>
      <c r="AF34" s="642">
        <v>0</v>
      </c>
      <c r="AG34" s="642">
        <v>3.7669078281368638E-4</v>
      </c>
      <c r="AH34" s="642">
        <v>146.07653830614987</v>
      </c>
      <c r="AI34" s="642">
        <v>23.647869298816833</v>
      </c>
      <c r="AJ34" s="642">
        <v>7.4826708984375001</v>
      </c>
      <c r="AK34" s="650">
        <v>278.71809575455239</v>
      </c>
    </row>
    <row r="35" spans="3:37" ht="13.5">
      <c r="C35" s="648" t="s">
        <v>79</v>
      </c>
      <c r="D35" s="642">
        <v>0</v>
      </c>
      <c r="E35" s="642">
        <v>0</v>
      </c>
      <c r="F35" s="642">
        <v>235.12748928743429</v>
      </c>
      <c r="G35" s="642">
        <v>31.099379517950805</v>
      </c>
      <c r="H35" s="642">
        <v>0</v>
      </c>
      <c r="I35" s="642">
        <v>0</v>
      </c>
      <c r="J35" s="642">
        <v>0</v>
      </c>
      <c r="K35" s="642">
        <v>0</v>
      </c>
      <c r="L35" s="642">
        <v>22.716725008445675</v>
      </c>
      <c r="M35" s="642">
        <v>0.63468121465205729</v>
      </c>
      <c r="N35" s="642">
        <v>0</v>
      </c>
      <c r="O35" s="642">
        <v>0</v>
      </c>
      <c r="P35" s="642">
        <v>68.565930798083699</v>
      </c>
      <c r="Q35" s="642">
        <v>0</v>
      </c>
      <c r="R35" s="642">
        <v>2.3844112104980786</v>
      </c>
      <c r="S35" s="650">
        <v>360.52861703706463</v>
      </c>
      <c r="U35" s="648" t="s">
        <v>79</v>
      </c>
      <c r="V35" s="642">
        <v>0</v>
      </c>
      <c r="W35" s="642">
        <v>0</v>
      </c>
      <c r="X35" s="642">
        <v>35.128929389637456</v>
      </c>
      <c r="Y35" s="642">
        <v>15.137064293513523</v>
      </c>
      <c r="Z35" s="642">
        <v>0</v>
      </c>
      <c r="AA35" s="642">
        <v>0</v>
      </c>
      <c r="AB35" s="642">
        <v>0</v>
      </c>
      <c r="AC35" s="642">
        <v>0</v>
      </c>
      <c r="AD35" s="642">
        <v>37.187580566982817</v>
      </c>
      <c r="AE35" s="642">
        <v>11.036020535724948</v>
      </c>
      <c r="AF35" s="642">
        <v>0</v>
      </c>
      <c r="AG35" s="642">
        <v>0</v>
      </c>
      <c r="AH35" s="642">
        <v>89.614524523742418</v>
      </c>
      <c r="AI35" s="642">
        <v>0</v>
      </c>
      <c r="AJ35" s="642">
        <v>5.6351763144479268</v>
      </c>
      <c r="AK35" s="650">
        <v>193.73929562404911</v>
      </c>
    </row>
    <row r="36" spans="3:37" ht="13.5">
      <c r="C36" s="648" t="s">
        <v>80</v>
      </c>
      <c r="D36" s="642">
        <v>0</v>
      </c>
      <c r="E36" s="642">
        <v>0</v>
      </c>
      <c r="F36" s="642">
        <v>13.724834206032371</v>
      </c>
      <c r="G36" s="642">
        <v>79.131512261322683</v>
      </c>
      <c r="H36" s="642">
        <v>0</v>
      </c>
      <c r="I36" s="642">
        <v>0</v>
      </c>
      <c r="J36" s="642">
        <v>87.797108848078949</v>
      </c>
      <c r="K36" s="642">
        <v>0</v>
      </c>
      <c r="L36" s="642">
        <v>0</v>
      </c>
      <c r="M36" s="642">
        <v>1.6149288216596467</v>
      </c>
      <c r="N36" s="642">
        <v>57.41835645436403</v>
      </c>
      <c r="O36" s="642">
        <v>2.0533643919476137</v>
      </c>
      <c r="P36" s="642">
        <v>189.45880926265392</v>
      </c>
      <c r="Q36" s="642">
        <v>15.417775800116472</v>
      </c>
      <c r="R36" s="642">
        <v>0</v>
      </c>
      <c r="S36" s="650">
        <v>446.61669004617568</v>
      </c>
      <c r="U36" s="648" t="s">
        <v>80</v>
      </c>
      <c r="V36" s="642">
        <v>0</v>
      </c>
      <c r="W36" s="642">
        <v>0</v>
      </c>
      <c r="X36" s="642">
        <v>1.0209129157283405</v>
      </c>
      <c r="Y36" s="642">
        <v>12.832027751754538</v>
      </c>
      <c r="Z36" s="642">
        <v>0</v>
      </c>
      <c r="AA36" s="642">
        <v>0</v>
      </c>
      <c r="AB36" s="642">
        <v>53.270322236782164</v>
      </c>
      <c r="AC36" s="642">
        <v>0</v>
      </c>
      <c r="AD36" s="642">
        <v>0</v>
      </c>
      <c r="AE36" s="642">
        <v>9.2921580271325972</v>
      </c>
      <c r="AF36" s="642">
        <v>88.292344554902868</v>
      </c>
      <c r="AG36" s="642">
        <v>3.9079432862869607</v>
      </c>
      <c r="AH36" s="642">
        <v>146.88666477766319</v>
      </c>
      <c r="AI36" s="642">
        <v>32.427264426374379</v>
      </c>
      <c r="AJ36" s="642">
        <v>0</v>
      </c>
      <c r="AK36" s="650">
        <v>347.92963797662509</v>
      </c>
    </row>
    <row r="37" spans="3:37" ht="13.5">
      <c r="C37" s="648" t="s">
        <v>81</v>
      </c>
      <c r="D37" s="642">
        <v>0</v>
      </c>
      <c r="E37" s="642">
        <v>0</v>
      </c>
      <c r="F37" s="642">
        <v>3.9083972405176572</v>
      </c>
      <c r="G37" s="642">
        <v>63.089348266301698</v>
      </c>
      <c r="H37" s="642">
        <v>0</v>
      </c>
      <c r="I37" s="642">
        <v>0</v>
      </c>
      <c r="J37" s="642">
        <v>3.1804221278939271</v>
      </c>
      <c r="K37" s="642">
        <v>2.5219694682056978E-2</v>
      </c>
      <c r="L37" s="642">
        <v>0</v>
      </c>
      <c r="M37" s="642">
        <v>1.287537719720443</v>
      </c>
      <c r="N37" s="642">
        <v>8.4803330998149011</v>
      </c>
      <c r="O37" s="642">
        <v>0.72631919579288284</v>
      </c>
      <c r="P37" s="642">
        <v>140.69299872549993</v>
      </c>
      <c r="Q37" s="642">
        <v>3.4464968101202174</v>
      </c>
      <c r="R37" s="642">
        <v>0</v>
      </c>
      <c r="S37" s="650">
        <v>224.8370728803437</v>
      </c>
      <c r="U37" s="648" t="s">
        <v>81</v>
      </c>
      <c r="V37" s="642">
        <v>0</v>
      </c>
      <c r="W37" s="642">
        <v>0</v>
      </c>
      <c r="X37" s="642">
        <v>1.4952361732398858</v>
      </c>
      <c r="Y37" s="642">
        <v>10.610341518374359</v>
      </c>
      <c r="Z37" s="642">
        <v>0</v>
      </c>
      <c r="AA37" s="642">
        <v>0</v>
      </c>
      <c r="AB37" s="642">
        <v>6.9978977014468793</v>
      </c>
      <c r="AC37" s="642">
        <v>2.5219694682056978E-2</v>
      </c>
      <c r="AD37" s="642">
        <v>0</v>
      </c>
      <c r="AE37" s="642">
        <v>7.6833507546848816</v>
      </c>
      <c r="AF37" s="642">
        <v>14.732239480945108</v>
      </c>
      <c r="AG37" s="642">
        <v>1.5525732622869153</v>
      </c>
      <c r="AH37" s="642">
        <v>115.23036268987886</v>
      </c>
      <c r="AI37" s="642">
        <v>12.719638120399363</v>
      </c>
      <c r="AJ37" s="642">
        <v>0</v>
      </c>
      <c r="AK37" s="650">
        <v>171.04685939593833</v>
      </c>
    </row>
    <row r="38" spans="3:37" ht="13.5">
      <c r="C38" s="648" t="s">
        <v>82</v>
      </c>
      <c r="D38" s="642">
        <v>0</v>
      </c>
      <c r="E38" s="642">
        <v>0</v>
      </c>
      <c r="F38" s="642">
        <v>28.471648080197657</v>
      </c>
      <c r="G38" s="642">
        <v>1.0804243241036344</v>
      </c>
      <c r="H38" s="642">
        <v>0</v>
      </c>
      <c r="I38" s="642">
        <v>0</v>
      </c>
      <c r="J38" s="642">
        <v>4.3026845658747828</v>
      </c>
      <c r="K38" s="642">
        <v>0</v>
      </c>
      <c r="L38" s="642">
        <v>3.1299020072385213</v>
      </c>
      <c r="M38" s="642">
        <v>2.2049476002114991E-2</v>
      </c>
      <c r="N38" s="642">
        <v>0</v>
      </c>
      <c r="O38" s="642">
        <v>6.8830690871769351E-2</v>
      </c>
      <c r="P38" s="642">
        <v>5.9739095578527968</v>
      </c>
      <c r="Q38" s="642">
        <v>0</v>
      </c>
      <c r="R38" s="642">
        <v>0</v>
      </c>
      <c r="S38" s="650">
        <v>43.049448702141277</v>
      </c>
      <c r="U38" s="648" t="s">
        <v>82</v>
      </c>
      <c r="V38" s="642">
        <v>0</v>
      </c>
      <c r="W38" s="642">
        <v>0</v>
      </c>
      <c r="X38" s="642">
        <v>5.8604701162543282</v>
      </c>
      <c r="Y38" s="642">
        <v>0.77721189491485598</v>
      </c>
      <c r="Z38" s="642">
        <v>0</v>
      </c>
      <c r="AA38" s="642">
        <v>0</v>
      </c>
      <c r="AB38" s="642">
        <v>4.3026845658747828</v>
      </c>
      <c r="AC38" s="642">
        <v>0</v>
      </c>
      <c r="AD38" s="642">
        <v>30.776202948565647</v>
      </c>
      <c r="AE38" s="642">
        <v>0.56280861355903367</v>
      </c>
      <c r="AF38" s="642">
        <v>0</v>
      </c>
      <c r="AG38" s="642">
        <v>1.5666563685107562</v>
      </c>
      <c r="AH38" s="642">
        <v>6.0858228188406986</v>
      </c>
      <c r="AI38" s="642">
        <v>0</v>
      </c>
      <c r="AJ38" s="642">
        <v>0.36062656029870238</v>
      </c>
      <c r="AK38" s="650">
        <v>50.292483886818808</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0.36</v>
      </c>
      <c r="Q39" s="642">
        <v>0</v>
      </c>
      <c r="R39" s="642">
        <v>0</v>
      </c>
      <c r="S39" s="650">
        <v>0.36</v>
      </c>
      <c r="U39" s="648" t="s">
        <v>357</v>
      </c>
      <c r="V39" s="642">
        <v>0</v>
      </c>
      <c r="W39" s="642">
        <v>0</v>
      </c>
      <c r="X39" s="642">
        <v>0</v>
      </c>
      <c r="Y39" s="642">
        <v>0</v>
      </c>
      <c r="Z39" s="642">
        <v>0</v>
      </c>
      <c r="AA39" s="642">
        <v>0</v>
      </c>
      <c r="AB39" s="642">
        <v>0</v>
      </c>
      <c r="AC39" s="642">
        <v>0</v>
      </c>
      <c r="AD39" s="642">
        <v>0</v>
      </c>
      <c r="AE39" s="642">
        <v>0</v>
      </c>
      <c r="AF39" s="642">
        <v>0</v>
      </c>
      <c r="AG39" s="642">
        <v>0</v>
      </c>
      <c r="AH39" s="642">
        <v>3.12</v>
      </c>
      <c r="AI39" s="642">
        <v>0</v>
      </c>
      <c r="AJ39" s="642">
        <v>0</v>
      </c>
      <c r="AK39" s="650">
        <v>3.12</v>
      </c>
    </row>
    <row r="40" spans="3:37" ht="13.5">
      <c r="C40" s="646" t="s">
        <v>83</v>
      </c>
      <c r="D40" s="647">
        <v>4.9901668745901624</v>
      </c>
      <c r="E40" s="647">
        <v>0</v>
      </c>
      <c r="F40" s="647">
        <v>302.32389913883821</v>
      </c>
      <c r="G40" s="647">
        <v>270.55236491806994</v>
      </c>
      <c r="H40" s="647">
        <v>0</v>
      </c>
      <c r="I40" s="647">
        <v>0</v>
      </c>
      <c r="J40" s="647">
        <v>116.66807808287251</v>
      </c>
      <c r="K40" s="647">
        <v>1.7728349726366477</v>
      </c>
      <c r="L40" s="647">
        <v>26.788737867246695</v>
      </c>
      <c r="M40" s="647">
        <v>5.5399541720294136</v>
      </c>
      <c r="N40" s="647">
        <v>65.898689554178929</v>
      </c>
      <c r="O40" s="647">
        <v>2.8488909693950797</v>
      </c>
      <c r="P40" s="647">
        <v>517.78670767554593</v>
      </c>
      <c r="Q40" s="647">
        <v>34.989958988562719</v>
      </c>
      <c r="R40" s="647">
        <v>2.6636182112305002</v>
      </c>
      <c r="S40" s="647">
        <v>1352.8239014251965</v>
      </c>
      <c r="U40" s="646" t="s">
        <v>83</v>
      </c>
      <c r="V40" s="647">
        <v>1.2150050536449819</v>
      </c>
      <c r="W40" s="647">
        <v>0</v>
      </c>
      <c r="X40" s="647">
        <v>49.521889634108419</v>
      </c>
      <c r="Y40" s="647">
        <v>79.066149235448464</v>
      </c>
      <c r="Z40" s="647">
        <v>0</v>
      </c>
      <c r="AA40" s="647">
        <v>0</v>
      </c>
      <c r="AB40" s="647">
        <v>79.773094350274206</v>
      </c>
      <c r="AC40" s="647">
        <v>5.0087997966748192</v>
      </c>
      <c r="AD40" s="647">
        <v>73.574169013595338</v>
      </c>
      <c r="AE40" s="647">
        <v>57.347973175472191</v>
      </c>
      <c r="AF40" s="647">
        <v>103.02458403584798</v>
      </c>
      <c r="AG40" s="647">
        <v>7.0275496078674458</v>
      </c>
      <c r="AH40" s="647">
        <v>507.01391311627498</v>
      </c>
      <c r="AI40" s="647">
        <v>68.794771845590574</v>
      </c>
      <c r="AJ40" s="647">
        <v>13.478473773184128</v>
      </c>
      <c r="AK40" s="647">
        <v>1044.8463726379837</v>
      </c>
    </row>
    <row r="41" spans="3:37" ht="13.5">
      <c r="C41" s="641" t="s">
        <v>84</v>
      </c>
      <c r="D41" s="642">
        <v>0</v>
      </c>
      <c r="E41" s="642">
        <v>0</v>
      </c>
      <c r="F41" s="642">
        <v>106.83242416715484</v>
      </c>
      <c r="G41" s="642">
        <v>11.6186457489655</v>
      </c>
      <c r="H41" s="642">
        <v>0</v>
      </c>
      <c r="I41" s="642">
        <v>0</v>
      </c>
      <c r="J41" s="642">
        <v>0</v>
      </c>
      <c r="K41" s="642">
        <v>0</v>
      </c>
      <c r="L41" s="642">
        <v>0</v>
      </c>
      <c r="M41" s="642">
        <v>0</v>
      </c>
      <c r="N41" s="642">
        <v>0</v>
      </c>
      <c r="O41" s="642">
        <v>0</v>
      </c>
      <c r="P41" s="642">
        <v>0</v>
      </c>
      <c r="Q41" s="642">
        <v>0</v>
      </c>
      <c r="R41" s="642">
        <v>2.4159251561316859</v>
      </c>
      <c r="S41" s="650">
        <v>120.86699507225204</v>
      </c>
      <c r="U41" s="641" t="s">
        <v>84</v>
      </c>
      <c r="V41" s="642">
        <v>0</v>
      </c>
      <c r="W41" s="642">
        <v>0</v>
      </c>
      <c r="X41" s="642">
        <v>75.791608178670685</v>
      </c>
      <c r="Y41" s="642">
        <v>0.94004440148578539</v>
      </c>
      <c r="Z41" s="642">
        <v>0</v>
      </c>
      <c r="AA41" s="642">
        <v>0</v>
      </c>
      <c r="AB41" s="642">
        <v>0</v>
      </c>
      <c r="AC41" s="642">
        <v>0</v>
      </c>
      <c r="AD41" s="642">
        <v>21.99170920776367</v>
      </c>
      <c r="AE41" s="642">
        <v>0</v>
      </c>
      <c r="AF41" s="642">
        <v>0</v>
      </c>
      <c r="AG41" s="642">
        <v>0</v>
      </c>
      <c r="AH41" s="642">
        <v>0</v>
      </c>
      <c r="AI41" s="642">
        <v>0</v>
      </c>
      <c r="AJ41" s="642">
        <v>14.689922984619141</v>
      </c>
      <c r="AK41" s="650">
        <v>113.41328477253928</v>
      </c>
    </row>
    <row r="42" spans="3:37" ht="13.5">
      <c r="C42" s="646" t="s">
        <v>85</v>
      </c>
      <c r="D42" s="647">
        <v>4.9901668745901624</v>
      </c>
      <c r="E42" s="647">
        <v>0</v>
      </c>
      <c r="F42" s="647">
        <v>409.15632330599311</v>
      </c>
      <c r="G42" s="647">
        <v>282.17101066703543</v>
      </c>
      <c r="H42" s="647">
        <v>0</v>
      </c>
      <c r="I42" s="647">
        <v>0</v>
      </c>
      <c r="J42" s="647">
        <v>116.66807808287251</v>
      </c>
      <c r="K42" s="647">
        <v>1.7728349726366477</v>
      </c>
      <c r="L42" s="647">
        <v>26.788737867246695</v>
      </c>
      <c r="M42" s="647">
        <v>5.5399541720294136</v>
      </c>
      <c r="N42" s="647">
        <v>65.898689554178929</v>
      </c>
      <c r="O42" s="647">
        <v>2.8488909693950797</v>
      </c>
      <c r="P42" s="647">
        <v>517.78670767554593</v>
      </c>
      <c r="Q42" s="647">
        <v>34.989958988562719</v>
      </c>
      <c r="R42" s="647">
        <v>5.0795433673621861</v>
      </c>
      <c r="S42" s="647">
        <v>1473.6908964974484</v>
      </c>
      <c r="U42" s="646" t="s">
        <v>85</v>
      </c>
      <c r="V42" s="647">
        <v>1.2150050536449819</v>
      </c>
      <c r="W42" s="647">
        <v>0</v>
      </c>
      <c r="X42" s="647">
        <v>125.31349781277912</v>
      </c>
      <c r="Y42" s="647">
        <v>80.006193636934256</v>
      </c>
      <c r="Z42" s="647">
        <v>0</v>
      </c>
      <c r="AA42" s="647">
        <v>0</v>
      </c>
      <c r="AB42" s="647">
        <v>79.773094350274206</v>
      </c>
      <c r="AC42" s="647">
        <v>5.0087997966748192</v>
      </c>
      <c r="AD42" s="647">
        <v>95.565878221359014</v>
      </c>
      <c r="AE42" s="647">
        <v>57.347973175472191</v>
      </c>
      <c r="AF42" s="647">
        <v>103.02458403584798</v>
      </c>
      <c r="AG42" s="647">
        <v>7.0275496078674458</v>
      </c>
      <c r="AH42" s="647">
        <v>507.01391311627498</v>
      </c>
      <c r="AI42" s="647">
        <v>68.794771845590574</v>
      </c>
      <c r="AJ42" s="647">
        <v>28.168396757803269</v>
      </c>
      <c r="AK42" s="647">
        <v>1158.2596574105228</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364</v>
      </c>
      <c r="D44" s="699"/>
      <c r="E44" s="699"/>
      <c r="F44" s="699"/>
      <c r="G44" s="699"/>
      <c r="H44" s="699"/>
      <c r="I44" s="699"/>
      <c r="J44" s="699"/>
      <c r="K44" s="699"/>
      <c r="L44" s="699"/>
      <c r="M44" s="699"/>
      <c r="N44" s="699"/>
      <c r="O44" s="699"/>
      <c r="P44" s="699"/>
      <c r="Q44" s="699"/>
      <c r="R44" s="699"/>
      <c r="S44" s="699"/>
      <c r="U44" s="699" t="s">
        <v>364</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0</v>
      </c>
      <c r="F48" s="643">
        <v>0</v>
      </c>
      <c r="G48" s="642">
        <v>0</v>
      </c>
      <c r="H48" s="643">
        <v>843.18181818181824</v>
      </c>
      <c r="I48" s="643">
        <v>306.94588327561422</v>
      </c>
      <c r="J48" s="643">
        <v>187.92158364867245</v>
      </c>
      <c r="K48" s="643">
        <v>20.316638839186872</v>
      </c>
      <c r="L48" s="643">
        <v>0.58650482505924006</v>
      </c>
      <c r="M48" s="643">
        <v>0.15964026893196048</v>
      </c>
      <c r="N48" s="643">
        <v>67.964408038916218</v>
      </c>
      <c r="O48" s="643">
        <v>11.973026235836867</v>
      </c>
      <c r="P48" s="644">
        <v>0</v>
      </c>
      <c r="Q48" s="643">
        <v>0</v>
      </c>
      <c r="R48" s="643">
        <v>0</v>
      </c>
      <c r="S48" s="645">
        <v>1439.0495033140362</v>
      </c>
      <c r="U48" s="641" t="s">
        <v>59</v>
      </c>
      <c r="V48" s="642">
        <v>0</v>
      </c>
      <c r="W48" s="643">
        <v>0</v>
      </c>
      <c r="X48" s="643">
        <v>0</v>
      </c>
      <c r="Y48" s="642">
        <v>0</v>
      </c>
      <c r="Z48" s="643">
        <v>842.12121212121212</v>
      </c>
      <c r="AA48" s="643">
        <v>361.66588327561419</v>
      </c>
      <c r="AB48" s="643">
        <v>209.7499476733077</v>
      </c>
      <c r="AC48" s="643">
        <v>36.742499370225779</v>
      </c>
      <c r="AD48" s="643">
        <v>0.58650482505924006</v>
      </c>
      <c r="AE48" s="643">
        <v>0.15964026893196048</v>
      </c>
      <c r="AF48" s="643">
        <v>109.8518848230913</v>
      </c>
      <c r="AG48" s="643">
        <v>27.041217028647232</v>
      </c>
      <c r="AH48" s="644">
        <v>0</v>
      </c>
      <c r="AI48" s="643">
        <v>0</v>
      </c>
      <c r="AJ48" s="643">
        <v>0</v>
      </c>
      <c r="AK48" s="645">
        <v>1587.9187893860897</v>
      </c>
    </row>
    <row r="49" spans="3:37" ht="13.5">
      <c r="C49" s="641" t="s">
        <v>60</v>
      </c>
      <c r="D49" s="642">
        <v>47.14481987923083</v>
      </c>
      <c r="E49" s="643">
        <v>484.495467583368</v>
      </c>
      <c r="F49" s="643">
        <v>50.019697053221719</v>
      </c>
      <c r="G49" s="642">
        <v>326.09010493911637</v>
      </c>
      <c r="H49" s="643">
        <v>0</v>
      </c>
      <c r="I49" s="643">
        <v>0</v>
      </c>
      <c r="J49" s="643">
        <v>5.0764589906360387</v>
      </c>
      <c r="K49" s="643">
        <v>0</v>
      </c>
      <c r="L49" s="643">
        <v>2.7571319279134792</v>
      </c>
      <c r="M49" s="643">
        <v>0</v>
      </c>
      <c r="N49" s="643">
        <v>0</v>
      </c>
      <c r="O49" s="643">
        <v>0</v>
      </c>
      <c r="P49" s="644">
        <v>0</v>
      </c>
      <c r="Q49" s="643">
        <v>0</v>
      </c>
      <c r="R49" s="643">
        <v>0</v>
      </c>
      <c r="S49" s="645">
        <v>915.58368037348657</v>
      </c>
      <c r="U49" s="641" t="s">
        <v>60</v>
      </c>
      <c r="V49" s="642">
        <v>5.8768320762591904</v>
      </c>
      <c r="W49" s="643">
        <v>189.94114801549574</v>
      </c>
      <c r="X49" s="643">
        <v>14.41607041492888</v>
      </c>
      <c r="Y49" s="642">
        <v>81.728531694283333</v>
      </c>
      <c r="Z49" s="643">
        <v>0</v>
      </c>
      <c r="AA49" s="643">
        <v>0</v>
      </c>
      <c r="AB49" s="643">
        <v>5.0764589906360387</v>
      </c>
      <c r="AC49" s="643">
        <v>0</v>
      </c>
      <c r="AD49" s="643">
        <v>2.7571319279134792</v>
      </c>
      <c r="AE49" s="643">
        <v>0</v>
      </c>
      <c r="AF49" s="643">
        <v>0</v>
      </c>
      <c r="AG49" s="643">
        <v>0</v>
      </c>
      <c r="AH49" s="644">
        <v>0</v>
      </c>
      <c r="AI49" s="643">
        <v>0</v>
      </c>
      <c r="AJ49" s="643">
        <v>0</v>
      </c>
      <c r="AK49" s="645">
        <v>299.79617311951665</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-16.706363002811486</v>
      </c>
      <c r="Q50" s="643">
        <v>0</v>
      </c>
      <c r="R50" s="643">
        <v>0</v>
      </c>
      <c r="S50" s="645">
        <v>-16.706363002811486</v>
      </c>
      <c r="U50" s="641" t="s">
        <v>61</v>
      </c>
      <c r="V50" s="642">
        <v>0</v>
      </c>
      <c r="W50" s="643">
        <v>0</v>
      </c>
      <c r="X50" s="643">
        <v>-18.378136852904419</v>
      </c>
      <c r="Y50" s="642">
        <v>0</v>
      </c>
      <c r="Z50" s="643">
        <v>0</v>
      </c>
      <c r="AA50" s="643">
        <v>0</v>
      </c>
      <c r="AB50" s="643">
        <v>0</v>
      </c>
      <c r="AC50" s="643">
        <v>0</v>
      </c>
      <c r="AD50" s="643">
        <v>0</v>
      </c>
      <c r="AE50" s="643">
        <v>0</v>
      </c>
      <c r="AF50" s="643">
        <v>0</v>
      </c>
      <c r="AG50" s="643">
        <v>0</v>
      </c>
      <c r="AH50" s="644">
        <v>-20.522831714543145</v>
      </c>
      <c r="AI50" s="643">
        <v>0</v>
      </c>
      <c r="AJ50" s="643">
        <v>0</v>
      </c>
      <c r="AK50" s="645">
        <v>-38.900968567447563</v>
      </c>
    </row>
    <row r="51" spans="3:37" ht="13.5">
      <c r="C51" s="641" t="s">
        <v>62</v>
      </c>
      <c r="D51" s="642">
        <v>0</v>
      </c>
      <c r="E51" s="643">
        <v>0</v>
      </c>
      <c r="F51" s="643">
        <v>-15.257294848391862</v>
      </c>
      <c r="G51" s="642">
        <v>0</v>
      </c>
      <c r="H51" s="643">
        <v>0</v>
      </c>
      <c r="I51" s="643">
        <v>0</v>
      </c>
      <c r="J51" s="643">
        <v>0</v>
      </c>
      <c r="K51" s="643">
        <v>0</v>
      </c>
      <c r="L51" s="643">
        <v>0</v>
      </c>
      <c r="M51" s="643">
        <v>0</v>
      </c>
      <c r="N51" s="643">
        <v>0</v>
      </c>
      <c r="O51" s="643">
        <v>0</v>
      </c>
      <c r="P51" s="644">
        <v>0</v>
      </c>
      <c r="Q51" s="643">
        <v>0</v>
      </c>
      <c r="R51" s="643">
        <v>0</v>
      </c>
      <c r="S51" s="645">
        <v>-15.257294848391862</v>
      </c>
      <c r="U51" s="641" t="s">
        <v>62</v>
      </c>
      <c r="V51" s="642">
        <v>0</v>
      </c>
      <c r="W51" s="643">
        <v>0</v>
      </c>
      <c r="X51" s="643">
        <v>-7.5188933675233587</v>
      </c>
      <c r="Y51" s="642">
        <v>-2.1851276585702322</v>
      </c>
      <c r="Z51" s="643">
        <v>0</v>
      </c>
      <c r="AA51" s="643">
        <v>0</v>
      </c>
      <c r="AB51" s="643">
        <v>0</v>
      </c>
      <c r="AC51" s="643">
        <v>0</v>
      </c>
      <c r="AD51" s="643">
        <v>0</v>
      </c>
      <c r="AE51" s="643">
        <v>-2.1851276585702322</v>
      </c>
      <c r="AF51" s="643">
        <v>0</v>
      </c>
      <c r="AG51" s="643">
        <v>0</v>
      </c>
      <c r="AH51" s="644">
        <v>0</v>
      </c>
      <c r="AI51" s="643">
        <v>0</v>
      </c>
      <c r="AJ51" s="643">
        <v>0</v>
      </c>
      <c r="AK51" s="645">
        <v>-11.889148684663823</v>
      </c>
    </row>
    <row r="52" spans="3:37" ht="13.5">
      <c r="C52" s="641" t="s">
        <v>63</v>
      </c>
      <c r="D52" s="642">
        <v>0</v>
      </c>
      <c r="E52" s="643">
        <v>0</v>
      </c>
      <c r="F52" s="643">
        <v>-90.982589622358091</v>
      </c>
      <c r="G52" s="642">
        <v>0</v>
      </c>
      <c r="H52" s="643">
        <v>0</v>
      </c>
      <c r="I52" s="643">
        <v>0</v>
      </c>
      <c r="J52" s="643">
        <v>0</v>
      </c>
      <c r="K52" s="643">
        <v>0</v>
      </c>
      <c r="L52" s="643">
        <v>-0.93561585486744514</v>
      </c>
      <c r="M52" s="643">
        <v>0</v>
      </c>
      <c r="N52" s="643">
        <v>0</v>
      </c>
      <c r="O52" s="643">
        <v>0</v>
      </c>
      <c r="P52" s="644">
        <v>0</v>
      </c>
      <c r="Q52" s="643">
        <v>0</v>
      </c>
      <c r="R52" s="643">
        <v>0</v>
      </c>
      <c r="S52" s="645">
        <v>-91.918205477225541</v>
      </c>
      <c r="U52" s="641" t="s">
        <v>63</v>
      </c>
      <c r="V52" s="642">
        <v>0</v>
      </c>
      <c r="W52" s="643">
        <v>0</v>
      </c>
      <c r="X52" s="643">
        <v>-53.656928796434556</v>
      </c>
      <c r="Y52" s="642">
        <v>0</v>
      </c>
      <c r="Z52" s="643">
        <v>0</v>
      </c>
      <c r="AA52" s="643">
        <v>0</v>
      </c>
      <c r="AB52" s="643">
        <v>0</v>
      </c>
      <c r="AC52" s="643">
        <v>0</v>
      </c>
      <c r="AD52" s="643">
        <v>-28.297456853591466</v>
      </c>
      <c r="AE52" s="643">
        <v>0</v>
      </c>
      <c r="AF52" s="643">
        <v>0</v>
      </c>
      <c r="AG52" s="643">
        <v>0</v>
      </c>
      <c r="AH52" s="644">
        <v>0</v>
      </c>
      <c r="AI52" s="643">
        <v>0</v>
      </c>
      <c r="AJ52" s="643">
        <v>0</v>
      </c>
      <c r="AK52" s="645">
        <v>-81.954385650026026</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47.14481987923083</v>
      </c>
      <c r="E54" s="647">
        <v>484.495467583368</v>
      </c>
      <c r="F54" s="647">
        <v>-56.220187417528237</v>
      </c>
      <c r="G54" s="647">
        <v>326.09010493911637</v>
      </c>
      <c r="H54" s="647">
        <v>843.18181818181824</v>
      </c>
      <c r="I54" s="647">
        <v>306.94588327561422</v>
      </c>
      <c r="J54" s="647">
        <v>192.99804263930849</v>
      </c>
      <c r="K54" s="647">
        <v>20.316638839186872</v>
      </c>
      <c r="L54" s="647">
        <v>2.4080208981052738</v>
      </c>
      <c r="M54" s="647">
        <v>0.15964026893196048</v>
      </c>
      <c r="N54" s="647">
        <v>67.964408038916218</v>
      </c>
      <c r="O54" s="647">
        <v>11.973026235836867</v>
      </c>
      <c r="P54" s="647">
        <v>-16.706363002811486</v>
      </c>
      <c r="Q54" s="647">
        <v>0</v>
      </c>
      <c r="R54" s="647">
        <v>0</v>
      </c>
      <c r="S54" s="647">
        <v>2230.7513203590943</v>
      </c>
      <c r="U54" s="646" t="s">
        <v>65</v>
      </c>
      <c r="V54" s="647">
        <v>5.8768320762591904</v>
      </c>
      <c r="W54" s="647">
        <v>189.94114801549574</v>
      </c>
      <c r="X54" s="647">
        <v>-65.137888601933454</v>
      </c>
      <c r="Y54" s="647">
        <v>79.543404035713095</v>
      </c>
      <c r="Z54" s="647">
        <v>842.12121212121212</v>
      </c>
      <c r="AA54" s="647">
        <v>361.66588327561419</v>
      </c>
      <c r="AB54" s="647">
        <v>214.82640666394374</v>
      </c>
      <c r="AC54" s="647">
        <v>36.742499370225779</v>
      </c>
      <c r="AD54" s="647">
        <v>-24.953820100618749</v>
      </c>
      <c r="AE54" s="647">
        <v>-2.0254873896382719</v>
      </c>
      <c r="AF54" s="647">
        <v>109.8518848230913</v>
      </c>
      <c r="AG54" s="647">
        <v>27.041217028647232</v>
      </c>
      <c r="AH54" s="647">
        <v>-20.522831714543145</v>
      </c>
      <c r="AI54" s="647">
        <v>0</v>
      </c>
      <c r="AJ54" s="647">
        <v>0</v>
      </c>
      <c r="AK54" s="647">
        <v>1754.970459603469</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7.9230776783294274</v>
      </c>
      <c r="G57" s="642">
        <v>16.680851063829788</v>
      </c>
      <c r="H57" s="642">
        <v>843.18181818181824</v>
      </c>
      <c r="I57" s="642">
        <v>306.94588327561422</v>
      </c>
      <c r="J57" s="651">
        <v>28.98717588629853</v>
      </c>
      <c r="K57" s="651">
        <v>6.5903281241207718</v>
      </c>
      <c r="L57" s="651">
        <v>3.3436367529727189</v>
      </c>
      <c r="M57" s="651">
        <v>0.46654149749263618</v>
      </c>
      <c r="N57" s="651">
        <v>0</v>
      </c>
      <c r="O57" s="651">
        <v>7.0184114557160298</v>
      </c>
      <c r="P57" s="642">
        <v>-616.92993037811448</v>
      </c>
      <c r="Q57" s="642">
        <v>0</v>
      </c>
      <c r="R57" s="642">
        <v>0</v>
      </c>
      <c r="S57" s="650">
        <v>607.03457917910316</v>
      </c>
      <c r="U57" s="648" t="s">
        <v>350</v>
      </c>
      <c r="V57" s="642">
        <v>0.62631490545869017</v>
      </c>
      <c r="W57" s="642">
        <v>0</v>
      </c>
      <c r="X57" s="642">
        <v>4.0594413146930641</v>
      </c>
      <c r="Y57" s="642">
        <v>2.3404255319148937</v>
      </c>
      <c r="Z57" s="642">
        <v>842.12121212121212</v>
      </c>
      <c r="AA57" s="642">
        <v>361.66588327561419</v>
      </c>
      <c r="AB57" s="651">
        <v>23.182357378111952</v>
      </c>
      <c r="AC57" s="651">
        <v>5.3775678130216455</v>
      </c>
      <c r="AD57" s="651">
        <v>3.3436367529727189</v>
      </c>
      <c r="AE57" s="651">
        <v>2.4665414974926363</v>
      </c>
      <c r="AF57" s="651">
        <v>0</v>
      </c>
      <c r="AG57" s="651">
        <v>7.0184114557160298</v>
      </c>
      <c r="AH57" s="642">
        <v>-662.7499303781143</v>
      </c>
      <c r="AI57" s="642">
        <v>0</v>
      </c>
      <c r="AJ57" s="642">
        <v>4.25</v>
      </c>
      <c r="AK57" s="650">
        <v>593.70186166809344</v>
      </c>
    </row>
    <row r="58" spans="3:37" ht="13.5">
      <c r="C58" s="648" t="s">
        <v>351</v>
      </c>
      <c r="D58" s="642">
        <v>0</v>
      </c>
      <c r="E58" s="642">
        <v>0</v>
      </c>
      <c r="F58" s="642">
        <v>0</v>
      </c>
      <c r="G58" s="642">
        <v>14.843815057329421</v>
      </c>
      <c r="H58" s="642">
        <v>0</v>
      </c>
      <c r="I58" s="642">
        <v>0</v>
      </c>
      <c r="J58" s="651">
        <v>12.357161229114668</v>
      </c>
      <c r="K58" s="651">
        <v>11.882304060636951</v>
      </c>
      <c r="L58" s="651">
        <v>0</v>
      </c>
      <c r="M58" s="651">
        <v>0.31804644322561132</v>
      </c>
      <c r="N58" s="651">
        <v>0</v>
      </c>
      <c r="O58" s="651">
        <v>2.0992086164963606</v>
      </c>
      <c r="P58" s="642">
        <v>0</v>
      </c>
      <c r="Q58" s="642">
        <v>-37.805081951347923</v>
      </c>
      <c r="R58" s="642">
        <v>0</v>
      </c>
      <c r="S58" s="650">
        <v>3.6954534554550835</v>
      </c>
      <c r="U58" s="648" t="s">
        <v>351</v>
      </c>
      <c r="V58" s="642">
        <v>0</v>
      </c>
      <c r="W58" s="642">
        <v>0</v>
      </c>
      <c r="X58" s="642">
        <v>0</v>
      </c>
      <c r="Y58" s="642">
        <v>6.4668066457611202</v>
      </c>
      <c r="Z58" s="642">
        <v>0</v>
      </c>
      <c r="AA58" s="642">
        <v>0</v>
      </c>
      <c r="AB58" s="651">
        <v>28.361573193229066</v>
      </c>
      <c r="AC58" s="651">
        <v>26.076316433417247</v>
      </c>
      <c r="AD58" s="651">
        <v>0</v>
      </c>
      <c r="AE58" s="651">
        <v>6.4819180878167435</v>
      </c>
      <c r="AF58" s="651">
        <v>0</v>
      </c>
      <c r="AG58" s="651">
        <v>12.550380584079129</v>
      </c>
      <c r="AH58" s="642">
        <v>0</v>
      </c>
      <c r="AI58" s="642">
        <v>-74.043519390541746</v>
      </c>
      <c r="AJ58" s="642">
        <v>0</v>
      </c>
      <c r="AK58" s="650">
        <v>5.8934755537615651</v>
      </c>
    </row>
    <row r="59" spans="3:37" ht="13.5">
      <c r="C59" s="648" t="s">
        <v>352</v>
      </c>
      <c r="D59" s="642">
        <v>0</v>
      </c>
      <c r="E59" s="642">
        <v>0</v>
      </c>
      <c r="F59" s="642">
        <v>0</v>
      </c>
      <c r="G59" s="642">
        <v>0</v>
      </c>
      <c r="H59" s="642">
        <v>0</v>
      </c>
      <c r="I59" s="642">
        <v>0</v>
      </c>
      <c r="J59" s="652">
        <v>6.8755991242523775</v>
      </c>
      <c r="K59" s="652">
        <v>0</v>
      </c>
      <c r="L59" s="652">
        <v>0</v>
      </c>
      <c r="M59" s="652">
        <v>-6.4200906822706569</v>
      </c>
      <c r="N59" s="652">
        <v>0</v>
      </c>
      <c r="O59" s="652">
        <v>0</v>
      </c>
      <c r="P59" s="642">
        <v>0</v>
      </c>
      <c r="Q59" s="642">
        <v>0</v>
      </c>
      <c r="R59" s="642">
        <v>0</v>
      </c>
      <c r="S59" s="650">
        <v>0.45550844198172058</v>
      </c>
      <c r="U59" s="648" t="s">
        <v>352</v>
      </c>
      <c r="V59" s="642">
        <v>0</v>
      </c>
      <c r="W59" s="642">
        <v>0</v>
      </c>
      <c r="X59" s="642">
        <v>0</v>
      </c>
      <c r="Y59" s="642">
        <v>0</v>
      </c>
      <c r="Z59" s="642">
        <v>0</v>
      </c>
      <c r="AA59" s="642">
        <v>0</v>
      </c>
      <c r="AB59" s="652">
        <v>86.654179241552072</v>
      </c>
      <c r="AC59" s="652">
        <v>0</v>
      </c>
      <c r="AD59" s="652">
        <v>0</v>
      </c>
      <c r="AE59" s="652">
        <v>-80.913339866799248</v>
      </c>
      <c r="AF59" s="652">
        <v>0</v>
      </c>
      <c r="AG59" s="652">
        <v>0</v>
      </c>
      <c r="AH59" s="642">
        <v>0</v>
      </c>
      <c r="AI59" s="642">
        <v>0</v>
      </c>
      <c r="AJ59" s="642">
        <v>0</v>
      </c>
      <c r="AK59" s="650">
        <v>5.7408393747528237</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501.8858109321676</v>
      </c>
      <c r="F61" s="642">
        <v>-496.86695282284592</v>
      </c>
      <c r="G61" s="642">
        <v>0</v>
      </c>
      <c r="H61" s="642">
        <v>0</v>
      </c>
      <c r="I61" s="642">
        <v>0</v>
      </c>
      <c r="J61" s="642">
        <v>0</v>
      </c>
      <c r="K61" s="642">
        <v>0</v>
      </c>
      <c r="L61" s="642">
        <v>0</v>
      </c>
      <c r="M61" s="642">
        <v>0</v>
      </c>
      <c r="N61" s="642">
        <v>0</v>
      </c>
      <c r="O61" s="642">
        <v>0</v>
      </c>
      <c r="P61" s="642">
        <v>0</v>
      </c>
      <c r="Q61" s="642">
        <v>0</v>
      </c>
      <c r="R61" s="642">
        <v>0</v>
      </c>
      <c r="S61" s="650">
        <v>5.018858109321684</v>
      </c>
      <c r="U61" s="648" t="s">
        <v>72</v>
      </c>
      <c r="V61" s="642">
        <v>0</v>
      </c>
      <c r="W61" s="642">
        <v>196.75884188687598</v>
      </c>
      <c r="X61" s="642">
        <v>-194.79125346800723</v>
      </c>
      <c r="Y61" s="642">
        <v>0</v>
      </c>
      <c r="Z61" s="642">
        <v>0</v>
      </c>
      <c r="AA61" s="642">
        <v>0</v>
      </c>
      <c r="AB61" s="642">
        <v>0</v>
      </c>
      <c r="AC61" s="642">
        <v>0</v>
      </c>
      <c r="AD61" s="642">
        <v>0</v>
      </c>
      <c r="AE61" s="642">
        <v>0</v>
      </c>
      <c r="AF61" s="642">
        <v>0</v>
      </c>
      <c r="AG61" s="642">
        <v>0</v>
      </c>
      <c r="AH61" s="642">
        <v>0</v>
      </c>
      <c r="AI61" s="642">
        <v>0</v>
      </c>
      <c r="AJ61" s="642">
        <v>0</v>
      </c>
      <c r="AK61" s="650">
        <v>1.9675884188687576</v>
      </c>
    </row>
    <row r="62" spans="3:37" ht="13.5">
      <c r="C62" s="648" t="s">
        <v>354</v>
      </c>
      <c r="D62" s="642">
        <v>0</v>
      </c>
      <c r="E62" s="642">
        <v>0</v>
      </c>
      <c r="F62" s="642">
        <v>0</v>
      </c>
      <c r="G62" s="642">
        <v>0</v>
      </c>
      <c r="H62" s="642">
        <v>0</v>
      </c>
      <c r="I62" s="642">
        <v>0</v>
      </c>
      <c r="J62" s="642">
        <v>26.867608526350821</v>
      </c>
      <c r="K62" s="642">
        <v>0</v>
      </c>
      <c r="L62" s="642">
        <v>-26.867608526350821</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-99.513749603669936</v>
      </c>
      <c r="AE62" s="642">
        <v>0</v>
      </c>
      <c r="AF62" s="642">
        <v>0</v>
      </c>
      <c r="AG62" s="642">
        <v>0</v>
      </c>
      <c r="AH62" s="642">
        <v>0</v>
      </c>
      <c r="AI62" s="642">
        <v>0</v>
      </c>
      <c r="AJ62" s="642">
        <v>0</v>
      </c>
      <c r="AK62" s="650">
        <v>-99.513749603669936</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-17.985934640167208</v>
      </c>
      <c r="AE63" s="642">
        <v>0</v>
      </c>
      <c r="AF63" s="642">
        <v>0</v>
      </c>
      <c r="AG63" s="642">
        <v>0</v>
      </c>
      <c r="AH63" s="642">
        <v>0</v>
      </c>
      <c r="AI63" s="642">
        <v>0</v>
      </c>
      <c r="AJ63" s="642">
        <v>0</v>
      </c>
      <c r="AK63" s="650">
        <v>-17.985934640167208</v>
      </c>
    </row>
    <row r="64" spans="3:37" ht="13.5">
      <c r="C64" s="648" t="s">
        <v>73</v>
      </c>
      <c r="D64" s="642">
        <v>0</v>
      </c>
      <c r="E64" s="642">
        <v>0</v>
      </c>
      <c r="F64" s="642">
        <v>0</v>
      </c>
      <c r="G64" s="642">
        <v>7.0830222331165276</v>
      </c>
      <c r="H64" s="642">
        <v>0</v>
      </c>
      <c r="I64" s="642">
        <v>0</v>
      </c>
      <c r="J64" s="642">
        <v>0</v>
      </c>
      <c r="K64" s="642">
        <v>8.2131519400701847E-2</v>
      </c>
      <c r="L64" s="642">
        <v>0</v>
      </c>
      <c r="M64" s="642">
        <v>0.14455147414523528</v>
      </c>
      <c r="N64" s="642">
        <v>0</v>
      </c>
      <c r="O64" s="642">
        <v>0</v>
      </c>
      <c r="P64" s="642">
        <v>0.90023160054861806</v>
      </c>
      <c r="Q64" s="642">
        <v>0</v>
      </c>
      <c r="R64" s="642">
        <v>-5.7492063580491291</v>
      </c>
      <c r="S64" s="650">
        <v>2.4607304691619536</v>
      </c>
      <c r="U64" s="648" t="s">
        <v>73</v>
      </c>
      <c r="V64" s="642">
        <v>0</v>
      </c>
      <c r="W64" s="642">
        <v>0</v>
      </c>
      <c r="X64" s="642">
        <v>0</v>
      </c>
      <c r="Y64" s="642">
        <v>2.5209228009552263</v>
      </c>
      <c r="Z64" s="642">
        <v>0</v>
      </c>
      <c r="AA64" s="642">
        <v>0</v>
      </c>
      <c r="AB64" s="642">
        <v>0</v>
      </c>
      <c r="AC64" s="642">
        <v>0.50418456019104518</v>
      </c>
      <c r="AD64" s="642">
        <v>0</v>
      </c>
      <c r="AE64" s="642">
        <v>2.5209228009552263</v>
      </c>
      <c r="AF64" s="642">
        <v>0</v>
      </c>
      <c r="AG64" s="642">
        <v>0</v>
      </c>
      <c r="AH64" s="642">
        <v>44.712737508757456</v>
      </c>
      <c r="AI64" s="642">
        <v>0</v>
      </c>
      <c r="AJ64" s="642">
        <v>-35.29291921337316</v>
      </c>
      <c r="AK64" s="650">
        <v>14.965848457485791</v>
      </c>
    </row>
    <row r="65" spans="3:37" ht="13.5">
      <c r="C65" s="648" t="s">
        <v>356</v>
      </c>
      <c r="D65" s="642">
        <v>28.568314687499999</v>
      </c>
      <c r="E65" s="642">
        <v>-17.390343348799608</v>
      </c>
      <c r="F65" s="642">
        <v>22.745541936068136</v>
      </c>
      <c r="G65" s="642">
        <v>0</v>
      </c>
      <c r="H65" s="642">
        <v>0</v>
      </c>
      <c r="I65" s="642">
        <v>0</v>
      </c>
      <c r="J65" s="642">
        <v>0</v>
      </c>
      <c r="K65" s="642">
        <v>0</v>
      </c>
      <c r="L65" s="642">
        <v>0</v>
      </c>
      <c r="M65" s="642">
        <v>0</v>
      </c>
      <c r="N65" s="642">
        <v>0</v>
      </c>
      <c r="O65" s="642">
        <v>0</v>
      </c>
      <c r="P65" s="642">
        <v>0</v>
      </c>
      <c r="Q65" s="642">
        <v>0</v>
      </c>
      <c r="R65" s="642">
        <v>0</v>
      </c>
      <c r="S65" s="650">
        <v>33.923513274768524</v>
      </c>
      <c r="U65" s="648" t="s">
        <v>356</v>
      </c>
      <c r="V65" s="642">
        <v>1.4001075134277343</v>
      </c>
      <c r="W65" s="642">
        <v>-6.8176938713802535</v>
      </c>
      <c r="X65" s="642">
        <v>8.9171408952922331</v>
      </c>
      <c r="Y65" s="642">
        <v>0</v>
      </c>
      <c r="Z65" s="642">
        <v>0</v>
      </c>
      <c r="AA65" s="642">
        <v>0</v>
      </c>
      <c r="AB65" s="642">
        <v>0</v>
      </c>
      <c r="AC65" s="642">
        <v>0</v>
      </c>
      <c r="AD65" s="642">
        <v>0</v>
      </c>
      <c r="AE65" s="642">
        <v>0</v>
      </c>
      <c r="AF65" s="642">
        <v>0</v>
      </c>
      <c r="AG65" s="642">
        <v>0</v>
      </c>
      <c r="AH65" s="642">
        <v>0</v>
      </c>
      <c r="AI65" s="642">
        <v>0</v>
      </c>
      <c r="AJ65" s="642">
        <v>0</v>
      </c>
      <c r="AK65" s="650">
        <v>3.4995545373397139</v>
      </c>
    </row>
    <row r="66" spans="3:37" ht="13.5">
      <c r="C66" s="648" t="s">
        <v>75</v>
      </c>
      <c r="D66" s="642">
        <v>11.109900156250001</v>
      </c>
      <c r="E66" s="642">
        <v>0</v>
      </c>
      <c r="F66" s="642">
        <v>17.0641175716937</v>
      </c>
      <c r="G66" s="642">
        <v>4.8692961376638904</v>
      </c>
      <c r="H66" s="642">
        <v>0</v>
      </c>
      <c r="I66" s="642">
        <v>0</v>
      </c>
      <c r="J66" s="642">
        <v>0</v>
      </c>
      <c r="K66" s="642">
        <v>0</v>
      </c>
      <c r="L66" s="642">
        <v>0</v>
      </c>
      <c r="M66" s="642">
        <v>9.9373390564569189E-2</v>
      </c>
      <c r="N66" s="642">
        <v>0</v>
      </c>
      <c r="O66" s="642">
        <v>0</v>
      </c>
      <c r="P66" s="642">
        <v>27.977940148174714</v>
      </c>
      <c r="Q66" s="642">
        <v>0</v>
      </c>
      <c r="R66" s="642">
        <v>0</v>
      </c>
      <c r="S66" s="650">
        <v>61.12062740434687</v>
      </c>
      <c r="U66" s="648" t="s">
        <v>75</v>
      </c>
      <c r="V66" s="642">
        <v>2.585423095703125</v>
      </c>
      <c r="W66" s="642">
        <v>0</v>
      </c>
      <c r="X66" s="642">
        <v>17.0641175716937</v>
      </c>
      <c r="Y66" s="642">
        <v>2.4843347641142297</v>
      </c>
      <c r="Z66" s="642">
        <v>0</v>
      </c>
      <c r="AA66" s="642">
        <v>0</v>
      </c>
      <c r="AB66" s="642">
        <v>0</v>
      </c>
      <c r="AC66" s="642">
        <v>0</v>
      </c>
      <c r="AD66" s="642">
        <v>0</v>
      </c>
      <c r="AE66" s="642">
        <v>2.4843347641142297</v>
      </c>
      <c r="AF66" s="642">
        <v>0</v>
      </c>
      <c r="AG66" s="642">
        <v>0</v>
      </c>
      <c r="AH66" s="642">
        <v>36.559985602720168</v>
      </c>
      <c r="AI66" s="642">
        <v>0</v>
      </c>
      <c r="AJ66" s="642">
        <v>0</v>
      </c>
      <c r="AK66" s="650">
        <v>61.178195798345449</v>
      </c>
    </row>
    <row r="67" spans="3:37" ht="13.5">
      <c r="C67" s="648" t="s">
        <v>76</v>
      </c>
      <c r="D67" s="642">
        <v>0</v>
      </c>
      <c r="E67" s="642">
        <v>0</v>
      </c>
      <c r="F67" s="642">
        <v>0</v>
      </c>
      <c r="G67" s="642">
        <v>3.7302503173667452</v>
      </c>
      <c r="H67" s="642">
        <v>0</v>
      </c>
      <c r="I67" s="642">
        <v>0</v>
      </c>
      <c r="J67" s="642">
        <v>0</v>
      </c>
      <c r="K67" s="642">
        <v>0</v>
      </c>
      <c r="L67" s="642">
        <v>0</v>
      </c>
      <c r="M67" s="642">
        <v>7.6127557497280507E-2</v>
      </c>
      <c r="N67" s="642">
        <v>0</v>
      </c>
      <c r="O67" s="642">
        <v>0</v>
      </c>
      <c r="P67" s="642">
        <v>45.919010237367587</v>
      </c>
      <c r="Q67" s="642">
        <v>2.9343505562312622</v>
      </c>
      <c r="R67" s="642">
        <v>0</v>
      </c>
      <c r="S67" s="650">
        <v>52.659738668462872</v>
      </c>
      <c r="U67" s="648" t="s">
        <v>76</v>
      </c>
      <c r="V67" s="642">
        <v>0</v>
      </c>
      <c r="W67" s="642">
        <v>0</v>
      </c>
      <c r="X67" s="642">
        <v>0</v>
      </c>
      <c r="Y67" s="642">
        <v>0.95944671778813329</v>
      </c>
      <c r="Z67" s="642">
        <v>0</v>
      </c>
      <c r="AA67" s="642">
        <v>0</v>
      </c>
      <c r="AB67" s="642">
        <v>0</v>
      </c>
      <c r="AC67" s="642">
        <v>0</v>
      </c>
      <c r="AD67" s="642">
        <v>0</v>
      </c>
      <c r="AE67" s="642">
        <v>0.95944671778813329</v>
      </c>
      <c r="AF67" s="642">
        <v>0</v>
      </c>
      <c r="AG67" s="642">
        <v>0</v>
      </c>
      <c r="AH67" s="642">
        <v>49.138117436745475</v>
      </c>
      <c r="AI67" s="642">
        <v>5.7424951548403769</v>
      </c>
      <c r="AJ67" s="642">
        <v>0</v>
      </c>
      <c r="AK67" s="650">
        <v>56.799506027162117</v>
      </c>
    </row>
    <row r="68" spans="3:37" ht="13.5">
      <c r="C68" s="646" t="s">
        <v>77</v>
      </c>
      <c r="D68" s="647">
        <v>42.505000484775252</v>
      </c>
      <c r="E68" s="647">
        <v>484.495467583368</v>
      </c>
      <c r="F68" s="647">
        <v>-449.13421563675462</v>
      </c>
      <c r="G68" s="647">
        <v>47.207234809306371</v>
      </c>
      <c r="H68" s="647">
        <v>843.18181818181824</v>
      </c>
      <c r="I68" s="647">
        <v>306.94588327561422</v>
      </c>
      <c r="J68" s="647">
        <v>75.087544766016393</v>
      </c>
      <c r="K68" s="647">
        <v>18.554763704158422</v>
      </c>
      <c r="L68" s="647">
        <v>-23.523971773378101</v>
      </c>
      <c r="M68" s="647">
        <v>-5.3154503193453246</v>
      </c>
      <c r="N68" s="647">
        <v>0</v>
      </c>
      <c r="O68" s="647">
        <v>9.1176200722123912</v>
      </c>
      <c r="P68" s="647">
        <v>-542.13274839202359</v>
      </c>
      <c r="Q68" s="647">
        <v>-34.870731395116664</v>
      </c>
      <c r="R68" s="647">
        <v>-5.7492063580491291</v>
      </c>
      <c r="S68" s="647">
        <v>766.36900900260184</v>
      </c>
      <c r="U68" s="646" t="s">
        <v>77</v>
      </c>
      <c r="V68" s="647">
        <v>4.6118455145895494</v>
      </c>
      <c r="W68" s="647">
        <v>189.94114801549574</v>
      </c>
      <c r="X68" s="647">
        <v>-164.75055368632826</v>
      </c>
      <c r="Y68" s="647">
        <v>14.771936460533603</v>
      </c>
      <c r="Z68" s="647">
        <v>842.12121212121212</v>
      </c>
      <c r="AA68" s="647">
        <v>361.66588327561419</v>
      </c>
      <c r="AB68" s="647">
        <v>138.19810981289308</v>
      </c>
      <c r="AC68" s="647">
        <v>31.958068806629939</v>
      </c>
      <c r="AD68" s="647">
        <v>-114.15604749086444</v>
      </c>
      <c r="AE68" s="647">
        <v>-66.000175998632287</v>
      </c>
      <c r="AF68" s="647">
        <v>0</v>
      </c>
      <c r="AG68" s="647">
        <v>19.568792039795159</v>
      </c>
      <c r="AH68" s="647">
        <v>-532.33908982989124</v>
      </c>
      <c r="AI68" s="647">
        <v>-68.301024235701377</v>
      </c>
      <c r="AJ68" s="647">
        <v>-31.04291921337316</v>
      </c>
      <c r="AK68" s="647">
        <v>626.24718559197242</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4.6398193944555786</v>
      </c>
      <c r="E70" s="642">
        <v>0</v>
      </c>
      <c r="F70" s="642">
        <v>20.598782441852151</v>
      </c>
      <c r="G70" s="642">
        <v>94.839699954986926</v>
      </c>
      <c r="H70" s="642">
        <v>0</v>
      </c>
      <c r="I70" s="642">
        <v>0</v>
      </c>
      <c r="J70" s="642">
        <v>21.821162214793436</v>
      </c>
      <c r="K70" s="642">
        <v>1.7366010173968038</v>
      </c>
      <c r="L70" s="642">
        <v>0.96096945898437491</v>
      </c>
      <c r="M70" s="642">
        <v>1.9539169420126139</v>
      </c>
      <c r="N70" s="642">
        <v>0</v>
      </c>
      <c r="O70" s="642">
        <v>3.7537634069694789E-4</v>
      </c>
      <c r="P70" s="642">
        <v>113.419965125608</v>
      </c>
      <c r="Q70" s="642">
        <v>16.150451210263412</v>
      </c>
      <c r="R70" s="642">
        <v>0.26695886230468752</v>
      </c>
      <c r="S70" s="650">
        <v>276.38870199899873</v>
      </c>
      <c r="U70" s="648" t="s">
        <v>78</v>
      </c>
      <c r="V70" s="642">
        <v>1.264986561669641</v>
      </c>
      <c r="W70" s="642">
        <v>0</v>
      </c>
      <c r="X70" s="642">
        <v>4.4259635061357878</v>
      </c>
      <c r="Y70" s="642">
        <v>33.008089674756327</v>
      </c>
      <c r="Z70" s="642">
        <v>0</v>
      </c>
      <c r="AA70" s="642">
        <v>0</v>
      </c>
      <c r="AB70" s="642">
        <v>14.926911405045434</v>
      </c>
      <c r="AC70" s="642">
        <v>4.7591564459641997</v>
      </c>
      <c r="AD70" s="642">
        <v>6.4130046386718744</v>
      </c>
      <c r="AE70" s="642">
        <v>33.02650253605492</v>
      </c>
      <c r="AF70" s="642">
        <v>0</v>
      </c>
      <c r="AG70" s="642">
        <v>3.7537634069694789E-4</v>
      </c>
      <c r="AH70" s="642">
        <v>148.98135712801343</v>
      </c>
      <c r="AI70" s="642">
        <v>24.187634778338289</v>
      </c>
      <c r="AJ70" s="642">
        <v>7.9027373046875002</v>
      </c>
      <c r="AK70" s="650">
        <v>278.8967193556781</v>
      </c>
    </row>
    <row r="71" spans="3:37" ht="13.5">
      <c r="C71" s="648" t="s">
        <v>79</v>
      </c>
      <c r="D71" s="642">
        <v>0</v>
      </c>
      <c r="E71" s="642">
        <v>0</v>
      </c>
      <c r="F71" s="642">
        <v>225.72324837131151</v>
      </c>
      <c r="G71" s="642">
        <v>31.930807664827714</v>
      </c>
      <c r="H71" s="642">
        <v>0</v>
      </c>
      <c r="I71" s="642">
        <v>0</v>
      </c>
      <c r="J71" s="642">
        <v>0</v>
      </c>
      <c r="K71" s="642">
        <v>0</v>
      </c>
      <c r="L71" s="642">
        <v>21.777356740546686</v>
      </c>
      <c r="M71" s="642">
        <v>0.65164913601689212</v>
      </c>
      <c r="N71" s="642">
        <v>0</v>
      </c>
      <c r="O71" s="642">
        <v>0</v>
      </c>
      <c r="P71" s="642">
        <v>72.885841088882287</v>
      </c>
      <c r="Q71" s="642">
        <v>0</v>
      </c>
      <c r="R71" s="642">
        <v>2.6521266956987635</v>
      </c>
      <c r="S71" s="650">
        <v>355.62102969728386</v>
      </c>
      <c r="U71" s="648" t="s">
        <v>79</v>
      </c>
      <c r="V71" s="642">
        <v>0</v>
      </c>
      <c r="W71" s="642">
        <v>0</v>
      </c>
      <c r="X71" s="642">
        <v>19.003305935487372</v>
      </c>
      <c r="Y71" s="642">
        <v>13.267062862305856</v>
      </c>
      <c r="Z71" s="642">
        <v>0</v>
      </c>
      <c r="AA71" s="642">
        <v>0</v>
      </c>
      <c r="AB71" s="642">
        <v>0</v>
      </c>
      <c r="AC71" s="642">
        <v>0</v>
      </c>
      <c r="AD71" s="642">
        <v>27.757428454399612</v>
      </c>
      <c r="AE71" s="642">
        <v>13.267062862305856</v>
      </c>
      <c r="AF71" s="642">
        <v>0</v>
      </c>
      <c r="AG71" s="642">
        <v>0</v>
      </c>
      <c r="AH71" s="642">
        <v>94.556676700547257</v>
      </c>
      <c r="AI71" s="642">
        <v>0</v>
      </c>
      <c r="AJ71" s="642">
        <v>6.3130917169295051</v>
      </c>
      <c r="AK71" s="650">
        <v>174.16462853197544</v>
      </c>
    </row>
    <row r="72" spans="3:37" ht="13.5">
      <c r="C72" s="648" t="s">
        <v>80</v>
      </c>
      <c r="D72" s="642">
        <v>0</v>
      </c>
      <c r="E72" s="642">
        <v>0</v>
      </c>
      <c r="F72" s="642">
        <v>11.075929176351762</v>
      </c>
      <c r="G72" s="642">
        <v>76.664751333295058</v>
      </c>
      <c r="H72" s="642">
        <v>0</v>
      </c>
      <c r="I72" s="642">
        <v>0</v>
      </c>
      <c r="J72" s="642">
        <v>88.320247059496523</v>
      </c>
      <c r="K72" s="642">
        <v>0</v>
      </c>
      <c r="L72" s="642">
        <v>0</v>
      </c>
      <c r="M72" s="642">
        <v>1.5645867619039808</v>
      </c>
      <c r="N72" s="642">
        <v>59.616390446150973</v>
      </c>
      <c r="O72" s="642">
        <v>2.0734984243972754</v>
      </c>
      <c r="P72" s="642">
        <v>190.93239321884863</v>
      </c>
      <c r="Q72" s="642">
        <v>15.360003531773184</v>
      </c>
      <c r="R72" s="642">
        <v>0</v>
      </c>
      <c r="S72" s="650">
        <v>445.60779995221742</v>
      </c>
      <c r="U72" s="648" t="s">
        <v>80</v>
      </c>
      <c r="V72" s="642">
        <v>0</v>
      </c>
      <c r="W72" s="642">
        <v>0</v>
      </c>
      <c r="X72" s="642">
        <v>0.97925934500211753</v>
      </c>
      <c r="Y72" s="642">
        <v>9.8253088649292142</v>
      </c>
      <c r="Z72" s="642">
        <v>0</v>
      </c>
      <c r="AA72" s="642">
        <v>0</v>
      </c>
      <c r="AB72" s="642">
        <v>50.204880630535357</v>
      </c>
      <c r="AC72" s="642">
        <v>0</v>
      </c>
      <c r="AD72" s="642">
        <v>0</v>
      </c>
      <c r="AE72" s="642">
        <v>9.8253088649292142</v>
      </c>
      <c r="AF72" s="642">
        <v>95.02342184325245</v>
      </c>
      <c r="AG72" s="642">
        <v>4.208312775429496</v>
      </c>
      <c r="AH72" s="642">
        <v>144.38732956018927</v>
      </c>
      <c r="AI72" s="642">
        <v>30.75075127630511</v>
      </c>
      <c r="AJ72" s="642">
        <v>0</v>
      </c>
      <c r="AK72" s="650">
        <v>345.20457316057224</v>
      </c>
    </row>
    <row r="73" spans="3:37" ht="13.5">
      <c r="C73" s="648" t="s">
        <v>81</v>
      </c>
      <c r="D73" s="642">
        <v>0</v>
      </c>
      <c r="E73" s="642">
        <v>0</v>
      </c>
      <c r="F73" s="642">
        <v>2.6743117433405894</v>
      </c>
      <c r="G73" s="642">
        <v>62.987223173923248</v>
      </c>
      <c r="H73" s="642">
        <v>0</v>
      </c>
      <c r="I73" s="642">
        <v>0</v>
      </c>
      <c r="J73" s="642">
        <v>3.1384766478070549</v>
      </c>
      <c r="K73" s="642">
        <v>2.5274117631643136E-2</v>
      </c>
      <c r="L73" s="642">
        <v>0</v>
      </c>
      <c r="M73" s="642">
        <v>1.2854535341616988</v>
      </c>
      <c r="N73" s="642">
        <v>8.34801759276524</v>
      </c>
      <c r="O73" s="642">
        <v>0.71507622546549865</v>
      </c>
      <c r="P73" s="642">
        <v>142.0321146826426</v>
      </c>
      <c r="Q73" s="642">
        <v>3.3602766530800707</v>
      </c>
      <c r="R73" s="642">
        <v>0</v>
      </c>
      <c r="S73" s="650">
        <v>224.56622437081765</v>
      </c>
      <c r="U73" s="648" t="s">
        <v>81</v>
      </c>
      <c r="V73" s="642">
        <v>0</v>
      </c>
      <c r="W73" s="642">
        <v>0</v>
      </c>
      <c r="X73" s="642">
        <v>1.2256055704751125</v>
      </c>
      <c r="Y73" s="642">
        <v>7.2918833253665882</v>
      </c>
      <c r="Z73" s="642">
        <v>0</v>
      </c>
      <c r="AA73" s="642">
        <v>0</v>
      </c>
      <c r="AB73" s="642">
        <v>6.8658928642747856</v>
      </c>
      <c r="AC73" s="642">
        <v>2.5274117631643136E-2</v>
      </c>
      <c r="AD73" s="642">
        <v>0</v>
      </c>
      <c r="AE73" s="642">
        <v>7.2918833253665882</v>
      </c>
      <c r="AF73" s="642">
        <v>14.828462979838848</v>
      </c>
      <c r="AG73" s="642">
        <v>1.5197231438340593</v>
      </c>
      <c r="AH73" s="642">
        <v>114.40426288608282</v>
      </c>
      <c r="AI73" s="642">
        <v>13.362638181057982</v>
      </c>
      <c r="AJ73" s="642">
        <v>0</v>
      </c>
      <c r="AK73" s="650">
        <v>166.8156263939284</v>
      </c>
    </row>
    <row r="74" spans="3:37" ht="13.5">
      <c r="C74" s="648" t="s">
        <v>82</v>
      </c>
      <c r="D74" s="642">
        <v>0</v>
      </c>
      <c r="E74" s="642">
        <v>0</v>
      </c>
      <c r="F74" s="642">
        <v>27.931723909553636</v>
      </c>
      <c r="G74" s="642">
        <v>0.95472649492283324</v>
      </c>
      <c r="H74" s="642">
        <v>0</v>
      </c>
      <c r="I74" s="642">
        <v>0</v>
      </c>
      <c r="J74" s="642">
        <v>4.6306119511950978</v>
      </c>
      <c r="K74" s="642">
        <v>0</v>
      </c>
      <c r="L74" s="642">
        <v>3.1934862443619529</v>
      </c>
      <c r="M74" s="642">
        <v>1.9484214182098638E-2</v>
      </c>
      <c r="N74" s="642">
        <v>0</v>
      </c>
      <c r="O74" s="642">
        <v>6.6456137421005312E-2</v>
      </c>
      <c r="P74" s="642">
        <v>5.7660712732306445</v>
      </c>
      <c r="Q74" s="642">
        <v>0</v>
      </c>
      <c r="R74" s="642">
        <v>0</v>
      </c>
      <c r="S74" s="650">
        <v>42.562560224867276</v>
      </c>
      <c r="U74" s="648" t="s">
        <v>82</v>
      </c>
      <c r="V74" s="642">
        <v>0</v>
      </c>
      <c r="W74" s="642">
        <v>0</v>
      </c>
      <c r="X74" s="642">
        <v>3.5775053425595864</v>
      </c>
      <c r="Y74" s="642">
        <v>0.56393102033742082</v>
      </c>
      <c r="Z74" s="642">
        <v>0</v>
      </c>
      <c r="AA74" s="642">
        <v>0</v>
      </c>
      <c r="AB74" s="642">
        <v>4.6306119511950978</v>
      </c>
      <c r="AC74" s="642">
        <v>0</v>
      </c>
      <c r="AD74" s="642">
        <v>32.861113305842508</v>
      </c>
      <c r="AE74" s="642">
        <v>0.56393102033742082</v>
      </c>
      <c r="AF74" s="642">
        <v>0</v>
      </c>
      <c r="AG74" s="642">
        <v>1.7440136932478227</v>
      </c>
      <c r="AH74" s="642">
        <v>5.8866318405152116</v>
      </c>
      <c r="AI74" s="642">
        <v>0</v>
      </c>
      <c r="AJ74" s="642">
        <v>0.38427420359697795</v>
      </c>
      <c r="AK74" s="650">
        <v>50.21201237763205</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0.39</v>
      </c>
      <c r="Q75" s="642">
        <v>0</v>
      </c>
      <c r="R75" s="642">
        <v>0</v>
      </c>
      <c r="S75" s="650">
        <v>0.39</v>
      </c>
      <c r="U75" s="648" t="s">
        <v>357</v>
      </c>
      <c r="V75" s="642">
        <v>0</v>
      </c>
      <c r="W75" s="642">
        <v>0</v>
      </c>
      <c r="X75" s="642">
        <v>0</v>
      </c>
      <c r="Y75" s="642">
        <v>0</v>
      </c>
      <c r="Z75" s="642">
        <v>0</v>
      </c>
      <c r="AA75" s="642">
        <v>0</v>
      </c>
      <c r="AB75" s="642">
        <v>0</v>
      </c>
      <c r="AC75" s="642">
        <v>0</v>
      </c>
      <c r="AD75" s="642">
        <v>0</v>
      </c>
      <c r="AE75" s="642">
        <v>0</v>
      </c>
      <c r="AF75" s="642">
        <v>0</v>
      </c>
      <c r="AG75" s="642">
        <v>0</v>
      </c>
      <c r="AH75" s="642">
        <v>3.5999999999999996</v>
      </c>
      <c r="AI75" s="642">
        <v>0</v>
      </c>
      <c r="AJ75" s="642">
        <v>0</v>
      </c>
      <c r="AK75" s="650">
        <v>3.5999999999999996</v>
      </c>
    </row>
    <row r="76" spans="3:37" ht="13.5">
      <c r="C76" s="646" t="s">
        <v>83</v>
      </c>
      <c r="D76" s="647">
        <v>4.6398193944555786</v>
      </c>
      <c r="E76" s="647">
        <v>0</v>
      </c>
      <c r="F76" s="647">
        <v>288.00399564240968</v>
      </c>
      <c r="G76" s="647">
        <v>267.37720862195579</v>
      </c>
      <c r="H76" s="647">
        <v>0</v>
      </c>
      <c r="I76" s="647">
        <v>0</v>
      </c>
      <c r="J76" s="647">
        <v>117.91049787329212</v>
      </c>
      <c r="K76" s="647">
        <v>1.7618751350284469</v>
      </c>
      <c r="L76" s="647">
        <v>25.931812443893016</v>
      </c>
      <c r="M76" s="647">
        <v>5.4750905882772853</v>
      </c>
      <c r="N76" s="647">
        <v>67.964408038916218</v>
      </c>
      <c r="O76" s="647">
        <v>2.8554061636244761</v>
      </c>
      <c r="P76" s="647">
        <v>525.4263853892121</v>
      </c>
      <c r="Q76" s="647">
        <v>34.870731395116664</v>
      </c>
      <c r="R76" s="647">
        <v>2.9190855580034509</v>
      </c>
      <c r="S76" s="647">
        <v>1345.1363162441851</v>
      </c>
      <c r="U76" s="646" t="s">
        <v>83</v>
      </c>
      <c r="V76" s="647">
        <v>1.264986561669641</v>
      </c>
      <c r="W76" s="647">
        <v>0</v>
      </c>
      <c r="X76" s="647">
        <v>29.211639699659976</v>
      </c>
      <c r="Y76" s="647">
        <v>63.956275747695408</v>
      </c>
      <c r="Z76" s="647">
        <v>0</v>
      </c>
      <c r="AA76" s="647">
        <v>0</v>
      </c>
      <c r="AB76" s="647">
        <v>76.628296851050663</v>
      </c>
      <c r="AC76" s="647">
        <v>4.7844305635958433</v>
      </c>
      <c r="AD76" s="647">
        <v>67.031546398914003</v>
      </c>
      <c r="AE76" s="647">
        <v>63.974688608994001</v>
      </c>
      <c r="AF76" s="647">
        <v>109.8518848230913</v>
      </c>
      <c r="AG76" s="647">
        <v>7.4724249888520751</v>
      </c>
      <c r="AH76" s="647">
        <v>511.81625811534803</v>
      </c>
      <c r="AI76" s="647">
        <v>68.301024235701377</v>
      </c>
      <c r="AJ76" s="647">
        <v>14.600103225213982</v>
      </c>
      <c r="AK76" s="647">
        <v>1018.8935598197862</v>
      </c>
    </row>
    <row r="77" spans="3:37" ht="13.5">
      <c r="C77" s="641" t="s">
        <v>84</v>
      </c>
      <c r="D77" s="642">
        <v>0</v>
      </c>
      <c r="E77" s="642">
        <v>0</v>
      </c>
      <c r="F77" s="642">
        <v>104.91003257681685</v>
      </c>
      <c r="G77" s="642">
        <v>11.505661507854215</v>
      </c>
      <c r="H77" s="642">
        <v>0</v>
      </c>
      <c r="I77" s="642">
        <v>0</v>
      </c>
      <c r="J77" s="642">
        <v>0</v>
      </c>
      <c r="K77" s="642">
        <v>0</v>
      </c>
      <c r="L77" s="642">
        <v>0</v>
      </c>
      <c r="M77" s="642">
        <v>0</v>
      </c>
      <c r="N77" s="642">
        <v>0</v>
      </c>
      <c r="O77" s="642">
        <v>0</v>
      </c>
      <c r="P77" s="642">
        <v>0</v>
      </c>
      <c r="Q77" s="642">
        <v>0</v>
      </c>
      <c r="R77" s="642">
        <v>2.8301208000456781</v>
      </c>
      <c r="S77" s="650">
        <v>119.24581488471674</v>
      </c>
      <c r="U77" s="641" t="s">
        <v>84</v>
      </c>
      <c r="V77" s="642">
        <v>0</v>
      </c>
      <c r="W77" s="642">
        <v>0</v>
      </c>
      <c r="X77" s="642">
        <v>70.401025384734808</v>
      </c>
      <c r="Y77" s="642">
        <v>0.81519182748409058</v>
      </c>
      <c r="Z77" s="642">
        <v>0</v>
      </c>
      <c r="AA77" s="642">
        <v>0</v>
      </c>
      <c r="AB77" s="642">
        <v>0</v>
      </c>
      <c r="AC77" s="642">
        <v>0</v>
      </c>
      <c r="AD77" s="642">
        <v>24.563190847778323</v>
      </c>
      <c r="AE77" s="642">
        <v>0</v>
      </c>
      <c r="AF77" s="642">
        <v>0</v>
      </c>
      <c r="AG77" s="642">
        <v>0</v>
      </c>
      <c r="AH77" s="642">
        <v>0</v>
      </c>
      <c r="AI77" s="642">
        <v>0</v>
      </c>
      <c r="AJ77" s="642">
        <v>16.442815988159179</v>
      </c>
      <c r="AK77" s="650">
        <v>112.22222404815641</v>
      </c>
    </row>
    <row r="78" spans="3:37" ht="13.5">
      <c r="C78" s="646" t="s">
        <v>85</v>
      </c>
      <c r="D78" s="647">
        <v>4.6398193944555786</v>
      </c>
      <c r="E78" s="647">
        <v>0</v>
      </c>
      <c r="F78" s="647">
        <v>392.91402821922651</v>
      </c>
      <c r="G78" s="647">
        <v>278.88287012980999</v>
      </c>
      <c r="H78" s="647">
        <v>0</v>
      </c>
      <c r="I78" s="647">
        <v>0</v>
      </c>
      <c r="J78" s="647">
        <v>117.91049787329212</v>
      </c>
      <c r="K78" s="647">
        <v>1.7618751350284469</v>
      </c>
      <c r="L78" s="647">
        <v>25.931812443893016</v>
      </c>
      <c r="M78" s="647">
        <v>5.4750905882772853</v>
      </c>
      <c r="N78" s="647">
        <v>67.964408038916218</v>
      </c>
      <c r="O78" s="647">
        <v>2.8554061636244761</v>
      </c>
      <c r="P78" s="647">
        <v>525.4263853892121</v>
      </c>
      <c r="Q78" s="647">
        <v>34.870731395116664</v>
      </c>
      <c r="R78" s="647">
        <v>5.7492063580491291</v>
      </c>
      <c r="S78" s="647">
        <v>1464.3821311289018</v>
      </c>
      <c r="U78" s="646" t="s">
        <v>85</v>
      </c>
      <c r="V78" s="647">
        <v>1.264986561669641</v>
      </c>
      <c r="W78" s="647">
        <v>0</v>
      </c>
      <c r="X78" s="647">
        <v>99.612665084394791</v>
      </c>
      <c r="Y78" s="647">
        <v>64.7714675751795</v>
      </c>
      <c r="Z78" s="647">
        <v>0</v>
      </c>
      <c r="AA78" s="647">
        <v>0</v>
      </c>
      <c r="AB78" s="647">
        <v>76.628296851050663</v>
      </c>
      <c r="AC78" s="647">
        <v>4.7844305635958433</v>
      </c>
      <c r="AD78" s="647">
        <v>91.594737246692318</v>
      </c>
      <c r="AE78" s="647">
        <v>63.974688608994001</v>
      </c>
      <c r="AF78" s="647">
        <v>109.8518848230913</v>
      </c>
      <c r="AG78" s="647">
        <v>7.4724249888520751</v>
      </c>
      <c r="AH78" s="647">
        <v>511.81625811534803</v>
      </c>
      <c r="AI78" s="647">
        <v>68.301024235701377</v>
      </c>
      <c r="AJ78" s="647">
        <v>31.04291921337316</v>
      </c>
      <c r="AK78" s="647">
        <v>1131.1157838679426</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22.5">
      <c r="C80" s="699" t="s">
        <v>89</v>
      </c>
      <c r="D80" s="699"/>
      <c r="E80" s="699"/>
      <c r="F80" s="699"/>
      <c r="G80" s="699"/>
      <c r="H80" s="699"/>
      <c r="I80" s="699"/>
      <c r="J80" s="699"/>
      <c r="K80" s="699"/>
      <c r="L80" s="699"/>
      <c r="M80" s="699"/>
      <c r="N80" s="699"/>
      <c r="O80" s="699"/>
      <c r="P80" s="699"/>
      <c r="Q80" s="699"/>
      <c r="R80" s="699"/>
      <c r="S80" s="699"/>
      <c r="U80" s="699" t="s">
        <v>89</v>
      </c>
      <c r="V80" s="699"/>
      <c r="W80" s="699"/>
      <c r="X80" s="699"/>
      <c r="Y80" s="699"/>
      <c r="Z80" s="699"/>
      <c r="AA80" s="699"/>
      <c r="AB80" s="699"/>
      <c r="AC80" s="699"/>
      <c r="AD80" s="699"/>
      <c r="AE80" s="699"/>
      <c r="AF80" s="699"/>
      <c r="AG80" s="699"/>
      <c r="AH80" s="699"/>
      <c r="AI80" s="699"/>
      <c r="AJ80" s="699"/>
      <c r="AK80" s="699"/>
    </row>
    <row r="81" spans="3:37" ht="13">
      <c r="C81" s="636"/>
      <c r="D81" s="636"/>
      <c r="E81" s="636"/>
      <c r="F81" s="636"/>
      <c r="G81" s="636"/>
      <c r="H81" s="636"/>
      <c r="I81" s="636"/>
      <c r="J81" s="636"/>
      <c r="K81" s="636"/>
      <c r="L81" s="636"/>
      <c r="M81" s="636"/>
      <c r="N81" s="636"/>
      <c r="O81" s="636"/>
      <c r="P81" s="636"/>
      <c r="Q81" s="636"/>
      <c r="R81" s="636"/>
      <c r="S81" s="636"/>
      <c r="U81" s="636"/>
      <c r="V81" s="636"/>
      <c r="W81" s="636"/>
      <c r="X81" s="636"/>
      <c r="Y81" s="636"/>
      <c r="Z81" s="636"/>
      <c r="AA81" s="636"/>
      <c r="AB81" s="636"/>
      <c r="AC81" s="636"/>
      <c r="AD81" s="636"/>
      <c r="AE81" s="636"/>
      <c r="AF81" s="636"/>
      <c r="AG81" s="636"/>
      <c r="AH81" s="636"/>
      <c r="AI81" s="636"/>
      <c r="AJ81" s="636"/>
      <c r="AK81" s="636"/>
    </row>
    <row r="82" spans="3:37" ht="13" customHeight="1">
      <c r="C82" s="700" t="s">
        <v>128</v>
      </c>
      <c r="D82" s="701" t="s">
        <v>42</v>
      </c>
      <c r="E82" s="701" t="s">
        <v>52</v>
      </c>
      <c r="F82" s="701" t="s">
        <v>53</v>
      </c>
      <c r="G82" s="701" t="s">
        <v>32</v>
      </c>
      <c r="H82" s="701" t="s">
        <v>20</v>
      </c>
      <c r="I82" s="701" t="s">
        <v>55</v>
      </c>
      <c r="J82" s="701" t="s">
        <v>56</v>
      </c>
      <c r="K82" s="701"/>
      <c r="L82" s="701"/>
      <c r="M82" s="701"/>
      <c r="N82" s="701"/>
      <c r="O82" s="701"/>
      <c r="P82" s="701" t="s">
        <v>57</v>
      </c>
      <c r="Q82" s="701" t="s">
        <v>58</v>
      </c>
      <c r="R82" s="701" t="s">
        <v>31</v>
      </c>
      <c r="S82" s="701" t="s">
        <v>10</v>
      </c>
      <c r="U82" s="700" t="s">
        <v>128</v>
      </c>
      <c r="V82" s="701" t="s">
        <v>42</v>
      </c>
      <c r="W82" s="701" t="s">
        <v>52</v>
      </c>
      <c r="X82" s="701" t="s">
        <v>53</v>
      </c>
      <c r="Y82" s="701" t="s">
        <v>32</v>
      </c>
      <c r="Z82" s="701" t="s">
        <v>20</v>
      </c>
      <c r="AA82" s="701" t="s">
        <v>55</v>
      </c>
      <c r="AB82" s="701" t="s">
        <v>56</v>
      </c>
      <c r="AC82" s="701"/>
      <c r="AD82" s="701"/>
      <c r="AE82" s="701"/>
      <c r="AF82" s="701"/>
      <c r="AG82" s="701"/>
      <c r="AH82" s="701" t="s">
        <v>57</v>
      </c>
      <c r="AI82" s="701" t="s">
        <v>58</v>
      </c>
      <c r="AJ82" s="701" t="s">
        <v>31</v>
      </c>
      <c r="AK82" s="701" t="s">
        <v>10</v>
      </c>
    </row>
    <row r="83" spans="3:37" ht="46">
      <c r="C83" s="700"/>
      <c r="D83" s="701"/>
      <c r="E83" s="701"/>
      <c r="F83" s="701"/>
      <c r="G83" s="701"/>
      <c r="H83" s="701"/>
      <c r="I83" s="701"/>
      <c r="J83" s="640" t="s">
        <v>338</v>
      </c>
      <c r="K83" s="640" t="s">
        <v>40</v>
      </c>
      <c r="L83" s="640" t="s">
        <v>346</v>
      </c>
      <c r="M83" s="640" t="s">
        <v>347</v>
      </c>
      <c r="N83" s="640" t="s">
        <v>348</v>
      </c>
      <c r="O83" s="640" t="s">
        <v>349</v>
      </c>
      <c r="P83" s="701"/>
      <c r="Q83" s="701"/>
      <c r="R83" s="701"/>
      <c r="S83" s="701"/>
      <c r="U83" s="700"/>
      <c r="V83" s="701"/>
      <c r="W83" s="701"/>
      <c r="X83" s="701"/>
      <c r="Y83" s="701"/>
      <c r="Z83" s="701"/>
      <c r="AA83" s="701"/>
      <c r="AB83" s="640" t="s">
        <v>338</v>
      </c>
      <c r="AC83" s="640" t="s">
        <v>40</v>
      </c>
      <c r="AD83" s="640" t="s">
        <v>346</v>
      </c>
      <c r="AE83" s="640" t="s">
        <v>347</v>
      </c>
      <c r="AF83" s="640" t="s">
        <v>348</v>
      </c>
      <c r="AG83" s="640" t="s">
        <v>349</v>
      </c>
      <c r="AH83" s="701"/>
      <c r="AI83" s="701"/>
      <c r="AJ83" s="701"/>
      <c r="AK83" s="701"/>
    </row>
    <row r="84" spans="3:37" ht="13.5">
      <c r="C84" s="641" t="s">
        <v>59</v>
      </c>
      <c r="D84" s="642">
        <v>0</v>
      </c>
      <c r="E84" s="643">
        <v>0</v>
      </c>
      <c r="F84" s="643">
        <v>0</v>
      </c>
      <c r="G84" s="642">
        <v>0</v>
      </c>
      <c r="H84" s="643">
        <v>727.27272727272737</v>
      </c>
      <c r="I84" s="643">
        <v>338.37995078139568</v>
      </c>
      <c r="J84" s="643">
        <v>185.12606679296266</v>
      </c>
      <c r="K84" s="643">
        <v>19.887492227897642</v>
      </c>
      <c r="L84" s="643">
        <v>0.67629573379861951</v>
      </c>
      <c r="M84" s="643">
        <v>0.16041590589481752</v>
      </c>
      <c r="N84" s="643">
        <v>75.083762899489528</v>
      </c>
      <c r="O84" s="643">
        <v>12.515766779598991</v>
      </c>
      <c r="P84" s="644">
        <v>0</v>
      </c>
      <c r="Q84" s="643">
        <v>0</v>
      </c>
      <c r="R84" s="643">
        <v>0</v>
      </c>
      <c r="S84" s="645">
        <v>1359.1024783937653</v>
      </c>
      <c r="U84" s="641" t="s">
        <v>59</v>
      </c>
      <c r="V84" s="642">
        <v>0</v>
      </c>
      <c r="W84" s="643">
        <v>0</v>
      </c>
      <c r="X84" s="643">
        <v>0</v>
      </c>
      <c r="Y84" s="642">
        <v>0</v>
      </c>
      <c r="Z84" s="643">
        <v>764.84848484848499</v>
      </c>
      <c r="AA84" s="643">
        <v>423.19995078139567</v>
      </c>
      <c r="AB84" s="643">
        <v>256.09062969225096</v>
      </c>
      <c r="AC84" s="643">
        <v>36.108430969743218</v>
      </c>
      <c r="AD84" s="643">
        <v>0.67629573379861951</v>
      </c>
      <c r="AE84" s="643">
        <v>0.16041590589481752</v>
      </c>
      <c r="AF84" s="643">
        <v>123.16818516374138</v>
      </c>
      <c r="AG84" s="643">
        <v>30.250193334526926</v>
      </c>
      <c r="AH84" s="644">
        <v>0</v>
      </c>
      <c r="AI84" s="643">
        <v>0</v>
      </c>
      <c r="AJ84" s="643">
        <v>0</v>
      </c>
      <c r="AK84" s="645">
        <v>1634.5025864298366</v>
      </c>
    </row>
    <row r="85" spans="3:37" ht="13.5">
      <c r="C85" s="641" t="s">
        <v>60</v>
      </c>
      <c r="D85" s="642">
        <v>46.099891323621534</v>
      </c>
      <c r="E85" s="643">
        <v>464.7986487</v>
      </c>
      <c r="F85" s="643">
        <v>48.534128715927544</v>
      </c>
      <c r="G85" s="642">
        <v>345.55093723566335</v>
      </c>
      <c r="H85" s="643">
        <v>0</v>
      </c>
      <c r="I85" s="643">
        <v>0</v>
      </c>
      <c r="J85" s="643">
        <v>5.7213435879484642</v>
      </c>
      <c r="K85" s="643">
        <v>0</v>
      </c>
      <c r="L85" s="643">
        <v>3.0565993326094723</v>
      </c>
      <c r="M85" s="643">
        <v>0</v>
      </c>
      <c r="N85" s="643">
        <v>0</v>
      </c>
      <c r="O85" s="643">
        <v>0</v>
      </c>
      <c r="P85" s="644">
        <v>0</v>
      </c>
      <c r="Q85" s="643">
        <v>0</v>
      </c>
      <c r="R85" s="643">
        <v>0</v>
      </c>
      <c r="S85" s="645">
        <v>913.76154889577037</v>
      </c>
      <c r="U85" s="641" t="s">
        <v>60</v>
      </c>
      <c r="V85" s="642">
        <v>4.5871215860372576</v>
      </c>
      <c r="W85" s="643">
        <v>113.59926767676768</v>
      </c>
      <c r="X85" s="643">
        <v>20.138935454909394</v>
      </c>
      <c r="Y85" s="642">
        <v>0.51452681198611927</v>
      </c>
      <c r="Z85" s="643">
        <v>0</v>
      </c>
      <c r="AA85" s="643">
        <v>0</v>
      </c>
      <c r="AB85" s="643">
        <v>5.7213435879484642</v>
      </c>
      <c r="AC85" s="643">
        <v>0</v>
      </c>
      <c r="AD85" s="643">
        <v>3.0565993326094723</v>
      </c>
      <c r="AE85" s="643">
        <v>0</v>
      </c>
      <c r="AF85" s="643">
        <v>0</v>
      </c>
      <c r="AG85" s="643">
        <v>0</v>
      </c>
      <c r="AH85" s="644">
        <v>0</v>
      </c>
      <c r="AI85" s="643">
        <v>0</v>
      </c>
      <c r="AJ85" s="643">
        <v>0</v>
      </c>
      <c r="AK85" s="645">
        <v>147.6177944502584</v>
      </c>
    </row>
    <row r="86" spans="3:37" ht="13.5">
      <c r="C86" s="641" t="s">
        <v>61</v>
      </c>
      <c r="D86" s="642">
        <v>0</v>
      </c>
      <c r="E86" s="643">
        <v>0</v>
      </c>
      <c r="F86" s="643">
        <v>0</v>
      </c>
      <c r="G86" s="642">
        <v>0</v>
      </c>
      <c r="H86" s="643">
        <v>0</v>
      </c>
      <c r="I86" s="643">
        <v>0</v>
      </c>
      <c r="J86" s="643">
        <v>0</v>
      </c>
      <c r="K86" s="643">
        <v>0</v>
      </c>
      <c r="L86" s="643">
        <v>0</v>
      </c>
      <c r="M86" s="643">
        <v>0</v>
      </c>
      <c r="N86" s="643">
        <v>0</v>
      </c>
      <c r="O86" s="643">
        <v>0</v>
      </c>
      <c r="P86" s="644">
        <v>-12.7985093299136</v>
      </c>
      <c r="Q86" s="643">
        <v>0</v>
      </c>
      <c r="R86" s="643">
        <v>0</v>
      </c>
      <c r="S86" s="645">
        <v>-12.7985093299136</v>
      </c>
      <c r="U86" s="641" t="s">
        <v>61</v>
      </c>
      <c r="V86" s="642">
        <v>0</v>
      </c>
      <c r="W86" s="643">
        <v>0</v>
      </c>
      <c r="X86" s="643">
        <v>0</v>
      </c>
      <c r="Y86" s="642">
        <v>0</v>
      </c>
      <c r="Z86" s="643">
        <v>0</v>
      </c>
      <c r="AA86" s="643">
        <v>0</v>
      </c>
      <c r="AB86" s="643">
        <v>0</v>
      </c>
      <c r="AC86" s="643">
        <v>0</v>
      </c>
      <c r="AD86" s="643">
        <v>0</v>
      </c>
      <c r="AE86" s="643">
        <v>0</v>
      </c>
      <c r="AF86" s="643">
        <v>0</v>
      </c>
      <c r="AG86" s="643">
        <v>0</v>
      </c>
      <c r="AH86" s="644">
        <v>-41.639986107117011</v>
      </c>
      <c r="AI86" s="643">
        <v>0</v>
      </c>
      <c r="AJ86" s="643">
        <v>0</v>
      </c>
      <c r="AK86" s="645">
        <v>-41.639986107117011</v>
      </c>
    </row>
    <row r="87" spans="3:37" ht="13.5">
      <c r="C87" s="641" t="s">
        <v>62</v>
      </c>
      <c r="D87" s="642">
        <v>0</v>
      </c>
      <c r="E87" s="643">
        <v>0</v>
      </c>
      <c r="F87" s="643">
        <v>-14.431507774067331</v>
      </c>
      <c r="G87" s="642">
        <v>0</v>
      </c>
      <c r="H87" s="643">
        <v>0</v>
      </c>
      <c r="I87" s="643">
        <v>0</v>
      </c>
      <c r="J87" s="643">
        <v>0</v>
      </c>
      <c r="K87" s="643">
        <v>0</v>
      </c>
      <c r="L87" s="643">
        <v>0</v>
      </c>
      <c r="M87" s="643">
        <v>0</v>
      </c>
      <c r="N87" s="643">
        <v>0</v>
      </c>
      <c r="O87" s="643">
        <v>0</v>
      </c>
      <c r="P87" s="644">
        <v>0</v>
      </c>
      <c r="Q87" s="643">
        <v>0</v>
      </c>
      <c r="R87" s="643">
        <v>0</v>
      </c>
      <c r="S87" s="645">
        <v>-14.431507774067331</v>
      </c>
      <c r="U87" s="641" t="s">
        <v>62</v>
      </c>
      <c r="V87" s="642">
        <v>0</v>
      </c>
      <c r="W87" s="643">
        <v>0</v>
      </c>
      <c r="X87" s="643">
        <v>-5.3013702027186111</v>
      </c>
      <c r="Y87" s="642">
        <v>0</v>
      </c>
      <c r="Z87" s="643">
        <v>0</v>
      </c>
      <c r="AA87" s="643">
        <v>0</v>
      </c>
      <c r="AB87" s="643">
        <v>0</v>
      </c>
      <c r="AC87" s="643">
        <v>0</v>
      </c>
      <c r="AD87" s="643">
        <v>0</v>
      </c>
      <c r="AE87" s="643">
        <v>-5.1137296191648005</v>
      </c>
      <c r="AF87" s="643">
        <v>0</v>
      </c>
      <c r="AG87" s="643">
        <v>0</v>
      </c>
      <c r="AH87" s="644">
        <v>0</v>
      </c>
      <c r="AI87" s="643">
        <v>0</v>
      </c>
      <c r="AJ87" s="643">
        <v>0</v>
      </c>
      <c r="AK87" s="645">
        <v>-10.415099821883413</v>
      </c>
    </row>
    <row r="88" spans="3:37" ht="13.5">
      <c r="C88" s="641" t="s">
        <v>63</v>
      </c>
      <c r="D88" s="642">
        <v>0</v>
      </c>
      <c r="E88" s="643">
        <v>0</v>
      </c>
      <c r="F88" s="643">
        <v>-93.443844381495637</v>
      </c>
      <c r="G88" s="642">
        <v>0</v>
      </c>
      <c r="H88" s="643">
        <v>0</v>
      </c>
      <c r="I88" s="643">
        <v>0</v>
      </c>
      <c r="J88" s="643">
        <v>0</v>
      </c>
      <c r="K88" s="643">
        <v>0</v>
      </c>
      <c r="L88" s="643">
        <v>-0.96889726774865159</v>
      </c>
      <c r="M88" s="643">
        <v>0</v>
      </c>
      <c r="N88" s="643">
        <v>0</v>
      </c>
      <c r="O88" s="643">
        <v>0</v>
      </c>
      <c r="P88" s="644">
        <v>0</v>
      </c>
      <c r="Q88" s="643">
        <v>0</v>
      </c>
      <c r="R88" s="643">
        <v>0</v>
      </c>
      <c r="S88" s="645">
        <v>-94.412741649244282</v>
      </c>
      <c r="U88" s="641" t="s">
        <v>63</v>
      </c>
      <c r="V88" s="642">
        <v>0</v>
      </c>
      <c r="W88" s="643">
        <v>0</v>
      </c>
      <c r="X88" s="643">
        <v>-35.841594545498886</v>
      </c>
      <c r="Y88" s="642">
        <v>0</v>
      </c>
      <c r="Z88" s="643">
        <v>0</v>
      </c>
      <c r="AA88" s="643">
        <v>0</v>
      </c>
      <c r="AB88" s="643">
        <v>0</v>
      </c>
      <c r="AC88" s="643">
        <v>0</v>
      </c>
      <c r="AD88" s="643">
        <v>-46.567340427053182</v>
      </c>
      <c r="AE88" s="643">
        <v>0</v>
      </c>
      <c r="AF88" s="643">
        <v>0</v>
      </c>
      <c r="AG88" s="643">
        <v>0</v>
      </c>
      <c r="AH88" s="644">
        <v>0</v>
      </c>
      <c r="AI88" s="643">
        <v>0</v>
      </c>
      <c r="AJ88" s="643">
        <v>0</v>
      </c>
      <c r="AK88" s="645">
        <v>-82.408934972552061</v>
      </c>
    </row>
    <row r="89" spans="3:37" ht="13.5">
      <c r="C89" s="641" t="s">
        <v>64</v>
      </c>
      <c r="D89" s="642">
        <v>0</v>
      </c>
      <c r="E89" s="643">
        <v>0</v>
      </c>
      <c r="F89" s="643">
        <v>0</v>
      </c>
      <c r="G89" s="642">
        <v>0</v>
      </c>
      <c r="H89" s="643">
        <v>0</v>
      </c>
      <c r="I89" s="643">
        <v>0</v>
      </c>
      <c r="J89" s="643">
        <v>0</v>
      </c>
      <c r="K89" s="643">
        <v>0</v>
      </c>
      <c r="L89" s="643">
        <v>0</v>
      </c>
      <c r="M89" s="643">
        <v>0</v>
      </c>
      <c r="N89" s="643">
        <v>0</v>
      </c>
      <c r="O89" s="643">
        <v>0</v>
      </c>
      <c r="P89" s="644">
        <v>0</v>
      </c>
      <c r="Q89" s="643">
        <v>0</v>
      </c>
      <c r="R89" s="643">
        <v>0</v>
      </c>
      <c r="S89" s="645">
        <v>0</v>
      </c>
      <c r="U89" s="641" t="s">
        <v>64</v>
      </c>
      <c r="V89" s="642">
        <v>0</v>
      </c>
      <c r="W89" s="643">
        <v>0</v>
      </c>
      <c r="X89" s="643">
        <v>0</v>
      </c>
      <c r="Y89" s="642">
        <v>0</v>
      </c>
      <c r="Z89" s="643">
        <v>0</v>
      </c>
      <c r="AA89" s="643">
        <v>0</v>
      </c>
      <c r="AB89" s="643">
        <v>0</v>
      </c>
      <c r="AC89" s="643">
        <v>0</v>
      </c>
      <c r="AD89" s="643">
        <v>0</v>
      </c>
      <c r="AE89" s="643">
        <v>0</v>
      </c>
      <c r="AF89" s="643">
        <v>0</v>
      </c>
      <c r="AG89" s="643">
        <v>0</v>
      </c>
      <c r="AH89" s="644">
        <v>0</v>
      </c>
      <c r="AI89" s="643">
        <v>0</v>
      </c>
      <c r="AJ89" s="643">
        <v>0</v>
      </c>
      <c r="AK89" s="645">
        <v>0</v>
      </c>
    </row>
    <row r="90" spans="3:37" ht="13.5">
      <c r="C90" s="646" t="s">
        <v>65</v>
      </c>
      <c r="D90" s="647">
        <v>46.099891323621534</v>
      </c>
      <c r="E90" s="647">
        <v>464.7986487</v>
      </c>
      <c r="F90" s="647">
        <v>-59.341223439635421</v>
      </c>
      <c r="G90" s="647">
        <v>345.55093723566335</v>
      </c>
      <c r="H90" s="647">
        <v>727.27272727272737</v>
      </c>
      <c r="I90" s="647">
        <v>338.37995078139568</v>
      </c>
      <c r="J90" s="647">
        <v>190.84741038091113</v>
      </c>
      <c r="K90" s="647">
        <v>19.887492227897642</v>
      </c>
      <c r="L90" s="647">
        <v>2.7639977986594397</v>
      </c>
      <c r="M90" s="647">
        <v>0.16041590589481752</v>
      </c>
      <c r="N90" s="647">
        <v>75.083762899489528</v>
      </c>
      <c r="O90" s="647">
        <v>12.515766779598991</v>
      </c>
      <c r="P90" s="647">
        <v>-12.7985093299136</v>
      </c>
      <c r="Q90" s="647">
        <v>0</v>
      </c>
      <c r="R90" s="647">
        <v>0</v>
      </c>
      <c r="S90" s="647">
        <v>2151.2212685363102</v>
      </c>
      <c r="U90" s="646" t="s">
        <v>65</v>
      </c>
      <c r="V90" s="647">
        <v>4.5871215860372576</v>
      </c>
      <c r="W90" s="647">
        <v>113.59926767676768</v>
      </c>
      <c r="X90" s="647">
        <v>-21.004029293308101</v>
      </c>
      <c r="Y90" s="647">
        <v>0.51452681198611927</v>
      </c>
      <c r="Z90" s="647">
        <v>764.84848484848499</v>
      </c>
      <c r="AA90" s="647">
        <v>423.19995078139567</v>
      </c>
      <c r="AB90" s="647">
        <v>261.81197328019942</v>
      </c>
      <c r="AC90" s="647">
        <v>36.108430969743218</v>
      </c>
      <c r="AD90" s="647">
        <v>-42.834445360645091</v>
      </c>
      <c r="AE90" s="647">
        <v>-4.9533137132699832</v>
      </c>
      <c r="AF90" s="647">
        <v>123.16818516374138</v>
      </c>
      <c r="AG90" s="647">
        <v>30.250193334526926</v>
      </c>
      <c r="AH90" s="647">
        <v>-41.639986107117011</v>
      </c>
      <c r="AI90" s="647">
        <v>0</v>
      </c>
      <c r="AJ90" s="647">
        <v>0</v>
      </c>
      <c r="AK90" s="647">
        <v>1647.6563599785427</v>
      </c>
    </row>
    <row r="91" spans="3:37" ht="13">
      <c r="C91" s="636"/>
      <c r="D91" s="636">
        <v>0</v>
      </c>
      <c r="E91" s="636">
        <v>0</v>
      </c>
      <c r="F91" s="636">
        <v>0</v>
      </c>
      <c r="G91" s="636">
        <v>0</v>
      </c>
      <c r="H91" s="636">
        <v>0</v>
      </c>
      <c r="I91" s="636">
        <v>0</v>
      </c>
      <c r="J91" s="636">
        <v>0</v>
      </c>
      <c r="K91" s="636">
        <v>0</v>
      </c>
      <c r="L91" s="636">
        <v>0</v>
      </c>
      <c r="M91" s="636">
        <v>0</v>
      </c>
      <c r="N91" s="636">
        <v>0</v>
      </c>
      <c r="O91" s="636">
        <v>0</v>
      </c>
      <c r="P91" s="636">
        <v>0</v>
      </c>
      <c r="Q91" s="636">
        <v>0</v>
      </c>
      <c r="R91" s="636">
        <v>0</v>
      </c>
      <c r="S91" s="636">
        <v>0</v>
      </c>
      <c r="U91" s="636"/>
      <c r="V91" s="636">
        <v>0</v>
      </c>
      <c r="W91" s="636">
        <v>0</v>
      </c>
      <c r="X91" s="636">
        <v>0</v>
      </c>
      <c r="Y91" s="636">
        <v>0</v>
      </c>
      <c r="Z91" s="636">
        <v>0</v>
      </c>
      <c r="AA91" s="636">
        <v>0</v>
      </c>
      <c r="AB91" s="636">
        <v>0</v>
      </c>
      <c r="AC91" s="636">
        <v>0</v>
      </c>
      <c r="AD91" s="636">
        <v>0</v>
      </c>
      <c r="AE91" s="636">
        <v>0</v>
      </c>
      <c r="AF91" s="636">
        <v>0</v>
      </c>
      <c r="AG91" s="636">
        <v>0</v>
      </c>
      <c r="AH91" s="636">
        <v>0</v>
      </c>
      <c r="AI91" s="636">
        <v>0</v>
      </c>
      <c r="AJ91" s="636">
        <v>0</v>
      </c>
      <c r="AK91" s="636">
        <v>0</v>
      </c>
    </row>
    <row r="92" spans="3:37" ht="13.5">
      <c r="C92" s="648" t="s">
        <v>67</v>
      </c>
      <c r="D92" s="642">
        <v>0</v>
      </c>
      <c r="E92" s="649">
        <v>0</v>
      </c>
      <c r="F92" s="649">
        <v>0</v>
      </c>
      <c r="G92" s="642">
        <v>0</v>
      </c>
      <c r="H92" s="642">
        <v>0</v>
      </c>
      <c r="I92" s="642">
        <v>0</v>
      </c>
      <c r="J92" s="642">
        <v>0</v>
      </c>
      <c r="K92" s="642">
        <v>0</v>
      </c>
      <c r="L92" s="642">
        <v>0</v>
      </c>
      <c r="M92" s="642">
        <v>0</v>
      </c>
      <c r="N92" s="642">
        <v>0</v>
      </c>
      <c r="O92" s="642">
        <v>0</v>
      </c>
      <c r="P92" s="642">
        <v>0</v>
      </c>
      <c r="Q92" s="642">
        <v>0</v>
      </c>
      <c r="R92" s="642">
        <v>0</v>
      </c>
      <c r="S92" s="650">
        <v>0</v>
      </c>
      <c r="U92" s="648" t="s">
        <v>67</v>
      </c>
      <c r="V92" s="642">
        <v>0</v>
      </c>
      <c r="W92" s="649">
        <v>0</v>
      </c>
      <c r="X92" s="649">
        <v>0</v>
      </c>
      <c r="Y92" s="642">
        <v>0</v>
      </c>
      <c r="Z92" s="642">
        <v>0</v>
      </c>
      <c r="AA92" s="642">
        <v>0</v>
      </c>
      <c r="AB92" s="642">
        <v>0</v>
      </c>
      <c r="AC92" s="642">
        <v>0</v>
      </c>
      <c r="AD92" s="642">
        <v>0</v>
      </c>
      <c r="AE92" s="642">
        <v>0</v>
      </c>
      <c r="AF92" s="642">
        <v>0</v>
      </c>
      <c r="AG92" s="642">
        <v>0</v>
      </c>
      <c r="AH92" s="642">
        <v>0</v>
      </c>
      <c r="AI92" s="642">
        <v>0</v>
      </c>
      <c r="AJ92" s="642">
        <v>0</v>
      </c>
      <c r="AK92" s="650">
        <v>0</v>
      </c>
    </row>
    <row r="93" spans="3:37" ht="13.5">
      <c r="C93" s="648" t="s">
        <v>350</v>
      </c>
      <c r="D93" s="642">
        <v>2.8267856410252494</v>
      </c>
      <c r="E93" s="642">
        <v>0</v>
      </c>
      <c r="F93" s="642">
        <v>8.0599105831015567</v>
      </c>
      <c r="G93" s="642">
        <v>46.530346198952707</v>
      </c>
      <c r="H93" s="642">
        <v>727.27272727272737</v>
      </c>
      <c r="I93" s="642">
        <v>338.37995078139568</v>
      </c>
      <c r="J93" s="651">
        <v>28.452469116356035</v>
      </c>
      <c r="K93" s="651">
        <v>6.2305848357200952</v>
      </c>
      <c r="L93" s="651">
        <v>3.7328950664080915</v>
      </c>
      <c r="M93" s="651">
        <v>1.0761160081227215</v>
      </c>
      <c r="N93" s="651">
        <v>0</v>
      </c>
      <c r="O93" s="651">
        <v>7.5664382136221358</v>
      </c>
      <c r="P93" s="642">
        <v>-629.14515201417555</v>
      </c>
      <c r="Q93" s="642">
        <v>0</v>
      </c>
      <c r="R93" s="642">
        <v>0</v>
      </c>
      <c r="S93" s="650">
        <v>540.98307170325586</v>
      </c>
      <c r="U93" s="648" t="s">
        <v>350</v>
      </c>
      <c r="V93" s="642">
        <v>0.62631490545869017</v>
      </c>
      <c r="W93" s="642">
        <v>0</v>
      </c>
      <c r="X93" s="642">
        <v>4.1962742194651934</v>
      </c>
      <c r="Y93" s="642">
        <v>0</v>
      </c>
      <c r="Z93" s="642">
        <v>764.84848484848499</v>
      </c>
      <c r="AA93" s="642">
        <v>423.19995078139567</v>
      </c>
      <c r="AB93" s="651">
        <v>22.478183728982629</v>
      </c>
      <c r="AC93" s="651">
        <v>5.0926371917675839</v>
      </c>
      <c r="AD93" s="651">
        <v>3.7328950664080915</v>
      </c>
      <c r="AE93" s="651">
        <v>0.79318377276994545</v>
      </c>
      <c r="AF93" s="651">
        <v>0</v>
      </c>
      <c r="AG93" s="651">
        <v>7.5664382136221358</v>
      </c>
      <c r="AH93" s="642">
        <v>-696.77718495359215</v>
      </c>
      <c r="AI93" s="642">
        <v>0</v>
      </c>
      <c r="AJ93" s="642">
        <v>3.75</v>
      </c>
      <c r="AK93" s="650">
        <v>539.50717777476291</v>
      </c>
    </row>
    <row r="94" spans="3:37" ht="13.5">
      <c r="C94" s="648" t="s">
        <v>351</v>
      </c>
      <c r="D94" s="642">
        <v>0</v>
      </c>
      <c r="E94" s="642">
        <v>0</v>
      </c>
      <c r="F94" s="642">
        <v>0</v>
      </c>
      <c r="G94" s="642">
        <v>14.783508517784153</v>
      </c>
      <c r="H94" s="642">
        <v>0</v>
      </c>
      <c r="I94" s="642">
        <v>0</v>
      </c>
      <c r="J94" s="651">
        <v>12.163067049530284</v>
      </c>
      <c r="K94" s="651">
        <v>11.829214997579474</v>
      </c>
      <c r="L94" s="651">
        <v>0</v>
      </c>
      <c r="M94" s="651">
        <v>0.31740804730172578</v>
      </c>
      <c r="N94" s="651">
        <v>0</v>
      </c>
      <c r="O94" s="651">
        <v>2.086875550337155</v>
      </c>
      <c r="P94" s="642">
        <v>0</v>
      </c>
      <c r="Q94" s="642">
        <v>-37.667878685561853</v>
      </c>
      <c r="R94" s="642">
        <v>0</v>
      </c>
      <c r="S94" s="650">
        <v>3.5121954769709394</v>
      </c>
      <c r="U94" s="648" t="s">
        <v>351</v>
      </c>
      <c r="V94" s="642">
        <v>0</v>
      </c>
      <c r="W94" s="642">
        <v>0</v>
      </c>
      <c r="X94" s="642">
        <v>0</v>
      </c>
      <c r="Y94" s="642">
        <v>0</v>
      </c>
      <c r="Z94" s="642">
        <v>0</v>
      </c>
      <c r="AA94" s="642">
        <v>0</v>
      </c>
      <c r="AB94" s="651">
        <v>28.523630086620891</v>
      </c>
      <c r="AC94" s="651">
        <v>26.288013396118924</v>
      </c>
      <c r="AD94" s="651">
        <v>0</v>
      </c>
      <c r="AE94" s="651">
        <v>10.611192177482708</v>
      </c>
      <c r="AF94" s="651">
        <v>0</v>
      </c>
      <c r="AG94" s="651">
        <v>14.121402979798832</v>
      </c>
      <c r="AH94" s="642">
        <v>0</v>
      </c>
      <c r="AI94" s="642">
        <v>-74.176724382187018</v>
      </c>
      <c r="AJ94" s="642">
        <v>0</v>
      </c>
      <c r="AK94" s="650">
        <v>5.3675142578343316</v>
      </c>
    </row>
    <row r="95" spans="3:37" ht="13.5">
      <c r="C95" s="648" t="s">
        <v>352</v>
      </c>
      <c r="D95" s="642">
        <v>0</v>
      </c>
      <c r="E95" s="642">
        <v>0</v>
      </c>
      <c r="F95" s="642">
        <v>0</v>
      </c>
      <c r="G95" s="642">
        <v>0</v>
      </c>
      <c r="H95" s="642">
        <v>0</v>
      </c>
      <c r="I95" s="642">
        <v>0</v>
      </c>
      <c r="J95" s="652">
        <v>7.1450792385721682</v>
      </c>
      <c r="K95" s="652">
        <v>0</v>
      </c>
      <c r="L95" s="652">
        <v>0</v>
      </c>
      <c r="M95" s="652">
        <v>-6.8235506728364204</v>
      </c>
      <c r="N95" s="652">
        <v>0</v>
      </c>
      <c r="O95" s="652">
        <v>0</v>
      </c>
      <c r="P95" s="642">
        <v>0</v>
      </c>
      <c r="Q95" s="642">
        <v>0</v>
      </c>
      <c r="R95" s="642">
        <v>0</v>
      </c>
      <c r="S95" s="650">
        <v>0.32152856573574784</v>
      </c>
      <c r="U95" s="648" t="s">
        <v>352</v>
      </c>
      <c r="V95" s="642">
        <v>0</v>
      </c>
      <c r="W95" s="642">
        <v>0</v>
      </c>
      <c r="X95" s="642">
        <v>0</v>
      </c>
      <c r="Y95" s="642">
        <v>0</v>
      </c>
      <c r="Z95" s="642">
        <v>0</v>
      </c>
      <c r="AA95" s="642">
        <v>0</v>
      </c>
      <c r="AB95" s="652">
        <v>137.81211213320262</v>
      </c>
      <c r="AC95" s="652">
        <v>0</v>
      </c>
      <c r="AD95" s="652">
        <v>0</v>
      </c>
      <c r="AE95" s="652">
        <v>-131.61056708720849</v>
      </c>
      <c r="AF95" s="652">
        <v>0</v>
      </c>
      <c r="AG95" s="652">
        <v>0</v>
      </c>
      <c r="AH95" s="642">
        <v>0</v>
      </c>
      <c r="AI95" s="642">
        <v>0</v>
      </c>
      <c r="AJ95" s="642">
        <v>0</v>
      </c>
      <c r="AK95" s="650">
        <v>6.2015450459941235</v>
      </c>
    </row>
    <row r="96" spans="3:37" ht="13.5">
      <c r="C96" s="648" t="s">
        <v>353</v>
      </c>
      <c r="D96" s="642">
        <v>0</v>
      </c>
      <c r="E96" s="642">
        <v>0</v>
      </c>
      <c r="F96" s="642">
        <v>0</v>
      </c>
      <c r="G96" s="642">
        <v>0</v>
      </c>
      <c r="H96" s="642">
        <v>0</v>
      </c>
      <c r="I96" s="642">
        <v>0</v>
      </c>
      <c r="J96" s="642">
        <v>0</v>
      </c>
      <c r="K96" s="642">
        <v>0</v>
      </c>
      <c r="L96" s="642">
        <v>0</v>
      </c>
      <c r="M96" s="642">
        <v>0</v>
      </c>
      <c r="N96" s="642">
        <v>0</v>
      </c>
      <c r="O96" s="642">
        <v>0</v>
      </c>
      <c r="P96" s="642">
        <v>0</v>
      </c>
      <c r="Q96" s="642">
        <v>0</v>
      </c>
      <c r="R96" s="642">
        <v>0</v>
      </c>
      <c r="S96" s="650">
        <v>0</v>
      </c>
      <c r="U96" s="648" t="s">
        <v>353</v>
      </c>
      <c r="V96" s="642">
        <v>0</v>
      </c>
      <c r="W96" s="642">
        <v>0</v>
      </c>
      <c r="X96" s="642">
        <v>0</v>
      </c>
      <c r="Y96" s="642">
        <v>0</v>
      </c>
      <c r="Z96" s="642">
        <v>0</v>
      </c>
      <c r="AA96" s="642">
        <v>0</v>
      </c>
      <c r="AB96" s="642">
        <v>0</v>
      </c>
      <c r="AC96" s="642">
        <v>0</v>
      </c>
      <c r="AD96" s="642">
        <v>0</v>
      </c>
      <c r="AE96" s="642">
        <v>0</v>
      </c>
      <c r="AF96" s="642">
        <v>0</v>
      </c>
      <c r="AG96" s="642">
        <v>0</v>
      </c>
      <c r="AH96" s="642">
        <v>0</v>
      </c>
      <c r="AI96" s="642">
        <v>0</v>
      </c>
      <c r="AJ96" s="642">
        <v>0</v>
      </c>
      <c r="AK96" s="650">
        <v>0</v>
      </c>
    </row>
    <row r="97" spans="3:37" ht="13.5">
      <c r="C97" s="648" t="s">
        <v>72</v>
      </c>
      <c r="D97" s="642">
        <v>0</v>
      </c>
      <c r="E97" s="642">
        <v>481.48200000000003</v>
      </c>
      <c r="F97" s="642">
        <v>-476.66718000000003</v>
      </c>
      <c r="G97" s="642">
        <v>0</v>
      </c>
      <c r="H97" s="642">
        <v>0</v>
      </c>
      <c r="I97" s="642">
        <v>0</v>
      </c>
      <c r="J97" s="642">
        <v>0</v>
      </c>
      <c r="K97" s="642">
        <v>0</v>
      </c>
      <c r="L97" s="642">
        <v>0</v>
      </c>
      <c r="M97" s="642">
        <v>0</v>
      </c>
      <c r="N97" s="642">
        <v>0</v>
      </c>
      <c r="O97" s="642">
        <v>0</v>
      </c>
      <c r="P97" s="642">
        <v>0</v>
      </c>
      <c r="Q97" s="642">
        <v>0</v>
      </c>
      <c r="R97" s="642">
        <v>0</v>
      </c>
      <c r="S97" s="650">
        <v>4.8148199999999974</v>
      </c>
      <c r="U97" s="648" t="s">
        <v>72</v>
      </c>
      <c r="V97" s="642">
        <v>0</v>
      </c>
      <c r="W97" s="642">
        <v>117.67676767676768</v>
      </c>
      <c r="X97" s="642">
        <v>-116.5</v>
      </c>
      <c r="Y97" s="642">
        <v>0</v>
      </c>
      <c r="Z97" s="642">
        <v>0</v>
      </c>
      <c r="AA97" s="642">
        <v>0</v>
      </c>
      <c r="AB97" s="642">
        <v>0</v>
      </c>
      <c r="AC97" s="642">
        <v>0</v>
      </c>
      <c r="AD97" s="642">
        <v>0</v>
      </c>
      <c r="AE97" s="642">
        <v>0</v>
      </c>
      <c r="AF97" s="642">
        <v>0</v>
      </c>
      <c r="AG97" s="642">
        <v>0</v>
      </c>
      <c r="AH97" s="642">
        <v>0</v>
      </c>
      <c r="AI97" s="642">
        <v>0</v>
      </c>
      <c r="AJ97" s="642">
        <v>0</v>
      </c>
      <c r="AK97" s="650">
        <v>1.1767676767676818</v>
      </c>
    </row>
    <row r="98" spans="3:37" ht="13.5">
      <c r="C98" s="648" t="s">
        <v>354</v>
      </c>
      <c r="D98" s="642">
        <v>0</v>
      </c>
      <c r="E98" s="642">
        <v>0</v>
      </c>
      <c r="F98" s="642">
        <v>0</v>
      </c>
      <c r="G98" s="642">
        <v>0</v>
      </c>
      <c r="H98" s="642">
        <v>0</v>
      </c>
      <c r="I98" s="642">
        <v>0</v>
      </c>
      <c r="J98" s="642">
        <v>26.125483595276659</v>
      </c>
      <c r="K98" s="642">
        <v>0</v>
      </c>
      <c r="L98" s="642">
        <v>-26.125483595276659</v>
      </c>
      <c r="M98" s="642">
        <v>0</v>
      </c>
      <c r="N98" s="642">
        <v>0</v>
      </c>
      <c r="O98" s="642">
        <v>0</v>
      </c>
      <c r="P98" s="642">
        <v>0</v>
      </c>
      <c r="Q98" s="642">
        <v>0</v>
      </c>
      <c r="R98" s="642">
        <v>0</v>
      </c>
      <c r="S98" s="650">
        <v>0</v>
      </c>
      <c r="U98" s="648" t="s">
        <v>354</v>
      </c>
      <c r="V98" s="642">
        <v>0</v>
      </c>
      <c r="W98" s="642">
        <v>0</v>
      </c>
      <c r="X98" s="642">
        <v>0</v>
      </c>
      <c r="Y98" s="642">
        <v>0</v>
      </c>
      <c r="Z98" s="642">
        <v>0</v>
      </c>
      <c r="AA98" s="642">
        <v>0</v>
      </c>
      <c r="AB98" s="642" t="e">
        <v>#VALUE!</v>
      </c>
      <c r="AC98" s="642">
        <v>0</v>
      </c>
      <c r="AD98" s="642">
        <v>-100.69655001825291</v>
      </c>
      <c r="AE98" s="642">
        <v>0</v>
      </c>
      <c r="AF98" s="642">
        <v>0</v>
      </c>
      <c r="AG98" s="642">
        <v>0</v>
      </c>
      <c r="AH98" s="642">
        <v>0</v>
      </c>
      <c r="AI98" s="642">
        <v>0</v>
      </c>
      <c r="AJ98" s="642">
        <v>0</v>
      </c>
      <c r="AK98" s="650">
        <v>-100.69655001825291</v>
      </c>
    </row>
    <row r="99" spans="3:37" ht="13.5">
      <c r="C99" s="648" t="s">
        <v>355</v>
      </c>
      <c r="D99" s="642">
        <v>0</v>
      </c>
      <c r="E99" s="642">
        <v>0</v>
      </c>
      <c r="F99" s="642">
        <v>0</v>
      </c>
      <c r="G99" s="642">
        <v>0</v>
      </c>
      <c r="H99" s="642">
        <v>0</v>
      </c>
      <c r="I99" s="642">
        <v>0</v>
      </c>
      <c r="J99" s="642">
        <v>0</v>
      </c>
      <c r="K99" s="642">
        <v>0</v>
      </c>
      <c r="L99" s="642">
        <v>0</v>
      </c>
      <c r="M99" s="642">
        <v>0</v>
      </c>
      <c r="N99" s="642">
        <v>0</v>
      </c>
      <c r="O99" s="642">
        <v>0</v>
      </c>
      <c r="P99" s="642">
        <v>0</v>
      </c>
      <c r="Q99" s="642">
        <v>0</v>
      </c>
      <c r="R99" s="642">
        <v>0</v>
      </c>
      <c r="S99" s="650">
        <v>0</v>
      </c>
      <c r="U99" s="648" t="s">
        <v>355</v>
      </c>
      <c r="V99" s="642">
        <v>0</v>
      </c>
      <c r="W99" s="642">
        <v>0</v>
      </c>
      <c r="X99" s="642">
        <v>0</v>
      </c>
      <c r="Y99" s="642">
        <v>0</v>
      </c>
      <c r="Z99" s="642">
        <v>0</v>
      </c>
      <c r="AA99" s="642">
        <v>0</v>
      </c>
      <c r="AB99" s="642">
        <v>0</v>
      </c>
      <c r="AC99" s="642">
        <v>0</v>
      </c>
      <c r="AD99" s="642">
        <v>-28.460377640694865</v>
      </c>
      <c r="AE99" s="642">
        <v>0</v>
      </c>
      <c r="AF99" s="642">
        <v>0</v>
      </c>
      <c r="AG99" s="642">
        <v>0</v>
      </c>
      <c r="AH99" s="642">
        <v>0</v>
      </c>
      <c r="AI99" s="642">
        <v>0</v>
      </c>
      <c r="AJ99" s="642">
        <v>0</v>
      </c>
      <c r="AK99" s="650">
        <v>-28.460377640694865</v>
      </c>
    </row>
    <row r="100" spans="3:37" ht="13.5">
      <c r="C100" s="648" t="s">
        <v>73</v>
      </c>
      <c r="D100" s="642">
        <v>0</v>
      </c>
      <c r="E100" s="642">
        <v>0</v>
      </c>
      <c r="F100" s="642">
        <v>0</v>
      </c>
      <c r="G100" s="642">
        <v>8.6128889644156494</v>
      </c>
      <c r="H100" s="642">
        <v>0</v>
      </c>
      <c r="I100" s="642">
        <v>0</v>
      </c>
      <c r="J100" s="642">
        <v>0</v>
      </c>
      <c r="K100" s="642">
        <v>0.10101910584583218</v>
      </c>
      <c r="L100" s="642">
        <v>0</v>
      </c>
      <c r="M100" s="642">
        <v>0.17577324417174797</v>
      </c>
      <c r="N100" s="642">
        <v>0</v>
      </c>
      <c r="O100" s="642">
        <v>0</v>
      </c>
      <c r="P100" s="642">
        <v>1.1785562348680418</v>
      </c>
      <c r="Q100" s="642">
        <v>0</v>
      </c>
      <c r="R100" s="642">
        <v>-7.071337409208251</v>
      </c>
      <c r="S100" s="650">
        <v>2.99690014009302</v>
      </c>
      <c r="U100" s="648" t="s">
        <v>73</v>
      </c>
      <c r="V100" s="642">
        <v>0</v>
      </c>
      <c r="W100" s="642">
        <v>0</v>
      </c>
      <c r="X100" s="642">
        <v>0</v>
      </c>
      <c r="Y100" s="642">
        <v>0</v>
      </c>
      <c r="Z100" s="642">
        <v>0</v>
      </c>
      <c r="AA100" s="642">
        <v>0</v>
      </c>
      <c r="AB100" s="642">
        <v>0</v>
      </c>
      <c r="AC100" s="642">
        <v>0.58294529496624936</v>
      </c>
      <c r="AD100" s="642">
        <v>0</v>
      </c>
      <c r="AE100" s="642">
        <v>0</v>
      </c>
      <c r="AF100" s="642">
        <v>0</v>
      </c>
      <c r="AG100" s="642">
        <v>0</v>
      </c>
      <c r="AH100" s="642">
        <v>56.108484640501494</v>
      </c>
      <c r="AI100" s="642">
        <v>0</v>
      </c>
      <c r="AJ100" s="642">
        <v>-40.806170647637451</v>
      </c>
      <c r="AK100" s="650">
        <v>15.885259287830294</v>
      </c>
    </row>
    <row r="101" spans="3:37" ht="13.5">
      <c r="C101" s="648" t="s">
        <v>356</v>
      </c>
      <c r="D101" s="642">
        <v>28.51179328125</v>
      </c>
      <c r="E101" s="642">
        <v>-16.683351300000002</v>
      </c>
      <c r="F101" s="642">
        <v>21.820838094867195</v>
      </c>
      <c r="G101" s="642">
        <v>0</v>
      </c>
      <c r="H101" s="642">
        <v>0</v>
      </c>
      <c r="I101" s="642">
        <v>0</v>
      </c>
      <c r="J101" s="642">
        <v>0</v>
      </c>
      <c r="K101" s="642">
        <v>0</v>
      </c>
      <c r="L101" s="642">
        <v>0</v>
      </c>
      <c r="M101" s="642">
        <v>0</v>
      </c>
      <c r="N101" s="642">
        <v>0</v>
      </c>
      <c r="O101" s="642">
        <v>0</v>
      </c>
      <c r="P101" s="642">
        <v>0</v>
      </c>
      <c r="Q101" s="642">
        <v>0</v>
      </c>
      <c r="R101" s="642">
        <v>0</v>
      </c>
      <c r="S101" s="650">
        <v>33.649280076117194</v>
      </c>
      <c r="U101" s="648" t="s">
        <v>356</v>
      </c>
      <c r="V101" s="642">
        <v>0.72303211975097659</v>
      </c>
      <c r="W101" s="642">
        <v>-4.0775000000000006</v>
      </c>
      <c r="X101" s="642">
        <v>5.333129161634389</v>
      </c>
      <c r="Y101" s="642">
        <v>0</v>
      </c>
      <c r="Z101" s="642">
        <v>0</v>
      </c>
      <c r="AA101" s="642">
        <v>0</v>
      </c>
      <c r="AB101" s="642">
        <v>0</v>
      </c>
      <c r="AC101" s="642">
        <v>0</v>
      </c>
      <c r="AD101" s="642">
        <v>0</v>
      </c>
      <c r="AE101" s="642">
        <v>0</v>
      </c>
      <c r="AF101" s="642">
        <v>0</v>
      </c>
      <c r="AG101" s="642">
        <v>0</v>
      </c>
      <c r="AH101" s="642">
        <v>0</v>
      </c>
      <c r="AI101" s="642">
        <v>0</v>
      </c>
      <c r="AJ101" s="642">
        <v>0</v>
      </c>
      <c r="AK101" s="650">
        <v>1.978661281385365</v>
      </c>
    </row>
    <row r="102" spans="3:37" ht="13.5">
      <c r="C102" s="648" t="s">
        <v>75</v>
      </c>
      <c r="D102" s="642">
        <v>11.087919609375001</v>
      </c>
      <c r="E102" s="642">
        <v>0</v>
      </c>
      <c r="F102" s="642">
        <v>16.370388000000002</v>
      </c>
      <c r="G102" s="642">
        <v>4.6713383640000004</v>
      </c>
      <c r="H102" s="642">
        <v>0</v>
      </c>
      <c r="I102" s="642">
        <v>0</v>
      </c>
      <c r="J102" s="642">
        <v>0</v>
      </c>
      <c r="K102" s="642">
        <v>0</v>
      </c>
      <c r="L102" s="642">
        <v>0</v>
      </c>
      <c r="M102" s="642">
        <v>9.5333436000000008E-2</v>
      </c>
      <c r="N102" s="642">
        <v>0</v>
      </c>
      <c r="O102" s="642">
        <v>0</v>
      </c>
      <c r="P102" s="642">
        <v>26.129145836866744</v>
      </c>
      <c r="Q102" s="642">
        <v>0</v>
      </c>
      <c r="R102" s="642">
        <v>0</v>
      </c>
      <c r="S102" s="650">
        <v>58.35412524624175</v>
      </c>
      <c r="U102" s="648" t="s">
        <v>75</v>
      </c>
      <c r="V102" s="642">
        <v>1.73775830078125</v>
      </c>
      <c r="W102" s="642">
        <v>0</v>
      </c>
      <c r="X102" s="642">
        <v>16.370388000000002</v>
      </c>
      <c r="Y102" s="642">
        <v>0</v>
      </c>
      <c r="Z102" s="642">
        <v>0</v>
      </c>
      <c r="AA102" s="642">
        <v>0</v>
      </c>
      <c r="AB102" s="642">
        <v>0</v>
      </c>
      <c r="AC102" s="642">
        <v>0</v>
      </c>
      <c r="AD102" s="642">
        <v>0</v>
      </c>
      <c r="AE102" s="642">
        <v>4.7666718000000001</v>
      </c>
      <c r="AF102" s="642">
        <v>0</v>
      </c>
      <c r="AG102" s="642">
        <v>0</v>
      </c>
      <c r="AH102" s="642">
        <v>36.696565665655768</v>
      </c>
      <c r="AI102" s="642">
        <v>0</v>
      </c>
      <c r="AJ102" s="642">
        <v>0</v>
      </c>
      <c r="AK102" s="650">
        <v>59.571383766437016</v>
      </c>
    </row>
    <row r="103" spans="3:37" ht="13.5">
      <c r="C103" s="648" t="s">
        <v>76</v>
      </c>
      <c r="D103" s="642">
        <v>0</v>
      </c>
      <c r="E103" s="642">
        <v>0</v>
      </c>
      <c r="F103" s="642">
        <v>0</v>
      </c>
      <c r="G103" s="642">
        <v>3.9646717348100942</v>
      </c>
      <c r="H103" s="642">
        <v>0</v>
      </c>
      <c r="I103" s="642">
        <v>0</v>
      </c>
      <c r="J103" s="642">
        <v>0</v>
      </c>
      <c r="K103" s="642">
        <v>0</v>
      </c>
      <c r="L103" s="642">
        <v>0</v>
      </c>
      <c r="M103" s="642">
        <v>8.0911668057348868E-2</v>
      </c>
      <c r="N103" s="642">
        <v>0</v>
      </c>
      <c r="O103" s="642">
        <v>0</v>
      </c>
      <c r="P103" s="642">
        <v>47.131742012269626</v>
      </c>
      <c r="Q103" s="642">
        <v>2.9238621334994321</v>
      </c>
      <c r="R103" s="642">
        <v>0</v>
      </c>
      <c r="S103" s="650">
        <v>54.101187548636503</v>
      </c>
      <c r="U103" s="648" t="s">
        <v>76</v>
      </c>
      <c r="V103" s="642">
        <v>0</v>
      </c>
      <c r="W103" s="642">
        <v>0</v>
      </c>
      <c r="X103" s="642">
        <v>0</v>
      </c>
      <c r="Y103" s="642">
        <v>0</v>
      </c>
      <c r="Z103" s="642">
        <v>0</v>
      </c>
      <c r="AA103" s="642">
        <v>0</v>
      </c>
      <c r="AB103" s="642">
        <v>0</v>
      </c>
      <c r="AC103" s="642">
        <v>0</v>
      </c>
      <c r="AD103" s="642">
        <v>0</v>
      </c>
      <c r="AE103" s="642">
        <v>1.5605996097297452</v>
      </c>
      <c r="AF103" s="642">
        <v>0</v>
      </c>
      <c r="AG103" s="642">
        <v>0</v>
      </c>
      <c r="AH103" s="642">
        <v>50.104610120731024</v>
      </c>
      <c r="AI103" s="642">
        <v>5.7529608775183565</v>
      </c>
      <c r="AJ103" s="642">
        <v>0</v>
      </c>
      <c r="AK103" s="650">
        <v>57.418170607979121</v>
      </c>
    </row>
    <row r="104" spans="3:37" ht="13.5">
      <c r="C104" s="646" t="s">
        <v>77</v>
      </c>
      <c r="D104" s="647">
        <v>42.426498531650253</v>
      </c>
      <c r="E104" s="647">
        <v>464.7986487</v>
      </c>
      <c r="F104" s="647">
        <v>-430.41604332203127</v>
      </c>
      <c r="G104" s="647">
        <v>78.562753779962591</v>
      </c>
      <c r="H104" s="647">
        <v>727.27272727272737</v>
      </c>
      <c r="I104" s="647">
        <v>338.37995078139568</v>
      </c>
      <c r="J104" s="647">
        <v>73.88609899973514</v>
      </c>
      <c r="K104" s="647">
        <v>18.1608189391454</v>
      </c>
      <c r="L104" s="647">
        <v>-22.392588528868568</v>
      </c>
      <c r="M104" s="647">
        <v>-5.0780082691828765</v>
      </c>
      <c r="N104" s="647">
        <v>0</v>
      </c>
      <c r="O104" s="647">
        <v>9.6533137639592894</v>
      </c>
      <c r="P104" s="647">
        <v>-554.70570793017112</v>
      </c>
      <c r="Q104" s="647">
        <v>-34.744016552062419</v>
      </c>
      <c r="R104" s="647">
        <v>-7.071337409208251</v>
      </c>
      <c r="S104" s="647">
        <v>698.73310875705101</v>
      </c>
      <c r="U104" s="646" t="s">
        <v>77</v>
      </c>
      <c r="V104" s="647">
        <v>3.0871053259909167</v>
      </c>
      <c r="W104" s="647">
        <v>113.59926767676768</v>
      </c>
      <c r="X104" s="647">
        <v>-90.60020861890041</v>
      </c>
      <c r="Y104" s="647">
        <v>0</v>
      </c>
      <c r="Z104" s="647">
        <v>764.84848484848499</v>
      </c>
      <c r="AA104" s="647">
        <v>423.19995078139567</v>
      </c>
      <c r="AB104" s="647">
        <v>188.81392594880614</v>
      </c>
      <c r="AC104" s="647">
        <v>31.963595882852758</v>
      </c>
      <c r="AD104" s="647">
        <v>-125.42403259253969</v>
      </c>
      <c r="AE104" s="647">
        <v>-113.87891972722609</v>
      </c>
      <c r="AF104" s="647">
        <v>0</v>
      </c>
      <c r="AG104" s="647">
        <v>21.687841193420969</v>
      </c>
      <c r="AH104" s="647">
        <v>-553.86752452670385</v>
      </c>
      <c r="AI104" s="647">
        <v>-68.423763504668656</v>
      </c>
      <c r="AJ104" s="647">
        <v>-37.056170647637451</v>
      </c>
      <c r="AK104" s="647">
        <v>557.94955204004305</v>
      </c>
    </row>
    <row r="105" spans="3:37" ht="13">
      <c r="C105" s="636"/>
      <c r="D105" s="636">
        <v>0</v>
      </c>
      <c r="E105" s="636">
        <v>0</v>
      </c>
      <c r="F105" s="636">
        <v>0</v>
      </c>
      <c r="G105" s="636">
        <v>0</v>
      </c>
      <c r="H105" s="636">
        <v>0</v>
      </c>
      <c r="I105" s="636">
        <v>0</v>
      </c>
      <c r="J105" s="636">
        <v>0</v>
      </c>
      <c r="K105" s="636">
        <v>0</v>
      </c>
      <c r="L105" s="636">
        <v>0</v>
      </c>
      <c r="M105" s="636">
        <v>0</v>
      </c>
      <c r="N105" s="636">
        <v>0</v>
      </c>
      <c r="O105" s="636">
        <v>0</v>
      </c>
      <c r="P105" s="636">
        <v>0</v>
      </c>
      <c r="Q105" s="636">
        <v>0</v>
      </c>
      <c r="R105" s="636">
        <v>0</v>
      </c>
      <c r="S105" s="636">
        <v>0</v>
      </c>
      <c r="U105" s="636"/>
      <c r="V105" s="636">
        <v>0</v>
      </c>
      <c r="W105" s="636">
        <v>0</v>
      </c>
      <c r="X105" s="636">
        <v>0</v>
      </c>
      <c r="Y105" s="636">
        <v>0</v>
      </c>
      <c r="Z105" s="636">
        <v>0</v>
      </c>
      <c r="AA105" s="636">
        <v>0</v>
      </c>
      <c r="AB105" s="636">
        <v>0</v>
      </c>
      <c r="AC105" s="636">
        <v>0</v>
      </c>
      <c r="AD105" s="636">
        <v>0</v>
      </c>
      <c r="AE105" s="636">
        <v>0</v>
      </c>
      <c r="AF105" s="636">
        <v>0</v>
      </c>
      <c r="AG105" s="636">
        <v>0</v>
      </c>
      <c r="AH105" s="636">
        <v>0</v>
      </c>
      <c r="AI105" s="636">
        <v>0</v>
      </c>
      <c r="AJ105" s="636">
        <v>0</v>
      </c>
      <c r="AK105" s="636">
        <v>0</v>
      </c>
    </row>
    <row r="106" spans="3:37" ht="13.5">
      <c r="C106" s="648" t="s">
        <v>78</v>
      </c>
      <c r="D106" s="642">
        <v>3.6733927919712848</v>
      </c>
      <c r="E106" s="642">
        <v>0</v>
      </c>
      <c r="F106" s="642">
        <v>19.397200033553816</v>
      </c>
      <c r="G106" s="642">
        <v>91.130108310207916</v>
      </c>
      <c r="H106" s="642">
        <v>0</v>
      </c>
      <c r="I106" s="642">
        <v>0</v>
      </c>
      <c r="J106" s="642">
        <v>22.791437377983073</v>
      </c>
      <c r="K106" s="642">
        <v>1.7013098714668424</v>
      </c>
      <c r="L106" s="642">
        <v>1.007010953125</v>
      </c>
      <c r="M106" s="642">
        <v>1.8779931367345493</v>
      </c>
      <c r="N106" s="642">
        <v>0</v>
      </c>
      <c r="O106" s="642">
        <v>3.7093504340600874E-4</v>
      </c>
      <c r="P106" s="642">
        <v>114.54790196708234</v>
      </c>
      <c r="Q106" s="642">
        <v>16.21056036467343</v>
      </c>
      <c r="R106" s="642">
        <v>0.23655174255371095</v>
      </c>
      <c r="S106" s="650">
        <v>272.57383748439537</v>
      </c>
      <c r="U106" s="648" t="s">
        <v>78</v>
      </c>
      <c r="V106" s="642">
        <v>1.5000162600463405</v>
      </c>
      <c r="W106" s="642">
        <v>0</v>
      </c>
      <c r="X106" s="642">
        <v>0.65820239923796242</v>
      </c>
      <c r="Y106" s="642">
        <v>0</v>
      </c>
      <c r="Z106" s="642">
        <v>0</v>
      </c>
      <c r="AA106" s="642">
        <v>0</v>
      </c>
      <c r="AB106" s="642">
        <v>14.22856522114639</v>
      </c>
      <c r="AC106" s="642">
        <v>4.1194716696050602</v>
      </c>
      <c r="AD106" s="642">
        <v>8.3494072265624997</v>
      </c>
      <c r="AE106" s="642">
        <v>60.539358802903692</v>
      </c>
      <c r="AF106" s="642">
        <v>0</v>
      </c>
      <c r="AG106" s="642">
        <v>3.7093504340600874E-4</v>
      </c>
      <c r="AH106" s="642">
        <v>157.01971492382648</v>
      </c>
      <c r="AI106" s="642">
        <v>25.540840498351418</v>
      </c>
      <c r="AJ106" s="642">
        <v>8.9542294921874994</v>
      </c>
      <c r="AK106" s="650">
        <v>280.91017742891074</v>
      </c>
    </row>
    <row r="107" spans="3:37" ht="13.5">
      <c r="C107" s="648" t="s">
        <v>79</v>
      </c>
      <c r="D107" s="642">
        <v>0</v>
      </c>
      <c r="E107" s="642">
        <v>0</v>
      </c>
      <c r="F107" s="642">
        <v>216.8751541495462</v>
      </c>
      <c r="G107" s="642">
        <v>32.745585882615877</v>
      </c>
      <c r="H107" s="642">
        <v>0</v>
      </c>
      <c r="I107" s="642">
        <v>0</v>
      </c>
      <c r="J107" s="642">
        <v>0</v>
      </c>
      <c r="K107" s="642">
        <v>0</v>
      </c>
      <c r="L107" s="642">
        <v>20.896591906701669</v>
      </c>
      <c r="M107" s="642">
        <v>0.66827726291052814</v>
      </c>
      <c r="N107" s="642">
        <v>0</v>
      </c>
      <c r="O107" s="642">
        <v>0</v>
      </c>
      <c r="P107" s="642">
        <v>80.819270278256823</v>
      </c>
      <c r="Q107" s="642">
        <v>0</v>
      </c>
      <c r="R107" s="642">
        <v>2.9193508940431485</v>
      </c>
      <c r="S107" s="650">
        <v>354.92423037407423</v>
      </c>
      <c r="U107" s="648" t="s">
        <v>79</v>
      </c>
      <c r="V107" s="642">
        <v>0</v>
      </c>
      <c r="W107" s="642">
        <v>0</v>
      </c>
      <c r="X107" s="642">
        <v>8.8339079607242379</v>
      </c>
      <c r="Y107" s="642">
        <v>0</v>
      </c>
      <c r="Z107" s="642">
        <v>0</v>
      </c>
      <c r="AA107" s="642">
        <v>0</v>
      </c>
      <c r="AB107" s="642">
        <v>0</v>
      </c>
      <c r="AC107" s="642">
        <v>0</v>
      </c>
      <c r="AD107" s="642">
        <v>12.788272739607951</v>
      </c>
      <c r="AE107" s="642">
        <v>24.887279738493259</v>
      </c>
      <c r="AF107" s="642">
        <v>0</v>
      </c>
      <c r="AG107" s="642">
        <v>0</v>
      </c>
      <c r="AH107" s="642">
        <v>93.844452584108197</v>
      </c>
      <c r="AI107" s="642">
        <v>0</v>
      </c>
      <c r="AJ107" s="642">
        <v>7.1149935986121697</v>
      </c>
      <c r="AK107" s="650">
        <v>147.46890662154581</v>
      </c>
    </row>
    <row r="108" spans="3:37" ht="13.5">
      <c r="C108" s="648" t="s">
        <v>80</v>
      </c>
      <c r="D108" s="642">
        <v>0</v>
      </c>
      <c r="E108" s="642">
        <v>0</v>
      </c>
      <c r="F108" s="642">
        <v>5.2094674308398901</v>
      </c>
      <c r="G108" s="642">
        <v>68.551385920257417</v>
      </c>
      <c r="H108" s="642">
        <v>0</v>
      </c>
      <c r="I108" s="642">
        <v>0</v>
      </c>
      <c r="J108" s="642">
        <v>86.155325304334795</v>
      </c>
      <c r="K108" s="642">
        <v>0</v>
      </c>
      <c r="L108" s="642">
        <v>0</v>
      </c>
      <c r="M108" s="642">
        <v>1.3990078759236206</v>
      </c>
      <c r="N108" s="642">
        <v>66.478227859390046</v>
      </c>
      <c r="O108" s="642">
        <v>2.1206229173139883</v>
      </c>
      <c r="P108" s="642">
        <v>194.47767196350526</v>
      </c>
      <c r="Q108" s="642">
        <v>15.182773802844931</v>
      </c>
      <c r="R108" s="642">
        <v>0</v>
      </c>
      <c r="S108" s="650">
        <v>439.5744830744099</v>
      </c>
      <c r="U108" s="648" t="s">
        <v>80</v>
      </c>
      <c r="V108" s="642">
        <v>0</v>
      </c>
      <c r="W108" s="642">
        <v>0</v>
      </c>
      <c r="X108" s="642">
        <v>0.92826525658471626</v>
      </c>
      <c r="Y108" s="642">
        <v>0</v>
      </c>
      <c r="Z108" s="642">
        <v>0</v>
      </c>
      <c r="AA108" s="642">
        <v>0</v>
      </c>
      <c r="AB108" s="642">
        <v>47.227858114444189</v>
      </c>
      <c r="AC108" s="642">
        <v>0</v>
      </c>
      <c r="AD108" s="642">
        <v>0</v>
      </c>
      <c r="AE108" s="642">
        <v>17.293312779197663</v>
      </c>
      <c r="AF108" s="642">
        <v>108.09916343666818</v>
      </c>
      <c r="AG108" s="642">
        <v>4.9369795689122755</v>
      </c>
      <c r="AH108" s="642">
        <v>137.38519988829395</v>
      </c>
      <c r="AI108" s="642">
        <v>27.91071693101145</v>
      </c>
      <c r="AJ108" s="642">
        <v>0</v>
      </c>
      <c r="AK108" s="650">
        <v>343.78149597511242</v>
      </c>
    </row>
    <row r="109" spans="3:37" ht="13.5">
      <c r="C109" s="648" t="s">
        <v>81</v>
      </c>
      <c r="D109" s="642">
        <v>0</v>
      </c>
      <c r="E109" s="642">
        <v>0</v>
      </c>
      <c r="F109" s="642">
        <v>2.3181271880740835</v>
      </c>
      <c r="G109" s="642">
        <v>62.553452404821357</v>
      </c>
      <c r="H109" s="642">
        <v>0</v>
      </c>
      <c r="I109" s="642">
        <v>0</v>
      </c>
      <c r="J109" s="642">
        <v>3.0090868580403627</v>
      </c>
      <c r="K109" s="642">
        <v>2.5363417285398034E-2</v>
      </c>
      <c r="L109" s="642">
        <v>0</v>
      </c>
      <c r="M109" s="642">
        <v>1.27660106948615</v>
      </c>
      <c r="N109" s="642">
        <v>8.6055350400994808</v>
      </c>
      <c r="O109" s="642">
        <v>0.68093940948821108</v>
      </c>
      <c r="P109" s="642">
        <v>146.08879967332064</v>
      </c>
      <c r="Q109" s="642">
        <v>3.3506823845440552</v>
      </c>
      <c r="R109" s="642">
        <v>0</v>
      </c>
      <c r="S109" s="650">
        <v>227.90858744515972</v>
      </c>
      <c r="U109" s="648" t="s">
        <v>81</v>
      </c>
      <c r="V109" s="642">
        <v>0</v>
      </c>
      <c r="W109" s="642">
        <v>0</v>
      </c>
      <c r="X109" s="642">
        <v>0.55102356567889155</v>
      </c>
      <c r="Y109" s="642">
        <v>0</v>
      </c>
      <c r="Z109" s="642">
        <v>0</v>
      </c>
      <c r="AA109" s="642">
        <v>0</v>
      </c>
      <c r="AB109" s="642">
        <v>6.5361621549849476</v>
      </c>
      <c r="AC109" s="642">
        <v>2.5363417285398034E-2</v>
      </c>
      <c r="AD109" s="642">
        <v>0</v>
      </c>
      <c r="AE109" s="642">
        <v>5.3379988256415478</v>
      </c>
      <c r="AF109" s="642">
        <v>15.069021727073199</v>
      </c>
      <c r="AG109" s="642">
        <v>1.4375946320597892</v>
      </c>
      <c r="AH109" s="642">
        <v>112.31243747223964</v>
      </c>
      <c r="AI109" s="642">
        <v>14.972206075305797</v>
      </c>
      <c r="AJ109" s="642">
        <v>0</v>
      </c>
      <c r="AK109" s="650">
        <v>156.24180787026921</v>
      </c>
    </row>
    <row r="110" spans="3:37" ht="13.5">
      <c r="C110" s="648" t="s">
        <v>82</v>
      </c>
      <c r="D110" s="642">
        <v>0</v>
      </c>
      <c r="E110" s="642">
        <v>0</v>
      </c>
      <c r="F110" s="642">
        <v>27.219719362233906</v>
      </c>
      <c r="G110" s="642">
        <v>0.81069667111944488</v>
      </c>
      <c r="H110" s="642">
        <v>0</v>
      </c>
      <c r="I110" s="642">
        <v>0</v>
      </c>
      <c r="J110" s="642">
        <v>5.0054618408177598</v>
      </c>
      <c r="K110" s="642">
        <v>0</v>
      </c>
      <c r="L110" s="642">
        <v>3.2629555410385191</v>
      </c>
      <c r="M110" s="642">
        <v>1.6544830022845812E-2</v>
      </c>
      <c r="N110" s="642">
        <v>0</v>
      </c>
      <c r="O110" s="642">
        <v>6.051975379409523E-2</v>
      </c>
      <c r="P110" s="642">
        <v>5.5235547180923223</v>
      </c>
      <c r="Q110" s="642">
        <v>0</v>
      </c>
      <c r="R110" s="642">
        <v>0</v>
      </c>
      <c r="S110" s="650">
        <v>41.899452717118898</v>
      </c>
      <c r="U110" s="648" t="s">
        <v>82</v>
      </c>
      <c r="V110" s="642">
        <v>0</v>
      </c>
      <c r="W110" s="642">
        <v>0</v>
      </c>
      <c r="X110" s="642">
        <v>0.67158967449506357</v>
      </c>
      <c r="Y110" s="642">
        <v>0</v>
      </c>
      <c r="Z110" s="642">
        <v>0</v>
      </c>
      <c r="AA110" s="642">
        <v>0</v>
      </c>
      <c r="AB110" s="642">
        <v>5.0054618408177598</v>
      </c>
      <c r="AC110" s="642">
        <v>0</v>
      </c>
      <c r="AD110" s="642">
        <v>35.167200828266267</v>
      </c>
      <c r="AE110" s="642">
        <v>0.86765586771995196</v>
      </c>
      <c r="AF110" s="642">
        <v>0</v>
      </c>
      <c r="AG110" s="642">
        <v>2.1874070050904897</v>
      </c>
      <c r="AH110" s="642">
        <v>5.6657335511185538</v>
      </c>
      <c r="AI110" s="642">
        <v>0</v>
      </c>
      <c r="AJ110" s="642">
        <v>0.44339331184266689</v>
      </c>
      <c r="AK110" s="650">
        <v>50.008442079350758</v>
      </c>
    </row>
    <row r="111" spans="3:37" ht="13.5">
      <c r="C111" s="648" t="s">
        <v>357</v>
      </c>
      <c r="D111" s="642">
        <v>0</v>
      </c>
      <c r="E111" s="642">
        <v>0</v>
      </c>
      <c r="F111" s="642">
        <v>0</v>
      </c>
      <c r="G111" s="642">
        <v>0</v>
      </c>
      <c r="H111" s="642">
        <v>0</v>
      </c>
      <c r="I111" s="642">
        <v>0</v>
      </c>
      <c r="J111" s="642">
        <v>0</v>
      </c>
      <c r="K111" s="642">
        <v>0</v>
      </c>
      <c r="L111" s="642">
        <v>0</v>
      </c>
      <c r="M111" s="642">
        <v>0</v>
      </c>
      <c r="N111" s="642">
        <v>0</v>
      </c>
      <c r="O111" s="642">
        <v>0</v>
      </c>
      <c r="P111" s="642">
        <v>0.44999999999999996</v>
      </c>
      <c r="Q111" s="642">
        <v>0</v>
      </c>
      <c r="R111" s="642">
        <v>0</v>
      </c>
      <c r="S111" s="650">
        <v>0.44999999999999996</v>
      </c>
      <c r="U111" s="648" t="s">
        <v>357</v>
      </c>
      <c r="V111" s="642">
        <v>0</v>
      </c>
      <c r="W111" s="642">
        <v>0</v>
      </c>
      <c r="X111" s="642">
        <v>0</v>
      </c>
      <c r="Y111" s="642">
        <v>0</v>
      </c>
      <c r="Z111" s="642">
        <v>0</v>
      </c>
      <c r="AA111" s="642">
        <v>0</v>
      </c>
      <c r="AB111" s="642">
        <v>0</v>
      </c>
      <c r="AC111" s="642">
        <v>0</v>
      </c>
      <c r="AD111" s="642">
        <v>0</v>
      </c>
      <c r="AE111" s="642">
        <v>0</v>
      </c>
      <c r="AF111" s="642">
        <v>0</v>
      </c>
      <c r="AG111" s="642">
        <v>0</v>
      </c>
      <c r="AH111" s="642">
        <v>6</v>
      </c>
      <c r="AI111" s="642">
        <v>0</v>
      </c>
      <c r="AJ111" s="642">
        <v>0</v>
      </c>
      <c r="AK111" s="650">
        <v>6</v>
      </c>
    </row>
    <row r="112" spans="3:37" ht="13.5">
      <c r="C112" s="646" t="s">
        <v>83</v>
      </c>
      <c r="D112" s="647">
        <v>3.6733927919712848</v>
      </c>
      <c r="E112" s="647">
        <v>0</v>
      </c>
      <c r="F112" s="647">
        <v>271.01966816424783</v>
      </c>
      <c r="G112" s="647">
        <v>255.79122918902203</v>
      </c>
      <c r="H112" s="647">
        <v>0</v>
      </c>
      <c r="I112" s="647">
        <v>0</v>
      </c>
      <c r="J112" s="647">
        <v>116.96131138117599</v>
      </c>
      <c r="K112" s="647">
        <v>1.7266732887522405</v>
      </c>
      <c r="L112" s="647">
        <v>25.166558400865188</v>
      </c>
      <c r="M112" s="647">
        <v>5.238424175077693</v>
      </c>
      <c r="N112" s="647">
        <v>75.083762899489528</v>
      </c>
      <c r="O112" s="647">
        <v>2.8624530156397006</v>
      </c>
      <c r="P112" s="647">
        <v>541.90719860025752</v>
      </c>
      <c r="Q112" s="647">
        <v>34.744016552062419</v>
      </c>
      <c r="R112" s="647">
        <v>3.1559026365968594</v>
      </c>
      <c r="S112" s="647">
        <v>1337.3305910951583</v>
      </c>
      <c r="U112" s="646" t="s">
        <v>83</v>
      </c>
      <c r="V112" s="647">
        <v>1.5000162600463405</v>
      </c>
      <c r="W112" s="647">
        <v>0</v>
      </c>
      <c r="X112" s="647">
        <v>11.642988856720871</v>
      </c>
      <c r="Y112" s="647">
        <v>0</v>
      </c>
      <c r="Z112" s="647">
        <v>0</v>
      </c>
      <c r="AA112" s="647">
        <v>0</v>
      </c>
      <c r="AB112" s="647">
        <v>72.998047331393281</v>
      </c>
      <c r="AC112" s="647">
        <v>4.1448350868904589</v>
      </c>
      <c r="AD112" s="647">
        <v>56.30488079443672</v>
      </c>
      <c r="AE112" s="647">
        <v>108.92560601395611</v>
      </c>
      <c r="AF112" s="647">
        <v>123.16818516374138</v>
      </c>
      <c r="AG112" s="647">
        <v>8.5623521411059595</v>
      </c>
      <c r="AH112" s="647">
        <v>512.22753841958684</v>
      </c>
      <c r="AI112" s="647">
        <v>68.423763504668656</v>
      </c>
      <c r="AJ112" s="647">
        <v>16.512616402642333</v>
      </c>
      <c r="AK112" s="647">
        <v>984.4108299751889</v>
      </c>
    </row>
    <row r="113" spans="3:37" ht="13.5">
      <c r="C113" s="641" t="s">
        <v>84</v>
      </c>
      <c r="D113" s="642">
        <v>0</v>
      </c>
      <c r="E113" s="642">
        <v>0</v>
      </c>
      <c r="F113" s="642">
        <v>100.05515171814793</v>
      </c>
      <c r="G113" s="642">
        <v>11.196954266678716</v>
      </c>
      <c r="H113" s="642">
        <v>0</v>
      </c>
      <c r="I113" s="642">
        <v>0</v>
      </c>
      <c r="J113" s="642">
        <v>0</v>
      </c>
      <c r="K113" s="642">
        <v>0</v>
      </c>
      <c r="L113" s="642">
        <v>0</v>
      </c>
      <c r="M113" s="642">
        <v>0</v>
      </c>
      <c r="N113" s="642">
        <v>0</v>
      </c>
      <c r="O113" s="642">
        <v>0</v>
      </c>
      <c r="P113" s="642">
        <v>0</v>
      </c>
      <c r="Q113" s="642">
        <v>0</v>
      </c>
      <c r="R113" s="642">
        <v>3.9154347726113912</v>
      </c>
      <c r="S113" s="650">
        <v>115.16754075743803</v>
      </c>
      <c r="U113" s="641" t="s">
        <v>84</v>
      </c>
      <c r="V113" s="642">
        <v>0</v>
      </c>
      <c r="W113" s="642">
        <v>0</v>
      </c>
      <c r="X113" s="642">
        <v>57.953190468871433</v>
      </c>
      <c r="Y113" s="642">
        <v>0.51452681198611927</v>
      </c>
      <c r="Z113" s="642">
        <v>0</v>
      </c>
      <c r="AA113" s="642">
        <v>0</v>
      </c>
      <c r="AB113" s="642">
        <v>0</v>
      </c>
      <c r="AC113" s="642">
        <v>0</v>
      </c>
      <c r="AD113" s="642">
        <v>30.108432000732424</v>
      </c>
      <c r="AE113" s="642">
        <v>0</v>
      </c>
      <c r="AF113" s="642">
        <v>0</v>
      </c>
      <c r="AG113" s="642">
        <v>0</v>
      </c>
      <c r="AH113" s="642">
        <v>0</v>
      </c>
      <c r="AI113" s="642">
        <v>0</v>
      </c>
      <c r="AJ113" s="642">
        <v>20.543554244995118</v>
      </c>
      <c r="AK113" s="650">
        <v>109.1197035265851</v>
      </c>
    </row>
    <row r="114" spans="3:37" ht="13.5">
      <c r="C114" s="646" t="s">
        <v>85</v>
      </c>
      <c r="D114" s="647">
        <v>3.6733927919712848</v>
      </c>
      <c r="E114" s="647">
        <v>0</v>
      </c>
      <c r="F114" s="647">
        <v>371.07481988239573</v>
      </c>
      <c r="G114" s="647">
        <v>266.98818345570078</v>
      </c>
      <c r="H114" s="647">
        <v>0</v>
      </c>
      <c r="I114" s="647">
        <v>0</v>
      </c>
      <c r="J114" s="647">
        <v>116.96131138117599</v>
      </c>
      <c r="K114" s="647">
        <v>1.7266732887522405</v>
      </c>
      <c r="L114" s="647">
        <v>25.166558400865188</v>
      </c>
      <c r="M114" s="647">
        <v>5.238424175077693</v>
      </c>
      <c r="N114" s="647">
        <v>75.083762899489528</v>
      </c>
      <c r="O114" s="647">
        <v>2.8624530156397006</v>
      </c>
      <c r="P114" s="647">
        <v>541.90719860025752</v>
      </c>
      <c r="Q114" s="647">
        <v>34.744016552062419</v>
      </c>
      <c r="R114" s="647">
        <v>7.071337409208251</v>
      </c>
      <c r="S114" s="647">
        <v>1452.4981318525963</v>
      </c>
      <c r="U114" s="646" t="s">
        <v>85</v>
      </c>
      <c r="V114" s="647">
        <v>1.5000162600463405</v>
      </c>
      <c r="W114" s="647">
        <v>0</v>
      </c>
      <c r="X114" s="647">
        <v>69.596179325592303</v>
      </c>
      <c r="Y114" s="647">
        <v>0.51452681198611927</v>
      </c>
      <c r="Z114" s="647">
        <v>0</v>
      </c>
      <c r="AA114" s="647">
        <v>0</v>
      </c>
      <c r="AB114" s="647">
        <v>72.998047331393281</v>
      </c>
      <c r="AC114" s="647">
        <v>4.1448350868904589</v>
      </c>
      <c r="AD114" s="647">
        <v>86.413312795169148</v>
      </c>
      <c r="AE114" s="647">
        <v>108.92560601395611</v>
      </c>
      <c r="AF114" s="647">
        <v>123.16818516374138</v>
      </c>
      <c r="AG114" s="647">
        <v>8.5623521411059595</v>
      </c>
      <c r="AH114" s="647">
        <v>512.22753841958684</v>
      </c>
      <c r="AI114" s="647">
        <v>68.423763504668656</v>
      </c>
      <c r="AJ114" s="647">
        <v>37.056170647637451</v>
      </c>
      <c r="AK114" s="647">
        <v>1093.530533501774</v>
      </c>
    </row>
    <row r="115" spans="3:37" ht="13">
      <c r="C115" s="636"/>
      <c r="D115" s="636"/>
      <c r="E115" s="636"/>
      <c r="F115" s="636"/>
      <c r="G115" s="636"/>
      <c r="H115" s="636"/>
      <c r="I115" s="636"/>
      <c r="J115" s="636"/>
      <c r="K115" s="636"/>
      <c r="L115" s="636"/>
      <c r="M115" s="636"/>
      <c r="N115" s="636"/>
      <c r="O115" s="636"/>
      <c r="P115" s="636"/>
      <c r="Q115" s="636"/>
      <c r="R115" s="636"/>
      <c r="S115" s="636"/>
      <c r="U115" s="636"/>
      <c r="V115" s="636"/>
      <c r="W115" s="636"/>
      <c r="X115" s="636"/>
      <c r="Y115" s="636"/>
      <c r="Z115" s="636"/>
      <c r="AA115" s="636"/>
      <c r="AB115" s="636"/>
      <c r="AC115" s="636"/>
      <c r="AD115" s="636"/>
      <c r="AE115" s="636"/>
      <c r="AF115" s="636"/>
      <c r="AG115" s="636"/>
      <c r="AH115" s="636"/>
      <c r="AI115" s="636"/>
      <c r="AJ115" s="636"/>
      <c r="AK115" s="636"/>
    </row>
    <row r="116" spans="3:37" ht="13">
      <c r="C116" s="636"/>
      <c r="D116" s="636"/>
      <c r="E116" s="636"/>
      <c r="F116" s="636"/>
      <c r="G116" s="636"/>
      <c r="H116" s="636"/>
      <c r="I116" s="636"/>
      <c r="J116" s="636"/>
      <c r="K116" s="636"/>
      <c r="L116" s="636"/>
      <c r="M116" s="636"/>
      <c r="N116" s="636"/>
      <c r="O116" s="636"/>
      <c r="P116" s="636"/>
      <c r="Q116" s="636"/>
      <c r="R116" s="636"/>
      <c r="S116" s="636"/>
      <c r="U116" s="636"/>
      <c r="V116" s="636"/>
      <c r="W116" s="636"/>
      <c r="X116" s="636"/>
      <c r="Y116" s="636"/>
      <c r="Z116" s="636"/>
      <c r="AA116" s="636"/>
      <c r="AB116" s="636"/>
      <c r="AC116" s="636"/>
      <c r="AD116" s="636"/>
      <c r="AE116" s="636"/>
      <c r="AF116" s="636"/>
      <c r="AG116" s="636"/>
      <c r="AH116" s="636"/>
      <c r="AI116" s="636"/>
      <c r="AJ116" s="636"/>
      <c r="AK116" s="636"/>
    </row>
  </sheetData>
  <mergeCells count="80">
    <mergeCell ref="AH82:AH83"/>
    <mergeCell ref="AI82:AI83"/>
    <mergeCell ref="AJ82:AJ83"/>
    <mergeCell ref="AK82:AK83"/>
    <mergeCell ref="W82:W83"/>
    <mergeCell ref="X82:X83"/>
    <mergeCell ref="Y82:Y83"/>
    <mergeCell ref="Z82:Z83"/>
    <mergeCell ref="AA82:AA83"/>
    <mergeCell ref="AB82:AG82"/>
    <mergeCell ref="V82:V83"/>
    <mergeCell ref="C80:S80"/>
    <mergeCell ref="U80:AK80"/>
    <mergeCell ref="C82:C83"/>
    <mergeCell ref="D82:D83"/>
    <mergeCell ref="E82:E83"/>
    <mergeCell ref="F82:F83"/>
    <mergeCell ref="G82:G83"/>
    <mergeCell ref="H82:H83"/>
    <mergeCell ref="I82:I83"/>
    <mergeCell ref="J82:O82"/>
    <mergeCell ref="P82:P83"/>
    <mergeCell ref="Q82:Q83"/>
    <mergeCell ref="R82:R83"/>
    <mergeCell ref="S82:S83"/>
    <mergeCell ref="U82:U83"/>
    <mergeCell ref="AK46:AK47"/>
    <mergeCell ref="U46:U47"/>
    <mergeCell ref="V46:V47"/>
    <mergeCell ref="W46:W47"/>
    <mergeCell ref="X46:X47"/>
    <mergeCell ref="Y46:Y47"/>
    <mergeCell ref="Z46:Z47"/>
    <mergeCell ref="AA46:AA47"/>
    <mergeCell ref="AB46:AG46"/>
    <mergeCell ref="AH46:AH47"/>
    <mergeCell ref="AI46:AI47"/>
    <mergeCell ref="AJ46:AJ47"/>
    <mergeCell ref="S46:S47"/>
    <mergeCell ref="C46:C47"/>
    <mergeCell ref="D46:D47"/>
    <mergeCell ref="E46:E47"/>
    <mergeCell ref="F46:F47"/>
    <mergeCell ref="G46:G47"/>
    <mergeCell ref="H46:H47"/>
    <mergeCell ref="I46:I47"/>
    <mergeCell ref="J46:O46"/>
    <mergeCell ref="P46:P47"/>
    <mergeCell ref="Q46:Q47"/>
    <mergeCell ref="R46:R47"/>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s>
  <conditionalFormatting sqref="AG83">
    <cfRule type="cellIs" dxfId="13749" priority="1" operator="equal">
      <formula>0</formula>
    </cfRule>
  </conditionalFormatting>
  <conditionalFormatting sqref="P15:S17 E15:I17 J15:O16 Q12:S14 G12:G14 D12:D17 D18:S18">
    <cfRule type="cellIs" dxfId="13748" priority="315" operator="equal">
      <formula>0</formula>
    </cfRule>
  </conditionalFormatting>
  <conditionalFormatting sqref="P12:P17">
    <cfRule type="cellIs" dxfId="13747" priority="316" operator="equal">
      <formula>0</formula>
    </cfRule>
  </conditionalFormatting>
  <conditionalFormatting sqref="D12:E17 H12:I17">
    <cfRule type="cellIs" dxfId="13746" priority="317" operator="equal">
      <formula>0</formula>
    </cfRule>
  </conditionalFormatting>
  <conditionalFormatting sqref="F12:F17">
    <cfRule type="cellIs" dxfId="13745" priority="318" operator="equal">
      <formula>0</formula>
    </cfRule>
  </conditionalFormatting>
  <conditionalFormatting sqref="J15:J17">
    <cfRule type="cellIs" dxfId="13744" priority="319" operator="equal">
      <formula>0</formula>
    </cfRule>
  </conditionalFormatting>
  <conditionalFormatting sqref="J12:J17 K12:O12">
    <cfRule type="cellIs" dxfId="13743" priority="320" operator="equal">
      <formula>0</formula>
    </cfRule>
  </conditionalFormatting>
  <conditionalFormatting sqref="K15:K17">
    <cfRule type="cellIs" dxfId="13742" priority="321" operator="equal">
      <formula>0</formula>
    </cfRule>
  </conditionalFormatting>
  <conditionalFormatting sqref="K12:K17">
    <cfRule type="cellIs" dxfId="13741" priority="322" operator="equal">
      <formula>0</formula>
    </cfRule>
  </conditionalFormatting>
  <conditionalFormatting sqref="L15:L17">
    <cfRule type="cellIs" dxfId="13740" priority="323" operator="equal">
      <formula>0</formula>
    </cfRule>
  </conditionalFormatting>
  <conditionalFormatting sqref="L12:L17">
    <cfRule type="cellIs" dxfId="13739" priority="324" operator="equal">
      <formula>0</formula>
    </cfRule>
  </conditionalFormatting>
  <conditionalFormatting sqref="M15:M17">
    <cfRule type="cellIs" dxfId="13738" priority="325" operator="equal">
      <formula>0</formula>
    </cfRule>
  </conditionalFormatting>
  <conditionalFormatting sqref="M12:M17">
    <cfRule type="cellIs" dxfId="13737" priority="326" operator="equal">
      <formula>0</formula>
    </cfRule>
  </conditionalFormatting>
  <conditionalFormatting sqref="N15:N17">
    <cfRule type="cellIs" dxfId="13736" priority="327" operator="equal">
      <formula>0</formula>
    </cfRule>
  </conditionalFormatting>
  <conditionalFormatting sqref="N12:N17">
    <cfRule type="cellIs" dxfId="13735" priority="328" operator="equal">
      <formula>0</formula>
    </cfRule>
  </conditionalFormatting>
  <conditionalFormatting sqref="O15:O17">
    <cfRule type="cellIs" dxfId="13734" priority="329" operator="equal">
      <formula>0</formula>
    </cfRule>
  </conditionalFormatting>
  <conditionalFormatting sqref="O12:O17">
    <cfRule type="cellIs" dxfId="13733" priority="330" operator="equal">
      <formula>0</formula>
    </cfRule>
  </conditionalFormatting>
  <conditionalFormatting sqref="D12:S18">
    <cfRule type="expression" dxfId="13732" priority="331">
      <formula>LEN(TRIM(D12))=0</formula>
    </cfRule>
  </conditionalFormatting>
  <conditionalFormatting sqref="L15:L16">
    <cfRule type="cellIs" dxfId="13731" priority="332" operator="equal">
      <formula>0</formula>
    </cfRule>
  </conditionalFormatting>
  <conditionalFormatting sqref="M15:M16">
    <cfRule type="cellIs" dxfId="13730" priority="333" operator="equal">
      <formula>0</formula>
    </cfRule>
  </conditionalFormatting>
  <conditionalFormatting sqref="N15:O15">
    <cfRule type="cellIs" dxfId="13729" priority="334" operator="equal">
      <formula>0</formula>
    </cfRule>
  </conditionalFormatting>
  <conditionalFormatting sqref="N16:O16">
    <cfRule type="cellIs" dxfId="13728" priority="335" operator="equal">
      <formula>0</formula>
    </cfRule>
  </conditionalFormatting>
  <conditionalFormatting sqref="E29:G29 D30:G31 H29:I31 D25:I28 J25:R31 D20:S20 D32:R32 D21:I22 S21:S32 P21:R22">
    <cfRule type="cellIs" dxfId="13727" priority="309" operator="equal">
      <formula>0</formula>
    </cfRule>
  </conditionalFormatting>
  <conditionalFormatting sqref="D29">
    <cfRule type="cellIs" dxfId="13726" priority="310" operator="equal">
      <formula>0</formula>
    </cfRule>
  </conditionalFormatting>
  <conditionalFormatting sqref="D20:S20 D25:R32 D21:I22 S21:S32 P21:R22">
    <cfRule type="expression" dxfId="13725" priority="311">
      <formula>LEN(TRIM(D20))=0</formula>
    </cfRule>
  </conditionalFormatting>
  <conditionalFormatting sqref="D23:R24">
    <cfRule type="cellIs" dxfId="13724" priority="312" operator="equal">
      <formula>0</formula>
    </cfRule>
  </conditionalFormatting>
  <conditionalFormatting sqref="P23:P24">
    <cfRule type="cellIs" dxfId="13723" priority="313" operator="equal">
      <formula>0</formula>
    </cfRule>
  </conditionalFormatting>
  <conditionalFormatting sqref="D23:R24">
    <cfRule type="expression" dxfId="13722" priority="314">
      <formula>LEN(TRIM(D23))=0</formula>
    </cfRule>
  </conditionalFormatting>
  <conditionalFormatting sqref="J21:O22">
    <cfRule type="cellIs" dxfId="13721" priority="307" operator="equal">
      <formula>0</formula>
    </cfRule>
  </conditionalFormatting>
  <conditionalFormatting sqref="J21:O22">
    <cfRule type="expression" dxfId="13720" priority="308">
      <formula>LEN(TRIM(J21))=0</formula>
    </cfRule>
  </conditionalFormatting>
  <conditionalFormatting sqref="D35:R40 S34:S39 S41 D34:I34 P34:R34">
    <cfRule type="cellIs" dxfId="13719" priority="301" operator="equal">
      <formula>0</formula>
    </cfRule>
  </conditionalFormatting>
  <conditionalFormatting sqref="D41:R41">
    <cfRule type="cellIs" dxfId="13718" priority="302" operator="equal">
      <formula>0</formula>
    </cfRule>
  </conditionalFormatting>
  <conditionalFormatting sqref="D35:S39 D41:S41 D40:R40 D34:I34 P34:S34">
    <cfRule type="expression" dxfId="13717" priority="303">
      <formula>LEN(TRIM(D34))=0</formula>
    </cfRule>
  </conditionalFormatting>
  <conditionalFormatting sqref="D41:R41">
    <cfRule type="cellIs" dxfId="13716" priority="304" operator="equal">
      <formula>0</formula>
    </cfRule>
  </conditionalFormatting>
  <conditionalFormatting sqref="D42:R42">
    <cfRule type="cellIs" dxfId="13715" priority="305" operator="equal">
      <formula>0</formula>
    </cfRule>
  </conditionalFormatting>
  <conditionalFormatting sqref="D42:R42">
    <cfRule type="expression" dxfId="13714" priority="306">
      <formula>LEN(TRIM(D42))=0</formula>
    </cfRule>
  </conditionalFormatting>
  <conditionalFormatting sqref="S42">
    <cfRule type="cellIs" dxfId="13713" priority="299" operator="equal">
      <formula>0</formula>
    </cfRule>
  </conditionalFormatting>
  <conditionalFormatting sqref="S42">
    <cfRule type="expression" dxfId="13712" priority="300">
      <formula>LEN(TRIM(S42))=0</formula>
    </cfRule>
  </conditionalFormatting>
  <conditionalFormatting sqref="S40">
    <cfRule type="cellIs" dxfId="13711" priority="297" operator="equal">
      <formula>0</formula>
    </cfRule>
  </conditionalFormatting>
  <conditionalFormatting sqref="S40">
    <cfRule type="expression" dxfId="13710" priority="298">
      <formula>LEN(TRIM(S40))=0</formula>
    </cfRule>
  </conditionalFormatting>
  <conditionalFormatting sqref="J34:O34">
    <cfRule type="cellIs" dxfId="13709" priority="295" operator="equal">
      <formula>0</formula>
    </cfRule>
  </conditionalFormatting>
  <conditionalFormatting sqref="J34:O34">
    <cfRule type="expression" dxfId="13708" priority="296">
      <formula>LEN(TRIM(J34))=0</formula>
    </cfRule>
  </conditionalFormatting>
  <conditionalFormatting sqref="P51:S53 E51:I53 J51:O52 Q48:S50 G48:G50 D48:D53 D54:S54">
    <cfRule type="cellIs" dxfId="13707" priority="274" operator="equal">
      <formula>0</formula>
    </cfRule>
  </conditionalFormatting>
  <conditionalFormatting sqref="P48:P53">
    <cfRule type="cellIs" dxfId="13706" priority="275" operator="equal">
      <formula>0</formula>
    </cfRule>
  </conditionalFormatting>
  <conditionalFormatting sqref="D48:E53 H48:I53">
    <cfRule type="cellIs" dxfId="13705" priority="276" operator="equal">
      <formula>0</formula>
    </cfRule>
  </conditionalFormatting>
  <conditionalFormatting sqref="F48:F53">
    <cfRule type="cellIs" dxfId="13704" priority="277" operator="equal">
      <formula>0</formula>
    </cfRule>
  </conditionalFormatting>
  <conditionalFormatting sqref="J51:J53">
    <cfRule type="cellIs" dxfId="13703" priority="278" operator="equal">
      <formula>0</formula>
    </cfRule>
  </conditionalFormatting>
  <conditionalFormatting sqref="J48:J53 K48:O48">
    <cfRule type="cellIs" dxfId="13702" priority="279" operator="equal">
      <formula>0</formula>
    </cfRule>
  </conditionalFormatting>
  <conditionalFormatting sqref="K51:K53">
    <cfRule type="cellIs" dxfId="13701" priority="280" operator="equal">
      <formula>0</formula>
    </cfRule>
  </conditionalFormatting>
  <conditionalFormatting sqref="K48:K53">
    <cfRule type="cellIs" dxfId="13700" priority="281" operator="equal">
      <formula>0</formula>
    </cfRule>
  </conditionalFormatting>
  <conditionalFormatting sqref="L51:L53">
    <cfRule type="cellIs" dxfId="13699" priority="282" operator="equal">
      <formula>0</formula>
    </cfRule>
  </conditionalFormatting>
  <conditionalFormatting sqref="L48:L53">
    <cfRule type="cellIs" dxfId="13698" priority="283" operator="equal">
      <formula>0</formula>
    </cfRule>
  </conditionalFormatting>
  <conditionalFormatting sqref="M51:M53">
    <cfRule type="cellIs" dxfId="13697" priority="284" operator="equal">
      <formula>0</formula>
    </cfRule>
  </conditionalFormatting>
  <conditionalFormatting sqref="M48:M53">
    <cfRule type="cellIs" dxfId="13696" priority="285" operator="equal">
      <formula>0</formula>
    </cfRule>
  </conditionalFormatting>
  <conditionalFormatting sqref="N51:N53">
    <cfRule type="cellIs" dxfId="13695" priority="286" operator="equal">
      <formula>0</formula>
    </cfRule>
  </conditionalFormatting>
  <conditionalFormatting sqref="N48:N53">
    <cfRule type="cellIs" dxfId="13694" priority="287" operator="equal">
      <formula>0</formula>
    </cfRule>
  </conditionalFormatting>
  <conditionalFormatting sqref="O51:O53">
    <cfRule type="cellIs" dxfId="13693" priority="288" operator="equal">
      <formula>0</formula>
    </cfRule>
  </conditionalFormatting>
  <conditionalFormatting sqref="O48:O53">
    <cfRule type="cellIs" dxfId="13692" priority="289" operator="equal">
      <formula>0</formula>
    </cfRule>
  </conditionalFormatting>
  <conditionalFormatting sqref="D48:S54">
    <cfRule type="expression" dxfId="13691" priority="290">
      <formula>LEN(TRIM(D48))=0</formula>
    </cfRule>
  </conditionalFormatting>
  <conditionalFormatting sqref="L51:L52">
    <cfRule type="cellIs" dxfId="13690" priority="291" operator="equal">
      <formula>0</formula>
    </cfRule>
  </conditionalFormatting>
  <conditionalFormatting sqref="M51:M52">
    <cfRule type="cellIs" dxfId="13689" priority="292" operator="equal">
      <formula>0</formula>
    </cfRule>
  </conditionalFormatting>
  <conditionalFormatting sqref="N51:O51">
    <cfRule type="cellIs" dxfId="13688" priority="293" operator="equal">
      <formula>0</formula>
    </cfRule>
  </conditionalFormatting>
  <conditionalFormatting sqref="N52:O52">
    <cfRule type="cellIs" dxfId="13687" priority="294" operator="equal">
      <formula>0</formula>
    </cfRule>
  </conditionalFormatting>
  <conditionalFormatting sqref="E65:G65 D66:G67 H65:I67 D61:I64 J61:R67 D56:S56 D68:R68 D57:I58 S57:S68 P57:R58">
    <cfRule type="cellIs" dxfId="13686" priority="268" operator="equal">
      <formula>0</formula>
    </cfRule>
  </conditionalFormatting>
  <conditionalFormatting sqref="D65">
    <cfRule type="cellIs" dxfId="13685" priority="269" operator="equal">
      <formula>0</formula>
    </cfRule>
  </conditionalFormatting>
  <conditionalFormatting sqref="D56:S56 D61:R68 D57:I58 S57:S68 P57:R58">
    <cfRule type="expression" dxfId="13684" priority="270">
      <formula>LEN(TRIM(D56))=0</formula>
    </cfRule>
  </conditionalFormatting>
  <conditionalFormatting sqref="D59:R60">
    <cfRule type="cellIs" dxfId="13683" priority="271" operator="equal">
      <formula>0</formula>
    </cfRule>
  </conditionalFormatting>
  <conditionalFormatting sqref="P59:P60">
    <cfRule type="cellIs" dxfId="13682" priority="272" operator="equal">
      <formula>0</formula>
    </cfRule>
  </conditionalFormatting>
  <conditionalFormatting sqref="D59:R60">
    <cfRule type="expression" dxfId="13681" priority="273">
      <formula>LEN(TRIM(D59))=0</formula>
    </cfRule>
  </conditionalFormatting>
  <conditionalFormatting sqref="J57:O58">
    <cfRule type="cellIs" dxfId="13680" priority="266" operator="equal">
      <formula>0</formula>
    </cfRule>
  </conditionalFormatting>
  <conditionalFormatting sqref="J57:O58">
    <cfRule type="expression" dxfId="13679" priority="267">
      <formula>LEN(TRIM(J57))=0</formula>
    </cfRule>
  </conditionalFormatting>
  <conditionalFormatting sqref="D71:R76 S70:S75 S77 D70:I70 P70:R70">
    <cfRule type="cellIs" dxfId="13678" priority="260" operator="equal">
      <formula>0</formula>
    </cfRule>
  </conditionalFormatting>
  <conditionalFormatting sqref="D77:R77">
    <cfRule type="cellIs" dxfId="13677" priority="261" operator="equal">
      <formula>0</formula>
    </cfRule>
  </conditionalFormatting>
  <conditionalFormatting sqref="D71:S75 D77:S77 D76:R76 D70:I70 P70:S70">
    <cfRule type="expression" dxfId="13676" priority="262">
      <formula>LEN(TRIM(D70))=0</formula>
    </cfRule>
  </conditionalFormatting>
  <conditionalFormatting sqref="D77:R77">
    <cfRule type="cellIs" dxfId="13675" priority="263" operator="equal">
      <formula>0</formula>
    </cfRule>
  </conditionalFormatting>
  <conditionalFormatting sqref="D78:R78">
    <cfRule type="cellIs" dxfId="13674" priority="264" operator="equal">
      <formula>0</formula>
    </cfRule>
  </conditionalFormatting>
  <conditionalFormatting sqref="D78:R78">
    <cfRule type="expression" dxfId="13673" priority="265">
      <formula>LEN(TRIM(D78))=0</formula>
    </cfRule>
  </conditionalFormatting>
  <conditionalFormatting sqref="S78">
    <cfRule type="cellIs" dxfId="13672" priority="258" operator="equal">
      <formula>0</formula>
    </cfRule>
  </conditionalFormatting>
  <conditionalFormatting sqref="S78">
    <cfRule type="expression" dxfId="13671" priority="259">
      <formula>LEN(TRIM(S78))=0</formula>
    </cfRule>
  </conditionalFormatting>
  <conditionalFormatting sqref="S76">
    <cfRule type="cellIs" dxfId="13670" priority="256" operator="equal">
      <formula>0</formula>
    </cfRule>
  </conditionalFormatting>
  <conditionalFormatting sqref="S76">
    <cfRule type="expression" dxfId="13669" priority="257">
      <formula>LEN(TRIM(S76))=0</formula>
    </cfRule>
  </conditionalFormatting>
  <conditionalFormatting sqref="J70:O70">
    <cfRule type="cellIs" dxfId="13668" priority="254" operator="equal">
      <formula>0</formula>
    </cfRule>
  </conditionalFormatting>
  <conditionalFormatting sqref="J70:O70">
    <cfRule type="expression" dxfId="13667" priority="255">
      <formula>LEN(TRIM(J70))=0</formula>
    </cfRule>
  </conditionalFormatting>
  <conditionalFormatting sqref="P87:S89 E87:I89 J87:O88 Q84:S86 G84:G86 D84:D89 D90:S90">
    <cfRule type="cellIs" dxfId="13666" priority="233" operator="equal">
      <formula>0</formula>
    </cfRule>
  </conditionalFormatting>
  <conditionalFormatting sqref="P84:P89">
    <cfRule type="cellIs" dxfId="13665" priority="234" operator="equal">
      <formula>0</formula>
    </cfRule>
  </conditionalFormatting>
  <conditionalFormatting sqref="D84:E89 H84:I89">
    <cfRule type="cellIs" dxfId="13664" priority="235" operator="equal">
      <formula>0</formula>
    </cfRule>
  </conditionalFormatting>
  <conditionalFormatting sqref="F84:F89">
    <cfRule type="cellIs" dxfId="13663" priority="236" operator="equal">
      <formula>0</formula>
    </cfRule>
  </conditionalFormatting>
  <conditionalFormatting sqref="J87:J89">
    <cfRule type="cellIs" dxfId="13662" priority="237" operator="equal">
      <formula>0</formula>
    </cfRule>
  </conditionalFormatting>
  <conditionalFormatting sqref="J84:J89 K84:O84">
    <cfRule type="cellIs" dxfId="13661" priority="238" operator="equal">
      <formula>0</formula>
    </cfRule>
  </conditionalFormatting>
  <conditionalFormatting sqref="K87:K89">
    <cfRule type="cellIs" dxfId="13660" priority="239" operator="equal">
      <formula>0</formula>
    </cfRule>
  </conditionalFormatting>
  <conditionalFormatting sqref="K84:K89">
    <cfRule type="cellIs" dxfId="13659" priority="240" operator="equal">
      <formula>0</formula>
    </cfRule>
  </conditionalFormatting>
  <conditionalFormatting sqref="L87:L89">
    <cfRule type="cellIs" dxfId="13658" priority="241" operator="equal">
      <formula>0</formula>
    </cfRule>
  </conditionalFormatting>
  <conditionalFormatting sqref="L84:L89">
    <cfRule type="cellIs" dxfId="13657" priority="242" operator="equal">
      <formula>0</formula>
    </cfRule>
  </conditionalFormatting>
  <conditionalFormatting sqref="M87:M89">
    <cfRule type="cellIs" dxfId="13656" priority="243" operator="equal">
      <formula>0</formula>
    </cfRule>
  </conditionalFormatting>
  <conditionalFormatting sqref="M84:M89">
    <cfRule type="cellIs" dxfId="13655" priority="244" operator="equal">
      <formula>0</formula>
    </cfRule>
  </conditionalFormatting>
  <conditionalFormatting sqref="N87:N89">
    <cfRule type="cellIs" dxfId="13654" priority="245" operator="equal">
      <formula>0</formula>
    </cfRule>
  </conditionalFormatting>
  <conditionalFormatting sqref="N84:N89">
    <cfRule type="cellIs" dxfId="13653" priority="246" operator="equal">
      <formula>0</formula>
    </cfRule>
  </conditionalFormatting>
  <conditionalFormatting sqref="O87:O89">
    <cfRule type="cellIs" dxfId="13652" priority="247" operator="equal">
      <formula>0</formula>
    </cfRule>
  </conditionalFormatting>
  <conditionalFormatting sqref="O84:O89">
    <cfRule type="cellIs" dxfId="13651" priority="248" operator="equal">
      <formula>0</formula>
    </cfRule>
  </conditionalFormatting>
  <conditionalFormatting sqref="D84:S90">
    <cfRule type="expression" dxfId="13650" priority="249">
      <formula>LEN(TRIM(D84))=0</formula>
    </cfRule>
  </conditionalFormatting>
  <conditionalFormatting sqref="L87:L88">
    <cfRule type="cellIs" dxfId="13649" priority="250" operator="equal">
      <formula>0</formula>
    </cfRule>
  </conditionalFormatting>
  <conditionalFormatting sqref="M87:M88">
    <cfRule type="cellIs" dxfId="13648" priority="251" operator="equal">
      <formula>0</formula>
    </cfRule>
  </conditionalFormatting>
  <conditionalFormatting sqref="N87:O87">
    <cfRule type="cellIs" dxfId="13647" priority="252" operator="equal">
      <formula>0</formula>
    </cfRule>
  </conditionalFormatting>
  <conditionalFormatting sqref="N88:O88">
    <cfRule type="cellIs" dxfId="13646" priority="253" operator="equal">
      <formula>0</formula>
    </cfRule>
  </conditionalFormatting>
  <conditionalFormatting sqref="E101:G101 D102:G103 H101:I103 D97:I100 J97:R103 D92:S92 D104:R104 D93:I94 S93:S104 P93:R94">
    <cfRule type="cellIs" dxfId="13645" priority="227" operator="equal">
      <formula>0</formula>
    </cfRule>
  </conditionalFormatting>
  <conditionalFormatting sqref="D101">
    <cfRule type="cellIs" dxfId="13644" priority="228" operator="equal">
      <formula>0</formula>
    </cfRule>
  </conditionalFormatting>
  <conditionalFormatting sqref="D92:S92 D97:R104 D93:I94 S93:S104 P93:R94">
    <cfRule type="expression" dxfId="13643" priority="229">
      <formula>LEN(TRIM(D92))=0</formula>
    </cfRule>
  </conditionalFormatting>
  <conditionalFormatting sqref="D95:R96">
    <cfRule type="cellIs" dxfId="13642" priority="230" operator="equal">
      <formula>0</formula>
    </cfRule>
  </conditionalFormatting>
  <conditionalFormatting sqref="P95:P96">
    <cfRule type="cellIs" dxfId="13641" priority="231" operator="equal">
      <formula>0</formula>
    </cfRule>
  </conditionalFormatting>
  <conditionalFormatting sqref="D95:R96">
    <cfRule type="expression" dxfId="13640" priority="232">
      <formula>LEN(TRIM(D95))=0</formula>
    </cfRule>
  </conditionalFormatting>
  <conditionalFormatting sqref="J93:O94">
    <cfRule type="cellIs" dxfId="13639" priority="225" operator="equal">
      <formula>0</formula>
    </cfRule>
  </conditionalFormatting>
  <conditionalFormatting sqref="J93:O94">
    <cfRule type="expression" dxfId="13638" priority="226">
      <formula>LEN(TRIM(J93))=0</formula>
    </cfRule>
  </conditionalFormatting>
  <conditionalFormatting sqref="D107:R112 S106:S111 S113 D106:I106 P106:R106">
    <cfRule type="cellIs" dxfId="13637" priority="219" operator="equal">
      <formula>0</formula>
    </cfRule>
  </conditionalFormatting>
  <conditionalFormatting sqref="D113:R113">
    <cfRule type="cellIs" dxfId="13636" priority="220" operator="equal">
      <formula>0</formula>
    </cfRule>
  </conditionalFormatting>
  <conditionalFormatting sqref="D107:S111 D113:S113 D112:R112 D106:I106 P106:S106">
    <cfRule type="expression" dxfId="13635" priority="221">
      <formula>LEN(TRIM(D106))=0</formula>
    </cfRule>
  </conditionalFormatting>
  <conditionalFormatting sqref="D113:R113">
    <cfRule type="cellIs" dxfId="13634" priority="222" operator="equal">
      <formula>0</formula>
    </cfRule>
  </conditionalFormatting>
  <conditionalFormatting sqref="D114:R114">
    <cfRule type="cellIs" dxfId="13633" priority="223" operator="equal">
      <formula>0</formula>
    </cfRule>
  </conditionalFormatting>
  <conditionalFormatting sqref="D114:R114">
    <cfRule type="expression" dxfId="13632" priority="224">
      <formula>LEN(TRIM(D114))=0</formula>
    </cfRule>
  </conditionalFormatting>
  <conditionalFormatting sqref="S114">
    <cfRule type="cellIs" dxfId="13631" priority="217" operator="equal">
      <formula>0</formula>
    </cfRule>
  </conditionalFormatting>
  <conditionalFormatting sqref="S114">
    <cfRule type="expression" dxfId="13630" priority="218">
      <formula>LEN(TRIM(S114))=0</formula>
    </cfRule>
  </conditionalFormatting>
  <conditionalFormatting sqref="S112">
    <cfRule type="cellIs" dxfId="13629" priority="215" operator="equal">
      <formula>0</formula>
    </cfRule>
  </conditionalFormatting>
  <conditionalFormatting sqref="S112">
    <cfRule type="expression" dxfId="13628" priority="216">
      <formula>LEN(TRIM(S112))=0</formula>
    </cfRule>
  </conditionalFormatting>
  <conditionalFormatting sqref="J106:O106">
    <cfRule type="cellIs" dxfId="13627" priority="213" operator="equal">
      <formula>0</formula>
    </cfRule>
  </conditionalFormatting>
  <conditionalFormatting sqref="J106:O106">
    <cfRule type="expression" dxfId="13626" priority="214">
      <formula>LEN(TRIM(J106))=0</formula>
    </cfRule>
  </conditionalFormatting>
  <conditionalFormatting sqref="AH15:AK17 W15:AA17 AB15:AG16 AI12:AK14 Y12:Y14 V12:V17 V18:AK18">
    <cfRule type="cellIs" dxfId="13625" priority="151" operator="equal">
      <formula>0</formula>
    </cfRule>
  </conditionalFormatting>
  <conditionalFormatting sqref="AH12:AH17">
    <cfRule type="cellIs" dxfId="13624" priority="152" operator="equal">
      <formula>0</formula>
    </cfRule>
  </conditionalFormatting>
  <conditionalFormatting sqref="V12:W17 Z12:AA17">
    <cfRule type="cellIs" dxfId="13623" priority="153" operator="equal">
      <formula>0</formula>
    </cfRule>
  </conditionalFormatting>
  <conditionalFormatting sqref="X12:X17">
    <cfRule type="cellIs" dxfId="13622" priority="154" operator="equal">
      <formula>0</formula>
    </cfRule>
  </conditionalFormatting>
  <conditionalFormatting sqref="AB15:AB17">
    <cfRule type="cellIs" dxfId="13621" priority="155" operator="equal">
      <formula>0</formula>
    </cfRule>
  </conditionalFormatting>
  <conditionalFormatting sqref="AB12:AB17 AC12:AG12">
    <cfRule type="cellIs" dxfId="13620" priority="156" operator="equal">
      <formula>0</formula>
    </cfRule>
  </conditionalFormatting>
  <conditionalFormatting sqref="AC15:AC17">
    <cfRule type="cellIs" dxfId="13619" priority="157" operator="equal">
      <formula>0</formula>
    </cfRule>
  </conditionalFormatting>
  <conditionalFormatting sqref="AC12:AC17">
    <cfRule type="cellIs" dxfId="13618" priority="158" operator="equal">
      <formula>0</formula>
    </cfRule>
  </conditionalFormatting>
  <conditionalFormatting sqref="AD15:AD17">
    <cfRule type="cellIs" dxfId="13617" priority="159" operator="equal">
      <formula>0</formula>
    </cfRule>
  </conditionalFormatting>
  <conditionalFormatting sqref="AD12:AD17">
    <cfRule type="cellIs" dxfId="13616" priority="160" operator="equal">
      <formula>0</formula>
    </cfRule>
  </conditionalFormatting>
  <conditionalFormatting sqref="AE15:AE17">
    <cfRule type="cellIs" dxfId="13615" priority="161" operator="equal">
      <formula>0</formula>
    </cfRule>
  </conditionalFormatting>
  <conditionalFormatting sqref="AE12:AE17">
    <cfRule type="cellIs" dxfId="13614" priority="162" operator="equal">
      <formula>0</formula>
    </cfRule>
  </conditionalFormatting>
  <conditionalFormatting sqref="AF15:AF17">
    <cfRule type="cellIs" dxfId="13613" priority="163" operator="equal">
      <formula>0</formula>
    </cfRule>
  </conditionalFormatting>
  <conditionalFormatting sqref="AF12:AF17">
    <cfRule type="cellIs" dxfId="13612" priority="164" operator="equal">
      <formula>0</formula>
    </cfRule>
  </conditionalFormatting>
  <conditionalFormatting sqref="AG15:AG17">
    <cfRule type="cellIs" dxfId="13611" priority="165" operator="equal">
      <formula>0</formula>
    </cfRule>
  </conditionalFormatting>
  <conditionalFormatting sqref="AG12:AG17">
    <cfRule type="cellIs" dxfId="13610" priority="166" operator="equal">
      <formula>0</formula>
    </cfRule>
  </conditionalFormatting>
  <conditionalFormatting sqref="V12:AK18">
    <cfRule type="expression" dxfId="13609" priority="167">
      <formula>LEN(TRIM(V12))=0</formula>
    </cfRule>
  </conditionalFormatting>
  <conditionalFormatting sqref="AD15:AD16">
    <cfRule type="cellIs" dxfId="13608" priority="168" operator="equal">
      <formula>0</formula>
    </cfRule>
  </conditionalFormatting>
  <conditionalFormatting sqref="AE15:AE16">
    <cfRule type="cellIs" dxfId="13607" priority="169" operator="equal">
      <formula>0</formula>
    </cfRule>
  </conditionalFormatting>
  <conditionalFormatting sqref="AF15:AG15">
    <cfRule type="cellIs" dxfId="13606" priority="170" operator="equal">
      <formula>0</formula>
    </cfRule>
  </conditionalFormatting>
  <conditionalFormatting sqref="AF16:AG16">
    <cfRule type="cellIs" dxfId="13605" priority="171" operator="equal">
      <formula>0</formula>
    </cfRule>
  </conditionalFormatting>
  <conditionalFormatting sqref="W29:Y29 V30:Y31 Z29:AA31 V25:AA28 AB25:AJ31 V20:AK20 V32:AJ32 V21:AA22 AK21:AK32 AH21:AJ22">
    <cfRule type="cellIs" dxfId="13604" priority="145" operator="equal">
      <formula>0</formula>
    </cfRule>
  </conditionalFormatting>
  <conditionalFormatting sqref="V29">
    <cfRule type="cellIs" dxfId="13603" priority="146" operator="equal">
      <formula>0</formula>
    </cfRule>
  </conditionalFormatting>
  <conditionalFormatting sqref="V20:AK20 V25:AJ32 V21:AA22 AK21:AK32 AH21:AJ22">
    <cfRule type="expression" dxfId="13602" priority="147">
      <formula>LEN(TRIM(V20))=0</formula>
    </cfRule>
  </conditionalFormatting>
  <conditionalFormatting sqref="V23:AJ24">
    <cfRule type="cellIs" dxfId="13601" priority="148" operator="equal">
      <formula>0</formula>
    </cfRule>
  </conditionalFormatting>
  <conditionalFormatting sqref="AH23:AH24">
    <cfRule type="cellIs" dxfId="13600" priority="149" operator="equal">
      <formula>0</formula>
    </cfRule>
  </conditionalFormatting>
  <conditionalFormatting sqref="V23:AJ24">
    <cfRule type="expression" dxfId="13599" priority="150">
      <formula>LEN(TRIM(V23))=0</formula>
    </cfRule>
  </conditionalFormatting>
  <conditionalFormatting sqref="AB21:AG22">
    <cfRule type="cellIs" dxfId="13598" priority="143" operator="equal">
      <formula>0</formula>
    </cfRule>
  </conditionalFormatting>
  <conditionalFormatting sqref="AB21:AG22">
    <cfRule type="expression" dxfId="13597" priority="144">
      <formula>LEN(TRIM(AB21))=0</formula>
    </cfRule>
  </conditionalFormatting>
  <conditionalFormatting sqref="V35:AJ40 AK34:AK39 AK41 V34:AA34 AH34:AJ34">
    <cfRule type="cellIs" dxfId="13596" priority="137" operator="equal">
      <formula>0</formula>
    </cfRule>
  </conditionalFormatting>
  <conditionalFormatting sqref="V41:AJ41">
    <cfRule type="cellIs" dxfId="13595" priority="138" operator="equal">
      <formula>0</formula>
    </cfRule>
  </conditionalFormatting>
  <conditionalFormatting sqref="V35:AK39 V41:AK41 V40:AJ40 V34:AA34 AH34:AK34">
    <cfRule type="expression" dxfId="13594" priority="139">
      <formula>LEN(TRIM(V34))=0</formula>
    </cfRule>
  </conditionalFormatting>
  <conditionalFormatting sqref="V41:AJ41">
    <cfRule type="cellIs" dxfId="13593" priority="140" operator="equal">
      <formula>0</formula>
    </cfRule>
  </conditionalFormatting>
  <conditionalFormatting sqref="V42:AJ42">
    <cfRule type="cellIs" dxfId="13592" priority="141" operator="equal">
      <formula>0</formula>
    </cfRule>
  </conditionalFormatting>
  <conditionalFormatting sqref="V42:AJ42">
    <cfRule type="expression" dxfId="13591" priority="142">
      <formula>LEN(TRIM(V42))=0</formula>
    </cfRule>
  </conditionalFormatting>
  <conditionalFormatting sqref="AK42">
    <cfRule type="cellIs" dxfId="13590" priority="135" operator="equal">
      <formula>0</formula>
    </cfRule>
  </conditionalFormatting>
  <conditionalFormatting sqref="AK42">
    <cfRule type="expression" dxfId="13589" priority="136">
      <formula>LEN(TRIM(AK42))=0</formula>
    </cfRule>
  </conditionalFormatting>
  <conditionalFormatting sqref="AK40">
    <cfRule type="cellIs" dxfId="13588" priority="133" operator="equal">
      <formula>0</formula>
    </cfRule>
  </conditionalFormatting>
  <conditionalFormatting sqref="AK40">
    <cfRule type="expression" dxfId="13587" priority="134">
      <formula>LEN(TRIM(AK40))=0</formula>
    </cfRule>
  </conditionalFormatting>
  <conditionalFormatting sqref="AB34:AG34">
    <cfRule type="cellIs" dxfId="13586" priority="131" operator="equal">
      <formula>0</formula>
    </cfRule>
  </conditionalFormatting>
  <conditionalFormatting sqref="AB34:AG34">
    <cfRule type="expression" dxfId="13585" priority="132">
      <formula>LEN(TRIM(AB34))=0</formula>
    </cfRule>
  </conditionalFormatting>
  <conditionalFormatting sqref="AH51:AK53 W51:AA53 AB51:AG52 AI48:AK50 Y48:Y50 V48:V53 V54:AK54">
    <cfRule type="cellIs" dxfId="13584" priority="110" operator="equal">
      <formula>0</formula>
    </cfRule>
  </conditionalFormatting>
  <conditionalFormatting sqref="AH48:AH53">
    <cfRule type="cellIs" dxfId="13583" priority="111" operator="equal">
      <formula>0</formula>
    </cfRule>
  </conditionalFormatting>
  <conditionalFormatting sqref="V48:W53 Z48:AA53">
    <cfRule type="cellIs" dxfId="13582" priority="112" operator="equal">
      <formula>0</formula>
    </cfRule>
  </conditionalFormatting>
  <conditionalFormatting sqref="X48:X53">
    <cfRule type="cellIs" dxfId="13581" priority="113" operator="equal">
      <formula>0</formula>
    </cfRule>
  </conditionalFormatting>
  <conditionalFormatting sqref="AB51:AB53">
    <cfRule type="cellIs" dxfId="13580" priority="114" operator="equal">
      <formula>0</formula>
    </cfRule>
  </conditionalFormatting>
  <conditionalFormatting sqref="AB48:AB53 AC48:AG48">
    <cfRule type="cellIs" dxfId="13579" priority="115" operator="equal">
      <formula>0</formula>
    </cfRule>
  </conditionalFormatting>
  <conditionalFormatting sqref="AC51:AC53">
    <cfRule type="cellIs" dxfId="13578" priority="116" operator="equal">
      <formula>0</formula>
    </cfRule>
  </conditionalFormatting>
  <conditionalFormatting sqref="AC48:AC53">
    <cfRule type="cellIs" dxfId="13577" priority="117" operator="equal">
      <formula>0</formula>
    </cfRule>
  </conditionalFormatting>
  <conditionalFormatting sqref="AD51:AD53">
    <cfRule type="cellIs" dxfId="13576" priority="118" operator="equal">
      <formula>0</formula>
    </cfRule>
  </conditionalFormatting>
  <conditionalFormatting sqref="AD48:AD53">
    <cfRule type="cellIs" dxfId="13575" priority="119" operator="equal">
      <formula>0</formula>
    </cfRule>
  </conditionalFormatting>
  <conditionalFormatting sqref="AE51:AE53">
    <cfRule type="cellIs" dxfId="13574" priority="120" operator="equal">
      <formula>0</formula>
    </cfRule>
  </conditionalFormatting>
  <conditionalFormatting sqref="AE48:AE53">
    <cfRule type="cellIs" dxfId="13573" priority="121" operator="equal">
      <formula>0</formula>
    </cfRule>
  </conditionalFormatting>
  <conditionalFormatting sqref="AF51:AF53">
    <cfRule type="cellIs" dxfId="13572" priority="122" operator="equal">
      <formula>0</formula>
    </cfRule>
  </conditionalFormatting>
  <conditionalFormatting sqref="AF48:AF53">
    <cfRule type="cellIs" dxfId="13571" priority="123" operator="equal">
      <formula>0</formula>
    </cfRule>
  </conditionalFormatting>
  <conditionalFormatting sqref="AG51:AG53">
    <cfRule type="cellIs" dxfId="13570" priority="124" operator="equal">
      <formula>0</formula>
    </cfRule>
  </conditionalFormatting>
  <conditionalFormatting sqref="AG48:AG53">
    <cfRule type="cellIs" dxfId="13569" priority="125" operator="equal">
      <formula>0</formula>
    </cfRule>
  </conditionalFormatting>
  <conditionalFormatting sqref="V48:AK54">
    <cfRule type="expression" dxfId="13568" priority="126">
      <formula>LEN(TRIM(V48))=0</formula>
    </cfRule>
  </conditionalFormatting>
  <conditionalFormatting sqref="AD51:AD52">
    <cfRule type="cellIs" dxfId="13567" priority="127" operator="equal">
      <formula>0</formula>
    </cfRule>
  </conditionalFormatting>
  <conditionalFormatting sqref="AE51:AE52">
    <cfRule type="cellIs" dxfId="13566" priority="128" operator="equal">
      <formula>0</formula>
    </cfRule>
  </conditionalFormatting>
  <conditionalFormatting sqref="AF51:AG51">
    <cfRule type="cellIs" dxfId="13565" priority="129" operator="equal">
      <formula>0</formula>
    </cfRule>
  </conditionalFormatting>
  <conditionalFormatting sqref="AF52:AG52">
    <cfRule type="cellIs" dxfId="13564" priority="130" operator="equal">
      <formula>0</formula>
    </cfRule>
  </conditionalFormatting>
  <conditionalFormatting sqref="W65:Y65 V66:Y67 Z65:AA67 V61:AA64 AB61:AJ67 V56:AK56 V68:AJ68 V57:AA58 AK57:AK68 AH57:AJ58">
    <cfRule type="cellIs" dxfId="13563" priority="104" operator="equal">
      <formula>0</formula>
    </cfRule>
  </conditionalFormatting>
  <conditionalFormatting sqref="V65">
    <cfRule type="cellIs" dxfId="13562" priority="105" operator="equal">
      <formula>0</formula>
    </cfRule>
  </conditionalFormatting>
  <conditionalFormatting sqref="V56:AK56 V61:AJ68 V57:AA58 AK57:AK68 AH57:AJ58">
    <cfRule type="expression" dxfId="13561" priority="106">
      <formula>LEN(TRIM(V56))=0</formula>
    </cfRule>
  </conditionalFormatting>
  <conditionalFormatting sqref="V59:AJ60">
    <cfRule type="cellIs" dxfId="13560" priority="107" operator="equal">
      <formula>0</formula>
    </cfRule>
  </conditionalFormatting>
  <conditionalFormatting sqref="AH59:AH60">
    <cfRule type="cellIs" dxfId="13559" priority="108" operator="equal">
      <formula>0</formula>
    </cfRule>
  </conditionalFormatting>
  <conditionalFormatting sqref="V59:AJ60">
    <cfRule type="expression" dxfId="13558" priority="109">
      <formula>LEN(TRIM(V59))=0</formula>
    </cfRule>
  </conditionalFormatting>
  <conditionalFormatting sqref="AB57:AG58">
    <cfRule type="cellIs" dxfId="13557" priority="102" operator="equal">
      <formula>0</formula>
    </cfRule>
  </conditionalFormatting>
  <conditionalFormatting sqref="AB57:AG58">
    <cfRule type="expression" dxfId="13556" priority="103">
      <formula>LEN(TRIM(AB57))=0</formula>
    </cfRule>
  </conditionalFormatting>
  <conditionalFormatting sqref="V71:AJ76 AK70:AK75 AK77 V70:AA70 AH70:AJ70">
    <cfRule type="cellIs" dxfId="13555" priority="96" operator="equal">
      <formula>0</formula>
    </cfRule>
  </conditionalFormatting>
  <conditionalFormatting sqref="V77:AJ77">
    <cfRule type="cellIs" dxfId="13554" priority="97" operator="equal">
      <formula>0</formula>
    </cfRule>
  </conditionalFormatting>
  <conditionalFormatting sqref="V71:AK75 V77:AK77 V76:AJ76 V70:AA70 AH70:AK70">
    <cfRule type="expression" dxfId="13553" priority="98">
      <formula>LEN(TRIM(V70))=0</formula>
    </cfRule>
  </conditionalFormatting>
  <conditionalFormatting sqref="V77:AJ77">
    <cfRule type="cellIs" dxfId="13552" priority="99" operator="equal">
      <formula>0</formula>
    </cfRule>
  </conditionalFormatting>
  <conditionalFormatting sqref="V78:AJ78">
    <cfRule type="cellIs" dxfId="13551" priority="100" operator="equal">
      <formula>0</formula>
    </cfRule>
  </conditionalFormatting>
  <conditionalFormatting sqref="V78:AJ78">
    <cfRule type="expression" dxfId="13550" priority="101">
      <formula>LEN(TRIM(V78))=0</formula>
    </cfRule>
  </conditionalFormatting>
  <conditionalFormatting sqref="AK78">
    <cfRule type="cellIs" dxfId="13549" priority="94" operator="equal">
      <formula>0</formula>
    </cfRule>
  </conditionalFormatting>
  <conditionalFormatting sqref="AK78">
    <cfRule type="expression" dxfId="13548" priority="95">
      <formula>LEN(TRIM(AK78))=0</formula>
    </cfRule>
  </conditionalFormatting>
  <conditionalFormatting sqref="AK76">
    <cfRule type="cellIs" dxfId="13547" priority="92" operator="equal">
      <formula>0</formula>
    </cfRule>
  </conditionalFormatting>
  <conditionalFormatting sqref="AK76">
    <cfRule type="expression" dxfId="13546" priority="93">
      <formula>LEN(TRIM(AK76))=0</formula>
    </cfRule>
  </conditionalFormatting>
  <conditionalFormatting sqref="AB70:AG70">
    <cfRule type="cellIs" dxfId="13545" priority="90" operator="equal">
      <formula>0</formula>
    </cfRule>
  </conditionalFormatting>
  <conditionalFormatting sqref="AB70:AG70">
    <cfRule type="expression" dxfId="13544" priority="91">
      <formula>LEN(TRIM(AB70))=0</formula>
    </cfRule>
  </conditionalFormatting>
  <conditionalFormatting sqref="AH87:AK89 W87:AA89 AB87:AG88 AI84:AK86 Y84:Y86 V84:V89 V90:AK90">
    <cfRule type="cellIs" dxfId="13543" priority="69" operator="equal">
      <formula>0</formula>
    </cfRule>
  </conditionalFormatting>
  <conditionalFormatting sqref="AH84:AH89">
    <cfRule type="cellIs" dxfId="13542" priority="70" operator="equal">
      <formula>0</formula>
    </cfRule>
  </conditionalFormatting>
  <conditionalFormatting sqref="V84:W89 Z84:AA89">
    <cfRule type="cellIs" dxfId="13541" priority="71" operator="equal">
      <formula>0</formula>
    </cfRule>
  </conditionalFormatting>
  <conditionalFormatting sqref="X84:X89">
    <cfRule type="cellIs" dxfId="13540" priority="72" operator="equal">
      <formula>0</formula>
    </cfRule>
  </conditionalFormatting>
  <conditionalFormatting sqref="AB87:AB89">
    <cfRule type="cellIs" dxfId="13539" priority="73" operator="equal">
      <formula>0</formula>
    </cfRule>
  </conditionalFormatting>
  <conditionalFormatting sqref="AB84:AB89 AC84:AG84">
    <cfRule type="cellIs" dxfId="13538" priority="74" operator="equal">
      <formula>0</formula>
    </cfRule>
  </conditionalFormatting>
  <conditionalFormatting sqref="AC87:AC89">
    <cfRule type="cellIs" dxfId="13537" priority="75" operator="equal">
      <formula>0</formula>
    </cfRule>
  </conditionalFormatting>
  <conditionalFormatting sqref="AC84:AC89">
    <cfRule type="cellIs" dxfId="13536" priority="76" operator="equal">
      <formula>0</formula>
    </cfRule>
  </conditionalFormatting>
  <conditionalFormatting sqref="AD87:AD89">
    <cfRule type="cellIs" dxfId="13535" priority="77" operator="equal">
      <formula>0</formula>
    </cfRule>
  </conditionalFormatting>
  <conditionalFormatting sqref="AD84:AD89">
    <cfRule type="cellIs" dxfId="13534" priority="78" operator="equal">
      <formula>0</formula>
    </cfRule>
  </conditionalFormatting>
  <conditionalFormatting sqref="AE87:AE89">
    <cfRule type="cellIs" dxfId="13533" priority="79" operator="equal">
      <formula>0</formula>
    </cfRule>
  </conditionalFormatting>
  <conditionalFormatting sqref="AE84:AE89">
    <cfRule type="cellIs" dxfId="13532" priority="80" operator="equal">
      <formula>0</formula>
    </cfRule>
  </conditionalFormatting>
  <conditionalFormatting sqref="AF87:AF89">
    <cfRule type="cellIs" dxfId="13531" priority="81" operator="equal">
      <formula>0</formula>
    </cfRule>
  </conditionalFormatting>
  <conditionalFormatting sqref="AF84:AF89">
    <cfRule type="cellIs" dxfId="13530" priority="82" operator="equal">
      <formula>0</formula>
    </cfRule>
  </conditionalFormatting>
  <conditionalFormatting sqref="AG87:AG89">
    <cfRule type="cellIs" dxfId="13529" priority="83" operator="equal">
      <formula>0</formula>
    </cfRule>
  </conditionalFormatting>
  <conditionalFormatting sqref="AG84:AG89">
    <cfRule type="cellIs" dxfId="13528" priority="84" operator="equal">
      <formula>0</formula>
    </cfRule>
  </conditionalFormatting>
  <conditionalFormatting sqref="V84:AK90">
    <cfRule type="expression" dxfId="13527" priority="85">
      <formula>LEN(TRIM(V84))=0</formula>
    </cfRule>
  </conditionalFormatting>
  <conditionalFormatting sqref="AD87:AD88">
    <cfRule type="cellIs" dxfId="13526" priority="86" operator="equal">
      <formula>0</formula>
    </cfRule>
  </conditionalFormatting>
  <conditionalFormatting sqref="AE87:AE88">
    <cfRule type="cellIs" dxfId="13525" priority="87" operator="equal">
      <formula>0</formula>
    </cfRule>
  </conditionalFormatting>
  <conditionalFormatting sqref="AF87:AG87">
    <cfRule type="cellIs" dxfId="13524" priority="88" operator="equal">
      <formula>0</formula>
    </cfRule>
  </conditionalFormatting>
  <conditionalFormatting sqref="AF88:AG88">
    <cfRule type="cellIs" dxfId="13523" priority="89" operator="equal">
      <formula>0</formula>
    </cfRule>
  </conditionalFormatting>
  <conditionalFormatting sqref="W101:Y101 V102:Y103 Z101:AA103 V97:AA100 AB97:AJ103 V92:AK92 V104:AJ104 V93:AA94 AK93:AK104 AH93:AJ94">
    <cfRule type="cellIs" dxfId="13522" priority="63" operator="equal">
      <formula>0</formula>
    </cfRule>
  </conditionalFormatting>
  <conditionalFormatting sqref="V101">
    <cfRule type="cellIs" dxfId="13521" priority="64" operator="equal">
      <formula>0</formula>
    </cfRule>
  </conditionalFormatting>
  <conditionalFormatting sqref="V92:AK92 V97:AJ104 V93:AA94 AK93:AK104 AH93:AJ94">
    <cfRule type="expression" dxfId="13520" priority="65">
      <formula>LEN(TRIM(V92))=0</formula>
    </cfRule>
  </conditionalFormatting>
  <conditionalFormatting sqref="V95:AJ96">
    <cfRule type="cellIs" dxfId="13519" priority="66" operator="equal">
      <formula>0</formula>
    </cfRule>
  </conditionalFormatting>
  <conditionalFormatting sqref="AH95:AH96">
    <cfRule type="cellIs" dxfId="13518" priority="67" operator="equal">
      <formula>0</formula>
    </cfRule>
  </conditionalFormatting>
  <conditionalFormatting sqref="V95:AJ96">
    <cfRule type="expression" dxfId="13517" priority="68">
      <formula>LEN(TRIM(V95))=0</formula>
    </cfRule>
  </conditionalFormatting>
  <conditionalFormatting sqref="AB93:AG94">
    <cfRule type="cellIs" dxfId="13516" priority="61" operator="equal">
      <formula>0</formula>
    </cfRule>
  </conditionalFormatting>
  <conditionalFormatting sqref="AB93:AG94">
    <cfRule type="expression" dxfId="13515" priority="62">
      <formula>LEN(TRIM(AB93))=0</formula>
    </cfRule>
  </conditionalFormatting>
  <conditionalFormatting sqref="V107:AJ112 AK106:AK111 AK113 V106:AA106 AH106:AJ106">
    <cfRule type="cellIs" dxfId="13514" priority="55" operator="equal">
      <formula>0</formula>
    </cfRule>
  </conditionalFormatting>
  <conditionalFormatting sqref="V113:AJ113">
    <cfRule type="cellIs" dxfId="13513" priority="56" operator="equal">
      <formula>0</formula>
    </cfRule>
  </conditionalFormatting>
  <conditionalFormatting sqref="V107:AK111 V113:AK113 V112:AJ112 V106:AA106 AH106:AK106">
    <cfRule type="expression" dxfId="13512" priority="57">
      <formula>LEN(TRIM(V106))=0</formula>
    </cfRule>
  </conditionalFormatting>
  <conditionalFormatting sqref="V113:AJ113">
    <cfRule type="cellIs" dxfId="13511" priority="58" operator="equal">
      <formula>0</formula>
    </cfRule>
  </conditionalFormatting>
  <conditionalFormatting sqref="V114:AJ114">
    <cfRule type="cellIs" dxfId="13510" priority="59" operator="equal">
      <formula>0</formula>
    </cfRule>
  </conditionalFormatting>
  <conditionalFormatting sqref="V114:AJ114">
    <cfRule type="expression" dxfId="13509" priority="60">
      <formula>LEN(TRIM(V114))=0</formula>
    </cfRule>
  </conditionalFormatting>
  <conditionalFormatting sqref="AK114">
    <cfRule type="cellIs" dxfId="13508" priority="53" operator="equal">
      <formula>0</formula>
    </cfRule>
  </conditionalFormatting>
  <conditionalFormatting sqref="AK114">
    <cfRule type="expression" dxfId="13507" priority="54">
      <formula>LEN(TRIM(AK114))=0</formula>
    </cfRule>
  </conditionalFormatting>
  <conditionalFormatting sqref="AK112">
    <cfRule type="cellIs" dxfId="13506" priority="51" operator="equal">
      <formula>0</formula>
    </cfRule>
  </conditionalFormatting>
  <conditionalFormatting sqref="AK112">
    <cfRule type="expression" dxfId="13505" priority="52">
      <formula>LEN(TRIM(AK112))=0</formula>
    </cfRule>
  </conditionalFormatting>
  <conditionalFormatting sqref="AB106:AG106">
    <cfRule type="cellIs" dxfId="13504" priority="49" operator="equal">
      <formula>0</formula>
    </cfRule>
  </conditionalFormatting>
  <conditionalFormatting sqref="AB106:AG106">
    <cfRule type="expression" dxfId="13503" priority="50">
      <formula>LEN(TRIM(AB106))=0</formula>
    </cfRule>
  </conditionalFormatting>
  <conditionalFormatting sqref="J11">
    <cfRule type="cellIs" dxfId="13502" priority="36" operator="equal">
      <formula>0</formula>
    </cfRule>
  </conditionalFormatting>
  <conditionalFormatting sqref="K11">
    <cfRule type="cellIs" dxfId="13501" priority="35" operator="equal">
      <formula>0</formula>
    </cfRule>
  </conditionalFormatting>
  <conditionalFormatting sqref="L11">
    <cfRule type="cellIs" dxfId="13500" priority="34" operator="equal">
      <formula>0</formula>
    </cfRule>
  </conditionalFormatting>
  <conditionalFormatting sqref="M11">
    <cfRule type="cellIs" dxfId="13499" priority="33" operator="equal">
      <formula>0</formula>
    </cfRule>
  </conditionalFormatting>
  <conditionalFormatting sqref="N11">
    <cfRule type="cellIs" dxfId="13498" priority="32" operator="equal">
      <formula>0</formula>
    </cfRule>
  </conditionalFormatting>
  <conditionalFormatting sqref="O11">
    <cfRule type="cellIs" dxfId="13497" priority="31" operator="equal">
      <formula>0</formula>
    </cfRule>
  </conditionalFormatting>
  <conditionalFormatting sqref="AB11">
    <cfRule type="cellIs" dxfId="13496" priority="30" operator="equal">
      <formula>0</formula>
    </cfRule>
  </conditionalFormatting>
  <conditionalFormatting sqref="AC11">
    <cfRule type="cellIs" dxfId="13495" priority="29" operator="equal">
      <formula>0</formula>
    </cfRule>
  </conditionalFormatting>
  <conditionalFormatting sqref="AD11">
    <cfRule type="cellIs" dxfId="13494" priority="28" operator="equal">
      <formula>0</formula>
    </cfRule>
  </conditionalFormatting>
  <conditionalFormatting sqref="AE11">
    <cfRule type="cellIs" dxfId="13493" priority="27" operator="equal">
      <formula>0</formula>
    </cfRule>
  </conditionalFormatting>
  <conditionalFormatting sqref="AF11">
    <cfRule type="cellIs" dxfId="13492" priority="26" operator="equal">
      <formula>0</formula>
    </cfRule>
  </conditionalFormatting>
  <conditionalFormatting sqref="AG11">
    <cfRule type="cellIs" dxfId="13491" priority="25" operator="equal">
      <formula>0</formula>
    </cfRule>
  </conditionalFormatting>
  <conditionalFormatting sqref="J47">
    <cfRule type="cellIs" dxfId="13490" priority="24" operator="equal">
      <formula>0</formula>
    </cfRule>
  </conditionalFormatting>
  <conditionalFormatting sqref="K47">
    <cfRule type="cellIs" dxfId="13489" priority="23" operator="equal">
      <formula>0</formula>
    </cfRule>
  </conditionalFormatting>
  <conditionalFormatting sqref="L47">
    <cfRule type="cellIs" dxfId="13488" priority="22" operator="equal">
      <formula>0</formula>
    </cfRule>
  </conditionalFormatting>
  <conditionalFormatting sqref="M47">
    <cfRule type="cellIs" dxfId="13487" priority="21" operator="equal">
      <formula>0</formula>
    </cfRule>
  </conditionalFormatting>
  <conditionalFormatting sqref="N47">
    <cfRule type="cellIs" dxfId="13486" priority="20" operator="equal">
      <formula>0</formula>
    </cfRule>
  </conditionalFormatting>
  <conditionalFormatting sqref="O47">
    <cfRule type="cellIs" dxfId="13485" priority="19" operator="equal">
      <formula>0</formula>
    </cfRule>
  </conditionalFormatting>
  <conditionalFormatting sqref="AB47">
    <cfRule type="cellIs" dxfId="13484" priority="18" operator="equal">
      <formula>0</formula>
    </cfRule>
  </conditionalFormatting>
  <conditionalFormatting sqref="AC47">
    <cfRule type="cellIs" dxfId="13483" priority="17" operator="equal">
      <formula>0</formula>
    </cfRule>
  </conditionalFormatting>
  <conditionalFormatting sqref="AD47">
    <cfRule type="cellIs" dxfId="13482" priority="16" operator="equal">
      <formula>0</formula>
    </cfRule>
  </conditionalFormatting>
  <conditionalFormatting sqref="AE47">
    <cfRule type="cellIs" dxfId="13481" priority="15" operator="equal">
      <formula>0</formula>
    </cfRule>
  </conditionalFormatting>
  <conditionalFormatting sqref="AF47">
    <cfRule type="cellIs" dxfId="13480" priority="14" operator="equal">
      <formula>0</formula>
    </cfRule>
  </conditionalFormatting>
  <conditionalFormatting sqref="AG47">
    <cfRule type="cellIs" dxfId="13479" priority="13" operator="equal">
      <formula>0</formula>
    </cfRule>
  </conditionalFormatting>
  <conditionalFormatting sqref="J83">
    <cfRule type="cellIs" dxfId="13478" priority="12" operator="equal">
      <formula>0</formula>
    </cfRule>
  </conditionalFormatting>
  <conditionalFormatting sqref="K83">
    <cfRule type="cellIs" dxfId="13477" priority="11" operator="equal">
      <formula>0</formula>
    </cfRule>
  </conditionalFormatting>
  <conditionalFormatting sqref="L83">
    <cfRule type="cellIs" dxfId="13476" priority="10" operator="equal">
      <formula>0</formula>
    </cfRule>
  </conditionalFormatting>
  <conditionalFormatting sqref="M83">
    <cfRule type="cellIs" dxfId="13475" priority="9" operator="equal">
      <formula>0</formula>
    </cfRule>
  </conditionalFormatting>
  <conditionalFormatting sqref="N83">
    <cfRule type="cellIs" dxfId="13474" priority="8" operator="equal">
      <formula>0</formula>
    </cfRule>
  </conditionalFormatting>
  <conditionalFormatting sqref="O83">
    <cfRule type="cellIs" dxfId="13473" priority="7" operator="equal">
      <formula>0</formula>
    </cfRule>
  </conditionalFormatting>
  <conditionalFormatting sqref="AB83">
    <cfRule type="cellIs" dxfId="13472" priority="6" operator="equal">
      <formula>0</formula>
    </cfRule>
  </conditionalFormatting>
  <conditionalFormatting sqref="AC83">
    <cfRule type="cellIs" dxfId="13471" priority="5" operator="equal">
      <formula>0</formula>
    </cfRule>
  </conditionalFormatting>
  <conditionalFormatting sqref="AD83">
    <cfRule type="cellIs" dxfId="13470" priority="4" operator="equal">
      <formula>0</formula>
    </cfRule>
  </conditionalFormatting>
  <conditionalFormatting sqref="AE83">
    <cfRule type="cellIs" dxfId="13469" priority="3" operator="equal">
      <formula>0</formula>
    </cfRule>
  </conditionalFormatting>
  <conditionalFormatting sqref="AF83">
    <cfRule type="cellIs" dxfId="13468"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495B-4964-48F3-A1A4-D05CD53FB828}">
  <dimension ref="C2:AK80"/>
  <sheetViews>
    <sheetView topLeftCell="A2" zoomScale="70" zoomScaleNormal="70" workbookViewId="0">
      <selection activeCell="A8" sqref="A8:XFD43"/>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364</v>
      </c>
      <c r="D8" s="699"/>
      <c r="E8" s="699"/>
      <c r="F8" s="699"/>
      <c r="G8" s="699"/>
      <c r="H8" s="699"/>
      <c r="I8" s="699"/>
      <c r="J8" s="699"/>
      <c r="K8" s="699"/>
      <c r="L8" s="699"/>
      <c r="M8" s="699"/>
      <c r="N8" s="699"/>
      <c r="O8" s="699"/>
      <c r="P8" s="699"/>
      <c r="Q8" s="699"/>
      <c r="R8" s="699"/>
      <c r="S8" s="699"/>
      <c r="U8" s="699" t="s">
        <v>364</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0</v>
      </c>
      <c r="F12" s="643">
        <v>0</v>
      </c>
      <c r="G12" s="642">
        <v>0</v>
      </c>
      <c r="H12" s="643">
        <v>843.18181818181824</v>
      </c>
      <c r="I12" s="643">
        <v>306.94588327561422</v>
      </c>
      <c r="J12" s="643">
        <v>187.92158364867245</v>
      </c>
      <c r="K12" s="643">
        <v>20.316638839186872</v>
      </c>
      <c r="L12" s="643">
        <v>0.58650482505924006</v>
      </c>
      <c r="M12" s="643">
        <v>0.15964026893196048</v>
      </c>
      <c r="N12" s="643">
        <v>67.964408038916218</v>
      </c>
      <c r="O12" s="643">
        <v>11.973026235836867</v>
      </c>
      <c r="P12" s="644">
        <v>0</v>
      </c>
      <c r="Q12" s="643">
        <v>0</v>
      </c>
      <c r="R12" s="643">
        <v>0</v>
      </c>
      <c r="S12" s="645">
        <v>1439.0495033140362</v>
      </c>
      <c r="U12" s="641" t="s">
        <v>59</v>
      </c>
      <c r="V12" s="642">
        <v>0</v>
      </c>
      <c r="W12" s="643">
        <v>0</v>
      </c>
      <c r="X12" s="643">
        <v>0</v>
      </c>
      <c r="Y12" s="642">
        <v>0</v>
      </c>
      <c r="Z12" s="643">
        <v>842.12121212121212</v>
      </c>
      <c r="AA12" s="643">
        <v>361.66588327561419</v>
      </c>
      <c r="AB12" s="643">
        <v>209.7499476733077</v>
      </c>
      <c r="AC12" s="643">
        <v>36.742499370225779</v>
      </c>
      <c r="AD12" s="643">
        <v>0.58650482505924006</v>
      </c>
      <c r="AE12" s="643">
        <v>0.15964026893196048</v>
      </c>
      <c r="AF12" s="643">
        <v>109.8518848230913</v>
      </c>
      <c r="AG12" s="643">
        <v>27.041217028647232</v>
      </c>
      <c r="AH12" s="644">
        <v>0</v>
      </c>
      <c r="AI12" s="643">
        <v>0</v>
      </c>
      <c r="AJ12" s="643">
        <v>0</v>
      </c>
      <c r="AK12" s="645">
        <v>1587.9187893860897</v>
      </c>
    </row>
    <row r="13" spans="3:37" ht="13.5">
      <c r="C13" s="641" t="s">
        <v>60</v>
      </c>
      <c r="D13" s="642">
        <v>47.14481987923083</v>
      </c>
      <c r="E13" s="643">
        <v>484.495467583368</v>
      </c>
      <c r="F13" s="643">
        <v>50.019697053221719</v>
      </c>
      <c r="G13" s="642">
        <v>326.09010493911637</v>
      </c>
      <c r="H13" s="643">
        <v>0</v>
      </c>
      <c r="I13" s="643">
        <v>0</v>
      </c>
      <c r="J13" s="643">
        <v>5.0764589906360387</v>
      </c>
      <c r="K13" s="643">
        <v>0</v>
      </c>
      <c r="L13" s="643">
        <v>2.7571319279134792</v>
      </c>
      <c r="M13" s="643">
        <v>0</v>
      </c>
      <c r="N13" s="643">
        <v>0</v>
      </c>
      <c r="O13" s="643">
        <v>0</v>
      </c>
      <c r="P13" s="644">
        <v>0</v>
      </c>
      <c r="Q13" s="643">
        <v>0</v>
      </c>
      <c r="R13" s="643">
        <v>0</v>
      </c>
      <c r="S13" s="645">
        <v>915.58368037348657</v>
      </c>
      <c r="U13" s="641" t="s">
        <v>60</v>
      </c>
      <c r="V13" s="642">
        <v>5.8768320762591904</v>
      </c>
      <c r="W13" s="643">
        <v>189.94114801549574</v>
      </c>
      <c r="X13" s="643">
        <v>14.41607041492888</v>
      </c>
      <c r="Y13" s="642">
        <v>81.728531694283333</v>
      </c>
      <c r="Z13" s="643">
        <v>0</v>
      </c>
      <c r="AA13" s="643">
        <v>0</v>
      </c>
      <c r="AB13" s="643">
        <v>5.0764589906360387</v>
      </c>
      <c r="AC13" s="643">
        <v>0</v>
      </c>
      <c r="AD13" s="643">
        <v>2.7571319279134792</v>
      </c>
      <c r="AE13" s="643">
        <v>0</v>
      </c>
      <c r="AF13" s="643">
        <v>0</v>
      </c>
      <c r="AG13" s="643">
        <v>0</v>
      </c>
      <c r="AH13" s="644">
        <v>0</v>
      </c>
      <c r="AI13" s="643">
        <v>0</v>
      </c>
      <c r="AJ13" s="643">
        <v>0</v>
      </c>
      <c r="AK13" s="645">
        <v>299.79617311951665</v>
      </c>
    </row>
    <row r="14" spans="3:37" ht="13.5">
      <c r="C14" s="641" t="s">
        <v>61</v>
      </c>
      <c r="D14" s="642">
        <v>0</v>
      </c>
      <c r="E14" s="643">
        <v>0</v>
      </c>
      <c r="F14" s="643">
        <v>0</v>
      </c>
      <c r="G14" s="642">
        <v>0</v>
      </c>
      <c r="H14" s="643">
        <v>0</v>
      </c>
      <c r="I14" s="643">
        <v>0</v>
      </c>
      <c r="J14" s="643">
        <v>0</v>
      </c>
      <c r="K14" s="643">
        <v>0</v>
      </c>
      <c r="L14" s="643">
        <v>0</v>
      </c>
      <c r="M14" s="643">
        <v>0</v>
      </c>
      <c r="N14" s="643">
        <v>0</v>
      </c>
      <c r="O14" s="643">
        <v>0</v>
      </c>
      <c r="P14" s="644">
        <v>-16.706363002811486</v>
      </c>
      <c r="Q14" s="643">
        <v>0</v>
      </c>
      <c r="R14" s="643">
        <v>0</v>
      </c>
      <c r="S14" s="645">
        <v>-16.706363002811486</v>
      </c>
      <c r="U14" s="641" t="s">
        <v>61</v>
      </c>
      <c r="V14" s="642">
        <v>0</v>
      </c>
      <c r="W14" s="643">
        <v>0</v>
      </c>
      <c r="X14" s="643">
        <v>-18.378136852904419</v>
      </c>
      <c r="Y14" s="642">
        <v>0</v>
      </c>
      <c r="Z14" s="643">
        <v>0</v>
      </c>
      <c r="AA14" s="643">
        <v>0</v>
      </c>
      <c r="AB14" s="643">
        <v>0</v>
      </c>
      <c r="AC14" s="643">
        <v>0</v>
      </c>
      <c r="AD14" s="643">
        <v>0</v>
      </c>
      <c r="AE14" s="643">
        <v>0</v>
      </c>
      <c r="AF14" s="643">
        <v>0</v>
      </c>
      <c r="AG14" s="643">
        <v>0</v>
      </c>
      <c r="AH14" s="644">
        <v>-20.522831714543145</v>
      </c>
      <c r="AI14" s="643">
        <v>0</v>
      </c>
      <c r="AJ14" s="643">
        <v>0</v>
      </c>
      <c r="AK14" s="645">
        <v>-38.900968567447563</v>
      </c>
    </row>
    <row r="15" spans="3:37" ht="13.5">
      <c r="C15" s="641" t="s">
        <v>62</v>
      </c>
      <c r="D15" s="642">
        <v>0</v>
      </c>
      <c r="E15" s="643">
        <v>0</v>
      </c>
      <c r="F15" s="643">
        <v>-15.257294848391862</v>
      </c>
      <c r="G15" s="642">
        <v>0</v>
      </c>
      <c r="H15" s="643">
        <v>0</v>
      </c>
      <c r="I15" s="643">
        <v>0</v>
      </c>
      <c r="J15" s="643">
        <v>0</v>
      </c>
      <c r="K15" s="643">
        <v>0</v>
      </c>
      <c r="L15" s="643">
        <v>0</v>
      </c>
      <c r="M15" s="643">
        <v>0</v>
      </c>
      <c r="N15" s="643">
        <v>0</v>
      </c>
      <c r="O15" s="643">
        <v>0</v>
      </c>
      <c r="P15" s="644">
        <v>0</v>
      </c>
      <c r="Q15" s="643">
        <v>0</v>
      </c>
      <c r="R15" s="643">
        <v>0</v>
      </c>
      <c r="S15" s="645">
        <v>-15.257294848391862</v>
      </c>
      <c r="U15" s="641" t="s">
        <v>62</v>
      </c>
      <c r="V15" s="642">
        <v>0</v>
      </c>
      <c r="W15" s="643">
        <v>0</v>
      </c>
      <c r="X15" s="643">
        <v>-7.5188933675233587</v>
      </c>
      <c r="Y15" s="642">
        <v>-2.1851276585702322</v>
      </c>
      <c r="Z15" s="643">
        <v>0</v>
      </c>
      <c r="AA15" s="643">
        <v>0</v>
      </c>
      <c r="AB15" s="643">
        <v>0</v>
      </c>
      <c r="AC15" s="643">
        <v>0</v>
      </c>
      <c r="AD15" s="643">
        <v>0</v>
      </c>
      <c r="AE15" s="643">
        <v>-2.1851276585702322</v>
      </c>
      <c r="AF15" s="643">
        <v>0</v>
      </c>
      <c r="AG15" s="643">
        <v>0</v>
      </c>
      <c r="AH15" s="644">
        <v>0</v>
      </c>
      <c r="AI15" s="643">
        <v>0</v>
      </c>
      <c r="AJ15" s="643">
        <v>0</v>
      </c>
      <c r="AK15" s="645">
        <v>-11.889148684663823</v>
      </c>
    </row>
    <row r="16" spans="3:37" ht="13.5">
      <c r="C16" s="641" t="s">
        <v>63</v>
      </c>
      <c r="D16" s="642">
        <v>0</v>
      </c>
      <c r="E16" s="643">
        <v>0</v>
      </c>
      <c r="F16" s="643">
        <v>-90.982589622358091</v>
      </c>
      <c r="G16" s="642">
        <v>0</v>
      </c>
      <c r="H16" s="643">
        <v>0</v>
      </c>
      <c r="I16" s="643">
        <v>0</v>
      </c>
      <c r="J16" s="643">
        <v>0</v>
      </c>
      <c r="K16" s="643">
        <v>0</v>
      </c>
      <c r="L16" s="643">
        <v>-0.93561585486744514</v>
      </c>
      <c r="M16" s="643">
        <v>0</v>
      </c>
      <c r="N16" s="643">
        <v>0</v>
      </c>
      <c r="O16" s="643">
        <v>0</v>
      </c>
      <c r="P16" s="644">
        <v>0</v>
      </c>
      <c r="Q16" s="643">
        <v>0</v>
      </c>
      <c r="R16" s="643">
        <v>0</v>
      </c>
      <c r="S16" s="645">
        <v>-91.918205477225541</v>
      </c>
      <c r="U16" s="641" t="s">
        <v>63</v>
      </c>
      <c r="V16" s="642">
        <v>0</v>
      </c>
      <c r="W16" s="643">
        <v>0</v>
      </c>
      <c r="X16" s="643">
        <v>-53.656928796434556</v>
      </c>
      <c r="Y16" s="642">
        <v>0</v>
      </c>
      <c r="Z16" s="643">
        <v>0</v>
      </c>
      <c r="AA16" s="643">
        <v>0</v>
      </c>
      <c r="AB16" s="643">
        <v>0</v>
      </c>
      <c r="AC16" s="643">
        <v>0</v>
      </c>
      <c r="AD16" s="643">
        <v>-28.297456853591466</v>
      </c>
      <c r="AE16" s="643">
        <v>0</v>
      </c>
      <c r="AF16" s="643">
        <v>0</v>
      </c>
      <c r="AG16" s="643">
        <v>0</v>
      </c>
      <c r="AH16" s="644">
        <v>0</v>
      </c>
      <c r="AI16" s="643">
        <v>0</v>
      </c>
      <c r="AJ16" s="643">
        <v>0</v>
      </c>
      <c r="AK16" s="645">
        <v>-81.954385650026026</v>
      </c>
    </row>
    <row r="17" spans="3:37" ht="13.5">
      <c r="C17" s="641" t="s">
        <v>64</v>
      </c>
      <c r="D17" s="642">
        <v>0</v>
      </c>
      <c r="E17" s="643">
        <v>0</v>
      </c>
      <c r="F17" s="643">
        <v>0</v>
      </c>
      <c r="G17" s="642">
        <v>0</v>
      </c>
      <c r="H17" s="643">
        <v>0</v>
      </c>
      <c r="I17" s="643">
        <v>0</v>
      </c>
      <c r="J17" s="643">
        <v>0</v>
      </c>
      <c r="K17" s="643">
        <v>0</v>
      </c>
      <c r="L17" s="643">
        <v>0</v>
      </c>
      <c r="M17" s="643">
        <v>0</v>
      </c>
      <c r="N17" s="643">
        <v>0</v>
      </c>
      <c r="O17" s="643">
        <v>0</v>
      </c>
      <c r="P17" s="644">
        <v>0</v>
      </c>
      <c r="Q17" s="643">
        <v>0</v>
      </c>
      <c r="R17" s="643">
        <v>0</v>
      </c>
      <c r="S17" s="645">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646" t="s">
        <v>65</v>
      </c>
      <c r="D18" s="647">
        <v>47.14481987923083</v>
      </c>
      <c r="E18" s="647">
        <v>484.495467583368</v>
      </c>
      <c r="F18" s="647">
        <v>-56.220187417528237</v>
      </c>
      <c r="G18" s="647">
        <v>326.09010493911637</v>
      </c>
      <c r="H18" s="647">
        <v>843.18181818181824</v>
      </c>
      <c r="I18" s="647">
        <v>306.94588327561422</v>
      </c>
      <c r="J18" s="647">
        <v>192.99804263930849</v>
      </c>
      <c r="K18" s="647">
        <v>20.316638839186872</v>
      </c>
      <c r="L18" s="647">
        <v>2.4080208981052738</v>
      </c>
      <c r="M18" s="647">
        <v>0.15964026893196048</v>
      </c>
      <c r="N18" s="647">
        <v>67.964408038916218</v>
      </c>
      <c r="O18" s="647">
        <v>11.973026235836867</v>
      </c>
      <c r="P18" s="647">
        <v>-16.706363002811486</v>
      </c>
      <c r="Q18" s="647">
        <v>0</v>
      </c>
      <c r="R18" s="647">
        <v>0</v>
      </c>
      <c r="S18" s="647">
        <v>2230.7513203590943</v>
      </c>
      <c r="U18" s="646" t="s">
        <v>65</v>
      </c>
      <c r="V18" s="647">
        <v>5.8768320762591904</v>
      </c>
      <c r="W18" s="647">
        <v>189.94114801549574</v>
      </c>
      <c r="X18" s="647">
        <v>-65.137888601933454</v>
      </c>
      <c r="Y18" s="647">
        <v>79.543404035713095</v>
      </c>
      <c r="Z18" s="647">
        <v>842.12121212121212</v>
      </c>
      <c r="AA18" s="647">
        <v>361.66588327561419</v>
      </c>
      <c r="AB18" s="647">
        <v>214.82640666394374</v>
      </c>
      <c r="AC18" s="647">
        <v>36.742499370225779</v>
      </c>
      <c r="AD18" s="647">
        <v>-24.953820100618749</v>
      </c>
      <c r="AE18" s="647">
        <v>-2.0254873896382719</v>
      </c>
      <c r="AF18" s="647">
        <v>109.8518848230913</v>
      </c>
      <c r="AG18" s="647">
        <v>27.041217028647232</v>
      </c>
      <c r="AH18" s="647">
        <v>-20.522831714543145</v>
      </c>
      <c r="AI18" s="647">
        <v>0</v>
      </c>
      <c r="AJ18" s="647">
        <v>0</v>
      </c>
      <c r="AK18" s="647">
        <v>1754.970459603469</v>
      </c>
    </row>
    <row r="19" spans="3:37" ht="13">
      <c r="C19" s="636"/>
      <c r="D19" s="636">
        <v>0</v>
      </c>
      <c r="E19" s="636">
        <v>0</v>
      </c>
      <c r="F19" s="636">
        <v>0</v>
      </c>
      <c r="G19" s="636">
        <v>0</v>
      </c>
      <c r="H19" s="636">
        <v>0</v>
      </c>
      <c r="I19" s="636">
        <v>0</v>
      </c>
      <c r="J19" s="636">
        <v>0</v>
      </c>
      <c r="K19" s="636">
        <v>0</v>
      </c>
      <c r="L19" s="636">
        <v>0</v>
      </c>
      <c r="M19" s="636">
        <v>0</v>
      </c>
      <c r="N19" s="636">
        <v>0</v>
      </c>
      <c r="O19" s="636">
        <v>0</v>
      </c>
      <c r="P19" s="636">
        <v>0</v>
      </c>
      <c r="Q19" s="636">
        <v>0</v>
      </c>
      <c r="R19" s="636">
        <v>0</v>
      </c>
      <c r="S19" s="636">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648" t="s">
        <v>67</v>
      </c>
      <c r="D20" s="642">
        <v>0</v>
      </c>
      <c r="E20" s="649">
        <v>0</v>
      </c>
      <c r="F20" s="649">
        <v>0</v>
      </c>
      <c r="G20" s="642">
        <v>0</v>
      </c>
      <c r="H20" s="642">
        <v>0</v>
      </c>
      <c r="I20" s="642">
        <v>0</v>
      </c>
      <c r="J20" s="642">
        <v>0</v>
      </c>
      <c r="K20" s="642">
        <v>0</v>
      </c>
      <c r="L20" s="642">
        <v>0</v>
      </c>
      <c r="M20" s="642">
        <v>0</v>
      </c>
      <c r="N20" s="642">
        <v>0</v>
      </c>
      <c r="O20" s="642">
        <v>0</v>
      </c>
      <c r="P20" s="642">
        <v>0</v>
      </c>
      <c r="Q20" s="642">
        <v>0</v>
      </c>
      <c r="R20" s="642">
        <v>0</v>
      </c>
      <c r="S20" s="650">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648" t="s">
        <v>350</v>
      </c>
      <c r="D21" s="642">
        <v>2.8267856410252494</v>
      </c>
      <c r="E21" s="642">
        <v>0</v>
      </c>
      <c r="F21" s="642">
        <v>7.9230776783294274</v>
      </c>
      <c r="G21" s="642">
        <v>16.680851063829788</v>
      </c>
      <c r="H21" s="642">
        <v>843.18181818181824</v>
      </c>
      <c r="I21" s="642">
        <v>306.94588327561422</v>
      </c>
      <c r="J21" s="651">
        <v>28.98717588629853</v>
      </c>
      <c r="K21" s="651">
        <v>6.5903281241207718</v>
      </c>
      <c r="L21" s="651">
        <v>3.3436367529727189</v>
      </c>
      <c r="M21" s="651">
        <v>0.46654149749263618</v>
      </c>
      <c r="N21" s="651">
        <v>0</v>
      </c>
      <c r="O21" s="651">
        <v>7.0184114557160298</v>
      </c>
      <c r="P21" s="642">
        <v>-616.92993037811448</v>
      </c>
      <c r="Q21" s="642">
        <v>0</v>
      </c>
      <c r="R21" s="642">
        <v>0</v>
      </c>
      <c r="S21" s="650">
        <v>607.03457917910316</v>
      </c>
      <c r="U21" s="648" t="s">
        <v>350</v>
      </c>
      <c r="V21" s="642">
        <v>0.62631490545869017</v>
      </c>
      <c r="W21" s="642">
        <v>0</v>
      </c>
      <c r="X21" s="642">
        <v>4.0594413146930641</v>
      </c>
      <c r="Y21" s="642">
        <v>2.3404255319148937</v>
      </c>
      <c r="Z21" s="642">
        <v>842.12121212121212</v>
      </c>
      <c r="AA21" s="642">
        <v>361.66588327561419</v>
      </c>
      <c r="AB21" s="651">
        <v>23.182357378111952</v>
      </c>
      <c r="AC21" s="651">
        <v>5.3775678130216455</v>
      </c>
      <c r="AD21" s="651">
        <v>3.3436367529727189</v>
      </c>
      <c r="AE21" s="651">
        <v>2.4665414974926363</v>
      </c>
      <c r="AF21" s="651">
        <v>0</v>
      </c>
      <c r="AG21" s="651">
        <v>7.0184114557160298</v>
      </c>
      <c r="AH21" s="642">
        <v>-662.7499303781143</v>
      </c>
      <c r="AI21" s="642">
        <v>0</v>
      </c>
      <c r="AJ21" s="642">
        <v>4.25</v>
      </c>
      <c r="AK21" s="650">
        <v>593.70186166809344</v>
      </c>
    </row>
    <row r="22" spans="3:37" ht="13.5">
      <c r="C22" s="648" t="s">
        <v>351</v>
      </c>
      <c r="D22" s="642">
        <v>0</v>
      </c>
      <c r="E22" s="642">
        <v>0</v>
      </c>
      <c r="F22" s="642">
        <v>0</v>
      </c>
      <c r="G22" s="642">
        <v>14.843815057329421</v>
      </c>
      <c r="H22" s="642">
        <v>0</v>
      </c>
      <c r="I22" s="642">
        <v>0</v>
      </c>
      <c r="J22" s="651">
        <v>12.357161229114668</v>
      </c>
      <c r="K22" s="651">
        <v>11.882304060636951</v>
      </c>
      <c r="L22" s="651">
        <v>0</v>
      </c>
      <c r="M22" s="651">
        <v>0.31804644322561132</v>
      </c>
      <c r="N22" s="651">
        <v>0</v>
      </c>
      <c r="O22" s="651">
        <v>2.0992086164963606</v>
      </c>
      <c r="P22" s="642">
        <v>0</v>
      </c>
      <c r="Q22" s="642">
        <v>-37.805081951347923</v>
      </c>
      <c r="R22" s="642">
        <v>0</v>
      </c>
      <c r="S22" s="650">
        <v>3.6954534554550835</v>
      </c>
      <c r="U22" s="648" t="s">
        <v>351</v>
      </c>
      <c r="V22" s="642">
        <v>0</v>
      </c>
      <c r="W22" s="642">
        <v>0</v>
      </c>
      <c r="X22" s="642">
        <v>0</v>
      </c>
      <c r="Y22" s="642">
        <v>6.4668066457611202</v>
      </c>
      <c r="Z22" s="642">
        <v>0</v>
      </c>
      <c r="AA22" s="642">
        <v>0</v>
      </c>
      <c r="AB22" s="651">
        <v>28.361573193229066</v>
      </c>
      <c r="AC22" s="651">
        <v>26.076316433417247</v>
      </c>
      <c r="AD22" s="651">
        <v>0</v>
      </c>
      <c r="AE22" s="651">
        <v>6.4819180878167435</v>
      </c>
      <c r="AF22" s="651">
        <v>0</v>
      </c>
      <c r="AG22" s="651">
        <v>12.550380584079129</v>
      </c>
      <c r="AH22" s="642">
        <v>0</v>
      </c>
      <c r="AI22" s="642">
        <v>-74.043519390541746</v>
      </c>
      <c r="AJ22" s="642">
        <v>0</v>
      </c>
      <c r="AK22" s="650">
        <v>5.8934755537615651</v>
      </c>
    </row>
    <row r="23" spans="3:37" ht="13.5">
      <c r="C23" s="648" t="s">
        <v>352</v>
      </c>
      <c r="D23" s="642">
        <v>0</v>
      </c>
      <c r="E23" s="642">
        <v>0</v>
      </c>
      <c r="F23" s="642">
        <v>0</v>
      </c>
      <c r="G23" s="642">
        <v>0</v>
      </c>
      <c r="H23" s="642">
        <v>0</v>
      </c>
      <c r="I23" s="642">
        <v>0</v>
      </c>
      <c r="J23" s="652">
        <v>6.8755991242523775</v>
      </c>
      <c r="K23" s="652">
        <v>0</v>
      </c>
      <c r="L23" s="652">
        <v>0</v>
      </c>
      <c r="M23" s="652">
        <v>-6.4200906822706569</v>
      </c>
      <c r="N23" s="652">
        <v>0</v>
      </c>
      <c r="O23" s="652">
        <v>0</v>
      </c>
      <c r="P23" s="642">
        <v>0</v>
      </c>
      <c r="Q23" s="642">
        <v>0</v>
      </c>
      <c r="R23" s="642">
        <v>0</v>
      </c>
      <c r="S23" s="650">
        <v>0.45550844198172058</v>
      </c>
      <c r="U23" s="648" t="s">
        <v>352</v>
      </c>
      <c r="V23" s="642">
        <v>0</v>
      </c>
      <c r="W23" s="642">
        <v>0</v>
      </c>
      <c r="X23" s="642">
        <v>0</v>
      </c>
      <c r="Y23" s="642">
        <v>0</v>
      </c>
      <c r="Z23" s="642">
        <v>0</v>
      </c>
      <c r="AA23" s="642">
        <v>0</v>
      </c>
      <c r="AB23" s="652">
        <v>86.654179241552072</v>
      </c>
      <c r="AC23" s="652">
        <v>0</v>
      </c>
      <c r="AD23" s="652">
        <v>0</v>
      </c>
      <c r="AE23" s="652">
        <v>-80.913339866799248</v>
      </c>
      <c r="AF23" s="652">
        <v>0</v>
      </c>
      <c r="AG23" s="652">
        <v>0</v>
      </c>
      <c r="AH23" s="642">
        <v>0</v>
      </c>
      <c r="AI23" s="642">
        <v>0</v>
      </c>
      <c r="AJ23" s="642">
        <v>0</v>
      </c>
      <c r="AK23" s="650">
        <v>5.7408393747528237</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501.8858109321676</v>
      </c>
      <c r="F25" s="642">
        <v>-496.86695282284592</v>
      </c>
      <c r="G25" s="642">
        <v>0</v>
      </c>
      <c r="H25" s="642">
        <v>0</v>
      </c>
      <c r="I25" s="642">
        <v>0</v>
      </c>
      <c r="J25" s="642">
        <v>0</v>
      </c>
      <c r="K25" s="642">
        <v>0</v>
      </c>
      <c r="L25" s="642">
        <v>0</v>
      </c>
      <c r="M25" s="642">
        <v>0</v>
      </c>
      <c r="N25" s="642">
        <v>0</v>
      </c>
      <c r="O25" s="642">
        <v>0</v>
      </c>
      <c r="P25" s="642">
        <v>0</v>
      </c>
      <c r="Q25" s="642">
        <v>0</v>
      </c>
      <c r="R25" s="642">
        <v>0</v>
      </c>
      <c r="S25" s="650">
        <v>5.018858109321684</v>
      </c>
      <c r="U25" s="648" t="s">
        <v>72</v>
      </c>
      <c r="V25" s="642">
        <v>0</v>
      </c>
      <c r="W25" s="642">
        <v>196.75884188687598</v>
      </c>
      <c r="X25" s="642">
        <v>-194.79125346800723</v>
      </c>
      <c r="Y25" s="642">
        <v>0</v>
      </c>
      <c r="Z25" s="642">
        <v>0</v>
      </c>
      <c r="AA25" s="642">
        <v>0</v>
      </c>
      <c r="AB25" s="642">
        <v>0</v>
      </c>
      <c r="AC25" s="642">
        <v>0</v>
      </c>
      <c r="AD25" s="642">
        <v>0</v>
      </c>
      <c r="AE25" s="642">
        <v>0</v>
      </c>
      <c r="AF25" s="642">
        <v>0</v>
      </c>
      <c r="AG25" s="642">
        <v>0</v>
      </c>
      <c r="AH25" s="642">
        <v>0</v>
      </c>
      <c r="AI25" s="642">
        <v>0</v>
      </c>
      <c r="AJ25" s="642">
        <v>0</v>
      </c>
      <c r="AK25" s="650">
        <v>1.9675884188687576</v>
      </c>
    </row>
    <row r="26" spans="3:37" ht="13.5">
      <c r="C26" s="648" t="s">
        <v>354</v>
      </c>
      <c r="D26" s="642">
        <v>0</v>
      </c>
      <c r="E26" s="642">
        <v>0</v>
      </c>
      <c r="F26" s="642">
        <v>0</v>
      </c>
      <c r="G26" s="642">
        <v>0</v>
      </c>
      <c r="H26" s="642">
        <v>0</v>
      </c>
      <c r="I26" s="642">
        <v>0</v>
      </c>
      <c r="J26" s="642">
        <v>26.867608526350821</v>
      </c>
      <c r="K26" s="642">
        <v>0</v>
      </c>
      <c r="L26" s="642">
        <v>-26.867608526350821</v>
      </c>
      <c r="M26" s="642">
        <v>0</v>
      </c>
      <c r="N26" s="642">
        <v>0</v>
      </c>
      <c r="O26" s="642">
        <v>0</v>
      </c>
      <c r="P26" s="642">
        <v>0</v>
      </c>
      <c r="Q26" s="642">
        <v>0</v>
      </c>
      <c r="R26" s="642">
        <v>0</v>
      </c>
      <c r="S26" s="650">
        <v>0</v>
      </c>
      <c r="U26" s="648" t="s">
        <v>354</v>
      </c>
      <c r="V26" s="642">
        <v>0</v>
      </c>
      <c r="W26" s="642">
        <v>0</v>
      </c>
      <c r="X26" s="642">
        <v>0</v>
      </c>
      <c r="Y26" s="642">
        <v>0</v>
      </c>
      <c r="Z26" s="642">
        <v>0</v>
      </c>
      <c r="AA26" s="642">
        <v>0</v>
      </c>
      <c r="AB26" s="642" t="e">
        <v>#VALUE!</v>
      </c>
      <c r="AC26" s="642">
        <v>0</v>
      </c>
      <c r="AD26" s="642">
        <v>-99.513749603669936</v>
      </c>
      <c r="AE26" s="642">
        <v>0</v>
      </c>
      <c r="AF26" s="642">
        <v>0</v>
      </c>
      <c r="AG26" s="642">
        <v>0</v>
      </c>
      <c r="AH26" s="642">
        <v>0</v>
      </c>
      <c r="AI26" s="642">
        <v>0</v>
      </c>
      <c r="AJ26" s="642">
        <v>0</v>
      </c>
      <c r="AK26" s="650">
        <v>-99.513749603669936</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-17.985934640167208</v>
      </c>
      <c r="AE27" s="642">
        <v>0</v>
      </c>
      <c r="AF27" s="642">
        <v>0</v>
      </c>
      <c r="AG27" s="642">
        <v>0</v>
      </c>
      <c r="AH27" s="642">
        <v>0</v>
      </c>
      <c r="AI27" s="642">
        <v>0</v>
      </c>
      <c r="AJ27" s="642">
        <v>0</v>
      </c>
      <c r="AK27" s="650">
        <v>-17.985934640167208</v>
      </c>
    </row>
    <row r="28" spans="3:37" ht="13.5">
      <c r="C28" s="648" t="s">
        <v>73</v>
      </c>
      <c r="D28" s="642">
        <v>0</v>
      </c>
      <c r="E28" s="642">
        <v>0</v>
      </c>
      <c r="F28" s="642">
        <v>0</v>
      </c>
      <c r="G28" s="642">
        <v>7.0830222331165276</v>
      </c>
      <c r="H28" s="642">
        <v>0</v>
      </c>
      <c r="I28" s="642">
        <v>0</v>
      </c>
      <c r="J28" s="642">
        <v>0</v>
      </c>
      <c r="K28" s="642">
        <v>8.2131519400701847E-2</v>
      </c>
      <c r="L28" s="642">
        <v>0</v>
      </c>
      <c r="M28" s="642">
        <v>0.14455147414523528</v>
      </c>
      <c r="N28" s="642">
        <v>0</v>
      </c>
      <c r="O28" s="642">
        <v>0</v>
      </c>
      <c r="P28" s="642">
        <v>0.90023160054861806</v>
      </c>
      <c r="Q28" s="642">
        <v>0</v>
      </c>
      <c r="R28" s="642">
        <v>-5.7492063580491291</v>
      </c>
      <c r="S28" s="650">
        <v>2.4607304691619536</v>
      </c>
      <c r="U28" s="648" t="s">
        <v>73</v>
      </c>
      <c r="V28" s="642">
        <v>0</v>
      </c>
      <c r="W28" s="642">
        <v>0</v>
      </c>
      <c r="X28" s="642">
        <v>0</v>
      </c>
      <c r="Y28" s="642">
        <v>2.5209228009552263</v>
      </c>
      <c r="Z28" s="642">
        <v>0</v>
      </c>
      <c r="AA28" s="642">
        <v>0</v>
      </c>
      <c r="AB28" s="642">
        <v>0</v>
      </c>
      <c r="AC28" s="642">
        <v>0.50418456019104518</v>
      </c>
      <c r="AD28" s="642">
        <v>0</v>
      </c>
      <c r="AE28" s="642">
        <v>2.5209228009552263</v>
      </c>
      <c r="AF28" s="642">
        <v>0</v>
      </c>
      <c r="AG28" s="642">
        <v>0</v>
      </c>
      <c r="AH28" s="642">
        <v>44.712737508757456</v>
      </c>
      <c r="AI28" s="642">
        <v>0</v>
      </c>
      <c r="AJ28" s="642">
        <v>-35.29291921337316</v>
      </c>
      <c r="AK28" s="650">
        <v>14.965848457485791</v>
      </c>
    </row>
    <row r="29" spans="3:37" ht="13.5">
      <c r="C29" s="648" t="s">
        <v>356</v>
      </c>
      <c r="D29" s="642">
        <v>28.568314687499999</v>
      </c>
      <c r="E29" s="642">
        <v>-17.390343348799608</v>
      </c>
      <c r="F29" s="642">
        <v>22.745541936068136</v>
      </c>
      <c r="G29" s="642">
        <v>0</v>
      </c>
      <c r="H29" s="642">
        <v>0</v>
      </c>
      <c r="I29" s="642">
        <v>0</v>
      </c>
      <c r="J29" s="642">
        <v>0</v>
      </c>
      <c r="K29" s="642">
        <v>0</v>
      </c>
      <c r="L29" s="642">
        <v>0</v>
      </c>
      <c r="M29" s="642">
        <v>0</v>
      </c>
      <c r="N29" s="642">
        <v>0</v>
      </c>
      <c r="O29" s="642">
        <v>0</v>
      </c>
      <c r="P29" s="642">
        <v>0</v>
      </c>
      <c r="Q29" s="642">
        <v>0</v>
      </c>
      <c r="R29" s="642">
        <v>0</v>
      </c>
      <c r="S29" s="650">
        <v>33.923513274768524</v>
      </c>
      <c r="U29" s="648" t="s">
        <v>356</v>
      </c>
      <c r="V29" s="642">
        <v>1.4001075134277343</v>
      </c>
      <c r="W29" s="642">
        <v>-6.8176938713802535</v>
      </c>
      <c r="X29" s="642">
        <v>8.9171408952922331</v>
      </c>
      <c r="Y29" s="642">
        <v>0</v>
      </c>
      <c r="Z29" s="642">
        <v>0</v>
      </c>
      <c r="AA29" s="642">
        <v>0</v>
      </c>
      <c r="AB29" s="642">
        <v>0</v>
      </c>
      <c r="AC29" s="642">
        <v>0</v>
      </c>
      <c r="AD29" s="642">
        <v>0</v>
      </c>
      <c r="AE29" s="642">
        <v>0</v>
      </c>
      <c r="AF29" s="642">
        <v>0</v>
      </c>
      <c r="AG29" s="642">
        <v>0</v>
      </c>
      <c r="AH29" s="642">
        <v>0</v>
      </c>
      <c r="AI29" s="642">
        <v>0</v>
      </c>
      <c r="AJ29" s="642">
        <v>0</v>
      </c>
      <c r="AK29" s="650">
        <v>3.4995545373397139</v>
      </c>
    </row>
    <row r="30" spans="3:37" ht="13.5">
      <c r="C30" s="648" t="s">
        <v>75</v>
      </c>
      <c r="D30" s="642">
        <v>11.109900156250001</v>
      </c>
      <c r="E30" s="642">
        <v>0</v>
      </c>
      <c r="F30" s="642">
        <v>17.0641175716937</v>
      </c>
      <c r="G30" s="642">
        <v>4.8692961376638904</v>
      </c>
      <c r="H30" s="642">
        <v>0</v>
      </c>
      <c r="I30" s="642">
        <v>0</v>
      </c>
      <c r="J30" s="642">
        <v>0</v>
      </c>
      <c r="K30" s="642">
        <v>0</v>
      </c>
      <c r="L30" s="642">
        <v>0</v>
      </c>
      <c r="M30" s="642">
        <v>9.9373390564569189E-2</v>
      </c>
      <c r="N30" s="642">
        <v>0</v>
      </c>
      <c r="O30" s="642">
        <v>0</v>
      </c>
      <c r="P30" s="642">
        <v>27.977940148174714</v>
      </c>
      <c r="Q30" s="642">
        <v>0</v>
      </c>
      <c r="R30" s="642">
        <v>0</v>
      </c>
      <c r="S30" s="650">
        <v>61.12062740434687</v>
      </c>
      <c r="U30" s="648" t="s">
        <v>75</v>
      </c>
      <c r="V30" s="642">
        <v>2.585423095703125</v>
      </c>
      <c r="W30" s="642">
        <v>0</v>
      </c>
      <c r="X30" s="642">
        <v>17.0641175716937</v>
      </c>
      <c r="Y30" s="642">
        <v>2.4843347641142297</v>
      </c>
      <c r="Z30" s="642">
        <v>0</v>
      </c>
      <c r="AA30" s="642">
        <v>0</v>
      </c>
      <c r="AB30" s="642">
        <v>0</v>
      </c>
      <c r="AC30" s="642">
        <v>0</v>
      </c>
      <c r="AD30" s="642">
        <v>0</v>
      </c>
      <c r="AE30" s="642">
        <v>2.4843347641142297</v>
      </c>
      <c r="AF30" s="642">
        <v>0</v>
      </c>
      <c r="AG30" s="642">
        <v>0</v>
      </c>
      <c r="AH30" s="642">
        <v>36.559985602720168</v>
      </c>
      <c r="AI30" s="642">
        <v>0</v>
      </c>
      <c r="AJ30" s="642">
        <v>0</v>
      </c>
      <c r="AK30" s="650">
        <v>61.178195798345449</v>
      </c>
    </row>
    <row r="31" spans="3:37" ht="13.5">
      <c r="C31" s="648" t="s">
        <v>76</v>
      </c>
      <c r="D31" s="642">
        <v>0</v>
      </c>
      <c r="E31" s="642">
        <v>0</v>
      </c>
      <c r="F31" s="642">
        <v>0</v>
      </c>
      <c r="G31" s="642">
        <v>3.7302503173667452</v>
      </c>
      <c r="H31" s="642">
        <v>0</v>
      </c>
      <c r="I31" s="642">
        <v>0</v>
      </c>
      <c r="J31" s="642">
        <v>0</v>
      </c>
      <c r="K31" s="642">
        <v>0</v>
      </c>
      <c r="L31" s="642">
        <v>0</v>
      </c>
      <c r="M31" s="642">
        <v>7.6127557497280507E-2</v>
      </c>
      <c r="N31" s="642">
        <v>0</v>
      </c>
      <c r="O31" s="642">
        <v>0</v>
      </c>
      <c r="P31" s="642">
        <v>45.919010237367587</v>
      </c>
      <c r="Q31" s="642">
        <v>2.9343505562312622</v>
      </c>
      <c r="R31" s="642">
        <v>0</v>
      </c>
      <c r="S31" s="650">
        <v>52.659738668462872</v>
      </c>
      <c r="U31" s="648" t="s">
        <v>76</v>
      </c>
      <c r="V31" s="642">
        <v>0</v>
      </c>
      <c r="W31" s="642">
        <v>0</v>
      </c>
      <c r="X31" s="642">
        <v>0</v>
      </c>
      <c r="Y31" s="642">
        <v>0.95944671778813329</v>
      </c>
      <c r="Z31" s="642">
        <v>0</v>
      </c>
      <c r="AA31" s="642">
        <v>0</v>
      </c>
      <c r="AB31" s="642">
        <v>0</v>
      </c>
      <c r="AC31" s="642">
        <v>0</v>
      </c>
      <c r="AD31" s="642">
        <v>0</v>
      </c>
      <c r="AE31" s="642">
        <v>0.95944671778813329</v>
      </c>
      <c r="AF31" s="642">
        <v>0</v>
      </c>
      <c r="AG31" s="642">
        <v>0</v>
      </c>
      <c r="AH31" s="642">
        <v>49.138117436745475</v>
      </c>
      <c r="AI31" s="642">
        <v>5.7424951548403769</v>
      </c>
      <c r="AJ31" s="642">
        <v>0</v>
      </c>
      <c r="AK31" s="650">
        <v>56.799506027162117</v>
      </c>
    </row>
    <row r="32" spans="3:37" ht="13.5">
      <c r="C32" s="646" t="s">
        <v>77</v>
      </c>
      <c r="D32" s="647">
        <v>42.505000484775252</v>
      </c>
      <c r="E32" s="647">
        <v>484.495467583368</v>
      </c>
      <c r="F32" s="647">
        <v>-449.13421563675462</v>
      </c>
      <c r="G32" s="647">
        <v>47.207234809306371</v>
      </c>
      <c r="H32" s="647">
        <v>843.18181818181824</v>
      </c>
      <c r="I32" s="647">
        <v>306.94588327561422</v>
      </c>
      <c r="J32" s="647">
        <v>75.087544766016393</v>
      </c>
      <c r="K32" s="647">
        <v>18.554763704158422</v>
      </c>
      <c r="L32" s="647">
        <v>-23.523971773378101</v>
      </c>
      <c r="M32" s="647">
        <v>-5.3154503193453246</v>
      </c>
      <c r="N32" s="647">
        <v>0</v>
      </c>
      <c r="O32" s="647">
        <v>9.1176200722123912</v>
      </c>
      <c r="P32" s="647">
        <v>-542.13274839202359</v>
      </c>
      <c r="Q32" s="647">
        <v>-34.870731395116664</v>
      </c>
      <c r="R32" s="647">
        <v>-5.7492063580491291</v>
      </c>
      <c r="S32" s="647">
        <v>766.36900900260184</v>
      </c>
      <c r="U32" s="646" t="s">
        <v>77</v>
      </c>
      <c r="V32" s="647">
        <v>4.6118455145895494</v>
      </c>
      <c r="W32" s="647">
        <v>189.94114801549574</v>
      </c>
      <c r="X32" s="647">
        <v>-164.75055368632826</v>
      </c>
      <c r="Y32" s="647">
        <v>14.771936460533603</v>
      </c>
      <c r="Z32" s="647">
        <v>842.12121212121212</v>
      </c>
      <c r="AA32" s="647">
        <v>361.66588327561419</v>
      </c>
      <c r="AB32" s="647">
        <v>138.19810981289308</v>
      </c>
      <c r="AC32" s="647">
        <v>31.958068806629939</v>
      </c>
      <c r="AD32" s="647">
        <v>-114.15604749086444</v>
      </c>
      <c r="AE32" s="647">
        <v>-66.000175998632287</v>
      </c>
      <c r="AF32" s="647">
        <v>0</v>
      </c>
      <c r="AG32" s="647">
        <v>19.568792039795159</v>
      </c>
      <c r="AH32" s="647">
        <v>-532.33908982989124</v>
      </c>
      <c r="AI32" s="647">
        <v>-68.301024235701377</v>
      </c>
      <c r="AJ32" s="647">
        <v>-31.04291921337316</v>
      </c>
      <c r="AK32" s="647">
        <v>626.24718559197242</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4.6398193944555786</v>
      </c>
      <c r="E34" s="642">
        <v>0</v>
      </c>
      <c r="F34" s="642">
        <v>20.598782441852151</v>
      </c>
      <c r="G34" s="642">
        <v>94.839699954986926</v>
      </c>
      <c r="H34" s="642">
        <v>0</v>
      </c>
      <c r="I34" s="642">
        <v>0</v>
      </c>
      <c r="J34" s="642">
        <v>21.821162214793436</v>
      </c>
      <c r="K34" s="642">
        <v>1.7366010173968038</v>
      </c>
      <c r="L34" s="642">
        <v>0.96096945898437491</v>
      </c>
      <c r="M34" s="642">
        <v>1.9539169420126139</v>
      </c>
      <c r="N34" s="642">
        <v>0</v>
      </c>
      <c r="O34" s="642">
        <v>3.7537634069694789E-4</v>
      </c>
      <c r="P34" s="642">
        <v>113.419965125608</v>
      </c>
      <c r="Q34" s="642">
        <v>16.150451210263412</v>
      </c>
      <c r="R34" s="642">
        <v>0.26695886230468752</v>
      </c>
      <c r="S34" s="650">
        <v>276.38870199899873</v>
      </c>
      <c r="U34" s="648" t="s">
        <v>78</v>
      </c>
      <c r="V34" s="642">
        <v>1.264986561669641</v>
      </c>
      <c r="W34" s="642">
        <v>0</v>
      </c>
      <c r="X34" s="642">
        <v>4.4259635061357878</v>
      </c>
      <c r="Y34" s="642">
        <v>33.008089674756327</v>
      </c>
      <c r="Z34" s="642">
        <v>0</v>
      </c>
      <c r="AA34" s="642">
        <v>0</v>
      </c>
      <c r="AB34" s="642">
        <v>14.926911405045434</v>
      </c>
      <c r="AC34" s="642">
        <v>4.7591564459641997</v>
      </c>
      <c r="AD34" s="642">
        <v>6.4130046386718744</v>
      </c>
      <c r="AE34" s="642">
        <v>33.02650253605492</v>
      </c>
      <c r="AF34" s="642">
        <v>0</v>
      </c>
      <c r="AG34" s="642">
        <v>3.7537634069694789E-4</v>
      </c>
      <c r="AH34" s="642">
        <v>148.98135712801343</v>
      </c>
      <c r="AI34" s="642">
        <v>24.187634778338289</v>
      </c>
      <c r="AJ34" s="642">
        <v>7.9027373046875002</v>
      </c>
      <c r="AK34" s="650">
        <v>278.8967193556781</v>
      </c>
    </row>
    <row r="35" spans="3:37" ht="13.5">
      <c r="C35" s="648" t="s">
        <v>79</v>
      </c>
      <c r="D35" s="642">
        <v>0</v>
      </c>
      <c r="E35" s="642">
        <v>0</v>
      </c>
      <c r="F35" s="642">
        <v>225.72324837131151</v>
      </c>
      <c r="G35" s="642">
        <v>31.930807664827714</v>
      </c>
      <c r="H35" s="642">
        <v>0</v>
      </c>
      <c r="I35" s="642">
        <v>0</v>
      </c>
      <c r="J35" s="642">
        <v>0</v>
      </c>
      <c r="K35" s="642">
        <v>0</v>
      </c>
      <c r="L35" s="642">
        <v>21.777356740546686</v>
      </c>
      <c r="M35" s="642">
        <v>0.65164913601689212</v>
      </c>
      <c r="N35" s="642">
        <v>0</v>
      </c>
      <c r="O35" s="642">
        <v>0</v>
      </c>
      <c r="P35" s="642">
        <v>72.885841088882287</v>
      </c>
      <c r="Q35" s="642">
        <v>0</v>
      </c>
      <c r="R35" s="642">
        <v>2.6521266956987635</v>
      </c>
      <c r="S35" s="650">
        <v>355.62102969728386</v>
      </c>
      <c r="U35" s="648" t="s">
        <v>79</v>
      </c>
      <c r="V35" s="642">
        <v>0</v>
      </c>
      <c r="W35" s="642">
        <v>0</v>
      </c>
      <c r="X35" s="642">
        <v>19.003305935487372</v>
      </c>
      <c r="Y35" s="642">
        <v>13.267062862305856</v>
      </c>
      <c r="Z35" s="642">
        <v>0</v>
      </c>
      <c r="AA35" s="642">
        <v>0</v>
      </c>
      <c r="AB35" s="642">
        <v>0</v>
      </c>
      <c r="AC35" s="642">
        <v>0</v>
      </c>
      <c r="AD35" s="642">
        <v>27.757428454399612</v>
      </c>
      <c r="AE35" s="642">
        <v>13.267062862305856</v>
      </c>
      <c r="AF35" s="642">
        <v>0</v>
      </c>
      <c r="AG35" s="642">
        <v>0</v>
      </c>
      <c r="AH35" s="642">
        <v>94.556676700547257</v>
      </c>
      <c r="AI35" s="642">
        <v>0</v>
      </c>
      <c r="AJ35" s="642">
        <v>6.3130917169295051</v>
      </c>
      <c r="AK35" s="650">
        <v>174.16462853197544</v>
      </c>
    </row>
    <row r="36" spans="3:37" ht="13.5">
      <c r="C36" s="648" t="s">
        <v>80</v>
      </c>
      <c r="D36" s="642">
        <v>0</v>
      </c>
      <c r="E36" s="642">
        <v>0</v>
      </c>
      <c r="F36" s="642">
        <v>11.075929176351762</v>
      </c>
      <c r="G36" s="642">
        <v>76.664751333295058</v>
      </c>
      <c r="H36" s="642">
        <v>0</v>
      </c>
      <c r="I36" s="642">
        <v>0</v>
      </c>
      <c r="J36" s="642">
        <v>88.320247059496523</v>
      </c>
      <c r="K36" s="642">
        <v>0</v>
      </c>
      <c r="L36" s="642">
        <v>0</v>
      </c>
      <c r="M36" s="642">
        <v>1.5645867619039808</v>
      </c>
      <c r="N36" s="642">
        <v>59.616390446150973</v>
      </c>
      <c r="O36" s="642">
        <v>2.0734984243972754</v>
      </c>
      <c r="P36" s="642">
        <v>190.93239321884863</v>
      </c>
      <c r="Q36" s="642">
        <v>15.360003531773184</v>
      </c>
      <c r="R36" s="642">
        <v>0</v>
      </c>
      <c r="S36" s="650">
        <v>445.60779995221742</v>
      </c>
      <c r="U36" s="648" t="s">
        <v>80</v>
      </c>
      <c r="V36" s="642">
        <v>0</v>
      </c>
      <c r="W36" s="642">
        <v>0</v>
      </c>
      <c r="X36" s="642">
        <v>0.97925934500211753</v>
      </c>
      <c r="Y36" s="642">
        <v>9.8253088649292142</v>
      </c>
      <c r="Z36" s="642">
        <v>0</v>
      </c>
      <c r="AA36" s="642">
        <v>0</v>
      </c>
      <c r="AB36" s="642">
        <v>50.204880630535357</v>
      </c>
      <c r="AC36" s="642">
        <v>0</v>
      </c>
      <c r="AD36" s="642">
        <v>0</v>
      </c>
      <c r="AE36" s="642">
        <v>9.8253088649292142</v>
      </c>
      <c r="AF36" s="642">
        <v>95.02342184325245</v>
      </c>
      <c r="AG36" s="642">
        <v>4.208312775429496</v>
      </c>
      <c r="AH36" s="642">
        <v>144.38732956018927</v>
      </c>
      <c r="AI36" s="642">
        <v>30.75075127630511</v>
      </c>
      <c r="AJ36" s="642">
        <v>0</v>
      </c>
      <c r="AK36" s="650">
        <v>345.20457316057224</v>
      </c>
    </row>
    <row r="37" spans="3:37" ht="13.5">
      <c r="C37" s="648" t="s">
        <v>81</v>
      </c>
      <c r="D37" s="642">
        <v>0</v>
      </c>
      <c r="E37" s="642">
        <v>0</v>
      </c>
      <c r="F37" s="642">
        <v>2.6743117433405894</v>
      </c>
      <c r="G37" s="642">
        <v>62.987223173923248</v>
      </c>
      <c r="H37" s="642">
        <v>0</v>
      </c>
      <c r="I37" s="642">
        <v>0</v>
      </c>
      <c r="J37" s="642">
        <v>3.1384766478070549</v>
      </c>
      <c r="K37" s="642">
        <v>2.5274117631643136E-2</v>
      </c>
      <c r="L37" s="642">
        <v>0</v>
      </c>
      <c r="M37" s="642">
        <v>1.2854535341616988</v>
      </c>
      <c r="N37" s="642">
        <v>8.34801759276524</v>
      </c>
      <c r="O37" s="642">
        <v>0.71507622546549865</v>
      </c>
      <c r="P37" s="642">
        <v>142.0321146826426</v>
      </c>
      <c r="Q37" s="642">
        <v>3.3602766530800707</v>
      </c>
      <c r="R37" s="642">
        <v>0</v>
      </c>
      <c r="S37" s="650">
        <v>224.56622437081765</v>
      </c>
      <c r="U37" s="648" t="s">
        <v>81</v>
      </c>
      <c r="V37" s="642">
        <v>0</v>
      </c>
      <c r="W37" s="642">
        <v>0</v>
      </c>
      <c r="X37" s="642">
        <v>1.2256055704751125</v>
      </c>
      <c r="Y37" s="642">
        <v>7.2918833253665882</v>
      </c>
      <c r="Z37" s="642">
        <v>0</v>
      </c>
      <c r="AA37" s="642">
        <v>0</v>
      </c>
      <c r="AB37" s="642">
        <v>6.8658928642747856</v>
      </c>
      <c r="AC37" s="642">
        <v>2.5274117631643136E-2</v>
      </c>
      <c r="AD37" s="642">
        <v>0</v>
      </c>
      <c r="AE37" s="642">
        <v>7.2918833253665882</v>
      </c>
      <c r="AF37" s="642">
        <v>14.828462979838848</v>
      </c>
      <c r="AG37" s="642">
        <v>1.5197231438340593</v>
      </c>
      <c r="AH37" s="642">
        <v>114.40426288608282</v>
      </c>
      <c r="AI37" s="642">
        <v>13.362638181057982</v>
      </c>
      <c r="AJ37" s="642">
        <v>0</v>
      </c>
      <c r="AK37" s="650">
        <v>166.8156263939284</v>
      </c>
    </row>
    <row r="38" spans="3:37" ht="13.5">
      <c r="C38" s="648" t="s">
        <v>82</v>
      </c>
      <c r="D38" s="642">
        <v>0</v>
      </c>
      <c r="E38" s="642">
        <v>0</v>
      </c>
      <c r="F38" s="642">
        <v>27.931723909553636</v>
      </c>
      <c r="G38" s="642">
        <v>0.95472649492283324</v>
      </c>
      <c r="H38" s="642">
        <v>0</v>
      </c>
      <c r="I38" s="642">
        <v>0</v>
      </c>
      <c r="J38" s="642">
        <v>4.6306119511950978</v>
      </c>
      <c r="K38" s="642">
        <v>0</v>
      </c>
      <c r="L38" s="642">
        <v>3.1934862443619529</v>
      </c>
      <c r="M38" s="642">
        <v>1.9484214182098638E-2</v>
      </c>
      <c r="N38" s="642">
        <v>0</v>
      </c>
      <c r="O38" s="642">
        <v>6.6456137421005312E-2</v>
      </c>
      <c r="P38" s="642">
        <v>5.7660712732306445</v>
      </c>
      <c r="Q38" s="642">
        <v>0</v>
      </c>
      <c r="R38" s="642">
        <v>0</v>
      </c>
      <c r="S38" s="650">
        <v>42.562560224867276</v>
      </c>
      <c r="U38" s="648" t="s">
        <v>82</v>
      </c>
      <c r="V38" s="642">
        <v>0</v>
      </c>
      <c r="W38" s="642">
        <v>0</v>
      </c>
      <c r="X38" s="642">
        <v>3.5775053425595864</v>
      </c>
      <c r="Y38" s="642">
        <v>0.56393102033742082</v>
      </c>
      <c r="Z38" s="642">
        <v>0</v>
      </c>
      <c r="AA38" s="642">
        <v>0</v>
      </c>
      <c r="AB38" s="642">
        <v>4.6306119511950978</v>
      </c>
      <c r="AC38" s="642">
        <v>0</v>
      </c>
      <c r="AD38" s="642">
        <v>32.861113305842508</v>
      </c>
      <c r="AE38" s="642">
        <v>0.56393102033742082</v>
      </c>
      <c r="AF38" s="642">
        <v>0</v>
      </c>
      <c r="AG38" s="642">
        <v>1.7440136932478227</v>
      </c>
      <c r="AH38" s="642">
        <v>5.8866318405152116</v>
      </c>
      <c r="AI38" s="642">
        <v>0</v>
      </c>
      <c r="AJ38" s="642">
        <v>0.38427420359697795</v>
      </c>
      <c r="AK38" s="650">
        <v>50.21201237763205</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0.39</v>
      </c>
      <c r="Q39" s="642">
        <v>0</v>
      </c>
      <c r="R39" s="642">
        <v>0</v>
      </c>
      <c r="S39" s="650">
        <v>0.39</v>
      </c>
      <c r="U39" s="648" t="s">
        <v>357</v>
      </c>
      <c r="V39" s="642">
        <v>0</v>
      </c>
      <c r="W39" s="642">
        <v>0</v>
      </c>
      <c r="X39" s="642">
        <v>0</v>
      </c>
      <c r="Y39" s="642">
        <v>0</v>
      </c>
      <c r="Z39" s="642">
        <v>0</v>
      </c>
      <c r="AA39" s="642">
        <v>0</v>
      </c>
      <c r="AB39" s="642">
        <v>0</v>
      </c>
      <c r="AC39" s="642">
        <v>0</v>
      </c>
      <c r="AD39" s="642">
        <v>0</v>
      </c>
      <c r="AE39" s="642">
        <v>0</v>
      </c>
      <c r="AF39" s="642">
        <v>0</v>
      </c>
      <c r="AG39" s="642">
        <v>0</v>
      </c>
      <c r="AH39" s="642">
        <v>3.5999999999999996</v>
      </c>
      <c r="AI39" s="642">
        <v>0</v>
      </c>
      <c r="AJ39" s="642">
        <v>0</v>
      </c>
      <c r="AK39" s="650">
        <v>3.5999999999999996</v>
      </c>
    </row>
    <row r="40" spans="3:37" ht="13.5">
      <c r="C40" s="646" t="s">
        <v>83</v>
      </c>
      <c r="D40" s="647">
        <v>4.6398193944555786</v>
      </c>
      <c r="E40" s="647">
        <v>0</v>
      </c>
      <c r="F40" s="647">
        <v>288.00399564240968</v>
      </c>
      <c r="G40" s="647">
        <v>267.37720862195579</v>
      </c>
      <c r="H40" s="647">
        <v>0</v>
      </c>
      <c r="I40" s="647">
        <v>0</v>
      </c>
      <c r="J40" s="647">
        <v>117.91049787329212</v>
      </c>
      <c r="K40" s="647">
        <v>1.7618751350284469</v>
      </c>
      <c r="L40" s="647">
        <v>25.931812443893016</v>
      </c>
      <c r="M40" s="647">
        <v>5.4750905882772853</v>
      </c>
      <c r="N40" s="647">
        <v>67.964408038916218</v>
      </c>
      <c r="O40" s="647">
        <v>2.8554061636244761</v>
      </c>
      <c r="P40" s="647">
        <v>525.4263853892121</v>
      </c>
      <c r="Q40" s="647">
        <v>34.870731395116664</v>
      </c>
      <c r="R40" s="647">
        <v>2.9190855580034509</v>
      </c>
      <c r="S40" s="647">
        <v>1345.1363162441851</v>
      </c>
      <c r="U40" s="646" t="s">
        <v>83</v>
      </c>
      <c r="V40" s="647">
        <v>1.264986561669641</v>
      </c>
      <c r="W40" s="647">
        <v>0</v>
      </c>
      <c r="X40" s="647">
        <v>29.211639699659976</v>
      </c>
      <c r="Y40" s="647">
        <v>63.956275747695408</v>
      </c>
      <c r="Z40" s="647">
        <v>0</v>
      </c>
      <c r="AA40" s="647">
        <v>0</v>
      </c>
      <c r="AB40" s="647">
        <v>76.628296851050663</v>
      </c>
      <c r="AC40" s="647">
        <v>4.7844305635958433</v>
      </c>
      <c r="AD40" s="647">
        <v>67.031546398914003</v>
      </c>
      <c r="AE40" s="647">
        <v>63.974688608994001</v>
      </c>
      <c r="AF40" s="647">
        <v>109.8518848230913</v>
      </c>
      <c r="AG40" s="647">
        <v>7.4724249888520751</v>
      </c>
      <c r="AH40" s="647">
        <v>511.81625811534803</v>
      </c>
      <c r="AI40" s="647">
        <v>68.301024235701377</v>
      </c>
      <c r="AJ40" s="647">
        <v>14.600103225213982</v>
      </c>
      <c r="AK40" s="647">
        <v>1018.8935598197862</v>
      </c>
    </row>
    <row r="41" spans="3:37" ht="13.5">
      <c r="C41" s="641" t="s">
        <v>84</v>
      </c>
      <c r="D41" s="642">
        <v>0</v>
      </c>
      <c r="E41" s="642">
        <v>0</v>
      </c>
      <c r="F41" s="642">
        <v>104.91003257681685</v>
      </c>
      <c r="G41" s="642">
        <v>11.505661507854215</v>
      </c>
      <c r="H41" s="642">
        <v>0</v>
      </c>
      <c r="I41" s="642">
        <v>0</v>
      </c>
      <c r="J41" s="642">
        <v>0</v>
      </c>
      <c r="K41" s="642">
        <v>0</v>
      </c>
      <c r="L41" s="642">
        <v>0</v>
      </c>
      <c r="M41" s="642">
        <v>0</v>
      </c>
      <c r="N41" s="642">
        <v>0</v>
      </c>
      <c r="O41" s="642">
        <v>0</v>
      </c>
      <c r="P41" s="642">
        <v>0</v>
      </c>
      <c r="Q41" s="642">
        <v>0</v>
      </c>
      <c r="R41" s="642">
        <v>2.8301208000456781</v>
      </c>
      <c r="S41" s="650">
        <v>119.24581488471674</v>
      </c>
      <c r="U41" s="641" t="s">
        <v>84</v>
      </c>
      <c r="V41" s="642">
        <v>0</v>
      </c>
      <c r="W41" s="642">
        <v>0</v>
      </c>
      <c r="X41" s="642">
        <v>70.401025384734808</v>
      </c>
      <c r="Y41" s="642">
        <v>0.81519182748409058</v>
      </c>
      <c r="Z41" s="642">
        <v>0</v>
      </c>
      <c r="AA41" s="642">
        <v>0</v>
      </c>
      <c r="AB41" s="642">
        <v>0</v>
      </c>
      <c r="AC41" s="642">
        <v>0</v>
      </c>
      <c r="AD41" s="642">
        <v>24.563190847778323</v>
      </c>
      <c r="AE41" s="642">
        <v>0</v>
      </c>
      <c r="AF41" s="642">
        <v>0</v>
      </c>
      <c r="AG41" s="642">
        <v>0</v>
      </c>
      <c r="AH41" s="642">
        <v>0</v>
      </c>
      <c r="AI41" s="642">
        <v>0</v>
      </c>
      <c r="AJ41" s="642">
        <v>16.442815988159179</v>
      </c>
      <c r="AK41" s="650">
        <v>112.22222404815641</v>
      </c>
    </row>
    <row r="42" spans="3:37" ht="13.5">
      <c r="C42" s="646" t="s">
        <v>85</v>
      </c>
      <c r="D42" s="647">
        <v>4.6398193944555786</v>
      </c>
      <c r="E42" s="647">
        <v>0</v>
      </c>
      <c r="F42" s="647">
        <v>392.91402821922651</v>
      </c>
      <c r="G42" s="647">
        <v>278.88287012980999</v>
      </c>
      <c r="H42" s="647">
        <v>0</v>
      </c>
      <c r="I42" s="647">
        <v>0</v>
      </c>
      <c r="J42" s="647">
        <v>117.91049787329212</v>
      </c>
      <c r="K42" s="647">
        <v>1.7618751350284469</v>
      </c>
      <c r="L42" s="647">
        <v>25.931812443893016</v>
      </c>
      <c r="M42" s="647">
        <v>5.4750905882772853</v>
      </c>
      <c r="N42" s="647">
        <v>67.964408038916218</v>
      </c>
      <c r="O42" s="647">
        <v>2.8554061636244761</v>
      </c>
      <c r="P42" s="647">
        <v>525.4263853892121</v>
      </c>
      <c r="Q42" s="647">
        <v>34.870731395116664</v>
      </c>
      <c r="R42" s="647">
        <v>5.7492063580491291</v>
      </c>
      <c r="S42" s="647">
        <v>1464.3821311289018</v>
      </c>
      <c r="U42" s="646" t="s">
        <v>85</v>
      </c>
      <c r="V42" s="647">
        <v>1.264986561669641</v>
      </c>
      <c r="W42" s="647">
        <v>0</v>
      </c>
      <c r="X42" s="647">
        <v>99.612665084394791</v>
      </c>
      <c r="Y42" s="647">
        <v>64.7714675751795</v>
      </c>
      <c r="Z42" s="647">
        <v>0</v>
      </c>
      <c r="AA42" s="647">
        <v>0</v>
      </c>
      <c r="AB42" s="647">
        <v>76.628296851050663</v>
      </c>
      <c r="AC42" s="647">
        <v>4.7844305635958433</v>
      </c>
      <c r="AD42" s="647">
        <v>91.594737246692318</v>
      </c>
      <c r="AE42" s="647">
        <v>63.974688608994001</v>
      </c>
      <c r="AF42" s="647">
        <v>109.8518848230913</v>
      </c>
      <c r="AG42" s="647">
        <v>7.4724249888520751</v>
      </c>
      <c r="AH42" s="647">
        <v>511.81625811534803</v>
      </c>
      <c r="AI42" s="647">
        <v>68.301024235701377</v>
      </c>
      <c r="AJ42" s="647">
        <v>31.04291921337316</v>
      </c>
      <c r="AK42" s="647">
        <v>1131.1157838679426</v>
      </c>
    </row>
    <row r="43" spans="3:37" ht="13">
      <c r="C43" s="636"/>
      <c r="D43" s="636"/>
      <c r="E43" s="636"/>
      <c r="F43" s="636"/>
      <c r="G43" s="636"/>
      <c r="H43" s="636"/>
      <c r="I43" s="636"/>
      <c r="J43" s="636"/>
      <c r="K43" s="636"/>
      <c r="L43" s="636"/>
      <c r="M43" s="636"/>
      <c r="N43" s="636"/>
      <c r="O43" s="636"/>
      <c r="P43" s="636"/>
      <c r="Q43" s="636"/>
      <c r="R43" s="636"/>
      <c r="S43" s="636"/>
      <c r="U43" s="636"/>
      <c r="V43" s="636"/>
      <c r="W43" s="636"/>
      <c r="X43" s="636"/>
      <c r="Y43" s="636"/>
      <c r="Z43" s="636"/>
      <c r="AA43" s="636"/>
      <c r="AB43" s="636"/>
      <c r="AC43" s="636"/>
      <c r="AD43" s="636"/>
      <c r="AE43" s="636"/>
      <c r="AF43" s="636"/>
      <c r="AG43" s="636"/>
      <c r="AH43" s="636"/>
      <c r="AI43" s="636"/>
      <c r="AJ43" s="636"/>
      <c r="AK43" s="636"/>
    </row>
    <row r="44" spans="3:37" ht="22.5">
      <c r="C44" s="699" t="s">
        <v>89</v>
      </c>
      <c r="D44" s="699"/>
      <c r="E44" s="699"/>
      <c r="F44" s="699"/>
      <c r="G44" s="699"/>
      <c r="H44" s="699"/>
      <c r="I44" s="699"/>
      <c r="J44" s="699"/>
      <c r="K44" s="699"/>
      <c r="L44" s="699"/>
      <c r="M44" s="699"/>
      <c r="N44" s="699"/>
      <c r="O44" s="699"/>
      <c r="P44" s="699"/>
      <c r="Q44" s="699"/>
      <c r="R44" s="699"/>
      <c r="S44" s="699"/>
      <c r="U44" s="699" t="s">
        <v>89</v>
      </c>
      <c r="V44" s="699"/>
      <c r="W44" s="699"/>
      <c r="X44" s="699"/>
      <c r="Y44" s="699"/>
      <c r="Z44" s="699"/>
      <c r="AA44" s="699"/>
      <c r="AB44" s="699"/>
      <c r="AC44" s="699"/>
      <c r="AD44" s="699"/>
      <c r="AE44" s="699"/>
      <c r="AF44" s="699"/>
      <c r="AG44" s="699"/>
      <c r="AH44" s="699"/>
      <c r="AI44" s="699"/>
      <c r="AJ44" s="699"/>
      <c r="AK44" s="699"/>
    </row>
    <row r="45" spans="3:37" ht="13">
      <c r="C45" s="636"/>
      <c r="D45" s="636"/>
      <c r="E45" s="636"/>
      <c r="F45" s="636"/>
      <c r="G45" s="636"/>
      <c r="H45" s="636"/>
      <c r="I45" s="636"/>
      <c r="J45" s="636"/>
      <c r="K45" s="636"/>
      <c r="L45" s="636"/>
      <c r="M45" s="636"/>
      <c r="N45" s="636"/>
      <c r="O45" s="636"/>
      <c r="P45" s="636"/>
      <c r="Q45" s="636"/>
      <c r="R45" s="636"/>
      <c r="S45" s="636"/>
      <c r="U45" s="636"/>
      <c r="V45" s="636"/>
      <c r="W45" s="636"/>
      <c r="X45" s="636"/>
      <c r="Y45" s="636"/>
      <c r="Z45" s="636"/>
      <c r="AA45" s="636"/>
      <c r="AB45" s="636"/>
      <c r="AC45" s="636"/>
      <c r="AD45" s="636"/>
      <c r="AE45" s="636"/>
      <c r="AF45" s="636"/>
      <c r="AG45" s="636"/>
      <c r="AH45" s="636"/>
      <c r="AI45" s="636"/>
      <c r="AJ45" s="636"/>
      <c r="AK45" s="636"/>
    </row>
    <row r="46" spans="3:37" ht="13" customHeight="1">
      <c r="C46" s="700" t="s">
        <v>128</v>
      </c>
      <c r="D46" s="701" t="s">
        <v>42</v>
      </c>
      <c r="E46" s="701" t="s">
        <v>52</v>
      </c>
      <c r="F46" s="701" t="s">
        <v>53</v>
      </c>
      <c r="G46" s="701" t="s">
        <v>32</v>
      </c>
      <c r="H46" s="701" t="s">
        <v>20</v>
      </c>
      <c r="I46" s="701" t="s">
        <v>55</v>
      </c>
      <c r="J46" s="701" t="s">
        <v>56</v>
      </c>
      <c r="K46" s="701"/>
      <c r="L46" s="701"/>
      <c r="M46" s="701"/>
      <c r="N46" s="701"/>
      <c r="O46" s="701"/>
      <c r="P46" s="701" t="s">
        <v>57</v>
      </c>
      <c r="Q46" s="701" t="s">
        <v>58</v>
      </c>
      <c r="R46" s="701" t="s">
        <v>31</v>
      </c>
      <c r="S46" s="701" t="s">
        <v>10</v>
      </c>
      <c r="U46" s="700" t="s">
        <v>128</v>
      </c>
      <c r="V46" s="701" t="s">
        <v>42</v>
      </c>
      <c r="W46" s="701" t="s">
        <v>52</v>
      </c>
      <c r="X46" s="701" t="s">
        <v>53</v>
      </c>
      <c r="Y46" s="701" t="s">
        <v>32</v>
      </c>
      <c r="Z46" s="701" t="s">
        <v>20</v>
      </c>
      <c r="AA46" s="701" t="s">
        <v>55</v>
      </c>
      <c r="AB46" s="701" t="s">
        <v>56</v>
      </c>
      <c r="AC46" s="701"/>
      <c r="AD46" s="701"/>
      <c r="AE46" s="701"/>
      <c r="AF46" s="701"/>
      <c r="AG46" s="701"/>
      <c r="AH46" s="701" t="s">
        <v>57</v>
      </c>
      <c r="AI46" s="701" t="s">
        <v>58</v>
      </c>
      <c r="AJ46" s="701" t="s">
        <v>31</v>
      </c>
      <c r="AK46" s="701" t="s">
        <v>10</v>
      </c>
    </row>
    <row r="47" spans="3:37" ht="46">
      <c r="C47" s="700"/>
      <c r="D47" s="701"/>
      <c r="E47" s="701"/>
      <c r="F47" s="701"/>
      <c r="G47" s="701"/>
      <c r="H47" s="701"/>
      <c r="I47" s="701"/>
      <c r="J47" s="640" t="s">
        <v>338</v>
      </c>
      <c r="K47" s="640" t="s">
        <v>40</v>
      </c>
      <c r="L47" s="640" t="s">
        <v>346</v>
      </c>
      <c r="M47" s="640" t="s">
        <v>347</v>
      </c>
      <c r="N47" s="640" t="s">
        <v>348</v>
      </c>
      <c r="O47" s="640" t="s">
        <v>349</v>
      </c>
      <c r="P47" s="701"/>
      <c r="Q47" s="701"/>
      <c r="R47" s="701"/>
      <c r="S47" s="701"/>
      <c r="U47" s="700"/>
      <c r="V47" s="701"/>
      <c r="W47" s="701"/>
      <c r="X47" s="701"/>
      <c r="Y47" s="701"/>
      <c r="Z47" s="701"/>
      <c r="AA47" s="701"/>
      <c r="AB47" s="640" t="s">
        <v>338</v>
      </c>
      <c r="AC47" s="640" t="s">
        <v>40</v>
      </c>
      <c r="AD47" s="640" t="s">
        <v>346</v>
      </c>
      <c r="AE47" s="640" t="s">
        <v>347</v>
      </c>
      <c r="AF47" s="640" t="s">
        <v>348</v>
      </c>
      <c r="AG47" s="640" t="s">
        <v>349</v>
      </c>
      <c r="AH47" s="701"/>
      <c r="AI47" s="701"/>
      <c r="AJ47" s="701"/>
      <c r="AK47" s="701"/>
    </row>
    <row r="48" spans="3:37" ht="13.5">
      <c r="C48" s="641" t="s">
        <v>59</v>
      </c>
      <c r="D48" s="642">
        <v>0</v>
      </c>
      <c r="E48" s="643">
        <v>0</v>
      </c>
      <c r="F48" s="643">
        <v>0</v>
      </c>
      <c r="G48" s="642">
        <v>0</v>
      </c>
      <c r="H48" s="643">
        <v>727.27272727272737</v>
      </c>
      <c r="I48" s="643">
        <v>338.37995078139568</v>
      </c>
      <c r="J48" s="643">
        <v>185.12606679296266</v>
      </c>
      <c r="K48" s="643">
        <v>19.887492227897642</v>
      </c>
      <c r="L48" s="643">
        <v>0.67629573379861951</v>
      </c>
      <c r="M48" s="643">
        <v>0.16041590589481752</v>
      </c>
      <c r="N48" s="643">
        <v>75.083762899489528</v>
      </c>
      <c r="O48" s="643">
        <v>12.515766779598991</v>
      </c>
      <c r="P48" s="644">
        <v>0</v>
      </c>
      <c r="Q48" s="643">
        <v>0</v>
      </c>
      <c r="R48" s="643">
        <v>0</v>
      </c>
      <c r="S48" s="645">
        <v>1359.1024783937653</v>
      </c>
      <c r="U48" s="641" t="s">
        <v>59</v>
      </c>
      <c r="V48" s="642">
        <v>0</v>
      </c>
      <c r="W48" s="643">
        <v>0</v>
      </c>
      <c r="X48" s="643">
        <v>0</v>
      </c>
      <c r="Y48" s="642">
        <v>0</v>
      </c>
      <c r="Z48" s="643">
        <v>764.84848484848499</v>
      </c>
      <c r="AA48" s="643">
        <v>423.19995078139567</v>
      </c>
      <c r="AB48" s="643">
        <v>256.09062969225096</v>
      </c>
      <c r="AC48" s="643">
        <v>36.108430969743218</v>
      </c>
      <c r="AD48" s="643">
        <v>0.67629573379861951</v>
      </c>
      <c r="AE48" s="643">
        <v>0.16041590589481752</v>
      </c>
      <c r="AF48" s="643">
        <v>123.16818516374138</v>
      </c>
      <c r="AG48" s="643">
        <v>30.250193334526926</v>
      </c>
      <c r="AH48" s="644">
        <v>0</v>
      </c>
      <c r="AI48" s="643">
        <v>0</v>
      </c>
      <c r="AJ48" s="643">
        <v>0</v>
      </c>
      <c r="AK48" s="645">
        <v>1634.5025864298366</v>
      </c>
    </row>
    <row r="49" spans="3:37" ht="13.5">
      <c r="C49" s="641" t="s">
        <v>60</v>
      </c>
      <c r="D49" s="642">
        <v>46.099891323621534</v>
      </c>
      <c r="E49" s="643">
        <v>464.7986487</v>
      </c>
      <c r="F49" s="643">
        <v>48.534128715927544</v>
      </c>
      <c r="G49" s="642">
        <v>345.55093723566335</v>
      </c>
      <c r="H49" s="643">
        <v>0</v>
      </c>
      <c r="I49" s="643">
        <v>0</v>
      </c>
      <c r="J49" s="643">
        <v>5.7213435879484642</v>
      </c>
      <c r="K49" s="643">
        <v>0</v>
      </c>
      <c r="L49" s="643">
        <v>3.0565993326094723</v>
      </c>
      <c r="M49" s="643">
        <v>0</v>
      </c>
      <c r="N49" s="643">
        <v>0</v>
      </c>
      <c r="O49" s="643">
        <v>0</v>
      </c>
      <c r="P49" s="644">
        <v>0</v>
      </c>
      <c r="Q49" s="643">
        <v>0</v>
      </c>
      <c r="R49" s="643">
        <v>0</v>
      </c>
      <c r="S49" s="645">
        <v>913.76154889577037</v>
      </c>
      <c r="U49" s="641" t="s">
        <v>60</v>
      </c>
      <c r="V49" s="642">
        <v>4.5871215860372576</v>
      </c>
      <c r="W49" s="643">
        <v>113.59926767676768</v>
      </c>
      <c r="X49" s="643">
        <v>20.138935454909394</v>
      </c>
      <c r="Y49" s="642">
        <v>0.51452681198611927</v>
      </c>
      <c r="Z49" s="643">
        <v>0</v>
      </c>
      <c r="AA49" s="643">
        <v>0</v>
      </c>
      <c r="AB49" s="643">
        <v>5.7213435879484642</v>
      </c>
      <c r="AC49" s="643">
        <v>0</v>
      </c>
      <c r="AD49" s="643">
        <v>3.0565993326094723</v>
      </c>
      <c r="AE49" s="643">
        <v>0</v>
      </c>
      <c r="AF49" s="643">
        <v>0</v>
      </c>
      <c r="AG49" s="643">
        <v>0</v>
      </c>
      <c r="AH49" s="644">
        <v>0</v>
      </c>
      <c r="AI49" s="643">
        <v>0</v>
      </c>
      <c r="AJ49" s="643">
        <v>0</v>
      </c>
      <c r="AK49" s="645">
        <v>147.6177944502584</v>
      </c>
    </row>
    <row r="50" spans="3:37" ht="13.5">
      <c r="C50" s="641" t="s">
        <v>61</v>
      </c>
      <c r="D50" s="642">
        <v>0</v>
      </c>
      <c r="E50" s="643">
        <v>0</v>
      </c>
      <c r="F50" s="643">
        <v>0</v>
      </c>
      <c r="G50" s="642">
        <v>0</v>
      </c>
      <c r="H50" s="643">
        <v>0</v>
      </c>
      <c r="I50" s="643">
        <v>0</v>
      </c>
      <c r="J50" s="643">
        <v>0</v>
      </c>
      <c r="K50" s="643">
        <v>0</v>
      </c>
      <c r="L50" s="643">
        <v>0</v>
      </c>
      <c r="M50" s="643">
        <v>0</v>
      </c>
      <c r="N50" s="643">
        <v>0</v>
      </c>
      <c r="O50" s="643">
        <v>0</v>
      </c>
      <c r="P50" s="644">
        <v>-12.7985093299136</v>
      </c>
      <c r="Q50" s="643">
        <v>0</v>
      </c>
      <c r="R50" s="643">
        <v>0</v>
      </c>
      <c r="S50" s="645">
        <v>-12.7985093299136</v>
      </c>
      <c r="U50" s="641" t="s">
        <v>61</v>
      </c>
      <c r="V50" s="642">
        <v>0</v>
      </c>
      <c r="W50" s="643">
        <v>0</v>
      </c>
      <c r="X50" s="643">
        <v>0</v>
      </c>
      <c r="Y50" s="642">
        <v>0</v>
      </c>
      <c r="Z50" s="643">
        <v>0</v>
      </c>
      <c r="AA50" s="643">
        <v>0</v>
      </c>
      <c r="AB50" s="643">
        <v>0</v>
      </c>
      <c r="AC50" s="643">
        <v>0</v>
      </c>
      <c r="AD50" s="643">
        <v>0</v>
      </c>
      <c r="AE50" s="643">
        <v>0</v>
      </c>
      <c r="AF50" s="643">
        <v>0</v>
      </c>
      <c r="AG50" s="643">
        <v>0</v>
      </c>
      <c r="AH50" s="644">
        <v>-41.639986107117011</v>
      </c>
      <c r="AI50" s="643">
        <v>0</v>
      </c>
      <c r="AJ50" s="643">
        <v>0</v>
      </c>
      <c r="AK50" s="645">
        <v>-41.639986107117011</v>
      </c>
    </row>
    <row r="51" spans="3:37" ht="13.5">
      <c r="C51" s="641" t="s">
        <v>62</v>
      </c>
      <c r="D51" s="642">
        <v>0</v>
      </c>
      <c r="E51" s="643">
        <v>0</v>
      </c>
      <c r="F51" s="643">
        <v>-14.431507774067331</v>
      </c>
      <c r="G51" s="642">
        <v>0</v>
      </c>
      <c r="H51" s="643">
        <v>0</v>
      </c>
      <c r="I51" s="643">
        <v>0</v>
      </c>
      <c r="J51" s="643">
        <v>0</v>
      </c>
      <c r="K51" s="643">
        <v>0</v>
      </c>
      <c r="L51" s="643">
        <v>0</v>
      </c>
      <c r="M51" s="643">
        <v>0</v>
      </c>
      <c r="N51" s="643">
        <v>0</v>
      </c>
      <c r="O51" s="643">
        <v>0</v>
      </c>
      <c r="P51" s="644">
        <v>0</v>
      </c>
      <c r="Q51" s="643">
        <v>0</v>
      </c>
      <c r="R51" s="643">
        <v>0</v>
      </c>
      <c r="S51" s="645">
        <v>-14.431507774067331</v>
      </c>
      <c r="U51" s="641" t="s">
        <v>62</v>
      </c>
      <c r="V51" s="642">
        <v>0</v>
      </c>
      <c r="W51" s="643">
        <v>0</v>
      </c>
      <c r="X51" s="643">
        <v>-5.3013702027186111</v>
      </c>
      <c r="Y51" s="642">
        <v>0</v>
      </c>
      <c r="Z51" s="643">
        <v>0</v>
      </c>
      <c r="AA51" s="643">
        <v>0</v>
      </c>
      <c r="AB51" s="643">
        <v>0</v>
      </c>
      <c r="AC51" s="643">
        <v>0</v>
      </c>
      <c r="AD51" s="643">
        <v>0</v>
      </c>
      <c r="AE51" s="643">
        <v>-5.1137296191648005</v>
      </c>
      <c r="AF51" s="643">
        <v>0</v>
      </c>
      <c r="AG51" s="643">
        <v>0</v>
      </c>
      <c r="AH51" s="644">
        <v>0</v>
      </c>
      <c r="AI51" s="643">
        <v>0</v>
      </c>
      <c r="AJ51" s="643">
        <v>0</v>
      </c>
      <c r="AK51" s="645">
        <v>-10.415099821883413</v>
      </c>
    </row>
    <row r="52" spans="3:37" ht="13.5">
      <c r="C52" s="641" t="s">
        <v>63</v>
      </c>
      <c r="D52" s="642">
        <v>0</v>
      </c>
      <c r="E52" s="643">
        <v>0</v>
      </c>
      <c r="F52" s="643">
        <v>-93.443844381495637</v>
      </c>
      <c r="G52" s="642">
        <v>0</v>
      </c>
      <c r="H52" s="643">
        <v>0</v>
      </c>
      <c r="I52" s="643">
        <v>0</v>
      </c>
      <c r="J52" s="643">
        <v>0</v>
      </c>
      <c r="K52" s="643">
        <v>0</v>
      </c>
      <c r="L52" s="643">
        <v>-0.96889726774865159</v>
      </c>
      <c r="M52" s="643">
        <v>0</v>
      </c>
      <c r="N52" s="643">
        <v>0</v>
      </c>
      <c r="O52" s="643">
        <v>0</v>
      </c>
      <c r="P52" s="644">
        <v>0</v>
      </c>
      <c r="Q52" s="643">
        <v>0</v>
      </c>
      <c r="R52" s="643">
        <v>0</v>
      </c>
      <c r="S52" s="645">
        <v>-94.412741649244282</v>
      </c>
      <c r="U52" s="641" t="s">
        <v>63</v>
      </c>
      <c r="V52" s="642">
        <v>0</v>
      </c>
      <c r="W52" s="643">
        <v>0</v>
      </c>
      <c r="X52" s="643">
        <v>-35.841594545498886</v>
      </c>
      <c r="Y52" s="642">
        <v>0</v>
      </c>
      <c r="Z52" s="643">
        <v>0</v>
      </c>
      <c r="AA52" s="643">
        <v>0</v>
      </c>
      <c r="AB52" s="643">
        <v>0</v>
      </c>
      <c r="AC52" s="643">
        <v>0</v>
      </c>
      <c r="AD52" s="643">
        <v>-46.567340427053182</v>
      </c>
      <c r="AE52" s="643">
        <v>0</v>
      </c>
      <c r="AF52" s="643">
        <v>0</v>
      </c>
      <c r="AG52" s="643">
        <v>0</v>
      </c>
      <c r="AH52" s="644">
        <v>0</v>
      </c>
      <c r="AI52" s="643">
        <v>0</v>
      </c>
      <c r="AJ52" s="643">
        <v>0</v>
      </c>
      <c r="AK52" s="645">
        <v>-82.408934972552061</v>
      </c>
    </row>
    <row r="53" spans="3:37" ht="13.5">
      <c r="C53" s="641" t="s">
        <v>64</v>
      </c>
      <c r="D53" s="642">
        <v>0</v>
      </c>
      <c r="E53" s="643">
        <v>0</v>
      </c>
      <c r="F53" s="643">
        <v>0</v>
      </c>
      <c r="G53" s="642">
        <v>0</v>
      </c>
      <c r="H53" s="643">
        <v>0</v>
      </c>
      <c r="I53" s="643">
        <v>0</v>
      </c>
      <c r="J53" s="643">
        <v>0</v>
      </c>
      <c r="K53" s="643">
        <v>0</v>
      </c>
      <c r="L53" s="643">
        <v>0</v>
      </c>
      <c r="M53" s="643">
        <v>0</v>
      </c>
      <c r="N53" s="643">
        <v>0</v>
      </c>
      <c r="O53" s="643">
        <v>0</v>
      </c>
      <c r="P53" s="644">
        <v>0</v>
      </c>
      <c r="Q53" s="643">
        <v>0</v>
      </c>
      <c r="R53" s="643">
        <v>0</v>
      </c>
      <c r="S53" s="645">
        <v>0</v>
      </c>
      <c r="U53" s="641" t="s">
        <v>64</v>
      </c>
      <c r="V53" s="642">
        <v>0</v>
      </c>
      <c r="W53" s="643">
        <v>0</v>
      </c>
      <c r="X53" s="643">
        <v>0</v>
      </c>
      <c r="Y53" s="642">
        <v>0</v>
      </c>
      <c r="Z53" s="643">
        <v>0</v>
      </c>
      <c r="AA53" s="643">
        <v>0</v>
      </c>
      <c r="AB53" s="643">
        <v>0</v>
      </c>
      <c r="AC53" s="643">
        <v>0</v>
      </c>
      <c r="AD53" s="643">
        <v>0</v>
      </c>
      <c r="AE53" s="643">
        <v>0</v>
      </c>
      <c r="AF53" s="643">
        <v>0</v>
      </c>
      <c r="AG53" s="643">
        <v>0</v>
      </c>
      <c r="AH53" s="644">
        <v>0</v>
      </c>
      <c r="AI53" s="643">
        <v>0</v>
      </c>
      <c r="AJ53" s="643">
        <v>0</v>
      </c>
      <c r="AK53" s="645">
        <v>0</v>
      </c>
    </row>
    <row r="54" spans="3:37" ht="13.5">
      <c r="C54" s="646" t="s">
        <v>65</v>
      </c>
      <c r="D54" s="647">
        <v>46.099891323621534</v>
      </c>
      <c r="E54" s="647">
        <v>464.7986487</v>
      </c>
      <c r="F54" s="647">
        <v>-59.341223439635421</v>
      </c>
      <c r="G54" s="647">
        <v>345.55093723566335</v>
      </c>
      <c r="H54" s="647">
        <v>727.27272727272737</v>
      </c>
      <c r="I54" s="647">
        <v>338.37995078139568</v>
      </c>
      <c r="J54" s="647">
        <v>190.84741038091113</v>
      </c>
      <c r="K54" s="647">
        <v>19.887492227897642</v>
      </c>
      <c r="L54" s="647">
        <v>2.7639977986594397</v>
      </c>
      <c r="M54" s="647">
        <v>0.16041590589481752</v>
      </c>
      <c r="N54" s="647">
        <v>75.083762899489528</v>
      </c>
      <c r="O54" s="647">
        <v>12.515766779598991</v>
      </c>
      <c r="P54" s="647">
        <v>-12.7985093299136</v>
      </c>
      <c r="Q54" s="647">
        <v>0</v>
      </c>
      <c r="R54" s="647">
        <v>0</v>
      </c>
      <c r="S54" s="647">
        <v>2151.2212685363102</v>
      </c>
      <c r="U54" s="646" t="s">
        <v>65</v>
      </c>
      <c r="V54" s="647">
        <v>4.5871215860372576</v>
      </c>
      <c r="W54" s="647">
        <v>113.59926767676768</v>
      </c>
      <c r="X54" s="647">
        <v>-21.004029293308101</v>
      </c>
      <c r="Y54" s="647">
        <v>0.51452681198611927</v>
      </c>
      <c r="Z54" s="647">
        <v>764.84848484848499</v>
      </c>
      <c r="AA54" s="647">
        <v>423.19995078139567</v>
      </c>
      <c r="AB54" s="647">
        <v>261.81197328019942</v>
      </c>
      <c r="AC54" s="647">
        <v>36.108430969743218</v>
      </c>
      <c r="AD54" s="647">
        <v>-42.834445360645091</v>
      </c>
      <c r="AE54" s="647">
        <v>-4.9533137132699832</v>
      </c>
      <c r="AF54" s="647">
        <v>123.16818516374138</v>
      </c>
      <c r="AG54" s="647">
        <v>30.250193334526926</v>
      </c>
      <c r="AH54" s="647">
        <v>-41.639986107117011</v>
      </c>
      <c r="AI54" s="647">
        <v>0</v>
      </c>
      <c r="AJ54" s="647">
        <v>0</v>
      </c>
      <c r="AK54" s="647">
        <v>1647.6563599785427</v>
      </c>
    </row>
    <row r="55" spans="3:37" ht="13">
      <c r="C55" s="636"/>
      <c r="D55" s="636">
        <v>0</v>
      </c>
      <c r="E55" s="636">
        <v>0</v>
      </c>
      <c r="F55" s="636">
        <v>0</v>
      </c>
      <c r="G55" s="636">
        <v>0</v>
      </c>
      <c r="H55" s="636">
        <v>0</v>
      </c>
      <c r="I55" s="636">
        <v>0</v>
      </c>
      <c r="J55" s="636">
        <v>0</v>
      </c>
      <c r="K55" s="636">
        <v>0</v>
      </c>
      <c r="L55" s="636">
        <v>0</v>
      </c>
      <c r="M55" s="636">
        <v>0</v>
      </c>
      <c r="N55" s="636">
        <v>0</v>
      </c>
      <c r="O55" s="636">
        <v>0</v>
      </c>
      <c r="P55" s="636">
        <v>0</v>
      </c>
      <c r="Q55" s="636">
        <v>0</v>
      </c>
      <c r="R55" s="636">
        <v>0</v>
      </c>
      <c r="S55" s="636">
        <v>0</v>
      </c>
      <c r="U55" s="636"/>
      <c r="V55" s="636">
        <v>0</v>
      </c>
      <c r="W55" s="636">
        <v>0</v>
      </c>
      <c r="X55" s="636">
        <v>0</v>
      </c>
      <c r="Y55" s="636">
        <v>0</v>
      </c>
      <c r="Z55" s="636">
        <v>0</v>
      </c>
      <c r="AA55" s="636">
        <v>0</v>
      </c>
      <c r="AB55" s="636">
        <v>0</v>
      </c>
      <c r="AC55" s="636">
        <v>0</v>
      </c>
      <c r="AD55" s="636">
        <v>0</v>
      </c>
      <c r="AE55" s="636">
        <v>0</v>
      </c>
      <c r="AF55" s="636">
        <v>0</v>
      </c>
      <c r="AG55" s="636">
        <v>0</v>
      </c>
      <c r="AH55" s="636">
        <v>0</v>
      </c>
      <c r="AI55" s="636">
        <v>0</v>
      </c>
      <c r="AJ55" s="636">
        <v>0</v>
      </c>
      <c r="AK55" s="636">
        <v>0</v>
      </c>
    </row>
    <row r="56" spans="3:37" ht="13.5">
      <c r="C56" s="648" t="s">
        <v>67</v>
      </c>
      <c r="D56" s="642">
        <v>0</v>
      </c>
      <c r="E56" s="649">
        <v>0</v>
      </c>
      <c r="F56" s="649">
        <v>0</v>
      </c>
      <c r="G56" s="642">
        <v>0</v>
      </c>
      <c r="H56" s="642">
        <v>0</v>
      </c>
      <c r="I56" s="642">
        <v>0</v>
      </c>
      <c r="J56" s="642">
        <v>0</v>
      </c>
      <c r="K56" s="642">
        <v>0</v>
      </c>
      <c r="L56" s="642">
        <v>0</v>
      </c>
      <c r="M56" s="642">
        <v>0</v>
      </c>
      <c r="N56" s="642">
        <v>0</v>
      </c>
      <c r="O56" s="642">
        <v>0</v>
      </c>
      <c r="P56" s="642">
        <v>0</v>
      </c>
      <c r="Q56" s="642">
        <v>0</v>
      </c>
      <c r="R56" s="642">
        <v>0</v>
      </c>
      <c r="S56" s="650">
        <v>0</v>
      </c>
      <c r="U56" s="648" t="s">
        <v>67</v>
      </c>
      <c r="V56" s="642">
        <v>0</v>
      </c>
      <c r="W56" s="649">
        <v>0</v>
      </c>
      <c r="X56" s="649">
        <v>0</v>
      </c>
      <c r="Y56" s="642">
        <v>0</v>
      </c>
      <c r="Z56" s="642">
        <v>0</v>
      </c>
      <c r="AA56" s="642">
        <v>0</v>
      </c>
      <c r="AB56" s="642">
        <v>0</v>
      </c>
      <c r="AC56" s="642">
        <v>0</v>
      </c>
      <c r="AD56" s="642">
        <v>0</v>
      </c>
      <c r="AE56" s="642">
        <v>0</v>
      </c>
      <c r="AF56" s="642">
        <v>0</v>
      </c>
      <c r="AG56" s="642">
        <v>0</v>
      </c>
      <c r="AH56" s="642">
        <v>0</v>
      </c>
      <c r="AI56" s="642">
        <v>0</v>
      </c>
      <c r="AJ56" s="642">
        <v>0</v>
      </c>
      <c r="AK56" s="650">
        <v>0</v>
      </c>
    </row>
    <row r="57" spans="3:37" ht="13.5">
      <c r="C57" s="648" t="s">
        <v>350</v>
      </c>
      <c r="D57" s="642">
        <v>2.8267856410252494</v>
      </c>
      <c r="E57" s="642">
        <v>0</v>
      </c>
      <c r="F57" s="642">
        <v>8.0599105831015567</v>
      </c>
      <c r="G57" s="642">
        <v>46.530346198952707</v>
      </c>
      <c r="H57" s="642">
        <v>727.27272727272737</v>
      </c>
      <c r="I57" s="642">
        <v>338.37995078139568</v>
      </c>
      <c r="J57" s="651">
        <v>28.452469116356035</v>
      </c>
      <c r="K57" s="651">
        <v>6.2305848357200952</v>
      </c>
      <c r="L57" s="651">
        <v>3.7328950664080915</v>
      </c>
      <c r="M57" s="651">
        <v>1.0761160081227215</v>
      </c>
      <c r="N57" s="651">
        <v>0</v>
      </c>
      <c r="O57" s="651">
        <v>7.5664382136221358</v>
      </c>
      <c r="P57" s="642">
        <v>-629.14515201417555</v>
      </c>
      <c r="Q57" s="642">
        <v>0</v>
      </c>
      <c r="R57" s="642">
        <v>0</v>
      </c>
      <c r="S57" s="650">
        <v>540.98307170325586</v>
      </c>
      <c r="U57" s="648" t="s">
        <v>350</v>
      </c>
      <c r="V57" s="642">
        <v>0.62631490545869017</v>
      </c>
      <c r="W57" s="642">
        <v>0</v>
      </c>
      <c r="X57" s="642">
        <v>4.1962742194651934</v>
      </c>
      <c r="Y57" s="642">
        <v>0</v>
      </c>
      <c r="Z57" s="642">
        <v>764.84848484848499</v>
      </c>
      <c r="AA57" s="642">
        <v>423.19995078139567</v>
      </c>
      <c r="AB57" s="651">
        <v>22.478183728982629</v>
      </c>
      <c r="AC57" s="651">
        <v>5.0926371917675839</v>
      </c>
      <c r="AD57" s="651">
        <v>3.7328950664080915</v>
      </c>
      <c r="AE57" s="651">
        <v>0.79318377276994545</v>
      </c>
      <c r="AF57" s="651">
        <v>0</v>
      </c>
      <c r="AG57" s="651">
        <v>7.5664382136221358</v>
      </c>
      <c r="AH57" s="642">
        <v>-696.77718495359215</v>
      </c>
      <c r="AI57" s="642">
        <v>0</v>
      </c>
      <c r="AJ57" s="642">
        <v>3.75</v>
      </c>
      <c r="AK57" s="650">
        <v>539.50717777476291</v>
      </c>
    </row>
    <row r="58" spans="3:37" ht="13.5">
      <c r="C58" s="648" t="s">
        <v>351</v>
      </c>
      <c r="D58" s="642">
        <v>0</v>
      </c>
      <c r="E58" s="642">
        <v>0</v>
      </c>
      <c r="F58" s="642">
        <v>0</v>
      </c>
      <c r="G58" s="642">
        <v>14.783508517784153</v>
      </c>
      <c r="H58" s="642">
        <v>0</v>
      </c>
      <c r="I58" s="642">
        <v>0</v>
      </c>
      <c r="J58" s="651">
        <v>12.163067049530284</v>
      </c>
      <c r="K58" s="651">
        <v>11.829214997579474</v>
      </c>
      <c r="L58" s="651">
        <v>0</v>
      </c>
      <c r="M58" s="651">
        <v>0.31740804730172578</v>
      </c>
      <c r="N58" s="651">
        <v>0</v>
      </c>
      <c r="O58" s="651">
        <v>2.086875550337155</v>
      </c>
      <c r="P58" s="642">
        <v>0</v>
      </c>
      <c r="Q58" s="642">
        <v>-37.667878685561853</v>
      </c>
      <c r="R58" s="642">
        <v>0</v>
      </c>
      <c r="S58" s="650">
        <v>3.5121954769709394</v>
      </c>
      <c r="U58" s="648" t="s">
        <v>351</v>
      </c>
      <c r="V58" s="642">
        <v>0</v>
      </c>
      <c r="W58" s="642">
        <v>0</v>
      </c>
      <c r="X58" s="642">
        <v>0</v>
      </c>
      <c r="Y58" s="642">
        <v>0</v>
      </c>
      <c r="Z58" s="642">
        <v>0</v>
      </c>
      <c r="AA58" s="642">
        <v>0</v>
      </c>
      <c r="AB58" s="651">
        <v>28.523630086620891</v>
      </c>
      <c r="AC58" s="651">
        <v>26.288013396118924</v>
      </c>
      <c r="AD58" s="651">
        <v>0</v>
      </c>
      <c r="AE58" s="651">
        <v>10.611192177482708</v>
      </c>
      <c r="AF58" s="651">
        <v>0</v>
      </c>
      <c r="AG58" s="651">
        <v>14.121402979798832</v>
      </c>
      <c r="AH58" s="642">
        <v>0</v>
      </c>
      <c r="AI58" s="642">
        <v>-74.176724382187018</v>
      </c>
      <c r="AJ58" s="642">
        <v>0</v>
      </c>
      <c r="AK58" s="650">
        <v>5.3675142578343316</v>
      </c>
    </row>
    <row r="59" spans="3:37" ht="13.5">
      <c r="C59" s="648" t="s">
        <v>352</v>
      </c>
      <c r="D59" s="642">
        <v>0</v>
      </c>
      <c r="E59" s="642">
        <v>0</v>
      </c>
      <c r="F59" s="642">
        <v>0</v>
      </c>
      <c r="G59" s="642">
        <v>0</v>
      </c>
      <c r="H59" s="642">
        <v>0</v>
      </c>
      <c r="I59" s="642">
        <v>0</v>
      </c>
      <c r="J59" s="652">
        <v>7.1450792385721682</v>
      </c>
      <c r="K59" s="652">
        <v>0</v>
      </c>
      <c r="L59" s="652">
        <v>0</v>
      </c>
      <c r="M59" s="652">
        <v>-6.8235506728364204</v>
      </c>
      <c r="N59" s="652">
        <v>0</v>
      </c>
      <c r="O59" s="652">
        <v>0</v>
      </c>
      <c r="P59" s="642">
        <v>0</v>
      </c>
      <c r="Q59" s="642">
        <v>0</v>
      </c>
      <c r="R59" s="642">
        <v>0</v>
      </c>
      <c r="S59" s="650">
        <v>0.32152856573574784</v>
      </c>
      <c r="U59" s="648" t="s">
        <v>352</v>
      </c>
      <c r="V59" s="642">
        <v>0</v>
      </c>
      <c r="W59" s="642">
        <v>0</v>
      </c>
      <c r="X59" s="642">
        <v>0</v>
      </c>
      <c r="Y59" s="642">
        <v>0</v>
      </c>
      <c r="Z59" s="642">
        <v>0</v>
      </c>
      <c r="AA59" s="642">
        <v>0</v>
      </c>
      <c r="AB59" s="652">
        <v>137.81211213320262</v>
      </c>
      <c r="AC59" s="652">
        <v>0</v>
      </c>
      <c r="AD59" s="652">
        <v>0</v>
      </c>
      <c r="AE59" s="652">
        <v>-131.61056708720849</v>
      </c>
      <c r="AF59" s="652">
        <v>0</v>
      </c>
      <c r="AG59" s="652">
        <v>0</v>
      </c>
      <c r="AH59" s="642">
        <v>0</v>
      </c>
      <c r="AI59" s="642">
        <v>0</v>
      </c>
      <c r="AJ59" s="642">
        <v>0</v>
      </c>
      <c r="AK59" s="650">
        <v>6.2015450459941235</v>
      </c>
    </row>
    <row r="60" spans="3:37" ht="13.5">
      <c r="C60" s="648" t="s">
        <v>353</v>
      </c>
      <c r="D60" s="642">
        <v>0</v>
      </c>
      <c r="E60" s="642">
        <v>0</v>
      </c>
      <c r="F60" s="642">
        <v>0</v>
      </c>
      <c r="G60" s="642">
        <v>0</v>
      </c>
      <c r="H60" s="642">
        <v>0</v>
      </c>
      <c r="I60" s="642">
        <v>0</v>
      </c>
      <c r="J60" s="642">
        <v>0</v>
      </c>
      <c r="K60" s="642">
        <v>0</v>
      </c>
      <c r="L60" s="642">
        <v>0</v>
      </c>
      <c r="M60" s="642">
        <v>0</v>
      </c>
      <c r="N60" s="642">
        <v>0</v>
      </c>
      <c r="O60" s="642">
        <v>0</v>
      </c>
      <c r="P60" s="642">
        <v>0</v>
      </c>
      <c r="Q60" s="642">
        <v>0</v>
      </c>
      <c r="R60" s="642">
        <v>0</v>
      </c>
      <c r="S60" s="650">
        <v>0</v>
      </c>
      <c r="U60" s="648" t="s">
        <v>353</v>
      </c>
      <c r="V60" s="642">
        <v>0</v>
      </c>
      <c r="W60" s="642">
        <v>0</v>
      </c>
      <c r="X60" s="642">
        <v>0</v>
      </c>
      <c r="Y60" s="642">
        <v>0</v>
      </c>
      <c r="Z60" s="642">
        <v>0</v>
      </c>
      <c r="AA60" s="642">
        <v>0</v>
      </c>
      <c r="AB60" s="642">
        <v>0</v>
      </c>
      <c r="AC60" s="642">
        <v>0</v>
      </c>
      <c r="AD60" s="642">
        <v>0</v>
      </c>
      <c r="AE60" s="642">
        <v>0</v>
      </c>
      <c r="AF60" s="642">
        <v>0</v>
      </c>
      <c r="AG60" s="642">
        <v>0</v>
      </c>
      <c r="AH60" s="642">
        <v>0</v>
      </c>
      <c r="AI60" s="642">
        <v>0</v>
      </c>
      <c r="AJ60" s="642">
        <v>0</v>
      </c>
      <c r="AK60" s="650">
        <v>0</v>
      </c>
    </row>
    <row r="61" spans="3:37" ht="13.5">
      <c r="C61" s="648" t="s">
        <v>72</v>
      </c>
      <c r="D61" s="642">
        <v>0</v>
      </c>
      <c r="E61" s="642">
        <v>481.48200000000003</v>
      </c>
      <c r="F61" s="642">
        <v>-476.66718000000003</v>
      </c>
      <c r="G61" s="642">
        <v>0</v>
      </c>
      <c r="H61" s="642">
        <v>0</v>
      </c>
      <c r="I61" s="642">
        <v>0</v>
      </c>
      <c r="J61" s="642">
        <v>0</v>
      </c>
      <c r="K61" s="642">
        <v>0</v>
      </c>
      <c r="L61" s="642">
        <v>0</v>
      </c>
      <c r="M61" s="642">
        <v>0</v>
      </c>
      <c r="N61" s="642">
        <v>0</v>
      </c>
      <c r="O61" s="642">
        <v>0</v>
      </c>
      <c r="P61" s="642">
        <v>0</v>
      </c>
      <c r="Q61" s="642">
        <v>0</v>
      </c>
      <c r="R61" s="642">
        <v>0</v>
      </c>
      <c r="S61" s="650">
        <v>4.8148199999999974</v>
      </c>
      <c r="U61" s="648" t="s">
        <v>72</v>
      </c>
      <c r="V61" s="642">
        <v>0</v>
      </c>
      <c r="W61" s="642">
        <v>117.67676767676768</v>
      </c>
      <c r="X61" s="642">
        <v>-116.5</v>
      </c>
      <c r="Y61" s="642">
        <v>0</v>
      </c>
      <c r="Z61" s="642">
        <v>0</v>
      </c>
      <c r="AA61" s="642">
        <v>0</v>
      </c>
      <c r="AB61" s="642">
        <v>0</v>
      </c>
      <c r="AC61" s="642">
        <v>0</v>
      </c>
      <c r="AD61" s="642">
        <v>0</v>
      </c>
      <c r="AE61" s="642">
        <v>0</v>
      </c>
      <c r="AF61" s="642">
        <v>0</v>
      </c>
      <c r="AG61" s="642">
        <v>0</v>
      </c>
      <c r="AH61" s="642">
        <v>0</v>
      </c>
      <c r="AI61" s="642">
        <v>0</v>
      </c>
      <c r="AJ61" s="642">
        <v>0</v>
      </c>
      <c r="AK61" s="650">
        <v>1.1767676767676818</v>
      </c>
    </row>
    <row r="62" spans="3:37" ht="13.5">
      <c r="C62" s="648" t="s">
        <v>354</v>
      </c>
      <c r="D62" s="642">
        <v>0</v>
      </c>
      <c r="E62" s="642">
        <v>0</v>
      </c>
      <c r="F62" s="642">
        <v>0</v>
      </c>
      <c r="G62" s="642">
        <v>0</v>
      </c>
      <c r="H62" s="642">
        <v>0</v>
      </c>
      <c r="I62" s="642">
        <v>0</v>
      </c>
      <c r="J62" s="642">
        <v>26.125483595276659</v>
      </c>
      <c r="K62" s="642">
        <v>0</v>
      </c>
      <c r="L62" s="642">
        <v>-26.125483595276659</v>
      </c>
      <c r="M62" s="642">
        <v>0</v>
      </c>
      <c r="N62" s="642">
        <v>0</v>
      </c>
      <c r="O62" s="642">
        <v>0</v>
      </c>
      <c r="P62" s="642">
        <v>0</v>
      </c>
      <c r="Q62" s="642">
        <v>0</v>
      </c>
      <c r="R62" s="642">
        <v>0</v>
      </c>
      <c r="S62" s="650">
        <v>0</v>
      </c>
      <c r="U62" s="648" t="s">
        <v>354</v>
      </c>
      <c r="V62" s="642">
        <v>0</v>
      </c>
      <c r="W62" s="642">
        <v>0</v>
      </c>
      <c r="X62" s="642">
        <v>0</v>
      </c>
      <c r="Y62" s="642">
        <v>0</v>
      </c>
      <c r="Z62" s="642">
        <v>0</v>
      </c>
      <c r="AA62" s="642">
        <v>0</v>
      </c>
      <c r="AB62" s="642" t="e">
        <v>#VALUE!</v>
      </c>
      <c r="AC62" s="642">
        <v>0</v>
      </c>
      <c r="AD62" s="642">
        <v>-100.69655001825291</v>
      </c>
      <c r="AE62" s="642">
        <v>0</v>
      </c>
      <c r="AF62" s="642">
        <v>0</v>
      </c>
      <c r="AG62" s="642">
        <v>0</v>
      </c>
      <c r="AH62" s="642">
        <v>0</v>
      </c>
      <c r="AI62" s="642">
        <v>0</v>
      </c>
      <c r="AJ62" s="642">
        <v>0</v>
      </c>
      <c r="AK62" s="650">
        <v>-100.69655001825291</v>
      </c>
    </row>
    <row r="63" spans="3:37" ht="13.5">
      <c r="C63" s="648" t="s">
        <v>355</v>
      </c>
      <c r="D63" s="642">
        <v>0</v>
      </c>
      <c r="E63" s="642">
        <v>0</v>
      </c>
      <c r="F63" s="642">
        <v>0</v>
      </c>
      <c r="G63" s="642">
        <v>0</v>
      </c>
      <c r="H63" s="642">
        <v>0</v>
      </c>
      <c r="I63" s="642">
        <v>0</v>
      </c>
      <c r="J63" s="642">
        <v>0</v>
      </c>
      <c r="K63" s="642">
        <v>0</v>
      </c>
      <c r="L63" s="642">
        <v>0</v>
      </c>
      <c r="M63" s="642">
        <v>0</v>
      </c>
      <c r="N63" s="642">
        <v>0</v>
      </c>
      <c r="O63" s="642">
        <v>0</v>
      </c>
      <c r="P63" s="642">
        <v>0</v>
      </c>
      <c r="Q63" s="642">
        <v>0</v>
      </c>
      <c r="R63" s="642">
        <v>0</v>
      </c>
      <c r="S63" s="650">
        <v>0</v>
      </c>
      <c r="U63" s="648" t="s">
        <v>355</v>
      </c>
      <c r="V63" s="642">
        <v>0</v>
      </c>
      <c r="W63" s="642">
        <v>0</v>
      </c>
      <c r="X63" s="642">
        <v>0</v>
      </c>
      <c r="Y63" s="642">
        <v>0</v>
      </c>
      <c r="Z63" s="642">
        <v>0</v>
      </c>
      <c r="AA63" s="642">
        <v>0</v>
      </c>
      <c r="AB63" s="642">
        <v>0</v>
      </c>
      <c r="AC63" s="642">
        <v>0</v>
      </c>
      <c r="AD63" s="642">
        <v>-28.460377640694865</v>
      </c>
      <c r="AE63" s="642">
        <v>0</v>
      </c>
      <c r="AF63" s="642">
        <v>0</v>
      </c>
      <c r="AG63" s="642">
        <v>0</v>
      </c>
      <c r="AH63" s="642">
        <v>0</v>
      </c>
      <c r="AI63" s="642">
        <v>0</v>
      </c>
      <c r="AJ63" s="642">
        <v>0</v>
      </c>
      <c r="AK63" s="650">
        <v>-28.460377640694865</v>
      </c>
    </row>
    <row r="64" spans="3:37" ht="13.5">
      <c r="C64" s="648" t="s">
        <v>73</v>
      </c>
      <c r="D64" s="642">
        <v>0</v>
      </c>
      <c r="E64" s="642">
        <v>0</v>
      </c>
      <c r="F64" s="642">
        <v>0</v>
      </c>
      <c r="G64" s="642">
        <v>8.6128889644156494</v>
      </c>
      <c r="H64" s="642">
        <v>0</v>
      </c>
      <c r="I64" s="642">
        <v>0</v>
      </c>
      <c r="J64" s="642">
        <v>0</v>
      </c>
      <c r="K64" s="642">
        <v>0.10101910584583218</v>
      </c>
      <c r="L64" s="642">
        <v>0</v>
      </c>
      <c r="M64" s="642">
        <v>0.17577324417174797</v>
      </c>
      <c r="N64" s="642">
        <v>0</v>
      </c>
      <c r="O64" s="642">
        <v>0</v>
      </c>
      <c r="P64" s="642">
        <v>1.1785562348680418</v>
      </c>
      <c r="Q64" s="642">
        <v>0</v>
      </c>
      <c r="R64" s="642">
        <v>-7.071337409208251</v>
      </c>
      <c r="S64" s="650">
        <v>2.99690014009302</v>
      </c>
      <c r="U64" s="648" t="s">
        <v>73</v>
      </c>
      <c r="V64" s="642">
        <v>0</v>
      </c>
      <c r="W64" s="642">
        <v>0</v>
      </c>
      <c r="X64" s="642">
        <v>0</v>
      </c>
      <c r="Y64" s="642">
        <v>0</v>
      </c>
      <c r="Z64" s="642">
        <v>0</v>
      </c>
      <c r="AA64" s="642">
        <v>0</v>
      </c>
      <c r="AB64" s="642">
        <v>0</v>
      </c>
      <c r="AC64" s="642">
        <v>0.58294529496624936</v>
      </c>
      <c r="AD64" s="642">
        <v>0</v>
      </c>
      <c r="AE64" s="642">
        <v>0</v>
      </c>
      <c r="AF64" s="642">
        <v>0</v>
      </c>
      <c r="AG64" s="642">
        <v>0</v>
      </c>
      <c r="AH64" s="642">
        <v>56.108484640501494</v>
      </c>
      <c r="AI64" s="642">
        <v>0</v>
      </c>
      <c r="AJ64" s="642">
        <v>-40.806170647637451</v>
      </c>
      <c r="AK64" s="650">
        <v>15.885259287830294</v>
      </c>
    </row>
    <row r="65" spans="3:37" ht="13.5">
      <c r="C65" s="648" t="s">
        <v>356</v>
      </c>
      <c r="D65" s="642">
        <v>28.51179328125</v>
      </c>
      <c r="E65" s="642">
        <v>-16.683351300000002</v>
      </c>
      <c r="F65" s="642">
        <v>21.820838094867195</v>
      </c>
      <c r="G65" s="642">
        <v>0</v>
      </c>
      <c r="H65" s="642">
        <v>0</v>
      </c>
      <c r="I65" s="642">
        <v>0</v>
      </c>
      <c r="J65" s="642">
        <v>0</v>
      </c>
      <c r="K65" s="642">
        <v>0</v>
      </c>
      <c r="L65" s="642">
        <v>0</v>
      </c>
      <c r="M65" s="642">
        <v>0</v>
      </c>
      <c r="N65" s="642">
        <v>0</v>
      </c>
      <c r="O65" s="642">
        <v>0</v>
      </c>
      <c r="P65" s="642">
        <v>0</v>
      </c>
      <c r="Q65" s="642">
        <v>0</v>
      </c>
      <c r="R65" s="642">
        <v>0</v>
      </c>
      <c r="S65" s="650">
        <v>33.649280076117194</v>
      </c>
      <c r="U65" s="648" t="s">
        <v>356</v>
      </c>
      <c r="V65" s="642">
        <v>0.72303211975097659</v>
      </c>
      <c r="W65" s="642">
        <v>-4.0775000000000006</v>
      </c>
      <c r="X65" s="642">
        <v>5.333129161634389</v>
      </c>
      <c r="Y65" s="642">
        <v>0</v>
      </c>
      <c r="Z65" s="642">
        <v>0</v>
      </c>
      <c r="AA65" s="642">
        <v>0</v>
      </c>
      <c r="AB65" s="642">
        <v>0</v>
      </c>
      <c r="AC65" s="642">
        <v>0</v>
      </c>
      <c r="AD65" s="642">
        <v>0</v>
      </c>
      <c r="AE65" s="642">
        <v>0</v>
      </c>
      <c r="AF65" s="642">
        <v>0</v>
      </c>
      <c r="AG65" s="642">
        <v>0</v>
      </c>
      <c r="AH65" s="642">
        <v>0</v>
      </c>
      <c r="AI65" s="642">
        <v>0</v>
      </c>
      <c r="AJ65" s="642">
        <v>0</v>
      </c>
      <c r="AK65" s="650">
        <v>1.978661281385365</v>
      </c>
    </row>
    <row r="66" spans="3:37" ht="13.5">
      <c r="C66" s="648" t="s">
        <v>75</v>
      </c>
      <c r="D66" s="642">
        <v>11.087919609375001</v>
      </c>
      <c r="E66" s="642">
        <v>0</v>
      </c>
      <c r="F66" s="642">
        <v>16.370388000000002</v>
      </c>
      <c r="G66" s="642">
        <v>4.6713383640000004</v>
      </c>
      <c r="H66" s="642">
        <v>0</v>
      </c>
      <c r="I66" s="642">
        <v>0</v>
      </c>
      <c r="J66" s="642">
        <v>0</v>
      </c>
      <c r="K66" s="642">
        <v>0</v>
      </c>
      <c r="L66" s="642">
        <v>0</v>
      </c>
      <c r="M66" s="642">
        <v>9.5333436000000008E-2</v>
      </c>
      <c r="N66" s="642">
        <v>0</v>
      </c>
      <c r="O66" s="642">
        <v>0</v>
      </c>
      <c r="P66" s="642">
        <v>26.129145836866744</v>
      </c>
      <c r="Q66" s="642">
        <v>0</v>
      </c>
      <c r="R66" s="642">
        <v>0</v>
      </c>
      <c r="S66" s="650">
        <v>58.35412524624175</v>
      </c>
      <c r="U66" s="648" t="s">
        <v>75</v>
      </c>
      <c r="V66" s="642">
        <v>1.73775830078125</v>
      </c>
      <c r="W66" s="642">
        <v>0</v>
      </c>
      <c r="X66" s="642">
        <v>16.370388000000002</v>
      </c>
      <c r="Y66" s="642">
        <v>0</v>
      </c>
      <c r="Z66" s="642">
        <v>0</v>
      </c>
      <c r="AA66" s="642">
        <v>0</v>
      </c>
      <c r="AB66" s="642">
        <v>0</v>
      </c>
      <c r="AC66" s="642">
        <v>0</v>
      </c>
      <c r="AD66" s="642">
        <v>0</v>
      </c>
      <c r="AE66" s="642">
        <v>4.7666718000000001</v>
      </c>
      <c r="AF66" s="642">
        <v>0</v>
      </c>
      <c r="AG66" s="642">
        <v>0</v>
      </c>
      <c r="AH66" s="642">
        <v>36.696565665655768</v>
      </c>
      <c r="AI66" s="642">
        <v>0</v>
      </c>
      <c r="AJ66" s="642">
        <v>0</v>
      </c>
      <c r="AK66" s="650">
        <v>59.571383766437016</v>
      </c>
    </row>
    <row r="67" spans="3:37" ht="13.5">
      <c r="C67" s="648" t="s">
        <v>76</v>
      </c>
      <c r="D67" s="642">
        <v>0</v>
      </c>
      <c r="E67" s="642">
        <v>0</v>
      </c>
      <c r="F67" s="642">
        <v>0</v>
      </c>
      <c r="G67" s="642">
        <v>3.9646717348100942</v>
      </c>
      <c r="H67" s="642">
        <v>0</v>
      </c>
      <c r="I67" s="642">
        <v>0</v>
      </c>
      <c r="J67" s="642">
        <v>0</v>
      </c>
      <c r="K67" s="642">
        <v>0</v>
      </c>
      <c r="L67" s="642">
        <v>0</v>
      </c>
      <c r="M67" s="642">
        <v>8.0911668057348868E-2</v>
      </c>
      <c r="N67" s="642">
        <v>0</v>
      </c>
      <c r="O67" s="642">
        <v>0</v>
      </c>
      <c r="P67" s="642">
        <v>47.131742012269626</v>
      </c>
      <c r="Q67" s="642">
        <v>2.9238621334994321</v>
      </c>
      <c r="R67" s="642">
        <v>0</v>
      </c>
      <c r="S67" s="650">
        <v>54.101187548636503</v>
      </c>
      <c r="U67" s="648" t="s">
        <v>76</v>
      </c>
      <c r="V67" s="642">
        <v>0</v>
      </c>
      <c r="W67" s="642">
        <v>0</v>
      </c>
      <c r="X67" s="642">
        <v>0</v>
      </c>
      <c r="Y67" s="642">
        <v>0</v>
      </c>
      <c r="Z67" s="642">
        <v>0</v>
      </c>
      <c r="AA67" s="642">
        <v>0</v>
      </c>
      <c r="AB67" s="642">
        <v>0</v>
      </c>
      <c r="AC67" s="642">
        <v>0</v>
      </c>
      <c r="AD67" s="642">
        <v>0</v>
      </c>
      <c r="AE67" s="642">
        <v>1.5605996097297452</v>
      </c>
      <c r="AF67" s="642">
        <v>0</v>
      </c>
      <c r="AG67" s="642">
        <v>0</v>
      </c>
      <c r="AH67" s="642">
        <v>50.104610120731024</v>
      </c>
      <c r="AI67" s="642">
        <v>5.7529608775183565</v>
      </c>
      <c r="AJ67" s="642">
        <v>0</v>
      </c>
      <c r="AK67" s="650">
        <v>57.418170607979121</v>
      </c>
    </row>
    <row r="68" spans="3:37" ht="13.5">
      <c r="C68" s="646" t="s">
        <v>77</v>
      </c>
      <c r="D68" s="647">
        <v>42.426498531650253</v>
      </c>
      <c r="E68" s="647">
        <v>464.7986487</v>
      </c>
      <c r="F68" s="647">
        <v>-430.41604332203127</v>
      </c>
      <c r="G68" s="647">
        <v>78.562753779962591</v>
      </c>
      <c r="H68" s="647">
        <v>727.27272727272737</v>
      </c>
      <c r="I68" s="647">
        <v>338.37995078139568</v>
      </c>
      <c r="J68" s="647">
        <v>73.88609899973514</v>
      </c>
      <c r="K68" s="647">
        <v>18.1608189391454</v>
      </c>
      <c r="L68" s="647">
        <v>-22.392588528868568</v>
      </c>
      <c r="M68" s="647">
        <v>-5.0780082691828765</v>
      </c>
      <c r="N68" s="647">
        <v>0</v>
      </c>
      <c r="O68" s="647">
        <v>9.6533137639592894</v>
      </c>
      <c r="P68" s="647">
        <v>-554.70570793017112</v>
      </c>
      <c r="Q68" s="647">
        <v>-34.744016552062419</v>
      </c>
      <c r="R68" s="647">
        <v>-7.071337409208251</v>
      </c>
      <c r="S68" s="647">
        <v>698.73310875705101</v>
      </c>
      <c r="U68" s="646" t="s">
        <v>77</v>
      </c>
      <c r="V68" s="647">
        <v>3.0871053259909167</v>
      </c>
      <c r="W68" s="647">
        <v>113.59926767676768</v>
      </c>
      <c r="X68" s="647">
        <v>-90.60020861890041</v>
      </c>
      <c r="Y68" s="647">
        <v>0</v>
      </c>
      <c r="Z68" s="647">
        <v>764.84848484848499</v>
      </c>
      <c r="AA68" s="647">
        <v>423.19995078139567</v>
      </c>
      <c r="AB68" s="647">
        <v>188.81392594880614</v>
      </c>
      <c r="AC68" s="647">
        <v>31.963595882852758</v>
      </c>
      <c r="AD68" s="647">
        <v>-125.42403259253969</v>
      </c>
      <c r="AE68" s="647">
        <v>-113.87891972722609</v>
      </c>
      <c r="AF68" s="647">
        <v>0</v>
      </c>
      <c r="AG68" s="647">
        <v>21.687841193420969</v>
      </c>
      <c r="AH68" s="647">
        <v>-553.86752452670385</v>
      </c>
      <c r="AI68" s="647">
        <v>-68.423763504668656</v>
      </c>
      <c r="AJ68" s="647">
        <v>-37.056170647637451</v>
      </c>
      <c r="AK68" s="647">
        <v>557.94955204004305</v>
      </c>
    </row>
    <row r="69" spans="3:37" ht="13">
      <c r="C69" s="636"/>
      <c r="D69" s="636">
        <v>0</v>
      </c>
      <c r="E69" s="636">
        <v>0</v>
      </c>
      <c r="F69" s="636">
        <v>0</v>
      </c>
      <c r="G69" s="636">
        <v>0</v>
      </c>
      <c r="H69" s="636">
        <v>0</v>
      </c>
      <c r="I69" s="636">
        <v>0</v>
      </c>
      <c r="J69" s="636">
        <v>0</v>
      </c>
      <c r="K69" s="636">
        <v>0</v>
      </c>
      <c r="L69" s="636">
        <v>0</v>
      </c>
      <c r="M69" s="636">
        <v>0</v>
      </c>
      <c r="N69" s="636">
        <v>0</v>
      </c>
      <c r="O69" s="636">
        <v>0</v>
      </c>
      <c r="P69" s="636">
        <v>0</v>
      </c>
      <c r="Q69" s="636">
        <v>0</v>
      </c>
      <c r="R69" s="636">
        <v>0</v>
      </c>
      <c r="S69" s="636">
        <v>0</v>
      </c>
      <c r="U69" s="636"/>
      <c r="V69" s="636">
        <v>0</v>
      </c>
      <c r="W69" s="636">
        <v>0</v>
      </c>
      <c r="X69" s="636">
        <v>0</v>
      </c>
      <c r="Y69" s="636">
        <v>0</v>
      </c>
      <c r="Z69" s="636">
        <v>0</v>
      </c>
      <c r="AA69" s="636">
        <v>0</v>
      </c>
      <c r="AB69" s="636">
        <v>0</v>
      </c>
      <c r="AC69" s="636">
        <v>0</v>
      </c>
      <c r="AD69" s="636">
        <v>0</v>
      </c>
      <c r="AE69" s="636">
        <v>0</v>
      </c>
      <c r="AF69" s="636">
        <v>0</v>
      </c>
      <c r="AG69" s="636">
        <v>0</v>
      </c>
      <c r="AH69" s="636">
        <v>0</v>
      </c>
      <c r="AI69" s="636">
        <v>0</v>
      </c>
      <c r="AJ69" s="636">
        <v>0</v>
      </c>
      <c r="AK69" s="636">
        <v>0</v>
      </c>
    </row>
    <row r="70" spans="3:37" ht="13.5">
      <c r="C70" s="648" t="s">
        <v>78</v>
      </c>
      <c r="D70" s="642">
        <v>3.6733927919712848</v>
      </c>
      <c r="E70" s="642">
        <v>0</v>
      </c>
      <c r="F70" s="642">
        <v>19.397200033553816</v>
      </c>
      <c r="G70" s="642">
        <v>91.130108310207916</v>
      </c>
      <c r="H70" s="642">
        <v>0</v>
      </c>
      <c r="I70" s="642">
        <v>0</v>
      </c>
      <c r="J70" s="642">
        <v>22.791437377983073</v>
      </c>
      <c r="K70" s="642">
        <v>1.7013098714668424</v>
      </c>
      <c r="L70" s="642">
        <v>1.007010953125</v>
      </c>
      <c r="M70" s="642">
        <v>1.8779931367345493</v>
      </c>
      <c r="N70" s="642">
        <v>0</v>
      </c>
      <c r="O70" s="642">
        <v>3.7093504340600874E-4</v>
      </c>
      <c r="P70" s="642">
        <v>114.54790196708234</v>
      </c>
      <c r="Q70" s="642">
        <v>16.21056036467343</v>
      </c>
      <c r="R70" s="642">
        <v>0.23655174255371095</v>
      </c>
      <c r="S70" s="650">
        <v>272.57383748439537</v>
      </c>
      <c r="U70" s="648" t="s">
        <v>78</v>
      </c>
      <c r="V70" s="642">
        <v>1.5000162600463405</v>
      </c>
      <c r="W70" s="642">
        <v>0</v>
      </c>
      <c r="X70" s="642">
        <v>0.65820239923796242</v>
      </c>
      <c r="Y70" s="642">
        <v>0</v>
      </c>
      <c r="Z70" s="642">
        <v>0</v>
      </c>
      <c r="AA70" s="642">
        <v>0</v>
      </c>
      <c r="AB70" s="642">
        <v>14.22856522114639</v>
      </c>
      <c r="AC70" s="642">
        <v>4.1194716696050602</v>
      </c>
      <c r="AD70" s="642">
        <v>8.3494072265624997</v>
      </c>
      <c r="AE70" s="642">
        <v>60.539358802903692</v>
      </c>
      <c r="AF70" s="642">
        <v>0</v>
      </c>
      <c r="AG70" s="642">
        <v>3.7093504340600874E-4</v>
      </c>
      <c r="AH70" s="642">
        <v>157.01971492382648</v>
      </c>
      <c r="AI70" s="642">
        <v>25.540840498351418</v>
      </c>
      <c r="AJ70" s="642">
        <v>8.9542294921874994</v>
      </c>
      <c r="AK70" s="650">
        <v>280.91017742891074</v>
      </c>
    </row>
    <row r="71" spans="3:37" ht="13.5">
      <c r="C71" s="648" t="s">
        <v>79</v>
      </c>
      <c r="D71" s="642">
        <v>0</v>
      </c>
      <c r="E71" s="642">
        <v>0</v>
      </c>
      <c r="F71" s="642">
        <v>216.8751541495462</v>
      </c>
      <c r="G71" s="642">
        <v>32.745585882615877</v>
      </c>
      <c r="H71" s="642">
        <v>0</v>
      </c>
      <c r="I71" s="642">
        <v>0</v>
      </c>
      <c r="J71" s="642">
        <v>0</v>
      </c>
      <c r="K71" s="642">
        <v>0</v>
      </c>
      <c r="L71" s="642">
        <v>20.896591906701669</v>
      </c>
      <c r="M71" s="642">
        <v>0.66827726291052814</v>
      </c>
      <c r="N71" s="642">
        <v>0</v>
      </c>
      <c r="O71" s="642">
        <v>0</v>
      </c>
      <c r="P71" s="642">
        <v>80.819270278256823</v>
      </c>
      <c r="Q71" s="642">
        <v>0</v>
      </c>
      <c r="R71" s="642">
        <v>2.9193508940431485</v>
      </c>
      <c r="S71" s="650">
        <v>354.92423037407423</v>
      </c>
      <c r="U71" s="648" t="s">
        <v>79</v>
      </c>
      <c r="V71" s="642">
        <v>0</v>
      </c>
      <c r="W71" s="642">
        <v>0</v>
      </c>
      <c r="X71" s="642">
        <v>8.8339079607242379</v>
      </c>
      <c r="Y71" s="642">
        <v>0</v>
      </c>
      <c r="Z71" s="642">
        <v>0</v>
      </c>
      <c r="AA71" s="642">
        <v>0</v>
      </c>
      <c r="AB71" s="642">
        <v>0</v>
      </c>
      <c r="AC71" s="642">
        <v>0</v>
      </c>
      <c r="AD71" s="642">
        <v>12.788272739607951</v>
      </c>
      <c r="AE71" s="642">
        <v>24.887279738493259</v>
      </c>
      <c r="AF71" s="642">
        <v>0</v>
      </c>
      <c r="AG71" s="642">
        <v>0</v>
      </c>
      <c r="AH71" s="642">
        <v>93.844452584108197</v>
      </c>
      <c r="AI71" s="642">
        <v>0</v>
      </c>
      <c r="AJ71" s="642">
        <v>7.1149935986121697</v>
      </c>
      <c r="AK71" s="650">
        <v>147.46890662154581</v>
      </c>
    </row>
    <row r="72" spans="3:37" ht="13.5">
      <c r="C72" s="648" t="s">
        <v>80</v>
      </c>
      <c r="D72" s="642">
        <v>0</v>
      </c>
      <c r="E72" s="642">
        <v>0</v>
      </c>
      <c r="F72" s="642">
        <v>5.2094674308398901</v>
      </c>
      <c r="G72" s="642">
        <v>68.551385920257417</v>
      </c>
      <c r="H72" s="642">
        <v>0</v>
      </c>
      <c r="I72" s="642">
        <v>0</v>
      </c>
      <c r="J72" s="642">
        <v>86.155325304334795</v>
      </c>
      <c r="K72" s="642">
        <v>0</v>
      </c>
      <c r="L72" s="642">
        <v>0</v>
      </c>
      <c r="M72" s="642">
        <v>1.3990078759236206</v>
      </c>
      <c r="N72" s="642">
        <v>66.478227859390046</v>
      </c>
      <c r="O72" s="642">
        <v>2.1206229173139883</v>
      </c>
      <c r="P72" s="642">
        <v>194.47767196350526</v>
      </c>
      <c r="Q72" s="642">
        <v>15.182773802844931</v>
      </c>
      <c r="R72" s="642">
        <v>0</v>
      </c>
      <c r="S72" s="650">
        <v>439.5744830744099</v>
      </c>
      <c r="U72" s="648" t="s">
        <v>80</v>
      </c>
      <c r="V72" s="642">
        <v>0</v>
      </c>
      <c r="W72" s="642">
        <v>0</v>
      </c>
      <c r="X72" s="642">
        <v>0.92826525658471626</v>
      </c>
      <c r="Y72" s="642">
        <v>0</v>
      </c>
      <c r="Z72" s="642">
        <v>0</v>
      </c>
      <c r="AA72" s="642">
        <v>0</v>
      </c>
      <c r="AB72" s="642">
        <v>47.227858114444189</v>
      </c>
      <c r="AC72" s="642">
        <v>0</v>
      </c>
      <c r="AD72" s="642">
        <v>0</v>
      </c>
      <c r="AE72" s="642">
        <v>17.293312779197663</v>
      </c>
      <c r="AF72" s="642">
        <v>108.09916343666818</v>
      </c>
      <c r="AG72" s="642">
        <v>4.9369795689122755</v>
      </c>
      <c r="AH72" s="642">
        <v>137.38519988829395</v>
      </c>
      <c r="AI72" s="642">
        <v>27.91071693101145</v>
      </c>
      <c r="AJ72" s="642">
        <v>0</v>
      </c>
      <c r="AK72" s="650">
        <v>343.78149597511242</v>
      </c>
    </row>
    <row r="73" spans="3:37" ht="13.5">
      <c r="C73" s="648" t="s">
        <v>81</v>
      </c>
      <c r="D73" s="642">
        <v>0</v>
      </c>
      <c r="E73" s="642">
        <v>0</v>
      </c>
      <c r="F73" s="642">
        <v>2.3181271880740835</v>
      </c>
      <c r="G73" s="642">
        <v>62.553452404821357</v>
      </c>
      <c r="H73" s="642">
        <v>0</v>
      </c>
      <c r="I73" s="642">
        <v>0</v>
      </c>
      <c r="J73" s="642">
        <v>3.0090868580403627</v>
      </c>
      <c r="K73" s="642">
        <v>2.5363417285398034E-2</v>
      </c>
      <c r="L73" s="642">
        <v>0</v>
      </c>
      <c r="M73" s="642">
        <v>1.27660106948615</v>
      </c>
      <c r="N73" s="642">
        <v>8.6055350400994808</v>
      </c>
      <c r="O73" s="642">
        <v>0.68093940948821108</v>
      </c>
      <c r="P73" s="642">
        <v>146.08879967332064</v>
      </c>
      <c r="Q73" s="642">
        <v>3.3506823845440552</v>
      </c>
      <c r="R73" s="642">
        <v>0</v>
      </c>
      <c r="S73" s="650">
        <v>227.90858744515972</v>
      </c>
      <c r="U73" s="648" t="s">
        <v>81</v>
      </c>
      <c r="V73" s="642">
        <v>0</v>
      </c>
      <c r="W73" s="642">
        <v>0</v>
      </c>
      <c r="X73" s="642">
        <v>0.55102356567889155</v>
      </c>
      <c r="Y73" s="642">
        <v>0</v>
      </c>
      <c r="Z73" s="642">
        <v>0</v>
      </c>
      <c r="AA73" s="642">
        <v>0</v>
      </c>
      <c r="AB73" s="642">
        <v>6.5361621549849476</v>
      </c>
      <c r="AC73" s="642">
        <v>2.5363417285398034E-2</v>
      </c>
      <c r="AD73" s="642">
        <v>0</v>
      </c>
      <c r="AE73" s="642">
        <v>5.3379988256415478</v>
      </c>
      <c r="AF73" s="642">
        <v>15.069021727073199</v>
      </c>
      <c r="AG73" s="642">
        <v>1.4375946320597892</v>
      </c>
      <c r="AH73" s="642">
        <v>112.31243747223964</v>
      </c>
      <c r="AI73" s="642">
        <v>14.972206075305797</v>
      </c>
      <c r="AJ73" s="642">
        <v>0</v>
      </c>
      <c r="AK73" s="650">
        <v>156.24180787026921</v>
      </c>
    </row>
    <row r="74" spans="3:37" ht="13.5">
      <c r="C74" s="648" t="s">
        <v>82</v>
      </c>
      <c r="D74" s="642">
        <v>0</v>
      </c>
      <c r="E74" s="642">
        <v>0</v>
      </c>
      <c r="F74" s="642">
        <v>27.219719362233906</v>
      </c>
      <c r="G74" s="642">
        <v>0.81069667111944488</v>
      </c>
      <c r="H74" s="642">
        <v>0</v>
      </c>
      <c r="I74" s="642">
        <v>0</v>
      </c>
      <c r="J74" s="642">
        <v>5.0054618408177598</v>
      </c>
      <c r="K74" s="642">
        <v>0</v>
      </c>
      <c r="L74" s="642">
        <v>3.2629555410385191</v>
      </c>
      <c r="M74" s="642">
        <v>1.6544830022845812E-2</v>
      </c>
      <c r="N74" s="642">
        <v>0</v>
      </c>
      <c r="O74" s="642">
        <v>6.051975379409523E-2</v>
      </c>
      <c r="P74" s="642">
        <v>5.5235547180923223</v>
      </c>
      <c r="Q74" s="642">
        <v>0</v>
      </c>
      <c r="R74" s="642">
        <v>0</v>
      </c>
      <c r="S74" s="650">
        <v>41.899452717118898</v>
      </c>
      <c r="U74" s="648" t="s">
        <v>82</v>
      </c>
      <c r="V74" s="642">
        <v>0</v>
      </c>
      <c r="W74" s="642">
        <v>0</v>
      </c>
      <c r="X74" s="642">
        <v>0.67158967449506357</v>
      </c>
      <c r="Y74" s="642">
        <v>0</v>
      </c>
      <c r="Z74" s="642">
        <v>0</v>
      </c>
      <c r="AA74" s="642">
        <v>0</v>
      </c>
      <c r="AB74" s="642">
        <v>5.0054618408177598</v>
      </c>
      <c r="AC74" s="642">
        <v>0</v>
      </c>
      <c r="AD74" s="642">
        <v>35.167200828266267</v>
      </c>
      <c r="AE74" s="642">
        <v>0.86765586771995196</v>
      </c>
      <c r="AF74" s="642">
        <v>0</v>
      </c>
      <c r="AG74" s="642">
        <v>2.1874070050904897</v>
      </c>
      <c r="AH74" s="642">
        <v>5.6657335511185538</v>
      </c>
      <c r="AI74" s="642">
        <v>0</v>
      </c>
      <c r="AJ74" s="642">
        <v>0.44339331184266689</v>
      </c>
      <c r="AK74" s="650">
        <v>50.008442079350758</v>
      </c>
    </row>
    <row r="75" spans="3:37" ht="13.5">
      <c r="C75" s="648" t="s">
        <v>357</v>
      </c>
      <c r="D75" s="642">
        <v>0</v>
      </c>
      <c r="E75" s="642">
        <v>0</v>
      </c>
      <c r="F75" s="642">
        <v>0</v>
      </c>
      <c r="G75" s="642">
        <v>0</v>
      </c>
      <c r="H75" s="642">
        <v>0</v>
      </c>
      <c r="I75" s="642">
        <v>0</v>
      </c>
      <c r="J75" s="642">
        <v>0</v>
      </c>
      <c r="K75" s="642">
        <v>0</v>
      </c>
      <c r="L75" s="642">
        <v>0</v>
      </c>
      <c r="M75" s="642">
        <v>0</v>
      </c>
      <c r="N75" s="642">
        <v>0</v>
      </c>
      <c r="O75" s="642">
        <v>0</v>
      </c>
      <c r="P75" s="642">
        <v>0.44999999999999996</v>
      </c>
      <c r="Q75" s="642">
        <v>0</v>
      </c>
      <c r="R75" s="642">
        <v>0</v>
      </c>
      <c r="S75" s="650">
        <v>0.44999999999999996</v>
      </c>
      <c r="U75" s="648" t="s">
        <v>357</v>
      </c>
      <c r="V75" s="642">
        <v>0</v>
      </c>
      <c r="W75" s="642">
        <v>0</v>
      </c>
      <c r="X75" s="642">
        <v>0</v>
      </c>
      <c r="Y75" s="642">
        <v>0</v>
      </c>
      <c r="Z75" s="642">
        <v>0</v>
      </c>
      <c r="AA75" s="642">
        <v>0</v>
      </c>
      <c r="AB75" s="642">
        <v>0</v>
      </c>
      <c r="AC75" s="642">
        <v>0</v>
      </c>
      <c r="AD75" s="642">
        <v>0</v>
      </c>
      <c r="AE75" s="642">
        <v>0</v>
      </c>
      <c r="AF75" s="642">
        <v>0</v>
      </c>
      <c r="AG75" s="642">
        <v>0</v>
      </c>
      <c r="AH75" s="642">
        <v>6</v>
      </c>
      <c r="AI75" s="642">
        <v>0</v>
      </c>
      <c r="AJ75" s="642">
        <v>0</v>
      </c>
      <c r="AK75" s="650">
        <v>6</v>
      </c>
    </row>
    <row r="76" spans="3:37" ht="13.5">
      <c r="C76" s="646" t="s">
        <v>83</v>
      </c>
      <c r="D76" s="647">
        <v>3.6733927919712848</v>
      </c>
      <c r="E76" s="647">
        <v>0</v>
      </c>
      <c r="F76" s="647">
        <v>271.01966816424783</v>
      </c>
      <c r="G76" s="647">
        <v>255.79122918902203</v>
      </c>
      <c r="H76" s="647">
        <v>0</v>
      </c>
      <c r="I76" s="647">
        <v>0</v>
      </c>
      <c r="J76" s="647">
        <v>116.96131138117599</v>
      </c>
      <c r="K76" s="647">
        <v>1.7266732887522405</v>
      </c>
      <c r="L76" s="647">
        <v>25.166558400865188</v>
      </c>
      <c r="M76" s="647">
        <v>5.238424175077693</v>
      </c>
      <c r="N76" s="647">
        <v>75.083762899489528</v>
      </c>
      <c r="O76" s="647">
        <v>2.8624530156397006</v>
      </c>
      <c r="P76" s="647">
        <v>541.90719860025752</v>
      </c>
      <c r="Q76" s="647">
        <v>34.744016552062419</v>
      </c>
      <c r="R76" s="647">
        <v>3.1559026365968594</v>
      </c>
      <c r="S76" s="647">
        <v>1337.3305910951583</v>
      </c>
      <c r="U76" s="646" t="s">
        <v>83</v>
      </c>
      <c r="V76" s="647">
        <v>1.5000162600463405</v>
      </c>
      <c r="W76" s="647">
        <v>0</v>
      </c>
      <c r="X76" s="647">
        <v>11.642988856720871</v>
      </c>
      <c r="Y76" s="647">
        <v>0</v>
      </c>
      <c r="Z76" s="647">
        <v>0</v>
      </c>
      <c r="AA76" s="647">
        <v>0</v>
      </c>
      <c r="AB76" s="647">
        <v>72.998047331393281</v>
      </c>
      <c r="AC76" s="647">
        <v>4.1448350868904589</v>
      </c>
      <c r="AD76" s="647">
        <v>56.30488079443672</v>
      </c>
      <c r="AE76" s="647">
        <v>108.92560601395611</v>
      </c>
      <c r="AF76" s="647">
        <v>123.16818516374138</v>
      </c>
      <c r="AG76" s="647">
        <v>8.5623521411059595</v>
      </c>
      <c r="AH76" s="647">
        <v>512.22753841958684</v>
      </c>
      <c r="AI76" s="647">
        <v>68.423763504668656</v>
      </c>
      <c r="AJ76" s="647">
        <v>16.512616402642333</v>
      </c>
      <c r="AK76" s="647">
        <v>984.4108299751889</v>
      </c>
    </row>
    <row r="77" spans="3:37" ht="13.5">
      <c r="C77" s="641" t="s">
        <v>84</v>
      </c>
      <c r="D77" s="642">
        <v>0</v>
      </c>
      <c r="E77" s="642">
        <v>0</v>
      </c>
      <c r="F77" s="642">
        <v>100.05515171814793</v>
      </c>
      <c r="G77" s="642">
        <v>11.196954266678716</v>
      </c>
      <c r="H77" s="642">
        <v>0</v>
      </c>
      <c r="I77" s="642">
        <v>0</v>
      </c>
      <c r="J77" s="642">
        <v>0</v>
      </c>
      <c r="K77" s="642">
        <v>0</v>
      </c>
      <c r="L77" s="642">
        <v>0</v>
      </c>
      <c r="M77" s="642">
        <v>0</v>
      </c>
      <c r="N77" s="642">
        <v>0</v>
      </c>
      <c r="O77" s="642">
        <v>0</v>
      </c>
      <c r="P77" s="642">
        <v>0</v>
      </c>
      <c r="Q77" s="642">
        <v>0</v>
      </c>
      <c r="R77" s="642">
        <v>3.9154347726113912</v>
      </c>
      <c r="S77" s="650">
        <v>115.16754075743803</v>
      </c>
      <c r="U77" s="641" t="s">
        <v>84</v>
      </c>
      <c r="V77" s="642">
        <v>0</v>
      </c>
      <c r="W77" s="642">
        <v>0</v>
      </c>
      <c r="X77" s="642">
        <v>57.953190468871433</v>
      </c>
      <c r="Y77" s="642">
        <v>0.51452681198611927</v>
      </c>
      <c r="Z77" s="642">
        <v>0</v>
      </c>
      <c r="AA77" s="642">
        <v>0</v>
      </c>
      <c r="AB77" s="642">
        <v>0</v>
      </c>
      <c r="AC77" s="642">
        <v>0</v>
      </c>
      <c r="AD77" s="642">
        <v>30.108432000732424</v>
      </c>
      <c r="AE77" s="642">
        <v>0</v>
      </c>
      <c r="AF77" s="642">
        <v>0</v>
      </c>
      <c r="AG77" s="642">
        <v>0</v>
      </c>
      <c r="AH77" s="642">
        <v>0</v>
      </c>
      <c r="AI77" s="642">
        <v>0</v>
      </c>
      <c r="AJ77" s="642">
        <v>20.543554244995118</v>
      </c>
      <c r="AK77" s="650">
        <v>109.1197035265851</v>
      </c>
    </row>
    <row r="78" spans="3:37" ht="13.5">
      <c r="C78" s="646" t="s">
        <v>85</v>
      </c>
      <c r="D78" s="647">
        <v>3.6733927919712848</v>
      </c>
      <c r="E78" s="647">
        <v>0</v>
      </c>
      <c r="F78" s="647">
        <v>371.07481988239573</v>
      </c>
      <c r="G78" s="647">
        <v>266.98818345570078</v>
      </c>
      <c r="H78" s="647">
        <v>0</v>
      </c>
      <c r="I78" s="647">
        <v>0</v>
      </c>
      <c r="J78" s="647">
        <v>116.96131138117599</v>
      </c>
      <c r="K78" s="647">
        <v>1.7266732887522405</v>
      </c>
      <c r="L78" s="647">
        <v>25.166558400865188</v>
      </c>
      <c r="M78" s="647">
        <v>5.238424175077693</v>
      </c>
      <c r="N78" s="647">
        <v>75.083762899489528</v>
      </c>
      <c r="O78" s="647">
        <v>2.8624530156397006</v>
      </c>
      <c r="P78" s="647">
        <v>541.90719860025752</v>
      </c>
      <c r="Q78" s="647">
        <v>34.744016552062419</v>
      </c>
      <c r="R78" s="647">
        <v>7.071337409208251</v>
      </c>
      <c r="S78" s="647">
        <v>1452.4981318525963</v>
      </c>
      <c r="U78" s="646" t="s">
        <v>85</v>
      </c>
      <c r="V78" s="647">
        <v>1.5000162600463405</v>
      </c>
      <c r="W78" s="647">
        <v>0</v>
      </c>
      <c r="X78" s="647">
        <v>69.596179325592303</v>
      </c>
      <c r="Y78" s="647">
        <v>0.51452681198611927</v>
      </c>
      <c r="Z78" s="647">
        <v>0</v>
      </c>
      <c r="AA78" s="647">
        <v>0</v>
      </c>
      <c r="AB78" s="647">
        <v>72.998047331393281</v>
      </c>
      <c r="AC78" s="647">
        <v>4.1448350868904589</v>
      </c>
      <c r="AD78" s="647">
        <v>86.413312795169148</v>
      </c>
      <c r="AE78" s="647">
        <v>108.92560601395611</v>
      </c>
      <c r="AF78" s="647">
        <v>123.16818516374138</v>
      </c>
      <c r="AG78" s="647">
        <v>8.5623521411059595</v>
      </c>
      <c r="AH78" s="647">
        <v>512.22753841958684</v>
      </c>
      <c r="AI78" s="647">
        <v>68.423763504668656</v>
      </c>
      <c r="AJ78" s="647">
        <v>37.056170647637451</v>
      </c>
      <c r="AK78" s="647">
        <v>1093.530533501774</v>
      </c>
    </row>
    <row r="79" spans="3:37" ht="13">
      <c r="C79" s="636"/>
      <c r="D79" s="636"/>
      <c r="E79" s="636"/>
      <c r="F79" s="636"/>
      <c r="G79" s="636"/>
      <c r="H79" s="636"/>
      <c r="I79" s="636"/>
      <c r="J79" s="636"/>
      <c r="K79" s="636"/>
      <c r="L79" s="636"/>
      <c r="M79" s="636"/>
      <c r="N79" s="636"/>
      <c r="O79" s="636"/>
      <c r="P79" s="636"/>
      <c r="Q79" s="636"/>
      <c r="R79" s="636"/>
      <c r="S79" s="636"/>
      <c r="U79" s="636"/>
      <c r="V79" s="636"/>
      <c r="W79" s="636"/>
      <c r="X79" s="636"/>
      <c r="Y79" s="636"/>
      <c r="Z79" s="636"/>
      <c r="AA79" s="636"/>
      <c r="AB79" s="636"/>
      <c r="AC79" s="636"/>
      <c r="AD79" s="636"/>
      <c r="AE79" s="636"/>
      <c r="AF79" s="636"/>
      <c r="AG79" s="636"/>
      <c r="AH79" s="636"/>
      <c r="AI79" s="636"/>
      <c r="AJ79" s="636"/>
      <c r="AK79" s="636"/>
    </row>
    <row r="80" spans="3:37" ht="13">
      <c r="C80" s="636"/>
      <c r="D80" s="636"/>
      <c r="E80" s="636"/>
      <c r="F80" s="636"/>
      <c r="G80" s="636"/>
      <c r="H80" s="636"/>
      <c r="I80" s="636"/>
      <c r="J80" s="636"/>
      <c r="K80" s="636"/>
      <c r="L80" s="636"/>
      <c r="M80" s="636"/>
      <c r="N80" s="636"/>
      <c r="O80" s="636"/>
      <c r="P80" s="636"/>
      <c r="Q80" s="636"/>
      <c r="R80" s="636"/>
      <c r="S80" s="636"/>
      <c r="U80" s="636"/>
      <c r="V80" s="636"/>
      <c r="W80" s="636"/>
      <c r="X80" s="636"/>
      <c r="Y80" s="636"/>
      <c r="Z80" s="636"/>
      <c r="AA80" s="636"/>
      <c r="AB80" s="636"/>
      <c r="AC80" s="636"/>
      <c r="AD80" s="636"/>
      <c r="AE80" s="636"/>
      <c r="AF80" s="636"/>
      <c r="AG80" s="636"/>
      <c r="AH80" s="636"/>
      <c r="AI80" s="636"/>
      <c r="AJ80" s="636"/>
      <c r="AK80" s="636"/>
    </row>
  </sheetData>
  <mergeCells count="54">
    <mergeCell ref="AK46:AK47"/>
    <mergeCell ref="U46:U47"/>
    <mergeCell ref="V46:V47"/>
    <mergeCell ref="W46:W47"/>
    <mergeCell ref="X46:X47"/>
    <mergeCell ref="Y46:Y47"/>
    <mergeCell ref="Z46:Z47"/>
    <mergeCell ref="AA46:AA47"/>
    <mergeCell ref="AB46:AG46"/>
    <mergeCell ref="AH46:AH47"/>
    <mergeCell ref="AI46:AI47"/>
    <mergeCell ref="AJ46:AJ47"/>
    <mergeCell ref="S46:S47"/>
    <mergeCell ref="C46:C47"/>
    <mergeCell ref="D46:D47"/>
    <mergeCell ref="E46:E47"/>
    <mergeCell ref="F46:F47"/>
    <mergeCell ref="G46:G47"/>
    <mergeCell ref="H46:H47"/>
    <mergeCell ref="I46:I47"/>
    <mergeCell ref="J46:O46"/>
    <mergeCell ref="P46:P47"/>
    <mergeCell ref="Q46:Q47"/>
    <mergeCell ref="R46:R47"/>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s>
  <conditionalFormatting sqref="AG47">
    <cfRule type="cellIs" dxfId="13467" priority="1" operator="equal">
      <formula>0</formula>
    </cfRule>
  </conditionalFormatting>
  <conditionalFormatting sqref="P15:S17 E15:I17 J15:O16 Q12:S14 G12:G14 D12:D17 D18:S18">
    <cfRule type="cellIs" dxfId="13466" priority="221" operator="equal">
      <formula>0</formula>
    </cfRule>
  </conditionalFormatting>
  <conditionalFormatting sqref="P12:P17">
    <cfRule type="cellIs" dxfId="13465" priority="222" operator="equal">
      <formula>0</formula>
    </cfRule>
  </conditionalFormatting>
  <conditionalFormatting sqref="D12:E17 H12:I17">
    <cfRule type="cellIs" dxfId="13464" priority="223" operator="equal">
      <formula>0</formula>
    </cfRule>
  </conditionalFormatting>
  <conditionalFormatting sqref="F12:F17">
    <cfRule type="cellIs" dxfId="13463" priority="224" operator="equal">
      <formula>0</formula>
    </cfRule>
  </conditionalFormatting>
  <conditionalFormatting sqref="J15:J17">
    <cfRule type="cellIs" dxfId="13462" priority="225" operator="equal">
      <formula>0</formula>
    </cfRule>
  </conditionalFormatting>
  <conditionalFormatting sqref="J12:J17 K12:O12">
    <cfRule type="cellIs" dxfId="13461" priority="226" operator="equal">
      <formula>0</formula>
    </cfRule>
  </conditionalFormatting>
  <conditionalFormatting sqref="K15:K17">
    <cfRule type="cellIs" dxfId="13460" priority="227" operator="equal">
      <formula>0</formula>
    </cfRule>
  </conditionalFormatting>
  <conditionalFormatting sqref="K12:K17">
    <cfRule type="cellIs" dxfId="13459" priority="228" operator="equal">
      <formula>0</formula>
    </cfRule>
  </conditionalFormatting>
  <conditionalFormatting sqref="L15:L17">
    <cfRule type="cellIs" dxfId="13458" priority="229" operator="equal">
      <formula>0</formula>
    </cfRule>
  </conditionalFormatting>
  <conditionalFormatting sqref="L12:L17">
    <cfRule type="cellIs" dxfId="13457" priority="230" operator="equal">
      <formula>0</formula>
    </cfRule>
  </conditionalFormatting>
  <conditionalFormatting sqref="M15:M17">
    <cfRule type="cellIs" dxfId="13456" priority="231" operator="equal">
      <formula>0</formula>
    </cfRule>
  </conditionalFormatting>
  <conditionalFormatting sqref="M12:M17">
    <cfRule type="cellIs" dxfId="13455" priority="232" operator="equal">
      <formula>0</formula>
    </cfRule>
  </conditionalFormatting>
  <conditionalFormatting sqref="N15:N17">
    <cfRule type="cellIs" dxfId="13454" priority="233" operator="equal">
      <formula>0</formula>
    </cfRule>
  </conditionalFormatting>
  <conditionalFormatting sqref="N12:N17">
    <cfRule type="cellIs" dxfId="13453" priority="234" operator="equal">
      <formula>0</formula>
    </cfRule>
  </conditionalFormatting>
  <conditionalFormatting sqref="O15:O17">
    <cfRule type="cellIs" dxfId="13452" priority="235" operator="equal">
      <formula>0</formula>
    </cfRule>
  </conditionalFormatting>
  <conditionalFormatting sqref="O12:O17">
    <cfRule type="cellIs" dxfId="13451" priority="236" operator="equal">
      <formula>0</formula>
    </cfRule>
  </conditionalFormatting>
  <conditionalFormatting sqref="D12:S18">
    <cfRule type="expression" dxfId="13450" priority="237">
      <formula>LEN(TRIM(D12))=0</formula>
    </cfRule>
  </conditionalFormatting>
  <conditionalFormatting sqref="L15:L16">
    <cfRule type="cellIs" dxfId="13449" priority="238" operator="equal">
      <formula>0</formula>
    </cfRule>
  </conditionalFormatting>
  <conditionalFormatting sqref="M15:M16">
    <cfRule type="cellIs" dxfId="13448" priority="239" operator="equal">
      <formula>0</formula>
    </cfRule>
  </conditionalFormatting>
  <conditionalFormatting sqref="N15:O15">
    <cfRule type="cellIs" dxfId="13447" priority="240" operator="equal">
      <formula>0</formula>
    </cfRule>
  </conditionalFormatting>
  <conditionalFormatting sqref="N16:O16">
    <cfRule type="cellIs" dxfId="13446" priority="241" operator="equal">
      <formula>0</formula>
    </cfRule>
  </conditionalFormatting>
  <conditionalFormatting sqref="E29:G29 D30:G31 H29:I31 D25:I28 J25:R31 D20:S20 D32:R32 D21:I22 S21:S32 P21:R22">
    <cfRule type="cellIs" dxfId="13445" priority="215" operator="equal">
      <formula>0</formula>
    </cfRule>
  </conditionalFormatting>
  <conditionalFormatting sqref="D29">
    <cfRule type="cellIs" dxfId="13444" priority="216" operator="equal">
      <formula>0</formula>
    </cfRule>
  </conditionalFormatting>
  <conditionalFormatting sqref="D20:S20 D25:R32 D21:I22 S21:S32 P21:R22">
    <cfRule type="expression" dxfId="13443" priority="217">
      <formula>LEN(TRIM(D20))=0</formula>
    </cfRule>
  </conditionalFormatting>
  <conditionalFormatting sqref="D23:R24">
    <cfRule type="cellIs" dxfId="13442" priority="218" operator="equal">
      <formula>0</formula>
    </cfRule>
  </conditionalFormatting>
  <conditionalFormatting sqref="P23:P24">
    <cfRule type="cellIs" dxfId="13441" priority="219" operator="equal">
      <formula>0</formula>
    </cfRule>
  </conditionalFormatting>
  <conditionalFormatting sqref="D23:R24">
    <cfRule type="expression" dxfId="13440" priority="220">
      <formula>LEN(TRIM(D23))=0</formula>
    </cfRule>
  </conditionalFormatting>
  <conditionalFormatting sqref="J21:O22">
    <cfRule type="cellIs" dxfId="13439" priority="213" operator="equal">
      <formula>0</formula>
    </cfRule>
  </conditionalFormatting>
  <conditionalFormatting sqref="J21:O22">
    <cfRule type="expression" dxfId="13438" priority="214">
      <formula>LEN(TRIM(J21))=0</formula>
    </cfRule>
  </conditionalFormatting>
  <conditionalFormatting sqref="D35:R40 S34:S39 S41 D34:I34 P34:R34">
    <cfRule type="cellIs" dxfId="13437" priority="207" operator="equal">
      <formula>0</formula>
    </cfRule>
  </conditionalFormatting>
  <conditionalFormatting sqref="D41:R41">
    <cfRule type="cellIs" dxfId="13436" priority="208" operator="equal">
      <formula>0</formula>
    </cfRule>
  </conditionalFormatting>
  <conditionalFormatting sqref="D35:S39 D41:S41 D40:R40 D34:I34 P34:S34">
    <cfRule type="expression" dxfId="13435" priority="209">
      <formula>LEN(TRIM(D34))=0</formula>
    </cfRule>
  </conditionalFormatting>
  <conditionalFormatting sqref="D41:R41">
    <cfRule type="cellIs" dxfId="13434" priority="210" operator="equal">
      <formula>0</formula>
    </cfRule>
  </conditionalFormatting>
  <conditionalFormatting sqref="D42:R42">
    <cfRule type="cellIs" dxfId="13433" priority="211" operator="equal">
      <formula>0</formula>
    </cfRule>
  </conditionalFormatting>
  <conditionalFormatting sqref="D42:R42">
    <cfRule type="expression" dxfId="13432" priority="212">
      <formula>LEN(TRIM(D42))=0</formula>
    </cfRule>
  </conditionalFormatting>
  <conditionalFormatting sqref="S42">
    <cfRule type="cellIs" dxfId="13431" priority="205" operator="equal">
      <formula>0</formula>
    </cfRule>
  </conditionalFormatting>
  <conditionalFormatting sqref="S42">
    <cfRule type="expression" dxfId="13430" priority="206">
      <formula>LEN(TRIM(S42))=0</formula>
    </cfRule>
  </conditionalFormatting>
  <conditionalFormatting sqref="S40">
    <cfRule type="cellIs" dxfId="13429" priority="203" operator="equal">
      <formula>0</formula>
    </cfRule>
  </conditionalFormatting>
  <conditionalFormatting sqref="S40">
    <cfRule type="expression" dxfId="13428" priority="204">
      <formula>LEN(TRIM(S40))=0</formula>
    </cfRule>
  </conditionalFormatting>
  <conditionalFormatting sqref="J34:O34">
    <cfRule type="cellIs" dxfId="13427" priority="201" operator="equal">
      <formula>0</formula>
    </cfRule>
  </conditionalFormatting>
  <conditionalFormatting sqref="J34:O34">
    <cfRule type="expression" dxfId="13426" priority="202">
      <formula>LEN(TRIM(J34))=0</formula>
    </cfRule>
  </conditionalFormatting>
  <conditionalFormatting sqref="P51:S53 E51:I53 J51:O52 Q48:S50 G48:G50 D48:D53 D54:S54">
    <cfRule type="cellIs" dxfId="13425" priority="180" operator="equal">
      <formula>0</formula>
    </cfRule>
  </conditionalFormatting>
  <conditionalFormatting sqref="P48:P53">
    <cfRule type="cellIs" dxfId="13424" priority="181" operator="equal">
      <formula>0</formula>
    </cfRule>
  </conditionalFormatting>
  <conditionalFormatting sqref="D48:E53 H48:I53">
    <cfRule type="cellIs" dxfId="13423" priority="182" operator="equal">
      <formula>0</formula>
    </cfRule>
  </conditionalFormatting>
  <conditionalFormatting sqref="F48:F53">
    <cfRule type="cellIs" dxfId="13422" priority="183" operator="equal">
      <formula>0</formula>
    </cfRule>
  </conditionalFormatting>
  <conditionalFormatting sqref="J51:J53">
    <cfRule type="cellIs" dxfId="13421" priority="184" operator="equal">
      <formula>0</formula>
    </cfRule>
  </conditionalFormatting>
  <conditionalFormatting sqref="J48:J53 K48:O48">
    <cfRule type="cellIs" dxfId="13420" priority="185" operator="equal">
      <formula>0</formula>
    </cfRule>
  </conditionalFormatting>
  <conditionalFormatting sqref="K51:K53">
    <cfRule type="cellIs" dxfId="13419" priority="186" operator="equal">
      <formula>0</formula>
    </cfRule>
  </conditionalFormatting>
  <conditionalFormatting sqref="K48:K53">
    <cfRule type="cellIs" dxfId="13418" priority="187" operator="equal">
      <formula>0</formula>
    </cfRule>
  </conditionalFormatting>
  <conditionalFormatting sqref="L51:L53">
    <cfRule type="cellIs" dxfId="13417" priority="188" operator="equal">
      <formula>0</formula>
    </cfRule>
  </conditionalFormatting>
  <conditionalFormatting sqref="L48:L53">
    <cfRule type="cellIs" dxfId="13416" priority="189" operator="equal">
      <formula>0</formula>
    </cfRule>
  </conditionalFormatting>
  <conditionalFormatting sqref="M51:M53">
    <cfRule type="cellIs" dxfId="13415" priority="190" operator="equal">
      <formula>0</formula>
    </cfRule>
  </conditionalFormatting>
  <conditionalFormatting sqref="M48:M53">
    <cfRule type="cellIs" dxfId="13414" priority="191" operator="equal">
      <formula>0</formula>
    </cfRule>
  </conditionalFormatting>
  <conditionalFormatting sqref="N51:N53">
    <cfRule type="cellIs" dxfId="13413" priority="192" operator="equal">
      <formula>0</formula>
    </cfRule>
  </conditionalFormatting>
  <conditionalFormatting sqref="N48:N53">
    <cfRule type="cellIs" dxfId="13412" priority="193" operator="equal">
      <formula>0</formula>
    </cfRule>
  </conditionalFormatting>
  <conditionalFormatting sqref="O51:O53">
    <cfRule type="cellIs" dxfId="13411" priority="194" operator="equal">
      <formula>0</formula>
    </cfRule>
  </conditionalFormatting>
  <conditionalFormatting sqref="O48:O53">
    <cfRule type="cellIs" dxfId="13410" priority="195" operator="equal">
      <formula>0</formula>
    </cfRule>
  </conditionalFormatting>
  <conditionalFormatting sqref="D48:S54">
    <cfRule type="expression" dxfId="13409" priority="196">
      <formula>LEN(TRIM(D48))=0</formula>
    </cfRule>
  </conditionalFormatting>
  <conditionalFormatting sqref="L51:L52">
    <cfRule type="cellIs" dxfId="13408" priority="197" operator="equal">
      <formula>0</formula>
    </cfRule>
  </conditionalFormatting>
  <conditionalFormatting sqref="M51:M52">
    <cfRule type="cellIs" dxfId="13407" priority="198" operator="equal">
      <formula>0</formula>
    </cfRule>
  </conditionalFormatting>
  <conditionalFormatting sqref="N51:O51">
    <cfRule type="cellIs" dxfId="13406" priority="199" operator="equal">
      <formula>0</formula>
    </cfRule>
  </conditionalFormatting>
  <conditionalFormatting sqref="N52:O52">
    <cfRule type="cellIs" dxfId="13405" priority="200" operator="equal">
      <formula>0</formula>
    </cfRule>
  </conditionalFormatting>
  <conditionalFormatting sqref="E65:G65 D66:G67 H65:I67 D61:I64 J61:R67 D56:S56 D68:R68 D57:I58 S57:S68 P57:R58">
    <cfRule type="cellIs" dxfId="13404" priority="174" operator="equal">
      <formula>0</formula>
    </cfRule>
  </conditionalFormatting>
  <conditionalFormatting sqref="D65">
    <cfRule type="cellIs" dxfId="13403" priority="175" operator="equal">
      <formula>0</formula>
    </cfRule>
  </conditionalFormatting>
  <conditionalFormatting sqref="D56:S56 D61:R68 D57:I58 S57:S68 P57:R58">
    <cfRule type="expression" dxfId="13402" priority="176">
      <formula>LEN(TRIM(D56))=0</formula>
    </cfRule>
  </conditionalFormatting>
  <conditionalFormatting sqref="D59:R60">
    <cfRule type="cellIs" dxfId="13401" priority="177" operator="equal">
      <formula>0</formula>
    </cfRule>
  </conditionalFormatting>
  <conditionalFormatting sqref="P59:P60">
    <cfRule type="cellIs" dxfId="13400" priority="178" operator="equal">
      <formula>0</formula>
    </cfRule>
  </conditionalFormatting>
  <conditionalFormatting sqref="D59:R60">
    <cfRule type="expression" dxfId="13399" priority="179">
      <formula>LEN(TRIM(D59))=0</formula>
    </cfRule>
  </conditionalFormatting>
  <conditionalFormatting sqref="J57:O58">
    <cfRule type="cellIs" dxfId="13398" priority="172" operator="equal">
      <formula>0</formula>
    </cfRule>
  </conditionalFormatting>
  <conditionalFormatting sqref="J57:O58">
    <cfRule type="expression" dxfId="13397" priority="173">
      <formula>LEN(TRIM(J57))=0</formula>
    </cfRule>
  </conditionalFormatting>
  <conditionalFormatting sqref="D71:R76 S70:S75 S77 D70:I70 P70:R70">
    <cfRule type="cellIs" dxfId="13396" priority="166" operator="equal">
      <formula>0</formula>
    </cfRule>
  </conditionalFormatting>
  <conditionalFormatting sqref="D77:R77">
    <cfRule type="cellIs" dxfId="13395" priority="167" operator="equal">
      <formula>0</formula>
    </cfRule>
  </conditionalFormatting>
  <conditionalFormatting sqref="D71:S75 D77:S77 D76:R76 D70:I70 P70:S70">
    <cfRule type="expression" dxfId="13394" priority="168">
      <formula>LEN(TRIM(D70))=0</formula>
    </cfRule>
  </conditionalFormatting>
  <conditionalFormatting sqref="D77:R77">
    <cfRule type="cellIs" dxfId="13393" priority="169" operator="equal">
      <formula>0</formula>
    </cfRule>
  </conditionalFormatting>
  <conditionalFormatting sqref="D78:R78">
    <cfRule type="cellIs" dxfId="13392" priority="170" operator="equal">
      <formula>0</formula>
    </cfRule>
  </conditionalFormatting>
  <conditionalFormatting sqref="D78:R78">
    <cfRule type="expression" dxfId="13391" priority="171">
      <formula>LEN(TRIM(D78))=0</formula>
    </cfRule>
  </conditionalFormatting>
  <conditionalFormatting sqref="S78">
    <cfRule type="cellIs" dxfId="13390" priority="164" operator="equal">
      <formula>0</formula>
    </cfRule>
  </conditionalFormatting>
  <conditionalFormatting sqref="S78">
    <cfRule type="expression" dxfId="13389" priority="165">
      <formula>LEN(TRIM(S78))=0</formula>
    </cfRule>
  </conditionalFormatting>
  <conditionalFormatting sqref="S76">
    <cfRule type="cellIs" dxfId="13388" priority="162" operator="equal">
      <formula>0</formula>
    </cfRule>
  </conditionalFormatting>
  <conditionalFormatting sqref="S76">
    <cfRule type="expression" dxfId="13387" priority="163">
      <formula>LEN(TRIM(S76))=0</formula>
    </cfRule>
  </conditionalFormatting>
  <conditionalFormatting sqref="J70:O70">
    <cfRule type="cellIs" dxfId="13386" priority="160" operator="equal">
      <formula>0</formula>
    </cfRule>
  </conditionalFormatting>
  <conditionalFormatting sqref="J70:O70">
    <cfRule type="expression" dxfId="13385" priority="161">
      <formula>LEN(TRIM(J70))=0</formula>
    </cfRule>
  </conditionalFormatting>
  <conditionalFormatting sqref="AH15:AK17 W15:AA17 AB15:AG16 AI12:AK14 Y12:Y14 V12:V17 V18:AK18">
    <cfRule type="cellIs" dxfId="13384" priority="98" operator="equal">
      <formula>0</formula>
    </cfRule>
  </conditionalFormatting>
  <conditionalFormatting sqref="AH12:AH17">
    <cfRule type="cellIs" dxfId="13383" priority="99" operator="equal">
      <formula>0</formula>
    </cfRule>
  </conditionalFormatting>
  <conditionalFormatting sqref="V12:W17 Z12:AA17">
    <cfRule type="cellIs" dxfId="13382" priority="100" operator="equal">
      <formula>0</formula>
    </cfRule>
  </conditionalFormatting>
  <conditionalFormatting sqref="X12:X17">
    <cfRule type="cellIs" dxfId="13381" priority="101" operator="equal">
      <formula>0</formula>
    </cfRule>
  </conditionalFormatting>
  <conditionalFormatting sqref="AB15:AB17">
    <cfRule type="cellIs" dxfId="13380" priority="102" operator="equal">
      <formula>0</formula>
    </cfRule>
  </conditionalFormatting>
  <conditionalFormatting sqref="AB12:AB17 AC12:AG12">
    <cfRule type="cellIs" dxfId="13379" priority="103" operator="equal">
      <formula>0</formula>
    </cfRule>
  </conditionalFormatting>
  <conditionalFormatting sqref="AC15:AC17">
    <cfRule type="cellIs" dxfId="13378" priority="104" operator="equal">
      <formula>0</formula>
    </cfRule>
  </conditionalFormatting>
  <conditionalFormatting sqref="AC12:AC17">
    <cfRule type="cellIs" dxfId="13377" priority="105" operator="equal">
      <formula>0</formula>
    </cfRule>
  </conditionalFormatting>
  <conditionalFormatting sqref="AD15:AD17">
    <cfRule type="cellIs" dxfId="13376" priority="106" operator="equal">
      <formula>0</formula>
    </cfRule>
  </conditionalFormatting>
  <conditionalFormatting sqref="AD12:AD17">
    <cfRule type="cellIs" dxfId="13375" priority="107" operator="equal">
      <formula>0</formula>
    </cfRule>
  </conditionalFormatting>
  <conditionalFormatting sqref="AE15:AE17">
    <cfRule type="cellIs" dxfId="13374" priority="108" operator="equal">
      <formula>0</formula>
    </cfRule>
  </conditionalFormatting>
  <conditionalFormatting sqref="AE12:AE17">
    <cfRule type="cellIs" dxfId="13373" priority="109" operator="equal">
      <formula>0</formula>
    </cfRule>
  </conditionalFormatting>
  <conditionalFormatting sqref="AF15:AF17">
    <cfRule type="cellIs" dxfId="13372" priority="110" operator="equal">
      <formula>0</formula>
    </cfRule>
  </conditionalFormatting>
  <conditionalFormatting sqref="AF12:AF17">
    <cfRule type="cellIs" dxfId="13371" priority="111" operator="equal">
      <formula>0</formula>
    </cfRule>
  </conditionalFormatting>
  <conditionalFormatting sqref="AG15:AG17">
    <cfRule type="cellIs" dxfId="13370" priority="112" operator="equal">
      <formula>0</formula>
    </cfRule>
  </conditionalFormatting>
  <conditionalFormatting sqref="AG12:AG17">
    <cfRule type="cellIs" dxfId="13369" priority="113" operator="equal">
      <formula>0</formula>
    </cfRule>
  </conditionalFormatting>
  <conditionalFormatting sqref="V12:AK18">
    <cfRule type="expression" dxfId="13368" priority="114">
      <formula>LEN(TRIM(V12))=0</formula>
    </cfRule>
  </conditionalFormatting>
  <conditionalFormatting sqref="AD15:AD16">
    <cfRule type="cellIs" dxfId="13367" priority="115" operator="equal">
      <formula>0</formula>
    </cfRule>
  </conditionalFormatting>
  <conditionalFormatting sqref="AE15:AE16">
    <cfRule type="cellIs" dxfId="13366" priority="116" operator="equal">
      <formula>0</formula>
    </cfRule>
  </conditionalFormatting>
  <conditionalFormatting sqref="AF15:AG15">
    <cfRule type="cellIs" dxfId="13365" priority="117" operator="equal">
      <formula>0</formula>
    </cfRule>
  </conditionalFormatting>
  <conditionalFormatting sqref="AF16:AG16">
    <cfRule type="cellIs" dxfId="13364" priority="118" operator="equal">
      <formula>0</formula>
    </cfRule>
  </conditionalFormatting>
  <conditionalFormatting sqref="W29:Y29 V30:Y31 Z29:AA31 V25:AA28 AB25:AJ31 V20:AK20 V32:AJ32 V21:AA22 AK21:AK32 AH21:AJ22">
    <cfRule type="cellIs" dxfId="13363" priority="92" operator="equal">
      <formula>0</formula>
    </cfRule>
  </conditionalFormatting>
  <conditionalFormatting sqref="V29">
    <cfRule type="cellIs" dxfId="13362" priority="93" operator="equal">
      <formula>0</formula>
    </cfRule>
  </conditionalFormatting>
  <conditionalFormatting sqref="V20:AK20 V25:AJ32 V21:AA22 AK21:AK32 AH21:AJ22">
    <cfRule type="expression" dxfId="13361" priority="94">
      <formula>LEN(TRIM(V20))=0</formula>
    </cfRule>
  </conditionalFormatting>
  <conditionalFormatting sqref="V23:AJ24">
    <cfRule type="cellIs" dxfId="13360" priority="95" operator="equal">
      <formula>0</formula>
    </cfRule>
  </conditionalFormatting>
  <conditionalFormatting sqref="AH23:AH24">
    <cfRule type="cellIs" dxfId="13359" priority="96" operator="equal">
      <formula>0</formula>
    </cfRule>
  </conditionalFormatting>
  <conditionalFormatting sqref="V23:AJ24">
    <cfRule type="expression" dxfId="13358" priority="97">
      <formula>LEN(TRIM(V23))=0</formula>
    </cfRule>
  </conditionalFormatting>
  <conditionalFormatting sqref="AB21:AG22">
    <cfRule type="cellIs" dxfId="13357" priority="90" operator="equal">
      <formula>0</formula>
    </cfRule>
  </conditionalFormatting>
  <conditionalFormatting sqref="AB21:AG22">
    <cfRule type="expression" dxfId="13356" priority="91">
      <formula>LEN(TRIM(AB21))=0</formula>
    </cfRule>
  </conditionalFormatting>
  <conditionalFormatting sqref="V35:AJ40 AK34:AK39 AK41 V34:AA34 AH34:AJ34">
    <cfRule type="cellIs" dxfId="13355" priority="84" operator="equal">
      <formula>0</formula>
    </cfRule>
  </conditionalFormatting>
  <conditionalFormatting sqref="V41:AJ41">
    <cfRule type="cellIs" dxfId="13354" priority="85" operator="equal">
      <formula>0</formula>
    </cfRule>
  </conditionalFormatting>
  <conditionalFormatting sqref="V35:AK39 V41:AK41 V40:AJ40 V34:AA34 AH34:AK34">
    <cfRule type="expression" dxfId="13353" priority="86">
      <formula>LEN(TRIM(V34))=0</formula>
    </cfRule>
  </conditionalFormatting>
  <conditionalFormatting sqref="V41:AJ41">
    <cfRule type="cellIs" dxfId="13352" priority="87" operator="equal">
      <formula>0</formula>
    </cfRule>
  </conditionalFormatting>
  <conditionalFormatting sqref="V42:AJ42">
    <cfRule type="cellIs" dxfId="13351" priority="88" operator="equal">
      <formula>0</formula>
    </cfRule>
  </conditionalFormatting>
  <conditionalFormatting sqref="V42:AJ42">
    <cfRule type="expression" dxfId="13350" priority="89">
      <formula>LEN(TRIM(V42))=0</formula>
    </cfRule>
  </conditionalFormatting>
  <conditionalFormatting sqref="AK42">
    <cfRule type="cellIs" dxfId="13349" priority="82" operator="equal">
      <formula>0</formula>
    </cfRule>
  </conditionalFormatting>
  <conditionalFormatting sqref="AK42">
    <cfRule type="expression" dxfId="13348" priority="83">
      <formula>LEN(TRIM(AK42))=0</formula>
    </cfRule>
  </conditionalFormatting>
  <conditionalFormatting sqref="AK40">
    <cfRule type="cellIs" dxfId="13347" priority="80" operator="equal">
      <formula>0</formula>
    </cfRule>
  </conditionalFormatting>
  <conditionalFormatting sqref="AK40">
    <cfRule type="expression" dxfId="13346" priority="81">
      <formula>LEN(TRIM(AK40))=0</formula>
    </cfRule>
  </conditionalFormatting>
  <conditionalFormatting sqref="AB34:AG34">
    <cfRule type="cellIs" dxfId="13345" priority="78" operator="equal">
      <formula>0</formula>
    </cfRule>
  </conditionalFormatting>
  <conditionalFormatting sqref="AB34:AG34">
    <cfRule type="expression" dxfId="13344" priority="79">
      <formula>LEN(TRIM(AB34))=0</formula>
    </cfRule>
  </conditionalFormatting>
  <conditionalFormatting sqref="AH51:AK53 W51:AA53 AB51:AG52 AI48:AK50 Y48:Y50 V48:V53 V54:AK54">
    <cfRule type="cellIs" dxfId="13343" priority="57" operator="equal">
      <formula>0</formula>
    </cfRule>
  </conditionalFormatting>
  <conditionalFormatting sqref="AH48:AH53">
    <cfRule type="cellIs" dxfId="13342" priority="58" operator="equal">
      <formula>0</formula>
    </cfRule>
  </conditionalFormatting>
  <conditionalFormatting sqref="V48:W53 Z48:AA53">
    <cfRule type="cellIs" dxfId="13341" priority="59" operator="equal">
      <formula>0</formula>
    </cfRule>
  </conditionalFormatting>
  <conditionalFormatting sqref="X48:X53">
    <cfRule type="cellIs" dxfId="13340" priority="60" operator="equal">
      <formula>0</formula>
    </cfRule>
  </conditionalFormatting>
  <conditionalFormatting sqref="AB51:AB53">
    <cfRule type="cellIs" dxfId="13339" priority="61" operator="equal">
      <formula>0</formula>
    </cfRule>
  </conditionalFormatting>
  <conditionalFormatting sqref="AB48:AB53 AC48:AG48">
    <cfRule type="cellIs" dxfId="13338" priority="62" operator="equal">
      <formula>0</formula>
    </cfRule>
  </conditionalFormatting>
  <conditionalFormatting sqref="AC51:AC53">
    <cfRule type="cellIs" dxfId="13337" priority="63" operator="equal">
      <formula>0</formula>
    </cfRule>
  </conditionalFormatting>
  <conditionalFormatting sqref="AC48:AC53">
    <cfRule type="cellIs" dxfId="13336" priority="64" operator="equal">
      <formula>0</formula>
    </cfRule>
  </conditionalFormatting>
  <conditionalFormatting sqref="AD51:AD53">
    <cfRule type="cellIs" dxfId="13335" priority="65" operator="equal">
      <formula>0</formula>
    </cfRule>
  </conditionalFormatting>
  <conditionalFormatting sqref="AD48:AD53">
    <cfRule type="cellIs" dxfId="13334" priority="66" operator="equal">
      <formula>0</formula>
    </cfRule>
  </conditionalFormatting>
  <conditionalFormatting sqref="AE51:AE53">
    <cfRule type="cellIs" dxfId="13333" priority="67" operator="equal">
      <formula>0</formula>
    </cfRule>
  </conditionalFormatting>
  <conditionalFormatting sqref="AE48:AE53">
    <cfRule type="cellIs" dxfId="13332" priority="68" operator="equal">
      <formula>0</formula>
    </cfRule>
  </conditionalFormatting>
  <conditionalFormatting sqref="AF51:AF53">
    <cfRule type="cellIs" dxfId="13331" priority="69" operator="equal">
      <formula>0</formula>
    </cfRule>
  </conditionalFormatting>
  <conditionalFormatting sqref="AF48:AF53">
    <cfRule type="cellIs" dxfId="13330" priority="70" operator="equal">
      <formula>0</formula>
    </cfRule>
  </conditionalFormatting>
  <conditionalFormatting sqref="AG51:AG53">
    <cfRule type="cellIs" dxfId="13329" priority="71" operator="equal">
      <formula>0</formula>
    </cfRule>
  </conditionalFormatting>
  <conditionalFormatting sqref="AG48:AG53">
    <cfRule type="cellIs" dxfId="13328" priority="72" operator="equal">
      <formula>0</formula>
    </cfRule>
  </conditionalFormatting>
  <conditionalFormatting sqref="V48:AK54">
    <cfRule type="expression" dxfId="13327" priority="73">
      <formula>LEN(TRIM(V48))=0</formula>
    </cfRule>
  </conditionalFormatting>
  <conditionalFormatting sqref="AD51:AD52">
    <cfRule type="cellIs" dxfId="13326" priority="74" operator="equal">
      <formula>0</formula>
    </cfRule>
  </conditionalFormatting>
  <conditionalFormatting sqref="AE51:AE52">
    <cfRule type="cellIs" dxfId="13325" priority="75" operator="equal">
      <formula>0</formula>
    </cfRule>
  </conditionalFormatting>
  <conditionalFormatting sqref="AF51:AG51">
    <cfRule type="cellIs" dxfId="13324" priority="76" operator="equal">
      <formula>0</formula>
    </cfRule>
  </conditionalFormatting>
  <conditionalFormatting sqref="AF52:AG52">
    <cfRule type="cellIs" dxfId="13323" priority="77" operator="equal">
      <formula>0</formula>
    </cfRule>
  </conditionalFormatting>
  <conditionalFormatting sqref="W65:Y65 V66:Y67 Z65:AA67 V61:AA64 AB61:AJ67 V56:AK56 V68:AJ68 V57:AA58 AK57:AK68 AH57:AJ58">
    <cfRule type="cellIs" dxfId="13322" priority="51" operator="equal">
      <formula>0</formula>
    </cfRule>
  </conditionalFormatting>
  <conditionalFormatting sqref="V65">
    <cfRule type="cellIs" dxfId="13321" priority="52" operator="equal">
      <formula>0</formula>
    </cfRule>
  </conditionalFormatting>
  <conditionalFormatting sqref="V56:AK56 V61:AJ68 V57:AA58 AK57:AK68 AH57:AJ58">
    <cfRule type="expression" dxfId="13320" priority="53">
      <formula>LEN(TRIM(V56))=0</formula>
    </cfRule>
  </conditionalFormatting>
  <conditionalFormatting sqref="V59:AJ60">
    <cfRule type="cellIs" dxfId="13319" priority="54" operator="equal">
      <formula>0</formula>
    </cfRule>
  </conditionalFormatting>
  <conditionalFormatting sqref="AH59:AH60">
    <cfRule type="cellIs" dxfId="13318" priority="55" operator="equal">
      <formula>0</formula>
    </cfRule>
  </conditionalFormatting>
  <conditionalFormatting sqref="V59:AJ60">
    <cfRule type="expression" dxfId="13317" priority="56">
      <formula>LEN(TRIM(V59))=0</formula>
    </cfRule>
  </conditionalFormatting>
  <conditionalFormatting sqref="AB57:AG58">
    <cfRule type="cellIs" dxfId="13316" priority="49" operator="equal">
      <formula>0</formula>
    </cfRule>
  </conditionalFormatting>
  <conditionalFormatting sqref="AB57:AG58">
    <cfRule type="expression" dxfId="13315" priority="50">
      <formula>LEN(TRIM(AB57))=0</formula>
    </cfRule>
  </conditionalFormatting>
  <conditionalFormatting sqref="V71:AJ76 AK70:AK75 AK77 V70:AA70 AH70:AJ70">
    <cfRule type="cellIs" dxfId="13314" priority="43" operator="equal">
      <formula>0</formula>
    </cfRule>
  </conditionalFormatting>
  <conditionalFormatting sqref="V77:AJ77">
    <cfRule type="cellIs" dxfId="13313" priority="44" operator="equal">
      <formula>0</formula>
    </cfRule>
  </conditionalFormatting>
  <conditionalFormatting sqref="V71:AK75 V77:AK77 V76:AJ76 V70:AA70 AH70:AK70">
    <cfRule type="expression" dxfId="13312" priority="45">
      <formula>LEN(TRIM(V70))=0</formula>
    </cfRule>
  </conditionalFormatting>
  <conditionalFormatting sqref="V77:AJ77">
    <cfRule type="cellIs" dxfId="13311" priority="46" operator="equal">
      <formula>0</formula>
    </cfRule>
  </conditionalFormatting>
  <conditionalFormatting sqref="V78:AJ78">
    <cfRule type="cellIs" dxfId="13310" priority="47" operator="equal">
      <formula>0</formula>
    </cfRule>
  </conditionalFormatting>
  <conditionalFormatting sqref="V78:AJ78">
    <cfRule type="expression" dxfId="13309" priority="48">
      <formula>LEN(TRIM(V78))=0</formula>
    </cfRule>
  </conditionalFormatting>
  <conditionalFormatting sqref="AK78">
    <cfRule type="cellIs" dxfId="13308" priority="41" operator="equal">
      <formula>0</formula>
    </cfRule>
  </conditionalFormatting>
  <conditionalFormatting sqref="AK78">
    <cfRule type="expression" dxfId="13307" priority="42">
      <formula>LEN(TRIM(AK78))=0</formula>
    </cfRule>
  </conditionalFormatting>
  <conditionalFormatting sqref="AK76">
    <cfRule type="cellIs" dxfId="13306" priority="39" operator="equal">
      <formula>0</formula>
    </cfRule>
  </conditionalFormatting>
  <conditionalFormatting sqref="AK76">
    <cfRule type="expression" dxfId="13305" priority="40">
      <formula>LEN(TRIM(AK76))=0</formula>
    </cfRule>
  </conditionalFormatting>
  <conditionalFormatting sqref="AB70:AG70">
    <cfRule type="cellIs" dxfId="13304" priority="37" operator="equal">
      <formula>0</formula>
    </cfRule>
  </conditionalFormatting>
  <conditionalFormatting sqref="AB70:AG70">
    <cfRule type="expression" dxfId="13303" priority="38">
      <formula>LEN(TRIM(AB70))=0</formula>
    </cfRule>
  </conditionalFormatting>
  <conditionalFormatting sqref="J11">
    <cfRule type="cellIs" dxfId="13302" priority="24" operator="equal">
      <formula>0</formula>
    </cfRule>
  </conditionalFormatting>
  <conditionalFormatting sqref="K11">
    <cfRule type="cellIs" dxfId="13301" priority="23" operator="equal">
      <formula>0</formula>
    </cfRule>
  </conditionalFormatting>
  <conditionalFormatting sqref="L11">
    <cfRule type="cellIs" dxfId="13300" priority="22" operator="equal">
      <formula>0</formula>
    </cfRule>
  </conditionalFormatting>
  <conditionalFormatting sqref="M11">
    <cfRule type="cellIs" dxfId="13299" priority="21" operator="equal">
      <formula>0</formula>
    </cfRule>
  </conditionalFormatting>
  <conditionalFormatting sqref="N11">
    <cfRule type="cellIs" dxfId="13298" priority="20" operator="equal">
      <formula>0</formula>
    </cfRule>
  </conditionalFormatting>
  <conditionalFormatting sqref="O11">
    <cfRule type="cellIs" dxfId="13297" priority="19" operator="equal">
      <formula>0</formula>
    </cfRule>
  </conditionalFormatting>
  <conditionalFormatting sqref="AB11">
    <cfRule type="cellIs" dxfId="13296" priority="18" operator="equal">
      <formula>0</formula>
    </cfRule>
  </conditionalFormatting>
  <conditionalFormatting sqref="AC11">
    <cfRule type="cellIs" dxfId="13295" priority="17" operator="equal">
      <formula>0</formula>
    </cfRule>
  </conditionalFormatting>
  <conditionalFormatting sqref="AD11">
    <cfRule type="cellIs" dxfId="13294" priority="16" operator="equal">
      <formula>0</formula>
    </cfRule>
  </conditionalFormatting>
  <conditionalFormatting sqref="AE11">
    <cfRule type="cellIs" dxfId="13293" priority="15" operator="equal">
      <formula>0</formula>
    </cfRule>
  </conditionalFormatting>
  <conditionalFormatting sqref="AF11">
    <cfRule type="cellIs" dxfId="13292" priority="14" operator="equal">
      <formula>0</formula>
    </cfRule>
  </conditionalFormatting>
  <conditionalFormatting sqref="AG11">
    <cfRule type="cellIs" dxfId="13291" priority="13" operator="equal">
      <formula>0</formula>
    </cfRule>
  </conditionalFormatting>
  <conditionalFormatting sqref="J47">
    <cfRule type="cellIs" dxfId="13290" priority="12" operator="equal">
      <formula>0</formula>
    </cfRule>
  </conditionalFormatting>
  <conditionalFormatting sqref="K47">
    <cfRule type="cellIs" dxfId="13289" priority="11" operator="equal">
      <formula>0</formula>
    </cfRule>
  </conditionalFormatting>
  <conditionalFormatting sqref="L47">
    <cfRule type="cellIs" dxfId="13288" priority="10" operator="equal">
      <formula>0</formula>
    </cfRule>
  </conditionalFormatting>
  <conditionalFormatting sqref="M47">
    <cfRule type="cellIs" dxfId="13287" priority="9" operator="equal">
      <formula>0</formula>
    </cfRule>
  </conditionalFormatting>
  <conditionalFormatting sqref="N47">
    <cfRule type="cellIs" dxfId="13286" priority="8" operator="equal">
      <formula>0</formula>
    </cfRule>
  </conditionalFormatting>
  <conditionalFormatting sqref="O47">
    <cfRule type="cellIs" dxfId="13285" priority="7" operator="equal">
      <formula>0</formula>
    </cfRule>
  </conditionalFormatting>
  <conditionalFormatting sqref="AB47">
    <cfRule type="cellIs" dxfId="13284" priority="6" operator="equal">
      <formula>0</formula>
    </cfRule>
  </conditionalFormatting>
  <conditionalFormatting sqref="AC47">
    <cfRule type="cellIs" dxfId="13283" priority="5" operator="equal">
      <formula>0</formula>
    </cfRule>
  </conditionalFormatting>
  <conditionalFormatting sqref="AD47">
    <cfRule type="cellIs" dxfId="13282" priority="4" operator="equal">
      <formula>0</formula>
    </cfRule>
  </conditionalFormatting>
  <conditionalFormatting sqref="AE47">
    <cfRule type="cellIs" dxfId="13281" priority="3" operator="equal">
      <formula>0</formula>
    </cfRule>
  </conditionalFormatting>
  <conditionalFormatting sqref="AF47">
    <cfRule type="cellIs" dxfId="13280" priority="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7525-7C9B-4FB3-920B-747851262E62}">
  <dimension ref="C2:AK44"/>
  <sheetViews>
    <sheetView topLeftCell="A6" zoomScale="55" zoomScaleNormal="55" workbookViewId="0">
      <selection activeCell="L21" sqref="L21"/>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89</v>
      </c>
      <c r="D8" s="699"/>
      <c r="E8" s="699"/>
      <c r="F8" s="699"/>
      <c r="G8" s="699"/>
      <c r="H8" s="699"/>
      <c r="I8" s="699"/>
      <c r="J8" s="699"/>
      <c r="K8" s="699"/>
      <c r="L8" s="699"/>
      <c r="M8" s="699"/>
      <c r="N8" s="699"/>
      <c r="O8" s="699"/>
      <c r="P8" s="699"/>
      <c r="Q8" s="699"/>
      <c r="R8" s="699"/>
      <c r="S8" s="699"/>
      <c r="U8" s="699" t="s">
        <v>89</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ustomHeight="1">
      <c r="C11" s="702"/>
      <c r="D11" s="703"/>
      <c r="E11" s="703"/>
      <c r="F11" s="703"/>
      <c r="G11" s="703"/>
      <c r="H11" s="703"/>
      <c r="I11" s="703"/>
      <c r="J11" s="418" t="s">
        <v>338</v>
      </c>
      <c r="K11" s="418" t="s">
        <v>40</v>
      </c>
      <c r="L11" s="418" t="s">
        <v>346</v>
      </c>
      <c r="M11" s="418" t="s">
        <v>347</v>
      </c>
      <c r="N11" s="419" t="s">
        <v>348</v>
      </c>
      <c r="O11" s="418" t="s">
        <v>349</v>
      </c>
      <c r="P11" s="703"/>
      <c r="Q11" s="703"/>
      <c r="R11" s="703"/>
      <c r="S11" s="703"/>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420" t="s">
        <v>59</v>
      </c>
      <c r="D12" s="421">
        <v>0</v>
      </c>
      <c r="E12" s="421">
        <v>0</v>
      </c>
      <c r="F12" s="422">
        <v>0</v>
      </c>
      <c r="G12" s="421">
        <v>0</v>
      </c>
      <c r="H12" s="422">
        <v>727.27272727272737</v>
      </c>
      <c r="I12" s="422">
        <v>338.37995078139568</v>
      </c>
      <c r="J12" s="422">
        <v>185.12606679296266</v>
      </c>
      <c r="K12" s="422">
        <v>19.887492227897642</v>
      </c>
      <c r="L12" s="630">
        <v>0.67629573379861951</v>
      </c>
      <c r="M12" s="630">
        <v>0.16041590589481752</v>
      </c>
      <c r="N12" s="432">
        <v>75.083762899489528</v>
      </c>
      <c r="O12" s="509">
        <v>12.515766779598991</v>
      </c>
      <c r="P12" s="422">
        <v>0</v>
      </c>
      <c r="Q12" s="422">
        <v>0</v>
      </c>
      <c r="R12" s="422">
        <v>0</v>
      </c>
      <c r="S12" s="423">
        <v>1359.1024783937653</v>
      </c>
      <c r="U12" s="641" t="s">
        <v>59</v>
      </c>
      <c r="V12" s="642">
        <v>0</v>
      </c>
      <c r="W12" s="643">
        <v>0</v>
      </c>
      <c r="X12" s="643">
        <v>0</v>
      </c>
      <c r="Y12" s="642">
        <v>0</v>
      </c>
      <c r="Z12" s="643">
        <v>764.84848484848499</v>
      </c>
      <c r="AA12" s="643">
        <v>423.19995078139567</v>
      </c>
      <c r="AB12" s="643">
        <v>256.09062969225096</v>
      </c>
      <c r="AC12" s="643">
        <v>36.108430969743218</v>
      </c>
      <c r="AD12" s="643">
        <v>0.67629573379861951</v>
      </c>
      <c r="AE12" s="643">
        <v>0.16041590589481752</v>
      </c>
      <c r="AF12" s="643">
        <v>123.16818516374138</v>
      </c>
      <c r="AG12" s="643">
        <v>30.250193334526926</v>
      </c>
      <c r="AH12" s="644">
        <v>0</v>
      </c>
      <c r="AI12" s="643">
        <v>0</v>
      </c>
      <c r="AJ12" s="643">
        <v>0</v>
      </c>
      <c r="AK12" s="645">
        <v>1634.5025864298366</v>
      </c>
    </row>
    <row r="13" spans="3:37" ht="13.5">
      <c r="C13" s="420" t="s">
        <v>60</v>
      </c>
      <c r="D13" s="422">
        <v>46.099891323621534</v>
      </c>
      <c r="E13" s="422">
        <v>464.7986487</v>
      </c>
      <c r="F13" s="422">
        <v>48.534128715927544</v>
      </c>
      <c r="G13" s="422">
        <v>345.55093723566335</v>
      </c>
      <c r="H13" s="422">
        <v>0</v>
      </c>
      <c r="I13" s="422">
        <v>0</v>
      </c>
      <c r="J13" s="422">
        <v>5.7213435879484642</v>
      </c>
      <c r="K13" s="422">
        <v>0</v>
      </c>
      <c r="L13" s="630">
        <v>3.0565993326094723</v>
      </c>
      <c r="M13" s="432">
        <v>0</v>
      </c>
      <c r="N13" s="422">
        <v>0</v>
      </c>
      <c r="O13" s="422">
        <v>0</v>
      </c>
      <c r="P13" s="432">
        <v>0</v>
      </c>
      <c r="Q13" s="422">
        <v>0</v>
      </c>
      <c r="R13" s="432">
        <v>0</v>
      </c>
      <c r="S13" s="423">
        <v>913.76154889577037</v>
      </c>
      <c r="U13" s="641" t="s">
        <v>60</v>
      </c>
      <c r="V13" s="642">
        <v>4.5871215860372576</v>
      </c>
      <c r="W13" s="643">
        <v>113.59926767676768</v>
      </c>
      <c r="X13" s="643">
        <v>20.138935454909394</v>
      </c>
      <c r="Y13" s="642">
        <v>0.51452681198611927</v>
      </c>
      <c r="Z13" s="643">
        <v>0</v>
      </c>
      <c r="AA13" s="643">
        <v>0</v>
      </c>
      <c r="AB13" s="643">
        <v>5.7213435879484642</v>
      </c>
      <c r="AC13" s="643">
        <v>0</v>
      </c>
      <c r="AD13" s="643">
        <v>3.0565993326094723</v>
      </c>
      <c r="AE13" s="643">
        <v>0</v>
      </c>
      <c r="AF13" s="643">
        <v>0</v>
      </c>
      <c r="AG13" s="643">
        <v>0</v>
      </c>
      <c r="AH13" s="644">
        <v>0</v>
      </c>
      <c r="AI13" s="643">
        <v>0</v>
      </c>
      <c r="AJ13" s="643">
        <v>0</v>
      </c>
      <c r="AK13" s="645">
        <v>147.6177944502584</v>
      </c>
    </row>
    <row r="14" spans="3:37" ht="13.5">
      <c r="C14" s="420" t="s">
        <v>61</v>
      </c>
      <c r="D14" s="422">
        <v>0</v>
      </c>
      <c r="E14" s="422">
        <v>0</v>
      </c>
      <c r="F14" s="422">
        <v>0</v>
      </c>
      <c r="G14" s="422">
        <v>0</v>
      </c>
      <c r="H14" s="422">
        <v>0</v>
      </c>
      <c r="I14" s="422">
        <v>0</v>
      </c>
      <c r="J14" s="422">
        <v>0</v>
      </c>
      <c r="K14" s="422">
        <v>0</v>
      </c>
      <c r="L14" s="630">
        <v>0</v>
      </c>
      <c r="M14" s="432">
        <v>0</v>
      </c>
      <c r="N14" s="422">
        <v>0</v>
      </c>
      <c r="O14" s="422">
        <v>0</v>
      </c>
      <c r="P14" s="432">
        <v>-12.7985093299136</v>
      </c>
      <c r="Q14" s="422">
        <v>0</v>
      </c>
      <c r="R14" s="432">
        <v>0</v>
      </c>
      <c r="S14" s="423">
        <v>-12.7985093299136</v>
      </c>
      <c r="U14" s="641" t="s">
        <v>61</v>
      </c>
      <c r="V14" s="642">
        <v>0</v>
      </c>
      <c r="W14" s="643">
        <v>0</v>
      </c>
      <c r="X14" s="643">
        <v>0</v>
      </c>
      <c r="Y14" s="642">
        <v>0</v>
      </c>
      <c r="Z14" s="643">
        <v>0</v>
      </c>
      <c r="AA14" s="643">
        <v>0</v>
      </c>
      <c r="AB14" s="643">
        <v>0</v>
      </c>
      <c r="AC14" s="643">
        <v>0</v>
      </c>
      <c r="AD14" s="643">
        <v>0</v>
      </c>
      <c r="AE14" s="643">
        <v>0</v>
      </c>
      <c r="AF14" s="643">
        <v>0</v>
      </c>
      <c r="AG14" s="643">
        <v>0</v>
      </c>
      <c r="AH14" s="644">
        <v>-41.639986107117011</v>
      </c>
      <c r="AI14" s="643">
        <v>0</v>
      </c>
      <c r="AJ14" s="643">
        <v>0</v>
      </c>
      <c r="AK14" s="645">
        <v>-41.639986107117011</v>
      </c>
    </row>
    <row r="15" spans="3:37" ht="13.5">
      <c r="C15" s="420" t="s">
        <v>62</v>
      </c>
      <c r="D15" s="421">
        <v>0</v>
      </c>
      <c r="E15" s="421">
        <v>0</v>
      </c>
      <c r="F15" s="421">
        <v>-14.431507774067331</v>
      </c>
      <c r="G15" s="421">
        <v>0</v>
      </c>
      <c r="H15" s="421">
        <v>0</v>
      </c>
      <c r="I15" s="421">
        <v>0</v>
      </c>
      <c r="J15" s="421">
        <v>0</v>
      </c>
      <c r="K15" s="421">
        <v>0</v>
      </c>
      <c r="L15" s="431">
        <v>0</v>
      </c>
      <c r="M15" s="431">
        <v>0</v>
      </c>
      <c r="N15" s="421">
        <v>0</v>
      </c>
      <c r="O15" s="421">
        <v>0</v>
      </c>
      <c r="P15" s="422">
        <v>0</v>
      </c>
      <c r="Q15" s="422">
        <v>0</v>
      </c>
      <c r="R15" s="431">
        <v>0</v>
      </c>
      <c r="S15" s="423">
        <v>-14.431507774067331</v>
      </c>
      <c r="U15" s="641" t="s">
        <v>62</v>
      </c>
      <c r="V15" s="642">
        <v>0</v>
      </c>
      <c r="W15" s="643">
        <v>0</v>
      </c>
      <c r="X15" s="643">
        <v>-5.3013702027186111</v>
      </c>
      <c r="Y15" s="642">
        <v>0</v>
      </c>
      <c r="Z15" s="643">
        <v>0</v>
      </c>
      <c r="AA15" s="643">
        <v>0</v>
      </c>
      <c r="AB15" s="643">
        <v>0</v>
      </c>
      <c r="AC15" s="643">
        <v>0</v>
      </c>
      <c r="AD15" s="643">
        <v>0</v>
      </c>
      <c r="AE15" s="643">
        <v>-5.1137296191648005</v>
      </c>
      <c r="AF15" s="643">
        <v>0</v>
      </c>
      <c r="AG15" s="643">
        <v>0</v>
      </c>
      <c r="AH15" s="644">
        <v>0</v>
      </c>
      <c r="AI15" s="643">
        <v>0</v>
      </c>
      <c r="AJ15" s="643">
        <v>0</v>
      </c>
      <c r="AK15" s="645">
        <v>-10.415099821883413</v>
      </c>
    </row>
    <row r="16" spans="3:37" ht="13.5">
      <c r="C16" s="420" t="s">
        <v>63</v>
      </c>
      <c r="D16" s="421">
        <v>0</v>
      </c>
      <c r="E16" s="421">
        <v>0</v>
      </c>
      <c r="F16" s="421">
        <v>-93.443844381495637</v>
      </c>
      <c r="G16" s="421">
        <v>0</v>
      </c>
      <c r="H16" s="421">
        <v>0</v>
      </c>
      <c r="I16" s="421">
        <v>0</v>
      </c>
      <c r="J16" s="421">
        <v>0</v>
      </c>
      <c r="K16" s="421">
        <v>0</v>
      </c>
      <c r="L16" s="431">
        <v>-0.96889726774865159</v>
      </c>
      <c r="M16" s="431">
        <v>0</v>
      </c>
      <c r="N16" s="421">
        <v>0</v>
      </c>
      <c r="O16" s="421">
        <v>0</v>
      </c>
      <c r="P16" s="422">
        <v>0</v>
      </c>
      <c r="Q16" s="422">
        <v>0</v>
      </c>
      <c r="R16" s="431">
        <v>0</v>
      </c>
      <c r="S16" s="423">
        <v>-94.412741649244282</v>
      </c>
      <c r="U16" s="641" t="s">
        <v>63</v>
      </c>
      <c r="V16" s="642">
        <v>0</v>
      </c>
      <c r="W16" s="643">
        <v>0</v>
      </c>
      <c r="X16" s="643">
        <v>-35.841594545498886</v>
      </c>
      <c r="Y16" s="642">
        <v>0</v>
      </c>
      <c r="Z16" s="643">
        <v>0</v>
      </c>
      <c r="AA16" s="643">
        <v>0</v>
      </c>
      <c r="AB16" s="643">
        <v>0</v>
      </c>
      <c r="AC16" s="643">
        <v>0</v>
      </c>
      <c r="AD16" s="643">
        <v>-46.567340427053182</v>
      </c>
      <c r="AE16" s="643">
        <v>0</v>
      </c>
      <c r="AF16" s="643">
        <v>0</v>
      </c>
      <c r="AG16" s="643">
        <v>0</v>
      </c>
      <c r="AH16" s="644">
        <v>0</v>
      </c>
      <c r="AI16" s="643">
        <v>0</v>
      </c>
      <c r="AJ16" s="643">
        <v>0</v>
      </c>
      <c r="AK16" s="645">
        <v>-82.408934972552061</v>
      </c>
    </row>
    <row r="17" spans="3:37" ht="13.5">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U17" s="641" t="s">
        <v>64</v>
      </c>
      <c r="V17" s="642">
        <v>0</v>
      </c>
      <c r="W17" s="643">
        <v>0</v>
      </c>
      <c r="X17" s="643">
        <v>0</v>
      </c>
      <c r="Y17" s="642">
        <v>0</v>
      </c>
      <c r="Z17" s="643">
        <v>0</v>
      </c>
      <c r="AA17" s="643">
        <v>0</v>
      </c>
      <c r="AB17" s="643">
        <v>0</v>
      </c>
      <c r="AC17" s="643">
        <v>0</v>
      </c>
      <c r="AD17" s="643">
        <v>0</v>
      </c>
      <c r="AE17" s="643">
        <v>0</v>
      </c>
      <c r="AF17" s="643">
        <v>0</v>
      </c>
      <c r="AG17" s="643">
        <v>0</v>
      </c>
      <c r="AH17" s="644">
        <v>0</v>
      </c>
      <c r="AI17" s="643">
        <v>0</v>
      </c>
      <c r="AJ17" s="643">
        <v>0</v>
      </c>
      <c r="AK17" s="645">
        <v>0</v>
      </c>
    </row>
    <row r="18" spans="3:37" ht="13.5">
      <c r="C18" s="424" t="s">
        <v>65</v>
      </c>
      <c r="D18" s="510">
        <v>46.099891323621534</v>
      </c>
      <c r="E18" s="510">
        <v>464.7986487</v>
      </c>
      <c r="F18" s="510">
        <v>-59.341223439635421</v>
      </c>
      <c r="G18" s="510">
        <v>345.55093723566335</v>
      </c>
      <c r="H18" s="425">
        <v>727.27272727272737</v>
      </c>
      <c r="I18" s="425">
        <v>338.37995078139568</v>
      </c>
      <c r="J18" s="425">
        <v>190.84741038091113</v>
      </c>
      <c r="K18" s="510">
        <v>19.887492227897642</v>
      </c>
      <c r="L18" s="425">
        <v>2.7639977986594397</v>
      </c>
      <c r="M18" s="425">
        <v>0.16041590589481752</v>
      </c>
      <c r="N18" s="425">
        <v>75.083762899489528</v>
      </c>
      <c r="O18" s="425">
        <v>12.515766779598991</v>
      </c>
      <c r="P18" s="425">
        <v>-12.7985093299136</v>
      </c>
      <c r="Q18" s="425">
        <v>0</v>
      </c>
      <c r="R18" s="425">
        <v>0</v>
      </c>
      <c r="S18" s="425">
        <v>2151.2212685363102</v>
      </c>
      <c r="U18" s="646" t="s">
        <v>65</v>
      </c>
      <c r="V18" s="647">
        <v>4.5871215860372576</v>
      </c>
      <c r="W18" s="647">
        <v>113.59926767676768</v>
      </c>
      <c r="X18" s="647">
        <v>-21.004029293308101</v>
      </c>
      <c r="Y18" s="647">
        <v>0.51452681198611927</v>
      </c>
      <c r="Z18" s="647">
        <v>764.84848484848499</v>
      </c>
      <c r="AA18" s="647">
        <v>423.19995078139567</v>
      </c>
      <c r="AB18" s="647">
        <v>261.81197328019942</v>
      </c>
      <c r="AC18" s="647">
        <v>36.108430969743218</v>
      </c>
      <c r="AD18" s="647">
        <v>-42.834445360645091</v>
      </c>
      <c r="AE18" s="647">
        <v>-4.9533137132699832</v>
      </c>
      <c r="AF18" s="647">
        <v>123.16818516374138</v>
      </c>
      <c r="AG18" s="647">
        <v>30.250193334526926</v>
      </c>
      <c r="AH18" s="647">
        <v>-41.639986107117011</v>
      </c>
      <c r="AI18" s="647">
        <v>0</v>
      </c>
      <c r="AJ18" s="647">
        <v>0</v>
      </c>
      <c r="AK18" s="647">
        <v>1647.6563599785427</v>
      </c>
    </row>
    <row r="19" spans="3:37" ht="13.5">
      <c r="C19" s="426"/>
      <c r="D19" s="427">
        <v>0</v>
      </c>
      <c r="E19" s="492">
        <v>0</v>
      </c>
      <c r="F19" s="492">
        <v>0</v>
      </c>
      <c r="G19" s="492">
        <v>0</v>
      </c>
      <c r="H19" s="427">
        <v>0</v>
      </c>
      <c r="I19" s="427">
        <v>0</v>
      </c>
      <c r="J19" s="427">
        <v>0</v>
      </c>
      <c r="K19" s="492">
        <v>0</v>
      </c>
      <c r="L19" s="427">
        <v>0</v>
      </c>
      <c r="M19" s="427">
        <v>0</v>
      </c>
      <c r="N19" s="427">
        <v>0</v>
      </c>
      <c r="O19" s="427">
        <v>0</v>
      </c>
      <c r="P19" s="492">
        <v>0</v>
      </c>
      <c r="Q19" s="492">
        <v>0</v>
      </c>
      <c r="R19" s="427">
        <v>0</v>
      </c>
      <c r="S19" s="427">
        <v>0</v>
      </c>
      <c r="U19" s="636"/>
      <c r="V19" s="636">
        <v>0</v>
      </c>
      <c r="W19" s="636">
        <v>0</v>
      </c>
      <c r="X19" s="636">
        <v>0</v>
      </c>
      <c r="Y19" s="636">
        <v>0</v>
      </c>
      <c r="Z19" s="636">
        <v>0</v>
      </c>
      <c r="AA19" s="636">
        <v>0</v>
      </c>
      <c r="AB19" s="636">
        <v>0</v>
      </c>
      <c r="AC19" s="636">
        <v>0</v>
      </c>
      <c r="AD19" s="636">
        <v>0</v>
      </c>
      <c r="AE19" s="636">
        <v>0</v>
      </c>
      <c r="AF19" s="636">
        <v>0</v>
      </c>
      <c r="AG19" s="636">
        <v>0</v>
      </c>
      <c r="AH19" s="636">
        <v>0</v>
      </c>
      <c r="AI19" s="636">
        <v>0</v>
      </c>
      <c r="AJ19" s="636">
        <v>0</v>
      </c>
      <c r="AK19" s="636">
        <v>0</v>
      </c>
    </row>
    <row r="20" spans="3:37" ht="13.5">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U20" s="648" t="s">
        <v>67</v>
      </c>
      <c r="V20" s="642">
        <v>0</v>
      </c>
      <c r="W20" s="649">
        <v>0</v>
      </c>
      <c r="X20" s="649">
        <v>0</v>
      </c>
      <c r="Y20" s="642">
        <v>0</v>
      </c>
      <c r="Z20" s="642">
        <v>0</v>
      </c>
      <c r="AA20" s="642">
        <v>0</v>
      </c>
      <c r="AB20" s="642">
        <v>0</v>
      </c>
      <c r="AC20" s="642">
        <v>0</v>
      </c>
      <c r="AD20" s="642">
        <v>0</v>
      </c>
      <c r="AE20" s="642">
        <v>0</v>
      </c>
      <c r="AF20" s="642">
        <v>0</v>
      </c>
      <c r="AG20" s="642">
        <v>0</v>
      </c>
      <c r="AH20" s="642">
        <v>0</v>
      </c>
      <c r="AI20" s="642">
        <v>0</v>
      </c>
      <c r="AJ20" s="642">
        <v>0</v>
      </c>
      <c r="AK20" s="650">
        <v>0</v>
      </c>
    </row>
    <row r="21" spans="3:37" ht="13.5">
      <c r="C21" s="428" t="s">
        <v>350</v>
      </c>
      <c r="D21" s="431">
        <v>2.8267856410252494</v>
      </c>
      <c r="E21" s="421">
        <v>0</v>
      </c>
      <c r="F21" s="431">
        <v>8.0599105831015567</v>
      </c>
      <c r="G21" s="431">
        <v>46.530346198952707</v>
      </c>
      <c r="H21" s="431">
        <v>727.27272727272737</v>
      </c>
      <c r="I21" s="431">
        <v>338.37995078139568</v>
      </c>
      <c r="J21" s="431">
        <v>28.452469116356035</v>
      </c>
      <c r="K21" s="431">
        <v>6.2305848357200952</v>
      </c>
      <c r="L21" s="627">
        <v>3.7328950664080915</v>
      </c>
      <c r="M21" s="431">
        <v>1.0761160081227215</v>
      </c>
      <c r="N21" s="421">
        <v>0</v>
      </c>
      <c r="O21" s="627">
        <v>7.5664382136221358</v>
      </c>
      <c r="P21" s="421">
        <v>-629.14515201417555</v>
      </c>
      <c r="Q21" s="421">
        <v>0</v>
      </c>
      <c r="R21" s="432">
        <v>0</v>
      </c>
      <c r="S21" s="491">
        <v>540.98307170325586</v>
      </c>
      <c r="U21" s="648" t="s">
        <v>350</v>
      </c>
      <c r="V21" s="642">
        <v>0.62631490545869017</v>
      </c>
      <c r="W21" s="642">
        <v>0</v>
      </c>
      <c r="X21" s="642">
        <v>4.1962742194651934</v>
      </c>
      <c r="Y21" s="642">
        <v>0</v>
      </c>
      <c r="Z21" s="642">
        <v>764.84848484848499</v>
      </c>
      <c r="AA21" s="642">
        <v>423.19995078139567</v>
      </c>
      <c r="AB21" s="651">
        <v>22.478183728982629</v>
      </c>
      <c r="AC21" s="651">
        <v>5.0926371917675839</v>
      </c>
      <c r="AD21" s="651">
        <v>3.7328950664080915</v>
      </c>
      <c r="AE21" s="651">
        <v>0.79318377276994545</v>
      </c>
      <c r="AF21" s="651">
        <v>0</v>
      </c>
      <c r="AG21" s="651">
        <v>7.5664382136221358</v>
      </c>
      <c r="AH21" s="642">
        <v>-696.77718495359215</v>
      </c>
      <c r="AI21" s="642">
        <v>0</v>
      </c>
      <c r="AJ21" s="642">
        <v>3.75</v>
      </c>
      <c r="AK21" s="650">
        <v>539.50717777476291</v>
      </c>
    </row>
    <row r="22" spans="3:37" ht="13.5">
      <c r="C22" s="428" t="s">
        <v>351</v>
      </c>
      <c r="D22" s="431">
        <v>0</v>
      </c>
      <c r="E22" s="421">
        <v>0</v>
      </c>
      <c r="F22" s="431">
        <v>0</v>
      </c>
      <c r="G22" s="431">
        <v>14.783508517784153</v>
      </c>
      <c r="H22" s="421">
        <v>0</v>
      </c>
      <c r="I22" s="421">
        <v>0</v>
      </c>
      <c r="J22" s="431">
        <v>12.163067049530284</v>
      </c>
      <c r="K22" s="431">
        <v>11.829214997579474</v>
      </c>
      <c r="L22" s="421">
        <v>0</v>
      </c>
      <c r="M22" s="431">
        <v>0.31740804730172578</v>
      </c>
      <c r="N22" s="421">
        <v>0</v>
      </c>
      <c r="O22" s="431">
        <v>2.086875550337155</v>
      </c>
      <c r="P22" s="421">
        <v>0</v>
      </c>
      <c r="Q22" s="421">
        <v>-37.667878685561853</v>
      </c>
      <c r="R22" s="432">
        <v>0</v>
      </c>
      <c r="S22" s="491">
        <v>3.5121954769709394</v>
      </c>
      <c r="U22" s="648" t="s">
        <v>351</v>
      </c>
      <c r="V22" s="642">
        <v>0</v>
      </c>
      <c r="W22" s="642">
        <v>0</v>
      </c>
      <c r="X22" s="642">
        <v>0</v>
      </c>
      <c r="Y22" s="642">
        <v>0</v>
      </c>
      <c r="Z22" s="642">
        <v>0</v>
      </c>
      <c r="AA22" s="642">
        <v>0</v>
      </c>
      <c r="AB22" s="651">
        <v>28.523630086620891</v>
      </c>
      <c r="AC22" s="651">
        <v>26.288013396118924</v>
      </c>
      <c r="AD22" s="651">
        <v>0</v>
      </c>
      <c r="AE22" s="651">
        <v>10.611192177482708</v>
      </c>
      <c r="AF22" s="651">
        <v>0</v>
      </c>
      <c r="AG22" s="651">
        <v>14.121402979798832</v>
      </c>
      <c r="AH22" s="642">
        <v>0</v>
      </c>
      <c r="AI22" s="642">
        <v>-74.176724382187018</v>
      </c>
      <c r="AJ22" s="642">
        <v>0</v>
      </c>
      <c r="AK22" s="650">
        <v>5.3675142578343316</v>
      </c>
    </row>
    <row r="23" spans="3:37" ht="13.5">
      <c r="C23" s="428" t="s">
        <v>352</v>
      </c>
      <c r="D23" s="421">
        <v>0</v>
      </c>
      <c r="E23" s="421">
        <v>0</v>
      </c>
      <c r="F23" s="421">
        <v>0</v>
      </c>
      <c r="G23" s="421">
        <v>0</v>
      </c>
      <c r="H23" s="421">
        <v>0</v>
      </c>
      <c r="I23" s="421">
        <v>0</v>
      </c>
      <c r="J23" s="431">
        <v>7.1450792385721682</v>
      </c>
      <c r="K23" s="421">
        <v>0</v>
      </c>
      <c r="L23" s="421">
        <v>0</v>
      </c>
      <c r="M23" s="421">
        <v>-6.8235506728364204</v>
      </c>
      <c r="N23" s="421">
        <v>0</v>
      </c>
      <c r="O23" s="421">
        <v>0</v>
      </c>
      <c r="P23" s="421">
        <v>0</v>
      </c>
      <c r="Q23" s="421">
        <v>0</v>
      </c>
      <c r="R23" s="422">
        <v>0</v>
      </c>
      <c r="S23" s="491">
        <v>0.32152856573574784</v>
      </c>
      <c r="U23" s="648" t="s">
        <v>352</v>
      </c>
      <c r="V23" s="642">
        <v>0</v>
      </c>
      <c r="W23" s="642">
        <v>0</v>
      </c>
      <c r="X23" s="642">
        <v>0</v>
      </c>
      <c r="Y23" s="642">
        <v>0</v>
      </c>
      <c r="Z23" s="642">
        <v>0</v>
      </c>
      <c r="AA23" s="642">
        <v>0</v>
      </c>
      <c r="AB23" s="652">
        <v>137.81211213320262</v>
      </c>
      <c r="AC23" s="652">
        <v>0</v>
      </c>
      <c r="AD23" s="652">
        <v>0</v>
      </c>
      <c r="AE23" s="652">
        <v>-131.61056708720849</v>
      </c>
      <c r="AF23" s="652">
        <v>0</v>
      </c>
      <c r="AG23" s="652">
        <v>0</v>
      </c>
      <c r="AH23" s="642">
        <v>0</v>
      </c>
      <c r="AI23" s="642">
        <v>0</v>
      </c>
      <c r="AJ23" s="642">
        <v>0</v>
      </c>
      <c r="AK23" s="650">
        <v>6.2015450459941235</v>
      </c>
    </row>
    <row r="24" spans="3:37" ht="13.5">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428" t="s">
        <v>72</v>
      </c>
      <c r="D25" s="421">
        <v>0</v>
      </c>
      <c r="E25" s="431">
        <v>481.48200000000003</v>
      </c>
      <c r="F25" s="421">
        <v>-476.66718000000003</v>
      </c>
      <c r="G25" s="431">
        <v>0</v>
      </c>
      <c r="H25" s="421">
        <v>0</v>
      </c>
      <c r="I25" s="421">
        <v>0</v>
      </c>
      <c r="J25" s="421">
        <v>0</v>
      </c>
      <c r="K25" s="421">
        <v>0</v>
      </c>
      <c r="L25" s="421">
        <v>0</v>
      </c>
      <c r="M25" s="421">
        <v>0</v>
      </c>
      <c r="N25" s="421">
        <v>0</v>
      </c>
      <c r="O25" s="421">
        <v>0</v>
      </c>
      <c r="P25" s="421">
        <v>0</v>
      </c>
      <c r="Q25" s="421">
        <v>0</v>
      </c>
      <c r="R25" s="422">
        <v>0</v>
      </c>
      <c r="S25" s="491">
        <v>4.8148199999999974</v>
      </c>
      <c r="U25" s="648" t="s">
        <v>72</v>
      </c>
      <c r="V25" s="642">
        <v>0</v>
      </c>
      <c r="W25" s="642">
        <v>117.67676767676768</v>
      </c>
      <c r="X25" s="642">
        <v>-116.5</v>
      </c>
      <c r="Y25" s="642">
        <v>0</v>
      </c>
      <c r="Z25" s="642">
        <v>0</v>
      </c>
      <c r="AA25" s="642">
        <v>0</v>
      </c>
      <c r="AB25" s="642">
        <v>0</v>
      </c>
      <c r="AC25" s="642">
        <v>0</v>
      </c>
      <c r="AD25" s="642">
        <v>0</v>
      </c>
      <c r="AE25" s="642">
        <v>0</v>
      </c>
      <c r="AF25" s="642">
        <v>0</v>
      </c>
      <c r="AG25" s="642">
        <v>0</v>
      </c>
      <c r="AH25" s="642">
        <v>0</v>
      </c>
      <c r="AI25" s="642">
        <v>0</v>
      </c>
      <c r="AJ25" s="642">
        <v>0</v>
      </c>
      <c r="AK25" s="650">
        <v>1.1767676767676818</v>
      </c>
    </row>
    <row r="26" spans="3:37" ht="13.5">
      <c r="C26" s="428" t="s">
        <v>354</v>
      </c>
      <c r="D26" s="421">
        <v>0</v>
      </c>
      <c r="E26" s="421">
        <v>0</v>
      </c>
      <c r="F26" s="421">
        <v>0</v>
      </c>
      <c r="G26" s="421">
        <v>0</v>
      </c>
      <c r="H26" s="421">
        <v>0</v>
      </c>
      <c r="I26" s="421">
        <v>0</v>
      </c>
      <c r="J26" s="627">
        <v>26.125483595276659</v>
      </c>
      <c r="K26" s="421">
        <v>0</v>
      </c>
      <c r="L26" s="421">
        <v>-26.125483595276659</v>
      </c>
      <c r="M26" s="421">
        <v>0</v>
      </c>
      <c r="N26" s="421">
        <v>0</v>
      </c>
      <c r="O26" s="421">
        <v>0</v>
      </c>
      <c r="P26" s="421">
        <v>0</v>
      </c>
      <c r="Q26" s="421">
        <v>0</v>
      </c>
      <c r="R26" s="422">
        <v>0</v>
      </c>
      <c r="S26" s="423">
        <v>0</v>
      </c>
      <c r="U26" s="648" t="s">
        <v>354</v>
      </c>
      <c r="V26" s="642">
        <v>0</v>
      </c>
      <c r="W26" s="642">
        <v>0</v>
      </c>
      <c r="X26" s="642">
        <v>0</v>
      </c>
      <c r="Y26" s="642">
        <v>0</v>
      </c>
      <c r="Z26" s="642">
        <v>0</v>
      </c>
      <c r="AA26" s="642">
        <v>0</v>
      </c>
      <c r="AB26" s="642" t="e">
        <v>#VALUE!</v>
      </c>
      <c r="AC26" s="642">
        <v>0</v>
      </c>
      <c r="AD26" s="642">
        <v>-100.69655001825291</v>
      </c>
      <c r="AE26" s="642">
        <v>0</v>
      </c>
      <c r="AF26" s="642">
        <v>0</v>
      </c>
      <c r="AG26" s="642">
        <v>0</v>
      </c>
      <c r="AH26" s="642">
        <v>0</v>
      </c>
      <c r="AI26" s="642">
        <v>0</v>
      </c>
      <c r="AJ26" s="642">
        <v>0</v>
      </c>
      <c r="AK26" s="650">
        <v>-100.69655001825291</v>
      </c>
    </row>
    <row r="27" spans="3:37" ht="13.5">
      <c r="C27" s="428" t="s">
        <v>355</v>
      </c>
      <c r="D27" s="421">
        <v>0</v>
      </c>
      <c r="E27" s="421">
        <v>0</v>
      </c>
      <c r="F27" s="421">
        <v>0</v>
      </c>
      <c r="G27" s="421">
        <v>0</v>
      </c>
      <c r="H27" s="421">
        <v>0</v>
      </c>
      <c r="I27" s="421">
        <v>0</v>
      </c>
      <c r="J27" s="627">
        <v>0</v>
      </c>
      <c r="K27" s="421">
        <v>0</v>
      </c>
      <c r="L27" s="421">
        <v>0</v>
      </c>
      <c r="M27" s="421">
        <v>0</v>
      </c>
      <c r="N27" s="421">
        <v>0</v>
      </c>
      <c r="O27" s="421">
        <v>0</v>
      </c>
      <c r="P27" s="421">
        <v>0</v>
      </c>
      <c r="Q27" s="421">
        <v>0</v>
      </c>
      <c r="R27" s="432">
        <v>0</v>
      </c>
      <c r="S27" s="491">
        <v>0</v>
      </c>
      <c r="U27" s="648" t="s">
        <v>355</v>
      </c>
      <c r="V27" s="642">
        <v>0</v>
      </c>
      <c r="W27" s="642">
        <v>0</v>
      </c>
      <c r="X27" s="642">
        <v>0</v>
      </c>
      <c r="Y27" s="642">
        <v>0</v>
      </c>
      <c r="Z27" s="642">
        <v>0</v>
      </c>
      <c r="AA27" s="642">
        <v>0</v>
      </c>
      <c r="AB27" s="642">
        <v>0</v>
      </c>
      <c r="AC27" s="642">
        <v>0</v>
      </c>
      <c r="AD27" s="642">
        <v>-28.460377640694865</v>
      </c>
      <c r="AE27" s="642">
        <v>0</v>
      </c>
      <c r="AF27" s="642">
        <v>0</v>
      </c>
      <c r="AG27" s="642">
        <v>0</v>
      </c>
      <c r="AH27" s="642">
        <v>0</v>
      </c>
      <c r="AI27" s="642">
        <v>0</v>
      </c>
      <c r="AJ27" s="642">
        <v>0</v>
      </c>
      <c r="AK27" s="650">
        <v>-28.460377640694865</v>
      </c>
    </row>
    <row r="28" spans="3:37" ht="13.5">
      <c r="C28" s="428" t="s">
        <v>73</v>
      </c>
      <c r="D28" s="421">
        <v>0</v>
      </c>
      <c r="E28" s="421">
        <v>0</v>
      </c>
      <c r="F28" s="421">
        <v>0</v>
      </c>
      <c r="G28" s="431">
        <v>8.6128889644156494</v>
      </c>
      <c r="H28" s="421">
        <v>0</v>
      </c>
      <c r="I28" s="421">
        <v>0</v>
      </c>
      <c r="J28" s="421">
        <v>0</v>
      </c>
      <c r="K28" s="431">
        <v>0.10101910584583218</v>
      </c>
      <c r="L28" s="421">
        <v>0</v>
      </c>
      <c r="M28" s="431">
        <v>0.17577324417174797</v>
      </c>
      <c r="N28" s="421">
        <v>0</v>
      </c>
      <c r="O28" s="421">
        <v>0</v>
      </c>
      <c r="P28" s="431">
        <v>1.1785562348680418</v>
      </c>
      <c r="Q28" s="421">
        <v>0</v>
      </c>
      <c r="R28" s="509">
        <v>-7.071337409208251</v>
      </c>
      <c r="S28" s="491">
        <v>2.99690014009302</v>
      </c>
      <c r="U28" s="648" t="s">
        <v>73</v>
      </c>
      <c r="V28" s="642">
        <v>0</v>
      </c>
      <c r="W28" s="642">
        <v>0</v>
      </c>
      <c r="X28" s="642">
        <v>0</v>
      </c>
      <c r="Y28" s="642">
        <v>0</v>
      </c>
      <c r="Z28" s="642">
        <v>0</v>
      </c>
      <c r="AA28" s="642">
        <v>0</v>
      </c>
      <c r="AB28" s="642">
        <v>0</v>
      </c>
      <c r="AC28" s="642">
        <v>0.58294529496624936</v>
      </c>
      <c r="AD28" s="642">
        <v>0</v>
      </c>
      <c r="AE28" s="642">
        <v>0</v>
      </c>
      <c r="AF28" s="642">
        <v>0</v>
      </c>
      <c r="AG28" s="642">
        <v>0</v>
      </c>
      <c r="AH28" s="642">
        <v>56.108484640501494</v>
      </c>
      <c r="AI28" s="642">
        <v>0</v>
      </c>
      <c r="AJ28" s="642">
        <v>-40.806170647637451</v>
      </c>
      <c r="AK28" s="650">
        <v>15.885259287830294</v>
      </c>
    </row>
    <row r="29" spans="3:37" ht="13.5">
      <c r="C29" s="428" t="s">
        <v>356</v>
      </c>
      <c r="D29" s="431">
        <v>28.51179328125</v>
      </c>
      <c r="E29" s="431">
        <v>-16.683351300000002</v>
      </c>
      <c r="F29" s="431">
        <v>21.820838094867195</v>
      </c>
      <c r="G29" s="431">
        <v>0</v>
      </c>
      <c r="H29" s="421">
        <v>0</v>
      </c>
      <c r="I29" s="421">
        <v>0</v>
      </c>
      <c r="J29" s="421">
        <v>0</v>
      </c>
      <c r="K29" s="421">
        <v>0</v>
      </c>
      <c r="L29" s="431">
        <v>0</v>
      </c>
      <c r="M29" s="431">
        <v>0</v>
      </c>
      <c r="N29" s="421">
        <v>0</v>
      </c>
      <c r="O29" s="421">
        <v>0</v>
      </c>
      <c r="P29" s="421">
        <v>0</v>
      </c>
      <c r="Q29" s="421">
        <v>0</v>
      </c>
      <c r="R29" s="422">
        <v>0</v>
      </c>
      <c r="S29" s="423">
        <v>33.649280076117194</v>
      </c>
      <c r="U29" s="648" t="s">
        <v>356</v>
      </c>
      <c r="V29" s="642">
        <v>0.72303211975097659</v>
      </c>
      <c r="W29" s="642">
        <v>-4.0775000000000006</v>
      </c>
      <c r="X29" s="642">
        <v>5.333129161634389</v>
      </c>
      <c r="Y29" s="642">
        <v>0</v>
      </c>
      <c r="Z29" s="642">
        <v>0</v>
      </c>
      <c r="AA29" s="642">
        <v>0</v>
      </c>
      <c r="AB29" s="642">
        <v>0</v>
      </c>
      <c r="AC29" s="642">
        <v>0</v>
      </c>
      <c r="AD29" s="642">
        <v>0</v>
      </c>
      <c r="AE29" s="642">
        <v>0</v>
      </c>
      <c r="AF29" s="642">
        <v>0</v>
      </c>
      <c r="AG29" s="642">
        <v>0</v>
      </c>
      <c r="AH29" s="642">
        <v>0</v>
      </c>
      <c r="AI29" s="642">
        <v>0</v>
      </c>
      <c r="AJ29" s="642">
        <v>0</v>
      </c>
      <c r="AK29" s="650">
        <v>1.978661281385365</v>
      </c>
    </row>
    <row r="30" spans="3:37" ht="13.5">
      <c r="C30" s="428" t="s">
        <v>75</v>
      </c>
      <c r="D30" s="431">
        <v>11.087919609375001</v>
      </c>
      <c r="E30" s="421">
        <v>0</v>
      </c>
      <c r="F30" s="431">
        <v>16.370388000000002</v>
      </c>
      <c r="G30" s="431">
        <v>4.6713383640000004</v>
      </c>
      <c r="H30" s="421">
        <v>0</v>
      </c>
      <c r="I30" s="421">
        <v>0</v>
      </c>
      <c r="J30" s="421">
        <v>0</v>
      </c>
      <c r="K30" s="421">
        <v>0</v>
      </c>
      <c r="L30" s="421">
        <v>0</v>
      </c>
      <c r="M30" s="431">
        <v>9.5333436000000008E-2</v>
      </c>
      <c r="N30" s="421">
        <v>0</v>
      </c>
      <c r="O30" s="421">
        <v>0</v>
      </c>
      <c r="P30" s="431">
        <v>26.129145836866744</v>
      </c>
      <c r="Q30" s="421">
        <v>0</v>
      </c>
      <c r="R30" s="422">
        <v>0</v>
      </c>
      <c r="S30" s="423">
        <v>58.35412524624175</v>
      </c>
      <c r="U30" s="648" t="s">
        <v>75</v>
      </c>
      <c r="V30" s="642">
        <v>1.73775830078125</v>
      </c>
      <c r="W30" s="642">
        <v>0</v>
      </c>
      <c r="X30" s="642">
        <v>16.370388000000002</v>
      </c>
      <c r="Y30" s="642">
        <v>0</v>
      </c>
      <c r="Z30" s="642">
        <v>0</v>
      </c>
      <c r="AA30" s="642">
        <v>0</v>
      </c>
      <c r="AB30" s="642">
        <v>0</v>
      </c>
      <c r="AC30" s="642">
        <v>0</v>
      </c>
      <c r="AD30" s="642">
        <v>0</v>
      </c>
      <c r="AE30" s="642">
        <v>4.7666718000000001</v>
      </c>
      <c r="AF30" s="642">
        <v>0</v>
      </c>
      <c r="AG30" s="642">
        <v>0</v>
      </c>
      <c r="AH30" s="642">
        <v>36.696565665655768</v>
      </c>
      <c r="AI30" s="642">
        <v>0</v>
      </c>
      <c r="AJ30" s="642">
        <v>0</v>
      </c>
      <c r="AK30" s="650">
        <v>59.571383766437016</v>
      </c>
    </row>
    <row r="31" spans="3:37" ht="13.5">
      <c r="C31" s="428" t="s">
        <v>76</v>
      </c>
      <c r="D31" s="421">
        <v>0</v>
      </c>
      <c r="E31" s="421">
        <v>0</v>
      </c>
      <c r="F31" s="421">
        <v>0</v>
      </c>
      <c r="G31" s="431">
        <v>3.9646717348100942</v>
      </c>
      <c r="H31" s="421">
        <v>0</v>
      </c>
      <c r="I31" s="421">
        <v>0</v>
      </c>
      <c r="J31" s="421">
        <v>0</v>
      </c>
      <c r="K31" s="421">
        <v>0</v>
      </c>
      <c r="L31" s="421">
        <v>0</v>
      </c>
      <c r="M31" s="431">
        <v>8.0911668057348868E-2</v>
      </c>
      <c r="N31" s="421">
        <v>0</v>
      </c>
      <c r="O31" s="421">
        <v>0</v>
      </c>
      <c r="P31" s="431">
        <v>47.131742012269626</v>
      </c>
      <c r="Q31" s="431">
        <v>2.9238621334994321</v>
      </c>
      <c r="R31" s="432">
        <v>0</v>
      </c>
      <c r="S31" s="423">
        <v>54.101187548636503</v>
      </c>
      <c r="U31" s="648" t="s">
        <v>76</v>
      </c>
      <c r="V31" s="642">
        <v>0</v>
      </c>
      <c r="W31" s="642">
        <v>0</v>
      </c>
      <c r="X31" s="642">
        <v>0</v>
      </c>
      <c r="Y31" s="642">
        <v>0</v>
      </c>
      <c r="Z31" s="642">
        <v>0</v>
      </c>
      <c r="AA31" s="642">
        <v>0</v>
      </c>
      <c r="AB31" s="642">
        <v>0</v>
      </c>
      <c r="AC31" s="642">
        <v>0</v>
      </c>
      <c r="AD31" s="642">
        <v>0</v>
      </c>
      <c r="AE31" s="642">
        <v>1.5605996097297452</v>
      </c>
      <c r="AF31" s="642">
        <v>0</v>
      </c>
      <c r="AG31" s="642">
        <v>0</v>
      </c>
      <c r="AH31" s="642">
        <v>50.104610120731024</v>
      </c>
      <c r="AI31" s="642">
        <v>5.7529608775183565</v>
      </c>
      <c r="AJ31" s="642">
        <v>0</v>
      </c>
      <c r="AK31" s="650">
        <v>57.418170607979121</v>
      </c>
    </row>
    <row r="32" spans="3:37" ht="13.5">
      <c r="C32" s="424" t="s">
        <v>77</v>
      </c>
      <c r="D32" s="425">
        <v>42.426498531650253</v>
      </c>
      <c r="E32" s="425">
        <v>464.7986487</v>
      </c>
      <c r="F32" s="425">
        <v>-430.41604332203127</v>
      </c>
      <c r="G32" s="425">
        <v>78.562753779962591</v>
      </c>
      <c r="H32" s="425">
        <v>727.27272727272737</v>
      </c>
      <c r="I32" s="425">
        <v>338.37995078139568</v>
      </c>
      <c r="J32" s="425">
        <v>73.88609899973514</v>
      </c>
      <c r="K32" s="425">
        <v>18.1608189391454</v>
      </c>
      <c r="L32" s="425">
        <v>-22.392588528868568</v>
      </c>
      <c r="M32" s="425">
        <v>-5.0780082691828765</v>
      </c>
      <c r="N32" s="425">
        <v>0</v>
      </c>
      <c r="O32" s="425">
        <v>9.6533137639592894</v>
      </c>
      <c r="P32" s="425">
        <v>-554.70570793017112</v>
      </c>
      <c r="Q32" s="425">
        <v>-34.744016552062419</v>
      </c>
      <c r="R32" s="425">
        <v>-7.071337409208251</v>
      </c>
      <c r="S32" s="425">
        <v>698.73310875705101</v>
      </c>
      <c r="U32" s="646" t="s">
        <v>77</v>
      </c>
      <c r="V32" s="647">
        <v>3.0871053259909167</v>
      </c>
      <c r="W32" s="647">
        <v>113.59926767676768</v>
      </c>
      <c r="X32" s="647">
        <v>-90.60020861890041</v>
      </c>
      <c r="Y32" s="647">
        <v>0</v>
      </c>
      <c r="Z32" s="647">
        <v>764.84848484848499</v>
      </c>
      <c r="AA32" s="647">
        <v>423.19995078139567</v>
      </c>
      <c r="AB32" s="647">
        <v>188.81392594880614</v>
      </c>
      <c r="AC32" s="647">
        <v>31.963595882852758</v>
      </c>
      <c r="AD32" s="647">
        <v>-125.42403259253969</v>
      </c>
      <c r="AE32" s="647">
        <v>-113.87891972722609</v>
      </c>
      <c r="AF32" s="647">
        <v>0</v>
      </c>
      <c r="AG32" s="647">
        <v>21.687841193420969</v>
      </c>
      <c r="AH32" s="647">
        <v>-553.86752452670385</v>
      </c>
      <c r="AI32" s="647">
        <v>-68.423763504668656</v>
      </c>
      <c r="AJ32" s="647">
        <v>-37.056170647637451</v>
      </c>
      <c r="AK32" s="647">
        <v>557.94955204004305</v>
      </c>
    </row>
    <row r="33" spans="3:37" ht="13.5">
      <c r="C33" s="426"/>
      <c r="D33" s="427">
        <v>0</v>
      </c>
      <c r="E33" s="427">
        <v>0</v>
      </c>
      <c r="F33" s="427">
        <v>0</v>
      </c>
      <c r="G33" s="427">
        <v>0</v>
      </c>
      <c r="H33" s="427">
        <v>0</v>
      </c>
      <c r="I33" s="427">
        <v>0</v>
      </c>
      <c r="J33" s="427">
        <v>0</v>
      </c>
      <c r="K33" s="427">
        <v>0</v>
      </c>
      <c r="L33" s="427">
        <v>0</v>
      </c>
      <c r="M33" s="427">
        <v>0</v>
      </c>
      <c r="N33" s="427">
        <v>0</v>
      </c>
      <c r="O33" s="427">
        <v>0</v>
      </c>
      <c r="P33" s="427">
        <v>0</v>
      </c>
      <c r="Q33" s="427">
        <v>0</v>
      </c>
      <c r="R33" s="427">
        <v>0</v>
      </c>
      <c r="S33" s="427">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428" t="s">
        <v>78</v>
      </c>
      <c r="D34" s="431">
        <v>3.6733927919712848</v>
      </c>
      <c r="E34" s="421">
        <v>0</v>
      </c>
      <c r="F34" s="431">
        <v>19.397200033553816</v>
      </c>
      <c r="G34" s="431">
        <v>91.130108310207916</v>
      </c>
      <c r="H34" s="421">
        <v>0</v>
      </c>
      <c r="I34" s="421">
        <v>0</v>
      </c>
      <c r="J34" s="431">
        <v>22.791437377983073</v>
      </c>
      <c r="K34" s="431">
        <v>1.7013098714668424</v>
      </c>
      <c r="L34" s="431">
        <v>1.007010953125</v>
      </c>
      <c r="M34" s="431">
        <v>1.8779931367345493</v>
      </c>
      <c r="N34" s="431">
        <v>0</v>
      </c>
      <c r="O34" s="431">
        <v>3.7093504340600874E-4</v>
      </c>
      <c r="P34" s="431">
        <v>114.54790196708234</v>
      </c>
      <c r="Q34" s="431">
        <v>16.21056036467343</v>
      </c>
      <c r="R34" s="431">
        <v>0.23655174255371095</v>
      </c>
      <c r="S34" s="429">
        <v>272.57383748439537</v>
      </c>
      <c r="U34" s="648" t="s">
        <v>78</v>
      </c>
      <c r="V34" s="642">
        <v>1.5000162600463405</v>
      </c>
      <c r="W34" s="642">
        <v>0</v>
      </c>
      <c r="X34" s="642">
        <v>0.65820239923796242</v>
      </c>
      <c r="Y34" s="642">
        <v>0</v>
      </c>
      <c r="Z34" s="642">
        <v>0</v>
      </c>
      <c r="AA34" s="642">
        <v>0</v>
      </c>
      <c r="AB34" s="642">
        <v>14.22856522114639</v>
      </c>
      <c r="AC34" s="642">
        <v>4.1194716696050602</v>
      </c>
      <c r="AD34" s="642">
        <v>8.3494072265624997</v>
      </c>
      <c r="AE34" s="642">
        <v>60.539358802903692</v>
      </c>
      <c r="AF34" s="642">
        <v>0</v>
      </c>
      <c r="AG34" s="642">
        <v>3.7093504340600874E-4</v>
      </c>
      <c r="AH34" s="642">
        <v>157.01971492382648</v>
      </c>
      <c r="AI34" s="642">
        <v>25.540840498351418</v>
      </c>
      <c r="AJ34" s="642">
        <v>8.9542294921874994</v>
      </c>
      <c r="AK34" s="650">
        <v>280.91017742891074</v>
      </c>
    </row>
    <row r="35" spans="3:37" ht="13.5">
      <c r="C35" s="428" t="s">
        <v>79</v>
      </c>
      <c r="D35" s="431">
        <v>0</v>
      </c>
      <c r="E35" s="421">
        <v>0</v>
      </c>
      <c r="F35" s="431">
        <v>216.8751541495462</v>
      </c>
      <c r="G35" s="431">
        <v>32.745585882615877</v>
      </c>
      <c r="H35" s="421">
        <v>0</v>
      </c>
      <c r="I35" s="421">
        <v>0</v>
      </c>
      <c r="J35" s="431">
        <v>0</v>
      </c>
      <c r="K35" s="431">
        <v>0</v>
      </c>
      <c r="L35" s="431">
        <v>20.896591906701669</v>
      </c>
      <c r="M35" s="431">
        <v>0.66827726291052814</v>
      </c>
      <c r="N35" s="431">
        <v>0</v>
      </c>
      <c r="O35" s="431">
        <v>0</v>
      </c>
      <c r="P35" s="431">
        <v>80.819270278256823</v>
      </c>
      <c r="Q35" s="431">
        <v>0</v>
      </c>
      <c r="R35" s="431">
        <v>2.9193508940431485</v>
      </c>
      <c r="S35" s="429">
        <v>354.92423037407423</v>
      </c>
      <c r="U35" s="648" t="s">
        <v>79</v>
      </c>
      <c r="V35" s="642">
        <v>0</v>
      </c>
      <c r="W35" s="642">
        <v>0</v>
      </c>
      <c r="X35" s="642">
        <v>8.8339079607242379</v>
      </c>
      <c r="Y35" s="642">
        <v>0</v>
      </c>
      <c r="Z35" s="642">
        <v>0</v>
      </c>
      <c r="AA35" s="642">
        <v>0</v>
      </c>
      <c r="AB35" s="642">
        <v>0</v>
      </c>
      <c r="AC35" s="642">
        <v>0</v>
      </c>
      <c r="AD35" s="642">
        <v>12.788272739607951</v>
      </c>
      <c r="AE35" s="642">
        <v>24.887279738493259</v>
      </c>
      <c r="AF35" s="642">
        <v>0</v>
      </c>
      <c r="AG35" s="642">
        <v>0</v>
      </c>
      <c r="AH35" s="642">
        <v>93.844452584108197</v>
      </c>
      <c r="AI35" s="642">
        <v>0</v>
      </c>
      <c r="AJ35" s="642">
        <v>7.1149935986121697</v>
      </c>
      <c r="AK35" s="650">
        <v>147.46890662154581</v>
      </c>
    </row>
    <row r="36" spans="3:37" ht="13.5">
      <c r="C36" s="428" t="s">
        <v>80</v>
      </c>
      <c r="D36" s="431">
        <v>0</v>
      </c>
      <c r="E36" s="421">
        <v>0</v>
      </c>
      <c r="F36" s="431">
        <v>5.2094674308398901</v>
      </c>
      <c r="G36" s="431">
        <v>68.551385920257417</v>
      </c>
      <c r="H36" s="421">
        <v>0</v>
      </c>
      <c r="I36" s="421">
        <v>0</v>
      </c>
      <c r="J36" s="431">
        <v>86.155325304334795</v>
      </c>
      <c r="K36" s="431">
        <v>0</v>
      </c>
      <c r="L36" s="431">
        <v>0</v>
      </c>
      <c r="M36" s="431">
        <v>1.3990078759236206</v>
      </c>
      <c r="N36" s="431">
        <v>66.478227859390046</v>
      </c>
      <c r="O36" s="431">
        <v>2.1206229173139883</v>
      </c>
      <c r="P36" s="431">
        <v>194.47767196350526</v>
      </c>
      <c r="Q36" s="431">
        <v>15.182773802844931</v>
      </c>
      <c r="R36" s="431">
        <v>0</v>
      </c>
      <c r="S36" s="429">
        <v>439.5744830744099</v>
      </c>
      <c r="U36" s="648" t="s">
        <v>80</v>
      </c>
      <c r="V36" s="642">
        <v>0</v>
      </c>
      <c r="W36" s="642">
        <v>0</v>
      </c>
      <c r="X36" s="642">
        <v>0.92826525658471626</v>
      </c>
      <c r="Y36" s="642">
        <v>0</v>
      </c>
      <c r="Z36" s="642">
        <v>0</v>
      </c>
      <c r="AA36" s="642">
        <v>0</v>
      </c>
      <c r="AB36" s="642">
        <v>47.227858114444189</v>
      </c>
      <c r="AC36" s="642">
        <v>0</v>
      </c>
      <c r="AD36" s="642">
        <v>0</v>
      </c>
      <c r="AE36" s="642">
        <v>17.293312779197663</v>
      </c>
      <c r="AF36" s="642">
        <v>108.09916343666818</v>
      </c>
      <c r="AG36" s="642">
        <v>4.9369795689122755</v>
      </c>
      <c r="AH36" s="642">
        <v>137.38519988829395</v>
      </c>
      <c r="AI36" s="642">
        <v>27.91071693101145</v>
      </c>
      <c r="AJ36" s="642">
        <v>0</v>
      </c>
      <c r="AK36" s="650">
        <v>343.78149597511242</v>
      </c>
    </row>
    <row r="37" spans="3:37" ht="13.5">
      <c r="C37" s="428" t="s">
        <v>81</v>
      </c>
      <c r="D37" s="431">
        <v>0</v>
      </c>
      <c r="E37" s="421">
        <v>0</v>
      </c>
      <c r="F37" s="431">
        <v>2.3181271880740835</v>
      </c>
      <c r="G37" s="431">
        <v>62.553452404821357</v>
      </c>
      <c r="H37" s="421">
        <v>0</v>
      </c>
      <c r="I37" s="421">
        <v>0</v>
      </c>
      <c r="J37" s="431">
        <v>3.0090868580403627</v>
      </c>
      <c r="K37" s="431">
        <v>2.5363417285398034E-2</v>
      </c>
      <c r="L37" s="431">
        <v>0</v>
      </c>
      <c r="M37" s="431">
        <v>1.27660106948615</v>
      </c>
      <c r="N37" s="431">
        <v>8.6055350400994808</v>
      </c>
      <c r="O37" s="431">
        <v>0.68093940948821108</v>
      </c>
      <c r="P37" s="431">
        <v>146.08879967332064</v>
      </c>
      <c r="Q37" s="431">
        <v>3.3506823845440552</v>
      </c>
      <c r="R37" s="431">
        <v>0</v>
      </c>
      <c r="S37" s="429">
        <v>227.90858744515972</v>
      </c>
      <c r="U37" s="648" t="s">
        <v>81</v>
      </c>
      <c r="V37" s="642">
        <v>0</v>
      </c>
      <c r="W37" s="642">
        <v>0</v>
      </c>
      <c r="X37" s="642">
        <v>0.55102356567889155</v>
      </c>
      <c r="Y37" s="642">
        <v>0</v>
      </c>
      <c r="Z37" s="642">
        <v>0</v>
      </c>
      <c r="AA37" s="642">
        <v>0</v>
      </c>
      <c r="AB37" s="642">
        <v>6.5361621549849476</v>
      </c>
      <c r="AC37" s="642">
        <v>2.5363417285398034E-2</v>
      </c>
      <c r="AD37" s="642">
        <v>0</v>
      </c>
      <c r="AE37" s="642">
        <v>5.3379988256415478</v>
      </c>
      <c r="AF37" s="642">
        <v>15.069021727073199</v>
      </c>
      <c r="AG37" s="642">
        <v>1.4375946320597892</v>
      </c>
      <c r="AH37" s="642">
        <v>112.31243747223964</v>
      </c>
      <c r="AI37" s="642">
        <v>14.972206075305797</v>
      </c>
      <c r="AJ37" s="642">
        <v>0</v>
      </c>
      <c r="AK37" s="650">
        <v>156.24180787026921</v>
      </c>
    </row>
    <row r="38" spans="3:37" ht="13.5">
      <c r="C38" s="428" t="s">
        <v>82</v>
      </c>
      <c r="D38" s="431">
        <v>0</v>
      </c>
      <c r="E38" s="421">
        <v>0</v>
      </c>
      <c r="F38" s="431">
        <v>27.219719362233906</v>
      </c>
      <c r="G38" s="431">
        <v>0.81069667111944488</v>
      </c>
      <c r="H38" s="421">
        <v>0</v>
      </c>
      <c r="I38" s="421">
        <v>0</v>
      </c>
      <c r="J38" s="431">
        <v>5.0054618408177598</v>
      </c>
      <c r="K38" s="431">
        <v>0</v>
      </c>
      <c r="L38" s="431">
        <v>3.2629555410385191</v>
      </c>
      <c r="M38" s="431">
        <v>1.6544830022845812E-2</v>
      </c>
      <c r="N38" s="431">
        <v>0</v>
      </c>
      <c r="O38" s="431">
        <v>6.051975379409523E-2</v>
      </c>
      <c r="P38" s="431">
        <v>5.5235547180923223</v>
      </c>
      <c r="Q38" s="431">
        <v>0</v>
      </c>
      <c r="R38" s="431">
        <v>0</v>
      </c>
      <c r="S38" s="429">
        <v>41.899452717118898</v>
      </c>
      <c r="U38" s="648" t="s">
        <v>82</v>
      </c>
      <c r="V38" s="642">
        <v>0</v>
      </c>
      <c r="W38" s="642">
        <v>0</v>
      </c>
      <c r="X38" s="642">
        <v>0.67158967449506357</v>
      </c>
      <c r="Y38" s="642">
        <v>0</v>
      </c>
      <c r="Z38" s="642">
        <v>0</v>
      </c>
      <c r="AA38" s="642">
        <v>0</v>
      </c>
      <c r="AB38" s="642">
        <v>5.0054618408177598</v>
      </c>
      <c r="AC38" s="642">
        <v>0</v>
      </c>
      <c r="AD38" s="642">
        <v>35.167200828266267</v>
      </c>
      <c r="AE38" s="642">
        <v>0.86765586771995196</v>
      </c>
      <c r="AF38" s="642">
        <v>0</v>
      </c>
      <c r="AG38" s="642">
        <v>2.1874070050904897</v>
      </c>
      <c r="AH38" s="642">
        <v>5.6657335511185538</v>
      </c>
      <c r="AI38" s="642">
        <v>0</v>
      </c>
      <c r="AJ38" s="642">
        <v>0.44339331184266689</v>
      </c>
      <c r="AK38" s="650">
        <v>50.008442079350758</v>
      </c>
    </row>
    <row r="39" spans="3:37" ht="13.5">
      <c r="C39" s="428" t="s">
        <v>357</v>
      </c>
      <c r="D39" s="421">
        <v>0</v>
      </c>
      <c r="E39" s="421">
        <v>0</v>
      </c>
      <c r="F39" s="421">
        <v>0</v>
      </c>
      <c r="G39" s="421">
        <v>0</v>
      </c>
      <c r="H39" s="421">
        <v>0</v>
      </c>
      <c r="I39" s="421">
        <v>0</v>
      </c>
      <c r="J39" s="421">
        <v>0</v>
      </c>
      <c r="K39" s="421">
        <v>0</v>
      </c>
      <c r="L39" s="421">
        <v>0</v>
      </c>
      <c r="M39" s="421">
        <v>0</v>
      </c>
      <c r="N39" s="421">
        <v>0</v>
      </c>
      <c r="O39" s="421">
        <v>0</v>
      </c>
      <c r="P39" s="431">
        <v>0.44999999999999996</v>
      </c>
      <c r="Q39" s="421">
        <v>0</v>
      </c>
      <c r="R39" s="421">
        <v>0</v>
      </c>
      <c r="S39" s="429">
        <v>0.44999999999999996</v>
      </c>
      <c r="U39" s="648" t="s">
        <v>357</v>
      </c>
      <c r="V39" s="642">
        <v>0</v>
      </c>
      <c r="W39" s="642">
        <v>0</v>
      </c>
      <c r="X39" s="642">
        <v>0</v>
      </c>
      <c r="Y39" s="642">
        <v>0</v>
      </c>
      <c r="Z39" s="642">
        <v>0</v>
      </c>
      <c r="AA39" s="642">
        <v>0</v>
      </c>
      <c r="AB39" s="642">
        <v>0</v>
      </c>
      <c r="AC39" s="642">
        <v>0</v>
      </c>
      <c r="AD39" s="642">
        <v>0</v>
      </c>
      <c r="AE39" s="642">
        <v>0</v>
      </c>
      <c r="AF39" s="642">
        <v>0</v>
      </c>
      <c r="AG39" s="642">
        <v>0</v>
      </c>
      <c r="AH39" s="642">
        <v>6</v>
      </c>
      <c r="AI39" s="642">
        <v>0</v>
      </c>
      <c r="AJ39" s="642">
        <v>0</v>
      </c>
      <c r="AK39" s="650">
        <v>6</v>
      </c>
    </row>
    <row r="40" spans="3:37" ht="13.5">
      <c r="C40" s="424" t="s">
        <v>83</v>
      </c>
      <c r="D40" s="425">
        <v>3.6733927919712848</v>
      </c>
      <c r="E40" s="425">
        <v>0</v>
      </c>
      <c r="F40" s="425">
        <v>271.01966816424783</v>
      </c>
      <c r="G40" s="425">
        <v>255.79122918902203</v>
      </c>
      <c r="H40" s="425">
        <v>0</v>
      </c>
      <c r="I40" s="425">
        <v>0</v>
      </c>
      <c r="J40" s="425">
        <v>116.96131138117599</v>
      </c>
      <c r="K40" s="425">
        <v>1.7266732887522405</v>
      </c>
      <c r="L40" s="425">
        <v>25.166558400865188</v>
      </c>
      <c r="M40" s="425">
        <v>5.238424175077693</v>
      </c>
      <c r="N40" s="425">
        <v>75.083762899489528</v>
      </c>
      <c r="O40" s="425">
        <v>2.8624530156397006</v>
      </c>
      <c r="P40" s="425">
        <v>541.90719860025752</v>
      </c>
      <c r="Q40" s="425">
        <v>34.744016552062419</v>
      </c>
      <c r="R40" s="425">
        <v>3.1559026365968594</v>
      </c>
      <c r="S40" s="425">
        <v>1337.3305910951583</v>
      </c>
      <c r="U40" s="646" t="s">
        <v>83</v>
      </c>
      <c r="V40" s="647">
        <v>1.5000162600463405</v>
      </c>
      <c r="W40" s="647">
        <v>0</v>
      </c>
      <c r="X40" s="647">
        <v>11.642988856720871</v>
      </c>
      <c r="Y40" s="647">
        <v>0</v>
      </c>
      <c r="Z40" s="647">
        <v>0</v>
      </c>
      <c r="AA40" s="647">
        <v>0</v>
      </c>
      <c r="AB40" s="647">
        <v>72.998047331393281</v>
      </c>
      <c r="AC40" s="647">
        <v>4.1448350868904589</v>
      </c>
      <c r="AD40" s="647">
        <v>56.30488079443672</v>
      </c>
      <c r="AE40" s="647">
        <v>108.92560601395611</v>
      </c>
      <c r="AF40" s="647">
        <v>123.16818516374138</v>
      </c>
      <c r="AG40" s="647">
        <v>8.5623521411059595</v>
      </c>
      <c r="AH40" s="647">
        <v>512.22753841958684</v>
      </c>
      <c r="AI40" s="647">
        <v>68.423763504668656</v>
      </c>
      <c r="AJ40" s="647">
        <v>16.512616402642333</v>
      </c>
      <c r="AK40" s="647">
        <v>984.4108299751889</v>
      </c>
    </row>
    <row r="41" spans="3:37" ht="13.5">
      <c r="C41" s="420" t="s">
        <v>84</v>
      </c>
      <c r="D41" s="431">
        <v>0</v>
      </c>
      <c r="E41" s="421">
        <v>0</v>
      </c>
      <c r="F41" s="431">
        <v>100.05515171814793</v>
      </c>
      <c r="G41" s="431">
        <v>11.196954266678716</v>
      </c>
      <c r="H41" s="421">
        <v>0</v>
      </c>
      <c r="I41" s="421">
        <v>0</v>
      </c>
      <c r="J41" s="421">
        <v>0</v>
      </c>
      <c r="K41" s="421">
        <v>0</v>
      </c>
      <c r="L41" s="431">
        <v>0</v>
      </c>
      <c r="M41" s="431">
        <v>0</v>
      </c>
      <c r="N41" s="421">
        <v>0</v>
      </c>
      <c r="O41" s="421">
        <v>0</v>
      </c>
      <c r="P41" s="421">
        <v>0</v>
      </c>
      <c r="Q41" s="421">
        <v>0</v>
      </c>
      <c r="R41" s="431">
        <v>3.9154347726113912</v>
      </c>
      <c r="S41" s="429">
        <v>115.16754075743803</v>
      </c>
      <c r="U41" s="641" t="s">
        <v>84</v>
      </c>
      <c r="V41" s="642">
        <v>0</v>
      </c>
      <c r="W41" s="642">
        <v>0</v>
      </c>
      <c r="X41" s="642">
        <v>57.953190468871433</v>
      </c>
      <c r="Y41" s="642">
        <v>0.51452681198611927</v>
      </c>
      <c r="Z41" s="642">
        <v>0</v>
      </c>
      <c r="AA41" s="642">
        <v>0</v>
      </c>
      <c r="AB41" s="642">
        <v>0</v>
      </c>
      <c r="AC41" s="642">
        <v>0</v>
      </c>
      <c r="AD41" s="642">
        <v>30.108432000732424</v>
      </c>
      <c r="AE41" s="642">
        <v>0</v>
      </c>
      <c r="AF41" s="642">
        <v>0</v>
      </c>
      <c r="AG41" s="642">
        <v>0</v>
      </c>
      <c r="AH41" s="642">
        <v>0</v>
      </c>
      <c r="AI41" s="642">
        <v>0</v>
      </c>
      <c r="AJ41" s="642">
        <v>20.543554244995118</v>
      </c>
      <c r="AK41" s="650">
        <v>109.1197035265851</v>
      </c>
    </row>
    <row r="42" spans="3:37" ht="13.5">
      <c r="C42" s="424" t="s">
        <v>85</v>
      </c>
      <c r="D42" s="425">
        <v>3.6733927919712848</v>
      </c>
      <c r="E42" s="425">
        <v>0</v>
      </c>
      <c r="F42" s="425">
        <v>371.07481988239573</v>
      </c>
      <c r="G42" s="425">
        <v>266.98818345570078</v>
      </c>
      <c r="H42" s="425">
        <v>0</v>
      </c>
      <c r="I42" s="425">
        <v>0</v>
      </c>
      <c r="J42" s="425">
        <v>116.96131138117599</v>
      </c>
      <c r="K42" s="425">
        <v>1.7266732887522405</v>
      </c>
      <c r="L42" s="425">
        <v>25.166558400865188</v>
      </c>
      <c r="M42" s="425">
        <v>5.238424175077693</v>
      </c>
      <c r="N42" s="425">
        <v>75.083762899489528</v>
      </c>
      <c r="O42" s="425">
        <v>2.8624530156397006</v>
      </c>
      <c r="P42" s="425">
        <v>541.90719860025752</v>
      </c>
      <c r="Q42" s="425">
        <v>34.744016552062419</v>
      </c>
      <c r="R42" s="425">
        <v>7.071337409208251</v>
      </c>
      <c r="S42" s="425">
        <v>1452.4981318525963</v>
      </c>
      <c r="U42" s="646" t="s">
        <v>85</v>
      </c>
      <c r="V42" s="647">
        <v>1.5000162600463405</v>
      </c>
      <c r="W42" s="647">
        <v>0</v>
      </c>
      <c r="X42" s="647">
        <v>69.596179325592303</v>
      </c>
      <c r="Y42" s="647">
        <v>0.51452681198611927</v>
      </c>
      <c r="Z42" s="647">
        <v>0</v>
      </c>
      <c r="AA42" s="647">
        <v>0</v>
      </c>
      <c r="AB42" s="647">
        <v>72.998047331393281</v>
      </c>
      <c r="AC42" s="647">
        <v>4.1448350868904589</v>
      </c>
      <c r="AD42" s="647">
        <v>86.413312795169148</v>
      </c>
      <c r="AE42" s="647">
        <v>108.92560601395611</v>
      </c>
      <c r="AF42" s="647">
        <v>123.16818516374138</v>
      </c>
      <c r="AG42" s="647">
        <v>8.5623521411059595</v>
      </c>
      <c r="AH42" s="647">
        <v>512.22753841958684</v>
      </c>
      <c r="AI42" s="647">
        <v>68.423763504668656</v>
      </c>
      <c r="AJ42" s="647">
        <v>37.056170647637451</v>
      </c>
      <c r="AK42" s="647">
        <v>1093.530533501774</v>
      </c>
    </row>
    <row r="43" spans="3:37" ht="13">
      <c r="C43" s="412"/>
      <c r="D43" s="430"/>
      <c r="E43" s="430"/>
      <c r="F43" s="430"/>
      <c r="G43" s="430"/>
      <c r="H43" s="430"/>
      <c r="I43" s="430"/>
      <c r="J43" s="430"/>
      <c r="K43" s="430"/>
      <c r="L43" s="430"/>
      <c r="M43" s="430"/>
      <c r="N43" s="430"/>
      <c r="O43" s="430"/>
      <c r="P43" s="430"/>
      <c r="Q43" s="430"/>
      <c r="R43" s="430"/>
      <c r="S43" s="430"/>
      <c r="U43" s="636"/>
      <c r="V43" s="636"/>
      <c r="W43" s="636"/>
      <c r="X43" s="636"/>
      <c r="Y43" s="636"/>
      <c r="Z43" s="636"/>
      <c r="AA43" s="636"/>
      <c r="AB43" s="636"/>
      <c r="AC43" s="636"/>
      <c r="AD43" s="636"/>
      <c r="AE43" s="636"/>
      <c r="AF43" s="636"/>
      <c r="AG43" s="636"/>
      <c r="AH43" s="636"/>
      <c r="AI43" s="636"/>
      <c r="AJ43" s="636"/>
      <c r="AK43" s="636"/>
    </row>
    <row r="44" spans="3:37" ht="13">
      <c r="C44" s="636"/>
      <c r="D44" s="636"/>
      <c r="E44" s="636"/>
      <c r="F44" s="636"/>
      <c r="G44" s="636"/>
      <c r="H44" s="636"/>
      <c r="I44" s="636"/>
      <c r="J44" s="636"/>
      <c r="K44" s="636"/>
      <c r="L44" s="636"/>
      <c r="M44" s="636"/>
      <c r="N44" s="636"/>
      <c r="O44" s="636"/>
      <c r="P44" s="636"/>
      <c r="Q44" s="636"/>
      <c r="R44" s="636"/>
      <c r="S44" s="636"/>
      <c r="U44" s="636"/>
      <c r="V44" s="636"/>
      <c r="W44" s="636"/>
      <c r="X44" s="636"/>
      <c r="Y44" s="636"/>
      <c r="Z44" s="636"/>
      <c r="AA44" s="636"/>
      <c r="AB44" s="636"/>
      <c r="AC44" s="636"/>
      <c r="AD44" s="636"/>
      <c r="AE44" s="636"/>
      <c r="AF44" s="636"/>
      <c r="AG44" s="636"/>
      <c r="AH44" s="636"/>
      <c r="AI44" s="636"/>
      <c r="AJ44" s="636"/>
      <c r="AK44" s="636"/>
    </row>
  </sheetData>
  <mergeCells count="28">
    <mergeCell ref="AK10:AK11"/>
    <mergeCell ref="W10:W11"/>
    <mergeCell ref="X10:X11"/>
    <mergeCell ref="Y10:Y11"/>
    <mergeCell ref="Z10:Z11"/>
    <mergeCell ref="AA10:AA11"/>
    <mergeCell ref="AB10:AG10"/>
    <mergeCell ref="S10:S11"/>
    <mergeCell ref="U10:U11"/>
    <mergeCell ref="AH10:AH11"/>
    <mergeCell ref="AI10:AI11"/>
    <mergeCell ref="AJ10:AJ11"/>
    <mergeCell ref="C2:S2"/>
    <mergeCell ref="U2:AK2"/>
    <mergeCell ref="V10:V11"/>
    <mergeCell ref="C8:S8"/>
    <mergeCell ref="U8:AK8"/>
    <mergeCell ref="C10:C11"/>
    <mergeCell ref="D10:D11"/>
    <mergeCell ref="E10:E11"/>
    <mergeCell ref="F10:F11"/>
    <mergeCell ref="G10:G11"/>
    <mergeCell ref="H10:H11"/>
    <mergeCell ref="I10:I11"/>
    <mergeCell ref="J10:O10"/>
    <mergeCell ref="P10:P11"/>
    <mergeCell ref="Q10:Q11"/>
    <mergeCell ref="R10:R11"/>
  </mergeCells>
  <conditionalFormatting sqref="AG11">
    <cfRule type="cellIs" dxfId="13279" priority="64" operator="equal">
      <formula>0</formula>
    </cfRule>
  </conditionalFormatting>
  <conditionalFormatting sqref="AH15:AK17 W15:AA17 AB15:AG16 AI12:AK14 Y12:Y14 V12:V17 V18:AK18">
    <cfRule type="cellIs" dxfId="13278" priority="108" operator="equal">
      <formula>0</formula>
    </cfRule>
  </conditionalFormatting>
  <conditionalFormatting sqref="AH12:AH17">
    <cfRule type="cellIs" dxfId="13277" priority="109" operator="equal">
      <formula>0</formula>
    </cfRule>
  </conditionalFormatting>
  <conditionalFormatting sqref="V12:W17 Z12:AA17">
    <cfRule type="cellIs" dxfId="13276" priority="110" operator="equal">
      <formula>0</formula>
    </cfRule>
  </conditionalFormatting>
  <conditionalFormatting sqref="X12:X17">
    <cfRule type="cellIs" dxfId="13275" priority="111" operator="equal">
      <formula>0</formula>
    </cfRule>
  </conditionalFormatting>
  <conditionalFormatting sqref="AB15:AB17">
    <cfRule type="cellIs" dxfId="13274" priority="112" operator="equal">
      <formula>0</formula>
    </cfRule>
  </conditionalFormatting>
  <conditionalFormatting sqref="AB12:AB17 AC12:AG12">
    <cfRule type="cellIs" dxfId="13273" priority="113" operator="equal">
      <formula>0</formula>
    </cfRule>
  </conditionalFormatting>
  <conditionalFormatting sqref="AC15:AC17">
    <cfRule type="cellIs" dxfId="13272" priority="114" operator="equal">
      <formula>0</formula>
    </cfRule>
  </conditionalFormatting>
  <conditionalFormatting sqref="AC12:AC17">
    <cfRule type="cellIs" dxfId="13271" priority="115" operator="equal">
      <formula>0</formula>
    </cfRule>
  </conditionalFormatting>
  <conditionalFormatting sqref="AD15:AD17">
    <cfRule type="cellIs" dxfId="13270" priority="116" operator="equal">
      <formula>0</formula>
    </cfRule>
  </conditionalFormatting>
  <conditionalFormatting sqref="AD12:AD17">
    <cfRule type="cellIs" dxfId="13269" priority="117" operator="equal">
      <formula>0</formula>
    </cfRule>
  </conditionalFormatting>
  <conditionalFormatting sqref="AE15:AE17">
    <cfRule type="cellIs" dxfId="13268" priority="118" operator="equal">
      <formula>0</formula>
    </cfRule>
  </conditionalFormatting>
  <conditionalFormatting sqref="AE12:AE17">
    <cfRule type="cellIs" dxfId="13267" priority="119" operator="equal">
      <formula>0</formula>
    </cfRule>
  </conditionalFormatting>
  <conditionalFormatting sqref="AF15:AF17">
    <cfRule type="cellIs" dxfId="13266" priority="120" operator="equal">
      <formula>0</formula>
    </cfRule>
  </conditionalFormatting>
  <conditionalFormatting sqref="AF12:AF17">
    <cfRule type="cellIs" dxfId="13265" priority="121" operator="equal">
      <formula>0</formula>
    </cfRule>
  </conditionalFormatting>
  <conditionalFormatting sqref="AG15:AG17">
    <cfRule type="cellIs" dxfId="13264" priority="122" operator="equal">
      <formula>0</formula>
    </cfRule>
  </conditionalFormatting>
  <conditionalFormatting sqref="AG12:AG17">
    <cfRule type="cellIs" dxfId="13263" priority="123" operator="equal">
      <formula>0</formula>
    </cfRule>
  </conditionalFormatting>
  <conditionalFormatting sqref="V12:AK18">
    <cfRule type="expression" dxfId="13262" priority="124">
      <formula>LEN(TRIM(V12))=0</formula>
    </cfRule>
  </conditionalFormatting>
  <conditionalFormatting sqref="AD15:AD16">
    <cfRule type="cellIs" dxfId="13261" priority="125" operator="equal">
      <formula>0</formula>
    </cfRule>
  </conditionalFormatting>
  <conditionalFormatting sqref="AE15:AE16">
    <cfRule type="cellIs" dxfId="13260" priority="126" operator="equal">
      <formula>0</formula>
    </cfRule>
  </conditionalFormatting>
  <conditionalFormatting sqref="AF15:AG15">
    <cfRule type="cellIs" dxfId="13259" priority="127" operator="equal">
      <formula>0</formula>
    </cfRule>
  </conditionalFormatting>
  <conditionalFormatting sqref="AF16:AG16">
    <cfRule type="cellIs" dxfId="13258" priority="128" operator="equal">
      <formula>0</formula>
    </cfRule>
  </conditionalFormatting>
  <conditionalFormatting sqref="W29:Y29 V30:Y31 Z29:AA31 V25:AA28 AB25:AJ31 V20:AK20 V32:AJ32 V21:AA22 AK21:AK32 AH21:AJ22">
    <cfRule type="cellIs" dxfId="13257" priority="102" operator="equal">
      <formula>0</formula>
    </cfRule>
  </conditionalFormatting>
  <conditionalFormatting sqref="V29">
    <cfRule type="cellIs" dxfId="13256" priority="103" operator="equal">
      <formula>0</formula>
    </cfRule>
  </conditionalFormatting>
  <conditionalFormatting sqref="V20:AK20 V25:AJ32 V21:AA22 AK21:AK32 AH21:AJ22">
    <cfRule type="expression" dxfId="13255" priority="104">
      <formula>LEN(TRIM(V20))=0</formula>
    </cfRule>
  </conditionalFormatting>
  <conditionalFormatting sqref="V23:AJ24">
    <cfRule type="cellIs" dxfId="13254" priority="105" operator="equal">
      <formula>0</formula>
    </cfRule>
  </conditionalFormatting>
  <conditionalFormatting sqref="AH23:AH24">
    <cfRule type="cellIs" dxfId="13253" priority="106" operator="equal">
      <formula>0</formula>
    </cfRule>
  </conditionalFormatting>
  <conditionalFormatting sqref="V23:AJ24">
    <cfRule type="expression" dxfId="13252" priority="107">
      <formula>LEN(TRIM(V23))=0</formula>
    </cfRule>
  </conditionalFormatting>
  <conditionalFormatting sqref="AB21:AG22">
    <cfRule type="cellIs" dxfId="13251" priority="100" operator="equal">
      <formula>0</formula>
    </cfRule>
  </conditionalFormatting>
  <conditionalFormatting sqref="AB21:AG22">
    <cfRule type="expression" dxfId="13250" priority="101">
      <formula>LEN(TRIM(AB21))=0</formula>
    </cfRule>
  </conditionalFormatting>
  <conditionalFormatting sqref="V35:AJ40 AK34:AK39 AK41 V34:AA34 AH34:AJ34">
    <cfRule type="cellIs" dxfId="13249" priority="94" operator="equal">
      <formula>0</formula>
    </cfRule>
  </conditionalFormatting>
  <conditionalFormatting sqref="V41:AJ41">
    <cfRule type="cellIs" dxfId="13248" priority="95" operator="equal">
      <formula>0</formula>
    </cfRule>
  </conditionalFormatting>
  <conditionalFormatting sqref="V35:AK39 V41:AK41 V40:AJ40 V34:AA34 AH34:AK34">
    <cfRule type="expression" dxfId="13247" priority="96">
      <formula>LEN(TRIM(V34))=0</formula>
    </cfRule>
  </conditionalFormatting>
  <conditionalFormatting sqref="V41:AJ41">
    <cfRule type="cellIs" dxfId="13246" priority="97" operator="equal">
      <formula>0</formula>
    </cfRule>
  </conditionalFormatting>
  <conditionalFormatting sqref="V42:AJ42">
    <cfRule type="cellIs" dxfId="13245" priority="98" operator="equal">
      <formula>0</formula>
    </cfRule>
  </conditionalFormatting>
  <conditionalFormatting sqref="V42:AJ42">
    <cfRule type="expression" dxfId="13244" priority="99">
      <formula>LEN(TRIM(V42))=0</formula>
    </cfRule>
  </conditionalFormatting>
  <conditionalFormatting sqref="AK42">
    <cfRule type="cellIs" dxfId="13243" priority="92" operator="equal">
      <formula>0</formula>
    </cfRule>
  </conditionalFormatting>
  <conditionalFormatting sqref="AK42">
    <cfRule type="expression" dxfId="13242" priority="93">
      <formula>LEN(TRIM(AK42))=0</formula>
    </cfRule>
  </conditionalFormatting>
  <conditionalFormatting sqref="AK40">
    <cfRule type="cellIs" dxfId="13241" priority="90" operator="equal">
      <formula>0</formula>
    </cfRule>
  </conditionalFormatting>
  <conditionalFormatting sqref="AK40">
    <cfRule type="expression" dxfId="13240" priority="91">
      <formula>LEN(TRIM(AK40))=0</formula>
    </cfRule>
  </conditionalFormatting>
  <conditionalFormatting sqref="AB34:AG34">
    <cfRule type="cellIs" dxfId="13239" priority="88" operator="equal">
      <formula>0</formula>
    </cfRule>
  </conditionalFormatting>
  <conditionalFormatting sqref="AB34:AG34">
    <cfRule type="expression" dxfId="13238" priority="89">
      <formula>LEN(TRIM(AB34))=0</formula>
    </cfRule>
  </conditionalFormatting>
  <conditionalFormatting sqref="AB11">
    <cfRule type="cellIs" dxfId="13237" priority="69" operator="equal">
      <formula>0</formula>
    </cfRule>
  </conditionalFormatting>
  <conditionalFormatting sqref="AC11">
    <cfRule type="cellIs" dxfId="13236" priority="68" operator="equal">
      <formula>0</formula>
    </cfRule>
  </conditionalFormatting>
  <conditionalFormatting sqref="AD11">
    <cfRule type="cellIs" dxfId="13235" priority="67" operator="equal">
      <formula>0</formula>
    </cfRule>
  </conditionalFormatting>
  <conditionalFormatting sqref="AE11">
    <cfRule type="cellIs" dxfId="13234" priority="66" operator="equal">
      <formula>0</formula>
    </cfRule>
  </conditionalFormatting>
  <conditionalFormatting sqref="AF11">
    <cfRule type="cellIs" dxfId="13233" priority="65" operator="equal">
      <formula>0</formula>
    </cfRule>
  </conditionalFormatting>
  <conditionalFormatting sqref="M23">
    <cfRule type="expression" dxfId="13232" priority="63">
      <formula>LEN(TRIM(M23))=0</formula>
    </cfRule>
  </conditionalFormatting>
  <conditionalFormatting sqref="M23">
    <cfRule type="cellIs" dxfId="13231" priority="62" operator="equal">
      <formula>0</formula>
    </cfRule>
  </conditionalFormatting>
  <conditionalFormatting sqref="R27:R28">
    <cfRule type="expression" dxfId="13230" priority="61">
      <formula>LEN(TRIM(R27))=0</formula>
    </cfRule>
  </conditionalFormatting>
  <conditionalFormatting sqref="R27:R28">
    <cfRule type="cellIs" dxfId="13229" priority="60" operator="equal">
      <formula>0</formula>
    </cfRule>
  </conditionalFormatting>
  <conditionalFormatting sqref="D27:Q28">
    <cfRule type="expression" dxfId="13228" priority="59">
      <formula>LEN(TRIM(D27))=0</formula>
    </cfRule>
  </conditionalFormatting>
  <conditionalFormatting sqref="D27:Q28">
    <cfRule type="cellIs" dxfId="13227" priority="58" operator="equal">
      <formula>0</formula>
    </cfRule>
  </conditionalFormatting>
  <conditionalFormatting sqref="S20:S31">
    <cfRule type="expression" dxfId="13226" priority="57">
      <formula>LEN(TRIM(S20))=0</formula>
    </cfRule>
  </conditionalFormatting>
  <conditionalFormatting sqref="S20:S31">
    <cfRule type="cellIs" dxfId="13225" priority="56" operator="equal">
      <formula>0</formula>
    </cfRule>
  </conditionalFormatting>
  <conditionalFormatting sqref="R20:R26 R29:R31">
    <cfRule type="expression" dxfId="13224" priority="55">
      <formula>LEN(TRIM(R20))=0</formula>
    </cfRule>
  </conditionalFormatting>
  <conditionalFormatting sqref="R20:R26 R29:R31">
    <cfRule type="cellIs" dxfId="13223" priority="54" operator="equal">
      <formula>0</formula>
    </cfRule>
  </conditionalFormatting>
  <conditionalFormatting sqref="D42:S42">
    <cfRule type="expression" dxfId="13222" priority="53">
      <formula>LEN(TRIM(D42))=0</formula>
    </cfRule>
  </conditionalFormatting>
  <conditionalFormatting sqref="D42:S42">
    <cfRule type="cellIs" dxfId="13221" priority="52" operator="equal">
      <formula>0</formula>
    </cfRule>
  </conditionalFormatting>
  <conditionalFormatting sqref="D41:R41">
    <cfRule type="cellIs" dxfId="13220" priority="51" operator="equal">
      <formula>0</formula>
    </cfRule>
  </conditionalFormatting>
  <conditionalFormatting sqref="D34:S41">
    <cfRule type="expression" dxfId="13219" priority="50">
      <formula>LEN(TRIM(D34))=0</formula>
    </cfRule>
  </conditionalFormatting>
  <conditionalFormatting sqref="D41:S41">
    <cfRule type="cellIs" dxfId="13218" priority="49" operator="equal">
      <formula>0</formula>
    </cfRule>
  </conditionalFormatting>
  <conditionalFormatting sqref="S34:S41 D34:R40">
    <cfRule type="cellIs" dxfId="13217" priority="48" operator="equal">
      <formula>0</formula>
    </cfRule>
  </conditionalFormatting>
  <conditionalFormatting sqref="D32:S32">
    <cfRule type="expression" dxfId="13216" priority="47">
      <formula>LEN(TRIM(D32))=0</formula>
    </cfRule>
  </conditionalFormatting>
  <conditionalFormatting sqref="D32:S32">
    <cfRule type="cellIs" dxfId="13215" priority="46" operator="equal">
      <formula>0</formula>
    </cfRule>
  </conditionalFormatting>
  <conditionalFormatting sqref="D18:S18">
    <cfRule type="expression" dxfId="13214" priority="45">
      <formula>LEN(TRIM(D18))=0</formula>
    </cfRule>
  </conditionalFormatting>
  <conditionalFormatting sqref="D18:S18">
    <cfRule type="cellIs" dxfId="13213" priority="44" operator="equal">
      <formula>0</formula>
    </cfRule>
  </conditionalFormatting>
  <conditionalFormatting sqref="N16:O16">
    <cfRule type="cellIs" dxfId="13212" priority="43" operator="equal">
      <formula>0</formula>
    </cfRule>
  </conditionalFormatting>
  <conditionalFormatting sqref="N15:O15">
    <cfRule type="cellIs" dxfId="13211" priority="42" operator="equal">
      <formula>0</formula>
    </cfRule>
  </conditionalFormatting>
  <conditionalFormatting sqref="M15:M16">
    <cfRule type="cellIs" dxfId="13210" priority="41" operator="equal">
      <formula>0</formula>
    </cfRule>
  </conditionalFormatting>
  <conditionalFormatting sqref="L15:L16">
    <cfRule type="cellIs" dxfId="13209" priority="40" operator="equal">
      <formula>0</formula>
    </cfRule>
  </conditionalFormatting>
  <conditionalFormatting sqref="D15:O16 R15:R16">
    <cfRule type="expression" dxfId="13208" priority="39">
      <formula>LEN(TRIM(D15))=0</formula>
    </cfRule>
  </conditionalFormatting>
  <conditionalFormatting sqref="O15:O16">
    <cfRule type="cellIs" dxfId="13207" priority="38" operator="equal">
      <formula>0</formula>
    </cfRule>
  </conditionalFormatting>
  <conditionalFormatting sqref="N15:N16">
    <cfRule type="cellIs" dxfId="13206" priority="37" operator="equal">
      <formula>0</formula>
    </cfRule>
  </conditionalFormatting>
  <conditionalFormatting sqref="M15:M16">
    <cfRule type="cellIs" dxfId="13205" priority="36" operator="equal">
      <formula>0</formula>
    </cfRule>
  </conditionalFormatting>
  <conditionalFormatting sqref="L15:L16">
    <cfRule type="cellIs" dxfId="13204" priority="35" operator="equal">
      <formula>0</formula>
    </cfRule>
  </conditionalFormatting>
  <conditionalFormatting sqref="K15:K16">
    <cfRule type="cellIs" dxfId="13203" priority="34" operator="equal">
      <formula>0</formula>
    </cfRule>
  </conditionalFormatting>
  <conditionalFormatting sqref="J15:J16">
    <cfRule type="cellIs" dxfId="13202" priority="33" operator="equal">
      <formula>0</formula>
    </cfRule>
  </conditionalFormatting>
  <conditionalFormatting sqref="D15:O16 R15:R16">
    <cfRule type="cellIs" dxfId="13201" priority="32" operator="equal">
      <formula>0</formula>
    </cfRule>
  </conditionalFormatting>
  <conditionalFormatting sqref="D24:Q24 D23:L23 N23:Q23">
    <cfRule type="expression" dxfId="13200" priority="31">
      <formula>LEN(TRIM(D23))=0</formula>
    </cfRule>
  </conditionalFormatting>
  <conditionalFormatting sqref="D24:Q24 D23:L23 N23:Q23">
    <cfRule type="cellIs" dxfId="13199" priority="30" operator="equal">
      <formula>0</formula>
    </cfRule>
  </conditionalFormatting>
  <conditionalFormatting sqref="S12:S17">
    <cfRule type="expression" dxfId="13198" priority="29">
      <formula>LEN(TRIM(S12))=0</formula>
    </cfRule>
  </conditionalFormatting>
  <conditionalFormatting sqref="S12:S17">
    <cfRule type="cellIs" dxfId="13197" priority="28" operator="equal">
      <formula>0</formula>
    </cfRule>
  </conditionalFormatting>
  <conditionalFormatting sqref="D12:P12 P13:P17 R12 Q12:Q17">
    <cfRule type="expression" dxfId="13196" priority="27">
      <formula>LEN(TRIM(D12))=0</formula>
    </cfRule>
  </conditionalFormatting>
  <conditionalFormatting sqref="K12">
    <cfRule type="cellIs" dxfId="13195" priority="26" operator="equal">
      <formula>0</formula>
    </cfRule>
  </conditionalFormatting>
  <conditionalFormatting sqref="J12">
    <cfRule type="cellIs" dxfId="13194" priority="25" operator="equal">
      <formula>0</formula>
    </cfRule>
  </conditionalFormatting>
  <conditionalFormatting sqref="L12:O12">
    <cfRule type="cellIs" dxfId="13193" priority="24" operator="equal">
      <formula>0</formula>
    </cfRule>
  </conditionalFormatting>
  <conditionalFormatting sqref="I12">
    <cfRule type="cellIs" dxfId="13192" priority="23" operator="equal">
      <formula>0</formula>
    </cfRule>
  </conditionalFormatting>
  <conditionalFormatting sqref="H12">
    <cfRule type="cellIs" dxfId="13191" priority="22" operator="equal">
      <formula>0</formula>
    </cfRule>
  </conditionalFormatting>
  <conditionalFormatting sqref="D12:G12 R12 P12:Q17">
    <cfRule type="cellIs" dxfId="13190" priority="21" operator="equal">
      <formula>0</formula>
    </cfRule>
  </conditionalFormatting>
  <conditionalFormatting sqref="D13:O14 D17:O17 R17 R13:R14 D25:Q26 D29:Q31">
    <cfRule type="expression" dxfId="13189" priority="20">
      <formula>LEN(TRIM(D13))=0</formula>
    </cfRule>
  </conditionalFormatting>
  <conditionalFormatting sqref="O13:O14">
    <cfRule type="cellIs" dxfId="13188" priority="19" operator="equal">
      <formula>0</formula>
    </cfRule>
  </conditionalFormatting>
  <conditionalFormatting sqref="O17 O33">
    <cfRule type="cellIs" dxfId="13187" priority="18" operator="equal">
      <formula>0</formula>
    </cfRule>
  </conditionalFormatting>
  <conditionalFormatting sqref="N13:N14">
    <cfRule type="cellIs" dxfId="13186" priority="17" operator="equal">
      <formula>0</formula>
    </cfRule>
  </conditionalFormatting>
  <conditionalFormatting sqref="N17 N33">
    <cfRule type="cellIs" dxfId="13185" priority="16" operator="equal">
      <formula>0</formula>
    </cfRule>
  </conditionalFormatting>
  <conditionalFormatting sqref="M13:M14">
    <cfRule type="cellIs" dxfId="13184" priority="15" operator="equal">
      <formula>0</formula>
    </cfRule>
  </conditionalFormatting>
  <conditionalFormatting sqref="M17 M33">
    <cfRule type="cellIs" dxfId="13183" priority="14" operator="equal">
      <formula>0</formula>
    </cfRule>
  </conditionalFormatting>
  <conditionalFormatting sqref="L13:L14">
    <cfRule type="cellIs" dxfId="13182" priority="13" operator="equal">
      <formula>0</formula>
    </cfRule>
  </conditionalFormatting>
  <conditionalFormatting sqref="L17 L33">
    <cfRule type="cellIs" dxfId="13181" priority="12" operator="equal">
      <formula>0</formula>
    </cfRule>
  </conditionalFormatting>
  <conditionalFormatting sqref="K13:K14">
    <cfRule type="cellIs" dxfId="13180" priority="11" operator="equal">
      <formula>0</formula>
    </cfRule>
  </conditionalFormatting>
  <conditionalFormatting sqref="K17 K33">
    <cfRule type="cellIs" dxfId="13179" priority="10" operator="equal">
      <formula>0</formula>
    </cfRule>
  </conditionalFormatting>
  <conditionalFormatting sqref="J13:J14">
    <cfRule type="cellIs" dxfId="13178" priority="9" operator="equal">
      <formula>0</formula>
    </cfRule>
  </conditionalFormatting>
  <conditionalFormatting sqref="J17 J33">
    <cfRule type="cellIs" dxfId="13177" priority="8" operator="equal">
      <formula>0</formula>
    </cfRule>
  </conditionalFormatting>
  <conditionalFormatting sqref="O11">
    <cfRule type="cellIs" dxfId="13176" priority="7" operator="equal">
      <formula>0</formula>
    </cfRule>
  </conditionalFormatting>
  <conditionalFormatting sqref="D29:Q31">
    <cfRule type="cellIs" dxfId="13175" priority="6" operator="equal">
      <formula>0</formula>
    </cfRule>
  </conditionalFormatting>
  <conditionalFormatting sqref="F13:F14">
    <cfRule type="cellIs" dxfId="13174" priority="5" operator="equal">
      <formula>0</formula>
    </cfRule>
  </conditionalFormatting>
  <conditionalFormatting sqref="D13:E14 H13:I14">
    <cfRule type="cellIs" dxfId="13173" priority="4" operator="equal">
      <formula>0</formula>
    </cfRule>
  </conditionalFormatting>
  <conditionalFormatting sqref="R13:R14 R17 G13:G14 D17:I17 J11:N11 P33:R33 D33:I33 D30:Q31 D25:Q26">
    <cfRule type="cellIs" dxfId="13172" priority="3" operator="equal">
      <formula>0</formula>
    </cfRule>
  </conditionalFormatting>
  <conditionalFormatting sqref="D20:Q22">
    <cfRule type="expression" dxfId="13171" priority="2">
      <formula>LEN(TRIM(D20))=0</formula>
    </cfRule>
  </conditionalFormatting>
  <conditionalFormatting sqref="S33 D20:Q22 D19:S19">
    <cfRule type="cellIs" dxfId="13170" priority="1"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0677-68F3-4018-BF10-9C3F84E85909}">
  <dimension ref="C2:AK478"/>
  <sheetViews>
    <sheetView topLeftCell="A7" zoomScale="70" zoomScaleNormal="70" workbookViewId="0">
      <selection activeCell="C8" sqref="C8:S8"/>
    </sheetView>
  </sheetViews>
  <sheetFormatPr baseColWidth="10" defaultColWidth="8.90625" defaultRowHeight="12.5"/>
  <cols>
    <col min="1" max="2" width="8.90625" style="458"/>
    <col min="3" max="3" width="56.36328125" style="458" customWidth="1"/>
    <col min="4" max="19" width="11.54296875" style="458" customWidth="1"/>
    <col min="20" max="20" width="8.90625" style="635"/>
    <col min="21" max="21" width="57.08984375" style="458" customWidth="1"/>
    <col min="22" max="37" width="11.54296875" style="458" customWidth="1"/>
    <col min="38" max="16384" width="8.90625" style="458"/>
  </cols>
  <sheetData>
    <row r="2" spans="3:37" ht="34.5">
      <c r="C2" s="698" t="s">
        <v>527</v>
      </c>
      <c r="D2" s="698"/>
      <c r="E2" s="698"/>
      <c r="F2" s="698"/>
      <c r="G2" s="698"/>
      <c r="H2" s="698"/>
      <c r="I2" s="698"/>
      <c r="J2" s="698"/>
      <c r="K2" s="698"/>
      <c r="L2" s="698"/>
      <c r="M2" s="698"/>
      <c r="N2" s="698"/>
      <c r="O2" s="698"/>
      <c r="P2" s="698"/>
      <c r="Q2" s="698"/>
      <c r="R2" s="698"/>
      <c r="S2" s="698"/>
      <c r="U2" s="698" t="s">
        <v>528</v>
      </c>
      <c r="V2" s="698"/>
      <c r="W2" s="698"/>
      <c r="X2" s="698"/>
      <c r="Y2" s="698"/>
      <c r="Z2" s="698"/>
      <c r="AA2" s="698"/>
      <c r="AB2" s="698"/>
      <c r="AC2" s="698"/>
      <c r="AD2" s="698"/>
      <c r="AE2" s="698"/>
      <c r="AF2" s="698"/>
      <c r="AG2" s="698"/>
      <c r="AH2" s="698"/>
      <c r="AI2" s="698"/>
      <c r="AJ2" s="698"/>
      <c r="AK2" s="698"/>
    </row>
    <row r="3" spans="3:37" ht="13">
      <c r="C3" s="636"/>
      <c r="D3" s="636"/>
      <c r="E3" s="636"/>
      <c r="F3" s="636"/>
      <c r="G3" s="636"/>
      <c r="H3" s="636"/>
      <c r="I3" s="636"/>
      <c r="J3" s="636"/>
      <c r="K3" s="636"/>
      <c r="L3" s="636"/>
      <c r="M3" s="636"/>
      <c r="N3" s="636"/>
      <c r="O3" s="636"/>
      <c r="P3" s="636"/>
      <c r="Q3" s="636"/>
      <c r="R3" s="636"/>
      <c r="S3" s="636"/>
      <c r="U3" s="636"/>
      <c r="V3" s="636"/>
      <c r="W3" s="636"/>
      <c r="X3" s="636"/>
      <c r="Y3" s="636"/>
      <c r="Z3" s="636"/>
      <c r="AA3" s="636"/>
      <c r="AB3" s="636"/>
      <c r="AC3" s="636"/>
      <c r="AD3" s="636"/>
      <c r="AE3" s="636"/>
      <c r="AF3" s="636"/>
      <c r="AG3" s="636"/>
      <c r="AH3" s="636"/>
      <c r="AI3" s="636"/>
      <c r="AJ3" s="636"/>
      <c r="AK3" s="636"/>
    </row>
    <row r="4" spans="3:37" ht="18">
      <c r="C4" s="637" t="s">
        <v>341</v>
      </c>
      <c r="D4" s="637" t="s">
        <v>529</v>
      </c>
      <c r="E4" s="636"/>
      <c r="F4" s="636"/>
      <c r="G4" s="636"/>
      <c r="H4" s="638"/>
      <c r="I4" s="636"/>
      <c r="J4" s="636"/>
      <c r="K4" s="636"/>
      <c r="L4" s="636"/>
      <c r="M4" s="636"/>
      <c r="N4" s="636"/>
      <c r="O4" s="636"/>
      <c r="P4" s="636"/>
      <c r="Q4" s="636"/>
      <c r="R4" s="636"/>
      <c r="S4" s="636"/>
      <c r="U4" s="637" t="s">
        <v>341</v>
      </c>
      <c r="V4" s="637" t="s">
        <v>529</v>
      </c>
      <c r="W4" s="636"/>
      <c r="X4" s="636"/>
      <c r="Y4" s="636"/>
      <c r="Z4" s="638"/>
      <c r="AA4" s="636"/>
      <c r="AB4" s="636"/>
      <c r="AC4" s="636"/>
      <c r="AD4" s="636"/>
      <c r="AE4" s="636"/>
      <c r="AF4" s="636"/>
      <c r="AG4" s="636"/>
      <c r="AH4" s="636"/>
      <c r="AI4" s="636"/>
      <c r="AJ4" s="636"/>
      <c r="AK4" s="636"/>
    </row>
    <row r="5" spans="3:37" ht="18">
      <c r="C5" s="637" t="s">
        <v>344</v>
      </c>
      <c r="D5" s="637" t="s">
        <v>345</v>
      </c>
      <c r="E5" s="636"/>
      <c r="F5" s="636"/>
      <c r="G5" s="636"/>
      <c r="H5" s="636"/>
      <c r="I5" s="636"/>
      <c r="J5" s="636"/>
      <c r="K5" s="636"/>
      <c r="L5" s="636"/>
      <c r="M5" s="636"/>
      <c r="N5" s="636"/>
      <c r="O5" s="636"/>
      <c r="P5" s="636"/>
      <c r="Q5" s="636"/>
      <c r="R5" s="636"/>
      <c r="S5" s="636"/>
      <c r="U5" s="637" t="s">
        <v>344</v>
      </c>
      <c r="V5" s="637" t="s">
        <v>345</v>
      </c>
      <c r="W5" s="636"/>
      <c r="X5" s="636"/>
      <c r="Y5" s="636"/>
      <c r="Z5" s="636"/>
      <c r="AA5" s="636"/>
      <c r="AB5" s="636"/>
      <c r="AC5" s="636"/>
      <c r="AD5" s="636"/>
      <c r="AE5" s="636"/>
      <c r="AF5" s="636"/>
      <c r="AG5" s="636"/>
      <c r="AH5" s="636"/>
      <c r="AI5" s="636"/>
      <c r="AJ5" s="636"/>
      <c r="AK5" s="636"/>
    </row>
    <row r="6" spans="3:37" ht="18">
      <c r="C6" s="637" t="s">
        <v>530</v>
      </c>
      <c r="D6" s="639">
        <v>44909</v>
      </c>
      <c r="E6" s="636"/>
      <c r="F6" s="636"/>
      <c r="G6" s="636"/>
      <c r="H6" s="636"/>
      <c r="I6" s="636"/>
      <c r="J6" s="636"/>
      <c r="K6" s="636"/>
      <c r="L6" s="636"/>
      <c r="M6" s="636"/>
      <c r="N6" s="636"/>
      <c r="O6" s="636"/>
      <c r="P6" s="636"/>
      <c r="Q6" s="636"/>
      <c r="R6" s="636"/>
      <c r="S6" s="636"/>
      <c r="U6" s="637" t="s">
        <v>530</v>
      </c>
      <c r="V6" s="639">
        <v>44909</v>
      </c>
      <c r="W6" s="636"/>
      <c r="X6" s="636"/>
      <c r="Y6" s="636"/>
      <c r="Z6" s="636"/>
      <c r="AA6" s="636"/>
      <c r="AB6" s="636"/>
      <c r="AC6" s="636"/>
      <c r="AD6" s="636"/>
      <c r="AE6" s="636"/>
      <c r="AF6" s="636"/>
      <c r="AG6" s="636"/>
      <c r="AH6" s="636"/>
      <c r="AI6" s="636"/>
      <c r="AJ6" s="636"/>
      <c r="AK6" s="636"/>
    </row>
    <row r="7" spans="3:37" ht="13">
      <c r="C7" s="636"/>
      <c r="D7" s="636"/>
      <c r="E7" s="636"/>
      <c r="F7" s="636"/>
      <c r="G7" s="636"/>
      <c r="H7" s="636"/>
      <c r="I7" s="636"/>
      <c r="J7" s="636"/>
      <c r="K7" s="636"/>
      <c r="L7" s="636"/>
      <c r="M7" s="636"/>
      <c r="N7" s="636"/>
      <c r="O7" s="636"/>
      <c r="P7" s="636"/>
      <c r="Q7" s="636"/>
      <c r="R7" s="636"/>
      <c r="S7" s="636"/>
      <c r="U7" s="636"/>
      <c r="V7" s="636"/>
      <c r="W7" s="636"/>
      <c r="X7" s="636"/>
      <c r="Y7" s="636"/>
      <c r="Z7" s="636"/>
      <c r="AA7" s="636"/>
      <c r="AB7" s="636"/>
      <c r="AC7" s="636"/>
      <c r="AD7" s="636"/>
      <c r="AE7" s="636"/>
      <c r="AF7" s="636"/>
      <c r="AG7" s="636"/>
      <c r="AH7" s="636"/>
      <c r="AI7" s="636"/>
      <c r="AJ7" s="636"/>
      <c r="AK7" s="636"/>
    </row>
    <row r="8" spans="3:37" ht="22.5">
      <c r="C8" s="699" t="s">
        <v>410</v>
      </c>
      <c r="D8" s="699"/>
      <c r="E8" s="699"/>
      <c r="F8" s="699"/>
      <c r="G8" s="699"/>
      <c r="H8" s="699"/>
      <c r="I8" s="699"/>
      <c r="J8" s="699"/>
      <c r="K8" s="699"/>
      <c r="L8" s="699"/>
      <c r="M8" s="699"/>
      <c r="N8" s="699"/>
      <c r="O8" s="699"/>
      <c r="P8" s="699"/>
      <c r="Q8" s="699"/>
      <c r="R8" s="699"/>
      <c r="S8" s="699"/>
      <c r="U8" s="699" t="s">
        <v>410</v>
      </c>
      <c r="V8" s="699"/>
      <c r="W8" s="699"/>
      <c r="X8" s="699"/>
      <c r="Y8" s="699"/>
      <c r="Z8" s="699"/>
      <c r="AA8" s="699"/>
      <c r="AB8" s="699"/>
      <c r="AC8" s="699"/>
      <c r="AD8" s="699"/>
      <c r="AE8" s="699"/>
      <c r="AF8" s="699"/>
      <c r="AG8" s="699"/>
      <c r="AH8" s="699"/>
      <c r="AI8" s="699"/>
      <c r="AJ8" s="699"/>
      <c r="AK8" s="699"/>
    </row>
    <row r="9" spans="3:37" ht="13">
      <c r="C9" s="636"/>
      <c r="D9" s="636"/>
      <c r="E9" s="636"/>
      <c r="F9" s="636"/>
      <c r="G9" s="636"/>
      <c r="H9" s="636"/>
      <c r="I9" s="636"/>
      <c r="J9" s="636"/>
      <c r="K9" s="636"/>
      <c r="L9" s="636"/>
      <c r="M9" s="636"/>
      <c r="N9" s="636"/>
      <c r="O9" s="636"/>
      <c r="P9" s="636"/>
      <c r="Q9" s="636"/>
      <c r="R9" s="636"/>
      <c r="S9" s="636"/>
      <c r="U9" s="636"/>
      <c r="V9" s="636"/>
      <c r="W9" s="636"/>
      <c r="X9" s="636"/>
      <c r="Y9" s="636"/>
      <c r="Z9" s="636"/>
      <c r="AA9" s="636"/>
      <c r="AB9" s="636"/>
      <c r="AC9" s="636"/>
      <c r="AD9" s="636"/>
      <c r="AE9" s="636"/>
      <c r="AF9" s="636"/>
      <c r="AG9" s="636"/>
      <c r="AH9" s="636"/>
      <c r="AI9" s="636"/>
      <c r="AJ9" s="636"/>
      <c r="AK9" s="636"/>
    </row>
    <row r="10" spans="3:37" ht="13" customHeight="1">
      <c r="C10" s="700" t="s">
        <v>128</v>
      </c>
      <c r="D10" s="701" t="s">
        <v>42</v>
      </c>
      <c r="E10" s="701" t="s">
        <v>52</v>
      </c>
      <c r="F10" s="701" t="s">
        <v>53</v>
      </c>
      <c r="G10" s="701" t="s">
        <v>32</v>
      </c>
      <c r="H10" s="701" t="s">
        <v>20</v>
      </c>
      <c r="I10" s="701" t="s">
        <v>55</v>
      </c>
      <c r="J10" s="701" t="s">
        <v>56</v>
      </c>
      <c r="K10" s="701"/>
      <c r="L10" s="701"/>
      <c r="M10" s="701"/>
      <c r="N10" s="701"/>
      <c r="O10" s="701"/>
      <c r="P10" s="701" t="s">
        <v>57</v>
      </c>
      <c r="Q10" s="701" t="s">
        <v>58</v>
      </c>
      <c r="R10" s="701" t="s">
        <v>31</v>
      </c>
      <c r="S10" s="701" t="s">
        <v>10</v>
      </c>
      <c r="U10" s="700" t="s">
        <v>128</v>
      </c>
      <c r="V10" s="701" t="s">
        <v>42</v>
      </c>
      <c r="W10" s="701" t="s">
        <v>52</v>
      </c>
      <c r="X10" s="701" t="s">
        <v>53</v>
      </c>
      <c r="Y10" s="701" t="s">
        <v>32</v>
      </c>
      <c r="Z10" s="701" t="s">
        <v>20</v>
      </c>
      <c r="AA10" s="701" t="s">
        <v>55</v>
      </c>
      <c r="AB10" s="701" t="s">
        <v>56</v>
      </c>
      <c r="AC10" s="701"/>
      <c r="AD10" s="701"/>
      <c r="AE10" s="701"/>
      <c r="AF10" s="701"/>
      <c r="AG10" s="701"/>
      <c r="AH10" s="701" t="s">
        <v>57</v>
      </c>
      <c r="AI10" s="701" t="s">
        <v>58</v>
      </c>
      <c r="AJ10" s="701" t="s">
        <v>31</v>
      </c>
      <c r="AK10" s="701" t="s">
        <v>10</v>
      </c>
    </row>
    <row r="11" spans="3:37" ht="46">
      <c r="C11" s="700"/>
      <c r="D11" s="701"/>
      <c r="E11" s="701"/>
      <c r="F11" s="701"/>
      <c r="G11" s="701"/>
      <c r="H11" s="701"/>
      <c r="I11" s="701"/>
      <c r="J11" s="640" t="s">
        <v>338</v>
      </c>
      <c r="K11" s="640" t="s">
        <v>40</v>
      </c>
      <c r="L11" s="640" t="s">
        <v>346</v>
      </c>
      <c r="M11" s="640" t="s">
        <v>347</v>
      </c>
      <c r="N11" s="640" t="s">
        <v>348</v>
      </c>
      <c r="O11" s="640" t="s">
        <v>349</v>
      </c>
      <c r="P11" s="701"/>
      <c r="Q11" s="701"/>
      <c r="R11" s="701"/>
      <c r="S11" s="701"/>
      <c r="U11" s="700"/>
      <c r="V11" s="701"/>
      <c r="W11" s="701"/>
      <c r="X11" s="701"/>
      <c r="Y11" s="701"/>
      <c r="Z11" s="701"/>
      <c r="AA11" s="701"/>
      <c r="AB11" s="640" t="s">
        <v>338</v>
      </c>
      <c r="AC11" s="640" t="s">
        <v>40</v>
      </c>
      <c r="AD11" s="640" t="s">
        <v>346</v>
      </c>
      <c r="AE11" s="640" t="s">
        <v>347</v>
      </c>
      <c r="AF11" s="640" t="s">
        <v>348</v>
      </c>
      <c r="AG11" s="640" t="s">
        <v>349</v>
      </c>
      <c r="AH11" s="701"/>
      <c r="AI11" s="701"/>
      <c r="AJ11" s="701"/>
      <c r="AK11" s="701"/>
    </row>
    <row r="12" spans="3:37" ht="13.5">
      <c r="C12" s="641" t="s">
        <v>59</v>
      </c>
      <c r="D12" s="642">
        <v>0</v>
      </c>
      <c r="E12" s="643">
        <v>11.595553697293001</v>
      </c>
      <c r="F12" s="643">
        <v>0</v>
      </c>
      <c r="G12" s="642">
        <v>0.16688824999999999</v>
      </c>
      <c r="H12" s="643">
        <v>1209.1260212121213</v>
      </c>
      <c r="I12" s="643">
        <v>104.3311966741735</v>
      </c>
      <c r="J12" s="643">
        <v>120.67293388888889</v>
      </c>
      <c r="K12" s="643">
        <v>34.900820833333334</v>
      </c>
      <c r="L12" s="643">
        <v>0</v>
      </c>
      <c r="M12" s="643">
        <v>9.0983058888888646</v>
      </c>
      <c r="N12" s="643">
        <v>31.698274999999999</v>
      </c>
      <c r="O12" s="643">
        <v>7.5310224999999988</v>
      </c>
      <c r="P12" s="644">
        <v>0</v>
      </c>
      <c r="Q12" s="643">
        <v>0</v>
      </c>
      <c r="R12" s="643">
        <v>0</v>
      </c>
      <c r="S12" s="645">
        <v>1529.1210179446989</v>
      </c>
      <c r="U12" s="641" t="s">
        <v>59</v>
      </c>
      <c r="V12" s="642">
        <v>0</v>
      </c>
      <c r="W12" s="643">
        <v>11.595553697293001</v>
      </c>
      <c r="X12" s="643">
        <v>0</v>
      </c>
      <c r="Y12" s="642">
        <v>0.16688824999999999</v>
      </c>
      <c r="Z12" s="643">
        <v>1209.1260212121213</v>
      </c>
      <c r="AA12" s="643">
        <v>104.3311966741735</v>
      </c>
      <c r="AB12" s="643">
        <v>120.67293388888889</v>
      </c>
      <c r="AC12" s="643">
        <v>34.900820833333334</v>
      </c>
      <c r="AD12" s="643">
        <v>0</v>
      </c>
      <c r="AE12" s="643">
        <v>9.0983058888888646</v>
      </c>
      <c r="AF12" s="643">
        <v>31.698274999999999</v>
      </c>
      <c r="AG12" s="643">
        <v>7.5310224999999988</v>
      </c>
      <c r="AH12" s="644">
        <v>0</v>
      </c>
      <c r="AI12" s="643">
        <v>0</v>
      </c>
      <c r="AJ12" s="643">
        <v>0</v>
      </c>
      <c r="AK12" s="645">
        <v>1529.1210179446989</v>
      </c>
    </row>
    <row r="13" spans="3:37" ht="13.5">
      <c r="C13" s="641" t="s">
        <v>60</v>
      </c>
      <c r="D13" s="642">
        <v>84.727843146635564</v>
      </c>
      <c r="E13" s="643">
        <v>578.28949050727442</v>
      </c>
      <c r="F13" s="643">
        <v>535.06419481988212</v>
      </c>
      <c r="G13" s="642">
        <v>568.75187100000016</v>
      </c>
      <c r="H13" s="643">
        <v>0</v>
      </c>
      <c r="I13" s="643">
        <v>0</v>
      </c>
      <c r="J13" s="643">
        <v>2.7591261111111107</v>
      </c>
      <c r="K13" s="643">
        <v>0</v>
      </c>
      <c r="L13" s="643">
        <v>19.183841687689483</v>
      </c>
      <c r="M13" s="643">
        <v>0</v>
      </c>
      <c r="N13" s="643">
        <v>0</v>
      </c>
      <c r="O13" s="643">
        <v>0</v>
      </c>
      <c r="P13" s="644">
        <v>15.63175</v>
      </c>
      <c r="Q13" s="643">
        <v>0</v>
      </c>
      <c r="R13" s="643">
        <v>0</v>
      </c>
      <c r="S13" s="645">
        <v>1804.4081172725928</v>
      </c>
      <c r="U13" s="641" t="s">
        <v>60</v>
      </c>
      <c r="V13" s="642">
        <v>84.727843146635564</v>
      </c>
      <c r="W13" s="643">
        <v>578.28949050727442</v>
      </c>
      <c r="X13" s="643">
        <v>535.06419481988212</v>
      </c>
      <c r="Y13" s="642">
        <v>568.75187100000016</v>
      </c>
      <c r="Z13" s="643">
        <v>0</v>
      </c>
      <c r="AA13" s="643">
        <v>0</v>
      </c>
      <c r="AB13" s="643">
        <v>2.7591261111111107</v>
      </c>
      <c r="AC13" s="643">
        <v>0</v>
      </c>
      <c r="AD13" s="643">
        <v>19.183841687689483</v>
      </c>
      <c r="AE13" s="643">
        <v>0</v>
      </c>
      <c r="AF13" s="643">
        <v>0</v>
      </c>
      <c r="AG13" s="643">
        <v>0</v>
      </c>
      <c r="AH13" s="644">
        <v>15.63175</v>
      </c>
      <c r="AI13" s="643">
        <v>0</v>
      </c>
      <c r="AJ13" s="643">
        <v>0</v>
      </c>
      <c r="AK13" s="645">
        <v>1804.4081172725928</v>
      </c>
    </row>
    <row r="14" spans="3:37" ht="13.5">
      <c r="C14" s="641" t="s">
        <v>61</v>
      </c>
      <c r="D14" s="642">
        <v>-4.7877500119999999E-2</v>
      </c>
      <c r="E14" s="643">
        <v>-1.599063909936</v>
      </c>
      <c r="F14" s="643">
        <v>-205.43265045753787</v>
      </c>
      <c r="G14" s="642">
        <v>-112.63352224999998</v>
      </c>
      <c r="H14" s="643">
        <v>0</v>
      </c>
      <c r="I14" s="643">
        <v>0</v>
      </c>
      <c r="J14" s="643">
        <v>-2.3667455555555552</v>
      </c>
      <c r="K14" s="643">
        <v>0</v>
      </c>
      <c r="L14" s="643">
        <v>-8.0445142984108866</v>
      </c>
      <c r="M14" s="643">
        <v>0</v>
      </c>
      <c r="N14" s="643">
        <v>0</v>
      </c>
      <c r="O14" s="643">
        <v>0</v>
      </c>
      <c r="P14" s="644">
        <v>-73.298799000000002</v>
      </c>
      <c r="Q14" s="643">
        <v>0</v>
      </c>
      <c r="R14" s="643">
        <v>0</v>
      </c>
      <c r="S14" s="645">
        <v>-403.42317297156029</v>
      </c>
      <c r="U14" s="641" t="s">
        <v>61</v>
      </c>
      <c r="V14" s="642">
        <v>-4.7877500119999999E-2</v>
      </c>
      <c r="W14" s="643">
        <v>-1.599063909936</v>
      </c>
      <c r="X14" s="643">
        <v>-205.43265045753787</v>
      </c>
      <c r="Y14" s="642">
        <v>-112.63352224999998</v>
      </c>
      <c r="Z14" s="643">
        <v>0</v>
      </c>
      <c r="AA14" s="643">
        <v>0</v>
      </c>
      <c r="AB14" s="643">
        <v>-2.3667455555555552</v>
      </c>
      <c r="AC14" s="643">
        <v>0</v>
      </c>
      <c r="AD14" s="643">
        <v>-8.0445142984108866</v>
      </c>
      <c r="AE14" s="643">
        <v>0</v>
      </c>
      <c r="AF14" s="643">
        <v>0</v>
      </c>
      <c r="AG14" s="643">
        <v>0</v>
      </c>
      <c r="AH14" s="644">
        <v>-73.298799000000002</v>
      </c>
      <c r="AI14" s="643">
        <v>0</v>
      </c>
      <c r="AJ14" s="643">
        <v>0</v>
      </c>
      <c r="AK14" s="645">
        <v>-403.42317297156029</v>
      </c>
    </row>
    <row r="15" spans="3:37" ht="13.5">
      <c r="C15" s="641" t="s">
        <v>62</v>
      </c>
      <c r="D15" s="642">
        <v>0</v>
      </c>
      <c r="E15" s="643">
        <v>0</v>
      </c>
      <c r="F15" s="643">
        <v>-19.747038815182684</v>
      </c>
      <c r="G15" s="642">
        <v>0</v>
      </c>
      <c r="H15" s="643">
        <v>0</v>
      </c>
      <c r="I15" s="643">
        <v>0</v>
      </c>
      <c r="J15" s="643">
        <v>0</v>
      </c>
      <c r="K15" s="643">
        <v>0</v>
      </c>
      <c r="L15" s="643">
        <v>0</v>
      </c>
      <c r="M15" s="643">
        <v>0</v>
      </c>
      <c r="N15" s="643">
        <v>0</v>
      </c>
      <c r="O15" s="643">
        <v>0</v>
      </c>
      <c r="P15" s="644">
        <v>0</v>
      </c>
      <c r="Q15" s="643">
        <v>0</v>
      </c>
      <c r="R15" s="643">
        <v>0</v>
      </c>
      <c r="S15" s="645">
        <v>-19.747038815182684</v>
      </c>
      <c r="U15" s="641" t="s">
        <v>62</v>
      </c>
      <c r="V15" s="642">
        <v>0</v>
      </c>
      <c r="W15" s="643">
        <v>0</v>
      </c>
      <c r="X15" s="643">
        <v>-19.747038815182684</v>
      </c>
      <c r="Y15" s="642">
        <v>0</v>
      </c>
      <c r="Z15" s="643">
        <v>0</v>
      </c>
      <c r="AA15" s="643">
        <v>0</v>
      </c>
      <c r="AB15" s="643">
        <v>0</v>
      </c>
      <c r="AC15" s="643">
        <v>0</v>
      </c>
      <c r="AD15" s="643">
        <v>0</v>
      </c>
      <c r="AE15" s="643">
        <v>0</v>
      </c>
      <c r="AF15" s="643">
        <v>0</v>
      </c>
      <c r="AG15" s="643">
        <v>0</v>
      </c>
      <c r="AH15" s="644">
        <v>0</v>
      </c>
      <c r="AI15" s="643">
        <v>0</v>
      </c>
      <c r="AJ15" s="643">
        <v>0</v>
      </c>
      <c r="AK15" s="645">
        <v>-19.747038815182684</v>
      </c>
    </row>
    <row r="16" spans="3:37" ht="13.5">
      <c r="C16" s="641" t="s">
        <v>63</v>
      </c>
      <c r="D16" s="642">
        <v>0</v>
      </c>
      <c r="E16" s="643">
        <v>0</v>
      </c>
      <c r="F16" s="643">
        <v>-82.452981163797972</v>
      </c>
      <c r="G16" s="642">
        <v>0</v>
      </c>
      <c r="H16" s="643">
        <v>0</v>
      </c>
      <c r="I16" s="643">
        <v>0</v>
      </c>
      <c r="J16" s="643">
        <v>0</v>
      </c>
      <c r="K16" s="643">
        <v>0</v>
      </c>
      <c r="L16" s="643">
        <v>0</v>
      </c>
      <c r="M16" s="643">
        <v>0</v>
      </c>
      <c r="N16" s="643">
        <v>0</v>
      </c>
      <c r="O16" s="643">
        <v>0</v>
      </c>
      <c r="P16" s="644">
        <v>0</v>
      </c>
      <c r="Q16" s="643">
        <v>0</v>
      </c>
      <c r="R16" s="643">
        <v>0</v>
      </c>
      <c r="S16" s="645">
        <v>-82.452981163797972</v>
      </c>
      <c r="U16" s="641" t="s">
        <v>63</v>
      </c>
      <c r="V16" s="642">
        <v>0</v>
      </c>
      <c r="W16" s="643">
        <v>0</v>
      </c>
      <c r="X16" s="643">
        <v>-82.452981163797972</v>
      </c>
      <c r="Y16" s="642">
        <v>0</v>
      </c>
      <c r="Z16" s="643">
        <v>0</v>
      </c>
      <c r="AA16" s="643">
        <v>0</v>
      </c>
      <c r="AB16" s="643">
        <v>0</v>
      </c>
      <c r="AC16" s="643">
        <v>0</v>
      </c>
      <c r="AD16" s="643">
        <v>0</v>
      </c>
      <c r="AE16" s="643">
        <v>0</v>
      </c>
      <c r="AF16" s="643">
        <v>0</v>
      </c>
      <c r="AG16" s="643">
        <v>0</v>
      </c>
      <c r="AH16" s="644">
        <v>0</v>
      </c>
      <c r="AI16" s="643">
        <v>0</v>
      </c>
      <c r="AJ16" s="643">
        <v>0</v>
      </c>
      <c r="AK16" s="645">
        <v>-82.452981163797972</v>
      </c>
    </row>
    <row r="17" spans="3:37" ht="13.5">
      <c r="C17" s="641" t="s">
        <v>64</v>
      </c>
      <c r="D17" s="642">
        <v>0.41223964042222283</v>
      </c>
      <c r="E17" s="643">
        <v>1.3710702337312513</v>
      </c>
      <c r="F17" s="643">
        <v>1.3272538188370329</v>
      </c>
      <c r="G17" s="642">
        <v>-19.664768250000005</v>
      </c>
      <c r="H17" s="643">
        <v>0</v>
      </c>
      <c r="I17" s="643">
        <v>0</v>
      </c>
      <c r="J17" s="643">
        <v>0</v>
      </c>
      <c r="K17" s="643">
        <v>0</v>
      </c>
      <c r="L17" s="643">
        <v>0</v>
      </c>
      <c r="M17" s="643">
        <v>0</v>
      </c>
      <c r="N17" s="643">
        <v>0</v>
      </c>
      <c r="O17" s="643">
        <v>0</v>
      </c>
      <c r="P17" s="644">
        <v>0</v>
      </c>
      <c r="Q17" s="643">
        <v>0</v>
      </c>
      <c r="R17" s="643">
        <v>0</v>
      </c>
      <c r="S17" s="645">
        <v>-16.554204557009498</v>
      </c>
      <c r="U17" s="641" t="s">
        <v>64</v>
      </c>
      <c r="V17" s="642">
        <v>0.41223964042222283</v>
      </c>
      <c r="W17" s="643">
        <v>1.3710702337312513</v>
      </c>
      <c r="X17" s="643">
        <v>1.3272538188370329</v>
      </c>
      <c r="Y17" s="642">
        <v>-19.664768250000005</v>
      </c>
      <c r="Z17" s="643">
        <v>0</v>
      </c>
      <c r="AA17" s="643">
        <v>0</v>
      </c>
      <c r="AB17" s="643">
        <v>0</v>
      </c>
      <c r="AC17" s="643">
        <v>0</v>
      </c>
      <c r="AD17" s="643">
        <v>0</v>
      </c>
      <c r="AE17" s="643">
        <v>0</v>
      </c>
      <c r="AF17" s="643">
        <v>0</v>
      </c>
      <c r="AG17" s="643">
        <v>0</v>
      </c>
      <c r="AH17" s="644">
        <v>0</v>
      </c>
      <c r="AI17" s="643">
        <v>0</v>
      </c>
      <c r="AJ17" s="643">
        <v>0</v>
      </c>
      <c r="AK17" s="645">
        <v>-16.554204557009498</v>
      </c>
    </row>
    <row r="18" spans="3:37" ht="13.5">
      <c r="C18" s="646" t="s">
        <v>65</v>
      </c>
      <c r="D18" s="647">
        <v>85.092205286937784</v>
      </c>
      <c r="E18" s="647">
        <v>589.65705052836267</v>
      </c>
      <c r="F18" s="647">
        <v>228.75877820220057</v>
      </c>
      <c r="G18" s="647">
        <v>436.62046875000021</v>
      </c>
      <c r="H18" s="647">
        <v>1209.1260212121213</v>
      </c>
      <c r="I18" s="647">
        <v>104.3311966741735</v>
      </c>
      <c r="J18" s="647">
        <v>121.06531444444445</v>
      </c>
      <c r="K18" s="647">
        <v>34.900820833333334</v>
      </c>
      <c r="L18" s="647">
        <v>11.139327389278597</v>
      </c>
      <c r="M18" s="647">
        <v>9.0983058888888646</v>
      </c>
      <c r="N18" s="647">
        <v>31.698274999999999</v>
      </c>
      <c r="O18" s="647">
        <v>7.5310224999999988</v>
      </c>
      <c r="P18" s="647">
        <v>-57.667049000000006</v>
      </c>
      <c r="Q18" s="647">
        <v>0</v>
      </c>
      <c r="R18" s="647">
        <v>0</v>
      </c>
      <c r="S18" s="647">
        <v>2811.351737709741</v>
      </c>
      <c r="U18" s="646" t="s">
        <v>65</v>
      </c>
      <c r="V18" s="647">
        <v>85.092205286937784</v>
      </c>
      <c r="W18" s="647">
        <v>589.65705052836267</v>
      </c>
      <c r="X18" s="647">
        <v>228.75877820220057</v>
      </c>
      <c r="Y18" s="647">
        <v>436.62046875000021</v>
      </c>
      <c r="Z18" s="647">
        <v>1209.1260212121213</v>
      </c>
      <c r="AA18" s="647">
        <v>104.3311966741735</v>
      </c>
      <c r="AB18" s="647">
        <v>121.06531444444445</v>
      </c>
      <c r="AC18" s="647">
        <v>34.900820833333334</v>
      </c>
      <c r="AD18" s="647">
        <v>11.139327389278597</v>
      </c>
      <c r="AE18" s="647">
        <v>9.0983058888888646</v>
      </c>
      <c r="AF18" s="647">
        <v>31.698274999999999</v>
      </c>
      <c r="AG18" s="647">
        <v>7.5310224999999988</v>
      </c>
      <c r="AH18" s="647">
        <v>-57.667049000000006</v>
      </c>
      <c r="AI18" s="647">
        <v>0</v>
      </c>
      <c r="AJ18" s="647">
        <v>0</v>
      </c>
      <c r="AK18" s="647">
        <v>2811.351737709741</v>
      </c>
    </row>
    <row r="19" spans="3:37" ht="13">
      <c r="C19" s="636"/>
      <c r="D19" s="636"/>
      <c r="E19" s="636"/>
      <c r="F19" s="636"/>
      <c r="G19" s="636"/>
      <c r="H19" s="636"/>
      <c r="I19" s="636"/>
      <c r="J19" s="636"/>
      <c r="K19" s="636"/>
      <c r="L19" s="636"/>
      <c r="M19" s="636"/>
      <c r="N19" s="636"/>
      <c r="O19" s="636"/>
      <c r="P19" s="636"/>
      <c r="Q19" s="636"/>
      <c r="R19" s="636"/>
      <c r="S19" s="636"/>
      <c r="U19" s="636"/>
      <c r="V19" s="636"/>
      <c r="W19" s="636"/>
      <c r="X19" s="636"/>
      <c r="Y19" s="636"/>
      <c r="Z19" s="636"/>
      <c r="AA19" s="636"/>
      <c r="AB19" s="636"/>
      <c r="AC19" s="636"/>
      <c r="AD19" s="636"/>
      <c r="AE19" s="636"/>
      <c r="AF19" s="636"/>
      <c r="AG19" s="636"/>
      <c r="AH19" s="636"/>
      <c r="AI19" s="636"/>
      <c r="AJ19" s="636"/>
      <c r="AK19" s="636"/>
    </row>
    <row r="20" spans="3:37" ht="13.5">
      <c r="C20" s="648" t="s">
        <v>67</v>
      </c>
      <c r="D20" s="642">
        <v>3.6318872869800032</v>
      </c>
      <c r="E20" s="649">
        <v>10.787016352492323</v>
      </c>
      <c r="F20" s="649">
        <v>16.441628886851458</v>
      </c>
      <c r="G20" s="642">
        <v>-1.2134132500000001</v>
      </c>
      <c r="H20" s="642">
        <v>0</v>
      </c>
      <c r="I20" s="642">
        <v>0</v>
      </c>
      <c r="J20" s="642">
        <v>0</v>
      </c>
      <c r="K20" s="642">
        <v>-0.39035819434438856</v>
      </c>
      <c r="L20" s="642">
        <v>0.39056626803326822</v>
      </c>
      <c r="M20" s="642">
        <v>0</v>
      </c>
      <c r="N20" s="642">
        <v>0</v>
      </c>
      <c r="O20" s="642">
        <v>0</v>
      </c>
      <c r="P20" s="642">
        <v>4.6315588193812136</v>
      </c>
      <c r="Q20" s="642">
        <v>0</v>
      </c>
      <c r="R20" s="642">
        <v>0</v>
      </c>
      <c r="S20" s="650">
        <v>34.278886169393878</v>
      </c>
      <c r="U20" s="648" t="s">
        <v>67</v>
      </c>
      <c r="V20" s="642">
        <v>3.6318872869800032</v>
      </c>
      <c r="W20" s="649">
        <v>10.787016352492323</v>
      </c>
      <c r="X20" s="649">
        <v>16.441628886851458</v>
      </c>
      <c r="Y20" s="642">
        <v>-1.2134132500000001</v>
      </c>
      <c r="Z20" s="642">
        <v>0</v>
      </c>
      <c r="AA20" s="642">
        <v>0</v>
      </c>
      <c r="AB20" s="642">
        <v>0</v>
      </c>
      <c r="AC20" s="642">
        <v>-0.39035819434438856</v>
      </c>
      <c r="AD20" s="642">
        <v>0.39056626803326822</v>
      </c>
      <c r="AE20" s="642">
        <v>0</v>
      </c>
      <c r="AF20" s="642">
        <v>0</v>
      </c>
      <c r="AG20" s="642">
        <v>0</v>
      </c>
      <c r="AH20" s="642">
        <v>4.6315588193812136</v>
      </c>
      <c r="AI20" s="642">
        <v>0</v>
      </c>
      <c r="AJ20" s="642">
        <v>0</v>
      </c>
      <c r="AK20" s="650">
        <v>34.278886169393878</v>
      </c>
    </row>
    <row r="21" spans="3:37" ht="13.5">
      <c r="C21" s="648" t="s">
        <v>350</v>
      </c>
      <c r="D21" s="642">
        <v>17.443753714840586</v>
      </c>
      <c r="E21" s="642">
        <v>0</v>
      </c>
      <c r="F21" s="642">
        <v>13.62708829242459</v>
      </c>
      <c r="G21" s="642">
        <v>62.931904980327779</v>
      </c>
      <c r="H21" s="642">
        <v>1209.1260212121213</v>
      </c>
      <c r="I21" s="642">
        <v>104.3311966741735</v>
      </c>
      <c r="J21" s="651">
        <v>17.794147670554988</v>
      </c>
      <c r="K21" s="651">
        <v>12.388866225144911</v>
      </c>
      <c r="L21" s="651">
        <v>0</v>
      </c>
      <c r="M21" s="651">
        <v>4.8474406033333333</v>
      </c>
      <c r="N21" s="651">
        <v>0</v>
      </c>
      <c r="O21" s="651">
        <v>1.1825205542668356</v>
      </c>
      <c r="P21" s="642">
        <v>-566.17178776794128</v>
      </c>
      <c r="Q21" s="642">
        <v>0</v>
      </c>
      <c r="R21" s="642">
        <v>0</v>
      </c>
      <c r="S21" s="650">
        <v>877.50115215924666</v>
      </c>
      <c r="U21" s="648" t="s">
        <v>350</v>
      </c>
      <c r="V21" s="642">
        <v>17.443753714840586</v>
      </c>
      <c r="W21" s="642">
        <v>0</v>
      </c>
      <c r="X21" s="642">
        <v>13.62708829242459</v>
      </c>
      <c r="Y21" s="642">
        <v>62.931904980327779</v>
      </c>
      <c r="Z21" s="642">
        <v>1209.1260212121213</v>
      </c>
      <c r="AA21" s="642">
        <v>104.3311966741735</v>
      </c>
      <c r="AB21" s="651">
        <v>17.794147670554988</v>
      </c>
      <c r="AC21" s="651">
        <v>12.388866225144911</v>
      </c>
      <c r="AD21" s="651">
        <v>0</v>
      </c>
      <c r="AE21" s="651">
        <v>4.8474406033333333</v>
      </c>
      <c r="AF21" s="651">
        <v>0</v>
      </c>
      <c r="AG21" s="651">
        <v>1.1825205542668356</v>
      </c>
      <c r="AH21" s="642">
        <v>-566.17178776794128</v>
      </c>
      <c r="AI21" s="642">
        <v>0</v>
      </c>
      <c r="AJ21" s="642">
        <v>0</v>
      </c>
      <c r="AK21" s="650">
        <v>877.50115215924666</v>
      </c>
    </row>
    <row r="22" spans="3:37" ht="13.5">
      <c r="C22" s="648" t="s">
        <v>351</v>
      </c>
      <c r="D22" s="642">
        <v>1.9109444951460814</v>
      </c>
      <c r="E22" s="642">
        <v>0</v>
      </c>
      <c r="F22" s="642">
        <v>0.26671791988070115</v>
      </c>
      <c r="G22" s="642">
        <v>20.764778769672215</v>
      </c>
      <c r="H22" s="642">
        <v>0</v>
      </c>
      <c r="I22" s="642">
        <v>0</v>
      </c>
      <c r="J22" s="651">
        <v>8.5293872999380707</v>
      </c>
      <c r="K22" s="651">
        <v>16.588146755013483</v>
      </c>
      <c r="L22" s="651">
        <v>0</v>
      </c>
      <c r="M22" s="651">
        <v>2.852532452222222</v>
      </c>
      <c r="N22" s="651">
        <v>0.25919055555555554</v>
      </c>
      <c r="O22" s="651">
        <v>3.5768259901376065</v>
      </c>
      <c r="P22" s="642">
        <v>0</v>
      </c>
      <c r="Q22" s="642">
        <v>-46.772072780777776</v>
      </c>
      <c r="R22" s="642">
        <v>0</v>
      </c>
      <c r="S22" s="650">
        <v>7.9764514567881601</v>
      </c>
      <c r="U22" s="648" t="s">
        <v>351</v>
      </c>
      <c r="V22" s="642">
        <v>1.9109444951460814</v>
      </c>
      <c r="W22" s="642">
        <v>0</v>
      </c>
      <c r="X22" s="642">
        <v>0.26671791988070115</v>
      </c>
      <c r="Y22" s="642">
        <v>20.764778769672215</v>
      </c>
      <c r="Z22" s="642">
        <v>0</v>
      </c>
      <c r="AA22" s="642">
        <v>0</v>
      </c>
      <c r="AB22" s="651">
        <v>8.5293872999380707</v>
      </c>
      <c r="AC22" s="651">
        <v>16.588146755013483</v>
      </c>
      <c r="AD22" s="651">
        <v>0</v>
      </c>
      <c r="AE22" s="651">
        <v>2.852532452222222</v>
      </c>
      <c r="AF22" s="651">
        <v>0.25919055555555554</v>
      </c>
      <c r="AG22" s="651">
        <v>3.5768259901376065</v>
      </c>
      <c r="AH22" s="642">
        <v>0</v>
      </c>
      <c r="AI22" s="642">
        <v>-46.772072780777776</v>
      </c>
      <c r="AJ22" s="642">
        <v>0</v>
      </c>
      <c r="AK22" s="650">
        <v>7.9764514567881601</v>
      </c>
    </row>
    <row r="23" spans="3:37" ht="13.5">
      <c r="C23" s="648" t="s">
        <v>352</v>
      </c>
      <c r="D23" s="642">
        <v>0</v>
      </c>
      <c r="E23" s="642">
        <v>0</v>
      </c>
      <c r="F23" s="642">
        <v>0</v>
      </c>
      <c r="G23" s="642">
        <v>0</v>
      </c>
      <c r="H23" s="642">
        <v>0</v>
      </c>
      <c r="I23" s="642">
        <v>0</v>
      </c>
      <c r="J23" s="652">
        <v>0</v>
      </c>
      <c r="K23" s="652">
        <v>0</v>
      </c>
      <c r="L23" s="652">
        <v>0</v>
      </c>
      <c r="M23" s="652">
        <v>-1.1106240000000001</v>
      </c>
      <c r="N23" s="652">
        <v>0</v>
      </c>
      <c r="O23" s="652">
        <v>0</v>
      </c>
      <c r="P23" s="642">
        <v>0</v>
      </c>
      <c r="Q23" s="642">
        <v>0</v>
      </c>
      <c r="R23" s="642">
        <v>0</v>
      </c>
      <c r="S23" s="650">
        <v>-1.1106240000000001</v>
      </c>
      <c r="U23" s="648" t="s">
        <v>352</v>
      </c>
      <c r="V23" s="642">
        <v>0</v>
      </c>
      <c r="W23" s="642">
        <v>0</v>
      </c>
      <c r="X23" s="642">
        <v>0</v>
      </c>
      <c r="Y23" s="642">
        <v>0</v>
      </c>
      <c r="Z23" s="642">
        <v>0</v>
      </c>
      <c r="AA23" s="642">
        <v>0</v>
      </c>
      <c r="AB23" s="652">
        <v>0</v>
      </c>
      <c r="AC23" s="652">
        <v>0</v>
      </c>
      <c r="AD23" s="652">
        <v>0</v>
      </c>
      <c r="AE23" s="652">
        <v>-1.1106240000000001</v>
      </c>
      <c r="AF23" s="652">
        <v>0</v>
      </c>
      <c r="AG23" s="652">
        <v>0</v>
      </c>
      <c r="AH23" s="642">
        <v>0</v>
      </c>
      <c r="AI23" s="642">
        <v>0</v>
      </c>
      <c r="AJ23" s="642">
        <v>0</v>
      </c>
      <c r="AK23" s="650">
        <v>-1.1106240000000001</v>
      </c>
    </row>
    <row r="24" spans="3:37" ht="13.5">
      <c r="C24" s="648" t="s">
        <v>353</v>
      </c>
      <c r="D24" s="642">
        <v>0</v>
      </c>
      <c r="E24" s="642">
        <v>0</v>
      </c>
      <c r="F24" s="642">
        <v>0</v>
      </c>
      <c r="G24" s="642">
        <v>0</v>
      </c>
      <c r="H24" s="642">
        <v>0</v>
      </c>
      <c r="I24" s="642">
        <v>0</v>
      </c>
      <c r="J24" s="642">
        <v>0</v>
      </c>
      <c r="K24" s="642">
        <v>0</v>
      </c>
      <c r="L24" s="642">
        <v>0</v>
      </c>
      <c r="M24" s="642">
        <v>0</v>
      </c>
      <c r="N24" s="642">
        <v>0</v>
      </c>
      <c r="O24" s="642">
        <v>0</v>
      </c>
      <c r="P24" s="642">
        <v>0</v>
      </c>
      <c r="Q24" s="642">
        <v>0</v>
      </c>
      <c r="R24" s="642">
        <v>0</v>
      </c>
      <c r="S24" s="650">
        <v>0</v>
      </c>
      <c r="U24" s="648" t="s">
        <v>353</v>
      </c>
      <c r="V24" s="642">
        <v>0</v>
      </c>
      <c r="W24" s="642">
        <v>0</v>
      </c>
      <c r="X24" s="642">
        <v>0</v>
      </c>
      <c r="Y24" s="642">
        <v>0</v>
      </c>
      <c r="Z24" s="642">
        <v>0</v>
      </c>
      <c r="AA24" s="642">
        <v>0</v>
      </c>
      <c r="AB24" s="642">
        <v>0</v>
      </c>
      <c r="AC24" s="642">
        <v>0</v>
      </c>
      <c r="AD24" s="642">
        <v>0</v>
      </c>
      <c r="AE24" s="642">
        <v>0</v>
      </c>
      <c r="AF24" s="642">
        <v>0</v>
      </c>
      <c r="AG24" s="642">
        <v>0</v>
      </c>
      <c r="AH24" s="642">
        <v>0</v>
      </c>
      <c r="AI24" s="642">
        <v>0</v>
      </c>
      <c r="AJ24" s="642">
        <v>0</v>
      </c>
      <c r="AK24" s="650">
        <v>0</v>
      </c>
    </row>
    <row r="25" spans="3:37" ht="13.5">
      <c r="C25" s="648" t="s">
        <v>72</v>
      </c>
      <c r="D25" s="642">
        <v>0</v>
      </c>
      <c r="E25" s="642">
        <v>607.94319903666315</v>
      </c>
      <c r="F25" s="642">
        <v>-602.93238189654937</v>
      </c>
      <c r="G25" s="642">
        <v>0</v>
      </c>
      <c r="H25" s="642">
        <v>0</v>
      </c>
      <c r="I25" s="642">
        <v>0</v>
      </c>
      <c r="J25" s="642">
        <v>0</v>
      </c>
      <c r="K25" s="642">
        <v>0</v>
      </c>
      <c r="L25" s="642">
        <v>0</v>
      </c>
      <c r="M25" s="642">
        <v>0</v>
      </c>
      <c r="N25" s="642">
        <v>0</v>
      </c>
      <c r="O25" s="642">
        <v>0</v>
      </c>
      <c r="P25" s="642">
        <v>0</v>
      </c>
      <c r="Q25" s="642">
        <v>0</v>
      </c>
      <c r="R25" s="642">
        <v>0</v>
      </c>
      <c r="S25" s="650">
        <v>5.0108171401137289</v>
      </c>
      <c r="U25" s="648" t="s">
        <v>72</v>
      </c>
      <c r="V25" s="642">
        <v>0</v>
      </c>
      <c r="W25" s="642">
        <v>607.94319903666315</v>
      </c>
      <c r="X25" s="642">
        <v>-602.93238189654937</v>
      </c>
      <c r="Y25" s="642">
        <v>0</v>
      </c>
      <c r="Z25" s="642">
        <v>0</v>
      </c>
      <c r="AA25" s="642">
        <v>0</v>
      </c>
      <c r="AB25" s="642">
        <v>0</v>
      </c>
      <c r="AC25" s="642">
        <v>0</v>
      </c>
      <c r="AD25" s="642">
        <v>0</v>
      </c>
      <c r="AE25" s="642">
        <v>0</v>
      </c>
      <c r="AF25" s="642">
        <v>0</v>
      </c>
      <c r="AG25" s="642">
        <v>0</v>
      </c>
      <c r="AH25" s="642">
        <v>0</v>
      </c>
      <c r="AI25" s="642">
        <v>0</v>
      </c>
      <c r="AJ25" s="642">
        <v>0</v>
      </c>
      <c r="AK25" s="650">
        <v>5.0108171401137289</v>
      </c>
    </row>
    <row r="26" spans="3:37" ht="13.5">
      <c r="C26" s="648" t="s">
        <v>354</v>
      </c>
      <c r="D26" s="642">
        <v>0</v>
      </c>
      <c r="E26" s="642">
        <v>0</v>
      </c>
      <c r="F26" s="642">
        <v>0</v>
      </c>
      <c r="G26" s="642">
        <v>0</v>
      </c>
      <c r="H26" s="642">
        <v>0</v>
      </c>
      <c r="I26" s="642">
        <v>0</v>
      </c>
      <c r="J26" s="642">
        <v>0</v>
      </c>
      <c r="K26" s="642">
        <v>0</v>
      </c>
      <c r="L26" s="642">
        <v>-29.34529096854553</v>
      </c>
      <c r="M26" s="642">
        <v>0</v>
      </c>
      <c r="N26" s="642">
        <v>0</v>
      </c>
      <c r="O26" s="642">
        <v>0</v>
      </c>
      <c r="P26" s="642">
        <v>0</v>
      </c>
      <c r="Q26" s="642">
        <v>0</v>
      </c>
      <c r="R26" s="642">
        <v>0</v>
      </c>
      <c r="S26" s="650">
        <v>-29.34529096854553</v>
      </c>
      <c r="U26" s="648" t="s">
        <v>354</v>
      </c>
      <c r="V26" s="642">
        <v>0</v>
      </c>
      <c r="W26" s="642">
        <v>0</v>
      </c>
      <c r="X26" s="642">
        <v>0</v>
      </c>
      <c r="Y26" s="642">
        <v>0</v>
      </c>
      <c r="Z26" s="642">
        <v>0</v>
      </c>
      <c r="AA26" s="642">
        <v>0</v>
      </c>
      <c r="AB26" s="642">
        <v>0</v>
      </c>
      <c r="AC26" s="642">
        <v>0</v>
      </c>
      <c r="AD26" s="642">
        <v>-29.34529096854553</v>
      </c>
      <c r="AE26" s="642">
        <v>0</v>
      </c>
      <c r="AF26" s="642">
        <v>0</v>
      </c>
      <c r="AG26" s="642">
        <v>0</v>
      </c>
      <c r="AH26" s="642">
        <v>0</v>
      </c>
      <c r="AI26" s="642">
        <v>0</v>
      </c>
      <c r="AJ26" s="642">
        <v>0</v>
      </c>
      <c r="AK26" s="650">
        <v>-29.34529096854553</v>
      </c>
    </row>
    <row r="27" spans="3:37" ht="13.5">
      <c r="C27" s="648" t="s">
        <v>355</v>
      </c>
      <c r="D27" s="642">
        <v>0</v>
      </c>
      <c r="E27" s="642">
        <v>0</v>
      </c>
      <c r="F27" s="642">
        <v>0</v>
      </c>
      <c r="G27" s="642">
        <v>0</v>
      </c>
      <c r="H27" s="642">
        <v>0</v>
      </c>
      <c r="I27" s="642">
        <v>0</v>
      </c>
      <c r="J27" s="642">
        <v>0</v>
      </c>
      <c r="K27" s="642">
        <v>0</v>
      </c>
      <c r="L27" s="642">
        <v>0</v>
      </c>
      <c r="M27" s="642">
        <v>0</v>
      </c>
      <c r="N27" s="642">
        <v>0</v>
      </c>
      <c r="O27" s="642">
        <v>0</v>
      </c>
      <c r="P27" s="642">
        <v>0</v>
      </c>
      <c r="Q27" s="642">
        <v>0</v>
      </c>
      <c r="R27" s="642">
        <v>0</v>
      </c>
      <c r="S27" s="650">
        <v>0</v>
      </c>
      <c r="U27" s="648" t="s">
        <v>355</v>
      </c>
      <c r="V27" s="642">
        <v>0</v>
      </c>
      <c r="W27" s="642">
        <v>0</v>
      </c>
      <c r="X27" s="642">
        <v>0</v>
      </c>
      <c r="Y27" s="642">
        <v>0</v>
      </c>
      <c r="Z27" s="642">
        <v>0</v>
      </c>
      <c r="AA27" s="642">
        <v>0</v>
      </c>
      <c r="AB27" s="642">
        <v>0</v>
      </c>
      <c r="AC27" s="642">
        <v>0</v>
      </c>
      <c r="AD27" s="642">
        <v>0</v>
      </c>
      <c r="AE27" s="642">
        <v>0</v>
      </c>
      <c r="AF27" s="642">
        <v>0</v>
      </c>
      <c r="AG27" s="642">
        <v>0</v>
      </c>
      <c r="AH27" s="642">
        <v>0</v>
      </c>
      <c r="AI27" s="642">
        <v>0</v>
      </c>
      <c r="AJ27" s="642">
        <v>0</v>
      </c>
      <c r="AK27" s="650">
        <v>0</v>
      </c>
    </row>
    <row r="28" spans="3:37" ht="13.5">
      <c r="C28" s="648" t="s">
        <v>73</v>
      </c>
      <c r="D28" s="642">
        <v>0</v>
      </c>
      <c r="E28" s="642">
        <v>0</v>
      </c>
      <c r="F28" s="642">
        <v>0</v>
      </c>
      <c r="G28" s="642">
        <v>0</v>
      </c>
      <c r="H28" s="642">
        <v>0</v>
      </c>
      <c r="I28" s="642">
        <v>0</v>
      </c>
      <c r="J28" s="642">
        <v>0</v>
      </c>
      <c r="K28" s="642">
        <v>0</v>
      </c>
      <c r="L28" s="642">
        <v>0</v>
      </c>
      <c r="M28" s="642">
        <v>0</v>
      </c>
      <c r="N28" s="642">
        <v>0</v>
      </c>
      <c r="O28" s="642">
        <v>0</v>
      </c>
      <c r="P28" s="642">
        <v>0</v>
      </c>
      <c r="Q28" s="642">
        <v>0</v>
      </c>
      <c r="R28" s="642">
        <v>0</v>
      </c>
      <c r="S28" s="650">
        <v>0</v>
      </c>
      <c r="U28" s="648" t="s">
        <v>73</v>
      </c>
      <c r="V28" s="642">
        <v>0</v>
      </c>
      <c r="W28" s="642">
        <v>0</v>
      </c>
      <c r="X28" s="642">
        <v>0</v>
      </c>
      <c r="Y28" s="642">
        <v>0</v>
      </c>
      <c r="Z28" s="642">
        <v>0</v>
      </c>
      <c r="AA28" s="642">
        <v>0</v>
      </c>
      <c r="AB28" s="642">
        <v>0</v>
      </c>
      <c r="AC28" s="642">
        <v>0</v>
      </c>
      <c r="AD28" s="642">
        <v>0</v>
      </c>
      <c r="AE28" s="642">
        <v>0</v>
      </c>
      <c r="AF28" s="642">
        <v>0</v>
      </c>
      <c r="AG28" s="642">
        <v>0</v>
      </c>
      <c r="AH28" s="642">
        <v>0</v>
      </c>
      <c r="AI28" s="642">
        <v>0</v>
      </c>
      <c r="AJ28" s="642">
        <v>0</v>
      </c>
      <c r="AK28" s="650">
        <v>0</v>
      </c>
    </row>
    <row r="29" spans="3:37" ht="13.5">
      <c r="C29" s="648" t="s">
        <v>356</v>
      </c>
      <c r="D29" s="642">
        <v>32.750811529533344</v>
      </c>
      <c r="E29" s="642">
        <v>-29.152970396099011</v>
      </c>
      <c r="F29" s="642">
        <v>28.064488458099014</v>
      </c>
      <c r="G29" s="642">
        <v>0</v>
      </c>
      <c r="H29" s="642">
        <v>0</v>
      </c>
      <c r="I29" s="642">
        <v>0</v>
      </c>
      <c r="J29" s="642">
        <v>0</v>
      </c>
      <c r="K29" s="642">
        <v>0</v>
      </c>
      <c r="L29" s="642">
        <v>0</v>
      </c>
      <c r="M29" s="642">
        <v>0</v>
      </c>
      <c r="N29" s="642">
        <v>0</v>
      </c>
      <c r="O29" s="642">
        <v>0</v>
      </c>
      <c r="P29" s="642">
        <v>0</v>
      </c>
      <c r="Q29" s="642">
        <v>0</v>
      </c>
      <c r="R29" s="642">
        <v>0</v>
      </c>
      <c r="S29" s="650">
        <v>31.662329591533346</v>
      </c>
      <c r="U29" s="648" t="s">
        <v>356</v>
      </c>
      <c r="V29" s="642">
        <v>32.750811529533344</v>
      </c>
      <c r="W29" s="642">
        <v>-29.152970396099011</v>
      </c>
      <c r="X29" s="642">
        <v>28.064488458099014</v>
      </c>
      <c r="Y29" s="642">
        <v>0</v>
      </c>
      <c r="Z29" s="642">
        <v>0</v>
      </c>
      <c r="AA29" s="642">
        <v>0</v>
      </c>
      <c r="AB29" s="642">
        <v>0</v>
      </c>
      <c r="AC29" s="642">
        <v>0</v>
      </c>
      <c r="AD29" s="642">
        <v>0</v>
      </c>
      <c r="AE29" s="642">
        <v>0</v>
      </c>
      <c r="AF29" s="642">
        <v>0</v>
      </c>
      <c r="AG29" s="642">
        <v>0</v>
      </c>
      <c r="AH29" s="642">
        <v>0</v>
      </c>
      <c r="AI29" s="642">
        <v>0</v>
      </c>
      <c r="AJ29" s="642">
        <v>0</v>
      </c>
      <c r="AK29" s="650">
        <v>31.662329591533346</v>
      </c>
    </row>
    <row r="30" spans="3:37" ht="13.5">
      <c r="C30" s="648" t="s">
        <v>75</v>
      </c>
      <c r="D30" s="642">
        <v>15.211467777777777</v>
      </c>
      <c r="E30" s="642">
        <v>0</v>
      </c>
      <c r="F30" s="642">
        <v>17.163531653267256</v>
      </c>
      <c r="G30" s="642">
        <v>6.4721602499999999</v>
      </c>
      <c r="H30" s="642">
        <v>0</v>
      </c>
      <c r="I30" s="642">
        <v>0</v>
      </c>
      <c r="J30" s="642">
        <v>0</v>
      </c>
      <c r="K30" s="642">
        <v>0</v>
      </c>
      <c r="L30" s="642">
        <v>0</v>
      </c>
      <c r="M30" s="642">
        <v>0</v>
      </c>
      <c r="N30" s="642">
        <v>0</v>
      </c>
      <c r="O30" s="642">
        <v>0</v>
      </c>
      <c r="P30" s="642">
        <v>34.075655948560012</v>
      </c>
      <c r="Q30" s="642">
        <v>0</v>
      </c>
      <c r="R30" s="642">
        <v>0</v>
      </c>
      <c r="S30" s="650">
        <v>72.922815629605054</v>
      </c>
      <c r="U30" s="648" t="s">
        <v>75</v>
      </c>
      <c r="V30" s="642">
        <v>15.211467777777777</v>
      </c>
      <c r="W30" s="642">
        <v>0</v>
      </c>
      <c r="X30" s="642">
        <v>17.163531653267256</v>
      </c>
      <c r="Y30" s="642">
        <v>6.4721602499999999</v>
      </c>
      <c r="Z30" s="642">
        <v>0</v>
      </c>
      <c r="AA30" s="642">
        <v>0</v>
      </c>
      <c r="AB30" s="642">
        <v>0</v>
      </c>
      <c r="AC30" s="642">
        <v>0</v>
      </c>
      <c r="AD30" s="642">
        <v>0</v>
      </c>
      <c r="AE30" s="642">
        <v>0</v>
      </c>
      <c r="AF30" s="642">
        <v>0</v>
      </c>
      <c r="AG30" s="642">
        <v>0</v>
      </c>
      <c r="AH30" s="642">
        <v>34.075655948560012</v>
      </c>
      <c r="AI30" s="642">
        <v>0</v>
      </c>
      <c r="AJ30" s="642">
        <v>0</v>
      </c>
      <c r="AK30" s="650">
        <v>72.922815629605054</v>
      </c>
    </row>
    <row r="31" spans="3:37" ht="13.5">
      <c r="C31" s="648" t="s">
        <v>76</v>
      </c>
      <c r="D31" s="642">
        <v>0</v>
      </c>
      <c r="E31" s="642">
        <v>0</v>
      </c>
      <c r="F31" s="642">
        <v>0</v>
      </c>
      <c r="G31" s="642">
        <v>4.9770604999999994</v>
      </c>
      <c r="H31" s="642">
        <v>0</v>
      </c>
      <c r="I31" s="642">
        <v>0</v>
      </c>
      <c r="J31" s="642">
        <v>0</v>
      </c>
      <c r="K31" s="642">
        <v>0</v>
      </c>
      <c r="L31" s="642">
        <v>0</v>
      </c>
      <c r="M31" s="642">
        <v>0</v>
      </c>
      <c r="N31" s="642">
        <v>0</v>
      </c>
      <c r="O31" s="642">
        <v>0</v>
      </c>
      <c r="P31" s="642">
        <v>38.092724000000004</v>
      </c>
      <c r="Q31" s="642">
        <v>3.667636947251947</v>
      </c>
      <c r="R31" s="642">
        <v>0</v>
      </c>
      <c r="S31" s="650">
        <v>46.737421447251954</v>
      </c>
      <c r="U31" s="648" t="s">
        <v>76</v>
      </c>
      <c r="V31" s="642">
        <v>0</v>
      </c>
      <c r="W31" s="642">
        <v>0</v>
      </c>
      <c r="X31" s="642">
        <v>0</v>
      </c>
      <c r="Y31" s="642">
        <v>4.9770604999999994</v>
      </c>
      <c r="Z31" s="642">
        <v>0</v>
      </c>
      <c r="AA31" s="642">
        <v>0</v>
      </c>
      <c r="AB31" s="642">
        <v>0</v>
      </c>
      <c r="AC31" s="642">
        <v>0</v>
      </c>
      <c r="AD31" s="642">
        <v>0</v>
      </c>
      <c r="AE31" s="642">
        <v>0</v>
      </c>
      <c r="AF31" s="642">
        <v>0</v>
      </c>
      <c r="AG31" s="642">
        <v>0</v>
      </c>
      <c r="AH31" s="642">
        <v>38.092724000000004</v>
      </c>
      <c r="AI31" s="642">
        <v>3.667636947251947</v>
      </c>
      <c r="AJ31" s="642">
        <v>0</v>
      </c>
      <c r="AK31" s="650">
        <v>46.737421447251954</v>
      </c>
    </row>
    <row r="32" spans="3:37" ht="13.5">
      <c r="C32" s="646" t="s">
        <v>77</v>
      </c>
      <c r="D32" s="647">
        <v>70.94886480427779</v>
      </c>
      <c r="E32" s="647">
        <v>589.57724499305652</v>
      </c>
      <c r="F32" s="647">
        <v>-527.3689266860265</v>
      </c>
      <c r="G32" s="647">
        <v>93.932491249999984</v>
      </c>
      <c r="H32" s="647">
        <v>1209.1260212121213</v>
      </c>
      <c r="I32" s="647">
        <v>104.3311966741735</v>
      </c>
      <c r="J32" s="647">
        <v>26.323534970493061</v>
      </c>
      <c r="K32" s="647">
        <v>28.586654785814009</v>
      </c>
      <c r="L32" s="647">
        <v>-28.954724700512262</v>
      </c>
      <c r="M32" s="647">
        <v>6.5893490555555561</v>
      </c>
      <c r="N32" s="647">
        <v>0.25919055555555554</v>
      </c>
      <c r="O32" s="647">
        <v>4.7593465444044423</v>
      </c>
      <c r="P32" s="647">
        <v>-489.37184900000005</v>
      </c>
      <c r="Q32" s="647">
        <v>-43.104435833525834</v>
      </c>
      <c r="R32" s="647">
        <v>0</v>
      </c>
      <c r="S32" s="647">
        <v>1045.6339586253871</v>
      </c>
      <c r="U32" s="646" t="s">
        <v>77</v>
      </c>
      <c r="V32" s="647">
        <v>70.94886480427779</v>
      </c>
      <c r="W32" s="647">
        <v>589.57724499305652</v>
      </c>
      <c r="X32" s="647">
        <v>-527.3689266860265</v>
      </c>
      <c r="Y32" s="647">
        <v>93.932491249999984</v>
      </c>
      <c r="Z32" s="647">
        <v>1209.1260212121213</v>
      </c>
      <c r="AA32" s="647">
        <v>104.3311966741735</v>
      </c>
      <c r="AB32" s="647">
        <v>26.323534970493061</v>
      </c>
      <c r="AC32" s="647">
        <v>28.586654785814009</v>
      </c>
      <c r="AD32" s="647">
        <v>-28.954724700512262</v>
      </c>
      <c r="AE32" s="647">
        <v>6.5893490555555561</v>
      </c>
      <c r="AF32" s="647">
        <v>0.25919055555555554</v>
      </c>
      <c r="AG32" s="647">
        <v>4.7593465444044423</v>
      </c>
      <c r="AH32" s="647">
        <v>-489.37184900000005</v>
      </c>
      <c r="AI32" s="647">
        <v>-43.104435833525834</v>
      </c>
      <c r="AJ32" s="647">
        <v>0</v>
      </c>
      <c r="AK32" s="647">
        <v>1045.6339586253871</v>
      </c>
    </row>
    <row r="33" spans="3:37" ht="13">
      <c r="C33" s="636"/>
      <c r="D33" s="636">
        <v>0</v>
      </c>
      <c r="E33" s="636">
        <v>0</v>
      </c>
      <c r="F33" s="636">
        <v>0</v>
      </c>
      <c r="G33" s="636">
        <v>0</v>
      </c>
      <c r="H33" s="636">
        <v>0</v>
      </c>
      <c r="I33" s="636">
        <v>0</v>
      </c>
      <c r="J33" s="636">
        <v>0</v>
      </c>
      <c r="K33" s="636">
        <v>0</v>
      </c>
      <c r="L33" s="636">
        <v>0</v>
      </c>
      <c r="M33" s="636">
        <v>0</v>
      </c>
      <c r="N33" s="636">
        <v>0</v>
      </c>
      <c r="O33" s="636">
        <v>0</v>
      </c>
      <c r="P33" s="636">
        <v>0</v>
      </c>
      <c r="Q33" s="636">
        <v>0</v>
      </c>
      <c r="R33" s="636">
        <v>0</v>
      </c>
      <c r="S33" s="636">
        <v>0</v>
      </c>
      <c r="U33" s="636"/>
      <c r="V33" s="636">
        <v>0</v>
      </c>
      <c r="W33" s="636">
        <v>0</v>
      </c>
      <c r="X33" s="636">
        <v>0</v>
      </c>
      <c r="Y33" s="636">
        <v>0</v>
      </c>
      <c r="Z33" s="636">
        <v>0</v>
      </c>
      <c r="AA33" s="636">
        <v>0</v>
      </c>
      <c r="AB33" s="636">
        <v>0</v>
      </c>
      <c r="AC33" s="636">
        <v>0</v>
      </c>
      <c r="AD33" s="636">
        <v>0</v>
      </c>
      <c r="AE33" s="636">
        <v>0</v>
      </c>
      <c r="AF33" s="636">
        <v>0</v>
      </c>
      <c r="AG33" s="636">
        <v>0</v>
      </c>
      <c r="AH33" s="636">
        <v>0</v>
      </c>
      <c r="AI33" s="636">
        <v>0</v>
      </c>
      <c r="AJ33" s="636">
        <v>0</v>
      </c>
      <c r="AK33" s="636">
        <v>0</v>
      </c>
    </row>
    <row r="34" spans="3:37" ht="13.5">
      <c r="C34" s="648" t="s">
        <v>78</v>
      </c>
      <c r="D34" s="642">
        <v>10.318644626420003</v>
      </c>
      <c r="E34" s="642">
        <v>0</v>
      </c>
      <c r="F34" s="642">
        <v>31.798889573736361</v>
      </c>
      <c r="G34" s="642">
        <v>122.13725650000002</v>
      </c>
      <c r="H34" s="642">
        <v>0</v>
      </c>
      <c r="I34" s="642">
        <v>0</v>
      </c>
      <c r="J34" s="642">
        <v>15.07633527777778</v>
      </c>
      <c r="K34" s="642">
        <v>4.5361330555555552</v>
      </c>
      <c r="L34" s="642">
        <v>1.0714586421915442</v>
      </c>
      <c r="M34" s="642">
        <v>0.59537055555555551</v>
      </c>
      <c r="N34" s="642">
        <v>0</v>
      </c>
      <c r="O34" s="642">
        <v>1.4743611111111112E-2</v>
      </c>
      <c r="P34" s="642">
        <v>115.65608999999999</v>
      </c>
      <c r="Q34" s="642">
        <v>18.599047500192498</v>
      </c>
      <c r="R34" s="642">
        <v>0</v>
      </c>
      <c r="S34" s="650">
        <v>319.80396934254043</v>
      </c>
      <c r="U34" s="648" t="s">
        <v>78</v>
      </c>
      <c r="V34" s="642">
        <v>10.318644626420003</v>
      </c>
      <c r="W34" s="642">
        <v>0</v>
      </c>
      <c r="X34" s="642">
        <v>31.798889573736361</v>
      </c>
      <c r="Y34" s="642">
        <v>122.13725650000002</v>
      </c>
      <c r="Z34" s="642">
        <v>0</v>
      </c>
      <c r="AA34" s="642">
        <v>0</v>
      </c>
      <c r="AB34" s="642">
        <v>15.07633527777778</v>
      </c>
      <c r="AC34" s="642">
        <v>4.5361330555555552</v>
      </c>
      <c r="AD34" s="642">
        <v>1.0714586421915442</v>
      </c>
      <c r="AE34" s="642">
        <v>0.59537055555555551</v>
      </c>
      <c r="AF34" s="642">
        <v>0</v>
      </c>
      <c r="AG34" s="642">
        <v>1.4743611111111112E-2</v>
      </c>
      <c r="AH34" s="642">
        <v>115.65608999999999</v>
      </c>
      <c r="AI34" s="642">
        <v>18.599047500192498</v>
      </c>
      <c r="AJ34" s="642">
        <v>0</v>
      </c>
      <c r="AK34" s="650">
        <v>319.80396934254043</v>
      </c>
    </row>
    <row r="35" spans="3:37" ht="13.5">
      <c r="C35" s="648" t="s">
        <v>79</v>
      </c>
      <c r="D35" s="642">
        <v>0</v>
      </c>
      <c r="E35" s="642">
        <v>0</v>
      </c>
      <c r="F35" s="642">
        <v>465.47698922226442</v>
      </c>
      <c r="G35" s="642">
        <v>1.8942870000000003</v>
      </c>
      <c r="H35" s="642">
        <v>0</v>
      </c>
      <c r="I35" s="642">
        <v>0</v>
      </c>
      <c r="J35" s="642">
        <v>0</v>
      </c>
      <c r="K35" s="642">
        <v>0</v>
      </c>
      <c r="L35" s="642">
        <v>37.188256545358975</v>
      </c>
      <c r="M35" s="642">
        <v>0</v>
      </c>
      <c r="N35" s="642">
        <v>0</v>
      </c>
      <c r="O35" s="642">
        <v>0</v>
      </c>
      <c r="P35" s="642">
        <v>10.07993007</v>
      </c>
      <c r="Q35" s="642">
        <v>0</v>
      </c>
      <c r="R35" s="642">
        <v>0</v>
      </c>
      <c r="S35" s="650">
        <v>514.63946283762346</v>
      </c>
      <c r="U35" s="648" t="s">
        <v>79</v>
      </c>
      <c r="V35" s="642">
        <v>0</v>
      </c>
      <c r="W35" s="642">
        <v>0</v>
      </c>
      <c r="X35" s="642">
        <v>465.47698922226442</v>
      </c>
      <c r="Y35" s="642">
        <v>1.8942870000000003</v>
      </c>
      <c r="Z35" s="642">
        <v>0</v>
      </c>
      <c r="AA35" s="642">
        <v>0</v>
      </c>
      <c r="AB35" s="642">
        <v>0</v>
      </c>
      <c r="AC35" s="642">
        <v>0</v>
      </c>
      <c r="AD35" s="642">
        <v>37.188256545358975</v>
      </c>
      <c r="AE35" s="642">
        <v>0</v>
      </c>
      <c r="AF35" s="642">
        <v>0</v>
      </c>
      <c r="AG35" s="642">
        <v>0</v>
      </c>
      <c r="AH35" s="642">
        <v>10.07993007</v>
      </c>
      <c r="AI35" s="642">
        <v>0</v>
      </c>
      <c r="AJ35" s="642">
        <v>0</v>
      </c>
      <c r="AK35" s="650">
        <v>514.63946283762346</v>
      </c>
    </row>
    <row r="36" spans="3:37" ht="13.5">
      <c r="C36" s="648" t="s">
        <v>80</v>
      </c>
      <c r="D36" s="642">
        <v>0.28361423905000005</v>
      </c>
      <c r="E36" s="642">
        <v>0</v>
      </c>
      <c r="F36" s="642">
        <v>50.740146891881786</v>
      </c>
      <c r="G36" s="642">
        <v>132.15121725</v>
      </c>
      <c r="H36" s="642">
        <v>0</v>
      </c>
      <c r="I36" s="642">
        <v>0</v>
      </c>
      <c r="J36" s="642">
        <v>74.953719722222218</v>
      </c>
      <c r="K36" s="642">
        <v>0</v>
      </c>
      <c r="L36" s="642">
        <v>0</v>
      </c>
      <c r="M36" s="642">
        <v>0</v>
      </c>
      <c r="N36" s="642">
        <v>26.665051666666663</v>
      </c>
      <c r="O36" s="642">
        <v>1.98639250004</v>
      </c>
      <c r="P36" s="642">
        <v>159.72207699999998</v>
      </c>
      <c r="Q36" s="642">
        <v>14.980747222222222</v>
      </c>
      <c r="R36" s="642">
        <v>0</v>
      </c>
      <c r="S36" s="650">
        <v>461.48296649208288</v>
      </c>
      <c r="U36" s="648" t="s">
        <v>80</v>
      </c>
      <c r="V36" s="642">
        <v>0.28361423905000005</v>
      </c>
      <c r="W36" s="642">
        <v>0</v>
      </c>
      <c r="X36" s="642">
        <v>50.740146891881786</v>
      </c>
      <c r="Y36" s="642">
        <v>132.15121725</v>
      </c>
      <c r="Z36" s="642">
        <v>0</v>
      </c>
      <c r="AA36" s="642">
        <v>0</v>
      </c>
      <c r="AB36" s="642">
        <v>74.953719722222218</v>
      </c>
      <c r="AC36" s="642">
        <v>0</v>
      </c>
      <c r="AD36" s="642">
        <v>0</v>
      </c>
      <c r="AE36" s="642">
        <v>0</v>
      </c>
      <c r="AF36" s="642">
        <v>26.665051666666663</v>
      </c>
      <c r="AG36" s="642">
        <v>1.98639250004</v>
      </c>
      <c r="AH36" s="642">
        <v>159.72207699999998</v>
      </c>
      <c r="AI36" s="642">
        <v>14.980747222222222</v>
      </c>
      <c r="AJ36" s="642">
        <v>0</v>
      </c>
      <c r="AK36" s="650">
        <v>461.48296649208288</v>
      </c>
    </row>
    <row r="37" spans="3:37" ht="13.5">
      <c r="C37" s="648" t="s">
        <v>81</v>
      </c>
      <c r="D37" s="642">
        <v>0.40432760307999993</v>
      </c>
      <c r="E37" s="642">
        <v>0</v>
      </c>
      <c r="F37" s="642">
        <v>33.030604242320379</v>
      </c>
      <c r="G37" s="642">
        <v>70.504948999999996</v>
      </c>
      <c r="H37" s="642">
        <v>0</v>
      </c>
      <c r="I37" s="642">
        <v>0</v>
      </c>
      <c r="J37" s="642">
        <v>3.0152302777777784</v>
      </c>
      <c r="K37" s="642">
        <v>1.7780329919637734</v>
      </c>
      <c r="L37" s="642">
        <v>0</v>
      </c>
      <c r="M37" s="642">
        <v>1.4820169444444444</v>
      </c>
      <c r="N37" s="642">
        <v>4.7740327777777782</v>
      </c>
      <c r="O37" s="642">
        <v>0.35231138888888891</v>
      </c>
      <c r="P37" s="642">
        <v>137.76728493000002</v>
      </c>
      <c r="Q37" s="642">
        <v>9.3080608333333341</v>
      </c>
      <c r="R37" s="642">
        <v>0</v>
      </c>
      <c r="S37" s="650">
        <v>262.41685098958635</v>
      </c>
      <c r="U37" s="648" t="s">
        <v>81</v>
      </c>
      <c r="V37" s="642">
        <v>0.40432760307999993</v>
      </c>
      <c r="W37" s="642">
        <v>0</v>
      </c>
      <c r="X37" s="642">
        <v>33.030604242320379</v>
      </c>
      <c r="Y37" s="642">
        <v>70.504948999999996</v>
      </c>
      <c r="Z37" s="642">
        <v>0</v>
      </c>
      <c r="AA37" s="642">
        <v>0</v>
      </c>
      <c r="AB37" s="642">
        <v>3.0152302777777784</v>
      </c>
      <c r="AC37" s="642">
        <v>1.7780329919637734</v>
      </c>
      <c r="AD37" s="642">
        <v>0</v>
      </c>
      <c r="AE37" s="642">
        <v>1.4820169444444444</v>
      </c>
      <c r="AF37" s="642">
        <v>4.7740327777777782</v>
      </c>
      <c r="AG37" s="642">
        <v>0.35231138888888891</v>
      </c>
      <c r="AH37" s="642">
        <v>137.76728493000002</v>
      </c>
      <c r="AI37" s="642">
        <v>9.3080608333333341</v>
      </c>
      <c r="AJ37" s="642">
        <v>0</v>
      </c>
      <c r="AK37" s="650">
        <v>262.41685098958635</v>
      </c>
    </row>
    <row r="38" spans="3:37" ht="13.5">
      <c r="C38" s="648" t="s">
        <v>82</v>
      </c>
      <c r="D38" s="642">
        <v>1.6738093710000002E-2</v>
      </c>
      <c r="E38" s="642">
        <v>0</v>
      </c>
      <c r="F38" s="642">
        <v>35.508479849329859</v>
      </c>
      <c r="G38" s="642">
        <v>2.1960534999999997</v>
      </c>
      <c r="H38" s="642">
        <v>0</v>
      </c>
      <c r="I38" s="642">
        <v>0</v>
      </c>
      <c r="J38" s="642">
        <v>1.6964935406677779</v>
      </c>
      <c r="K38" s="642">
        <v>0</v>
      </c>
      <c r="L38" s="642">
        <v>1.834336902240338</v>
      </c>
      <c r="M38" s="642">
        <v>0.43157000000000006</v>
      </c>
      <c r="N38" s="642">
        <v>0</v>
      </c>
      <c r="O38" s="642">
        <v>0.29222750000000003</v>
      </c>
      <c r="P38" s="642">
        <v>8.4794180000000026</v>
      </c>
      <c r="Q38" s="642">
        <v>0.21658055555555558</v>
      </c>
      <c r="R38" s="642">
        <v>0</v>
      </c>
      <c r="S38" s="650">
        <v>50.671897941503538</v>
      </c>
      <c r="U38" s="648" t="s">
        <v>82</v>
      </c>
      <c r="V38" s="642">
        <v>1.6738093710000002E-2</v>
      </c>
      <c r="W38" s="642">
        <v>0</v>
      </c>
      <c r="X38" s="642">
        <v>35.508479849329859</v>
      </c>
      <c r="Y38" s="642">
        <v>2.1960534999999997</v>
      </c>
      <c r="Z38" s="642">
        <v>0</v>
      </c>
      <c r="AA38" s="642">
        <v>0</v>
      </c>
      <c r="AB38" s="642">
        <v>1.6964935406677779</v>
      </c>
      <c r="AC38" s="642">
        <v>0</v>
      </c>
      <c r="AD38" s="642">
        <v>1.834336902240338</v>
      </c>
      <c r="AE38" s="642">
        <v>0.43157000000000006</v>
      </c>
      <c r="AF38" s="642">
        <v>0</v>
      </c>
      <c r="AG38" s="642">
        <v>0.29222750000000003</v>
      </c>
      <c r="AH38" s="642">
        <v>8.4794180000000026</v>
      </c>
      <c r="AI38" s="642">
        <v>0.21658055555555558</v>
      </c>
      <c r="AJ38" s="642">
        <v>0</v>
      </c>
      <c r="AK38" s="650">
        <v>50.671897941503538</v>
      </c>
    </row>
    <row r="39" spans="3:37" ht="13.5">
      <c r="C39" s="648" t="s">
        <v>357</v>
      </c>
      <c r="D39" s="642">
        <v>0</v>
      </c>
      <c r="E39" s="642">
        <v>0</v>
      </c>
      <c r="F39" s="642">
        <v>0</v>
      </c>
      <c r="G39" s="642">
        <v>0</v>
      </c>
      <c r="H39" s="642">
        <v>0</v>
      </c>
      <c r="I39" s="642">
        <v>0</v>
      </c>
      <c r="J39" s="642">
        <v>0</v>
      </c>
      <c r="K39" s="642">
        <v>0</v>
      </c>
      <c r="L39" s="642">
        <v>0</v>
      </c>
      <c r="M39" s="642">
        <v>0</v>
      </c>
      <c r="N39" s="642">
        <v>0</v>
      </c>
      <c r="O39" s="642">
        <v>0</v>
      </c>
      <c r="P39" s="642">
        <v>0</v>
      </c>
      <c r="Q39" s="642">
        <v>0</v>
      </c>
      <c r="R39" s="642">
        <v>0</v>
      </c>
      <c r="S39" s="650">
        <v>0</v>
      </c>
      <c r="U39" s="648" t="s">
        <v>357</v>
      </c>
      <c r="V39" s="642">
        <v>0</v>
      </c>
      <c r="W39" s="642">
        <v>0</v>
      </c>
      <c r="X39" s="642">
        <v>0</v>
      </c>
      <c r="Y39" s="642">
        <v>0</v>
      </c>
      <c r="Z39" s="642">
        <v>0</v>
      </c>
      <c r="AA39" s="642">
        <v>0</v>
      </c>
      <c r="AB39" s="642">
        <v>0</v>
      </c>
      <c r="AC39" s="642">
        <v>0</v>
      </c>
      <c r="AD39" s="642">
        <v>0</v>
      </c>
      <c r="AE39" s="642">
        <v>0</v>
      </c>
      <c r="AF39" s="642">
        <v>0</v>
      </c>
      <c r="AG39" s="642">
        <v>0</v>
      </c>
      <c r="AH39" s="642">
        <v>0</v>
      </c>
      <c r="AI39" s="642">
        <v>0</v>
      </c>
      <c r="AJ39" s="642">
        <v>0</v>
      </c>
      <c r="AK39" s="650">
        <v>0</v>
      </c>
    </row>
    <row r="40" spans="3:37" ht="13.5">
      <c r="C40" s="646" t="s">
        <v>83</v>
      </c>
      <c r="D40" s="647">
        <v>11.023324562260003</v>
      </c>
      <c r="E40" s="647">
        <v>0</v>
      </c>
      <c r="F40" s="647">
        <v>616.5551097795327</v>
      </c>
      <c r="G40" s="647">
        <v>328.88376325000007</v>
      </c>
      <c r="H40" s="647">
        <v>0</v>
      </c>
      <c r="I40" s="647">
        <v>0</v>
      </c>
      <c r="J40" s="647">
        <v>94.741778818445539</v>
      </c>
      <c r="K40" s="647">
        <v>6.3141660475193291</v>
      </c>
      <c r="L40" s="647">
        <v>40.094052089790857</v>
      </c>
      <c r="M40" s="647">
        <v>2.5089575000000002</v>
      </c>
      <c r="N40" s="647">
        <v>31.43908444444444</v>
      </c>
      <c r="O40" s="647">
        <v>2.6456750000400002</v>
      </c>
      <c r="P40" s="647">
        <v>431.70479999999998</v>
      </c>
      <c r="Q40" s="647">
        <v>43.104436111303606</v>
      </c>
      <c r="R40" s="647">
        <v>0</v>
      </c>
      <c r="S40" s="647">
        <v>1609.0151476033366</v>
      </c>
      <c r="U40" s="646" t="s">
        <v>83</v>
      </c>
      <c r="V40" s="647">
        <v>11.023324562260003</v>
      </c>
      <c r="W40" s="647">
        <v>0</v>
      </c>
      <c r="X40" s="647">
        <v>616.5551097795327</v>
      </c>
      <c r="Y40" s="647">
        <v>328.88376325000007</v>
      </c>
      <c r="Z40" s="647">
        <v>0</v>
      </c>
      <c r="AA40" s="647">
        <v>0</v>
      </c>
      <c r="AB40" s="647">
        <v>94.741778818445539</v>
      </c>
      <c r="AC40" s="647">
        <v>6.3141660475193291</v>
      </c>
      <c r="AD40" s="647">
        <v>40.094052089790857</v>
      </c>
      <c r="AE40" s="647">
        <v>2.5089575000000002</v>
      </c>
      <c r="AF40" s="647">
        <v>31.43908444444444</v>
      </c>
      <c r="AG40" s="647">
        <v>2.6456750000400002</v>
      </c>
      <c r="AH40" s="647">
        <v>431.70479999999998</v>
      </c>
      <c r="AI40" s="647">
        <v>43.104436111303606</v>
      </c>
      <c r="AJ40" s="647">
        <v>0</v>
      </c>
      <c r="AK40" s="647">
        <v>1609.0151476033366</v>
      </c>
    </row>
    <row r="41" spans="3:37" ht="13.5">
      <c r="C41" s="641" t="s">
        <v>84</v>
      </c>
      <c r="D41" s="642">
        <v>3.1200159203999993</v>
      </c>
      <c r="E41" s="642">
        <v>0</v>
      </c>
      <c r="F41" s="642">
        <v>139.5725242203051</v>
      </c>
      <c r="G41" s="642">
        <v>13.804214250000001</v>
      </c>
      <c r="H41" s="642">
        <v>0</v>
      </c>
      <c r="I41" s="642">
        <v>0</v>
      </c>
      <c r="J41" s="642">
        <v>0</v>
      </c>
      <c r="K41" s="642">
        <v>0</v>
      </c>
      <c r="L41" s="642">
        <v>0</v>
      </c>
      <c r="M41" s="642">
        <v>0</v>
      </c>
      <c r="N41" s="642">
        <v>0</v>
      </c>
      <c r="O41" s="642">
        <v>0</v>
      </c>
      <c r="P41" s="642">
        <v>0</v>
      </c>
      <c r="Q41" s="642">
        <v>0</v>
      </c>
      <c r="R41" s="642">
        <v>0</v>
      </c>
      <c r="S41" s="650">
        <v>156.49675439070509</v>
      </c>
      <c r="U41" s="641" t="s">
        <v>84</v>
      </c>
      <c r="V41" s="642">
        <v>3.1200159203999993</v>
      </c>
      <c r="W41" s="642">
        <v>0</v>
      </c>
      <c r="X41" s="642">
        <v>139.5725242203051</v>
      </c>
      <c r="Y41" s="642">
        <v>13.804214250000001</v>
      </c>
      <c r="Z41" s="642">
        <v>0</v>
      </c>
      <c r="AA41" s="642">
        <v>0</v>
      </c>
      <c r="AB41" s="642">
        <v>0</v>
      </c>
      <c r="AC41" s="642">
        <v>0</v>
      </c>
      <c r="AD41" s="642">
        <v>0</v>
      </c>
      <c r="AE41" s="642">
        <v>0</v>
      </c>
      <c r="AF41" s="642">
        <v>0</v>
      </c>
      <c r="AG41" s="642">
        <v>0</v>
      </c>
      <c r="AH41" s="642">
        <v>0</v>
      </c>
      <c r="AI41" s="642">
        <v>0</v>
      </c>
      <c r="AJ41" s="642">
        <v>0</v>
      </c>
      <c r="AK41" s="650">
        <v>156.49675439070509</v>
      </c>
    </row>
    <row r="42" spans="3:37" ht="13.5">
      <c r="C42" s="646" t="s">
        <v>85</v>
      </c>
      <c r="D42" s="647">
        <v>14.143340482660001</v>
      </c>
      <c r="E42" s="647">
        <v>0</v>
      </c>
      <c r="F42" s="647">
        <v>756.12763399983783</v>
      </c>
      <c r="G42" s="647">
        <v>342.6879775000001</v>
      </c>
      <c r="H42" s="647">
        <v>0</v>
      </c>
      <c r="I42" s="647">
        <v>0</v>
      </c>
      <c r="J42" s="647">
        <v>94.741778818445539</v>
      </c>
      <c r="K42" s="647">
        <v>6.3141660475193291</v>
      </c>
      <c r="L42" s="647">
        <v>40.094052089790857</v>
      </c>
      <c r="M42" s="647">
        <v>2.5089575000000002</v>
      </c>
      <c r="N42" s="647">
        <v>31.43908444444444</v>
      </c>
      <c r="O42" s="647">
        <v>2.6456750000400002</v>
      </c>
      <c r="P42" s="647">
        <v>431.70479999999998</v>
      </c>
      <c r="Q42" s="647">
        <v>43.104436111303606</v>
      </c>
      <c r="R42" s="647">
        <v>0</v>
      </c>
      <c r="S42" s="647">
        <v>1765.5119019940419</v>
      </c>
      <c r="U42" s="646" t="s">
        <v>85</v>
      </c>
      <c r="V42" s="647">
        <v>14.143340482660001</v>
      </c>
      <c r="W42" s="647">
        <v>0</v>
      </c>
      <c r="X42" s="647">
        <v>756.12763399983783</v>
      </c>
      <c r="Y42" s="647">
        <v>342.6879775000001</v>
      </c>
      <c r="Z42" s="647">
        <v>0</v>
      </c>
      <c r="AA42" s="647">
        <v>0</v>
      </c>
      <c r="AB42" s="647">
        <v>94.741778818445539</v>
      </c>
      <c r="AC42" s="647">
        <v>6.3141660475193291</v>
      </c>
      <c r="AD42" s="647">
        <v>40.094052089790857</v>
      </c>
      <c r="AE42" s="647">
        <v>2.5089575000000002</v>
      </c>
      <c r="AF42" s="647">
        <v>31.43908444444444</v>
      </c>
      <c r="AG42" s="647">
        <v>2.6456750000400002</v>
      </c>
      <c r="AH42" s="647">
        <v>431.70479999999998</v>
      </c>
      <c r="AI42" s="647">
        <v>43.104436111303606</v>
      </c>
      <c r="AJ42" s="647">
        <v>0</v>
      </c>
      <c r="AK42" s="647">
        <v>1765.5119019940419</v>
      </c>
    </row>
    <row r="43" spans="3:37" ht="13">
      <c r="C43" s="636"/>
      <c r="D43" s="653"/>
      <c r="E43" s="653"/>
      <c r="F43" s="653"/>
      <c r="G43" s="653"/>
      <c r="H43" s="653"/>
      <c r="I43" s="653"/>
      <c r="J43" s="653"/>
      <c r="K43" s="653"/>
      <c r="L43" s="653"/>
      <c r="M43" s="653"/>
      <c r="N43" s="653"/>
      <c r="O43" s="653"/>
      <c r="P43" s="653"/>
      <c r="Q43" s="653"/>
      <c r="R43" s="653"/>
      <c r="S43" s="653"/>
      <c r="U43" s="636"/>
      <c r="V43" s="653"/>
      <c r="W43" s="653"/>
      <c r="X43" s="653"/>
      <c r="Y43" s="653"/>
      <c r="Z43" s="653"/>
      <c r="AA43" s="653"/>
      <c r="AB43" s="653"/>
      <c r="AC43" s="653"/>
      <c r="AD43" s="653"/>
      <c r="AE43" s="653"/>
      <c r="AF43" s="653"/>
      <c r="AG43" s="653"/>
      <c r="AH43" s="653"/>
      <c r="AI43" s="653"/>
      <c r="AJ43" s="653"/>
      <c r="AK43" s="653"/>
    </row>
    <row r="44" spans="3:37" ht="13">
      <c r="C44" s="636"/>
      <c r="D44" s="636"/>
      <c r="E44" s="636"/>
      <c r="F44" s="636"/>
      <c r="G44" s="636"/>
      <c r="H44" s="636"/>
      <c r="I44" s="636"/>
      <c r="J44" s="636"/>
      <c r="K44" s="636"/>
      <c r="L44" s="636"/>
      <c r="M44" s="636"/>
      <c r="N44" s="636"/>
      <c r="O44" s="636"/>
      <c r="P44" s="636"/>
      <c r="Q44" s="636"/>
      <c r="R44" s="636"/>
      <c r="S44" s="636"/>
      <c r="U44" s="636"/>
      <c r="V44" s="636"/>
      <c r="W44" s="636"/>
      <c r="X44" s="636"/>
      <c r="Y44" s="636"/>
      <c r="Z44" s="636"/>
      <c r="AA44" s="636"/>
      <c r="AB44" s="636"/>
      <c r="AC44" s="636"/>
      <c r="AD44" s="636"/>
      <c r="AE44" s="636"/>
      <c r="AF44" s="636"/>
      <c r="AG44" s="636"/>
      <c r="AH44" s="636"/>
      <c r="AI44" s="636"/>
      <c r="AJ44" s="636"/>
      <c r="AK44" s="636"/>
    </row>
    <row r="45" spans="3:37" ht="22.5">
      <c r="C45" s="699" t="s">
        <v>86</v>
      </c>
      <c r="D45" s="699"/>
      <c r="E45" s="699"/>
      <c r="F45" s="699"/>
      <c r="G45" s="699"/>
      <c r="H45" s="699"/>
      <c r="I45" s="699"/>
      <c r="J45" s="699"/>
      <c r="K45" s="699"/>
      <c r="L45" s="699"/>
      <c r="M45" s="699"/>
      <c r="N45" s="699"/>
      <c r="O45" s="699"/>
      <c r="P45" s="699"/>
      <c r="Q45" s="699"/>
      <c r="R45" s="699"/>
      <c r="S45" s="699"/>
      <c r="U45" s="699" t="s">
        <v>86</v>
      </c>
      <c r="V45" s="699"/>
      <c r="W45" s="699"/>
      <c r="X45" s="699"/>
      <c r="Y45" s="699"/>
      <c r="Z45" s="699"/>
      <c r="AA45" s="699"/>
      <c r="AB45" s="699"/>
      <c r="AC45" s="699"/>
      <c r="AD45" s="699"/>
      <c r="AE45" s="699"/>
      <c r="AF45" s="699"/>
      <c r="AG45" s="699"/>
      <c r="AH45" s="699"/>
      <c r="AI45" s="699"/>
      <c r="AJ45" s="699"/>
      <c r="AK45" s="699"/>
    </row>
    <row r="46" spans="3:37" ht="13">
      <c r="C46" s="636"/>
      <c r="D46" s="636"/>
      <c r="E46" s="636"/>
      <c r="F46" s="636"/>
      <c r="G46" s="636"/>
      <c r="H46" s="636"/>
      <c r="I46" s="636"/>
      <c r="J46" s="636"/>
      <c r="K46" s="636"/>
      <c r="L46" s="636"/>
      <c r="M46" s="636"/>
      <c r="N46" s="636"/>
      <c r="O46" s="636"/>
      <c r="P46" s="636"/>
      <c r="Q46" s="636"/>
      <c r="R46" s="636"/>
      <c r="S46" s="636"/>
      <c r="U46" s="636"/>
      <c r="V46" s="636"/>
      <c r="W46" s="636"/>
      <c r="X46" s="636"/>
      <c r="Y46" s="636"/>
      <c r="Z46" s="636"/>
      <c r="AA46" s="636"/>
      <c r="AB46" s="636"/>
      <c r="AC46" s="636"/>
      <c r="AD46" s="636"/>
      <c r="AE46" s="636"/>
      <c r="AF46" s="636"/>
      <c r="AG46" s="636"/>
      <c r="AH46" s="636"/>
      <c r="AI46" s="636"/>
      <c r="AJ46" s="636"/>
      <c r="AK46" s="636"/>
    </row>
    <row r="47" spans="3:37" ht="13" customHeight="1">
      <c r="C47" s="700" t="s">
        <v>128</v>
      </c>
      <c r="D47" s="701" t="s">
        <v>42</v>
      </c>
      <c r="E47" s="701" t="s">
        <v>52</v>
      </c>
      <c r="F47" s="701" t="s">
        <v>53</v>
      </c>
      <c r="G47" s="701" t="s">
        <v>32</v>
      </c>
      <c r="H47" s="701" t="s">
        <v>20</v>
      </c>
      <c r="I47" s="701" t="s">
        <v>55</v>
      </c>
      <c r="J47" s="701" t="s">
        <v>56</v>
      </c>
      <c r="K47" s="701"/>
      <c r="L47" s="701"/>
      <c r="M47" s="701"/>
      <c r="N47" s="701"/>
      <c r="O47" s="701"/>
      <c r="P47" s="701" t="s">
        <v>57</v>
      </c>
      <c r="Q47" s="701" t="s">
        <v>58</v>
      </c>
      <c r="R47" s="701" t="s">
        <v>31</v>
      </c>
      <c r="S47" s="701" t="s">
        <v>10</v>
      </c>
      <c r="U47" s="700" t="s">
        <v>128</v>
      </c>
      <c r="V47" s="701" t="s">
        <v>42</v>
      </c>
      <c r="W47" s="701" t="s">
        <v>52</v>
      </c>
      <c r="X47" s="701" t="s">
        <v>53</v>
      </c>
      <c r="Y47" s="701" t="s">
        <v>32</v>
      </c>
      <c r="Z47" s="701" t="s">
        <v>20</v>
      </c>
      <c r="AA47" s="701" t="s">
        <v>55</v>
      </c>
      <c r="AB47" s="701" t="s">
        <v>56</v>
      </c>
      <c r="AC47" s="701"/>
      <c r="AD47" s="701"/>
      <c r="AE47" s="701"/>
      <c r="AF47" s="701"/>
      <c r="AG47" s="701"/>
      <c r="AH47" s="701" t="s">
        <v>57</v>
      </c>
      <c r="AI47" s="701" t="s">
        <v>58</v>
      </c>
      <c r="AJ47" s="701" t="s">
        <v>31</v>
      </c>
      <c r="AK47" s="701" t="s">
        <v>10</v>
      </c>
    </row>
    <row r="48" spans="3:37" ht="46">
      <c r="C48" s="700"/>
      <c r="D48" s="701"/>
      <c r="E48" s="701"/>
      <c r="F48" s="701"/>
      <c r="G48" s="701"/>
      <c r="H48" s="701"/>
      <c r="I48" s="701"/>
      <c r="J48" s="640" t="s">
        <v>338</v>
      </c>
      <c r="K48" s="640" t="s">
        <v>40</v>
      </c>
      <c r="L48" s="640" t="s">
        <v>346</v>
      </c>
      <c r="M48" s="640" t="s">
        <v>347</v>
      </c>
      <c r="N48" s="640" t="s">
        <v>348</v>
      </c>
      <c r="O48" s="640" t="s">
        <v>349</v>
      </c>
      <c r="P48" s="701"/>
      <c r="Q48" s="701"/>
      <c r="R48" s="701"/>
      <c r="S48" s="701"/>
      <c r="U48" s="700"/>
      <c r="V48" s="701"/>
      <c r="W48" s="701"/>
      <c r="X48" s="701"/>
      <c r="Y48" s="701"/>
      <c r="Z48" s="701"/>
      <c r="AA48" s="701"/>
      <c r="AB48" s="640" t="s">
        <v>338</v>
      </c>
      <c r="AC48" s="640" t="s">
        <v>40</v>
      </c>
      <c r="AD48" s="640" t="s">
        <v>346</v>
      </c>
      <c r="AE48" s="640" t="s">
        <v>347</v>
      </c>
      <c r="AF48" s="640" t="s">
        <v>348</v>
      </c>
      <c r="AG48" s="640" t="s">
        <v>349</v>
      </c>
      <c r="AH48" s="701"/>
      <c r="AI48" s="701"/>
      <c r="AJ48" s="701"/>
      <c r="AK48" s="701"/>
    </row>
    <row r="49" spans="3:37" ht="13.5">
      <c r="C49" s="641" t="s">
        <v>59</v>
      </c>
      <c r="D49" s="642">
        <v>0</v>
      </c>
      <c r="E49" s="643">
        <v>9.7977867342210008</v>
      </c>
      <c r="F49" s="643">
        <v>0</v>
      </c>
      <c r="G49" s="642">
        <v>0.18111850000000002</v>
      </c>
      <c r="H49" s="643">
        <v>1072.2208090909091</v>
      </c>
      <c r="I49" s="643">
        <v>115.72304451809002</v>
      </c>
      <c r="J49" s="643">
        <v>114.24305924309452</v>
      </c>
      <c r="K49" s="643">
        <v>33.631608055405756</v>
      </c>
      <c r="L49" s="643">
        <v>0</v>
      </c>
      <c r="M49" s="643">
        <v>9.2815441223735728</v>
      </c>
      <c r="N49" s="643">
        <v>32.908596666666668</v>
      </c>
      <c r="O49" s="643">
        <v>8.1133079726239394</v>
      </c>
      <c r="P49" s="644">
        <v>0</v>
      </c>
      <c r="Q49" s="643">
        <v>0</v>
      </c>
      <c r="R49" s="643">
        <v>0</v>
      </c>
      <c r="S49" s="645">
        <v>1396.1008749033845</v>
      </c>
      <c r="U49" s="641" t="s">
        <v>59</v>
      </c>
      <c r="V49" s="642">
        <v>0</v>
      </c>
      <c r="W49" s="643">
        <v>9.7977867342210008</v>
      </c>
      <c r="X49" s="643">
        <v>0</v>
      </c>
      <c r="Y49" s="642">
        <v>0.18111850000000002</v>
      </c>
      <c r="Z49" s="643">
        <v>1072.2208090909091</v>
      </c>
      <c r="AA49" s="643">
        <v>115.72304451809002</v>
      </c>
      <c r="AB49" s="643">
        <v>114.24305924309452</v>
      </c>
      <c r="AC49" s="643">
        <v>33.631608055405756</v>
      </c>
      <c r="AD49" s="643">
        <v>0</v>
      </c>
      <c r="AE49" s="643">
        <v>9.2815441223735728</v>
      </c>
      <c r="AF49" s="643">
        <v>32.908596666666668</v>
      </c>
      <c r="AG49" s="643">
        <v>8.1133079726239394</v>
      </c>
      <c r="AH49" s="644">
        <v>0</v>
      </c>
      <c r="AI49" s="643">
        <v>0</v>
      </c>
      <c r="AJ49" s="643">
        <v>0</v>
      </c>
      <c r="AK49" s="645">
        <v>1396.1008749033845</v>
      </c>
    </row>
    <row r="50" spans="3:37" ht="13.5">
      <c r="C50" s="641" t="s">
        <v>60</v>
      </c>
      <c r="D50" s="642">
        <v>59.346560356893349</v>
      </c>
      <c r="E50" s="643">
        <v>394.73997109464659</v>
      </c>
      <c r="F50" s="643">
        <v>515.26337584814883</v>
      </c>
      <c r="G50" s="642">
        <v>479.42224425000006</v>
      </c>
      <c r="H50" s="643">
        <v>0</v>
      </c>
      <c r="I50" s="643">
        <v>0</v>
      </c>
      <c r="J50" s="643">
        <v>2.6631252777777781</v>
      </c>
      <c r="K50" s="643">
        <v>0</v>
      </c>
      <c r="L50" s="643">
        <v>13.962014778928699</v>
      </c>
      <c r="M50" s="643">
        <v>0</v>
      </c>
      <c r="N50" s="643">
        <v>0</v>
      </c>
      <c r="O50" s="643">
        <v>0</v>
      </c>
      <c r="P50" s="644">
        <v>19.536102</v>
      </c>
      <c r="Q50" s="643">
        <v>0</v>
      </c>
      <c r="R50" s="643">
        <v>0</v>
      </c>
      <c r="S50" s="645">
        <v>1484.9333936063952</v>
      </c>
      <c r="U50" s="641" t="s">
        <v>60</v>
      </c>
      <c r="V50" s="642">
        <v>59.346560356893349</v>
      </c>
      <c r="W50" s="643">
        <v>394.73997109464659</v>
      </c>
      <c r="X50" s="643">
        <v>515.26337584814883</v>
      </c>
      <c r="Y50" s="642">
        <v>479.42224425000006</v>
      </c>
      <c r="Z50" s="643">
        <v>0</v>
      </c>
      <c r="AA50" s="643">
        <v>0</v>
      </c>
      <c r="AB50" s="643">
        <v>2.6631252777777781</v>
      </c>
      <c r="AC50" s="643">
        <v>0</v>
      </c>
      <c r="AD50" s="643">
        <v>13.962014778928699</v>
      </c>
      <c r="AE50" s="643">
        <v>0</v>
      </c>
      <c r="AF50" s="643">
        <v>0</v>
      </c>
      <c r="AG50" s="643">
        <v>0</v>
      </c>
      <c r="AH50" s="644">
        <v>19.536102</v>
      </c>
      <c r="AI50" s="643">
        <v>0</v>
      </c>
      <c r="AJ50" s="643">
        <v>0</v>
      </c>
      <c r="AK50" s="645">
        <v>1484.9333936063952</v>
      </c>
    </row>
    <row r="51" spans="3:37" ht="13.5">
      <c r="C51" s="641" t="s">
        <v>61</v>
      </c>
      <c r="D51" s="642">
        <v>-9.6972882210000014E-2</v>
      </c>
      <c r="E51" s="643">
        <v>-1.4488664385590002</v>
      </c>
      <c r="F51" s="643">
        <v>-154.00833143808623</v>
      </c>
      <c r="G51" s="642">
        <v>-95.022441999999998</v>
      </c>
      <c r="H51" s="643">
        <v>0</v>
      </c>
      <c r="I51" s="643">
        <v>0</v>
      </c>
      <c r="J51" s="643">
        <v>-2.0287163888888888</v>
      </c>
      <c r="K51" s="643">
        <v>0</v>
      </c>
      <c r="L51" s="643">
        <v>-7.1333416709442901</v>
      </c>
      <c r="M51" s="643">
        <v>0</v>
      </c>
      <c r="N51" s="643">
        <v>0</v>
      </c>
      <c r="O51" s="643">
        <v>0</v>
      </c>
      <c r="P51" s="644">
        <v>-64.575296000000009</v>
      </c>
      <c r="Q51" s="643">
        <v>0</v>
      </c>
      <c r="R51" s="643">
        <v>0</v>
      </c>
      <c r="S51" s="645">
        <v>-324.31396681868836</v>
      </c>
      <c r="U51" s="641" t="s">
        <v>61</v>
      </c>
      <c r="V51" s="642">
        <v>-9.6972882210000014E-2</v>
      </c>
      <c r="W51" s="643">
        <v>-1.4488664385590002</v>
      </c>
      <c r="X51" s="643">
        <v>-154.00833143808623</v>
      </c>
      <c r="Y51" s="642">
        <v>-95.022441999999998</v>
      </c>
      <c r="Z51" s="643">
        <v>0</v>
      </c>
      <c r="AA51" s="643">
        <v>0</v>
      </c>
      <c r="AB51" s="643">
        <v>-2.0287163888888888</v>
      </c>
      <c r="AC51" s="643">
        <v>0</v>
      </c>
      <c r="AD51" s="643">
        <v>-7.1333416709442901</v>
      </c>
      <c r="AE51" s="643">
        <v>0</v>
      </c>
      <c r="AF51" s="643">
        <v>0</v>
      </c>
      <c r="AG51" s="643">
        <v>0</v>
      </c>
      <c r="AH51" s="644">
        <v>-64.575296000000009</v>
      </c>
      <c r="AI51" s="643">
        <v>0</v>
      </c>
      <c r="AJ51" s="643">
        <v>0</v>
      </c>
      <c r="AK51" s="645">
        <v>-324.31396681868836</v>
      </c>
    </row>
    <row r="52" spans="3:37" ht="13.5">
      <c r="C52" s="641" t="s">
        <v>62</v>
      </c>
      <c r="D52" s="642">
        <v>0</v>
      </c>
      <c r="E52" s="643">
        <v>0</v>
      </c>
      <c r="F52" s="643">
        <v>-11.254966292131096</v>
      </c>
      <c r="G52" s="642">
        <v>0</v>
      </c>
      <c r="H52" s="643">
        <v>0</v>
      </c>
      <c r="I52" s="643">
        <v>0</v>
      </c>
      <c r="J52" s="643">
        <v>0</v>
      </c>
      <c r="K52" s="643">
        <v>0</v>
      </c>
      <c r="L52" s="643">
        <v>0</v>
      </c>
      <c r="M52" s="643">
        <v>0</v>
      </c>
      <c r="N52" s="643">
        <v>0</v>
      </c>
      <c r="O52" s="643">
        <v>0</v>
      </c>
      <c r="P52" s="644">
        <v>0</v>
      </c>
      <c r="Q52" s="643">
        <v>0</v>
      </c>
      <c r="R52" s="643">
        <v>0</v>
      </c>
      <c r="S52" s="645">
        <v>-11.254966292131096</v>
      </c>
      <c r="U52" s="641" t="s">
        <v>62</v>
      </c>
      <c r="V52" s="642">
        <v>0</v>
      </c>
      <c r="W52" s="643">
        <v>0</v>
      </c>
      <c r="X52" s="643">
        <v>-11.254966292131096</v>
      </c>
      <c r="Y52" s="642">
        <v>0</v>
      </c>
      <c r="Z52" s="643">
        <v>0</v>
      </c>
      <c r="AA52" s="643">
        <v>0</v>
      </c>
      <c r="AB52" s="643">
        <v>0</v>
      </c>
      <c r="AC52" s="643">
        <v>0</v>
      </c>
      <c r="AD52" s="643">
        <v>0</v>
      </c>
      <c r="AE52" s="643">
        <v>0</v>
      </c>
      <c r="AF52" s="643">
        <v>0</v>
      </c>
      <c r="AG52" s="643">
        <v>0</v>
      </c>
      <c r="AH52" s="644">
        <v>0</v>
      </c>
      <c r="AI52" s="643">
        <v>0</v>
      </c>
      <c r="AJ52" s="643">
        <v>0</v>
      </c>
      <c r="AK52" s="645">
        <v>-11.254966292131096</v>
      </c>
    </row>
    <row r="53" spans="3:37" ht="13.5">
      <c r="C53" s="641" t="s">
        <v>63</v>
      </c>
      <c r="D53" s="642">
        <v>0</v>
      </c>
      <c r="E53" s="643">
        <v>0</v>
      </c>
      <c r="F53" s="643">
        <v>-37.45524104092592</v>
      </c>
      <c r="G53" s="642">
        <v>0</v>
      </c>
      <c r="H53" s="643">
        <v>0</v>
      </c>
      <c r="I53" s="643">
        <v>0</v>
      </c>
      <c r="J53" s="643">
        <v>0</v>
      </c>
      <c r="K53" s="643">
        <v>0</v>
      </c>
      <c r="L53" s="643">
        <v>0</v>
      </c>
      <c r="M53" s="643">
        <v>0</v>
      </c>
      <c r="N53" s="643">
        <v>0</v>
      </c>
      <c r="O53" s="643">
        <v>0</v>
      </c>
      <c r="P53" s="644">
        <v>0</v>
      </c>
      <c r="Q53" s="643">
        <v>0</v>
      </c>
      <c r="R53" s="643">
        <v>0</v>
      </c>
      <c r="S53" s="645">
        <v>-37.45524104092592</v>
      </c>
      <c r="U53" s="641" t="s">
        <v>63</v>
      </c>
      <c r="V53" s="642">
        <v>0</v>
      </c>
      <c r="W53" s="643">
        <v>0</v>
      </c>
      <c r="X53" s="643">
        <v>-37.45524104092592</v>
      </c>
      <c r="Y53" s="642">
        <v>0</v>
      </c>
      <c r="Z53" s="643">
        <v>0</v>
      </c>
      <c r="AA53" s="643">
        <v>0</v>
      </c>
      <c r="AB53" s="643">
        <v>0</v>
      </c>
      <c r="AC53" s="643">
        <v>0</v>
      </c>
      <c r="AD53" s="643">
        <v>0</v>
      </c>
      <c r="AE53" s="643">
        <v>0</v>
      </c>
      <c r="AF53" s="643">
        <v>0</v>
      </c>
      <c r="AG53" s="643">
        <v>0</v>
      </c>
      <c r="AH53" s="644">
        <v>0</v>
      </c>
      <c r="AI53" s="643">
        <v>0</v>
      </c>
      <c r="AJ53" s="643">
        <v>0</v>
      </c>
      <c r="AK53" s="645">
        <v>-37.45524104092592</v>
      </c>
    </row>
    <row r="54" spans="3:37" ht="13.5">
      <c r="C54" s="641" t="s">
        <v>64</v>
      </c>
      <c r="D54" s="642">
        <v>2.2754338241033341</v>
      </c>
      <c r="E54" s="643">
        <v>1.7895047303380001</v>
      </c>
      <c r="F54" s="643">
        <v>-1.4741451662241043</v>
      </c>
      <c r="G54" s="642">
        <v>21.247482000000002</v>
      </c>
      <c r="H54" s="643">
        <v>0</v>
      </c>
      <c r="I54" s="643">
        <v>0</v>
      </c>
      <c r="J54" s="643">
        <v>0</v>
      </c>
      <c r="K54" s="643">
        <v>0</v>
      </c>
      <c r="L54" s="643">
        <v>0</v>
      </c>
      <c r="M54" s="643">
        <v>0</v>
      </c>
      <c r="N54" s="643">
        <v>0</v>
      </c>
      <c r="O54" s="643">
        <v>0</v>
      </c>
      <c r="P54" s="644">
        <v>0</v>
      </c>
      <c r="Q54" s="643">
        <v>0</v>
      </c>
      <c r="R54" s="643">
        <v>0</v>
      </c>
      <c r="S54" s="645">
        <v>23.838275388217234</v>
      </c>
      <c r="U54" s="641" t="s">
        <v>64</v>
      </c>
      <c r="V54" s="642">
        <v>2.2754338241033341</v>
      </c>
      <c r="W54" s="643">
        <v>1.7895047303380001</v>
      </c>
      <c r="X54" s="643">
        <v>-1.4741451662241043</v>
      </c>
      <c r="Y54" s="642">
        <v>21.247482000000002</v>
      </c>
      <c r="Z54" s="643">
        <v>0</v>
      </c>
      <c r="AA54" s="643">
        <v>0</v>
      </c>
      <c r="AB54" s="643">
        <v>0</v>
      </c>
      <c r="AC54" s="643">
        <v>0</v>
      </c>
      <c r="AD54" s="643">
        <v>0</v>
      </c>
      <c r="AE54" s="643">
        <v>0</v>
      </c>
      <c r="AF54" s="643">
        <v>0</v>
      </c>
      <c r="AG54" s="643">
        <v>0</v>
      </c>
      <c r="AH54" s="644">
        <v>0</v>
      </c>
      <c r="AI54" s="643">
        <v>0</v>
      </c>
      <c r="AJ54" s="643">
        <v>0</v>
      </c>
      <c r="AK54" s="645">
        <v>23.838275388217234</v>
      </c>
    </row>
    <row r="55" spans="3:37" ht="13.5">
      <c r="C55" s="646" t="s">
        <v>65</v>
      </c>
      <c r="D55" s="647">
        <v>61.52502129878669</v>
      </c>
      <c r="E55" s="647">
        <v>404.87839612064664</v>
      </c>
      <c r="F55" s="647">
        <v>311.07069191078136</v>
      </c>
      <c r="G55" s="647">
        <v>405.82840275000007</v>
      </c>
      <c r="H55" s="647">
        <v>1072.2208090909091</v>
      </c>
      <c r="I55" s="647">
        <v>115.72304451809002</v>
      </c>
      <c r="J55" s="647">
        <v>114.87746813198341</v>
      </c>
      <c r="K55" s="647">
        <v>33.631608055405756</v>
      </c>
      <c r="L55" s="647">
        <v>6.8286731079844092</v>
      </c>
      <c r="M55" s="647">
        <v>9.2815441223735728</v>
      </c>
      <c r="N55" s="647">
        <v>32.908596666666668</v>
      </c>
      <c r="O55" s="647">
        <v>8.1133079726239394</v>
      </c>
      <c r="P55" s="647">
        <v>-45.039194000000009</v>
      </c>
      <c r="Q55" s="647">
        <v>0</v>
      </c>
      <c r="R55" s="647">
        <v>0</v>
      </c>
      <c r="S55" s="647">
        <v>2531.8483697462511</v>
      </c>
      <c r="U55" s="646" t="s">
        <v>65</v>
      </c>
      <c r="V55" s="647">
        <v>61.52502129878669</v>
      </c>
      <c r="W55" s="647">
        <v>404.87839612064664</v>
      </c>
      <c r="X55" s="647">
        <v>311.07069191078136</v>
      </c>
      <c r="Y55" s="647">
        <v>405.82840275000007</v>
      </c>
      <c r="Z55" s="647">
        <v>1072.2208090909091</v>
      </c>
      <c r="AA55" s="647">
        <v>115.72304451809002</v>
      </c>
      <c r="AB55" s="647">
        <v>114.87746813198341</v>
      </c>
      <c r="AC55" s="647">
        <v>33.631608055405756</v>
      </c>
      <c r="AD55" s="647">
        <v>6.8286731079844092</v>
      </c>
      <c r="AE55" s="647">
        <v>9.2815441223735728</v>
      </c>
      <c r="AF55" s="647">
        <v>32.908596666666668</v>
      </c>
      <c r="AG55" s="647">
        <v>8.1133079726239394</v>
      </c>
      <c r="AH55" s="647">
        <v>-45.039194000000009</v>
      </c>
      <c r="AI55" s="647">
        <v>0</v>
      </c>
      <c r="AJ55" s="647">
        <v>0</v>
      </c>
      <c r="AK55" s="647">
        <v>2531.8483697462511</v>
      </c>
    </row>
    <row r="56" spans="3:37" ht="13">
      <c r="C56" s="636"/>
      <c r="D56" s="636"/>
      <c r="E56" s="636"/>
      <c r="F56" s="636"/>
      <c r="G56" s="636"/>
      <c r="H56" s="636"/>
      <c r="I56" s="636"/>
      <c r="J56" s="636"/>
      <c r="K56" s="636"/>
      <c r="L56" s="636"/>
      <c r="M56" s="636"/>
      <c r="N56" s="636"/>
      <c r="O56" s="636"/>
      <c r="P56" s="636"/>
      <c r="Q56" s="636"/>
      <c r="R56" s="636"/>
      <c r="S56" s="636"/>
      <c r="U56" s="636"/>
      <c r="V56" s="636"/>
      <c r="W56" s="636"/>
      <c r="X56" s="636"/>
      <c r="Y56" s="636"/>
      <c r="Z56" s="636"/>
      <c r="AA56" s="636"/>
      <c r="AB56" s="636"/>
      <c r="AC56" s="636"/>
      <c r="AD56" s="636"/>
      <c r="AE56" s="636"/>
      <c r="AF56" s="636"/>
      <c r="AG56" s="636"/>
      <c r="AH56" s="636"/>
      <c r="AI56" s="636"/>
      <c r="AJ56" s="636"/>
      <c r="AK56" s="636"/>
    </row>
    <row r="57" spans="3:37" ht="13.5">
      <c r="C57" s="648" t="s">
        <v>67</v>
      </c>
      <c r="D57" s="642">
        <v>-3.1696853392377875</v>
      </c>
      <c r="E57" s="649">
        <v>7.594656734105321</v>
      </c>
      <c r="F57" s="649">
        <v>3.8234994290490683</v>
      </c>
      <c r="G57" s="642">
        <v>-0.68950250000000013</v>
      </c>
      <c r="H57" s="642">
        <v>0</v>
      </c>
      <c r="I57" s="642">
        <v>0</v>
      </c>
      <c r="J57" s="642">
        <v>0</v>
      </c>
      <c r="K57" s="642">
        <v>0</v>
      </c>
      <c r="L57" s="642">
        <v>0</v>
      </c>
      <c r="M57" s="642">
        <v>0</v>
      </c>
      <c r="N57" s="642">
        <v>0</v>
      </c>
      <c r="O57" s="642">
        <v>0</v>
      </c>
      <c r="P57" s="642">
        <v>2.0843062301020092</v>
      </c>
      <c r="Q57" s="642">
        <v>0</v>
      </c>
      <c r="R57" s="642">
        <v>0</v>
      </c>
      <c r="S57" s="650">
        <v>9.6432745540186122</v>
      </c>
      <c r="U57" s="648" t="s">
        <v>67</v>
      </c>
      <c r="V57" s="642">
        <v>-3.1696853392377875</v>
      </c>
      <c r="W57" s="649">
        <v>7.594656734105321</v>
      </c>
      <c r="X57" s="649">
        <v>3.8234994290490683</v>
      </c>
      <c r="Y57" s="642">
        <v>-0.68950250000000013</v>
      </c>
      <c r="Z57" s="642">
        <v>0</v>
      </c>
      <c r="AA57" s="642">
        <v>0</v>
      </c>
      <c r="AB57" s="642">
        <v>0</v>
      </c>
      <c r="AC57" s="642">
        <v>0</v>
      </c>
      <c r="AD57" s="642">
        <v>0</v>
      </c>
      <c r="AE57" s="642">
        <v>0</v>
      </c>
      <c r="AF57" s="642">
        <v>0</v>
      </c>
      <c r="AG57" s="642">
        <v>0</v>
      </c>
      <c r="AH57" s="642">
        <v>2.0843062301020092</v>
      </c>
      <c r="AI57" s="642">
        <v>0</v>
      </c>
      <c r="AJ57" s="642">
        <v>0</v>
      </c>
      <c r="AK57" s="650">
        <v>9.6432745540186122</v>
      </c>
    </row>
    <row r="58" spans="3:37" ht="13.5">
      <c r="C58" s="648" t="s">
        <v>350</v>
      </c>
      <c r="D58" s="642">
        <v>14.864431241687887</v>
      </c>
      <c r="E58" s="642">
        <v>0</v>
      </c>
      <c r="F58" s="642">
        <v>13.418152502737103</v>
      </c>
      <c r="G58" s="642">
        <v>55.436136268601025</v>
      </c>
      <c r="H58" s="642">
        <v>1072.2208090909091</v>
      </c>
      <c r="I58" s="642">
        <v>115.67142051809002</v>
      </c>
      <c r="J58" s="651">
        <v>17.347825951117827</v>
      </c>
      <c r="K58" s="651">
        <v>11.678824122543197</v>
      </c>
      <c r="L58" s="651">
        <v>0</v>
      </c>
      <c r="M58" s="651">
        <v>5.2886919634287652</v>
      </c>
      <c r="N58" s="651">
        <v>0</v>
      </c>
      <c r="O58" s="651">
        <v>1.3922112325408571</v>
      </c>
      <c r="P58" s="642">
        <v>-527.28039181222232</v>
      </c>
      <c r="Q58" s="642">
        <v>0</v>
      </c>
      <c r="R58" s="642">
        <v>0</v>
      </c>
      <c r="S58" s="650">
        <v>780.03811107943307</v>
      </c>
      <c r="U58" s="648" t="s">
        <v>350</v>
      </c>
      <c r="V58" s="642">
        <v>14.864431241687887</v>
      </c>
      <c r="W58" s="642">
        <v>0</v>
      </c>
      <c r="X58" s="642">
        <v>13.418152502737103</v>
      </c>
      <c r="Y58" s="642">
        <v>55.436136268601025</v>
      </c>
      <c r="Z58" s="642">
        <v>1072.2208090909091</v>
      </c>
      <c r="AA58" s="642">
        <v>115.67142051809002</v>
      </c>
      <c r="AB58" s="651">
        <v>17.347825951117827</v>
      </c>
      <c r="AC58" s="651">
        <v>11.678824122543197</v>
      </c>
      <c r="AD58" s="651">
        <v>0</v>
      </c>
      <c r="AE58" s="651">
        <v>5.2886919634287652</v>
      </c>
      <c r="AF58" s="651">
        <v>0</v>
      </c>
      <c r="AG58" s="651">
        <v>1.3922112325408571</v>
      </c>
      <c r="AH58" s="642">
        <v>-527.28039181222232</v>
      </c>
      <c r="AI58" s="642">
        <v>0</v>
      </c>
      <c r="AJ58" s="642">
        <v>0</v>
      </c>
      <c r="AK58" s="650">
        <v>780.03811107943307</v>
      </c>
    </row>
    <row r="59" spans="3:37" ht="13.5">
      <c r="C59" s="648" t="s">
        <v>351</v>
      </c>
      <c r="D59" s="642">
        <v>1.5729367626898902</v>
      </c>
      <c r="E59" s="642">
        <v>0</v>
      </c>
      <c r="F59" s="642">
        <v>0.20358189452574635</v>
      </c>
      <c r="G59" s="642">
        <v>21.08911448139898</v>
      </c>
      <c r="H59" s="642">
        <v>0</v>
      </c>
      <c r="I59" s="642">
        <v>0</v>
      </c>
      <c r="J59" s="651">
        <v>7.8982729217883261</v>
      </c>
      <c r="K59" s="651">
        <v>16.49482411485047</v>
      </c>
      <c r="L59" s="651">
        <v>0</v>
      </c>
      <c r="M59" s="651">
        <v>3.0673174902469076</v>
      </c>
      <c r="N59" s="651">
        <v>0.25705111111111106</v>
      </c>
      <c r="O59" s="651">
        <v>3.9939867016268904</v>
      </c>
      <c r="P59" s="642">
        <v>0</v>
      </c>
      <c r="Q59" s="642">
        <v>-45.831488617908406</v>
      </c>
      <c r="R59" s="642">
        <v>0</v>
      </c>
      <c r="S59" s="650">
        <v>8.7455968603299254</v>
      </c>
      <c r="U59" s="648" t="s">
        <v>351</v>
      </c>
      <c r="V59" s="642">
        <v>1.5729367626898902</v>
      </c>
      <c r="W59" s="642">
        <v>0</v>
      </c>
      <c r="X59" s="642">
        <v>0.20358189452574635</v>
      </c>
      <c r="Y59" s="642">
        <v>21.08911448139898</v>
      </c>
      <c r="Z59" s="642">
        <v>0</v>
      </c>
      <c r="AA59" s="642">
        <v>0</v>
      </c>
      <c r="AB59" s="651">
        <v>7.8982729217883261</v>
      </c>
      <c r="AC59" s="651">
        <v>16.49482411485047</v>
      </c>
      <c r="AD59" s="651">
        <v>0</v>
      </c>
      <c r="AE59" s="651">
        <v>3.0673174902469076</v>
      </c>
      <c r="AF59" s="651">
        <v>0.25705111111111106</v>
      </c>
      <c r="AG59" s="651">
        <v>3.9939867016268904</v>
      </c>
      <c r="AH59" s="642">
        <v>0</v>
      </c>
      <c r="AI59" s="642">
        <v>-45.831488617908406</v>
      </c>
      <c r="AJ59" s="642">
        <v>0</v>
      </c>
      <c r="AK59" s="650">
        <v>8.7455968603299254</v>
      </c>
    </row>
    <row r="60" spans="3:37" ht="13.5">
      <c r="C60" s="648" t="s">
        <v>352</v>
      </c>
      <c r="D60" s="642">
        <v>0</v>
      </c>
      <c r="E60" s="642">
        <v>0</v>
      </c>
      <c r="F60" s="642">
        <v>0</v>
      </c>
      <c r="G60" s="642">
        <v>0</v>
      </c>
      <c r="H60" s="642">
        <v>0</v>
      </c>
      <c r="I60" s="642">
        <v>0</v>
      </c>
      <c r="J60" s="652">
        <v>0</v>
      </c>
      <c r="K60" s="652">
        <v>0</v>
      </c>
      <c r="L60" s="652">
        <v>0</v>
      </c>
      <c r="M60" s="652">
        <v>-1.9873640000000001</v>
      </c>
      <c r="N60" s="652">
        <v>0</v>
      </c>
      <c r="O60" s="652">
        <v>0</v>
      </c>
      <c r="P60" s="642">
        <v>0</v>
      </c>
      <c r="Q60" s="642">
        <v>0</v>
      </c>
      <c r="R60" s="642">
        <v>0</v>
      </c>
      <c r="S60" s="650">
        <v>-1.9873640000000001</v>
      </c>
      <c r="U60" s="648" t="s">
        <v>352</v>
      </c>
      <c r="V60" s="642">
        <v>0</v>
      </c>
      <c r="W60" s="642">
        <v>0</v>
      </c>
      <c r="X60" s="642">
        <v>0</v>
      </c>
      <c r="Y60" s="642">
        <v>0</v>
      </c>
      <c r="Z60" s="642">
        <v>0</v>
      </c>
      <c r="AA60" s="642">
        <v>0</v>
      </c>
      <c r="AB60" s="652">
        <v>0</v>
      </c>
      <c r="AC60" s="652">
        <v>0</v>
      </c>
      <c r="AD60" s="652">
        <v>0</v>
      </c>
      <c r="AE60" s="652">
        <v>-1.9873640000000001</v>
      </c>
      <c r="AF60" s="652">
        <v>0</v>
      </c>
      <c r="AG60" s="652">
        <v>0</v>
      </c>
      <c r="AH60" s="642">
        <v>0</v>
      </c>
      <c r="AI60" s="642">
        <v>0</v>
      </c>
      <c r="AJ60" s="642">
        <v>0</v>
      </c>
      <c r="AK60" s="650">
        <v>-1.9873640000000001</v>
      </c>
    </row>
    <row r="61" spans="3:37" ht="13.5">
      <c r="C61" s="648" t="s">
        <v>353</v>
      </c>
      <c r="D61" s="642">
        <v>0</v>
      </c>
      <c r="E61" s="642">
        <v>0</v>
      </c>
      <c r="F61" s="642">
        <v>0</v>
      </c>
      <c r="G61" s="642">
        <v>0</v>
      </c>
      <c r="H61" s="642">
        <v>0</v>
      </c>
      <c r="I61" s="642">
        <v>0</v>
      </c>
      <c r="J61" s="642">
        <v>0</v>
      </c>
      <c r="K61" s="642">
        <v>0</v>
      </c>
      <c r="L61" s="642">
        <v>0</v>
      </c>
      <c r="M61" s="642">
        <v>0</v>
      </c>
      <c r="N61" s="642">
        <v>0</v>
      </c>
      <c r="O61" s="642">
        <v>0</v>
      </c>
      <c r="P61" s="642">
        <v>0</v>
      </c>
      <c r="Q61" s="642">
        <v>0</v>
      </c>
      <c r="R61" s="642">
        <v>0</v>
      </c>
      <c r="S61" s="650">
        <v>0</v>
      </c>
      <c r="U61" s="648" t="s">
        <v>353</v>
      </c>
      <c r="V61" s="642">
        <v>0</v>
      </c>
      <c r="W61" s="642">
        <v>0</v>
      </c>
      <c r="X61" s="642">
        <v>0</v>
      </c>
      <c r="Y61" s="642">
        <v>0</v>
      </c>
      <c r="Z61" s="642">
        <v>0</v>
      </c>
      <c r="AA61" s="642">
        <v>0</v>
      </c>
      <c r="AB61" s="642">
        <v>0</v>
      </c>
      <c r="AC61" s="642">
        <v>0</v>
      </c>
      <c r="AD61" s="642">
        <v>0</v>
      </c>
      <c r="AE61" s="642">
        <v>0</v>
      </c>
      <c r="AF61" s="642">
        <v>0</v>
      </c>
      <c r="AG61" s="642">
        <v>0</v>
      </c>
      <c r="AH61" s="642">
        <v>0</v>
      </c>
      <c r="AI61" s="642">
        <v>0</v>
      </c>
      <c r="AJ61" s="642">
        <v>0</v>
      </c>
      <c r="AK61" s="650">
        <v>0</v>
      </c>
    </row>
    <row r="62" spans="3:37" ht="13.5">
      <c r="C62" s="648" t="s">
        <v>72</v>
      </c>
      <c r="D62" s="642">
        <v>0</v>
      </c>
      <c r="E62" s="642">
        <v>440.59076600316865</v>
      </c>
      <c r="F62" s="642">
        <v>-437.66600779015403</v>
      </c>
      <c r="G62" s="642">
        <v>0</v>
      </c>
      <c r="H62" s="642">
        <v>0</v>
      </c>
      <c r="I62" s="642">
        <v>0</v>
      </c>
      <c r="J62" s="642">
        <v>0</v>
      </c>
      <c r="K62" s="642">
        <v>0</v>
      </c>
      <c r="L62" s="642">
        <v>0</v>
      </c>
      <c r="M62" s="642">
        <v>0</v>
      </c>
      <c r="N62" s="642">
        <v>0</v>
      </c>
      <c r="O62" s="642">
        <v>0</v>
      </c>
      <c r="P62" s="642">
        <v>0</v>
      </c>
      <c r="Q62" s="642">
        <v>0</v>
      </c>
      <c r="R62" s="642">
        <v>0</v>
      </c>
      <c r="S62" s="650">
        <v>2.9247582130146133</v>
      </c>
      <c r="U62" s="648" t="s">
        <v>72</v>
      </c>
      <c r="V62" s="642">
        <v>0</v>
      </c>
      <c r="W62" s="642">
        <v>440.59076600316865</v>
      </c>
      <c r="X62" s="642">
        <v>-437.66600779015403</v>
      </c>
      <c r="Y62" s="642">
        <v>0</v>
      </c>
      <c r="Z62" s="642">
        <v>0</v>
      </c>
      <c r="AA62" s="642">
        <v>0</v>
      </c>
      <c r="AB62" s="642">
        <v>0</v>
      </c>
      <c r="AC62" s="642">
        <v>0</v>
      </c>
      <c r="AD62" s="642">
        <v>0</v>
      </c>
      <c r="AE62" s="642">
        <v>0</v>
      </c>
      <c r="AF62" s="642">
        <v>0</v>
      </c>
      <c r="AG62" s="642">
        <v>0</v>
      </c>
      <c r="AH62" s="642">
        <v>0</v>
      </c>
      <c r="AI62" s="642">
        <v>0</v>
      </c>
      <c r="AJ62" s="642">
        <v>0</v>
      </c>
      <c r="AK62" s="650">
        <v>2.9247582130146133</v>
      </c>
    </row>
    <row r="63" spans="3:37" ht="13.5">
      <c r="C63" s="648" t="s">
        <v>354</v>
      </c>
      <c r="D63" s="642">
        <v>0</v>
      </c>
      <c r="E63" s="642">
        <v>0</v>
      </c>
      <c r="F63" s="642">
        <v>0</v>
      </c>
      <c r="G63" s="642">
        <v>0</v>
      </c>
      <c r="H63" s="642">
        <v>0</v>
      </c>
      <c r="I63" s="642">
        <v>0</v>
      </c>
      <c r="J63" s="642">
        <v>0</v>
      </c>
      <c r="K63" s="642">
        <v>0</v>
      </c>
      <c r="L63" s="642">
        <v>-27.31624937979873</v>
      </c>
      <c r="M63" s="642">
        <v>0</v>
      </c>
      <c r="N63" s="642">
        <v>0</v>
      </c>
      <c r="O63" s="642">
        <v>0</v>
      </c>
      <c r="P63" s="642">
        <v>0</v>
      </c>
      <c r="Q63" s="642">
        <v>0</v>
      </c>
      <c r="R63" s="642">
        <v>0</v>
      </c>
      <c r="S63" s="650">
        <v>-27.31624937979873</v>
      </c>
      <c r="U63" s="648" t="s">
        <v>354</v>
      </c>
      <c r="V63" s="642">
        <v>0</v>
      </c>
      <c r="W63" s="642">
        <v>0</v>
      </c>
      <c r="X63" s="642">
        <v>0</v>
      </c>
      <c r="Y63" s="642">
        <v>0</v>
      </c>
      <c r="Z63" s="642">
        <v>0</v>
      </c>
      <c r="AA63" s="642">
        <v>0</v>
      </c>
      <c r="AB63" s="642">
        <v>0</v>
      </c>
      <c r="AC63" s="642">
        <v>0</v>
      </c>
      <c r="AD63" s="642">
        <v>-27.31624937979873</v>
      </c>
      <c r="AE63" s="642">
        <v>0</v>
      </c>
      <c r="AF63" s="642">
        <v>0</v>
      </c>
      <c r="AG63" s="642">
        <v>0</v>
      </c>
      <c r="AH63" s="642">
        <v>0</v>
      </c>
      <c r="AI63" s="642">
        <v>0</v>
      </c>
      <c r="AJ63" s="642">
        <v>0</v>
      </c>
      <c r="AK63" s="650">
        <v>-27.31624937979873</v>
      </c>
    </row>
    <row r="64" spans="3:37" ht="13.5">
      <c r="C64" s="648" t="s">
        <v>355</v>
      </c>
      <c r="D64" s="642">
        <v>0</v>
      </c>
      <c r="E64" s="642">
        <v>0</v>
      </c>
      <c r="F64" s="642">
        <v>0</v>
      </c>
      <c r="G64" s="642">
        <v>0</v>
      </c>
      <c r="H64" s="642">
        <v>0</v>
      </c>
      <c r="I64" s="642">
        <v>0</v>
      </c>
      <c r="J64" s="642">
        <v>0</v>
      </c>
      <c r="K64" s="642">
        <v>0</v>
      </c>
      <c r="L64" s="642">
        <v>0</v>
      </c>
      <c r="M64" s="642">
        <v>0</v>
      </c>
      <c r="N64" s="642">
        <v>0</v>
      </c>
      <c r="O64" s="642">
        <v>0</v>
      </c>
      <c r="P64" s="642">
        <v>0</v>
      </c>
      <c r="Q64" s="642">
        <v>0</v>
      </c>
      <c r="R64" s="642">
        <v>0</v>
      </c>
      <c r="S64" s="650">
        <v>0</v>
      </c>
      <c r="U64" s="648" t="s">
        <v>355</v>
      </c>
      <c r="V64" s="642">
        <v>0</v>
      </c>
      <c r="W64" s="642">
        <v>0</v>
      </c>
      <c r="X64" s="642">
        <v>0</v>
      </c>
      <c r="Y64" s="642">
        <v>0</v>
      </c>
      <c r="Z64" s="642">
        <v>0</v>
      </c>
      <c r="AA64" s="642">
        <v>0</v>
      </c>
      <c r="AB64" s="642">
        <v>0</v>
      </c>
      <c r="AC64" s="642">
        <v>0</v>
      </c>
      <c r="AD64" s="642">
        <v>0</v>
      </c>
      <c r="AE64" s="642">
        <v>0</v>
      </c>
      <c r="AF64" s="642">
        <v>0</v>
      </c>
      <c r="AG64" s="642">
        <v>0</v>
      </c>
      <c r="AH64" s="642">
        <v>0</v>
      </c>
      <c r="AI64" s="642">
        <v>0</v>
      </c>
      <c r="AJ64" s="642">
        <v>0</v>
      </c>
      <c r="AK64" s="650">
        <v>0</v>
      </c>
    </row>
    <row r="65" spans="3:37" ht="13.5">
      <c r="C65" s="648" t="s">
        <v>73</v>
      </c>
      <c r="D65" s="642">
        <v>0</v>
      </c>
      <c r="E65" s="642">
        <v>0</v>
      </c>
      <c r="F65" s="642">
        <v>0</v>
      </c>
      <c r="G65" s="642">
        <v>0</v>
      </c>
      <c r="H65" s="642">
        <v>0</v>
      </c>
      <c r="I65" s="642">
        <v>0</v>
      </c>
      <c r="J65" s="642">
        <v>0</v>
      </c>
      <c r="K65" s="642">
        <v>0</v>
      </c>
      <c r="L65" s="642">
        <v>0</v>
      </c>
      <c r="M65" s="642">
        <v>0</v>
      </c>
      <c r="N65" s="642">
        <v>0</v>
      </c>
      <c r="O65" s="642">
        <v>0</v>
      </c>
      <c r="P65" s="642">
        <v>0</v>
      </c>
      <c r="Q65" s="642">
        <v>0</v>
      </c>
      <c r="R65" s="642">
        <v>0</v>
      </c>
      <c r="S65" s="650">
        <v>0</v>
      </c>
      <c r="U65" s="648" t="s">
        <v>73</v>
      </c>
      <c r="V65" s="642">
        <v>0</v>
      </c>
      <c r="W65" s="642">
        <v>0</v>
      </c>
      <c r="X65" s="642">
        <v>0</v>
      </c>
      <c r="Y65" s="642">
        <v>0</v>
      </c>
      <c r="Z65" s="642">
        <v>0</v>
      </c>
      <c r="AA65" s="642">
        <v>0</v>
      </c>
      <c r="AB65" s="642">
        <v>0</v>
      </c>
      <c r="AC65" s="642">
        <v>0</v>
      </c>
      <c r="AD65" s="642">
        <v>0</v>
      </c>
      <c r="AE65" s="642">
        <v>0</v>
      </c>
      <c r="AF65" s="642">
        <v>0</v>
      </c>
      <c r="AG65" s="642">
        <v>0</v>
      </c>
      <c r="AH65" s="642">
        <v>0</v>
      </c>
      <c r="AI65" s="642">
        <v>0</v>
      </c>
      <c r="AJ65" s="642">
        <v>0</v>
      </c>
      <c r="AK65" s="650">
        <v>0</v>
      </c>
    </row>
    <row r="66" spans="3:37" ht="13.5">
      <c r="C66" s="648" t="s">
        <v>356</v>
      </c>
      <c r="D66" s="642">
        <v>24.856875540426671</v>
      </c>
      <c r="E66" s="642">
        <v>-42.586921310488997</v>
      </c>
      <c r="F66" s="642">
        <v>41.670112128488995</v>
      </c>
      <c r="G66" s="642">
        <v>0</v>
      </c>
      <c r="H66" s="642">
        <v>0</v>
      </c>
      <c r="I66" s="642">
        <v>0</v>
      </c>
      <c r="J66" s="642">
        <v>0</v>
      </c>
      <c r="K66" s="642">
        <v>0</v>
      </c>
      <c r="L66" s="642">
        <v>0</v>
      </c>
      <c r="M66" s="642">
        <v>0</v>
      </c>
      <c r="N66" s="642">
        <v>0</v>
      </c>
      <c r="O66" s="642">
        <v>0</v>
      </c>
      <c r="P66" s="642">
        <v>0</v>
      </c>
      <c r="Q66" s="642">
        <v>0</v>
      </c>
      <c r="R66" s="642">
        <v>0</v>
      </c>
      <c r="S66" s="650">
        <v>23.94006635842667</v>
      </c>
      <c r="U66" s="648" t="s">
        <v>356</v>
      </c>
      <c r="V66" s="642">
        <v>24.856875540426671</v>
      </c>
      <c r="W66" s="642">
        <v>-42.586921310488997</v>
      </c>
      <c r="X66" s="642">
        <v>41.670112128488995</v>
      </c>
      <c r="Y66" s="642">
        <v>0</v>
      </c>
      <c r="Z66" s="642">
        <v>0</v>
      </c>
      <c r="AA66" s="642">
        <v>0</v>
      </c>
      <c r="AB66" s="642">
        <v>0</v>
      </c>
      <c r="AC66" s="642">
        <v>0</v>
      </c>
      <c r="AD66" s="642">
        <v>0</v>
      </c>
      <c r="AE66" s="642">
        <v>0</v>
      </c>
      <c r="AF66" s="642">
        <v>0</v>
      </c>
      <c r="AG66" s="642">
        <v>0</v>
      </c>
      <c r="AH66" s="642">
        <v>0</v>
      </c>
      <c r="AI66" s="642">
        <v>0</v>
      </c>
      <c r="AJ66" s="642">
        <v>0</v>
      </c>
      <c r="AK66" s="650">
        <v>23.94006635842667</v>
      </c>
    </row>
    <row r="67" spans="3:37" ht="13.5">
      <c r="C67" s="648" t="s">
        <v>75</v>
      </c>
      <c r="D67" s="642">
        <v>10.864485000000002</v>
      </c>
      <c r="E67" s="642">
        <v>0</v>
      </c>
      <c r="F67" s="642">
        <v>12.156002809978</v>
      </c>
      <c r="G67" s="642">
        <v>6.2612449999999988</v>
      </c>
      <c r="H67" s="642">
        <v>0</v>
      </c>
      <c r="I67" s="642">
        <v>0</v>
      </c>
      <c r="J67" s="642">
        <v>0</v>
      </c>
      <c r="K67" s="642">
        <v>0</v>
      </c>
      <c r="L67" s="642">
        <v>0</v>
      </c>
      <c r="M67" s="642">
        <v>0</v>
      </c>
      <c r="N67" s="642">
        <v>0</v>
      </c>
      <c r="O67" s="642">
        <v>0</v>
      </c>
      <c r="P67" s="642">
        <v>32.903944582120353</v>
      </c>
      <c r="Q67" s="642">
        <v>0</v>
      </c>
      <c r="R67" s="642">
        <v>0</v>
      </c>
      <c r="S67" s="650">
        <v>62.185677392098349</v>
      </c>
      <c r="U67" s="648" t="s">
        <v>75</v>
      </c>
      <c r="V67" s="642">
        <v>10.864485000000002</v>
      </c>
      <c r="W67" s="642">
        <v>0</v>
      </c>
      <c r="X67" s="642">
        <v>12.156002809978</v>
      </c>
      <c r="Y67" s="642">
        <v>6.2612449999999988</v>
      </c>
      <c r="Z67" s="642">
        <v>0</v>
      </c>
      <c r="AA67" s="642">
        <v>0</v>
      </c>
      <c r="AB67" s="642">
        <v>0</v>
      </c>
      <c r="AC67" s="642">
        <v>0</v>
      </c>
      <c r="AD67" s="642">
        <v>0</v>
      </c>
      <c r="AE67" s="642">
        <v>0</v>
      </c>
      <c r="AF67" s="642">
        <v>0</v>
      </c>
      <c r="AG67" s="642">
        <v>0</v>
      </c>
      <c r="AH67" s="642">
        <v>32.903944582120353</v>
      </c>
      <c r="AI67" s="642">
        <v>0</v>
      </c>
      <c r="AJ67" s="642">
        <v>0</v>
      </c>
      <c r="AK67" s="650">
        <v>62.185677392098349</v>
      </c>
    </row>
    <row r="68" spans="3:37" ht="13.5">
      <c r="C68" s="648" t="s">
        <v>76</v>
      </c>
      <c r="D68" s="642">
        <v>0</v>
      </c>
      <c r="E68" s="642">
        <v>0</v>
      </c>
      <c r="F68" s="642">
        <v>0</v>
      </c>
      <c r="G68" s="642">
        <v>3.9080132499999998</v>
      </c>
      <c r="H68" s="642">
        <v>0</v>
      </c>
      <c r="I68" s="642">
        <v>0</v>
      </c>
      <c r="J68" s="642">
        <v>0</v>
      </c>
      <c r="K68" s="642">
        <v>0</v>
      </c>
      <c r="L68" s="642">
        <v>0</v>
      </c>
      <c r="M68" s="642">
        <v>0</v>
      </c>
      <c r="N68" s="642">
        <v>0</v>
      </c>
      <c r="O68" s="642">
        <v>0</v>
      </c>
      <c r="P68" s="642">
        <v>35.893531999999993</v>
      </c>
      <c r="Q68" s="642">
        <v>4.1669160064579911</v>
      </c>
      <c r="R68" s="642">
        <v>0</v>
      </c>
      <c r="S68" s="650">
        <v>43.968461256457985</v>
      </c>
      <c r="U68" s="648" t="s">
        <v>76</v>
      </c>
      <c r="V68" s="642">
        <v>0</v>
      </c>
      <c r="W68" s="642">
        <v>0</v>
      </c>
      <c r="X68" s="642">
        <v>0</v>
      </c>
      <c r="Y68" s="642">
        <v>3.9080132499999998</v>
      </c>
      <c r="Z68" s="642">
        <v>0</v>
      </c>
      <c r="AA68" s="642">
        <v>0</v>
      </c>
      <c r="AB68" s="642">
        <v>0</v>
      </c>
      <c r="AC68" s="642">
        <v>0</v>
      </c>
      <c r="AD68" s="642">
        <v>0</v>
      </c>
      <c r="AE68" s="642">
        <v>0</v>
      </c>
      <c r="AF68" s="642">
        <v>0</v>
      </c>
      <c r="AG68" s="642">
        <v>0</v>
      </c>
      <c r="AH68" s="642">
        <v>35.893531999999993</v>
      </c>
      <c r="AI68" s="642">
        <v>4.1669160064579911</v>
      </c>
      <c r="AJ68" s="642">
        <v>0</v>
      </c>
      <c r="AK68" s="650">
        <v>43.968461256457985</v>
      </c>
    </row>
    <row r="69" spans="3:37" ht="13.5">
      <c r="C69" s="646" t="s">
        <v>77</v>
      </c>
      <c r="D69" s="647">
        <v>48.989043205566666</v>
      </c>
      <c r="E69" s="647">
        <v>405.59850142678499</v>
      </c>
      <c r="F69" s="647">
        <v>-366.39465902537506</v>
      </c>
      <c r="G69" s="647">
        <v>86.005006499999993</v>
      </c>
      <c r="H69" s="647">
        <v>1072.2208090909091</v>
      </c>
      <c r="I69" s="647">
        <v>115.67142051809002</v>
      </c>
      <c r="J69" s="647">
        <v>25.246098872906153</v>
      </c>
      <c r="K69" s="647">
        <v>28.173648237393667</v>
      </c>
      <c r="L69" s="647">
        <v>-27.31624937979873</v>
      </c>
      <c r="M69" s="647">
        <v>6.3686454536756729</v>
      </c>
      <c r="N69" s="647">
        <v>0.25705111111111106</v>
      </c>
      <c r="O69" s="647">
        <v>5.3861979341677468</v>
      </c>
      <c r="P69" s="647">
        <v>-456.39860899999991</v>
      </c>
      <c r="Q69" s="647">
        <v>-41.66457261145041</v>
      </c>
      <c r="R69" s="647">
        <v>0</v>
      </c>
      <c r="S69" s="647">
        <v>902.14233233398068</v>
      </c>
      <c r="U69" s="646" t="s">
        <v>77</v>
      </c>
      <c r="V69" s="647">
        <v>48.989043205566666</v>
      </c>
      <c r="W69" s="647">
        <v>405.59850142678499</v>
      </c>
      <c r="X69" s="647">
        <v>-366.39465902537506</v>
      </c>
      <c r="Y69" s="647">
        <v>86.005006499999993</v>
      </c>
      <c r="Z69" s="647">
        <v>1072.2208090909091</v>
      </c>
      <c r="AA69" s="647">
        <v>115.67142051809002</v>
      </c>
      <c r="AB69" s="647">
        <v>25.246098872906153</v>
      </c>
      <c r="AC69" s="647">
        <v>28.173648237393667</v>
      </c>
      <c r="AD69" s="647">
        <v>-27.31624937979873</v>
      </c>
      <c r="AE69" s="647">
        <v>6.3686454536756729</v>
      </c>
      <c r="AF69" s="647">
        <v>0.25705111111111106</v>
      </c>
      <c r="AG69" s="647">
        <v>5.3861979341677468</v>
      </c>
      <c r="AH69" s="647">
        <v>-456.39860899999991</v>
      </c>
      <c r="AI69" s="647">
        <v>-41.66457261145041</v>
      </c>
      <c r="AJ69" s="647">
        <v>0</v>
      </c>
      <c r="AK69" s="647">
        <v>902.14233233398068</v>
      </c>
    </row>
    <row r="70" spans="3:37" ht="13">
      <c r="C70" s="636"/>
      <c r="D70" s="636">
        <v>0</v>
      </c>
      <c r="E70" s="636">
        <v>0</v>
      </c>
      <c r="F70" s="636">
        <v>0</v>
      </c>
      <c r="G70" s="636">
        <v>0</v>
      </c>
      <c r="H70" s="636">
        <v>0</v>
      </c>
      <c r="I70" s="636">
        <v>0</v>
      </c>
      <c r="J70" s="636">
        <v>0</v>
      </c>
      <c r="K70" s="636">
        <v>0</v>
      </c>
      <c r="L70" s="636">
        <v>0</v>
      </c>
      <c r="M70" s="636">
        <v>0</v>
      </c>
      <c r="N70" s="636">
        <v>0</v>
      </c>
      <c r="O70" s="636">
        <v>0</v>
      </c>
      <c r="P70" s="636">
        <v>0</v>
      </c>
      <c r="Q70" s="636">
        <v>0</v>
      </c>
      <c r="R70" s="636">
        <v>0</v>
      </c>
      <c r="S70" s="636">
        <v>0</v>
      </c>
      <c r="U70" s="636"/>
      <c r="V70" s="636">
        <v>0</v>
      </c>
      <c r="W70" s="636">
        <v>0</v>
      </c>
      <c r="X70" s="636">
        <v>0</v>
      </c>
      <c r="Y70" s="636">
        <v>0</v>
      </c>
      <c r="Z70" s="636">
        <v>0</v>
      </c>
      <c r="AA70" s="636">
        <v>0</v>
      </c>
      <c r="AB70" s="636">
        <v>0</v>
      </c>
      <c r="AC70" s="636">
        <v>0</v>
      </c>
      <c r="AD70" s="636">
        <v>0</v>
      </c>
      <c r="AE70" s="636">
        <v>0</v>
      </c>
      <c r="AF70" s="636">
        <v>0</v>
      </c>
      <c r="AG70" s="636">
        <v>0</v>
      </c>
      <c r="AH70" s="636">
        <v>0</v>
      </c>
      <c r="AI70" s="636">
        <v>0</v>
      </c>
      <c r="AJ70" s="636">
        <v>0</v>
      </c>
      <c r="AK70" s="636">
        <v>0</v>
      </c>
    </row>
    <row r="71" spans="3:37" ht="13.5">
      <c r="C71" s="648" t="s">
        <v>78</v>
      </c>
      <c r="D71" s="642">
        <v>9.103168484740003</v>
      </c>
      <c r="E71" s="642">
        <v>0</v>
      </c>
      <c r="F71" s="642">
        <v>30.742620872292591</v>
      </c>
      <c r="G71" s="642">
        <v>115.67477925</v>
      </c>
      <c r="H71" s="642">
        <v>0</v>
      </c>
      <c r="I71" s="642">
        <v>0</v>
      </c>
      <c r="J71" s="642">
        <v>15.652087601653344</v>
      </c>
      <c r="K71" s="642">
        <v>3.5686448746488644</v>
      </c>
      <c r="L71" s="642">
        <v>1.0751813257923004</v>
      </c>
      <c r="M71" s="642">
        <v>0.92719655758676645</v>
      </c>
      <c r="N71" s="642">
        <v>0</v>
      </c>
      <c r="O71" s="642">
        <v>1.540935583552362E-2</v>
      </c>
      <c r="P71" s="642">
        <v>105.80333299999998</v>
      </c>
      <c r="Q71" s="642">
        <v>17.474535389228187</v>
      </c>
      <c r="R71" s="642">
        <v>0</v>
      </c>
      <c r="S71" s="650">
        <v>300.03695671177758</v>
      </c>
      <c r="U71" s="648" t="s">
        <v>78</v>
      </c>
      <c r="V71" s="642">
        <v>9.103168484740003</v>
      </c>
      <c r="W71" s="642">
        <v>0</v>
      </c>
      <c r="X71" s="642">
        <v>30.742620872292591</v>
      </c>
      <c r="Y71" s="642">
        <v>115.67477925</v>
      </c>
      <c r="Z71" s="642">
        <v>0</v>
      </c>
      <c r="AA71" s="642">
        <v>0</v>
      </c>
      <c r="AB71" s="642">
        <v>15.652087601653344</v>
      </c>
      <c r="AC71" s="642">
        <v>3.5686448746488644</v>
      </c>
      <c r="AD71" s="642">
        <v>1.0751813257923004</v>
      </c>
      <c r="AE71" s="642">
        <v>0.92719655758676645</v>
      </c>
      <c r="AF71" s="642">
        <v>0</v>
      </c>
      <c r="AG71" s="642">
        <v>1.540935583552362E-2</v>
      </c>
      <c r="AH71" s="642">
        <v>105.80333299999998</v>
      </c>
      <c r="AI71" s="642">
        <v>17.474535389228187</v>
      </c>
      <c r="AJ71" s="642">
        <v>0</v>
      </c>
      <c r="AK71" s="650">
        <v>300.03695671177758</v>
      </c>
    </row>
    <row r="72" spans="3:37" ht="13.5">
      <c r="C72" s="648" t="s">
        <v>79</v>
      </c>
      <c r="D72" s="642">
        <v>0</v>
      </c>
      <c r="E72" s="642">
        <v>0</v>
      </c>
      <c r="F72" s="642">
        <v>396.20072754031048</v>
      </c>
      <c r="G72" s="642">
        <v>2.2477145000000003</v>
      </c>
      <c r="H72" s="642">
        <v>0</v>
      </c>
      <c r="I72" s="642">
        <v>0</v>
      </c>
      <c r="J72" s="642">
        <v>0</v>
      </c>
      <c r="K72" s="642">
        <v>0</v>
      </c>
      <c r="L72" s="642">
        <v>30.751352031352695</v>
      </c>
      <c r="M72" s="642">
        <v>0</v>
      </c>
      <c r="N72" s="642">
        <v>0</v>
      </c>
      <c r="O72" s="642">
        <v>0</v>
      </c>
      <c r="P72" s="642">
        <v>8.3371990700000005</v>
      </c>
      <c r="Q72" s="642">
        <v>0</v>
      </c>
      <c r="R72" s="642">
        <v>0</v>
      </c>
      <c r="S72" s="650">
        <v>437.53699314166312</v>
      </c>
      <c r="U72" s="648" t="s">
        <v>79</v>
      </c>
      <c r="V72" s="642">
        <v>0</v>
      </c>
      <c r="W72" s="642">
        <v>0</v>
      </c>
      <c r="X72" s="642">
        <v>396.20072754031048</v>
      </c>
      <c r="Y72" s="642">
        <v>2.2477145000000003</v>
      </c>
      <c r="Z72" s="642">
        <v>0</v>
      </c>
      <c r="AA72" s="642">
        <v>0</v>
      </c>
      <c r="AB72" s="642">
        <v>0</v>
      </c>
      <c r="AC72" s="642">
        <v>0</v>
      </c>
      <c r="AD72" s="642">
        <v>30.751352031352695</v>
      </c>
      <c r="AE72" s="642">
        <v>0</v>
      </c>
      <c r="AF72" s="642">
        <v>0</v>
      </c>
      <c r="AG72" s="642">
        <v>0</v>
      </c>
      <c r="AH72" s="642">
        <v>8.3371990700000005</v>
      </c>
      <c r="AI72" s="642">
        <v>0</v>
      </c>
      <c r="AJ72" s="642">
        <v>0</v>
      </c>
      <c r="AK72" s="650">
        <v>437.53699314166312</v>
      </c>
    </row>
    <row r="73" spans="3:37" ht="13.5">
      <c r="C73" s="648" t="s">
        <v>80</v>
      </c>
      <c r="D73" s="642">
        <v>0.24074954804999998</v>
      </c>
      <c r="E73" s="642">
        <v>0</v>
      </c>
      <c r="F73" s="642">
        <v>50.312051197940285</v>
      </c>
      <c r="G73" s="642">
        <v>125.05981225000002</v>
      </c>
      <c r="H73" s="642">
        <v>0</v>
      </c>
      <c r="I73" s="642">
        <v>0</v>
      </c>
      <c r="J73" s="642">
        <v>69.406708888888886</v>
      </c>
      <c r="K73" s="642">
        <v>0</v>
      </c>
      <c r="L73" s="642">
        <v>0</v>
      </c>
      <c r="M73" s="642">
        <v>0</v>
      </c>
      <c r="N73" s="642">
        <v>28.099863055555552</v>
      </c>
      <c r="O73" s="642">
        <v>2.0645206826866662</v>
      </c>
      <c r="P73" s="642">
        <v>161.49853200000001</v>
      </c>
      <c r="Q73" s="642">
        <v>14.411899999999999</v>
      </c>
      <c r="R73" s="642">
        <v>0</v>
      </c>
      <c r="S73" s="650">
        <v>451.09413762312141</v>
      </c>
      <c r="U73" s="648" t="s">
        <v>80</v>
      </c>
      <c r="V73" s="642">
        <v>0.24074954804999998</v>
      </c>
      <c r="W73" s="642">
        <v>0</v>
      </c>
      <c r="X73" s="642">
        <v>50.312051197940285</v>
      </c>
      <c r="Y73" s="642">
        <v>125.05981225000002</v>
      </c>
      <c r="Z73" s="642">
        <v>0</v>
      </c>
      <c r="AA73" s="642">
        <v>0</v>
      </c>
      <c r="AB73" s="642">
        <v>69.406708888888886</v>
      </c>
      <c r="AC73" s="642">
        <v>0</v>
      </c>
      <c r="AD73" s="642">
        <v>0</v>
      </c>
      <c r="AE73" s="642">
        <v>0</v>
      </c>
      <c r="AF73" s="642">
        <v>28.099863055555552</v>
      </c>
      <c r="AG73" s="642">
        <v>2.0645206826866662</v>
      </c>
      <c r="AH73" s="642">
        <v>161.49853200000001</v>
      </c>
      <c r="AI73" s="642">
        <v>14.411899999999999</v>
      </c>
      <c r="AJ73" s="642">
        <v>0</v>
      </c>
      <c r="AK73" s="650">
        <v>451.09413762312141</v>
      </c>
    </row>
    <row r="74" spans="3:37" ht="13.5">
      <c r="C74" s="648" t="s">
        <v>81</v>
      </c>
      <c r="D74" s="642">
        <v>0.35525487623000002</v>
      </c>
      <c r="E74" s="642">
        <v>0</v>
      </c>
      <c r="F74" s="642">
        <v>31.907501208676987</v>
      </c>
      <c r="G74" s="642">
        <v>62.61667825</v>
      </c>
      <c r="H74" s="642">
        <v>0</v>
      </c>
      <c r="I74" s="642">
        <v>0</v>
      </c>
      <c r="J74" s="642">
        <v>2.8232277777777779</v>
      </c>
      <c r="K74" s="642">
        <v>2.2859468815788357</v>
      </c>
      <c r="L74" s="642">
        <v>0</v>
      </c>
      <c r="M74" s="642">
        <v>1.4745088888888889</v>
      </c>
      <c r="N74" s="642">
        <v>4.5516825000000001</v>
      </c>
      <c r="O74" s="642">
        <v>0.35485889253622721</v>
      </c>
      <c r="P74" s="642">
        <v>127.64086592999999</v>
      </c>
      <c r="Q74" s="642">
        <v>9.5887644444444451</v>
      </c>
      <c r="R74" s="642">
        <v>0</v>
      </c>
      <c r="S74" s="650">
        <v>243.59928965013316</v>
      </c>
      <c r="U74" s="648" t="s">
        <v>81</v>
      </c>
      <c r="V74" s="642">
        <v>0.35525487623000002</v>
      </c>
      <c r="W74" s="642">
        <v>0</v>
      </c>
      <c r="X74" s="642">
        <v>31.907501208676987</v>
      </c>
      <c r="Y74" s="642">
        <v>62.61667825</v>
      </c>
      <c r="Z74" s="642">
        <v>0</v>
      </c>
      <c r="AA74" s="642">
        <v>0</v>
      </c>
      <c r="AB74" s="642">
        <v>2.8232277777777779</v>
      </c>
      <c r="AC74" s="642">
        <v>2.2859468815788357</v>
      </c>
      <c r="AD74" s="642">
        <v>0</v>
      </c>
      <c r="AE74" s="642">
        <v>1.4745088888888889</v>
      </c>
      <c r="AF74" s="642">
        <v>4.5516825000000001</v>
      </c>
      <c r="AG74" s="642">
        <v>0.35485889253622721</v>
      </c>
      <c r="AH74" s="642">
        <v>127.64086592999999</v>
      </c>
      <c r="AI74" s="642">
        <v>9.5887644444444451</v>
      </c>
      <c r="AJ74" s="642">
        <v>0</v>
      </c>
      <c r="AK74" s="650">
        <v>243.59928965013316</v>
      </c>
    </row>
    <row r="75" spans="3:37" ht="13.5">
      <c r="C75" s="648" t="s">
        <v>82</v>
      </c>
      <c r="D75" s="642">
        <v>1.5371382629999998E-2</v>
      </c>
      <c r="E75" s="642">
        <v>0</v>
      </c>
      <c r="F75" s="642">
        <v>37.352212663167997</v>
      </c>
      <c r="G75" s="642">
        <v>2.1964755</v>
      </c>
      <c r="H75" s="642">
        <v>0</v>
      </c>
      <c r="I75" s="642">
        <v>0</v>
      </c>
      <c r="J75" s="642">
        <v>1.7493453935920653</v>
      </c>
      <c r="K75" s="642">
        <v>0</v>
      </c>
      <c r="L75" s="642">
        <v>1.9048961095281811</v>
      </c>
      <c r="M75" s="642">
        <v>0.51119305555555561</v>
      </c>
      <c r="N75" s="642">
        <v>0</v>
      </c>
      <c r="O75" s="642">
        <v>0.29232166666666665</v>
      </c>
      <c r="P75" s="642">
        <v>8.079485</v>
      </c>
      <c r="Q75" s="642">
        <v>0.18937333333333334</v>
      </c>
      <c r="R75" s="642">
        <v>0</v>
      </c>
      <c r="S75" s="650">
        <v>52.290674104473801</v>
      </c>
      <c r="U75" s="648" t="s">
        <v>82</v>
      </c>
      <c r="V75" s="642">
        <v>1.5371382629999998E-2</v>
      </c>
      <c r="W75" s="642">
        <v>0</v>
      </c>
      <c r="X75" s="642">
        <v>37.352212663167997</v>
      </c>
      <c r="Y75" s="642">
        <v>2.1964755</v>
      </c>
      <c r="Z75" s="642">
        <v>0</v>
      </c>
      <c r="AA75" s="642">
        <v>0</v>
      </c>
      <c r="AB75" s="642">
        <v>1.7493453935920653</v>
      </c>
      <c r="AC75" s="642">
        <v>0</v>
      </c>
      <c r="AD75" s="642">
        <v>1.9048961095281811</v>
      </c>
      <c r="AE75" s="642">
        <v>0.51119305555555561</v>
      </c>
      <c r="AF75" s="642">
        <v>0</v>
      </c>
      <c r="AG75" s="642">
        <v>0.29232166666666665</v>
      </c>
      <c r="AH75" s="642">
        <v>8.079485</v>
      </c>
      <c r="AI75" s="642">
        <v>0.18937333333333334</v>
      </c>
      <c r="AJ75" s="642">
        <v>0</v>
      </c>
      <c r="AK75" s="650">
        <v>52.290674104473801</v>
      </c>
    </row>
    <row r="76" spans="3:37" ht="13.5">
      <c r="C76" s="648" t="s">
        <v>357</v>
      </c>
      <c r="D76" s="642">
        <v>0</v>
      </c>
      <c r="E76" s="642">
        <v>0</v>
      </c>
      <c r="F76" s="642">
        <v>0</v>
      </c>
      <c r="G76" s="642">
        <v>0</v>
      </c>
      <c r="H76" s="642">
        <v>0</v>
      </c>
      <c r="I76" s="642">
        <v>0</v>
      </c>
      <c r="J76" s="642">
        <v>0</v>
      </c>
      <c r="K76" s="642">
        <v>0</v>
      </c>
      <c r="L76" s="642">
        <v>0</v>
      </c>
      <c r="M76" s="642">
        <v>0</v>
      </c>
      <c r="N76" s="642">
        <v>0</v>
      </c>
      <c r="O76" s="642">
        <v>0</v>
      </c>
      <c r="P76" s="642">
        <v>0</v>
      </c>
      <c r="Q76" s="642">
        <v>0</v>
      </c>
      <c r="R76" s="642">
        <v>0</v>
      </c>
      <c r="S76" s="650">
        <v>0</v>
      </c>
      <c r="U76" s="648" t="s">
        <v>357</v>
      </c>
      <c r="V76" s="642">
        <v>0</v>
      </c>
      <c r="W76" s="642">
        <v>0</v>
      </c>
      <c r="X76" s="642">
        <v>0</v>
      </c>
      <c r="Y76" s="642">
        <v>0</v>
      </c>
      <c r="Z76" s="642">
        <v>0</v>
      </c>
      <c r="AA76" s="642">
        <v>0</v>
      </c>
      <c r="AB76" s="642">
        <v>0</v>
      </c>
      <c r="AC76" s="642">
        <v>0</v>
      </c>
      <c r="AD76" s="642">
        <v>0</v>
      </c>
      <c r="AE76" s="642">
        <v>0</v>
      </c>
      <c r="AF76" s="642">
        <v>0</v>
      </c>
      <c r="AG76" s="642">
        <v>0</v>
      </c>
      <c r="AH76" s="642">
        <v>0</v>
      </c>
      <c r="AI76" s="642">
        <v>0</v>
      </c>
      <c r="AJ76" s="642">
        <v>0</v>
      </c>
      <c r="AK76" s="650">
        <v>0</v>
      </c>
    </row>
    <row r="77" spans="3:37" ht="13.5">
      <c r="C77" s="646" t="s">
        <v>83</v>
      </c>
      <c r="D77" s="647">
        <v>9.714544291650002</v>
      </c>
      <c r="E77" s="647">
        <v>0</v>
      </c>
      <c r="F77" s="647">
        <v>546.5151134823883</v>
      </c>
      <c r="G77" s="647">
        <v>307.79545975000002</v>
      </c>
      <c r="H77" s="647">
        <v>0</v>
      </c>
      <c r="I77" s="647">
        <v>0</v>
      </c>
      <c r="J77" s="647">
        <v>89.631369661912075</v>
      </c>
      <c r="K77" s="647">
        <v>5.8545917562277001</v>
      </c>
      <c r="L77" s="647">
        <v>33.731429466673177</v>
      </c>
      <c r="M77" s="647">
        <v>2.9128985020312106</v>
      </c>
      <c r="N77" s="647">
        <v>32.65154555555555</v>
      </c>
      <c r="O77" s="647">
        <v>2.7271105977250834</v>
      </c>
      <c r="P77" s="647">
        <v>411.35941499999996</v>
      </c>
      <c r="Q77" s="647">
        <v>41.664573167005962</v>
      </c>
      <c r="R77" s="647">
        <v>0</v>
      </c>
      <c r="S77" s="647">
        <v>1484.5580512311692</v>
      </c>
      <c r="U77" s="646" t="s">
        <v>83</v>
      </c>
      <c r="V77" s="647">
        <v>9.714544291650002</v>
      </c>
      <c r="W77" s="647">
        <v>0</v>
      </c>
      <c r="X77" s="647">
        <v>546.5151134823883</v>
      </c>
      <c r="Y77" s="647">
        <v>307.79545975000002</v>
      </c>
      <c r="Z77" s="647">
        <v>0</v>
      </c>
      <c r="AA77" s="647">
        <v>0</v>
      </c>
      <c r="AB77" s="647">
        <v>89.631369661912075</v>
      </c>
      <c r="AC77" s="647">
        <v>5.8545917562277001</v>
      </c>
      <c r="AD77" s="647">
        <v>33.731429466673177</v>
      </c>
      <c r="AE77" s="647">
        <v>2.9128985020312106</v>
      </c>
      <c r="AF77" s="647">
        <v>32.65154555555555</v>
      </c>
      <c r="AG77" s="647">
        <v>2.7271105977250834</v>
      </c>
      <c r="AH77" s="647">
        <v>411.35941499999996</v>
      </c>
      <c r="AI77" s="647">
        <v>41.664573167005962</v>
      </c>
      <c r="AJ77" s="647">
        <v>0</v>
      </c>
      <c r="AK77" s="647">
        <v>1484.5580512311692</v>
      </c>
    </row>
    <row r="78" spans="3:37" ht="13.5">
      <c r="C78" s="641" t="s">
        <v>84</v>
      </c>
      <c r="D78" s="642">
        <v>2.8214338015700005</v>
      </c>
      <c r="E78" s="642">
        <v>0</v>
      </c>
      <c r="F78" s="642">
        <v>130.9502374537683</v>
      </c>
      <c r="G78" s="642">
        <v>12.027936500000001</v>
      </c>
      <c r="H78" s="642">
        <v>0</v>
      </c>
      <c r="I78" s="642">
        <v>0</v>
      </c>
      <c r="J78" s="642">
        <v>0</v>
      </c>
      <c r="K78" s="642">
        <v>0</v>
      </c>
      <c r="L78" s="642">
        <v>0</v>
      </c>
      <c r="M78" s="642">
        <v>0</v>
      </c>
      <c r="N78" s="642">
        <v>0</v>
      </c>
      <c r="O78" s="642">
        <v>0</v>
      </c>
      <c r="P78" s="642">
        <v>0</v>
      </c>
      <c r="Q78" s="642">
        <v>0</v>
      </c>
      <c r="R78" s="642">
        <v>0</v>
      </c>
      <c r="S78" s="650">
        <v>145.79960775533831</v>
      </c>
      <c r="U78" s="641" t="s">
        <v>84</v>
      </c>
      <c r="V78" s="642">
        <v>2.8214338015700005</v>
      </c>
      <c r="W78" s="642">
        <v>0</v>
      </c>
      <c r="X78" s="642">
        <v>130.9502374537683</v>
      </c>
      <c r="Y78" s="642">
        <v>12.027936500000001</v>
      </c>
      <c r="Z78" s="642">
        <v>0</v>
      </c>
      <c r="AA78" s="642">
        <v>0</v>
      </c>
      <c r="AB78" s="642">
        <v>0</v>
      </c>
      <c r="AC78" s="642">
        <v>0</v>
      </c>
      <c r="AD78" s="642">
        <v>0</v>
      </c>
      <c r="AE78" s="642">
        <v>0</v>
      </c>
      <c r="AF78" s="642">
        <v>0</v>
      </c>
      <c r="AG78" s="642">
        <v>0</v>
      </c>
      <c r="AH78" s="642">
        <v>0</v>
      </c>
      <c r="AI78" s="642">
        <v>0</v>
      </c>
      <c r="AJ78" s="642">
        <v>0</v>
      </c>
      <c r="AK78" s="650">
        <v>145.79960775533831</v>
      </c>
    </row>
    <row r="79" spans="3:37" ht="13.5">
      <c r="C79" s="646" t="s">
        <v>85</v>
      </c>
      <c r="D79" s="647">
        <v>12.535978093220002</v>
      </c>
      <c r="E79" s="647">
        <v>0</v>
      </c>
      <c r="F79" s="647">
        <v>677.4653509361566</v>
      </c>
      <c r="G79" s="647">
        <v>319.82339625000003</v>
      </c>
      <c r="H79" s="647">
        <v>0</v>
      </c>
      <c r="I79" s="647">
        <v>0</v>
      </c>
      <c r="J79" s="647">
        <v>89.631369661912075</v>
      </c>
      <c r="K79" s="647">
        <v>5.8545917562277001</v>
      </c>
      <c r="L79" s="647">
        <v>33.731429466673177</v>
      </c>
      <c r="M79" s="647">
        <v>2.9128985020312106</v>
      </c>
      <c r="N79" s="647">
        <v>32.65154555555555</v>
      </c>
      <c r="O79" s="647">
        <v>2.7271105977250834</v>
      </c>
      <c r="P79" s="647">
        <v>411.35941499999996</v>
      </c>
      <c r="Q79" s="647">
        <v>41.664573167005962</v>
      </c>
      <c r="R79" s="647">
        <v>0</v>
      </c>
      <c r="S79" s="647">
        <v>1630.3576589865074</v>
      </c>
      <c r="U79" s="646" t="s">
        <v>85</v>
      </c>
      <c r="V79" s="647">
        <v>12.535978093220002</v>
      </c>
      <c r="W79" s="647">
        <v>0</v>
      </c>
      <c r="X79" s="647">
        <v>677.4653509361566</v>
      </c>
      <c r="Y79" s="647">
        <v>319.82339625000003</v>
      </c>
      <c r="Z79" s="647">
        <v>0</v>
      </c>
      <c r="AA79" s="647">
        <v>0</v>
      </c>
      <c r="AB79" s="647">
        <v>89.631369661912075</v>
      </c>
      <c r="AC79" s="647">
        <v>5.8545917562277001</v>
      </c>
      <c r="AD79" s="647">
        <v>33.731429466673177</v>
      </c>
      <c r="AE79" s="647">
        <v>2.9128985020312106</v>
      </c>
      <c r="AF79" s="647">
        <v>32.65154555555555</v>
      </c>
      <c r="AG79" s="647">
        <v>2.7271105977250834</v>
      </c>
      <c r="AH79" s="647">
        <v>411.35941499999996</v>
      </c>
      <c r="AI79" s="647">
        <v>41.664573167005962</v>
      </c>
      <c r="AJ79" s="647">
        <v>0</v>
      </c>
      <c r="AK79" s="647">
        <v>1630.3576589865074</v>
      </c>
    </row>
    <row r="80" spans="3:37" ht="13">
      <c r="C80" s="636"/>
      <c r="D80" s="636"/>
      <c r="E80" s="636"/>
      <c r="F80" s="636"/>
      <c r="G80" s="636"/>
      <c r="H80" s="636"/>
      <c r="I80" s="636"/>
      <c r="J80" s="636"/>
      <c r="K80" s="636"/>
      <c r="L80" s="636"/>
      <c r="M80" s="636"/>
      <c r="N80" s="636"/>
      <c r="O80" s="636"/>
      <c r="P80" s="636"/>
      <c r="Q80" s="636"/>
      <c r="R80" s="636"/>
      <c r="S80" s="636"/>
      <c r="U80" s="636"/>
      <c r="V80" s="636"/>
      <c r="W80" s="636"/>
      <c r="X80" s="636"/>
      <c r="Y80" s="636"/>
      <c r="Z80" s="636"/>
      <c r="AA80" s="636"/>
      <c r="AB80" s="636"/>
      <c r="AC80" s="636"/>
      <c r="AD80" s="636"/>
      <c r="AE80" s="636"/>
      <c r="AF80" s="636"/>
      <c r="AG80" s="636"/>
      <c r="AH80" s="636"/>
      <c r="AI80" s="636"/>
      <c r="AJ80" s="636"/>
      <c r="AK80" s="636"/>
    </row>
    <row r="81" spans="3:37" ht="22.5">
      <c r="C81" s="699" t="s">
        <v>358</v>
      </c>
      <c r="D81" s="699"/>
      <c r="E81" s="699"/>
      <c r="F81" s="699"/>
      <c r="G81" s="699"/>
      <c r="H81" s="699"/>
      <c r="I81" s="699"/>
      <c r="J81" s="699"/>
      <c r="K81" s="699"/>
      <c r="L81" s="699"/>
      <c r="M81" s="699"/>
      <c r="N81" s="699"/>
      <c r="O81" s="699"/>
      <c r="P81" s="699"/>
      <c r="Q81" s="699"/>
      <c r="R81" s="699"/>
      <c r="S81" s="699"/>
      <c r="U81" s="699" t="s">
        <v>358</v>
      </c>
      <c r="V81" s="699"/>
      <c r="W81" s="699"/>
      <c r="X81" s="699"/>
      <c r="Y81" s="699"/>
      <c r="Z81" s="699"/>
      <c r="AA81" s="699"/>
      <c r="AB81" s="699"/>
      <c r="AC81" s="699"/>
      <c r="AD81" s="699"/>
      <c r="AE81" s="699"/>
      <c r="AF81" s="699"/>
      <c r="AG81" s="699"/>
      <c r="AH81" s="699"/>
      <c r="AI81" s="699"/>
      <c r="AJ81" s="699"/>
      <c r="AK81" s="699"/>
    </row>
    <row r="82" spans="3:37" ht="13">
      <c r="C82" s="636"/>
      <c r="D82" s="636"/>
      <c r="E82" s="636"/>
      <c r="F82" s="636"/>
      <c r="G82" s="636"/>
      <c r="H82" s="636"/>
      <c r="I82" s="636"/>
      <c r="J82" s="636"/>
      <c r="K82" s="636"/>
      <c r="L82" s="636"/>
      <c r="M82" s="636"/>
      <c r="N82" s="636"/>
      <c r="O82" s="636"/>
      <c r="P82" s="636"/>
      <c r="Q82" s="636"/>
      <c r="R82" s="636"/>
      <c r="S82" s="636"/>
      <c r="U82" s="636"/>
      <c r="V82" s="636"/>
      <c r="W82" s="636"/>
      <c r="X82" s="636"/>
      <c r="Y82" s="636"/>
      <c r="Z82" s="636"/>
      <c r="AA82" s="636"/>
      <c r="AB82" s="636"/>
      <c r="AC82" s="636"/>
      <c r="AD82" s="636"/>
      <c r="AE82" s="636"/>
      <c r="AF82" s="636"/>
      <c r="AG82" s="636"/>
      <c r="AH82" s="636"/>
      <c r="AI82" s="636"/>
      <c r="AJ82" s="636"/>
      <c r="AK82" s="636"/>
    </row>
    <row r="83" spans="3:37" ht="13" customHeight="1">
      <c r="C83" s="700" t="s">
        <v>128</v>
      </c>
      <c r="D83" s="701" t="s">
        <v>42</v>
      </c>
      <c r="E83" s="701" t="s">
        <v>52</v>
      </c>
      <c r="F83" s="701" t="s">
        <v>53</v>
      </c>
      <c r="G83" s="701" t="s">
        <v>32</v>
      </c>
      <c r="H83" s="701" t="s">
        <v>20</v>
      </c>
      <c r="I83" s="701" t="s">
        <v>55</v>
      </c>
      <c r="J83" s="701" t="s">
        <v>56</v>
      </c>
      <c r="K83" s="701"/>
      <c r="L83" s="701"/>
      <c r="M83" s="701"/>
      <c r="N83" s="701"/>
      <c r="O83" s="701"/>
      <c r="P83" s="701" t="s">
        <v>57</v>
      </c>
      <c r="Q83" s="701" t="s">
        <v>58</v>
      </c>
      <c r="R83" s="701" t="s">
        <v>31</v>
      </c>
      <c r="S83" s="701" t="s">
        <v>10</v>
      </c>
      <c r="U83" s="700" t="s">
        <v>128</v>
      </c>
      <c r="V83" s="701" t="s">
        <v>42</v>
      </c>
      <c r="W83" s="701" t="s">
        <v>52</v>
      </c>
      <c r="X83" s="701" t="s">
        <v>53</v>
      </c>
      <c r="Y83" s="701" t="s">
        <v>32</v>
      </c>
      <c r="Z83" s="701" t="s">
        <v>20</v>
      </c>
      <c r="AA83" s="701" t="s">
        <v>55</v>
      </c>
      <c r="AB83" s="701" t="s">
        <v>56</v>
      </c>
      <c r="AC83" s="701"/>
      <c r="AD83" s="701"/>
      <c r="AE83" s="701"/>
      <c r="AF83" s="701"/>
      <c r="AG83" s="701"/>
      <c r="AH83" s="701" t="s">
        <v>57</v>
      </c>
      <c r="AI83" s="701" t="s">
        <v>58</v>
      </c>
      <c r="AJ83" s="701" t="s">
        <v>31</v>
      </c>
      <c r="AK83" s="701" t="s">
        <v>10</v>
      </c>
    </row>
    <row r="84" spans="3:37" ht="46">
      <c r="C84" s="700"/>
      <c r="D84" s="701"/>
      <c r="E84" s="701"/>
      <c r="F84" s="701"/>
      <c r="G84" s="701"/>
      <c r="H84" s="701"/>
      <c r="I84" s="701"/>
      <c r="J84" s="640" t="s">
        <v>338</v>
      </c>
      <c r="K84" s="640" t="s">
        <v>40</v>
      </c>
      <c r="L84" s="640" t="s">
        <v>346</v>
      </c>
      <c r="M84" s="640" t="s">
        <v>347</v>
      </c>
      <c r="N84" s="640" t="s">
        <v>348</v>
      </c>
      <c r="O84" s="640" t="s">
        <v>349</v>
      </c>
      <c r="P84" s="701"/>
      <c r="Q84" s="701"/>
      <c r="R84" s="701"/>
      <c r="S84" s="701"/>
      <c r="U84" s="700"/>
      <c r="V84" s="701"/>
      <c r="W84" s="701"/>
      <c r="X84" s="701"/>
      <c r="Y84" s="701"/>
      <c r="Z84" s="701"/>
      <c r="AA84" s="701"/>
      <c r="AB84" s="640" t="s">
        <v>338</v>
      </c>
      <c r="AC84" s="640" t="s">
        <v>40</v>
      </c>
      <c r="AD84" s="640" t="s">
        <v>346</v>
      </c>
      <c r="AE84" s="640" t="s">
        <v>347</v>
      </c>
      <c r="AF84" s="640" t="s">
        <v>348</v>
      </c>
      <c r="AG84" s="640" t="s">
        <v>349</v>
      </c>
      <c r="AH84" s="701"/>
      <c r="AI84" s="701"/>
      <c r="AJ84" s="701"/>
      <c r="AK84" s="701"/>
    </row>
    <row r="85" spans="3:37" ht="13.5">
      <c r="C85" s="641" t="s">
        <v>59</v>
      </c>
      <c r="D85" s="642">
        <v>0</v>
      </c>
      <c r="E85" s="643">
        <v>9.7691999999999997</v>
      </c>
      <c r="F85" s="643">
        <v>0</v>
      </c>
      <c r="G85" s="642">
        <v>0.18608000000000002</v>
      </c>
      <c r="H85" s="643">
        <v>1100.0000000000002</v>
      </c>
      <c r="I85" s="643">
        <v>135.04231425541462</v>
      </c>
      <c r="J85" s="643">
        <v>189.86826025669441</v>
      </c>
      <c r="K85" s="643">
        <v>24.170186950164744</v>
      </c>
      <c r="L85" s="643">
        <v>0.17473616288186822</v>
      </c>
      <c r="M85" s="643">
        <v>0.14724141092299528</v>
      </c>
      <c r="N85" s="643">
        <v>36.514651680131124</v>
      </c>
      <c r="O85" s="643">
        <v>5.8993526953350273</v>
      </c>
      <c r="P85" s="644">
        <v>0</v>
      </c>
      <c r="Q85" s="643">
        <v>0</v>
      </c>
      <c r="R85" s="643">
        <v>0</v>
      </c>
      <c r="S85" s="645">
        <v>1501.7720234115452</v>
      </c>
      <c r="U85" s="641" t="s">
        <v>59</v>
      </c>
      <c r="V85" s="642">
        <v>0</v>
      </c>
      <c r="W85" s="643">
        <v>9.7691999999999997</v>
      </c>
      <c r="X85" s="643">
        <v>0</v>
      </c>
      <c r="Y85" s="642">
        <v>0.18608000000000002</v>
      </c>
      <c r="Z85" s="643">
        <v>1119.7245179063361</v>
      </c>
      <c r="AA85" s="643">
        <v>139.7041324372328</v>
      </c>
      <c r="AB85" s="643">
        <v>163.20539166181254</v>
      </c>
      <c r="AC85" s="643">
        <v>30.468703460147175</v>
      </c>
      <c r="AD85" s="643">
        <v>0.17473616288186822</v>
      </c>
      <c r="AE85" s="643">
        <v>0.14724141092299528</v>
      </c>
      <c r="AF85" s="643">
        <v>40.964336574173757</v>
      </c>
      <c r="AG85" s="643">
        <v>7.1518943001451731</v>
      </c>
      <c r="AH85" s="644">
        <v>0</v>
      </c>
      <c r="AI85" s="643">
        <v>0</v>
      </c>
      <c r="AJ85" s="643">
        <v>0</v>
      </c>
      <c r="AK85" s="645">
        <v>1511.4962339136523</v>
      </c>
    </row>
    <row r="86" spans="3:37" ht="13.5">
      <c r="C86" s="641" t="s">
        <v>60</v>
      </c>
      <c r="D86" s="642">
        <v>55.101902053292484</v>
      </c>
      <c r="E86" s="643">
        <v>500.10836609636777</v>
      </c>
      <c r="F86" s="643">
        <v>279.29112148859122</v>
      </c>
      <c r="G86" s="642">
        <v>374.80910242212775</v>
      </c>
      <c r="H86" s="643">
        <v>0</v>
      </c>
      <c r="I86" s="643">
        <v>0</v>
      </c>
      <c r="J86" s="643">
        <v>1.5889557346935721</v>
      </c>
      <c r="K86" s="643">
        <v>0</v>
      </c>
      <c r="L86" s="643">
        <v>1.5000078530419791</v>
      </c>
      <c r="M86" s="643">
        <v>0</v>
      </c>
      <c r="N86" s="643">
        <v>0</v>
      </c>
      <c r="O86" s="643">
        <v>0</v>
      </c>
      <c r="P86" s="644">
        <v>0</v>
      </c>
      <c r="Q86" s="643">
        <v>0</v>
      </c>
      <c r="R86" s="643">
        <v>0</v>
      </c>
      <c r="S86" s="645">
        <v>1212.3994556481148</v>
      </c>
      <c r="U86" s="641" t="s">
        <v>60</v>
      </c>
      <c r="V86" s="642">
        <v>44.533896750987545</v>
      </c>
      <c r="W86" s="643">
        <v>459.32392184850846</v>
      </c>
      <c r="X86" s="643">
        <v>277.24182021025467</v>
      </c>
      <c r="Y86" s="642">
        <v>383.77086405289117</v>
      </c>
      <c r="Z86" s="643">
        <v>0</v>
      </c>
      <c r="AA86" s="643">
        <v>0</v>
      </c>
      <c r="AB86" s="643">
        <v>1.5889557346935721</v>
      </c>
      <c r="AC86" s="643">
        <v>0</v>
      </c>
      <c r="AD86" s="643">
        <v>1.5000078530419791</v>
      </c>
      <c r="AE86" s="643">
        <v>0</v>
      </c>
      <c r="AF86" s="643">
        <v>0</v>
      </c>
      <c r="AG86" s="643">
        <v>0</v>
      </c>
      <c r="AH86" s="644">
        <v>0</v>
      </c>
      <c r="AI86" s="643">
        <v>0</v>
      </c>
      <c r="AJ86" s="643">
        <v>0</v>
      </c>
      <c r="AK86" s="645">
        <v>1167.9594664503775</v>
      </c>
    </row>
    <row r="87" spans="3:37" ht="13.5">
      <c r="C87" s="641" t="s">
        <v>61</v>
      </c>
      <c r="D87" s="642">
        <v>0</v>
      </c>
      <c r="E87" s="643">
        <v>0</v>
      </c>
      <c r="F87" s="643">
        <v>-1.2153350000000001</v>
      </c>
      <c r="G87" s="642">
        <v>0</v>
      </c>
      <c r="H87" s="643">
        <v>0</v>
      </c>
      <c r="I87" s="643">
        <v>0</v>
      </c>
      <c r="J87" s="643">
        <v>0</v>
      </c>
      <c r="K87" s="643">
        <v>0</v>
      </c>
      <c r="L87" s="643">
        <v>0</v>
      </c>
      <c r="M87" s="643">
        <v>0</v>
      </c>
      <c r="N87" s="643">
        <v>0</v>
      </c>
      <c r="O87" s="643">
        <v>0</v>
      </c>
      <c r="P87" s="644">
        <v>-24.298097404469559</v>
      </c>
      <c r="Q87" s="643">
        <v>0</v>
      </c>
      <c r="R87" s="643">
        <v>0</v>
      </c>
      <c r="S87" s="645">
        <v>-25.513432404469558</v>
      </c>
      <c r="U87" s="641" t="s">
        <v>61</v>
      </c>
      <c r="V87" s="642">
        <v>0</v>
      </c>
      <c r="W87" s="643">
        <v>0</v>
      </c>
      <c r="X87" s="643">
        <v>-1.2153350000000001</v>
      </c>
      <c r="Y87" s="642">
        <v>0</v>
      </c>
      <c r="Z87" s="643">
        <v>0</v>
      </c>
      <c r="AA87" s="643">
        <v>0</v>
      </c>
      <c r="AB87" s="643">
        <v>0</v>
      </c>
      <c r="AC87" s="643">
        <v>0</v>
      </c>
      <c r="AD87" s="643">
        <v>0</v>
      </c>
      <c r="AE87" s="643">
        <v>0</v>
      </c>
      <c r="AF87" s="643">
        <v>0</v>
      </c>
      <c r="AG87" s="643">
        <v>0</v>
      </c>
      <c r="AH87" s="644">
        <v>-55.679944149892151</v>
      </c>
      <c r="AI87" s="643">
        <v>0</v>
      </c>
      <c r="AJ87" s="643">
        <v>0</v>
      </c>
      <c r="AK87" s="645">
        <v>-56.895279149892154</v>
      </c>
    </row>
    <row r="88" spans="3:37" ht="13.5">
      <c r="C88" s="641" t="s">
        <v>62</v>
      </c>
      <c r="D88" s="642">
        <v>0</v>
      </c>
      <c r="E88" s="643">
        <v>0</v>
      </c>
      <c r="F88" s="643">
        <v>-18.810185715850007</v>
      </c>
      <c r="G88" s="642">
        <v>0</v>
      </c>
      <c r="H88" s="643">
        <v>0</v>
      </c>
      <c r="I88" s="643">
        <v>0</v>
      </c>
      <c r="J88" s="643">
        <v>0</v>
      </c>
      <c r="K88" s="643">
        <v>0</v>
      </c>
      <c r="L88" s="643">
        <v>0</v>
      </c>
      <c r="M88" s="643">
        <v>0</v>
      </c>
      <c r="N88" s="643">
        <v>0</v>
      </c>
      <c r="O88" s="643">
        <v>0</v>
      </c>
      <c r="P88" s="644">
        <v>0</v>
      </c>
      <c r="Q88" s="643">
        <v>0</v>
      </c>
      <c r="R88" s="643">
        <v>0</v>
      </c>
      <c r="S88" s="645">
        <v>-18.810185715850007</v>
      </c>
      <c r="U88" s="641" t="s">
        <v>62</v>
      </c>
      <c r="V88" s="642">
        <v>0</v>
      </c>
      <c r="W88" s="643">
        <v>0</v>
      </c>
      <c r="X88" s="643">
        <v>-18.660224222059444</v>
      </c>
      <c r="Y88" s="642">
        <v>0</v>
      </c>
      <c r="Z88" s="643">
        <v>0</v>
      </c>
      <c r="AA88" s="643">
        <v>0</v>
      </c>
      <c r="AB88" s="643">
        <v>0</v>
      </c>
      <c r="AC88" s="643">
        <v>0</v>
      </c>
      <c r="AD88" s="643">
        <v>0</v>
      </c>
      <c r="AE88" s="643">
        <v>0</v>
      </c>
      <c r="AF88" s="643">
        <v>0</v>
      </c>
      <c r="AG88" s="643">
        <v>0</v>
      </c>
      <c r="AH88" s="644">
        <v>0</v>
      </c>
      <c r="AI88" s="643">
        <v>0</v>
      </c>
      <c r="AJ88" s="643">
        <v>0</v>
      </c>
      <c r="AK88" s="645">
        <v>-18.660224222059444</v>
      </c>
    </row>
    <row r="89" spans="3:37" ht="13.5">
      <c r="C89" s="641" t="s">
        <v>63</v>
      </c>
      <c r="D89" s="642">
        <v>0</v>
      </c>
      <c r="E89" s="643">
        <v>0</v>
      </c>
      <c r="F89" s="643">
        <v>-62.925116345665856</v>
      </c>
      <c r="G89" s="642">
        <v>0</v>
      </c>
      <c r="H89" s="643">
        <v>0</v>
      </c>
      <c r="I89" s="643">
        <v>0</v>
      </c>
      <c r="J89" s="643">
        <v>0</v>
      </c>
      <c r="K89" s="643">
        <v>0</v>
      </c>
      <c r="L89" s="643">
        <v>-0.48762923007264619</v>
      </c>
      <c r="M89" s="643">
        <v>0</v>
      </c>
      <c r="N89" s="643">
        <v>0</v>
      </c>
      <c r="O89" s="643">
        <v>0</v>
      </c>
      <c r="P89" s="644">
        <v>0</v>
      </c>
      <c r="Q89" s="643">
        <v>0</v>
      </c>
      <c r="R89" s="643">
        <v>0</v>
      </c>
      <c r="S89" s="645">
        <v>-63.412745575738505</v>
      </c>
      <c r="U89" s="641" t="s">
        <v>63</v>
      </c>
      <c r="V89" s="642">
        <v>0</v>
      </c>
      <c r="W89" s="643">
        <v>0</v>
      </c>
      <c r="X89" s="643">
        <v>-57.939384373642596</v>
      </c>
      <c r="Y89" s="642">
        <v>0</v>
      </c>
      <c r="Z89" s="643">
        <v>0</v>
      </c>
      <c r="AA89" s="643">
        <v>0</v>
      </c>
      <c r="AB89" s="643">
        <v>0</v>
      </c>
      <c r="AC89" s="643">
        <v>0</v>
      </c>
      <c r="AD89" s="643">
        <v>-0.93673862712011491</v>
      </c>
      <c r="AE89" s="643">
        <v>0</v>
      </c>
      <c r="AF89" s="643">
        <v>0</v>
      </c>
      <c r="AG89" s="643">
        <v>0</v>
      </c>
      <c r="AH89" s="644">
        <v>0</v>
      </c>
      <c r="AI89" s="643">
        <v>0</v>
      </c>
      <c r="AJ89" s="643">
        <v>0</v>
      </c>
      <c r="AK89" s="645">
        <v>-58.876123000762711</v>
      </c>
    </row>
    <row r="90" spans="3:37" ht="13.5">
      <c r="C90" s="641" t="s">
        <v>64</v>
      </c>
      <c r="D90" s="642">
        <v>9.7684723496666986E-2</v>
      </c>
      <c r="E90" s="643">
        <v>-5.9567697000000003E-2</v>
      </c>
      <c r="F90" s="643">
        <v>3.8766666666666671E-2</v>
      </c>
      <c r="G90" s="642">
        <v>0</v>
      </c>
      <c r="H90" s="643">
        <v>0</v>
      </c>
      <c r="I90" s="643">
        <v>0</v>
      </c>
      <c r="J90" s="643">
        <v>0</v>
      </c>
      <c r="K90" s="643">
        <v>0</v>
      </c>
      <c r="L90" s="643">
        <v>0</v>
      </c>
      <c r="M90" s="643">
        <v>0</v>
      </c>
      <c r="N90" s="643">
        <v>0</v>
      </c>
      <c r="O90" s="643">
        <v>0</v>
      </c>
      <c r="P90" s="644">
        <v>0</v>
      </c>
      <c r="Q90" s="643">
        <v>0</v>
      </c>
      <c r="R90" s="643">
        <v>0</v>
      </c>
      <c r="S90" s="645">
        <v>7.6883693163333655E-2</v>
      </c>
      <c r="U90" s="641" t="s">
        <v>64</v>
      </c>
      <c r="V90" s="642">
        <v>9.7684723496666986E-2</v>
      </c>
      <c r="W90" s="643">
        <v>-5.9567697000000003E-2</v>
      </c>
      <c r="X90" s="643">
        <v>3.8766666666666671E-2</v>
      </c>
      <c r="Y90" s="642">
        <v>0</v>
      </c>
      <c r="Z90" s="643">
        <v>0</v>
      </c>
      <c r="AA90" s="643">
        <v>0</v>
      </c>
      <c r="AB90" s="643">
        <v>0</v>
      </c>
      <c r="AC90" s="643">
        <v>0</v>
      </c>
      <c r="AD90" s="643">
        <v>0</v>
      </c>
      <c r="AE90" s="643">
        <v>0</v>
      </c>
      <c r="AF90" s="643">
        <v>0</v>
      </c>
      <c r="AG90" s="643">
        <v>0</v>
      </c>
      <c r="AH90" s="644">
        <v>0</v>
      </c>
      <c r="AI90" s="643">
        <v>0</v>
      </c>
      <c r="AJ90" s="643">
        <v>0</v>
      </c>
      <c r="AK90" s="645">
        <v>7.6883693163333655E-2</v>
      </c>
    </row>
    <row r="91" spans="3:37" ht="13.5">
      <c r="C91" s="646" t="s">
        <v>65</v>
      </c>
      <c r="D91" s="647">
        <v>55.199586776789154</v>
      </c>
      <c r="E91" s="647">
        <v>509.81799839936781</v>
      </c>
      <c r="F91" s="647">
        <v>196.37925109374203</v>
      </c>
      <c r="G91" s="647">
        <v>374.99518242212775</v>
      </c>
      <c r="H91" s="647">
        <v>1100.0000000000002</v>
      </c>
      <c r="I91" s="647">
        <v>135.04231425541462</v>
      </c>
      <c r="J91" s="647">
        <v>191.45721599138798</v>
      </c>
      <c r="K91" s="647">
        <v>24.170186950164744</v>
      </c>
      <c r="L91" s="647">
        <v>1.1871147858512012</v>
      </c>
      <c r="M91" s="647">
        <v>0.14724141092299528</v>
      </c>
      <c r="N91" s="647">
        <v>36.514651680131124</v>
      </c>
      <c r="O91" s="647">
        <v>5.8993526953350273</v>
      </c>
      <c r="P91" s="647">
        <v>-24.298097404469559</v>
      </c>
      <c r="Q91" s="647">
        <v>0</v>
      </c>
      <c r="R91" s="647">
        <v>0</v>
      </c>
      <c r="S91" s="647">
        <v>2606.5119990567659</v>
      </c>
      <c r="U91" s="646" t="s">
        <v>65</v>
      </c>
      <c r="V91" s="647">
        <v>44.631581474484214</v>
      </c>
      <c r="W91" s="647">
        <v>469.0335541515085</v>
      </c>
      <c r="X91" s="647">
        <v>199.46564328121934</v>
      </c>
      <c r="Y91" s="647">
        <v>383.95694405289117</v>
      </c>
      <c r="Z91" s="647">
        <v>1119.7245179063361</v>
      </c>
      <c r="AA91" s="647">
        <v>139.7041324372328</v>
      </c>
      <c r="AB91" s="647">
        <v>164.79434739650611</v>
      </c>
      <c r="AC91" s="647">
        <v>30.468703460147175</v>
      </c>
      <c r="AD91" s="647">
        <v>0.73800538880373245</v>
      </c>
      <c r="AE91" s="647">
        <v>0.14724141092299528</v>
      </c>
      <c r="AF91" s="647">
        <v>40.964336574173757</v>
      </c>
      <c r="AG91" s="647">
        <v>7.1518943001451731</v>
      </c>
      <c r="AH91" s="647">
        <v>-55.679944149892151</v>
      </c>
      <c r="AI91" s="647">
        <v>0</v>
      </c>
      <c r="AJ91" s="647">
        <v>0</v>
      </c>
      <c r="AK91" s="647">
        <v>2545.100957684479</v>
      </c>
    </row>
    <row r="92" spans="3:37" ht="13">
      <c r="C92" s="636"/>
      <c r="D92" s="636">
        <v>0</v>
      </c>
      <c r="E92" s="636">
        <v>0</v>
      </c>
      <c r="F92" s="636">
        <v>0</v>
      </c>
      <c r="G92" s="636">
        <v>0</v>
      </c>
      <c r="H92" s="636">
        <v>0</v>
      </c>
      <c r="I92" s="636">
        <v>0</v>
      </c>
      <c r="J92" s="636">
        <v>0</v>
      </c>
      <c r="K92" s="636">
        <v>0</v>
      </c>
      <c r="L92" s="636">
        <v>0</v>
      </c>
      <c r="M92" s="636">
        <v>0</v>
      </c>
      <c r="N92" s="636">
        <v>0</v>
      </c>
      <c r="O92" s="636">
        <v>0</v>
      </c>
      <c r="P92" s="636">
        <v>0</v>
      </c>
      <c r="Q92" s="636">
        <v>0</v>
      </c>
      <c r="R92" s="636">
        <v>0</v>
      </c>
      <c r="S92" s="636">
        <v>0</v>
      </c>
      <c r="U92" s="636"/>
      <c r="V92" s="636">
        <v>0</v>
      </c>
      <c r="W92" s="636">
        <v>0</v>
      </c>
      <c r="X92" s="636">
        <v>0</v>
      </c>
      <c r="Y92" s="636">
        <v>0</v>
      </c>
      <c r="Z92" s="636">
        <v>0</v>
      </c>
      <c r="AA92" s="636">
        <v>0</v>
      </c>
      <c r="AB92" s="636">
        <v>0</v>
      </c>
      <c r="AC92" s="636">
        <v>0</v>
      </c>
      <c r="AD92" s="636">
        <v>0</v>
      </c>
      <c r="AE92" s="636">
        <v>0</v>
      </c>
      <c r="AF92" s="636">
        <v>0</v>
      </c>
      <c r="AG92" s="636">
        <v>0</v>
      </c>
      <c r="AH92" s="636">
        <v>0</v>
      </c>
      <c r="AI92" s="636">
        <v>0</v>
      </c>
      <c r="AJ92" s="636">
        <v>0</v>
      </c>
      <c r="AK92" s="636">
        <v>0</v>
      </c>
    </row>
    <row r="93" spans="3:37" ht="13.5">
      <c r="C93" s="648" t="s">
        <v>67</v>
      </c>
      <c r="D93" s="642">
        <v>0</v>
      </c>
      <c r="E93" s="649">
        <v>4.3623690669338813E-2</v>
      </c>
      <c r="F93" s="649">
        <v>-0.43976848620269193</v>
      </c>
      <c r="G93" s="642">
        <v>0</v>
      </c>
      <c r="H93" s="642">
        <v>0</v>
      </c>
      <c r="I93" s="642">
        <v>0</v>
      </c>
      <c r="J93" s="642">
        <v>0</v>
      </c>
      <c r="K93" s="642">
        <v>0</v>
      </c>
      <c r="L93" s="642">
        <v>0</v>
      </c>
      <c r="M93" s="642">
        <v>0</v>
      </c>
      <c r="N93" s="642">
        <v>0</v>
      </c>
      <c r="O93" s="642">
        <v>0</v>
      </c>
      <c r="P93" s="642">
        <v>0.19176325930063415</v>
      </c>
      <c r="Q93" s="642">
        <v>0</v>
      </c>
      <c r="R93" s="642">
        <v>0</v>
      </c>
      <c r="S93" s="650">
        <v>-0.20438153623271899</v>
      </c>
      <c r="U93" s="648" t="s">
        <v>67</v>
      </c>
      <c r="V93" s="642">
        <v>0</v>
      </c>
      <c r="W93" s="649">
        <v>4.3623690669338813E-2</v>
      </c>
      <c r="X93" s="649">
        <v>-0.43976848620269193</v>
      </c>
      <c r="Y93" s="642">
        <v>0</v>
      </c>
      <c r="Z93" s="642">
        <v>0</v>
      </c>
      <c r="AA93" s="642">
        <v>0</v>
      </c>
      <c r="AB93" s="642">
        <v>0</v>
      </c>
      <c r="AC93" s="642">
        <v>0</v>
      </c>
      <c r="AD93" s="642">
        <v>0</v>
      </c>
      <c r="AE93" s="642">
        <v>0</v>
      </c>
      <c r="AF93" s="642">
        <v>0</v>
      </c>
      <c r="AG93" s="642">
        <v>0</v>
      </c>
      <c r="AH93" s="642">
        <v>0.19176325930063415</v>
      </c>
      <c r="AI93" s="642">
        <v>0</v>
      </c>
      <c r="AJ93" s="642">
        <v>0</v>
      </c>
      <c r="AK93" s="650">
        <v>-0.20438153623271899</v>
      </c>
    </row>
    <row r="94" spans="3:37" ht="13.5">
      <c r="C94" s="648" t="s">
        <v>350</v>
      </c>
      <c r="D94" s="642">
        <v>4.5103805765333682</v>
      </c>
      <c r="E94" s="642">
        <v>0</v>
      </c>
      <c r="F94" s="642">
        <v>9.8157441879701768</v>
      </c>
      <c r="G94" s="642">
        <v>18.775665399239546</v>
      </c>
      <c r="H94" s="642">
        <v>1100.0000000000002</v>
      </c>
      <c r="I94" s="642">
        <v>135.04231425541462</v>
      </c>
      <c r="J94" s="651">
        <v>34.496026032636451</v>
      </c>
      <c r="K94" s="651">
        <v>9.8540491520373141</v>
      </c>
      <c r="L94" s="651">
        <v>1.6747440159238469</v>
      </c>
      <c r="M94" s="651">
        <v>0.35186004718702235</v>
      </c>
      <c r="N94" s="651">
        <v>0</v>
      </c>
      <c r="O94" s="651">
        <v>1.0949510903328832</v>
      </c>
      <c r="P94" s="642">
        <v>-528.16324498212941</v>
      </c>
      <c r="Q94" s="642">
        <v>0</v>
      </c>
      <c r="R94" s="642">
        <v>0</v>
      </c>
      <c r="S94" s="650">
        <v>787.45248977514632</v>
      </c>
      <c r="U94" s="648" t="s">
        <v>350</v>
      </c>
      <c r="V94" s="642">
        <v>5.5105945472454412</v>
      </c>
      <c r="W94" s="642">
        <v>0</v>
      </c>
      <c r="X94" s="642">
        <v>9.2785541053255489</v>
      </c>
      <c r="Y94" s="642">
        <v>63.913833390943651</v>
      </c>
      <c r="Z94" s="642">
        <v>1119.7245179063361</v>
      </c>
      <c r="AA94" s="642">
        <v>139.7041324372328</v>
      </c>
      <c r="AB94" s="651">
        <v>30.922255006102869</v>
      </c>
      <c r="AC94" s="651">
        <v>9.8129258074353114</v>
      </c>
      <c r="AD94" s="651">
        <v>1.6747440159238469</v>
      </c>
      <c r="AE94" s="651">
        <v>2.1200176690328574</v>
      </c>
      <c r="AF94" s="651">
        <v>0</v>
      </c>
      <c r="AG94" s="651">
        <v>1.0949510903328832</v>
      </c>
      <c r="AH94" s="642">
        <v>-563.75233589122035</v>
      </c>
      <c r="AI94" s="642">
        <v>0</v>
      </c>
      <c r="AJ94" s="642">
        <v>0</v>
      </c>
      <c r="AK94" s="650">
        <v>820.00419008469089</v>
      </c>
    </row>
    <row r="95" spans="3:37" ht="13.5">
      <c r="C95" s="648" t="s">
        <v>351</v>
      </c>
      <c r="D95" s="642">
        <v>0.6999963952131163</v>
      </c>
      <c r="E95" s="642">
        <v>0</v>
      </c>
      <c r="F95" s="642">
        <v>9.7194502166343774E-2</v>
      </c>
      <c r="G95" s="642">
        <v>17.132629973754788</v>
      </c>
      <c r="H95" s="642">
        <v>0</v>
      </c>
      <c r="I95" s="642">
        <v>0</v>
      </c>
      <c r="J95" s="651">
        <v>14.734948238156928</v>
      </c>
      <c r="K95" s="651">
        <v>12.603624013464524</v>
      </c>
      <c r="L95" s="651">
        <v>0</v>
      </c>
      <c r="M95" s="651">
        <v>0.22730502357401322</v>
      </c>
      <c r="N95" s="651">
        <v>0</v>
      </c>
      <c r="O95" s="651">
        <v>2.3801724763059897</v>
      </c>
      <c r="P95" s="642">
        <v>0</v>
      </c>
      <c r="Q95" s="642">
        <v>-42.214668535116644</v>
      </c>
      <c r="R95" s="642">
        <v>0</v>
      </c>
      <c r="S95" s="650">
        <v>5.6612020875190572</v>
      </c>
      <c r="U95" s="648" t="s">
        <v>351</v>
      </c>
      <c r="V95" s="642">
        <v>0.57556847895375396</v>
      </c>
      <c r="W95" s="642">
        <v>0</v>
      </c>
      <c r="X95" s="642">
        <v>9.6807273074047573E-2</v>
      </c>
      <c r="Y95" s="642">
        <v>19.098436526179597</v>
      </c>
      <c r="Z95" s="642">
        <v>0</v>
      </c>
      <c r="AA95" s="642">
        <v>0</v>
      </c>
      <c r="AB95" s="651">
        <v>18.536093620572945</v>
      </c>
      <c r="AC95" s="651">
        <v>15.896426642523334</v>
      </c>
      <c r="AD95" s="651">
        <v>0</v>
      </c>
      <c r="AE95" s="651">
        <v>0.61098888777569416</v>
      </c>
      <c r="AF95" s="651">
        <v>0</v>
      </c>
      <c r="AG95" s="651">
        <v>3.2143759234787459</v>
      </c>
      <c r="AH95" s="642">
        <v>0</v>
      </c>
      <c r="AI95" s="642">
        <v>-51.338123400700034</v>
      </c>
      <c r="AJ95" s="642">
        <v>0</v>
      </c>
      <c r="AK95" s="650">
        <v>6.6905739518580836</v>
      </c>
    </row>
    <row r="96" spans="3:37" ht="13.5">
      <c r="C96" s="648" t="s">
        <v>352</v>
      </c>
      <c r="D96" s="642">
        <v>0</v>
      </c>
      <c r="E96" s="642">
        <v>0</v>
      </c>
      <c r="F96" s="642">
        <v>0</v>
      </c>
      <c r="G96" s="642">
        <v>0</v>
      </c>
      <c r="H96" s="642">
        <v>0</v>
      </c>
      <c r="I96" s="642">
        <v>0</v>
      </c>
      <c r="J96" s="652">
        <v>5.238502832319341</v>
      </c>
      <c r="K96" s="652">
        <v>0</v>
      </c>
      <c r="L96" s="652">
        <v>0</v>
      </c>
      <c r="M96" s="652">
        <v>-4.5574974641178265</v>
      </c>
      <c r="N96" s="652">
        <v>0</v>
      </c>
      <c r="O96" s="652">
        <v>0</v>
      </c>
      <c r="P96" s="642">
        <v>0</v>
      </c>
      <c r="Q96" s="642">
        <v>0</v>
      </c>
      <c r="R96" s="642">
        <v>0</v>
      </c>
      <c r="S96" s="650">
        <v>0.68100536820151447</v>
      </c>
      <c r="U96" s="648" t="s">
        <v>352</v>
      </c>
      <c r="V96" s="642">
        <v>0</v>
      </c>
      <c r="W96" s="642">
        <v>0</v>
      </c>
      <c r="X96" s="642">
        <v>0</v>
      </c>
      <c r="Y96" s="642">
        <v>0</v>
      </c>
      <c r="Z96" s="642">
        <v>0</v>
      </c>
      <c r="AA96" s="642">
        <v>0</v>
      </c>
      <c r="AB96" s="652">
        <v>13.772235368900052</v>
      </c>
      <c r="AC96" s="652">
        <v>0</v>
      </c>
      <c r="AD96" s="652">
        <v>0</v>
      </c>
      <c r="AE96" s="652">
        <v>-11.981844770943045</v>
      </c>
      <c r="AF96" s="652">
        <v>0</v>
      </c>
      <c r="AG96" s="652">
        <v>0</v>
      </c>
      <c r="AH96" s="642">
        <v>0</v>
      </c>
      <c r="AI96" s="642">
        <v>0</v>
      </c>
      <c r="AJ96" s="642">
        <v>0</v>
      </c>
      <c r="AK96" s="650">
        <v>1.7903905979570069</v>
      </c>
    </row>
    <row r="97" spans="3:37" ht="13.5">
      <c r="C97" s="648" t="s">
        <v>353</v>
      </c>
      <c r="D97" s="642">
        <v>0</v>
      </c>
      <c r="E97" s="642">
        <v>0</v>
      </c>
      <c r="F97" s="642">
        <v>0</v>
      </c>
      <c r="G97" s="642">
        <v>0</v>
      </c>
      <c r="H97" s="642">
        <v>0</v>
      </c>
      <c r="I97" s="642">
        <v>0</v>
      </c>
      <c r="J97" s="642">
        <v>0</v>
      </c>
      <c r="K97" s="642">
        <v>0</v>
      </c>
      <c r="L97" s="642">
        <v>0</v>
      </c>
      <c r="M97" s="642">
        <v>0</v>
      </c>
      <c r="N97" s="642">
        <v>0</v>
      </c>
      <c r="O97" s="642">
        <v>0</v>
      </c>
      <c r="P97" s="642">
        <v>0</v>
      </c>
      <c r="Q97" s="642">
        <v>0</v>
      </c>
      <c r="R97" s="642">
        <v>0</v>
      </c>
      <c r="S97" s="650">
        <v>0</v>
      </c>
      <c r="U97" s="648" t="s">
        <v>353</v>
      </c>
      <c r="V97" s="642">
        <v>0</v>
      </c>
      <c r="W97" s="642">
        <v>0</v>
      </c>
      <c r="X97" s="642">
        <v>0</v>
      </c>
      <c r="Y97" s="642">
        <v>0</v>
      </c>
      <c r="Z97" s="642">
        <v>0</v>
      </c>
      <c r="AA97" s="642">
        <v>0</v>
      </c>
      <c r="AB97" s="642">
        <v>0</v>
      </c>
      <c r="AC97" s="642">
        <v>0</v>
      </c>
      <c r="AD97" s="642">
        <v>0</v>
      </c>
      <c r="AE97" s="642">
        <v>0</v>
      </c>
      <c r="AF97" s="642">
        <v>0</v>
      </c>
      <c r="AG97" s="642">
        <v>0</v>
      </c>
      <c r="AH97" s="642">
        <v>0</v>
      </c>
      <c r="AI97" s="642">
        <v>0</v>
      </c>
      <c r="AJ97" s="642">
        <v>0</v>
      </c>
      <c r="AK97" s="650">
        <v>0</v>
      </c>
    </row>
    <row r="98" spans="3:37" ht="13.5">
      <c r="C98" s="648" t="s">
        <v>72</v>
      </c>
      <c r="D98" s="642">
        <v>0</v>
      </c>
      <c r="E98" s="642">
        <v>528.18160482950532</v>
      </c>
      <c r="F98" s="642">
        <v>-522.91035312734175</v>
      </c>
      <c r="G98" s="642">
        <v>0</v>
      </c>
      <c r="H98" s="642">
        <v>0</v>
      </c>
      <c r="I98" s="642">
        <v>0</v>
      </c>
      <c r="J98" s="642">
        <v>0</v>
      </c>
      <c r="K98" s="642">
        <v>0</v>
      </c>
      <c r="L98" s="642">
        <v>0</v>
      </c>
      <c r="M98" s="642">
        <v>0</v>
      </c>
      <c r="N98" s="642">
        <v>0</v>
      </c>
      <c r="O98" s="642">
        <v>0</v>
      </c>
      <c r="P98" s="642">
        <v>0</v>
      </c>
      <c r="Q98" s="642">
        <v>0</v>
      </c>
      <c r="R98" s="642">
        <v>0</v>
      </c>
      <c r="S98" s="650">
        <v>5.2712517021635534</v>
      </c>
      <c r="U98" s="648" t="s">
        <v>72</v>
      </c>
      <c r="V98" s="642">
        <v>0</v>
      </c>
      <c r="W98" s="642">
        <v>485.93325526938804</v>
      </c>
      <c r="X98" s="642">
        <v>-481.0844870628257</v>
      </c>
      <c r="Y98" s="642">
        <v>0</v>
      </c>
      <c r="Z98" s="642">
        <v>0</v>
      </c>
      <c r="AA98" s="642">
        <v>0</v>
      </c>
      <c r="AB98" s="642">
        <v>0</v>
      </c>
      <c r="AC98" s="642">
        <v>0</v>
      </c>
      <c r="AD98" s="642">
        <v>0</v>
      </c>
      <c r="AE98" s="642">
        <v>0</v>
      </c>
      <c r="AF98" s="642">
        <v>0</v>
      </c>
      <c r="AG98" s="642">
        <v>0</v>
      </c>
      <c r="AH98" s="642">
        <v>0</v>
      </c>
      <c r="AI98" s="642">
        <v>0</v>
      </c>
      <c r="AJ98" s="642">
        <v>0</v>
      </c>
      <c r="AK98" s="650">
        <v>4.8487682065623261</v>
      </c>
    </row>
    <row r="99" spans="3:37" ht="13.5">
      <c r="C99" s="648" t="s">
        <v>354</v>
      </c>
      <c r="D99" s="642">
        <v>0</v>
      </c>
      <c r="E99" s="642">
        <v>0</v>
      </c>
      <c r="F99" s="642">
        <v>0</v>
      </c>
      <c r="G99" s="642">
        <v>0</v>
      </c>
      <c r="H99" s="642">
        <v>0</v>
      </c>
      <c r="I99" s="642">
        <v>0</v>
      </c>
      <c r="J99" s="642">
        <v>41.023636384681005</v>
      </c>
      <c r="K99" s="642">
        <v>0</v>
      </c>
      <c r="L99" s="642">
        <v>-41.023636384681005</v>
      </c>
      <c r="M99" s="642">
        <v>0</v>
      </c>
      <c r="N99" s="642">
        <v>0</v>
      </c>
      <c r="O99" s="642">
        <v>0</v>
      </c>
      <c r="P99" s="642">
        <v>0</v>
      </c>
      <c r="Q99" s="642">
        <v>0</v>
      </c>
      <c r="R99" s="642">
        <v>0</v>
      </c>
      <c r="S99" s="650">
        <v>0</v>
      </c>
      <c r="U99" s="648" t="s">
        <v>354</v>
      </c>
      <c r="V99" s="642">
        <v>0</v>
      </c>
      <c r="W99" s="642">
        <v>0</v>
      </c>
      <c r="X99" s="642">
        <v>0</v>
      </c>
      <c r="Y99" s="642">
        <v>0</v>
      </c>
      <c r="Z99" s="642">
        <v>0</v>
      </c>
      <c r="AA99" s="642">
        <v>0</v>
      </c>
      <c r="AB99" s="642" t="e">
        <v>#VALUE!</v>
      </c>
      <c r="AC99" s="642">
        <v>0</v>
      </c>
      <c r="AD99" s="642">
        <v>-41.390538118321977</v>
      </c>
      <c r="AE99" s="642">
        <v>0</v>
      </c>
      <c r="AF99" s="642">
        <v>0</v>
      </c>
      <c r="AG99" s="642">
        <v>0</v>
      </c>
      <c r="AH99" s="642">
        <v>0</v>
      </c>
      <c r="AI99" s="642">
        <v>0</v>
      </c>
      <c r="AJ99" s="642">
        <v>0</v>
      </c>
      <c r="AK99" s="650">
        <v>-41.390538118321977</v>
      </c>
    </row>
    <row r="100" spans="3:37" ht="13.5">
      <c r="C100" s="648" t="s">
        <v>355</v>
      </c>
      <c r="D100" s="642">
        <v>0</v>
      </c>
      <c r="E100" s="642">
        <v>0</v>
      </c>
      <c r="F100" s="642">
        <v>0</v>
      </c>
      <c r="G100" s="642">
        <v>0</v>
      </c>
      <c r="H100" s="642">
        <v>0</v>
      </c>
      <c r="I100" s="642">
        <v>0</v>
      </c>
      <c r="J100" s="642">
        <v>0</v>
      </c>
      <c r="K100" s="642">
        <v>0</v>
      </c>
      <c r="L100" s="642">
        <v>0</v>
      </c>
      <c r="M100" s="642">
        <v>0</v>
      </c>
      <c r="N100" s="642">
        <v>0</v>
      </c>
      <c r="O100" s="642">
        <v>0</v>
      </c>
      <c r="P100" s="642">
        <v>0</v>
      </c>
      <c r="Q100" s="642">
        <v>0</v>
      </c>
      <c r="R100" s="642">
        <v>0</v>
      </c>
      <c r="S100" s="650">
        <v>0</v>
      </c>
      <c r="U100" s="648" t="s">
        <v>355</v>
      </c>
      <c r="V100" s="642">
        <v>0</v>
      </c>
      <c r="W100" s="642">
        <v>0</v>
      </c>
      <c r="X100" s="642">
        <v>0</v>
      </c>
      <c r="Y100" s="642">
        <v>0</v>
      </c>
      <c r="Z100" s="642">
        <v>0</v>
      </c>
      <c r="AA100" s="642">
        <v>0</v>
      </c>
      <c r="AB100" s="642">
        <v>0</v>
      </c>
      <c r="AC100" s="642">
        <v>0</v>
      </c>
      <c r="AD100" s="642">
        <v>0</v>
      </c>
      <c r="AE100" s="642">
        <v>0</v>
      </c>
      <c r="AF100" s="642">
        <v>0</v>
      </c>
      <c r="AG100" s="642">
        <v>0</v>
      </c>
      <c r="AH100" s="642">
        <v>0</v>
      </c>
      <c r="AI100" s="642">
        <v>0</v>
      </c>
      <c r="AJ100" s="642">
        <v>0</v>
      </c>
      <c r="AK100" s="650">
        <v>0</v>
      </c>
    </row>
    <row r="101" spans="3:37" ht="13.5">
      <c r="C101" s="648" t="s">
        <v>73</v>
      </c>
      <c r="D101" s="642">
        <v>0</v>
      </c>
      <c r="E101" s="642">
        <v>0</v>
      </c>
      <c r="F101" s="642">
        <v>0</v>
      </c>
      <c r="G101" s="642">
        <v>0.3688106228045655</v>
      </c>
      <c r="H101" s="642">
        <v>0</v>
      </c>
      <c r="I101" s="642">
        <v>0</v>
      </c>
      <c r="J101" s="642">
        <v>0</v>
      </c>
      <c r="K101" s="642">
        <v>4.0111846923828126E-3</v>
      </c>
      <c r="L101" s="642">
        <v>0</v>
      </c>
      <c r="M101" s="642">
        <v>4.6306720562744137E-3</v>
      </c>
      <c r="N101" s="642">
        <v>0</v>
      </c>
      <c r="O101" s="642">
        <v>0</v>
      </c>
      <c r="P101" s="642">
        <v>2.54864504300631E-2</v>
      </c>
      <c r="Q101" s="642">
        <v>0</v>
      </c>
      <c r="R101" s="642">
        <v>-0.28078292846679692</v>
      </c>
      <c r="S101" s="650">
        <v>0.12215600151648892</v>
      </c>
      <c r="U101" s="648" t="s">
        <v>73</v>
      </c>
      <c r="V101" s="642">
        <v>0</v>
      </c>
      <c r="W101" s="642">
        <v>0</v>
      </c>
      <c r="X101" s="642">
        <v>0</v>
      </c>
      <c r="Y101" s="642">
        <v>1.2251451363860373</v>
      </c>
      <c r="Z101" s="642">
        <v>0</v>
      </c>
      <c r="AA101" s="642">
        <v>0</v>
      </c>
      <c r="AB101" s="642">
        <v>0</v>
      </c>
      <c r="AC101" s="642">
        <v>1.6303964872591784E-2</v>
      </c>
      <c r="AD101" s="642">
        <v>0</v>
      </c>
      <c r="AE101" s="642">
        <v>3.8412141239826253E-2</v>
      </c>
      <c r="AF101" s="642">
        <v>0</v>
      </c>
      <c r="AG101" s="642">
        <v>0</v>
      </c>
      <c r="AH101" s="642">
        <v>0.37749949435770208</v>
      </c>
      <c r="AI101" s="642">
        <v>0</v>
      </c>
      <c r="AJ101" s="642">
        <v>-1.1412775410814249</v>
      </c>
      <c r="AK101" s="650">
        <v>0.51608319577473249</v>
      </c>
    </row>
    <row r="102" spans="3:37" ht="13.5">
      <c r="C102" s="648" t="s">
        <v>356</v>
      </c>
      <c r="D102" s="642">
        <v>30.422460937499999</v>
      </c>
      <c r="E102" s="642">
        <v>-18.4071872151276</v>
      </c>
      <c r="F102" s="642">
        <v>24.023113751560182</v>
      </c>
      <c r="G102" s="642">
        <v>0</v>
      </c>
      <c r="H102" s="642">
        <v>0</v>
      </c>
      <c r="I102" s="642">
        <v>0</v>
      </c>
      <c r="J102" s="642">
        <v>0</v>
      </c>
      <c r="K102" s="642">
        <v>0</v>
      </c>
      <c r="L102" s="642">
        <v>0</v>
      </c>
      <c r="M102" s="642">
        <v>0</v>
      </c>
      <c r="N102" s="642">
        <v>0</v>
      </c>
      <c r="O102" s="642">
        <v>0</v>
      </c>
      <c r="P102" s="642">
        <v>0</v>
      </c>
      <c r="Q102" s="642">
        <v>0</v>
      </c>
      <c r="R102" s="642">
        <v>0</v>
      </c>
      <c r="S102" s="650">
        <v>36.03838747393258</v>
      </c>
      <c r="U102" s="648" t="s">
        <v>356</v>
      </c>
      <c r="V102" s="642">
        <v>19.459654296874998</v>
      </c>
      <c r="W102" s="642">
        <v>-16.94328190286954</v>
      </c>
      <c r="X102" s="642">
        <v>22.108412068991214</v>
      </c>
      <c r="Y102" s="642">
        <v>0</v>
      </c>
      <c r="Z102" s="642">
        <v>0</v>
      </c>
      <c r="AA102" s="642">
        <v>0</v>
      </c>
      <c r="AB102" s="642">
        <v>0</v>
      </c>
      <c r="AC102" s="642">
        <v>0</v>
      </c>
      <c r="AD102" s="642">
        <v>0</v>
      </c>
      <c r="AE102" s="642">
        <v>0</v>
      </c>
      <c r="AF102" s="642">
        <v>0</v>
      </c>
      <c r="AG102" s="642">
        <v>0</v>
      </c>
      <c r="AH102" s="642">
        <v>0</v>
      </c>
      <c r="AI102" s="642">
        <v>0</v>
      </c>
      <c r="AJ102" s="642">
        <v>0</v>
      </c>
      <c r="AK102" s="650">
        <v>24.624784462996672</v>
      </c>
    </row>
    <row r="103" spans="3:37" ht="13.5">
      <c r="C103" s="648" t="s">
        <v>75</v>
      </c>
      <c r="D103" s="642">
        <v>11.830957031250001</v>
      </c>
      <c r="E103" s="642">
        <v>0</v>
      </c>
      <c r="F103" s="642">
        <v>18.055588008572965</v>
      </c>
      <c r="G103" s="642">
        <v>5.1459674063225336</v>
      </c>
      <c r="H103" s="642">
        <v>0</v>
      </c>
      <c r="I103" s="642">
        <v>0</v>
      </c>
      <c r="J103" s="642">
        <v>0</v>
      </c>
      <c r="K103" s="642">
        <v>0</v>
      </c>
      <c r="L103" s="642">
        <v>0</v>
      </c>
      <c r="M103" s="642">
        <v>6.4611174400971444E-2</v>
      </c>
      <c r="N103" s="642">
        <v>0</v>
      </c>
      <c r="O103" s="642">
        <v>0</v>
      </c>
      <c r="P103" s="642">
        <v>34.108085964069424</v>
      </c>
      <c r="Q103" s="642">
        <v>0</v>
      </c>
      <c r="R103" s="642">
        <v>0</v>
      </c>
      <c r="S103" s="650">
        <v>69.205209584615886</v>
      </c>
      <c r="U103" s="648" t="s">
        <v>75</v>
      </c>
      <c r="V103" s="642">
        <v>13.970490234374999</v>
      </c>
      <c r="W103" s="642">
        <v>0</v>
      </c>
      <c r="X103" s="642">
        <v>18.055588008572965</v>
      </c>
      <c r="Y103" s="642">
        <v>5.0521769918695103</v>
      </c>
      <c r="Z103" s="642">
        <v>0</v>
      </c>
      <c r="AA103" s="642">
        <v>0</v>
      </c>
      <c r="AB103" s="642">
        <v>0</v>
      </c>
      <c r="AC103" s="642">
        <v>0</v>
      </c>
      <c r="AD103" s="642">
        <v>0</v>
      </c>
      <c r="AE103" s="642">
        <v>0.15840158885399455</v>
      </c>
      <c r="AF103" s="642">
        <v>0</v>
      </c>
      <c r="AG103" s="642">
        <v>0</v>
      </c>
      <c r="AH103" s="642">
        <v>34.71147439382149</v>
      </c>
      <c r="AI103" s="642">
        <v>0</v>
      </c>
      <c r="AJ103" s="642">
        <v>0</v>
      </c>
      <c r="AK103" s="650">
        <v>71.948131217492957</v>
      </c>
    </row>
    <row r="104" spans="3:37" ht="13.5">
      <c r="C104" s="648" t="s">
        <v>76</v>
      </c>
      <c r="D104" s="642">
        <v>0</v>
      </c>
      <c r="E104" s="642">
        <v>0</v>
      </c>
      <c r="F104" s="642">
        <v>0</v>
      </c>
      <c r="G104" s="642">
        <v>4.3041417463624567</v>
      </c>
      <c r="H104" s="642">
        <v>0</v>
      </c>
      <c r="I104" s="642">
        <v>0</v>
      </c>
      <c r="J104" s="642">
        <v>0</v>
      </c>
      <c r="K104" s="642">
        <v>0</v>
      </c>
      <c r="L104" s="642">
        <v>0</v>
      </c>
      <c r="M104" s="642">
        <v>5.4041471906535486E-2</v>
      </c>
      <c r="N104" s="642">
        <v>0</v>
      </c>
      <c r="O104" s="642">
        <v>0</v>
      </c>
      <c r="P104" s="642">
        <v>38.59518094579407</v>
      </c>
      <c r="Q104" s="642">
        <v>3.2740395369373112</v>
      </c>
      <c r="R104" s="642">
        <v>0</v>
      </c>
      <c r="S104" s="650">
        <v>46.227403701000377</v>
      </c>
      <c r="U104" s="648" t="s">
        <v>76</v>
      </c>
      <c r="V104" s="642">
        <v>0</v>
      </c>
      <c r="W104" s="642">
        <v>0</v>
      </c>
      <c r="X104" s="642">
        <v>0</v>
      </c>
      <c r="Y104" s="642">
        <v>4.5315152472590912</v>
      </c>
      <c r="Z104" s="642">
        <v>0</v>
      </c>
      <c r="AA104" s="642">
        <v>0</v>
      </c>
      <c r="AB104" s="642">
        <v>0</v>
      </c>
      <c r="AC104" s="642">
        <v>0</v>
      </c>
      <c r="AD104" s="642">
        <v>0</v>
      </c>
      <c r="AE104" s="642">
        <v>0.14207721072264479</v>
      </c>
      <c r="AF104" s="642">
        <v>0</v>
      </c>
      <c r="AG104" s="642">
        <v>0</v>
      </c>
      <c r="AH104" s="642">
        <v>38.917619787515648</v>
      </c>
      <c r="AI104" s="642">
        <v>3.9810231243072418</v>
      </c>
      <c r="AJ104" s="642">
        <v>0</v>
      </c>
      <c r="AK104" s="650">
        <v>47.572235369804623</v>
      </c>
    </row>
    <row r="105" spans="3:37" ht="13.5">
      <c r="C105" s="646" t="s">
        <v>77</v>
      </c>
      <c r="D105" s="647">
        <v>47.463794940496484</v>
      </c>
      <c r="E105" s="647">
        <v>509.81804130504707</v>
      </c>
      <c r="F105" s="647">
        <v>-471.3584811632748</v>
      </c>
      <c r="G105" s="647">
        <v>45.727215148483886</v>
      </c>
      <c r="H105" s="647">
        <v>1100.0000000000002</v>
      </c>
      <c r="I105" s="647">
        <v>135.04231425541462</v>
      </c>
      <c r="J105" s="647">
        <v>95.493113487793721</v>
      </c>
      <c r="K105" s="647">
        <v>22.461684350194222</v>
      </c>
      <c r="L105" s="647">
        <v>-39.348892368757156</v>
      </c>
      <c r="M105" s="647">
        <v>-3.8550490749930102</v>
      </c>
      <c r="N105" s="647">
        <v>0</v>
      </c>
      <c r="O105" s="647">
        <v>3.4751235666388727</v>
      </c>
      <c r="P105" s="647">
        <v>-455.24272836253516</v>
      </c>
      <c r="Q105" s="647">
        <v>-38.940628998179335</v>
      </c>
      <c r="R105" s="647">
        <v>-0.28078292846679692</v>
      </c>
      <c r="S105" s="647">
        <v>950.45472415786298</v>
      </c>
      <c r="U105" s="646" t="s">
        <v>77</v>
      </c>
      <c r="V105" s="647">
        <v>39.516307557449196</v>
      </c>
      <c r="W105" s="647">
        <v>469.03359705718782</v>
      </c>
      <c r="X105" s="647">
        <v>-431.98489409306461</v>
      </c>
      <c r="Y105" s="647">
        <v>93.82110729263789</v>
      </c>
      <c r="Z105" s="647">
        <v>1119.7245179063361</v>
      </c>
      <c r="AA105" s="647">
        <v>139.7041324372328</v>
      </c>
      <c r="AB105" s="647">
        <v>63.23058399557587</v>
      </c>
      <c r="AC105" s="647">
        <v>25.725656414831235</v>
      </c>
      <c r="AD105" s="647">
        <v>-39.715794102398128</v>
      </c>
      <c r="AE105" s="647">
        <v>-8.9119472733180274</v>
      </c>
      <c r="AF105" s="647">
        <v>0</v>
      </c>
      <c r="AG105" s="647">
        <v>4.3093270138116289</v>
      </c>
      <c r="AH105" s="647">
        <v>-489.55397895622485</v>
      </c>
      <c r="AI105" s="647">
        <v>-47.357100276392799</v>
      </c>
      <c r="AJ105" s="647">
        <v>-1.1412775410814249</v>
      </c>
      <c r="AK105" s="647">
        <v>936.40023743258246</v>
      </c>
    </row>
    <row r="106" spans="3:37" ht="13">
      <c r="C106" s="636"/>
      <c r="D106" s="636">
        <v>0</v>
      </c>
      <c r="E106" s="636">
        <v>0</v>
      </c>
      <c r="F106" s="636">
        <v>0</v>
      </c>
      <c r="G106" s="636">
        <v>0</v>
      </c>
      <c r="H106" s="636">
        <v>0</v>
      </c>
      <c r="I106" s="636">
        <v>0</v>
      </c>
      <c r="J106" s="636">
        <v>0</v>
      </c>
      <c r="K106" s="636">
        <v>0</v>
      </c>
      <c r="L106" s="636">
        <v>0</v>
      </c>
      <c r="M106" s="636">
        <v>0</v>
      </c>
      <c r="N106" s="636">
        <v>0</v>
      </c>
      <c r="O106" s="636">
        <v>0</v>
      </c>
      <c r="P106" s="636">
        <v>0</v>
      </c>
      <c r="Q106" s="636">
        <v>0</v>
      </c>
      <c r="R106" s="636">
        <v>0</v>
      </c>
      <c r="S106" s="636">
        <v>0</v>
      </c>
      <c r="U106" s="636"/>
      <c r="V106" s="636">
        <v>0</v>
      </c>
      <c r="W106" s="636">
        <v>0</v>
      </c>
      <c r="X106" s="636">
        <v>0</v>
      </c>
      <c r="Y106" s="636">
        <v>0</v>
      </c>
      <c r="Z106" s="636">
        <v>0</v>
      </c>
      <c r="AA106" s="636">
        <v>0</v>
      </c>
      <c r="AB106" s="636">
        <v>0</v>
      </c>
      <c r="AC106" s="636">
        <v>0</v>
      </c>
      <c r="AD106" s="636">
        <v>0</v>
      </c>
      <c r="AE106" s="636">
        <v>0</v>
      </c>
      <c r="AF106" s="636">
        <v>0</v>
      </c>
      <c r="AG106" s="636">
        <v>0</v>
      </c>
      <c r="AH106" s="636">
        <v>0</v>
      </c>
      <c r="AI106" s="636">
        <v>0</v>
      </c>
      <c r="AJ106" s="636">
        <v>0</v>
      </c>
      <c r="AK106" s="636">
        <v>0</v>
      </c>
    </row>
    <row r="107" spans="3:37" ht="13.5">
      <c r="C107" s="648" t="s">
        <v>78</v>
      </c>
      <c r="D107" s="642">
        <v>7.7357918362926714</v>
      </c>
      <c r="E107" s="642">
        <v>0</v>
      </c>
      <c r="F107" s="642">
        <v>28.289566768434444</v>
      </c>
      <c r="G107" s="642">
        <v>114.22190114423505</v>
      </c>
      <c r="H107" s="642">
        <v>0</v>
      </c>
      <c r="I107" s="642">
        <v>0</v>
      </c>
      <c r="J107" s="642">
        <v>17.070500200938145</v>
      </c>
      <c r="K107" s="642">
        <v>1.6812193044902295</v>
      </c>
      <c r="L107" s="642">
        <v>0.86581751367187498</v>
      </c>
      <c r="M107" s="642">
        <v>1.4530646317918139</v>
      </c>
      <c r="N107" s="642">
        <v>0</v>
      </c>
      <c r="O107" s="642">
        <v>3.8591468753626534E-4</v>
      </c>
      <c r="P107" s="642">
        <v>111.09265177846828</v>
      </c>
      <c r="Q107" s="642">
        <v>17.201720519477085</v>
      </c>
      <c r="R107" s="642">
        <v>0.28078292846679687</v>
      </c>
      <c r="S107" s="650">
        <v>299.89340254095396</v>
      </c>
      <c r="U107" s="648" t="s">
        <v>78</v>
      </c>
      <c r="V107" s="642">
        <v>5.1152739170350241</v>
      </c>
      <c r="W107" s="642">
        <v>0</v>
      </c>
      <c r="X107" s="642">
        <v>25.534648950011739</v>
      </c>
      <c r="Y107" s="642">
        <v>99.93968438859396</v>
      </c>
      <c r="Z107" s="642">
        <v>0</v>
      </c>
      <c r="AA107" s="642">
        <v>0</v>
      </c>
      <c r="AB107" s="642">
        <v>17.52580931876382</v>
      </c>
      <c r="AC107" s="642">
        <v>4.7157637498356459</v>
      </c>
      <c r="AD107" s="642">
        <v>0.87185221093750009</v>
      </c>
      <c r="AE107" s="642">
        <v>3.1523522333366012</v>
      </c>
      <c r="AF107" s="642">
        <v>0</v>
      </c>
      <c r="AG107" s="642">
        <v>3.8591468753626534E-4</v>
      </c>
      <c r="AH107" s="642">
        <v>120.66054558326853</v>
      </c>
      <c r="AI107" s="642">
        <v>18.606282657435788</v>
      </c>
      <c r="AJ107" s="642">
        <v>0.25516677856445313</v>
      </c>
      <c r="AK107" s="650">
        <v>296.37776570247064</v>
      </c>
    </row>
    <row r="108" spans="3:37" ht="13.5">
      <c r="C108" s="648" t="s">
        <v>79</v>
      </c>
      <c r="D108" s="642">
        <v>0</v>
      </c>
      <c r="E108" s="642">
        <v>0</v>
      </c>
      <c r="F108" s="642">
        <v>401.66314273909671</v>
      </c>
      <c r="G108" s="642">
        <v>4.8257671396463779</v>
      </c>
      <c r="H108" s="642">
        <v>0</v>
      </c>
      <c r="I108" s="642">
        <v>0</v>
      </c>
      <c r="J108" s="642">
        <v>0</v>
      </c>
      <c r="K108" s="642">
        <v>0</v>
      </c>
      <c r="L108" s="642">
        <v>37.460895129674924</v>
      </c>
      <c r="M108" s="642">
        <v>8.2247250592570986E-2</v>
      </c>
      <c r="N108" s="642">
        <v>0</v>
      </c>
      <c r="O108" s="642">
        <v>0</v>
      </c>
      <c r="P108" s="642">
        <v>14.197032789637335</v>
      </c>
      <c r="Q108" s="642">
        <v>0</v>
      </c>
      <c r="R108" s="642">
        <v>0</v>
      </c>
      <c r="S108" s="650">
        <v>458.2290850486479</v>
      </c>
      <c r="U108" s="648" t="s">
        <v>79</v>
      </c>
      <c r="V108" s="642">
        <v>0</v>
      </c>
      <c r="W108" s="642">
        <v>0</v>
      </c>
      <c r="X108" s="642">
        <v>381.87925300829363</v>
      </c>
      <c r="Y108" s="642">
        <v>4.8754277636803574</v>
      </c>
      <c r="Z108" s="642">
        <v>0</v>
      </c>
      <c r="AA108" s="642">
        <v>0</v>
      </c>
      <c r="AB108" s="642">
        <v>0</v>
      </c>
      <c r="AC108" s="642">
        <v>0</v>
      </c>
      <c r="AD108" s="642">
        <v>37.352195820661073</v>
      </c>
      <c r="AE108" s="642">
        <v>0.21416436386199153</v>
      </c>
      <c r="AF108" s="642">
        <v>0</v>
      </c>
      <c r="AG108" s="642">
        <v>0</v>
      </c>
      <c r="AH108" s="642">
        <v>13.917722567256266</v>
      </c>
      <c r="AI108" s="642">
        <v>0</v>
      </c>
      <c r="AJ108" s="642">
        <v>1.4045889662865447E-5</v>
      </c>
      <c r="AK108" s="650">
        <v>438.23877756964299</v>
      </c>
    </row>
    <row r="109" spans="3:37" ht="13.5">
      <c r="C109" s="648" t="s">
        <v>80</v>
      </c>
      <c r="D109" s="642">
        <v>0</v>
      </c>
      <c r="E109" s="642">
        <v>0</v>
      </c>
      <c r="F109" s="642">
        <v>44.949327937265863</v>
      </c>
      <c r="G109" s="642">
        <v>126.45597876373861</v>
      </c>
      <c r="H109" s="642">
        <v>0</v>
      </c>
      <c r="I109" s="642">
        <v>0</v>
      </c>
      <c r="J109" s="642">
        <v>74.162865758963164</v>
      </c>
      <c r="K109" s="642">
        <v>0</v>
      </c>
      <c r="L109" s="642">
        <v>0</v>
      </c>
      <c r="M109" s="642">
        <v>1.5877421391963937</v>
      </c>
      <c r="N109" s="642">
        <v>30.690291714133512</v>
      </c>
      <c r="O109" s="642">
        <v>1.3360751473174615</v>
      </c>
      <c r="P109" s="642">
        <v>167.04585454887541</v>
      </c>
      <c r="Q109" s="642">
        <v>15.952552032300854</v>
      </c>
      <c r="R109" s="642">
        <v>0</v>
      </c>
      <c r="S109" s="650">
        <v>462.18068804179131</v>
      </c>
      <c r="U109" s="648" t="s">
        <v>80</v>
      </c>
      <c r="V109" s="642">
        <v>0</v>
      </c>
      <c r="W109" s="642">
        <v>0</v>
      </c>
      <c r="X109" s="642">
        <v>41.162395061542448</v>
      </c>
      <c r="Y109" s="642">
        <v>118.23647816170383</v>
      </c>
      <c r="Z109" s="642">
        <v>0</v>
      </c>
      <c r="AA109" s="642">
        <v>0</v>
      </c>
      <c r="AB109" s="642">
        <v>77.948130735821934</v>
      </c>
      <c r="AC109" s="642">
        <v>0</v>
      </c>
      <c r="AD109" s="642">
        <v>0</v>
      </c>
      <c r="AE109" s="642">
        <v>3.7070842987992951</v>
      </c>
      <c r="AF109" s="642">
        <v>32.239034361458778</v>
      </c>
      <c r="AG109" s="642">
        <v>1.2931636502499975</v>
      </c>
      <c r="AH109" s="642">
        <v>162.51262140820876</v>
      </c>
      <c r="AI109" s="642">
        <v>21.915030230615571</v>
      </c>
      <c r="AJ109" s="642">
        <v>0</v>
      </c>
      <c r="AK109" s="650">
        <v>459.01393790840058</v>
      </c>
    </row>
    <row r="110" spans="3:37" ht="13.5">
      <c r="C110" s="648" t="s">
        <v>81</v>
      </c>
      <c r="D110" s="642">
        <v>0</v>
      </c>
      <c r="E110" s="642">
        <v>0</v>
      </c>
      <c r="F110" s="642">
        <v>24.870514058003725</v>
      </c>
      <c r="G110" s="642">
        <v>69.200500866366369</v>
      </c>
      <c r="H110" s="642">
        <v>0</v>
      </c>
      <c r="I110" s="642">
        <v>0</v>
      </c>
      <c r="J110" s="642">
        <v>4.1929555904242415</v>
      </c>
      <c r="K110" s="642">
        <v>2.7283295480293974E-2</v>
      </c>
      <c r="L110" s="642">
        <v>0</v>
      </c>
      <c r="M110" s="642">
        <v>0.86886007568139212</v>
      </c>
      <c r="N110" s="642">
        <v>5.8243599659976146</v>
      </c>
      <c r="O110" s="642">
        <v>0.99519184131174698</v>
      </c>
      <c r="P110" s="642">
        <v>130.24280942426404</v>
      </c>
      <c r="Q110" s="642">
        <v>5.7863564464014026</v>
      </c>
      <c r="R110" s="642">
        <v>0</v>
      </c>
      <c r="S110" s="650">
        <v>242.00883156393087</v>
      </c>
      <c r="U110" s="648" t="s">
        <v>81</v>
      </c>
      <c r="V110" s="642">
        <v>0</v>
      </c>
      <c r="W110" s="642">
        <v>0</v>
      </c>
      <c r="X110" s="642">
        <v>21.247497718121448</v>
      </c>
      <c r="Y110" s="642">
        <v>62.565763699850315</v>
      </c>
      <c r="Z110" s="642">
        <v>0</v>
      </c>
      <c r="AA110" s="642">
        <v>0</v>
      </c>
      <c r="AB110" s="642">
        <v>5.5520423930757747</v>
      </c>
      <c r="AC110" s="642">
        <v>2.7283295480293974E-2</v>
      </c>
      <c r="AD110" s="642">
        <v>0</v>
      </c>
      <c r="AE110" s="642">
        <v>1.9616328552758351</v>
      </c>
      <c r="AF110" s="642">
        <v>8.7253022127149791</v>
      </c>
      <c r="AG110" s="642">
        <v>1.2941657115976744</v>
      </c>
      <c r="AH110" s="642">
        <v>128.40391717018849</v>
      </c>
      <c r="AI110" s="642">
        <v>6.8357873883414371</v>
      </c>
      <c r="AJ110" s="642">
        <v>0</v>
      </c>
      <c r="AK110" s="650">
        <v>236.61339244464625</v>
      </c>
    </row>
    <row r="111" spans="3:37" ht="13.5">
      <c r="C111" s="648" t="s">
        <v>82</v>
      </c>
      <c r="D111" s="642">
        <v>0</v>
      </c>
      <c r="E111" s="642">
        <v>0</v>
      </c>
      <c r="F111" s="642">
        <v>34.857709492285672</v>
      </c>
      <c r="G111" s="642">
        <v>2.5298696752764673</v>
      </c>
      <c r="H111" s="642">
        <v>0</v>
      </c>
      <c r="I111" s="642">
        <v>0</v>
      </c>
      <c r="J111" s="642">
        <v>0.53778095326873299</v>
      </c>
      <c r="K111" s="642">
        <v>0</v>
      </c>
      <c r="L111" s="642">
        <v>2.2064360979425728</v>
      </c>
      <c r="M111" s="642">
        <v>3.176426080744045E-2</v>
      </c>
      <c r="N111" s="642">
        <v>0</v>
      </c>
      <c r="O111" s="642">
        <v>9.2576225379409571E-2</v>
      </c>
      <c r="P111" s="642">
        <v>8.3662824168205496</v>
      </c>
      <c r="Q111" s="642">
        <v>0</v>
      </c>
      <c r="R111" s="642">
        <v>0</v>
      </c>
      <c r="S111" s="650">
        <v>48.622419121780844</v>
      </c>
      <c r="U111" s="648" t="s">
        <v>82</v>
      </c>
      <c r="V111" s="642">
        <v>0</v>
      </c>
      <c r="W111" s="642">
        <v>0</v>
      </c>
      <c r="X111" s="642">
        <v>34.89814208484043</v>
      </c>
      <c r="Y111" s="642">
        <v>2.6598837825323027</v>
      </c>
      <c r="Z111" s="642">
        <v>0</v>
      </c>
      <c r="AA111" s="642">
        <v>0</v>
      </c>
      <c r="AB111" s="642">
        <v>0.53778095326873299</v>
      </c>
      <c r="AC111" s="642">
        <v>0</v>
      </c>
      <c r="AD111" s="642">
        <v>2.161994219425559</v>
      </c>
      <c r="AE111" s="642">
        <v>8.3395696152002902E-2</v>
      </c>
      <c r="AF111" s="642">
        <v>0</v>
      </c>
      <c r="AG111" s="642">
        <v>0.25485200979833694</v>
      </c>
      <c r="AH111" s="642">
        <v>8.3792280774105983</v>
      </c>
      <c r="AI111" s="642">
        <v>0</v>
      </c>
      <c r="AJ111" s="642">
        <v>5.2098714141513347E-2</v>
      </c>
      <c r="AK111" s="650">
        <v>49.027375537569476</v>
      </c>
    </row>
    <row r="112" spans="3:37" ht="13.5">
      <c r="C112" s="648" t="s">
        <v>357</v>
      </c>
      <c r="D112" s="642">
        <v>0</v>
      </c>
      <c r="E112" s="642">
        <v>0</v>
      </c>
      <c r="F112" s="642">
        <v>0</v>
      </c>
      <c r="G112" s="642">
        <v>0</v>
      </c>
      <c r="H112" s="642">
        <v>0</v>
      </c>
      <c r="I112" s="642">
        <v>0</v>
      </c>
      <c r="J112" s="642">
        <v>0</v>
      </c>
      <c r="K112" s="642">
        <v>0</v>
      </c>
      <c r="L112" s="642">
        <v>0</v>
      </c>
      <c r="M112" s="642">
        <v>0</v>
      </c>
      <c r="N112" s="642">
        <v>0</v>
      </c>
      <c r="O112" s="642">
        <v>0</v>
      </c>
      <c r="P112" s="642">
        <v>0</v>
      </c>
      <c r="Q112" s="642">
        <v>0</v>
      </c>
      <c r="R112" s="642">
        <v>0</v>
      </c>
      <c r="S112" s="650">
        <v>0</v>
      </c>
      <c r="U112" s="648" t="s">
        <v>357</v>
      </c>
      <c r="V112" s="642">
        <v>0</v>
      </c>
      <c r="W112" s="642">
        <v>0</v>
      </c>
      <c r="X112" s="642">
        <v>0</v>
      </c>
      <c r="Y112" s="642">
        <v>0</v>
      </c>
      <c r="Z112" s="642">
        <v>0</v>
      </c>
      <c r="AA112" s="642">
        <v>0</v>
      </c>
      <c r="AB112" s="642">
        <v>0</v>
      </c>
      <c r="AC112" s="642">
        <v>0</v>
      </c>
      <c r="AD112" s="642">
        <v>0</v>
      </c>
      <c r="AE112" s="642">
        <v>0</v>
      </c>
      <c r="AF112" s="642">
        <v>0</v>
      </c>
      <c r="AG112" s="642">
        <v>0</v>
      </c>
      <c r="AH112" s="642">
        <v>0</v>
      </c>
      <c r="AI112" s="642">
        <v>0</v>
      </c>
      <c r="AJ112" s="642">
        <v>0</v>
      </c>
      <c r="AK112" s="650">
        <v>0</v>
      </c>
    </row>
    <row r="113" spans="3:37" ht="13.5">
      <c r="C113" s="646" t="s">
        <v>83</v>
      </c>
      <c r="D113" s="647">
        <v>7.7357918362926714</v>
      </c>
      <c r="E113" s="647">
        <v>0</v>
      </c>
      <c r="F113" s="647">
        <v>534.63026099508636</v>
      </c>
      <c r="G113" s="647">
        <v>317.23401758926286</v>
      </c>
      <c r="H113" s="647">
        <v>0</v>
      </c>
      <c r="I113" s="647">
        <v>0</v>
      </c>
      <c r="J113" s="647">
        <v>95.96410250359429</v>
      </c>
      <c r="K113" s="647">
        <v>1.7085025999705235</v>
      </c>
      <c r="L113" s="647">
        <v>40.533148741289374</v>
      </c>
      <c r="M113" s="647">
        <v>4.0236783580696116</v>
      </c>
      <c r="N113" s="647">
        <v>36.514651680131124</v>
      </c>
      <c r="O113" s="647">
        <v>2.4242291286961546</v>
      </c>
      <c r="P113" s="647">
        <v>430.9446309580656</v>
      </c>
      <c r="Q113" s="647">
        <v>38.940628998179342</v>
      </c>
      <c r="R113" s="647">
        <v>0.28078292846679687</v>
      </c>
      <c r="S113" s="647">
        <v>1510.9344263171047</v>
      </c>
      <c r="U113" s="646" t="s">
        <v>83</v>
      </c>
      <c r="V113" s="647">
        <v>5.1152739170350241</v>
      </c>
      <c r="W113" s="647">
        <v>0</v>
      </c>
      <c r="X113" s="647">
        <v>504.72193682280971</v>
      </c>
      <c r="Y113" s="647">
        <v>288.27723779636074</v>
      </c>
      <c r="Z113" s="647">
        <v>0</v>
      </c>
      <c r="AA113" s="647">
        <v>0</v>
      </c>
      <c r="AB113" s="647">
        <v>101.56376340093026</v>
      </c>
      <c r="AC113" s="647">
        <v>4.7430470453159401</v>
      </c>
      <c r="AD113" s="647">
        <v>40.386042251024129</v>
      </c>
      <c r="AE113" s="647">
        <v>9.118629447425727</v>
      </c>
      <c r="AF113" s="647">
        <v>40.964336574173757</v>
      </c>
      <c r="AG113" s="647">
        <v>2.8425672863335452</v>
      </c>
      <c r="AH113" s="647">
        <v>433.87403480633265</v>
      </c>
      <c r="AI113" s="647">
        <v>47.357100276392799</v>
      </c>
      <c r="AJ113" s="647">
        <v>0.30727953859562934</v>
      </c>
      <c r="AK113" s="647">
        <v>1479.2712491627301</v>
      </c>
    </row>
    <row r="114" spans="3:37" ht="13.5">
      <c r="C114" s="641" t="s">
        <v>84</v>
      </c>
      <c r="D114" s="642">
        <v>0</v>
      </c>
      <c r="E114" s="642">
        <v>0</v>
      </c>
      <c r="F114" s="642">
        <v>133.10744763246728</v>
      </c>
      <c r="G114" s="642">
        <v>12.012561812227283</v>
      </c>
      <c r="H114" s="642">
        <v>0</v>
      </c>
      <c r="I114" s="642">
        <v>0</v>
      </c>
      <c r="J114" s="642">
        <v>0</v>
      </c>
      <c r="K114" s="642">
        <v>0</v>
      </c>
      <c r="L114" s="642">
        <v>0</v>
      </c>
      <c r="M114" s="642">
        <v>0</v>
      </c>
      <c r="N114" s="642">
        <v>0</v>
      </c>
      <c r="O114" s="642">
        <v>0</v>
      </c>
      <c r="P114" s="642">
        <v>0</v>
      </c>
      <c r="Q114" s="642">
        <v>0</v>
      </c>
      <c r="R114" s="642">
        <v>0</v>
      </c>
      <c r="S114" s="650">
        <v>145.12000944469457</v>
      </c>
      <c r="U114" s="641" t="s">
        <v>84</v>
      </c>
      <c r="V114" s="642">
        <v>0</v>
      </c>
      <c r="W114" s="642">
        <v>0</v>
      </c>
      <c r="X114" s="642">
        <v>126.72857692201117</v>
      </c>
      <c r="Y114" s="642">
        <v>1.7991582007077653</v>
      </c>
      <c r="Z114" s="642">
        <v>0</v>
      </c>
      <c r="AA114" s="642">
        <v>0</v>
      </c>
      <c r="AB114" s="642">
        <v>0</v>
      </c>
      <c r="AC114" s="642">
        <v>0</v>
      </c>
      <c r="AD114" s="642">
        <v>0.12920617897727274</v>
      </c>
      <c r="AE114" s="642">
        <v>0</v>
      </c>
      <c r="AF114" s="642">
        <v>0</v>
      </c>
      <c r="AG114" s="642">
        <v>0</v>
      </c>
      <c r="AH114" s="642">
        <v>0</v>
      </c>
      <c r="AI114" s="642">
        <v>0</v>
      </c>
      <c r="AJ114" s="642">
        <v>0.83399800248579548</v>
      </c>
      <c r="AK114" s="650">
        <v>129.49093930418201</v>
      </c>
    </row>
    <row r="115" spans="3:37" ht="13.5">
      <c r="C115" s="646" t="s">
        <v>85</v>
      </c>
      <c r="D115" s="647">
        <v>7.7357918362926714</v>
      </c>
      <c r="E115" s="647">
        <v>0</v>
      </c>
      <c r="F115" s="647">
        <v>667.73770862755362</v>
      </c>
      <c r="G115" s="647">
        <v>329.24657940149012</v>
      </c>
      <c r="H115" s="647">
        <v>0</v>
      </c>
      <c r="I115" s="647">
        <v>0</v>
      </c>
      <c r="J115" s="647">
        <v>95.96410250359429</v>
      </c>
      <c r="K115" s="647">
        <v>1.7085025999705235</v>
      </c>
      <c r="L115" s="647">
        <v>40.533148741289374</v>
      </c>
      <c r="M115" s="647">
        <v>4.0236783580696116</v>
      </c>
      <c r="N115" s="647">
        <v>36.514651680131124</v>
      </c>
      <c r="O115" s="647">
        <v>2.4242291286961546</v>
      </c>
      <c r="P115" s="647">
        <v>430.9446309580656</v>
      </c>
      <c r="Q115" s="647">
        <v>38.940628998179342</v>
      </c>
      <c r="R115" s="647">
        <v>0.28078292846679687</v>
      </c>
      <c r="S115" s="647">
        <v>1656.0544357617991</v>
      </c>
      <c r="U115" s="646" t="s">
        <v>85</v>
      </c>
      <c r="V115" s="647">
        <v>5.1152739170350241</v>
      </c>
      <c r="W115" s="647">
        <v>0</v>
      </c>
      <c r="X115" s="647">
        <v>631.45051374482091</v>
      </c>
      <c r="Y115" s="647">
        <v>290.07639599706852</v>
      </c>
      <c r="Z115" s="647">
        <v>0</v>
      </c>
      <c r="AA115" s="647">
        <v>0</v>
      </c>
      <c r="AB115" s="647">
        <v>101.56376340093026</v>
      </c>
      <c r="AC115" s="647">
        <v>4.7430470453159401</v>
      </c>
      <c r="AD115" s="647">
        <v>40.5152484300014</v>
      </c>
      <c r="AE115" s="647">
        <v>9.118629447425727</v>
      </c>
      <c r="AF115" s="647">
        <v>40.964336574173757</v>
      </c>
      <c r="AG115" s="647">
        <v>2.8425672863335452</v>
      </c>
      <c r="AH115" s="647">
        <v>433.87403480633265</v>
      </c>
      <c r="AI115" s="647">
        <v>47.357100276392799</v>
      </c>
      <c r="AJ115" s="647">
        <v>1.1412775410814249</v>
      </c>
      <c r="AK115" s="647">
        <v>1608.762188466912</v>
      </c>
    </row>
    <row r="116" spans="3:37" ht="13">
      <c r="C116" s="636"/>
      <c r="D116" s="636"/>
      <c r="E116" s="636"/>
      <c r="F116" s="636"/>
      <c r="G116" s="636"/>
      <c r="H116" s="636"/>
      <c r="I116" s="636"/>
      <c r="J116" s="636"/>
      <c r="K116" s="636"/>
      <c r="L116" s="636"/>
      <c r="M116" s="636"/>
      <c r="N116" s="636"/>
      <c r="O116" s="636"/>
      <c r="P116" s="636"/>
      <c r="Q116" s="636"/>
      <c r="R116" s="636"/>
      <c r="S116" s="636"/>
      <c r="U116" s="636"/>
      <c r="V116" s="636"/>
      <c r="W116" s="636"/>
      <c r="X116" s="636"/>
      <c r="Y116" s="636"/>
      <c r="Z116" s="636"/>
      <c r="AA116" s="636"/>
      <c r="AB116" s="636"/>
      <c r="AC116" s="636"/>
      <c r="AD116" s="636"/>
      <c r="AE116" s="636"/>
      <c r="AF116" s="636"/>
      <c r="AG116" s="636"/>
      <c r="AH116" s="636"/>
      <c r="AI116" s="636"/>
      <c r="AJ116" s="636"/>
      <c r="AK116" s="636"/>
    </row>
    <row r="117" spans="3:37" ht="13">
      <c r="C117" s="636"/>
      <c r="D117" s="636"/>
      <c r="E117" s="636"/>
      <c r="F117" s="636"/>
      <c r="G117" s="636"/>
      <c r="H117" s="636"/>
      <c r="I117" s="636"/>
      <c r="J117" s="636"/>
      <c r="K117" s="636"/>
      <c r="L117" s="636"/>
      <c r="M117" s="636"/>
      <c r="N117" s="636"/>
      <c r="O117" s="636"/>
      <c r="P117" s="636"/>
      <c r="Q117" s="636"/>
      <c r="R117" s="636"/>
      <c r="S117" s="636"/>
      <c r="U117" s="636"/>
      <c r="V117" s="636"/>
      <c r="W117" s="636"/>
      <c r="X117" s="636"/>
      <c r="Y117" s="636"/>
      <c r="Z117" s="636"/>
      <c r="AA117" s="636"/>
      <c r="AB117" s="636"/>
      <c r="AC117" s="636"/>
      <c r="AD117" s="636"/>
      <c r="AE117" s="636"/>
      <c r="AF117" s="636"/>
      <c r="AG117" s="636"/>
      <c r="AH117" s="636"/>
      <c r="AI117" s="636"/>
      <c r="AJ117" s="636"/>
      <c r="AK117" s="636"/>
    </row>
    <row r="118" spans="3:37" ht="22.5">
      <c r="C118" s="699" t="s">
        <v>87</v>
      </c>
      <c r="D118" s="699"/>
      <c r="E118" s="699"/>
      <c r="F118" s="699"/>
      <c r="G118" s="699"/>
      <c r="H118" s="699"/>
      <c r="I118" s="699"/>
      <c r="J118" s="699"/>
      <c r="K118" s="699"/>
      <c r="L118" s="699"/>
      <c r="M118" s="699"/>
      <c r="N118" s="699"/>
      <c r="O118" s="699"/>
      <c r="P118" s="699"/>
      <c r="Q118" s="699"/>
      <c r="R118" s="699"/>
      <c r="S118" s="699"/>
      <c r="U118" s="699" t="s">
        <v>87</v>
      </c>
      <c r="V118" s="699"/>
      <c r="W118" s="699"/>
      <c r="X118" s="699"/>
      <c r="Y118" s="699"/>
      <c r="Z118" s="699"/>
      <c r="AA118" s="699"/>
      <c r="AB118" s="699"/>
      <c r="AC118" s="699"/>
      <c r="AD118" s="699"/>
      <c r="AE118" s="699"/>
      <c r="AF118" s="699"/>
      <c r="AG118" s="699"/>
      <c r="AH118" s="699"/>
      <c r="AI118" s="699"/>
      <c r="AJ118" s="699"/>
      <c r="AK118" s="699"/>
    </row>
    <row r="119" spans="3:37" ht="13">
      <c r="C119" s="636"/>
      <c r="D119" s="636"/>
      <c r="E119" s="636"/>
      <c r="F119" s="636"/>
      <c r="G119" s="636"/>
      <c r="H119" s="636"/>
      <c r="I119" s="636"/>
      <c r="J119" s="636"/>
      <c r="K119" s="636"/>
      <c r="L119" s="636"/>
      <c r="M119" s="636"/>
      <c r="N119" s="636"/>
      <c r="O119" s="636"/>
      <c r="P119" s="636"/>
      <c r="Q119" s="636"/>
      <c r="R119" s="636"/>
      <c r="S119" s="636"/>
      <c r="U119" s="636"/>
      <c r="V119" s="636"/>
      <c r="W119" s="636"/>
      <c r="X119" s="636"/>
      <c r="Y119" s="636"/>
      <c r="Z119" s="636"/>
      <c r="AA119" s="636"/>
      <c r="AB119" s="636"/>
      <c r="AC119" s="636"/>
      <c r="AD119" s="636"/>
      <c r="AE119" s="636"/>
      <c r="AF119" s="636"/>
      <c r="AG119" s="636"/>
      <c r="AH119" s="636"/>
      <c r="AI119" s="636"/>
      <c r="AJ119" s="636"/>
      <c r="AK119" s="636"/>
    </row>
    <row r="120" spans="3:37" ht="13" customHeight="1">
      <c r="C120" s="700" t="s">
        <v>128</v>
      </c>
      <c r="D120" s="701" t="s">
        <v>42</v>
      </c>
      <c r="E120" s="701" t="s">
        <v>52</v>
      </c>
      <c r="F120" s="701" t="s">
        <v>53</v>
      </c>
      <c r="G120" s="701" t="s">
        <v>32</v>
      </c>
      <c r="H120" s="701" t="s">
        <v>20</v>
      </c>
      <c r="I120" s="701" t="s">
        <v>55</v>
      </c>
      <c r="J120" s="701" t="s">
        <v>56</v>
      </c>
      <c r="K120" s="701"/>
      <c r="L120" s="701"/>
      <c r="M120" s="701"/>
      <c r="N120" s="701"/>
      <c r="O120" s="701"/>
      <c r="P120" s="701" t="s">
        <v>57</v>
      </c>
      <c r="Q120" s="701" t="s">
        <v>58</v>
      </c>
      <c r="R120" s="701" t="s">
        <v>31</v>
      </c>
      <c r="S120" s="701" t="s">
        <v>10</v>
      </c>
      <c r="U120" s="700" t="s">
        <v>128</v>
      </c>
      <c r="V120" s="701" t="s">
        <v>42</v>
      </c>
      <c r="W120" s="701" t="s">
        <v>52</v>
      </c>
      <c r="X120" s="701" t="s">
        <v>53</v>
      </c>
      <c r="Y120" s="701" t="s">
        <v>32</v>
      </c>
      <c r="Z120" s="701" t="s">
        <v>20</v>
      </c>
      <c r="AA120" s="701" t="s">
        <v>55</v>
      </c>
      <c r="AB120" s="701" t="s">
        <v>56</v>
      </c>
      <c r="AC120" s="701"/>
      <c r="AD120" s="701"/>
      <c r="AE120" s="701"/>
      <c r="AF120" s="701"/>
      <c r="AG120" s="701"/>
      <c r="AH120" s="701" t="s">
        <v>57</v>
      </c>
      <c r="AI120" s="701" t="s">
        <v>58</v>
      </c>
      <c r="AJ120" s="701" t="s">
        <v>31</v>
      </c>
      <c r="AK120" s="701" t="s">
        <v>10</v>
      </c>
    </row>
    <row r="121" spans="3:37" ht="46">
      <c r="C121" s="700"/>
      <c r="D121" s="701"/>
      <c r="E121" s="701"/>
      <c r="F121" s="701"/>
      <c r="G121" s="701"/>
      <c r="H121" s="701"/>
      <c r="I121" s="701"/>
      <c r="J121" s="640" t="s">
        <v>338</v>
      </c>
      <c r="K121" s="640" t="s">
        <v>40</v>
      </c>
      <c r="L121" s="640" t="s">
        <v>346</v>
      </c>
      <c r="M121" s="640" t="s">
        <v>347</v>
      </c>
      <c r="N121" s="640" t="s">
        <v>348</v>
      </c>
      <c r="O121" s="640" t="s">
        <v>349</v>
      </c>
      <c r="P121" s="701"/>
      <c r="Q121" s="701"/>
      <c r="R121" s="701"/>
      <c r="S121" s="701"/>
      <c r="U121" s="700"/>
      <c r="V121" s="701"/>
      <c r="W121" s="701"/>
      <c r="X121" s="701"/>
      <c r="Y121" s="701"/>
      <c r="Z121" s="701"/>
      <c r="AA121" s="701"/>
      <c r="AB121" s="640" t="s">
        <v>338</v>
      </c>
      <c r="AC121" s="640" t="s">
        <v>40</v>
      </c>
      <c r="AD121" s="640" t="s">
        <v>346</v>
      </c>
      <c r="AE121" s="640" t="s">
        <v>347</v>
      </c>
      <c r="AF121" s="640" t="s">
        <v>348</v>
      </c>
      <c r="AG121" s="640" t="s">
        <v>349</v>
      </c>
      <c r="AH121" s="701"/>
      <c r="AI121" s="701"/>
      <c r="AJ121" s="701"/>
      <c r="AK121" s="701"/>
    </row>
    <row r="122" spans="3:37" ht="13.5">
      <c r="C122" s="641" t="s">
        <v>59</v>
      </c>
      <c r="D122" s="642">
        <v>0</v>
      </c>
      <c r="E122" s="643">
        <v>9.7691999999999997</v>
      </c>
      <c r="F122" s="643">
        <v>0</v>
      </c>
      <c r="G122" s="642">
        <v>0.18608000000000002</v>
      </c>
      <c r="H122" s="643">
        <v>1190.909090909091</v>
      </c>
      <c r="I122" s="643">
        <v>153.14171554603519</v>
      </c>
      <c r="J122" s="643">
        <v>193.32113368570609</v>
      </c>
      <c r="K122" s="643">
        <v>23.895443221314743</v>
      </c>
      <c r="L122" s="643">
        <v>0.26210424432280233</v>
      </c>
      <c r="M122" s="643">
        <v>0.1322850330511596</v>
      </c>
      <c r="N122" s="643">
        <v>39.319241851069634</v>
      </c>
      <c r="O122" s="643">
        <v>5.962830498028703</v>
      </c>
      <c r="P122" s="644">
        <v>0</v>
      </c>
      <c r="Q122" s="643">
        <v>0</v>
      </c>
      <c r="R122" s="643">
        <v>0</v>
      </c>
      <c r="S122" s="645">
        <v>1616.8991249886192</v>
      </c>
      <c r="U122" s="641" t="s">
        <v>59</v>
      </c>
      <c r="V122" s="642">
        <v>0</v>
      </c>
      <c r="W122" s="643">
        <v>9.7691999999999997</v>
      </c>
      <c r="X122" s="643">
        <v>0</v>
      </c>
      <c r="Y122" s="642">
        <v>0.18608000000000002</v>
      </c>
      <c r="Z122" s="643">
        <v>1105.3443526170799</v>
      </c>
      <c r="AA122" s="643">
        <v>156.32644281876244</v>
      </c>
      <c r="AB122" s="643">
        <v>174.95767859419479</v>
      </c>
      <c r="AC122" s="643">
        <v>32.977912048889756</v>
      </c>
      <c r="AD122" s="643">
        <v>0.26210424432280233</v>
      </c>
      <c r="AE122" s="643">
        <v>0.1322850330511596</v>
      </c>
      <c r="AF122" s="643">
        <v>46.941675984424649</v>
      </c>
      <c r="AG122" s="643">
        <v>8.3026764246808291</v>
      </c>
      <c r="AH122" s="644">
        <v>0</v>
      </c>
      <c r="AI122" s="643">
        <v>0</v>
      </c>
      <c r="AJ122" s="643">
        <v>0</v>
      </c>
      <c r="AK122" s="645">
        <v>1535.200407765406</v>
      </c>
    </row>
    <row r="123" spans="3:37" ht="13.5">
      <c r="C123" s="641" t="s">
        <v>60</v>
      </c>
      <c r="D123" s="642">
        <v>51.93943876444407</v>
      </c>
      <c r="E123" s="643">
        <v>553.51354311683986</v>
      </c>
      <c r="F123" s="643">
        <v>233.05215902128853</v>
      </c>
      <c r="G123" s="642">
        <v>363.27460186951828</v>
      </c>
      <c r="H123" s="643">
        <v>0</v>
      </c>
      <c r="I123" s="643">
        <v>0</v>
      </c>
      <c r="J123" s="643">
        <v>2.3834336020403581</v>
      </c>
      <c r="K123" s="643">
        <v>0</v>
      </c>
      <c r="L123" s="643">
        <v>2.2500117795629686</v>
      </c>
      <c r="M123" s="643">
        <v>0</v>
      </c>
      <c r="N123" s="643">
        <v>0</v>
      </c>
      <c r="O123" s="643">
        <v>0</v>
      </c>
      <c r="P123" s="644">
        <v>0</v>
      </c>
      <c r="Q123" s="643">
        <v>0</v>
      </c>
      <c r="R123" s="643">
        <v>0</v>
      </c>
      <c r="S123" s="645">
        <v>1206.4131881536939</v>
      </c>
      <c r="U123" s="641" t="s">
        <v>60</v>
      </c>
      <c r="V123" s="642">
        <v>30.366070381082046</v>
      </c>
      <c r="W123" s="643">
        <v>485.53946937040786</v>
      </c>
      <c r="X123" s="643">
        <v>248.69079495957973</v>
      </c>
      <c r="Y123" s="642">
        <v>359.41495054347945</v>
      </c>
      <c r="Z123" s="643">
        <v>0</v>
      </c>
      <c r="AA123" s="643">
        <v>0</v>
      </c>
      <c r="AB123" s="643">
        <v>2.3834336020403581</v>
      </c>
      <c r="AC123" s="643">
        <v>0</v>
      </c>
      <c r="AD123" s="643">
        <v>2.2500117795629686</v>
      </c>
      <c r="AE123" s="643">
        <v>0</v>
      </c>
      <c r="AF123" s="643">
        <v>0</v>
      </c>
      <c r="AG123" s="643">
        <v>0</v>
      </c>
      <c r="AH123" s="644">
        <v>0</v>
      </c>
      <c r="AI123" s="643">
        <v>0</v>
      </c>
      <c r="AJ123" s="643">
        <v>0</v>
      </c>
      <c r="AK123" s="645">
        <v>1128.6447306361524</v>
      </c>
    </row>
    <row r="124" spans="3:37" ht="13.5">
      <c r="C124" s="641" t="s">
        <v>61</v>
      </c>
      <c r="D124" s="642">
        <v>0</v>
      </c>
      <c r="E124" s="643">
        <v>0</v>
      </c>
      <c r="F124" s="643">
        <v>0</v>
      </c>
      <c r="G124" s="642">
        <v>0</v>
      </c>
      <c r="H124" s="643">
        <v>0</v>
      </c>
      <c r="I124" s="643">
        <v>0</v>
      </c>
      <c r="J124" s="643">
        <v>0</v>
      </c>
      <c r="K124" s="643">
        <v>0</v>
      </c>
      <c r="L124" s="643">
        <v>0</v>
      </c>
      <c r="M124" s="643">
        <v>0</v>
      </c>
      <c r="N124" s="643">
        <v>0</v>
      </c>
      <c r="O124" s="643">
        <v>0</v>
      </c>
      <c r="P124" s="644">
        <v>-64.055272794649682</v>
      </c>
      <c r="Q124" s="643">
        <v>0</v>
      </c>
      <c r="R124" s="643">
        <v>0</v>
      </c>
      <c r="S124" s="645">
        <v>-64.055272794649682</v>
      </c>
      <c r="U124" s="641" t="s">
        <v>61</v>
      </c>
      <c r="V124" s="642">
        <v>0</v>
      </c>
      <c r="W124" s="643">
        <v>0</v>
      </c>
      <c r="X124" s="643">
        <v>0</v>
      </c>
      <c r="Y124" s="642">
        <v>0</v>
      </c>
      <c r="Z124" s="643">
        <v>0</v>
      </c>
      <c r="AA124" s="643">
        <v>0</v>
      </c>
      <c r="AB124" s="643">
        <v>0</v>
      </c>
      <c r="AC124" s="643">
        <v>0</v>
      </c>
      <c r="AD124" s="643">
        <v>0</v>
      </c>
      <c r="AE124" s="643">
        <v>0</v>
      </c>
      <c r="AF124" s="643">
        <v>0</v>
      </c>
      <c r="AG124" s="643">
        <v>0</v>
      </c>
      <c r="AH124" s="644">
        <v>-60.354291441125554</v>
      </c>
      <c r="AI124" s="643">
        <v>0</v>
      </c>
      <c r="AJ124" s="643">
        <v>0</v>
      </c>
      <c r="AK124" s="645">
        <v>-60.354291441125554</v>
      </c>
    </row>
    <row r="125" spans="3:37" ht="13.5">
      <c r="C125" s="641" t="s">
        <v>62</v>
      </c>
      <c r="D125" s="642">
        <v>0</v>
      </c>
      <c r="E125" s="643">
        <v>0</v>
      </c>
      <c r="F125" s="643">
        <v>-17.936302519197969</v>
      </c>
      <c r="G125" s="642">
        <v>0</v>
      </c>
      <c r="H125" s="643">
        <v>0</v>
      </c>
      <c r="I125" s="643">
        <v>0</v>
      </c>
      <c r="J125" s="643">
        <v>0</v>
      </c>
      <c r="K125" s="643">
        <v>0</v>
      </c>
      <c r="L125" s="643">
        <v>0</v>
      </c>
      <c r="M125" s="643">
        <v>0</v>
      </c>
      <c r="N125" s="643">
        <v>0</v>
      </c>
      <c r="O125" s="643">
        <v>0</v>
      </c>
      <c r="P125" s="644">
        <v>0</v>
      </c>
      <c r="Q125" s="643">
        <v>0</v>
      </c>
      <c r="R125" s="643">
        <v>0</v>
      </c>
      <c r="S125" s="645">
        <v>-17.936302519197969</v>
      </c>
      <c r="U125" s="641" t="s">
        <v>62</v>
      </c>
      <c r="V125" s="642">
        <v>0</v>
      </c>
      <c r="W125" s="643">
        <v>0</v>
      </c>
      <c r="X125" s="643">
        <v>-17.936302519197969</v>
      </c>
      <c r="Y125" s="642">
        <v>0</v>
      </c>
      <c r="Z125" s="643">
        <v>0</v>
      </c>
      <c r="AA125" s="643">
        <v>0</v>
      </c>
      <c r="AB125" s="643">
        <v>0</v>
      </c>
      <c r="AC125" s="643">
        <v>0</v>
      </c>
      <c r="AD125" s="643">
        <v>0</v>
      </c>
      <c r="AE125" s="643">
        <v>0</v>
      </c>
      <c r="AF125" s="643">
        <v>0</v>
      </c>
      <c r="AG125" s="643">
        <v>0</v>
      </c>
      <c r="AH125" s="644">
        <v>0</v>
      </c>
      <c r="AI125" s="643">
        <v>0</v>
      </c>
      <c r="AJ125" s="643">
        <v>0</v>
      </c>
      <c r="AK125" s="645">
        <v>-17.936302519197969</v>
      </c>
    </row>
    <row r="126" spans="3:37" ht="13.5">
      <c r="C126" s="641" t="s">
        <v>63</v>
      </c>
      <c r="D126" s="642">
        <v>0</v>
      </c>
      <c r="E126" s="643">
        <v>0</v>
      </c>
      <c r="F126" s="643">
        <v>-78.830324971165851</v>
      </c>
      <c r="G126" s="642">
        <v>0</v>
      </c>
      <c r="H126" s="643">
        <v>0</v>
      </c>
      <c r="I126" s="643">
        <v>0</v>
      </c>
      <c r="J126" s="643">
        <v>0</v>
      </c>
      <c r="K126" s="643">
        <v>0</v>
      </c>
      <c r="L126" s="643">
        <v>-0.81271538345441041</v>
      </c>
      <c r="M126" s="643">
        <v>0</v>
      </c>
      <c r="N126" s="643">
        <v>0</v>
      </c>
      <c r="O126" s="643">
        <v>0</v>
      </c>
      <c r="P126" s="644">
        <v>0</v>
      </c>
      <c r="Q126" s="643">
        <v>0</v>
      </c>
      <c r="R126" s="643">
        <v>0</v>
      </c>
      <c r="S126" s="645">
        <v>-79.643040354620268</v>
      </c>
      <c r="U126" s="641" t="s">
        <v>63</v>
      </c>
      <c r="V126" s="642">
        <v>0</v>
      </c>
      <c r="W126" s="643">
        <v>0</v>
      </c>
      <c r="X126" s="643">
        <v>-78.197230139294632</v>
      </c>
      <c r="Y126" s="642">
        <v>0</v>
      </c>
      <c r="Z126" s="643">
        <v>0</v>
      </c>
      <c r="AA126" s="643">
        <v>0</v>
      </c>
      <c r="AB126" s="643">
        <v>0</v>
      </c>
      <c r="AC126" s="643">
        <v>0</v>
      </c>
      <c r="AD126" s="643">
        <v>-1.5612310452001914</v>
      </c>
      <c r="AE126" s="643">
        <v>0</v>
      </c>
      <c r="AF126" s="643">
        <v>0</v>
      </c>
      <c r="AG126" s="643">
        <v>0</v>
      </c>
      <c r="AH126" s="644">
        <v>0</v>
      </c>
      <c r="AI126" s="643">
        <v>0</v>
      </c>
      <c r="AJ126" s="643">
        <v>0</v>
      </c>
      <c r="AK126" s="645">
        <v>-79.75846118449482</v>
      </c>
    </row>
    <row r="127" spans="3:37" ht="13.5">
      <c r="C127" s="641" t="s">
        <v>64</v>
      </c>
      <c r="D127" s="642">
        <v>0</v>
      </c>
      <c r="E127" s="643">
        <v>0</v>
      </c>
      <c r="F127" s="643">
        <v>0</v>
      </c>
      <c r="G127" s="642">
        <v>0</v>
      </c>
      <c r="H127" s="643">
        <v>0</v>
      </c>
      <c r="I127" s="643">
        <v>0</v>
      </c>
      <c r="J127" s="643">
        <v>0</v>
      </c>
      <c r="K127" s="643">
        <v>0</v>
      </c>
      <c r="L127" s="643">
        <v>0</v>
      </c>
      <c r="M127" s="643">
        <v>0</v>
      </c>
      <c r="N127" s="643">
        <v>0</v>
      </c>
      <c r="O127" s="643">
        <v>0</v>
      </c>
      <c r="P127" s="644">
        <v>0</v>
      </c>
      <c r="Q127" s="643">
        <v>0</v>
      </c>
      <c r="R127" s="643">
        <v>0</v>
      </c>
      <c r="S127" s="645">
        <v>0</v>
      </c>
      <c r="U127" s="641" t="s">
        <v>64</v>
      </c>
      <c r="V127" s="642">
        <v>0</v>
      </c>
      <c r="W127" s="643">
        <v>0</v>
      </c>
      <c r="X127" s="643">
        <v>0</v>
      </c>
      <c r="Y127" s="642">
        <v>0</v>
      </c>
      <c r="Z127" s="643">
        <v>0</v>
      </c>
      <c r="AA127" s="643">
        <v>0</v>
      </c>
      <c r="AB127" s="643">
        <v>0</v>
      </c>
      <c r="AC127" s="643">
        <v>0</v>
      </c>
      <c r="AD127" s="643">
        <v>0</v>
      </c>
      <c r="AE127" s="643">
        <v>0</v>
      </c>
      <c r="AF127" s="643">
        <v>0</v>
      </c>
      <c r="AG127" s="643">
        <v>0</v>
      </c>
      <c r="AH127" s="644">
        <v>0</v>
      </c>
      <c r="AI127" s="643">
        <v>0</v>
      </c>
      <c r="AJ127" s="643">
        <v>0</v>
      </c>
      <c r="AK127" s="645">
        <v>0</v>
      </c>
    </row>
    <row r="128" spans="3:37" ht="13.5">
      <c r="C128" s="646" t="s">
        <v>65</v>
      </c>
      <c r="D128" s="647">
        <v>51.93943876444407</v>
      </c>
      <c r="E128" s="647">
        <v>563.28274311683981</v>
      </c>
      <c r="F128" s="647">
        <v>136.28553153092471</v>
      </c>
      <c r="G128" s="647">
        <v>363.46068186951828</v>
      </c>
      <c r="H128" s="647">
        <v>1190.909090909091</v>
      </c>
      <c r="I128" s="647">
        <v>153.14171554603519</v>
      </c>
      <c r="J128" s="647">
        <v>195.70456728774644</v>
      </c>
      <c r="K128" s="647">
        <v>23.895443221314743</v>
      </c>
      <c r="L128" s="647">
        <v>1.6994006404313602</v>
      </c>
      <c r="M128" s="647">
        <v>0.1322850330511596</v>
      </c>
      <c r="N128" s="647">
        <v>39.319241851069634</v>
      </c>
      <c r="O128" s="647">
        <v>5.962830498028703</v>
      </c>
      <c r="P128" s="647">
        <v>-64.055272794649682</v>
      </c>
      <c r="Q128" s="647">
        <v>0</v>
      </c>
      <c r="R128" s="647">
        <v>0</v>
      </c>
      <c r="S128" s="647">
        <v>2661.6776974738459</v>
      </c>
      <c r="U128" s="646" t="s">
        <v>65</v>
      </c>
      <c r="V128" s="647">
        <v>30.366070381082046</v>
      </c>
      <c r="W128" s="647">
        <v>495.30866937040787</v>
      </c>
      <c r="X128" s="647">
        <v>152.55726230108715</v>
      </c>
      <c r="Y128" s="647">
        <v>359.60103054347945</v>
      </c>
      <c r="Z128" s="647">
        <v>1105.3443526170799</v>
      </c>
      <c r="AA128" s="647">
        <v>156.32644281876244</v>
      </c>
      <c r="AB128" s="647">
        <v>177.34111219623514</v>
      </c>
      <c r="AC128" s="647">
        <v>32.977912048889756</v>
      </c>
      <c r="AD128" s="647">
        <v>0.95088497868557909</v>
      </c>
      <c r="AE128" s="647">
        <v>0.1322850330511596</v>
      </c>
      <c r="AF128" s="647">
        <v>46.941675984424649</v>
      </c>
      <c r="AG128" s="647">
        <v>8.3026764246808291</v>
      </c>
      <c r="AH128" s="647">
        <v>-60.354291441125554</v>
      </c>
      <c r="AI128" s="647">
        <v>0</v>
      </c>
      <c r="AJ128" s="647">
        <v>0</v>
      </c>
      <c r="AK128" s="647">
        <v>2505.7960832567405</v>
      </c>
    </row>
    <row r="129" spans="3:37" ht="13">
      <c r="C129" s="636"/>
      <c r="D129" s="636">
        <v>0</v>
      </c>
      <c r="E129" s="636">
        <v>0</v>
      </c>
      <c r="F129" s="636">
        <v>0</v>
      </c>
      <c r="G129" s="636">
        <v>0</v>
      </c>
      <c r="H129" s="636">
        <v>0</v>
      </c>
      <c r="I129" s="636">
        <v>0</v>
      </c>
      <c r="J129" s="636">
        <v>0</v>
      </c>
      <c r="K129" s="636">
        <v>0</v>
      </c>
      <c r="L129" s="636">
        <v>0</v>
      </c>
      <c r="M129" s="636">
        <v>0</v>
      </c>
      <c r="N129" s="636">
        <v>0</v>
      </c>
      <c r="O129" s="636">
        <v>0</v>
      </c>
      <c r="P129" s="636">
        <v>0</v>
      </c>
      <c r="Q129" s="636">
        <v>0</v>
      </c>
      <c r="R129" s="636">
        <v>0</v>
      </c>
      <c r="S129" s="636">
        <v>0</v>
      </c>
      <c r="U129" s="636"/>
      <c r="V129" s="636">
        <v>0</v>
      </c>
      <c r="W129" s="636">
        <v>0</v>
      </c>
      <c r="X129" s="636">
        <v>0</v>
      </c>
      <c r="Y129" s="636">
        <v>0</v>
      </c>
      <c r="Z129" s="636">
        <v>0</v>
      </c>
      <c r="AA129" s="636">
        <v>0</v>
      </c>
      <c r="AB129" s="636">
        <v>0</v>
      </c>
      <c r="AC129" s="636">
        <v>0</v>
      </c>
      <c r="AD129" s="636">
        <v>0</v>
      </c>
      <c r="AE129" s="636">
        <v>0</v>
      </c>
      <c r="AF129" s="636">
        <v>0</v>
      </c>
      <c r="AG129" s="636">
        <v>0</v>
      </c>
      <c r="AH129" s="636">
        <v>0</v>
      </c>
      <c r="AI129" s="636">
        <v>0</v>
      </c>
      <c r="AJ129" s="636">
        <v>0</v>
      </c>
      <c r="AK129" s="636">
        <v>0</v>
      </c>
    </row>
    <row r="130" spans="3:37" ht="13.5">
      <c r="C130" s="648" t="s">
        <v>67</v>
      </c>
      <c r="D130" s="642">
        <v>0</v>
      </c>
      <c r="E130" s="649">
        <v>0</v>
      </c>
      <c r="F130" s="649">
        <v>0</v>
      </c>
      <c r="G130" s="642">
        <v>0</v>
      </c>
      <c r="H130" s="642">
        <v>0</v>
      </c>
      <c r="I130" s="642">
        <v>0</v>
      </c>
      <c r="J130" s="642">
        <v>0</v>
      </c>
      <c r="K130" s="642">
        <v>0</v>
      </c>
      <c r="L130" s="642">
        <v>0</v>
      </c>
      <c r="M130" s="642">
        <v>0</v>
      </c>
      <c r="N130" s="642">
        <v>0</v>
      </c>
      <c r="O130" s="642">
        <v>0</v>
      </c>
      <c r="P130" s="642">
        <v>0</v>
      </c>
      <c r="Q130" s="642">
        <v>0</v>
      </c>
      <c r="R130" s="642">
        <v>0</v>
      </c>
      <c r="S130" s="650">
        <v>0</v>
      </c>
      <c r="U130" s="648" t="s">
        <v>67</v>
      </c>
      <c r="V130" s="642">
        <v>0</v>
      </c>
      <c r="W130" s="649">
        <v>0</v>
      </c>
      <c r="X130" s="649">
        <v>0</v>
      </c>
      <c r="Y130" s="642">
        <v>0</v>
      </c>
      <c r="Z130" s="642">
        <v>0</v>
      </c>
      <c r="AA130" s="642">
        <v>0</v>
      </c>
      <c r="AB130" s="642">
        <v>0</v>
      </c>
      <c r="AC130" s="642">
        <v>0</v>
      </c>
      <c r="AD130" s="642">
        <v>0</v>
      </c>
      <c r="AE130" s="642">
        <v>0</v>
      </c>
      <c r="AF130" s="642">
        <v>0</v>
      </c>
      <c r="AG130" s="642">
        <v>0</v>
      </c>
      <c r="AH130" s="642">
        <v>0</v>
      </c>
      <c r="AI130" s="642">
        <v>0</v>
      </c>
      <c r="AJ130" s="642">
        <v>0</v>
      </c>
      <c r="AK130" s="650">
        <v>0</v>
      </c>
    </row>
    <row r="131" spans="3:37" ht="13.5">
      <c r="C131" s="648" t="s">
        <v>350</v>
      </c>
      <c r="D131" s="642">
        <v>2.8307670060467731</v>
      </c>
      <c r="E131" s="642">
        <v>0</v>
      </c>
      <c r="F131" s="642">
        <v>7.8209554225929372</v>
      </c>
      <c r="G131" s="642">
        <v>18.490566037735849</v>
      </c>
      <c r="H131" s="642">
        <v>1190.909090909091</v>
      </c>
      <c r="I131" s="642">
        <v>153.14171554603519</v>
      </c>
      <c r="J131" s="651">
        <v>34.217577807887082</v>
      </c>
      <c r="K131" s="651">
        <v>9.4182266439786773</v>
      </c>
      <c r="L131" s="651">
        <v>2.5121160238857705</v>
      </c>
      <c r="M131" s="651">
        <v>0.47838708849063555</v>
      </c>
      <c r="N131" s="651">
        <v>0</v>
      </c>
      <c r="O131" s="651">
        <v>1.0860489583659068</v>
      </c>
      <c r="P131" s="642">
        <v>-575.7599665483873</v>
      </c>
      <c r="Q131" s="642">
        <v>0</v>
      </c>
      <c r="R131" s="642">
        <v>0</v>
      </c>
      <c r="S131" s="650">
        <v>845.14548489572212</v>
      </c>
      <c r="U131" s="648" t="s">
        <v>350</v>
      </c>
      <c r="V131" s="642">
        <v>2.9164996321078078</v>
      </c>
      <c r="W131" s="642">
        <v>0</v>
      </c>
      <c r="X131" s="642">
        <v>6.3333521168078128</v>
      </c>
      <c r="Y131" s="642">
        <v>58.629502572898801</v>
      </c>
      <c r="Z131" s="642">
        <v>1105.3443526170799</v>
      </c>
      <c r="AA131" s="642">
        <v>156.32644281876244</v>
      </c>
      <c r="AB131" s="651">
        <v>29.491752812436719</v>
      </c>
      <c r="AC131" s="651">
        <v>9.3450725233746681</v>
      </c>
      <c r="AD131" s="651">
        <v>2.5121160238857705</v>
      </c>
      <c r="AE131" s="651">
        <v>3.1867918912350612</v>
      </c>
      <c r="AF131" s="651">
        <v>0</v>
      </c>
      <c r="AG131" s="651">
        <v>1.0860489583659068</v>
      </c>
      <c r="AH131" s="642">
        <v>-572.43560291202368</v>
      </c>
      <c r="AI131" s="642">
        <v>0</v>
      </c>
      <c r="AJ131" s="642">
        <v>0</v>
      </c>
      <c r="AK131" s="650">
        <v>802.73632905493105</v>
      </c>
    </row>
    <row r="132" spans="3:37" ht="13.5">
      <c r="C132" s="648" t="s">
        <v>351</v>
      </c>
      <c r="D132" s="642">
        <v>0.12349118736872708</v>
      </c>
      <c r="E132" s="642">
        <v>0</v>
      </c>
      <c r="F132" s="642">
        <v>0</v>
      </c>
      <c r="G132" s="642">
        <v>16.768067922739682</v>
      </c>
      <c r="H132" s="642">
        <v>0</v>
      </c>
      <c r="I132" s="642">
        <v>0</v>
      </c>
      <c r="J132" s="651">
        <v>14.511462263372906</v>
      </c>
      <c r="K132" s="651">
        <v>12.721360709604678</v>
      </c>
      <c r="L132" s="651">
        <v>0</v>
      </c>
      <c r="M132" s="651">
        <v>0.35468000245125708</v>
      </c>
      <c r="N132" s="651">
        <v>0</v>
      </c>
      <c r="O132" s="651">
        <v>2.3429154336529705</v>
      </c>
      <c r="P132" s="642">
        <v>0</v>
      </c>
      <c r="Q132" s="642">
        <v>-41.535443372761243</v>
      </c>
      <c r="R132" s="642">
        <v>0</v>
      </c>
      <c r="S132" s="650">
        <v>5.2865341464289735</v>
      </c>
      <c r="U132" s="648" t="s">
        <v>351</v>
      </c>
      <c r="V132" s="642">
        <v>0.24574746286376692</v>
      </c>
      <c r="W132" s="642">
        <v>0</v>
      </c>
      <c r="X132" s="642">
        <v>0</v>
      </c>
      <c r="Y132" s="642">
        <v>18.639904753059838</v>
      </c>
      <c r="Z132" s="642">
        <v>0</v>
      </c>
      <c r="AA132" s="642">
        <v>0</v>
      </c>
      <c r="AB132" s="651">
        <v>22.139054647682539</v>
      </c>
      <c r="AC132" s="651">
        <v>18.333827420527065</v>
      </c>
      <c r="AD132" s="651">
        <v>0</v>
      </c>
      <c r="AE132" s="651">
        <v>0.99352215322234005</v>
      </c>
      <c r="AF132" s="651">
        <v>0</v>
      </c>
      <c r="AG132" s="651">
        <v>3.9855789938168567</v>
      </c>
      <c r="AH132" s="642">
        <v>0</v>
      </c>
      <c r="AI132" s="642">
        <v>-57.31222867632534</v>
      </c>
      <c r="AJ132" s="642">
        <v>0</v>
      </c>
      <c r="AK132" s="650">
        <v>7.0254067548470651</v>
      </c>
    </row>
    <row r="133" spans="3:37" ht="13.5">
      <c r="C133" s="648" t="s">
        <v>352</v>
      </c>
      <c r="D133" s="642">
        <v>0</v>
      </c>
      <c r="E133" s="642">
        <v>0</v>
      </c>
      <c r="F133" s="642">
        <v>0</v>
      </c>
      <c r="G133" s="642">
        <v>0</v>
      </c>
      <c r="H133" s="642">
        <v>0</v>
      </c>
      <c r="I133" s="642">
        <v>0</v>
      </c>
      <c r="J133" s="652">
        <v>8.112913583549977</v>
      </c>
      <c r="K133" s="652">
        <v>0</v>
      </c>
      <c r="L133" s="652">
        <v>0</v>
      </c>
      <c r="M133" s="652">
        <v>-7.1616744658787432</v>
      </c>
      <c r="N133" s="652">
        <v>0</v>
      </c>
      <c r="O133" s="652">
        <v>0</v>
      </c>
      <c r="P133" s="642">
        <v>0</v>
      </c>
      <c r="Q133" s="642">
        <v>0</v>
      </c>
      <c r="R133" s="642">
        <v>0</v>
      </c>
      <c r="S133" s="650">
        <v>0.95123911767123381</v>
      </c>
      <c r="U133" s="648" t="s">
        <v>352</v>
      </c>
      <c r="V133" s="642">
        <v>0</v>
      </c>
      <c r="W133" s="642">
        <v>0</v>
      </c>
      <c r="X133" s="642">
        <v>0</v>
      </c>
      <c r="Y133" s="642">
        <v>0</v>
      </c>
      <c r="Z133" s="642">
        <v>0</v>
      </c>
      <c r="AA133" s="642">
        <v>0</v>
      </c>
      <c r="AB133" s="652">
        <v>21.330356361778993</v>
      </c>
      <c r="AC133" s="652">
        <v>0</v>
      </c>
      <c r="AD133" s="652">
        <v>0</v>
      </c>
      <c r="AE133" s="652">
        <v>-18.829372078360407</v>
      </c>
      <c r="AF133" s="652">
        <v>0</v>
      </c>
      <c r="AG133" s="652">
        <v>0</v>
      </c>
      <c r="AH133" s="642">
        <v>0</v>
      </c>
      <c r="AI133" s="642">
        <v>0</v>
      </c>
      <c r="AJ133" s="642">
        <v>0</v>
      </c>
      <c r="AK133" s="650">
        <v>2.5009842834185854</v>
      </c>
    </row>
    <row r="134" spans="3:37" ht="13.5">
      <c r="C134" s="648" t="s">
        <v>353</v>
      </c>
      <c r="D134" s="642">
        <v>0</v>
      </c>
      <c r="E134" s="642">
        <v>0</v>
      </c>
      <c r="F134" s="642">
        <v>0</v>
      </c>
      <c r="G134" s="642">
        <v>0</v>
      </c>
      <c r="H134" s="642">
        <v>0</v>
      </c>
      <c r="I134" s="642">
        <v>0</v>
      </c>
      <c r="J134" s="642">
        <v>0</v>
      </c>
      <c r="K134" s="642">
        <v>0</v>
      </c>
      <c r="L134" s="642">
        <v>0</v>
      </c>
      <c r="M134" s="642">
        <v>0</v>
      </c>
      <c r="N134" s="642">
        <v>0</v>
      </c>
      <c r="O134" s="642">
        <v>0</v>
      </c>
      <c r="P134" s="642">
        <v>0</v>
      </c>
      <c r="Q134" s="642">
        <v>0</v>
      </c>
      <c r="R134" s="642">
        <v>0</v>
      </c>
      <c r="S134" s="650">
        <v>0</v>
      </c>
      <c r="U134" s="648" t="s">
        <v>353</v>
      </c>
      <c r="V134" s="642">
        <v>0</v>
      </c>
      <c r="W134" s="642">
        <v>0</v>
      </c>
      <c r="X134" s="642">
        <v>0</v>
      </c>
      <c r="Y134" s="642">
        <v>0</v>
      </c>
      <c r="Z134" s="642">
        <v>0</v>
      </c>
      <c r="AA134" s="642">
        <v>0</v>
      </c>
      <c r="AB134" s="642">
        <v>0</v>
      </c>
      <c r="AC134" s="642">
        <v>0</v>
      </c>
      <c r="AD134" s="642">
        <v>0</v>
      </c>
      <c r="AE134" s="642">
        <v>0</v>
      </c>
      <c r="AF134" s="642">
        <v>0</v>
      </c>
      <c r="AG134" s="642">
        <v>0</v>
      </c>
      <c r="AH134" s="642">
        <v>0</v>
      </c>
      <c r="AI134" s="642">
        <v>0</v>
      </c>
      <c r="AJ134" s="642">
        <v>0</v>
      </c>
      <c r="AK134" s="650">
        <v>0</v>
      </c>
    </row>
    <row r="135" spans="3:37" ht="13.5">
      <c r="C135" s="648" t="s">
        <v>72</v>
      </c>
      <c r="D135" s="642">
        <v>0</v>
      </c>
      <c r="E135" s="642">
        <v>583.50105466083789</v>
      </c>
      <c r="F135" s="642">
        <v>-577.66604411422952</v>
      </c>
      <c r="G135" s="642">
        <v>0</v>
      </c>
      <c r="H135" s="642">
        <v>0</v>
      </c>
      <c r="I135" s="642">
        <v>0</v>
      </c>
      <c r="J135" s="642">
        <v>0</v>
      </c>
      <c r="K135" s="642">
        <v>0</v>
      </c>
      <c r="L135" s="642">
        <v>0</v>
      </c>
      <c r="M135" s="642">
        <v>0</v>
      </c>
      <c r="N135" s="642">
        <v>0</v>
      </c>
      <c r="O135" s="642">
        <v>0</v>
      </c>
      <c r="P135" s="642">
        <v>0</v>
      </c>
      <c r="Q135" s="642">
        <v>0</v>
      </c>
      <c r="R135" s="642">
        <v>0</v>
      </c>
      <c r="S135" s="650">
        <v>5.8350105466083733</v>
      </c>
      <c r="U135" s="648" t="s">
        <v>72</v>
      </c>
      <c r="V135" s="642">
        <v>0</v>
      </c>
      <c r="W135" s="642">
        <v>513.08713872730914</v>
      </c>
      <c r="X135" s="642">
        <v>-507.95626734003605</v>
      </c>
      <c r="Y135" s="642">
        <v>0</v>
      </c>
      <c r="Z135" s="642">
        <v>0</v>
      </c>
      <c r="AA135" s="642">
        <v>0</v>
      </c>
      <c r="AB135" s="642">
        <v>0</v>
      </c>
      <c r="AC135" s="642">
        <v>0</v>
      </c>
      <c r="AD135" s="642">
        <v>0</v>
      </c>
      <c r="AE135" s="642">
        <v>0</v>
      </c>
      <c r="AF135" s="642">
        <v>0</v>
      </c>
      <c r="AG135" s="642">
        <v>0</v>
      </c>
      <c r="AH135" s="642">
        <v>0</v>
      </c>
      <c r="AI135" s="642">
        <v>0</v>
      </c>
      <c r="AJ135" s="642">
        <v>0</v>
      </c>
      <c r="AK135" s="650">
        <v>5.1308713872730891</v>
      </c>
    </row>
    <row r="136" spans="3:37" ht="13.5">
      <c r="C136" s="648" t="s">
        <v>354</v>
      </c>
      <c r="D136" s="642">
        <v>0</v>
      </c>
      <c r="E136" s="642">
        <v>0</v>
      </c>
      <c r="F136" s="642">
        <v>0</v>
      </c>
      <c r="G136" s="642">
        <v>0</v>
      </c>
      <c r="H136" s="642">
        <v>0</v>
      </c>
      <c r="I136" s="642">
        <v>0</v>
      </c>
      <c r="J136" s="642">
        <v>43.567433114887073</v>
      </c>
      <c r="K136" s="642">
        <v>0</v>
      </c>
      <c r="L136" s="642">
        <v>-43.567433114887073</v>
      </c>
      <c r="M136" s="642">
        <v>0</v>
      </c>
      <c r="N136" s="642">
        <v>0</v>
      </c>
      <c r="O136" s="642">
        <v>0</v>
      </c>
      <c r="P136" s="642">
        <v>0</v>
      </c>
      <c r="Q136" s="642">
        <v>0</v>
      </c>
      <c r="R136" s="642">
        <v>0</v>
      </c>
      <c r="S136" s="650">
        <v>0</v>
      </c>
      <c r="U136" s="648" t="s">
        <v>354</v>
      </c>
      <c r="V136" s="642">
        <v>0</v>
      </c>
      <c r="W136" s="642">
        <v>0</v>
      </c>
      <c r="X136" s="642">
        <v>0</v>
      </c>
      <c r="Y136" s="642">
        <v>0</v>
      </c>
      <c r="Z136" s="642">
        <v>0</v>
      </c>
      <c r="AA136" s="642">
        <v>0</v>
      </c>
      <c r="AB136" s="642" t="e">
        <v>#VALUE!</v>
      </c>
      <c r="AC136" s="642">
        <v>0</v>
      </c>
      <c r="AD136" s="642">
        <v>-45.82837485909166</v>
      </c>
      <c r="AE136" s="642">
        <v>0</v>
      </c>
      <c r="AF136" s="642">
        <v>0</v>
      </c>
      <c r="AG136" s="642">
        <v>0</v>
      </c>
      <c r="AH136" s="642">
        <v>0</v>
      </c>
      <c r="AI136" s="642">
        <v>0</v>
      </c>
      <c r="AJ136" s="642">
        <v>0</v>
      </c>
      <c r="AK136" s="650">
        <v>-45.82837485909166</v>
      </c>
    </row>
    <row r="137" spans="3:37" ht="13.5">
      <c r="C137" s="648" t="s">
        <v>355</v>
      </c>
      <c r="D137" s="642">
        <v>0</v>
      </c>
      <c r="E137" s="642">
        <v>0</v>
      </c>
      <c r="F137" s="642">
        <v>0</v>
      </c>
      <c r="G137" s="642">
        <v>0</v>
      </c>
      <c r="H137" s="642">
        <v>0</v>
      </c>
      <c r="I137" s="642">
        <v>0</v>
      </c>
      <c r="J137" s="642">
        <v>0</v>
      </c>
      <c r="K137" s="642">
        <v>0</v>
      </c>
      <c r="L137" s="642">
        <v>0</v>
      </c>
      <c r="M137" s="642">
        <v>0</v>
      </c>
      <c r="N137" s="642">
        <v>0</v>
      </c>
      <c r="O137" s="642">
        <v>0</v>
      </c>
      <c r="P137" s="642">
        <v>0</v>
      </c>
      <c r="Q137" s="642">
        <v>0</v>
      </c>
      <c r="R137" s="642">
        <v>0</v>
      </c>
      <c r="S137" s="650">
        <v>0</v>
      </c>
      <c r="U137" s="648" t="s">
        <v>355</v>
      </c>
      <c r="V137" s="642">
        <v>0</v>
      </c>
      <c r="W137" s="642">
        <v>0</v>
      </c>
      <c r="X137" s="642">
        <v>0</v>
      </c>
      <c r="Y137" s="642">
        <v>0</v>
      </c>
      <c r="Z137" s="642">
        <v>0</v>
      </c>
      <c r="AA137" s="642">
        <v>0</v>
      </c>
      <c r="AB137" s="642">
        <v>0</v>
      </c>
      <c r="AC137" s="642">
        <v>0</v>
      </c>
      <c r="AD137" s="642">
        <v>0</v>
      </c>
      <c r="AE137" s="642">
        <v>0</v>
      </c>
      <c r="AF137" s="642">
        <v>0</v>
      </c>
      <c r="AG137" s="642">
        <v>0</v>
      </c>
      <c r="AH137" s="642">
        <v>0</v>
      </c>
      <c r="AI137" s="642">
        <v>0</v>
      </c>
      <c r="AJ137" s="642">
        <v>0</v>
      </c>
      <c r="AK137" s="650">
        <v>0</v>
      </c>
    </row>
    <row r="138" spans="3:37" ht="13.5">
      <c r="C138" s="648" t="s">
        <v>73</v>
      </c>
      <c r="D138" s="642">
        <v>0</v>
      </c>
      <c r="E138" s="642">
        <v>0</v>
      </c>
      <c r="F138" s="642">
        <v>0</v>
      </c>
      <c r="G138" s="642">
        <v>0.51300159561157233</v>
      </c>
      <c r="H138" s="642">
        <v>0</v>
      </c>
      <c r="I138" s="642">
        <v>0</v>
      </c>
      <c r="J138" s="642">
        <v>0</v>
      </c>
      <c r="K138" s="642">
        <v>5.6591461181640631E-3</v>
      </c>
      <c r="L138" s="642">
        <v>0</v>
      </c>
      <c r="M138" s="642">
        <v>1.0469420318603517E-2</v>
      </c>
      <c r="N138" s="642">
        <v>0</v>
      </c>
      <c r="O138" s="642">
        <v>0</v>
      </c>
      <c r="P138" s="642">
        <v>3.9614022827148432E-2</v>
      </c>
      <c r="Q138" s="642">
        <v>0</v>
      </c>
      <c r="R138" s="642">
        <v>-0.39614022827148437</v>
      </c>
      <c r="S138" s="650">
        <v>0.17260395660400402</v>
      </c>
      <c r="U138" s="648" t="s">
        <v>73</v>
      </c>
      <c r="V138" s="642">
        <v>0</v>
      </c>
      <c r="W138" s="642">
        <v>0</v>
      </c>
      <c r="X138" s="642">
        <v>0</v>
      </c>
      <c r="Y138" s="642">
        <v>2.0927767434982734</v>
      </c>
      <c r="Z138" s="642">
        <v>0</v>
      </c>
      <c r="AA138" s="642">
        <v>0</v>
      </c>
      <c r="AB138" s="642">
        <v>0</v>
      </c>
      <c r="AC138" s="642">
        <v>3.312665996831457E-2</v>
      </c>
      <c r="AD138" s="642">
        <v>0</v>
      </c>
      <c r="AE138" s="642">
        <v>0.11014614439464597</v>
      </c>
      <c r="AF138" s="642">
        <v>0</v>
      </c>
      <c r="AG138" s="642">
        <v>0</v>
      </c>
      <c r="AH138" s="642">
        <v>1.15943309889101</v>
      </c>
      <c r="AI138" s="642">
        <v>0</v>
      </c>
      <c r="AJ138" s="642">
        <v>-2.31886619778202</v>
      </c>
      <c r="AK138" s="650">
        <v>1.0766164489702237</v>
      </c>
    </row>
    <row r="139" spans="3:37" ht="13.5">
      <c r="C139" s="648" t="s">
        <v>356</v>
      </c>
      <c r="D139" s="642">
        <v>30.168562499999993</v>
      </c>
      <c r="E139" s="642">
        <v>-20.218311543998034</v>
      </c>
      <c r="F139" s="642">
        <v>26.444357300871886</v>
      </c>
      <c r="G139" s="642">
        <v>0</v>
      </c>
      <c r="H139" s="642">
        <v>0</v>
      </c>
      <c r="I139" s="642">
        <v>0</v>
      </c>
      <c r="J139" s="642">
        <v>0</v>
      </c>
      <c r="K139" s="642">
        <v>0</v>
      </c>
      <c r="L139" s="642">
        <v>0</v>
      </c>
      <c r="M139" s="642">
        <v>0</v>
      </c>
      <c r="N139" s="642">
        <v>0</v>
      </c>
      <c r="O139" s="642">
        <v>0</v>
      </c>
      <c r="P139" s="642">
        <v>0</v>
      </c>
      <c r="Q139" s="642">
        <v>0</v>
      </c>
      <c r="R139" s="642">
        <v>0</v>
      </c>
      <c r="S139" s="650">
        <v>36.394608256873845</v>
      </c>
      <c r="U139" s="648" t="s">
        <v>356</v>
      </c>
      <c r="V139" s="642">
        <v>13.02096923828125</v>
      </c>
      <c r="W139" s="642">
        <v>-17.778469356901262</v>
      </c>
      <c r="X139" s="642">
        <v>23.253187829923604</v>
      </c>
      <c r="Y139" s="642">
        <v>0</v>
      </c>
      <c r="Z139" s="642">
        <v>0</v>
      </c>
      <c r="AA139" s="642">
        <v>0</v>
      </c>
      <c r="AB139" s="642">
        <v>0</v>
      </c>
      <c r="AC139" s="642">
        <v>0</v>
      </c>
      <c r="AD139" s="642">
        <v>0</v>
      </c>
      <c r="AE139" s="642">
        <v>0</v>
      </c>
      <c r="AF139" s="642">
        <v>0</v>
      </c>
      <c r="AG139" s="642">
        <v>0</v>
      </c>
      <c r="AH139" s="642">
        <v>0</v>
      </c>
      <c r="AI139" s="642">
        <v>0</v>
      </c>
      <c r="AJ139" s="642">
        <v>0</v>
      </c>
      <c r="AK139" s="650">
        <v>18.495687711303592</v>
      </c>
    </row>
    <row r="140" spans="3:37" ht="13.5">
      <c r="C140" s="648" t="s">
        <v>75</v>
      </c>
      <c r="D140" s="642">
        <v>11.732218749999999</v>
      </c>
      <c r="E140" s="642">
        <v>0</v>
      </c>
      <c r="F140" s="642">
        <v>19.839035858468488</v>
      </c>
      <c r="G140" s="642">
        <v>5.6611272323194495</v>
      </c>
      <c r="H140" s="642">
        <v>0</v>
      </c>
      <c r="I140" s="642">
        <v>0</v>
      </c>
      <c r="J140" s="642">
        <v>0</v>
      </c>
      <c r="K140" s="642">
        <v>0</v>
      </c>
      <c r="L140" s="642">
        <v>0</v>
      </c>
      <c r="M140" s="642">
        <v>0.11553320882284591</v>
      </c>
      <c r="N140" s="642">
        <v>0</v>
      </c>
      <c r="O140" s="642">
        <v>0</v>
      </c>
      <c r="P140" s="642">
        <v>36.290441897725728</v>
      </c>
      <c r="Q140" s="642">
        <v>0</v>
      </c>
      <c r="R140" s="642">
        <v>0</v>
      </c>
      <c r="S140" s="650">
        <v>73.638356947336518</v>
      </c>
      <c r="U140" s="648" t="s">
        <v>75</v>
      </c>
      <c r="V140" s="642">
        <v>10.2975283203125</v>
      </c>
      <c r="W140" s="642">
        <v>0</v>
      </c>
      <c r="X140" s="642">
        <v>19.839035858468488</v>
      </c>
      <c r="Y140" s="642">
        <v>5.487827419085181</v>
      </c>
      <c r="Z140" s="642">
        <v>0</v>
      </c>
      <c r="AA140" s="642">
        <v>0</v>
      </c>
      <c r="AB140" s="642">
        <v>0</v>
      </c>
      <c r="AC140" s="642">
        <v>0</v>
      </c>
      <c r="AD140" s="642">
        <v>0</v>
      </c>
      <c r="AE140" s="642">
        <v>0.28883302205711481</v>
      </c>
      <c r="AF140" s="642">
        <v>0</v>
      </c>
      <c r="AG140" s="642">
        <v>0</v>
      </c>
      <c r="AH140" s="642">
        <v>33.686888178717467</v>
      </c>
      <c r="AI140" s="642">
        <v>0</v>
      </c>
      <c r="AJ140" s="642">
        <v>0</v>
      </c>
      <c r="AK140" s="650">
        <v>69.600112798640737</v>
      </c>
    </row>
    <row r="141" spans="3:37" ht="13.5">
      <c r="C141" s="648" t="s">
        <v>76</v>
      </c>
      <c r="D141" s="642">
        <v>0</v>
      </c>
      <c r="E141" s="642">
        <v>0</v>
      </c>
      <c r="F141" s="642">
        <v>0</v>
      </c>
      <c r="G141" s="642">
        <v>4.1611310137714437</v>
      </c>
      <c r="H141" s="642">
        <v>0</v>
      </c>
      <c r="I141" s="642">
        <v>0</v>
      </c>
      <c r="J141" s="642">
        <v>0</v>
      </c>
      <c r="K141" s="642">
        <v>0</v>
      </c>
      <c r="L141" s="642">
        <v>0</v>
      </c>
      <c r="M141" s="642">
        <v>8.4921041097376401E-2</v>
      </c>
      <c r="N141" s="642">
        <v>0</v>
      </c>
      <c r="O141" s="642">
        <v>0</v>
      </c>
      <c r="P141" s="642">
        <v>39.192716927085932</v>
      </c>
      <c r="Q141" s="642">
        <v>3.2227514144892391</v>
      </c>
      <c r="R141" s="642">
        <v>0</v>
      </c>
      <c r="S141" s="650">
        <v>46.66152039644399</v>
      </c>
      <c r="U141" s="648" t="s">
        <v>76</v>
      </c>
      <c r="V141" s="642">
        <v>0</v>
      </c>
      <c r="W141" s="642">
        <v>0</v>
      </c>
      <c r="X141" s="642">
        <v>0</v>
      </c>
      <c r="Y141" s="642">
        <v>4.2421905472985904</v>
      </c>
      <c r="Z141" s="642">
        <v>0</v>
      </c>
      <c r="AA141" s="642">
        <v>0</v>
      </c>
      <c r="AB141" s="642">
        <v>0</v>
      </c>
      <c r="AC141" s="642">
        <v>0</v>
      </c>
      <c r="AD141" s="642">
        <v>0</v>
      </c>
      <c r="AE141" s="642">
        <v>0.2232731866999258</v>
      </c>
      <c r="AF141" s="642">
        <v>0</v>
      </c>
      <c r="AG141" s="642">
        <v>0</v>
      </c>
      <c r="AH141" s="642">
        <v>39.221580519444494</v>
      </c>
      <c r="AI141" s="642">
        <v>4.4453067332156078</v>
      </c>
      <c r="AJ141" s="642">
        <v>0</v>
      </c>
      <c r="AK141" s="650">
        <v>48.132350986658622</v>
      </c>
    </row>
    <row r="142" spans="3:37" ht="13.5">
      <c r="C142" s="646" t="s">
        <v>77</v>
      </c>
      <c r="D142" s="647">
        <v>44.8550394434155</v>
      </c>
      <c r="E142" s="647">
        <v>563.28274311683981</v>
      </c>
      <c r="F142" s="647">
        <v>-523.5616955322962</v>
      </c>
      <c r="G142" s="647">
        <v>45.593893802178002</v>
      </c>
      <c r="H142" s="647">
        <v>1190.909090909091</v>
      </c>
      <c r="I142" s="647">
        <v>153.14171554603519</v>
      </c>
      <c r="J142" s="647">
        <v>100.40938676969702</v>
      </c>
      <c r="K142" s="647">
        <v>22.145246499701521</v>
      </c>
      <c r="L142" s="647">
        <v>-41.055317091001299</v>
      </c>
      <c r="M142" s="647">
        <v>-6.1176837046980248</v>
      </c>
      <c r="N142" s="647">
        <v>0</v>
      </c>
      <c r="O142" s="647">
        <v>3.4289643920188775</v>
      </c>
      <c r="P142" s="647">
        <v>-500.23719370074849</v>
      </c>
      <c r="Q142" s="647">
        <v>-38.312691958272012</v>
      </c>
      <c r="R142" s="647">
        <v>-0.39614022827148437</v>
      </c>
      <c r="S142" s="647">
        <v>1014.085358263689</v>
      </c>
      <c r="U142" s="646" t="s">
        <v>77</v>
      </c>
      <c r="V142" s="647">
        <v>26.480744653565324</v>
      </c>
      <c r="W142" s="647">
        <v>495.30866937040787</v>
      </c>
      <c r="X142" s="647">
        <v>-458.53069153483614</v>
      </c>
      <c r="Y142" s="647">
        <v>89.092202035840685</v>
      </c>
      <c r="Z142" s="647">
        <v>1105.3443526170799</v>
      </c>
      <c r="AA142" s="647">
        <v>156.32644281876244</v>
      </c>
      <c r="AB142" s="647">
        <v>72.961163821898253</v>
      </c>
      <c r="AC142" s="647">
        <v>27.712026603870047</v>
      </c>
      <c r="AD142" s="647">
        <v>-43.316258835205886</v>
      </c>
      <c r="AE142" s="647">
        <v>-14.02680568075132</v>
      </c>
      <c r="AF142" s="647">
        <v>0</v>
      </c>
      <c r="AG142" s="647">
        <v>5.0716279521827641</v>
      </c>
      <c r="AH142" s="647">
        <v>-498.36770111497077</v>
      </c>
      <c r="AI142" s="647">
        <v>-52.866921943109737</v>
      </c>
      <c r="AJ142" s="647">
        <v>-2.31886619778202</v>
      </c>
      <c r="AK142" s="647">
        <v>908.86998456695119</v>
      </c>
    </row>
    <row r="143" spans="3:37" ht="13">
      <c r="C143" s="636"/>
      <c r="D143" s="636">
        <v>0</v>
      </c>
      <c r="E143" s="636">
        <v>0</v>
      </c>
      <c r="F143" s="636">
        <v>0</v>
      </c>
      <c r="G143" s="636">
        <v>0</v>
      </c>
      <c r="H143" s="636">
        <v>0</v>
      </c>
      <c r="I143" s="636">
        <v>0</v>
      </c>
      <c r="J143" s="636">
        <v>0</v>
      </c>
      <c r="K143" s="636">
        <v>0</v>
      </c>
      <c r="L143" s="636">
        <v>0</v>
      </c>
      <c r="M143" s="636">
        <v>0</v>
      </c>
      <c r="N143" s="636">
        <v>0</v>
      </c>
      <c r="O143" s="636">
        <v>0</v>
      </c>
      <c r="P143" s="636">
        <v>0</v>
      </c>
      <c r="Q143" s="636">
        <v>0</v>
      </c>
      <c r="R143" s="636">
        <v>0</v>
      </c>
      <c r="S143" s="636">
        <v>0</v>
      </c>
      <c r="U143" s="636"/>
      <c r="V143" s="636">
        <v>0</v>
      </c>
      <c r="W143" s="636">
        <v>0</v>
      </c>
      <c r="X143" s="636">
        <v>0</v>
      </c>
      <c r="Y143" s="636">
        <v>0</v>
      </c>
      <c r="Z143" s="636">
        <v>0</v>
      </c>
      <c r="AA143" s="636">
        <v>0</v>
      </c>
      <c r="AB143" s="636">
        <v>0</v>
      </c>
      <c r="AC143" s="636">
        <v>0</v>
      </c>
      <c r="AD143" s="636">
        <v>0</v>
      </c>
      <c r="AE143" s="636">
        <v>0</v>
      </c>
      <c r="AF143" s="636">
        <v>0</v>
      </c>
      <c r="AG143" s="636">
        <v>0</v>
      </c>
      <c r="AH143" s="636">
        <v>0</v>
      </c>
      <c r="AI143" s="636">
        <v>0</v>
      </c>
      <c r="AJ143" s="636">
        <v>0</v>
      </c>
      <c r="AK143" s="636">
        <v>0</v>
      </c>
    </row>
    <row r="144" spans="3:37" ht="13.5">
      <c r="C144" s="648" t="s">
        <v>78</v>
      </c>
      <c r="D144" s="642">
        <v>7.0843993210285721</v>
      </c>
      <c r="E144" s="642">
        <v>0</v>
      </c>
      <c r="F144" s="642">
        <v>27.107499244386606</v>
      </c>
      <c r="G144" s="642">
        <v>109.63750187259986</v>
      </c>
      <c r="H144" s="642">
        <v>0</v>
      </c>
      <c r="I144" s="642">
        <v>0</v>
      </c>
      <c r="J144" s="642">
        <v>17.593885172405454</v>
      </c>
      <c r="K144" s="642">
        <v>1.7237647195692531</v>
      </c>
      <c r="L144" s="642">
        <v>0.83302892187499988</v>
      </c>
      <c r="M144" s="642">
        <v>2.2562819387026423</v>
      </c>
      <c r="N144" s="642">
        <v>0</v>
      </c>
      <c r="O144" s="642">
        <v>3.8289980908217579E-4</v>
      </c>
      <c r="P144" s="642">
        <v>110.31623789955354</v>
      </c>
      <c r="Q144" s="642">
        <v>16.994133911313323</v>
      </c>
      <c r="R144" s="642">
        <v>0.39614022827148437</v>
      </c>
      <c r="S144" s="650">
        <v>293.94325612951479</v>
      </c>
      <c r="U144" s="648" t="s">
        <v>78</v>
      </c>
      <c r="V144" s="642">
        <v>3.885325727516717</v>
      </c>
      <c r="W144" s="642">
        <v>0</v>
      </c>
      <c r="X144" s="642">
        <v>23.321309480837726</v>
      </c>
      <c r="Y144" s="642">
        <v>96.699296914521057</v>
      </c>
      <c r="Z144" s="642">
        <v>0</v>
      </c>
      <c r="AA144" s="642">
        <v>0</v>
      </c>
      <c r="AB144" s="642">
        <v>18.074671536539281</v>
      </c>
      <c r="AC144" s="642">
        <v>5.2394534429757353</v>
      </c>
      <c r="AD144" s="642">
        <v>0.94215535644531256</v>
      </c>
      <c r="AE144" s="642">
        <v>5.1082185801979545</v>
      </c>
      <c r="AF144" s="642">
        <v>0</v>
      </c>
      <c r="AG144" s="642">
        <v>3.8289980908217579E-4</v>
      </c>
      <c r="AH144" s="642">
        <v>125.74204552909232</v>
      </c>
      <c r="AI144" s="642">
        <v>19.862626301688149</v>
      </c>
      <c r="AJ144" s="642">
        <v>1.1177628173828125</v>
      </c>
      <c r="AK144" s="650">
        <v>299.99324858700612</v>
      </c>
    </row>
    <row r="145" spans="3:37" ht="13.5">
      <c r="C145" s="648" t="s">
        <v>79</v>
      </c>
      <c r="D145" s="642">
        <v>0</v>
      </c>
      <c r="E145" s="642">
        <v>0</v>
      </c>
      <c r="F145" s="642">
        <v>408.63289173322238</v>
      </c>
      <c r="G145" s="642">
        <v>6.6484606559899468</v>
      </c>
      <c r="H145" s="642">
        <v>0</v>
      </c>
      <c r="I145" s="642">
        <v>0</v>
      </c>
      <c r="J145" s="642">
        <v>0</v>
      </c>
      <c r="K145" s="642">
        <v>0</v>
      </c>
      <c r="L145" s="642">
        <v>39.656272012198485</v>
      </c>
      <c r="M145" s="642">
        <v>0.13568287053040709</v>
      </c>
      <c r="N145" s="642">
        <v>0</v>
      </c>
      <c r="O145" s="642">
        <v>0</v>
      </c>
      <c r="P145" s="642">
        <v>17.908429224736064</v>
      </c>
      <c r="Q145" s="642">
        <v>0</v>
      </c>
      <c r="R145" s="642">
        <v>0</v>
      </c>
      <c r="S145" s="650">
        <v>472.98173649667723</v>
      </c>
      <c r="U145" s="648" t="s">
        <v>79</v>
      </c>
      <c r="V145" s="642">
        <v>0</v>
      </c>
      <c r="W145" s="642">
        <v>0</v>
      </c>
      <c r="X145" s="642">
        <v>375.77190763394009</v>
      </c>
      <c r="Y145" s="642">
        <v>6.755817454004311</v>
      </c>
      <c r="Z145" s="642">
        <v>0</v>
      </c>
      <c r="AA145" s="642">
        <v>0</v>
      </c>
      <c r="AB145" s="642">
        <v>0</v>
      </c>
      <c r="AC145" s="642">
        <v>0</v>
      </c>
      <c r="AD145" s="642">
        <v>39.472711320953763</v>
      </c>
      <c r="AE145" s="642">
        <v>0.35556933968443744</v>
      </c>
      <c r="AF145" s="642">
        <v>0</v>
      </c>
      <c r="AG145" s="642">
        <v>0</v>
      </c>
      <c r="AH145" s="642">
        <v>17.446496979828503</v>
      </c>
      <c r="AI145" s="642">
        <v>0</v>
      </c>
      <c r="AJ145" s="642">
        <v>0</v>
      </c>
      <c r="AK145" s="650">
        <v>439.80250272841107</v>
      </c>
    </row>
    <row r="146" spans="3:37" ht="13.5">
      <c r="C146" s="648" t="s">
        <v>80</v>
      </c>
      <c r="D146" s="642">
        <v>0</v>
      </c>
      <c r="E146" s="642">
        <v>0</v>
      </c>
      <c r="F146" s="642">
        <v>41.084750674599483</v>
      </c>
      <c r="G146" s="642">
        <v>119.79409980429404</v>
      </c>
      <c r="H146" s="642">
        <v>0</v>
      </c>
      <c r="I146" s="642">
        <v>0</v>
      </c>
      <c r="J146" s="642">
        <v>72.996556103181632</v>
      </c>
      <c r="K146" s="642">
        <v>0</v>
      </c>
      <c r="L146" s="642">
        <v>0</v>
      </c>
      <c r="M146" s="642">
        <v>2.4447775470264088</v>
      </c>
      <c r="N146" s="642">
        <v>32.811205728954405</v>
      </c>
      <c r="O146" s="642">
        <v>1.4994987295121316</v>
      </c>
      <c r="P146" s="642">
        <v>168.17343522041736</v>
      </c>
      <c r="Q146" s="642">
        <v>15.992572069761611</v>
      </c>
      <c r="R146" s="642">
        <v>0</v>
      </c>
      <c r="S146" s="650">
        <v>454.79689587774703</v>
      </c>
      <c r="U146" s="648" t="s">
        <v>80</v>
      </c>
      <c r="V146" s="642">
        <v>0</v>
      </c>
      <c r="W146" s="642">
        <v>0</v>
      </c>
      <c r="X146" s="642">
        <v>34.76631066711105</v>
      </c>
      <c r="Y146" s="642">
        <v>106.63972230210601</v>
      </c>
      <c r="Z146" s="642">
        <v>0</v>
      </c>
      <c r="AA146" s="642">
        <v>0</v>
      </c>
      <c r="AB146" s="642">
        <v>79.335392755141783</v>
      </c>
      <c r="AC146" s="642">
        <v>0</v>
      </c>
      <c r="AD146" s="642">
        <v>0</v>
      </c>
      <c r="AE146" s="642">
        <v>5.6126169632687386</v>
      </c>
      <c r="AF146" s="642">
        <v>35.519956519553347</v>
      </c>
      <c r="AG146" s="642">
        <v>1.427931671492281</v>
      </c>
      <c r="AH146" s="642">
        <v>160.67228544284913</v>
      </c>
      <c r="AI146" s="642">
        <v>25.929258094327544</v>
      </c>
      <c r="AJ146" s="642">
        <v>0</v>
      </c>
      <c r="AK146" s="650">
        <v>449.90347441584998</v>
      </c>
    </row>
    <row r="147" spans="3:37" ht="13.5">
      <c r="C147" s="648" t="s">
        <v>81</v>
      </c>
      <c r="D147" s="642">
        <v>0</v>
      </c>
      <c r="E147" s="642">
        <v>0</v>
      </c>
      <c r="F147" s="642">
        <v>21.278250753083572</v>
      </c>
      <c r="G147" s="642">
        <v>66.807967366338673</v>
      </c>
      <c r="H147" s="642">
        <v>0</v>
      </c>
      <c r="I147" s="642">
        <v>0</v>
      </c>
      <c r="J147" s="642">
        <v>3.9976752731894716</v>
      </c>
      <c r="K147" s="642">
        <v>2.6432002043970358E-2</v>
      </c>
      <c r="L147" s="642">
        <v>0</v>
      </c>
      <c r="M147" s="642">
        <v>1.3634279054354832</v>
      </c>
      <c r="N147" s="642">
        <v>6.5080361221152287</v>
      </c>
      <c r="O147" s="642">
        <v>0.94378280475996701</v>
      </c>
      <c r="P147" s="642">
        <v>131.53831129097264</v>
      </c>
      <c r="Q147" s="642">
        <v>5.3259859771970728</v>
      </c>
      <c r="R147" s="642">
        <v>0</v>
      </c>
      <c r="S147" s="650">
        <v>237.78986949513609</v>
      </c>
      <c r="U147" s="648" t="s">
        <v>81</v>
      </c>
      <c r="V147" s="642">
        <v>0</v>
      </c>
      <c r="W147" s="642">
        <v>0</v>
      </c>
      <c r="X147" s="642">
        <v>15.239894940926636</v>
      </c>
      <c r="Y147" s="642">
        <v>55.988063388934151</v>
      </c>
      <c r="Z147" s="642">
        <v>0</v>
      </c>
      <c r="AA147" s="642">
        <v>0</v>
      </c>
      <c r="AB147" s="642">
        <v>6.2628201133829862</v>
      </c>
      <c r="AC147" s="642">
        <v>2.6432002043970358E-2</v>
      </c>
      <c r="AD147" s="642">
        <v>0</v>
      </c>
      <c r="AE147" s="642">
        <v>2.9467401783649554</v>
      </c>
      <c r="AF147" s="642">
        <v>11.4217194648713</v>
      </c>
      <c r="AG147" s="642">
        <v>1.4420725885698453</v>
      </c>
      <c r="AH147" s="642">
        <v>125.88549835067262</v>
      </c>
      <c r="AI147" s="642">
        <v>7.0750375470940394</v>
      </c>
      <c r="AJ147" s="642">
        <v>0</v>
      </c>
      <c r="AK147" s="650">
        <v>226.28827857486053</v>
      </c>
    </row>
    <row r="148" spans="3:37" ht="13.5">
      <c r="C148" s="648" t="s">
        <v>82</v>
      </c>
      <c r="D148" s="642">
        <v>0</v>
      </c>
      <c r="E148" s="642">
        <v>0</v>
      </c>
      <c r="F148" s="642">
        <v>34.492480565946664</v>
      </c>
      <c r="G148" s="642">
        <v>2.4401253266579648</v>
      </c>
      <c r="H148" s="642">
        <v>0</v>
      </c>
      <c r="I148" s="642">
        <v>0</v>
      </c>
      <c r="J148" s="642">
        <v>0.70706396927287185</v>
      </c>
      <c r="K148" s="642">
        <v>0</v>
      </c>
      <c r="L148" s="642">
        <v>2.2606527751608563</v>
      </c>
      <c r="M148" s="642">
        <v>4.979847605424418E-2</v>
      </c>
      <c r="N148" s="642">
        <v>0</v>
      </c>
      <c r="O148" s="642">
        <v>9.0201671928645533E-2</v>
      </c>
      <c r="P148" s="642">
        <v>8.2455072704191767</v>
      </c>
      <c r="Q148" s="642">
        <v>0</v>
      </c>
      <c r="R148" s="642">
        <v>0</v>
      </c>
      <c r="S148" s="650">
        <v>48.285830055440421</v>
      </c>
      <c r="U148" s="648" t="s">
        <v>82</v>
      </c>
      <c r="V148" s="642">
        <v>0</v>
      </c>
      <c r="W148" s="642">
        <v>0</v>
      </c>
      <c r="X148" s="642">
        <v>33.216742540132081</v>
      </c>
      <c r="Y148" s="642">
        <v>2.5829673934416131</v>
      </c>
      <c r="Z148" s="642">
        <v>0</v>
      </c>
      <c r="AA148" s="642">
        <v>0</v>
      </c>
      <c r="AB148" s="642">
        <v>0.70706396927287185</v>
      </c>
      <c r="AC148" s="642">
        <v>0</v>
      </c>
      <c r="AD148" s="642">
        <v>3.7843312923041141</v>
      </c>
      <c r="AE148" s="642">
        <v>0.13594565228640071</v>
      </c>
      <c r="AF148" s="642">
        <v>0</v>
      </c>
      <c r="AG148" s="642">
        <v>0.36066131262685786</v>
      </c>
      <c r="AH148" s="642">
        <v>8.2670833714025918</v>
      </c>
      <c r="AI148" s="642">
        <v>0</v>
      </c>
      <c r="AJ148" s="642">
        <v>8.6831190235855574E-2</v>
      </c>
      <c r="AK148" s="650">
        <v>49.141626721702394</v>
      </c>
    </row>
    <row r="149" spans="3:37" ht="13.5">
      <c r="C149" s="648" t="s">
        <v>357</v>
      </c>
      <c r="D149" s="642">
        <v>0</v>
      </c>
      <c r="E149" s="642">
        <v>0</v>
      </c>
      <c r="F149" s="642">
        <v>0</v>
      </c>
      <c r="G149" s="642">
        <v>0</v>
      </c>
      <c r="H149" s="642">
        <v>0</v>
      </c>
      <c r="I149" s="642">
        <v>0</v>
      </c>
      <c r="J149" s="642">
        <v>0</v>
      </c>
      <c r="K149" s="642">
        <v>0</v>
      </c>
      <c r="L149" s="642">
        <v>0</v>
      </c>
      <c r="M149" s="642">
        <v>0</v>
      </c>
      <c r="N149" s="642">
        <v>0</v>
      </c>
      <c r="O149" s="642">
        <v>0</v>
      </c>
      <c r="P149" s="642">
        <v>0</v>
      </c>
      <c r="Q149" s="642">
        <v>0</v>
      </c>
      <c r="R149" s="642">
        <v>0</v>
      </c>
      <c r="S149" s="650">
        <v>0</v>
      </c>
      <c r="U149" s="648" t="s">
        <v>357</v>
      </c>
      <c r="V149" s="642">
        <v>0</v>
      </c>
      <c r="W149" s="642">
        <v>0</v>
      </c>
      <c r="X149" s="642">
        <v>0</v>
      </c>
      <c r="Y149" s="642">
        <v>0</v>
      </c>
      <c r="Z149" s="642">
        <v>0</v>
      </c>
      <c r="AA149" s="642">
        <v>0</v>
      </c>
      <c r="AB149" s="642">
        <v>0</v>
      </c>
      <c r="AC149" s="642">
        <v>0</v>
      </c>
      <c r="AD149" s="642">
        <v>0</v>
      </c>
      <c r="AE149" s="642">
        <v>0</v>
      </c>
      <c r="AF149" s="642">
        <v>0</v>
      </c>
      <c r="AG149" s="642">
        <v>0</v>
      </c>
      <c r="AH149" s="642">
        <v>0</v>
      </c>
      <c r="AI149" s="642">
        <v>0</v>
      </c>
      <c r="AJ149" s="642">
        <v>0</v>
      </c>
      <c r="AK149" s="650">
        <v>0</v>
      </c>
    </row>
    <row r="150" spans="3:37" ht="13.5">
      <c r="C150" s="646" t="s">
        <v>83</v>
      </c>
      <c r="D150" s="647">
        <v>7.0843993210285721</v>
      </c>
      <c r="E150" s="647">
        <v>0</v>
      </c>
      <c r="F150" s="647">
        <v>532.59587297123869</v>
      </c>
      <c r="G150" s="647">
        <v>305.32815502588045</v>
      </c>
      <c r="H150" s="647">
        <v>0</v>
      </c>
      <c r="I150" s="647">
        <v>0</v>
      </c>
      <c r="J150" s="647">
        <v>95.295180518049435</v>
      </c>
      <c r="K150" s="647">
        <v>1.7501967216132235</v>
      </c>
      <c r="L150" s="647">
        <v>42.74995370923434</v>
      </c>
      <c r="M150" s="647">
        <v>6.2499687377491853</v>
      </c>
      <c r="N150" s="647">
        <v>39.319241851069634</v>
      </c>
      <c r="O150" s="647">
        <v>2.5338661060098264</v>
      </c>
      <c r="P150" s="647">
        <v>436.18192090609881</v>
      </c>
      <c r="Q150" s="647">
        <v>38.312691958272005</v>
      </c>
      <c r="R150" s="647">
        <v>0.39614022827148437</v>
      </c>
      <c r="S150" s="647">
        <v>1507.7975880545155</v>
      </c>
      <c r="U150" s="646" t="s">
        <v>83</v>
      </c>
      <c r="V150" s="647">
        <v>3.885325727516717</v>
      </c>
      <c r="W150" s="647">
        <v>0</v>
      </c>
      <c r="X150" s="647">
        <v>482.31616526294755</v>
      </c>
      <c r="Y150" s="647">
        <v>268.66586745300714</v>
      </c>
      <c r="Z150" s="647">
        <v>0</v>
      </c>
      <c r="AA150" s="647">
        <v>0</v>
      </c>
      <c r="AB150" s="647">
        <v>104.37994837433692</v>
      </c>
      <c r="AC150" s="647">
        <v>5.2658854450197055</v>
      </c>
      <c r="AD150" s="647">
        <v>44.199197969703192</v>
      </c>
      <c r="AE150" s="647">
        <v>14.159090713802485</v>
      </c>
      <c r="AF150" s="647">
        <v>46.941675984424649</v>
      </c>
      <c r="AG150" s="647">
        <v>3.2310484724980664</v>
      </c>
      <c r="AH150" s="647">
        <v>438.0134096738451</v>
      </c>
      <c r="AI150" s="647">
        <v>52.866921943109737</v>
      </c>
      <c r="AJ150" s="647">
        <v>1.2045940076186681</v>
      </c>
      <c r="AK150" s="647">
        <v>1465.1291310278302</v>
      </c>
    </row>
    <row r="151" spans="3:37" ht="13.5">
      <c r="C151" s="641" t="s">
        <v>84</v>
      </c>
      <c r="D151" s="642">
        <v>0</v>
      </c>
      <c r="E151" s="642">
        <v>0</v>
      </c>
      <c r="F151" s="642">
        <v>127.25135409198229</v>
      </c>
      <c r="G151" s="642">
        <v>12.538633041459809</v>
      </c>
      <c r="H151" s="642">
        <v>0</v>
      </c>
      <c r="I151" s="642">
        <v>0</v>
      </c>
      <c r="J151" s="642">
        <v>0</v>
      </c>
      <c r="K151" s="642">
        <v>0</v>
      </c>
      <c r="L151" s="642">
        <v>0</v>
      </c>
      <c r="M151" s="642">
        <v>0</v>
      </c>
      <c r="N151" s="642">
        <v>0</v>
      </c>
      <c r="O151" s="642">
        <v>0</v>
      </c>
      <c r="P151" s="642">
        <v>0</v>
      </c>
      <c r="Q151" s="642">
        <v>0</v>
      </c>
      <c r="R151" s="642">
        <v>0</v>
      </c>
      <c r="S151" s="650">
        <v>139.78998713344208</v>
      </c>
      <c r="U151" s="641" t="s">
        <v>84</v>
      </c>
      <c r="V151" s="642">
        <v>0</v>
      </c>
      <c r="W151" s="642">
        <v>0</v>
      </c>
      <c r="X151" s="642">
        <v>128.77178857297574</v>
      </c>
      <c r="Y151" s="642">
        <v>1.8429610546316848</v>
      </c>
      <c r="Z151" s="642">
        <v>0</v>
      </c>
      <c r="AA151" s="642">
        <v>0</v>
      </c>
      <c r="AB151" s="642">
        <v>0</v>
      </c>
      <c r="AC151" s="642">
        <v>0</v>
      </c>
      <c r="AD151" s="642">
        <v>0.17036074218750002</v>
      </c>
      <c r="AE151" s="642">
        <v>0</v>
      </c>
      <c r="AF151" s="642">
        <v>0</v>
      </c>
      <c r="AG151" s="642">
        <v>0</v>
      </c>
      <c r="AH151" s="642">
        <v>0</v>
      </c>
      <c r="AI151" s="642">
        <v>0</v>
      </c>
      <c r="AJ151" s="642">
        <v>1.1142721901633521</v>
      </c>
      <c r="AK151" s="650">
        <v>131.89938255995827</v>
      </c>
    </row>
    <row r="152" spans="3:37" ht="13.5">
      <c r="C152" s="646" t="s">
        <v>85</v>
      </c>
      <c r="D152" s="647">
        <v>7.0843993210285721</v>
      </c>
      <c r="E152" s="647">
        <v>0</v>
      </c>
      <c r="F152" s="647">
        <v>659.847227063221</v>
      </c>
      <c r="G152" s="647">
        <v>317.86678806734028</v>
      </c>
      <c r="H152" s="647">
        <v>0</v>
      </c>
      <c r="I152" s="647">
        <v>0</v>
      </c>
      <c r="J152" s="647">
        <v>95.295180518049435</v>
      </c>
      <c r="K152" s="647">
        <v>1.7501967216132235</v>
      </c>
      <c r="L152" s="647">
        <v>42.74995370923434</v>
      </c>
      <c r="M152" s="647">
        <v>6.2499687377491853</v>
      </c>
      <c r="N152" s="647">
        <v>39.319241851069634</v>
      </c>
      <c r="O152" s="647">
        <v>2.5338661060098264</v>
      </c>
      <c r="P152" s="647">
        <v>436.18192090609881</v>
      </c>
      <c r="Q152" s="647">
        <v>38.312691958272005</v>
      </c>
      <c r="R152" s="647">
        <v>0.39614022827148437</v>
      </c>
      <c r="S152" s="647">
        <v>1647.5875751879578</v>
      </c>
      <c r="U152" s="646" t="s">
        <v>85</v>
      </c>
      <c r="V152" s="647">
        <v>3.885325727516717</v>
      </c>
      <c r="W152" s="647">
        <v>0</v>
      </c>
      <c r="X152" s="647">
        <v>611.08795383592337</v>
      </c>
      <c r="Y152" s="647">
        <v>270.50882850763884</v>
      </c>
      <c r="Z152" s="647">
        <v>0</v>
      </c>
      <c r="AA152" s="647">
        <v>0</v>
      </c>
      <c r="AB152" s="647">
        <v>104.37994837433692</v>
      </c>
      <c r="AC152" s="647">
        <v>5.2658854450197055</v>
      </c>
      <c r="AD152" s="647">
        <v>44.36955871189069</v>
      </c>
      <c r="AE152" s="647">
        <v>14.159090713802485</v>
      </c>
      <c r="AF152" s="647">
        <v>46.941675984424649</v>
      </c>
      <c r="AG152" s="647">
        <v>3.2310484724980664</v>
      </c>
      <c r="AH152" s="647">
        <v>438.0134096738451</v>
      </c>
      <c r="AI152" s="647">
        <v>52.866921943109737</v>
      </c>
      <c r="AJ152" s="647">
        <v>2.31886619778202</v>
      </c>
      <c r="AK152" s="647">
        <v>1597.0285135877887</v>
      </c>
    </row>
    <row r="153" spans="3:37" ht="13">
      <c r="C153" s="636"/>
      <c r="D153" s="636"/>
      <c r="E153" s="636"/>
      <c r="F153" s="636"/>
      <c r="G153" s="636"/>
      <c r="H153" s="636"/>
      <c r="I153" s="636"/>
      <c r="J153" s="636"/>
      <c r="K153" s="636"/>
      <c r="L153" s="636"/>
      <c r="M153" s="636"/>
      <c r="N153" s="636"/>
      <c r="O153" s="636"/>
      <c r="P153" s="636"/>
      <c r="Q153" s="636"/>
      <c r="R153" s="636"/>
      <c r="S153" s="636"/>
      <c r="U153" s="636"/>
      <c r="V153" s="636"/>
      <c r="W153" s="636"/>
      <c r="X153" s="636"/>
      <c r="Y153" s="636"/>
      <c r="Z153" s="636"/>
      <c r="AA153" s="636"/>
      <c r="AB153" s="636"/>
      <c r="AC153" s="636"/>
      <c r="AD153" s="636"/>
      <c r="AE153" s="636"/>
      <c r="AF153" s="636"/>
      <c r="AG153" s="636"/>
      <c r="AH153" s="636"/>
      <c r="AI153" s="636"/>
      <c r="AJ153" s="636"/>
      <c r="AK153" s="636"/>
    </row>
    <row r="154" spans="3:37" ht="22.5">
      <c r="C154" s="699" t="s">
        <v>359</v>
      </c>
      <c r="D154" s="699"/>
      <c r="E154" s="699"/>
      <c r="F154" s="699"/>
      <c r="G154" s="699"/>
      <c r="H154" s="699"/>
      <c r="I154" s="699"/>
      <c r="J154" s="699"/>
      <c r="K154" s="699"/>
      <c r="L154" s="699"/>
      <c r="M154" s="699"/>
      <c r="N154" s="699"/>
      <c r="O154" s="699"/>
      <c r="P154" s="699"/>
      <c r="Q154" s="699"/>
      <c r="R154" s="699"/>
      <c r="S154" s="699"/>
      <c r="U154" s="699" t="s">
        <v>359</v>
      </c>
      <c r="V154" s="699"/>
      <c r="W154" s="699"/>
      <c r="X154" s="699"/>
      <c r="Y154" s="699"/>
      <c r="Z154" s="699"/>
      <c r="AA154" s="699"/>
      <c r="AB154" s="699"/>
      <c r="AC154" s="699"/>
      <c r="AD154" s="699"/>
      <c r="AE154" s="699"/>
      <c r="AF154" s="699"/>
      <c r="AG154" s="699"/>
      <c r="AH154" s="699"/>
      <c r="AI154" s="699"/>
      <c r="AJ154" s="699"/>
      <c r="AK154" s="699"/>
    </row>
    <row r="155" spans="3:37" ht="13">
      <c r="C155" s="636"/>
      <c r="D155" s="636"/>
      <c r="E155" s="636"/>
      <c r="F155" s="636"/>
      <c r="G155" s="636"/>
      <c r="H155" s="636"/>
      <c r="I155" s="636"/>
      <c r="J155" s="636"/>
      <c r="K155" s="636"/>
      <c r="L155" s="636"/>
      <c r="M155" s="636"/>
      <c r="N155" s="636"/>
      <c r="O155" s="636"/>
      <c r="P155" s="636"/>
      <c r="Q155" s="636"/>
      <c r="R155" s="636"/>
      <c r="S155" s="636"/>
      <c r="U155" s="636"/>
      <c r="V155" s="636"/>
      <c r="W155" s="636"/>
      <c r="X155" s="636"/>
      <c r="Y155" s="636"/>
      <c r="Z155" s="636"/>
      <c r="AA155" s="636"/>
      <c r="AB155" s="636"/>
      <c r="AC155" s="636"/>
      <c r="AD155" s="636"/>
      <c r="AE155" s="636"/>
      <c r="AF155" s="636"/>
      <c r="AG155" s="636"/>
      <c r="AH155" s="636"/>
      <c r="AI155" s="636"/>
      <c r="AJ155" s="636"/>
      <c r="AK155" s="636"/>
    </row>
    <row r="156" spans="3:37" ht="13" customHeight="1">
      <c r="C156" s="700" t="s">
        <v>128</v>
      </c>
      <c r="D156" s="701" t="s">
        <v>42</v>
      </c>
      <c r="E156" s="701" t="s">
        <v>52</v>
      </c>
      <c r="F156" s="701" t="s">
        <v>53</v>
      </c>
      <c r="G156" s="701" t="s">
        <v>32</v>
      </c>
      <c r="H156" s="701" t="s">
        <v>20</v>
      </c>
      <c r="I156" s="701" t="s">
        <v>55</v>
      </c>
      <c r="J156" s="701" t="s">
        <v>56</v>
      </c>
      <c r="K156" s="701"/>
      <c r="L156" s="701"/>
      <c r="M156" s="701"/>
      <c r="N156" s="701"/>
      <c r="O156" s="701"/>
      <c r="P156" s="701" t="s">
        <v>57</v>
      </c>
      <c r="Q156" s="701" t="s">
        <v>58</v>
      </c>
      <c r="R156" s="701" t="s">
        <v>31</v>
      </c>
      <c r="S156" s="701" t="s">
        <v>10</v>
      </c>
      <c r="U156" s="700" t="s">
        <v>128</v>
      </c>
      <c r="V156" s="701" t="s">
        <v>42</v>
      </c>
      <c r="W156" s="701" t="s">
        <v>52</v>
      </c>
      <c r="X156" s="701" t="s">
        <v>53</v>
      </c>
      <c r="Y156" s="701" t="s">
        <v>32</v>
      </c>
      <c r="Z156" s="701" t="s">
        <v>20</v>
      </c>
      <c r="AA156" s="701" t="s">
        <v>55</v>
      </c>
      <c r="AB156" s="701" t="s">
        <v>56</v>
      </c>
      <c r="AC156" s="701"/>
      <c r="AD156" s="701"/>
      <c r="AE156" s="701"/>
      <c r="AF156" s="701"/>
      <c r="AG156" s="701"/>
      <c r="AH156" s="701" t="s">
        <v>57</v>
      </c>
      <c r="AI156" s="701" t="s">
        <v>58</v>
      </c>
      <c r="AJ156" s="701" t="s">
        <v>31</v>
      </c>
      <c r="AK156" s="701" t="s">
        <v>10</v>
      </c>
    </row>
    <row r="157" spans="3:37" ht="46">
      <c r="C157" s="700"/>
      <c r="D157" s="701"/>
      <c r="E157" s="701"/>
      <c r="F157" s="701"/>
      <c r="G157" s="701"/>
      <c r="H157" s="701"/>
      <c r="I157" s="701"/>
      <c r="J157" s="640" t="s">
        <v>338</v>
      </c>
      <c r="K157" s="640" t="s">
        <v>40</v>
      </c>
      <c r="L157" s="640" t="s">
        <v>346</v>
      </c>
      <c r="M157" s="640" t="s">
        <v>347</v>
      </c>
      <c r="N157" s="640" t="s">
        <v>348</v>
      </c>
      <c r="O157" s="640" t="s">
        <v>349</v>
      </c>
      <c r="P157" s="701"/>
      <c r="Q157" s="701"/>
      <c r="R157" s="701"/>
      <c r="S157" s="701"/>
      <c r="U157" s="700"/>
      <c r="V157" s="701"/>
      <c r="W157" s="701"/>
      <c r="X157" s="701"/>
      <c r="Y157" s="701"/>
      <c r="Z157" s="701"/>
      <c r="AA157" s="701"/>
      <c r="AB157" s="640" t="s">
        <v>338</v>
      </c>
      <c r="AC157" s="640" t="s">
        <v>40</v>
      </c>
      <c r="AD157" s="640" t="s">
        <v>346</v>
      </c>
      <c r="AE157" s="640" t="s">
        <v>347</v>
      </c>
      <c r="AF157" s="640" t="s">
        <v>348</v>
      </c>
      <c r="AG157" s="640" t="s">
        <v>349</v>
      </c>
      <c r="AH157" s="701"/>
      <c r="AI157" s="701"/>
      <c r="AJ157" s="701"/>
      <c r="AK157" s="701"/>
    </row>
    <row r="158" spans="3:37" ht="13.5">
      <c r="C158" s="641" t="s">
        <v>59</v>
      </c>
      <c r="D158" s="642">
        <v>0</v>
      </c>
      <c r="E158" s="643">
        <v>9.7691999999999997</v>
      </c>
      <c r="F158" s="643">
        <v>0</v>
      </c>
      <c r="G158" s="642">
        <v>0.18608000000000002</v>
      </c>
      <c r="H158" s="643">
        <v>1190.909090909091</v>
      </c>
      <c r="I158" s="643">
        <v>172.65095069399246</v>
      </c>
      <c r="J158" s="643">
        <v>190.83629555260256</v>
      </c>
      <c r="K158" s="643">
        <v>22.859954043709436</v>
      </c>
      <c r="L158" s="643">
        <v>0.28638238403450345</v>
      </c>
      <c r="M158" s="643">
        <v>0.13461365170799597</v>
      </c>
      <c r="N158" s="643">
        <v>45.31680426782367</v>
      </c>
      <c r="O158" s="643">
        <v>7.2729377495964416</v>
      </c>
      <c r="P158" s="644">
        <v>0</v>
      </c>
      <c r="Q158" s="643">
        <v>0</v>
      </c>
      <c r="R158" s="643">
        <v>0</v>
      </c>
      <c r="S158" s="645">
        <v>1640.222309252558</v>
      </c>
      <c r="U158" s="641" t="s">
        <v>59</v>
      </c>
      <c r="V158" s="642">
        <v>0</v>
      </c>
      <c r="W158" s="643">
        <v>9.7691999999999997</v>
      </c>
      <c r="X158" s="643">
        <v>0</v>
      </c>
      <c r="Y158" s="642">
        <v>0.18608000000000002</v>
      </c>
      <c r="Z158" s="643">
        <v>1083.7741046831957</v>
      </c>
      <c r="AA158" s="643">
        <v>180.88004160308333</v>
      </c>
      <c r="AB158" s="643">
        <v>179.66191601295682</v>
      </c>
      <c r="AC158" s="643">
        <v>35.233025744634077</v>
      </c>
      <c r="AD158" s="643">
        <v>0.28638238403450345</v>
      </c>
      <c r="AE158" s="643">
        <v>0.13461365170799597</v>
      </c>
      <c r="AF158" s="643">
        <v>55.315214066923446</v>
      </c>
      <c r="AG158" s="643">
        <v>11.104217144375802</v>
      </c>
      <c r="AH158" s="644">
        <v>0</v>
      </c>
      <c r="AI158" s="643">
        <v>0</v>
      </c>
      <c r="AJ158" s="643">
        <v>0</v>
      </c>
      <c r="AK158" s="645">
        <v>1556.3447952909116</v>
      </c>
    </row>
    <row r="159" spans="3:37" ht="13.5">
      <c r="C159" s="641" t="s">
        <v>60</v>
      </c>
      <c r="D159" s="642">
        <v>50.272309821560647</v>
      </c>
      <c r="E159" s="643">
        <v>541.69545178681915</v>
      </c>
      <c r="F159" s="643">
        <v>188.86081515186203</v>
      </c>
      <c r="G159" s="642">
        <v>351.61513464214681</v>
      </c>
      <c r="H159" s="643">
        <v>0</v>
      </c>
      <c r="I159" s="643">
        <v>0</v>
      </c>
      <c r="J159" s="643">
        <v>2.7986686910966072</v>
      </c>
      <c r="K159" s="643">
        <v>0</v>
      </c>
      <c r="L159" s="643">
        <v>1.9601939880201746</v>
      </c>
      <c r="M159" s="643">
        <v>0</v>
      </c>
      <c r="N159" s="643">
        <v>0</v>
      </c>
      <c r="O159" s="643">
        <v>0</v>
      </c>
      <c r="P159" s="644">
        <v>0</v>
      </c>
      <c r="Q159" s="643">
        <v>0</v>
      </c>
      <c r="R159" s="643">
        <v>0</v>
      </c>
      <c r="S159" s="645">
        <v>1137.2025740815054</v>
      </c>
      <c r="U159" s="641" t="s">
        <v>60</v>
      </c>
      <c r="V159" s="642">
        <v>19.313313128242111</v>
      </c>
      <c r="W159" s="643">
        <v>439.73434116717101</v>
      </c>
      <c r="X159" s="643">
        <v>187.81160121991923</v>
      </c>
      <c r="Y159" s="642">
        <v>309.5644193276562</v>
      </c>
      <c r="Z159" s="643">
        <v>0</v>
      </c>
      <c r="AA159" s="643">
        <v>0</v>
      </c>
      <c r="AB159" s="643">
        <v>2.7986686910966072</v>
      </c>
      <c r="AC159" s="643">
        <v>0</v>
      </c>
      <c r="AD159" s="643">
        <v>1.9601939880201746</v>
      </c>
      <c r="AE159" s="643">
        <v>0</v>
      </c>
      <c r="AF159" s="643">
        <v>0</v>
      </c>
      <c r="AG159" s="643">
        <v>0</v>
      </c>
      <c r="AH159" s="644">
        <v>0</v>
      </c>
      <c r="AI159" s="643">
        <v>0</v>
      </c>
      <c r="AJ159" s="643">
        <v>0</v>
      </c>
      <c r="AK159" s="645">
        <v>961.18253752210535</v>
      </c>
    </row>
    <row r="160" spans="3:37" ht="13.5">
      <c r="C160" s="641" t="s">
        <v>61</v>
      </c>
      <c r="D160" s="642">
        <v>0</v>
      </c>
      <c r="E160" s="643">
        <v>0</v>
      </c>
      <c r="F160" s="643">
        <v>0</v>
      </c>
      <c r="G160" s="642">
        <v>0</v>
      </c>
      <c r="H160" s="643">
        <v>0</v>
      </c>
      <c r="I160" s="643">
        <v>0</v>
      </c>
      <c r="J160" s="643">
        <v>0</v>
      </c>
      <c r="K160" s="643">
        <v>0</v>
      </c>
      <c r="L160" s="643">
        <v>0</v>
      </c>
      <c r="M160" s="643">
        <v>0</v>
      </c>
      <c r="N160" s="643">
        <v>0</v>
      </c>
      <c r="O160" s="643">
        <v>0</v>
      </c>
      <c r="P160" s="644">
        <v>-71.534753758802367</v>
      </c>
      <c r="Q160" s="643">
        <v>0</v>
      </c>
      <c r="R160" s="643">
        <v>0</v>
      </c>
      <c r="S160" s="645">
        <v>-71.534753758802367</v>
      </c>
      <c r="U160" s="641" t="s">
        <v>61</v>
      </c>
      <c r="V160" s="642">
        <v>0</v>
      </c>
      <c r="W160" s="643">
        <v>0</v>
      </c>
      <c r="X160" s="643">
        <v>0</v>
      </c>
      <c r="Y160" s="642">
        <v>0</v>
      </c>
      <c r="Z160" s="643">
        <v>0</v>
      </c>
      <c r="AA160" s="643">
        <v>0</v>
      </c>
      <c r="AB160" s="643">
        <v>0</v>
      </c>
      <c r="AC160" s="643">
        <v>0</v>
      </c>
      <c r="AD160" s="643">
        <v>0</v>
      </c>
      <c r="AE160" s="643">
        <v>0</v>
      </c>
      <c r="AF160" s="643">
        <v>0</v>
      </c>
      <c r="AG160" s="643">
        <v>0</v>
      </c>
      <c r="AH160" s="644">
        <v>-59.869044369838548</v>
      </c>
      <c r="AI160" s="643">
        <v>0</v>
      </c>
      <c r="AJ160" s="643">
        <v>0</v>
      </c>
      <c r="AK160" s="645">
        <v>-59.869044369838548</v>
      </c>
    </row>
    <row r="161" spans="3:37" ht="13.5">
      <c r="C161" s="641" t="s">
        <v>62</v>
      </c>
      <c r="D161" s="642">
        <v>0</v>
      </c>
      <c r="E161" s="643">
        <v>0</v>
      </c>
      <c r="F161" s="643">
        <v>-17.07041205275393</v>
      </c>
      <c r="G161" s="642">
        <v>0</v>
      </c>
      <c r="H161" s="643">
        <v>0</v>
      </c>
      <c r="I161" s="643">
        <v>0</v>
      </c>
      <c r="J161" s="643">
        <v>0</v>
      </c>
      <c r="K161" s="643">
        <v>0</v>
      </c>
      <c r="L161" s="643">
        <v>0</v>
      </c>
      <c r="M161" s="643">
        <v>0</v>
      </c>
      <c r="N161" s="643">
        <v>0</v>
      </c>
      <c r="O161" s="643">
        <v>0</v>
      </c>
      <c r="P161" s="644">
        <v>0</v>
      </c>
      <c r="Q161" s="643">
        <v>0</v>
      </c>
      <c r="R161" s="643">
        <v>0</v>
      </c>
      <c r="S161" s="645">
        <v>-17.07041205275393</v>
      </c>
      <c r="U161" s="641" t="s">
        <v>62</v>
      </c>
      <c r="V161" s="642">
        <v>0</v>
      </c>
      <c r="W161" s="643">
        <v>0</v>
      </c>
      <c r="X161" s="643">
        <v>-16.843089298461354</v>
      </c>
      <c r="Y161" s="642">
        <v>-3.370970564953437E-2</v>
      </c>
      <c r="Z161" s="643">
        <v>0</v>
      </c>
      <c r="AA161" s="643">
        <v>0</v>
      </c>
      <c r="AB161" s="643">
        <v>0</v>
      </c>
      <c r="AC161" s="643">
        <v>0</v>
      </c>
      <c r="AD161" s="643">
        <v>0</v>
      </c>
      <c r="AE161" s="643">
        <v>-3.7455228499482631E-3</v>
      </c>
      <c r="AF161" s="643">
        <v>0</v>
      </c>
      <c r="AG161" s="643">
        <v>0</v>
      </c>
      <c r="AH161" s="644">
        <v>0</v>
      </c>
      <c r="AI161" s="643">
        <v>0</v>
      </c>
      <c r="AJ161" s="643">
        <v>0</v>
      </c>
      <c r="AK161" s="645">
        <v>-16.880544526960836</v>
      </c>
    </row>
    <row r="162" spans="3:37" ht="13.5">
      <c r="C162" s="641" t="s">
        <v>63</v>
      </c>
      <c r="D162" s="642">
        <v>0</v>
      </c>
      <c r="E162" s="643">
        <v>0</v>
      </c>
      <c r="F162" s="643">
        <v>-79.881990921256516</v>
      </c>
      <c r="G162" s="642">
        <v>0</v>
      </c>
      <c r="H162" s="643">
        <v>0</v>
      </c>
      <c r="I162" s="643">
        <v>0</v>
      </c>
      <c r="J162" s="643">
        <v>0</v>
      </c>
      <c r="K162" s="643">
        <v>0</v>
      </c>
      <c r="L162" s="643">
        <v>-0.82615205603276265</v>
      </c>
      <c r="M162" s="643">
        <v>0</v>
      </c>
      <c r="N162" s="643">
        <v>0</v>
      </c>
      <c r="O162" s="643">
        <v>0</v>
      </c>
      <c r="P162" s="644">
        <v>0</v>
      </c>
      <c r="Q162" s="643">
        <v>0</v>
      </c>
      <c r="R162" s="643">
        <v>0</v>
      </c>
      <c r="S162" s="645">
        <v>-80.708142977289285</v>
      </c>
      <c r="U162" s="641" t="s">
        <v>63</v>
      </c>
      <c r="V162" s="642">
        <v>0</v>
      </c>
      <c r="W162" s="643">
        <v>0</v>
      </c>
      <c r="X162" s="643">
        <v>-78.255878538705957</v>
      </c>
      <c r="Y162" s="642">
        <v>0</v>
      </c>
      <c r="Z162" s="643">
        <v>0</v>
      </c>
      <c r="AA162" s="643">
        <v>0</v>
      </c>
      <c r="AB162" s="643">
        <v>0</v>
      </c>
      <c r="AC162" s="643">
        <v>0</v>
      </c>
      <c r="AD162" s="643">
        <v>-2.9528968014026442</v>
      </c>
      <c r="AE162" s="643">
        <v>0</v>
      </c>
      <c r="AF162" s="643">
        <v>0</v>
      </c>
      <c r="AG162" s="643">
        <v>0</v>
      </c>
      <c r="AH162" s="644">
        <v>0</v>
      </c>
      <c r="AI162" s="643">
        <v>0</v>
      </c>
      <c r="AJ162" s="643">
        <v>0</v>
      </c>
      <c r="AK162" s="645">
        <v>-81.208775340108602</v>
      </c>
    </row>
    <row r="163" spans="3:37" ht="13.5">
      <c r="C163" s="641" t="s">
        <v>64</v>
      </c>
      <c r="D163" s="642">
        <v>0</v>
      </c>
      <c r="E163" s="643">
        <v>0</v>
      </c>
      <c r="F163" s="643">
        <v>0</v>
      </c>
      <c r="G163" s="642">
        <v>0</v>
      </c>
      <c r="H163" s="643">
        <v>0</v>
      </c>
      <c r="I163" s="643">
        <v>0</v>
      </c>
      <c r="J163" s="643">
        <v>0</v>
      </c>
      <c r="K163" s="643">
        <v>0</v>
      </c>
      <c r="L163" s="643">
        <v>0</v>
      </c>
      <c r="M163" s="643">
        <v>0</v>
      </c>
      <c r="N163" s="643">
        <v>0</v>
      </c>
      <c r="O163" s="643">
        <v>0</v>
      </c>
      <c r="P163" s="644">
        <v>0</v>
      </c>
      <c r="Q163" s="643">
        <v>0</v>
      </c>
      <c r="R163" s="643">
        <v>0</v>
      </c>
      <c r="S163" s="645">
        <v>0</v>
      </c>
      <c r="U163" s="641" t="s">
        <v>64</v>
      </c>
      <c r="V163" s="642">
        <v>0</v>
      </c>
      <c r="W163" s="643">
        <v>0</v>
      </c>
      <c r="X163" s="643">
        <v>0</v>
      </c>
      <c r="Y163" s="642">
        <v>0</v>
      </c>
      <c r="Z163" s="643">
        <v>0</v>
      </c>
      <c r="AA163" s="643">
        <v>0</v>
      </c>
      <c r="AB163" s="643">
        <v>0</v>
      </c>
      <c r="AC163" s="643">
        <v>0</v>
      </c>
      <c r="AD163" s="643">
        <v>0</v>
      </c>
      <c r="AE163" s="643">
        <v>0</v>
      </c>
      <c r="AF163" s="643">
        <v>0</v>
      </c>
      <c r="AG163" s="643">
        <v>0</v>
      </c>
      <c r="AH163" s="644">
        <v>0</v>
      </c>
      <c r="AI163" s="643">
        <v>0</v>
      </c>
      <c r="AJ163" s="643">
        <v>0</v>
      </c>
      <c r="AK163" s="645">
        <v>0</v>
      </c>
    </row>
    <row r="164" spans="3:37" ht="13.5">
      <c r="C164" s="646" t="s">
        <v>65</v>
      </c>
      <c r="D164" s="647">
        <v>50.272309821560647</v>
      </c>
      <c r="E164" s="647">
        <v>551.4646517868191</v>
      </c>
      <c r="F164" s="647">
        <v>91.908412177851574</v>
      </c>
      <c r="G164" s="647">
        <v>351.80121464214682</v>
      </c>
      <c r="H164" s="647">
        <v>1190.909090909091</v>
      </c>
      <c r="I164" s="647">
        <v>172.65095069399246</v>
      </c>
      <c r="J164" s="647">
        <v>193.63496424369919</v>
      </c>
      <c r="K164" s="647">
        <v>22.859954043709436</v>
      </c>
      <c r="L164" s="647">
        <v>1.4204243160219152</v>
      </c>
      <c r="M164" s="647">
        <v>0.13461365170799597</v>
      </c>
      <c r="N164" s="647">
        <v>45.31680426782367</v>
      </c>
      <c r="O164" s="647">
        <v>7.2729377495964416</v>
      </c>
      <c r="P164" s="647">
        <v>-71.534753758802367</v>
      </c>
      <c r="Q164" s="647">
        <v>0</v>
      </c>
      <c r="R164" s="647">
        <v>0</v>
      </c>
      <c r="S164" s="647">
        <v>2608.111574545218</v>
      </c>
      <c r="U164" s="646" t="s">
        <v>65</v>
      </c>
      <c r="V164" s="647">
        <v>19.313313128242111</v>
      </c>
      <c r="W164" s="647">
        <v>449.50354116717102</v>
      </c>
      <c r="X164" s="647">
        <v>92.712633382751903</v>
      </c>
      <c r="Y164" s="647">
        <v>309.71678962200667</v>
      </c>
      <c r="Z164" s="647">
        <v>1083.7741046831957</v>
      </c>
      <c r="AA164" s="647">
        <v>180.88004160308333</v>
      </c>
      <c r="AB164" s="647">
        <v>182.46058470405345</v>
      </c>
      <c r="AC164" s="647">
        <v>35.233025744634077</v>
      </c>
      <c r="AD164" s="647">
        <v>-0.70632042934796635</v>
      </c>
      <c r="AE164" s="647">
        <v>0.13086812885804772</v>
      </c>
      <c r="AF164" s="647">
        <v>55.315214066923446</v>
      </c>
      <c r="AG164" s="647">
        <v>11.104217144375802</v>
      </c>
      <c r="AH164" s="647">
        <v>-59.869044369838548</v>
      </c>
      <c r="AI164" s="647">
        <v>0</v>
      </c>
      <c r="AJ164" s="647">
        <v>0</v>
      </c>
      <c r="AK164" s="647">
        <v>2359.5689685761085</v>
      </c>
    </row>
    <row r="165" spans="3:37" ht="13">
      <c r="C165" s="636"/>
      <c r="D165" s="636">
        <v>0</v>
      </c>
      <c r="E165" s="636">
        <v>0</v>
      </c>
      <c r="F165" s="636">
        <v>0</v>
      </c>
      <c r="G165" s="636">
        <v>0</v>
      </c>
      <c r="H165" s="636">
        <v>0</v>
      </c>
      <c r="I165" s="636">
        <v>0</v>
      </c>
      <c r="J165" s="636">
        <v>0</v>
      </c>
      <c r="K165" s="636">
        <v>0</v>
      </c>
      <c r="L165" s="636">
        <v>0</v>
      </c>
      <c r="M165" s="636">
        <v>0</v>
      </c>
      <c r="N165" s="636">
        <v>0</v>
      </c>
      <c r="O165" s="636">
        <v>0</v>
      </c>
      <c r="P165" s="636">
        <v>0</v>
      </c>
      <c r="Q165" s="636">
        <v>0</v>
      </c>
      <c r="R165" s="636">
        <v>0</v>
      </c>
      <c r="S165" s="636">
        <v>0</v>
      </c>
      <c r="U165" s="636"/>
      <c r="V165" s="636">
        <v>0</v>
      </c>
      <c r="W165" s="636">
        <v>0</v>
      </c>
      <c r="X165" s="636">
        <v>0</v>
      </c>
      <c r="Y165" s="636">
        <v>0</v>
      </c>
      <c r="Z165" s="636">
        <v>0</v>
      </c>
      <c r="AA165" s="636">
        <v>0</v>
      </c>
      <c r="AB165" s="636">
        <v>0</v>
      </c>
      <c r="AC165" s="636">
        <v>0</v>
      </c>
      <c r="AD165" s="636">
        <v>0</v>
      </c>
      <c r="AE165" s="636">
        <v>0</v>
      </c>
      <c r="AF165" s="636">
        <v>0</v>
      </c>
      <c r="AG165" s="636">
        <v>0</v>
      </c>
      <c r="AH165" s="636">
        <v>0</v>
      </c>
      <c r="AI165" s="636">
        <v>0</v>
      </c>
      <c r="AJ165" s="636">
        <v>0</v>
      </c>
      <c r="AK165" s="636">
        <v>0</v>
      </c>
    </row>
    <row r="166" spans="3:37" ht="13.5">
      <c r="C166" s="648" t="s">
        <v>67</v>
      </c>
      <c r="D166" s="642">
        <v>0</v>
      </c>
      <c r="E166" s="649">
        <v>0</v>
      </c>
      <c r="F166" s="649">
        <v>0</v>
      </c>
      <c r="G166" s="642">
        <v>0</v>
      </c>
      <c r="H166" s="642">
        <v>0</v>
      </c>
      <c r="I166" s="642">
        <v>0</v>
      </c>
      <c r="J166" s="642">
        <v>0</v>
      </c>
      <c r="K166" s="642">
        <v>0</v>
      </c>
      <c r="L166" s="642">
        <v>0</v>
      </c>
      <c r="M166" s="642">
        <v>0</v>
      </c>
      <c r="N166" s="642">
        <v>0</v>
      </c>
      <c r="O166" s="642">
        <v>0</v>
      </c>
      <c r="P166" s="642">
        <v>0</v>
      </c>
      <c r="Q166" s="642">
        <v>0</v>
      </c>
      <c r="R166" s="642">
        <v>0</v>
      </c>
      <c r="S166" s="650">
        <v>0</v>
      </c>
      <c r="U166" s="648" t="s">
        <v>67</v>
      </c>
      <c r="V166" s="642">
        <v>0</v>
      </c>
      <c r="W166" s="649">
        <v>0</v>
      </c>
      <c r="X166" s="649">
        <v>0</v>
      </c>
      <c r="Y166" s="642">
        <v>0</v>
      </c>
      <c r="Z166" s="642">
        <v>0</v>
      </c>
      <c r="AA166" s="642">
        <v>0</v>
      </c>
      <c r="AB166" s="642">
        <v>0</v>
      </c>
      <c r="AC166" s="642">
        <v>0</v>
      </c>
      <c r="AD166" s="642">
        <v>0</v>
      </c>
      <c r="AE166" s="642">
        <v>0</v>
      </c>
      <c r="AF166" s="642">
        <v>0</v>
      </c>
      <c r="AG166" s="642">
        <v>0</v>
      </c>
      <c r="AH166" s="642">
        <v>0</v>
      </c>
      <c r="AI166" s="642">
        <v>0</v>
      </c>
      <c r="AJ166" s="642">
        <v>0</v>
      </c>
      <c r="AK166" s="650">
        <v>0</v>
      </c>
    </row>
    <row r="167" spans="3:37" ht="13.5">
      <c r="C167" s="648" t="s">
        <v>350</v>
      </c>
      <c r="D167" s="642">
        <v>2.8283781870338589</v>
      </c>
      <c r="E167" s="642">
        <v>0</v>
      </c>
      <c r="F167" s="642">
        <v>7.6468438736280877</v>
      </c>
      <c r="G167" s="642">
        <v>18.081180811808117</v>
      </c>
      <c r="H167" s="642">
        <v>1190.909090909091</v>
      </c>
      <c r="I167" s="642">
        <v>172.65095069399246</v>
      </c>
      <c r="J167" s="651">
        <v>32.565743560582284</v>
      </c>
      <c r="K167" s="651">
        <v>8.5008344637363535</v>
      </c>
      <c r="L167" s="651">
        <v>2.2465763720546779</v>
      </c>
      <c r="M167" s="651">
        <v>0.47195886872926307</v>
      </c>
      <c r="N167" s="651">
        <v>0</v>
      </c>
      <c r="O167" s="651">
        <v>2.2844574579320316</v>
      </c>
      <c r="P167" s="642">
        <v>-595.37716565950768</v>
      </c>
      <c r="Q167" s="642">
        <v>0</v>
      </c>
      <c r="R167" s="642">
        <v>0</v>
      </c>
      <c r="S167" s="650">
        <v>842.80884953908037</v>
      </c>
      <c r="U167" s="648" t="s">
        <v>350</v>
      </c>
      <c r="V167" s="642">
        <v>1.5423887961183378</v>
      </c>
      <c r="W167" s="642">
        <v>0</v>
      </c>
      <c r="X167" s="642">
        <v>4.7336207331322191</v>
      </c>
      <c r="Y167" s="642">
        <v>50.521301576652128</v>
      </c>
      <c r="Z167" s="642">
        <v>1083.7741046831957</v>
      </c>
      <c r="AA167" s="642">
        <v>180.88004160308333</v>
      </c>
      <c r="AB167" s="651">
        <v>27.309071851402241</v>
      </c>
      <c r="AC167" s="651">
        <v>8.3886793509275197</v>
      </c>
      <c r="AD167" s="651">
        <v>2.2465763720546779</v>
      </c>
      <c r="AE167" s="651">
        <v>4.4961118375316795</v>
      </c>
      <c r="AF167" s="651">
        <v>0</v>
      </c>
      <c r="AG167" s="651">
        <v>2.2844574579320316</v>
      </c>
      <c r="AH167" s="642">
        <v>-585.94262020496217</v>
      </c>
      <c r="AI167" s="642">
        <v>0</v>
      </c>
      <c r="AJ167" s="642">
        <v>0</v>
      </c>
      <c r="AK167" s="650">
        <v>780.23373405706764</v>
      </c>
    </row>
    <row r="168" spans="3:37" ht="13.5">
      <c r="C168" s="648" t="s">
        <v>351</v>
      </c>
      <c r="D168" s="642">
        <v>4.9396474947490832E-2</v>
      </c>
      <c r="E168" s="642">
        <v>0</v>
      </c>
      <c r="F168" s="642">
        <v>0</v>
      </c>
      <c r="G168" s="642">
        <v>16.012530383781044</v>
      </c>
      <c r="H168" s="642">
        <v>0</v>
      </c>
      <c r="I168" s="642">
        <v>0</v>
      </c>
      <c r="J168" s="651">
        <v>13.847709445189022</v>
      </c>
      <c r="K168" s="651">
        <v>12.568399079785937</v>
      </c>
      <c r="L168" s="651">
        <v>0</v>
      </c>
      <c r="M168" s="651">
        <v>0.33966953640978992</v>
      </c>
      <c r="N168" s="651">
        <v>0</v>
      </c>
      <c r="O168" s="651">
        <v>2.2653429264336893</v>
      </c>
      <c r="P168" s="642">
        <v>0</v>
      </c>
      <c r="Q168" s="642">
        <v>-40.328896494092007</v>
      </c>
      <c r="R168" s="642">
        <v>0</v>
      </c>
      <c r="S168" s="650">
        <v>4.7541513524549677</v>
      </c>
      <c r="U168" s="648" t="s">
        <v>351</v>
      </c>
      <c r="V168" s="642">
        <v>9.8298985145506765E-2</v>
      </c>
      <c r="W168" s="642">
        <v>0</v>
      </c>
      <c r="X168" s="642">
        <v>0</v>
      </c>
      <c r="Y168" s="642">
        <v>18.159328264867909</v>
      </c>
      <c r="Z168" s="642">
        <v>0</v>
      </c>
      <c r="AA168" s="642">
        <v>0</v>
      </c>
      <c r="AB168" s="651">
        <v>24.238794590159831</v>
      </c>
      <c r="AC168" s="651">
        <v>21.035165918687227</v>
      </c>
      <c r="AD168" s="651">
        <v>0</v>
      </c>
      <c r="AE168" s="651">
        <v>1.5919552250789037</v>
      </c>
      <c r="AF168" s="651">
        <v>0</v>
      </c>
      <c r="AG168" s="651">
        <v>4.9326813925495161</v>
      </c>
      <c r="AH168" s="642">
        <v>0</v>
      </c>
      <c r="AI168" s="642">
        <v>-63.058158381408973</v>
      </c>
      <c r="AJ168" s="642">
        <v>0</v>
      </c>
      <c r="AK168" s="650">
        <v>6.9980659950799184</v>
      </c>
    </row>
    <row r="169" spans="3:37" ht="13.5">
      <c r="C169" s="648" t="s">
        <v>352</v>
      </c>
      <c r="D169" s="642">
        <v>0</v>
      </c>
      <c r="E169" s="642">
        <v>0</v>
      </c>
      <c r="F169" s="642">
        <v>0</v>
      </c>
      <c r="G169" s="642">
        <v>0</v>
      </c>
      <c r="H169" s="642">
        <v>0</v>
      </c>
      <c r="I169" s="642">
        <v>0</v>
      </c>
      <c r="J169" s="652">
        <v>7.7702715936307092</v>
      </c>
      <c r="K169" s="652">
        <v>0</v>
      </c>
      <c r="L169" s="652">
        <v>0</v>
      </c>
      <c r="M169" s="652">
        <v>-6.9252545578233695</v>
      </c>
      <c r="N169" s="652">
        <v>0</v>
      </c>
      <c r="O169" s="652">
        <v>0</v>
      </c>
      <c r="P169" s="642">
        <v>0</v>
      </c>
      <c r="Q169" s="642">
        <v>0</v>
      </c>
      <c r="R169" s="642">
        <v>0</v>
      </c>
      <c r="S169" s="650">
        <v>0.84501703580733967</v>
      </c>
      <c r="U169" s="648" t="s">
        <v>352</v>
      </c>
      <c r="V169" s="642">
        <v>0</v>
      </c>
      <c r="W169" s="642">
        <v>0</v>
      </c>
      <c r="X169" s="642">
        <v>0</v>
      </c>
      <c r="Y169" s="642">
        <v>0</v>
      </c>
      <c r="Z169" s="642">
        <v>0</v>
      </c>
      <c r="AA169" s="642">
        <v>0</v>
      </c>
      <c r="AB169" s="652">
        <v>30.043092797136723</v>
      </c>
      <c r="AC169" s="652">
        <v>0</v>
      </c>
      <c r="AD169" s="652">
        <v>0</v>
      </c>
      <c r="AE169" s="652">
        <v>-26.775906455448105</v>
      </c>
      <c r="AF169" s="652">
        <v>0</v>
      </c>
      <c r="AG169" s="652">
        <v>0</v>
      </c>
      <c r="AH169" s="642">
        <v>0</v>
      </c>
      <c r="AI169" s="642">
        <v>0</v>
      </c>
      <c r="AJ169" s="642">
        <v>0</v>
      </c>
      <c r="AK169" s="650">
        <v>3.2671863416886175</v>
      </c>
    </row>
    <row r="170" spans="3:37" ht="13.5">
      <c r="C170" s="648" t="s">
        <v>353</v>
      </c>
      <c r="D170" s="642">
        <v>0</v>
      </c>
      <c r="E170" s="642">
        <v>0</v>
      </c>
      <c r="F170" s="642">
        <v>0</v>
      </c>
      <c r="G170" s="642">
        <v>0</v>
      </c>
      <c r="H170" s="642">
        <v>0</v>
      </c>
      <c r="I170" s="642">
        <v>0</v>
      </c>
      <c r="J170" s="642">
        <v>0</v>
      </c>
      <c r="K170" s="642">
        <v>0</v>
      </c>
      <c r="L170" s="642">
        <v>0</v>
      </c>
      <c r="M170" s="642">
        <v>0</v>
      </c>
      <c r="N170" s="642">
        <v>0</v>
      </c>
      <c r="O170" s="642">
        <v>0</v>
      </c>
      <c r="P170" s="642">
        <v>0</v>
      </c>
      <c r="Q170" s="642">
        <v>0</v>
      </c>
      <c r="R170" s="642">
        <v>0</v>
      </c>
      <c r="S170" s="650">
        <v>0</v>
      </c>
      <c r="U170" s="648" t="s">
        <v>353</v>
      </c>
      <c r="V170" s="642">
        <v>0</v>
      </c>
      <c r="W170" s="642">
        <v>0</v>
      </c>
      <c r="X170" s="642">
        <v>0</v>
      </c>
      <c r="Y170" s="642">
        <v>0</v>
      </c>
      <c r="Z170" s="642">
        <v>0</v>
      </c>
      <c r="AA170" s="642">
        <v>0</v>
      </c>
      <c r="AB170" s="642">
        <v>0</v>
      </c>
      <c r="AC170" s="642">
        <v>0</v>
      </c>
      <c r="AD170" s="642">
        <v>0</v>
      </c>
      <c r="AE170" s="642">
        <v>0</v>
      </c>
      <c r="AF170" s="642">
        <v>0</v>
      </c>
      <c r="AG170" s="642">
        <v>0</v>
      </c>
      <c r="AH170" s="642">
        <v>0</v>
      </c>
      <c r="AI170" s="642">
        <v>0</v>
      </c>
      <c r="AJ170" s="642">
        <v>0</v>
      </c>
      <c r="AK170" s="650">
        <v>0</v>
      </c>
    </row>
    <row r="171" spans="3:37" ht="13.5">
      <c r="C171" s="648" t="s">
        <v>72</v>
      </c>
      <c r="D171" s="642">
        <v>0</v>
      </c>
      <c r="E171" s="642">
        <v>571.25876810153738</v>
      </c>
      <c r="F171" s="642">
        <v>-565.54618042052198</v>
      </c>
      <c r="G171" s="642">
        <v>0</v>
      </c>
      <c r="H171" s="642">
        <v>0</v>
      </c>
      <c r="I171" s="642">
        <v>0</v>
      </c>
      <c r="J171" s="642">
        <v>0</v>
      </c>
      <c r="K171" s="642">
        <v>0</v>
      </c>
      <c r="L171" s="642">
        <v>0</v>
      </c>
      <c r="M171" s="642">
        <v>0</v>
      </c>
      <c r="N171" s="642">
        <v>0</v>
      </c>
      <c r="O171" s="642">
        <v>0</v>
      </c>
      <c r="P171" s="642">
        <v>0</v>
      </c>
      <c r="Q171" s="642">
        <v>0</v>
      </c>
      <c r="R171" s="642">
        <v>0</v>
      </c>
      <c r="S171" s="650">
        <v>5.7125876810154068</v>
      </c>
      <c r="U171" s="648" t="s">
        <v>72</v>
      </c>
      <c r="V171" s="642">
        <v>0</v>
      </c>
      <c r="W171" s="642">
        <v>465.63789420124414</v>
      </c>
      <c r="X171" s="642">
        <v>-460.98151525923168</v>
      </c>
      <c r="Y171" s="642">
        <v>0</v>
      </c>
      <c r="Z171" s="642">
        <v>0</v>
      </c>
      <c r="AA171" s="642">
        <v>0</v>
      </c>
      <c r="AB171" s="642">
        <v>0</v>
      </c>
      <c r="AC171" s="642">
        <v>0</v>
      </c>
      <c r="AD171" s="642">
        <v>0</v>
      </c>
      <c r="AE171" s="642">
        <v>0</v>
      </c>
      <c r="AF171" s="642">
        <v>0</v>
      </c>
      <c r="AG171" s="642">
        <v>0</v>
      </c>
      <c r="AH171" s="642">
        <v>0</v>
      </c>
      <c r="AI171" s="642">
        <v>0</v>
      </c>
      <c r="AJ171" s="642">
        <v>0</v>
      </c>
      <c r="AK171" s="650">
        <v>4.6563789420124522</v>
      </c>
    </row>
    <row r="172" spans="3:37" ht="13.5">
      <c r="C172" s="648" t="s">
        <v>354</v>
      </c>
      <c r="D172" s="642">
        <v>0</v>
      </c>
      <c r="E172" s="642">
        <v>0</v>
      </c>
      <c r="F172" s="642">
        <v>0</v>
      </c>
      <c r="G172" s="642">
        <v>0</v>
      </c>
      <c r="H172" s="642">
        <v>0</v>
      </c>
      <c r="I172" s="642">
        <v>0</v>
      </c>
      <c r="J172" s="642">
        <v>39.987714904046477</v>
      </c>
      <c r="K172" s="642">
        <v>0</v>
      </c>
      <c r="L172" s="642">
        <v>-39.987714904046477</v>
      </c>
      <c r="M172" s="642">
        <v>0</v>
      </c>
      <c r="N172" s="642">
        <v>0</v>
      </c>
      <c r="O172" s="642">
        <v>0</v>
      </c>
      <c r="P172" s="642">
        <v>0</v>
      </c>
      <c r="Q172" s="642">
        <v>0</v>
      </c>
      <c r="R172" s="642">
        <v>0</v>
      </c>
      <c r="S172" s="650">
        <v>0</v>
      </c>
      <c r="U172" s="648" t="s">
        <v>354</v>
      </c>
      <c r="V172" s="642">
        <v>0</v>
      </c>
      <c r="W172" s="642">
        <v>0</v>
      </c>
      <c r="X172" s="642">
        <v>0</v>
      </c>
      <c r="Y172" s="642">
        <v>0</v>
      </c>
      <c r="Z172" s="642">
        <v>0</v>
      </c>
      <c r="AA172" s="642">
        <v>0</v>
      </c>
      <c r="AB172" s="642" t="e">
        <v>#VALUE!</v>
      </c>
      <c r="AC172" s="642">
        <v>0</v>
      </c>
      <c r="AD172" s="642">
        <v>-45.567606807542596</v>
      </c>
      <c r="AE172" s="642">
        <v>0</v>
      </c>
      <c r="AF172" s="642">
        <v>0</v>
      </c>
      <c r="AG172" s="642">
        <v>0</v>
      </c>
      <c r="AH172" s="642">
        <v>0</v>
      </c>
      <c r="AI172" s="642">
        <v>0</v>
      </c>
      <c r="AJ172" s="642">
        <v>0</v>
      </c>
      <c r="AK172" s="650">
        <v>-45.567606807542596</v>
      </c>
    </row>
    <row r="173" spans="3:37" ht="13.5">
      <c r="C173" s="648" t="s">
        <v>355</v>
      </c>
      <c r="D173" s="642">
        <v>0</v>
      </c>
      <c r="E173" s="642">
        <v>0</v>
      </c>
      <c r="F173" s="642">
        <v>0</v>
      </c>
      <c r="G173" s="642">
        <v>0</v>
      </c>
      <c r="H173" s="642">
        <v>0</v>
      </c>
      <c r="I173" s="642">
        <v>0</v>
      </c>
      <c r="J173" s="642">
        <v>0</v>
      </c>
      <c r="K173" s="642">
        <v>0</v>
      </c>
      <c r="L173" s="642">
        <v>0</v>
      </c>
      <c r="M173" s="642">
        <v>0</v>
      </c>
      <c r="N173" s="642">
        <v>0</v>
      </c>
      <c r="O173" s="642">
        <v>0</v>
      </c>
      <c r="P173" s="642">
        <v>0</v>
      </c>
      <c r="Q173" s="642">
        <v>0</v>
      </c>
      <c r="R173" s="642">
        <v>0</v>
      </c>
      <c r="S173" s="650">
        <v>0</v>
      </c>
      <c r="U173" s="648" t="s">
        <v>355</v>
      </c>
      <c r="V173" s="642">
        <v>0</v>
      </c>
      <c r="W173" s="642">
        <v>0</v>
      </c>
      <c r="X173" s="642">
        <v>0</v>
      </c>
      <c r="Y173" s="642">
        <v>0</v>
      </c>
      <c r="Z173" s="642">
        <v>0</v>
      </c>
      <c r="AA173" s="642">
        <v>0</v>
      </c>
      <c r="AB173" s="642">
        <v>0</v>
      </c>
      <c r="AC173" s="642">
        <v>0</v>
      </c>
      <c r="AD173" s="642">
        <v>-3.4570377590144092</v>
      </c>
      <c r="AE173" s="642">
        <v>0</v>
      </c>
      <c r="AF173" s="642">
        <v>0</v>
      </c>
      <c r="AG173" s="642">
        <v>0</v>
      </c>
      <c r="AH173" s="642">
        <v>0</v>
      </c>
      <c r="AI173" s="642">
        <v>0</v>
      </c>
      <c r="AJ173" s="642">
        <v>0</v>
      </c>
      <c r="AK173" s="650">
        <v>-3.4570377590144092</v>
      </c>
    </row>
    <row r="174" spans="3:37" ht="13.5">
      <c r="C174" s="648" t="s">
        <v>73</v>
      </c>
      <c r="D174" s="642">
        <v>0</v>
      </c>
      <c r="E174" s="642">
        <v>0</v>
      </c>
      <c r="F174" s="642">
        <v>0</v>
      </c>
      <c r="G174" s="642">
        <v>0.75220280486673308</v>
      </c>
      <c r="H174" s="642">
        <v>0</v>
      </c>
      <c r="I174" s="642">
        <v>0</v>
      </c>
      <c r="J174" s="642">
        <v>0</v>
      </c>
      <c r="K174" s="642">
        <v>8.3794091977846576E-3</v>
      </c>
      <c r="L174" s="642">
        <v>0</v>
      </c>
      <c r="M174" s="642">
        <v>1.5351077650341492E-2</v>
      </c>
      <c r="N174" s="642">
        <v>0</v>
      </c>
      <c r="O174" s="642">
        <v>0</v>
      </c>
      <c r="P174" s="642">
        <v>6.6777445606960792E-2</v>
      </c>
      <c r="Q174" s="642">
        <v>0</v>
      </c>
      <c r="R174" s="642">
        <v>-0.58655864384492595</v>
      </c>
      <c r="S174" s="650">
        <v>0.25615209347689405</v>
      </c>
      <c r="U174" s="648" t="s">
        <v>73</v>
      </c>
      <c r="V174" s="642">
        <v>0</v>
      </c>
      <c r="W174" s="642">
        <v>0</v>
      </c>
      <c r="X174" s="642">
        <v>0</v>
      </c>
      <c r="Y174" s="642">
        <v>3.5795956147675603</v>
      </c>
      <c r="Z174" s="642">
        <v>0</v>
      </c>
      <c r="AA174" s="642">
        <v>0</v>
      </c>
      <c r="AB174" s="642">
        <v>0</v>
      </c>
      <c r="AC174" s="642">
        <v>7.7817295973207842E-2</v>
      </c>
      <c r="AD174" s="642">
        <v>0</v>
      </c>
      <c r="AE174" s="642">
        <v>0.31126918389283142</v>
      </c>
      <c r="AF174" s="642">
        <v>0</v>
      </c>
      <c r="AG174" s="642">
        <v>0</v>
      </c>
      <c r="AH174" s="642">
        <v>4.1063588490477363</v>
      </c>
      <c r="AI174" s="642">
        <v>0</v>
      </c>
      <c r="AJ174" s="642">
        <v>-5.4472107181245484</v>
      </c>
      <c r="AK174" s="650">
        <v>2.6278302255567869</v>
      </c>
    </row>
    <row r="175" spans="3:37" ht="13.5">
      <c r="C175" s="648" t="s">
        <v>356</v>
      </c>
      <c r="D175" s="642">
        <v>29.279348437500001</v>
      </c>
      <c r="E175" s="642">
        <v>-19.79411631471827</v>
      </c>
      <c r="F175" s="642">
        <v>25.889534996151326</v>
      </c>
      <c r="G175" s="642">
        <v>0</v>
      </c>
      <c r="H175" s="642">
        <v>0</v>
      </c>
      <c r="I175" s="642">
        <v>0</v>
      </c>
      <c r="J175" s="642">
        <v>0</v>
      </c>
      <c r="K175" s="642">
        <v>0</v>
      </c>
      <c r="L175" s="642">
        <v>0</v>
      </c>
      <c r="M175" s="642">
        <v>0</v>
      </c>
      <c r="N175" s="642">
        <v>0</v>
      </c>
      <c r="O175" s="642">
        <v>0</v>
      </c>
      <c r="P175" s="642">
        <v>0</v>
      </c>
      <c r="Q175" s="642">
        <v>0</v>
      </c>
      <c r="R175" s="642">
        <v>0</v>
      </c>
      <c r="S175" s="650">
        <v>35.374767118933057</v>
      </c>
      <c r="U175" s="648" t="s">
        <v>356</v>
      </c>
      <c r="V175" s="642">
        <v>8.1420534667968738</v>
      </c>
      <c r="W175" s="642">
        <v>-16.134353034073111</v>
      </c>
      <c r="X175" s="642">
        <v>21.102780789728897</v>
      </c>
      <c r="Y175" s="642">
        <v>0</v>
      </c>
      <c r="Z175" s="642">
        <v>0</v>
      </c>
      <c r="AA175" s="642">
        <v>0</v>
      </c>
      <c r="AB175" s="642">
        <v>0</v>
      </c>
      <c r="AC175" s="642">
        <v>0</v>
      </c>
      <c r="AD175" s="642">
        <v>0</v>
      </c>
      <c r="AE175" s="642">
        <v>0</v>
      </c>
      <c r="AF175" s="642">
        <v>0</v>
      </c>
      <c r="AG175" s="642">
        <v>0</v>
      </c>
      <c r="AH175" s="642">
        <v>0</v>
      </c>
      <c r="AI175" s="642">
        <v>0</v>
      </c>
      <c r="AJ175" s="642">
        <v>0</v>
      </c>
      <c r="AK175" s="650">
        <v>13.110481222452659</v>
      </c>
    </row>
    <row r="176" spans="3:37" ht="13.5">
      <c r="C176" s="648" t="s">
        <v>75</v>
      </c>
      <c r="D176" s="642">
        <v>11.386413281250002</v>
      </c>
      <c r="E176" s="642">
        <v>0</v>
      </c>
      <c r="F176" s="642">
        <v>19.422798115452274</v>
      </c>
      <c r="G176" s="642">
        <v>5.5423525681211148</v>
      </c>
      <c r="H176" s="642">
        <v>0</v>
      </c>
      <c r="I176" s="642">
        <v>0</v>
      </c>
      <c r="J176" s="642">
        <v>0</v>
      </c>
      <c r="K176" s="642">
        <v>0</v>
      </c>
      <c r="L176" s="642">
        <v>0</v>
      </c>
      <c r="M176" s="642">
        <v>0.11310923608410439</v>
      </c>
      <c r="N176" s="642">
        <v>0</v>
      </c>
      <c r="O176" s="642">
        <v>0</v>
      </c>
      <c r="P176" s="642">
        <v>36.293113930785914</v>
      </c>
      <c r="Q176" s="642">
        <v>0</v>
      </c>
      <c r="R176" s="642">
        <v>0</v>
      </c>
      <c r="S176" s="650">
        <v>72.757787131693405</v>
      </c>
      <c r="U176" s="648" t="s">
        <v>75</v>
      </c>
      <c r="V176" s="642">
        <v>7.5011909179687501</v>
      </c>
      <c r="W176" s="642">
        <v>0</v>
      </c>
      <c r="X176" s="642">
        <v>19.422798115452274</v>
      </c>
      <c r="Y176" s="642">
        <v>5.203024859868802</v>
      </c>
      <c r="Z176" s="642">
        <v>0</v>
      </c>
      <c r="AA176" s="642">
        <v>0</v>
      </c>
      <c r="AB176" s="642">
        <v>0</v>
      </c>
      <c r="AC176" s="642">
        <v>0</v>
      </c>
      <c r="AD176" s="642">
        <v>0</v>
      </c>
      <c r="AE176" s="642">
        <v>0.45243694433641768</v>
      </c>
      <c r="AF176" s="642">
        <v>0</v>
      </c>
      <c r="AG176" s="642">
        <v>0</v>
      </c>
      <c r="AH176" s="642">
        <v>32.151874261364433</v>
      </c>
      <c r="AI176" s="642">
        <v>0</v>
      </c>
      <c r="AJ176" s="642">
        <v>0</v>
      </c>
      <c r="AK176" s="650">
        <v>64.731325098990681</v>
      </c>
    </row>
    <row r="177" spans="3:37" ht="13.5">
      <c r="C177" s="648" t="s">
        <v>76</v>
      </c>
      <c r="D177" s="642">
        <v>0</v>
      </c>
      <c r="E177" s="642">
        <v>0</v>
      </c>
      <c r="F177" s="642">
        <v>0</v>
      </c>
      <c r="G177" s="642">
        <v>4.0237645059289928</v>
      </c>
      <c r="H177" s="642">
        <v>0</v>
      </c>
      <c r="I177" s="642">
        <v>0</v>
      </c>
      <c r="J177" s="642">
        <v>0</v>
      </c>
      <c r="K177" s="642">
        <v>0</v>
      </c>
      <c r="L177" s="642">
        <v>0</v>
      </c>
      <c r="M177" s="642">
        <v>8.211764297814271E-2</v>
      </c>
      <c r="N177" s="642">
        <v>0</v>
      </c>
      <c r="O177" s="642">
        <v>0</v>
      </c>
      <c r="P177" s="642">
        <v>40.115929077638647</v>
      </c>
      <c r="Q177" s="642">
        <v>3.1293610589936001</v>
      </c>
      <c r="R177" s="642">
        <v>0</v>
      </c>
      <c r="S177" s="650">
        <v>47.351172285539384</v>
      </c>
      <c r="U177" s="648" t="s">
        <v>76</v>
      </c>
      <c r="V177" s="642">
        <v>0</v>
      </c>
      <c r="W177" s="642">
        <v>0</v>
      </c>
      <c r="X177" s="642">
        <v>0</v>
      </c>
      <c r="Y177" s="642">
        <v>3.6512599711974678</v>
      </c>
      <c r="Z177" s="642">
        <v>0</v>
      </c>
      <c r="AA177" s="642">
        <v>0</v>
      </c>
      <c r="AB177" s="642">
        <v>0</v>
      </c>
      <c r="AC177" s="642">
        <v>0</v>
      </c>
      <c r="AD177" s="642">
        <v>0</v>
      </c>
      <c r="AE177" s="642">
        <v>0.31750086706064945</v>
      </c>
      <c r="AF177" s="642">
        <v>0</v>
      </c>
      <c r="AG177" s="642">
        <v>0</v>
      </c>
      <c r="AH177" s="642">
        <v>40.286923174182249</v>
      </c>
      <c r="AI177" s="642">
        <v>4.8906691757229597</v>
      </c>
      <c r="AJ177" s="642">
        <v>0</v>
      </c>
      <c r="AK177" s="650">
        <v>49.146353188163332</v>
      </c>
    </row>
    <row r="178" spans="3:37" ht="13.5">
      <c r="C178" s="646" t="s">
        <v>77</v>
      </c>
      <c r="D178" s="647">
        <v>43.543536380731354</v>
      </c>
      <c r="E178" s="647">
        <v>551.4646517868191</v>
      </c>
      <c r="F178" s="647">
        <v>-512.58700343529028</v>
      </c>
      <c r="G178" s="647">
        <v>44.412031074506011</v>
      </c>
      <c r="H178" s="647">
        <v>1190.909090909091</v>
      </c>
      <c r="I178" s="647">
        <v>172.65095069399246</v>
      </c>
      <c r="J178" s="647">
        <v>94.171439503448497</v>
      </c>
      <c r="K178" s="647">
        <v>21.077612952720074</v>
      </c>
      <c r="L178" s="647">
        <v>-37.741138531991801</v>
      </c>
      <c r="M178" s="647">
        <v>-5.9030481959717278</v>
      </c>
      <c r="N178" s="647">
        <v>0</v>
      </c>
      <c r="O178" s="647">
        <v>4.5498003843657209</v>
      </c>
      <c r="P178" s="647">
        <v>-518.9013452054761</v>
      </c>
      <c r="Q178" s="647">
        <v>-37.199535435098404</v>
      </c>
      <c r="R178" s="647">
        <v>-0.58655864384492595</v>
      </c>
      <c r="S178" s="647">
        <v>1009.8604842380009</v>
      </c>
      <c r="U178" s="646" t="s">
        <v>77</v>
      </c>
      <c r="V178" s="647">
        <v>17.283932166029469</v>
      </c>
      <c r="W178" s="647">
        <v>449.50354116717102</v>
      </c>
      <c r="X178" s="647">
        <v>-415.72231562091827</v>
      </c>
      <c r="Y178" s="647">
        <v>81.114510287353866</v>
      </c>
      <c r="Z178" s="647">
        <v>1083.7741046831957</v>
      </c>
      <c r="AA178" s="647">
        <v>180.88004160308333</v>
      </c>
      <c r="AB178" s="647">
        <v>81.590959238698787</v>
      </c>
      <c r="AC178" s="647">
        <v>29.501662565587953</v>
      </c>
      <c r="AD178" s="647">
        <v>-46.778068194502332</v>
      </c>
      <c r="AE178" s="647">
        <v>-19.606632397547621</v>
      </c>
      <c r="AF178" s="647">
        <v>0</v>
      </c>
      <c r="AG178" s="647">
        <v>7.2171388504815477</v>
      </c>
      <c r="AH178" s="647">
        <v>-509.39746392036778</v>
      </c>
      <c r="AI178" s="647">
        <v>-58.16748920568601</v>
      </c>
      <c r="AJ178" s="647">
        <v>-5.4472107181245484</v>
      </c>
      <c r="AK178" s="647">
        <v>875.74671050445522</v>
      </c>
    </row>
    <row r="179" spans="3:37" ht="13">
      <c r="C179" s="636"/>
      <c r="D179" s="636">
        <v>0</v>
      </c>
      <c r="E179" s="636">
        <v>0</v>
      </c>
      <c r="F179" s="636">
        <v>0</v>
      </c>
      <c r="G179" s="636">
        <v>0</v>
      </c>
      <c r="H179" s="636">
        <v>0</v>
      </c>
      <c r="I179" s="636">
        <v>0</v>
      </c>
      <c r="J179" s="636">
        <v>0</v>
      </c>
      <c r="K179" s="636">
        <v>0</v>
      </c>
      <c r="L179" s="636">
        <v>0</v>
      </c>
      <c r="M179" s="636">
        <v>0</v>
      </c>
      <c r="N179" s="636">
        <v>0</v>
      </c>
      <c r="O179" s="636">
        <v>0</v>
      </c>
      <c r="P179" s="636">
        <v>0</v>
      </c>
      <c r="Q179" s="636">
        <v>0</v>
      </c>
      <c r="R179" s="636">
        <v>0</v>
      </c>
      <c r="S179" s="636">
        <v>0</v>
      </c>
      <c r="U179" s="636"/>
      <c r="V179" s="636">
        <v>0</v>
      </c>
      <c r="W179" s="636">
        <v>0</v>
      </c>
      <c r="X179" s="636">
        <v>0</v>
      </c>
      <c r="Y179" s="636">
        <v>0</v>
      </c>
      <c r="Z179" s="636">
        <v>0</v>
      </c>
      <c r="AA179" s="636">
        <v>0</v>
      </c>
      <c r="AB179" s="636">
        <v>0</v>
      </c>
      <c r="AC179" s="636">
        <v>0</v>
      </c>
      <c r="AD179" s="636">
        <v>0</v>
      </c>
      <c r="AE179" s="636">
        <v>0</v>
      </c>
      <c r="AF179" s="636">
        <v>0</v>
      </c>
      <c r="AG179" s="636">
        <v>0</v>
      </c>
      <c r="AH179" s="636">
        <v>0</v>
      </c>
      <c r="AI179" s="636">
        <v>0</v>
      </c>
      <c r="AJ179" s="636">
        <v>0</v>
      </c>
      <c r="AK179" s="636">
        <v>0</v>
      </c>
    </row>
    <row r="180" spans="3:37" ht="13.5">
      <c r="C180" s="648" t="s">
        <v>78</v>
      </c>
      <c r="D180" s="642">
        <v>6.728773440829297</v>
      </c>
      <c r="E180" s="642">
        <v>0</v>
      </c>
      <c r="F180" s="642">
        <v>25.863549799477383</v>
      </c>
      <c r="G180" s="642">
        <v>106.8903340661312</v>
      </c>
      <c r="H180" s="642">
        <v>0</v>
      </c>
      <c r="I180" s="642">
        <v>0</v>
      </c>
      <c r="J180" s="642">
        <v>18.169859613838756</v>
      </c>
      <c r="K180" s="642">
        <v>1.7567698743130979</v>
      </c>
      <c r="L180" s="642">
        <v>0.84376959960937503</v>
      </c>
      <c r="M180" s="642">
        <v>2.2002106600734406</v>
      </c>
      <c r="N180" s="642">
        <v>0</v>
      </c>
      <c r="O180" s="642">
        <v>3.8276465550578692E-4</v>
      </c>
      <c r="P180" s="642">
        <v>109.87696924977793</v>
      </c>
      <c r="Q180" s="642">
        <v>16.590503969858354</v>
      </c>
      <c r="R180" s="642">
        <v>0.37438674926757814</v>
      </c>
      <c r="S180" s="650">
        <v>289.29550978783192</v>
      </c>
      <c r="U180" s="648" t="s">
        <v>78</v>
      </c>
      <c r="V180" s="642">
        <v>2.0293809622126395</v>
      </c>
      <c r="W180" s="642">
        <v>0</v>
      </c>
      <c r="X180" s="642">
        <v>19.296192618187902</v>
      </c>
      <c r="Y180" s="642">
        <v>85.841195035715842</v>
      </c>
      <c r="Z180" s="642">
        <v>0</v>
      </c>
      <c r="AA180" s="642">
        <v>0</v>
      </c>
      <c r="AB180" s="642">
        <v>17.65205880284368</v>
      </c>
      <c r="AC180" s="642">
        <v>5.7057919623698545</v>
      </c>
      <c r="AD180" s="642">
        <v>1.0576742773437502</v>
      </c>
      <c r="AE180" s="642">
        <v>7.4832270132048837</v>
      </c>
      <c r="AF180" s="642">
        <v>0</v>
      </c>
      <c r="AG180" s="642">
        <v>3.8276465550578692E-4</v>
      </c>
      <c r="AH180" s="642">
        <v>128.8590842242281</v>
      </c>
      <c r="AI180" s="642">
        <v>20.165819518520905</v>
      </c>
      <c r="AJ180" s="642">
        <v>3.3051525878906252</v>
      </c>
      <c r="AK180" s="650">
        <v>291.39595976717368</v>
      </c>
    </row>
    <row r="181" spans="3:37" ht="13.5">
      <c r="C181" s="648" t="s">
        <v>79</v>
      </c>
      <c r="D181" s="642">
        <v>0</v>
      </c>
      <c r="E181" s="642">
        <v>0</v>
      </c>
      <c r="F181" s="642">
        <v>369.9552310331793</v>
      </c>
      <c r="G181" s="642">
        <v>11.471553092100274</v>
      </c>
      <c r="H181" s="642">
        <v>0</v>
      </c>
      <c r="I181" s="642">
        <v>0</v>
      </c>
      <c r="J181" s="642">
        <v>0</v>
      </c>
      <c r="K181" s="642">
        <v>0</v>
      </c>
      <c r="L181" s="642">
        <v>35.942658929765898</v>
      </c>
      <c r="M181" s="642">
        <v>0.23411332841020971</v>
      </c>
      <c r="N181" s="642">
        <v>0</v>
      </c>
      <c r="O181" s="642">
        <v>0</v>
      </c>
      <c r="P181" s="642">
        <v>25.304787135555738</v>
      </c>
      <c r="Q181" s="642">
        <v>0</v>
      </c>
      <c r="R181" s="642">
        <v>0.21217189457734786</v>
      </c>
      <c r="S181" s="650">
        <v>443.12051541358881</v>
      </c>
      <c r="U181" s="648" t="s">
        <v>79</v>
      </c>
      <c r="V181" s="642">
        <v>0</v>
      </c>
      <c r="W181" s="642">
        <v>0</v>
      </c>
      <c r="X181" s="642">
        <v>313.43701377185255</v>
      </c>
      <c r="Y181" s="642">
        <v>10.638728179836399</v>
      </c>
      <c r="Z181" s="642">
        <v>0</v>
      </c>
      <c r="AA181" s="642">
        <v>0</v>
      </c>
      <c r="AB181" s="642">
        <v>0</v>
      </c>
      <c r="AC181" s="642">
        <v>0</v>
      </c>
      <c r="AD181" s="642">
        <v>37.80600606344305</v>
      </c>
      <c r="AE181" s="642">
        <v>1.0240500912331831</v>
      </c>
      <c r="AF181" s="642">
        <v>0</v>
      </c>
      <c r="AG181" s="642">
        <v>0</v>
      </c>
      <c r="AH181" s="642">
        <v>27.763643315903455</v>
      </c>
      <c r="AI181" s="642">
        <v>0</v>
      </c>
      <c r="AJ181" s="642">
        <v>0.49126373722019012</v>
      </c>
      <c r="AK181" s="650">
        <v>391.16070515948877</v>
      </c>
    </row>
    <row r="182" spans="3:37" ht="13.5">
      <c r="C182" s="648" t="s">
        <v>80</v>
      </c>
      <c r="D182" s="642">
        <v>0</v>
      </c>
      <c r="E182" s="642">
        <v>0</v>
      </c>
      <c r="F182" s="642">
        <v>35.339410591812062</v>
      </c>
      <c r="G182" s="642">
        <v>110.15178599375342</v>
      </c>
      <c r="H182" s="642">
        <v>0</v>
      </c>
      <c r="I182" s="642">
        <v>0</v>
      </c>
      <c r="J182" s="642">
        <v>76.439784825488388</v>
      </c>
      <c r="K182" s="642">
        <v>0</v>
      </c>
      <c r="L182" s="642">
        <v>0</v>
      </c>
      <c r="M182" s="642">
        <v>2.2479956325255803</v>
      </c>
      <c r="N182" s="642">
        <v>37.868836361528707</v>
      </c>
      <c r="O182" s="642">
        <v>1.7588356807089602</v>
      </c>
      <c r="P182" s="642">
        <v>172.83410671700432</v>
      </c>
      <c r="Q182" s="642">
        <v>15.866907360541454</v>
      </c>
      <c r="R182" s="642">
        <v>0</v>
      </c>
      <c r="S182" s="650">
        <v>452.50766316336285</v>
      </c>
      <c r="U182" s="648" t="s">
        <v>80</v>
      </c>
      <c r="V182" s="642">
        <v>0</v>
      </c>
      <c r="W182" s="642">
        <v>0</v>
      </c>
      <c r="X182" s="642">
        <v>15.561012749366258</v>
      </c>
      <c r="Y182" s="642">
        <v>82.553801475145548</v>
      </c>
      <c r="Z182" s="642">
        <v>0</v>
      </c>
      <c r="AA182" s="642">
        <v>0</v>
      </c>
      <c r="AB182" s="642">
        <v>74.889683173020046</v>
      </c>
      <c r="AC182" s="642">
        <v>0</v>
      </c>
      <c r="AD182" s="642">
        <v>0</v>
      </c>
      <c r="AE182" s="642">
        <v>7.1785914326213538</v>
      </c>
      <c r="AF182" s="642">
        <v>42.28245423809345</v>
      </c>
      <c r="AG182" s="642">
        <v>1.7308148603825539</v>
      </c>
      <c r="AH182" s="642">
        <v>160.19147139934566</v>
      </c>
      <c r="AI182" s="642">
        <v>30.044387556600874</v>
      </c>
      <c r="AJ182" s="642">
        <v>0</v>
      </c>
      <c r="AK182" s="650">
        <v>414.43221688457572</v>
      </c>
    </row>
    <row r="183" spans="3:37" ht="13.5">
      <c r="C183" s="648" t="s">
        <v>81</v>
      </c>
      <c r="D183" s="642">
        <v>0</v>
      </c>
      <c r="E183" s="642">
        <v>0</v>
      </c>
      <c r="F183" s="642">
        <v>16.364991401651867</v>
      </c>
      <c r="G183" s="642">
        <v>64.121059154218784</v>
      </c>
      <c r="H183" s="642">
        <v>0</v>
      </c>
      <c r="I183" s="642">
        <v>0</v>
      </c>
      <c r="J183" s="642">
        <v>3.7472623320410015</v>
      </c>
      <c r="K183" s="642">
        <v>2.5571216676264549E-2</v>
      </c>
      <c r="L183" s="642">
        <v>0</v>
      </c>
      <c r="M183" s="642">
        <v>1.3085930439636488</v>
      </c>
      <c r="N183" s="642">
        <v>7.447967906294962</v>
      </c>
      <c r="O183" s="642">
        <v>0.8772790781137545</v>
      </c>
      <c r="P183" s="642">
        <v>131.35942241830159</v>
      </c>
      <c r="Q183" s="642">
        <v>4.7421241046985951</v>
      </c>
      <c r="R183" s="642">
        <v>0</v>
      </c>
      <c r="S183" s="650">
        <v>229.99427065596046</v>
      </c>
      <c r="U183" s="648" t="s">
        <v>81</v>
      </c>
      <c r="V183" s="642">
        <v>0</v>
      </c>
      <c r="W183" s="642">
        <v>0</v>
      </c>
      <c r="X183" s="642">
        <v>8.4431338424639417</v>
      </c>
      <c r="Y183" s="642">
        <v>45.209877020113709</v>
      </c>
      <c r="Z183" s="642">
        <v>0</v>
      </c>
      <c r="AA183" s="642">
        <v>0</v>
      </c>
      <c r="AB183" s="642">
        <v>7.2212655206083989</v>
      </c>
      <c r="AC183" s="642">
        <v>2.5571216676264549E-2</v>
      </c>
      <c r="AD183" s="642">
        <v>0</v>
      </c>
      <c r="AE183" s="642">
        <v>3.9312936539229324</v>
      </c>
      <c r="AF183" s="642">
        <v>13.032759828829999</v>
      </c>
      <c r="AG183" s="642">
        <v>1.6365054019865546</v>
      </c>
      <c r="AH183" s="642">
        <v>124.3283929234443</v>
      </c>
      <c r="AI183" s="642">
        <v>7.9572821305642334</v>
      </c>
      <c r="AJ183" s="642">
        <v>0</v>
      </c>
      <c r="AK183" s="650">
        <v>211.78608153861032</v>
      </c>
    </row>
    <row r="184" spans="3:37" ht="13.5">
      <c r="C184" s="648" t="s">
        <v>82</v>
      </c>
      <c r="D184" s="642">
        <v>0</v>
      </c>
      <c r="E184" s="642">
        <v>0</v>
      </c>
      <c r="F184" s="642">
        <v>33.765533014074606</v>
      </c>
      <c r="G184" s="642">
        <v>2.2907099526353965</v>
      </c>
      <c r="H184" s="642">
        <v>0</v>
      </c>
      <c r="I184" s="642">
        <v>0</v>
      </c>
      <c r="J184" s="642">
        <v>1.1066179688825246</v>
      </c>
      <c r="K184" s="642">
        <v>0</v>
      </c>
      <c r="L184" s="642">
        <v>2.3728212231152073</v>
      </c>
      <c r="M184" s="642">
        <v>4.6749182706844826E-2</v>
      </c>
      <c r="N184" s="642">
        <v>0</v>
      </c>
      <c r="O184" s="642">
        <v>8.6639841752499475E-2</v>
      </c>
      <c r="P184" s="642">
        <v>7.9913059260342072</v>
      </c>
      <c r="Q184" s="642">
        <v>0</v>
      </c>
      <c r="R184" s="642">
        <v>0</v>
      </c>
      <c r="S184" s="650">
        <v>47.660377109201292</v>
      </c>
      <c r="U184" s="648" t="s">
        <v>82</v>
      </c>
      <c r="V184" s="642">
        <v>0</v>
      </c>
      <c r="W184" s="642">
        <v>0</v>
      </c>
      <c r="X184" s="642">
        <v>29.817412370685851</v>
      </c>
      <c r="Y184" s="642">
        <v>2.4393255997206347</v>
      </c>
      <c r="Z184" s="642">
        <v>0</v>
      </c>
      <c r="AA184" s="642">
        <v>0</v>
      </c>
      <c r="AB184" s="642">
        <v>1.1066179688825246</v>
      </c>
      <c r="AC184" s="642">
        <v>0</v>
      </c>
      <c r="AD184" s="642">
        <v>7.1577097724425283</v>
      </c>
      <c r="AE184" s="642">
        <v>0.2121152695409248</v>
      </c>
      <c r="AF184" s="642">
        <v>0</v>
      </c>
      <c r="AG184" s="642">
        <v>0.5193752668696392</v>
      </c>
      <c r="AH184" s="642">
        <v>8.0258276876076717</v>
      </c>
      <c r="AI184" s="642">
        <v>0</v>
      </c>
      <c r="AJ184" s="642">
        <v>0.13892990437736891</v>
      </c>
      <c r="AK184" s="650">
        <v>49.417313840127143</v>
      </c>
    </row>
    <row r="185" spans="3:37" ht="13.5">
      <c r="C185" s="648" t="s">
        <v>357</v>
      </c>
      <c r="D185" s="642">
        <v>0</v>
      </c>
      <c r="E185" s="642">
        <v>0</v>
      </c>
      <c r="F185" s="642">
        <v>0</v>
      </c>
      <c r="G185" s="642">
        <v>0</v>
      </c>
      <c r="H185" s="642">
        <v>0</v>
      </c>
      <c r="I185" s="642">
        <v>0</v>
      </c>
      <c r="J185" s="642">
        <v>0</v>
      </c>
      <c r="K185" s="642">
        <v>0</v>
      </c>
      <c r="L185" s="642">
        <v>0</v>
      </c>
      <c r="M185" s="642">
        <v>0</v>
      </c>
      <c r="N185" s="642">
        <v>0</v>
      </c>
      <c r="O185" s="642">
        <v>0</v>
      </c>
      <c r="P185" s="642">
        <v>0</v>
      </c>
      <c r="Q185" s="642">
        <v>0</v>
      </c>
      <c r="R185" s="642">
        <v>0</v>
      </c>
      <c r="S185" s="650">
        <v>0</v>
      </c>
      <c r="U185" s="648" t="s">
        <v>357</v>
      </c>
      <c r="V185" s="642">
        <v>0</v>
      </c>
      <c r="W185" s="642">
        <v>0</v>
      </c>
      <c r="X185" s="642">
        <v>0</v>
      </c>
      <c r="Y185" s="642">
        <v>0</v>
      </c>
      <c r="Z185" s="642">
        <v>0</v>
      </c>
      <c r="AA185" s="642">
        <v>0</v>
      </c>
      <c r="AB185" s="642">
        <v>0</v>
      </c>
      <c r="AC185" s="642">
        <v>0</v>
      </c>
      <c r="AD185" s="642">
        <v>0</v>
      </c>
      <c r="AE185" s="642">
        <v>0</v>
      </c>
      <c r="AF185" s="642">
        <v>0</v>
      </c>
      <c r="AG185" s="642">
        <v>0</v>
      </c>
      <c r="AH185" s="642">
        <v>0.36</v>
      </c>
      <c r="AI185" s="642">
        <v>0</v>
      </c>
      <c r="AJ185" s="642">
        <v>0</v>
      </c>
      <c r="AK185" s="650">
        <v>0.36</v>
      </c>
    </row>
    <row r="186" spans="3:37" ht="13.5">
      <c r="C186" s="646" t="s">
        <v>83</v>
      </c>
      <c r="D186" s="647">
        <v>6.728773440829297</v>
      </c>
      <c r="E186" s="647">
        <v>0</v>
      </c>
      <c r="F186" s="647">
        <v>481.28871584019521</v>
      </c>
      <c r="G186" s="647">
        <v>294.92544225883904</v>
      </c>
      <c r="H186" s="647">
        <v>0</v>
      </c>
      <c r="I186" s="647">
        <v>0</v>
      </c>
      <c r="J186" s="647">
        <v>99.463524740250691</v>
      </c>
      <c r="K186" s="647">
        <v>1.7823410909893624</v>
      </c>
      <c r="L186" s="647">
        <v>39.159249752490481</v>
      </c>
      <c r="M186" s="647">
        <v>6.0376618476797237</v>
      </c>
      <c r="N186" s="647">
        <v>45.31680426782367</v>
      </c>
      <c r="O186" s="647">
        <v>2.7231373652307198</v>
      </c>
      <c r="P186" s="647">
        <v>447.36659144667379</v>
      </c>
      <c r="Q186" s="647">
        <v>37.199535435098404</v>
      </c>
      <c r="R186" s="647">
        <v>0.58655864384492595</v>
      </c>
      <c r="S186" s="647">
        <v>1462.5783361299455</v>
      </c>
      <c r="U186" s="646" t="s">
        <v>83</v>
      </c>
      <c r="V186" s="647">
        <v>2.0293809622126395</v>
      </c>
      <c r="W186" s="647">
        <v>0</v>
      </c>
      <c r="X186" s="647">
        <v>386.5547653525565</v>
      </c>
      <c r="Y186" s="647">
        <v>226.68292731053214</v>
      </c>
      <c r="Z186" s="647">
        <v>0</v>
      </c>
      <c r="AA186" s="647">
        <v>0</v>
      </c>
      <c r="AB186" s="647">
        <v>100.86962546535466</v>
      </c>
      <c r="AC186" s="647">
        <v>5.7313631790461192</v>
      </c>
      <c r="AD186" s="647">
        <v>46.02139011322933</v>
      </c>
      <c r="AE186" s="647">
        <v>19.829277460523276</v>
      </c>
      <c r="AF186" s="647">
        <v>55.315214066923446</v>
      </c>
      <c r="AG186" s="647">
        <v>3.8870782938942541</v>
      </c>
      <c r="AH186" s="647">
        <v>449.52841955052912</v>
      </c>
      <c r="AI186" s="647">
        <v>58.16748920568601</v>
      </c>
      <c r="AJ186" s="647">
        <v>3.9353462294881845</v>
      </c>
      <c r="AK186" s="647">
        <v>1358.5522771899757</v>
      </c>
    </row>
    <row r="187" spans="3:37" ht="13.5">
      <c r="C187" s="641" t="s">
        <v>84</v>
      </c>
      <c r="D187" s="642">
        <v>0</v>
      </c>
      <c r="E187" s="642">
        <v>0</v>
      </c>
      <c r="F187" s="642">
        <v>123.20669977294675</v>
      </c>
      <c r="G187" s="642">
        <v>12.463741308801668</v>
      </c>
      <c r="H187" s="642">
        <v>0</v>
      </c>
      <c r="I187" s="642">
        <v>0</v>
      </c>
      <c r="J187" s="642">
        <v>0</v>
      </c>
      <c r="K187" s="642">
        <v>0</v>
      </c>
      <c r="L187" s="642">
        <v>0</v>
      </c>
      <c r="M187" s="642">
        <v>0</v>
      </c>
      <c r="N187" s="642">
        <v>0</v>
      </c>
      <c r="O187" s="642">
        <v>0</v>
      </c>
      <c r="P187" s="642">
        <v>0</v>
      </c>
      <c r="Q187" s="642">
        <v>0</v>
      </c>
      <c r="R187" s="642">
        <v>0</v>
      </c>
      <c r="S187" s="650">
        <v>135.67044108174841</v>
      </c>
      <c r="U187" s="641" t="s">
        <v>84</v>
      </c>
      <c r="V187" s="642">
        <v>0</v>
      </c>
      <c r="W187" s="642">
        <v>0</v>
      </c>
      <c r="X187" s="642">
        <v>121.88018365111382</v>
      </c>
      <c r="Y187" s="642">
        <v>1.8275750900030534</v>
      </c>
      <c r="Z187" s="642">
        <v>0</v>
      </c>
      <c r="AA187" s="642">
        <v>0</v>
      </c>
      <c r="AB187" s="642">
        <v>0</v>
      </c>
      <c r="AC187" s="642">
        <v>0</v>
      </c>
      <c r="AD187" s="642">
        <v>0.27491428444602273</v>
      </c>
      <c r="AE187" s="642">
        <v>0</v>
      </c>
      <c r="AF187" s="642">
        <v>0</v>
      </c>
      <c r="AG187" s="642">
        <v>0</v>
      </c>
      <c r="AH187" s="642">
        <v>0</v>
      </c>
      <c r="AI187" s="642">
        <v>0</v>
      </c>
      <c r="AJ187" s="642">
        <v>1.5118644886363639</v>
      </c>
      <c r="AK187" s="650">
        <v>125.49453751419927</v>
      </c>
    </row>
    <row r="188" spans="3:37" ht="13.5">
      <c r="C188" s="646" t="s">
        <v>85</v>
      </c>
      <c r="D188" s="647">
        <v>6.728773440829297</v>
      </c>
      <c r="E188" s="647">
        <v>0</v>
      </c>
      <c r="F188" s="647">
        <v>604.49541561314186</v>
      </c>
      <c r="G188" s="647">
        <v>307.38918356764071</v>
      </c>
      <c r="H188" s="647">
        <v>0</v>
      </c>
      <c r="I188" s="647">
        <v>0</v>
      </c>
      <c r="J188" s="647">
        <v>99.463524740250691</v>
      </c>
      <c r="K188" s="647">
        <v>1.7823410909893624</v>
      </c>
      <c r="L188" s="647">
        <v>39.159249752490481</v>
      </c>
      <c r="M188" s="647">
        <v>6.0376618476797237</v>
      </c>
      <c r="N188" s="647">
        <v>45.31680426782367</v>
      </c>
      <c r="O188" s="647">
        <v>2.7231373652307198</v>
      </c>
      <c r="P188" s="647">
        <v>447.36659144667379</v>
      </c>
      <c r="Q188" s="647">
        <v>37.199535435098404</v>
      </c>
      <c r="R188" s="647">
        <v>0.58655864384492595</v>
      </c>
      <c r="S188" s="647">
        <v>1598.2487772116938</v>
      </c>
      <c r="U188" s="646" t="s">
        <v>85</v>
      </c>
      <c r="V188" s="647">
        <v>2.0293809622126395</v>
      </c>
      <c r="W188" s="647">
        <v>0</v>
      </c>
      <c r="X188" s="647">
        <v>508.43494900367028</v>
      </c>
      <c r="Y188" s="647">
        <v>228.51050240053519</v>
      </c>
      <c r="Z188" s="647">
        <v>0</v>
      </c>
      <c r="AA188" s="647">
        <v>0</v>
      </c>
      <c r="AB188" s="647">
        <v>100.86962546535466</v>
      </c>
      <c r="AC188" s="647">
        <v>5.7313631790461192</v>
      </c>
      <c r="AD188" s="647">
        <v>46.29630439767535</v>
      </c>
      <c r="AE188" s="647">
        <v>19.829277460523276</v>
      </c>
      <c r="AF188" s="647">
        <v>55.315214066923446</v>
      </c>
      <c r="AG188" s="647">
        <v>3.8870782938942541</v>
      </c>
      <c r="AH188" s="647">
        <v>449.52841955052912</v>
      </c>
      <c r="AI188" s="647">
        <v>58.16748920568601</v>
      </c>
      <c r="AJ188" s="647">
        <v>5.4472107181245484</v>
      </c>
      <c r="AK188" s="647">
        <v>1484.0468147041749</v>
      </c>
    </row>
    <row r="189" spans="3:37" ht="13">
      <c r="C189" s="636"/>
      <c r="D189" s="636"/>
      <c r="E189" s="636"/>
      <c r="F189" s="636"/>
      <c r="G189" s="636"/>
      <c r="H189" s="636"/>
      <c r="I189" s="636"/>
      <c r="J189" s="636"/>
      <c r="K189" s="636"/>
      <c r="L189" s="636"/>
      <c r="M189" s="636"/>
      <c r="N189" s="636"/>
      <c r="O189" s="636"/>
      <c r="P189" s="636"/>
      <c r="Q189" s="636"/>
      <c r="R189" s="636"/>
      <c r="S189" s="636"/>
      <c r="U189" s="636"/>
      <c r="V189" s="636"/>
      <c r="W189" s="636"/>
      <c r="X189" s="636"/>
      <c r="Y189" s="636"/>
      <c r="Z189" s="636"/>
      <c r="AA189" s="636"/>
      <c r="AB189" s="636"/>
      <c r="AC189" s="636"/>
      <c r="AD189" s="636"/>
      <c r="AE189" s="636"/>
      <c r="AF189" s="636"/>
      <c r="AG189" s="636"/>
      <c r="AH189" s="636"/>
      <c r="AI189" s="636"/>
      <c r="AJ189" s="636"/>
      <c r="AK189" s="636"/>
    </row>
    <row r="190" spans="3:37" ht="22.5">
      <c r="C190" s="699" t="s">
        <v>88</v>
      </c>
      <c r="D190" s="699"/>
      <c r="E190" s="699"/>
      <c r="F190" s="699"/>
      <c r="G190" s="699"/>
      <c r="H190" s="699"/>
      <c r="I190" s="699"/>
      <c r="J190" s="699"/>
      <c r="K190" s="699"/>
      <c r="L190" s="699"/>
      <c r="M190" s="699"/>
      <c r="N190" s="699"/>
      <c r="O190" s="699"/>
      <c r="P190" s="699"/>
      <c r="Q190" s="699"/>
      <c r="R190" s="699"/>
      <c r="S190" s="699"/>
      <c r="U190" s="699" t="s">
        <v>88</v>
      </c>
      <c r="V190" s="699"/>
      <c r="W190" s="699"/>
      <c r="X190" s="699"/>
      <c r="Y190" s="699"/>
      <c r="Z190" s="699"/>
      <c r="AA190" s="699"/>
      <c r="AB190" s="699"/>
      <c r="AC190" s="699"/>
      <c r="AD190" s="699"/>
      <c r="AE190" s="699"/>
      <c r="AF190" s="699"/>
      <c r="AG190" s="699"/>
      <c r="AH190" s="699"/>
      <c r="AI190" s="699"/>
      <c r="AJ190" s="699"/>
      <c r="AK190" s="699"/>
    </row>
    <row r="191" spans="3:37" ht="13">
      <c r="C191" s="636"/>
      <c r="D191" s="636"/>
      <c r="E191" s="636"/>
      <c r="F191" s="636"/>
      <c r="G191" s="636"/>
      <c r="H191" s="636"/>
      <c r="I191" s="636"/>
      <c r="J191" s="636"/>
      <c r="K191" s="636"/>
      <c r="L191" s="636"/>
      <c r="M191" s="636"/>
      <c r="N191" s="636"/>
      <c r="O191" s="636"/>
      <c r="P191" s="636"/>
      <c r="Q191" s="636"/>
      <c r="R191" s="636"/>
      <c r="S191" s="636"/>
      <c r="U191" s="636"/>
      <c r="V191" s="636"/>
      <c r="W191" s="636"/>
      <c r="X191" s="636"/>
      <c r="Y191" s="636"/>
      <c r="Z191" s="636"/>
      <c r="AA191" s="636"/>
      <c r="AB191" s="636"/>
      <c r="AC191" s="636"/>
      <c r="AD191" s="636"/>
      <c r="AE191" s="636"/>
      <c r="AF191" s="636"/>
      <c r="AG191" s="636"/>
      <c r="AH191" s="636"/>
      <c r="AI191" s="636"/>
      <c r="AJ191" s="636"/>
      <c r="AK191" s="636"/>
    </row>
    <row r="192" spans="3:37" ht="13" customHeight="1">
      <c r="C192" s="700" t="s">
        <v>128</v>
      </c>
      <c r="D192" s="701" t="s">
        <v>42</v>
      </c>
      <c r="E192" s="701" t="s">
        <v>52</v>
      </c>
      <c r="F192" s="701" t="s">
        <v>53</v>
      </c>
      <c r="G192" s="701" t="s">
        <v>32</v>
      </c>
      <c r="H192" s="701" t="s">
        <v>20</v>
      </c>
      <c r="I192" s="701" t="s">
        <v>55</v>
      </c>
      <c r="J192" s="701" t="s">
        <v>56</v>
      </c>
      <c r="K192" s="701"/>
      <c r="L192" s="701"/>
      <c r="M192" s="701"/>
      <c r="N192" s="701"/>
      <c r="O192" s="701"/>
      <c r="P192" s="701" t="s">
        <v>57</v>
      </c>
      <c r="Q192" s="701" t="s">
        <v>58</v>
      </c>
      <c r="R192" s="701" t="s">
        <v>31</v>
      </c>
      <c r="S192" s="701" t="s">
        <v>10</v>
      </c>
      <c r="U192" s="700" t="s">
        <v>128</v>
      </c>
      <c r="V192" s="701" t="s">
        <v>42</v>
      </c>
      <c r="W192" s="701" t="s">
        <v>52</v>
      </c>
      <c r="X192" s="701" t="s">
        <v>53</v>
      </c>
      <c r="Y192" s="701" t="s">
        <v>32</v>
      </c>
      <c r="Z192" s="701" t="s">
        <v>20</v>
      </c>
      <c r="AA192" s="701" t="s">
        <v>55</v>
      </c>
      <c r="AB192" s="701" t="s">
        <v>56</v>
      </c>
      <c r="AC192" s="701"/>
      <c r="AD192" s="701"/>
      <c r="AE192" s="701"/>
      <c r="AF192" s="701"/>
      <c r="AG192" s="701"/>
      <c r="AH192" s="701" t="s">
        <v>57</v>
      </c>
      <c r="AI192" s="701" t="s">
        <v>58</v>
      </c>
      <c r="AJ192" s="701" t="s">
        <v>31</v>
      </c>
      <c r="AK192" s="701" t="s">
        <v>10</v>
      </c>
    </row>
    <row r="193" spans="3:37" ht="46">
      <c r="C193" s="700"/>
      <c r="D193" s="701"/>
      <c r="E193" s="701"/>
      <c r="F193" s="701"/>
      <c r="G193" s="701"/>
      <c r="H193" s="701"/>
      <c r="I193" s="701"/>
      <c r="J193" s="640" t="s">
        <v>338</v>
      </c>
      <c r="K193" s="640" t="s">
        <v>40</v>
      </c>
      <c r="L193" s="640" t="s">
        <v>346</v>
      </c>
      <c r="M193" s="640" t="s">
        <v>347</v>
      </c>
      <c r="N193" s="640" t="s">
        <v>348</v>
      </c>
      <c r="O193" s="640" t="s">
        <v>349</v>
      </c>
      <c r="P193" s="701"/>
      <c r="Q193" s="701"/>
      <c r="R193" s="701"/>
      <c r="S193" s="701"/>
      <c r="U193" s="700"/>
      <c r="V193" s="701"/>
      <c r="W193" s="701"/>
      <c r="X193" s="701"/>
      <c r="Y193" s="701"/>
      <c r="Z193" s="701"/>
      <c r="AA193" s="701"/>
      <c r="AB193" s="640" t="s">
        <v>338</v>
      </c>
      <c r="AC193" s="640" t="s">
        <v>40</v>
      </c>
      <c r="AD193" s="640" t="s">
        <v>346</v>
      </c>
      <c r="AE193" s="640" t="s">
        <v>347</v>
      </c>
      <c r="AF193" s="640" t="s">
        <v>348</v>
      </c>
      <c r="AG193" s="640" t="s">
        <v>349</v>
      </c>
      <c r="AH193" s="701"/>
      <c r="AI193" s="701"/>
      <c r="AJ193" s="701"/>
      <c r="AK193" s="701"/>
    </row>
    <row r="194" spans="3:37" ht="13.5">
      <c r="C194" s="641" t="s">
        <v>59</v>
      </c>
      <c r="D194" s="642">
        <v>0</v>
      </c>
      <c r="E194" s="643">
        <v>9.7691999999999997</v>
      </c>
      <c r="F194" s="643">
        <v>0</v>
      </c>
      <c r="G194" s="642">
        <v>0.18608000000000002</v>
      </c>
      <c r="H194" s="643">
        <v>1190.909090909091</v>
      </c>
      <c r="I194" s="643">
        <v>182.7291074592973</v>
      </c>
      <c r="J194" s="643">
        <v>189.61507961766128</v>
      </c>
      <c r="K194" s="643">
        <v>22.268083551618652</v>
      </c>
      <c r="L194" s="643">
        <v>0.30256781050897086</v>
      </c>
      <c r="M194" s="643">
        <v>0.13616606414588689</v>
      </c>
      <c r="N194" s="643">
        <v>49.514351265721807</v>
      </c>
      <c r="O194" s="643">
        <v>8.1467195883110648</v>
      </c>
      <c r="P194" s="644">
        <v>0</v>
      </c>
      <c r="Q194" s="643">
        <v>0</v>
      </c>
      <c r="R194" s="643">
        <v>0</v>
      </c>
      <c r="S194" s="645">
        <v>1653.5764462663558</v>
      </c>
      <c r="U194" s="641" t="s">
        <v>59</v>
      </c>
      <c r="V194" s="642">
        <v>0</v>
      </c>
      <c r="W194" s="643">
        <v>9.7691999999999997</v>
      </c>
      <c r="X194" s="643">
        <v>0</v>
      </c>
      <c r="Y194" s="642">
        <v>0.18608000000000002</v>
      </c>
      <c r="Z194" s="643">
        <v>1069.3939393939395</v>
      </c>
      <c r="AA194" s="643">
        <v>197.24910745929728</v>
      </c>
      <c r="AB194" s="643">
        <v>182.13163745220285</v>
      </c>
      <c r="AC194" s="643">
        <v>36.932838973655407</v>
      </c>
      <c r="AD194" s="643">
        <v>0.30256781050897086</v>
      </c>
      <c r="AE194" s="643">
        <v>0.13616606414588689</v>
      </c>
      <c r="AF194" s="643">
        <v>61.091225724919909</v>
      </c>
      <c r="AG194" s="643">
        <v>13.043980364734779</v>
      </c>
      <c r="AH194" s="644">
        <v>0</v>
      </c>
      <c r="AI194" s="643">
        <v>0</v>
      </c>
      <c r="AJ194" s="643">
        <v>0</v>
      </c>
      <c r="AK194" s="645">
        <v>1570.2367432434044</v>
      </c>
    </row>
    <row r="195" spans="3:37" ht="13.5">
      <c r="C195" s="641" t="s">
        <v>60</v>
      </c>
      <c r="D195" s="642">
        <v>49.173561762123036</v>
      </c>
      <c r="E195" s="643">
        <v>533.81672423347197</v>
      </c>
      <c r="F195" s="643">
        <v>159.30055959731865</v>
      </c>
      <c r="G195" s="642">
        <v>343.82692763471942</v>
      </c>
      <c r="H195" s="643">
        <v>0</v>
      </c>
      <c r="I195" s="643">
        <v>0</v>
      </c>
      <c r="J195" s="643">
        <v>3.0754920838007731</v>
      </c>
      <c r="K195" s="643">
        <v>0</v>
      </c>
      <c r="L195" s="643">
        <v>1.7669821269916453</v>
      </c>
      <c r="M195" s="643">
        <v>0</v>
      </c>
      <c r="N195" s="643">
        <v>0</v>
      </c>
      <c r="O195" s="643">
        <v>0</v>
      </c>
      <c r="P195" s="644">
        <v>0</v>
      </c>
      <c r="Q195" s="643">
        <v>0</v>
      </c>
      <c r="R195" s="643">
        <v>0</v>
      </c>
      <c r="S195" s="645">
        <v>1090.9602474384255</v>
      </c>
      <c r="U195" s="641" t="s">
        <v>60</v>
      </c>
      <c r="V195" s="642">
        <v>12.56447967339157</v>
      </c>
      <c r="W195" s="643">
        <v>409.1975890316798</v>
      </c>
      <c r="X195" s="643">
        <v>146.83839951059079</v>
      </c>
      <c r="Y195" s="642">
        <v>277.07529977218445</v>
      </c>
      <c r="Z195" s="643">
        <v>0</v>
      </c>
      <c r="AA195" s="643">
        <v>0</v>
      </c>
      <c r="AB195" s="643">
        <v>3.0754920838007731</v>
      </c>
      <c r="AC195" s="643">
        <v>0</v>
      </c>
      <c r="AD195" s="643">
        <v>1.7669821269916453</v>
      </c>
      <c r="AE195" s="643">
        <v>0</v>
      </c>
      <c r="AF195" s="643">
        <v>0</v>
      </c>
      <c r="AG195" s="643">
        <v>0</v>
      </c>
      <c r="AH195" s="644">
        <v>0</v>
      </c>
      <c r="AI195" s="643">
        <v>0</v>
      </c>
      <c r="AJ195" s="643">
        <v>0</v>
      </c>
      <c r="AK195" s="645">
        <v>850.51824219863909</v>
      </c>
    </row>
    <row r="196" spans="3:37" ht="13.5">
      <c r="C196" s="641" t="s">
        <v>61</v>
      </c>
      <c r="D196" s="642">
        <v>0</v>
      </c>
      <c r="E196" s="643">
        <v>0</v>
      </c>
      <c r="F196" s="643">
        <v>0</v>
      </c>
      <c r="G196" s="642">
        <v>0</v>
      </c>
      <c r="H196" s="643">
        <v>0</v>
      </c>
      <c r="I196" s="643">
        <v>0</v>
      </c>
      <c r="J196" s="643">
        <v>0</v>
      </c>
      <c r="K196" s="643">
        <v>0</v>
      </c>
      <c r="L196" s="643">
        <v>0</v>
      </c>
      <c r="M196" s="643">
        <v>0</v>
      </c>
      <c r="N196" s="643">
        <v>0</v>
      </c>
      <c r="O196" s="643">
        <v>0</v>
      </c>
      <c r="P196" s="644">
        <v>-73.711460432822037</v>
      </c>
      <c r="Q196" s="643">
        <v>0</v>
      </c>
      <c r="R196" s="643">
        <v>0</v>
      </c>
      <c r="S196" s="645">
        <v>-73.711460432822037</v>
      </c>
      <c r="U196" s="641" t="s">
        <v>61</v>
      </c>
      <c r="V196" s="642">
        <v>0</v>
      </c>
      <c r="W196" s="643">
        <v>0</v>
      </c>
      <c r="X196" s="643">
        <v>0</v>
      </c>
      <c r="Y196" s="642">
        <v>0</v>
      </c>
      <c r="Z196" s="643">
        <v>0</v>
      </c>
      <c r="AA196" s="643">
        <v>0</v>
      </c>
      <c r="AB196" s="643">
        <v>0</v>
      </c>
      <c r="AC196" s="643">
        <v>0</v>
      </c>
      <c r="AD196" s="643">
        <v>0</v>
      </c>
      <c r="AE196" s="643">
        <v>0</v>
      </c>
      <c r="AF196" s="643">
        <v>0</v>
      </c>
      <c r="AG196" s="643">
        <v>0</v>
      </c>
      <c r="AH196" s="644">
        <v>-59.233927293838519</v>
      </c>
      <c r="AI196" s="643">
        <v>0</v>
      </c>
      <c r="AJ196" s="643">
        <v>0</v>
      </c>
      <c r="AK196" s="645">
        <v>-59.233927293838519</v>
      </c>
    </row>
    <row r="197" spans="3:37" ht="13.5">
      <c r="C197" s="641" t="s">
        <v>62</v>
      </c>
      <c r="D197" s="642">
        <v>0</v>
      </c>
      <c r="E197" s="643">
        <v>0</v>
      </c>
      <c r="F197" s="643">
        <v>-16.493151741791234</v>
      </c>
      <c r="G197" s="642">
        <v>0</v>
      </c>
      <c r="H197" s="643">
        <v>0</v>
      </c>
      <c r="I197" s="643">
        <v>0</v>
      </c>
      <c r="J197" s="643">
        <v>0</v>
      </c>
      <c r="K197" s="643">
        <v>0</v>
      </c>
      <c r="L197" s="643">
        <v>0</v>
      </c>
      <c r="M197" s="643">
        <v>0</v>
      </c>
      <c r="N197" s="643">
        <v>0</v>
      </c>
      <c r="O197" s="643">
        <v>0</v>
      </c>
      <c r="P197" s="644">
        <v>0</v>
      </c>
      <c r="Q197" s="643">
        <v>0</v>
      </c>
      <c r="R197" s="643">
        <v>0</v>
      </c>
      <c r="S197" s="645">
        <v>-16.493151741791234</v>
      </c>
      <c r="U197" s="641" t="s">
        <v>62</v>
      </c>
      <c r="V197" s="642">
        <v>0</v>
      </c>
      <c r="W197" s="643">
        <v>0</v>
      </c>
      <c r="X197" s="643">
        <v>-16.114280484636947</v>
      </c>
      <c r="Y197" s="642">
        <v>-5.618284274922395E-2</v>
      </c>
      <c r="Z197" s="643">
        <v>0</v>
      </c>
      <c r="AA197" s="643">
        <v>0</v>
      </c>
      <c r="AB197" s="643">
        <v>0</v>
      </c>
      <c r="AC197" s="643">
        <v>0</v>
      </c>
      <c r="AD197" s="643">
        <v>0</v>
      </c>
      <c r="AE197" s="643">
        <v>-6.2425380832471051E-3</v>
      </c>
      <c r="AF197" s="643">
        <v>0</v>
      </c>
      <c r="AG197" s="643">
        <v>0</v>
      </c>
      <c r="AH197" s="644">
        <v>0</v>
      </c>
      <c r="AI197" s="643">
        <v>0</v>
      </c>
      <c r="AJ197" s="643">
        <v>0</v>
      </c>
      <c r="AK197" s="645">
        <v>-16.176705865469415</v>
      </c>
    </row>
    <row r="198" spans="3:37" ht="13.5">
      <c r="C198" s="641" t="s">
        <v>63</v>
      </c>
      <c r="D198" s="642">
        <v>0</v>
      </c>
      <c r="E198" s="643">
        <v>0</v>
      </c>
      <c r="F198" s="643">
        <v>-80.583101554650298</v>
      </c>
      <c r="G198" s="642">
        <v>0</v>
      </c>
      <c r="H198" s="643">
        <v>0</v>
      </c>
      <c r="I198" s="643">
        <v>0</v>
      </c>
      <c r="J198" s="643">
        <v>0</v>
      </c>
      <c r="K198" s="643">
        <v>0</v>
      </c>
      <c r="L198" s="643">
        <v>-0.83510983775166403</v>
      </c>
      <c r="M198" s="643">
        <v>0</v>
      </c>
      <c r="N198" s="643">
        <v>0</v>
      </c>
      <c r="O198" s="643">
        <v>0</v>
      </c>
      <c r="P198" s="644">
        <v>0</v>
      </c>
      <c r="Q198" s="643">
        <v>0</v>
      </c>
      <c r="R198" s="643">
        <v>0</v>
      </c>
      <c r="S198" s="645">
        <v>-81.418211392401957</v>
      </c>
      <c r="U198" s="641" t="s">
        <v>63</v>
      </c>
      <c r="V198" s="642">
        <v>0</v>
      </c>
      <c r="W198" s="643">
        <v>0</v>
      </c>
      <c r="X198" s="643">
        <v>-78.29497747164686</v>
      </c>
      <c r="Y198" s="642">
        <v>0</v>
      </c>
      <c r="Z198" s="643">
        <v>0</v>
      </c>
      <c r="AA198" s="643">
        <v>0</v>
      </c>
      <c r="AB198" s="643">
        <v>0</v>
      </c>
      <c r="AC198" s="643">
        <v>0</v>
      </c>
      <c r="AD198" s="643">
        <v>-3.8806739722042796</v>
      </c>
      <c r="AE198" s="643">
        <v>0</v>
      </c>
      <c r="AF198" s="643">
        <v>0</v>
      </c>
      <c r="AG198" s="643">
        <v>0</v>
      </c>
      <c r="AH198" s="644">
        <v>0</v>
      </c>
      <c r="AI198" s="643">
        <v>0</v>
      </c>
      <c r="AJ198" s="643">
        <v>0</v>
      </c>
      <c r="AK198" s="645">
        <v>-82.175651443851137</v>
      </c>
    </row>
    <row r="199" spans="3:37" ht="13.5">
      <c r="C199" s="641" t="s">
        <v>64</v>
      </c>
      <c r="D199" s="642">
        <v>0</v>
      </c>
      <c r="E199" s="643">
        <v>0</v>
      </c>
      <c r="F199" s="643">
        <v>0</v>
      </c>
      <c r="G199" s="642">
        <v>0</v>
      </c>
      <c r="H199" s="643">
        <v>0</v>
      </c>
      <c r="I199" s="643">
        <v>0</v>
      </c>
      <c r="J199" s="643">
        <v>0</v>
      </c>
      <c r="K199" s="643">
        <v>0</v>
      </c>
      <c r="L199" s="643">
        <v>0</v>
      </c>
      <c r="M199" s="643">
        <v>0</v>
      </c>
      <c r="N199" s="643">
        <v>0</v>
      </c>
      <c r="O199" s="643">
        <v>0</v>
      </c>
      <c r="P199" s="644">
        <v>0</v>
      </c>
      <c r="Q199" s="643">
        <v>0</v>
      </c>
      <c r="R199" s="643">
        <v>0</v>
      </c>
      <c r="S199" s="645">
        <v>0</v>
      </c>
      <c r="U199" s="641" t="s">
        <v>64</v>
      </c>
      <c r="V199" s="642">
        <v>0</v>
      </c>
      <c r="W199" s="643">
        <v>0</v>
      </c>
      <c r="X199" s="643">
        <v>0</v>
      </c>
      <c r="Y199" s="642">
        <v>0</v>
      </c>
      <c r="Z199" s="643">
        <v>0</v>
      </c>
      <c r="AA199" s="643">
        <v>0</v>
      </c>
      <c r="AB199" s="643">
        <v>0</v>
      </c>
      <c r="AC199" s="643">
        <v>0</v>
      </c>
      <c r="AD199" s="643">
        <v>0</v>
      </c>
      <c r="AE199" s="643">
        <v>0</v>
      </c>
      <c r="AF199" s="643">
        <v>0</v>
      </c>
      <c r="AG199" s="643">
        <v>0</v>
      </c>
      <c r="AH199" s="644">
        <v>0</v>
      </c>
      <c r="AI199" s="643">
        <v>0</v>
      </c>
      <c r="AJ199" s="643">
        <v>0</v>
      </c>
      <c r="AK199" s="645">
        <v>0</v>
      </c>
    </row>
    <row r="200" spans="3:37" ht="13.5">
      <c r="C200" s="646" t="s">
        <v>65</v>
      </c>
      <c r="D200" s="647">
        <v>49.173561762123036</v>
      </c>
      <c r="E200" s="647">
        <v>543.58592423347193</v>
      </c>
      <c r="F200" s="647">
        <v>62.224306300877117</v>
      </c>
      <c r="G200" s="647">
        <v>344.01300763471943</v>
      </c>
      <c r="H200" s="647">
        <v>1190.909090909091</v>
      </c>
      <c r="I200" s="647">
        <v>182.7291074592973</v>
      </c>
      <c r="J200" s="647">
        <v>192.69057170146206</v>
      </c>
      <c r="K200" s="647">
        <v>22.268083551618652</v>
      </c>
      <c r="L200" s="647">
        <v>1.234440099748952</v>
      </c>
      <c r="M200" s="647">
        <v>0.13616606414588689</v>
      </c>
      <c r="N200" s="647">
        <v>49.514351265721807</v>
      </c>
      <c r="O200" s="647">
        <v>8.1467195883110648</v>
      </c>
      <c r="P200" s="647">
        <v>-73.711460432822037</v>
      </c>
      <c r="Q200" s="647">
        <v>0</v>
      </c>
      <c r="R200" s="647">
        <v>0</v>
      </c>
      <c r="S200" s="647">
        <v>2572.9138701377656</v>
      </c>
      <c r="U200" s="646" t="s">
        <v>65</v>
      </c>
      <c r="V200" s="647">
        <v>12.56447967339157</v>
      </c>
      <c r="W200" s="647">
        <v>418.96678903167981</v>
      </c>
      <c r="X200" s="647">
        <v>52.42914155430698</v>
      </c>
      <c r="Y200" s="647">
        <v>277.2051969294352</v>
      </c>
      <c r="Z200" s="647">
        <v>1069.3939393939395</v>
      </c>
      <c r="AA200" s="647">
        <v>197.24910745929728</v>
      </c>
      <c r="AB200" s="647">
        <v>185.20712953600363</v>
      </c>
      <c r="AC200" s="647">
        <v>36.932838973655407</v>
      </c>
      <c r="AD200" s="647">
        <v>-1.8111240347036635</v>
      </c>
      <c r="AE200" s="647">
        <v>0.12992352606263979</v>
      </c>
      <c r="AF200" s="647">
        <v>61.091225724919909</v>
      </c>
      <c r="AG200" s="647">
        <v>13.043980364734779</v>
      </c>
      <c r="AH200" s="647">
        <v>-59.233927293838519</v>
      </c>
      <c r="AI200" s="647">
        <v>0</v>
      </c>
      <c r="AJ200" s="647">
        <v>0</v>
      </c>
      <c r="AK200" s="647">
        <v>2263.168700838884</v>
      </c>
    </row>
    <row r="201" spans="3:37" ht="13">
      <c r="C201" s="636"/>
      <c r="D201" s="636">
        <v>0</v>
      </c>
      <c r="E201" s="636">
        <v>0</v>
      </c>
      <c r="F201" s="636">
        <v>0</v>
      </c>
      <c r="G201" s="636">
        <v>0</v>
      </c>
      <c r="H201" s="636">
        <v>0</v>
      </c>
      <c r="I201" s="636">
        <v>0</v>
      </c>
      <c r="J201" s="636">
        <v>0</v>
      </c>
      <c r="K201" s="636">
        <v>0</v>
      </c>
      <c r="L201" s="636">
        <v>0</v>
      </c>
      <c r="M201" s="636">
        <v>0</v>
      </c>
      <c r="N201" s="636">
        <v>0</v>
      </c>
      <c r="O201" s="636">
        <v>0</v>
      </c>
      <c r="P201" s="636">
        <v>0</v>
      </c>
      <c r="Q201" s="636">
        <v>0</v>
      </c>
      <c r="R201" s="636">
        <v>0</v>
      </c>
      <c r="S201" s="636">
        <v>0</v>
      </c>
      <c r="U201" s="636"/>
      <c r="V201" s="636">
        <v>0</v>
      </c>
      <c r="W201" s="636">
        <v>0</v>
      </c>
      <c r="X201" s="636">
        <v>0</v>
      </c>
      <c r="Y201" s="636">
        <v>0</v>
      </c>
      <c r="Z201" s="636">
        <v>0</v>
      </c>
      <c r="AA201" s="636">
        <v>0</v>
      </c>
      <c r="AB201" s="636">
        <v>0</v>
      </c>
      <c r="AC201" s="636">
        <v>0</v>
      </c>
      <c r="AD201" s="636">
        <v>0</v>
      </c>
      <c r="AE201" s="636">
        <v>0</v>
      </c>
      <c r="AF201" s="636">
        <v>0</v>
      </c>
      <c r="AG201" s="636">
        <v>0</v>
      </c>
      <c r="AH201" s="636">
        <v>0</v>
      </c>
      <c r="AI201" s="636">
        <v>0</v>
      </c>
      <c r="AJ201" s="636">
        <v>0</v>
      </c>
      <c r="AK201" s="636">
        <v>0</v>
      </c>
    </row>
    <row r="202" spans="3:37" ht="13.5">
      <c r="C202" s="648" t="s">
        <v>67</v>
      </c>
      <c r="D202" s="642">
        <v>0</v>
      </c>
      <c r="E202" s="649">
        <v>0</v>
      </c>
      <c r="F202" s="649">
        <v>0</v>
      </c>
      <c r="G202" s="642">
        <v>0</v>
      </c>
      <c r="H202" s="642">
        <v>0</v>
      </c>
      <c r="I202" s="642">
        <v>0</v>
      </c>
      <c r="J202" s="642">
        <v>0</v>
      </c>
      <c r="K202" s="642">
        <v>0</v>
      </c>
      <c r="L202" s="642">
        <v>0</v>
      </c>
      <c r="M202" s="642">
        <v>0</v>
      </c>
      <c r="N202" s="642">
        <v>0</v>
      </c>
      <c r="O202" s="642">
        <v>0</v>
      </c>
      <c r="P202" s="642">
        <v>0</v>
      </c>
      <c r="Q202" s="642">
        <v>0</v>
      </c>
      <c r="R202" s="642">
        <v>0</v>
      </c>
      <c r="S202" s="650">
        <v>0</v>
      </c>
      <c r="U202" s="648" t="s">
        <v>67</v>
      </c>
      <c r="V202" s="642">
        <v>0</v>
      </c>
      <c r="W202" s="649">
        <v>0</v>
      </c>
      <c r="X202" s="649">
        <v>0</v>
      </c>
      <c r="Y202" s="642">
        <v>0</v>
      </c>
      <c r="Z202" s="642">
        <v>0</v>
      </c>
      <c r="AA202" s="642">
        <v>0</v>
      </c>
      <c r="AB202" s="642">
        <v>0</v>
      </c>
      <c r="AC202" s="642">
        <v>0</v>
      </c>
      <c r="AD202" s="642">
        <v>0</v>
      </c>
      <c r="AE202" s="642">
        <v>0</v>
      </c>
      <c r="AF202" s="642">
        <v>0</v>
      </c>
      <c r="AG202" s="642">
        <v>0</v>
      </c>
      <c r="AH202" s="642">
        <v>0</v>
      </c>
      <c r="AI202" s="642">
        <v>0</v>
      </c>
      <c r="AJ202" s="642">
        <v>0</v>
      </c>
      <c r="AK202" s="650">
        <v>0</v>
      </c>
    </row>
    <row r="203" spans="3:37" ht="13.5">
      <c r="C203" s="648" t="s">
        <v>350</v>
      </c>
      <c r="D203" s="642">
        <v>2.8267856410252494</v>
      </c>
      <c r="E203" s="642">
        <v>0</v>
      </c>
      <c r="F203" s="642">
        <v>7.5307695076515202</v>
      </c>
      <c r="G203" s="642">
        <v>17.818181818181817</v>
      </c>
      <c r="H203" s="642">
        <v>1190.909090909091</v>
      </c>
      <c r="I203" s="642">
        <v>182.7291074592973</v>
      </c>
      <c r="J203" s="651">
        <v>31.567770517320518</v>
      </c>
      <c r="K203" s="651">
        <v>7.9944017148664477</v>
      </c>
      <c r="L203" s="651">
        <v>2.0695499375006161</v>
      </c>
      <c r="M203" s="651">
        <v>0.46787592950723628</v>
      </c>
      <c r="N203" s="651">
        <v>0</v>
      </c>
      <c r="O203" s="651">
        <v>3.0833964576427819</v>
      </c>
      <c r="P203" s="642">
        <v>-605.52729840025461</v>
      </c>
      <c r="Q203" s="642">
        <v>0</v>
      </c>
      <c r="R203" s="642">
        <v>0</v>
      </c>
      <c r="S203" s="650">
        <v>841.46963149182989</v>
      </c>
      <c r="U203" s="648" t="s">
        <v>350</v>
      </c>
      <c r="V203" s="642">
        <v>0.62631490545869017</v>
      </c>
      <c r="W203" s="642">
        <v>0</v>
      </c>
      <c r="X203" s="642">
        <v>3.6671331440151573</v>
      </c>
      <c r="Y203" s="642">
        <v>45.490909090909085</v>
      </c>
      <c r="Z203" s="642">
        <v>1069.3939393939395</v>
      </c>
      <c r="AA203" s="642">
        <v>197.24910745929728</v>
      </c>
      <c r="AB203" s="651">
        <v>26.112388272824305</v>
      </c>
      <c r="AC203" s="651">
        <v>7.8557568383975527</v>
      </c>
      <c r="AD203" s="651">
        <v>2.0695499375006161</v>
      </c>
      <c r="AE203" s="651">
        <v>5.1587850204163272</v>
      </c>
      <c r="AF203" s="651">
        <v>0</v>
      </c>
      <c r="AG203" s="651">
        <v>3.0833964576427819</v>
      </c>
      <c r="AH203" s="642">
        <v>-594.94729840025457</v>
      </c>
      <c r="AI203" s="642">
        <v>0</v>
      </c>
      <c r="AJ203" s="642">
        <v>0</v>
      </c>
      <c r="AK203" s="650">
        <v>765.75998212014645</v>
      </c>
    </row>
    <row r="204" spans="3:37" ht="13.5">
      <c r="C204" s="648" t="s">
        <v>351</v>
      </c>
      <c r="D204" s="642">
        <v>0</v>
      </c>
      <c r="E204" s="642">
        <v>0</v>
      </c>
      <c r="F204" s="642">
        <v>0</v>
      </c>
      <c r="G204" s="642">
        <v>15.528976420917793</v>
      </c>
      <c r="H204" s="642">
        <v>0</v>
      </c>
      <c r="I204" s="642">
        <v>0</v>
      </c>
      <c r="J204" s="651">
        <v>13.425934567091144</v>
      </c>
      <c r="K204" s="651">
        <v>12.460813842705811</v>
      </c>
      <c r="L204" s="651">
        <v>0</v>
      </c>
      <c r="M204" s="651">
        <v>0.33007353312586968</v>
      </c>
      <c r="N204" s="651">
        <v>0</v>
      </c>
      <c r="O204" s="651">
        <v>2.2140049259569654</v>
      </c>
      <c r="P204" s="642">
        <v>0</v>
      </c>
      <c r="Q204" s="642">
        <v>-39.530815313914701</v>
      </c>
      <c r="R204" s="642">
        <v>0</v>
      </c>
      <c r="S204" s="650">
        <v>4.4289879758828699</v>
      </c>
      <c r="U204" s="648" t="s">
        <v>351</v>
      </c>
      <c r="V204" s="642">
        <v>0</v>
      </c>
      <c r="W204" s="642">
        <v>0</v>
      </c>
      <c r="X204" s="642">
        <v>0</v>
      </c>
      <c r="Y204" s="642">
        <v>17.633177295554518</v>
      </c>
      <c r="Z204" s="642">
        <v>0</v>
      </c>
      <c r="AA204" s="642">
        <v>0</v>
      </c>
      <c r="AB204" s="651">
        <v>25.59264276124566</v>
      </c>
      <c r="AC204" s="651">
        <v>22.938494140017696</v>
      </c>
      <c r="AD204" s="651">
        <v>0</v>
      </c>
      <c r="AE204" s="651">
        <v>1.9723975687129698</v>
      </c>
      <c r="AF204" s="651">
        <v>0</v>
      </c>
      <c r="AG204" s="651">
        <v>5.6361523989336151</v>
      </c>
      <c r="AH204" s="642">
        <v>0</v>
      </c>
      <c r="AI204" s="642">
        <v>-66.845421794322675</v>
      </c>
      <c r="AJ204" s="642">
        <v>0</v>
      </c>
      <c r="AK204" s="650">
        <v>6.927442370141784</v>
      </c>
    </row>
    <row r="205" spans="3:37" ht="13.5">
      <c r="C205" s="648" t="s">
        <v>352</v>
      </c>
      <c r="D205" s="642">
        <v>0</v>
      </c>
      <c r="E205" s="642">
        <v>0</v>
      </c>
      <c r="F205" s="642">
        <v>0</v>
      </c>
      <c r="G205" s="642">
        <v>0</v>
      </c>
      <c r="H205" s="642">
        <v>0</v>
      </c>
      <c r="I205" s="642">
        <v>0</v>
      </c>
      <c r="J205" s="652">
        <v>7.7785999169814284</v>
      </c>
      <c r="K205" s="652">
        <v>0</v>
      </c>
      <c r="L205" s="652">
        <v>0</v>
      </c>
      <c r="M205" s="652">
        <v>-6.767381927773843</v>
      </c>
      <c r="N205" s="652">
        <v>0</v>
      </c>
      <c r="O205" s="652">
        <v>0</v>
      </c>
      <c r="P205" s="642">
        <v>0</v>
      </c>
      <c r="Q205" s="642">
        <v>0</v>
      </c>
      <c r="R205" s="642">
        <v>0</v>
      </c>
      <c r="S205" s="650">
        <v>1.0112179892075854</v>
      </c>
      <c r="U205" s="648" t="s">
        <v>352</v>
      </c>
      <c r="V205" s="642">
        <v>0</v>
      </c>
      <c r="W205" s="642">
        <v>0</v>
      </c>
      <c r="X205" s="642">
        <v>0</v>
      </c>
      <c r="Y205" s="642">
        <v>0</v>
      </c>
      <c r="Z205" s="642">
        <v>0</v>
      </c>
      <c r="AA205" s="642">
        <v>0</v>
      </c>
      <c r="AB205" s="652">
        <v>35.178099528176176</v>
      </c>
      <c r="AC205" s="652">
        <v>0</v>
      </c>
      <c r="AD205" s="652">
        <v>0</v>
      </c>
      <c r="AE205" s="652">
        <v>-30.604946589513276</v>
      </c>
      <c r="AF205" s="652">
        <v>0</v>
      </c>
      <c r="AG205" s="652">
        <v>0</v>
      </c>
      <c r="AH205" s="642">
        <v>0</v>
      </c>
      <c r="AI205" s="642">
        <v>0</v>
      </c>
      <c r="AJ205" s="642">
        <v>0</v>
      </c>
      <c r="AK205" s="650">
        <v>4.5731529386629006</v>
      </c>
    </row>
    <row r="206" spans="3:37" ht="13.5">
      <c r="C206" s="648" t="s">
        <v>353</v>
      </c>
      <c r="D206" s="642">
        <v>0</v>
      </c>
      <c r="E206" s="642">
        <v>0</v>
      </c>
      <c r="F206" s="642">
        <v>0</v>
      </c>
      <c r="G206" s="642">
        <v>0</v>
      </c>
      <c r="H206" s="642">
        <v>0</v>
      </c>
      <c r="I206" s="642">
        <v>0</v>
      </c>
      <c r="J206" s="642">
        <v>0</v>
      </c>
      <c r="K206" s="642">
        <v>0</v>
      </c>
      <c r="L206" s="642">
        <v>0</v>
      </c>
      <c r="M206" s="642">
        <v>0</v>
      </c>
      <c r="N206" s="642">
        <v>0</v>
      </c>
      <c r="O206" s="642">
        <v>0</v>
      </c>
      <c r="P206" s="642">
        <v>0</v>
      </c>
      <c r="Q206" s="642">
        <v>0</v>
      </c>
      <c r="R206" s="642">
        <v>0</v>
      </c>
      <c r="S206" s="650">
        <v>0</v>
      </c>
      <c r="U206" s="648" t="s">
        <v>353</v>
      </c>
      <c r="V206" s="642">
        <v>0</v>
      </c>
      <c r="W206" s="642">
        <v>0</v>
      </c>
      <c r="X206" s="642">
        <v>0</v>
      </c>
      <c r="Y206" s="642">
        <v>0</v>
      </c>
      <c r="Z206" s="642">
        <v>0</v>
      </c>
      <c r="AA206" s="642">
        <v>0</v>
      </c>
      <c r="AB206" s="642">
        <v>0</v>
      </c>
      <c r="AC206" s="642">
        <v>0</v>
      </c>
      <c r="AD206" s="642">
        <v>0</v>
      </c>
      <c r="AE206" s="642">
        <v>0</v>
      </c>
      <c r="AF206" s="642">
        <v>0</v>
      </c>
      <c r="AG206" s="642">
        <v>0</v>
      </c>
      <c r="AH206" s="642">
        <v>0</v>
      </c>
      <c r="AI206" s="642">
        <v>0</v>
      </c>
      <c r="AJ206" s="642">
        <v>0</v>
      </c>
      <c r="AK206" s="650">
        <v>0</v>
      </c>
    </row>
    <row r="207" spans="3:37" ht="13.5">
      <c r="C207" s="648" t="s">
        <v>72</v>
      </c>
      <c r="D207" s="642">
        <v>0</v>
      </c>
      <c r="E207" s="642">
        <v>563.09724372867038</v>
      </c>
      <c r="F207" s="642">
        <v>-557.46627129138369</v>
      </c>
      <c r="G207" s="642">
        <v>0</v>
      </c>
      <c r="H207" s="642">
        <v>0</v>
      </c>
      <c r="I207" s="642">
        <v>0</v>
      </c>
      <c r="J207" s="642">
        <v>0</v>
      </c>
      <c r="K207" s="642">
        <v>0</v>
      </c>
      <c r="L207" s="642">
        <v>0</v>
      </c>
      <c r="M207" s="642">
        <v>0</v>
      </c>
      <c r="N207" s="642">
        <v>0</v>
      </c>
      <c r="O207" s="642">
        <v>0</v>
      </c>
      <c r="P207" s="642">
        <v>0</v>
      </c>
      <c r="Q207" s="642">
        <v>0</v>
      </c>
      <c r="R207" s="642">
        <v>0</v>
      </c>
      <c r="S207" s="650">
        <v>5.6309724372866867</v>
      </c>
      <c r="U207" s="648" t="s">
        <v>72</v>
      </c>
      <c r="V207" s="642">
        <v>0</v>
      </c>
      <c r="W207" s="642">
        <v>434.00506451720082</v>
      </c>
      <c r="X207" s="642">
        <v>-429.66501387202879</v>
      </c>
      <c r="Y207" s="642">
        <v>0</v>
      </c>
      <c r="Z207" s="642">
        <v>0</v>
      </c>
      <c r="AA207" s="642">
        <v>0</v>
      </c>
      <c r="AB207" s="642">
        <v>0</v>
      </c>
      <c r="AC207" s="642">
        <v>0</v>
      </c>
      <c r="AD207" s="642">
        <v>0</v>
      </c>
      <c r="AE207" s="642">
        <v>0</v>
      </c>
      <c r="AF207" s="642">
        <v>0</v>
      </c>
      <c r="AG207" s="642">
        <v>0</v>
      </c>
      <c r="AH207" s="642">
        <v>0</v>
      </c>
      <c r="AI207" s="642">
        <v>0</v>
      </c>
      <c r="AJ207" s="642">
        <v>0</v>
      </c>
      <c r="AK207" s="650">
        <v>4.3400506451720275</v>
      </c>
    </row>
    <row r="208" spans="3:37" ht="13.5">
      <c r="C208" s="648" t="s">
        <v>354</v>
      </c>
      <c r="D208" s="642">
        <v>0</v>
      </c>
      <c r="E208" s="642">
        <v>0</v>
      </c>
      <c r="F208" s="642">
        <v>0</v>
      </c>
      <c r="G208" s="642">
        <v>0</v>
      </c>
      <c r="H208" s="642">
        <v>0</v>
      </c>
      <c r="I208" s="642">
        <v>0</v>
      </c>
      <c r="J208" s="642">
        <v>37.619415842848596</v>
      </c>
      <c r="K208" s="642">
        <v>0</v>
      </c>
      <c r="L208" s="642">
        <v>-37.619415842848596</v>
      </c>
      <c r="M208" s="642">
        <v>0</v>
      </c>
      <c r="N208" s="642">
        <v>0</v>
      </c>
      <c r="O208" s="642">
        <v>0</v>
      </c>
      <c r="P208" s="642">
        <v>0</v>
      </c>
      <c r="Q208" s="642">
        <v>0</v>
      </c>
      <c r="R208" s="642">
        <v>0</v>
      </c>
      <c r="S208" s="650">
        <v>0</v>
      </c>
      <c r="U208" s="648" t="s">
        <v>354</v>
      </c>
      <c r="V208" s="642">
        <v>0</v>
      </c>
      <c r="W208" s="642">
        <v>0</v>
      </c>
      <c r="X208" s="642">
        <v>0</v>
      </c>
      <c r="Y208" s="642">
        <v>0</v>
      </c>
      <c r="Z208" s="642">
        <v>0</v>
      </c>
      <c r="AA208" s="642">
        <v>0</v>
      </c>
      <c r="AB208" s="642" t="e">
        <v>#VALUE!</v>
      </c>
      <c r="AC208" s="642">
        <v>0</v>
      </c>
      <c r="AD208" s="642">
        <v>-46.213611225378862</v>
      </c>
      <c r="AE208" s="642">
        <v>0</v>
      </c>
      <c r="AF208" s="642">
        <v>0</v>
      </c>
      <c r="AG208" s="642">
        <v>0</v>
      </c>
      <c r="AH208" s="642">
        <v>0</v>
      </c>
      <c r="AI208" s="642">
        <v>0</v>
      </c>
      <c r="AJ208" s="642">
        <v>0</v>
      </c>
      <c r="AK208" s="650">
        <v>-46.213611225378862</v>
      </c>
    </row>
    <row r="209" spans="3:37" ht="13.5">
      <c r="C209" s="648" t="s">
        <v>355</v>
      </c>
      <c r="D209" s="642">
        <v>0</v>
      </c>
      <c r="E209" s="642">
        <v>0</v>
      </c>
      <c r="F209" s="642">
        <v>0</v>
      </c>
      <c r="G209" s="642">
        <v>0</v>
      </c>
      <c r="H209" s="642">
        <v>0</v>
      </c>
      <c r="I209" s="642">
        <v>0</v>
      </c>
      <c r="J209" s="642">
        <v>0</v>
      </c>
      <c r="K209" s="642">
        <v>0</v>
      </c>
      <c r="L209" s="642">
        <v>0</v>
      </c>
      <c r="M209" s="642">
        <v>0</v>
      </c>
      <c r="N209" s="642">
        <v>0</v>
      </c>
      <c r="O209" s="642">
        <v>0</v>
      </c>
      <c r="P209" s="642">
        <v>0</v>
      </c>
      <c r="Q209" s="642">
        <v>0</v>
      </c>
      <c r="R209" s="642">
        <v>0</v>
      </c>
      <c r="S209" s="650">
        <v>0</v>
      </c>
      <c r="U209" s="648" t="s">
        <v>355</v>
      </c>
      <c r="V209" s="642">
        <v>0</v>
      </c>
      <c r="W209" s="642">
        <v>0</v>
      </c>
      <c r="X209" s="642">
        <v>0</v>
      </c>
      <c r="Y209" s="642">
        <v>0</v>
      </c>
      <c r="Z209" s="642">
        <v>0</v>
      </c>
      <c r="AA209" s="642">
        <v>0</v>
      </c>
      <c r="AB209" s="642">
        <v>0</v>
      </c>
      <c r="AC209" s="642">
        <v>0</v>
      </c>
      <c r="AD209" s="642">
        <v>-5.5104572320471013</v>
      </c>
      <c r="AE209" s="642">
        <v>0</v>
      </c>
      <c r="AF209" s="642">
        <v>0</v>
      </c>
      <c r="AG209" s="642">
        <v>0</v>
      </c>
      <c r="AH209" s="642">
        <v>0</v>
      </c>
      <c r="AI209" s="642">
        <v>0</v>
      </c>
      <c r="AJ209" s="642">
        <v>0</v>
      </c>
      <c r="AK209" s="650">
        <v>-5.5104572320471013</v>
      </c>
    </row>
    <row r="210" spans="3:37" ht="13.5">
      <c r="C210" s="648" t="s">
        <v>73</v>
      </c>
      <c r="D210" s="642">
        <v>0</v>
      </c>
      <c r="E210" s="642">
        <v>0</v>
      </c>
      <c r="F210" s="642">
        <v>0</v>
      </c>
      <c r="G210" s="642">
        <v>0.90917311757834995</v>
      </c>
      <c r="H210" s="642">
        <v>0</v>
      </c>
      <c r="I210" s="642">
        <v>0</v>
      </c>
      <c r="J210" s="642">
        <v>0</v>
      </c>
      <c r="K210" s="642">
        <v>1.0194809571410069E-2</v>
      </c>
      <c r="L210" s="642">
        <v>0</v>
      </c>
      <c r="M210" s="642">
        <v>1.8554553419966327E-2</v>
      </c>
      <c r="N210" s="642">
        <v>0</v>
      </c>
      <c r="O210" s="642">
        <v>0</v>
      </c>
      <c r="P210" s="642">
        <v>8.7832205538302136E-2</v>
      </c>
      <c r="Q210" s="642">
        <v>0</v>
      </c>
      <c r="R210" s="642">
        <v>-0.71363666999870479</v>
      </c>
      <c r="S210" s="650">
        <v>0.31211801610932366</v>
      </c>
      <c r="U210" s="648" t="s">
        <v>73</v>
      </c>
      <c r="V210" s="642">
        <v>0</v>
      </c>
      <c r="W210" s="642">
        <v>0</v>
      </c>
      <c r="X210" s="642">
        <v>0</v>
      </c>
      <c r="Y210" s="642">
        <v>3.7406895887912213</v>
      </c>
      <c r="Z210" s="642">
        <v>0</v>
      </c>
      <c r="AA210" s="642">
        <v>0</v>
      </c>
      <c r="AB210" s="642">
        <v>0</v>
      </c>
      <c r="AC210" s="642">
        <v>0.10657235295701485</v>
      </c>
      <c r="AD210" s="642">
        <v>0</v>
      </c>
      <c r="AE210" s="642">
        <v>0.4156321765323579</v>
      </c>
      <c r="AF210" s="642">
        <v>0</v>
      </c>
      <c r="AG210" s="642">
        <v>0</v>
      </c>
      <c r="AH210" s="642">
        <v>6.8862135756840344</v>
      </c>
      <c r="AI210" s="642">
        <v>0</v>
      </c>
      <c r="AJ210" s="642">
        <v>-7.4600647069910382</v>
      </c>
      <c r="AK210" s="650">
        <v>3.6890429869735906</v>
      </c>
    </row>
    <row r="211" spans="3:37" ht="13.5">
      <c r="C211" s="648" t="s">
        <v>356</v>
      </c>
      <c r="D211" s="642">
        <v>28.68732140625</v>
      </c>
      <c r="E211" s="642">
        <v>-19.511319495198432</v>
      </c>
      <c r="F211" s="642">
        <v>25.519653459670948</v>
      </c>
      <c r="G211" s="642">
        <v>0</v>
      </c>
      <c r="H211" s="642">
        <v>0</v>
      </c>
      <c r="I211" s="642">
        <v>0</v>
      </c>
      <c r="J211" s="642">
        <v>0</v>
      </c>
      <c r="K211" s="642">
        <v>0</v>
      </c>
      <c r="L211" s="642">
        <v>0</v>
      </c>
      <c r="M211" s="642">
        <v>0</v>
      </c>
      <c r="N211" s="642">
        <v>0</v>
      </c>
      <c r="O211" s="642">
        <v>0</v>
      </c>
      <c r="P211" s="642">
        <v>0</v>
      </c>
      <c r="Q211" s="642">
        <v>0</v>
      </c>
      <c r="R211" s="642">
        <v>0</v>
      </c>
      <c r="S211" s="650">
        <v>34.69565537072252</v>
      </c>
      <c r="U211" s="648" t="s">
        <v>356</v>
      </c>
      <c r="V211" s="642">
        <v>5.4641713867187498</v>
      </c>
      <c r="W211" s="642">
        <v>-15.038275485521009</v>
      </c>
      <c r="X211" s="642">
        <v>19.669176096265762</v>
      </c>
      <c r="Y211" s="642">
        <v>0</v>
      </c>
      <c r="Z211" s="642">
        <v>0</v>
      </c>
      <c r="AA211" s="642">
        <v>0</v>
      </c>
      <c r="AB211" s="642">
        <v>0</v>
      </c>
      <c r="AC211" s="642">
        <v>0</v>
      </c>
      <c r="AD211" s="642">
        <v>0</v>
      </c>
      <c r="AE211" s="642">
        <v>0</v>
      </c>
      <c r="AF211" s="642">
        <v>0</v>
      </c>
      <c r="AG211" s="642">
        <v>0</v>
      </c>
      <c r="AH211" s="642">
        <v>0</v>
      </c>
      <c r="AI211" s="642">
        <v>0</v>
      </c>
      <c r="AJ211" s="642">
        <v>0</v>
      </c>
      <c r="AK211" s="650">
        <v>10.095071997463503</v>
      </c>
    </row>
    <row r="212" spans="3:37" ht="13.5">
      <c r="C212" s="648" t="s">
        <v>75</v>
      </c>
      <c r="D212" s="642">
        <v>11.156180546875001</v>
      </c>
      <c r="E212" s="642">
        <v>0</v>
      </c>
      <c r="F212" s="642">
        <v>19.145306286774794</v>
      </c>
      <c r="G212" s="642">
        <v>5.4631694586555604</v>
      </c>
      <c r="H212" s="642">
        <v>0</v>
      </c>
      <c r="I212" s="642">
        <v>0</v>
      </c>
      <c r="J212" s="642">
        <v>0</v>
      </c>
      <c r="K212" s="642">
        <v>0</v>
      </c>
      <c r="L212" s="642">
        <v>0</v>
      </c>
      <c r="M212" s="642">
        <v>0.11149325425827675</v>
      </c>
      <c r="N212" s="642">
        <v>0</v>
      </c>
      <c r="O212" s="642">
        <v>0</v>
      </c>
      <c r="P212" s="642">
        <v>36.294895286159367</v>
      </c>
      <c r="Q212" s="642">
        <v>0</v>
      </c>
      <c r="R212" s="642">
        <v>0</v>
      </c>
      <c r="S212" s="650">
        <v>72.171044832722998</v>
      </c>
      <c r="U212" s="648" t="s">
        <v>75</v>
      </c>
      <c r="V212" s="642">
        <v>5.6084375</v>
      </c>
      <c r="W212" s="642">
        <v>0</v>
      </c>
      <c r="X212" s="642">
        <v>19.145306286774794</v>
      </c>
      <c r="Y212" s="642">
        <v>5.0171964416224535</v>
      </c>
      <c r="Z212" s="642">
        <v>0</v>
      </c>
      <c r="AA212" s="642">
        <v>0</v>
      </c>
      <c r="AB212" s="642">
        <v>0</v>
      </c>
      <c r="AC212" s="642">
        <v>0</v>
      </c>
      <c r="AD212" s="642">
        <v>0</v>
      </c>
      <c r="AE212" s="642">
        <v>0.55746627129138371</v>
      </c>
      <c r="AF212" s="642">
        <v>0</v>
      </c>
      <c r="AG212" s="642">
        <v>0</v>
      </c>
      <c r="AH212" s="642">
        <v>31.128531649795733</v>
      </c>
      <c r="AI212" s="642">
        <v>0</v>
      </c>
      <c r="AJ212" s="642">
        <v>0</v>
      </c>
      <c r="AK212" s="650">
        <v>61.456938149484365</v>
      </c>
    </row>
    <row r="213" spans="3:37" ht="13.5">
      <c r="C213" s="648" t="s">
        <v>76</v>
      </c>
      <c r="D213" s="642">
        <v>0</v>
      </c>
      <c r="E213" s="642">
        <v>0</v>
      </c>
      <c r="F213" s="642">
        <v>0</v>
      </c>
      <c r="G213" s="642">
        <v>3.9320361398527859</v>
      </c>
      <c r="H213" s="642">
        <v>0</v>
      </c>
      <c r="I213" s="642">
        <v>0</v>
      </c>
      <c r="J213" s="642">
        <v>0</v>
      </c>
      <c r="K213" s="642">
        <v>0</v>
      </c>
      <c r="L213" s="642">
        <v>0</v>
      </c>
      <c r="M213" s="642">
        <v>8.0245635507199722E-2</v>
      </c>
      <c r="N213" s="642">
        <v>0</v>
      </c>
      <c r="O213" s="642">
        <v>0</v>
      </c>
      <c r="P213" s="642">
        <v>40.722330861669313</v>
      </c>
      <c r="Q213" s="642">
        <v>3.067587727965682</v>
      </c>
      <c r="R213" s="642">
        <v>0</v>
      </c>
      <c r="S213" s="650">
        <v>47.802200364994981</v>
      </c>
      <c r="U213" s="648" t="s">
        <v>76</v>
      </c>
      <c r="V213" s="642">
        <v>0</v>
      </c>
      <c r="W213" s="642">
        <v>0</v>
      </c>
      <c r="X213" s="642">
        <v>0</v>
      </c>
      <c r="Y213" s="642">
        <v>3.2661405451259231</v>
      </c>
      <c r="Z213" s="642">
        <v>0</v>
      </c>
      <c r="AA213" s="642">
        <v>0</v>
      </c>
      <c r="AB213" s="642">
        <v>0</v>
      </c>
      <c r="AC213" s="642">
        <v>0</v>
      </c>
      <c r="AD213" s="642">
        <v>0</v>
      </c>
      <c r="AE213" s="642">
        <v>0.36290450501399146</v>
      </c>
      <c r="AF213" s="642">
        <v>0</v>
      </c>
      <c r="AG213" s="642">
        <v>0</v>
      </c>
      <c r="AH213" s="642">
        <v>41.021033770751153</v>
      </c>
      <c r="AI213" s="642">
        <v>5.1842177504327198</v>
      </c>
      <c r="AJ213" s="642">
        <v>0</v>
      </c>
      <c r="AK213" s="650">
        <v>49.83429657132379</v>
      </c>
    </row>
    <row r="214" spans="3:37" ht="13.5">
      <c r="C214" s="646" t="s">
        <v>77</v>
      </c>
      <c r="D214" s="647">
        <v>42.670287594150253</v>
      </c>
      <c r="E214" s="647">
        <v>543.58592423347193</v>
      </c>
      <c r="F214" s="647">
        <v>-505.27054203728642</v>
      </c>
      <c r="G214" s="647">
        <v>43.651536955186302</v>
      </c>
      <c r="H214" s="647">
        <v>1190.909090909091</v>
      </c>
      <c r="I214" s="647">
        <v>182.7291074592973</v>
      </c>
      <c r="J214" s="647">
        <v>90.391720844241689</v>
      </c>
      <c r="K214" s="647">
        <v>20.465410367143665</v>
      </c>
      <c r="L214" s="647">
        <v>-35.549865905347978</v>
      </c>
      <c r="M214" s="647">
        <v>-5.7591390219552938</v>
      </c>
      <c r="N214" s="647">
        <v>0</v>
      </c>
      <c r="O214" s="647">
        <v>5.2974013835997482</v>
      </c>
      <c r="P214" s="647">
        <v>-528.42224004688751</v>
      </c>
      <c r="Q214" s="647">
        <v>-36.463227585949021</v>
      </c>
      <c r="R214" s="647">
        <v>-0.71363666999870479</v>
      </c>
      <c r="S214" s="647">
        <v>1007.5218284787569</v>
      </c>
      <c r="U214" s="646" t="s">
        <v>77</v>
      </c>
      <c r="V214" s="647">
        <v>11.698923792177441</v>
      </c>
      <c r="W214" s="647">
        <v>418.96678903167981</v>
      </c>
      <c r="X214" s="647">
        <v>-387.18339834497311</v>
      </c>
      <c r="Y214" s="647">
        <v>75.148112962003211</v>
      </c>
      <c r="Z214" s="647">
        <v>1069.3939393939395</v>
      </c>
      <c r="AA214" s="647">
        <v>197.24910745929728</v>
      </c>
      <c r="AB214" s="647">
        <v>86.883130562246151</v>
      </c>
      <c r="AC214" s="647">
        <v>30.900823331372262</v>
      </c>
      <c r="AD214" s="647">
        <v>-49.654518519925347</v>
      </c>
      <c r="AE214" s="647">
        <v>-22.137761047546249</v>
      </c>
      <c r="AF214" s="647">
        <v>0</v>
      </c>
      <c r="AG214" s="647">
        <v>8.719548856576397</v>
      </c>
      <c r="AH214" s="647">
        <v>-515.91151940402369</v>
      </c>
      <c r="AI214" s="647">
        <v>-61.66120404388996</v>
      </c>
      <c r="AJ214" s="647">
        <v>-7.4600647069910382</v>
      </c>
      <c r="AK214" s="647">
        <v>854.95190932194248</v>
      </c>
    </row>
    <row r="215" spans="3:37" ht="13">
      <c r="C215" s="636"/>
      <c r="D215" s="636">
        <v>0</v>
      </c>
      <c r="E215" s="636">
        <v>0</v>
      </c>
      <c r="F215" s="636">
        <v>0</v>
      </c>
      <c r="G215" s="636">
        <v>0</v>
      </c>
      <c r="H215" s="636">
        <v>0</v>
      </c>
      <c r="I215" s="636">
        <v>0</v>
      </c>
      <c r="J215" s="636">
        <v>0</v>
      </c>
      <c r="K215" s="636">
        <v>0</v>
      </c>
      <c r="L215" s="636">
        <v>0</v>
      </c>
      <c r="M215" s="636">
        <v>0</v>
      </c>
      <c r="N215" s="636">
        <v>0</v>
      </c>
      <c r="O215" s="636">
        <v>0</v>
      </c>
      <c r="P215" s="636">
        <v>0</v>
      </c>
      <c r="Q215" s="636">
        <v>0</v>
      </c>
      <c r="R215" s="636">
        <v>0</v>
      </c>
      <c r="S215" s="636">
        <v>0</v>
      </c>
      <c r="U215" s="636"/>
      <c r="V215" s="636">
        <v>0</v>
      </c>
      <c r="W215" s="636">
        <v>0</v>
      </c>
      <c r="X215" s="636">
        <v>0</v>
      </c>
      <c r="Y215" s="636">
        <v>0</v>
      </c>
      <c r="Z215" s="636">
        <v>0</v>
      </c>
      <c r="AA215" s="636">
        <v>0</v>
      </c>
      <c r="AB215" s="636">
        <v>0</v>
      </c>
      <c r="AC215" s="636">
        <v>0</v>
      </c>
      <c r="AD215" s="636">
        <v>0</v>
      </c>
      <c r="AE215" s="636">
        <v>0</v>
      </c>
      <c r="AF215" s="636">
        <v>0</v>
      </c>
      <c r="AG215" s="636">
        <v>0</v>
      </c>
      <c r="AH215" s="636">
        <v>0</v>
      </c>
      <c r="AI215" s="636">
        <v>0</v>
      </c>
      <c r="AJ215" s="636">
        <v>0</v>
      </c>
      <c r="AK215" s="636">
        <v>0</v>
      </c>
    </row>
    <row r="216" spans="3:37" ht="13.5">
      <c r="C216" s="648" t="s">
        <v>78</v>
      </c>
      <c r="D216" s="642">
        <v>6.5032741679727843</v>
      </c>
      <c r="E216" s="642">
        <v>0</v>
      </c>
      <c r="F216" s="642">
        <v>25.052429385041094</v>
      </c>
      <c r="G216" s="642">
        <v>105.0474497029609</v>
      </c>
      <c r="H216" s="642">
        <v>0</v>
      </c>
      <c r="I216" s="642">
        <v>0</v>
      </c>
      <c r="J216" s="642">
        <v>18.534460646102772</v>
      </c>
      <c r="K216" s="642">
        <v>1.777675824710524</v>
      </c>
      <c r="L216" s="642">
        <v>0.85092246484375</v>
      </c>
      <c r="M216" s="642">
        <v>2.1625963554323833</v>
      </c>
      <c r="N216" s="642">
        <v>0</v>
      </c>
      <c r="O216" s="642">
        <v>3.8267455312152764E-4</v>
      </c>
      <c r="P216" s="642">
        <v>109.51907717242362</v>
      </c>
      <c r="Q216" s="642">
        <v>16.327213841854732</v>
      </c>
      <c r="R216" s="642">
        <v>0.36001684570312498</v>
      </c>
      <c r="S216" s="650">
        <v>286.13549908159882</v>
      </c>
      <c r="U216" s="648" t="s">
        <v>78</v>
      </c>
      <c r="V216" s="642">
        <v>0.86555588121413052</v>
      </c>
      <c r="W216" s="642">
        <v>0</v>
      </c>
      <c r="X216" s="642">
        <v>16.762295336222397</v>
      </c>
      <c r="Y216" s="642">
        <v>79.095876477460209</v>
      </c>
      <c r="Z216" s="642">
        <v>0</v>
      </c>
      <c r="AA216" s="642">
        <v>0</v>
      </c>
      <c r="AB216" s="642">
        <v>17.089093863910584</v>
      </c>
      <c r="AC216" s="642">
        <v>6.0070182825186862</v>
      </c>
      <c r="AD216" s="642">
        <v>1.13006109375</v>
      </c>
      <c r="AE216" s="642">
        <v>8.8072015710081235</v>
      </c>
      <c r="AF216" s="642">
        <v>0</v>
      </c>
      <c r="AG216" s="642">
        <v>3.8267455312152764E-4</v>
      </c>
      <c r="AH216" s="642">
        <v>130.4568218783393</v>
      </c>
      <c r="AI216" s="642">
        <v>20.327951659562498</v>
      </c>
      <c r="AJ216" s="642">
        <v>4.7486479492187499</v>
      </c>
      <c r="AK216" s="650">
        <v>285.29090666775784</v>
      </c>
    </row>
    <row r="217" spans="3:37" ht="13.5">
      <c r="C217" s="648" t="s">
        <v>79</v>
      </c>
      <c r="D217" s="642">
        <v>0</v>
      </c>
      <c r="E217" s="642">
        <v>0</v>
      </c>
      <c r="F217" s="642">
        <v>344.1701238998171</v>
      </c>
      <c r="G217" s="642">
        <v>14.686948049507158</v>
      </c>
      <c r="H217" s="642">
        <v>0</v>
      </c>
      <c r="I217" s="642">
        <v>0</v>
      </c>
      <c r="J217" s="642">
        <v>0</v>
      </c>
      <c r="K217" s="642">
        <v>0</v>
      </c>
      <c r="L217" s="642">
        <v>33.466916874810835</v>
      </c>
      <c r="M217" s="642">
        <v>0.29973363366341144</v>
      </c>
      <c r="N217" s="642">
        <v>0</v>
      </c>
      <c r="O217" s="642">
        <v>0</v>
      </c>
      <c r="P217" s="642">
        <v>30.235692409435519</v>
      </c>
      <c r="Q217" s="642">
        <v>0</v>
      </c>
      <c r="R217" s="642">
        <v>0.35361982429557981</v>
      </c>
      <c r="S217" s="650">
        <v>423.21303469152963</v>
      </c>
      <c r="U217" s="648" t="s">
        <v>79</v>
      </c>
      <c r="V217" s="642">
        <v>0</v>
      </c>
      <c r="W217" s="642">
        <v>0</v>
      </c>
      <c r="X217" s="642">
        <v>271.88041786379415</v>
      </c>
      <c r="Y217" s="642">
        <v>13.227335330391124</v>
      </c>
      <c r="Z217" s="642">
        <v>0</v>
      </c>
      <c r="AA217" s="642">
        <v>0</v>
      </c>
      <c r="AB217" s="642">
        <v>0</v>
      </c>
      <c r="AC217" s="642">
        <v>0</v>
      </c>
      <c r="AD217" s="642">
        <v>36.694869225102572</v>
      </c>
      <c r="AE217" s="642">
        <v>1.4697039255990136</v>
      </c>
      <c r="AF217" s="642">
        <v>0</v>
      </c>
      <c r="AG217" s="642">
        <v>0</v>
      </c>
      <c r="AH217" s="642">
        <v>34.641740873286757</v>
      </c>
      <c r="AI217" s="642">
        <v>0</v>
      </c>
      <c r="AJ217" s="642">
        <v>0.81877289536698361</v>
      </c>
      <c r="AK217" s="650">
        <v>358.73284011354053</v>
      </c>
    </row>
    <row r="218" spans="3:37" ht="13.5">
      <c r="C218" s="648" t="s">
        <v>80</v>
      </c>
      <c r="D218" s="642">
        <v>0</v>
      </c>
      <c r="E218" s="642">
        <v>0</v>
      </c>
      <c r="F218" s="642">
        <v>31.509183869953784</v>
      </c>
      <c r="G218" s="642">
        <v>103.72357678672635</v>
      </c>
      <c r="H218" s="642">
        <v>0</v>
      </c>
      <c r="I218" s="642">
        <v>0</v>
      </c>
      <c r="J218" s="642">
        <v>78.735270640359559</v>
      </c>
      <c r="K218" s="642">
        <v>0</v>
      </c>
      <c r="L218" s="642">
        <v>0</v>
      </c>
      <c r="M218" s="642">
        <v>2.1168076895250278</v>
      </c>
      <c r="N218" s="642">
        <v>41.43976216997369</v>
      </c>
      <c r="O218" s="642">
        <v>1.9317269815068459</v>
      </c>
      <c r="P218" s="642">
        <v>175.94122104806229</v>
      </c>
      <c r="Q218" s="642">
        <v>15.783130887728015</v>
      </c>
      <c r="R218" s="642">
        <v>0</v>
      </c>
      <c r="S218" s="650">
        <v>451.18068007383562</v>
      </c>
      <c r="U218" s="648" t="s">
        <v>80</v>
      </c>
      <c r="V218" s="642">
        <v>0</v>
      </c>
      <c r="W218" s="642">
        <v>0</v>
      </c>
      <c r="X218" s="642">
        <v>2.7574808042030705</v>
      </c>
      <c r="Y218" s="642">
        <v>67.24718580242552</v>
      </c>
      <c r="Z218" s="642">
        <v>0</v>
      </c>
      <c r="AA218" s="642">
        <v>0</v>
      </c>
      <c r="AB218" s="642">
        <v>71.925876784938879</v>
      </c>
      <c r="AC218" s="642">
        <v>0</v>
      </c>
      <c r="AD218" s="642">
        <v>0</v>
      </c>
      <c r="AE218" s="642">
        <v>7.4719095336028349</v>
      </c>
      <c r="AF218" s="642">
        <v>46.984438986784113</v>
      </c>
      <c r="AG218" s="642">
        <v>1.9327369863094026</v>
      </c>
      <c r="AH218" s="642">
        <v>159.87092870367675</v>
      </c>
      <c r="AI218" s="642">
        <v>32.787807198116425</v>
      </c>
      <c r="AJ218" s="642">
        <v>0</v>
      </c>
      <c r="AK218" s="650">
        <v>390.97836480005702</v>
      </c>
    </row>
    <row r="219" spans="3:37" ht="13.5">
      <c r="C219" s="648" t="s">
        <v>81</v>
      </c>
      <c r="D219" s="642">
        <v>0</v>
      </c>
      <c r="E219" s="642">
        <v>0</v>
      </c>
      <c r="F219" s="642">
        <v>13.089485167364064</v>
      </c>
      <c r="G219" s="642">
        <v>62.329787012805554</v>
      </c>
      <c r="H219" s="642">
        <v>0</v>
      </c>
      <c r="I219" s="642">
        <v>0</v>
      </c>
      <c r="J219" s="642">
        <v>3.5803203712753549</v>
      </c>
      <c r="K219" s="642">
        <v>2.4997359764460676E-2</v>
      </c>
      <c r="L219" s="642">
        <v>0</v>
      </c>
      <c r="M219" s="642">
        <v>1.2720364696490929</v>
      </c>
      <c r="N219" s="642">
        <v>8.0745890957481183</v>
      </c>
      <c r="O219" s="642">
        <v>0.83294326034961275</v>
      </c>
      <c r="P219" s="642">
        <v>131.24016316985416</v>
      </c>
      <c r="Q219" s="642">
        <v>4.3528828563662758</v>
      </c>
      <c r="R219" s="642">
        <v>0</v>
      </c>
      <c r="S219" s="650">
        <v>224.79720476317669</v>
      </c>
      <c r="U219" s="648" t="s">
        <v>81</v>
      </c>
      <c r="V219" s="642">
        <v>0</v>
      </c>
      <c r="W219" s="642">
        <v>0</v>
      </c>
      <c r="X219" s="642">
        <v>3.9119597768221439</v>
      </c>
      <c r="Y219" s="642">
        <v>38.3508738706755</v>
      </c>
      <c r="Z219" s="642">
        <v>0</v>
      </c>
      <c r="AA219" s="642">
        <v>0</v>
      </c>
      <c r="AB219" s="642">
        <v>7.8602291254253389</v>
      </c>
      <c r="AC219" s="642">
        <v>2.4997359764460676E-2</v>
      </c>
      <c r="AD219" s="642">
        <v>0</v>
      </c>
      <c r="AE219" s="642">
        <v>4.2612082078528335</v>
      </c>
      <c r="AF219" s="642">
        <v>14.106786738135797</v>
      </c>
      <c r="AG219" s="642">
        <v>1.7661272775976942</v>
      </c>
      <c r="AH219" s="642">
        <v>123.29032263862543</v>
      </c>
      <c r="AI219" s="642">
        <v>8.5454451862110297</v>
      </c>
      <c r="AJ219" s="642">
        <v>0</v>
      </c>
      <c r="AK219" s="650">
        <v>202.11795018111022</v>
      </c>
    </row>
    <row r="220" spans="3:37" ht="13.5">
      <c r="C220" s="648" t="s">
        <v>82</v>
      </c>
      <c r="D220" s="642">
        <v>0</v>
      </c>
      <c r="E220" s="642">
        <v>0</v>
      </c>
      <c r="F220" s="642">
        <v>33.167847610565538</v>
      </c>
      <c r="G220" s="642">
        <v>2.1624159537319825</v>
      </c>
      <c r="H220" s="642">
        <v>0</v>
      </c>
      <c r="I220" s="642">
        <v>0</v>
      </c>
      <c r="J220" s="642">
        <v>1.4487991994826963</v>
      </c>
      <c r="K220" s="642">
        <v>0</v>
      </c>
      <c r="L220" s="642">
        <v>2.4657875210358444</v>
      </c>
      <c r="M220" s="642">
        <v>4.4130937831264955E-2</v>
      </c>
      <c r="N220" s="642">
        <v>0</v>
      </c>
      <c r="O220" s="642">
        <v>8.4265288301735436E-2</v>
      </c>
      <c r="P220" s="642">
        <v>7.7746258142900144</v>
      </c>
      <c r="Q220" s="642">
        <v>0</v>
      </c>
      <c r="R220" s="642">
        <v>0</v>
      </c>
      <c r="S220" s="650">
        <v>47.147872325239064</v>
      </c>
      <c r="U220" s="648" t="s">
        <v>82</v>
      </c>
      <c r="V220" s="642">
        <v>0</v>
      </c>
      <c r="W220" s="642">
        <v>0</v>
      </c>
      <c r="X220" s="642">
        <v>27.0175910939627</v>
      </c>
      <c r="Y220" s="642">
        <v>2.3189520199147382</v>
      </c>
      <c r="Z220" s="642">
        <v>0</v>
      </c>
      <c r="AA220" s="642">
        <v>0</v>
      </c>
      <c r="AB220" s="642">
        <v>1.4487991994826963</v>
      </c>
      <c r="AC220" s="642">
        <v>0</v>
      </c>
      <c r="AD220" s="642">
        <v>9.9723689588186737</v>
      </c>
      <c r="AE220" s="642">
        <v>0.257661335546082</v>
      </c>
      <c r="AF220" s="642">
        <v>0</v>
      </c>
      <c r="AG220" s="642">
        <v>0.62518456969816016</v>
      </c>
      <c r="AH220" s="642">
        <v>7.8177780162568453</v>
      </c>
      <c r="AI220" s="642">
        <v>0</v>
      </c>
      <c r="AJ220" s="642">
        <v>0.17366238047171115</v>
      </c>
      <c r="AK220" s="650">
        <v>49.631997574151612</v>
      </c>
    </row>
    <row r="221" spans="3:37" ht="13.5">
      <c r="C221" s="648" t="s">
        <v>357</v>
      </c>
      <c r="D221" s="642">
        <v>0</v>
      </c>
      <c r="E221" s="642">
        <v>0</v>
      </c>
      <c r="F221" s="642">
        <v>0</v>
      </c>
      <c r="G221" s="642">
        <v>0</v>
      </c>
      <c r="H221" s="642">
        <v>0</v>
      </c>
      <c r="I221" s="642">
        <v>0</v>
      </c>
      <c r="J221" s="642">
        <v>0</v>
      </c>
      <c r="K221" s="642">
        <v>0</v>
      </c>
      <c r="L221" s="642">
        <v>0</v>
      </c>
      <c r="M221" s="642">
        <v>0</v>
      </c>
      <c r="N221" s="642">
        <v>0</v>
      </c>
      <c r="O221" s="642">
        <v>0</v>
      </c>
      <c r="P221" s="642">
        <v>0</v>
      </c>
      <c r="Q221" s="642">
        <v>0</v>
      </c>
      <c r="R221" s="642">
        <v>0</v>
      </c>
      <c r="S221" s="650">
        <v>0</v>
      </c>
      <c r="U221" s="648" t="s">
        <v>357</v>
      </c>
      <c r="V221" s="642">
        <v>0</v>
      </c>
      <c r="W221" s="642">
        <v>0</v>
      </c>
      <c r="X221" s="642">
        <v>0</v>
      </c>
      <c r="Y221" s="642">
        <v>0</v>
      </c>
      <c r="Z221" s="642">
        <v>0</v>
      </c>
      <c r="AA221" s="642">
        <v>0</v>
      </c>
      <c r="AB221" s="642">
        <v>0</v>
      </c>
      <c r="AC221" s="642">
        <v>0</v>
      </c>
      <c r="AD221" s="642">
        <v>0</v>
      </c>
      <c r="AE221" s="642">
        <v>0</v>
      </c>
      <c r="AF221" s="642">
        <v>0</v>
      </c>
      <c r="AG221" s="642">
        <v>0</v>
      </c>
      <c r="AH221" s="642">
        <v>0.6</v>
      </c>
      <c r="AI221" s="642">
        <v>0</v>
      </c>
      <c r="AJ221" s="642">
        <v>0</v>
      </c>
      <c r="AK221" s="650">
        <v>0.6</v>
      </c>
    </row>
    <row r="222" spans="3:37" ht="13.5">
      <c r="C222" s="646" t="s">
        <v>83</v>
      </c>
      <c r="D222" s="647">
        <v>6.5032741679727843</v>
      </c>
      <c r="E222" s="647">
        <v>0</v>
      </c>
      <c r="F222" s="647">
        <v>446.98906993274153</v>
      </c>
      <c r="G222" s="647">
        <v>287.95017750573197</v>
      </c>
      <c r="H222" s="647">
        <v>0</v>
      </c>
      <c r="I222" s="647">
        <v>0</v>
      </c>
      <c r="J222" s="647">
        <v>102.29885085722037</v>
      </c>
      <c r="K222" s="647">
        <v>1.8026731844749846</v>
      </c>
      <c r="L222" s="647">
        <v>36.783626860690426</v>
      </c>
      <c r="M222" s="647">
        <v>5.8953050861011809</v>
      </c>
      <c r="N222" s="647">
        <v>49.514351265721807</v>
      </c>
      <c r="O222" s="647">
        <v>2.8493182047113157</v>
      </c>
      <c r="P222" s="647">
        <v>454.71077961406559</v>
      </c>
      <c r="Q222" s="647">
        <v>36.463227585949028</v>
      </c>
      <c r="R222" s="647">
        <v>0.71363666999870479</v>
      </c>
      <c r="S222" s="647">
        <v>1432.4742909353797</v>
      </c>
      <c r="U222" s="646" t="s">
        <v>83</v>
      </c>
      <c r="V222" s="647">
        <v>0.86555588121413052</v>
      </c>
      <c r="W222" s="647">
        <v>0</v>
      </c>
      <c r="X222" s="647">
        <v>322.32974487500439</v>
      </c>
      <c r="Y222" s="647">
        <v>200.24022350086713</v>
      </c>
      <c r="Z222" s="647">
        <v>0</v>
      </c>
      <c r="AA222" s="647">
        <v>0</v>
      </c>
      <c r="AB222" s="647">
        <v>98.323998973757497</v>
      </c>
      <c r="AC222" s="647">
        <v>6.032015642283147</v>
      </c>
      <c r="AD222" s="647">
        <v>47.797299277671243</v>
      </c>
      <c r="AE222" s="647">
        <v>22.267684573608886</v>
      </c>
      <c r="AF222" s="647">
        <v>61.091225724919909</v>
      </c>
      <c r="AG222" s="647">
        <v>4.3244315081583782</v>
      </c>
      <c r="AH222" s="647">
        <v>456.67759211018512</v>
      </c>
      <c r="AI222" s="647">
        <v>61.66120404388996</v>
      </c>
      <c r="AJ222" s="647">
        <v>5.7410832250574444</v>
      </c>
      <c r="AK222" s="647">
        <v>1287.352059336617</v>
      </c>
    </row>
    <row r="223" spans="3:37" ht="13.5">
      <c r="C223" s="641" t="s">
        <v>84</v>
      </c>
      <c r="D223" s="642">
        <v>0</v>
      </c>
      <c r="E223" s="642">
        <v>0</v>
      </c>
      <c r="F223" s="642">
        <v>120.50577840542185</v>
      </c>
      <c r="G223" s="642">
        <v>12.411293173801123</v>
      </c>
      <c r="H223" s="642">
        <v>0</v>
      </c>
      <c r="I223" s="642">
        <v>0</v>
      </c>
      <c r="J223" s="642">
        <v>0</v>
      </c>
      <c r="K223" s="642">
        <v>0</v>
      </c>
      <c r="L223" s="642">
        <v>0</v>
      </c>
      <c r="M223" s="642">
        <v>0</v>
      </c>
      <c r="N223" s="642">
        <v>0</v>
      </c>
      <c r="O223" s="642">
        <v>0</v>
      </c>
      <c r="P223" s="642">
        <v>0</v>
      </c>
      <c r="Q223" s="642">
        <v>0</v>
      </c>
      <c r="R223" s="642">
        <v>0</v>
      </c>
      <c r="S223" s="650">
        <v>132.91707157922298</v>
      </c>
      <c r="U223" s="641" t="s">
        <v>84</v>
      </c>
      <c r="V223" s="642">
        <v>0</v>
      </c>
      <c r="W223" s="642">
        <v>0</v>
      </c>
      <c r="X223" s="642">
        <v>117.28279502427566</v>
      </c>
      <c r="Y223" s="642">
        <v>1.8168604665649504</v>
      </c>
      <c r="Z223" s="642">
        <v>0</v>
      </c>
      <c r="AA223" s="642">
        <v>0</v>
      </c>
      <c r="AB223" s="642">
        <v>0</v>
      </c>
      <c r="AC223" s="642">
        <v>0</v>
      </c>
      <c r="AD223" s="642">
        <v>0.35207966308593752</v>
      </c>
      <c r="AE223" s="642">
        <v>0</v>
      </c>
      <c r="AF223" s="642">
        <v>0</v>
      </c>
      <c r="AG223" s="642">
        <v>0</v>
      </c>
      <c r="AH223" s="642">
        <v>0</v>
      </c>
      <c r="AI223" s="642">
        <v>0</v>
      </c>
      <c r="AJ223" s="642">
        <v>1.7189814819335938</v>
      </c>
      <c r="AK223" s="650">
        <v>121.17071663586013</v>
      </c>
    </row>
    <row r="224" spans="3:37" ht="13.5">
      <c r="C224" s="646" t="s">
        <v>85</v>
      </c>
      <c r="D224" s="647">
        <v>6.5032741679727843</v>
      </c>
      <c r="E224" s="647">
        <v>0</v>
      </c>
      <c r="F224" s="647">
        <v>567.49484833816337</v>
      </c>
      <c r="G224" s="647">
        <v>300.36147067953311</v>
      </c>
      <c r="H224" s="647">
        <v>0</v>
      </c>
      <c r="I224" s="647">
        <v>0</v>
      </c>
      <c r="J224" s="647">
        <v>102.29885085722037</v>
      </c>
      <c r="K224" s="647">
        <v>1.8026731844749846</v>
      </c>
      <c r="L224" s="647">
        <v>36.783626860690426</v>
      </c>
      <c r="M224" s="647">
        <v>5.8953050861011809</v>
      </c>
      <c r="N224" s="647">
        <v>49.514351265721807</v>
      </c>
      <c r="O224" s="647">
        <v>2.8493182047113157</v>
      </c>
      <c r="P224" s="647">
        <v>454.71077961406559</v>
      </c>
      <c r="Q224" s="647">
        <v>36.463227585949028</v>
      </c>
      <c r="R224" s="647">
        <v>0.71363666999870479</v>
      </c>
      <c r="S224" s="647">
        <v>1565.3913625146026</v>
      </c>
      <c r="U224" s="646" t="s">
        <v>85</v>
      </c>
      <c r="V224" s="647">
        <v>0.86555588121413052</v>
      </c>
      <c r="W224" s="647">
        <v>0</v>
      </c>
      <c r="X224" s="647">
        <v>439.61253989928008</v>
      </c>
      <c r="Y224" s="647">
        <v>202.05708396743208</v>
      </c>
      <c r="Z224" s="647">
        <v>0</v>
      </c>
      <c r="AA224" s="647">
        <v>0</v>
      </c>
      <c r="AB224" s="647">
        <v>98.323998973757497</v>
      </c>
      <c r="AC224" s="647">
        <v>6.032015642283147</v>
      </c>
      <c r="AD224" s="647">
        <v>48.149378940757181</v>
      </c>
      <c r="AE224" s="647">
        <v>22.267684573608886</v>
      </c>
      <c r="AF224" s="647">
        <v>61.091225724919909</v>
      </c>
      <c r="AG224" s="647">
        <v>4.3244315081583782</v>
      </c>
      <c r="AH224" s="647">
        <v>456.67759211018512</v>
      </c>
      <c r="AI224" s="647">
        <v>61.66120404388996</v>
      </c>
      <c r="AJ224" s="647">
        <v>7.4600647069910382</v>
      </c>
      <c r="AK224" s="647">
        <v>1408.5227759724771</v>
      </c>
    </row>
    <row r="225" spans="3:37" ht="13">
      <c r="C225" s="636"/>
      <c r="D225" s="636"/>
      <c r="E225" s="636"/>
      <c r="F225" s="636"/>
      <c r="G225" s="636"/>
      <c r="H225" s="636"/>
      <c r="I225" s="636"/>
      <c r="J225" s="636"/>
      <c r="K225" s="636"/>
      <c r="L225" s="636"/>
      <c r="M225" s="636"/>
      <c r="N225" s="636"/>
      <c r="O225" s="636"/>
      <c r="P225" s="636"/>
      <c r="Q225" s="636"/>
      <c r="R225" s="636"/>
      <c r="S225" s="636"/>
      <c r="U225" s="636"/>
      <c r="V225" s="636"/>
      <c r="W225" s="636"/>
      <c r="X225" s="636"/>
      <c r="Y225" s="636"/>
      <c r="Z225" s="636"/>
      <c r="AA225" s="636"/>
      <c r="AB225" s="636"/>
      <c r="AC225" s="636"/>
      <c r="AD225" s="636"/>
      <c r="AE225" s="636"/>
      <c r="AF225" s="636"/>
      <c r="AG225" s="636"/>
      <c r="AH225" s="636"/>
      <c r="AI225" s="636"/>
      <c r="AJ225" s="636"/>
      <c r="AK225" s="636"/>
    </row>
    <row r="226" spans="3:37" ht="22.5">
      <c r="C226" s="699" t="s">
        <v>360</v>
      </c>
      <c r="D226" s="699"/>
      <c r="E226" s="699"/>
      <c r="F226" s="699"/>
      <c r="G226" s="699"/>
      <c r="H226" s="699"/>
      <c r="I226" s="699"/>
      <c r="J226" s="699"/>
      <c r="K226" s="699"/>
      <c r="L226" s="699"/>
      <c r="M226" s="699"/>
      <c r="N226" s="699"/>
      <c r="O226" s="699"/>
      <c r="P226" s="699"/>
      <c r="Q226" s="699"/>
      <c r="R226" s="699"/>
      <c r="S226" s="699"/>
      <c r="U226" s="699" t="s">
        <v>360</v>
      </c>
      <c r="V226" s="699"/>
      <c r="W226" s="699"/>
      <c r="X226" s="699"/>
      <c r="Y226" s="699"/>
      <c r="Z226" s="699"/>
      <c r="AA226" s="699"/>
      <c r="AB226" s="699"/>
      <c r="AC226" s="699"/>
      <c r="AD226" s="699"/>
      <c r="AE226" s="699"/>
      <c r="AF226" s="699"/>
      <c r="AG226" s="699"/>
      <c r="AH226" s="699"/>
      <c r="AI226" s="699"/>
      <c r="AJ226" s="699"/>
      <c r="AK226" s="699"/>
    </row>
    <row r="227" spans="3:37" ht="13">
      <c r="C227" s="636"/>
      <c r="D227" s="636"/>
      <c r="E227" s="636"/>
      <c r="F227" s="636"/>
      <c r="G227" s="636"/>
      <c r="H227" s="636"/>
      <c r="I227" s="636"/>
      <c r="J227" s="636"/>
      <c r="K227" s="636"/>
      <c r="L227" s="636"/>
      <c r="M227" s="636"/>
      <c r="N227" s="636"/>
      <c r="O227" s="636"/>
      <c r="P227" s="636"/>
      <c r="Q227" s="636"/>
      <c r="R227" s="636"/>
      <c r="S227" s="636"/>
      <c r="U227" s="636"/>
      <c r="V227" s="636"/>
      <c r="W227" s="636"/>
      <c r="X227" s="636"/>
      <c r="Y227" s="636"/>
      <c r="Z227" s="636"/>
      <c r="AA227" s="636"/>
      <c r="AB227" s="636"/>
      <c r="AC227" s="636"/>
      <c r="AD227" s="636"/>
      <c r="AE227" s="636"/>
      <c r="AF227" s="636"/>
      <c r="AG227" s="636"/>
      <c r="AH227" s="636"/>
      <c r="AI227" s="636"/>
      <c r="AJ227" s="636"/>
      <c r="AK227" s="636"/>
    </row>
    <row r="228" spans="3:37" ht="13" customHeight="1">
      <c r="C228" s="700" t="s">
        <v>128</v>
      </c>
      <c r="D228" s="701" t="s">
        <v>42</v>
      </c>
      <c r="E228" s="701" t="s">
        <v>52</v>
      </c>
      <c r="F228" s="701" t="s">
        <v>53</v>
      </c>
      <c r="G228" s="701" t="s">
        <v>32</v>
      </c>
      <c r="H228" s="701" t="s">
        <v>20</v>
      </c>
      <c r="I228" s="701" t="s">
        <v>55</v>
      </c>
      <c r="J228" s="701" t="s">
        <v>56</v>
      </c>
      <c r="K228" s="701"/>
      <c r="L228" s="701"/>
      <c r="M228" s="701"/>
      <c r="N228" s="701"/>
      <c r="O228" s="701"/>
      <c r="P228" s="701" t="s">
        <v>57</v>
      </c>
      <c r="Q228" s="701" t="s">
        <v>58</v>
      </c>
      <c r="R228" s="701" t="s">
        <v>31</v>
      </c>
      <c r="S228" s="701" t="s">
        <v>10</v>
      </c>
      <c r="U228" s="700" t="s">
        <v>128</v>
      </c>
      <c r="V228" s="701" t="s">
        <v>42</v>
      </c>
      <c r="W228" s="701" t="s">
        <v>52</v>
      </c>
      <c r="X228" s="701" t="s">
        <v>53</v>
      </c>
      <c r="Y228" s="701" t="s">
        <v>32</v>
      </c>
      <c r="Z228" s="701" t="s">
        <v>20</v>
      </c>
      <c r="AA228" s="701" t="s">
        <v>55</v>
      </c>
      <c r="AB228" s="701" t="s">
        <v>56</v>
      </c>
      <c r="AC228" s="701"/>
      <c r="AD228" s="701"/>
      <c r="AE228" s="701"/>
      <c r="AF228" s="701"/>
      <c r="AG228" s="701"/>
      <c r="AH228" s="701" t="s">
        <v>57</v>
      </c>
      <c r="AI228" s="701" t="s">
        <v>58</v>
      </c>
      <c r="AJ228" s="701" t="s">
        <v>31</v>
      </c>
      <c r="AK228" s="701" t="s">
        <v>10</v>
      </c>
    </row>
    <row r="229" spans="3:37" ht="46">
      <c r="C229" s="700"/>
      <c r="D229" s="701"/>
      <c r="E229" s="701"/>
      <c r="F229" s="701"/>
      <c r="G229" s="701"/>
      <c r="H229" s="701"/>
      <c r="I229" s="701"/>
      <c r="J229" s="640" t="s">
        <v>338</v>
      </c>
      <c r="K229" s="640" t="s">
        <v>40</v>
      </c>
      <c r="L229" s="640" t="s">
        <v>346</v>
      </c>
      <c r="M229" s="640" t="s">
        <v>347</v>
      </c>
      <c r="N229" s="640" t="s">
        <v>348</v>
      </c>
      <c r="O229" s="640" t="s">
        <v>349</v>
      </c>
      <c r="P229" s="701"/>
      <c r="Q229" s="701"/>
      <c r="R229" s="701"/>
      <c r="S229" s="701"/>
      <c r="U229" s="700"/>
      <c r="V229" s="701"/>
      <c r="W229" s="701"/>
      <c r="X229" s="701"/>
      <c r="Y229" s="701"/>
      <c r="Z229" s="701"/>
      <c r="AA229" s="701"/>
      <c r="AB229" s="640" t="s">
        <v>338</v>
      </c>
      <c r="AC229" s="640" t="s">
        <v>40</v>
      </c>
      <c r="AD229" s="640" t="s">
        <v>346</v>
      </c>
      <c r="AE229" s="640" t="s">
        <v>347</v>
      </c>
      <c r="AF229" s="640" t="s">
        <v>348</v>
      </c>
      <c r="AG229" s="640" t="s">
        <v>349</v>
      </c>
      <c r="AH229" s="701"/>
      <c r="AI229" s="701"/>
      <c r="AJ229" s="701"/>
      <c r="AK229" s="701"/>
    </row>
    <row r="230" spans="3:37" ht="13.5">
      <c r="C230" s="641" t="s">
        <v>59</v>
      </c>
      <c r="D230" s="642">
        <v>0</v>
      </c>
      <c r="E230" s="643">
        <v>7.3966799999999999</v>
      </c>
      <c r="F230" s="643">
        <v>0</v>
      </c>
      <c r="G230" s="642">
        <v>0.13025600000000001</v>
      </c>
      <c r="H230" s="643">
        <v>1121.3636363636365</v>
      </c>
      <c r="I230" s="643">
        <v>207.57369132422022</v>
      </c>
      <c r="J230" s="643">
        <v>190.75115787672021</v>
      </c>
      <c r="K230" s="643">
        <v>21.756321957796004</v>
      </c>
      <c r="L230" s="643">
        <v>0.34997737871272444</v>
      </c>
      <c r="M230" s="643">
        <v>0.14846473955328648</v>
      </c>
      <c r="N230" s="643">
        <v>54.409714472774652</v>
      </c>
      <c r="O230" s="643">
        <v>8.1015620286034657</v>
      </c>
      <c r="P230" s="644">
        <v>0</v>
      </c>
      <c r="Q230" s="643">
        <v>0</v>
      </c>
      <c r="R230" s="643">
        <v>0</v>
      </c>
      <c r="S230" s="645">
        <v>1611.9814621420169</v>
      </c>
      <c r="U230" s="641" t="s">
        <v>59</v>
      </c>
      <c r="V230" s="642">
        <v>0</v>
      </c>
      <c r="W230" s="643">
        <v>7.3966799999999999</v>
      </c>
      <c r="X230" s="643">
        <v>0</v>
      </c>
      <c r="Y230" s="642">
        <v>0.13025600000000001</v>
      </c>
      <c r="Z230" s="643">
        <v>1024.3939393939395</v>
      </c>
      <c r="AA230" s="643">
        <v>228.1236913242202</v>
      </c>
      <c r="AB230" s="643">
        <v>188.80425896422437</v>
      </c>
      <c r="AC230" s="643">
        <v>37.588366510920622</v>
      </c>
      <c r="AD230" s="643">
        <v>0.34997737871272444</v>
      </c>
      <c r="AE230" s="643">
        <v>0.14846473955328648</v>
      </c>
      <c r="AF230" s="643">
        <v>70.498567758341522</v>
      </c>
      <c r="AG230" s="643">
        <v>15.201618538088493</v>
      </c>
      <c r="AH230" s="644">
        <v>0</v>
      </c>
      <c r="AI230" s="643">
        <v>0</v>
      </c>
      <c r="AJ230" s="643">
        <v>0</v>
      </c>
      <c r="AK230" s="645">
        <v>1572.6358206080006</v>
      </c>
    </row>
    <row r="231" spans="3:37" ht="13.5">
      <c r="C231" s="641" t="s">
        <v>60</v>
      </c>
      <c r="D231" s="642">
        <v>48.993463204278932</v>
      </c>
      <c r="E231" s="643">
        <v>524.37115290345116</v>
      </c>
      <c r="F231" s="643">
        <v>128.47715148642752</v>
      </c>
      <c r="G231" s="642">
        <v>338.60190682175607</v>
      </c>
      <c r="H231" s="643">
        <v>0</v>
      </c>
      <c r="I231" s="643">
        <v>0</v>
      </c>
      <c r="J231" s="643">
        <v>3.4492102766833175</v>
      </c>
      <c r="K231" s="643">
        <v>0</v>
      </c>
      <c r="L231" s="643">
        <v>1.9497058389942057</v>
      </c>
      <c r="M231" s="643">
        <v>0</v>
      </c>
      <c r="N231" s="643">
        <v>0</v>
      </c>
      <c r="O231" s="643">
        <v>0</v>
      </c>
      <c r="P231" s="644">
        <v>0</v>
      </c>
      <c r="Q231" s="643">
        <v>0</v>
      </c>
      <c r="R231" s="643">
        <v>0</v>
      </c>
      <c r="S231" s="645">
        <v>1045.8425905315912</v>
      </c>
      <c r="U231" s="641" t="s">
        <v>60</v>
      </c>
      <c r="V231" s="642">
        <v>10.847134235204434</v>
      </c>
      <c r="W231" s="643">
        <v>365.76498082844296</v>
      </c>
      <c r="X231" s="643">
        <v>91.958139733680838</v>
      </c>
      <c r="Y231" s="642">
        <v>234.76100914366791</v>
      </c>
      <c r="Z231" s="643">
        <v>0</v>
      </c>
      <c r="AA231" s="643">
        <v>0</v>
      </c>
      <c r="AB231" s="643">
        <v>3.4492102766833175</v>
      </c>
      <c r="AC231" s="643">
        <v>0</v>
      </c>
      <c r="AD231" s="643">
        <v>1.9497058389942057</v>
      </c>
      <c r="AE231" s="643">
        <v>0</v>
      </c>
      <c r="AF231" s="643">
        <v>0</v>
      </c>
      <c r="AG231" s="643">
        <v>0</v>
      </c>
      <c r="AH231" s="644">
        <v>0</v>
      </c>
      <c r="AI231" s="643">
        <v>0</v>
      </c>
      <c r="AJ231" s="643">
        <v>0</v>
      </c>
      <c r="AK231" s="645">
        <v>708.7301800566737</v>
      </c>
    </row>
    <row r="232" spans="3:37" ht="13.5">
      <c r="C232" s="641" t="s">
        <v>61</v>
      </c>
      <c r="D232" s="642">
        <v>0</v>
      </c>
      <c r="E232" s="643">
        <v>0</v>
      </c>
      <c r="F232" s="643">
        <v>0</v>
      </c>
      <c r="G232" s="642">
        <v>0</v>
      </c>
      <c r="H232" s="643">
        <v>0</v>
      </c>
      <c r="I232" s="643">
        <v>0</v>
      </c>
      <c r="J232" s="643">
        <v>0</v>
      </c>
      <c r="K232" s="643">
        <v>0</v>
      </c>
      <c r="L232" s="643">
        <v>0</v>
      </c>
      <c r="M232" s="643">
        <v>0</v>
      </c>
      <c r="N232" s="643">
        <v>0</v>
      </c>
      <c r="O232" s="643">
        <v>0</v>
      </c>
      <c r="P232" s="644">
        <v>-60.003896317889257</v>
      </c>
      <c r="Q232" s="643">
        <v>0</v>
      </c>
      <c r="R232" s="643">
        <v>0</v>
      </c>
      <c r="S232" s="645">
        <v>-60.003896317889257</v>
      </c>
      <c r="U232" s="641" t="s">
        <v>61</v>
      </c>
      <c r="V232" s="642">
        <v>0</v>
      </c>
      <c r="W232" s="643">
        <v>0</v>
      </c>
      <c r="X232" s="643">
        <v>0</v>
      </c>
      <c r="Y232" s="642">
        <v>0</v>
      </c>
      <c r="Z232" s="643">
        <v>0</v>
      </c>
      <c r="AA232" s="643">
        <v>0</v>
      </c>
      <c r="AB232" s="643">
        <v>0</v>
      </c>
      <c r="AC232" s="643">
        <v>0</v>
      </c>
      <c r="AD232" s="643">
        <v>0</v>
      </c>
      <c r="AE232" s="643">
        <v>0</v>
      </c>
      <c r="AF232" s="643">
        <v>0</v>
      </c>
      <c r="AG232" s="643">
        <v>0</v>
      </c>
      <c r="AH232" s="644">
        <v>-43.289743938015249</v>
      </c>
      <c r="AI232" s="643">
        <v>0</v>
      </c>
      <c r="AJ232" s="643">
        <v>0</v>
      </c>
      <c r="AK232" s="645">
        <v>-43.289743938015249</v>
      </c>
    </row>
    <row r="233" spans="3:37" ht="13.5">
      <c r="C233" s="641" t="s">
        <v>62</v>
      </c>
      <c r="D233" s="642">
        <v>0</v>
      </c>
      <c r="E233" s="643">
        <v>0</v>
      </c>
      <c r="F233" s="643">
        <v>-16.352432750095883</v>
      </c>
      <c r="G233" s="642">
        <v>0</v>
      </c>
      <c r="H233" s="643">
        <v>0</v>
      </c>
      <c r="I233" s="643">
        <v>0</v>
      </c>
      <c r="J233" s="643">
        <v>0</v>
      </c>
      <c r="K233" s="643">
        <v>0</v>
      </c>
      <c r="L233" s="643">
        <v>0</v>
      </c>
      <c r="M233" s="643">
        <v>0</v>
      </c>
      <c r="N233" s="643">
        <v>0</v>
      </c>
      <c r="O233" s="643">
        <v>0</v>
      </c>
      <c r="P233" s="644">
        <v>0</v>
      </c>
      <c r="Q233" s="643">
        <v>0</v>
      </c>
      <c r="R233" s="643">
        <v>0</v>
      </c>
      <c r="S233" s="645">
        <v>-16.352432750095883</v>
      </c>
      <c r="U233" s="641" t="s">
        <v>62</v>
      </c>
      <c r="V233" s="642">
        <v>0</v>
      </c>
      <c r="W233" s="643">
        <v>0</v>
      </c>
      <c r="X233" s="643">
        <v>-14.208433022133823</v>
      </c>
      <c r="Y233" s="642">
        <v>-0.95675088928507923</v>
      </c>
      <c r="Z233" s="643">
        <v>0</v>
      </c>
      <c r="AA233" s="643">
        <v>0</v>
      </c>
      <c r="AB233" s="643">
        <v>0</v>
      </c>
      <c r="AC233" s="643">
        <v>0</v>
      </c>
      <c r="AD233" s="643">
        <v>0</v>
      </c>
      <c r="AE233" s="643">
        <v>-0.16736955973660289</v>
      </c>
      <c r="AF233" s="643">
        <v>0</v>
      </c>
      <c r="AG233" s="643">
        <v>0</v>
      </c>
      <c r="AH233" s="644">
        <v>0</v>
      </c>
      <c r="AI233" s="643">
        <v>0</v>
      </c>
      <c r="AJ233" s="643">
        <v>0</v>
      </c>
      <c r="AK233" s="645">
        <v>-15.332553471155505</v>
      </c>
    </row>
    <row r="234" spans="3:37" ht="13.5">
      <c r="C234" s="641" t="s">
        <v>63</v>
      </c>
      <c r="D234" s="642">
        <v>0</v>
      </c>
      <c r="E234" s="643">
        <v>0</v>
      </c>
      <c r="F234" s="643">
        <v>-82.364123594751035</v>
      </c>
      <c r="G234" s="642">
        <v>0</v>
      </c>
      <c r="H234" s="643">
        <v>0</v>
      </c>
      <c r="I234" s="643">
        <v>0</v>
      </c>
      <c r="J234" s="643">
        <v>0</v>
      </c>
      <c r="K234" s="643">
        <v>0</v>
      </c>
      <c r="L234" s="643">
        <v>-0.84952974503182688</v>
      </c>
      <c r="M234" s="643">
        <v>0</v>
      </c>
      <c r="N234" s="643">
        <v>0</v>
      </c>
      <c r="O234" s="643">
        <v>0</v>
      </c>
      <c r="P234" s="644">
        <v>0</v>
      </c>
      <c r="Q234" s="643">
        <v>0</v>
      </c>
      <c r="R234" s="643">
        <v>0</v>
      </c>
      <c r="S234" s="645">
        <v>-83.213653339782866</v>
      </c>
      <c r="U234" s="641" t="s">
        <v>63</v>
      </c>
      <c r="V234" s="642">
        <v>0</v>
      </c>
      <c r="W234" s="643">
        <v>0</v>
      </c>
      <c r="X234" s="643">
        <v>-71.599112277853877</v>
      </c>
      <c r="Y234" s="642">
        <v>0</v>
      </c>
      <c r="Z234" s="643">
        <v>0</v>
      </c>
      <c r="AA234" s="643">
        <v>0</v>
      </c>
      <c r="AB234" s="643">
        <v>0</v>
      </c>
      <c r="AC234" s="643">
        <v>0</v>
      </c>
      <c r="AD234" s="643">
        <v>-10.622786066784549</v>
      </c>
      <c r="AE234" s="643">
        <v>0</v>
      </c>
      <c r="AF234" s="643">
        <v>0</v>
      </c>
      <c r="AG234" s="643">
        <v>0</v>
      </c>
      <c r="AH234" s="644">
        <v>0</v>
      </c>
      <c r="AI234" s="643">
        <v>0</v>
      </c>
      <c r="AJ234" s="643">
        <v>0</v>
      </c>
      <c r="AK234" s="645">
        <v>-82.221898344638419</v>
      </c>
    </row>
    <row r="235" spans="3:37" ht="13.5">
      <c r="C235" s="641" t="s">
        <v>64</v>
      </c>
      <c r="D235" s="642">
        <v>0</v>
      </c>
      <c r="E235" s="643">
        <v>0</v>
      </c>
      <c r="F235" s="643">
        <v>0</v>
      </c>
      <c r="G235" s="642">
        <v>0</v>
      </c>
      <c r="H235" s="643">
        <v>0</v>
      </c>
      <c r="I235" s="643">
        <v>0</v>
      </c>
      <c r="J235" s="643">
        <v>0</v>
      </c>
      <c r="K235" s="643">
        <v>0</v>
      </c>
      <c r="L235" s="643">
        <v>0</v>
      </c>
      <c r="M235" s="643">
        <v>0</v>
      </c>
      <c r="N235" s="643">
        <v>0</v>
      </c>
      <c r="O235" s="643">
        <v>0</v>
      </c>
      <c r="P235" s="644">
        <v>0</v>
      </c>
      <c r="Q235" s="643">
        <v>0</v>
      </c>
      <c r="R235" s="643">
        <v>0</v>
      </c>
      <c r="S235" s="645">
        <v>0</v>
      </c>
      <c r="U235" s="641" t="s">
        <v>64</v>
      </c>
      <c r="V235" s="642">
        <v>0</v>
      </c>
      <c r="W235" s="643">
        <v>0</v>
      </c>
      <c r="X235" s="643">
        <v>0</v>
      </c>
      <c r="Y235" s="642">
        <v>0</v>
      </c>
      <c r="Z235" s="643">
        <v>0</v>
      </c>
      <c r="AA235" s="643">
        <v>0</v>
      </c>
      <c r="AB235" s="643">
        <v>0</v>
      </c>
      <c r="AC235" s="643">
        <v>0</v>
      </c>
      <c r="AD235" s="643">
        <v>0</v>
      </c>
      <c r="AE235" s="643">
        <v>0</v>
      </c>
      <c r="AF235" s="643">
        <v>0</v>
      </c>
      <c r="AG235" s="643">
        <v>0</v>
      </c>
      <c r="AH235" s="644">
        <v>0</v>
      </c>
      <c r="AI235" s="643">
        <v>0</v>
      </c>
      <c r="AJ235" s="643">
        <v>0</v>
      </c>
      <c r="AK235" s="645">
        <v>0</v>
      </c>
    </row>
    <row r="236" spans="3:37" ht="13.5">
      <c r="C236" s="646" t="s">
        <v>65</v>
      </c>
      <c r="D236" s="647">
        <v>48.993463204278932</v>
      </c>
      <c r="E236" s="647">
        <v>531.76783290345111</v>
      </c>
      <c r="F236" s="647">
        <v>29.760595141580591</v>
      </c>
      <c r="G236" s="647">
        <v>338.73216282175605</v>
      </c>
      <c r="H236" s="647">
        <v>1121.3636363636365</v>
      </c>
      <c r="I236" s="647">
        <v>207.57369132422022</v>
      </c>
      <c r="J236" s="647">
        <v>194.20036815340353</v>
      </c>
      <c r="K236" s="647">
        <v>21.756321957796004</v>
      </c>
      <c r="L236" s="647">
        <v>1.4501534726751033</v>
      </c>
      <c r="M236" s="647">
        <v>0.14846473955328648</v>
      </c>
      <c r="N236" s="647">
        <v>54.409714472774652</v>
      </c>
      <c r="O236" s="647">
        <v>8.1015620286034657</v>
      </c>
      <c r="P236" s="647">
        <v>-60.003896317889257</v>
      </c>
      <c r="Q236" s="647">
        <v>0</v>
      </c>
      <c r="R236" s="647">
        <v>0</v>
      </c>
      <c r="S236" s="647">
        <v>2498.2540702658398</v>
      </c>
      <c r="U236" s="646" t="s">
        <v>65</v>
      </c>
      <c r="V236" s="647">
        <v>10.847134235204434</v>
      </c>
      <c r="W236" s="647">
        <v>373.16166082844296</v>
      </c>
      <c r="X236" s="647">
        <v>6.1505944336931329</v>
      </c>
      <c r="Y236" s="647">
        <v>233.93451425438283</v>
      </c>
      <c r="Z236" s="647">
        <v>1024.3939393939395</v>
      </c>
      <c r="AA236" s="647">
        <v>228.1236913242202</v>
      </c>
      <c r="AB236" s="647">
        <v>192.25346924090769</v>
      </c>
      <c r="AC236" s="647">
        <v>37.588366510920622</v>
      </c>
      <c r="AD236" s="647">
        <v>-8.3231028490776193</v>
      </c>
      <c r="AE236" s="647">
        <v>-1.8904820183316406E-2</v>
      </c>
      <c r="AF236" s="647">
        <v>70.498567758341522</v>
      </c>
      <c r="AG236" s="647">
        <v>15.201618538088493</v>
      </c>
      <c r="AH236" s="647">
        <v>-43.289743938015249</v>
      </c>
      <c r="AI236" s="647">
        <v>0</v>
      </c>
      <c r="AJ236" s="647">
        <v>0</v>
      </c>
      <c r="AK236" s="647">
        <v>2140.5218049108653</v>
      </c>
    </row>
    <row r="237" spans="3:37" ht="13">
      <c r="C237" s="636"/>
      <c r="D237" s="636">
        <v>0</v>
      </c>
      <c r="E237" s="636">
        <v>0</v>
      </c>
      <c r="F237" s="636">
        <v>0</v>
      </c>
      <c r="G237" s="636">
        <v>0</v>
      </c>
      <c r="H237" s="636">
        <v>0</v>
      </c>
      <c r="I237" s="636">
        <v>0</v>
      </c>
      <c r="J237" s="636">
        <v>0</v>
      </c>
      <c r="K237" s="636">
        <v>0</v>
      </c>
      <c r="L237" s="636">
        <v>0</v>
      </c>
      <c r="M237" s="636">
        <v>0</v>
      </c>
      <c r="N237" s="636">
        <v>0</v>
      </c>
      <c r="O237" s="636">
        <v>0</v>
      </c>
      <c r="P237" s="636">
        <v>0</v>
      </c>
      <c r="Q237" s="636">
        <v>0</v>
      </c>
      <c r="R237" s="636">
        <v>0</v>
      </c>
      <c r="S237" s="636">
        <v>0</v>
      </c>
      <c r="U237" s="636"/>
      <c r="V237" s="636">
        <v>0</v>
      </c>
      <c r="W237" s="636">
        <v>0</v>
      </c>
      <c r="X237" s="636">
        <v>0</v>
      </c>
      <c r="Y237" s="636">
        <v>0</v>
      </c>
      <c r="Z237" s="636">
        <v>0</v>
      </c>
      <c r="AA237" s="636">
        <v>0</v>
      </c>
      <c r="AB237" s="636">
        <v>0</v>
      </c>
      <c r="AC237" s="636">
        <v>0</v>
      </c>
      <c r="AD237" s="636">
        <v>0</v>
      </c>
      <c r="AE237" s="636">
        <v>0</v>
      </c>
      <c r="AF237" s="636">
        <v>0</v>
      </c>
      <c r="AG237" s="636">
        <v>0</v>
      </c>
      <c r="AH237" s="636">
        <v>0</v>
      </c>
      <c r="AI237" s="636">
        <v>0</v>
      </c>
      <c r="AJ237" s="636">
        <v>0</v>
      </c>
      <c r="AK237" s="636">
        <v>0</v>
      </c>
    </row>
    <row r="238" spans="3:37" ht="13.5">
      <c r="C238" s="648" t="s">
        <v>67</v>
      </c>
      <c r="D238" s="642">
        <v>0</v>
      </c>
      <c r="E238" s="649">
        <v>0</v>
      </c>
      <c r="F238" s="649">
        <v>0</v>
      </c>
      <c r="G238" s="642">
        <v>0</v>
      </c>
      <c r="H238" s="642">
        <v>0</v>
      </c>
      <c r="I238" s="642">
        <v>0</v>
      </c>
      <c r="J238" s="642">
        <v>0</v>
      </c>
      <c r="K238" s="642">
        <v>0</v>
      </c>
      <c r="L238" s="642">
        <v>0</v>
      </c>
      <c r="M238" s="642">
        <v>0</v>
      </c>
      <c r="N238" s="642">
        <v>0</v>
      </c>
      <c r="O238" s="642">
        <v>0</v>
      </c>
      <c r="P238" s="642">
        <v>0</v>
      </c>
      <c r="Q238" s="642">
        <v>0</v>
      </c>
      <c r="R238" s="642">
        <v>0</v>
      </c>
      <c r="S238" s="650">
        <v>0</v>
      </c>
      <c r="U238" s="648" t="s">
        <v>67</v>
      </c>
      <c r="V238" s="642">
        <v>0</v>
      </c>
      <c r="W238" s="649">
        <v>0</v>
      </c>
      <c r="X238" s="649">
        <v>0</v>
      </c>
      <c r="Y238" s="642">
        <v>0</v>
      </c>
      <c r="Z238" s="642">
        <v>0</v>
      </c>
      <c r="AA238" s="642">
        <v>0</v>
      </c>
      <c r="AB238" s="642">
        <v>0</v>
      </c>
      <c r="AC238" s="642">
        <v>0</v>
      </c>
      <c r="AD238" s="642">
        <v>0</v>
      </c>
      <c r="AE238" s="642">
        <v>0</v>
      </c>
      <c r="AF238" s="642">
        <v>0</v>
      </c>
      <c r="AG238" s="642">
        <v>0</v>
      </c>
      <c r="AH238" s="642">
        <v>0</v>
      </c>
      <c r="AI238" s="642">
        <v>0</v>
      </c>
      <c r="AJ238" s="642">
        <v>0</v>
      </c>
      <c r="AK238" s="650">
        <v>0</v>
      </c>
    </row>
    <row r="239" spans="3:37" ht="13.5">
      <c r="C239" s="648" t="s">
        <v>350</v>
      </c>
      <c r="D239" s="642">
        <v>2.8267856410252494</v>
      </c>
      <c r="E239" s="642">
        <v>0</v>
      </c>
      <c r="F239" s="642">
        <v>7.7941116668718937</v>
      </c>
      <c r="G239" s="642">
        <v>17.578475336322871</v>
      </c>
      <c r="H239" s="642">
        <v>1121.3636363636365</v>
      </c>
      <c r="I239" s="642">
        <v>207.57369132422022</v>
      </c>
      <c r="J239" s="651">
        <v>30.869450548245954</v>
      </c>
      <c r="K239" s="651">
        <v>7.6561165469613854</v>
      </c>
      <c r="L239" s="651">
        <v>2.2996832177069302</v>
      </c>
      <c r="M239" s="651">
        <v>0.47494016865067573</v>
      </c>
      <c r="N239" s="651">
        <v>0</v>
      </c>
      <c r="O239" s="651">
        <v>3.0833964576427819</v>
      </c>
      <c r="P239" s="642">
        <v>-607.79183020434141</v>
      </c>
      <c r="Q239" s="642">
        <v>0</v>
      </c>
      <c r="R239" s="642">
        <v>0</v>
      </c>
      <c r="S239" s="650">
        <v>793.72845706694284</v>
      </c>
      <c r="U239" s="648" t="s">
        <v>350</v>
      </c>
      <c r="V239" s="642">
        <v>0.62631490545869017</v>
      </c>
      <c r="W239" s="642">
        <v>0</v>
      </c>
      <c r="X239" s="642">
        <v>3.93047530323553</v>
      </c>
      <c r="Y239" s="642">
        <v>32.755695067264575</v>
      </c>
      <c r="Z239" s="642">
        <v>1024.3939393939395</v>
      </c>
      <c r="AA239" s="642">
        <v>228.1236913242202</v>
      </c>
      <c r="AB239" s="651">
        <v>25.192532039575013</v>
      </c>
      <c r="AC239" s="651">
        <v>7.1226809684101786</v>
      </c>
      <c r="AD239" s="651">
        <v>2.2996832177069302</v>
      </c>
      <c r="AE239" s="651">
        <v>5.010724922013905</v>
      </c>
      <c r="AF239" s="651">
        <v>0</v>
      </c>
      <c r="AG239" s="651">
        <v>3.0833964576427819</v>
      </c>
      <c r="AH239" s="642">
        <v>-605.04183020434141</v>
      </c>
      <c r="AI239" s="642">
        <v>0</v>
      </c>
      <c r="AJ239" s="642">
        <v>1.4249999999999998</v>
      </c>
      <c r="AK239" s="650">
        <v>728.92230339512548</v>
      </c>
    </row>
    <row r="240" spans="3:37" ht="13.5">
      <c r="C240" s="648" t="s">
        <v>351</v>
      </c>
      <c r="D240" s="642">
        <v>0</v>
      </c>
      <c r="E240" s="642">
        <v>0</v>
      </c>
      <c r="F240" s="642">
        <v>0</v>
      </c>
      <c r="G240" s="642">
        <v>15.306890454029709</v>
      </c>
      <c r="H240" s="642">
        <v>0</v>
      </c>
      <c r="I240" s="642">
        <v>0</v>
      </c>
      <c r="J240" s="651">
        <v>13.130836985616687</v>
      </c>
      <c r="K240" s="651">
        <v>12.274327089138302</v>
      </c>
      <c r="L240" s="651">
        <v>0</v>
      </c>
      <c r="M240" s="651">
        <v>0.32594257421966627</v>
      </c>
      <c r="N240" s="651">
        <v>0</v>
      </c>
      <c r="O240" s="651">
        <v>2.1777173090422202</v>
      </c>
      <c r="P240" s="642">
        <v>0</v>
      </c>
      <c r="Q240" s="642">
        <v>-38.962978394907431</v>
      </c>
      <c r="R240" s="642">
        <v>0</v>
      </c>
      <c r="S240" s="650">
        <v>4.2527360171391511</v>
      </c>
      <c r="U240" s="648" t="s">
        <v>351</v>
      </c>
      <c r="V240" s="642">
        <v>0</v>
      </c>
      <c r="W240" s="642">
        <v>0</v>
      </c>
      <c r="X240" s="642">
        <v>0</v>
      </c>
      <c r="Y240" s="642">
        <v>16.285163933286896</v>
      </c>
      <c r="Z240" s="642">
        <v>0</v>
      </c>
      <c r="AA240" s="642">
        <v>0</v>
      </c>
      <c r="AB240" s="651">
        <v>27.330859307935192</v>
      </c>
      <c r="AC240" s="651">
        <v>24.40929016388429</v>
      </c>
      <c r="AD240" s="651">
        <v>0</v>
      </c>
      <c r="AE240" s="651">
        <v>2.4469723551258755</v>
      </c>
      <c r="AF240" s="651">
        <v>0</v>
      </c>
      <c r="AG240" s="651">
        <v>7.1814032045118834</v>
      </c>
      <c r="AH240" s="642">
        <v>0</v>
      </c>
      <c r="AI240" s="642">
        <v>-70.686462815005612</v>
      </c>
      <c r="AJ240" s="642">
        <v>0</v>
      </c>
      <c r="AK240" s="650">
        <v>6.967226149738531</v>
      </c>
    </row>
    <row r="241" spans="3:37" ht="13.5">
      <c r="C241" s="648" t="s">
        <v>352</v>
      </c>
      <c r="D241" s="642">
        <v>0</v>
      </c>
      <c r="E241" s="642">
        <v>0</v>
      </c>
      <c r="F241" s="642">
        <v>0</v>
      </c>
      <c r="G241" s="642">
        <v>0</v>
      </c>
      <c r="H241" s="642">
        <v>0</v>
      </c>
      <c r="I241" s="642">
        <v>0</v>
      </c>
      <c r="J241" s="652">
        <v>7.549386302639002</v>
      </c>
      <c r="K241" s="652">
        <v>0</v>
      </c>
      <c r="L241" s="652">
        <v>0</v>
      </c>
      <c r="M241" s="652">
        <v>-6.6642207586545794</v>
      </c>
      <c r="N241" s="652">
        <v>0</v>
      </c>
      <c r="O241" s="652">
        <v>0</v>
      </c>
      <c r="P241" s="642">
        <v>0</v>
      </c>
      <c r="Q241" s="642">
        <v>0</v>
      </c>
      <c r="R241" s="642">
        <v>0</v>
      </c>
      <c r="S241" s="650">
        <v>0.8851655439844226</v>
      </c>
      <c r="U241" s="648" t="s">
        <v>352</v>
      </c>
      <c r="V241" s="642">
        <v>0</v>
      </c>
      <c r="W241" s="642">
        <v>0</v>
      </c>
      <c r="X241" s="642">
        <v>0</v>
      </c>
      <c r="Y241" s="642">
        <v>0</v>
      </c>
      <c r="Z241" s="642">
        <v>0</v>
      </c>
      <c r="AA241" s="642">
        <v>0</v>
      </c>
      <c r="AB241" s="652">
        <v>39.489443827479029</v>
      </c>
      <c r="AC241" s="652">
        <v>0</v>
      </c>
      <c r="AD241" s="652">
        <v>0</v>
      </c>
      <c r="AE241" s="652">
        <v>-34.859306538707116</v>
      </c>
      <c r="AF241" s="652">
        <v>0</v>
      </c>
      <c r="AG241" s="652">
        <v>0</v>
      </c>
      <c r="AH241" s="642">
        <v>0</v>
      </c>
      <c r="AI241" s="642">
        <v>0</v>
      </c>
      <c r="AJ241" s="642">
        <v>0</v>
      </c>
      <c r="AK241" s="650">
        <v>4.6301372887719126</v>
      </c>
    </row>
    <row r="242" spans="3:37" ht="13.5">
      <c r="C242" s="648" t="s">
        <v>353</v>
      </c>
      <c r="D242" s="642">
        <v>0</v>
      </c>
      <c r="E242" s="642">
        <v>0</v>
      </c>
      <c r="F242" s="642">
        <v>0</v>
      </c>
      <c r="G242" s="642">
        <v>0</v>
      </c>
      <c r="H242" s="642">
        <v>0</v>
      </c>
      <c r="I242" s="642">
        <v>0</v>
      </c>
      <c r="J242" s="642">
        <v>0</v>
      </c>
      <c r="K242" s="642">
        <v>0</v>
      </c>
      <c r="L242" s="642">
        <v>0</v>
      </c>
      <c r="M242" s="642">
        <v>0</v>
      </c>
      <c r="N242" s="642">
        <v>0</v>
      </c>
      <c r="O242" s="642">
        <v>0</v>
      </c>
      <c r="P242" s="642">
        <v>0</v>
      </c>
      <c r="Q242" s="642">
        <v>0</v>
      </c>
      <c r="R242" s="642">
        <v>0</v>
      </c>
      <c r="S242" s="650">
        <v>0</v>
      </c>
      <c r="U242" s="648" t="s">
        <v>353</v>
      </c>
      <c r="V242" s="642">
        <v>0</v>
      </c>
      <c r="W242" s="642">
        <v>0</v>
      </c>
      <c r="X242" s="642">
        <v>0</v>
      </c>
      <c r="Y242" s="642">
        <v>0</v>
      </c>
      <c r="Z242" s="642">
        <v>0</v>
      </c>
      <c r="AA242" s="642">
        <v>0</v>
      </c>
      <c r="AB242" s="642">
        <v>0</v>
      </c>
      <c r="AC242" s="642">
        <v>0</v>
      </c>
      <c r="AD242" s="642">
        <v>0</v>
      </c>
      <c r="AE242" s="642">
        <v>0</v>
      </c>
      <c r="AF242" s="642">
        <v>0</v>
      </c>
      <c r="AG242" s="642">
        <v>0</v>
      </c>
      <c r="AH242" s="642">
        <v>0</v>
      </c>
      <c r="AI242" s="642">
        <v>0</v>
      </c>
      <c r="AJ242" s="642">
        <v>0</v>
      </c>
      <c r="AK242" s="650">
        <v>0</v>
      </c>
    </row>
    <row r="243" spans="3:37" ht="13.5">
      <c r="C243" s="648" t="s">
        <v>72</v>
      </c>
      <c r="D243" s="642">
        <v>0</v>
      </c>
      <c r="E243" s="642">
        <v>550.85495716936975</v>
      </c>
      <c r="F243" s="642">
        <v>-545.34640759767603</v>
      </c>
      <c r="G243" s="642">
        <v>0</v>
      </c>
      <c r="H243" s="642">
        <v>0</v>
      </c>
      <c r="I243" s="642">
        <v>0</v>
      </c>
      <c r="J243" s="642">
        <v>0</v>
      </c>
      <c r="K243" s="642">
        <v>0</v>
      </c>
      <c r="L243" s="642">
        <v>0</v>
      </c>
      <c r="M243" s="642">
        <v>0</v>
      </c>
      <c r="N243" s="642">
        <v>0</v>
      </c>
      <c r="O243" s="642">
        <v>0</v>
      </c>
      <c r="P243" s="642">
        <v>0</v>
      </c>
      <c r="Q243" s="642">
        <v>0</v>
      </c>
      <c r="R243" s="642">
        <v>0</v>
      </c>
      <c r="S243" s="650">
        <v>5.5085495716937203</v>
      </c>
      <c r="U243" s="648" t="s">
        <v>72</v>
      </c>
      <c r="V243" s="642">
        <v>0</v>
      </c>
      <c r="W243" s="642">
        <v>386.55581999113582</v>
      </c>
      <c r="X243" s="642">
        <v>-382.69026179122449</v>
      </c>
      <c r="Y243" s="642">
        <v>0</v>
      </c>
      <c r="Z243" s="642">
        <v>0</v>
      </c>
      <c r="AA243" s="642">
        <v>0</v>
      </c>
      <c r="AB243" s="642">
        <v>0</v>
      </c>
      <c r="AC243" s="642">
        <v>0</v>
      </c>
      <c r="AD243" s="642">
        <v>0</v>
      </c>
      <c r="AE243" s="642">
        <v>0</v>
      </c>
      <c r="AF243" s="642">
        <v>0</v>
      </c>
      <c r="AG243" s="642">
        <v>0</v>
      </c>
      <c r="AH243" s="642">
        <v>0</v>
      </c>
      <c r="AI243" s="642">
        <v>0</v>
      </c>
      <c r="AJ243" s="642">
        <v>0</v>
      </c>
      <c r="AK243" s="650">
        <v>3.8655581999113338</v>
      </c>
    </row>
    <row r="244" spans="3:37" ht="13.5">
      <c r="C244" s="648" t="s">
        <v>354</v>
      </c>
      <c r="D244" s="642">
        <v>0</v>
      </c>
      <c r="E244" s="642">
        <v>0</v>
      </c>
      <c r="F244" s="642">
        <v>0</v>
      </c>
      <c r="G244" s="642">
        <v>0</v>
      </c>
      <c r="H244" s="642">
        <v>0</v>
      </c>
      <c r="I244" s="642">
        <v>0</v>
      </c>
      <c r="J244" s="642">
        <v>34.694031238964726</v>
      </c>
      <c r="K244" s="642">
        <v>0</v>
      </c>
      <c r="L244" s="642">
        <v>-34.694031238964726</v>
      </c>
      <c r="M244" s="642">
        <v>0</v>
      </c>
      <c r="N244" s="642">
        <v>0</v>
      </c>
      <c r="O244" s="642">
        <v>0</v>
      </c>
      <c r="P244" s="642">
        <v>0</v>
      </c>
      <c r="Q244" s="642">
        <v>0</v>
      </c>
      <c r="R244" s="642">
        <v>0</v>
      </c>
      <c r="S244" s="650">
        <v>0</v>
      </c>
      <c r="U244" s="648" t="s">
        <v>354</v>
      </c>
      <c r="V244" s="642">
        <v>0</v>
      </c>
      <c r="W244" s="642">
        <v>0</v>
      </c>
      <c r="X244" s="642">
        <v>0</v>
      </c>
      <c r="Y244" s="642">
        <v>0</v>
      </c>
      <c r="Z244" s="642">
        <v>0</v>
      </c>
      <c r="AA244" s="642">
        <v>0</v>
      </c>
      <c r="AB244" s="642" t="e">
        <v>#VALUE!</v>
      </c>
      <c r="AC244" s="642">
        <v>0</v>
      </c>
      <c r="AD244" s="642">
        <v>-64.13008508665132</v>
      </c>
      <c r="AE244" s="642">
        <v>0</v>
      </c>
      <c r="AF244" s="642">
        <v>0</v>
      </c>
      <c r="AG244" s="642">
        <v>0</v>
      </c>
      <c r="AH244" s="642">
        <v>0</v>
      </c>
      <c r="AI244" s="642">
        <v>0</v>
      </c>
      <c r="AJ244" s="642">
        <v>0</v>
      </c>
      <c r="AK244" s="650">
        <v>-64.13008508665132</v>
      </c>
    </row>
    <row r="245" spans="3:37" ht="13.5">
      <c r="C245" s="648" t="s">
        <v>355</v>
      </c>
      <c r="D245" s="642">
        <v>0</v>
      </c>
      <c r="E245" s="642">
        <v>0</v>
      </c>
      <c r="F245" s="642">
        <v>0</v>
      </c>
      <c r="G245" s="642">
        <v>0</v>
      </c>
      <c r="H245" s="642">
        <v>0</v>
      </c>
      <c r="I245" s="642">
        <v>0</v>
      </c>
      <c r="J245" s="642">
        <v>0</v>
      </c>
      <c r="K245" s="642">
        <v>0</v>
      </c>
      <c r="L245" s="642">
        <v>0</v>
      </c>
      <c r="M245" s="642">
        <v>0</v>
      </c>
      <c r="N245" s="642">
        <v>0</v>
      </c>
      <c r="O245" s="642">
        <v>0</v>
      </c>
      <c r="P245" s="642">
        <v>0</v>
      </c>
      <c r="Q245" s="642">
        <v>0</v>
      </c>
      <c r="R245" s="642">
        <v>0</v>
      </c>
      <c r="S245" s="650">
        <v>0</v>
      </c>
      <c r="U245" s="648" t="s">
        <v>355</v>
      </c>
      <c r="V245" s="642">
        <v>0</v>
      </c>
      <c r="W245" s="642">
        <v>0</v>
      </c>
      <c r="X245" s="642">
        <v>0</v>
      </c>
      <c r="Y245" s="642">
        <v>0</v>
      </c>
      <c r="Z245" s="642">
        <v>0</v>
      </c>
      <c r="AA245" s="642">
        <v>0</v>
      </c>
      <c r="AB245" s="642">
        <v>0</v>
      </c>
      <c r="AC245" s="642">
        <v>0</v>
      </c>
      <c r="AD245" s="642">
        <v>-12.704571841330187</v>
      </c>
      <c r="AE245" s="642">
        <v>0</v>
      </c>
      <c r="AF245" s="642">
        <v>0</v>
      </c>
      <c r="AG245" s="642">
        <v>0</v>
      </c>
      <c r="AH245" s="642">
        <v>0</v>
      </c>
      <c r="AI245" s="642">
        <v>0</v>
      </c>
      <c r="AJ245" s="642">
        <v>0</v>
      </c>
      <c r="AK245" s="650">
        <v>-12.704571841330187</v>
      </c>
    </row>
    <row r="246" spans="3:37" ht="13.5">
      <c r="C246" s="648" t="s">
        <v>73</v>
      </c>
      <c r="D246" s="642">
        <v>0</v>
      </c>
      <c r="E246" s="642">
        <v>0</v>
      </c>
      <c r="F246" s="642">
        <v>0</v>
      </c>
      <c r="G246" s="642">
        <v>2.1153211001028303</v>
      </c>
      <c r="H246" s="642">
        <v>0</v>
      </c>
      <c r="I246" s="642">
        <v>0</v>
      </c>
      <c r="J246" s="642">
        <v>0</v>
      </c>
      <c r="K246" s="642">
        <v>2.387711193000305E-2</v>
      </c>
      <c r="L246" s="642">
        <v>0</v>
      </c>
      <c r="M246" s="642">
        <v>4.3169818369445515E-2</v>
      </c>
      <c r="N246" s="642">
        <v>0</v>
      </c>
      <c r="O246" s="642">
        <v>0</v>
      </c>
      <c r="P246" s="642">
        <v>0.21762333659139796</v>
      </c>
      <c r="Q246" s="642">
        <v>0</v>
      </c>
      <c r="R246" s="642">
        <v>-1.6713978351002134</v>
      </c>
      <c r="S246" s="650">
        <v>0.72859353189346332</v>
      </c>
      <c r="U246" s="648" t="s">
        <v>73</v>
      </c>
      <c r="V246" s="642">
        <v>0</v>
      </c>
      <c r="W246" s="642">
        <v>0</v>
      </c>
      <c r="X246" s="642">
        <v>0</v>
      </c>
      <c r="Y246" s="642">
        <v>5.6183676161021641</v>
      </c>
      <c r="Z246" s="642">
        <v>0</v>
      </c>
      <c r="AA246" s="642">
        <v>0</v>
      </c>
      <c r="AB246" s="642">
        <v>0</v>
      </c>
      <c r="AC246" s="642">
        <v>0.19393074509344391</v>
      </c>
      <c r="AD246" s="642">
        <v>0</v>
      </c>
      <c r="AE246" s="642">
        <v>0.83952619550951879</v>
      </c>
      <c r="AF246" s="642">
        <v>0</v>
      </c>
      <c r="AG246" s="642">
        <v>0</v>
      </c>
      <c r="AH246" s="642">
        <v>13.50321720945872</v>
      </c>
      <c r="AI246" s="642">
        <v>0</v>
      </c>
      <c r="AJ246" s="642">
        <v>-13.575152156541073</v>
      </c>
      <c r="AK246" s="650">
        <v>6.579889609622775</v>
      </c>
    </row>
    <row r="247" spans="3:37" ht="13.5">
      <c r="C247" s="648" t="s">
        <v>356</v>
      </c>
      <c r="D247" s="642">
        <v>28.669681406249996</v>
      </c>
      <c r="E247" s="642">
        <v>-19.087124265918664</v>
      </c>
      <c r="F247" s="642">
        <v>24.964831154950382</v>
      </c>
      <c r="G247" s="642">
        <v>0</v>
      </c>
      <c r="H247" s="642">
        <v>0</v>
      </c>
      <c r="I247" s="642">
        <v>0</v>
      </c>
      <c r="J247" s="642">
        <v>0</v>
      </c>
      <c r="K247" s="642">
        <v>0</v>
      </c>
      <c r="L247" s="642">
        <v>0</v>
      </c>
      <c r="M247" s="642">
        <v>0</v>
      </c>
      <c r="N247" s="642">
        <v>0</v>
      </c>
      <c r="O247" s="642">
        <v>0</v>
      </c>
      <c r="P247" s="642">
        <v>0</v>
      </c>
      <c r="Q247" s="642">
        <v>0</v>
      </c>
      <c r="R247" s="642">
        <v>0</v>
      </c>
      <c r="S247" s="650">
        <v>34.547388295281714</v>
      </c>
      <c r="U247" s="648" t="s">
        <v>356</v>
      </c>
      <c r="V247" s="642">
        <v>4.3307530517578128</v>
      </c>
      <c r="W247" s="642">
        <v>-13.394159162692858</v>
      </c>
      <c r="X247" s="642">
        <v>17.518769056071054</v>
      </c>
      <c r="Y247" s="642">
        <v>0</v>
      </c>
      <c r="Z247" s="642">
        <v>0</v>
      </c>
      <c r="AA247" s="642">
        <v>0</v>
      </c>
      <c r="AB247" s="642">
        <v>0</v>
      </c>
      <c r="AC247" s="642">
        <v>0</v>
      </c>
      <c r="AD247" s="642">
        <v>0</v>
      </c>
      <c r="AE247" s="642">
        <v>0</v>
      </c>
      <c r="AF247" s="642">
        <v>0</v>
      </c>
      <c r="AG247" s="642">
        <v>0</v>
      </c>
      <c r="AH247" s="642">
        <v>0</v>
      </c>
      <c r="AI247" s="642">
        <v>0</v>
      </c>
      <c r="AJ247" s="642">
        <v>0</v>
      </c>
      <c r="AK247" s="650">
        <v>8.4553629451360095</v>
      </c>
    </row>
    <row r="248" spans="3:37" ht="13.5">
      <c r="C248" s="648" t="s">
        <v>75</v>
      </c>
      <c r="D248" s="642">
        <v>11.149320546875</v>
      </c>
      <c r="E248" s="642">
        <v>0</v>
      </c>
      <c r="F248" s="642">
        <v>18.729068543758572</v>
      </c>
      <c r="G248" s="642">
        <v>5.3443947944572248</v>
      </c>
      <c r="H248" s="642">
        <v>0</v>
      </c>
      <c r="I248" s="642">
        <v>0</v>
      </c>
      <c r="J248" s="642">
        <v>0</v>
      </c>
      <c r="K248" s="642">
        <v>0</v>
      </c>
      <c r="L248" s="642">
        <v>0</v>
      </c>
      <c r="M248" s="642">
        <v>0.10906928151953521</v>
      </c>
      <c r="N248" s="642">
        <v>0</v>
      </c>
      <c r="O248" s="642">
        <v>0</v>
      </c>
      <c r="P248" s="642">
        <v>34.631314570260251</v>
      </c>
      <c r="Q248" s="642">
        <v>0</v>
      </c>
      <c r="R248" s="642">
        <v>0</v>
      </c>
      <c r="S248" s="650">
        <v>69.963167736870574</v>
      </c>
      <c r="U248" s="648" t="s">
        <v>75</v>
      </c>
      <c r="V248" s="642">
        <v>4.9205957031249996</v>
      </c>
      <c r="W248" s="642">
        <v>0</v>
      </c>
      <c r="X248" s="642">
        <v>18.729068543758572</v>
      </c>
      <c r="Y248" s="642">
        <v>4.7445137460997815</v>
      </c>
      <c r="Z248" s="642">
        <v>0</v>
      </c>
      <c r="AA248" s="642">
        <v>0</v>
      </c>
      <c r="AB248" s="642">
        <v>0</v>
      </c>
      <c r="AC248" s="642">
        <v>0</v>
      </c>
      <c r="AD248" s="642">
        <v>0</v>
      </c>
      <c r="AE248" s="642">
        <v>0.70895032987697881</v>
      </c>
      <c r="AF248" s="642">
        <v>0</v>
      </c>
      <c r="AG248" s="642">
        <v>0</v>
      </c>
      <c r="AH248" s="642">
        <v>32.716541842987525</v>
      </c>
      <c r="AI248" s="642">
        <v>0</v>
      </c>
      <c r="AJ248" s="642">
        <v>0</v>
      </c>
      <c r="AK248" s="650">
        <v>61.819670165847853</v>
      </c>
    </row>
    <row r="249" spans="3:37" ht="13.5">
      <c r="C249" s="648" t="s">
        <v>76</v>
      </c>
      <c r="D249" s="642">
        <v>0</v>
      </c>
      <c r="E249" s="642">
        <v>0</v>
      </c>
      <c r="F249" s="642">
        <v>0</v>
      </c>
      <c r="G249" s="642">
        <v>3.8720966463328983</v>
      </c>
      <c r="H249" s="642">
        <v>0</v>
      </c>
      <c r="I249" s="642">
        <v>0</v>
      </c>
      <c r="J249" s="642">
        <v>0</v>
      </c>
      <c r="K249" s="642">
        <v>0</v>
      </c>
      <c r="L249" s="642">
        <v>0</v>
      </c>
      <c r="M249" s="642">
        <v>7.9022380537406095E-2</v>
      </c>
      <c r="N249" s="642">
        <v>0</v>
      </c>
      <c r="O249" s="642">
        <v>0</v>
      </c>
      <c r="P249" s="642">
        <v>41.938968757160723</v>
      </c>
      <c r="Q249" s="642">
        <v>3.0236871210614171</v>
      </c>
      <c r="R249" s="642">
        <v>0</v>
      </c>
      <c r="S249" s="650">
        <v>48.913774905092438</v>
      </c>
      <c r="U249" s="648" t="s">
        <v>76</v>
      </c>
      <c r="V249" s="642">
        <v>0</v>
      </c>
      <c r="W249" s="642">
        <v>0</v>
      </c>
      <c r="X249" s="642">
        <v>0</v>
      </c>
      <c r="Y249" s="642">
        <v>2.7662751616304524</v>
      </c>
      <c r="Z249" s="642">
        <v>0</v>
      </c>
      <c r="AA249" s="642">
        <v>0</v>
      </c>
      <c r="AB249" s="642">
        <v>0</v>
      </c>
      <c r="AC249" s="642">
        <v>0</v>
      </c>
      <c r="AD249" s="642">
        <v>0</v>
      </c>
      <c r="AE249" s="642">
        <v>0.41335146093328595</v>
      </c>
      <c r="AF249" s="642">
        <v>0</v>
      </c>
      <c r="AG249" s="642">
        <v>0</v>
      </c>
      <c r="AH249" s="642">
        <v>43.009166954325586</v>
      </c>
      <c r="AI249" s="642">
        <v>5.481964511548731</v>
      </c>
      <c r="AJ249" s="642">
        <v>0</v>
      </c>
      <c r="AK249" s="650">
        <v>51.670758088438056</v>
      </c>
    </row>
    <row r="250" spans="3:37" ht="13.5">
      <c r="C250" s="646" t="s">
        <v>77</v>
      </c>
      <c r="D250" s="647">
        <v>42.645787594150242</v>
      </c>
      <c r="E250" s="647">
        <v>531.76783290345111</v>
      </c>
      <c r="F250" s="647">
        <v>-493.85839623209517</v>
      </c>
      <c r="G250" s="647">
        <v>44.217178331245535</v>
      </c>
      <c r="H250" s="647">
        <v>1121.3636363636365</v>
      </c>
      <c r="I250" s="647">
        <v>207.57369132422022</v>
      </c>
      <c r="J250" s="647">
        <v>86.243705075466366</v>
      </c>
      <c r="K250" s="647">
        <v>19.954320748029687</v>
      </c>
      <c r="L250" s="647">
        <v>-32.394348021257798</v>
      </c>
      <c r="M250" s="647">
        <v>-5.6320765353578501</v>
      </c>
      <c r="N250" s="647">
        <v>0</v>
      </c>
      <c r="O250" s="647">
        <v>5.2611137666850016</v>
      </c>
      <c r="P250" s="647">
        <v>-531.00392354032908</v>
      </c>
      <c r="Q250" s="647">
        <v>-35.939291273846017</v>
      </c>
      <c r="R250" s="647">
        <v>-1.6713978351002134</v>
      </c>
      <c r="S250" s="647">
        <v>958.52783266889833</v>
      </c>
      <c r="U250" s="646" t="s">
        <v>77</v>
      </c>
      <c r="V250" s="647">
        <v>9.8776636603415024</v>
      </c>
      <c r="W250" s="647">
        <v>373.16166082844296</v>
      </c>
      <c r="X250" s="647">
        <v>-342.51194888815934</v>
      </c>
      <c r="Y250" s="647">
        <v>62.170015524383871</v>
      </c>
      <c r="Z250" s="647">
        <v>1024.3939393939395</v>
      </c>
      <c r="AA250" s="647">
        <v>228.1236913242202</v>
      </c>
      <c r="AB250" s="647">
        <v>92.01283517498922</v>
      </c>
      <c r="AC250" s="647">
        <v>31.725901877387908</v>
      </c>
      <c r="AD250" s="647">
        <v>-74.534973710274585</v>
      </c>
      <c r="AE250" s="647">
        <v>-25.439781275247555</v>
      </c>
      <c r="AF250" s="647">
        <v>0</v>
      </c>
      <c r="AG250" s="647">
        <v>10.264799662154665</v>
      </c>
      <c r="AH250" s="647">
        <v>-515.81290419756954</v>
      </c>
      <c r="AI250" s="647">
        <v>-65.204498303456887</v>
      </c>
      <c r="AJ250" s="647">
        <v>-12.150152156541072</v>
      </c>
      <c r="AK250" s="647">
        <v>796.07624891461057</v>
      </c>
    </row>
    <row r="251" spans="3:37" ht="13">
      <c r="C251" s="636"/>
      <c r="D251" s="636">
        <v>0</v>
      </c>
      <c r="E251" s="636">
        <v>0</v>
      </c>
      <c r="F251" s="636">
        <v>0</v>
      </c>
      <c r="G251" s="636">
        <v>0</v>
      </c>
      <c r="H251" s="636">
        <v>0</v>
      </c>
      <c r="I251" s="636">
        <v>0</v>
      </c>
      <c r="J251" s="636">
        <v>0</v>
      </c>
      <c r="K251" s="636">
        <v>0</v>
      </c>
      <c r="L251" s="636">
        <v>0</v>
      </c>
      <c r="M251" s="636">
        <v>0</v>
      </c>
      <c r="N251" s="636">
        <v>0</v>
      </c>
      <c r="O251" s="636">
        <v>0</v>
      </c>
      <c r="P251" s="636">
        <v>0</v>
      </c>
      <c r="Q251" s="636">
        <v>0</v>
      </c>
      <c r="R251" s="636">
        <v>0</v>
      </c>
      <c r="S251" s="636">
        <v>0</v>
      </c>
      <c r="U251" s="636"/>
      <c r="V251" s="636">
        <v>0</v>
      </c>
      <c r="W251" s="636">
        <v>0</v>
      </c>
      <c r="X251" s="636">
        <v>0</v>
      </c>
      <c r="Y251" s="636">
        <v>0</v>
      </c>
      <c r="Z251" s="636">
        <v>0</v>
      </c>
      <c r="AA251" s="636">
        <v>0</v>
      </c>
      <c r="AB251" s="636">
        <v>0</v>
      </c>
      <c r="AC251" s="636">
        <v>0</v>
      </c>
      <c r="AD251" s="636">
        <v>0</v>
      </c>
      <c r="AE251" s="636">
        <v>0</v>
      </c>
      <c r="AF251" s="636">
        <v>0</v>
      </c>
      <c r="AG251" s="636">
        <v>0</v>
      </c>
      <c r="AH251" s="636">
        <v>0</v>
      </c>
      <c r="AI251" s="636">
        <v>0</v>
      </c>
      <c r="AJ251" s="636">
        <v>0</v>
      </c>
      <c r="AK251" s="636">
        <v>0</v>
      </c>
    </row>
    <row r="252" spans="3:37" ht="13.5">
      <c r="C252" s="648" t="s">
        <v>78</v>
      </c>
      <c r="D252" s="642">
        <v>6.3476756101286895</v>
      </c>
      <c r="E252" s="642">
        <v>0</v>
      </c>
      <c r="F252" s="642">
        <v>23.963924152830415</v>
      </c>
      <c r="G252" s="642">
        <v>102.72602750235836</v>
      </c>
      <c r="H252" s="642">
        <v>0</v>
      </c>
      <c r="I252" s="642">
        <v>0</v>
      </c>
      <c r="J252" s="642">
        <v>19.164817057512749</v>
      </c>
      <c r="K252" s="642">
        <v>1.7769703360109936</v>
      </c>
      <c r="L252" s="642">
        <v>0.86552810351562492</v>
      </c>
      <c r="M252" s="642">
        <v>2.1151614516362294</v>
      </c>
      <c r="N252" s="642">
        <v>0</v>
      </c>
      <c r="O252" s="642">
        <v>3.8147295409713907E-4</v>
      </c>
      <c r="P252" s="642">
        <v>109.69856944385172</v>
      </c>
      <c r="Q252" s="642">
        <v>16.190109766233334</v>
      </c>
      <c r="R252" s="642">
        <v>0.34118215942382812</v>
      </c>
      <c r="S252" s="650">
        <v>283.19034705645606</v>
      </c>
      <c r="U252" s="648" t="s">
        <v>78</v>
      </c>
      <c r="V252" s="642">
        <v>0.96947057486293287</v>
      </c>
      <c r="W252" s="642">
        <v>0</v>
      </c>
      <c r="X252" s="642">
        <v>14.423852836289303</v>
      </c>
      <c r="Y252" s="642">
        <v>71.911931163769523</v>
      </c>
      <c r="Z252" s="642">
        <v>0</v>
      </c>
      <c r="AA252" s="642">
        <v>0</v>
      </c>
      <c r="AB252" s="642">
        <v>16.641526349557349</v>
      </c>
      <c r="AC252" s="642">
        <v>5.8374337597773929</v>
      </c>
      <c r="AD252" s="642">
        <v>1.8190377949218752</v>
      </c>
      <c r="AE252" s="642">
        <v>10.764172889266069</v>
      </c>
      <c r="AF252" s="642">
        <v>0</v>
      </c>
      <c r="AG252" s="642">
        <v>3.8147295409713907E-4</v>
      </c>
      <c r="AH252" s="642">
        <v>133.35975359263318</v>
      </c>
      <c r="AI252" s="642">
        <v>21.024156518221293</v>
      </c>
      <c r="AJ252" s="642">
        <v>5.3802006835937499</v>
      </c>
      <c r="AK252" s="650">
        <v>282.13191763584672</v>
      </c>
    </row>
    <row r="253" spans="3:37" ht="13.5">
      <c r="C253" s="648" t="s">
        <v>79</v>
      </c>
      <c r="D253" s="642">
        <v>0</v>
      </c>
      <c r="E253" s="642">
        <v>0</v>
      </c>
      <c r="F253" s="642">
        <v>312.50052508879821</v>
      </c>
      <c r="G253" s="642">
        <v>20.28727706696608</v>
      </c>
      <c r="H253" s="642">
        <v>0</v>
      </c>
      <c r="I253" s="642">
        <v>0</v>
      </c>
      <c r="J253" s="642">
        <v>0</v>
      </c>
      <c r="K253" s="642">
        <v>0</v>
      </c>
      <c r="L253" s="642">
        <v>30.35479180755361</v>
      </c>
      <c r="M253" s="642">
        <v>0.41402606259114449</v>
      </c>
      <c r="N253" s="642">
        <v>0</v>
      </c>
      <c r="O253" s="642">
        <v>0</v>
      </c>
      <c r="P253" s="642">
        <v>40.087101502259863</v>
      </c>
      <c r="Q253" s="642">
        <v>0</v>
      </c>
      <c r="R253" s="642">
        <v>0.80956479691939642</v>
      </c>
      <c r="S253" s="650">
        <v>404.45328632508824</v>
      </c>
      <c r="U253" s="648" t="s">
        <v>79</v>
      </c>
      <c r="V253" s="642">
        <v>0</v>
      </c>
      <c r="W253" s="642">
        <v>0</v>
      </c>
      <c r="X253" s="642">
        <v>200.27592241910855</v>
      </c>
      <c r="Y253" s="642">
        <v>16.649550205830046</v>
      </c>
      <c r="Z253" s="642">
        <v>0</v>
      </c>
      <c r="AA253" s="642">
        <v>0</v>
      </c>
      <c r="AB253" s="642">
        <v>0</v>
      </c>
      <c r="AC253" s="642">
        <v>0</v>
      </c>
      <c r="AD253" s="642">
        <v>44.40579181284334</v>
      </c>
      <c r="AE253" s="642">
        <v>2.5923432302996523</v>
      </c>
      <c r="AF253" s="642">
        <v>0</v>
      </c>
      <c r="AG253" s="642">
        <v>0</v>
      </c>
      <c r="AH253" s="642">
        <v>50.411052136241274</v>
      </c>
      <c r="AI253" s="642">
        <v>0</v>
      </c>
      <c r="AJ253" s="642">
        <v>1.5849058336758</v>
      </c>
      <c r="AK253" s="650">
        <v>315.91956563799869</v>
      </c>
    </row>
    <row r="254" spans="3:37" ht="13.5">
      <c r="C254" s="648" t="s">
        <v>80</v>
      </c>
      <c r="D254" s="642">
        <v>0</v>
      </c>
      <c r="E254" s="642">
        <v>0</v>
      </c>
      <c r="F254" s="642">
        <v>27.223306395871116</v>
      </c>
      <c r="G254" s="642">
        <v>94.787807272791255</v>
      </c>
      <c r="H254" s="642">
        <v>0</v>
      </c>
      <c r="I254" s="642">
        <v>0</v>
      </c>
      <c r="J254" s="642">
        <v>83.273177408961004</v>
      </c>
      <c r="K254" s="642">
        <v>0</v>
      </c>
      <c r="L254" s="642">
        <v>0</v>
      </c>
      <c r="M254" s="642">
        <v>1.9344450463834952</v>
      </c>
      <c r="N254" s="642">
        <v>46.067590504591024</v>
      </c>
      <c r="O254" s="642">
        <v>1.9582561857397398</v>
      </c>
      <c r="P254" s="642">
        <v>180.22551264292704</v>
      </c>
      <c r="Q254" s="642">
        <v>15.690776641240536</v>
      </c>
      <c r="R254" s="642">
        <v>0</v>
      </c>
      <c r="S254" s="650">
        <v>451.16087209850519</v>
      </c>
      <c r="U254" s="648" t="s">
        <v>80</v>
      </c>
      <c r="V254" s="642">
        <v>0</v>
      </c>
      <c r="W254" s="642">
        <v>0</v>
      </c>
      <c r="X254" s="642">
        <v>2.015713666762446</v>
      </c>
      <c r="Y254" s="642">
        <v>47.341776252628989</v>
      </c>
      <c r="Z254" s="642">
        <v>0</v>
      </c>
      <c r="AA254" s="642">
        <v>0</v>
      </c>
      <c r="AB254" s="642">
        <v>73.879452654225247</v>
      </c>
      <c r="AC254" s="642">
        <v>0</v>
      </c>
      <c r="AD254" s="642">
        <v>0</v>
      </c>
      <c r="AE254" s="642">
        <v>7.0740585205077799</v>
      </c>
      <c r="AF254" s="642">
        <v>56.247445771865117</v>
      </c>
      <c r="AG254" s="642">
        <v>2.3917818193760598</v>
      </c>
      <c r="AH254" s="642">
        <v>158.99417861004727</v>
      </c>
      <c r="AI254" s="642">
        <v>34.672503342788303</v>
      </c>
      <c r="AJ254" s="642">
        <v>0</v>
      </c>
      <c r="AK254" s="650">
        <v>382.61691063820126</v>
      </c>
    </row>
    <row r="255" spans="3:37" ht="13.5">
      <c r="C255" s="648" t="s">
        <v>81</v>
      </c>
      <c r="D255" s="642">
        <v>0</v>
      </c>
      <c r="E255" s="642">
        <v>0</v>
      </c>
      <c r="F255" s="642">
        <v>10.721858440723695</v>
      </c>
      <c r="G255" s="642">
        <v>62.595656083836779</v>
      </c>
      <c r="H255" s="642">
        <v>0</v>
      </c>
      <c r="I255" s="642">
        <v>0</v>
      </c>
      <c r="J255" s="642">
        <v>3.4596715414798309</v>
      </c>
      <c r="K255" s="642">
        <v>2.5030873755322387E-2</v>
      </c>
      <c r="L255" s="642">
        <v>0</v>
      </c>
      <c r="M255" s="642">
        <v>1.2774623690578935</v>
      </c>
      <c r="N255" s="642">
        <v>8.3421239681836319</v>
      </c>
      <c r="O255" s="642">
        <v>0.80110714509903691</v>
      </c>
      <c r="P255" s="642">
        <v>133.46461699259584</v>
      </c>
      <c r="Q255" s="642">
        <v>4.0584048663721433</v>
      </c>
      <c r="R255" s="642">
        <v>0</v>
      </c>
      <c r="S255" s="650">
        <v>224.74593228110413</v>
      </c>
      <c r="U255" s="648" t="s">
        <v>81</v>
      </c>
      <c r="V255" s="642">
        <v>0</v>
      </c>
      <c r="W255" s="642">
        <v>0</v>
      </c>
      <c r="X255" s="642">
        <v>3.1096233693990798</v>
      </c>
      <c r="Y255" s="642">
        <v>32.055438404613625</v>
      </c>
      <c r="Z255" s="642">
        <v>0</v>
      </c>
      <c r="AA255" s="642">
        <v>0</v>
      </c>
      <c r="AB255" s="642">
        <v>7.6606579921523004</v>
      </c>
      <c r="AC255" s="642">
        <v>2.5030873755322387E-2</v>
      </c>
      <c r="AD255" s="642">
        <v>0</v>
      </c>
      <c r="AE255" s="642">
        <v>4.7898930949422658</v>
      </c>
      <c r="AF255" s="642">
        <v>14.251121986476408</v>
      </c>
      <c r="AG255" s="642">
        <v>1.7168402703934114</v>
      </c>
      <c r="AH255" s="642">
        <v>121.34906004798763</v>
      </c>
      <c r="AI255" s="642">
        <v>9.5078384424472873</v>
      </c>
      <c r="AJ255" s="642">
        <v>0</v>
      </c>
      <c r="AK255" s="650">
        <v>194.46550448216732</v>
      </c>
    </row>
    <row r="256" spans="3:37" ht="13.5">
      <c r="C256" s="648" t="s">
        <v>82</v>
      </c>
      <c r="D256" s="642">
        <v>0</v>
      </c>
      <c r="E256" s="642">
        <v>0</v>
      </c>
      <c r="F256" s="642">
        <v>32.13207144146056</v>
      </c>
      <c r="G256" s="642">
        <v>1.9328709168763656</v>
      </c>
      <c r="H256" s="642">
        <v>0</v>
      </c>
      <c r="I256" s="642">
        <v>0</v>
      </c>
      <c r="J256" s="642">
        <v>2.05899706998358</v>
      </c>
      <c r="K256" s="642">
        <v>0</v>
      </c>
      <c r="L256" s="642">
        <v>2.6244824682898504</v>
      </c>
      <c r="M256" s="642">
        <v>3.9446345242374808E-2</v>
      </c>
      <c r="N256" s="642">
        <v>0</v>
      </c>
      <c r="O256" s="642">
        <v>8.070345812558942E-2</v>
      </c>
      <c r="P256" s="642">
        <v>7.3892266408052469</v>
      </c>
      <c r="Q256" s="642">
        <v>0</v>
      </c>
      <c r="R256" s="642">
        <v>0</v>
      </c>
      <c r="S256" s="650">
        <v>46.257798340783566</v>
      </c>
      <c r="U256" s="648" t="s">
        <v>82</v>
      </c>
      <c r="V256" s="642">
        <v>0</v>
      </c>
      <c r="W256" s="642">
        <v>0</v>
      </c>
      <c r="X256" s="642">
        <v>22.167558461996123</v>
      </c>
      <c r="Y256" s="642">
        <v>2.0916118720237509</v>
      </c>
      <c r="Z256" s="642">
        <v>0</v>
      </c>
      <c r="AA256" s="642">
        <v>0</v>
      </c>
      <c r="AB256" s="642">
        <v>2.05899706998358</v>
      </c>
      <c r="AC256" s="642">
        <v>0</v>
      </c>
      <c r="AD256" s="642">
        <v>14.821446231272425</v>
      </c>
      <c r="AE256" s="642">
        <v>0.31253970501504325</v>
      </c>
      <c r="AF256" s="642">
        <v>0</v>
      </c>
      <c r="AG256" s="642">
        <v>0.82781531321025892</v>
      </c>
      <c r="AH256" s="642">
        <v>7.4491158726448985</v>
      </c>
      <c r="AI256" s="642">
        <v>0</v>
      </c>
      <c r="AJ256" s="642">
        <v>0.21911019493558448</v>
      </c>
      <c r="AK256" s="650">
        <v>49.948194721081656</v>
      </c>
    </row>
    <row r="257" spans="3:37" ht="13.5">
      <c r="C257" s="648" t="s">
        <v>357</v>
      </c>
      <c r="D257" s="642">
        <v>0</v>
      </c>
      <c r="E257" s="642">
        <v>0</v>
      </c>
      <c r="F257" s="642">
        <v>0</v>
      </c>
      <c r="G257" s="642">
        <v>0</v>
      </c>
      <c r="H257" s="642">
        <v>0</v>
      </c>
      <c r="I257" s="642">
        <v>0</v>
      </c>
      <c r="J257" s="642">
        <v>0</v>
      </c>
      <c r="K257" s="642">
        <v>0</v>
      </c>
      <c r="L257" s="642">
        <v>0</v>
      </c>
      <c r="M257" s="642">
        <v>0</v>
      </c>
      <c r="N257" s="642">
        <v>0</v>
      </c>
      <c r="O257" s="642">
        <v>0</v>
      </c>
      <c r="P257" s="642">
        <v>0.13500000000000001</v>
      </c>
      <c r="Q257" s="642">
        <v>0</v>
      </c>
      <c r="R257" s="642">
        <v>0</v>
      </c>
      <c r="S257" s="650">
        <v>0.13500000000000001</v>
      </c>
      <c r="U257" s="648" t="s">
        <v>357</v>
      </c>
      <c r="V257" s="642">
        <v>0</v>
      </c>
      <c r="W257" s="642">
        <v>0</v>
      </c>
      <c r="X257" s="642">
        <v>0</v>
      </c>
      <c r="Y257" s="642">
        <v>0</v>
      </c>
      <c r="Z257" s="642">
        <v>0</v>
      </c>
      <c r="AA257" s="642">
        <v>0</v>
      </c>
      <c r="AB257" s="642">
        <v>0</v>
      </c>
      <c r="AC257" s="642">
        <v>0</v>
      </c>
      <c r="AD257" s="642">
        <v>0</v>
      </c>
      <c r="AE257" s="642">
        <v>0</v>
      </c>
      <c r="AF257" s="642">
        <v>0</v>
      </c>
      <c r="AG257" s="642">
        <v>0</v>
      </c>
      <c r="AH257" s="642">
        <v>0.96</v>
      </c>
      <c r="AI257" s="642">
        <v>0</v>
      </c>
      <c r="AJ257" s="642">
        <v>0</v>
      </c>
      <c r="AK257" s="650">
        <v>0.96</v>
      </c>
    </row>
    <row r="258" spans="3:37" ht="13.5">
      <c r="C258" s="646" t="s">
        <v>83</v>
      </c>
      <c r="D258" s="647">
        <v>6.3476756101286895</v>
      </c>
      <c r="E258" s="647">
        <v>0</v>
      </c>
      <c r="F258" s="647">
        <v>406.54168551968399</v>
      </c>
      <c r="G258" s="647">
        <v>282.32963884282884</v>
      </c>
      <c r="H258" s="647">
        <v>0</v>
      </c>
      <c r="I258" s="647">
        <v>0</v>
      </c>
      <c r="J258" s="647">
        <v>107.95666307793715</v>
      </c>
      <c r="K258" s="647">
        <v>1.8020012097663161</v>
      </c>
      <c r="L258" s="647">
        <v>33.844802379359088</v>
      </c>
      <c r="M258" s="647">
        <v>5.7805412749111369</v>
      </c>
      <c r="N258" s="647">
        <v>54.409714472774652</v>
      </c>
      <c r="O258" s="647">
        <v>2.8404482619184632</v>
      </c>
      <c r="P258" s="647">
        <v>471.00002722243971</v>
      </c>
      <c r="Q258" s="647">
        <v>35.93929127384601</v>
      </c>
      <c r="R258" s="647">
        <v>1.1507469563432244</v>
      </c>
      <c r="S258" s="647">
        <v>1409.9432361019371</v>
      </c>
      <c r="U258" s="646" t="s">
        <v>83</v>
      </c>
      <c r="V258" s="647">
        <v>0.96947057486293287</v>
      </c>
      <c r="W258" s="647">
        <v>0</v>
      </c>
      <c r="X258" s="647">
        <v>241.9926707535555</v>
      </c>
      <c r="Y258" s="647">
        <v>170.05030789886592</v>
      </c>
      <c r="Z258" s="647">
        <v>0</v>
      </c>
      <c r="AA258" s="647">
        <v>0</v>
      </c>
      <c r="AB258" s="647">
        <v>100.24063406591846</v>
      </c>
      <c r="AC258" s="647">
        <v>5.8624646335327153</v>
      </c>
      <c r="AD258" s="647">
        <v>61.046275839037641</v>
      </c>
      <c r="AE258" s="647">
        <v>25.533007440030815</v>
      </c>
      <c r="AF258" s="647">
        <v>70.498567758341522</v>
      </c>
      <c r="AG258" s="647">
        <v>4.9368188759338274</v>
      </c>
      <c r="AH258" s="647">
        <v>472.52316025955423</v>
      </c>
      <c r="AI258" s="647">
        <v>65.204498303456901</v>
      </c>
      <c r="AJ258" s="647">
        <v>7.184216712205135</v>
      </c>
      <c r="AK258" s="647">
        <v>1226.0420931152958</v>
      </c>
    </row>
    <row r="259" spans="3:37" ht="13.5">
      <c r="C259" s="641" t="s">
        <v>84</v>
      </c>
      <c r="D259" s="642">
        <v>0</v>
      </c>
      <c r="E259" s="642">
        <v>0</v>
      </c>
      <c r="F259" s="642">
        <v>117.0773058539918</v>
      </c>
      <c r="G259" s="642">
        <v>12.185345647681713</v>
      </c>
      <c r="H259" s="642">
        <v>0</v>
      </c>
      <c r="I259" s="642">
        <v>0</v>
      </c>
      <c r="J259" s="642">
        <v>0</v>
      </c>
      <c r="K259" s="642">
        <v>0</v>
      </c>
      <c r="L259" s="642">
        <v>0</v>
      </c>
      <c r="M259" s="642">
        <v>0</v>
      </c>
      <c r="N259" s="642">
        <v>0</v>
      </c>
      <c r="O259" s="642">
        <v>0</v>
      </c>
      <c r="P259" s="642">
        <v>0</v>
      </c>
      <c r="Q259" s="642">
        <v>0</v>
      </c>
      <c r="R259" s="642">
        <v>0.52065087875698901</v>
      </c>
      <c r="S259" s="650">
        <v>129.78330238043051</v>
      </c>
      <c r="U259" s="641" t="s">
        <v>84</v>
      </c>
      <c r="V259" s="642">
        <v>0</v>
      </c>
      <c r="W259" s="642">
        <v>0</v>
      </c>
      <c r="X259" s="642">
        <v>106.669872568297</v>
      </c>
      <c r="Y259" s="642">
        <v>1.6020598461664441</v>
      </c>
      <c r="Z259" s="642">
        <v>0</v>
      </c>
      <c r="AA259" s="642">
        <v>0</v>
      </c>
      <c r="AB259" s="642">
        <v>0</v>
      </c>
      <c r="AC259" s="642">
        <v>0</v>
      </c>
      <c r="AD259" s="642">
        <v>6.1061434912109362</v>
      </c>
      <c r="AE259" s="642">
        <v>0</v>
      </c>
      <c r="AF259" s="642">
        <v>0</v>
      </c>
      <c r="AG259" s="642">
        <v>0</v>
      </c>
      <c r="AH259" s="642">
        <v>0</v>
      </c>
      <c r="AI259" s="642">
        <v>0</v>
      </c>
      <c r="AJ259" s="642">
        <v>4.9659354443359369</v>
      </c>
      <c r="AK259" s="650">
        <v>119.34401135001032</v>
      </c>
    </row>
    <row r="260" spans="3:37" ht="13.5">
      <c r="C260" s="646" t="s">
        <v>85</v>
      </c>
      <c r="D260" s="647">
        <v>6.3476756101286895</v>
      </c>
      <c r="E260" s="647">
        <v>0</v>
      </c>
      <c r="F260" s="647">
        <v>523.61899137367573</v>
      </c>
      <c r="G260" s="647">
        <v>294.51498449051053</v>
      </c>
      <c r="H260" s="647">
        <v>0</v>
      </c>
      <c r="I260" s="647">
        <v>0</v>
      </c>
      <c r="J260" s="647">
        <v>107.95666307793715</v>
      </c>
      <c r="K260" s="647">
        <v>1.8020012097663161</v>
      </c>
      <c r="L260" s="647">
        <v>33.844802379359088</v>
      </c>
      <c r="M260" s="647">
        <v>5.7805412749111369</v>
      </c>
      <c r="N260" s="647">
        <v>54.409714472774652</v>
      </c>
      <c r="O260" s="647">
        <v>2.8404482619184632</v>
      </c>
      <c r="P260" s="647">
        <v>471.00002722243971</v>
      </c>
      <c r="Q260" s="647">
        <v>35.93929127384601</v>
      </c>
      <c r="R260" s="647">
        <v>1.6713978351002134</v>
      </c>
      <c r="S260" s="647">
        <v>1539.7265384823679</v>
      </c>
      <c r="U260" s="646" t="s">
        <v>85</v>
      </c>
      <c r="V260" s="647">
        <v>0.96947057486293287</v>
      </c>
      <c r="W260" s="647">
        <v>0</v>
      </c>
      <c r="X260" s="647">
        <v>348.66254332185252</v>
      </c>
      <c r="Y260" s="647">
        <v>171.65236774503236</v>
      </c>
      <c r="Z260" s="647">
        <v>0</v>
      </c>
      <c r="AA260" s="647">
        <v>0</v>
      </c>
      <c r="AB260" s="647">
        <v>100.24063406591846</v>
      </c>
      <c r="AC260" s="647">
        <v>5.8624646335327153</v>
      </c>
      <c r="AD260" s="647">
        <v>67.152419330248577</v>
      </c>
      <c r="AE260" s="647">
        <v>25.533007440030815</v>
      </c>
      <c r="AF260" s="647">
        <v>70.498567758341522</v>
      </c>
      <c r="AG260" s="647">
        <v>4.9368188759338274</v>
      </c>
      <c r="AH260" s="647">
        <v>472.52316025955423</v>
      </c>
      <c r="AI260" s="647">
        <v>65.204498303456901</v>
      </c>
      <c r="AJ260" s="647">
        <v>12.150152156541072</v>
      </c>
      <c r="AK260" s="647">
        <v>1345.3861044653063</v>
      </c>
    </row>
    <row r="261" spans="3:37" ht="13">
      <c r="C261" s="636"/>
      <c r="D261" s="636"/>
      <c r="E261" s="636"/>
      <c r="F261" s="636"/>
      <c r="G261" s="636"/>
      <c r="H261" s="636"/>
      <c r="I261" s="636"/>
      <c r="J261" s="636"/>
      <c r="K261" s="636"/>
      <c r="L261" s="636"/>
      <c r="M261" s="636"/>
      <c r="N261" s="636"/>
      <c r="O261" s="636"/>
      <c r="P261" s="636"/>
      <c r="Q261" s="636"/>
      <c r="R261" s="636"/>
      <c r="S261" s="636"/>
      <c r="U261" s="636"/>
      <c r="V261" s="636"/>
      <c r="W261" s="636"/>
      <c r="X261" s="636"/>
      <c r="Y261" s="636"/>
      <c r="Z261" s="636"/>
      <c r="AA261" s="636"/>
      <c r="AB261" s="636"/>
      <c r="AC261" s="636"/>
      <c r="AD261" s="636"/>
      <c r="AE261" s="636"/>
      <c r="AF261" s="636"/>
      <c r="AG261" s="636"/>
      <c r="AH261" s="636"/>
      <c r="AI261" s="636"/>
      <c r="AJ261" s="636"/>
      <c r="AK261" s="636"/>
    </row>
    <row r="262" spans="3:37" ht="22.5">
      <c r="C262" s="699" t="s">
        <v>361</v>
      </c>
      <c r="D262" s="699"/>
      <c r="E262" s="699"/>
      <c r="F262" s="699"/>
      <c r="G262" s="699"/>
      <c r="H262" s="699"/>
      <c r="I262" s="699"/>
      <c r="J262" s="699"/>
      <c r="K262" s="699"/>
      <c r="L262" s="699"/>
      <c r="M262" s="699"/>
      <c r="N262" s="699"/>
      <c r="O262" s="699"/>
      <c r="P262" s="699"/>
      <c r="Q262" s="699"/>
      <c r="R262" s="699"/>
      <c r="S262" s="699"/>
      <c r="U262" s="699" t="s">
        <v>361</v>
      </c>
      <c r="V262" s="699"/>
      <c r="W262" s="699"/>
      <c r="X262" s="699"/>
      <c r="Y262" s="699"/>
      <c r="Z262" s="699"/>
      <c r="AA262" s="699"/>
      <c r="AB262" s="699"/>
      <c r="AC262" s="699"/>
      <c r="AD262" s="699"/>
      <c r="AE262" s="699"/>
      <c r="AF262" s="699"/>
      <c r="AG262" s="699"/>
      <c r="AH262" s="699"/>
      <c r="AI262" s="699"/>
      <c r="AJ262" s="699"/>
      <c r="AK262" s="699"/>
    </row>
    <row r="263" spans="3:37" ht="13">
      <c r="C263" s="636"/>
      <c r="D263" s="636"/>
      <c r="E263" s="636"/>
      <c r="F263" s="636"/>
      <c r="G263" s="636"/>
      <c r="H263" s="636"/>
      <c r="I263" s="636"/>
      <c r="J263" s="636"/>
      <c r="K263" s="636"/>
      <c r="L263" s="636"/>
      <c r="M263" s="636"/>
      <c r="N263" s="636"/>
      <c r="O263" s="636"/>
      <c r="P263" s="636"/>
      <c r="Q263" s="636"/>
      <c r="R263" s="636"/>
      <c r="S263" s="636"/>
      <c r="U263" s="636"/>
      <c r="V263" s="636"/>
      <c r="W263" s="636"/>
      <c r="X263" s="636"/>
      <c r="Y263" s="636"/>
      <c r="Z263" s="636"/>
      <c r="AA263" s="636"/>
      <c r="AB263" s="636"/>
      <c r="AC263" s="636"/>
      <c r="AD263" s="636"/>
      <c r="AE263" s="636"/>
      <c r="AF263" s="636"/>
      <c r="AG263" s="636"/>
      <c r="AH263" s="636"/>
      <c r="AI263" s="636"/>
      <c r="AJ263" s="636"/>
      <c r="AK263" s="636"/>
    </row>
    <row r="264" spans="3:37" ht="13" customHeight="1">
      <c r="C264" s="700" t="s">
        <v>128</v>
      </c>
      <c r="D264" s="701" t="s">
        <v>42</v>
      </c>
      <c r="E264" s="701" t="s">
        <v>52</v>
      </c>
      <c r="F264" s="701" t="s">
        <v>53</v>
      </c>
      <c r="G264" s="701" t="s">
        <v>32</v>
      </c>
      <c r="H264" s="701" t="s">
        <v>20</v>
      </c>
      <c r="I264" s="701" t="s">
        <v>55</v>
      </c>
      <c r="J264" s="701" t="s">
        <v>56</v>
      </c>
      <c r="K264" s="701"/>
      <c r="L264" s="701"/>
      <c r="M264" s="701"/>
      <c r="N264" s="701"/>
      <c r="O264" s="701"/>
      <c r="P264" s="701" t="s">
        <v>57</v>
      </c>
      <c r="Q264" s="701" t="s">
        <v>58</v>
      </c>
      <c r="R264" s="701" t="s">
        <v>31</v>
      </c>
      <c r="S264" s="701" t="s">
        <v>10</v>
      </c>
      <c r="U264" s="700" t="s">
        <v>128</v>
      </c>
      <c r="V264" s="701" t="s">
        <v>42</v>
      </c>
      <c r="W264" s="701" t="s">
        <v>52</v>
      </c>
      <c r="X264" s="701" t="s">
        <v>53</v>
      </c>
      <c r="Y264" s="701" t="s">
        <v>32</v>
      </c>
      <c r="Z264" s="701" t="s">
        <v>20</v>
      </c>
      <c r="AA264" s="701" t="s">
        <v>55</v>
      </c>
      <c r="AB264" s="701" t="s">
        <v>56</v>
      </c>
      <c r="AC264" s="701"/>
      <c r="AD264" s="701"/>
      <c r="AE264" s="701"/>
      <c r="AF264" s="701"/>
      <c r="AG264" s="701"/>
      <c r="AH264" s="701" t="s">
        <v>57</v>
      </c>
      <c r="AI264" s="701" t="s">
        <v>58</v>
      </c>
      <c r="AJ264" s="701" t="s">
        <v>31</v>
      </c>
      <c r="AK264" s="701" t="s">
        <v>10</v>
      </c>
    </row>
    <row r="265" spans="3:37" ht="46">
      <c r="C265" s="700"/>
      <c r="D265" s="701"/>
      <c r="E265" s="701"/>
      <c r="F265" s="701"/>
      <c r="G265" s="701"/>
      <c r="H265" s="701"/>
      <c r="I265" s="701"/>
      <c r="J265" s="640" t="s">
        <v>338</v>
      </c>
      <c r="K265" s="640" t="s">
        <v>40</v>
      </c>
      <c r="L265" s="640" t="s">
        <v>346</v>
      </c>
      <c r="M265" s="640" t="s">
        <v>347</v>
      </c>
      <c r="N265" s="640" t="s">
        <v>348</v>
      </c>
      <c r="O265" s="640" t="s">
        <v>349</v>
      </c>
      <c r="P265" s="701"/>
      <c r="Q265" s="701"/>
      <c r="R265" s="701"/>
      <c r="S265" s="701"/>
      <c r="U265" s="700"/>
      <c r="V265" s="701"/>
      <c r="W265" s="701"/>
      <c r="X265" s="701"/>
      <c r="Y265" s="701"/>
      <c r="Z265" s="701"/>
      <c r="AA265" s="701"/>
      <c r="AB265" s="640" t="s">
        <v>338</v>
      </c>
      <c r="AC265" s="640" t="s">
        <v>40</v>
      </c>
      <c r="AD265" s="640" t="s">
        <v>346</v>
      </c>
      <c r="AE265" s="640" t="s">
        <v>347</v>
      </c>
      <c r="AF265" s="640" t="s">
        <v>348</v>
      </c>
      <c r="AG265" s="640" t="s">
        <v>349</v>
      </c>
      <c r="AH265" s="701"/>
      <c r="AI265" s="701"/>
      <c r="AJ265" s="701"/>
      <c r="AK265" s="701"/>
    </row>
    <row r="266" spans="3:37" ht="13.5">
      <c r="C266" s="641" t="s">
        <v>59</v>
      </c>
      <c r="D266" s="642">
        <v>0</v>
      </c>
      <c r="E266" s="643">
        <v>5.8150000000000004</v>
      </c>
      <c r="F266" s="643">
        <v>0</v>
      </c>
      <c r="G266" s="642">
        <v>9.3040000000000012E-2</v>
      </c>
      <c r="H266" s="643">
        <v>1075.0000000000002</v>
      </c>
      <c r="I266" s="643">
        <v>224.13674723416887</v>
      </c>
      <c r="J266" s="643">
        <v>191.59942379122555</v>
      </c>
      <c r="K266" s="643">
        <v>21.432553878964274</v>
      </c>
      <c r="L266" s="643">
        <v>0.38158375751522683</v>
      </c>
      <c r="M266" s="643">
        <v>0.1566638564915529</v>
      </c>
      <c r="N266" s="643">
        <v>57.826394702164251</v>
      </c>
      <c r="O266" s="643">
        <v>8.0717549324466145</v>
      </c>
      <c r="P266" s="644">
        <v>0</v>
      </c>
      <c r="Q266" s="643">
        <v>0</v>
      </c>
      <c r="R266" s="643">
        <v>0</v>
      </c>
      <c r="S266" s="645">
        <v>1584.5131621529763</v>
      </c>
      <c r="U266" s="641" t="s">
        <v>59</v>
      </c>
      <c r="V266" s="642">
        <v>0</v>
      </c>
      <c r="W266" s="643">
        <v>5.8150000000000004</v>
      </c>
      <c r="X266" s="643">
        <v>0</v>
      </c>
      <c r="Y266" s="642">
        <v>9.3040000000000012E-2</v>
      </c>
      <c r="Z266" s="643">
        <v>994.39393939393949</v>
      </c>
      <c r="AA266" s="643">
        <v>248.70674723416883</v>
      </c>
      <c r="AB266" s="643">
        <v>191.76566332259941</v>
      </c>
      <c r="AC266" s="643">
        <v>38.031253697312572</v>
      </c>
      <c r="AD266" s="643">
        <v>0.38158375751522683</v>
      </c>
      <c r="AE266" s="643">
        <v>0.1566638564915529</v>
      </c>
      <c r="AF266" s="643">
        <v>76.992812580470769</v>
      </c>
      <c r="AG266" s="643">
        <v>16.738826185514363</v>
      </c>
      <c r="AH266" s="644">
        <v>0</v>
      </c>
      <c r="AI266" s="643">
        <v>0</v>
      </c>
      <c r="AJ266" s="643">
        <v>0</v>
      </c>
      <c r="AK266" s="645">
        <v>1573.0755300280123</v>
      </c>
    </row>
    <row r="267" spans="3:37" ht="13.5">
      <c r="C267" s="641" t="s">
        <v>60</v>
      </c>
      <c r="D267" s="642">
        <v>48.827265231041785</v>
      </c>
      <c r="E267" s="643">
        <v>518.07410535010388</v>
      </c>
      <c r="F267" s="643">
        <v>107.87457071926454</v>
      </c>
      <c r="G267" s="642">
        <v>335.04873882059013</v>
      </c>
      <c r="H267" s="643">
        <v>0</v>
      </c>
      <c r="I267" s="643">
        <v>0</v>
      </c>
      <c r="J267" s="643">
        <v>3.6983557386050134</v>
      </c>
      <c r="K267" s="643">
        <v>0</v>
      </c>
      <c r="L267" s="643">
        <v>2.0715216469959126</v>
      </c>
      <c r="M267" s="643">
        <v>0</v>
      </c>
      <c r="N267" s="643">
        <v>0</v>
      </c>
      <c r="O267" s="643">
        <v>0</v>
      </c>
      <c r="P267" s="644">
        <v>0</v>
      </c>
      <c r="Q267" s="643">
        <v>0</v>
      </c>
      <c r="R267" s="643">
        <v>0</v>
      </c>
      <c r="S267" s="645">
        <v>1015.5945575066012</v>
      </c>
      <c r="U267" s="641" t="s">
        <v>60</v>
      </c>
      <c r="V267" s="642">
        <v>9.7783497021920969</v>
      </c>
      <c r="W267" s="643">
        <v>336.80990869295175</v>
      </c>
      <c r="X267" s="643">
        <v>55.498271181254346</v>
      </c>
      <c r="Y267" s="642">
        <v>207.3573846689826</v>
      </c>
      <c r="Z267" s="643">
        <v>0</v>
      </c>
      <c r="AA267" s="643">
        <v>0</v>
      </c>
      <c r="AB267" s="643">
        <v>3.6983557386050134</v>
      </c>
      <c r="AC267" s="643">
        <v>0</v>
      </c>
      <c r="AD267" s="643">
        <v>2.0715216469959126</v>
      </c>
      <c r="AE267" s="643">
        <v>0</v>
      </c>
      <c r="AF267" s="643">
        <v>0</v>
      </c>
      <c r="AG267" s="643">
        <v>0</v>
      </c>
      <c r="AH267" s="644">
        <v>0</v>
      </c>
      <c r="AI267" s="643">
        <v>0</v>
      </c>
      <c r="AJ267" s="643">
        <v>0</v>
      </c>
      <c r="AK267" s="645">
        <v>615.21379163098163</v>
      </c>
    </row>
    <row r="268" spans="3:37" ht="13.5">
      <c r="C268" s="641" t="s">
        <v>61</v>
      </c>
      <c r="D268" s="642">
        <v>0</v>
      </c>
      <c r="E268" s="643">
        <v>0</v>
      </c>
      <c r="F268" s="643">
        <v>0</v>
      </c>
      <c r="G268" s="642">
        <v>0</v>
      </c>
      <c r="H268" s="643">
        <v>0</v>
      </c>
      <c r="I268" s="643">
        <v>0</v>
      </c>
      <c r="J268" s="643">
        <v>0</v>
      </c>
      <c r="K268" s="643">
        <v>0</v>
      </c>
      <c r="L268" s="643">
        <v>0</v>
      </c>
      <c r="M268" s="643">
        <v>0</v>
      </c>
      <c r="N268" s="643">
        <v>0</v>
      </c>
      <c r="O268" s="643">
        <v>0</v>
      </c>
      <c r="P268" s="644">
        <v>-50.941346245748719</v>
      </c>
      <c r="Q268" s="643">
        <v>0</v>
      </c>
      <c r="R268" s="643">
        <v>0</v>
      </c>
      <c r="S268" s="645">
        <v>-50.941346245748719</v>
      </c>
      <c r="U268" s="641" t="s">
        <v>61</v>
      </c>
      <c r="V268" s="642">
        <v>0</v>
      </c>
      <c r="W268" s="643">
        <v>0</v>
      </c>
      <c r="X268" s="643">
        <v>0</v>
      </c>
      <c r="Y268" s="642">
        <v>0</v>
      </c>
      <c r="Z268" s="643">
        <v>0</v>
      </c>
      <c r="AA268" s="643">
        <v>0</v>
      </c>
      <c r="AB268" s="643">
        <v>0</v>
      </c>
      <c r="AC268" s="643">
        <v>0</v>
      </c>
      <c r="AD268" s="643">
        <v>0</v>
      </c>
      <c r="AE268" s="643">
        <v>0</v>
      </c>
      <c r="AF268" s="643">
        <v>0</v>
      </c>
      <c r="AG268" s="643">
        <v>0</v>
      </c>
      <c r="AH268" s="644">
        <v>-32.476172245636349</v>
      </c>
      <c r="AI268" s="643">
        <v>0</v>
      </c>
      <c r="AJ268" s="643">
        <v>0</v>
      </c>
      <c r="AK268" s="645">
        <v>-32.476172245636349</v>
      </c>
    </row>
    <row r="269" spans="3:37" ht="13.5">
      <c r="C269" s="641" t="s">
        <v>62</v>
      </c>
      <c r="D269" s="642">
        <v>0</v>
      </c>
      <c r="E269" s="643">
        <v>0</v>
      </c>
      <c r="F269" s="643">
        <v>-16.25862008896565</v>
      </c>
      <c r="G269" s="642">
        <v>0</v>
      </c>
      <c r="H269" s="643">
        <v>0</v>
      </c>
      <c r="I269" s="643">
        <v>0</v>
      </c>
      <c r="J269" s="643">
        <v>0</v>
      </c>
      <c r="K269" s="643">
        <v>0</v>
      </c>
      <c r="L269" s="643">
        <v>0</v>
      </c>
      <c r="M269" s="643">
        <v>0</v>
      </c>
      <c r="N269" s="643">
        <v>0</v>
      </c>
      <c r="O269" s="643">
        <v>0</v>
      </c>
      <c r="P269" s="644">
        <v>0</v>
      </c>
      <c r="Q269" s="643">
        <v>0</v>
      </c>
      <c r="R269" s="643">
        <v>0</v>
      </c>
      <c r="S269" s="645">
        <v>-16.25862008896565</v>
      </c>
      <c r="U269" s="641" t="s">
        <v>62</v>
      </c>
      <c r="V269" s="642">
        <v>0</v>
      </c>
      <c r="W269" s="643">
        <v>0</v>
      </c>
      <c r="X269" s="643">
        <v>-12.937868047131742</v>
      </c>
      <c r="Y269" s="642">
        <v>-1.5571295869756494</v>
      </c>
      <c r="Z269" s="643">
        <v>0</v>
      </c>
      <c r="AA269" s="643">
        <v>0</v>
      </c>
      <c r="AB269" s="643">
        <v>0</v>
      </c>
      <c r="AC269" s="643">
        <v>0</v>
      </c>
      <c r="AD269" s="643">
        <v>0</v>
      </c>
      <c r="AE269" s="643">
        <v>-0.27478757417217342</v>
      </c>
      <c r="AF269" s="643">
        <v>0</v>
      </c>
      <c r="AG269" s="643">
        <v>0</v>
      </c>
      <c r="AH269" s="644">
        <v>0</v>
      </c>
      <c r="AI269" s="643">
        <v>0</v>
      </c>
      <c r="AJ269" s="643">
        <v>0</v>
      </c>
      <c r="AK269" s="645">
        <v>-14.769785208279565</v>
      </c>
    </row>
    <row r="270" spans="3:37" ht="13.5">
      <c r="C270" s="641" t="s">
        <v>63</v>
      </c>
      <c r="D270" s="642">
        <v>0</v>
      </c>
      <c r="E270" s="643">
        <v>0</v>
      </c>
      <c r="F270" s="643">
        <v>-83.551471621484865</v>
      </c>
      <c r="G270" s="642">
        <v>0</v>
      </c>
      <c r="H270" s="643">
        <v>0</v>
      </c>
      <c r="I270" s="643">
        <v>0</v>
      </c>
      <c r="J270" s="643">
        <v>0</v>
      </c>
      <c r="K270" s="643">
        <v>0</v>
      </c>
      <c r="L270" s="643">
        <v>-0.85914301655193537</v>
      </c>
      <c r="M270" s="643">
        <v>0</v>
      </c>
      <c r="N270" s="643">
        <v>0</v>
      </c>
      <c r="O270" s="643">
        <v>0</v>
      </c>
      <c r="P270" s="644">
        <v>0</v>
      </c>
      <c r="Q270" s="643">
        <v>0</v>
      </c>
      <c r="R270" s="643">
        <v>0</v>
      </c>
      <c r="S270" s="645">
        <v>-84.410614638036805</v>
      </c>
      <c r="U270" s="641" t="s">
        <v>63</v>
      </c>
      <c r="V270" s="642">
        <v>0</v>
      </c>
      <c r="W270" s="643">
        <v>0</v>
      </c>
      <c r="X270" s="643">
        <v>-67.135202148658564</v>
      </c>
      <c r="Y270" s="642">
        <v>0</v>
      </c>
      <c r="Z270" s="643">
        <v>0</v>
      </c>
      <c r="AA270" s="643">
        <v>0</v>
      </c>
      <c r="AB270" s="643">
        <v>0</v>
      </c>
      <c r="AC270" s="643">
        <v>0</v>
      </c>
      <c r="AD270" s="643">
        <v>-15.117527463171397</v>
      </c>
      <c r="AE270" s="643">
        <v>0</v>
      </c>
      <c r="AF270" s="643">
        <v>0</v>
      </c>
      <c r="AG270" s="643">
        <v>0</v>
      </c>
      <c r="AH270" s="644">
        <v>0</v>
      </c>
      <c r="AI270" s="643">
        <v>0</v>
      </c>
      <c r="AJ270" s="643">
        <v>0</v>
      </c>
      <c r="AK270" s="645">
        <v>-82.252729611829963</v>
      </c>
    </row>
    <row r="271" spans="3:37" ht="13.5">
      <c r="C271" s="641" t="s">
        <v>64</v>
      </c>
      <c r="D271" s="642">
        <v>0</v>
      </c>
      <c r="E271" s="643">
        <v>0</v>
      </c>
      <c r="F271" s="643">
        <v>0</v>
      </c>
      <c r="G271" s="642">
        <v>0</v>
      </c>
      <c r="H271" s="643">
        <v>0</v>
      </c>
      <c r="I271" s="643">
        <v>0</v>
      </c>
      <c r="J271" s="643">
        <v>0</v>
      </c>
      <c r="K271" s="643">
        <v>0</v>
      </c>
      <c r="L271" s="643">
        <v>0</v>
      </c>
      <c r="M271" s="643">
        <v>0</v>
      </c>
      <c r="N271" s="643">
        <v>0</v>
      </c>
      <c r="O271" s="643">
        <v>0</v>
      </c>
      <c r="P271" s="644">
        <v>0</v>
      </c>
      <c r="Q271" s="643">
        <v>0</v>
      </c>
      <c r="R271" s="643">
        <v>0</v>
      </c>
      <c r="S271" s="645">
        <v>0</v>
      </c>
      <c r="U271" s="641" t="s">
        <v>64</v>
      </c>
      <c r="V271" s="642">
        <v>0</v>
      </c>
      <c r="W271" s="643">
        <v>0</v>
      </c>
      <c r="X271" s="643">
        <v>0</v>
      </c>
      <c r="Y271" s="642">
        <v>0</v>
      </c>
      <c r="Z271" s="643">
        <v>0</v>
      </c>
      <c r="AA271" s="643">
        <v>0</v>
      </c>
      <c r="AB271" s="643">
        <v>0</v>
      </c>
      <c r="AC271" s="643">
        <v>0</v>
      </c>
      <c r="AD271" s="643">
        <v>0</v>
      </c>
      <c r="AE271" s="643">
        <v>0</v>
      </c>
      <c r="AF271" s="643">
        <v>0</v>
      </c>
      <c r="AG271" s="643">
        <v>0</v>
      </c>
      <c r="AH271" s="644">
        <v>0</v>
      </c>
      <c r="AI271" s="643">
        <v>0</v>
      </c>
      <c r="AJ271" s="643">
        <v>0</v>
      </c>
      <c r="AK271" s="645">
        <v>0</v>
      </c>
    </row>
    <row r="272" spans="3:37" ht="13.5">
      <c r="C272" s="646" t="s">
        <v>65</v>
      </c>
      <c r="D272" s="647">
        <v>48.827265231041785</v>
      </c>
      <c r="E272" s="647">
        <v>523.88910535010393</v>
      </c>
      <c r="F272" s="647">
        <v>8.0644790088140255</v>
      </c>
      <c r="G272" s="647">
        <v>335.1417788205901</v>
      </c>
      <c r="H272" s="647">
        <v>1075.0000000000002</v>
      </c>
      <c r="I272" s="647">
        <v>224.13674723416887</v>
      </c>
      <c r="J272" s="647">
        <v>195.29777952983056</v>
      </c>
      <c r="K272" s="647">
        <v>21.432553878964274</v>
      </c>
      <c r="L272" s="647">
        <v>1.5939623879592042</v>
      </c>
      <c r="M272" s="647">
        <v>0.1566638564915529</v>
      </c>
      <c r="N272" s="647">
        <v>57.826394702164251</v>
      </c>
      <c r="O272" s="647">
        <v>8.0717549324466145</v>
      </c>
      <c r="P272" s="647">
        <v>-50.941346245748719</v>
      </c>
      <c r="Q272" s="647">
        <v>0</v>
      </c>
      <c r="R272" s="647">
        <v>0</v>
      </c>
      <c r="S272" s="647">
        <v>2448.4971386868265</v>
      </c>
      <c r="U272" s="646" t="s">
        <v>65</v>
      </c>
      <c r="V272" s="647">
        <v>9.7783497021920969</v>
      </c>
      <c r="W272" s="647">
        <v>342.62490869295175</v>
      </c>
      <c r="X272" s="647">
        <v>-24.574799014535962</v>
      </c>
      <c r="Y272" s="647">
        <v>205.89329508200694</v>
      </c>
      <c r="Z272" s="647">
        <v>994.39393939393949</v>
      </c>
      <c r="AA272" s="647">
        <v>248.70674723416883</v>
      </c>
      <c r="AB272" s="647">
        <v>195.46401906120443</v>
      </c>
      <c r="AC272" s="647">
        <v>38.031253697312572</v>
      </c>
      <c r="AD272" s="647">
        <v>-12.664422058660257</v>
      </c>
      <c r="AE272" s="647">
        <v>-0.11812371768062052</v>
      </c>
      <c r="AF272" s="647">
        <v>76.992812580470769</v>
      </c>
      <c r="AG272" s="647">
        <v>16.738826185514363</v>
      </c>
      <c r="AH272" s="647">
        <v>-32.476172245636349</v>
      </c>
      <c r="AI272" s="647">
        <v>0</v>
      </c>
      <c r="AJ272" s="647">
        <v>0</v>
      </c>
      <c r="AK272" s="647">
        <v>2058.7906345932479</v>
      </c>
    </row>
    <row r="273" spans="3:37" ht="13">
      <c r="C273" s="636"/>
      <c r="D273" s="636">
        <v>0</v>
      </c>
      <c r="E273" s="636">
        <v>0</v>
      </c>
      <c r="F273" s="636">
        <v>0</v>
      </c>
      <c r="G273" s="636">
        <v>0</v>
      </c>
      <c r="H273" s="636">
        <v>0</v>
      </c>
      <c r="I273" s="636">
        <v>0</v>
      </c>
      <c r="J273" s="636">
        <v>0</v>
      </c>
      <c r="K273" s="636">
        <v>0</v>
      </c>
      <c r="L273" s="636">
        <v>0</v>
      </c>
      <c r="M273" s="636">
        <v>0</v>
      </c>
      <c r="N273" s="636">
        <v>0</v>
      </c>
      <c r="O273" s="636">
        <v>0</v>
      </c>
      <c r="P273" s="636">
        <v>0</v>
      </c>
      <c r="Q273" s="636">
        <v>0</v>
      </c>
      <c r="R273" s="636">
        <v>0</v>
      </c>
      <c r="S273" s="636">
        <v>0</v>
      </c>
      <c r="U273" s="636"/>
      <c r="V273" s="636">
        <v>0</v>
      </c>
      <c r="W273" s="636">
        <v>0</v>
      </c>
      <c r="X273" s="636">
        <v>0</v>
      </c>
      <c r="Y273" s="636">
        <v>0</v>
      </c>
      <c r="Z273" s="636">
        <v>0</v>
      </c>
      <c r="AA273" s="636">
        <v>0</v>
      </c>
      <c r="AB273" s="636">
        <v>0</v>
      </c>
      <c r="AC273" s="636">
        <v>0</v>
      </c>
      <c r="AD273" s="636">
        <v>0</v>
      </c>
      <c r="AE273" s="636">
        <v>0</v>
      </c>
      <c r="AF273" s="636">
        <v>0</v>
      </c>
      <c r="AG273" s="636">
        <v>0</v>
      </c>
      <c r="AH273" s="636">
        <v>0</v>
      </c>
      <c r="AI273" s="636">
        <v>0</v>
      </c>
      <c r="AJ273" s="636">
        <v>0</v>
      </c>
      <c r="AK273" s="636">
        <v>0</v>
      </c>
    </row>
    <row r="274" spans="3:37" ht="13.5">
      <c r="C274" s="648" t="s">
        <v>67</v>
      </c>
      <c r="D274" s="642">
        <v>0</v>
      </c>
      <c r="E274" s="649">
        <v>0</v>
      </c>
      <c r="F274" s="649">
        <v>0</v>
      </c>
      <c r="G274" s="642">
        <v>0</v>
      </c>
      <c r="H274" s="642">
        <v>0</v>
      </c>
      <c r="I274" s="642">
        <v>0</v>
      </c>
      <c r="J274" s="642">
        <v>0</v>
      </c>
      <c r="K274" s="642">
        <v>0</v>
      </c>
      <c r="L274" s="642">
        <v>0</v>
      </c>
      <c r="M274" s="642">
        <v>0</v>
      </c>
      <c r="N274" s="642">
        <v>0</v>
      </c>
      <c r="O274" s="642">
        <v>0</v>
      </c>
      <c r="P274" s="642">
        <v>0</v>
      </c>
      <c r="Q274" s="642">
        <v>0</v>
      </c>
      <c r="R274" s="642">
        <v>0</v>
      </c>
      <c r="S274" s="650">
        <v>0</v>
      </c>
      <c r="U274" s="648" t="s">
        <v>67</v>
      </c>
      <c r="V274" s="642">
        <v>0</v>
      </c>
      <c r="W274" s="649">
        <v>0</v>
      </c>
      <c r="X274" s="649">
        <v>0</v>
      </c>
      <c r="Y274" s="642">
        <v>0</v>
      </c>
      <c r="Z274" s="642">
        <v>0</v>
      </c>
      <c r="AA274" s="642">
        <v>0</v>
      </c>
      <c r="AB274" s="642">
        <v>0</v>
      </c>
      <c r="AC274" s="642">
        <v>0</v>
      </c>
      <c r="AD274" s="642">
        <v>0</v>
      </c>
      <c r="AE274" s="642">
        <v>0</v>
      </c>
      <c r="AF274" s="642">
        <v>0</v>
      </c>
      <c r="AG274" s="642">
        <v>0</v>
      </c>
      <c r="AH274" s="642">
        <v>0</v>
      </c>
      <c r="AI274" s="642">
        <v>0</v>
      </c>
      <c r="AJ274" s="642">
        <v>0</v>
      </c>
      <c r="AK274" s="650">
        <v>0</v>
      </c>
    </row>
    <row r="275" spans="3:37" ht="13.5">
      <c r="C275" s="648" t="s">
        <v>350</v>
      </c>
      <c r="D275" s="642">
        <v>2.8267856410252494</v>
      </c>
      <c r="E275" s="642">
        <v>0</v>
      </c>
      <c r="F275" s="642">
        <v>7.9696731063521415</v>
      </c>
      <c r="G275" s="642">
        <v>17.422222222222224</v>
      </c>
      <c r="H275" s="642">
        <v>1075.0000000000002</v>
      </c>
      <c r="I275" s="642">
        <v>224.13674723416887</v>
      </c>
      <c r="J275" s="651">
        <v>30.45355250478201</v>
      </c>
      <c r="K275" s="651">
        <v>7.4482212846984126</v>
      </c>
      <c r="L275" s="651">
        <v>2.4531054045111396</v>
      </c>
      <c r="M275" s="651">
        <v>0.47972213502804317</v>
      </c>
      <c r="N275" s="651">
        <v>0</v>
      </c>
      <c r="O275" s="651">
        <v>3.0833964576427819</v>
      </c>
      <c r="P275" s="642">
        <v>-609.30151807373261</v>
      </c>
      <c r="Q275" s="642">
        <v>0</v>
      </c>
      <c r="R275" s="642">
        <v>0</v>
      </c>
      <c r="S275" s="650">
        <v>761.97190791669834</v>
      </c>
      <c r="U275" s="648" t="s">
        <v>350</v>
      </c>
      <c r="V275" s="642">
        <v>0.62631490545869017</v>
      </c>
      <c r="W275" s="642">
        <v>0</v>
      </c>
      <c r="X275" s="642">
        <v>4.1060367427157782</v>
      </c>
      <c r="Y275" s="642">
        <v>24.857777777777773</v>
      </c>
      <c r="Z275" s="642">
        <v>994.39393939393949</v>
      </c>
      <c r="AA275" s="642">
        <v>248.70674723416883</v>
      </c>
      <c r="AB275" s="651">
        <v>24.641197042508384</v>
      </c>
      <c r="AC275" s="651">
        <v>6.6719525843779666</v>
      </c>
      <c r="AD275" s="651">
        <v>2.4531054045111396</v>
      </c>
      <c r="AE275" s="651">
        <v>4.5108332461391543</v>
      </c>
      <c r="AF275" s="651">
        <v>0</v>
      </c>
      <c r="AG275" s="651">
        <v>3.0833964576427819</v>
      </c>
      <c r="AH275" s="642">
        <v>-611.77151807373264</v>
      </c>
      <c r="AI275" s="642">
        <v>0</v>
      </c>
      <c r="AJ275" s="642">
        <v>2.3749999999999996</v>
      </c>
      <c r="AK275" s="650">
        <v>704.65478271550762</v>
      </c>
    </row>
    <row r="276" spans="3:37" ht="13.5">
      <c r="C276" s="648" t="s">
        <v>351</v>
      </c>
      <c r="D276" s="642">
        <v>0</v>
      </c>
      <c r="E276" s="642">
        <v>0</v>
      </c>
      <c r="F276" s="642">
        <v>0</v>
      </c>
      <c r="G276" s="642">
        <v>15.160725636684646</v>
      </c>
      <c r="H276" s="642">
        <v>0</v>
      </c>
      <c r="I276" s="642">
        <v>0</v>
      </c>
      <c r="J276" s="651">
        <v>12.939045348987106</v>
      </c>
      <c r="K276" s="651">
        <v>12.151724678588742</v>
      </c>
      <c r="L276" s="651">
        <v>0</v>
      </c>
      <c r="M276" s="651">
        <v>0.32322722394029924</v>
      </c>
      <c r="N276" s="651">
        <v>0</v>
      </c>
      <c r="O276" s="651">
        <v>2.1538235080806043</v>
      </c>
      <c r="P276" s="642">
        <v>0</v>
      </c>
      <c r="Q276" s="642">
        <v>-38.589386176372813</v>
      </c>
      <c r="R276" s="642">
        <v>0</v>
      </c>
      <c r="S276" s="650">
        <v>4.1391602199085806</v>
      </c>
      <c r="U276" s="648" t="s">
        <v>351</v>
      </c>
      <c r="V276" s="642">
        <v>0</v>
      </c>
      <c r="W276" s="642">
        <v>0</v>
      </c>
      <c r="X276" s="642">
        <v>0</v>
      </c>
      <c r="Y276" s="642">
        <v>15.290780965453443</v>
      </c>
      <c r="Z276" s="642">
        <v>0</v>
      </c>
      <c r="AA276" s="642">
        <v>0</v>
      </c>
      <c r="AB276" s="651">
        <v>28.500378674784677</v>
      </c>
      <c r="AC276" s="651">
        <v>25.381229817913329</v>
      </c>
      <c r="AD276" s="651">
        <v>0</v>
      </c>
      <c r="AE276" s="651">
        <v>2.712197771476935</v>
      </c>
      <c r="AF276" s="651">
        <v>0</v>
      </c>
      <c r="AG276" s="651">
        <v>8.3103526067541207</v>
      </c>
      <c r="AH276" s="642">
        <v>0</v>
      </c>
      <c r="AI276" s="642">
        <v>-73.223954421682024</v>
      </c>
      <c r="AJ276" s="642">
        <v>0</v>
      </c>
      <c r="AK276" s="650">
        <v>6.9709854147004844</v>
      </c>
    </row>
    <row r="277" spans="3:37" ht="13.5">
      <c r="C277" s="648" t="s">
        <v>352</v>
      </c>
      <c r="D277" s="642">
        <v>0</v>
      </c>
      <c r="E277" s="642">
        <v>0</v>
      </c>
      <c r="F277" s="642">
        <v>0</v>
      </c>
      <c r="G277" s="642">
        <v>0</v>
      </c>
      <c r="H277" s="642">
        <v>0</v>
      </c>
      <c r="I277" s="642">
        <v>0</v>
      </c>
      <c r="J277" s="652">
        <v>7.3987592400222235</v>
      </c>
      <c r="K277" s="652">
        <v>0</v>
      </c>
      <c r="L277" s="652">
        <v>0</v>
      </c>
      <c r="M277" s="652">
        <v>-6.5941441726698065</v>
      </c>
      <c r="N277" s="652">
        <v>0</v>
      </c>
      <c r="O277" s="652">
        <v>0</v>
      </c>
      <c r="P277" s="642">
        <v>0</v>
      </c>
      <c r="Q277" s="642">
        <v>0</v>
      </c>
      <c r="R277" s="642">
        <v>0</v>
      </c>
      <c r="S277" s="650">
        <v>0.80461506735241706</v>
      </c>
      <c r="U277" s="648" t="s">
        <v>352</v>
      </c>
      <c r="V277" s="642">
        <v>0</v>
      </c>
      <c r="W277" s="642">
        <v>0</v>
      </c>
      <c r="X277" s="642">
        <v>0</v>
      </c>
      <c r="Y277" s="642">
        <v>0</v>
      </c>
      <c r="Z277" s="642">
        <v>0</v>
      </c>
      <c r="AA277" s="642">
        <v>0</v>
      </c>
      <c r="AB277" s="652">
        <v>40.786473386605621</v>
      </c>
      <c r="AC277" s="652">
        <v>0</v>
      </c>
      <c r="AD277" s="652">
        <v>0</v>
      </c>
      <c r="AE277" s="652">
        <v>-36.350944405812257</v>
      </c>
      <c r="AF277" s="652">
        <v>0</v>
      </c>
      <c r="AG277" s="652">
        <v>0</v>
      </c>
      <c r="AH277" s="642">
        <v>0</v>
      </c>
      <c r="AI277" s="642">
        <v>0</v>
      </c>
      <c r="AJ277" s="642">
        <v>0</v>
      </c>
      <c r="AK277" s="650">
        <v>4.4355289807933644</v>
      </c>
    </row>
    <row r="278" spans="3:37" ht="13.5">
      <c r="C278" s="648" t="s">
        <v>353</v>
      </c>
      <c r="D278" s="642">
        <v>0</v>
      </c>
      <c r="E278" s="642">
        <v>0</v>
      </c>
      <c r="F278" s="642">
        <v>0</v>
      </c>
      <c r="G278" s="642">
        <v>0</v>
      </c>
      <c r="H278" s="642">
        <v>0</v>
      </c>
      <c r="I278" s="642">
        <v>0</v>
      </c>
      <c r="J278" s="642">
        <v>0</v>
      </c>
      <c r="K278" s="642">
        <v>0</v>
      </c>
      <c r="L278" s="642">
        <v>0</v>
      </c>
      <c r="M278" s="642">
        <v>0</v>
      </c>
      <c r="N278" s="642">
        <v>0</v>
      </c>
      <c r="O278" s="642">
        <v>0</v>
      </c>
      <c r="P278" s="642">
        <v>0</v>
      </c>
      <c r="Q278" s="642">
        <v>0</v>
      </c>
      <c r="R278" s="642">
        <v>0</v>
      </c>
      <c r="S278" s="650">
        <v>0</v>
      </c>
      <c r="U278" s="648" t="s">
        <v>353</v>
      </c>
      <c r="V278" s="642">
        <v>0</v>
      </c>
      <c r="W278" s="642">
        <v>0</v>
      </c>
      <c r="X278" s="642">
        <v>0</v>
      </c>
      <c r="Y278" s="642">
        <v>0</v>
      </c>
      <c r="Z278" s="642">
        <v>0</v>
      </c>
      <c r="AA278" s="642">
        <v>0</v>
      </c>
      <c r="AB278" s="642">
        <v>0</v>
      </c>
      <c r="AC278" s="642">
        <v>0</v>
      </c>
      <c r="AD278" s="642">
        <v>0</v>
      </c>
      <c r="AE278" s="642">
        <v>0</v>
      </c>
      <c r="AF278" s="642">
        <v>0</v>
      </c>
      <c r="AG278" s="642">
        <v>0</v>
      </c>
      <c r="AH278" s="642">
        <v>0</v>
      </c>
      <c r="AI278" s="642">
        <v>0</v>
      </c>
      <c r="AJ278" s="642">
        <v>0</v>
      </c>
      <c r="AK278" s="650">
        <v>0</v>
      </c>
    </row>
    <row r="279" spans="3:37" ht="13.5">
      <c r="C279" s="648" t="s">
        <v>72</v>
      </c>
      <c r="D279" s="642">
        <v>0</v>
      </c>
      <c r="E279" s="642">
        <v>542.69343279650275</v>
      </c>
      <c r="F279" s="642">
        <v>-537.26649846853775</v>
      </c>
      <c r="G279" s="642">
        <v>0</v>
      </c>
      <c r="H279" s="642">
        <v>0</v>
      </c>
      <c r="I279" s="642">
        <v>0</v>
      </c>
      <c r="J279" s="642">
        <v>0</v>
      </c>
      <c r="K279" s="642">
        <v>0</v>
      </c>
      <c r="L279" s="642">
        <v>0</v>
      </c>
      <c r="M279" s="642">
        <v>0</v>
      </c>
      <c r="N279" s="642">
        <v>0</v>
      </c>
      <c r="O279" s="642">
        <v>0</v>
      </c>
      <c r="P279" s="642">
        <v>0</v>
      </c>
      <c r="Q279" s="642">
        <v>0</v>
      </c>
      <c r="R279" s="642">
        <v>0</v>
      </c>
      <c r="S279" s="650">
        <v>5.4269343279650002</v>
      </c>
      <c r="U279" s="648" t="s">
        <v>72</v>
      </c>
      <c r="V279" s="642">
        <v>0</v>
      </c>
      <c r="W279" s="642">
        <v>354.9229903070925</v>
      </c>
      <c r="X279" s="642">
        <v>-351.3737604040216</v>
      </c>
      <c r="Y279" s="642">
        <v>0</v>
      </c>
      <c r="Z279" s="642">
        <v>0</v>
      </c>
      <c r="AA279" s="642">
        <v>0</v>
      </c>
      <c r="AB279" s="642">
        <v>0</v>
      </c>
      <c r="AC279" s="642">
        <v>0</v>
      </c>
      <c r="AD279" s="642">
        <v>0</v>
      </c>
      <c r="AE279" s="642">
        <v>0</v>
      </c>
      <c r="AF279" s="642">
        <v>0</v>
      </c>
      <c r="AG279" s="642">
        <v>0</v>
      </c>
      <c r="AH279" s="642">
        <v>0</v>
      </c>
      <c r="AI279" s="642">
        <v>0</v>
      </c>
      <c r="AJ279" s="642">
        <v>0</v>
      </c>
      <c r="AK279" s="650">
        <v>3.5492299030709091</v>
      </c>
    </row>
    <row r="280" spans="3:37" ht="13.5">
      <c r="C280" s="648" t="s">
        <v>354</v>
      </c>
      <c r="D280" s="642">
        <v>0</v>
      </c>
      <c r="E280" s="642">
        <v>0</v>
      </c>
      <c r="F280" s="642">
        <v>0</v>
      </c>
      <c r="G280" s="642">
        <v>0</v>
      </c>
      <c r="H280" s="642">
        <v>0</v>
      </c>
      <c r="I280" s="642">
        <v>0</v>
      </c>
      <c r="J280" s="642">
        <v>32.75009012852766</v>
      </c>
      <c r="K280" s="642">
        <v>0</v>
      </c>
      <c r="L280" s="642">
        <v>-32.75009012852766</v>
      </c>
      <c r="M280" s="642">
        <v>0</v>
      </c>
      <c r="N280" s="642">
        <v>0</v>
      </c>
      <c r="O280" s="642">
        <v>0</v>
      </c>
      <c r="P280" s="642">
        <v>0</v>
      </c>
      <c r="Q280" s="642">
        <v>0</v>
      </c>
      <c r="R280" s="642">
        <v>0</v>
      </c>
      <c r="S280" s="650">
        <v>0</v>
      </c>
      <c r="U280" s="648" t="s">
        <v>354</v>
      </c>
      <c r="V280" s="642">
        <v>0</v>
      </c>
      <c r="W280" s="642">
        <v>0</v>
      </c>
      <c r="X280" s="642">
        <v>0</v>
      </c>
      <c r="Y280" s="642">
        <v>0</v>
      </c>
      <c r="Z280" s="642">
        <v>0</v>
      </c>
      <c r="AA280" s="642">
        <v>0</v>
      </c>
      <c r="AB280" s="642" t="e">
        <v>#VALUE!</v>
      </c>
      <c r="AC280" s="642">
        <v>0</v>
      </c>
      <c r="AD280" s="642">
        <v>-76.638831624044727</v>
      </c>
      <c r="AE280" s="642">
        <v>0</v>
      </c>
      <c r="AF280" s="642">
        <v>0</v>
      </c>
      <c r="AG280" s="642">
        <v>0</v>
      </c>
      <c r="AH280" s="642">
        <v>0</v>
      </c>
      <c r="AI280" s="642">
        <v>0</v>
      </c>
      <c r="AJ280" s="642">
        <v>0</v>
      </c>
      <c r="AK280" s="650">
        <v>-76.638831624044727</v>
      </c>
    </row>
    <row r="281" spans="3:37" ht="13.5">
      <c r="C281" s="648" t="s">
        <v>355</v>
      </c>
      <c r="D281" s="642">
        <v>0</v>
      </c>
      <c r="E281" s="642">
        <v>0</v>
      </c>
      <c r="F281" s="642">
        <v>0</v>
      </c>
      <c r="G281" s="642">
        <v>0</v>
      </c>
      <c r="H281" s="642">
        <v>0</v>
      </c>
      <c r="I281" s="642">
        <v>0</v>
      </c>
      <c r="J281" s="642">
        <v>0</v>
      </c>
      <c r="K281" s="642">
        <v>0</v>
      </c>
      <c r="L281" s="642">
        <v>0</v>
      </c>
      <c r="M281" s="642">
        <v>0</v>
      </c>
      <c r="N281" s="642">
        <v>0</v>
      </c>
      <c r="O281" s="642">
        <v>0</v>
      </c>
      <c r="P281" s="642">
        <v>0</v>
      </c>
      <c r="Q281" s="642">
        <v>0</v>
      </c>
      <c r="R281" s="642">
        <v>0</v>
      </c>
      <c r="S281" s="650">
        <v>0</v>
      </c>
      <c r="U281" s="648" t="s">
        <v>355</v>
      </c>
      <c r="V281" s="642">
        <v>0</v>
      </c>
      <c r="W281" s="642">
        <v>0</v>
      </c>
      <c r="X281" s="642">
        <v>0</v>
      </c>
      <c r="Y281" s="642">
        <v>0</v>
      </c>
      <c r="Z281" s="642">
        <v>0</v>
      </c>
      <c r="AA281" s="642">
        <v>0</v>
      </c>
      <c r="AB281" s="642">
        <v>0</v>
      </c>
      <c r="AC281" s="642">
        <v>0</v>
      </c>
      <c r="AD281" s="642">
        <v>-16.893833779014706</v>
      </c>
      <c r="AE281" s="642">
        <v>0</v>
      </c>
      <c r="AF281" s="642">
        <v>0</v>
      </c>
      <c r="AG281" s="642">
        <v>0</v>
      </c>
      <c r="AH281" s="642">
        <v>0</v>
      </c>
      <c r="AI281" s="642">
        <v>0</v>
      </c>
      <c r="AJ281" s="642">
        <v>0</v>
      </c>
      <c r="AK281" s="650">
        <v>-16.893833779014706</v>
      </c>
    </row>
    <row r="282" spans="3:37" ht="13.5">
      <c r="C282" s="648" t="s">
        <v>73</v>
      </c>
      <c r="D282" s="642">
        <v>0</v>
      </c>
      <c r="E282" s="642">
        <v>0</v>
      </c>
      <c r="F282" s="642">
        <v>0</v>
      </c>
      <c r="G282" s="642">
        <v>2.9190475912378031</v>
      </c>
      <c r="H282" s="642">
        <v>0</v>
      </c>
      <c r="I282" s="642">
        <v>0</v>
      </c>
      <c r="J282" s="642">
        <v>0</v>
      </c>
      <c r="K282" s="642">
        <v>3.3095777678433143E-2</v>
      </c>
      <c r="L282" s="642">
        <v>0</v>
      </c>
      <c r="M282" s="642">
        <v>5.9572399821179664E-2</v>
      </c>
      <c r="N282" s="642">
        <v>0</v>
      </c>
      <c r="O282" s="642">
        <v>0</v>
      </c>
      <c r="P282" s="642">
        <v>0.31236464325712177</v>
      </c>
      <c r="Q282" s="642">
        <v>0</v>
      </c>
      <c r="R282" s="642">
        <v>-2.3167044374903201</v>
      </c>
      <c r="S282" s="650">
        <v>1.0073759745042175</v>
      </c>
      <c r="U282" s="648" t="s">
        <v>73</v>
      </c>
      <c r="V282" s="642">
        <v>0</v>
      </c>
      <c r="W282" s="642">
        <v>0</v>
      </c>
      <c r="X282" s="642">
        <v>0</v>
      </c>
      <c r="Y282" s="642">
        <v>6.287229939138852</v>
      </c>
      <c r="Z282" s="642">
        <v>0</v>
      </c>
      <c r="AA282" s="642">
        <v>0</v>
      </c>
      <c r="AB282" s="642">
        <v>0</v>
      </c>
      <c r="AC282" s="642">
        <v>0.25073698660573684</v>
      </c>
      <c r="AD282" s="642">
        <v>0</v>
      </c>
      <c r="AE282" s="642">
        <v>1.1095111657303856</v>
      </c>
      <c r="AF282" s="642">
        <v>0</v>
      </c>
      <c r="AG282" s="642">
        <v>0</v>
      </c>
      <c r="AH282" s="642">
        <v>18.274688237257074</v>
      </c>
      <c r="AI282" s="642">
        <v>0</v>
      </c>
      <c r="AJ282" s="642">
        <v>-17.551589062401579</v>
      </c>
      <c r="AK282" s="650">
        <v>8.3705772663304678</v>
      </c>
    </row>
    <row r="283" spans="3:37" ht="13.5">
      <c r="C283" s="648" t="s">
        <v>356</v>
      </c>
      <c r="D283" s="642">
        <v>28.656195468750003</v>
      </c>
      <c r="E283" s="642">
        <v>-18.804327446398823</v>
      </c>
      <c r="F283" s="642">
        <v>24.594949618470011</v>
      </c>
      <c r="G283" s="642">
        <v>0</v>
      </c>
      <c r="H283" s="642">
        <v>0</v>
      </c>
      <c r="I283" s="642">
        <v>0</v>
      </c>
      <c r="J283" s="642">
        <v>0</v>
      </c>
      <c r="K283" s="642">
        <v>0</v>
      </c>
      <c r="L283" s="642">
        <v>0</v>
      </c>
      <c r="M283" s="642">
        <v>0</v>
      </c>
      <c r="N283" s="642">
        <v>0</v>
      </c>
      <c r="O283" s="642">
        <v>0</v>
      </c>
      <c r="P283" s="642">
        <v>0</v>
      </c>
      <c r="Q283" s="642">
        <v>0</v>
      </c>
      <c r="R283" s="642">
        <v>0</v>
      </c>
      <c r="S283" s="650">
        <v>34.446817640821195</v>
      </c>
      <c r="U283" s="648" t="s">
        <v>356</v>
      </c>
      <c r="V283" s="642">
        <v>3.6632235107421875</v>
      </c>
      <c r="W283" s="642">
        <v>-12.298081614140758</v>
      </c>
      <c r="X283" s="642">
        <v>16.085164362607916</v>
      </c>
      <c r="Y283" s="642">
        <v>0</v>
      </c>
      <c r="Z283" s="642">
        <v>0</v>
      </c>
      <c r="AA283" s="642">
        <v>0</v>
      </c>
      <c r="AB283" s="642">
        <v>0</v>
      </c>
      <c r="AC283" s="642">
        <v>0</v>
      </c>
      <c r="AD283" s="642">
        <v>0</v>
      </c>
      <c r="AE283" s="642">
        <v>0</v>
      </c>
      <c r="AF283" s="642">
        <v>0</v>
      </c>
      <c r="AG283" s="642">
        <v>0</v>
      </c>
      <c r="AH283" s="642">
        <v>0</v>
      </c>
      <c r="AI283" s="642">
        <v>0</v>
      </c>
      <c r="AJ283" s="642">
        <v>0</v>
      </c>
      <c r="AK283" s="650">
        <v>7.450306259209345</v>
      </c>
    </row>
    <row r="284" spans="3:37" ht="13.5">
      <c r="C284" s="648" t="s">
        <v>75</v>
      </c>
      <c r="D284" s="642">
        <v>11.144076015625002</v>
      </c>
      <c r="E284" s="642">
        <v>0</v>
      </c>
      <c r="F284" s="642">
        <v>18.451576715081096</v>
      </c>
      <c r="G284" s="642">
        <v>5.2652116849916704</v>
      </c>
      <c r="H284" s="642">
        <v>0</v>
      </c>
      <c r="I284" s="642">
        <v>0</v>
      </c>
      <c r="J284" s="642">
        <v>0</v>
      </c>
      <c r="K284" s="642">
        <v>0</v>
      </c>
      <c r="L284" s="642">
        <v>0</v>
      </c>
      <c r="M284" s="642">
        <v>0.10745329969370757</v>
      </c>
      <c r="N284" s="642">
        <v>0</v>
      </c>
      <c r="O284" s="642">
        <v>0</v>
      </c>
      <c r="P284" s="642">
        <v>33.522260759660846</v>
      </c>
      <c r="Q284" s="642">
        <v>0</v>
      </c>
      <c r="R284" s="642">
        <v>0</v>
      </c>
      <c r="S284" s="650">
        <v>68.490578475052317</v>
      </c>
      <c r="U284" s="648" t="s">
        <v>75</v>
      </c>
      <c r="V284" s="642">
        <v>4.4693862304687499</v>
      </c>
      <c r="W284" s="642">
        <v>0</v>
      </c>
      <c r="X284" s="642">
        <v>18.451576715081096</v>
      </c>
      <c r="Y284" s="642">
        <v>4.5667652369825715</v>
      </c>
      <c r="Z284" s="642">
        <v>0</v>
      </c>
      <c r="AA284" s="642">
        <v>0</v>
      </c>
      <c r="AB284" s="642">
        <v>0</v>
      </c>
      <c r="AC284" s="642">
        <v>0</v>
      </c>
      <c r="AD284" s="642">
        <v>0</v>
      </c>
      <c r="AE284" s="642">
        <v>0.8058997477028067</v>
      </c>
      <c r="AF284" s="642">
        <v>0</v>
      </c>
      <c r="AG284" s="642">
        <v>0</v>
      </c>
      <c r="AH284" s="642">
        <v>33.775215305115388</v>
      </c>
      <c r="AI284" s="642">
        <v>0</v>
      </c>
      <c r="AJ284" s="642">
        <v>0</v>
      </c>
      <c r="AK284" s="650">
        <v>62.068843235350613</v>
      </c>
    </row>
    <row r="285" spans="3:37" ht="13.5">
      <c r="C285" s="648" t="s">
        <v>76</v>
      </c>
      <c r="D285" s="642">
        <v>0</v>
      </c>
      <c r="E285" s="642">
        <v>0</v>
      </c>
      <c r="F285" s="642">
        <v>0</v>
      </c>
      <c r="G285" s="642">
        <v>3.8313802109978718</v>
      </c>
      <c r="H285" s="642">
        <v>0</v>
      </c>
      <c r="I285" s="642">
        <v>0</v>
      </c>
      <c r="J285" s="642">
        <v>0</v>
      </c>
      <c r="K285" s="642">
        <v>0</v>
      </c>
      <c r="L285" s="642">
        <v>0</v>
      </c>
      <c r="M285" s="642">
        <v>7.8191432877507586E-2</v>
      </c>
      <c r="N285" s="642">
        <v>0</v>
      </c>
      <c r="O285" s="642">
        <v>0</v>
      </c>
      <c r="P285" s="642">
        <v>42.744249460921445</v>
      </c>
      <c r="Q285" s="642">
        <v>2.9948048478615572</v>
      </c>
      <c r="R285" s="642">
        <v>0</v>
      </c>
      <c r="S285" s="650">
        <v>49.648625952658385</v>
      </c>
      <c r="U285" s="648" t="s">
        <v>76</v>
      </c>
      <c r="V285" s="642">
        <v>0</v>
      </c>
      <c r="W285" s="642">
        <v>0</v>
      </c>
      <c r="X285" s="642">
        <v>0</v>
      </c>
      <c r="Y285" s="642">
        <v>2.4425535766751323</v>
      </c>
      <c r="Z285" s="642">
        <v>0</v>
      </c>
      <c r="AA285" s="642">
        <v>0</v>
      </c>
      <c r="AB285" s="642">
        <v>0</v>
      </c>
      <c r="AC285" s="642">
        <v>0</v>
      </c>
      <c r="AD285" s="642">
        <v>0</v>
      </c>
      <c r="AE285" s="642">
        <v>0.43103886647208217</v>
      </c>
      <c r="AF285" s="642">
        <v>0</v>
      </c>
      <c r="AG285" s="642">
        <v>0</v>
      </c>
      <c r="AH285" s="642">
        <v>44.348699545879278</v>
      </c>
      <c r="AI285" s="642">
        <v>5.6786643797858867</v>
      </c>
      <c r="AJ285" s="642">
        <v>0</v>
      </c>
      <c r="AK285" s="650">
        <v>52.900956368812388</v>
      </c>
    </row>
    <row r="286" spans="3:37" ht="13.5">
      <c r="C286" s="646" t="s">
        <v>77</v>
      </c>
      <c r="D286" s="647">
        <v>42.627057125400256</v>
      </c>
      <c r="E286" s="647">
        <v>523.88910535010393</v>
      </c>
      <c r="F286" s="647">
        <v>-486.25029902863446</v>
      </c>
      <c r="G286" s="647">
        <v>44.598587346134217</v>
      </c>
      <c r="H286" s="647">
        <v>1075.0000000000002</v>
      </c>
      <c r="I286" s="647">
        <v>224.13674723416887</v>
      </c>
      <c r="J286" s="647">
        <v>83.541447222318993</v>
      </c>
      <c r="K286" s="647">
        <v>19.633041740965588</v>
      </c>
      <c r="L286" s="647">
        <v>-30.296984724016522</v>
      </c>
      <c r="M286" s="647">
        <v>-5.5459776813090693</v>
      </c>
      <c r="N286" s="647">
        <v>0</v>
      </c>
      <c r="O286" s="647">
        <v>5.2372199657233862</v>
      </c>
      <c r="P286" s="647">
        <v>-532.72264320989325</v>
      </c>
      <c r="Q286" s="647">
        <v>-35.594581328511254</v>
      </c>
      <c r="R286" s="647">
        <v>-2.3167044374903201</v>
      </c>
      <c r="S286" s="647">
        <v>925.93601557496061</v>
      </c>
      <c r="U286" s="646" t="s">
        <v>77</v>
      </c>
      <c r="V286" s="647">
        <v>8.7589246466696284</v>
      </c>
      <c r="W286" s="647">
        <v>342.62490869295175</v>
      </c>
      <c r="X286" s="647">
        <v>-312.73098258361676</v>
      </c>
      <c r="Y286" s="647">
        <v>53.445107496027774</v>
      </c>
      <c r="Z286" s="647">
        <v>994.39393939393949</v>
      </c>
      <c r="AA286" s="647">
        <v>248.70674723416883</v>
      </c>
      <c r="AB286" s="647">
        <v>93.928049103898687</v>
      </c>
      <c r="AC286" s="647">
        <v>32.303919388897036</v>
      </c>
      <c r="AD286" s="647">
        <v>-91.079559998548305</v>
      </c>
      <c r="AE286" s="647">
        <v>-26.781463608290892</v>
      </c>
      <c r="AF286" s="647">
        <v>0</v>
      </c>
      <c r="AG286" s="647">
        <v>11.393749064396903</v>
      </c>
      <c r="AH286" s="647">
        <v>-515.37291498548086</v>
      </c>
      <c r="AI286" s="647">
        <v>-67.545290041896138</v>
      </c>
      <c r="AJ286" s="647">
        <v>-15.176589062401579</v>
      </c>
      <c r="AK286" s="647">
        <v>756.86854474071572</v>
      </c>
    </row>
    <row r="287" spans="3:37" ht="13">
      <c r="C287" s="636"/>
      <c r="D287" s="636">
        <v>0</v>
      </c>
      <c r="E287" s="636">
        <v>0</v>
      </c>
      <c r="F287" s="636">
        <v>0</v>
      </c>
      <c r="G287" s="636">
        <v>0</v>
      </c>
      <c r="H287" s="636">
        <v>0</v>
      </c>
      <c r="I287" s="636">
        <v>0</v>
      </c>
      <c r="J287" s="636">
        <v>0</v>
      </c>
      <c r="K287" s="636">
        <v>0</v>
      </c>
      <c r="L287" s="636">
        <v>0</v>
      </c>
      <c r="M287" s="636">
        <v>0</v>
      </c>
      <c r="N287" s="636">
        <v>0</v>
      </c>
      <c r="O287" s="636">
        <v>0</v>
      </c>
      <c r="P287" s="636">
        <v>0</v>
      </c>
      <c r="Q287" s="636">
        <v>0</v>
      </c>
      <c r="R287" s="636">
        <v>0</v>
      </c>
      <c r="S287" s="636">
        <v>0</v>
      </c>
      <c r="U287" s="636"/>
      <c r="V287" s="636">
        <v>0</v>
      </c>
      <c r="W287" s="636">
        <v>0</v>
      </c>
      <c r="X287" s="636">
        <v>0</v>
      </c>
      <c r="Y287" s="636">
        <v>0</v>
      </c>
      <c r="Z287" s="636">
        <v>0</v>
      </c>
      <c r="AA287" s="636">
        <v>0</v>
      </c>
      <c r="AB287" s="636">
        <v>0</v>
      </c>
      <c r="AC287" s="636">
        <v>0</v>
      </c>
      <c r="AD287" s="636">
        <v>0</v>
      </c>
      <c r="AE287" s="636">
        <v>0</v>
      </c>
      <c r="AF287" s="636">
        <v>0</v>
      </c>
      <c r="AG287" s="636">
        <v>0</v>
      </c>
      <c r="AH287" s="636">
        <v>0</v>
      </c>
      <c r="AI287" s="636">
        <v>0</v>
      </c>
      <c r="AJ287" s="636">
        <v>0</v>
      </c>
      <c r="AK287" s="636">
        <v>0</v>
      </c>
    </row>
    <row r="288" spans="3:37" ht="13.5">
      <c r="C288" s="648" t="s">
        <v>78</v>
      </c>
      <c r="D288" s="642">
        <v>6.2002081056415257</v>
      </c>
      <c r="E288" s="642">
        <v>0</v>
      </c>
      <c r="F288" s="642">
        <v>23.255205938178186</v>
      </c>
      <c r="G288" s="642">
        <v>101.12865293850786</v>
      </c>
      <c r="H288" s="642">
        <v>0</v>
      </c>
      <c r="I288" s="642">
        <v>0</v>
      </c>
      <c r="J288" s="642">
        <v>19.565687098295676</v>
      </c>
      <c r="K288" s="642">
        <v>1.7744589215827917</v>
      </c>
      <c r="L288" s="642">
        <v>0.87520713476562495</v>
      </c>
      <c r="M288" s="642">
        <v>2.0825226770622867</v>
      </c>
      <c r="N288" s="642">
        <v>0</v>
      </c>
      <c r="O288" s="642">
        <v>3.8067188808088001E-4</v>
      </c>
      <c r="P288" s="642">
        <v>109.76937284793219</v>
      </c>
      <c r="Q288" s="642">
        <v>16.103287978552984</v>
      </c>
      <c r="R288" s="642">
        <v>0.32868640136718752</v>
      </c>
      <c r="S288" s="650">
        <v>281.08367071377444</v>
      </c>
      <c r="U288" s="648" t="s">
        <v>78</v>
      </c>
      <c r="V288" s="642">
        <v>1.01942505552247</v>
      </c>
      <c r="W288" s="642">
        <v>0</v>
      </c>
      <c r="X288" s="642">
        <v>12.936117077553076</v>
      </c>
      <c r="Y288" s="642">
        <v>67.349539979102474</v>
      </c>
      <c r="Z288" s="642">
        <v>0</v>
      </c>
      <c r="AA288" s="642">
        <v>0</v>
      </c>
      <c r="AB288" s="642">
        <v>16.313565187348217</v>
      </c>
      <c r="AC288" s="642">
        <v>5.7022810919996436</v>
      </c>
      <c r="AD288" s="642">
        <v>2.2588896484375001</v>
      </c>
      <c r="AE288" s="642">
        <v>11.903885554581411</v>
      </c>
      <c r="AF288" s="642">
        <v>0</v>
      </c>
      <c r="AG288" s="642">
        <v>3.8067188808088001E-4</v>
      </c>
      <c r="AH288" s="642">
        <v>135.13428233654639</v>
      </c>
      <c r="AI288" s="642">
        <v>21.466888656055119</v>
      </c>
      <c r="AJ288" s="642">
        <v>5.7972734375000003</v>
      </c>
      <c r="AK288" s="650">
        <v>279.88252869653439</v>
      </c>
    </row>
    <row r="289" spans="3:37" ht="13.5">
      <c r="C289" s="648" t="s">
        <v>79</v>
      </c>
      <c r="D289" s="642">
        <v>0</v>
      </c>
      <c r="E289" s="642">
        <v>0</v>
      </c>
      <c r="F289" s="642">
        <v>291.38745921478562</v>
      </c>
      <c r="G289" s="642">
        <v>24.020829745272028</v>
      </c>
      <c r="H289" s="642">
        <v>0</v>
      </c>
      <c r="I289" s="642">
        <v>0</v>
      </c>
      <c r="J289" s="642">
        <v>0</v>
      </c>
      <c r="K289" s="642">
        <v>0</v>
      </c>
      <c r="L289" s="642">
        <v>28.280041762715456</v>
      </c>
      <c r="M289" s="642">
        <v>0.49022101520963324</v>
      </c>
      <c r="N289" s="642">
        <v>0</v>
      </c>
      <c r="O289" s="642">
        <v>0</v>
      </c>
      <c r="P289" s="642">
        <v>46.654707564142761</v>
      </c>
      <c r="Q289" s="642">
        <v>0</v>
      </c>
      <c r="R289" s="642">
        <v>1.1135281120019407</v>
      </c>
      <c r="S289" s="650">
        <v>391.94678741412741</v>
      </c>
      <c r="U289" s="648" t="s">
        <v>79</v>
      </c>
      <c r="V289" s="642">
        <v>0</v>
      </c>
      <c r="W289" s="642">
        <v>0</v>
      </c>
      <c r="X289" s="642">
        <v>152.5395921226515</v>
      </c>
      <c r="Y289" s="642">
        <v>18.931026789455995</v>
      </c>
      <c r="Z289" s="642">
        <v>0</v>
      </c>
      <c r="AA289" s="642">
        <v>0</v>
      </c>
      <c r="AB289" s="642">
        <v>0</v>
      </c>
      <c r="AC289" s="642">
        <v>0</v>
      </c>
      <c r="AD289" s="642">
        <v>49.546406871337183</v>
      </c>
      <c r="AE289" s="642">
        <v>3.3407694334334113</v>
      </c>
      <c r="AF289" s="642">
        <v>0</v>
      </c>
      <c r="AG289" s="642">
        <v>0</v>
      </c>
      <c r="AH289" s="642">
        <v>60.923926311544285</v>
      </c>
      <c r="AI289" s="642">
        <v>0</v>
      </c>
      <c r="AJ289" s="642">
        <v>2.0956611258816777</v>
      </c>
      <c r="AK289" s="650">
        <v>287.37738265430403</v>
      </c>
    </row>
    <row r="290" spans="3:37" ht="13.5">
      <c r="C290" s="648" t="s">
        <v>80</v>
      </c>
      <c r="D290" s="642">
        <v>0</v>
      </c>
      <c r="E290" s="642">
        <v>0</v>
      </c>
      <c r="F290" s="642">
        <v>24.366054746482678</v>
      </c>
      <c r="G290" s="642">
        <v>88.830627596834503</v>
      </c>
      <c r="H290" s="642">
        <v>0</v>
      </c>
      <c r="I290" s="642">
        <v>0</v>
      </c>
      <c r="J290" s="642">
        <v>86.298448588028648</v>
      </c>
      <c r="K290" s="642">
        <v>0</v>
      </c>
      <c r="L290" s="642">
        <v>0</v>
      </c>
      <c r="M290" s="642">
        <v>1.8128699509558064</v>
      </c>
      <c r="N290" s="642">
        <v>49.305914152356948</v>
      </c>
      <c r="O290" s="642">
        <v>1.9759423218950023</v>
      </c>
      <c r="P290" s="642">
        <v>183.08170703950353</v>
      </c>
      <c r="Q290" s="642">
        <v>15.629207143582217</v>
      </c>
      <c r="R290" s="642">
        <v>0</v>
      </c>
      <c r="S290" s="650">
        <v>451.3007715396393</v>
      </c>
      <c r="U290" s="648" t="s">
        <v>80</v>
      </c>
      <c r="V290" s="642">
        <v>0</v>
      </c>
      <c r="W290" s="642">
        <v>0</v>
      </c>
      <c r="X290" s="642">
        <v>1.5212022418020299</v>
      </c>
      <c r="Y290" s="642">
        <v>34.748278571527685</v>
      </c>
      <c r="Z290" s="642">
        <v>0</v>
      </c>
      <c r="AA290" s="642">
        <v>0</v>
      </c>
      <c r="AB290" s="642">
        <v>75.181836567082826</v>
      </c>
      <c r="AC290" s="642">
        <v>0</v>
      </c>
      <c r="AD290" s="642">
        <v>0</v>
      </c>
      <c r="AE290" s="642">
        <v>6.1320491596813564</v>
      </c>
      <c r="AF290" s="642">
        <v>62.645467095100628</v>
      </c>
      <c r="AG290" s="642">
        <v>2.6978117080871646</v>
      </c>
      <c r="AH290" s="642">
        <v>158.40967854762758</v>
      </c>
      <c r="AI290" s="642">
        <v>35.928967439236224</v>
      </c>
      <c r="AJ290" s="642">
        <v>0</v>
      </c>
      <c r="AK290" s="650">
        <v>377.26529133014549</v>
      </c>
    </row>
    <row r="291" spans="3:37" ht="13.5">
      <c r="C291" s="648" t="s">
        <v>81</v>
      </c>
      <c r="D291" s="642">
        <v>0</v>
      </c>
      <c r="E291" s="642">
        <v>0</v>
      </c>
      <c r="F291" s="642">
        <v>9.1434406229634497</v>
      </c>
      <c r="G291" s="642">
        <v>62.772902131190932</v>
      </c>
      <c r="H291" s="642">
        <v>0</v>
      </c>
      <c r="I291" s="642">
        <v>0</v>
      </c>
      <c r="J291" s="642">
        <v>3.3792389882828151</v>
      </c>
      <c r="K291" s="642">
        <v>2.5053216415896862E-2</v>
      </c>
      <c r="L291" s="642">
        <v>0</v>
      </c>
      <c r="M291" s="642">
        <v>1.2810796353304272</v>
      </c>
      <c r="N291" s="642">
        <v>8.5204805498073064</v>
      </c>
      <c r="O291" s="642">
        <v>0.77988306826531983</v>
      </c>
      <c r="P291" s="642">
        <v>134.9475862077569</v>
      </c>
      <c r="Q291" s="642">
        <v>3.8620862063760555</v>
      </c>
      <c r="R291" s="642">
        <v>0</v>
      </c>
      <c r="S291" s="650">
        <v>224.71175062638912</v>
      </c>
      <c r="U291" s="648" t="s">
        <v>81</v>
      </c>
      <c r="V291" s="642">
        <v>0</v>
      </c>
      <c r="W291" s="642">
        <v>0</v>
      </c>
      <c r="X291" s="642">
        <v>2.5747324311170368</v>
      </c>
      <c r="Y291" s="642">
        <v>28.050706446538126</v>
      </c>
      <c r="Z291" s="642">
        <v>0</v>
      </c>
      <c r="AA291" s="642">
        <v>0</v>
      </c>
      <c r="AB291" s="642">
        <v>7.5276105699702738</v>
      </c>
      <c r="AC291" s="642">
        <v>2.5053216415896862E-2</v>
      </c>
      <c r="AD291" s="642">
        <v>0</v>
      </c>
      <c r="AE291" s="642">
        <v>4.9501246670361398</v>
      </c>
      <c r="AF291" s="642">
        <v>14.347345485370148</v>
      </c>
      <c r="AG291" s="642">
        <v>1.6839822655905561</v>
      </c>
      <c r="AH291" s="642">
        <v>120.05488498756245</v>
      </c>
      <c r="AI291" s="642">
        <v>10.149433946604795</v>
      </c>
      <c r="AJ291" s="642">
        <v>0</v>
      </c>
      <c r="AK291" s="650">
        <v>189.36387401620541</v>
      </c>
    </row>
    <row r="292" spans="3:37" ht="13.5">
      <c r="C292" s="648" t="s">
        <v>82</v>
      </c>
      <c r="D292" s="642">
        <v>0</v>
      </c>
      <c r="E292" s="642">
        <v>0</v>
      </c>
      <c r="F292" s="642">
        <v>31.378359933180146</v>
      </c>
      <c r="G292" s="642">
        <v>1.761464702880946</v>
      </c>
      <c r="H292" s="642">
        <v>0</v>
      </c>
      <c r="I292" s="642">
        <v>0</v>
      </c>
      <c r="J292" s="642">
        <v>2.5129576329044134</v>
      </c>
      <c r="K292" s="642">
        <v>0</v>
      </c>
      <c r="L292" s="642">
        <v>2.7366524531426237</v>
      </c>
      <c r="M292" s="642">
        <v>3.5948259242468285E-2</v>
      </c>
      <c r="N292" s="642">
        <v>0</v>
      </c>
      <c r="O292" s="642">
        <v>7.8328904674825409E-2</v>
      </c>
      <c r="P292" s="642">
        <v>7.1029233048090266</v>
      </c>
      <c r="Q292" s="642">
        <v>0</v>
      </c>
      <c r="R292" s="642">
        <v>0</v>
      </c>
      <c r="S292" s="650">
        <v>45.606635190834446</v>
      </c>
      <c r="U292" s="648" t="s">
        <v>82</v>
      </c>
      <c r="V292" s="642">
        <v>0</v>
      </c>
      <c r="W292" s="642">
        <v>0</v>
      </c>
      <c r="X292" s="642">
        <v>18.696617357576709</v>
      </c>
      <c r="Y292" s="642">
        <v>1.906896096641761</v>
      </c>
      <c r="Z292" s="642">
        <v>0</v>
      </c>
      <c r="AA292" s="642">
        <v>0</v>
      </c>
      <c r="AB292" s="642">
        <v>2.5129576329044134</v>
      </c>
      <c r="AC292" s="642">
        <v>0</v>
      </c>
      <c r="AD292" s="642">
        <v>18.28747352858748</v>
      </c>
      <c r="AE292" s="642">
        <v>0.33651107587795781</v>
      </c>
      <c r="AF292" s="642">
        <v>0</v>
      </c>
      <c r="AG292" s="642">
        <v>0.96290247555165809</v>
      </c>
      <c r="AH292" s="642">
        <v>7.1739705565638916</v>
      </c>
      <c r="AI292" s="642">
        <v>0</v>
      </c>
      <c r="AJ292" s="642">
        <v>0.24940873791150003</v>
      </c>
      <c r="AK292" s="650">
        <v>50.12673746161537</v>
      </c>
    </row>
    <row r="293" spans="3:37" ht="13.5">
      <c r="C293" s="648" t="s">
        <v>357</v>
      </c>
      <c r="D293" s="642">
        <v>0</v>
      </c>
      <c r="E293" s="642">
        <v>0</v>
      </c>
      <c r="F293" s="642">
        <v>0</v>
      </c>
      <c r="G293" s="642">
        <v>0</v>
      </c>
      <c r="H293" s="642">
        <v>0</v>
      </c>
      <c r="I293" s="642">
        <v>0</v>
      </c>
      <c r="J293" s="642">
        <v>0</v>
      </c>
      <c r="K293" s="642">
        <v>0</v>
      </c>
      <c r="L293" s="642">
        <v>0</v>
      </c>
      <c r="M293" s="642">
        <v>0</v>
      </c>
      <c r="N293" s="642">
        <v>0</v>
      </c>
      <c r="O293" s="642">
        <v>0</v>
      </c>
      <c r="P293" s="642">
        <v>0.22499999999999998</v>
      </c>
      <c r="Q293" s="642">
        <v>0</v>
      </c>
      <c r="R293" s="642">
        <v>0</v>
      </c>
      <c r="S293" s="650">
        <v>0.22499999999999998</v>
      </c>
      <c r="U293" s="648" t="s">
        <v>357</v>
      </c>
      <c r="V293" s="642">
        <v>0</v>
      </c>
      <c r="W293" s="642">
        <v>0</v>
      </c>
      <c r="X293" s="642">
        <v>0</v>
      </c>
      <c r="Y293" s="642">
        <v>0</v>
      </c>
      <c r="Z293" s="642">
        <v>0</v>
      </c>
      <c r="AA293" s="642">
        <v>0</v>
      </c>
      <c r="AB293" s="642">
        <v>0</v>
      </c>
      <c r="AC293" s="642">
        <v>0</v>
      </c>
      <c r="AD293" s="642">
        <v>0</v>
      </c>
      <c r="AE293" s="642">
        <v>0</v>
      </c>
      <c r="AF293" s="642">
        <v>0</v>
      </c>
      <c r="AG293" s="642">
        <v>0</v>
      </c>
      <c r="AH293" s="642">
        <v>1.2</v>
      </c>
      <c r="AI293" s="642">
        <v>0</v>
      </c>
      <c r="AJ293" s="642">
        <v>0</v>
      </c>
      <c r="AK293" s="650">
        <v>1.2</v>
      </c>
    </row>
    <row r="294" spans="3:37" ht="13.5">
      <c r="C294" s="646" t="s">
        <v>83</v>
      </c>
      <c r="D294" s="647">
        <v>6.2002081056415257</v>
      </c>
      <c r="E294" s="647">
        <v>0</v>
      </c>
      <c r="F294" s="647">
        <v>379.53052045559002</v>
      </c>
      <c r="G294" s="647">
        <v>278.51447711468631</v>
      </c>
      <c r="H294" s="647">
        <v>0</v>
      </c>
      <c r="I294" s="647">
        <v>0</v>
      </c>
      <c r="J294" s="647">
        <v>111.75633230751156</v>
      </c>
      <c r="K294" s="647">
        <v>1.7995121379986885</v>
      </c>
      <c r="L294" s="647">
        <v>31.891901350623705</v>
      </c>
      <c r="M294" s="647">
        <v>5.7026415378006226</v>
      </c>
      <c r="N294" s="647">
        <v>57.826394702164251</v>
      </c>
      <c r="O294" s="647">
        <v>2.8345349667232282</v>
      </c>
      <c r="P294" s="647">
        <v>481.78129696414442</v>
      </c>
      <c r="Q294" s="647">
        <v>35.594581328511254</v>
      </c>
      <c r="R294" s="647">
        <v>1.4422145133691282</v>
      </c>
      <c r="S294" s="647">
        <v>1394.8746154847647</v>
      </c>
      <c r="U294" s="646" t="s">
        <v>83</v>
      </c>
      <c r="V294" s="647">
        <v>1.01942505552247</v>
      </c>
      <c r="W294" s="647">
        <v>0</v>
      </c>
      <c r="X294" s="647">
        <v>188.26826123070035</v>
      </c>
      <c r="Y294" s="647">
        <v>150.98644788326604</v>
      </c>
      <c r="Z294" s="647">
        <v>0</v>
      </c>
      <c r="AA294" s="647">
        <v>0</v>
      </c>
      <c r="AB294" s="647">
        <v>101.53596995730574</v>
      </c>
      <c r="AC294" s="647">
        <v>5.727334308415541</v>
      </c>
      <c r="AD294" s="647">
        <v>70.092770048362169</v>
      </c>
      <c r="AE294" s="647">
        <v>26.663339890610278</v>
      </c>
      <c r="AF294" s="647">
        <v>76.992812580470769</v>
      </c>
      <c r="AG294" s="647">
        <v>5.3450771211174599</v>
      </c>
      <c r="AH294" s="647">
        <v>482.89674273984457</v>
      </c>
      <c r="AI294" s="647">
        <v>67.545290041896138</v>
      </c>
      <c r="AJ294" s="647">
        <v>8.1423433012931774</v>
      </c>
      <c r="AK294" s="647">
        <v>1185.2158141588047</v>
      </c>
    </row>
    <row r="295" spans="3:37" ht="13.5">
      <c r="C295" s="641" t="s">
        <v>84</v>
      </c>
      <c r="D295" s="642">
        <v>0</v>
      </c>
      <c r="E295" s="642">
        <v>0</v>
      </c>
      <c r="F295" s="642">
        <v>114.78425758185857</v>
      </c>
      <c r="G295" s="642">
        <v>12.028714359769619</v>
      </c>
      <c r="H295" s="642">
        <v>0</v>
      </c>
      <c r="I295" s="642">
        <v>0</v>
      </c>
      <c r="J295" s="642">
        <v>0</v>
      </c>
      <c r="K295" s="642">
        <v>0</v>
      </c>
      <c r="L295" s="642">
        <v>0</v>
      </c>
      <c r="M295" s="642">
        <v>0</v>
      </c>
      <c r="N295" s="642">
        <v>0</v>
      </c>
      <c r="O295" s="642">
        <v>0</v>
      </c>
      <c r="P295" s="642">
        <v>0</v>
      </c>
      <c r="Q295" s="642">
        <v>0</v>
      </c>
      <c r="R295" s="642">
        <v>0.87448992412119186</v>
      </c>
      <c r="S295" s="650">
        <v>127.68746186574938</v>
      </c>
      <c r="U295" s="641" t="s">
        <v>84</v>
      </c>
      <c r="V295" s="642">
        <v>0</v>
      </c>
      <c r="W295" s="642">
        <v>0</v>
      </c>
      <c r="X295" s="642">
        <v>99.887922338380434</v>
      </c>
      <c r="Y295" s="642">
        <v>1.4617397027131513</v>
      </c>
      <c r="Z295" s="642">
        <v>0</v>
      </c>
      <c r="AA295" s="642">
        <v>0</v>
      </c>
      <c r="AB295" s="642">
        <v>0</v>
      </c>
      <c r="AC295" s="642">
        <v>0</v>
      </c>
      <c r="AD295" s="642">
        <v>9.6859590362548822</v>
      </c>
      <c r="AE295" s="642">
        <v>0</v>
      </c>
      <c r="AF295" s="642">
        <v>0</v>
      </c>
      <c r="AG295" s="642">
        <v>0</v>
      </c>
      <c r="AH295" s="642">
        <v>0</v>
      </c>
      <c r="AI295" s="642">
        <v>0</v>
      </c>
      <c r="AJ295" s="642">
        <v>7.0342457611083988</v>
      </c>
      <c r="AK295" s="650">
        <v>118.06986683845686</v>
      </c>
    </row>
    <row r="296" spans="3:37" ht="13.5">
      <c r="C296" s="646" t="s">
        <v>85</v>
      </c>
      <c r="D296" s="647">
        <v>6.2002081056415257</v>
      </c>
      <c r="E296" s="647">
        <v>0</v>
      </c>
      <c r="F296" s="647">
        <v>494.3147780374486</v>
      </c>
      <c r="G296" s="647">
        <v>290.54319147445591</v>
      </c>
      <c r="H296" s="647">
        <v>0</v>
      </c>
      <c r="I296" s="647">
        <v>0</v>
      </c>
      <c r="J296" s="647">
        <v>111.75633230751156</v>
      </c>
      <c r="K296" s="647">
        <v>1.7995121379986885</v>
      </c>
      <c r="L296" s="647">
        <v>31.891901350623705</v>
      </c>
      <c r="M296" s="647">
        <v>5.7026415378006226</v>
      </c>
      <c r="N296" s="647">
        <v>57.826394702164251</v>
      </c>
      <c r="O296" s="647">
        <v>2.8345349667232282</v>
      </c>
      <c r="P296" s="647">
        <v>481.78129696414442</v>
      </c>
      <c r="Q296" s="647">
        <v>35.594581328511254</v>
      </c>
      <c r="R296" s="647">
        <v>2.3167044374903201</v>
      </c>
      <c r="S296" s="647">
        <v>1522.5620773505141</v>
      </c>
      <c r="U296" s="646" t="s">
        <v>85</v>
      </c>
      <c r="V296" s="647">
        <v>1.01942505552247</v>
      </c>
      <c r="W296" s="647">
        <v>0</v>
      </c>
      <c r="X296" s="647">
        <v>288.15618356908084</v>
      </c>
      <c r="Y296" s="647">
        <v>152.44818758597918</v>
      </c>
      <c r="Z296" s="647">
        <v>0</v>
      </c>
      <c r="AA296" s="647">
        <v>0</v>
      </c>
      <c r="AB296" s="647">
        <v>101.53596995730574</v>
      </c>
      <c r="AC296" s="647">
        <v>5.727334308415541</v>
      </c>
      <c r="AD296" s="647">
        <v>79.778729084617055</v>
      </c>
      <c r="AE296" s="647">
        <v>26.663339890610278</v>
      </c>
      <c r="AF296" s="647">
        <v>76.992812580470769</v>
      </c>
      <c r="AG296" s="647">
        <v>5.3450771211174599</v>
      </c>
      <c r="AH296" s="647">
        <v>482.89674273984457</v>
      </c>
      <c r="AI296" s="647">
        <v>67.545290041896138</v>
      </c>
      <c r="AJ296" s="647">
        <v>15.176589062401575</v>
      </c>
      <c r="AK296" s="647">
        <v>1303.2856809972616</v>
      </c>
    </row>
    <row r="297" spans="3:37" ht="13">
      <c r="C297" s="636"/>
      <c r="D297" s="636"/>
      <c r="E297" s="636"/>
      <c r="F297" s="636"/>
      <c r="G297" s="636"/>
      <c r="H297" s="636"/>
      <c r="I297" s="636"/>
      <c r="J297" s="636"/>
      <c r="K297" s="636"/>
      <c r="L297" s="636"/>
      <c r="M297" s="636"/>
      <c r="N297" s="636"/>
      <c r="O297" s="636"/>
      <c r="P297" s="636"/>
      <c r="Q297" s="636"/>
      <c r="R297" s="636"/>
      <c r="S297" s="636"/>
      <c r="U297" s="636"/>
      <c r="V297" s="636"/>
      <c r="W297" s="636"/>
      <c r="X297" s="636"/>
      <c r="Y297" s="636"/>
      <c r="Z297" s="636"/>
      <c r="AA297" s="636"/>
      <c r="AB297" s="636"/>
      <c r="AC297" s="636"/>
      <c r="AD297" s="636"/>
      <c r="AE297" s="636"/>
      <c r="AF297" s="636"/>
      <c r="AG297" s="636"/>
      <c r="AH297" s="636"/>
      <c r="AI297" s="636"/>
      <c r="AJ297" s="636"/>
      <c r="AK297" s="636"/>
    </row>
    <row r="298" spans="3:37" ht="22.5">
      <c r="C298" s="699" t="s">
        <v>362</v>
      </c>
      <c r="D298" s="699"/>
      <c r="E298" s="699"/>
      <c r="F298" s="699"/>
      <c r="G298" s="699"/>
      <c r="H298" s="699"/>
      <c r="I298" s="699"/>
      <c r="J298" s="699"/>
      <c r="K298" s="699"/>
      <c r="L298" s="699"/>
      <c r="M298" s="699"/>
      <c r="N298" s="699"/>
      <c r="O298" s="699"/>
      <c r="P298" s="699"/>
      <c r="Q298" s="699"/>
      <c r="R298" s="699"/>
      <c r="S298" s="699"/>
      <c r="U298" s="699" t="s">
        <v>362</v>
      </c>
      <c r="V298" s="699"/>
      <c r="W298" s="699"/>
      <c r="X298" s="699"/>
      <c r="Y298" s="699"/>
      <c r="Z298" s="699"/>
      <c r="AA298" s="699"/>
      <c r="AB298" s="699"/>
      <c r="AC298" s="699"/>
      <c r="AD298" s="699"/>
      <c r="AE298" s="699"/>
      <c r="AF298" s="699"/>
      <c r="AG298" s="699"/>
      <c r="AH298" s="699"/>
      <c r="AI298" s="699"/>
      <c r="AJ298" s="699"/>
      <c r="AK298" s="699"/>
    </row>
    <row r="299" spans="3:37" ht="13">
      <c r="C299" s="636"/>
      <c r="D299" s="636"/>
      <c r="E299" s="636"/>
      <c r="F299" s="636"/>
      <c r="G299" s="636"/>
      <c r="H299" s="636"/>
      <c r="I299" s="636"/>
      <c r="J299" s="636"/>
      <c r="K299" s="636"/>
      <c r="L299" s="636"/>
      <c r="M299" s="636"/>
      <c r="N299" s="636"/>
      <c r="O299" s="636"/>
      <c r="P299" s="636"/>
      <c r="Q299" s="636"/>
      <c r="R299" s="636"/>
      <c r="S299" s="636"/>
      <c r="U299" s="636"/>
      <c r="V299" s="636"/>
      <c r="W299" s="636"/>
      <c r="X299" s="636"/>
      <c r="Y299" s="636"/>
      <c r="Z299" s="636"/>
      <c r="AA299" s="636"/>
      <c r="AB299" s="636"/>
      <c r="AC299" s="636"/>
      <c r="AD299" s="636"/>
      <c r="AE299" s="636"/>
      <c r="AF299" s="636"/>
      <c r="AG299" s="636"/>
      <c r="AH299" s="636"/>
      <c r="AI299" s="636"/>
      <c r="AJ299" s="636"/>
      <c r="AK299" s="636"/>
    </row>
    <row r="300" spans="3:37" ht="13" customHeight="1">
      <c r="C300" s="700" t="s">
        <v>128</v>
      </c>
      <c r="D300" s="701" t="s">
        <v>42</v>
      </c>
      <c r="E300" s="701" t="s">
        <v>52</v>
      </c>
      <c r="F300" s="701" t="s">
        <v>53</v>
      </c>
      <c r="G300" s="701" t="s">
        <v>32</v>
      </c>
      <c r="H300" s="701" t="s">
        <v>20</v>
      </c>
      <c r="I300" s="701" t="s">
        <v>55</v>
      </c>
      <c r="J300" s="701" t="s">
        <v>56</v>
      </c>
      <c r="K300" s="701"/>
      <c r="L300" s="701"/>
      <c r="M300" s="701"/>
      <c r="N300" s="701"/>
      <c r="O300" s="701"/>
      <c r="P300" s="701" t="s">
        <v>57</v>
      </c>
      <c r="Q300" s="701" t="s">
        <v>58</v>
      </c>
      <c r="R300" s="701" t="s">
        <v>31</v>
      </c>
      <c r="S300" s="701" t="s">
        <v>10</v>
      </c>
      <c r="U300" s="700" t="s">
        <v>128</v>
      </c>
      <c r="V300" s="701" t="s">
        <v>42</v>
      </c>
      <c r="W300" s="701" t="s">
        <v>52</v>
      </c>
      <c r="X300" s="701" t="s">
        <v>53</v>
      </c>
      <c r="Y300" s="701" t="s">
        <v>32</v>
      </c>
      <c r="Z300" s="701" t="s">
        <v>20</v>
      </c>
      <c r="AA300" s="701" t="s">
        <v>55</v>
      </c>
      <c r="AB300" s="701" t="s">
        <v>56</v>
      </c>
      <c r="AC300" s="701"/>
      <c r="AD300" s="701"/>
      <c r="AE300" s="701"/>
      <c r="AF300" s="701"/>
      <c r="AG300" s="701"/>
      <c r="AH300" s="701" t="s">
        <v>57</v>
      </c>
      <c r="AI300" s="701" t="s">
        <v>58</v>
      </c>
      <c r="AJ300" s="701" t="s">
        <v>31</v>
      </c>
      <c r="AK300" s="701" t="s">
        <v>10</v>
      </c>
    </row>
    <row r="301" spans="3:37" ht="46">
      <c r="C301" s="700"/>
      <c r="D301" s="701"/>
      <c r="E301" s="701"/>
      <c r="F301" s="701"/>
      <c r="G301" s="701"/>
      <c r="H301" s="701"/>
      <c r="I301" s="701"/>
      <c r="J301" s="640" t="s">
        <v>338</v>
      </c>
      <c r="K301" s="640" t="s">
        <v>40</v>
      </c>
      <c r="L301" s="640" t="s">
        <v>346</v>
      </c>
      <c r="M301" s="640" t="s">
        <v>347</v>
      </c>
      <c r="N301" s="640" t="s">
        <v>348</v>
      </c>
      <c r="O301" s="640" t="s">
        <v>349</v>
      </c>
      <c r="P301" s="701"/>
      <c r="Q301" s="701"/>
      <c r="R301" s="701"/>
      <c r="S301" s="701"/>
      <c r="U301" s="700"/>
      <c r="V301" s="701"/>
      <c r="W301" s="701"/>
      <c r="X301" s="701"/>
      <c r="Y301" s="701"/>
      <c r="Z301" s="701"/>
      <c r="AA301" s="701"/>
      <c r="AB301" s="640" t="s">
        <v>338</v>
      </c>
      <c r="AC301" s="640" t="s">
        <v>40</v>
      </c>
      <c r="AD301" s="640" t="s">
        <v>346</v>
      </c>
      <c r="AE301" s="640" t="s">
        <v>347</v>
      </c>
      <c r="AF301" s="640" t="s">
        <v>348</v>
      </c>
      <c r="AG301" s="640" t="s">
        <v>349</v>
      </c>
      <c r="AH301" s="701"/>
      <c r="AI301" s="701"/>
      <c r="AJ301" s="701"/>
      <c r="AK301" s="701"/>
    </row>
    <row r="302" spans="3:37" ht="13.5">
      <c r="C302" s="641" t="s">
        <v>59</v>
      </c>
      <c r="D302" s="642">
        <v>0</v>
      </c>
      <c r="E302" s="643">
        <v>2.3260000000000005</v>
      </c>
      <c r="F302" s="643">
        <v>0</v>
      </c>
      <c r="G302" s="642">
        <v>3.7216000000000006E-2</v>
      </c>
      <c r="H302" s="643">
        <v>1005.4545454545456</v>
      </c>
      <c r="I302" s="643">
        <v>248.9826967827097</v>
      </c>
      <c r="J302" s="643">
        <v>189.82090717884753</v>
      </c>
      <c r="K302" s="643">
        <v>21.067323208066789</v>
      </c>
      <c r="L302" s="643">
        <v>0.444514092196865</v>
      </c>
      <c r="M302" s="643">
        <v>0.15770970126630299</v>
      </c>
      <c r="N302" s="643">
        <v>60.832905155553725</v>
      </c>
      <c r="O302" s="643">
        <v>10.347989753579439</v>
      </c>
      <c r="P302" s="644">
        <v>0</v>
      </c>
      <c r="Q302" s="643">
        <v>0</v>
      </c>
      <c r="R302" s="643">
        <v>0</v>
      </c>
      <c r="S302" s="645">
        <v>1539.4718073267661</v>
      </c>
      <c r="U302" s="641" t="s">
        <v>59</v>
      </c>
      <c r="V302" s="642">
        <v>0</v>
      </c>
      <c r="W302" s="643">
        <v>2.3260000000000005</v>
      </c>
      <c r="X302" s="643">
        <v>0</v>
      </c>
      <c r="Y302" s="642">
        <v>3.7216000000000006E-2</v>
      </c>
      <c r="Z302" s="643">
        <v>949.39393939393938</v>
      </c>
      <c r="AA302" s="643">
        <v>279.58269678270966</v>
      </c>
      <c r="AB302" s="643">
        <v>196.53145821434362</v>
      </c>
      <c r="AC302" s="643">
        <v>37.828582612394825</v>
      </c>
      <c r="AD302" s="643">
        <v>0.444514092196865</v>
      </c>
      <c r="AE302" s="643">
        <v>0.15770970126630299</v>
      </c>
      <c r="AF302" s="643">
        <v>86.476611770328219</v>
      </c>
      <c r="AG302" s="643">
        <v>21.065809354780896</v>
      </c>
      <c r="AH302" s="644">
        <v>0</v>
      </c>
      <c r="AI302" s="643">
        <v>0</v>
      </c>
      <c r="AJ302" s="643">
        <v>0</v>
      </c>
      <c r="AK302" s="645">
        <v>1573.8445379219597</v>
      </c>
    </row>
    <row r="303" spans="3:37" ht="13.5">
      <c r="C303" s="641" t="s">
        <v>60</v>
      </c>
      <c r="D303" s="642">
        <v>48.372001461449948</v>
      </c>
      <c r="E303" s="643">
        <v>509.74501402008315</v>
      </c>
      <c r="F303" s="643">
        <v>84.255119008679685</v>
      </c>
      <c r="G303" s="642">
        <v>333.85211586331565</v>
      </c>
      <c r="H303" s="643">
        <v>0</v>
      </c>
      <c r="I303" s="643">
        <v>0</v>
      </c>
      <c r="J303" s="643">
        <v>4.1218275156281265</v>
      </c>
      <c r="K303" s="643">
        <v>0</v>
      </c>
      <c r="L303" s="643">
        <v>2.2815668000430724</v>
      </c>
      <c r="M303" s="643">
        <v>0</v>
      </c>
      <c r="N303" s="643">
        <v>0</v>
      </c>
      <c r="O303" s="643">
        <v>0</v>
      </c>
      <c r="P303" s="644">
        <v>0</v>
      </c>
      <c r="Q303" s="643">
        <v>0</v>
      </c>
      <c r="R303" s="643">
        <v>0</v>
      </c>
      <c r="S303" s="645">
        <v>982.62764466919975</v>
      </c>
      <c r="U303" s="641" t="s">
        <v>60</v>
      </c>
      <c r="V303" s="642">
        <v>8.3965846696126416</v>
      </c>
      <c r="W303" s="643">
        <v>294.49378048971494</v>
      </c>
      <c r="X303" s="643">
        <v>18.517216360631103</v>
      </c>
      <c r="Y303" s="642">
        <v>163.11536747865699</v>
      </c>
      <c r="Z303" s="643">
        <v>0</v>
      </c>
      <c r="AA303" s="643">
        <v>0</v>
      </c>
      <c r="AB303" s="643">
        <v>4.1218275156281265</v>
      </c>
      <c r="AC303" s="643">
        <v>0</v>
      </c>
      <c r="AD303" s="643">
        <v>2.2815668000430724</v>
      </c>
      <c r="AE303" s="643">
        <v>0</v>
      </c>
      <c r="AF303" s="643">
        <v>0</v>
      </c>
      <c r="AG303" s="643">
        <v>0</v>
      </c>
      <c r="AH303" s="644">
        <v>0</v>
      </c>
      <c r="AI303" s="643">
        <v>0</v>
      </c>
      <c r="AJ303" s="643">
        <v>0</v>
      </c>
      <c r="AK303" s="645">
        <v>490.9263433142869</v>
      </c>
    </row>
    <row r="304" spans="3:37" ht="13.5">
      <c r="C304" s="641" t="s">
        <v>61</v>
      </c>
      <c r="D304" s="642">
        <v>0</v>
      </c>
      <c r="E304" s="643">
        <v>0</v>
      </c>
      <c r="F304" s="643">
        <v>0</v>
      </c>
      <c r="G304" s="642">
        <v>0</v>
      </c>
      <c r="H304" s="643">
        <v>0</v>
      </c>
      <c r="I304" s="643">
        <v>0</v>
      </c>
      <c r="J304" s="643">
        <v>0</v>
      </c>
      <c r="K304" s="643">
        <v>0</v>
      </c>
      <c r="L304" s="643">
        <v>0</v>
      </c>
      <c r="M304" s="643">
        <v>0</v>
      </c>
      <c r="N304" s="643">
        <v>0</v>
      </c>
      <c r="O304" s="643">
        <v>0</v>
      </c>
      <c r="P304" s="644">
        <v>-38.942042128507637</v>
      </c>
      <c r="Q304" s="643">
        <v>0</v>
      </c>
      <c r="R304" s="643">
        <v>0</v>
      </c>
      <c r="S304" s="645">
        <v>-38.942042128507637</v>
      </c>
      <c r="U304" s="641" t="s">
        <v>61</v>
      </c>
      <c r="V304" s="642">
        <v>0</v>
      </c>
      <c r="W304" s="643">
        <v>0</v>
      </c>
      <c r="X304" s="643">
        <v>0</v>
      </c>
      <c r="Y304" s="642">
        <v>0</v>
      </c>
      <c r="Z304" s="643">
        <v>0</v>
      </c>
      <c r="AA304" s="643">
        <v>0</v>
      </c>
      <c r="AB304" s="643">
        <v>0</v>
      </c>
      <c r="AC304" s="643">
        <v>0</v>
      </c>
      <c r="AD304" s="643">
        <v>0</v>
      </c>
      <c r="AE304" s="643">
        <v>0</v>
      </c>
      <c r="AF304" s="643">
        <v>0</v>
      </c>
      <c r="AG304" s="643">
        <v>0</v>
      </c>
      <c r="AH304" s="644">
        <v>-20.693548582118865</v>
      </c>
      <c r="AI304" s="643">
        <v>0</v>
      </c>
      <c r="AJ304" s="643">
        <v>0</v>
      </c>
      <c r="AK304" s="645">
        <v>-20.693548582118865</v>
      </c>
    </row>
    <row r="305" spans="3:37" ht="13.5">
      <c r="C305" s="641" t="s">
        <v>62</v>
      </c>
      <c r="D305" s="642">
        <v>0</v>
      </c>
      <c r="E305" s="643">
        <v>0</v>
      </c>
      <c r="F305" s="643">
        <v>-16.016991189558784</v>
      </c>
      <c r="G305" s="642">
        <v>0</v>
      </c>
      <c r="H305" s="643">
        <v>0</v>
      </c>
      <c r="I305" s="643">
        <v>0</v>
      </c>
      <c r="J305" s="643">
        <v>0</v>
      </c>
      <c r="K305" s="643">
        <v>0</v>
      </c>
      <c r="L305" s="643">
        <v>0</v>
      </c>
      <c r="M305" s="643">
        <v>0</v>
      </c>
      <c r="N305" s="643">
        <v>0</v>
      </c>
      <c r="O305" s="643">
        <v>0</v>
      </c>
      <c r="P305" s="644">
        <v>0</v>
      </c>
      <c r="Q305" s="643">
        <v>0</v>
      </c>
      <c r="R305" s="643">
        <v>0</v>
      </c>
      <c r="S305" s="645">
        <v>-16.016991189558784</v>
      </c>
      <c r="U305" s="641" t="s">
        <v>62</v>
      </c>
      <c r="V305" s="642">
        <v>0</v>
      </c>
      <c r="W305" s="643">
        <v>0</v>
      </c>
      <c r="X305" s="643">
        <v>-11.216317309287092</v>
      </c>
      <c r="Y305" s="642">
        <v>-1.9971079411498778</v>
      </c>
      <c r="Z305" s="643">
        <v>0</v>
      </c>
      <c r="AA305" s="643">
        <v>0</v>
      </c>
      <c r="AB305" s="643">
        <v>0</v>
      </c>
      <c r="AC305" s="643">
        <v>0</v>
      </c>
      <c r="AD305" s="643">
        <v>0</v>
      </c>
      <c r="AE305" s="643">
        <v>-0.69888193239441998</v>
      </c>
      <c r="AF305" s="643">
        <v>0</v>
      </c>
      <c r="AG305" s="643">
        <v>0</v>
      </c>
      <c r="AH305" s="644">
        <v>0</v>
      </c>
      <c r="AI305" s="643">
        <v>0</v>
      </c>
      <c r="AJ305" s="643">
        <v>0</v>
      </c>
      <c r="AK305" s="645">
        <v>-13.912307182831389</v>
      </c>
    </row>
    <row r="306" spans="3:37" ht="13.5">
      <c r="C306" s="641" t="s">
        <v>63</v>
      </c>
      <c r="D306" s="642">
        <v>0</v>
      </c>
      <c r="E306" s="643">
        <v>0</v>
      </c>
      <c r="F306" s="643">
        <v>-85.676103269538828</v>
      </c>
      <c r="G306" s="642">
        <v>0</v>
      </c>
      <c r="H306" s="643">
        <v>0</v>
      </c>
      <c r="I306" s="643">
        <v>0</v>
      </c>
      <c r="J306" s="643">
        <v>0</v>
      </c>
      <c r="K306" s="643">
        <v>0</v>
      </c>
      <c r="L306" s="643">
        <v>-0.88445591317339634</v>
      </c>
      <c r="M306" s="643">
        <v>0</v>
      </c>
      <c r="N306" s="643">
        <v>0</v>
      </c>
      <c r="O306" s="643">
        <v>0</v>
      </c>
      <c r="P306" s="644">
        <v>0</v>
      </c>
      <c r="Q306" s="643">
        <v>0</v>
      </c>
      <c r="R306" s="643">
        <v>0</v>
      </c>
      <c r="S306" s="645">
        <v>-86.560559182712225</v>
      </c>
      <c r="U306" s="641" t="s">
        <v>63</v>
      </c>
      <c r="V306" s="642">
        <v>0</v>
      </c>
      <c r="W306" s="643">
        <v>0</v>
      </c>
      <c r="X306" s="643">
        <v>-61.793178017106612</v>
      </c>
      <c r="Y306" s="642">
        <v>0</v>
      </c>
      <c r="Z306" s="643">
        <v>0</v>
      </c>
      <c r="AA306" s="643">
        <v>0</v>
      </c>
      <c r="AB306" s="643">
        <v>0</v>
      </c>
      <c r="AC306" s="643">
        <v>0</v>
      </c>
      <c r="AD306" s="643">
        <v>-20.442150229714262</v>
      </c>
      <c r="AE306" s="643">
        <v>0</v>
      </c>
      <c r="AF306" s="643">
        <v>0</v>
      </c>
      <c r="AG306" s="643">
        <v>0</v>
      </c>
      <c r="AH306" s="644">
        <v>0</v>
      </c>
      <c r="AI306" s="643">
        <v>0</v>
      </c>
      <c r="AJ306" s="643">
        <v>0</v>
      </c>
      <c r="AK306" s="645">
        <v>-82.23532824682087</v>
      </c>
    </row>
    <row r="307" spans="3:37" ht="13.5">
      <c r="C307" s="641" t="s">
        <v>64</v>
      </c>
      <c r="D307" s="642">
        <v>0</v>
      </c>
      <c r="E307" s="643">
        <v>0</v>
      </c>
      <c r="F307" s="643">
        <v>0</v>
      </c>
      <c r="G307" s="642">
        <v>0</v>
      </c>
      <c r="H307" s="643">
        <v>0</v>
      </c>
      <c r="I307" s="643">
        <v>0</v>
      </c>
      <c r="J307" s="643">
        <v>0</v>
      </c>
      <c r="K307" s="643">
        <v>0</v>
      </c>
      <c r="L307" s="643">
        <v>0</v>
      </c>
      <c r="M307" s="643">
        <v>0</v>
      </c>
      <c r="N307" s="643">
        <v>0</v>
      </c>
      <c r="O307" s="643">
        <v>0</v>
      </c>
      <c r="P307" s="644">
        <v>0</v>
      </c>
      <c r="Q307" s="643">
        <v>0</v>
      </c>
      <c r="R307" s="643">
        <v>0</v>
      </c>
      <c r="S307" s="645">
        <v>0</v>
      </c>
      <c r="U307" s="641" t="s">
        <v>64</v>
      </c>
      <c r="V307" s="642">
        <v>0</v>
      </c>
      <c r="W307" s="643">
        <v>0</v>
      </c>
      <c r="X307" s="643">
        <v>0</v>
      </c>
      <c r="Y307" s="642">
        <v>0</v>
      </c>
      <c r="Z307" s="643">
        <v>0</v>
      </c>
      <c r="AA307" s="643">
        <v>0</v>
      </c>
      <c r="AB307" s="643">
        <v>0</v>
      </c>
      <c r="AC307" s="643">
        <v>0</v>
      </c>
      <c r="AD307" s="643">
        <v>0</v>
      </c>
      <c r="AE307" s="643">
        <v>0</v>
      </c>
      <c r="AF307" s="643">
        <v>0</v>
      </c>
      <c r="AG307" s="643">
        <v>0</v>
      </c>
      <c r="AH307" s="644">
        <v>0</v>
      </c>
      <c r="AI307" s="643">
        <v>0</v>
      </c>
      <c r="AJ307" s="643">
        <v>0</v>
      </c>
      <c r="AK307" s="645">
        <v>0</v>
      </c>
    </row>
    <row r="308" spans="3:37" ht="13.5">
      <c r="C308" s="646" t="s">
        <v>65</v>
      </c>
      <c r="D308" s="647">
        <v>48.372001461449948</v>
      </c>
      <c r="E308" s="647">
        <v>512.07101402008311</v>
      </c>
      <c r="F308" s="647">
        <v>-17.437975450417916</v>
      </c>
      <c r="G308" s="647">
        <v>333.88933186331565</v>
      </c>
      <c r="H308" s="647">
        <v>1005.4545454545456</v>
      </c>
      <c r="I308" s="647">
        <v>248.9826967827097</v>
      </c>
      <c r="J308" s="647">
        <v>193.94273469447566</v>
      </c>
      <c r="K308" s="647">
        <v>21.067323208066789</v>
      </c>
      <c r="L308" s="647">
        <v>1.8416249790665411</v>
      </c>
      <c r="M308" s="647">
        <v>0.15770970126630299</v>
      </c>
      <c r="N308" s="647">
        <v>60.832905155553725</v>
      </c>
      <c r="O308" s="647">
        <v>10.347989753579439</v>
      </c>
      <c r="P308" s="647">
        <v>-38.942042128507637</v>
      </c>
      <c r="Q308" s="647">
        <v>0</v>
      </c>
      <c r="R308" s="647">
        <v>0</v>
      </c>
      <c r="S308" s="647">
        <v>2380.5798594951875</v>
      </c>
      <c r="U308" s="646" t="s">
        <v>65</v>
      </c>
      <c r="V308" s="647">
        <v>8.3965846696126416</v>
      </c>
      <c r="W308" s="647">
        <v>296.81978048971496</v>
      </c>
      <c r="X308" s="647">
        <v>-54.492278965762601</v>
      </c>
      <c r="Y308" s="647">
        <v>161.15547553750713</v>
      </c>
      <c r="Z308" s="647">
        <v>949.39393939393938</v>
      </c>
      <c r="AA308" s="647">
        <v>279.58269678270966</v>
      </c>
      <c r="AB308" s="647">
        <v>200.65328572997174</v>
      </c>
      <c r="AC308" s="647">
        <v>37.828582612394825</v>
      </c>
      <c r="AD308" s="647">
        <v>-17.716069337474323</v>
      </c>
      <c r="AE308" s="647">
        <v>-0.54117223112811697</v>
      </c>
      <c r="AF308" s="647">
        <v>86.476611770328219</v>
      </c>
      <c r="AG308" s="647">
        <v>21.065809354780896</v>
      </c>
      <c r="AH308" s="647">
        <v>-20.693548582118865</v>
      </c>
      <c r="AI308" s="647">
        <v>0</v>
      </c>
      <c r="AJ308" s="647">
        <v>0</v>
      </c>
      <c r="AK308" s="647">
        <v>1947.9296972244754</v>
      </c>
    </row>
    <row r="309" spans="3:37" ht="13">
      <c r="C309" s="636"/>
      <c r="D309" s="636">
        <v>0</v>
      </c>
      <c r="E309" s="636">
        <v>0</v>
      </c>
      <c r="F309" s="636">
        <v>0</v>
      </c>
      <c r="G309" s="636">
        <v>0</v>
      </c>
      <c r="H309" s="636">
        <v>0</v>
      </c>
      <c r="I309" s="636">
        <v>0</v>
      </c>
      <c r="J309" s="636">
        <v>0</v>
      </c>
      <c r="K309" s="636">
        <v>0</v>
      </c>
      <c r="L309" s="636">
        <v>0</v>
      </c>
      <c r="M309" s="636">
        <v>0</v>
      </c>
      <c r="N309" s="636">
        <v>0</v>
      </c>
      <c r="O309" s="636">
        <v>0</v>
      </c>
      <c r="P309" s="636">
        <v>0</v>
      </c>
      <c r="Q309" s="636">
        <v>0</v>
      </c>
      <c r="R309" s="636">
        <v>0</v>
      </c>
      <c r="S309" s="636">
        <v>0</v>
      </c>
      <c r="U309" s="636"/>
      <c r="V309" s="636">
        <v>0</v>
      </c>
      <c r="W309" s="636">
        <v>0</v>
      </c>
      <c r="X309" s="636">
        <v>0</v>
      </c>
      <c r="Y309" s="636">
        <v>0</v>
      </c>
      <c r="Z309" s="636">
        <v>0</v>
      </c>
      <c r="AA309" s="636">
        <v>0</v>
      </c>
      <c r="AB309" s="636">
        <v>0</v>
      </c>
      <c r="AC309" s="636">
        <v>0</v>
      </c>
      <c r="AD309" s="636">
        <v>0</v>
      </c>
      <c r="AE309" s="636">
        <v>0</v>
      </c>
      <c r="AF309" s="636">
        <v>0</v>
      </c>
      <c r="AG309" s="636">
        <v>0</v>
      </c>
      <c r="AH309" s="636">
        <v>0</v>
      </c>
      <c r="AI309" s="636">
        <v>0</v>
      </c>
      <c r="AJ309" s="636">
        <v>0</v>
      </c>
      <c r="AK309" s="636">
        <v>0</v>
      </c>
    </row>
    <row r="310" spans="3:37" ht="13.5">
      <c r="C310" s="648" t="s">
        <v>67</v>
      </c>
      <c r="D310" s="642">
        <v>0</v>
      </c>
      <c r="E310" s="649">
        <v>0</v>
      </c>
      <c r="F310" s="649">
        <v>0</v>
      </c>
      <c r="G310" s="642">
        <v>0</v>
      </c>
      <c r="H310" s="642">
        <v>0</v>
      </c>
      <c r="I310" s="642">
        <v>0</v>
      </c>
      <c r="J310" s="642">
        <v>0</v>
      </c>
      <c r="K310" s="642">
        <v>0</v>
      </c>
      <c r="L310" s="642">
        <v>0</v>
      </c>
      <c r="M310" s="642">
        <v>0</v>
      </c>
      <c r="N310" s="642">
        <v>0</v>
      </c>
      <c r="O310" s="642">
        <v>0</v>
      </c>
      <c r="P310" s="642">
        <v>0</v>
      </c>
      <c r="Q310" s="642">
        <v>0</v>
      </c>
      <c r="R310" s="642">
        <v>0</v>
      </c>
      <c r="S310" s="650">
        <v>0</v>
      </c>
      <c r="U310" s="648" t="s">
        <v>67</v>
      </c>
      <c r="V310" s="642">
        <v>0</v>
      </c>
      <c r="W310" s="649">
        <v>0</v>
      </c>
      <c r="X310" s="649">
        <v>0</v>
      </c>
      <c r="Y310" s="642">
        <v>0</v>
      </c>
      <c r="Z310" s="642">
        <v>0</v>
      </c>
      <c r="AA310" s="642">
        <v>0</v>
      </c>
      <c r="AB310" s="642">
        <v>0</v>
      </c>
      <c r="AC310" s="642">
        <v>0</v>
      </c>
      <c r="AD310" s="642">
        <v>0</v>
      </c>
      <c r="AE310" s="642">
        <v>0</v>
      </c>
      <c r="AF310" s="642">
        <v>0</v>
      </c>
      <c r="AG310" s="642">
        <v>0</v>
      </c>
      <c r="AH310" s="642">
        <v>0</v>
      </c>
      <c r="AI310" s="642">
        <v>0</v>
      </c>
      <c r="AJ310" s="642">
        <v>0</v>
      </c>
      <c r="AK310" s="650">
        <v>0</v>
      </c>
    </row>
    <row r="311" spans="3:37" ht="13.5">
      <c r="C311" s="648" t="s">
        <v>350</v>
      </c>
      <c r="D311" s="642">
        <v>2.8267856410252494</v>
      </c>
      <c r="E311" s="642">
        <v>0</v>
      </c>
      <c r="F311" s="642">
        <v>7.7008933134364401</v>
      </c>
      <c r="G311" s="642">
        <v>17.192982456140349</v>
      </c>
      <c r="H311" s="642">
        <v>1005.4545454545456</v>
      </c>
      <c r="I311" s="642">
        <v>248.9826967827097</v>
      </c>
      <c r="J311" s="651">
        <v>29.95115714704033</v>
      </c>
      <c r="K311" s="651">
        <v>7.1699357941539494</v>
      </c>
      <c r="L311" s="651">
        <v>2.7260808922399375</v>
      </c>
      <c r="M311" s="651">
        <v>0.47574727688811397</v>
      </c>
      <c r="N311" s="651">
        <v>0</v>
      </c>
      <c r="O311" s="651">
        <v>5.3758847536792693</v>
      </c>
      <c r="P311" s="642">
        <v>-611.6040304377284</v>
      </c>
      <c r="Q311" s="642">
        <v>0</v>
      </c>
      <c r="R311" s="642">
        <v>0</v>
      </c>
      <c r="S311" s="650">
        <v>716.25267907413024</v>
      </c>
      <c r="U311" s="648" t="s">
        <v>350</v>
      </c>
      <c r="V311" s="642">
        <v>0.62631490545869017</v>
      </c>
      <c r="W311" s="642">
        <v>0</v>
      </c>
      <c r="X311" s="642">
        <v>3.8372569498000768</v>
      </c>
      <c r="Y311" s="642">
        <v>12.853333333333333</v>
      </c>
      <c r="Z311" s="642">
        <v>949.39393939393938</v>
      </c>
      <c r="AA311" s="642">
        <v>279.58269678270966</v>
      </c>
      <c r="AB311" s="651">
        <v>24.143657694158538</v>
      </c>
      <c r="AC311" s="651">
        <v>6.0680800758314266</v>
      </c>
      <c r="AD311" s="651">
        <v>2.7260808922399375</v>
      </c>
      <c r="AE311" s="651">
        <v>4.1838174523267107</v>
      </c>
      <c r="AF311" s="651">
        <v>0</v>
      </c>
      <c r="AG311" s="651">
        <v>5.3758847536792693</v>
      </c>
      <c r="AH311" s="642">
        <v>-621.90403043772824</v>
      </c>
      <c r="AI311" s="642">
        <v>0</v>
      </c>
      <c r="AJ311" s="642">
        <v>3.8</v>
      </c>
      <c r="AK311" s="650">
        <v>670.68703179574891</v>
      </c>
    </row>
    <row r="312" spans="3:37" ht="13.5">
      <c r="C312" s="648" t="s">
        <v>351</v>
      </c>
      <c r="D312" s="642">
        <v>0</v>
      </c>
      <c r="E312" s="642">
        <v>0</v>
      </c>
      <c r="F312" s="642">
        <v>0</v>
      </c>
      <c r="G312" s="642">
        <v>15.048436077523924</v>
      </c>
      <c r="H312" s="642">
        <v>0</v>
      </c>
      <c r="I312" s="642">
        <v>0</v>
      </c>
      <c r="J312" s="651">
        <v>12.74533322609016</v>
      </c>
      <c r="K312" s="651">
        <v>12.056480951460374</v>
      </c>
      <c r="L312" s="651">
        <v>0</v>
      </c>
      <c r="M312" s="651">
        <v>0.32133708059977345</v>
      </c>
      <c r="N312" s="651">
        <v>0</v>
      </c>
      <c r="O312" s="651">
        <v>2.1348201063802894</v>
      </c>
      <c r="P312" s="642">
        <v>0</v>
      </c>
      <c r="Q312" s="642">
        <v>-38.309646115177976</v>
      </c>
      <c r="R312" s="642">
        <v>0</v>
      </c>
      <c r="S312" s="650">
        <v>3.9967613268765492</v>
      </c>
      <c r="U312" s="648" t="s">
        <v>351</v>
      </c>
      <c r="V312" s="642">
        <v>0</v>
      </c>
      <c r="W312" s="642">
        <v>0</v>
      </c>
      <c r="X312" s="642">
        <v>0</v>
      </c>
      <c r="Y312" s="642">
        <v>12.803359009118745</v>
      </c>
      <c r="Z312" s="642">
        <v>0</v>
      </c>
      <c r="AA312" s="642">
        <v>0</v>
      </c>
      <c r="AB312" s="651">
        <v>28.717481814983032</v>
      </c>
      <c r="AC312" s="651">
        <v>25.924008984647354</v>
      </c>
      <c r="AD312" s="651">
        <v>0</v>
      </c>
      <c r="AE312" s="651">
        <v>4.0573921431217457</v>
      </c>
      <c r="AF312" s="651">
        <v>0</v>
      </c>
      <c r="AG312" s="651">
        <v>9.7357518308203428</v>
      </c>
      <c r="AH312" s="642">
        <v>0</v>
      </c>
      <c r="AI312" s="642">
        <v>-74.504230286476243</v>
      </c>
      <c r="AJ312" s="642">
        <v>0</v>
      </c>
      <c r="AK312" s="650">
        <v>6.7337634962149808</v>
      </c>
    </row>
    <row r="313" spans="3:37" ht="13.5">
      <c r="C313" s="648" t="s">
        <v>352</v>
      </c>
      <c r="D313" s="642">
        <v>0</v>
      </c>
      <c r="E313" s="642">
        <v>0</v>
      </c>
      <c r="F313" s="642">
        <v>0</v>
      </c>
      <c r="G313" s="642">
        <v>0</v>
      </c>
      <c r="H313" s="642">
        <v>0</v>
      </c>
      <c r="I313" s="642">
        <v>0</v>
      </c>
      <c r="J313" s="652">
        <v>7.2695194025067336</v>
      </c>
      <c r="K313" s="652">
        <v>0</v>
      </c>
      <c r="L313" s="652">
        <v>0</v>
      </c>
      <c r="M313" s="652">
        <v>-6.5716455398660871</v>
      </c>
      <c r="N313" s="652">
        <v>0</v>
      </c>
      <c r="O313" s="652">
        <v>0</v>
      </c>
      <c r="P313" s="642">
        <v>0</v>
      </c>
      <c r="Q313" s="642">
        <v>0</v>
      </c>
      <c r="R313" s="642">
        <v>0</v>
      </c>
      <c r="S313" s="650">
        <v>0.69787386264064644</v>
      </c>
      <c r="U313" s="648" t="s">
        <v>352</v>
      </c>
      <c r="V313" s="642">
        <v>0</v>
      </c>
      <c r="W313" s="642">
        <v>0</v>
      </c>
      <c r="X313" s="642">
        <v>0</v>
      </c>
      <c r="Y313" s="642">
        <v>0</v>
      </c>
      <c r="Z313" s="642">
        <v>0</v>
      </c>
      <c r="AA313" s="642">
        <v>0</v>
      </c>
      <c r="AB313" s="652">
        <v>56.55251118568826</v>
      </c>
      <c r="AC313" s="652">
        <v>0</v>
      </c>
      <c r="AD313" s="652">
        <v>0</v>
      </c>
      <c r="AE313" s="652">
        <v>-51.12347011186219</v>
      </c>
      <c r="AF313" s="652">
        <v>0</v>
      </c>
      <c r="AG313" s="652">
        <v>0</v>
      </c>
      <c r="AH313" s="642">
        <v>0</v>
      </c>
      <c r="AI313" s="642">
        <v>0</v>
      </c>
      <c r="AJ313" s="642">
        <v>0</v>
      </c>
      <c r="AK313" s="650">
        <v>5.4290410738260704</v>
      </c>
    </row>
    <row r="314" spans="3:37" ht="13.5">
      <c r="C314" s="648" t="s">
        <v>353</v>
      </c>
      <c r="D314" s="642">
        <v>0</v>
      </c>
      <c r="E314" s="642">
        <v>0</v>
      </c>
      <c r="F314" s="642">
        <v>0</v>
      </c>
      <c r="G314" s="642">
        <v>0</v>
      </c>
      <c r="H314" s="642">
        <v>0</v>
      </c>
      <c r="I314" s="642">
        <v>0</v>
      </c>
      <c r="J314" s="642">
        <v>0</v>
      </c>
      <c r="K314" s="642">
        <v>0</v>
      </c>
      <c r="L314" s="642">
        <v>0</v>
      </c>
      <c r="M314" s="642">
        <v>0</v>
      </c>
      <c r="N314" s="642">
        <v>0</v>
      </c>
      <c r="O314" s="642">
        <v>0</v>
      </c>
      <c r="P314" s="642">
        <v>0</v>
      </c>
      <c r="Q314" s="642">
        <v>0</v>
      </c>
      <c r="R314" s="642">
        <v>0</v>
      </c>
      <c r="S314" s="650">
        <v>0</v>
      </c>
      <c r="U314" s="648" t="s">
        <v>353</v>
      </c>
      <c r="V314" s="642">
        <v>0</v>
      </c>
      <c r="W314" s="642">
        <v>0</v>
      </c>
      <c r="X314" s="642">
        <v>0</v>
      </c>
      <c r="Y314" s="642">
        <v>0</v>
      </c>
      <c r="Z314" s="642">
        <v>0</v>
      </c>
      <c r="AA314" s="642">
        <v>0</v>
      </c>
      <c r="AB314" s="642">
        <v>0</v>
      </c>
      <c r="AC314" s="642">
        <v>0</v>
      </c>
      <c r="AD314" s="642">
        <v>0</v>
      </c>
      <c r="AE314" s="642">
        <v>0</v>
      </c>
      <c r="AF314" s="642">
        <v>0</v>
      </c>
      <c r="AG314" s="642">
        <v>0</v>
      </c>
      <c r="AH314" s="642">
        <v>0</v>
      </c>
      <c r="AI314" s="642">
        <v>0</v>
      </c>
      <c r="AJ314" s="642">
        <v>0</v>
      </c>
      <c r="AK314" s="650">
        <v>0</v>
      </c>
    </row>
    <row r="315" spans="3:37" ht="13.5">
      <c r="C315" s="648" t="s">
        <v>72</v>
      </c>
      <c r="D315" s="642">
        <v>0</v>
      </c>
      <c r="E315" s="642">
        <v>530.45114623720224</v>
      </c>
      <c r="F315" s="642">
        <v>-525.1466347748302</v>
      </c>
      <c r="G315" s="642">
        <v>0</v>
      </c>
      <c r="H315" s="642">
        <v>0</v>
      </c>
      <c r="I315" s="642">
        <v>0</v>
      </c>
      <c r="J315" s="642">
        <v>0</v>
      </c>
      <c r="K315" s="642">
        <v>0</v>
      </c>
      <c r="L315" s="642">
        <v>0</v>
      </c>
      <c r="M315" s="642">
        <v>0</v>
      </c>
      <c r="N315" s="642">
        <v>0</v>
      </c>
      <c r="O315" s="642">
        <v>0</v>
      </c>
      <c r="P315" s="642">
        <v>0</v>
      </c>
      <c r="Q315" s="642">
        <v>0</v>
      </c>
      <c r="R315" s="642">
        <v>0</v>
      </c>
      <c r="S315" s="650">
        <v>5.3045114623720337</v>
      </c>
      <c r="U315" s="648" t="s">
        <v>72</v>
      </c>
      <c r="V315" s="642">
        <v>0</v>
      </c>
      <c r="W315" s="642">
        <v>307.47374578102756</v>
      </c>
      <c r="X315" s="642">
        <v>-304.39900832321729</v>
      </c>
      <c r="Y315" s="642">
        <v>0</v>
      </c>
      <c r="Z315" s="642">
        <v>0</v>
      </c>
      <c r="AA315" s="642">
        <v>0</v>
      </c>
      <c r="AB315" s="642">
        <v>0</v>
      </c>
      <c r="AC315" s="642">
        <v>0</v>
      </c>
      <c r="AD315" s="642">
        <v>0</v>
      </c>
      <c r="AE315" s="642">
        <v>0</v>
      </c>
      <c r="AF315" s="642">
        <v>0</v>
      </c>
      <c r="AG315" s="642">
        <v>0</v>
      </c>
      <c r="AH315" s="642">
        <v>0</v>
      </c>
      <c r="AI315" s="642">
        <v>0</v>
      </c>
      <c r="AJ315" s="642">
        <v>0</v>
      </c>
      <c r="AK315" s="650">
        <v>3.0747374578102722</v>
      </c>
    </row>
    <row r="316" spans="3:37" ht="13.5">
      <c r="C316" s="648" t="s">
        <v>354</v>
      </c>
      <c r="D316" s="642">
        <v>0</v>
      </c>
      <c r="E316" s="642">
        <v>0</v>
      </c>
      <c r="F316" s="642">
        <v>0</v>
      </c>
      <c r="G316" s="642">
        <v>0</v>
      </c>
      <c r="H316" s="642">
        <v>0</v>
      </c>
      <c r="I316" s="642">
        <v>0</v>
      </c>
      <c r="J316" s="642">
        <v>30.470996070194996</v>
      </c>
      <c r="K316" s="642">
        <v>0</v>
      </c>
      <c r="L316" s="642">
        <v>-30.470996070194996</v>
      </c>
      <c r="M316" s="642">
        <v>0</v>
      </c>
      <c r="N316" s="642">
        <v>0</v>
      </c>
      <c r="O316" s="642">
        <v>0</v>
      </c>
      <c r="P316" s="642">
        <v>0</v>
      </c>
      <c r="Q316" s="642">
        <v>0</v>
      </c>
      <c r="R316" s="642">
        <v>0</v>
      </c>
      <c r="S316" s="650">
        <v>0</v>
      </c>
      <c r="U316" s="648" t="s">
        <v>354</v>
      </c>
      <c r="V316" s="642">
        <v>0</v>
      </c>
      <c r="W316" s="642">
        <v>0</v>
      </c>
      <c r="X316" s="642">
        <v>0</v>
      </c>
      <c r="Y316" s="642">
        <v>0</v>
      </c>
      <c r="Z316" s="642">
        <v>0</v>
      </c>
      <c r="AA316" s="642">
        <v>0</v>
      </c>
      <c r="AB316" s="642" t="e">
        <v>#VALUE!</v>
      </c>
      <c r="AC316" s="642">
        <v>0</v>
      </c>
      <c r="AD316" s="642">
        <v>-92.079399970639116</v>
      </c>
      <c r="AE316" s="642">
        <v>0</v>
      </c>
      <c r="AF316" s="642">
        <v>0</v>
      </c>
      <c r="AG316" s="642">
        <v>0</v>
      </c>
      <c r="AH316" s="642">
        <v>0</v>
      </c>
      <c r="AI316" s="642">
        <v>0</v>
      </c>
      <c r="AJ316" s="642">
        <v>0</v>
      </c>
      <c r="AK316" s="650">
        <v>-92.079399970639116</v>
      </c>
    </row>
    <row r="317" spans="3:37" ht="13.5">
      <c r="C317" s="648" t="s">
        <v>355</v>
      </c>
      <c r="D317" s="642">
        <v>0</v>
      </c>
      <c r="E317" s="642">
        <v>0</v>
      </c>
      <c r="F317" s="642">
        <v>0</v>
      </c>
      <c r="G317" s="642">
        <v>0</v>
      </c>
      <c r="H317" s="642">
        <v>0</v>
      </c>
      <c r="I317" s="642">
        <v>0</v>
      </c>
      <c r="J317" s="642">
        <v>0</v>
      </c>
      <c r="K317" s="642">
        <v>0</v>
      </c>
      <c r="L317" s="642">
        <v>0</v>
      </c>
      <c r="M317" s="642">
        <v>0</v>
      </c>
      <c r="N317" s="642">
        <v>0</v>
      </c>
      <c r="O317" s="642">
        <v>0</v>
      </c>
      <c r="P317" s="642">
        <v>0</v>
      </c>
      <c r="Q317" s="642">
        <v>0</v>
      </c>
      <c r="R317" s="642">
        <v>0</v>
      </c>
      <c r="S317" s="650">
        <v>0</v>
      </c>
      <c r="U317" s="648" t="s">
        <v>355</v>
      </c>
      <c r="V317" s="642">
        <v>0</v>
      </c>
      <c r="W317" s="642">
        <v>0</v>
      </c>
      <c r="X317" s="642">
        <v>0</v>
      </c>
      <c r="Y317" s="642">
        <v>0</v>
      </c>
      <c r="Z317" s="642">
        <v>0</v>
      </c>
      <c r="AA317" s="642">
        <v>0</v>
      </c>
      <c r="AB317" s="642">
        <v>0</v>
      </c>
      <c r="AC317" s="642">
        <v>0</v>
      </c>
      <c r="AD317" s="642">
        <v>-18.857582137623396</v>
      </c>
      <c r="AE317" s="642">
        <v>0</v>
      </c>
      <c r="AF317" s="642">
        <v>0</v>
      </c>
      <c r="AG317" s="642">
        <v>0</v>
      </c>
      <c r="AH317" s="642">
        <v>0</v>
      </c>
      <c r="AI317" s="642">
        <v>0</v>
      </c>
      <c r="AJ317" s="642">
        <v>0</v>
      </c>
      <c r="AK317" s="650">
        <v>-18.857582137623396</v>
      </c>
    </row>
    <row r="318" spans="3:37" ht="13.5">
      <c r="C318" s="648" t="s">
        <v>73</v>
      </c>
      <c r="D318" s="642">
        <v>0</v>
      </c>
      <c r="E318" s="642">
        <v>0</v>
      </c>
      <c r="F318" s="642">
        <v>0</v>
      </c>
      <c r="G318" s="642">
        <v>4.2253053989858387</v>
      </c>
      <c r="H318" s="642">
        <v>0</v>
      </c>
      <c r="I318" s="642">
        <v>0</v>
      </c>
      <c r="J318" s="642">
        <v>0</v>
      </c>
      <c r="K318" s="642">
        <v>4.8227473393893973E-2</v>
      </c>
      <c r="L318" s="642">
        <v>0</v>
      </c>
      <c r="M318" s="642">
        <v>8.6230722428282419E-2</v>
      </c>
      <c r="N318" s="642">
        <v>0</v>
      </c>
      <c r="O318" s="642">
        <v>0</v>
      </c>
      <c r="P318" s="642">
        <v>0.47800681593948002</v>
      </c>
      <c r="Q318" s="642">
        <v>0</v>
      </c>
      <c r="R318" s="642">
        <v>-3.3759231375725771</v>
      </c>
      <c r="S318" s="650">
        <v>1.4618472731749175</v>
      </c>
      <c r="U318" s="648" t="s">
        <v>73</v>
      </c>
      <c r="V318" s="642">
        <v>0</v>
      </c>
      <c r="W318" s="642">
        <v>0</v>
      </c>
      <c r="X318" s="642">
        <v>0</v>
      </c>
      <c r="Y318" s="642">
        <v>6.2430459874299995</v>
      </c>
      <c r="Z318" s="642">
        <v>0</v>
      </c>
      <c r="AA318" s="642">
        <v>0</v>
      </c>
      <c r="AB318" s="642">
        <v>0</v>
      </c>
      <c r="AC318" s="642">
        <v>0.34514849554566557</v>
      </c>
      <c r="AD318" s="642">
        <v>0</v>
      </c>
      <c r="AE318" s="642">
        <v>1.9714882065568418</v>
      </c>
      <c r="AF318" s="642">
        <v>0</v>
      </c>
      <c r="AG318" s="642">
        <v>0</v>
      </c>
      <c r="AH318" s="642">
        <v>26.797369919651668</v>
      </c>
      <c r="AI318" s="642">
        <v>0</v>
      </c>
      <c r="AJ318" s="642">
        <v>-24.160394688196586</v>
      </c>
      <c r="AK318" s="650">
        <v>11.196657920987594</v>
      </c>
    </row>
    <row r="319" spans="3:37" ht="13.5">
      <c r="C319" s="648" t="s">
        <v>356</v>
      </c>
      <c r="D319" s="642">
        <v>28.633394531250001</v>
      </c>
      <c r="E319" s="642">
        <v>-18.380132217119058</v>
      </c>
      <c r="F319" s="642">
        <v>24.040127313749448</v>
      </c>
      <c r="G319" s="642">
        <v>0</v>
      </c>
      <c r="H319" s="642">
        <v>0</v>
      </c>
      <c r="I319" s="642">
        <v>0</v>
      </c>
      <c r="J319" s="642">
        <v>0</v>
      </c>
      <c r="K319" s="642">
        <v>0</v>
      </c>
      <c r="L319" s="642">
        <v>0</v>
      </c>
      <c r="M319" s="642">
        <v>0</v>
      </c>
      <c r="N319" s="642">
        <v>0</v>
      </c>
      <c r="O319" s="642">
        <v>0</v>
      </c>
      <c r="P319" s="642">
        <v>0</v>
      </c>
      <c r="Q319" s="642">
        <v>0</v>
      </c>
      <c r="R319" s="642">
        <v>0</v>
      </c>
      <c r="S319" s="650">
        <v>34.293389627880387</v>
      </c>
      <c r="U319" s="648" t="s">
        <v>356</v>
      </c>
      <c r="V319" s="642">
        <v>2.8339389038085936</v>
      </c>
      <c r="W319" s="642">
        <v>-10.653965291312606</v>
      </c>
      <c r="X319" s="642">
        <v>13.93475732241321</v>
      </c>
      <c r="Y319" s="642">
        <v>0</v>
      </c>
      <c r="Z319" s="642">
        <v>0</v>
      </c>
      <c r="AA319" s="642">
        <v>0</v>
      </c>
      <c r="AB319" s="642">
        <v>0</v>
      </c>
      <c r="AC319" s="642">
        <v>0</v>
      </c>
      <c r="AD319" s="642">
        <v>0</v>
      </c>
      <c r="AE319" s="642">
        <v>0</v>
      </c>
      <c r="AF319" s="642">
        <v>0</v>
      </c>
      <c r="AG319" s="642">
        <v>0</v>
      </c>
      <c r="AH319" s="642">
        <v>0</v>
      </c>
      <c r="AI319" s="642">
        <v>0</v>
      </c>
      <c r="AJ319" s="642">
        <v>0</v>
      </c>
      <c r="AK319" s="650">
        <v>6.1147309349091987</v>
      </c>
    </row>
    <row r="320" spans="3:37" ht="13.5">
      <c r="C320" s="648" t="s">
        <v>75</v>
      </c>
      <c r="D320" s="642">
        <v>11.135208984375002</v>
      </c>
      <c r="E320" s="642">
        <v>0</v>
      </c>
      <c r="F320" s="642">
        <v>18.035338972064878</v>
      </c>
      <c r="G320" s="642">
        <v>5.1464370207933356</v>
      </c>
      <c r="H320" s="642">
        <v>0</v>
      </c>
      <c r="I320" s="642">
        <v>0</v>
      </c>
      <c r="J320" s="642">
        <v>0</v>
      </c>
      <c r="K320" s="642">
        <v>0</v>
      </c>
      <c r="L320" s="642">
        <v>0</v>
      </c>
      <c r="M320" s="642">
        <v>0.10502932695496604</v>
      </c>
      <c r="N320" s="642">
        <v>0</v>
      </c>
      <c r="O320" s="642">
        <v>0</v>
      </c>
      <c r="P320" s="642">
        <v>31.859130537431355</v>
      </c>
      <c r="Q320" s="642">
        <v>0</v>
      </c>
      <c r="R320" s="642">
        <v>0</v>
      </c>
      <c r="S320" s="650">
        <v>66.281144841619536</v>
      </c>
      <c r="U320" s="648" t="s">
        <v>75</v>
      </c>
      <c r="V320" s="642">
        <v>3.871097900390625</v>
      </c>
      <c r="W320" s="642">
        <v>0</v>
      </c>
      <c r="X320" s="642">
        <v>18.035338972064878</v>
      </c>
      <c r="Y320" s="642">
        <v>3.9911144242887096</v>
      </c>
      <c r="Z320" s="642">
        <v>0</v>
      </c>
      <c r="AA320" s="642">
        <v>0</v>
      </c>
      <c r="AB320" s="642">
        <v>0</v>
      </c>
      <c r="AC320" s="642">
        <v>0</v>
      </c>
      <c r="AD320" s="642">
        <v>0</v>
      </c>
      <c r="AE320" s="642">
        <v>1.2603519234595923</v>
      </c>
      <c r="AF320" s="642">
        <v>0</v>
      </c>
      <c r="AG320" s="642">
        <v>0</v>
      </c>
      <c r="AH320" s="642">
        <v>35.363675991976798</v>
      </c>
      <c r="AI320" s="642">
        <v>0</v>
      </c>
      <c r="AJ320" s="642">
        <v>0</v>
      </c>
      <c r="AK320" s="650">
        <v>62.521579212180605</v>
      </c>
    </row>
    <row r="321" spans="3:37" ht="13.5">
      <c r="C321" s="648" t="s">
        <v>76</v>
      </c>
      <c r="D321" s="642">
        <v>0</v>
      </c>
      <c r="E321" s="642">
        <v>0</v>
      </c>
      <c r="F321" s="642">
        <v>0</v>
      </c>
      <c r="G321" s="642">
        <v>3.818307882847094</v>
      </c>
      <c r="H321" s="642">
        <v>0</v>
      </c>
      <c r="I321" s="642">
        <v>0</v>
      </c>
      <c r="J321" s="642">
        <v>0</v>
      </c>
      <c r="K321" s="642">
        <v>0</v>
      </c>
      <c r="L321" s="642">
        <v>0</v>
      </c>
      <c r="M321" s="642">
        <v>7.7924650670348858E-2</v>
      </c>
      <c r="N321" s="642">
        <v>0</v>
      </c>
      <c r="O321" s="642">
        <v>0</v>
      </c>
      <c r="P321" s="642">
        <v>43.831436480126726</v>
      </c>
      <c r="Q321" s="642">
        <v>2.9732290990631256</v>
      </c>
      <c r="R321" s="642">
        <v>0</v>
      </c>
      <c r="S321" s="650">
        <v>50.700898112707293</v>
      </c>
      <c r="U321" s="648" t="s">
        <v>76</v>
      </c>
      <c r="V321" s="642">
        <v>0</v>
      </c>
      <c r="W321" s="642">
        <v>0</v>
      </c>
      <c r="X321" s="642">
        <v>0</v>
      </c>
      <c r="Y321" s="642">
        <v>1.9196559923426515</v>
      </c>
      <c r="Z321" s="642">
        <v>0</v>
      </c>
      <c r="AA321" s="642">
        <v>0</v>
      </c>
      <c r="AB321" s="642">
        <v>0</v>
      </c>
      <c r="AC321" s="642">
        <v>0</v>
      </c>
      <c r="AD321" s="642">
        <v>0</v>
      </c>
      <c r="AE321" s="642">
        <v>0.60620715547662674</v>
      </c>
      <c r="AF321" s="642">
        <v>0</v>
      </c>
      <c r="AG321" s="642">
        <v>0</v>
      </c>
      <c r="AH321" s="642">
        <v>46.019363501687437</v>
      </c>
      <c r="AI321" s="642">
        <v>5.777975473960776</v>
      </c>
      <c r="AJ321" s="642">
        <v>0</v>
      </c>
      <c r="AK321" s="650">
        <v>54.323202123467496</v>
      </c>
    </row>
    <row r="322" spans="3:37" ht="13.5">
      <c r="C322" s="646" t="s">
        <v>77</v>
      </c>
      <c r="D322" s="647">
        <v>42.595389156650249</v>
      </c>
      <c r="E322" s="647">
        <v>512.07101402008323</v>
      </c>
      <c r="F322" s="647">
        <v>-475.37027517557942</v>
      </c>
      <c r="G322" s="647">
        <v>45.431468836290541</v>
      </c>
      <c r="H322" s="647">
        <v>1005.4545454545456</v>
      </c>
      <c r="I322" s="647">
        <v>248.9826967827097</v>
      </c>
      <c r="J322" s="647">
        <v>80.437005845832218</v>
      </c>
      <c r="K322" s="647">
        <v>19.274644219008216</v>
      </c>
      <c r="L322" s="647">
        <v>-27.744915177955058</v>
      </c>
      <c r="M322" s="647">
        <v>-5.5053764823246025</v>
      </c>
      <c r="N322" s="647">
        <v>0</v>
      </c>
      <c r="O322" s="647">
        <v>7.5107048600595583</v>
      </c>
      <c r="P322" s="647">
        <v>-535.43545660423092</v>
      </c>
      <c r="Q322" s="647">
        <v>-35.336417016114851</v>
      </c>
      <c r="R322" s="647">
        <v>-3.3759231375725771</v>
      </c>
      <c r="S322" s="647">
        <v>878.98910558140176</v>
      </c>
      <c r="U322" s="646" t="s">
        <v>77</v>
      </c>
      <c r="V322" s="647">
        <v>7.3313517096579091</v>
      </c>
      <c r="W322" s="647">
        <v>296.81978048971496</v>
      </c>
      <c r="X322" s="647">
        <v>-268.59165507893914</v>
      </c>
      <c r="Y322" s="647">
        <v>37.810508746513442</v>
      </c>
      <c r="Z322" s="647">
        <v>949.39393939393938</v>
      </c>
      <c r="AA322" s="647">
        <v>279.58269678270966</v>
      </c>
      <c r="AB322" s="647">
        <v>109.41365069482983</v>
      </c>
      <c r="AC322" s="647">
        <v>32.337237556024441</v>
      </c>
      <c r="AD322" s="647">
        <v>-108.21090121602258</v>
      </c>
      <c r="AE322" s="647">
        <v>-39.044213230920668</v>
      </c>
      <c r="AF322" s="647">
        <v>0</v>
      </c>
      <c r="AG322" s="647">
        <v>15.111636584499612</v>
      </c>
      <c r="AH322" s="647">
        <v>-513.7236210244123</v>
      </c>
      <c r="AI322" s="647">
        <v>-68.726254812515464</v>
      </c>
      <c r="AJ322" s="647">
        <v>-20.360394688196585</v>
      </c>
      <c r="AK322" s="647">
        <v>709.14376190688279</v>
      </c>
    </row>
    <row r="323" spans="3:37" ht="13">
      <c r="C323" s="636"/>
      <c r="D323" s="636">
        <v>0</v>
      </c>
      <c r="E323" s="636">
        <v>0</v>
      </c>
      <c r="F323" s="636">
        <v>0</v>
      </c>
      <c r="G323" s="636">
        <v>0</v>
      </c>
      <c r="H323" s="636">
        <v>0</v>
      </c>
      <c r="I323" s="636">
        <v>0</v>
      </c>
      <c r="J323" s="636">
        <v>0</v>
      </c>
      <c r="K323" s="636">
        <v>0</v>
      </c>
      <c r="L323" s="636">
        <v>0</v>
      </c>
      <c r="M323" s="636">
        <v>0</v>
      </c>
      <c r="N323" s="636">
        <v>0</v>
      </c>
      <c r="O323" s="636">
        <v>0</v>
      </c>
      <c r="P323" s="636">
        <v>0</v>
      </c>
      <c r="Q323" s="636">
        <v>0</v>
      </c>
      <c r="R323" s="636">
        <v>0</v>
      </c>
      <c r="S323" s="636">
        <v>0</v>
      </c>
      <c r="U323" s="636"/>
      <c r="V323" s="636">
        <v>0</v>
      </c>
      <c r="W323" s="636">
        <v>0</v>
      </c>
      <c r="X323" s="636">
        <v>0</v>
      </c>
      <c r="Y323" s="636">
        <v>0</v>
      </c>
      <c r="Z323" s="636">
        <v>0</v>
      </c>
      <c r="AA323" s="636">
        <v>0</v>
      </c>
      <c r="AB323" s="636">
        <v>0</v>
      </c>
      <c r="AC323" s="636">
        <v>0</v>
      </c>
      <c r="AD323" s="636">
        <v>0</v>
      </c>
      <c r="AE323" s="636">
        <v>0</v>
      </c>
      <c r="AF323" s="636">
        <v>0</v>
      </c>
      <c r="AG323" s="636">
        <v>0</v>
      </c>
      <c r="AH323" s="636">
        <v>0</v>
      </c>
      <c r="AI323" s="636">
        <v>0</v>
      </c>
      <c r="AJ323" s="636">
        <v>0</v>
      </c>
      <c r="AK323" s="636">
        <v>0</v>
      </c>
    </row>
    <row r="324" spans="3:37" ht="13.5">
      <c r="C324" s="648" t="s">
        <v>78</v>
      </c>
      <c r="D324" s="642">
        <v>5.7766123047996905</v>
      </c>
      <c r="E324" s="642">
        <v>0</v>
      </c>
      <c r="F324" s="642">
        <v>22.402619678599791</v>
      </c>
      <c r="G324" s="642">
        <v>99.281124041468402</v>
      </c>
      <c r="H324" s="642">
        <v>0</v>
      </c>
      <c r="I324" s="642">
        <v>0</v>
      </c>
      <c r="J324" s="642">
        <v>20.258622771310847</v>
      </c>
      <c r="K324" s="642">
        <v>1.7675748663376085</v>
      </c>
      <c r="L324" s="642">
        <v>0.898333240234375</v>
      </c>
      <c r="M324" s="642">
        <v>2.0447588657198987</v>
      </c>
      <c r="N324" s="642">
        <v>0</v>
      </c>
      <c r="O324" s="642">
        <v>3.7946622282562846E-4</v>
      </c>
      <c r="P324" s="642">
        <v>110.87393457022205</v>
      </c>
      <c r="Q324" s="642">
        <v>16.091742927144434</v>
      </c>
      <c r="R324" s="642">
        <v>0.31004003906249999</v>
      </c>
      <c r="S324" s="650">
        <v>279.70574277112252</v>
      </c>
      <c r="U324" s="648" t="s">
        <v>78</v>
      </c>
      <c r="V324" s="642">
        <v>1.065232959954733</v>
      </c>
      <c r="W324" s="642">
        <v>0</v>
      </c>
      <c r="X324" s="642">
        <v>10.225742404389669</v>
      </c>
      <c r="Y324" s="642">
        <v>56.981112862578769</v>
      </c>
      <c r="Z324" s="642">
        <v>0</v>
      </c>
      <c r="AA324" s="642">
        <v>0</v>
      </c>
      <c r="AB324" s="642">
        <v>15.894636498884354</v>
      </c>
      <c r="AC324" s="642">
        <v>5.4662409336494147</v>
      </c>
      <c r="AD324" s="642">
        <v>3.5459101562500011</v>
      </c>
      <c r="AE324" s="642">
        <v>18.012649117932849</v>
      </c>
      <c r="AF324" s="642">
        <v>0</v>
      </c>
      <c r="AG324" s="642">
        <v>3.7946622282562846E-4</v>
      </c>
      <c r="AH324" s="642">
        <v>139.02742097426295</v>
      </c>
      <c r="AI324" s="642">
        <v>22.276590949645215</v>
      </c>
      <c r="AJ324" s="642">
        <v>6.4302626953124999</v>
      </c>
      <c r="AK324" s="650">
        <v>278.92617901908329</v>
      </c>
    </row>
    <row r="325" spans="3:37" ht="13.5">
      <c r="C325" s="648" t="s">
        <v>79</v>
      </c>
      <c r="D325" s="642">
        <v>0</v>
      </c>
      <c r="E325" s="642">
        <v>0</v>
      </c>
      <c r="F325" s="642">
        <v>266.09529408288529</v>
      </c>
      <c r="G325" s="642">
        <v>27.519674276690072</v>
      </c>
      <c r="H325" s="642">
        <v>0</v>
      </c>
      <c r="I325" s="642">
        <v>0</v>
      </c>
      <c r="J325" s="642">
        <v>0</v>
      </c>
      <c r="K325" s="642">
        <v>0</v>
      </c>
      <c r="L325" s="642">
        <v>25.787483151262677</v>
      </c>
      <c r="M325" s="642">
        <v>0.56162600564673626</v>
      </c>
      <c r="N325" s="642">
        <v>0</v>
      </c>
      <c r="O325" s="642">
        <v>0</v>
      </c>
      <c r="P325" s="642">
        <v>55.913522242788574</v>
      </c>
      <c r="Q325" s="642">
        <v>0</v>
      </c>
      <c r="R325" s="642">
        <v>1.6351140344190074</v>
      </c>
      <c r="S325" s="650">
        <v>377.5127137936924</v>
      </c>
      <c r="U325" s="648" t="s">
        <v>79</v>
      </c>
      <c r="V325" s="642">
        <v>0</v>
      </c>
      <c r="W325" s="642">
        <v>0</v>
      </c>
      <c r="X325" s="642">
        <v>96.606255591578162</v>
      </c>
      <c r="Y325" s="642">
        <v>18.337650579977414</v>
      </c>
      <c r="Z325" s="642">
        <v>0</v>
      </c>
      <c r="AA325" s="642">
        <v>0</v>
      </c>
      <c r="AB325" s="642">
        <v>0</v>
      </c>
      <c r="AC325" s="642">
        <v>0</v>
      </c>
      <c r="AD325" s="642">
        <v>50.618247990049454</v>
      </c>
      <c r="AE325" s="642">
        <v>5.9499820008855142</v>
      </c>
      <c r="AF325" s="642">
        <v>0</v>
      </c>
      <c r="AG325" s="642">
        <v>0</v>
      </c>
      <c r="AH325" s="642">
        <v>73.690348279738799</v>
      </c>
      <c r="AI325" s="642">
        <v>0</v>
      </c>
      <c r="AJ325" s="642">
        <v>3.6092463767880076</v>
      </c>
      <c r="AK325" s="650">
        <v>248.81173081901736</v>
      </c>
    </row>
    <row r="326" spans="3:37" ht="13.5">
      <c r="C326" s="648" t="s">
        <v>80</v>
      </c>
      <c r="D326" s="642">
        <v>0</v>
      </c>
      <c r="E326" s="642">
        <v>0</v>
      </c>
      <c r="F326" s="642">
        <v>20.365336948925044</v>
      </c>
      <c r="G326" s="642">
        <v>85.23124323075227</v>
      </c>
      <c r="H326" s="642">
        <v>0</v>
      </c>
      <c r="I326" s="642">
        <v>0</v>
      </c>
      <c r="J326" s="642">
        <v>86.726820353783026</v>
      </c>
      <c r="K326" s="642">
        <v>0</v>
      </c>
      <c r="L326" s="642">
        <v>0</v>
      </c>
      <c r="M326" s="642">
        <v>1.7394131271582098</v>
      </c>
      <c r="N326" s="642">
        <v>52.217429119397167</v>
      </c>
      <c r="O326" s="642">
        <v>2.0042749347218733</v>
      </c>
      <c r="P326" s="642">
        <v>185.58174281281848</v>
      </c>
      <c r="Q326" s="642">
        <v>15.554343379011728</v>
      </c>
      <c r="R326" s="642">
        <v>0</v>
      </c>
      <c r="S326" s="650">
        <v>449.42060390656781</v>
      </c>
      <c r="U326" s="648" t="s">
        <v>80</v>
      </c>
      <c r="V326" s="642">
        <v>0</v>
      </c>
      <c r="W326" s="642">
        <v>0</v>
      </c>
      <c r="X326" s="642">
        <v>1.2585168598114169</v>
      </c>
      <c r="Y326" s="642">
        <v>24.208168890995722</v>
      </c>
      <c r="Z326" s="642">
        <v>0</v>
      </c>
      <c r="AA326" s="642">
        <v>0</v>
      </c>
      <c r="AB326" s="642">
        <v>64.793825414524548</v>
      </c>
      <c r="AC326" s="642">
        <v>0</v>
      </c>
      <c r="AD326" s="642">
        <v>0</v>
      </c>
      <c r="AE326" s="642">
        <v>7.6446849129460164</v>
      </c>
      <c r="AF326" s="642">
        <v>71.984931036617454</v>
      </c>
      <c r="AG326" s="642">
        <v>3.153558114778761</v>
      </c>
      <c r="AH326" s="642">
        <v>153.74527198137548</v>
      </c>
      <c r="AI326" s="642">
        <v>35.336807466581455</v>
      </c>
      <c r="AJ326" s="642">
        <v>0</v>
      </c>
      <c r="AK326" s="650">
        <v>362.12576467763085</v>
      </c>
    </row>
    <row r="327" spans="3:37" ht="13.5">
      <c r="C327" s="648" t="s">
        <v>81</v>
      </c>
      <c r="D327" s="642">
        <v>0</v>
      </c>
      <c r="E327" s="642">
        <v>0</v>
      </c>
      <c r="F327" s="642">
        <v>7.1130915409553364</v>
      </c>
      <c r="G327" s="642">
        <v>63.054682395398032</v>
      </c>
      <c r="H327" s="642">
        <v>0</v>
      </c>
      <c r="I327" s="642">
        <v>0</v>
      </c>
      <c r="J327" s="642">
        <v>3.2976998041276677</v>
      </c>
      <c r="K327" s="642">
        <v>2.5104122720965388E-2</v>
      </c>
      <c r="L327" s="642">
        <v>0</v>
      </c>
      <c r="M327" s="642">
        <v>1.2868302529673068</v>
      </c>
      <c r="N327" s="642">
        <v>8.6154760361565579</v>
      </c>
      <c r="O327" s="642">
        <v>0.75786341807650337</v>
      </c>
      <c r="P327" s="642">
        <v>137.18962935697431</v>
      </c>
      <c r="Q327" s="642">
        <v>3.6903307099586842</v>
      </c>
      <c r="R327" s="642">
        <v>0</v>
      </c>
      <c r="S327" s="650">
        <v>225.03070763733538</v>
      </c>
      <c r="U327" s="648" t="s">
        <v>81</v>
      </c>
      <c r="V327" s="642">
        <v>0</v>
      </c>
      <c r="W327" s="642">
        <v>0</v>
      </c>
      <c r="X327" s="642">
        <v>2.1697022188790429</v>
      </c>
      <c r="Y327" s="642">
        <v>20.911765460712612</v>
      </c>
      <c r="Z327" s="642">
        <v>0</v>
      </c>
      <c r="AA327" s="642">
        <v>0</v>
      </c>
      <c r="AB327" s="642">
        <v>7.3285872023111214</v>
      </c>
      <c r="AC327" s="642">
        <v>2.5104122720965388E-2</v>
      </c>
      <c r="AD327" s="642">
        <v>0</v>
      </c>
      <c r="AE327" s="642">
        <v>6.6037154086460879</v>
      </c>
      <c r="AF327" s="642">
        <v>14.491680733710758</v>
      </c>
      <c r="AG327" s="642">
        <v>1.6347019702159422</v>
      </c>
      <c r="AH327" s="642">
        <v>117.90366143236871</v>
      </c>
      <c r="AI327" s="642">
        <v>11.11285639628878</v>
      </c>
      <c r="AJ327" s="642">
        <v>0</v>
      </c>
      <c r="AK327" s="650">
        <v>182.18177494585402</v>
      </c>
    </row>
    <row r="328" spans="3:37" ht="13.5">
      <c r="C328" s="648" t="s">
        <v>82</v>
      </c>
      <c r="D328" s="642">
        <v>0</v>
      </c>
      <c r="E328" s="642">
        <v>0</v>
      </c>
      <c r="F328" s="642">
        <v>30.218764596795413</v>
      </c>
      <c r="G328" s="642">
        <v>1.4924386728389218</v>
      </c>
      <c r="H328" s="642">
        <v>0</v>
      </c>
      <c r="I328" s="642">
        <v>0</v>
      </c>
      <c r="J328" s="642">
        <v>3.2225859194218685</v>
      </c>
      <c r="K328" s="642">
        <v>0</v>
      </c>
      <c r="L328" s="642">
        <v>2.9019247412329854</v>
      </c>
      <c r="M328" s="642">
        <v>3.0457932098753505E-2</v>
      </c>
      <c r="N328" s="642">
        <v>0</v>
      </c>
      <c r="O328" s="642">
        <v>7.4767074498679406E-2</v>
      </c>
      <c r="P328" s="642">
        <v>6.6555854929198803</v>
      </c>
      <c r="Q328" s="642">
        <v>0</v>
      </c>
      <c r="R328" s="642">
        <v>0</v>
      </c>
      <c r="S328" s="650">
        <v>44.596524429806507</v>
      </c>
      <c r="U328" s="648" t="s">
        <v>82</v>
      </c>
      <c r="V328" s="642">
        <v>0</v>
      </c>
      <c r="W328" s="642">
        <v>0</v>
      </c>
      <c r="X328" s="642">
        <v>13.476198254352189</v>
      </c>
      <c r="Y328" s="642">
        <v>1.4718796614135594</v>
      </c>
      <c r="Z328" s="642">
        <v>0</v>
      </c>
      <c r="AA328" s="642">
        <v>0</v>
      </c>
      <c r="AB328" s="642">
        <v>3.2225859194218685</v>
      </c>
      <c r="AC328" s="642">
        <v>0</v>
      </c>
      <c r="AD328" s="642">
        <v>23.463730160224294</v>
      </c>
      <c r="AE328" s="642">
        <v>0.46480410360428193</v>
      </c>
      <c r="AF328" s="642">
        <v>0</v>
      </c>
      <c r="AG328" s="642">
        <v>1.1655332190637568</v>
      </c>
      <c r="AH328" s="642">
        <v>6.7433697745475678</v>
      </c>
      <c r="AI328" s="642">
        <v>0</v>
      </c>
      <c r="AJ328" s="642">
        <v>0.29485655237537339</v>
      </c>
      <c r="AK328" s="650">
        <v>50.302957645002891</v>
      </c>
    </row>
    <row r="329" spans="3:37" ht="13.5">
      <c r="C329" s="648" t="s">
        <v>357</v>
      </c>
      <c r="D329" s="642">
        <v>0</v>
      </c>
      <c r="E329" s="642">
        <v>0</v>
      </c>
      <c r="F329" s="642">
        <v>0</v>
      </c>
      <c r="G329" s="642">
        <v>0</v>
      </c>
      <c r="H329" s="642">
        <v>0</v>
      </c>
      <c r="I329" s="642">
        <v>0</v>
      </c>
      <c r="J329" s="642">
        <v>0</v>
      </c>
      <c r="K329" s="642">
        <v>0</v>
      </c>
      <c r="L329" s="642">
        <v>0</v>
      </c>
      <c r="M329" s="642">
        <v>0</v>
      </c>
      <c r="N329" s="642">
        <v>0</v>
      </c>
      <c r="O329" s="642">
        <v>0</v>
      </c>
      <c r="P329" s="642">
        <v>0.27899999999999997</v>
      </c>
      <c r="Q329" s="642">
        <v>0</v>
      </c>
      <c r="R329" s="642">
        <v>0</v>
      </c>
      <c r="S329" s="650">
        <v>0.27899999999999997</v>
      </c>
      <c r="U329" s="648" t="s">
        <v>357</v>
      </c>
      <c r="V329" s="642">
        <v>0</v>
      </c>
      <c r="W329" s="642">
        <v>0</v>
      </c>
      <c r="X329" s="642">
        <v>0</v>
      </c>
      <c r="Y329" s="642">
        <v>0</v>
      </c>
      <c r="Z329" s="642">
        <v>0</v>
      </c>
      <c r="AA329" s="642">
        <v>0</v>
      </c>
      <c r="AB329" s="642">
        <v>0</v>
      </c>
      <c r="AC329" s="642">
        <v>0</v>
      </c>
      <c r="AD329" s="642">
        <v>0</v>
      </c>
      <c r="AE329" s="642">
        <v>0</v>
      </c>
      <c r="AF329" s="642">
        <v>0</v>
      </c>
      <c r="AG329" s="642">
        <v>0</v>
      </c>
      <c r="AH329" s="642">
        <v>1.92</v>
      </c>
      <c r="AI329" s="642">
        <v>0</v>
      </c>
      <c r="AJ329" s="642">
        <v>0</v>
      </c>
      <c r="AK329" s="650">
        <v>1.92</v>
      </c>
    </row>
    <row r="330" spans="3:37" ht="13.5">
      <c r="C330" s="646" t="s">
        <v>83</v>
      </c>
      <c r="D330" s="647">
        <v>5.7766123047996905</v>
      </c>
      <c r="E330" s="647">
        <v>0</v>
      </c>
      <c r="F330" s="647">
        <v>346.19510684816078</v>
      </c>
      <c r="G330" s="647">
        <v>276.57916261714774</v>
      </c>
      <c r="H330" s="647">
        <v>0</v>
      </c>
      <c r="I330" s="647">
        <v>0</v>
      </c>
      <c r="J330" s="647">
        <v>113.50572884864343</v>
      </c>
      <c r="K330" s="647">
        <v>1.7926789890585739</v>
      </c>
      <c r="L330" s="647">
        <v>29.587741132730038</v>
      </c>
      <c r="M330" s="647">
        <v>5.6630861835909059</v>
      </c>
      <c r="N330" s="647">
        <v>60.832905155553725</v>
      </c>
      <c r="O330" s="647">
        <v>2.8372848935198816</v>
      </c>
      <c r="P330" s="647">
        <v>496.49341447572323</v>
      </c>
      <c r="Q330" s="647">
        <v>35.336417016114851</v>
      </c>
      <c r="R330" s="647">
        <v>1.9451540734815074</v>
      </c>
      <c r="S330" s="647">
        <v>1376.5452925385248</v>
      </c>
      <c r="U330" s="646" t="s">
        <v>83</v>
      </c>
      <c r="V330" s="647">
        <v>1.065232959954733</v>
      </c>
      <c r="W330" s="647">
        <v>0</v>
      </c>
      <c r="X330" s="647">
        <v>123.73641532901047</v>
      </c>
      <c r="Y330" s="647">
        <v>121.91057745567808</v>
      </c>
      <c r="Z330" s="647">
        <v>0</v>
      </c>
      <c r="AA330" s="647">
        <v>0</v>
      </c>
      <c r="AB330" s="647">
        <v>91.239635035141916</v>
      </c>
      <c r="AC330" s="647">
        <v>5.4913450563703794</v>
      </c>
      <c r="AD330" s="647">
        <v>77.627888306523744</v>
      </c>
      <c r="AE330" s="647">
        <v>38.675835544014738</v>
      </c>
      <c r="AF330" s="647">
        <v>86.476611770328219</v>
      </c>
      <c r="AG330" s="647">
        <v>5.9541727702812857</v>
      </c>
      <c r="AH330" s="647">
        <v>493.03007244229349</v>
      </c>
      <c r="AI330" s="647">
        <v>68.72625481251545</v>
      </c>
      <c r="AJ330" s="647">
        <v>10.334365624475881</v>
      </c>
      <c r="AK330" s="647">
        <v>1124.2684071065887</v>
      </c>
    </row>
    <row r="331" spans="3:37" ht="13.5">
      <c r="C331" s="641" t="s">
        <v>84</v>
      </c>
      <c r="D331" s="642">
        <v>0</v>
      </c>
      <c r="E331" s="642">
        <v>0</v>
      </c>
      <c r="F331" s="642">
        <v>111.73719287700069</v>
      </c>
      <c r="G331" s="642">
        <v>11.878700409877391</v>
      </c>
      <c r="H331" s="642">
        <v>0</v>
      </c>
      <c r="I331" s="642">
        <v>0</v>
      </c>
      <c r="J331" s="642">
        <v>0</v>
      </c>
      <c r="K331" s="642">
        <v>0</v>
      </c>
      <c r="L331" s="642">
        <v>0</v>
      </c>
      <c r="M331" s="642">
        <v>0</v>
      </c>
      <c r="N331" s="642">
        <v>0</v>
      </c>
      <c r="O331" s="642">
        <v>0</v>
      </c>
      <c r="P331" s="642">
        <v>0</v>
      </c>
      <c r="Q331" s="642">
        <v>0</v>
      </c>
      <c r="R331" s="642">
        <v>1.43076906409107</v>
      </c>
      <c r="S331" s="650">
        <v>125.04666235096916</v>
      </c>
      <c r="U331" s="641" t="s">
        <v>84</v>
      </c>
      <c r="V331" s="642">
        <v>0</v>
      </c>
      <c r="W331" s="642">
        <v>0</v>
      </c>
      <c r="X331" s="642">
        <v>90.362960784166091</v>
      </c>
      <c r="Y331" s="642">
        <v>1.2615947910933976</v>
      </c>
      <c r="Z331" s="642">
        <v>0</v>
      </c>
      <c r="AA331" s="642">
        <v>0</v>
      </c>
      <c r="AB331" s="642">
        <v>0</v>
      </c>
      <c r="AC331" s="642">
        <v>0</v>
      </c>
      <c r="AD331" s="642">
        <v>14.679117373046875</v>
      </c>
      <c r="AE331" s="642">
        <v>0</v>
      </c>
      <c r="AF331" s="642">
        <v>0</v>
      </c>
      <c r="AG331" s="642">
        <v>0</v>
      </c>
      <c r="AH331" s="642">
        <v>0</v>
      </c>
      <c r="AI331" s="642">
        <v>0</v>
      </c>
      <c r="AJ331" s="642">
        <v>10.026029063720703</v>
      </c>
      <c r="AK331" s="650">
        <v>116.32970201202707</v>
      </c>
    </row>
    <row r="332" spans="3:37" ht="13.5">
      <c r="C332" s="646" t="s">
        <v>85</v>
      </c>
      <c r="D332" s="647">
        <v>5.7766123047996905</v>
      </c>
      <c r="E332" s="647">
        <v>0</v>
      </c>
      <c r="F332" s="647">
        <v>457.9322997251615</v>
      </c>
      <c r="G332" s="647">
        <v>288.45786302702516</v>
      </c>
      <c r="H332" s="647">
        <v>0</v>
      </c>
      <c r="I332" s="647">
        <v>0</v>
      </c>
      <c r="J332" s="647">
        <v>113.50572884864343</v>
      </c>
      <c r="K332" s="647">
        <v>1.7926789890585739</v>
      </c>
      <c r="L332" s="647">
        <v>29.587741132730038</v>
      </c>
      <c r="M332" s="647">
        <v>5.6630861835909059</v>
      </c>
      <c r="N332" s="647">
        <v>60.832905155553725</v>
      </c>
      <c r="O332" s="647">
        <v>2.8372848935198816</v>
      </c>
      <c r="P332" s="647">
        <v>496.49341447572323</v>
      </c>
      <c r="Q332" s="647">
        <v>35.336417016114851</v>
      </c>
      <c r="R332" s="647">
        <v>3.3759231375725776</v>
      </c>
      <c r="S332" s="647">
        <v>1501.5919548894938</v>
      </c>
      <c r="U332" s="646" t="s">
        <v>85</v>
      </c>
      <c r="V332" s="647">
        <v>1.065232959954733</v>
      </c>
      <c r="W332" s="647">
        <v>0</v>
      </c>
      <c r="X332" s="647">
        <v>214.09937611317656</v>
      </c>
      <c r="Y332" s="647">
        <v>123.17217224677148</v>
      </c>
      <c r="Z332" s="647">
        <v>0</v>
      </c>
      <c r="AA332" s="647">
        <v>0</v>
      </c>
      <c r="AB332" s="647">
        <v>91.239635035141916</v>
      </c>
      <c r="AC332" s="647">
        <v>5.4913450563703794</v>
      </c>
      <c r="AD332" s="647">
        <v>92.307005679570622</v>
      </c>
      <c r="AE332" s="647">
        <v>38.675835544014738</v>
      </c>
      <c r="AF332" s="647">
        <v>86.476611770328219</v>
      </c>
      <c r="AG332" s="647">
        <v>5.9541727702812857</v>
      </c>
      <c r="AH332" s="647">
        <v>493.03007244229349</v>
      </c>
      <c r="AI332" s="647">
        <v>68.72625481251545</v>
      </c>
      <c r="AJ332" s="647">
        <v>20.360394688196585</v>
      </c>
      <c r="AK332" s="647">
        <v>1240.5981091186156</v>
      </c>
    </row>
    <row r="333" spans="3:37" ht="13">
      <c r="C333" s="636"/>
      <c r="D333" s="636"/>
      <c r="E333" s="636"/>
      <c r="F333" s="636"/>
      <c r="G333" s="636"/>
      <c r="H333" s="636"/>
      <c r="I333" s="636"/>
      <c r="J333" s="636"/>
      <c r="K333" s="636"/>
      <c r="L333" s="636"/>
      <c r="M333" s="636"/>
      <c r="N333" s="636"/>
      <c r="O333" s="636"/>
      <c r="P333" s="636"/>
      <c r="Q333" s="636"/>
      <c r="R333" s="636"/>
      <c r="S333" s="636"/>
      <c r="U333" s="636"/>
      <c r="V333" s="636"/>
      <c r="W333" s="636"/>
      <c r="X333" s="636"/>
      <c r="Y333" s="636"/>
      <c r="Z333" s="636"/>
      <c r="AA333" s="636"/>
      <c r="AB333" s="636"/>
      <c r="AC333" s="636"/>
      <c r="AD333" s="636"/>
      <c r="AE333" s="636"/>
      <c r="AF333" s="636"/>
      <c r="AG333" s="636"/>
      <c r="AH333" s="636"/>
      <c r="AI333" s="636"/>
      <c r="AJ333" s="636"/>
      <c r="AK333" s="636"/>
    </row>
    <row r="334" spans="3:37" ht="22.5">
      <c r="C334" s="699" t="s">
        <v>363</v>
      </c>
      <c r="D334" s="699"/>
      <c r="E334" s="699"/>
      <c r="F334" s="699"/>
      <c r="G334" s="699"/>
      <c r="H334" s="699"/>
      <c r="I334" s="699"/>
      <c r="J334" s="699"/>
      <c r="K334" s="699"/>
      <c r="L334" s="699"/>
      <c r="M334" s="699"/>
      <c r="N334" s="699"/>
      <c r="O334" s="699"/>
      <c r="P334" s="699"/>
      <c r="Q334" s="699"/>
      <c r="R334" s="699"/>
      <c r="S334" s="699"/>
      <c r="U334" s="699" t="s">
        <v>363</v>
      </c>
      <c r="V334" s="699"/>
      <c r="W334" s="699"/>
      <c r="X334" s="699"/>
      <c r="Y334" s="699"/>
      <c r="Z334" s="699"/>
      <c r="AA334" s="699"/>
      <c r="AB334" s="699"/>
      <c r="AC334" s="699"/>
      <c r="AD334" s="699"/>
      <c r="AE334" s="699"/>
      <c r="AF334" s="699"/>
      <c r="AG334" s="699"/>
      <c r="AH334" s="699"/>
      <c r="AI334" s="699"/>
      <c r="AJ334" s="699"/>
      <c r="AK334" s="699"/>
    </row>
    <row r="335" spans="3:37" ht="13">
      <c r="C335" s="636"/>
      <c r="D335" s="636"/>
      <c r="E335" s="636"/>
      <c r="F335" s="636"/>
      <c r="G335" s="636"/>
      <c r="H335" s="636"/>
      <c r="I335" s="636"/>
      <c r="J335" s="636"/>
      <c r="K335" s="636"/>
      <c r="L335" s="636"/>
      <c r="M335" s="636"/>
      <c r="N335" s="636"/>
      <c r="O335" s="636"/>
      <c r="P335" s="636"/>
      <c r="Q335" s="636"/>
      <c r="R335" s="636"/>
      <c r="S335" s="636"/>
      <c r="U335" s="636"/>
      <c r="V335" s="636"/>
      <c r="W335" s="636"/>
      <c r="X335" s="636"/>
      <c r="Y335" s="636"/>
      <c r="Z335" s="636"/>
      <c r="AA335" s="636"/>
      <c r="AB335" s="636"/>
      <c r="AC335" s="636"/>
      <c r="AD335" s="636"/>
      <c r="AE335" s="636"/>
      <c r="AF335" s="636"/>
      <c r="AG335" s="636"/>
      <c r="AH335" s="636"/>
      <c r="AI335" s="636"/>
      <c r="AJ335" s="636"/>
      <c r="AK335" s="636"/>
    </row>
    <row r="336" spans="3:37" ht="13" customHeight="1">
      <c r="C336" s="700" t="s">
        <v>128</v>
      </c>
      <c r="D336" s="701" t="s">
        <v>42</v>
      </c>
      <c r="E336" s="701" t="s">
        <v>52</v>
      </c>
      <c r="F336" s="701" t="s">
        <v>53</v>
      </c>
      <c r="G336" s="701" t="s">
        <v>32</v>
      </c>
      <c r="H336" s="701" t="s">
        <v>20</v>
      </c>
      <c r="I336" s="701" t="s">
        <v>55</v>
      </c>
      <c r="J336" s="701" t="s">
        <v>56</v>
      </c>
      <c r="K336" s="701"/>
      <c r="L336" s="701"/>
      <c r="M336" s="701"/>
      <c r="N336" s="701"/>
      <c r="O336" s="701"/>
      <c r="P336" s="701" t="s">
        <v>57</v>
      </c>
      <c r="Q336" s="701" t="s">
        <v>58</v>
      </c>
      <c r="R336" s="701" t="s">
        <v>31</v>
      </c>
      <c r="S336" s="701" t="s">
        <v>10</v>
      </c>
      <c r="U336" s="700" t="s">
        <v>128</v>
      </c>
      <c r="V336" s="701" t="s">
        <v>42</v>
      </c>
      <c r="W336" s="701" t="s">
        <v>52</v>
      </c>
      <c r="X336" s="701" t="s">
        <v>53</v>
      </c>
      <c r="Y336" s="701" t="s">
        <v>32</v>
      </c>
      <c r="Z336" s="701" t="s">
        <v>20</v>
      </c>
      <c r="AA336" s="701" t="s">
        <v>55</v>
      </c>
      <c r="AB336" s="701" t="s">
        <v>56</v>
      </c>
      <c r="AC336" s="701"/>
      <c r="AD336" s="701"/>
      <c r="AE336" s="701"/>
      <c r="AF336" s="701"/>
      <c r="AG336" s="701"/>
      <c r="AH336" s="701" t="s">
        <v>57</v>
      </c>
      <c r="AI336" s="701" t="s">
        <v>58</v>
      </c>
      <c r="AJ336" s="701" t="s">
        <v>31</v>
      </c>
      <c r="AK336" s="701" t="s">
        <v>10</v>
      </c>
    </row>
    <row r="337" spans="3:37" ht="46">
      <c r="C337" s="700"/>
      <c r="D337" s="701"/>
      <c r="E337" s="701"/>
      <c r="F337" s="701"/>
      <c r="G337" s="701"/>
      <c r="H337" s="701"/>
      <c r="I337" s="701"/>
      <c r="J337" s="640" t="s">
        <v>338</v>
      </c>
      <c r="K337" s="640" t="s">
        <v>40</v>
      </c>
      <c r="L337" s="640" t="s">
        <v>346</v>
      </c>
      <c r="M337" s="640" t="s">
        <v>347</v>
      </c>
      <c r="N337" s="640" t="s">
        <v>348</v>
      </c>
      <c r="O337" s="640" t="s">
        <v>349</v>
      </c>
      <c r="P337" s="701"/>
      <c r="Q337" s="701"/>
      <c r="R337" s="701"/>
      <c r="S337" s="701"/>
      <c r="U337" s="700"/>
      <c r="V337" s="701"/>
      <c r="W337" s="701"/>
      <c r="X337" s="701"/>
      <c r="Y337" s="701"/>
      <c r="Z337" s="701"/>
      <c r="AA337" s="701"/>
      <c r="AB337" s="640" t="s">
        <v>338</v>
      </c>
      <c r="AC337" s="640" t="s">
        <v>40</v>
      </c>
      <c r="AD337" s="640" t="s">
        <v>346</v>
      </c>
      <c r="AE337" s="640" t="s">
        <v>347</v>
      </c>
      <c r="AF337" s="640" t="s">
        <v>348</v>
      </c>
      <c r="AG337" s="640" t="s">
        <v>349</v>
      </c>
      <c r="AH337" s="701"/>
      <c r="AI337" s="701"/>
      <c r="AJ337" s="701"/>
      <c r="AK337" s="701"/>
    </row>
    <row r="338" spans="3:37" ht="13.5">
      <c r="C338" s="641" t="s">
        <v>59</v>
      </c>
      <c r="D338" s="642">
        <v>0</v>
      </c>
      <c r="E338" s="643">
        <v>0</v>
      </c>
      <c r="F338" s="643">
        <v>0</v>
      </c>
      <c r="G338" s="642">
        <v>0</v>
      </c>
      <c r="H338" s="643">
        <v>959.09090909090924</v>
      </c>
      <c r="I338" s="643">
        <v>265.54666314840352</v>
      </c>
      <c r="J338" s="643">
        <v>188.6372712469306</v>
      </c>
      <c r="K338" s="643">
        <v>20.835963621356942</v>
      </c>
      <c r="L338" s="643">
        <v>0.48646764865129044</v>
      </c>
      <c r="M338" s="643">
        <v>0.15840693111613638</v>
      </c>
      <c r="N338" s="643">
        <v>62.897832024028709</v>
      </c>
      <c r="O338" s="643">
        <v>11.865462020109925</v>
      </c>
      <c r="P338" s="644">
        <v>0</v>
      </c>
      <c r="Q338" s="643">
        <v>0</v>
      </c>
      <c r="R338" s="643">
        <v>0</v>
      </c>
      <c r="S338" s="645">
        <v>1509.5189757315065</v>
      </c>
      <c r="U338" s="641" t="s">
        <v>59</v>
      </c>
      <c r="V338" s="642">
        <v>0</v>
      </c>
      <c r="W338" s="643">
        <v>0</v>
      </c>
      <c r="X338" s="643">
        <v>0</v>
      </c>
      <c r="Y338" s="642">
        <v>0</v>
      </c>
      <c r="Z338" s="643">
        <v>919.39393939393949</v>
      </c>
      <c r="AA338" s="643">
        <v>300.16666314840353</v>
      </c>
      <c r="AB338" s="643">
        <v>196.07210414009427</v>
      </c>
      <c r="AC338" s="643">
        <v>37.690284018354092</v>
      </c>
      <c r="AD338" s="643">
        <v>0.48646764865129044</v>
      </c>
      <c r="AE338" s="643">
        <v>0.15840693111613638</v>
      </c>
      <c r="AF338" s="643">
        <v>92.901000398225491</v>
      </c>
      <c r="AG338" s="643">
        <v>23.979405132943342</v>
      </c>
      <c r="AH338" s="644">
        <v>0</v>
      </c>
      <c r="AI338" s="643">
        <v>0</v>
      </c>
      <c r="AJ338" s="643">
        <v>0</v>
      </c>
      <c r="AK338" s="645">
        <v>1570.8482708117278</v>
      </c>
    </row>
    <row r="339" spans="3:37" ht="13.5">
      <c r="C339" s="641" t="s">
        <v>60</v>
      </c>
      <c r="D339" s="642">
        <v>48.037640466799544</v>
      </c>
      <c r="E339" s="643">
        <v>504.19228646673599</v>
      </c>
      <c r="F339" s="643">
        <v>68.527294255032075</v>
      </c>
      <c r="G339" s="642">
        <v>332.96357284387591</v>
      </c>
      <c r="H339" s="643">
        <v>0</v>
      </c>
      <c r="I339" s="643">
        <v>0</v>
      </c>
      <c r="J339" s="643">
        <v>4.4041420336435353</v>
      </c>
      <c r="K339" s="643">
        <v>0</v>
      </c>
      <c r="L339" s="643">
        <v>2.4215969020745125</v>
      </c>
      <c r="M339" s="643">
        <v>0</v>
      </c>
      <c r="N339" s="643">
        <v>0</v>
      </c>
      <c r="O339" s="643">
        <v>0</v>
      </c>
      <c r="P339" s="644">
        <v>0</v>
      </c>
      <c r="Q339" s="643">
        <v>0</v>
      </c>
      <c r="R339" s="643">
        <v>0</v>
      </c>
      <c r="S339" s="645">
        <v>960.54653296816161</v>
      </c>
      <c r="U339" s="641" t="s">
        <v>60</v>
      </c>
      <c r="V339" s="642">
        <v>7.5315222042138927</v>
      </c>
      <c r="W339" s="643">
        <v>266.28302835422375</v>
      </c>
      <c r="X339" s="643">
        <v>14.660534841020075</v>
      </c>
      <c r="Y339" s="642">
        <v>136.19700966140181</v>
      </c>
      <c r="Z339" s="643">
        <v>0</v>
      </c>
      <c r="AA339" s="643">
        <v>0</v>
      </c>
      <c r="AB339" s="643">
        <v>4.4041420336435353</v>
      </c>
      <c r="AC339" s="643">
        <v>0</v>
      </c>
      <c r="AD339" s="643">
        <v>2.4215969020745125</v>
      </c>
      <c r="AE339" s="643">
        <v>0</v>
      </c>
      <c r="AF339" s="643">
        <v>0</v>
      </c>
      <c r="AG339" s="643">
        <v>0</v>
      </c>
      <c r="AH339" s="644">
        <v>0</v>
      </c>
      <c r="AI339" s="643">
        <v>0</v>
      </c>
      <c r="AJ339" s="643">
        <v>0</v>
      </c>
      <c r="AK339" s="645">
        <v>431.49783399657758</v>
      </c>
    </row>
    <row r="340" spans="3:37" ht="13.5">
      <c r="C340" s="641" t="s">
        <v>61</v>
      </c>
      <c r="D340" s="642">
        <v>0</v>
      </c>
      <c r="E340" s="643">
        <v>0</v>
      </c>
      <c r="F340" s="643">
        <v>0</v>
      </c>
      <c r="G340" s="642">
        <v>0</v>
      </c>
      <c r="H340" s="643">
        <v>0</v>
      </c>
      <c r="I340" s="643">
        <v>0</v>
      </c>
      <c r="J340" s="643">
        <v>0</v>
      </c>
      <c r="K340" s="643">
        <v>0</v>
      </c>
      <c r="L340" s="643">
        <v>0</v>
      </c>
      <c r="M340" s="643">
        <v>0</v>
      </c>
      <c r="N340" s="643">
        <v>0</v>
      </c>
      <c r="O340" s="643">
        <v>0</v>
      </c>
      <c r="P340" s="644">
        <v>-31.055970799843635</v>
      </c>
      <c r="Q340" s="643">
        <v>0</v>
      </c>
      <c r="R340" s="643">
        <v>0</v>
      </c>
      <c r="S340" s="645">
        <v>-31.055970799843635</v>
      </c>
      <c r="U340" s="641" t="s">
        <v>61</v>
      </c>
      <c r="V340" s="642">
        <v>0</v>
      </c>
      <c r="W340" s="643">
        <v>0</v>
      </c>
      <c r="X340" s="643">
        <v>-20.238165107819981</v>
      </c>
      <c r="Y340" s="642">
        <v>0</v>
      </c>
      <c r="Z340" s="643">
        <v>0</v>
      </c>
      <c r="AA340" s="643">
        <v>0</v>
      </c>
      <c r="AB340" s="643">
        <v>0</v>
      </c>
      <c r="AC340" s="643">
        <v>0</v>
      </c>
      <c r="AD340" s="643">
        <v>0</v>
      </c>
      <c r="AE340" s="643">
        <v>0</v>
      </c>
      <c r="AF340" s="643">
        <v>0</v>
      </c>
      <c r="AG340" s="643">
        <v>0</v>
      </c>
      <c r="AH340" s="644">
        <v>-12.632253344037395</v>
      </c>
      <c r="AI340" s="643">
        <v>0</v>
      </c>
      <c r="AJ340" s="643">
        <v>0</v>
      </c>
      <c r="AK340" s="645">
        <v>-32.870418451857375</v>
      </c>
    </row>
    <row r="341" spans="3:37" ht="13.5">
      <c r="C341" s="641" t="s">
        <v>62</v>
      </c>
      <c r="D341" s="642">
        <v>0</v>
      </c>
      <c r="E341" s="643">
        <v>0</v>
      </c>
      <c r="F341" s="643">
        <v>-15.855905256620872</v>
      </c>
      <c r="G341" s="642">
        <v>0</v>
      </c>
      <c r="H341" s="643">
        <v>0</v>
      </c>
      <c r="I341" s="643">
        <v>0</v>
      </c>
      <c r="J341" s="643">
        <v>0</v>
      </c>
      <c r="K341" s="643">
        <v>0</v>
      </c>
      <c r="L341" s="643">
        <v>0</v>
      </c>
      <c r="M341" s="643">
        <v>0</v>
      </c>
      <c r="N341" s="643">
        <v>0</v>
      </c>
      <c r="O341" s="643">
        <v>0</v>
      </c>
      <c r="P341" s="644">
        <v>0</v>
      </c>
      <c r="Q341" s="643">
        <v>0</v>
      </c>
      <c r="R341" s="643">
        <v>0</v>
      </c>
      <c r="S341" s="645">
        <v>-15.855905256620872</v>
      </c>
      <c r="U341" s="641" t="s">
        <v>62</v>
      </c>
      <c r="V341" s="642">
        <v>0</v>
      </c>
      <c r="W341" s="643">
        <v>0</v>
      </c>
      <c r="X341" s="643">
        <v>-10.068616817390659</v>
      </c>
      <c r="Y341" s="642">
        <v>-2.2904268439326967</v>
      </c>
      <c r="Z341" s="643">
        <v>0</v>
      </c>
      <c r="AA341" s="643">
        <v>0</v>
      </c>
      <c r="AB341" s="643">
        <v>0</v>
      </c>
      <c r="AC341" s="643">
        <v>0</v>
      </c>
      <c r="AD341" s="643">
        <v>0</v>
      </c>
      <c r="AE341" s="643">
        <v>-0.98161150454258428</v>
      </c>
      <c r="AF341" s="643">
        <v>0</v>
      </c>
      <c r="AG341" s="643">
        <v>0</v>
      </c>
      <c r="AH341" s="644">
        <v>0</v>
      </c>
      <c r="AI341" s="643">
        <v>0</v>
      </c>
      <c r="AJ341" s="643">
        <v>0</v>
      </c>
      <c r="AK341" s="645">
        <v>-13.34065516586594</v>
      </c>
    </row>
    <row r="342" spans="3:37" ht="13.5">
      <c r="C342" s="641" t="s">
        <v>63</v>
      </c>
      <c r="D342" s="642">
        <v>0</v>
      </c>
      <c r="E342" s="643">
        <v>0</v>
      </c>
      <c r="F342" s="643">
        <v>-87.092524368241456</v>
      </c>
      <c r="G342" s="642">
        <v>0</v>
      </c>
      <c r="H342" s="643">
        <v>0</v>
      </c>
      <c r="I342" s="643">
        <v>0</v>
      </c>
      <c r="J342" s="643">
        <v>0</v>
      </c>
      <c r="K342" s="643">
        <v>0</v>
      </c>
      <c r="L342" s="643">
        <v>-0.90133117758770376</v>
      </c>
      <c r="M342" s="643">
        <v>0</v>
      </c>
      <c r="N342" s="643">
        <v>0</v>
      </c>
      <c r="O342" s="643">
        <v>0</v>
      </c>
      <c r="P342" s="644">
        <v>0</v>
      </c>
      <c r="Q342" s="643">
        <v>0</v>
      </c>
      <c r="R342" s="643">
        <v>0</v>
      </c>
      <c r="S342" s="645">
        <v>-87.993855545829163</v>
      </c>
      <c r="U342" s="641" t="s">
        <v>63</v>
      </c>
      <c r="V342" s="642">
        <v>0</v>
      </c>
      <c r="W342" s="643">
        <v>0</v>
      </c>
      <c r="X342" s="643">
        <v>-58.231828596071985</v>
      </c>
      <c r="Y342" s="642">
        <v>0</v>
      </c>
      <c r="Z342" s="643">
        <v>0</v>
      </c>
      <c r="AA342" s="643">
        <v>0</v>
      </c>
      <c r="AB342" s="643">
        <v>0</v>
      </c>
      <c r="AC342" s="643">
        <v>0</v>
      </c>
      <c r="AD342" s="643">
        <v>-23.991898740742837</v>
      </c>
      <c r="AE342" s="643">
        <v>0</v>
      </c>
      <c r="AF342" s="643">
        <v>0</v>
      </c>
      <c r="AG342" s="643">
        <v>0</v>
      </c>
      <c r="AH342" s="644">
        <v>0</v>
      </c>
      <c r="AI342" s="643">
        <v>0</v>
      </c>
      <c r="AJ342" s="643">
        <v>0</v>
      </c>
      <c r="AK342" s="645">
        <v>-82.223727336814818</v>
      </c>
    </row>
    <row r="343" spans="3:37" ht="13.5">
      <c r="C343" s="641" t="s">
        <v>64</v>
      </c>
      <c r="D343" s="642">
        <v>0</v>
      </c>
      <c r="E343" s="643">
        <v>0</v>
      </c>
      <c r="F343" s="643">
        <v>0</v>
      </c>
      <c r="G343" s="642">
        <v>0</v>
      </c>
      <c r="H343" s="643">
        <v>0</v>
      </c>
      <c r="I343" s="643">
        <v>0</v>
      </c>
      <c r="J343" s="643">
        <v>0</v>
      </c>
      <c r="K343" s="643">
        <v>0</v>
      </c>
      <c r="L343" s="643">
        <v>0</v>
      </c>
      <c r="M343" s="643">
        <v>0</v>
      </c>
      <c r="N343" s="643">
        <v>0</v>
      </c>
      <c r="O343" s="643">
        <v>0</v>
      </c>
      <c r="P343" s="644">
        <v>0</v>
      </c>
      <c r="Q343" s="643">
        <v>0</v>
      </c>
      <c r="R343" s="643">
        <v>0</v>
      </c>
      <c r="S343" s="645">
        <v>0</v>
      </c>
      <c r="U343" s="641" t="s">
        <v>64</v>
      </c>
      <c r="V343" s="642">
        <v>0</v>
      </c>
      <c r="W343" s="643">
        <v>0</v>
      </c>
      <c r="X343" s="643">
        <v>0</v>
      </c>
      <c r="Y343" s="642">
        <v>0</v>
      </c>
      <c r="Z343" s="643">
        <v>0</v>
      </c>
      <c r="AA343" s="643">
        <v>0</v>
      </c>
      <c r="AB343" s="643">
        <v>0</v>
      </c>
      <c r="AC343" s="643">
        <v>0</v>
      </c>
      <c r="AD343" s="643">
        <v>0</v>
      </c>
      <c r="AE343" s="643">
        <v>0</v>
      </c>
      <c r="AF343" s="643">
        <v>0</v>
      </c>
      <c r="AG343" s="643">
        <v>0</v>
      </c>
      <c r="AH343" s="644">
        <v>0</v>
      </c>
      <c r="AI343" s="643">
        <v>0</v>
      </c>
      <c r="AJ343" s="643">
        <v>0</v>
      </c>
      <c r="AK343" s="645">
        <v>0</v>
      </c>
    </row>
    <row r="344" spans="3:37" ht="13.5">
      <c r="C344" s="646" t="s">
        <v>65</v>
      </c>
      <c r="D344" s="647">
        <v>48.037640466799544</v>
      </c>
      <c r="E344" s="647">
        <v>504.19228646673599</v>
      </c>
      <c r="F344" s="647">
        <v>-34.42113536983026</v>
      </c>
      <c r="G344" s="647">
        <v>332.96357284387591</v>
      </c>
      <c r="H344" s="647">
        <v>959.09090909090924</v>
      </c>
      <c r="I344" s="647">
        <v>265.54666314840352</v>
      </c>
      <c r="J344" s="647">
        <v>193.04141328057412</v>
      </c>
      <c r="K344" s="647">
        <v>20.835963621356942</v>
      </c>
      <c r="L344" s="647">
        <v>2.0067333731380987</v>
      </c>
      <c r="M344" s="647">
        <v>0.15840693111613638</v>
      </c>
      <c r="N344" s="647">
        <v>62.897832024028709</v>
      </c>
      <c r="O344" s="647">
        <v>11.865462020109925</v>
      </c>
      <c r="P344" s="647">
        <v>-31.055970799843635</v>
      </c>
      <c r="Q344" s="647">
        <v>0</v>
      </c>
      <c r="R344" s="647">
        <v>0</v>
      </c>
      <c r="S344" s="647">
        <v>2335.159777097374</v>
      </c>
      <c r="U344" s="646" t="s">
        <v>65</v>
      </c>
      <c r="V344" s="647">
        <v>7.5315222042138927</v>
      </c>
      <c r="W344" s="647">
        <v>266.28302835422375</v>
      </c>
      <c r="X344" s="647">
        <v>-73.87807568026254</v>
      </c>
      <c r="Y344" s="647">
        <v>133.90658281746911</v>
      </c>
      <c r="Z344" s="647">
        <v>919.39393939393949</v>
      </c>
      <c r="AA344" s="647">
        <v>300.16666314840353</v>
      </c>
      <c r="AB344" s="647">
        <v>200.47624617373779</v>
      </c>
      <c r="AC344" s="647">
        <v>37.690284018354092</v>
      </c>
      <c r="AD344" s="647">
        <v>-21.083834190017033</v>
      </c>
      <c r="AE344" s="647">
        <v>-0.82320457342644793</v>
      </c>
      <c r="AF344" s="647">
        <v>92.901000398225491</v>
      </c>
      <c r="AG344" s="647">
        <v>23.979405132943342</v>
      </c>
      <c r="AH344" s="647">
        <v>-12.632253344037395</v>
      </c>
      <c r="AI344" s="647">
        <v>0</v>
      </c>
      <c r="AJ344" s="647">
        <v>0</v>
      </c>
      <c r="AK344" s="647">
        <v>1873.9113038537675</v>
      </c>
    </row>
    <row r="345" spans="3:37" ht="13">
      <c r="C345" s="636"/>
      <c r="D345" s="636">
        <v>0</v>
      </c>
      <c r="E345" s="636">
        <v>0</v>
      </c>
      <c r="F345" s="636">
        <v>0</v>
      </c>
      <c r="G345" s="636">
        <v>0</v>
      </c>
      <c r="H345" s="636">
        <v>0</v>
      </c>
      <c r="I345" s="636">
        <v>0</v>
      </c>
      <c r="J345" s="636">
        <v>0</v>
      </c>
      <c r="K345" s="636">
        <v>0</v>
      </c>
      <c r="L345" s="636">
        <v>0</v>
      </c>
      <c r="M345" s="636">
        <v>0</v>
      </c>
      <c r="N345" s="636">
        <v>0</v>
      </c>
      <c r="O345" s="636">
        <v>0</v>
      </c>
      <c r="P345" s="636">
        <v>0</v>
      </c>
      <c r="Q345" s="636">
        <v>0</v>
      </c>
      <c r="R345" s="636">
        <v>0</v>
      </c>
      <c r="S345" s="636">
        <v>0</v>
      </c>
      <c r="U345" s="636"/>
      <c r="V345" s="636">
        <v>0</v>
      </c>
      <c r="W345" s="636">
        <v>0</v>
      </c>
      <c r="X345" s="636">
        <v>0</v>
      </c>
      <c r="Y345" s="636">
        <v>0</v>
      </c>
      <c r="Z345" s="636">
        <v>0</v>
      </c>
      <c r="AA345" s="636">
        <v>0</v>
      </c>
      <c r="AB345" s="636">
        <v>0</v>
      </c>
      <c r="AC345" s="636">
        <v>0</v>
      </c>
      <c r="AD345" s="636">
        <v>0</v>
      </c>
      <c r="AE345" s="636">
        <v>0</v>
      </c>
      <c r="AF345" s="636">
        <v>0</v>
      </c>
      <c r="AG345" s="636">
        <v>0</v>
      </c>
      <c r="AH345" s="636">
        <v>0</v>
      </c>
      <c r="AI345" s="636">
        <v>0</v>
      </c>
      <c r="AJ345" s="636">
        <v>0</v>
      </c>
      <c r="AK345" s="636">
        <v>0</v>
      </c>
    </row>
    <row r="346" spans="3:37" ht="13.5">
      <c r="C346" s="648" t="s">
        <v>67</v>
      </c>
      <c r="D346" s="642">
        <v>0</v>
      </c>
      <c r="E346" s="649">
        <v>0</v>
      </c>
      <c r="F346" s="649">
        <v>0</v>
      </c>
      <c r="G346" s="642">
        <v>0</v>
      </c>
      <c r="H346" s="642">
        <v>0</v>
      </c>
      <c r="I346" s="642">
        <v>0</v>
      </c>
      <c r="J346" s="642">
        <v>0</v>
      </c>
      <c r="K346" s="642">
        <v>0</v>
      </c>
      <c r="L346" s="642">
        <v>0</v>
      </c>
      <c r="M346" s="642">
        <v>0</v>
      </c>
      <c r="N346" s="642">
        <v>0</v>
      </c>
      <c r="O346" s="642">
        <v>0</v>
      </c>
      <c r="P346" s="642">
        <v>0</v>
      </c>
      <c r="Q346" s="642">
        <v>0</v>
      </c>
      <c r="R346" s="642">
        <v>0</v>
      </c>
      <c r="S346" s="650">
        <v>0</v>
      </c>
      <c r="U346" s="648" t="s">
        <v>67</v>
      </c>
      <c r="V346" s="642">
        <v>0</v>
      </c>
      <c r="W346" s="649">
        <v>0</v>
      </c>
      <c r="X346" s="649">
        <v>0</v>
      </c>
      <c r="Y346" s="642">
        <v>0</v>
      </c>
      <c r="Z346" s="642">
        <v>0</v>
      </c>
      <c r="AA346" s="642">
        <v>0</v>
      </c>
      <c r="AB346" s="642">
        <v>0</v>
      </c>
      <c r="AC346" s="642">
        <v>0</v>
      </c>
      <c r="AD346" s="642">
        <v>0</v>
      </c>
      <c r="AE346" s="642">
        <v>0</v>
      </c>
      <c r="AF346" s="642">
        <v>0</v>
      </c>
      <c r="AG346" s="642">
        <v>0</v>
      </c>
      <c r="AH346" s="642">
        <v>0</v>
      </c>
      <c r="AI346" s="642">
        <v>0</v>
      </c>
      <c r="AJ346" s="642">
        <v>0</v>
      </c>
      <c r="AK346" s="650">
        <v>0</v>
      </c>
    </row>
    <row r="347" spans="3:37" ht="13.5">
      <c r="C347" s="648" t="s">
        <v>350</v>
      </c>
      <c r="D347" s="642">
        <v>2.8267856410252494</v>
      </c>
      <c r="E347" s="642">
        <v>0</v>
      </c>
      <c r="F347" s="642">
        <v>7.5217067848259731</v>
      </c>
      <c r="G347" s="642">
        <v>17.043478260869566</v>
      </c>
      <c r="H347" s="642">
        <v>959.09090909090924</v>
      </c>
      <c r="I347" s="642">
        <v>265.54666314840352</v>
      </c>
      <c r="J347" s="651">
        <v>29.657322749860491</v>
      </c>
      <c r="K347" s="651">
        <v>6.9984717304001904</v>
      </c>
      <c r="L347" s="651">
        <v>2.9080645507258027</v>
      </c>
      <c r="M347" s="651">
        <v>0.47316517381762646</v>
      </c>
      <c r="N347" s="651">
        <v>0</v>
      </c>
      <c r="O347" s="651">
        <v>6.9042102843702597</v>
      </c>
      <c r="P347" s="642">
        <v>-613.13903868039233</v>
      </c>
      <c r="Q347" s="642">
        <v>0</v>
      </c>
      <c r="R347" s="642">
        <v>0</v>
      </c>
      <c r="S347" s="650">
        <v>685.83173873481564</v>
      </c>
      <c r="U347" s="648" t="s">
        <v>350</v>
      </c>
      <c r="V347" s="642">
        <v>0.62631490545869017</v>
      </c>
      <c r="W347" s="642">
        <v>0</v>
      </c>
      <c r="X347" s="642">
        <v>3.6580704211896093</v>
      </c>
      <c r="Y347" s="642">
        <v>6.2086956521739127</v>
      </c>
      <c r="Z347" s="642">
        <v>919.39393939393949</v>
      </c>
      <c r="AA347" s="642">
        <v>300.16666314840353</v>
      </c>
      <c r="AB347" s="651">
        <v>23.86094386593884</v>
      </c>
      <c r="AC347" s="651">
        <v>5.6952120200596408</v>
      </c>
      <c r="AD347" s="651">
        <v>2.9080645507258027</v>
      </c>
      <c r="AE347" s="651">
        <v>2.7862086520784959</v>
      </c>
      <c r="AF347" s="651">
        <v>0</v>
      </c>
      <c r="AG347" s="651">
        <v>6.9042102843702597</v>
      </c>
      <c r="AH347" s="642">
        <v>-628.6590386803922</v>
      </c>
      <c r="AI347" s="642">
        <v>0</v>
      </c>
      <c r="AJ347" s="642">
        <v>4.7499999999999991</v>
      </c>
      <c r="AK347" s="650">
        <v>648.29928421394618</v>
      </c>
    </row>
    <row r="348" spans="3:37" ht="13.5">
      <c r="C348" s="648" t="s">
        <v>351</v>
      </c>
      <c r="D348" s="642">
        <v>0</v>
      </c>
      <c r="E348" s="642">
        <v>0</v>
      </c>
      <c r="F348" s="642">
        <v>0</v>
      </c>
      <c r="G348" s="642">
        <v>14.973464488470796</v>
      </c>
      <c r="H348" s="642">
        <v>0</v>
      </c>
      <c r="I348" s="642">
        <v>0</v>
      </c>
      <c r="J348" s="651">
        <v>12.61885930635281</v>
      </c>
      <c r="K348" s="651">
        <v>11.992989190910333</v>
      </c>
      <c r="L348" s="651">
        <v>0</v>
      </c>
      <c r="M348" s="651">
        <v>0.32007470171399477</v>
      </c>
      <c r="N348" s="651">
        <v>0</v>
      </c>
      <c r="O348" s="651">
        <v>2.1221335576886813</v>
      </c>
      <c r="P348" s="642">
        <v>0</v>
      </c>
      <c r="Q348" s="642">
        <v>-38.122859170635891</v>
      </c>
      <c r="R348" s="642">
        <v>0</v>
      </c>
      <c r="S348" s="650">
        <v>3.9046620745007217</v>
      </c>
      <c r="U348" s="648" t="s">
        <v>351</v>
      </c>
      <c r="V348" s="642">
        <v>0</v>
      </c>
      <c r="W348" s="642">
        <v>0</v>
      </c>
      <c r="X348" s="642">
        <v>0</v>
      </c>
      <c r="Y348" s="642">
        <v>11.236128743190402</v>
      </c>
      <c r="Z348" s="642">
        <v>0</v>
      </c>
      <c r="AA348" s="642">
        <v>0</v>
      </c>
      <c r="AB348" s="651">
        <v>28.835017835425074</v>
      </c>
      <c r="AC348" s="651">
        <v>26.276566272731909</v>
      </c>
      <c r="AD348" s="651">
        <v>0</v>
      </c>
      <c r="AE348" s="651">
        <v>4.8299775408676195</v>
      </c>
      <c r="AF348" s="651">
        <v>0</v>
      </c>
      <c r="AG348" s="651">
        <v>10.71495831218258</v>
      </c>
      <c r="AH348" s="642">
        <v>0</v>
      </c>
      <c r="AI348" s="642">
        <v>-75.331063655699538</v>
      </c>
      <c r="AJ348" s="642">
        <v>0</v>
      </c>
      <c r="AK348" s="650">
        <v>6.561585048698058</v>
      </c>
    </row>
    <row r="349" spans="3:37" ht="13.5">
      <c r="C349" s="648" t="s">
        <v>352</v>
      </c>
      <c r="D349" s="642">
        <v>0</v>
      </c>
      <c r="E349" s="642">
        <v>0</v>
      </c>
      <c r="F349" s="642">
        <v>0</v>
      </c>
      <c r="G349" s="642">
        <v>0</v>
      </c>
      <c r="H349" s="642">
        <v>0</v>
      </c>
      <c r="I349" s="642">
        <v>0</v>
      </c>
      <c r="J349" s="652">
        <v>7.1836152532588793</v>
      </c>
      <c r="K349" s="652">
        <v>0</v>
      </c>
      <c r="L349" s="652">
        <v>0</v>
      </c>
      <c r="M349" s="652">
        <v>-6.5550489185987271</v>
      </c>
      <c r="N349" s="652">
        <v>0</v>
      </c>
      <c r="O349" s="652">
        <v>0</v>
      </c>
      <c r="P349" s="642">
        <v>0</v>
      </c>
      <c r="Q349" s="642">
        <v>0</v>
      </c>
      <c r="R349" s="642">
        <v>0</v>
      </c>
      <c r="S349" s="650">
        <v>0.62856633466015222</v>
      </c>
      <c r="U349" s="648" t="s">
        <v>352</v>
      </c>
      <c r="V349" s="642">
        <v>0</v>
      </c>
      <c r="W349" s="642">
        <v>0</v>
      </c>
      <c r="X349" s="642">
        <v>0</v>
      </c>
      <c r="Y349" s="642">
        <v>0</v>
      </c>
      <c r="Z349" s="642">
        <v>0</v>
      </c>
      <c r="AA349" s="642">
        <v>0</v>
      </c>
      <c r="AB349" s="652">
        <v>63.436450079223192</v>
      </c>
      <c r="AC349" s="652">
        <v>0</v>
      </c>
      <c r="AD349" s="652">
        <v>0</v>
      </c>
      <c r="AE349" s="652">
        <v>-57.885760697291161</v>
      </c>
      <c r="AF349" s="652">
        <v>0</v>
      </c>
      <c r="AG349" s="652">
        <v>0</v>
      </c>
      <c r="AH349" s="642">
        <v>0</v>
      </c>
      <c r="AI349" s="642">
        <v>0</v>
      </c>
      <c r="AJ349" s="642">
        <v>0</v>
      </c>
      <c r="AK349" s="650">
        <v>5.5506893819320311</v>
      </c>
    </row>
    <row r="350" spans="3:37" ht="13.5">
      <c r="C350" s="648" t="s">
        <v>353</v>
      </c>
      <c r="D350" s="642">
        <v>0</v>
      </c>
      <c r="E350" s="642">
        <v>0</v>
      </c>
      <c r="F350" s="642">
        <v>0</v>
      </c>
      <c r="G350" s="642">
        <v>0</v>
      </c>
      <c r="H350" s="642">
        <v>0</v>
      </c>
      <c r="I350" s="642">
        <v>0</v>
      </c>
      <c r="J350" s="642">
        <v>0</v>
      </c>
      <c r="K350" s="642">
        <v>0</v>
      </c>
      <c r="L350" s="642">
        <v>0</v>
      </c>
      <c r="M350" s="642">
        <v>0</v>
      </c>
      <c r="N350" s="642">
        <v>0</v>
      </c>
      <c r="O350" s="642">
        <v>0</v>
      </c>
      <c r="P350" s="642">
        <v>0</v>
      </c>
      <c r="Q350" s="642">
        <v>0</v>
      </c>
      <c r="R350" s="642">
        <v>0</v>
      </c>
      <c r="S350" s="650">
        <v>0</v>
      </c>
      <c r="U350" s="648" t="s">
        <v>353</v>
      </c>
      <c r="V350" s="642">
        <v>0</v>
      </c>
      <c r="W350" s="642">
        <v>0</v>
      </c>
      <c r="X350" s="642">
        <v>0</v>
      </c>
      <c r="Y350" s="642">
        <v>0</v>
      </c>
      <c r="Z350" s="642">
        <v>0</v>
      </c>
      <c r="AA350" s="642">
        <v>0</v>
      </c>
      <c r="AB350" s="642">
        <v>0</v>
      </c>
      <c r="AC350" s="642">
        <v>0</v>
      </c>
      <c r="AD350" s="642">
        <v>0</v>
      </c>
      <c r="AE350" s="642">
        <v>0</v>
      </c>
      <c r="AF350" s="642">
        <v>0</v>
      </c>
      <c r="AG350" s="642">
        <v>0</v>
      </c>
      <c r="AH350" s="642">
        <v>0</v>
      </c>
      <c r="AI350" s="642">
        <v>0</v>
      </c>
      <c r="AJ350" s="642">
        <v>0</v>
      </c>
      <c r="AK350" s="650">
        <v>0</v>
      </c>
    </row>
    <row r="351" spans="3:37" ht="13.5">
      <c r="C351" s="648" t="s">
        <v>72</v>
      </c>
      <c r="D351" s="642">
        <v>0</v>
      </c>
      <c r="E351" s="642">
        <v>522.28962186433523</v>
      </c>
      <c r="F351" s="642">
        <v>-517.06672564569192</v>
      </c>
      <c r="G351" s="642">
        <v>0</v>
      </c>
      <c r="H351" s="642">
        <v>0</v>
      </c>
      <c r="I351" s="642">
        <v>0</v>
      </c>
      <c r="J351" s="642">
        <v>0</v>
      </c>
      <c r="K351" s="642">
        <v>0</v>
      </c>
      <c r="L351" s="642">
        <v>0</v>
      </c>
      <c r="M351" s="642">
        <v>0</v>
      </c>
      <c r="N351" s="642">
        <v>0</v>
      </c>
      <c r="O351" s="642">
        <v>0</v>
      </c>
      <c r="P351" s="642">
        <v>0</v>
      </c>
      <c r="Q351" s="642">
        <v>0</v>
      </c>
      <c r="R351" s="642">
        <v>0</v>
      </c>
      <c r="S351" s="650">
        <v>5.2228962186433137</v>
      </c>
      <c r="U351" s="648" t="s">
        <v>72</v>
      </c>
      <c r="V351" s="642">
        <v>0</v>
      </c>
      <c r="W351" s="642">
        <v>275.84091609698424</v>
      </c>
      <c r="X351" s="642">
        <v>-273.0825069360144</v>
      </c>
      <c r="Y351" s="642">
        <v>0</v>
      </c>
      <c r="Z351" s="642">
        <v>0</v>
      </c>
      <c r="AA351" s="642">
        <v>0</v>
      </c>
      <c r="AB351" s="642">
        <v>0</v>
      </c>
      <c r="AC351" s="642">
        <v>0</v>
      </c>
      <c r="AD351" s="642">
        <v>0</v>
      </c>
      <c r="AE351" s="642">
        <v>0</v>
      </c>
      <c r="AF351" s="642">
        <v>0</v>
      </c>
      <c r="AG351" s="642">
        <v>0</v>
      </c>
      <c r="AH351" s="642">
        <v>0</v>
      </c>
      <c r="AI351" s="642">
        <v>0</v>
      </c>
      <c r="AJ351" s="642">
        <v>0</v>
      </c>
      <c r="AK351" s="650">
        <v>2.7584091609698476</v>
      </c>
    </row>
    <row r="352" spans="3:37" ht="13.5">
      <c r="C352" s="648" t="s">
        <v>354</v>
      </c>
      <c r="D352" s="642">
        <v>0</v>
      </c>
      <c r="E352" s="642">
        <v>0</v>
      </c>
      <c r="F352" s="642">
        <v>0</v>
      </c>
      <c r="G352" s="642">
        <v>0</v>
      </c>
      <c r="H352" s="642">
        <v>0</v>
      </c>
      <c r="I352" s="642">
        <v>0</v>
      </c>
      <c r="J352" s="642">
        <v>28.942309114060045</v>
      </c>
      <c r="K352" s="642">
        <v>0</v>
      </c>
      <c r="L352" s="642">
        <v>-28.942309114060045</v>
      </c>
      <c r="M352" s="642">
        <v>0</v>
      </c>
      <c r="N352" s="642">
        <v>0</v>
      </c>
      <c r="O352" s="642">
        <v>0</v>
      </c>
      <c r="P352" s="642">
        <v>0</v>
      </c>
      <c r="Q352" s="642">
        <v>0</v>
      </c>
      <c r="R352" s="642">
        <v>0</v>
      </c>
      <c r="S352" s="650">
        <v>0</v>
      </c>
      <c r="U352" s="648" t="s">
        <v>354</v>
      </c>
      <c r="V352" s="642">
        <v>0</v>
      </c>
      <c r="W352" s="642">
        <v>0</v>
      </c>
      <c r="X352" s="642">
        <v>0</v>
      </c>
      <c r="Y352" s="642">
        <v>0</v>
      </c>
      <c r="Z352" s="642">
        <v>0</v>
      </c>
      <c r="AA352" s="642">
        <v>0</v>
      </c>
      <c r="AB352" s="642" t="e">
        <v>#VALUE!</v>
      </c>
      <c r="AC352" s="642">
        <v>0</v>
      </c>
      <c r="AD352" s="642">
        <v>-101.68735143023177</v>
      </c>
      <c r="AE352" s="642">
        <v>0</v>
      </c>
      <c r="AF352" s="642">
        <v>0</v>
      </c>
      <c r="AG352" s="642">
        <v>0</v>
      </c>
      <c r="AH352" s="642">
        <v>0</v>
      </c>
      <c r="AI352" s="642">
        <v>0</v>
      </c>
      <c r="AJ352" s="642">
        <v>0</v>
      </c>
      <c r="AK352" s="650">
        <v>-101.68735143023177</v>
      </c>
    </row>
    <row r="353" spans="3:37" ht="13.5">
      <c r="C353" s="648" t="s">
        <v>355</v>
      </c>
      <c r="D353" s="642">
        <v>0</v>
      </c>
      <c r="E353" s="642">
        <v>0</v>
      </c>
      <c r="F353" s="642">
        <v>0</v>
      </c>
      <c r="G353" s="642">
        <v>0</v>
      </c>
      <c r="H353" s="642">
        <v>0</v>
      </c>
      <c r="I353" s="642">
        <v>0</v>
      </c>
      <c r="J353" s="642">
        <v>0</v>
      </c>
      <c r="K353" s="642">
        <v>0</v>
      </c>
      <c r="L353" s="642">
        <v>0</v>
      </c>
      <c r="M353" s="642">
        <v>0</v>
      </c>
      <c r="N353" s="642">
        <v>0</v>
      </c>
      <c r="O353" s="642">
        <v>0</v>
      </c>
      <c r="P353" s="642">
        <v>0</v>
      </c>
      <c r="Q353" s="642">
        <v>0</v>
      </c>
      <c r="R353" s="642">
        <v>0</v>
      </c>
      <c r="S353" s="650">
        <v>0</v>
      </c>
      <c r="U353" s="648" t="s">
        <v>355</v>
      </c>
      <c r="V353" s="642">
        <v>0</v>
      </c>
      <c r="W353" s="642">
        <v>0</v>
      </c>
      <c r="X353" s="642">
        <v>0</v>
      </c>
      <c r="Y353" s="642">
        <v>0</v>
      </c>
      <c r="Z353" s="642">
        <v>0</v>
      </c>
      <c r="AA353" s="642">
        <v>0</v>
      </c>
      <c r="AB353" s="642">
        <v>0</v>
      </c>
      <c r="AC353" s="642">
        <v>0</v>
      </c>
      <c r="AD353" s="642">
        <v>-20.330518764117095</v>
      </c>
      <c r="AE353" s="642">
        <v>0</v>
      </c>
      <c r="AF353" s="642">
        <v>0</v>
      </c>
      <c r="AG353" s="642">
        <v>0</v>
      </c>
      <c r="AH353" s="642">
        <v>0</v>
      </c>
      <c r="AI353" s="642">
        <v>0</v>
      </c>
      <c r="AJ353" s="642">
        <v>0</v>
      </c>
      <c r="AK353" s="650">
        <v>-20.330518764117095</v>
      </c>
    </row>
    <row r="354" spans="3:37" ht="13.5">
      <c r="C354" s="648" t="s">
        <v>73</v>
      </c>
      <c r="D354" s="642">
        <v>0</v>
      </c>
      <c r="E354" s="642">
        <v>0</v>
      </c>
      <c r="F354" s="642">
        <v>0</v>
      </c>
      <c r="G354" s="642">
        <v>5.1012543356530031</v>
      </c>
      <c r="H354" s="642">
        <v>0</v>
      </c>
      <c r="I354" s="642">
        <v>0</v>
      </c>
      <c r="J354" s="642">
        <v>0</v>
      </c>
      <c r="K354" s="642">
        <v>5.8487208617897309E-2</v>
      </c>
      <c r="L354" s="642">
        <v>0</v>
      </c>
      <c r="M354" s="642">
        <v>0.10410723133985722</v>
      </c>
      <c r="N354" s="642">
        <v>0</v>
      </c>
      <c r="O354" s="642">
        <v>0</v>
      </c>
      <c r="P354" s="642">
        <v>0.59767950412449788</v>
      </c>
      <c r="Q354" s="642">
        <v>0</v>
      </c>
      <c r="R354" s="642">
        <v>-4.094104603252811</v>
      </c>
      <c r="S354" s="650">
        <v>1.7674236764824451</v>
      </c>
      <c r="U354" s="648" t="s">
        <v>73</v>
      </c>
      <c r="V354" s="642">
        <v>0</v>
      </c>
      <c r="W354" s="642">
        <v>0</v>
      </c>
      <c r="X354" s="642">
        <v>0</v>
      </c>
      <c r="Y354" s="642">
        <v>5.6948243223481816</v>
      </c>
      <c r="Z354" s="642">
        <v>0</v>
      </c>
      <c r="AA354" s="642">
        <v>0</v>
      </c>
      <c r="AB354" s="642">
        <v>0</v>
      </c>
      <c r="AC354" s="642">
        <v>0.40677316588201312</v>
      </c>
      <c r="AD354" s="642">
        <v>0</v>
      </c>
      <c r="AE354" s="642">
        <v>2.440638995292078</v>
      </c>
      <c r="AF354" s="642">
        <v>0</v>
      </c>
      <c r="AG354" s="642">
        <v>0</v>
      </c>
      <c r="AH354" s="642">
        <v>32.838767990182951</v>
      </c>
      <c r="AI354" s="642">
        <v>0</v>
      </c>
      <c r="AJ354" s="642">
        <v>-28.474121611740912</v>
      </c>
      <c r="AK354" s="650">
        <v>12.906882861964313</v>
      </c>
    </row>
    <row r="355" spans="3:37" ht="13.5">
      <c r="C355" s="648" t="s">
        <v>356</v>
      </c>
      <c r="D355" s="642">
        <v>28.616489999999999</v>
      </c>
      <c r="E355" s="642">
        <v>-18.09733539759922</v>
      </c>
      <c r="F355" s="642">
        <v>23.670245777269074</v>
      </c>
      <c r="G355" s="642">
        <v>0</v>
      </c>
      <c r="H355" s="642">
        <v>0</v>
      </c>
      <c r="I355" s="642">
        <v>0</v>
      </c>
      <c r="J355" s="642">
        <v>0</v>
      </c>
      <c r="K355" s="642">
        <v>0</v>
      </c>
      <c r="L355" s="642">
        <v>0</v>
      </c>
      <c r="M355" s="642">
        <v>0</v>
      </c>
      <c r="N355" s="642">
        <v>0</v>
      </c>
      <c r="O355" s="642">
        <v>0</v>
      </c>
      <c r="P355" s="642">
        <v>0</v>
      </c>
      <c r="Q355" s="642">
        <v>0</v>
      </c>
      <c r="R355" s="642">
        <v>0</v>
      </c>
      <c r="S355" s="650">
        <v>34.189400379669848</v>
      </c>
      <c r="U355" s="648" t="s">
        <v>356</v>
      </c>
      <c r="V355" s="642">
        <v>2.3505202026367185</v>
      </c>
      <c r="W355" s="642">
        <v>-9.5578877427605047</v>
      </c>
      <c r="X355" s="642">
        <v>12.501152628950074</v>
      </c>
      <c r="Y355" s="642">
        <v>0</v>
      </c>
      <c r="Z355" s="642">
        <v>0</v>
      </c>
      <c r="AA355" s="642">
        <v>0</v>
      </c>
      <c r="AB355" s="642">
        <v>0</v>
      </c>
      <c r="AC355" s="642">
        <v>0</v>
      </c>
      <c r="AD355" s="642">
        <v>0</v>
      </c>
      <c r="AE355" s="642">
        <v>0</v>
      </c>
      <c r="AF355" s="642">
        <v>0</v>
      </c>
      <c r="AG355" s="642">
        <v>0</v>
      </c>
      <c r="AH355" s="642">
        <v>0</v>
      </c>
      <c r="AI355" s="642">
        <v>0</v>
      </c>
      <c r="AJ355" s="642">
        <v>0</v>
      </c>
      <c r="AK355" s="650">
        <v>5.2937850888262874</v>
      </c>
    </row>
    <row r="356" spans="3:37" ht="13.5">
      <c r="C356" s="648" t="s">
        <v>75</v>
      </c>
      <c r="D356" s="642">
        <v>11.128635000000001</v>
      </c>
      <c r="E356" s="642">
        <v>0</v>
      </c>
      <c r="F356" s="642">
        <v>17.757847143387398</v>
      </c>
      <c r="G356" s="642">
        <v>5.0672539113277812</v>
      </c>
      <c r="H356" s="642">
        <v>0</v>
      </c>
      <c r="I356" s="642">
        <v>0</v>
      </c>
      <c r="J356" s="642">
        <v>0</v>
      </c>
      <c r="K356" s="642">
        <v>0</v>
      </c>
      <c r="L356" s="642">
        <v>0</v>
      </c>
      <c r="M356" s="642">
        <v>0.1034133451291384</v>
      </c>
      <c r="N356" s="642">
        <v>0</v>
      </c>
      <c r="O356" s="642">
        <v>0</v>
      </c>
      <c r="P356" s="642">
        <v>30.750377055945027</v>
      </c>
      <c r="Q356" s="642">
        <v>0</v>
      </c>
      <c r="R356" s="642">
        <v>0</v>
      </c>
      <c r="S356" s="650">
        <v>64.807526455789343</v>
      </c>
      <c r="U356" s="648" t="s">
        <v>75</v>
      </c>
      <c r="V356" s="642">
        <v>3.4784289550781251</v>
      </c>
      <c r="W356" s="642">
        <v>0</v>
      </c>
      <c r="X356" s="642">
        <v>17.757847143387398</v>
      </c>
      <c r="Y356" s="642">
        <v>3.6194670795198434</v>
      </c>
      <c r="Z356" s="642">
        <v>0</v>
      </c>
      <c r="AA356" s="642">
        <v>0</v>
      </c>
      <c r="AB356" s="642">
        <v>0</v>
      </c>
      <c r="AC356" s="642">
        <v>0</v>
      </c>
      <c r="AD356" s="642">
        <v>0</v>
      </c>
      <c r="AE356" s="642">
        <v>1.5512001769370758</v>
      </c>
      <c r="AF356" s="642">
        <v>0</v>
      </c>
      <c r="AG356" s="642">
        <v>0</v>
      </c>
      <c r="AH356" s="642">
        <v>36.42264978321775</v>
      </c>
      <c r="AI356" s="642">
        <v>0</v>
      </c>
      <c r="AJ356" s="642">
        <v>0</v>
      </c>
      <c r="AK356" s="650">
        <v>62.829593138140197</v>
      </c>
    </row>
    <row r="357" spans="3:37" ht="13.5">
      <c r="C357" s="648" t="s">
        <v>76</v>
      </c>
      <c r="D357" s="642">
        <v>0</v>
      </c>
      <c r="E357" s="642">
        <v>0</v>
      </c>
      <c r="F357" s="642">
        <v>0</v>
      </c>
      <c r="G357" s="642">
        <v>3.8086647866957031</v>
      </c>
      <c r="H357" s="642">
        <v>0</v>
      </c>
      <c r="I357" s="642">
        <v>0</v>
      </c>
      <c r="J357" s="642">
        <v>0</v>
      </c>
      <c r="K357" s="642">
        <v>0</v>
      </c>
      <c r="L357" s="642">
        <v>0</v>
      </c>
      <c r="M357" s="642">
        <v>7.7727852789708229E-2</v>
      </c>
      <c r="N357" s="642">
        <v>0</v>
      </c>
      <c r="O357" s="642">
        <v>0</v>
      </c>
      <c r="P357" s="642">
        <v>44.547532005203358</v>
      </c>
      <c r="Q357" s="642">
        <v>2.958822517532107</v>
      </c>
      <c r="R357" s="642">
        <v>0</v>
      </c>
      <c r="S357" s="650">
        <v>51.392747162220878</v>
      </c>
      <c r="U357" s="648" t="s">
        <v>76</v>
      </c>
      <c r="V357" s="642">
        <v>0</v>
      </c>
      <c r="W357" s="642">
        <v>0</v>
      </c>
      <c r="X357" s="642">
        <v>0</v>
      </c>
      <c r="Y357" s="642">
        <v>1.6015823117827594</v>
      </c>
      <c r="Z357" s="642">
        <v>0</v>
      </c>
      <c r="AA357" s="642">
        <v>0</v>
      </c>
      <c r="AB357" s="642">
        <v>0</v>
      </c>
      <c r="AC357" s="642">
        <v>0</v>
      </c>
      <c r="AD357" s="642">
        <v>0</v>
      </c>
      <c r="AE357" s="642">
        <v>0.68639241933546835</v>
      </c>
      <c r="AF357" s="642">
        <v>0</v>
      </c>
      <c r="AG357" s="642">
        <v>0</v>
      </c>
      <c r="AH357" s="642">
        <v>47.148943407633553</v>
      </c>
      <c r="AI357" s="642">
        <v>5.8421151160056723</v>
      </c>
      <c r="AJ357" s="642">
        <v>0</v>
      </c>
      <c r="AK357" s="650">
        <v>55.279033254757444</v>
      </c>
    </row>
    <row r="358" spans="3:37" ht="13.5">
      <c r="C358" s="646" t="s">
        <v>77</v>
      </c>
      <c r="D358" s="647">
        <v>42.571910641025248</v>
      </c>
      <c r="E358" s="647">
        <v>504.19228646673599</v>
      </c>
      <c r="F358" s="647">
        <v>-468.11692594020946</v>
      </c>
      <c r="G358" s="647">
        <v>45.994115783016845</v>
      </c>
      <c r="H358" s="647">
        <v>959.09090909090924</v>
      </c>
      <c r="I358" s="647">
        <v>265.54666314840352</v>
      </c>
      <c r="J358" s="647">
        <v>78.402106423532217</v>
      </c>
      <c r="K358" s="647">
        <v>19.049948129928421</v>
      </c>
      <c r="L358" s="647">
        <v>-26.034244563334241</v>
      </c>
      <c r="M358" s="647">
        <v>-5.4765606138084015</v>
      </c>
      <c r="N358" s="647">
        <v>0</v>
      </c>
      <c r="O358" s="647">
        <v>9.0263438420589424</v>
      </c>
      <c r="P358" s="647">
        <v>-537.24345011511946</v>
      </c>
      <c r="Q358" s="647">
        <v>-35.164036653103786</v>
      </c>
      <c r="R358" s="647">
        <v>-4.094104603252811</v>
      </c>
      <c r="S358" s="647">
        <v>847.74496103678234</v>
      </c>
      <c r="U358" s="646" t="s">
        <v>77</v>
      </c>
      <c r="V358" s="647">
        <v>6.4552640631735336</v>
      </c>
      <c r="W358" s="647">
        <v>266.28302835422375</v>
      </c>
      <c r="X358" s="647">
        <v>-239.16543674248729</v>
      </c>
      <c r="Y358" s="647">
        <v>28.3606981090151</v>
      </c>
      <c r="Z358" s="647">
        <v>919.39393939393949</v>
      </c>
      <c r="AA358" s="647">
        <v>300.16666314840353</v>
      </c>
      <c r="AB358" s="647">
        <v>116.13241178058709</v>
      </c>
      <c r="AC358" s="647">
        <v>32.378551458673563</v>
      </c>
      <c r="AD358" s="647">
        <v>-119.10980564362306</v>
      </c>
      <c r="AE358" s="647">
        <v>-45.591342912780426</v>
      </c>
      <c r="AF358" s="647">
        <v>0</v>
      </c>
      <c r="AG358" s="647">
        <v>17.619168596552839</v>
      </c>
      <c r="AH358" s="647">
        <v>-512.24867749935788</v>
      </c>
      <c r="AI358" s="647">
        <v>-69.488948539693865</v>
      </c>
      <c r="AJ358" s="647">
        <v>-23.724121611740912</v>
      </c>
      <c r="AK358" s="647">
        <v>677.46139195488558</v>
      </c>
    </row>
    <row r="359" spans="3:37" ht="13">
      <c r="C359" s="636"/>
      <c r="D359" s="636">
        <v>0</v>
      </c>
      <c r="E359" s="636">
        <v>0</v>
      </c>
      <c r="F359" s="636">
        <v>0</v>
      </c>
      <c r="G359" s="636">
        <v>0</v>
      </c>
      <c r="H359" s="636">
        <v>0</v>
      </c>
      <c r="I359" s="636">
        <v>0</v>
      </c>
      <c r="J359" s="636">
        <v>0</v>
      </c>
      <c r="K359" s="636">
        <v>0</v>
      </c>
      <c r="L359" s="636">
        <v>0</v>
      </c>
      <c r="M359" s="636">
        <v>0</v>
      </c>
      <c r="N359" s="636">
        <v>0</v>
      </c>
      <c r="O359" s="636">
        <v>0</v>
      </c>
      <c r="P359" s="636">
        <v>0</v>
      </c>
      <c r="Q359" s="636">
        <v>0</v>
      </c>
      <c r="R359" s="636">
        <v>0</v>
      </c>
      <c r="S359" s="636">
        <v>0</v>
      </c>
      <c r="U359" s="636"/>
      <c r="V359" s="636">
        <v>0</v>
      </c>
      <c r="W359" s="636">
        <v>0</v>
      </c>
      <c r="X359" s="636">
        <v>0</v>
      </c>
      <c r="Y359" s="636">
        <v>0</v>
      </c>
      <c r="Z359" s="636">
        <v>0</v>
      </c>
      <c r="AA359" s="636">
        <v>0</v>
      </c>
      <c r="AB359" s="636">
        <v>0</v>
      </c>
      <c r="AC359" s="636">
        <v>0</v>
      </c>
      <c r="AD359" s="636">
        <v>0</v>
      </c>
      <c r="AE359" s="636">
        <v>0</v>
      </c>
      <c r="AF359" s="636">
        <v>0</v>
      </c>
      <c r="AG359" s="636">
        <v>0</v>
      </c>
      <c r="AH359" s="636">
        <v>0</v>
      </c>
      <c r="AI359" s="636">
        <v>0</v>
      </c>
      <c r="AJ359" s="636">
        <v>0</v>
      </c>
      <c r="AK359" s="636">
        <v>0</v>
      </c>
    </row>
    <row r="360" spans="3:37" ht="13.5">
      <c r="C360" s="648" t="s">
        <v>78</v>
      </c>
      <c r="D360" s="642">
        <v>5.4657298257742912</v>
      </c>
      <c r="E360" s="642">
        <v>0</v>
      </c>
      <c r="F360" s="642">
        <v>21.83935294215906</v>
      </c>
      <c r="G360" s="642">
        <v>97.960240418883188</v>
      </c>
      <c r="H360" s="642">
        <v>0</v>
      </c>
      <c r="I360" s="642">
        <v>0</v>
      </c>
      <c r="J360" s="642">
        <v>20.699069714826329</v>
      </c>
      <c r="K360" s="642">
        <v>1.7608774311708451</v>
      </c>
      <c r="L360" s="642">
        <v>0.9136629082031249</v>
      </c>
      <c r="M360" s="642">
        <v>2.0177626304462204</v>
      </c>
      <c r="N360" s="642">
        <v>0</v>
      </c>
      <c r="O360" s="642">
        <v>3.7866244598879411E-4</v>
      </c>
      <c r="P360" s="642">
        <v>111.48933548215857</v>
      </c>
      <c r="Q360" s="642">
        <v>16.083775404791947</v>
      </c>
      <c r="R360" s="642">
        <v>0.29766925048828125</v>
      </c>
      <c r="S360" s="650">
        <v>278.52785467134788</v>
      </c>
      <c r="U360" s="648" t="s">
        <v>78</v>
      </c>
      <c r="V360" s="642">
        <v>1.0762581410403587</v>
      </c>
      <c r="W360" s="642">
        <v>0</v>
      </c>
      <c r="X360" s="642">
        <v>8.4892491154216376</v>
      </c>
      <c r="Y360" s="642">
        <v>50.497915430959594</v>
      </c>
      <c r="Z360" s="642">
        <v>0</v>
      </c>
      <c r="AA360" s="642">
        <v>0</v>
      </c>
      <c r="AB360" s="642">
        <v>15.594949526554588</v>
      </c>
      <c r="AC360" s="642">
        <v>5.2865944994228578</v>
      </c>
      <c r="AD360" s="642">
        <v>4.3757583007812499</v>
      </c>
      <c r="AE360" s="642">
        <v>21.660537806594554</v>
      </c>
      <c r="AF360" s="642">
        <v>0</v>
      </c>
      <c r="AG360" s="642">
        <v>3.7866244598879411E-4</v>
      </c>
      <c r="AH360" s="642">
        <v>141.44668524271188</v>
      </c>
      <c r="AI360" s="642">
        <v>22.79177635880415</v>
      </c>
      <c r="AJ360" s="642">
        <v>6.850041015625</v>
      </c>
      <c r="AK360" s="650">
        <v>278.07014410036186</v>
      </c>
    </row>
    <row r="361" spans="3:37" ht="13.5">
      <c r="C361" s="648" t="s">
        <v>79</v>
      </c>
      <c r="D361" s="642">
        <v>0</v>
      </c>
      <c r="E361" s="642">
        <v>0</v>
      </c>
      <c r="F361" s="642">
        <v>249.23385066161848</v>
      </c>
      <c r="G361" s="642">
        <v>29.852237297635437</v>
      </c>
      <c r="H361" s="642">
        <v>0</v>
      </c>
      <c r="I361" s="642">
        <v>0</v>
      </c>
      <c r="J361" s="642">
        <v>0</v>
      </c>
      <c r="K361" s="642">
        <v>0</v>
      </c>
      <c r="L361" s="642">
        <v>24.125777410294155</v>
      </c>
      <c r="M361" s="642">
        <v>0.60922933260480494</v>
      </c>
      <c r="N361" s="642">
        <v>0</v>
      </c>
      <c r="O361" s="642">
        <v>0</v>
      </c>
      <c r="P361" s="642">
        <v>62.086065361885787</v>
      </c>
      <c r="Q361" s="642">
        <v>0</v>
      </c>
      <c r="R361" s="642">
        <v>1.9828379826970517</v>
      </c>
      <c r="S361" s="650">
        <v>367.88999804673568</v>
      </c>
      <c r="U361" s="648" t="s">
        <v>79</v>
      </c>
      <c r="V361" s="642">
        <v>0</v>
      </c>
      <c r="W361" s="642">
        <v>0</v>
      </c>
      <c r="X361" s="642">
        <v>59.317364570862594</v>
      </c>
      <c r="Y361" s="642">
        <v>17.942066440325025</v>
      </c>
      <c r="Z361" s="642">
        <v>0</v>
      </c>
      <c r="AA361" s="642">
        <v>0</v>
      </c>
      <c r="AB361" s="642">
        <v>0</v>
      </c>
      <c r="AC361" s="642">
        <v>0</v>
      </c>
      <c r="AD361" s="642">
        <v>51.332808735857633</v>
      </c>
      <c r="AE361" s="642">
        <v>7.6894570458535831</v>
      </c>
      <c r="AF361" s="642">
        <v>0</v>
      </c>
      <c r="AG361" s="642">
        <v>0</v>
      </c>
      <c r="AH361" s="642">
        <v>82.201296258535137</v>
      </c>
      <c r="AI361" s="642">
        <v>0</v>
      </c>
      <c r="AJ361" s="642">
        <v>4.6183032107255606</v>
      </c>
      <c r="AK361" s="650">
        <v>223.10129626215951</v>
      </c>
    </row>
    <row r="362" spans="3:37" ht="13.5">
      <c r="C362" s="648" t="s">
        <v>80</v>
      </c>
      <c r="D362" s="642">
        <v>0</v>
      </c>
      <c r="E362" s="642">
        <v>0</v>
      </c>
      <c r="F362" s="642">
        <v>17.698191750553285</v>
      </c>
      <c r="G362" s="642">
        <v>82.8316536533641</v>
      </c>
      <c r="H362" s="642">
        <v>0</v>
      </c>
      <c r="I362" s="642">
        <v>0</v>
      </c>
      <c r="J362" s="642">
        <v>87.012401530952616</v>
      </c>
      <c r="K362" s="642">
        <v>0</v>
      </c>
      <c r="L362" s="642">
        <v>0</v>
      </c>
      <c r="M362" s="642">
        <v>1.690441911293145</v>
      </c>
      <c r="N362" s="642">
        <v>54.219025663639314</v>
      </c>
      <c r="O362" s="642">
        <v>2.0231633432731213</v>
      </c>
      <c r="P362" s="642">
        <v>187.24843332836184</v>
      </c>
      <c r="Q362" s="642">
        <v>15.504434202631401</v>
      </c>
      <c r="R362" s="642">
        <v>0</v>
      </c>
      <c r="S362" s="650">
        <v>448.22774538406884</v>
      </c>
      <c r="U362" s="648" t="s">
        <v>80</v>
      </c>
      <c r="V362" s="642">
        <v>0</v>
      </c>
      <c r="W362" s="642">
        <v>0</v>
      </c>
      <c r="X362" s="642">
        <v>1.0833932718176746</v>
      </c>
      <c r="Y362" s="642">
        <v>18.084176496701136</v>
      </c>
      <c r="Z362" s="642">
        <v>0</v>
      </c>
      <c r="AA362" s="642">
        <v>0</v>
      </c>
      <c r="AB362" s="642">
        <v>57.868484646152382</v>
      </c>
      <c r="AC362" s="642">
        <v>0</v>
      </c>
      <c r="AD362" s="642">
        <v>0</v>
      </c>
      <c r="AE362" s="642">
        <v>7.7503613557290594</v>
      </c>
      <c r="AF362" s="642">
        <v>78.313096165620991</v>
      </c>
      <c r="AG362" s="642">
        <v>3.4573890525731583</v>
      </c>
      <c r="AH362" s="642">
        <v>150.63566760387405</v>
      </c>
      <c r="AI362" s="642">
        <v>34.942034151478268</v>
      </c>
      <c r="AJ362" s="642">
        <v>0</v>
      </c>
      <c r="AK362" s="650">
        <v>352.13460274394669</v>
      </c>
    </row>
    <row r="363" spans="3:37" ht="13.5">
      <c r="C363" s="648" t="s">
        <v>81</v>
      </c>
      <c r="D363" s="642">
        <v>0</v>
      </c>
      <c r="E363" s="642">
        <v>0</v>
      </c>
      <c r="F363" s="642">
        <v>5.759525486283259</v>
      </c>
      <c r="G363" s="642">
        <v>63.242535904869413</v>
      </c>
      <c r="H363" s="642">
        <v>0</v>
      </c>
      <c r="I363" s="642">
        <v>0</v>
      </c>
      <c r="J363" s="642">
        <v>3.243340348024236</v>
      </c>
      <c r="K363" s="642">
        <v>2.5138060257677737E-2</v>
      </c>
      <c r="L363" s="642">
        <v>0</v>
      </c>
      <c r="M363" s="642">
        <v>1.2906639980585595</v>
      </c>
      <c r="N363" s="642">
        <v>8.6788063603893928</v>
      </c>
      <c r="O363" s="642">
        <v>0.74318365128395913</v>
      </c>
      <c r="P363" s="642">
        <v>138.68432478978596</v>
      </c>
      <c r="Q363" s="642">
        <v>3.5758270456804375</v>
      </c>
      <c r="R363" s="642">
        <v>0</v>
      </c>
      <c r="S363" s="650">
        <v>225.24334564463288</v>
      </c>
      <c r="U363" s="648" t="s">
        <v>81</v>
      </c>
      <c r="V363" s="642">
        <v>0</v>
      </c>
      <c r="W363" s="642">
        <v>0</v>
      </c>
      <c r="X363" s="642">
        <v>1.8996820773870462</v>
      </c>
      <c r="Y363" s="642">
        <v>16.701006494583829</v>
      </c>
      <c r="Z363" s="642">
        <v>0</v>
      </c>
      <c r="AA363" s="642">
        <v>0</v>
      </c>
      <c r="AB363" s="642">
        <v>7.1959049572050198</v>
      </c>
      <c r="AC363" s="642">
        <v>2.5138060257677737E-2</v>
      </c>
      <c r="AD363" s="642">
        <v>0</v>
      </c>
      <c r="AE363" s="642">
        <v>7.1575742119644987</v>
      </c>
      <c r="AF363" s="642">
        <v>14.587904232604497</v>
      </c>
      <c r="AG363" s="642">
        <v>1.6018484399661996</v>
      </c>
      <c r="AH363" s="642">
        <v>116.46951239557291</v>
      </c>
      <c r="AI363" s="642">
        <v>11.755138029411436</v>
      </c>
      <c r="AJ363" s="642">
        <v>0</v>
      </c>
      <c r="AK363" s="650">
        <v>177.39370889895312</v>
      </c>
    </row>
    <row r="364" spans="3:37" ht="13.5">
      <c r="C364" s="648" t="s">
        <v>82</v>
      </c>
      <c r="D364" s="642">
        <v>0</v>
      </c>
      <c r="E364" s="642">
        <v>0</v>
      </c>
      <c r="F364" s="642">
        <v>29.471786733039881</v>
      </c>
      <c r="G364" s="642">
        <v>1.3166139535686423</v>
      </c>
      <c r="H364" s="642">
        <v>0</v>
      </c>
      <c r="I364" s="642">
        <v>0</v>
      </c>
      <c r="J364" s="642">
        <v>3.6844952632387193</v>
      </c>
      <c r="K364" s="642">
        <v>0</v>
      </c>
      <c r="L364" s="642">
        <v>3.0029030850571363</v>
      </c>
      <c r="M364" s="642">
        <v>2.6869672521809031E-2</v>
      </c>
      <c r="N364" s="642">
        <v>0</v>
      </c>
      <c r="O364" s="642">
        <v>7.2392521047915395E-2</v>
      </c>
      <c r="P364" s="642">
        <v>6.3643203530837074</v>
      </c>
      <c r="Q364" s="642">
        <v>0</v>
      </c>
      <c r="R364" s="642">
        <v>0</v>
      </c>
      <c r="S364" s="650">
        <v>43.939381581557811</v>
      </c>
      <c r="U364" s="648" t="s">
        <v>82</v>
      </c>
      <c r="V364" s="642">
        <v>0</v>
      </c>
      <c r="W364" s="642">
        <v>0</v>
      </c>
      <c r="X364" s="642">
        <v>10.199143313422546</v>
      </c>
      <c r="Y364" s="642">
        <v>1.1904851448286324</v>
      </c>
      <c r="Z364" s="642">
        <v>0</v>
      </c>
      <c r="AA364" s="642">
        <v>0</v>
      </c>
      <c r="AB364" s="642">
        <v>3.6844952632387193</v>
      </c>
      <c r="AC364" s="642">
        <v>0</v>
      </c>
      <c r="AD364" s="642">
        <v>26.674568203776872</v>
      </c>
      <c r="AE364" s="642">
        <v>0.51020791921227104</v>
      </c>
      <c r="AF364" s="642">
        <v>0</v>
      </c>
      <c r="AG364" s="642">
        <v>1.300620381405156</v>
      </c>
      <c r="AH364" s="642">
        <v>6.4632626546266092</v>
      </c>
      <c r="AI364" s="642">
        <v>0</v>
      </c>
      <c r="AJ364" s="642">
        <v>0.325155095351289</v>
      </c>
      <c r="AK364" s="650">
        <v>50.347937975862088</v>
      </c>
    </row>
    <row r="365" spans="3:37" ht="13.5">
      <c r="C365" s="648" t="s">
        <v>357</v>
      </c>
      <c r="D365" s="642">
        <v>0</v>
      </c>
      <c r="E365" s="642">
        <v>0</v>
      </c>
      <c r="F365" s="642">
        <v>0</v>
      </c>
      <c r="G365" s="642">
        <v>0</v>
      </c>
      <c r="H365" s="642">
        <v>0</v>
      </c>
      <c r="I365" s="642">
        <v>0</v>
      </c>
      <c r="J365" s="642">
        <v>0</v>
      </c>
      <c r="K365" s="642">
        <v>0</v>
      </c>
      <c r="L365" s="642">
        <v>0</v>
      </c>
      <c r="M365" s="642">
        <v>0</v>
      </c>
      <c r="N365" s="642">
        <v>0</v>
      </c>
      <c r="O365" s="642">
        <v>0</v>
      </c>
      <c r="P365" s="642">
        <v>0.31499999999999995</v>
      </c>
      <c r="Q365" s="642">
        <v>0</v>
      </c>
      <c r="R365" s="642">
        <v>0</v>
      </c>
      <c r="S365" s="650">
        <v>0.31499999999999995</v>
      </c>
      <c r="U365" s="648" t="s">
        <v>357</v>
      </c>
      <c r="V365" s="642">
        <v>0</v>
      </c>
      <c r="W365" s="642">
        <v>0</v>
      </c>
      <c r="X365" s="642">
        <v>0</v>
      </c>
      <c r="Y365" s="642">
        <v>0</v>
      </c>
      <c r="Z365" s="642">
        <v>0</v>
      </c>
      <c r="AA365" s="642">
        <v>0</v>
      </c>
      <c r="AB365" s="642">
        <v>0</v>
      </c>
      <c r="AC365" s="642">
        <v>0</v>
      </c>
      <c r="AD365" s="642">
        <v>0</v>
      </c>
      <c r="AE365" s="642">
        <v>0</v>
      </c>
      <c r="AF365" s="642">
        <v>0</v>
      </c>
      <c r="AG365" s="642">
        <v>0</v>
      </c>
      <c r="AH365" s="642">
        <v>2.4</v>
      </c>
      <c r="AI365" s="642">
        <v>0</v>
      </c>
      <c r="AJ365" s="642">
        <v>0</v>
      </c>
      <c r="AK365" s="650">
        <v>2.4</v>
      </c>
    </row>
    <row r="366" spans="3:37" ht="13.5">
      <c r="C366" s="646" t="s">
        <v>83</v>
      </c>
      <c r="D366" s="647">
        <v>5.4657298257742912</v>
      </c>
      <c r="E366" s="647">
        <v>0</v>
      </c>
      <c r="F366" s="647">
        <v>324.00270757365394</v>
      </c>
      <c r="G366" s="647">
        <v>275.2032812283208</v>
      </c>
      <c r="H366" s="647">
        <v>0</v>
      </c>
      <c r="I366" s="647">
        <v>0</v>
      </c>
      <c r="J366" s="647">
        <v>114.6393068570419</v>
      </c>
      <c r="K366" s="647">
        <v>1.7860154914285227</v>
      </c>
      <c r="L366" s="647">
        <v>28.042343403554419</v>
      </c>
      <c r="M366" s="647">
        <v>5.6349675449245389</v>
      </c>
      <c r="N366" s="647">
        <v>62.897832024028709</v>
      </c>
      <c r="O366" s="647">
        <v>2.8391181780509842</v>
      </c>
      <c r="P366" s="647">
        <v>506.18747931527582</v>
      </c>
      <c r="Q366" s="647">
        <v>35.164036653103793</v>
      </c>
      <c r="R366" s="647">
        <v>2.2805072331853329</v>
      </c>
      <c r="S366" s="647">
        <v>1364.1433253283431</v>
      </c>
      <c r="U366" s="646" t="s">
        <v>83</v>
      </c>
      <c r="V366" s="647">
        <v>1.0762581410403587</v>
      </c>
      <c r="W366" s="647">
        <v>0</v>
      </c>
      <c r="X366" s="647">
        <v>80.988832348911515</v>
      </c>
      <c r="Y366" s="647">
        <v>104.41565000739821</v>
      </c>
      <c r="Z366" s="647">
        <v>0</v>
      </c>
      <c r="AA366" s="647">
        <v>0</v>
      </c>
      <c r="AB366" s="647">
        <v>84.343834393150701</v>
      </c>
      <c r="AC366" s="647">
        <v>5.3117325596805349</v>
      </c>
      <c r="AD366" s="647">
        <v>82.383135240415754</v>
      </c>
      <c r="AE366" s="647">
        <v>44.768138339353968</v>
      </c>
      <c r="AF366" s="647">
        <v>92.901000398225491</v>
      </c>
      <c r="AG366" s="647">
        <v>6.3602365363905022</v>
      </c>
      <c r="AH366" s="647">
        <v>499.61642415532054</v>
      </c>
      <c r="AI366" s="647">
        <v>69.488948539693865</v>
      </c>
      <c r="AJ366" s="647">
        <v>11.793499321701848</v>
      </c>
      <c r="AK366" s="647">
        <v>1083.4476899812832</v>
      </c>
    </row>
    <row r="367" spans="3:37" ht="13.5">
      <c r="C367" s="641" t="s">
        <v>84</v>
      </c>
      <c r="D367" s="642">
        <v>0</v>
      </c>
      <c r="E367" s="642">
        <v>0</v>
      </c>
      <c r="F367" s="642">
        <v>109.69308299672531</v>
      </c>
      <c r="G367" s="642">
        <v>11.766175832538266</v>
      </c>
      <c r="H367" s="642">
        <v>0</v>
      </c>
      <c r="I367" s="642">
        <v>0</v>
      </c>
      <c r="J367" s="642">
        <v>0</v>
      </c>
      <c r="K367" s="642">
        <v>0</v>
      </c>
      <c r="L367" s="642">
        <v>0</v>
      </c>
      <c r="M367" s="642">
        <v>0</v>
      </c>
      <c r="N367" s="642">
        <v>0</v>
      </c>
      <c r="O367" s="642">
        <v>0</v>
      </c>
      <c r="P367" s="642">
        <v>0</v>
      </c>
      <c r="Q367" s="642">
        <v>0</v>
      </c>
      <c r="R367" s="642">
        <v>1.8135973700674786</v>
      </c>
      <c r="S367" s="650">
        <v>123.27285619933106</v>
      </c>
      <c r="U367" s="641" t="s">
        <v>84</v>
      </c>
      <c r="V367" s="642">
        <v>0</v>
      </c>
      <c r="W367" s="642">
        <v>0</v>
      </c>
      <c r="X367" s="642">
        <v>84.298528713313246</v>
      </c>
      <c r="Y367" s="642">
        <v>1.1302347010557652</v>
      </c>
      <c r="Z367" s="642">
        <v>0</v>
      </c>
      <c r="AA367" s="642">
        <v>0</v>
      </c>
      <c r="AB367" s="642">
        <v>0</v>
      </c>
      <c r="AC367" s="642">
        <v>0</v>
      </c>
      <c r="AD367" s="642">
        <v>17.754065118408207</v>
      </c>
      <c r="AE367" s="642">
        <v>0</v>
      </c>
      <c r="AF367" s="642">
        <v>0</v>
      </c>
      <c r="AG367" s="642">
        <v>0</v>
      </c>
      <c r="AH367" s="642">
        <v>0</v>
      </c>
      <c r="AI367" s="642">
        <v>0</v>
      </c>
      <c r="AJ367" s="642">
        <v>11.930622290039064</v>
      </c>
      <c r="AK367" s="650">
        <v>115.11345082281629</v>
      </c>
    </row>
    <row r="368" spans="3:37" ht="13.5">
      <c r="C368" s="646" t="s">
        <v>85</v>
      </c>
      <c r="D368" s="647">
        <v>5.4657298257742912</v>
      </c>
      <c r="E368" s="647">
        <v>0</v>
      </c>
      <c r="F368" s="647">
        <v>433.69579057037924</v>
      </c>
      <c r="G368" s="647">
        <v>286.9694570608591</v>
      </c>
      <c r="H368" s="647">
        <v>0</v>
      </c>
      <c r="I368" s="647">
        <v>0</v>
      </c>
      <c r="J368" s="647">
        <v>114.6393068570419</v>
      </c>
      <c r="K368" s="647">
        <v>1.7860154914285227</v>
      </c>
      <c r="L368" s="647">
        <v>28.042343403554419</v>
      </c>
      <c r="M368" s="647">
        <v>5.6349675449245389</v>
      </c>
      <c r="N368" s="647">
        <v>62.897832024028709</v>
      </c>
      <c r="O368" s="647">
        <v>2.8391181780509842</v>
      </c>
      <c r="P368" s="647">
        <v>506.18747931527582</v>
      </c>
      <c r="Q368" s="647">
        <v>35.164036653103793</v>
      </c>
      <c r="R368" s="647">
        <v>4.094104603252811</v>
      </c>
      <c r="S368" s="647">
        <v>1487.4161815276743</v>
      </c>
      <c r="U368" s="646" t="s">
        <v>85</v>
      </c>
      <c r="V368" s="647">
        <v>1.0762581410403587</v>
      </c>
      <c r="W368" s="647">
        <v>0</v>
      </c>
      <c r="X368" s="647">
        <v>165.28736106222476</v>
      </c>
      <c r="Y368" s="647">
        <v>105.54588470845398</v>
      </c>
      <c r="Z368" s="647">
        <v>0</v>
      </c>
      <c r="AA368" s="647">
        <v>0</v>
      </c>
      <c r="AB368" s="647">
        <v>84.343834393150701</v>
      </c>
      <c r="AC368" s="647">
        <v>5.3117325596805349</v>
      </c>
      <c r="AD368" s="647">
        <v>100.13720035882396</v>
      </c>
      <c r="AE368" s="647">
        <v>44.768138339353968</v>
      </c>
      <c r="AF368" s="647">
        <v>92.901000398225491</v>
      </c>
      <c r="AG368" s="647">
        <v>6.3602365363905022</v>
      </c>
      <c r="AH368" s="647">
        <v>499.61642415532054</v>
      </c>
      <c r="AI368" s="647">
        <v>69.488948539693865</v>
      </c>
      <c r="AJ368" s="647">
        <v>23.724121611740912</v>
      </c>
      <c r="AK368" s="647">
        <v>1198.5611408040995</v>
      </c>
    </row>
    <row r="369" spans="3:37" ht="13">
      <c r="C369" s="636"/>
      <c r="D369" s="636"/>
      <c r="E369" s="636"/>
      <c r="F369" s="636"/>
      <c r="G369" s="636"/>
      <c r="H369" s="636"/>
      <c r="I369" s="636"/>
      <c r="J369" s="636"/>
      <c r="K369" s="636"/>
      <c r="L369" s="636"/>
      <c r="M369" s="636"/>
      <c r="N369" s="636"/>
      <c r="O369" s="636"/>
      <c r="P369" s="636"/>
      <c r="Q369" s="636"/>
      <c r="R369" s="636"/>
      <c r="S369" s="636"/>
      <c r="U369" s="636"/>
      <c r="V369" s="636"/>
      <c r="W369" s="636"/>
      <c r="X369" s="636"/>
      <c r="Y369" s="636"/>
      <c r="Z369" s="636"/>
      <c r="AA369" s="636"/>
      <c r="AB369" s="636"/>
      <c r="AC369" s="636"/>
      <c r="AD369" s="636"/>
      <c r="AE369" s="636"/>
      <c r="AF369" s="636"/>
      <c r="AG369" s="636"/>
      <c r="AH369" s="636"/>
      <c r="AI369" s="636"/>
      <c r="AJ369" s="636"/>
      <c r="AK369" s="636"/>
    </row>
    <row r="370" spans="3:37" ht="22.5">
      <c r="C370" s="699" t="s">
        <v>523</v>
      </c>
      <c r="D370" s="699"/>
      <c r="E370" s="699"/>
      <c r="F370" s="699"/>
      <c r="G370" s="699"/>
      <c r="H370" s="699"/>
      <c r="I370" s="699"/>
      <c r="J370" s="699"/>
      <c r="K370" s="699"/>
      <c r="L370" s="699"/>
      <c r="M370" s="699"/>
      <c r="N370" s="699"/>
      <c r="O370" s="699"/>
      <c r="P370" s="699"/>
      <c r="Q370" s="699"/>
      <c r="R370" s="699"/>
      <c r="S370" s="699"/>
      <c r="U370" s="699" t="s">
        <v>523</v>
      </c>
      <c r="V370" s="699"/>
      <c r="W370" s="699"/>
      <c r="X370" s="699"/>
      <c r="Y370" s="699"/>
      <c r="Z370" s="699"/>
      <c r="AA370" s="699"/>
      <c r="AB370" s="699"/>
      <c r="AC370" s="699"/>
      <c r="AD370" s="699"/>
      <c r="AE370" s="699"/>
      <c r="AF370" s="699"/>
      <c r="AG370" s="699"/>
      <c r="AH370" s="699"/>
      <c r="AI370" s="699"/>
      <c r="AJ370" s="699"/>
      <c r="AK370" s="699"/>
    </row>
    <row r="371" spans="3:37" ht="13">
      <c r="C371" s="636"/>
      <c r="D371" s="636"/>
      <c r="E371" s="636"/>
      <c r="F371" s="636"/>
      <c r="G371" s="636"/>
      <c r="H371" s="636"/>
      <c r="I371" s="636"/>
      <c r="J371" s="636"/>
      <c r="K371" s="636"/>
      <c r="L371" s="636"/>
      <c r="M371" s="636"/>
      <c r="N371" s="636"/>
      <c r="O371" s="636"/>
      <c r="P371" s="636"/>
      <c r="Q371" s="636"/>
      <c r="R371" s="636"/>
      <c r="S371" s="636"/>
      <c r="U371" s="636"/>
      <c r="V371" s="636"/>
      <c r="W371" s="636"/>
      <c r="X371" s="636"/>
      <c r="Y371" s="636"/>
      <c r="Z371" s="636"/>
      <c r="AA371" s="636"/>
      <c r="AB371" s="636"/>
      <c r="AC371" s="636"/>
      <c r="AD371" s="636"/>
      <c r="AE371" s="636"/>
      <c r="AF371" s="636"/>
      <c r="AG371" s="636"/>
      <c r="AH371" s="636"/>
      <c r="AI371" s="636"/>
      <c r="AJ371" s="636"/>
      <c r="AK371" s="636"/>
    </row>
    <row r="372" spans="3:37" ht="13" customHeight="1">
      <c r="C372" s="700" t="s">
        <v>128</v>
      </c>
      <c r="D372" s="701" t="s">
        <v>42</v>
      </c>
      <c r="E372" s="701" t="s">
        <v>52</v>
      </c>
      <c r="F372" s="701" t="s">
        <v>53</v>
      </c>
      <c r="G372" s="701" t="s">
        <v>32</v>
      </c>
      <c r="H372" s="701" t="s">
        <v>20</v>
      </c>
      <c r="I372" s="701" t="s">
        <v>55</v>
      </c>
      <c r="J372" s="701" t="s">
        <v>56</v>
      </c>
      <c r="K372" s="701"/>
      <c r="L372" s="701"/>
      <c r="M372" s="701"/>
      <c r="N372" s="701"/>
      <c r="O372" s="701"/>
      <c r="P372" s="701" t="s">
        <v>57</v>
      </c>
      <c r="Q372" s="701" t="s">
        <v>58</v>
      </c>
      <c r="R372" s="701" t="s">
        <v>31</v>
      </c>
      <c r="S372" s="701" t="s">
        <v>10</v>
      </c>
      <c r="U372" s="700" t="s">
        <v>128</v>
      </c>
      <c r="V372" s="701" t="s">
        <v>42</v>
      </c>
      <c r="W372" s="701" t="s">
        <v>52</v>
      </c>
      <c r="X372" s="701" t="s">
        <v>53</v>
      </c>
      <c r="Y372" s="701" t="s">
        <v>32</v>
      </c>
      <c r="Z372" s="701" t="s">
        <v>20</v>
      </c>
      <c r="AA372" s="701" t="s">
        <v>55</v>
      </c>
      <c r="AB372" s="701" t="s">
        <v>56</v>
      </c>
      <c r="AC372" s="701"/>
      <c r="AD372" s="701"/>
      <c r="AE372" s="701"/>
      <c r="AF372" s="701"/>
      <c r="AG372" s="701"/>
      <c r="AH372" s="701" t="s">
        <v>57</v>
      </c>
      <c r="AI372" s="701" t="s">
        <v>58</v>
      </c>
      <c r="AJ372" s="701" t="s">
        <v>31</v>
      </c>
      <c r="AK372" s="701" t="s">
        <v>10</v>
      </c>
    </row>
    <row r="373" spans="3:37" ht="46">
      <c r="C373" s="700"/>
      <c r="D373" s="701"/>
      <c r="E373" s="701"/>
      <c r="F373" s="701"/>
      <c r="G373" s="701"/>
      <c r="H373" s="701"/>
      <c r="I373" s="701"/>
      <c r="J373" s="640" t="s">
        <v>338</v>
      </c>
      <c r="K373" s="640" t="s">
        <v>40</v>
      </c>
      <c r="L373" s="640" t="s">
        <v>346</v>
      </c>
      <c r="M373" s="640" t="s">
        <v>347</v>
      </c>
      <c r="N373" s="640" t="s">
        <v>348</v>
      </c>
      <c r="O373" s="640" t="s">
        <v>349</v>
      </c>
      <c r="P373" s="701"/>
      <c r="Q373" s="701"/>
      <c r="R373" s="701"/>
      <c r="S373" s="701"/>
      <c r="U373" s="700"/>
      <c r="V373" s="701"/>
      <c r="W373" s="701"/>
      <c r="X373" s="701"/>
      <c r="Y373" s="701"/>
      <c r="Z373" s="701"/>
      <c r="AA373" s="701"/>
      <c r="AB373" s="640" t="s">
        <v>338</v>
      </c>
      <c r="AC373" s="640" t="s">
        <v>40</v>
      </c>
      <c r="AD373" s="640" t="s">
        <v>346</v>
      </c>
      <c r="AE373" s="640" t="s">
        <v>347</v>
      </c>
      <c r="AF373" s="640" t="s">
        <v>348</v>
      </c>
      <c r="AG373" s="640" t="s">
        <v>349</v>
      </c>
      <c r="AH373" s="701"/>
      <c r="AI373" s="701"/>
      <c r="AJ373" s="701"/>
      <c r="AK373" s="701"/>
    </row>
    <row r="374" spans="3:37" ht="13.5">
      <c r="C374" s="641" t="s">
        <v>59</v>
      </c>
      <c r="D374" s="642">
        <v>0</v>
      </c>
      <c r="E374" s="643">
        <v>0</v>
      </c>
      <c r="F374" s="643">
        <v>0</v>
      </c>
      <c r="G374" s="642">
        <v>0</v>
      </c>
      <c r="H374" s="643">
        <v>889.54545454545473</v>
      </c>
      <c r="I374" s="643">
        <v>290.38619522472999</v>
      </c>
      <c r="J374" s="643">
        <v>188.26463769943669</v>
      </c>
      <c r="K374" s="643">
        <v>20.519346122490408</v>
      </c>
      <c r="L374" s="643">
        <v>0.54648995449606019</v>
      </c>
      <c r="M374" s="643">
        <v>0.15914693380563083</v>
      </c>
      <c r="N374" s="643">
        <v>65.898689554178929</v>
      </c>
      <c r="O374" s="643">
        <v>11.930124482632028</v>
      </c>
      <c r="P374" s="644">
        <v>0</v>
      </c>
      <c r="Q374" s="643">
        <v>0</v>
      </c>
      <c r="R374" s="643">
        <v>0</v>
      </c>
      <c r="S374" s="645">
        <v>1467.2500845172242</v>
      </c>
      <c r="U374" s="641" t="s">
        <v>59</v>
      </c>
      <c r="V374" s="642">
        <v>0</v>
      </c>
      <c r="W374" s="643">
        <v>0</v>
      </c>
      <c r="X374" s="643">
        <v>0</v>
      </c>
      <c r="Y374" s="642">
        <v>0</v>
      </c>
      <c r="Z374" s="643">
        <v>873.030303030303</v>
      </c>
      <c r="AA374" s="643">
        <v>337.06619522473</v>
      </c>
      <c r="AB374" s="643">
        <v>206.15489309499102</v>
      </c>
      <c r="AC374" s="643">
        <v>37.137182251794961</v>
      </c>
      <c r="AD374" s="643">
        <v>0.54648995449606019</v>
      </c>
      <c r="AE374" s="643">
        <v>0.15914693380563083</v>
      </c>
      <c r="AF374" s="643">
        <v>103.02458403584798</v>
      </c>
      <c r="AG374" s="643">
        <v>25.833176078824131</v>
      </c>
      <c r="AH374" s="644">
        <v>0</v>
      </c>
      <c r="AI374" s="643">
        <v>0</v>
      </c>
      <c r="AJ374" s="643">
        <v>0</v>
      </c>
      <c r="AK374" s="645">
        <v>1582.9519706047927</v>
      </c>
    </row>
    <row r="375" spans="3:37" ht="13.5">
      <c r="C375" s="641" t="s">
        <v>60</v>
      </c>
      <c r="D375" s="642">
        <v>47.523331421865407</v>
      </c>
      <c r="E375" s="643">
        <v>492.37419513671523</v>
      </c>
      <c r="F375" s="643">
        <v>57.352326080251387</v>
      </c>
      <c r="G375" s="642">
        <v>328.8885225556333</v>
      </c>
      <c r="H375" s="643">
        <v>0</v>
      </c>
      <c r="I375" s="643">
        <v>0</v>
      </c>
      <c r="J375" s="643">
        <v>4.8075322078390377</v>
      </c>
      <c r="K375" s="643">
        <v>0</v>
      </c>
      <c r="L375" s="643">
        <v>2.6229179175778925</v>
      </c>
      <c r="M375" s="643">
        <v>0</v>
      </c>
      <c r="N375" s="643">
        <v>0</v>
      </c>
      <c r="O375" s="643">
        <v>0</v>
      </c>
      <c r="P375" s="644">
        <v>0</v>
      </c>
      <c r="Q375" s="643">
        <v>0</v>
      </c>
      <c r="R375" s="643">
        <v>0</v>
      </c>
      <c r="S375" s="645">
        <v>933.56882531988219</v>
      </c>
      <c r="U375" s="641" t="s">
        <v>60</v>
      </c>
      <c r="V375" s="642">
        <v>6.5260336126681251</v>
      </c>
      <c r="W375" s="643">
        <v>220.47790015098695</v>
      </c>
      <c r="X375" s="643">
        <v>14.513856185365357</v>
      </c>
      <c r="Y375" s="642">
        <v>102.1346675179243</v>
      </c>
      <c r="Z375" s="643">
        <v>0</v>
      </c>
      <c r="AA375" s="643">
        <v>0</v>
      </c>
      <c r="AB375" s="643">
        <v>4.8075322078390377</v>
      </c>
      <c r="AC375" s="643">
        <v>0</v>
      </c>
      <c r="AD375" s="643">
        <v>2.6229179175778925</v>
      </c>
      <c r="AE375" s="643">
        <v>0</v>
      </c>
      <c r="AF375" s="643">
        <v>0</v>
      </c>
      <c r="AG375" s="643">
        <v>0</v>
      </c>
      <c r="AH375" s="644">
        <v>0</v>
      </c>
      <c r="AI375" s="643">
        <v>0</v>
      </c>
      <c r="AJ375" s="643">
        <v>0</v>
      </c>
      <c r="AK375" s="645">
        <v>351.08290759236166</v>
      </c>
    </row>
    <row r="376" spans="3:37" ht="13.5">
      <c r="C376" s="641" t="s">
        <v>61</v>
      </c>
      <c r="D376" s="642">
        <v>0</v>
      </c>
      <c r="E376" s="643">
        <v>0</v>
      </c>
      <c r="F376" s="643">
        <v>0</v>
      </c>
      <c r="G376" s="642">
        <v>0</v>
      </c>
      <c r="H376" s="643">
        <v>0</v>
      </c>
      <c r="I376" s="643">
        <v>0</v>
      </c>
      <c r="J376" s="643">
        <v>0</v>
      </c>
      <c r="K376" s="643">
        <v>0</v>
      </c>
      <c r="L376" s="643">
        <v>0</v>
      </c>
      <c r="M376" s="643">
        <v>0</v>
      </c>
      <c r="N376" s="643">
        <v>0</v>
      </c>
      <c r="O376" s="643">
        <v>0</v>
      </c>
      <c r="P376" s="644">
        <v>-22.391147784534837</v>
      </c>
      <c r="Q376" s="643">
        <v>0</v>
      </c>
      <c r="R376" s="643">
        <v>0</v>
      </c>
      <c r="S376" s="645">
        <v>-22.391147784534837</v>
      </c>
      <c r="U376" s="641" t="s">
        <v>61</v>
      </c>
      <c r="V376" s="642">
        <v>0</v>
      </c>
      <c r="W376" s="643">
        <v>0</v>
      </c>
      <c r="X376" s="643">
        <v>-19.691193817618341</v>
      </c>
      <c r="Y376" s="642">
        <v>0</v>
      </c>
      <c r="Z376" s="643">
        <v>0</v>
      </c>
      <c r="AA376" s="643">
        <v>0</v>
      </c>
      <c r="AB376" s="643">
        <v>0</v>
      </c>
      <c r="AC376" s="643">
        <v>0</v>
      </c>
      <c r="AD376" s="643">
        <v>0</v>
      </c>
      <c r="AE376" s="643">
        <v>0</v>
      </c>
      <c r="AF376" s="643">
        <v>0</v>
      </c>
      <c r="AG376" s="643">
        <v>0</v>
      </c>
      <c r="AH376" s="644">
        <v>-17.389600315785174</v>
      </c>
      <c r="AI376" s="643">
        <v>0</v>
      </c>
      <c r="AJ376" s="643">
        <v>0</v>
      </c>
      <c r="AK376" s="645">
        <v>-37.080794133403515</v>
      </c>
    </row>
    <row r="377" spans="3:37" ht="13.5">
      <c r="C377" s="641" t="s">
        <v>62</v>
      </c>
      <c r="D377" s="642">
        <v>0</v>
      </c>
      <c r="E377" s="643">
        <v>0</v>
      </c>
      <c r="F377" s="643">
        <v>-15.496739011683466</v>
      </c>
      <c r="G377" s="642">
        <v>0</v>
      </c>
      <c r="H377" s="643">
        <v>0</v>
      </c>
      <c r="I377" s="643">
        <v>0</v>
      </c>
      <c r="J377" s="643">
        <v>0</v>
      </c>
      <c r="K377" s="643">
        <v>0</v>
      </c>
      <c r="L377" s="643">
        <v>0</v>
      </c>
      <c r="M377" s="643">
        <v>0</v>
      </c>
      <c r="N377" s="643">
        <v>0</v>
      </c>
      <c r="O377" s="643">
        <v>0</v>
      </c>
      <c r="P377" s="644">
        <v>0</v>
      </c>
      <c r="Q377" s="643">
        <v>0</v>
      </c>
      <c r="R377" s="643">
        <v>0</v>
      </c>
      <c r="S377" s="645">
        <v>-15.496739011683466</v>
      </c>
      <c r="U377" s="641" t="s">
        <v>62</v>
      </c>
      <c r="V377" s="642">
        <v>0</v>
      </c>
      <c r="W377" s="643">
        <v>0</v>
      </c>
      <c r="X377" s="643">
        <v>-8.5387827474702789</v>
      </c>
      <c r="Y377" s="642">
        <v>-2.2272473327152178</v>
      </c>
      <c r="Z377" s="643">
        <v>0</v>
      </c>
      <c r="AA377" s="643">
        <v>0</v>
      </c>
      <c r="AB377" s="643">
        <v>0</v>
      </c>
      <c r="AC377" s="643">
        <v>0</v>
      </c>
      <c r="AD377" s="643">
        <v>0</v>
      </c>
      <c r="AE377" s="643">
        <v>-1.7037211969591732</v>
      </c>
      <c r="AF377" s="643">
        <v>0</v>
      </c>
      <c r="AG377" s="643">
        <v>0</v>
      </c>
      <c r="AH377" s="644">
        <v>0</v>
      </c>
      <c r="AI377" s="643">
        <v>0</v>
      </c>
      <c r="AJ377" s="643">
        <v>0</v>
      </c>
      <c r="AK377" s="645">
        <v>-12.46975127714467</v>
      </c>
    </row>
    <row r="378" spans="3:37" ht="13.5">
      <c r="C378" s="641" t="s">
        <v>63</v>
      </c>
      <c r="D378" s="642">
        <v>0</v>
      </c>
      <c r="E378" s="643">
        <v>0</v>
      </c>
      <c r="F378" s="643">
        <v>-89.42656352071144</v>
      </c>
      <c r="G378" s="642">
        <v>0</v>
      </c>
      <c r="H378" s="643">
        <v>0</v>
      </c>
      <c r="I378" s="643">
        <v>0</v>
      </c>
      <c r="J378" s="643">
        <v>0</v>
      </c>
      <c r="K378" s="643">
        <v>0</v>
      </c>
      <c r="L378" s="643">
        <v>-0.92190198395554845</v>
      </c>
      <c r="M378" s="643">
        <v>0</v>
      </c>
      <c r="N378" s="643">
        <v>0</v>
      </c>
      <c r="O378" s="643">
        <v>0</v>
      </c>
      <c r="P378" s="644">
        <v>0</v>
      </c>
      <c r="Q378" s="643">
        <v>0</v>
      </c>
      <c r="R378" s="643">
        <v>0</v>
      </c>
      <c r="S378" s="645">
        <v>-90.34846550466699</v>
      </c>
      <c r="U378" s="641" t="s">
        <v>63</v>
      </c>
      <c r="V378" s="642">
        <v>0</v>
      </c>
      <c r="W378" s="643">
        <v>0</v>
      </c>
      <c r="X378" s="643">
        <v>-55.486888716289528</v>
      </c>
      <c r="Y378" s="642">
        <v>0</v>
      </c>
      <c r="Z378" s="643">
        <v>0</v>
      </c>
      <c r="AA378" s="643">
        <v>0</v>
      </c>
      <c r="AB378" s="643">
        <v>0</v>
      </c>
      <c r="AC378" s="643">
        <v>0</v>
      </c>
      <c r="AD378" s="643">
        <v>-26.575233608452013</v>
      </c>
      <c r="AE378" s="643">
        <v>0</v>
      </c>
      <c r="AF378" s="643">
        <v>0</v>
      </c>
      <c r="AG378" s="643">
        <v>0</v>
      </c>
      <c r="AH378" s="644">
        <v>0</v>
      </c>
      <c r="AI378" s="643">
        <v>0</v>
      </c>
      <c r="AJ378" s="643">
        <v>0</v>
      </c>
      <c r="AK378" s="645">
        <v>-82.062122324741537</v>
      </c>
    </row>
    <row r="379" spans="3:37" ht="13.5">
      <c r="C379" s="641" t="s">
        <v>64</v>
      </c>
      <c r="D379" s="642">
        <v>0</v>
      </c>
      <c r="E379" s="643">
        <v>0</v>
      </c>
      <c r="F379" s="643">
        <v>0</v>
      </c>
      <c r="G379" s="642">
        <v>0</v>
      </c>
      <c r="H379" s="643">
        <v>0</v>
      </c>
      <c r="I379" s="643">
        <v>0</v>
      </c>
      <c r="J379" s="643">
        <v>0</v>
      </c>
      <c r="K379" s="643">
        <v>0</v>
      </c>
      <c r="L379" s="643">
        <v>0</v>
      </c>
      <c r="M379" s="643">
        <v>0</v>
      </c>
      <c r="N379" s="643">
        <v>0</v>
      </c>
      <c r="O379" s="643">
        <v>0</v>
      </c>
      <c r="P379" s="644">
        <v>0</v>
      </c>
      <c r="Q379" s="643">
        <v>0</v>
      </c>
      <c r="R379" s="643">
        <v>0</v>
      </c>
      <c r="S379" s="645">
        <v>0</v>
      </c>
      <c r="U379" s="641" t="s">
        <v>64</v>
      </c>
      <c r="V379" s="642">
        <v>0</v>
      </c>
      <c r="W379" s="643">
        <v>0</v>
      </c>
      <c r="X379" s="643">
        <v>0</v>
      </c>
      <c r="Y379" s="642">
        <v>0</v>
      </c>
      <c r="Z379" s="643">
        <v>0</v>
      </c>
      <c r="AA379" s="643">
        <v>0</v>
      </c>
      <c r="AB379" s="643">
        <v>0</v>
      </c>
      <c r="AC379" s="643">
        <v>0</v>
      </c>
      <c r="AD379" s="643">
        <v>0</v>
      </c>
      <c r="AE379" s="643">
        <v>0</v>
      </c>
      <c r="AF379" s="643">
        <v>0</v>
      </c>
      <c r="AG379" s="643">
        <v>0</v>
      </c>
      <c r="AH379" s="644">
        <v>0</v>
      </c>
      <c r="AI379" s="643">
        <v>0</v>
      </c>
      <c r="AJ379" s="643">
        <v>0</v>
      </c>
      <c r="AK379" s="645">
        <v>0</v>
      </c>
    </row>
    <row r="380" spans="3:37" ht="13.5">
      <c r="C380" s="646" t="s">
        <v>65</v>
      </c>
      <c r="D380" s="647">
        <v>47.523331421865407</v>
      </c>
      <c r="E380" s="647">
        <v>492.37419513671523</v>
      </c>
      <c r="F380" s="647">
        <v>-47.570976452143519</v>
      </c>
      <c r="G380" s="647">
        <v>328.8885225556333</v>
      </c>
      <c r="H380" s="647">
        <v>889.54545454545473</v>
      </c>
      <c r="I380" s="647">
        <v>290.38619522472999</v>
      </c>
      <c r="J380" s="647">
        <v>193.07216990727574</v>
      </c>
      <c r="K380" s="647">
        <v>20.519346122490408</v>
      </c>
      <c r="L380" s="647">
        <v>2.247505888118404</v>
      </c>
      <c r="M380" s="647">
        <v>0.15914693380563083</v>
      </c>
      <c r="N380" s="647">
        <v>65.898689554178929</v>
      </c>
      <c r="O380" s="647">
        <v>11.930124482632028</v>
      </c>
      <c r="P380" s="647">
        <v>-22.391147784534837</v>
      </c>
      <c r="Q380" s="647">
        <v>0</v>
      </c>
      <c r="R380" s="647">
        <v>0</v>
      </c>
      <c r="S380" s="647">
        <v>2272.5825575362214</v>
      </c>
      <c r="U380" s="646" t="s">
        <v>65</v>
      </c>
      <c r="V380" s="647">
        <v>6.5260336126681251</v>
      </c>
      <c r="W380" s="647">
        <v>220.47790015098695</v>
      </c>
      <c r="X380" s="647">
        <v>-69.203009096012792</v>
      </c>
      <c r="Y380" s="647">
        <v>99.907420185209077</v>
      </c>
      <c r="Z380" s="647">
        <v>873.030303030303</v>
      </c>
      <c r="AA380" s="647">
        <v>337.06619522473</v>
      </c>
      <c r="AB380" s="647">
        <v>210.96242530283007</v>
      </c>
      <c r="AC380" s="647">
        <v>37.137182251794961</v>
      </c>
      <c r="AD380" s="647">
        <v>-23.405825736378059</v>
      </c>
      <c r="AE380" s="647">
        <v>-1.5445742631535424</v>
      </c>
      <c r="AF380" s="647">
        <v>103.02458403584798</v>
      </c>
      <c r="AG380" s="647">
        <v>25.833176078824131</v>
      </c>
      <c r="AH380" s="647">
        <v>-17.389600315785174</v>
      </c>
      <c r="AI380" s="647">
        <v>0</v>
      </c>
      <c r="AJ380" s="647">
        <v>0</v>
      </c>
      <c r="AK380" s="647">
        <v>1802.4222104618648</v>
      </c>
    </row>
    <row r="381" spans="3:37" ht="13">
      <c r="C381" s="636"/>
      <c r="D381" s="636">
        <v>0</v>
      </c>
      <c r="E381" s="636">
        <v>0</v>
      </c>
      <c r="F381" s="636">
        <v>0</v>
      </c>
      <c r="G381" s="636">
        <v>0</v>
      </c>
      <c r="H381" s="636">
        <v>0</v>
      </c>
      <c r="I381" s="636">
        <v>0</v>
      </c>
      <c r="J381" s="636">
        <v>0</v>
      </c>
      <c r="K381" s="636">
        <v>0</v>
      </c>
      <c r="L381" s="636">
        <v>0</v>
      </c>
      <c r="M381" s="636">
        <v>0</v>
      </c>
      <c r="N381" s="636">
        <v>0</v>
      </c>
      <c r="O381" s="636">
        <v>0</v>
      </c>
      <c r="P381" s="636">
        <v>0</v>
      </c>
      <c r="Q381" s="636">
        <v>0</v>
      </c>
      <c r="R381" s="636">
        <v>0</v>
      </c>
      <c r="S381" s="636">
        <v>0</v>
      </c>
      <c r="U381" s="636"/>
      <c r="V381" s="636">
        <v>0</v>
      </c>
      <c r="W381" s="636">
        <v>0</v>
      </c>
      <c r="X381" s="636">
        <v>0</v>
      </c>
      <c r="Y381" s="636">
        <v>0</v>
      </c>
      <c r="Z381" s="636">
        <v>0</v>
      </c>
      <c r="AA381" s="636">
        <v>0</v>
      </c>
      <c r="AB381" s="636">
        <v>0</v>
      </c>
      <c r="AC381" s="636">
        <v>0</v>
      </c>
      <c r="AD381" s="636">
        <v>0</v>
      </c>
      <c r="AE381" s="636">
        <v>0</v>
      </c>
      <c r="AF381" s="636">
        <v>0</v>
      </c>
      <c r="AG381" s="636">
        <v>0</v>
      </c>
      <c r="AH381" s="636">
        <v>0</v>
      </c>
      <c r="AI381" s="636">
        <v>0</v>
      </c>
      <c r="AJ381" s="636">
        <v>0</v>
      </c>
      <c r="AK381" s="636">
        <v>0</v>
      </c>
    </row>
    <row r="382" spans="3:37" ht="13.5">
      <c r="C382" s="648" t="s">
        <v>67</v>
      </c>
      <c r="D382" s="642">
        <v>0</v>
      </c>
      <c r="E382" s="649">
        <v>0</v>
      </c>
      <c r="F382" s="649">
        <v>0</v>
      </c>
      <c r="G382" s="642">
        <v>0</v>
      </c>
      <c r="H382" s="642">
        <v>0</v>
      </c>
      <c r="I382" s="642">
        <v>0</v>
      </c>
      <c r="J382" s="642">
        <v>0</v>
      </c>
      <c r="K382" s="642">
        <v>0</v>
      </c>
      <c r="L382" s="642">
        <v>0</v>
      </c>
      <c r="M382" s="642">
        <v>0</v>
      </c>
      <c r="N382" s="642">
        <v>0</v>
      </c>
      <c r="O382" s="642">
        <v>0</v>
      </c>
      <c r="P382" s="642">
        <v>0</v>
      </c>
      <c r="Q382" s="642">
        <v>0</v>
      </c>
      <c r="R382" s="642">
        <v>0</v>
      </c>
      <c r="S382" s="650">
        <v>0</v>
      </c>
      <c r="U382" s="648" t="s">
        <v>67</v>
      </c>
      <c r="V382" s="642">
        <v>0</v>
      </c>
      <c r="W382" s="649">
        <v>0</v>
      </c>
      <c r="X382" s="649">
        <v>0</v>
      </c>
      <c r="Y382" s="642">
        <v>0</v>
      </c>
      <c r="Z382" s="642">
        <v>0</v>
      </c>
      <c r="AA382" s="642">
        <v>0</v>
      </c>
      <c r="AB382" s="642">
        <v>0</v>
      </c>
      <c r="AC382" s="642">
        <v>0</v>
      </c>
      <c r="AD382" s="642">
        <v>0</v>
      </c>
      <c r="AE382" s="642">
        <v>0</v>
      </c>
      <c r="AF382" s="642">
        <v>0</v>
      </c>
      <c r="AG382" s="642">
        <v>0</v>
      </c>
      <c r="AH382" s="642">
        <v>0</v>
      </c>
      <c r="AI382" s="642">
        <v>0</v>
      </c>
      <c r="AJ382" s="642">
        <v>0</v>
      </c>
      <c r="AK382" s="650">
        <v>0</v>
      </c>
    </row>
    <row r="383" spans="3:37" ht="13.5">
      <c r="C383" s="648" t="s">
        <v>350</v>
      </c>
      <c r="D383" s="642">
        <v>2.8267856410252494</v>
      </c>
      <c r="E383" s="642">
        <v>0</v>
      </c>
      <c r="F383" s="642">
        <v>7.7625293209280457</v>
      </c>
      <c r="G383" s="642">
        <v>16.824034334763951</v>
      </c>
      <c r="H383" s="642">
        <v>889.54545454545473</v>
      </c>
      <c r="I383" s="642">
        <v>290.38619522472999</v>
      </c>
      <c r="J383" s="651">
        <v>29.234857813431841</v>
      </c>
      <c r="K383" s="651">
        <v>6.7467623730381456</v>
      </c>
      <c r="L383" s="651">
        <v>3.1694078720739522</v>
      </c>
      <c r="M383" s="651">
        <v>0.46915285357606595</v>
      </c>
      <c r="N383" s="651">
        <v>0</v>
      </c>
      <c r="O383" s="651">
        <v>6.9727309871777221</v>
      </c>
      <c r="P383" s="642">
        <v>-615.41357369902562</v>
      </c>
      <c r="Q383" s="642">
        <v>0</v>
      </c>
      <c r="R383" s="642">
        <v>0</v>
      </c>
      <c r="S383" s="650">
        <v>638.52433726717402</v>
      </c>
      <c r="U383" s="648" t="s">
        <v>350</v>
      </c>
      <c r="V383" s="642">
        <v>0.62631490545869017</v>
      </c>
      <c r="W383" s="642">
        <v>0</v>
      </c>
      <c r="X383" s="642">
        <v>3.8988929572916824</v>
      </c>
      <c r="Y383" s="642">
        <v>3.6741630901287547</v>
      </c>
      <c r="Z383" s="642">
        <v>873.030303030303</v>
      </c>
      <c r="AA383" s="642">
        <v>337.06619522473</v>
      </c>
      <c r="AB383" s="651">
        <v>23.429523439383615</v>
      </c>
      <c r="AC383" s="651">
        <v>5.4991881500691626</v>
      </c>
      <c r="AD383" s="651">
        <v>3.1694078720739522</v>
      </c>
      <c r="AE383" s="651">
        <v>2.7864060724601858</v>
      </c>
      <c r="AF383" s="651">
        <v>0</v>
      </c>
      <c r="AG383" s="651">
        <v>6.9727309871777221</v>
      </c>
      <c r="AH383" s="642">
        <v>-649.11357369902544</v>
      </c>
      <c r="AI383" s="642">
        <v>0</v>
      </c>
      <c r="AJ383" s="642">
        <v>4.45</v>
      </c>
      <c r="AK383" s="650">
        <v>615.48955203005141</v>
      </c>
    </row>
    <row r="384" spans="3:37" ht="13.5">
      <c r="C384" s="648" t="s">
        <v>351</v>
      </c>
      <c r="D384" s="642">
        <v>0</v>
      </c>
      <c r="E384" s="642">
        <v>0</v>
      </c>
      <c r="F384" s="642">
        <v>0</v>
      </c>
      <c r="G384" s="642">
        <v>14.896462034387394</v>
      </c>
      <c r="H384" s="642">
        <v>0</v>
      </c>
      <c r="I384" s="642">
        <v>0</v>
      </c>
      <c r="J384" s="651">
        <v>12.461036592610267</v>
      </c>
      <c r="K384" s="651">
        <v>11.927183871567582</v>
      </c>
      <c r="L384" s="651">
        <v>0</v>
      </c>
      <c r="M384" s="651">
        <v>0.3188738120209938</v>
      </c>
      <c r="N384" s="651">
        <v>0</v>
      </c>
      <c r="O384" s="651">
        <v>2.1085025260592274</v>
      </c>
      <c r="P384" s="642">
        <v>0</v>
      </c>
      <c r="Q384" s="642">
        <v>-37.934258390495422</v>
      </c>
      <c r="R384" s="642">
        <v>0</v>
      </c>
      <c r="S384" s="650">
        <v>3.7778004461500441</v>
      </c>
      <c r="U384" s="648" t="s">
        <v>351</v>
      </c>
      <c r="V384" s="642">
        <v>0</v>
      </c>
      <c r="W384" s="642">
        <v>0</v>
      </c>
      <c r="X384" s="642">
        <v>0</v>
      </c>
      <c r="Y384" s="642">
        <v>8.218662070491261</v>
      </c>
      <c r="Z384" s="642">
        <v>0</v>
      </c>
      <c r="AA384" s="642">
        <v>0</v>
      </c>
      <c r="AB384" s="651">
        <v>28.560818034272483</v>
      </c>
      <c r="AC384" s="651">
        <v>26.163217208510932</v>
      </c>
      <c r="AD384" s="651">
        <v>0</v>
      </c>
      <c r="AE384" s="651">
        <v>5.9663093303449024</v>
      </c>
      <c r="AF384" s="651">
        <v>0</v>
      </c>
      <c r="AG384" s="651">
        <v>11.832895483778962</v>
      </c>
      <c r="AH384" s="642">
        <v>0</v>
      </c>
      <c r="AI384" s="642">
        <v>-74.578675527513624</v>
      </c>
      <c r="AJ384" s="642">
        <v>0</v>
      </c>
      <c r="AK384" s="650">
        <v>6.1632265998849274</v>
      </c>
    </row>
    <row r="385" spans="3:37" ht="13.5">
      <c r="C385" s="648" t="s">
        <v>352</v>
      </c>
      <c r="D385" s="642">
        <v>0</v>
      </c>
      <c r="E385" s="642">
        <v>0</v>
      </c>
      <c r="F385" s="642">
        <v>0</v>
      </c>
      <c r="G385" s="642">
        <v>0</v>
      </c>
      <c r="H385" s="642">
        <v>0</v>
      </c>
      <c r="I385" s="642">
        <v>0</v>
      </c>
      <c r="J385" s="652">
        <v>6.9979956174374891</v>
      </c>
      <c r="K385" s="652">
        <v>0</v>
      </c>
      <c r="L385" s="652">
        <v>0</v>
      </c>
      <c r="M385" s="652">
        <v>-6.4748954450340372</v>
      </c>
      <c r="N385" s="652">
        <v>0</v>
      </c>
      <c r="O385" s="652">
        <v>0</v>
      </c>
      <c r="P385" s="642">
        <v>0</v>
      </c>
      <c r="Q385" s="642">
        <v>0</v>
      </c>
      <c r="R385" s="642">
        <v>0</v>
      </c>
      <c r="S385" s="650">
        <v>0.52310017240345186</v>
      </c>
      <c r="U385" s="648" t="s">
        <v>352</v>
      </c>
      <c r="V385" s="642">
        <v>0</v>
      </c>
      <c r="W385" s="642">
        <v>0</v>
      </c>
      <c r="X385" s="642">
        <v>0</v>
      </c>
      <c r="Y385" s="642">
        <v>0</v>
      </c>
      <c r="Z385" s="642">
        <v>0</v>
      </c>
      <c r="AA385" s="642">
        <v>0</v>
      </c>
      <c r="AB385" s="652">
        <v>79.198989478899776</v>
      </c>
      <c r="AC385" s="652">
        <v>0</v>
      </c>
      <c r="AD385" s="652">
        <v>0</v>
      </c>
      <c r="AE385" s="652">
        <v>-73.278865015352025</v>
      </c>
      <c r="AF385" s="652">
        <v>0</v>
      </c>
      <c r="AG385" s="652">
        <v>0</v>
      </c>
      <c r="AH385" s="642">
        <v>0</v>
      </c>
      <c r="AI385" s="642">
        <v>0</v>
      </c>
      <c r="AJ385" s="642">
        <v>0</v>
      </c>
      <c r="AK385" s="650">
        <v>5.9201244635477508</v>
      </c>
    </row>
    <row r="386" spans="3:37" ht="13.5">
      <c r="C386" s="648" t="s">
        <v>353</v>
      </c>
      <c r="D386" s="642">
        <v>0</v>
      </c>
      <c r="E386" s="642">
        <v>0</v>
      </c>
      <c r="F386" s="642">
        <v>0</v>
      </c>
      <c r="G386" s="642">
        <v>0</v>
      </c>
      <c r="H386" s="642">
        <v>0</v>
      </c>
      <c r="I386" s="642">
        <v>0</v>
      </c>
      <c r="J386" s="642">
        <v>0</v>
      </c>
      <c r="K386" s="642">
        <v>0</v>
      </c>
      <c r="L386" s="642">
        <v>0</v>
      </c>
      <c r="M386" s="642">
        <v>0</v>
      </c>
      <c r="N386" s="642">
        <v>0</v>
      </c>
      <c r="O386" s="642">
        <v>0</v>
      </c>
      <c r="P386" s="642">
        <v>0</v>
      </c>
      <c r="Q386" s="642">
        <v>0</v>
      </c>
      <c r="R386" s="642">
        <v>0</v>
      </c>
      <c r="S386" s="650">
        <v>0</v>
      </c>
      <c r="U386" s="648" t="s">
        <v>353</v>
      </c>
      <c r="V386" s="642">
        <v>0</v>
      </c>
      <c r="W386" s="642">
        <v>0</v>
      </c>
      <c r="X386" s="642">
        <v>0</v>
      </c>
      <c r="Y386" s="642">
        <v>0</v>
      </c>
      <c r="Z386" s="642">
        <v>0</v>
      </c>
      <c r="AA386" s="642">
        <v>0</v>
      </c>
      <c r="AB386" s="642">
        <v>0</v>
      </c>
      <c r="AC386" s="642">
        <v>0</v>
      </c>
      <c r="AD386" s="642">
        <v>0</v>
      </c>
      <c r="AE386" s="642">
        <v>0</v>
      </c>
      <c r="AF386" s="642">
        <v>0</v>
      </c>
      <c r="AG386" s="642">
        <v>0</v>
      </c>
      <c r="AH386" s="642">
        <v>0</v>
      </c>
      <c r="AI386" s="642">
        <v>0</v>
      </c>
      <c r="AJ386" s="642">
        <v>0</v>
      </c>
      <c r="AK386" s="650">
        <v>0</v>
      </c>
    </row>
    <row r="387" spans="3:37" ht="13.5">
      <c r="C387" s="648" t="s">
        <v>72</v>
      </c>
      <c r="D387" s="642">
        <v>0</v>
      </c>
      <c r="E387" s="642">
        <v>510.04733530503466</v>
      </c>
      <c r="F387" s="642">
        <v>-504.94686195198432</v>
      </c>
      <c r="G387" s="642">
        <v>0</v>
      </c>
      <c r="H387" s="642">
        <v>0</v>
      </c>
      <c r="I387" s="642">
        <v>0</v>
      </c>
      <c r="J387" s="642">
        <v>0</v>
      </c>
      <c r="K387" s="642">
        <v>0</v>
      </c>
      <c r="L387" s="642">
        <v>0</v>
      </c>
      <c r="M387" s="642">
        <v>0</v>
      </c>
      <c r="N387" s="642">
        <v>0</v>
      </c>
      <c r="O387" s="642">
        <v>0</v>
      </c>
      <c r="P387" s="642">
        <v>0</v>
      </c>
      <c r="Q387" s="642">
        <v>0</v>
      </c>
      <c r="R387" s="642">
        <v>0</v>
      </c>
      <c r="S387" s="650">
        <v>5.1004733530503472</v>
      </c>
      <c r="U387" s="648" t="s">
        <v>72</v>
      </c>
      <c r="V387" s="642">
        <v>0</v>
      </c>
      <c r="W387" s="642">
        <v>228.3916715709193</v>
      </c>
      <c r="X387" s="642">
        <v>-226.10775485521012</v>
      </c>
      <c r="Y387" s="642">
        <v>0</v>
      </c>
      <c r="Z387" s="642">
        <v>0</v>
      </c>
      <c r="AA387" s="642">
        <v>0</v>
      </c>
      <c r="AB387" s="642">
        <v>0</v>
      </c>
      <c r="AC387" s="642">
        <v>0</v>
      </c>
      <c r="AD387" s="642">
        <v>0</v>
      </c>
      <c r="AE387" s="642">
        <v>0</v>
      </c>
      <c r="AF387" s="642">
        <v>0</v>
      </c>
      <c r="AG387" s="642">
        <v>0</v>
      </c>
      <c r="AH387" s="642">
        <v>0</v>
      </c>
      <c r="AI387" s="642">
        <v>0</v>
      </c>
      <c r="AJ387" s="642">
        <v>0</v>
      </c>
      <c r="AK387" s="650">
        <v>2.2839167157091822</v>
      </c>
    </row>
    <row r="388" spans="3:37" ht="13.5">
      <c r="C388" s="648" t="s">
        <v>354</v>
      </c>
      <c r="D388" s="642">
        <v>0</v>
      </c>
      <c r="E388" s="642">
        <v>0</v>
      </c>
      <c r="F388" s="642">
        <v>0</v>
      </c>
      <c r="G388" s="642">
        <v>0</v>
      </c>
      <c r="H388" s="642">
        <v>0</v>
      </c>
      <c r="I388" s="642">
        <v>0</v>
      </c>
      <c r="J388" s="642">
        <v>27.710201800923624</v>
      </c>
      <c r="K388" s="642">
        <v>0</v>
      </c>
      <c r="L388" s="642">
        <v>-27.710201800923624</v>
      </c>
      <c r="M388" s="642">
        <v>0</v>
      </c>
      <c r="N388" s="642">
        <v>0</v>
      </c>
      <c r="O388" s="642">
        <v>0</v>
      </c>
      <c r="P388" s="642">
        <v>0</v>
      </c>
      <c r="Q388" s="642">
        <v>0</v>
      </c>
      <c r="R388" s="642">
        <v>0</v>
      </c>
      <c r="S388" s="650">
        <v>0</v>
      </c>
      <c r="U388" s="648" t="s">
        <v>354</v>
      </c>
      <c r="V388" s="642">
        <v>0</v>
      </c>
      <c r="W388" s="642">
        <v>0</v>
      </c>
      <c r="X388" s="642">
        <v>0</v>
      </c>
      <c r="Y388" s="642">
        <v>0</v>
      </c>
      <c r="Z388" s="642">
        <v>0</v>
      </c>
      <c r="AA388" s="642">
        <v>0</v>
      </c>
      <c r="AB388" s="642" t="e">
        <v>#VALUE!</v>
      </c>
      <c r="AC388" s="642">
        <v>0</v>
      </c>
      <c r="AD388" s="642">
        <v>-101.17003146857277</v>
      </c>
      <c r="AE388" s="642">
        <v>0</v>
      </c>
      <c r="AF388" s="642">
        <v>0</v>
      </c>
      <c r="AG388" s="642">
        <v>0</v>
      </c>
      <c r="AH388" s="642">
        <v>0</v>
      </c>
      <c r="AI388" s="642">
        <v>0</v>
      </c>
      <c r="AJ388" s="642">
        <v>0</v>
      </c>
      <c r="AK388" s="650">
        <v>-101.17003146857277</v>
      </c>
    </row>
    <row r="389" spans="3:37" ht="13.5">
      <c r="C389" s="648" t="s">
        <v>355</v>
      </c>
      <c r="D389" s="642">
        <v>0</v>
      </c>
      <c r="E389" s="642">
        <v>0</v>
      </c>
      <c r="F389" s="642">
        <v>0</v>
      </c>
      <c r="G389" s="642">
        <v>0</v>
      </c>
      <c r="H389" s="642">
        <v>0</v>
      </c>
      <c r="I389" s="642">
        <v>0</v>
      </c>
      <c r="J389" s="642">
        <v>0</v>
      </c>
      <c r="K389" s="642">
        <v>0</v>
      </c>
      <c r="L389" s="642">
        <v>0</v>
      </c>
      <c r="M389" s="642">
        <v>0</v>
      </c>
      <c r="N389" s="642">
        <v>0</v>
      </c>
      <c r="O389" s="642">
        <v>0</v>
      </c>
      <c r="P389" s="642">
        <v>0</v>
      </c>
      <c r="Q389" s="642">
        <v>0</v>
      </c>
      <c r="R389" s="642">
        <v>0</v>
      </c>
      <c r="S389" s="650">
        <v>0</v>
      </c>
      <c r="U389" s="648" t="s">
        <v>355</v>
      </c>
      <c r="V389" s="642">
        <v>0</v>
      </c>
      <c r="W389" s="642">
        <v>0</v>
      </c>
      <c r="X389" s="642">
        <v>0</v>
      </c>
      <c r="Y389" s="642">
        <v>0</v>
      </c>
      <c r="Z389" s="642">
        <v>0</v>
      </c>
      <c r="AA389" s="642">
        <v>0</v>
      </c>
      <c r="AB389" s="642">
        <v>0</v>
      </c>
      <c r="AC389" s="642">
        <v>0</v>
      </c>
      <c r="AD389" s="642">
        <v>-18.691082885283098</v>
      </c>
      <c r="AE389" s="642">
        <v>0</v>
      </c>
      <c r="AF389" s="642">
        <v>0</v>
      </c>
      <c r="AG389" s="642">
        <v>0</v>
      </c>
      <c r="AH389" s="642">
        <v>0</v>
      </c>
      <c r="AI389" s="642">
        <v>0</v>
      </c>
      <c r="AJ389" s="642">
        <v>0</v>
      </c>
      <c r="AK389" s="650">
        <v>-18.691082885283098</v>
      </c>
    </row>
    <row r="390" spans="3:37" ht="13.5">
      <c r="C390" s="648" t="s">
        <v>73</v>
      </c>
      <c r="D390" s="642">
        <v>0</v>
      </c>
      <c r="E390" s="642">
        <v>0</v>
      </c>
      <c r="F390" s="642">
        <v>0</v>
      </c>
      <c r="G390" s="642">
        <v>6.2864428714474423</v>
      </c>
      <c r="H390" s="642">
        <v>0</v>
      </c>
      <c r="I390" s="642">
        <v>0</v>
      </c>
      <c r="J390" s="642">
        <v>0</v>
      </c>
      <c r="K390" s="642">
        <v>7.2564905248031233E-2</v>
      </c>
      <c r="L390" s="642">
        <v>0</v>
      </c>
      <c r="M390" s="642">
        <v>0.12829475247851924</v>
      </c>
      <c r="N390" s="642">
        <v>0</v>
      </c>
      <c r="O390" s="642">
        <v>0</v>
      </c>
      <c r="P390" s="642">
        <v>0.77416476914506349</v>
      </c>
      <c r="Q390" s="642">
        <v>0</v>
      </c>
      <c r="R390" s="642">
        <v>-5.0795433673621861</v>
      </c>
      <c r="S390" s="650">
        <v>2.1819239309568701</v>
      </c>
      <c r="U390" s="648" t="s">
        <v>73</v>
      </c>
      <c r="V390" s="642">
        <v>0</v>
      </c>
      <c r="W390" s="642">
        <v>0</v>
      </c>
      <c r="X390" s="642">
        <v>0</v>
      </c>
      <c r="Y390" s="642">
        <v>3.7837340239051791</v>
      </c>
      <c r="Z390" s="642">
        <v>0</v>
      </c>
      <c r="AA390" s="642">
        <v>0</v>
      </c>
      <c r="AB390" s="642">
        <v>0</v>
      </c>
      <c r="AC390" s="642">
        <v>0.46597709654004676</v>
      </c>
      <c r="AD390" s="642">
        <v>0</v>
      </c>
      <c r="AE390" s="642">
        <v>2.7399453276554748</v>
      </c>
      <c r="AF390" s="642">
        <v>0</v>
      </c>
      <c r="AG390" s="642">
        <v>0</v>
      </c>
      <c r="AH390" s="642">
        <v>39.864323859285086</v>
      </c>
      <c r="AI390" s="642">
        <v>0</v>
      </c>
      <c r="AJ390" s="642">
        <v>-32.618396757803268</v>
      </c>
      <c r="AK390" s="650">
        <v>14.235583549582522</v>
      </c>
    </row>
    <row r="391" spans="3:37" ht="13.5">
      <c r="C391" s="648" t="s">
        <v>356</v>
      </c>
      <c r="D391" s="642">
        <v>28.588592812499996</v>
      </c>
      <c r="E391" s="642">
        <v>-17.673140168319453</v>
      </c>
      <c r="F391" s="642">
        <v>23.11542347254851</v>
      </c>
      <c r="G391" s="642">
        <v>0</v>
      </c>
      <c r="H391" s="642">
        <v>0</v>
      </c>
      <c r="I391" s="642">
        <v>0</v>
      </c>
      <c r="J391" s="642">
        <v>0</v>
      </c>
      <c r="K391" s="642">
        <v>0</v>
      </c>
      <c r="L391" s="642">
        <v>0</v>
      </c>
      <c r="M391" s="642">
        <v>0</v>
      </c>
      <c r="N391" s="642">
        <v>0</v>
      </c>
      <c r="O391" s="642">
        <v>0</v>
      </c>
      <c r="P391" s="642">
        <v>0</v>
      </c>
      <c r="Q391" s="642">
        <v>0</v>
      </c>
      <c r="R391" s="642">
        <v>0</v>
      </c>
      <c r="S391" s="650">
        <v>34.030876116729054</v>
      </c>
      <c r="U391" s="648" t="s">
        <v>356</v>
      </c>
      <c r="V391" s="642">
        <v>1.7459712219238281</v>
      </c>
      <c r="W391" s="642">
        <v>-7.9137714199323552</v>
      </c>
      <c r="X391" s="642">
        <v>10.35074558875537</v>
      </c>
      <c r="Y391" s="642">
        <v>0</v>
      </c>
      <c r="Z391" s="642">
        <v>0</v>
      </c>
      <c r="AA391" s="642">
        <v>0</v>
      </c>
      <c r="AB391" s="642">
        <v>0</v>
      </c>
      <c r="AC391" s="642">
        <v>0</v>
      </c>
      <c r="AD391" s="642">
        <v>0</v>
      </c>
      <c r="AE391" s="642">
        <v>0</v>
      </c>
      <c r="AF391" s="642">
        <v>0</v>
      </c>
      <c r="AG391" s="642">
        <v>0</v>
      </c>
      <c r="AH391" s="642">
        <v>0</v>
      </c>
      <c r="AI391" s="642">
        <v>0</v>
      </c>
      <c r="AJ391" s="642">
        <v>0</v>
      </c>
      <c r="AK391" s="650">
        <v>4.182945390746843</v>
      </c>
    </row>
    <row r="392" spans="3:37" ht="13.5">
      <c r="C392" s="648" t="s">
        <v>75</v>
      </c>
      <c r="D392" s="642">
        <v>11.11778609375</v>
      </c>
      <c r="E392" s="642">
        <v>0</v>
      </c>
      <c r="F392" s="642">
        <v>17.34160940037118</v>
      </c>
      <c r="G392" s="642">
        <v>4.9484792471294465</v>
      </c>
      <c r="H392" s="642">
        <v>0</v>
      </c>
      <c r="I392" s="642">
        <v>0</v>
      </c>
      <c r="J392" s="642">
        <v>0</v>
      </c>
      <c r="K392" s="642">
        <v>0</v>
      </c>
      <c r="L392" s="642">
        <v>0</v>
      </c>
      <c r="M392" s="642">
        <v>0.10098937239039688</v>
      </c>
      <c r="N392" s="642">
        <v>0</v>
      </c>
      <c r="O392" s="642">
        <v>0</v>
      </c>
      <c r="P392" s="642">
        <v>29.08691491128284</v>
      </c>
      <c r="Q392" s="642">
        <v>0</v>
      </c>
      <c r="R392" s="642">
        <v>0</v>
      </c>
      <c r="S392" s="650">
        <v>62.595779024923864</v>
      </c>
      <c r="U392" s="648" t="s">
        <v>75</v>
      </c>
      <c r="V392" s="642">
        <v>2.938742431640625</v>
      </c>
      <c r="W392" s="642">
        <v>0</v>
      </c>
      <c r="X392" s="642">
        <v>17.34160940037118</v>
      </c>
      <c r="Y392" s="642">
        <v>2.9286917993215091</v>
      </c>
      <c r="Z392" s="642">
        <v>0</v>
      </c>
      <c r="AA392" s="642">
        <v>0</v>
      </c>
      <c r="AB392" s="642">
        <v>0</v>
      </c>
      <c r="AC392" s="642">
        <v>0</v>
      </c>
      <c r="AD392" s="642">
        <v>0</v>
      </c>
      <c r="AE392" s="642">
        <v>2.1207768201983344</v>
      </c>
      <c r="AF392" s="642">
        <v>0</v>
      </c>
      <c r="AG392" s="642">
        <v>0</v>
      </c>
      <c r="AH392" s="642">
        <v>36.505051274919204</v>
      </c>
      <c r="AI392" s="642">
        <v>0</v>
      </c>
      <c r="AJ392" s="642">
        <v>0</v>
      </c>
      <c r="AK392" s="650">
        <v>61.834871726450849</v>
      </c>
    </row>
    <row r="393" spans="3:37" ht="13.5">
      <c r="C393" s="648" t="s">
        <v>76</v>
      </c>
      <c r="D393" s="642">
        <v>0</v>
      </c>
      <c r="E393" s="642">
        <v>0</v>
      </c>
      <c r="F393" s="642">
        <v>0</v>
      </c>
      <c r="G393" s="642">
        <v>3.7620934008695794</v>
      </c>
      <c r="H393" s="642">
        <v>0</v>
      </c>
      <c r="I393" s="642">
        <v>0</v>
      </c>
      <c r="J393" s="642">
        <v>0</v>
      </c>
      <c r="K393" s="642">
        <v>0</v>
      </c>
      <c r="L393" s="642">
        <v>0</v>
      </c>
      <c r="M393" s="642">
        <v>7.6777416344277136E-2</v>
      </c>
      <c r="N393" s="642">
        <v>0</v>
      </c>
      <c r="O393" s="642">
        <v>0</v>
      </c>
      <c r="P393" s="642">
        <v>45.374638558517056</v>
      </c>
      <c r="Q393" s="642">
        <v>2.9442994019327013</v>
      </c>
      <c r="R393" s="642">
        <v>0</v>
      </c>
      <c r="S393" s="650">
        <v>52.157808777663611</v>
      </c>
      <c r="U393" s="648" t="s">
        <v>76</v>
      </c>
      <c r="V393" s="642">
        <v>0</v>
      </c>
      <c r="W393" s="642">
        <v>0</v>
      </c>
      <c r="X393" s="642">
        <v>0</v>
      </c>
      <c r="Y393" s="642">
        <v>1.1999362424874132</v>
      </c>
      <c r="Z393" s="642">
        <v>0</v>
      </c>
      <c r="AA393" s="642">
        <v>0</v>
      </c>
      <c r="AB393" s="642">
        <v>0</v>
      </c>
      <c r="AC393" s="642">
        <v>0</v>
      </c>
      <c r="AD393" s="642">
        <v>0</v>
      </c>
      <c r="AE393" s="642">
        <v>0.86891934800812698</v>
      </c>
      <c r="AF393" s="642">
        <v>0</v>
      </c>
      <c r="AG393" s="642">
        <v>0</v>
      </c>
      <c r="AH393" s="642">
        <v>48.340685132761017</v>
      </c>
      <c r="AI393" s="642">
        <v>5.7839036819230412</v>
      </c>
      <c r="AJ393" s="642">
        <v>0</v>
      </c>
      <c r="AK393" s="650">
        <v>56.193444405179591</v>
      </c>
    </row>
    <row r="394" spans="3:37" ht="13.5">
      <c r="C394" s="646" t="s">
        <v>77</v>
      </c>
      <c r="D394" s="647">
        <v>42.533164547275248</v>
      </c>
      <c r="E394" s="647">
        <v>492.37419513671523</v>
      </c>
      <c r="F394" s="647">
        <v>-456.72729975813655</v>
      </c>
      <c r="G394" s="647">
        <v>46.717511888597819</v>
      </c>
      <c r="H394" s="647">
        <v>889.54545454545473</v>
      </c>
      <c r="I394" s="647">
        <v>290.38619522472999</v>
      </c>
      <c r="J394" s="647">
        <v>76.404091824403224</v>
      </c>
      <c r="K394" s="647">
        <v>18.74651114985376</v>
      </c>
      <c r="L394" s="647">
        <v>-24.540793928849673</v>
      </c>
      <c r="M394" s="647">
        <v>-5.3808072382237846</v>
      </c>
      <c r="N394" s="647">
        <v>0</v>
      </c>
      <c r="O394" s="647">
        <v>9.0812335132369491</v>
      </c>
      <c r="P394" s="647">
        <v>-540.17785546008065</v>
      </c>
      <c r="Q394" s="647">
        <v>-34.989958988562719</v>
      </c>
      <c r="R394" s="647">
        <v>-5.0795433673621861</v>
      </c>
      <c r="S394" s="647">
        <v>798.89209908905127</v>
      </c>
      <c r="U394" s="646" t="s">
        <v>77</v>
      </c>
      <c r="V394" s="647">
        <v>5.3110285590231427</v>
      </c>
      <c r="W394" s="647">
        <v>220.47790015098695</v>
      </c>
      <c r="X394" s="647">
        <v>-194.51650690879191</v>
      </c>
      <c r="Y394" s="647">
        <v>19.805187226334116</v>
      </c>
      <c r="Z394" s="647">
        <v>873.030303030303</v>
      </c>
      <c r="AA394" s="647">
        <v>337.06619522473</v>
      </c>
      <c r="AB394" s="647">
        <v>131.18933095255588</v>
      </c>
      <c r="AC394" s="647">
        <v>32.128382455120146</v>
      </c>
      <c r="AD394" s="647">
        <v>-116.69170648178192</v>
      </c>
      <c r="AE394" s="647">
        <v>-58.796508116684997</v>
      </c>
      <c r="AF394" s="647">
        <v>0</v>
      </c>
      <c r="AG394" s="647">
        <v>18.805626470956682</v>
      </c>
      <c r="AH394" s="647">
        <v>-524.40351343206009</v>
      </c>
      <c r="AI394" s="647">
        <v>-68.794771845590574</v>
      </c>
      <c r="AJ394" s="647">
        <v>-28.168396757803269</v>
      </c>
      <c r="AK394" s="647">
        <v>646.44255052729716</v>
      </c>
    </row>
    <row r="395" spans="3:37" ht="13">
      <c r="C395" s="636"/>
      <c r="D395" s="636">
        <v>0</v>
      </c>
      <c r="E395" s="636">
        <v>0</v>
      </c>
      <c r="F395" s="636">
        <v>0</v>
      </c>
      <c r="G395" s="636">
        <v>0</v>
      </c>
      <c r="H395" s="636">
        <v>0</v>
      </c>
      <c r="I395" s="636">
        <v>0</v>
      </c>
      <c r="J395" s="636">
        <v>0</v>
      </c>
      <c r="K395" s="636">
        <v>0</v>
      </c>
      <c r="L395" s="636">
        <v>0</v>
      </c>
      <c r="M395" s="636">
        <v>0</v>
      </c>
      <c r="N395" s="636">
        <v>0</v>
      </c>
      <c r="O395" s="636">
        <v>0</v>
      </c>
      <c r="P395" s="636">
        <v>0</v>
      </c>
      <c r="Q395" s="636">
        <v>0</v>
      </c>
      <c r="R395" s="636">
        <v>0</v>
      </c>
      <c r="S395" s="636">
        <v>0</v>
      </c>
      <c r="U395" s="636"/>
      <c r="V395" s="636">
        <v>0</v>
      </c>
      <c r="W395" s="636">
        <v>0</v>
      </c>
      <c r="X395" s="636">
        <v>0</v>
      </c>
      <c r="Y395" s="636">
        <v>0</v>
      </c>
      <c r="Z395" s="636">
        <v>0</v>
      </c>
      <c r="AA395" s="636">
        <v>0</v>
      </c>
      <c r="AB395" s="636">
        <v>0</v>
      </c>
      <c r="AC395" s="636">
        <v>0</v>
      </c>
      <c r="AD395" s="636">
        <v>0</v>
      </c>
      <c r="AE395" s="636">
        <v>0</v>
      </c>
      <c r="AF395" s="636">
        <v>0</v>
      </c>
      <c r="AG395" s="636">
        <v>0</v>
      </c>
      <c r="AH395" s="636">
        <v>0</v>
      </c>
      <c r="AI395" s="636">
        <v>0</v>
      </c>
      <c r="AJ395" s="636">
        <v>0</v>
      </c>
      <c r="AK395" s="636">
        <v>0</v>
      </c>
    </row>
    <row r="396" spans="3:37" ht="13.5">
      <c r="C396" s="648" t="s">
        <v>78</v>
      </c>
      <c r="D396" s="642">
        <v>4.9901668745901624</v>
      </c>
      <c r="E396" s="642">
        <v>0</v>
      </c>
      <c r="F396" s="642">
        <v>21.091530324656198</v>
      </c>
      <c r="G396" s="642">
        <v>96.151700548391091</v>
      </c>
      <c r="H396" s="642">
        <v>0</v>
      </c>
      <c r="I396" s="642">
        <v>0</v>
      </c>
      <c r="J396" s="642">
        <v>21.387862541024852</v>
      </c>
      <c r="K396" s="642">
        <v>1.7476152779545906</v>
      </c>
      <c r="L396" s="642">
        <v>0.94211085156249985</v>
      </c>
      <c r="M396" s="642">
        <v>1.9807569399951515</v>
      </c>
      <c r="N396" s="642">
        <v>0</v>
      </c>
      <c r="O396" s="642">
        <v>3.7669078281368638E-4</v>
      </c>
      <c r="P396" s="642">
        <v>112.73505933145552</v>
      </c>
      <c r="Q396" s="642">
        <v>16.12568637832603</v>
      </c>
      <c r="R396" s="642">
        <v>0.27920700073242188</v>
      </c>
      <c r="S396" s="650">
        <v>277.43207275947128</v>
      </c>
      <c r="U396" s="648" t="s">
        <v>78</v>
      </c>
      <c r="V396" s="642">
        <v>1.2150050536449819</v>
      </c>
      <c r="W396" s="642">
        <v>0</v>
      </c>
      <c r="X396" s="642">
        <v>6.016341039248414</v>
      </c>
      <c r="Y396" s="642">
        <v>39.709503776891196</v>
      </c>
      <c r="Z396" s="642">
        <v>0</v>
      </c>
      <c r="AA396" s="642">
        <v>0</v>
      </c>
      <c r="AB396" s="642">
        <v>15.202189846170386</v>
      </c>
      <c r="AC396" s="642">
        <v>4.9835801019927617</v>
      </c>
      <c r="AD396" s="642">
        <v>5.6103854980468748</v>
      </c>
      <c r="AE396" s="642">
        <v>28.773635244370734</v>
      </c>
      <c r="AF396" s="642">
        <v>0</v>
      </c>
      <c r="AG396" s="642">
        <v>3.7669078281368638E-4</v>
      </c>
      <c r="AH396" s="642">
        <v>146.07653830614987</v>
      </c>
      <c r="AI396" s="642">
        <v>23.647869298816833</v>
      </c>
      <c r="AJ396" s="642">
        <v>7.4826708984375001</v>
      </c>
      <c r="AK396" s="650">
        <v>278.71809575455239</v>
      </c>
    </row>
    <row r="397" spans="3:37" ht="13.5">
      <c r="C397" s="648" t="s">
        <v>79</v>
      </c>
      <c r="D397" s="642">
        <v>0</v>
      </c>
      <c r="E397" s="642">
        <v>0</v>
      </c>
      <c r="F397" s="642">
        <v>235.12748928743429</v>
      </c>
      <c r="G397" s="642">
        <v>31.099379517950805</v>
      </c>
      <c r="H397" s="642">
        <v>0</v>
      </c>
      <c r="I397" s="642">
        <v>0</v>
      </c>
      <c r="J397" s="642">
        <v>0</v>
      </c>
      <c r="K397" s="642">
        <v>0</v>
      </c>
      <c r="L397" s="642">
        <v>22.716725008445675</v>
      </c>
      <c r="M397" s="642">
        <v>0.63468121465205729</v>
      </c>
      <c r="N397" s="642">
        <v>0</v>
      </c>
      <c r="O397" s="642">
        <v>0</v>
      </c>
      <c r="P397" s="642">
        <v>68.565930798083699</v>
      </c>
      <c r="Q397" s="642">
        <v>0</v>
      </c>
      <c r="R397" s="642">
        <v>2.3844112104980786</v>
      </c>
      <c r="S397" s="650">
        <v>360.52861703706463</v>
      </c>
      <c r="U397" s="648" t="s">
        <v>79</v>
      </c>
      <c r="V397" s="642">
        <v>0</v>
      </c>
      <c r="W397" s="642">
        <v>0</v>
      </c>
      <c r="X397" s="642">
        <v>35.128929389637456</v>
      </c>
      <c r="Y397" s="642">
        <v>15.137064293513523</v>
      </c>
      <c r="Z397" s="642">
        <v>0</v>
      </c>
      <c r="AA397" s="642">
        <v>0</v>
      </c>
      <c r="AB397" s="642">
        <v>0</v>
      </c>
      <c r="AC397" s="642">
        <v>0</v>
      </c>
      <c r="AD397" s="642">
        <v>37.187580566982817</v>
      </c>
      <c r="AE397" s="642">
        <v>11.036020535724948</v>
      </c>
      <c r="AF397" s="642">
        <v>0</v>
      </c>
      <c r="AG397" s="642">
        <v>0</v>
      </c>
      <c r="AH397" s="642">
        <v>89.614524523742418</v>
      </c>
      <c r="AI397" s="642">
        <v>0</v>
      </c>
      <c r="AJ397" s="642">
        <v>5.6351763144479268</v>
      </c>
      <c r="AK397" s="650">
        <v>193.73929562404911</v>
      </c>
    </row>
    <row r="398" spans="3:37" ht="13.5">
      <c r="C398" s="648" t="s">
        <v>80</v>
      </c>
      <c r="D398" s="642">
        <v>0</v>
      </c>
      <c r="E398" s="642">
        <v>0</v>
      </c>
      <c r="F398" s="642">
        <v>13.724834206032371</v>
      </c>
      <c r="G398" s="642">
        <v>79.131512261322683</v>
      </c>
      <c r="H398" s="642">
        <v>0</v>
      </c>
      <c r="I398" s="642">
        <v>0</v>
      </c>
      <c r="J398" s="642">
        <v>87.797108848078949</v>
      </c>
      <c r="K398" s="642">
        <v>0</v>
      </c>
      <c r="L398" s="642">
        <v>0</v>
      </c>
      <c r="M398" s="642">
        <v>1.6149288216596467</v>
      </c>
      <c r="N398" s="642">
        <v>57.41835645436403</v>
      </c>
      <c r="O398" s="642">
        <v>2.0533643919476137</v>
      </c>
      <c r="P398" s="642">
        <v>189.45880926265392</v>
      </c>
      <c r="Q398" s="642">
        <v>15.417775800116472</v>
      </c>
      <c r="R398" s="642">
        <v>0</v>
      </c>
      <c r="S398" s="650">
        <v>446.61669004617568</v>
      </c>
      <c r="U398" s="648" t="s">
        <v>80</v>
      </c>
      <c r="V398" s="642">
        <v>0</v>
      </c>
      <c r="W398" s="642">
        <v>0</v>
      </c>
      <c r="X398" s="642">
        <v>1.0209129157283405</v>
      </c>
      <c r="Y398" s="642">
        <v>12.832027751754538</v>
      </c>
      <c r="Z398" s="642">
        <v>0</v>
      </c>
      <c r="AA398" s="642">
        <v>0</v>
      </c>
      <c r="AB398" s="642">
        <v>53.270322236782164</v>
      </c>
      <c r="AC398" s="642">
        <v>0</v>
      </c>
      <c r="AD398" s="642">
        <v>0</v>
      </c>
      <c r="AE398" s="642">
        <v>9.2921580271325972</v>
      </c>
      <c r="AF398" s="642">
        <v>88.292344554902868</v>
      </c>
      <c r="AG398" s="642">
        <v>3.9079432862869607</v>
      </c>
      <c r="AH398" s="642">
        <v>146.88666477766319</v>
      </c>
      <c r="AI398" s="642">
        <v>32.427264426374379</v>
      </c>
      <c r="AJ398" s="642">
        <v>0</v>
      </c>
      <c r="AK398" s="650">
        <v>347.92963797662509</v>
      </c>
    </row>
    <row r="399" spans="3:37" ht="13.5">
      <c r="C399" s="648" t="s">
        <v>81</v>
      </c>
      <c r="D399" s="642">
        <v>0</v>
      </c>
      <c r="E399" s="642">
        <v>0</v>
      </c>
      <c r="F399" s="642">
        <v>3.9083972405176572</v>
      </c>
      <c r="G399" s="642">
        <v>63.089348266301698</v>
      </c>
      <c r="H399" s="642">
        <v>0</v>
      </c>
      <c r="I399" s="642">
        <v>0</v>
      </c>
      <c r="J399" s="642">
        <v>3.1804221278939271</v>
      </c>
      <c r="K399" s="642">
        <v>2.5219694682056978E-2</v>
      </c>
      <c r="L399" s="642">
        <v>0</v>
      </c>
      <c r="M399" s="642">
        <v>1.287537719720443</v>
      </c>
      <c r="N399" s="642">
        <v>8.4803330998149011</v>
      </c>
      <c r="O399" s="642">
        <v>0.72631919579288284</v>
      </c>
      <c r="P399" s="642">
        <v>140.69299872549993</v>
      </c>
      <c r="Q399" s="642">
        <v>3.4464968101202174</v>
      </c>
      <c r="R399" s="642">
        <v>0</v>
      </c>
      <c r="S399" s="650">
        <v>224.8370728803437</v>
      </c>
      <c r="U399" s="648" t="s">
        <v>81</v>
      </c>
      <c r="V399" s="642">
        <v>0</v>
      </c>
      <c r="W399" s="642">
        <v>0</v>
      </c>
      <c r="X399" s="642">
        <v>1.4952361732398858</v>
      </c>
      <c r="Y399" s="642">
        <v>10.610341518374359</v>
      </c>
      <c r="Z399" s="642">
        <v>0</v>
      </c>
      <c r="AA399" s="642">
        <v>0</v>
      </c>
      <c r="AB399" s="642">
        <v>6.9978977014468793</v>
      </c>
      <c r="AC399" s="642">
        <v>2.5219694682056978E-2</v>
      </c>
      <c r="AD399" s="642">
        <v>0</v>
      </c>
      <c r="AE399" s="642">
        <v>7.6833507546848816</v>
      </c>
      <c r="AF399" s="642">
        <v>14.732239480945108</v>
      </c>
      <c r="AG399" s="642">
        <v>1.5525732622869153</v>
      </c>
      <c r="AH399" s="642">
        <v>115.23036268987886</v>
      </c>
      <c r="AI399" s="642">
        <v>12.719638120399363</v>
      </c>
      <c r="AJ399" s="642">
        <v>0</v>
      </c>
      <c r="AK399" s="650">
        <v>171.04685939593833</v>
      </c>
    </row>
    <row r="400" spans="3:37" ht="13.5">
      <c r="C400" s="648" t="s">
        <v>82</v>
      </c>
      <c r="D400" s="642">
        <v>0</v>
      </c>
      <c r="E400" s="642">
        <v>0</v>
      </c>
      <c r="F400" s="642">
        <v>28.471648080197657</v>
      </c>
      <c r="G400" s="642">
        <v>1.0804243241036344</v>
      </c>
      <c r="H400" s="642">
        <v>0</v>
      </c>
      <c r="I400" s="642">
        <v>0</v>
      </c>
      <c r="J400" s="642">
        <v>4.3026845658747828</v>
      </c>
      <c r="K400" s="642">
        <v>0</v>
      </c>
      <c r="L400" s="642">
        <v>3.1299020072385213</v>
      </c>
      <c r="M400" s="642">
        <v>2.2049476002114991E-2</v>
      </c>
      <c r="N400" s="642">
        <v>0</v>
      </c>
      <c r="O400" s="642">
        <v>6.8830690871769351E-2</v>
      </c>
      <c r="P400" s="642">
        <v>5.9739095578527968</v>
      </c>
      <c r="Q400" s="642">
        <v>0</v>
      </c>
      <c r="R400" s="642">
        <v>0</v>
      </c>
      <c r="S400" s="650">
        <v>43.049448702141277</v>
      </c>
      <c r="U400" s="648" t="s">
        <v>82</v>
      </c>
      <c r="V400" s="642">
        <v>0</v>
      </c>
      <c r="W400" s="642">
        <v>0</v>
      </c>
      <c r="X400" s="642">
        <v>5.8604701162543282</v>
      </c>
      <c r="Y400" s="642">
        <v>0.77721189491485598</v>
      </c>
      <c r="Z400" s="642">
        <v>0</v>
      </c>
      <c r="AA400" s="642">
        <v>0</v>
      </c>
      <c r="AB400" s="642">
        <v>4.3026845658747828</v>
      </c>
      <c r="AC400" s="642">
        <v>0</v>
      </c>
      <c r="AD400" s="642">
        <v>30.776202948565647</v>
      </c>
      <c r="AE400" s="642">
        <v>0.56280861355903367</v>
      </c>
      <c r="AF400" s="642">
        <v>0</v>
      </c>
      <c r="AG400" s="642">
        <v>1.5666563685107562</v>
      </c>
      <c r="AH400" s="642">
        <v>6.0858228188406986</v>
      </c>
      <c r="AI400" s="642">
        <v>0</v>
      </c>
      <c r="AJ400" s="642">
        <v>0.36062656029870238</v>
      </c>
      <c r="AK400" s="650">
        <v>50.292483886818808</v>
      </c>
    </row>
    <row r="401" spans="3:37" ht="13.5">
      <c r="C401" s="648" t="s">
        <v>357</v>
      </c>
      <c r="D401" s="642">
        <v>0</v>
      </c>
      <c r="E401" s="642">
        <v>0</v>
      </c>
      <c r="F401" s="642">
        <v>0</v>
      </c>
      <c r="G401" s="642">
        <v>0</v>
      </c>
      <c r="H401" s="642">
        <v>0</v>
      </c>
      <c r="I401" s="642">
        <v>0</v>
      </c>
      <c r="J401" s="642">
        <v>0</v>
      </c>
      <c r="K401" s="642">
        <v>0</v>
      </c>
      <c r="L401" s="642">
        <v>0</v>
      </c>
      <c r="M401" s="642">
        <v>0</v>
      </c>
      <c r="N401" s="642">
        <v>0</v>
      </c>
      <c r="O401" s="642">
        <v>0</v>
      </c>
      <c r="P401" s="642">
        <v>0.36</v>
      </c>
      <c r="Q401" s="642">
        <v>0</v>
      </c>
      <c r="R401" s="642">
        <v>0</v>
      </c>
      <c r="S401" s="650">
        <v>0.36</v>
      </c>
      <c r="U401" s="648" t="s">
        <v>357</v>
      </c>
      <c r="V401" s="642">
        <v>0</v>
      </c>
      <c r="W401" s="642">
        <v>0</v>
      </c>
      <c r="X401" s="642">
        <v>0</v>
      </c>
      <c r="Y401" s="642">
        <v>0</v>
      </c>
      <c r="Z401" s="642">
        <v>0</v>
      </c>
      <c r="AA401" s="642">
        <v>0</v>
      </c>
      <c r="AB401" s="642">
        <v>0</v>
      </c>
      <c r="AC401" s="642">
        <v>0</v>
      </c>
      <c r="AD401" s="642">
        <v>0</v>
      </c>
      <c r="AE401" s="642">
        <v>0</v>
      </c>
      <c r="AF401" s="642">
        <v>0</v>
      </c>
      <c r="AG401" s="642">
        <v>0</v>
      </c>
      <c r="AH401" s="642">
        <v>3.12</v>
      </c>
      <c r="AI401" s="642">
        <v>0</v>
      </c>
      <c r="AJ401" s="642">
        <v>0</v>
      </c>
      <c r="AK401" s="650">
        <v>3.12</v>
      </c>
    </row>
    <row r="402" spans="3:37" ht="13.5">
      <c r="C402" s="646" t="s">
        <v>83</v>
      </c>
      <c r="D402" s="647">
        <v>4.9901668745901624</v>
      </c>
      <c r="E402" s="647">
        <v>0</v>
      </c>
      <c r="F402" s="647">
        <v>302.32389913883821</v>
      </c>
      <c r="G402" s="647">
        <v>270.55236491806994</v>
      </c>
      <c r="H402" s="647">
        <v>0</v>
      </c>
      <c r="I402" s="647">
        <v>0</v>
      </c>
      <c r="J402" s="647">
        <v>116.66807808287251</v>
      </c>
      <c r="K402" s="647">
        <v>1.7728349726366477</v>
      </c>
      <c r="L402" s="647">
        <v>26.788737867246695</v>
      </c>
      <c r="M402" s="647">
        <v>5.5399541720294136</v>
      </c>
      <c r="N402" s="647">
        <v>65.898689554178929</v>
      </c>
      <c r="O402" s="647">
        <v>2.8488909693950797</v>
      </c>
      <c r="P402" s="647">
        <v>517.78670767554593</v>
      </c>
      <c r="Q402" s="647">
        <v>34.989958988562719</v>
      </c>
      <c r="R402" s="647">
        <v>2.6636182112305002</v>
      </c>
      <c r="S402" s="647">
        <v>1352.8239014251965</v>
      </c>
      <c r="U402" s="646" t="s">
        <v>83</v>
      </c>
      <c r="V402" s="647">
        <v>1.2150050536449819</v>
      </c>
      <c r="W402" s="647">
        <v>0</v>
      </c>
      <c r="X402" s="647">
        <v>49.521889634108419</v>
      </c>
      <c r="Y402" s="647">
        <v>79.066149235448464</v>
      </c>
      <c r="Z402" s="647">
        <v>0</v>
      </c>
      <c r="AA402" s="647">
        <v>0</v>
      </c>
      <c r="AB402" s="647">
        <v>79.773094350274206</v>
      </c>
      <c r="AC402" s="647">
        <v>5.0087997966748192</v>
      </c>
      <c r="AD402" s="647">
        <v>73.574169013595338</v>
      </c>
      <c r="AE402" s="647">
        <v>57.347973175472191</v>
      </c>
      <c r="AF402" s="647">
        <v>103.02458403584798</v>
      </c>
      <c r="AG402" s="647">
        <v>7.0275496078674458</v>
      </c>
      <c r="AH402" s="647">
        <v>507.01391311627498</v>
      </c>
      <c r="AI402" s="647">
        <v>68.794771845590574</v>
      </c>
      <c r="AJ402" s="647">
        <v>13.478473773184128</v>
      </c>
      <c r="AK402" s="647">
        <v>1044.8463726379837</v>
      </c>
    </row>
    <row r="403" spans="3:37" ht="13.5">
      <c r="C403" s="641" t="s">
        <v>84</v>
      </c>
      <c r="D403" s="642">
        <v>0</v>
      </c>
      <c r="E403" s="642">
        <v>0</v>
      </c>
      <c r="F403" s="642">
        <v>106.83242416715484</v>
      </c>
      <c r="G403" s="642">
        <v>11.6186457489655</v>
      </c>
      <c r="H403" s="642">
        <v>0</v>
      </c>
      <c r="I403" s="642">
        <v>0</v>
      </c>
      <c r="J403" s="642">
        <v>0</v>
      </c>
      <c r="K403" s="642">
        <v>0</v>
      </c>
      <c r="L403" s="642">
        <v>0</v>
      </c>
      <c r="M403" s="642">
        <v>0</v>
      </c>
      <c r="N403" s="642">
        <v>0</v>
      </c>
      <c r="O403" s="642">
        <v>0</v>
      </c>
      <c r="P403" s="642">
        <v>0</v>
      </c>
      <c r="Q403" s="642">
        <v>0</v>
      </c>
      <c r="R403" s="642">
        <v>2.4159251561316859</v>
      </c>
      <c r="S403" s="650">
        <v>120.86699507225204</v>
      </c>
      <c r="U403" s="641" t="s">
        <v>84</v>
      </c>
      <c r="V403" s="642">
        <v>0</v>
      </c>
      <c r="W403" s="642">
        <v>0</v>
      </c>
      <c r="X403" s="642">
        <v>75.791608178670685</v>
      </c>
      <c r="Y403" s="642">
        <v>0.94004440148578539</v>
      </c>
      <c r="Z403" s="642">
        <v>0</v>
      </c>
      <c r="AA403" s="642">
        <v>0</v>
      </c>
      <c r="AB403" s="642">
        <v>0</v>
      </c>
      <c r="AC403" s="642">
        <v>0</v>
      </c>
      <c r="AD403" s="642">
        <v>21.99170920776367</v>
      </c>
      <c r="AE403" s="642">
        <v>0</v>
      </c>
      <c r="AF403" s="642">
        <v>0</v>
      </c>
      <c r="AG403" s="642">
        <v>0</v>
      </c>
      <c r="AH403" s="642">
        <v>0</v>
      </c>
      <c r="AI403" s="642">
        <v>0</v>
      </c>
      <c r="AJ403" s="642">
        <v>14.689922984619141</v>
      </c>
      <c r="AK403" s="650">
        <v>113.41328477253928</v>
      </c>
    </row>
    <row r="404" spans="3:37" ht="13.5">
      <c r="C404" s="646" t="s">
        <v>85</v>
      </c>
      <c r="D404" s="647">
        <v>4.9901668745901624</v>
      </c>
      <c r="E404" s="647">
        <v>0</v>
      </c>
      <c r="F404" s="647">
        <v>409.15632330599311</v>
      </c>
      <c r="G404" s="647">
        <v>282.17101066703543</v>
      </c>
      <c r="H404" s="647">
        <v>0</v>
      </c>
      <c r="I404" s="647">
        <v>0</v>
      </c>
      <c r="J404" s="647">
        <v>116.66807808287251</v>
      </c>
      <c r="K404" s="647">
        <v>1.7728349726366477</v>
      </c>
      <c r="L404" s="647">
        <v>26.788737867246695</v>
      </c>
      <c r="M404" s="647">
        <v>5.5399541720294136</v>
      </c>
      <c r="N404" s="647">
        <v>65.898689554178929</v>
      </c>
      <c r="O404" s="647">
        <v>2.8488909693950797</v>
      </c>
      <c r="P404" s="647">
        <v>517.78670767554593</v>
      </c>
      <c r="Q404" s="647">
        <v>34.989958988562719</v>
      </c>
      <c r="R404" s="647">
        <v>5.0795433673621861</v>
      </c>
      <c r="S404" s="647">
        <v>1473.6908964974484</v>
      </c>
      <c r="U404" s="646" t="s">
        <v>85</v>
      </c>
      <c r="V404" s="647">
        <v>1.2150050536449819</v>
      </c>
      <c r="W404" s="647">
        <v>0</v>
      </c>
      <c r="X404" s="647">
        <v>125.31349781277912</v>
      </c>
      <c r="Y404" s="647">
        <v>80.006193636934256</v>
      </c>
      <c r="Z404" s="647">
        <v>0</v>
      </c>
      <c r="AA404" s="647">
        <v>0</v>
      </c>
      <c r="AB404" s="647">
        <v>79.773094350274206</v>
      </c>
      <c r="AC404" s="647">
        <v>5.0087997966748192</v>
      </c>
      <c r="AD404" s="647">
        <v>95.565878221359014</v>
      </c>
      <c r="AE404" s="647">
        <v>57.347973175472191</v>
      </c>
      <c r="AF404" s="647">
        <v>103.02458403584798</v>
      </c>
      <c r="AG404" s="647">
        <v>7.0275496078674458</v>
      </c>
      <c r="AH404" s="647">
        <v>507.01391311627498</v>
      </c>
      <c r="AI404" s="647">
        <v>68.794771845590574</v>
      </c>
      <c r="AJ404" s="647">
        <v>28.168396757803269</v>
      </c>
      <c r="AK404" s="647">
        <v>1158.2596574105228</v>
      </c>
    </row>
    <row r="405" spans="3:37" ht="13">
      <c r="C405" s="636"/>
      <c r="D405" s="636"/>
      <c r="E405" s="636"/>
      <c r="F405" s="636"/>
      <c r="G405" s="636"/>
      <c r="H405" s="636"/>
      <c r="I405" s="636"/>
      <c r="J405" s="636"/>
      <c r="K405" s="636"/>
      <c r="L405" s="636"/>
      <c r="M405" s="636"/>
      <c r="N405" s="636"/>
      <c r="O405" s="636"/>
      <c r="P405" s="636"/>
      <c r="Q405" s="636"/>
      <c r="R405" s="636"/>
      <c r="S405" s="636"/>
      <c r="U405" s="636"/>
      <c r="V405" s="636"/>
      <c r="W405" s="636"/>
      <c r="X405" s="636"/>
      <c r="Y405" s="636"/>
      <c r="Z405" s="636"/>
      <c r="AA405" s="636"/>
      <c r="AB405" s="636"/>
      <c r="AC405" s="636"/>
      <c r="AD405" s="636"/>
      <c r="AE405" s="636"/>
      <c r="AF405" s="636"/>
      <c r="AG405" s="636"/>
      <c r="AH405" s="636"/>
      <c r="AI405" s="636"/>
      <c r="AJ405" s="636"/>
      <c r="AK405" s="636"/>
    </row>
    <row r="406" spans="3:37" ht="22.5">
      <c r="C406" s="699" t="s">
        <v>364</v>
      </c>
      <c r="D406" s="699"/>
      <c r="E406" s="699"/>
      <c r="F406" s="699"/>
      <c r="G406" s="699"/>
      <c r="H406" s="699"/>
      <c r="I406" s="699"/>
      <c r="J406" s="699"/>
      <c r="K406" s="699"/>
      <c r="L406" s="699"/>
      <c r="M406" s="699"/>
      <c r="N406" s="699"/>
      <c r="O406" s="699"/>
      <c r="P406" s="699"/>
      <c r="Q406" s="699"/>
      <c r="R406" s="699"/>
      <c r="S406" s="699"/>
      <c r="U406" s="699" t="s">
        <v>364</v>
      </c>
      <c r="V406" s="699"/>
      <c r="W406" s="699"/>
      <c r="X406" s="699"/>
      <c r="Y406" s="699"/>
      <c r="Z406" s="699"/>
      <c r="AA406" s="699"/>
      <c r="AB406" s="699"/>
      <c r="AC406" s="699"/>
      <c r="AD406" s="699"/>
      <c r="AE406" s="699"/>
      <c r="AF406" s="699"/>
      <c r="AG406" s="699"/>
      <c r="AH406" s="699"/>
      <c r="AI406" s="699"/>
      <c r="AJ406" s="699"/>
      <c r="AK406" s="699"/>
    </row>
    <row r="407" spans="3:37" ht="13">
      <c r="C407" s="636"/>
      <c r="D407" s="636"/>
      <c r="E407" s="636"/>
      <c r="F407" s="636"/>
      <c r="G407" s="636"/>
      <c r="H407" s="636"/>
      <c r="I407" s="636"/>
      <c r="J407" s="636"/>
      <c r="K407" s="636"/>
      <c r="L407" s="636"/>
      <c r="M407" s="636"/>
      <c r="N407" s="636"/>
      <c r="O407" s="636"/>
      <c r="P407" s="636"/>
      <c r="Q407" s="636"/>
      <c r="R407" s="636"/>
      <c r="S407" s="636"/>
      <c r="U407" s="636"/>
      <c r="V407" s="636"/>
      <c r="W407" s="636"/>
      <c r="X407" s="636"/>
      <c r="Y407" s="636"/>
      <c r="Z407" s="636"/>
      <c r="AA407" s="636"/>
      <c r="AB407" s="636"/>
      <c r="AC407" s="636"/>
      <c r="AD407" s="636"/>
      <c r="AE407" s="636"/>
      <c r="AF407" s="636"/>
      <c r="AG407" s="636"/>
      <c r="AH407" s="636"/>
      <c r="AI407" s="636"/>
      <c r="AJ407" s="636"/>
      <c r="AK407" s="636"/>
    </row>
    <row r="408" spans="3:37" ht="13" customHeight="1">
      <c r="C408" s="700" t="s">
        <v>128</v>
      </c>
      <c r="D408" s="701" t="s">
        <v>42</v>
      </c>
      <c r="E408" s="701" t="s">
        <v>52</v>
      </c>
      <c r="F408" s="701" t="s">
        <v>53</v>
      </c>
      <c r="G408" s="701" t="s">
        <v>32</v>
      </c>
      <c r="H408" s="701" t="s">
        <v>20</v>
      </c>
      <c r="I408" s="701" t="s">
        <v>55</v>
      </c>
      <c r="J408" s="701" t="s">
        <v>56</v>
      </c>
      <c r="K408" s="701"/>
      <c r="L408" s="701"/>
      <c r="M408" s="701"/>
      <c r="N408" s="701"/>
      <c r="O408" s="701"/>
      <c r="P408" s="701" t="s">
        <v>57</v>
      </c>
      <c r="Q408" s="701" t="s">
        <v>58</v>
      </c>
      <c r="R408" s="701" t="s">
        <v>31</v>
      </c>
      <c r="S408" s="701" t="s">
        <v>10</v>
      </c>
      <c r="U408" s="700" t="s">
        <v>128</v>
      </c>
      <c r="V408" s="701" t="s">
        <v>42</v>
      </c>
      <c r="W408" s="701" t="s">
        <v>52</v>
      </c>
      <c r="X408" s="701" t="s">
        <v>53</v>
      </c>
      <c r="Y408" s="701" t="s">
        <v>32</v>
      </c>
      <c r="Z408" s="701" t="s">
        <v>20</v>
      </c>
      <c r="AA408" s="701" t="s">
        <v>55</v>
      </c>
      <c r="AB408" s="701" t="s">
        <v>56</v>
      </c>
      <c r="AC408" s="701"/>
      <c r="AD408" s="701"/>
      <c r="AE408" s="701"/>
      <c r="AF408" s="701"/>
      <c r="AG408" s="701"/>
      <c r="AH408" s="701" t="s">
        <v>57</v>
      </c>
      <c r="AI408" s="701" t="s">
        <v>58</v>
      </c>
      <c r="AJ408" s="701" t="s">
        <v>31</v>
      </c>
      <c r="AK408" s="701" t="s">
        <v>10</v>
      </c>
    </row>
    <row r="409" spans="3:37" ht="46">
      <c r="C409" s="700"/>
      <c r="D409" s="701"/>
      <c r="E409" s="701"/>
      <c r="F409" s="701"/>
      <c r="G409" s="701"/>
      <c r="H409" s="701"/>
      <c r="I409" s="701"/>
      <c r="J409" s="640" t="s">
        <v>338</v>
      </c>
      <c r="K409" s="640" t="s">
        <v>40</v>
      </c>
      <c r="L409" s="640" t="s">
        <v>346</v>
      </c>
      <c r="M409" s="640" t="s">
        <v>347</v>
      </c>
      <c r="N409" s="640" t="s">
        <v>348</v>
      </c>
      <c r="O409" s="640" t="s">
        <v>349</v>
      </c>
      <c r="P409" s="701"/>
      <c r="Q409" s="701"/>
      <c r="R409" s="701"/>
      <c r="S409" s="701"/>
      <c r="U409" s="700"/>
      <c r="V409" s="701"/>
      <c r="W409" s="701"/>
      <c r="X409" s="701"/>
      <c r="Y409" s="701"/>
      <c r="Z409" s="701"/>
      <c r="AA409" s="701"/>
      <c r="AB409" s="640" t="s">
        <v>338</v>
      </c>
      <c r="AC409" s="640" t="s">
        <v>40</v>
      </c>
      <c r="AD409" s="640" t="s">
        <v>346</v>
      </c>
      <c r="AE409" s="640" t="s">
        <v>347</v>
      </c>
      <c r="AF409" s="640" t="s">
        <v>348</v>
      </c>
      <c r="AG409" s="640" t="s">
        <v>349</v>
      </c>
      <c r="AH409" s="701"/>
      <c r="AI409" s="701"/>
      <c r="AJ409" s="701"/>
      <c r="AK409" s="701"/>
    </row>
    <row r="410" spans="3:37" ht="13.5">
      <c r="C410" s="641" t="s">
        <v>59</v>
      </c>
      <c r="D410" s="642">
        <v>0</v>
      </c>
      <c r="E410" s="643">
        <v>0</v>
      </c>
      <c r="F410" s="643">
        <v>0</v>
      </c>
      <c r="G410" s="642">
        <v>0</v>
      </c>
      <c r="H410" s="643">
        <v>843.18181818181824</v>
      </c>
      <c r="I410" s="643">
        <v>306.94588327561422</v>
      </c>
      <c r="J410" s="643">
        <v>187.92158364867245</v>
      </c>
      <c r="K410" s="643">
        <v>20.316638839186872</v>
      </c>
      <c r="L410" s="643">
        <v>0.58650482505924006</v>
      </c>
      <c r="M410" s="643">
        <v>0.15964026893196048</v>
      </c>
      <c r="N410" s="643">
        <v>67.964408038916218</v>
      </c>
      <c r="O410" s="643">
        <v>11.973026235836867</v>
      </c>
      <c r="P410" s="644">
        <v>0</v>
      </c>
      <c r="Q410" s="643">
        <v>0</v>
      </c>
      <c r="R410" s="643">
        <v>0</v>
      </c>
      <c r="S410" s="645">
        <v>1439.0495033140362</v>
      </c>
      <c r="U410" s="641" t="s">
        <v>59</v>
      </c>
      <c r="V410" s="642">
        <v>0</v>
      </c>
      <c r="W410" s="643">
        <v>0</v>
      </c>
      <c r="X410" s="643">
        <v>0</v>
      </c>
      <c r="Y410" s="642">
        <v>0</v>
      </c>
      <c r="Z410" s="643">
        <v>842.12121212121212</v>
      </c>
      <c r="AA410" s="643">
        <v>361.66588327561419</v>
      </c>
      <c r="AB410" s="643">
        <v>209.7499476733077</v>
      </c>
      <c r="AC410" s="643">
        <v>36.742499370225779</v>
      </c>
      <c r="AD410" s="643">
        <v>0.58650482505924006</v>
      </c>
      <c r="AE410" s="643">
        <v>0.15964026893196048</v>
      </c>
      <c r="AF410" s="643">
        <v>109.8518848230913</v>
      </c>
      <c r="AG410" s="643">
        <v>27.041217028647232</v>
      </c>
      <c r="AH410" s="644">
        <v>0</v>
      </c>
      <c r="AI410" s="643">
        <v>0</v>
      </c>
      <c r="AJ410" s="643">
        <v>0</v>
      </c>
      <c r="AK410" s="645">
        <v>1587.9187893860897</v>
      </c>
    </row>
    <row r="411" spans="3:37" ht="13.5">
      <c r="C411" s="641" t="s">
        <v>60</v>
      </c>
      <c r="D411" s="642">
        <v>47.14481987923083</v>
      </c>
      <c r="E411" s="643">
        <v>484.495467583368</v>
      </c>
      <c r="F411" s="643">
        <v>50.019697053221719</v>
      </c>
      <c r="G411" s="642">
        <v>326.09010493911637</v>
      </c>
      <c r="H411" s="643">
        <v>0</v>
      </c>
      <c r="I411" s="643">
        <v>0</v>
      </c>
      <c r="J411" s="643">
        <v>5.0764589906360387</v>
      </c>
      <c r="K411" s="643">
        <v>0</v>
      </c>
      <c r="L411" s="643">
        <v>2.7571319279134792</v>
      </c>
      <c r="M411" s="643">
        <v>0</v>
      </c>
      <c r="N411" s="643">
        <v>0</v>
      </c>
      <c r="O411" s="643">
        <v>0</v>
      </c>
      <c r="P411" s="644">
        <v>0</v>
      </c>
      <c r="Q411" s="643">
        <v>0</v>
      </c>
      <c r="R411" s="643">
        <v>0</v>
      </c>
      <c r="S411" s="645">
        <v>915.58368037348657</v>
      </c>
      <c r="U411" s="641" t="s">
        <v>60</v>
      </c>
      <c r="V411" s="642">
        <v>5.8768320762591904</v>
      </c>
      <c r="W411" s="643">
        <v>189.94114801549574</v>
      </c>
      <c r="X411" s="643">
        <v>14.41607041492888</v>
      </c>
      <c r="Y411" s="642">
        <v>81.728531694283333</v>
      </c>
      <c r="Z411" s="643">
        <v>0</v>
      </c>
      <c r="AA411" s="643">
        <v>0</v>
      </c>
      <c r="AB411" s="643">
        <v>5.0764589906360387</v>
      </c>
      <c r="AC411" s="643">
        <v>0</v>
      </c>
      <c r="AD411" s="643">
        <v>2.7571319279134792</v>
      </c>
      <c r="AE411" s="643">
        <v>0</v>
      </c>
      <c r="AF411" s="643">
        <v>0</v>
      </c>
      <c r="AG411" s="643">
        <v>0</v>
      </c>
      <c r="AH411" s="644">
        <v>0</v>
      </c>
      <c r="AI411" s="643">
        <v>0</v>
      </c>
      <c r="AJ411" s="643">
        <v>0</v>
      </c>
      <c r="AK411" s="645">
        <v>299.79617311951665</v>
      </c>
    </row>
    <row r="412" spans="3:37" ht="13.5">
      <c r="C412" s="641" t="s">
        <v>61</v>
      </c>
      <c r="D412" s="642">
        <v>0</v>
      </c>
      <c r="E412" s="643">
        <v>0</v>
      </c>
      <c r="F412" s="643">
        <v>0</v>
      </c>
      <c r="G412" s="642">
        <v>0</v>
      </c>
      <c r="H412" s="643">
        <v>0</v>
      </c>
      <c r="I412" s="643">
        <v>0</v>
      </c>
      <c r="J412" s="643">
        <v>0</v>
      </c>
      <c r="K412" s="643">
        <v>0</v>
      </c>
      <c r="L412" s="643">
        <v>0</v>
      </c>
      <c r="M412" s="643">
        <v>0</v>
      </c>
      <c r="N412" s="643">
        <v>0</v>
      </c>
      <c r="O412" s="643">
        <v>0</v>
      </c>
      <c r="P412" s="644">
        <v>-16.706363002811486</v>
      </c>
      <c r="Q412" s="643">
        <v>0</v>
      </c>
      <c r="R412" s="643">
        <v>0</v>
      </c>
      <c r="S412" s="645">
        <v>-16.706363002811486</v>
      </c>
      <c r="U412" s="641" t="s">
        <v>61</v>
      </c>
      <c r="V412" s="642">
        <v>0</v>
      </c>
      <c r="W412" s="643">
        <v>0</v>
      </c>
      <c r="X412" s="643">
        <v>-18.378136852904419</v>
      </c>
      <c r="Y412" s="642">
        <v>0</v>
      </c>
      <c r="Z412" s="643">
        <v>0</v>
      </c>
      <c r="AA412" s="643">
        <v>0</v>
      </c>
      <c r="AB412" s="643">
        <v>0</v>
      </c>
      <c r="AC412" s="643">
        <v>0</v>
      </c>
      <c r="AD412" s="643">
        <v>0</v>
      </c>
      <c r="AE412" s="643">
        <v>0</v>
      </c>
      <c r="AF412" s="643">
        <v>0</v>
      </c>
      <c r="AG412" s="643">
        <v>0</v>
      </c>
      <c r="AH412" s="644">
        <v>-20.522831714543145</v>
      </c>
      <c r="AI412" s="643">
        <v>0</v>
      </c>
      <c r="AJ412" s="643">
        <v>0</v>
      </c>
      <c r="AK412" s="645">
        <v>-38.900968567447563</v>
      </c>
    </row>
    <row r="413" spans="3:37" ht="13.5">
      <c r="C413" s="641" t="s">
        <v>62</v>
      </c>
      <c r="D413" s="642">
        <v>0</v>
      </c>
      <c r="E413" s="643">
        <v>0</v>
      </c>
      <c r="F413" s="643">
        <v>-15.257294848391862</v>
      </c>
      <c r="G413" s="642">
        <v>0</v>
      </c>
      <c r="H413" s="643">
        <v>0</v>
      </c>
      <c r="I413" s="643">
        <v>0</v>
      </c>
      <c r="J413" s="643">
        <v>0</v>
      </c>
      <c r="K413" s="643">
        <v>0</v>
      </c>
      <c r="L413" s="643">
        <v>0</v>
      </c>
      <c r="M413" s="643">
        <v>0</v>
      </c>
      <c r="N413" s="643">
        <v>0</v>
      </c>
      <c r="O413" s="643">
        <v>0</v>
      </c>
      <c r="P413" s="644">
        <v>0</v>
      </c>
      <c r="Q413" s="643">
        <v>0</v>
      </c>
      <c r="R413" s="643">
        <v>0</v>
      </c>
      <c r="S413" s="645">
        <v>-15.257294848391862</v>
      </c>
      <c r="U413" s="641" t="s">
        <v>62</v>
      </c>
      <c r="V413" s="642">
        <v>0</v>
      </c>
      <c r="W413" s="643">
        <v>0</v>
      </c>
      <c r="X413" s="643">
        <v>-7.5188933675233587</v>
      </c>
      <c r="Y413" s="642">
        <v>-2.1851276585702322</v>
      </c>
      <c r="Z413" s="643">
        <v>0</v>
      </c>
      <c r="AA413" s="643">
        <v>0</v>
      </c>
      <c r="AB413" s="643">
        <v>0</v>
      </c>
      <c r="AC413" s="643">
        <v>0</v>
      </c>
      <c r="AD413" s="643">
        <v>0</v>
      </c>
      <c r="AE413" s="643">
        <v>-2.1851276585702322</v>
      </c>
      <c r="AF413" s="643">
        <v>0</v>
      </c>
      <c r="AG413" s="643">
        <v>0</v>
      </c>
      <c r="AH413" s="644">
        <v>0</v>
      </c>
      <c r="AI413" s="643">
        <v>0</v>
      </c>
      <c r="AJ413" s="643">
        <v>0</v>
      </c>
      <c r="AK413" s="645">
        <v>-11.889148684663823</v>
      </c>
    </row>
    <row r="414" spans="3:37" ht="13.5">
      <c r="C414" s="641" t="s">
        <v>63</v>
      </c>
      <c r="D414" s="642">
        <v>0</v>
      </c>
      <c r="E414" s="643">
        <v>0</v>
      </c>
      <c r="F414" s="643">
        <v>-90.982589622358091</v>
      </c>
      <c r="G414" s="642">
        <v>0</v>
      </c>
      <c r="H414" s="643">
        <v>0</v>
      </c>
      <c r="I414" s="643">
        <v>0</v>
      </c>
      <c r="J414" s="643">
        <v>0</v>
      </c>
      <c r="K414" s="643">
        <v>0</v>
      </c>
      <c r="L414" s="643">
        <v>-0.93561585486744514</v>
      </c>
      <c r="M414" s="643">
        <v>0</v>
      </c>
      <c r="N414" s="643">
        <v>0</v>
      </c>
      <c r="O414" s="643">
        <v>0</v>
      </c>
      <c r="P414" s="644">
        <v>0</v>
      </c>
      <c r="Q414" s="643">
        <v>0</v>
      </c>
      <c r="R414" s="643">
        <v>0</v>
      </c>
      <c r="S414" s="645">
        <v>-91.918205477225541</v>
      </c>
      <c r="U414" s="641" t="s">
        <v>63</v>
      </c>
      <c r="V414" s="642">
        <v>0</v>
      </c>
      <c r="W414" s="643">
        <v>0</v>
      </c>
      <c r="X414" s="643">
        <v>-53.656928796434556</v>
      </c>
      <c r="Y414" s="642">
        <v>0</v>
      </c>
      <c r="Z414" s="643">
        <v>0</v>
      </c>
      <c r="AA414" s="643">
        <v>0</v>
      </c>
      <c r="AB414" s="643">
        <v>0</v>
      </c>
      <c r="AC414" s="643">
        <v>0</v>
      </c>
      <c r="AD414" s="643">
        <v>-28.297456853591466</v>
      </c>
      <c r="AE414" s="643">
        <v>0</v>
      </c>
      <c r="AF414" s="643">
        <v>0</v>
      </c>
      <c r="AG414" s="643">
        <v>0</v>
      </c>
      <c r="AH414" s="644">
        <v>0</v>
      </c>
      <c r="AI414" s="643">
        <v>0</v>
      </c>
      <c r="AJ414" s="643">
        <v>0</v>
      </c>
      <c r="AK414" s="645">
        <v>-81.954385650026026</v>
      </c>
    </row>
    <row r="415" spans="3:37" ht="13.5">
      <c r="C415" s="641" t="s">
        <v>64</v>
      </c>
      <c r="D415" s="642">
        <v>0</v>
      </c>
      <c r="E415" s="643">
        <v>0</v>
      </c>
      <c r="F415" s="643">
        <v>0</v>
      </c>
      <c r="G415" s="642">
        <v>0</v>
      </c>
      <c r="H415" s="643">
        <v>0</v>
      </c>
      <c r="I415" s="643">
        <v>0</v>
      </c>
      <c r="J415" s="643">
        <v>0</v>
      </c>
      <c r="K415" s="643">
        <v>0</v>
      </c>
      <c r="L415" s="643">
        <v>0</v>
      </c>
      <c r="M415" s="643">
        <v>0</v>
      </c>
      <c r="N415" s="643">
        <v>0</v>
      </c>
      <c r="O415" s="643">
        <v>0</v>
      </c>
      <c r="P415" s="644">
        <v>0</v>
      </c>
      <c r="Q415" s="643">
        <v>0</v>
      </c>
      <c r="R415" s="643">
        <v>0</v>
      </c>
      <c r="S415" s="645">
        <v>0</v>
      </c>
      <c r="U415" s="641" t="s">
        <v>64</v>
      </c>
      <c r="V415" s="642">
        <v>0</v>
      </c>
      <c r="W415" s="643">
        <v>0</v>
      </c>
      <c r="X415" s="643">
        <v>0</v>
      </c>
      <c r="Y415" s="642">
        <v>0</v>
      </c>
      <c r="Z415" s="643">
        <v>0</v>
      </c>
      <c r="AA415" s="643">
        <v>0</v>
      </c>
      <c r="AB415" s="643">
        <v>0</v>
      </c>
      <c r="AC415" s="643">
        <v>0</v>
      </c>
      <c r="AD415" s="643">
        <v>0</v>
      </c>
      <c r="AE415" s="643">
        <v>0</v>
      </c>
      <c r="AF415" s="643">
        <v>0</v>
      </c>
      <c r="AG415" s="643">
        <v>0</v>
      </c>
      <c r="AH415" s="644">
        <v>0</v>
      </c>
      <c r="AI415" s="643">
        <v>0</v>
      </c>
      <c r="AJ415" s="643">
        <v>0</v>
      </c>
      <c r="AK415" s="645">
        <v>0</v>
      </c>
    </row>
    <row r="416" spans="3:37" ht="13.5">
      <c r="C416" s="646" t="s">
        <v>65</v>
      </c>
      <c r="D416" s="647">
        <v>47.14481987923083</v>
      </c>
      <c r="E416" s="647">
        <v>484.495467583368</v>
      </c>
      <c r="F416" s="647">
        <v>-56.220187417528237</v>
      </c>
      <c r="G416" s="647">
        <v>326.09010493911637</v>
      </c>
      <c r="H416" s="647">
        <v>843.18181818181824</v>
      </c>
      <c r="I416" s="647">
        <v>306.94588327561422</v>
      </c>
      <c r="J416" s="647">
        <v>192.99804263930849</v>
      </c>
      <c r="K416" s="647">
        <v>20.316638839186872</v>
      </c>
      <c r="L416" s="647">
        <v>2.4080208981052738</v>
      </c>
      <c r="M416" s="647">
        <v>0.15964026893196048</v>
      </c>
      <c r="N416" s="647">
        <v>67.964408038916218</v>
      </c>
      <c r="O416" s="647">
        <v>11.973026235836867</v>
      </c>
      <c r="P416" s="647">
        <v>-16.706363002811486</v>
      </c>
      <c r="Q416" s="647">
        <v>0</v>
      </c>
      <c r="R416" s="647">
        <v>0</v>
      </c>
      <c r="S416" s="647">
        <v>2230.7513203590943</v>
      </c>
      <c r="U416" s="646" t="s">
        <v>65</v>
      </c>
      <c r="V416" s="647">
        <v>5.8768320762591904</v>
      </c>
      <c r="W416" s="647">
        <v>189.94114801549574</v>
      </c>
      <c r="X416" s="647">
        <v>-65.137888601933454</v>
      </c>
      <c r="Y416" s="647">
        <v>79.543404035713095</v>
      </c>
      <c r="Z416" s="647">
        <v>842.12121212121212</v>
      </c>
      <c r="AA416" s="647">
        <v>361.66588327561419</v>
      </c>
      <c r="AB416" s="647">
        <v>214.82640666394374</v>
      </c>
      <c r="AC416" s="647">
        <v>36.742499370225779</v>
      </c>
      <c r="AD416" s="647">
        <v>-24.953820100618749</v>
      </c>
      <c r="AE416" s="647">
        <v>-2.0254873896382719</v>
      </c>
      <c r="AF416" s="647">
        <v>109.8518848230913</v>
      </c>
      <c r="AG416" s="647">
        <v>27.041217028647232</v>
      </c>
      <c r="AH416" s="647">
        <v>-20.522831714543145</v>
      </c>
      <c r="AI416" s="647">
        <v>0</v>
      </c>
      <c r="AJ416" s="647">
        <v>0</v>
      </c>
      <c r="AK416" s="647">
        <v>1754.970459603469</v>
      </c>
    </row>
    <row r="417" spans="3:37" ht="13">
      <c r="C417" s="636"/>
      <c r="D417" s="636">
        <v>0</v>
      </c>
      <c r="E417" s="636">
        <v>0</v>
      </c>
      <c r="F417" s="636">
        <v>0</v>
      </c>
      <c r="G417" s="636">
        <v>0</v>
      </c>
      <c r="H417" s="636">
        <v>0</v>
      </c>
      <c r="I417" s="636">
        <v>0</v>
      </c>
      <c r="J417" s="636">
        <v>0</v>
      </c>
      <c r="K417" s="636">
        <v>0</v>
      </c>
      <c r="L417" s="636">
        <v>0</v>
      </c>
      <c r="M417" s="636">
        <v>0</v>
      </c>
      <c r="N417" s="636">
        <v>0</v>
      </c>
      <c r="O417" s="636">
        <v>0</v>
      </c>
      <c r="P417" s="636">
        <v>0</v>
      </c>
      <c r="Q417" s="636">
        <v>0</v>
      </c>
      <c r="R417" s="636">
        <v>0</v>
      </c>
      <c r="S417" s="636">
        <v>0</v>
      </c>
      <c r="U417" s="636"/>
      <c r="V417" s="636">
        <v>0</v>
      </c>
      <c r="W417" s="636">
        <v>0</v>
      </c>
      <c r="X417" s="636">
        <v>0</v>
      </c>
      <c r="Y417" s="636">
        <v>0</v>
      </c>
      <c r="Z417" s="636">
        <v>0</v>
      </c>
      <c r="AA417" s="636">
        <v>0</v>
      </c>
      <c r="AB417" s="636">
        <v>0</v>
      </c>
      <c r="AC417" s="636">
        <v>0</v>
      </c>
      <c r="AD417" s="636">
        <v>0</v>
      </c>
      <c r="AE417" s="636">
        <v>0</v>
      </c>
      <c r="AF417" s="636">
        <v>0</v>
      </c>
      <c r="AG417" s="636">
        <v>0</v>
      </c>
      <c r="AH417" s="636">
        <v>0</v>
      </c>
      <c r="AI417" s="636">
        <v>0</v>
      </c>
      <c r="AJ417" s="636">
        <v>0</v>
      </c>
      <c r="AK417" s="636">
        <v>0</v>
      </c>
    </row>
    <row r="418" spans="3:37" ht="13.5">
      <c r="C418" s="648" t="s">
        <v>67</v>
      </c>
      <c r="D418" s="642">
        <v>0</v>
      </c>
      <c r="E418" s="649">
        <v>0</v>
      </c>
      <c r="F418" s="649">
        <v>0</v>
      </c>
      <c r="G418" s="642">
        <v>0</v>
      </c>
      <c r="H418" s="642">
        <v>0</v>
      </c>
      <c r="I418" s="642">
        <v>0</v>
      </c>
      <c r="J418" s="642">
        <v>0</v>
      </c>
      <c r="K418" s="642">
        <v>0</v>
      </c>
      <c r="L418" s="642">
        <v>0</v>
      </c>
      <c r="M418" s="642">
        <v>0</v>
      </c>
      <c r="N418" s="642">
        <v>0</v>
      </c>
      <c r="O418" s="642">
        <v>0</v>
      </c>
      <c r="P418" s="642">
        <v>0</v>
      </c>
      <c r="Q418" s="642">
        <v>0</v>
      </c>
      <c r="R418" s="642">
        <v>0</v>
      </c>
      <c r="S418" s="650">
        <v>0</v>
      </c>
      <c r="U418" s="648" t="s">
        <v>67</v>
      </c>
      <c r="V418" s="642">
        <v>0</v>
      </c>
      <c r="W418" s="649">
        <v>0</v>
      </c>
      <c r="X418" s="649">
        <v>0</v>
      </c>
      <c r="Y418" s="642">
        <v>0</v>
      </c>
      <c r="Z418" s="642">
        <v>0</v>
      </c>
      <c r="AA418" s="642">
        <v>0</v>
      </c>
      <c r="AB418" s="642">
        <v>0</v>
      </c>
      <c r="AC418" s="642">
        <v>0</v>
      </c>
      <c r="AD418" s="642">
        <v>0</v>
      </c>
      <c r="AE418" s="642">
        <v>0</v>
      </c>
      <c r="AF418" s="642">
        <v>0</v>
      </c>
      <c r="AG418" s="642">
        <v>0</v>
      </c>
      <c r="AH418" s="642">
        <v>0</v>
      </c>
      <c r="AI418" s="642">
        <v>0</v>
      </c>
      <c r="AJ418" s="642">
        <v>0</v>
      </c>
      <c r="AK418" s="650">
        <v>0</v>
      </c>
    </row>
    <row r="419" spans="3:37" ht="13.5">
      <c r="C419" s="648" t="s">
        <v>350</v>
      </c>
      <c r="D419" s="642">
        <v>2.8267856410252494</v>
      </c>
      <c r="E419" s="642">
        <v>0</v>
      </c>
      <c r="F419" s="642">
        <v>7.9230776783294274</v>
      </c>
      <c r="G419" s="642">
        <v>16.680851063829788</v>
      </c>
      <c r="H419" s="642">
        <v>843.18181818181824</v>
      </c>
      <c r="I419" s="642">
        <v>306.94588327561422</v>
      </c>
      <c r="J419" s="651">
        <v>28.98717588629853</v>
      </c>
      <c r="K419" s="651">
        <v>6.5903281241207718</v>
      </c>
      <c r="L419" s="651">
        <v>3.3436367529727189</v>
      </c>
      <c r="M419" s="651">
        <v>0.46654149749263618</v>
      </c>
      <c r="N419" s="651">
        <v>0</v>
      </c>
      <c r="O419" s="651">
        <v>7.0184114557160298</v>
      </c>
      <c r="P419" s="642">
        <v>-616.92993037811448</v>
      </c>
      <c r="Q419" s="642">
        <v>0</v>
      </c>
      <c r="R419" s="642">
        <v>0</v>
      </c>
      <c r="S419" s="650">
        <v>607.03457917910316</v>
      </c>
      <c r="U419" s="648" t="s">
        <v>350</v>
      </c>
      <c r="V419" s="642">
        <v>0.62631490545869017</v>
      </c>
      <c r="W419" s="642">
        <v>0</v>
      </c>
      <c r="X419" s="642">
        <v>4.0594413146930641</v>
      </c>
      <c r="Y419" s="642">
        <v>2.3404255319148937</v>
      </c>
      <c r="Z419" s="642">
        <v>842.12121212121212</v>
      </c>
      <c r="AA419" s="642">
        <v>361.66588327561419</v>
      </c>
      <c r="AB419" s="651">
        <v>23.182357378111952</v>
      </c>
      <c r="AC419" s="651">
        <v>5.3775678130216455</v>
      </c>
      <c r="AD419" s="651">
        <v>3.3436367529727189</v>
      </c>
      <c r="AE419" s="651">
        <v>2.4665414974926363</v>
      </c>
      <c r="AF419" s="651">
        <v>0</v>
      </c>
      <c r="AG419" s="651">
        <v>7.0184114557160298</v>
      </c>
      <c r="AH419" s="642">
        <v>-662.7499303781143</v>
      </c>
      <c r="AI419" s="642">
        <v>0</v>
      </c>
      <c r="AJ419" s="642">
        <v>4.25</v>
      </c>
      <c r="AK419" s="650">
        <v>593.70186166809344</v>
      </c>
    </row>
    <row r="420" spans="3:37" ht="13.5">
      <c r="C420" s="648" t="s">
        <v>351</v>
      </c>
      <c r="D420" s="642">
        <v>0</v>
      </c>
      <c r="E420" s="642">
        <v>0</v>
      </c>
      <c r="F420" s="642">
        <v>0</v>
      </c>
      <c r="G420" s="642">
        <v>14.843815057329421</v>
      </c>
      <c r="H420" s="642">
        <v>0</v>
      </c>
      <c r="I420" s="642">
        <v>0</v>
      </c>
      <c r="J420" s="651">
        <v>12.357161229114668</v>
      </c>
      <c r="K420" s="651">
        <v>11.882304060636951</v>
      </c>
      <c r="L420" s="651">
        <v>0</v>
      </c>
      <c r="M420" s="651">
        <v>0.31804644322561132</v>
      </c>
      <c r="N420" s="651">
        <v>0</v>
      </c>
      <c r="O420" s="651">
        <v>2.0992086164963606</v>
      </c>
      <c r="P420" s="642">
        <v>0</v>
      </c>
      <c r="Q420" s="642">
        <v>-37.805081951347923</v>
      </c>
      <c r="R420" s="642">
        <v>0</v>
      </c>
      <c r="S420" s="650">
        <v>3.6954534554550835</v>
      </c>
      <c r="U420" s="648" t="s">
        <v>351</v>
      </c>
      <c r="V420" s="642">
        <v>0</v>
      </c>
      <c r="W420" s="642">
        <v>0</v>
      </c>
      <c r="X420" s="642">
        <v>0</v>
      </c>
      <c r="Y420" s="642">
        <v>6.4668066457611202</v>
      </c>
      <c r="Z420" s="642">
        <v>0</v>
      </c>
      <c r="AA420" s="642">
        <v>0</v>
      </c>
      <c r="AB420" s="651">
        <v>28.361573193229066</v>
      </c>
      <c r="AC420" s="651">
        <v>26.076316433417247</v>
      </c>
      <c r="AD420" s="651">
        <v>0</v>
      </c>
      <c r="AE420" s="651">
        <v>6.4819180878167435</v>
      </c>
      <c r="AF420" s="651">
        <v>0</v>
      </c>
      <c r="AG420" s="651">
        <v>12.550380584079129</v>
      </c>
      <c r="AH420" s="642">
        <v>0</v>
      </c>
      <c r="AI420" s="642">
        <v>-74.043519390541746</v>
      </c>
      <c r="AJ420" s="642">
        <v>0</v>
      </c>
      <c r="AK420" s="650">
        <v>5.8934755537615651</v>
      </c>
    </row>
    <row r="421" spans="3:37" ht="13.5">
      <c r="C421" s="648" t="s">
        <v>352</v>
      </c>
      <c r="D421" s="642">
        <v>0</v>
      </c>
      <c r="E421" s="642">
        <v>0</v>
      </c>
      <c r="F421" s="642">
        <v>0</v>
      </c>
      <c r="G421" s="642">
        <v>0</v>
      </c>
      <c r="H421" s="642">
        <v>0</v>
      </c>
      <c r="I421" s="642">
        <v>0</v>
      </c>
      <c r="J421" s="652">
        <v>6.8755991242523775</v>
      </c>
      <c r="K421" s="652">
        <v>0</v>
      </c>
      <c r="L421" s="652">
        <v>0</v>
      </c>
      <c r="M421" s="652">
        <v>-6.4200906822706569</v>
      </c>
      <c r="N421" s="652">
        <v>0</v>
      </c>
      <c r="O421" s="652">
        <v>0</v>
      </c>
      <c r="P421" s="642">
        <v>0</v>
      </c>
      <c r="Q421" s="642">
        <v>0</v>
      </c>
      <c r="R421" s="642">
        <v>0</v>
      </c>
      <c r="S421" s="650">
        <v>0.45550844198172058</v>
      </c>
      <c r="U421" s="648" t="s">
        <v>352</v>
      </c>
      <c r="V421" s="642">
        <v>0</v>
      </c>
      <c r="W421" s="642">
        <v>0</v>
      </c>
      <c r="X421" s="642">
        <v>0</v>
      </c>
      <c r="Y421" s="642">
        <v>0</v>
      </c>
      <c r="Z421" s="642">
        <v>0</v>
      </c>
      <c r="AA421" s="642">
        <v>0</v>
      </c>
      <c r="AB421" s="652">
        <v>86.654179241552072</v>
      </c>
      <c r="AC421" s="652">
        <v>0</v>
      </c>
      <c r="AD421" s="652">
        <v>0</v>
      </c>
      <c r="AE421" s="652">
        <v>-80.913339866799248</v>
      </c>
      <c r="AF421" s="652">
        <v>0</v>
      </c>
      <c r="AG421" s="652">
        <v>0</v>
      </c>
      <c r="AH421" s="642">
        <v>0</v>
      </c>
      <c r="AI421" s="642">
        <v>0</v>
      </c>
      <c r="AJ421" s="642">
        <v>0</v>
      </c>
      <c r="AK421" s="650">
        <v>5.7408393747528237</v>
      </c>
    </row>
    <row r="422" spans="3:37" ht="13.5">
      <c r="C422" s="648" t="s">
        <v>353</v>
      </c>
      <c r="D422" s="642">
        <v>0</v>
      </c>
      <c r="E422" s="642">
        <v>0</v>
      </c>
      <c r="F422" s="642">
        <v>0</v>
      </c>
      <c r="G422" s="642">
        <v>0</v>
      </c>
      <c r="H422" s="642">
        <v>0</v>
      </c>
      <c r="I422" s="642">
        <v>0</v>
      </c>
      <c r="J422" s="642">
        <v>0</v>
      </c>
      <c r="K422" s="642">
        <v>0</v>
      </c>
      <c r="L422" s="642">
        <v>0</v>
      </c>
      <c r="M422" s="642">
        <v>0</v>
      </c>
      <c r="N422" s="642">
        <v>0</v>
      </c>
      <c r="O422" s="642">
        <v>0</v>
      </c>
      <c r="P422" s="642">
        <v>0</v>
      </c>
      <c r="Q422" s="642">
        <v>0</v>
      </c>
      <c r="R422" s="642">
        <v>0</v>
      </c>
      <c r="S422" s="650">
        <v>0</v>
      </c>
      <c r="U422" s="648" t="s">
        <v>353</v>
      </c>
      <c r="V422" s="642">
        <v>0</v>
      </c>
      <c r="W422" s="642">
        <v>0</v>
      </c>
      <c r="X422" s="642">
        <v>0</v>
      </c>
      <c r="Y422" s="642">
        <v>0</v>
      </c>
      <c r="Z422" s="642">
        <v>0</v>
      </c>
      <c r="AA422" s="642">
        <v>0</v>
      </c>
      <c r="AB422" s="642">
        <v>0</v>
      </c>
      <c r="AC422" s="642">
        <v>0</v>
      </c>
      <c r="AD422" s="642">
        <v>0</v>
      </c>
      <c r="AE422" s="642">
        <v>0</v>
      </c>
      <c r="AF422" s="642">
        <v>0</v>
      </c>
      <c r="AG422" s="642">
        <v>0</v>
      </c>
      <c r="AH422" s="642">
        <v>0</v>
      </c>
      <c r="AI422" s="642">
        <v>0</v>
      </c>
      <c r="AJ422" s="642">
        <v>0</v>
      </c>
      <c r="AK422" s="650">
        <v>0</v>
      </c>
    </row>
    <row r="423" spans="3:37" ht="13.5">
      <c r="C423" s="648" t="s">
        <v>72</v>
      </c>
      <c r="D423" s="642">
        <v>0</v>
      </c>
      <c r="E423" s="642">
        <v>501.8858109321676</v>
      </c>
      <c r="F423" s="642">
        <v>-496.86695282284592</v>
      </c>
      <c r="G423" s="642">
        <v>0</v>
      </c>
      <c r="H423" s="642">
        <v>0</v>
      </c>
      <c r="I423" s="642">
        <v>0</v>
      </c>
      <c r="J423" s="642">
        <v>0</v>
      </c>
      <c r="K423" s="642">
        <v>0</v>
      </c>
      <c r="L423" s="642">
        <v>0</v>
      </c>
      <c r="M423" s="642">
        <v>0</v>
      </c>
      <c r="N423" s="642">
        <v>0</v>
      </c>
      <c r="O423" s="642">
        <v>0</v>
      </c>
      <c r="P423" s="642">
        <v>0</v>
      </c>
      <c r="Q423" s="642">
        <v>0</v>
      </c>
      <c r="R423" s="642">
        <v>0</v>
      </c>
      <c r="S423" s="650">
        <v>5.018858109321684</v>
      </c>
      <c r="U423" s="648" t="s">
        <v>72</v>
      </c>
      <c r="V423" s="642">
        <v>0</v>
      </c>
      <c r="W423" s="642">
        <v>196.75884188687598</v>
      </c>
      <c r="X423" s="642">
        <v>-194.79125346800723</v>
      </c>
      <c r="Y423" s="642">
        <v>0</v>
      </c>
      <c r="Z423" s="642">
        <v>0</v>
      </c>
      <c r="AA423" s="642">
        <v>0</v>
      </c>
      <c r="AB423" s="642">
        <v>0</v>
      </c>
      <c r="AC423" s="642">
        <v>0</v>
      </c>
      <c r="AD423" s="642">
        <v>0</v>
      </c>
      <c r="AE423" s="642">
        <v>0</v>
      </c>
      <c r="AF423" s="642">
        <v>0</v>
      </c>
      <c r="AG423" s="642">
        <v>0</v>
      </c>
      <c r="AH423" s="642">
        <v>0</v>
      </c>
      <c r="AI423" s="642">
        <v>0</v>
      </c>
      <c r="AJ423" s="642">
        <v>0</v>
      </c>
      <c r="AK423" s="650">
        <v>1.9675884188687576</v>
      </c>
    </row>
    <row r="424" spans="3:37" ht="13.5">
      <c r="C424" s="648" t="s">
        <v>354</v>
      </c>
      <c r="D424" s="642">
        <v>0</v>
      </c>
      <c r="E424" s="642">
        <v>0</v>
      </c>
      <c r="F424" s="642">
        <v>0</v>
      </c>
      <c r="G424" s="642">
        <v>0</v>
      </c>
      <c r="H424" s="642">
        <v>0</v>
      </c>
      <c r="I424" s="642">
        <v>0</v>
      </c>
      <c r="J424" s="642">
        <v>26.867608526350821</v>
      </c>
      <c r="K424" s="642">
        <v>0</v>
      </c>
      <c r="L424" s="642">
        <v>-26.867608526350821</v>
      </c>
      <c r="M424" s="642">
        <v>0</v>
      </c>
      <c r="N424" s="642">
        <v>0</v>
      </c>
      <c r="O424" s="642">
        <v>0</v>
      </c>
      <c r="P424" s="642">
        <v>0</v>
      </c>
      <c r="Q424" s="642">
        <v>0</v>
      </c>
      <c r="R424" s="642">
        <v>0</v>
      </c>
      <c r="S424" s="650">
        <v>0</v>
      </c>
      <c r="U424" s="648" t="s">
        <v>354</v>
      </c>
      <c r="V424" s="642">
        <v>0</v>
      </c>
      <c r="W424" s="642">
        <v>0</v>
      </c>
      <c r="X424" s="642">
        <v>0</v>
      </c>
      <c r="Y424" s="642">
        <v>0</v>
      </c>
      <c r="Z424" s="642">
        <v>0</v>
      </c>
      <c r="AA424" s="642">
        <v>0</v>
      </c>
      <c r="AB424" s="642" t="e">
        <v>#VALUE!</v>
      </c>
      <c r="AC424" s="642">
        <v>0</v>
      </c>
      <c r="AD424" s="642">
        <v>-99.513749603669936</v>
      </c>
      <c r="AE424" s="642">
        <v>0</v>
      </c>
      <c r="AF424" s="642">
        <v>0</v>
      </c>
      <c r="AG424" s="642">
        <v>0</v>
      </c>
      <c r="AH424" s="642">
        <v>0</v>
      </c>
      <c r="AI424" s="642">
        <v>0</v>
      </c>
      <c r="AJ424" s="642">
        <v>0</v>
      </c>
      <c r="AK424" s="650">
        <v>-99.513749603669936</v>
      </c>
    </row>
    <row r="425" spans="3:37" ht="13.5">
      <c r="C425" s="648" t="s">
        <v>355</v>
      </c>
      <c r="D425" s="642">
        <v>0</v>
      </c>
      <c r="E425" s="642">
        <v>0</v>
      </c>
      <c r="F425" s="642">
        <v>0</v>
      </c>
      <c r="G425" s="642">
        <v>0</v>
      </c>
      <c r="H425" s="642">
        <v>0</v>
      </c>
      <c r="I425" s="642">
        <v>0</v>
      </c>
      <c r="J425" s="642">
        <v>0</v>
      </c>
      <c r="K425" s="642">
        <v>0</v>
      </c>
      <c r="L425" s="642">
        <v>0</v>
      </c>
      <c r="M425" s="642">
        <v>0</v>
      </c>
      <c r="N425" s="642">
        <v>0</v>
      </c>
      <c r="O425" s="642">
        <v>0</v>
      </c>
      <c r="P425" s="642">
        <v>0</v>
      </c>
      <c r="Q425" s="642">
        <v>0</v>
      </c>
      <c r="R425" s="642">
        <v>0</v>
      </c>
      <c r="S425" s="650">
        <v>0</v>
      </c>
      <c r="U425" s="648" t="s">
        <v>355</v>
      </c>
      <c r="V425" s="642">
        <v>0</v>
      </c>
      <c r="W425" s="642">
        <v>0</v>
      </c>
      <c r="X425" s="642">
        <v>0</v>
      </c>
      <c r="Y425" s="642">
        <v>0</v>
      </c>
      <c r="Z425" s="642">
        <v>0</v>
      </c>
      <c r="AA425" s="642">
        <v>0</v>
      </c>
      <c r="AB425" s="642">
        <v>0</v>
      </c>
      <c r="AC425" s="642">
        <v>0</v>
      </c>
      <c r="AD425" s="642">
        <v>-17.985934640167208</v>
      </c>
      <c r="AE425" s="642">
        <v>0</v>
      </c>
      <c r="AF425" s="642">
        <v>0</v>
      </c>
      <c r="AG425" s="642">
        <v>0</v>
      </c>
      <c r="AH425" s="642">
        <v>0</v>
      </c>
      <c r="AI425" s="642">
        <v>0</v>
      </c>
      <c r="AJ425" s="642">
        <v>0</v>
      </c>
      <c r="AK425" s="650">
        <v>-17.985934640167208</v>
      </c>
    </row>
    <row r="426" spans="3:37" ht="13.5">
      <c r="C426" s="648" t="s">
        <v>73</v>
      </c>
      <c r="D426" s="642">
        <v>0</v>
      </c>
      <c r="E426" s="642">
        <v>0</v>
      </c>
      <c r="F426" s="642">
        <v>0</v>
      </c>
      <c r="G426" s="642">
        <v>7.0830222331165276</v>
      </c>
      <c r="H426" s="642">
        <v>0</v>
      </c>
      <c r="I426" s="642">
        <v>0</v>
      </c>
      <c r="J426" s="642">
        <v>0</v>
      </c>
      <c r="K426" s="642">
        <v>8.2131519400701847E-2</v>
      </c>
      <c r="L426" s="642">
        <v>0</v>
      </c>
      <c r="M426" s="642">
        <v>0.14455147414523528</v>
      </c>
      <c r="N426" s="642">
        <v>0</v>
      </c>
      <c r="O426" s="642">
        <v>0</v>
      </c>
      <c r="P426" s="642">
        <v>0.90023160054861806</v>
      </c>
      <c r="Q426" s="642">
        <v>0</v>
      </c>
      <c r="R426" s="642">
        <v>-5.7492063580491291</v>
      </c>
      <c r="S426" s="650">
        <v>2.4607304691619536</v>
      </c>
      <c r="U426" s="648" t="s">
        <v>73</v>
      </c>
      <c r="V426" s="642">
        <v>0</v>
      </c>
      <c r="W426" s="642">
        <v>0</v>
      </c>
      <c r="X426" s="642">
        <v>0</v>
      </c>
      <c r="Y426" s="642">
        <v>2.5209228009552263</v>
      </c>
      <c r="Z426" s="642">
        <v>0</v>
      </c>
      <c r="AA426" s="642">
        <v>0</v>
      </c>
      <c r="AB426" s="642">
        <v>0</v>
      </c>
      <c r="AC426" s="642">
        <v>0.50418456019104518</v>
      </c>
      <c r="AD426" s="642">
        <v>0</v>
      </c>
      <c r="AE426" s="642">
        <v>2.5209228009552263</v>
      </c>
      <c r="AF426" s="642">
        <v>0</v>
      </c>
      <c r="AG426" s="642">
        <v>0</v>
      </c>
      <c r="AH426" s="642">
        <v>44.712737508757456</v>
      </c>
      <c r="AI426" s="642">
        <v>0</v>
      </c>
      <c r="AJ426" s="642">
        <v>-35.29291921337316</v>
      </c>
      <c r="AK426" s="650">
        <v>14.965848457485791</v>
      </c>
    </row>
    <row r="427" spans="3:37" ht="13.5">
      <c r="C427" s="648" t="s">
        <v>356</v>
      </c>
      <c r="D427" s="642">
        <v>28.568314687499999</v>
      </c>
      <c r="E427" s="642">
        <v>-17.390343348799608</v>
      </c>
      <c r="F427" s="642">
        <v>22.745541936068136</v>
      </c>
      <c r="G427" s="642">
        <v>0</v>
      </c>
      <c r="H427" s="642">
        <v>0</v>
      </c>
      <c r="I427" s="642">
        <v>0</v>
      </c>
      <c r="J427" s="642">
        <v>0</v>
      </c>
      <c r="K427" s="642">
        <v>0</v>
      </c>
      <c r="L427" s="642">
        <v>0</v>
      </c>
      <c r="M427" s="642">
        <v>0</v>
      </c>
      <c r="N427" s="642">
        <v>0</v>
      </c>
      <c r="O427" s="642">
        <v>0</v>
      </c>
      <c r="P427" s="642">
        <v>0</v>
      </c>
      <c r="Q427" s="642">
        <v>0</v>
      </c>
      <c r="R427" s="642">
        <v>0</v>
      </c>
      <c r="S427" s="650">
        <v>33.923513274768524</v>
      </c>
      <c r="U427" s="648" t="s">
        <v>356</v>
      </c>
      <c r="V427" s="642">
        <v>1.4001075134277343</v>
      </c>
      <c r="W427" s="642">
        <v>-6.8176938713802535</v>
      </c>
      <c r="X427" s="642">
        <v>8.9171408952922331</v>
      </c>
      <c r="Y427" s="642">
        <v>0</v>
      </c>
      <c r="Z427" s="642">
        <v>0</v>
      </c>
      <c r="AA427" s="642">
        <v>0</v>
      </c>
      <c r="AB427" s="642">
        <v>0</v>
      </c>
      <c r="AC427" s="642">
        <v>0</v>
      </c>
      <c r="AD427" s="642">
        <v>0</v>
      </c>
      <c r="AE427" s="642">
        <v>0</v>
      </c>
      <c r="AF427" s="642">
        <v>0</v>
      </c>
      <c r="AG427" s="642">
        <v>0</v>
      </c>
      <c r="AH427" s="642">
        <v>0</v>
      </c>
      <c r="AI427" s="642">
        <v>0</v>
      </c>
      <c r="AJ427" s="642">
        <v>0</v>
      </c>
      <c r="AK427" s="650">
        <v>3.4995545373397139</v>
      </c>
    </row>
    <row r="428" spans="3:37" ht="13.5">
      <c r="C428" s="648" t="s">
        <v>75</v>
      </c>
      <c r="D428" s="642">
        <v>11.109900156250001</v>
      </c>
      <c r="E428" s="642">
        <v>0</v>
      </c>
      <c r="F428" s="642">
        <v>17.0641175716937</v>
      </c>
      <c r="G428" s="642">
        <v>4.8692961376638904</v>
      </c>
      <c r="H428" s="642">
        <v>0</v>
      </c>
      <c r="I428" s="642">
        <v>0</v>
      </c>
      <c r="J428" s="642">
        <v>0</v>
      </c>
      <c r="K428" s="642">
        <v>0</v>
      </c>
      <c r="L428" s="642">
        <v>0</v>
      </c>
      <c r="M428" s="642">
        <v>9.9373390564569189E-2</v>
      </c>
      <c r="N428" s="642">
        <v>0</v>
      </c>
      <c r="O428" s="642">
        <v>0</v>
      </c>
      <c r="P428" s="642">
        <v>27.977940148174714</v>
      </c>
      <c r="Q428" s="642">
        <v>0</v>
      </c>
      <c r="R428" s="642">
        <v>0</v>
      </c>
      <c r="S428" s="650">
        <v>61.12062740434687</v>
      </c>
      <c r="U428" s="648" t="s">
        <v>75</v>
      </c>
      <c r="V428" s="642">
        <v>2.585423095703125</v>
      </c>
      <c r="W428" s="642">
        <v>0</v>
      </c>
      <c r="X428" s="642">
        <v>17.0641175716937</v>
      </c>
      <c r="Y428" s="642">
        <v>2.4843347641142297</v>
      </c>
      <c r="Z428" s="642">
        <v>0</v>
      </c>
      <c r="AA428" s="642">
        <v>0</v>
      </c>
      <c r="AB428" s="642">
        <v>0</v>
      </c>
      <c r="AC428" s="642">
        <v>0</v>
      </c>
      <c r="AD428" s="642">
        <v>0</v>
      </c>
      <c r="AE428" s="642">
        <v>2.4843347641142297</v>
      </c>
      <c r="AF428" s="642">
        <v>0</v>
      </c>
      <c r="AG428" s="642">
        <v>0</v>
      </c>
      <c r="AH428" s="642">
        <v>36.559985602720168</v>
      </c>
      <c r="AI428" s="642">
        <v>0</v>
      </c>
      <c r="AJ428" s="642">
        <v>0</v>
      </c>
      <c r="AK428" s="650">
        <v>61.178195798345449</v>
      </c>
    </row>
    <row r="429" spans="3:37" ht="13.5">
      <c r="C429" s="648" t="s">
        <v>76</v>
      </c>
      <c r="D429" s="642">
        <v>0</v>
      </c>
      <c r="E429" s="642">
        <v>0</v>
      </c>
      <c r="F429" s="642">
        <v>0</v>
      </c>
      <c r="G429" s="642">
        <v>3.7302503173667452</v>
      </c>
      <c r="H429" s="642">
        <v>0</v>
      </c>
      <c r="I429" s="642">
        <v>0</v>
      </c>
      <c r="J429" s="642">
        <v>0</v>
      </c>
      <c r="K429" s="642">
        <v>0</v>
      </c>
      <c r="L429" s="642">
        <v>0</v>
      </c>
      <c r="M429" s="642">
        <v>7.6127557497280507E-2</v>
      </c>
      <c r="N429" s="642">
        <v>0</v>
      </c>
      <c r="O429" s="642">
        <v>0</v>
      </c>
      <c r="P429" s="642">
        <v>45.919010237367587</v>
      </c>
      <c r="Q429" s="642">
        <v>2.9343505562312622</v>
      </c>
      <c r="R429" s="642">
        <v>0</v>
      </c>
      <c r="S429" s="650">
        <v>52.659738668462872</v>
      </c>
      <c r="U429" s="648" t="s">
        <v>76</v>
      </c>
      <c r="V429" s="642">
        <v>0</v>
      </c>
      <c r="W429" s="642">
        <v>0</v>
      </c>
      <c r="X429" s="642">
        <v>0</v>
      </c>
      <c r="Y429" s="642">
        <v>0.95944671778813329</v>
      </c>
      <c r="Z429" s="642">
        <v>0</v>
      </c>
      <c r="AA429" s="642">
        <v>0</v>
      </c>
      <c r="AB429" s="642">
        <v>0</v>
      </c>
      <c r="AC429" s="642">
        <v>0</v>
      </c>
      <c r="AD429" s="642">
        <v>0</v>
      </c>
      <c r="AE429" s="642">
        <v>0.95944671778813329</v>
      </c>
      <c r="AF429" s="642">
        <v>0</v>
      </c>
      <c r="AG429" s="642">
        <v>0</v>
      </c>
      <c r="AH429" s="642">
        <v>49.138117436745475</v>
      </c>
      <c r="AI429" s="642">
        <v>5.7424951548403769</v>
      </c>
      <c r="AJ429" s="642">
        <v>0</v>
      </c>
      <c r="AK429" s="650">
        <v>56.799506027162117</v>
      </c>
    </row>
    <row r="430" spans="3:37" ht="13.5">
      <c r="C430" s="646" t="s">
        <v>77</v>
      </c>
      <c r="D430" s="647">
        <v>42.505000484775252</v>
      </c>
      <c r="E430" s="647">
        <v>484.495467583368</v>
      </c>
      <c r="F430" s="647">
        <v>-449.13421563675462</v>
      </c>
      <c r="G430" s="647">
        <v>47.207234809306371</v>
      </c>
      <c r="H430" s="647">
        <v>843.18181818181824</v>
      </c>
      <c r="I430" s="647">
        <v>306.94588327561422</v>
      </c>
      <c r="J430" s="647">
        <v>75.087544766016393</v>
      </c>
      <c r="K430" s="647">
        <v>18.554763704158422</v>
      </c>
      <c r="L430" s="647">
        <v>-23.523971773378101</v>
      </c>
      <c r="M430" s="647">
        <v>-5.3154503193453246</v>
      </c>
      <c r="N430" s="647">
        <v>0</v>
      </c>
      <c r="O430" s="647">
        <v>9.1176200722123912</v>
      </c>
      <c r="P430" s="647">
        <v>-542.13274839202359</v>
      </c>
      <c r="Q430" s="647">
        <v>-34.870731395116664</v>
      </c>
      <c r="R430" s="647">
        <v>-5.7492063580491291</v>
      </c>
      <c r="S430" s="647">
        <v>766.36900900260184</v>
      </c>
      <c r="U430" s="646" t="s">
        <v>77</v>
      </c>
      <c r="V430" s="647">
        <v>4.6118455145895494</v>
      </c>
      <c r="W430" s="647">
        <v>189.94114801549574</v>
      </c>
      <c r="X430" s="647">
        <v>-164.75055368632826</v>
      </c>
      <c r="Y430" s="647">
        <v>14.771936460533603</v>
      </c>
      <c r="Z430" s="647">
        <v>842.12121212121212</v>
      </c>
      <c r="AA430" s="647">
        <v>361.66588327561419</v>
      </c>
      <c r="AB430" s="647">
        <v>138.19810981289308</v>
      </c>
      <c r="AC430" s="647">
        <v>31.958068806629939</v>
      </c>
      <c r="AD430" s="647">
        <v>-114.15604749086444</v>
      </c>
      <c r="AE430" s="647">
        <v>-66.000175998632287</v>
      </c>
      <c r="AF430" s="647">
        <v>0</v>
      </c>
      <c r="AG430" s="647">
        <v>19.568792039795159</v>
      </c>
      <c r="AH430" s="647">
        <v>-532.33908982989124</v>
      </c>
      <c r="AI430" s="647">
        <v>-68.301024235701377</v>
      </c>
      <c r="AJ430" s="647">
        <v>-31.04291921337316</v>
      </c>
      <c r="AK430" s="647">
        <v>626.24718559197242</v>
      </c>
    </row>
    <row r="431" spans="3:37" ht="13">
      <c r="C431" s="636"/>
      <c r="D431" s="636">
        <v>0</v>
      </c>
      <c r="E431" s="636">
        <v>0</v>
      </c>
      <c r="F431" s="636">
        <v>0</v>
      </c>
      <c r="G431" s="636">
        <v>0</v>
      </c>
      <c r="H431" s="636">
        <v>0</v>
      </c>
      <c r="I431" s="636">
        <v>0</v>
      </c>
      <c r="J431" s="636">
        <v>0</v>
      </c>
      <c r="K431" s="636">
        <v>0</v>
      </c>
      <c r="L431" s="636">
        <v>0</v>
      </c>
      <c r="M431" s="636">
        <v>0</v>
      </c>
      <c r="N431" s="636">
        <v>0</v>
      </c>
      <c r="O431" s="636">
        <v>0</v>
      </c>
      <c r="P431" s="636">
        <v>0</v>
      </c>
      <c r="Q431" s="636">
        <v>0</v>
      </c>
      <c r="R431" s="636">
        <v>0</v>
      </c>
      <c r="S431" s="636">
        <v>0</v>
      </c>
      <c r="U431" s="636"/>
      <c r="V431" s="636">
        <v>0</v>
      </c>
      <c r="W431" s="636">
        <v>0</v>
      </c>
      <c r="X431" s="636">
        <v>0</v>
      </c>
      <c r="Y431" s="636">
        <v>0</v>
      </c>
      <c r="Z431" s="636">
        <v>0</v>
      </c>
      <c r="AA431" s="636">
        <v>0</v>
      </c>
      <c r="AB431" s="636">
        <v>0</v>
      </c>
      <c r="AC431" s="636">
        <v>0</v>
      </c>
      <c r="AD431" s="636">
        <v>0</v>
      </c>
      <c r="AE431" s="636">
        <v>0</v>
      </c>
      <c r="AF431" s="636">
        <v>0</v>
      </c>
      <c r="AG431" s="636">
        <v>0</v>
      </c>
      <c r="AH431" s="636">
        <v>0</v>
      </c>
      <c r="AI431" s="636">
        <v>0</v>
      </c>
      <c r="AJ431" s="636">
        <v>0</v>
      </c>
      <c r="AK431" s="636">
        <v>0</v>
      </c>
    </row>
    <row r="432" spans="3:37" ht="13.5">
      <c r="C432" s="648" t="s">
        <v>78</v>
      </c>
      <c r="D432" s="642">
        <v>4.6398193944555786</v>
      </c>
      <c r="E432" s="642">
        <v>0</v>
      </c>
      <c r="F432" s="642">
        <v>20.598782441852151</v>
      </c>
      <c r="G432" s="642">
        <v>94.839699954986926</v>
      </c>
      <c r="H432" s="642">
        <v>0</v>
      </c>
      <c r="I432" s="642">
        <v>0</v>
      </c>
      <c r="J432" s="642">
        <v>21.821162214793436</v>
      </c>
      <c r="K432" s="642">
        <v>1.7366010173968038</v>
      </c>
      <c r="L432" s="642">
        <v>0.96096945898437491</v>
      </c>
      <c r="M432" s="642">
        <v>1.9539169420126139</v>
      </c>
      <c r="N432" s="642">
        <v>0</v>
      </c>
      <c r="O432" s="642">
        <v>3.7537634069694789E-4</v>
      </c>
      <c r="P432" s="642">
        <v>113.419965125608</v>
      </c>
      <c r="Q432" s="642">
        <v>16.150451210263412</v>
      </c>
      <c r="R432" s="642">
        <v>0.26695886230468752</v>
      </c>
      <c r="S432" s="650">
        <v>276.38870199899873</v>
      </c>
      <c r="U432" s="648" t="s">
        <v>78</v>
      </c>
      <c r="V432" s="642">
        <v>1.264986561669641</v>
      </c>
      <c r="W432" s="642">
        <v>0</v>
      </c>
      <c r="X432" s="642">
        <v>4.4259635061357878</v>
      </c>
      <c r="Y432" s="642">
        <v>33.008089674756327</v>
      </c>
      <c r="Z432" s="642">
        <v>0</v>
      </c>
      <c r="AA432" s="642">
        <v>0</v>
      </c>
      <c r="AB432" s="642">
        <v>14.926911405045434</v>
      </c>
      <c r="AC432" s="642">
        <v>4.7591564459641997</v>
      </c>
      <c r="AD432" s="642">
        <v>6.4130046386718744</v>
      </c>
      <c r="AE432" s="642">
        <v>33.02650253605492</v>
      </c>
      <c r="AF432" s="642">
        <v>0</v>
      </c>
      <c r="AG432" s="642">
        <v>3.7537634069694789E-4</v>
      </c>
      <c r="AH432" s="642">
        <v>148.98135712801343</v>
      </c>
      <c r="AI432" s="642">
        <v>24.187634778338289</v>
      </c>
      <c r="AJ432" s="642">
        <v>7.9027373046875002</v>
      </c>
      <c r="AK432" s="650">
        <v>278.8967193556781</v>
      </c>
    </row>
    <row r="433" spans="3:37" ht="13.5">
      <c r="C433" s="648" t="s">
        <v>79</v>
      </c>
      <c r="D433" s="642">
        <v>0</v>
      </c>
      <c r="E433" s="642">
        <v>0</v>
      </c>
      <c r="F433" s="642">
        <v>225.72324837131151</v>
      </c>
      <c r="G433" s="642">
        <v>31.930807664827714</v>
      </c>
      <c r="H433" s="642">
        <v>0</v>
      </c>
      <c r="I433" s="642">
        <v>0</v>
      </c>
      <c r="J433" s="642">
        <v>0</v>
      </c>
      <c r="K433" s="642">
        <v>0</v>
      </c>
      <c r="L433" s="642">
        <v>21.777356740546686</v>
      </c>
      <c r="M433" s="642">
        <v>0.65164913601689212</v>
      </c>
      <c r="N433" s="642">
        <v>0</v>
      </c>
      <c r="O433" s="642">
        <v>0</v>
      </c>
      <c r="P433" s="642">
        <v>72.885841088882287</v>
      </c>
      <c r="Q433" s="642">
        <v>0</v>
      </c>
      <c r="R433" s="642">
        <v>2.6521266956987635</v>
      </c>
      <c r="S433" s="650">
        <v>355.62102969728386</v>
      </c>
      <c r="U433" s="648" t="s">
        <v>79</v>
      </c>
      <c r="V433" s="642">
        <v>0</v>
      </c>
      <c r="W433" s="642">
        <v>0</v>
      </c>
      <c r="X433" s="642">
        <v>19.003305935487372</v>
      </c>
      <c r="Y433" s="642">
        <v>13.267062862305856</v>
      </c>
      <c r="Z433" s="642">
        <v>0</v>
      </c>
      <c r="AA433" s="642">
        <v>0</v>
      </c>
      <c r="AB433" s="642">
        <v>0</v>
      </c>
      <c r="AC433" s="642">
        <v>0</v>
      </c>
      <c r="AD433" s="642">
        <v>27.757428454399612</v>
      </c>
      <c r="AE433" s="642">
        <v>13.267062862305856</v>
      </c>
      <c r="AF433" s="642">
        <v>0</v>
      </c>
      <c r="AG433" s="642">
        <v>0</v>
      </c>
      <c r="AH433" s="642">
        <v>94.556676700547257</v>
      </c>
      <c r="AI433" s="642">
        <v>0</v>
      </c>
      <c r="AJ433" s="642">
        <v>6.3130917169295051</v>
      </c>
      <c r="AK433" s="650">
        <v>174.16462853197544</v>
      </c>
    </row>
    <row r="434" spans="3:37" ht="13.5">
      <c r="C434" s="648" t="s">
        <v>80</v>
      </c>
      <c r="D434" s="642">
        <v>0</v>
      </c>
      <c r="E434" s="642">
        <v>0</v>
      </c>
      <c r="F434" s="642">
        <v>11.075929176351762</v>
      </c>
      <c r="G434" s="642">
        <v>76.664751333295058</v>
      </c>
      <c r="H434" s="642">
        <v>0</v>
      </c>
      <c r="I434" s="642">
        <v>0</v>
      </c>
      <c r="J434" s="642">
        <v>88.320247059496523</v>
      </c>
      <c r="K434" s="642">
        <v>0</v>
      </c>
      <c r="L434" s="642">
        <v>0</v>
      </c>
      <c r="M434" s="642">
        <v>1.5645867619039808</v>
      </c>
      <c r="N434" s="642">
        <v>59.616390446150973</v>
      </c>
      <c r="O434" s="642">
        <v>2.0734984243972754</v>
      </c>
      <c r="P434" s="642">
        <v>190.93239321884863</v>
      </c>
      <c r="Q434" s="642">
        <v>15.360003531773184</v>
      </c>
      <c r="R434" s="642">
        <v>0</v>
      </c>
      <c r="S434" s="650">
        <v>445.60779995221742</v>
      </c>
      <c r="U434" s="648" t="s">
        <v>80</v>
      </c>
      <c r="V434" s="642">
        <v>0</v>
      </c>
      <c r="W434" s="642">
        <v>0</v>
      </c>
      <c r="X434" s="642">
        <v>0.97925934500211753</v>
      </c>
      <c r="Y434" s="642">
        <v>9.8253088649292142</v>
      </c>
      <c r="Z434" s="642">
        <v>0</v>
      </c>
      <c r="AA434" s="642">
        <v>0</v>
      </c>
      <c r="AB434" s="642">
        <v>50.204880630535357</v>
      </c>
      <c r="AC434" s="642">
        <v>0</v>
      </c>
      <c r="AD434" s="642">
        <v>0</v>
      </c>
      <c r="AE434" s="642">
        <v>9.8253088649292142</v>
      </c>
      <c r="AF434" s="642">
        <v>95.02342184325245</v>
      </c>
      <c r="AG434" s="642">
        <v>4.208312775429496</v>
      </c>
      <c r="AH434" s="642">
        <v>144.38732956018927</v>
      </c>
      <c r="AI434" s="642">
        <v>30.75075127630511</v>
      </c>
      <c r="AJ434" s="642">
        <v>0</v>
      </c>
      <c r="AK434" s="650">
        <v>345.20457316057224</v>
      </c>
    </row>
    <row r="435" spans="3:37" ht="13.5">
      <c r="C435" s="648" t="s">
        <v>81</v>
      </c>
      <c r="D435" s="642">
        <v>0</v>
      </c>
      <c r="E435" s="642">
        <v>0</v>
      </c>
      <c r="F435" s="642">
        <v>2.6743117433405894</v>
      </c>
      <c r="G435" s="642">
        <v>62.987223173923248</v>
      </c>
      <c r="H435" s="642">
        <v>0</v>
      </c>
      <c r="I435" s="642">
        <v>0</v>
      </c>
      <c r="J435" s="642">
        <v>3.1384766478070549</v>
      </c>
      <c r="K435" s="642">
        <v>2.5274117631643136E-2</v>
      </c>
      <c r="L435" s="642">
        <v>0</v>
      </c>
      <c r="M435" s="642">
        <v>1.2854535341616988</v>
      </c>
      <c r="N435" s="642">
        <v>8.34801759276524</v>
      </c>
      <c r="O435" s="642">
        <v>0.71507622546549865</v>
      </c>
      <c r="P435" s="642">
        <v>142.0321146826426</v>
      </c>
      <c r="Q435" s="642">
        <v>3.3602766530800707</v>
      </c>
      <c r="R435" s="642">
        <v>0</v>
      </c>
      <c r="S435" s="650">
        <v>224.56622437081765</v>
      </c>
      <c r="U435" s="648" t="s">
        <v>81</v>
      </c>
      <c r="V435" s="642">
        <v>0</v>
      </c>
      <c r="W435" s="642">
        <v>0</v>
      </c>
      <c r="X435" s="642">
        <v>1.2256055704751125</v>
      </c>
      <c r="Y435" s="642">
        <v>7.2918833253665882</v>
      </c>
      <c r="Z435" s="642">
        <v>0</v>
      </c>
      <c r="AA435" s="642">
        <v>0</v>
      </c>
      <c r="AB435" s="642">
        <v>6.8658928642747856</v>
      </c>
      <c r="AC435" s="642">
        <v>2.5274117631643136E-2</v>
      </c>
      <c r="AD435" s="642">
        <v>0</v>
      </c>
      <c r="AE435" s="642">
        <v>7.2918833253665882</v>
      </c>
      <c r="AF435" s="642">
        <v>14.828462979838848</v>
      </c>
      <c r="AG435" s="642">
        <v>1.5197231438340593</v>
      </c>
      <c r="AH435" s="642">
        <v>114.40426288608282</v>
      </c>
      <c r="AI435" s="642">
        <v>13.362638181057982</v>
      </c>
      <c r="AJ435" s="642">
        <v>0</v>
      </c>
      <c r="AK435" s="650">
        <v>166.8156263939284</v>
      </c>
    </row>
    <row r="436" spans="3:37" ht="13.5">
      <c r="C436" s="648" t="s">
        <v>82</v>
      </c>
      <c r="D436" s="642">
        <v>0</v>
      </c>
      <c r="E436" s="642">
        <v>0</v>
      </c>
      <c r="F436" s="642">
        <v>27.931723909553636</v>
      </c>
      <c r="G436" s="642">
        <v>0.95472649492283324</v>
      </c>
      <c r="H436" s="642">
        <v>0</v>
      </c>
      <c r="I436" s="642">
        <v>0</v>
      </c>
      <c r="J436" s="642">
        <v>4.6306119511950978</v>
      </c>
      <c r="K436" s="642">
        <v>0</v>
      </c>
      <c r="L436" s="642">
        <v>3.1934862443619529</v>
      </c>
      <c r="M436" s="642">
        <v>1.9484214182098638E-2</v>
      </c>
      <c r="N436" s="642">
        <v>0</v>
      </c>
      <c r="O436" s="642">
        <v>6.6456137421005312E-2</v>
      </c>
      <c r="P436" s="642">
        <v>5.7660712732306445</v>
      </c>
      <c r="Q436" s="642">
        <v>0</v>
      </c>
      <c r="R436" s="642">
        <v>0</v>
      </c>
      <c r="S436" s="650">
        <v>42.562560224867276</v>
      </c>
      <c r="U436" s="648" t="s">
        <v>82</v>
      </c>
      <c r="V436" s="642">
        <v>0</v>
      </c>
      <c r="W436" s="642">
        <v>0</v>
      </c>
      <c r="X436" s="642">
        <v>3.5775053425595864</v>
      </c>
      <c r="Y436" s="642">
        <v>0.56393102033742082</v>
      </c>
      <c r="Z436" s="642">
        <v>0</v>
      </c>
      <c r="AA436" s="642">
        <v>0</v>
      </c>
      <c r="AB436" s="642">
        <v>4.6306119511950978</v>
      </c>
      <c r="AC436" s="642">
        <v>0</v>
      </c>
      <c r="AD436" s="642">
        <v>32.861113305842508</v>
      </c>
      <c r="AE436" s="642">
        <v>0.56393102033742082</v>
      </c>
      <c r="AF436" s="642">
        <v>0</v>
      </c>
      <c r="AG436" s="642">
        <v>1.7440136932478227</v>
      </c>
      <c r="AH436" s="642">
        <v>5.8866318405152116</v>
      </c>
      <c r="AI436" s="642">
        <v>0</v>
      </c>
      <c r="AJ436" s="642">
        <v>0.38427420359697795</v>
      </c>
      <c r="AK436" s="650">
        <v>50.21201237763205</v>
      </c>
    </row>
    <row r="437" spans="3:37" ht="13.5">
      <c r="C437" s="648" t="s">
        <v>357</v>
      </c>
      <c r="D437" s="642">
        <v>0</v>
      </c>
      <c r="E437" s="642">
        <v>0</v>
      </c>
      <c r="F437" s="642">
        <v>0</v>
      </c>
      <c r="G437" s="642">
        <v>0</v>
      </c>
      <c r="H437" s="642">
        <v>0</v>
      </c>
      <c r="I437" s="642">
        <v>0</v>
      </c>
      <c r="J437" s="642">
        <v>0</v>
      </c>
      <c r="K437" s="642">
        <v>0</v>
      </c>
      <c r="L437" s="642">
        <v>0</v>
      </c>
      <c r="M437" s="642">
        <v>0</v>
      </c>
      <c r="N437" s="642">
        <v>0</v>
      </c>
      <c r="O437" s="642">
        <v>0</v>
      </c>
      <c r="P437" s="642">
        <v>0.39</v>
      </c>
      <c r="Q437" s="642">
        <v>0</v>
      </c>
      <c r="R437" s="642">
        <v>0</v>
      </c>
      <c r="S437" s="650">
        <v>0.39</v>
      </c>
      <c r="U437" s="648" t="s">
        <v>357</v>
      </c>
      <c r="V437" s="642">
        <v>0</v>
      </c>
      <c r="W437" s="642">
        <v>0</v>
      </c>
      <c r="X437" s="642">
        <v>0</v>
      </c>
      <c r="Y437" s="642">
        <v>0</v>
      </c>
      <c r="Z437" s="642">
        <v>0</v>
      </c>
      <c r="AA437" s="642">
        <v>0</v>
      </c>
      <c r="AB437" s="642">
        <v>0</v>
      </c>
      <c r="AC437" s="642">
        <v>0</v>
      </c>
      <c r="AD437" s="642">
        <v>0</v>
      </c>
      <c r="AE437" s="642">
        <v>0</v>
      </c>
      <c r="AF437" s="642">
        <v>0</v>
      </c>
      <c r="AG437" s="642">
        <v>0</v>
      </c>
      <c r="AH437" s="642">
        <v>3.5999999999999996</v>
      </c>
      <c r="AI437" s="642">
        <v>0</v>
      </c>
      <c r="AJ437" s="642">
        <v>0</v>
      </c>
      <c r="AK437" s="650">
        <v>3.5999999999999996</v>
      </c>
    </row>
    <row r="438" spans="3:37" ht="13.5">
      <c r="C438" s="646" t="s">
        <v>83</v>
      </c>
      <c r="D438" s="647">
        <v>4.6398193944555786</v>
      </c>
      <c r="E438" s="647">
        <v>0</v>
      </c>
      <c r="F438" s="647">
        <v>288.00399564240968</v>
      </c>
      <c r="G438" s="647">
        <v>267.37720862195579</v>
      </c>
      <c r="H438" s="647">
        <v>0</v>
      </c>
      <c r="I438" s="647">
        <v>0</v>
      </c>
      <c r="J438" s="647">
        <v>117.91049787329212</v>
      </c>
      <c r="K438" s="647">
        <v>1.7618751350284469</v>
      </c>
      <c r="L438" s="647">
        <v>25.931812443893016</v>
      </c>
      <c r="M438" s="647">
        <v>5.4750905882772853</v>
      </c>
      <c r="N438" s="647">
        <v>67.964408038916218</v>
      </c>
      <c r="O438" s="647">
        <v>2.8554061636244761</v>
      </c>
      <c r="P438" s="647">
        <v>525.4263853892121</v>
      </c>
      <c r="Q438" s="647">
        <v>34.870731395116664</v>
      </c>
      <c r="R438" s="647">
        <v>2.9190855580034509</v>
      </c>
      <c r="S438" s="647">
        <v>1345.1363162441851</v>
      </c>
      <c r="U438" s="646" t="s">
        <v>83</v>
      </c>
      <c r="V438" s="647">
        <v>1.264986561669641</v>
      </c>
      <c r="W438" s="647">
        <v>0</v>
      </c>
      <c r="X438" s="647">
        <v>29.211639699659976</v>
      </c>
      <c r="Y438" s="647">
        <v>63.956275747695408</v>
      </c>
      <c r="Z438" s="647">
        <v>0</v>
      </c>
      <c r="AA438" s="647">
        <v>0</v>
      </c>
      <c r="AB438" s="647">
        <v>76.628296851050663</v>
      </c>
      <c r="AC438" s="647">
        <v>4.7844305635958433</v>
      </c>
      <c r="AD438" s="647">
        <v>67.031546398914003</v>
      </c>
      <c r="AE438" s="647">
        <v>63.974688608994001</v>
      </c>
      <c r="AF438" s="647">
        <v>109.8518848230913</v>
      </c>
      <c r="AG438" s="647">
        <v>7.4724249888520751</v>
      </c>
      <c r="AH438" s="647">
        <v>511.81625811534803</v>
      </c>
      <c r="AI438" s="647">
        <v>68.301024235701377</v>
      </c>
      <c r="AJ438" s="647">
        <v>14.600103225213982</v>
      </c>
      <c r="AK438" s="647">
        <v>1018.8935598197862</v>
      </c>
    </row>
    <row r="439" spans="3:37" ht="13.5">
      <c r="C439" s="641" t="s">
        <v>84</v>
      </c>
      <c r="D439" s="642">
        <v>0</v>
      </c>
      <c r="E439" s="642">
        <v>0</v>
      </c>
      <c r="F439" s="642">
        <v>104.91003257681685</v>
      </c>
      <c r="G439" s="642">
        <v>11.505661507854215</v>
      </c>
      <c r="H439" s="642">
        <v>0</v>
      </c>
      <c r="I439" s="642">
        <v>0</v>
      </c>
      <c r="J439" s="642">
        <v>0</v>
      </c>
      <c r="K439" s="642">
        <v>0</v>
      </c>
      <c r="L439" s="642">
        <v>0</v>
      </c>
      <c r="M439" s="642">
        <v>0</v>
      </c>
      <c r="N439" s="642">
        <v>0</v>
      </c>
      <c r="O439" s="642">
        <v>0</v>
      </c>
      <c r="P439" s="642">
        <v>0</v>
      </c>
      <c r="Q439" s="642">
        <v>0</v>
      </c>
      <c r="R439" s="642">
        <v>2.8301208000456781</v>
      </c>
      <c r="S439" s="650">
        <v>119.24581488471674</v>
      </c>
      <c r="U439" s="641" t="s">
        <v>84</v>
      </c>
      <c r="V439" s="642">
        <v>0</v>
      </c>
      <c r="W439" s="642">
        <v>0</v>
      </c>
      <c r="X439" s="642">
        <v>70.401025384734808</v>
      </c>
      <c r="Y439" s="642">
        <v>0.81519182748409058</v>
      </c>
      <c r="Z439" s="642">
        <v>0</v>
      </c>
      <c r="AA439" s="642">
        <v>0</v>
      </c>
      <c r="AB439" s="642">
        <v>0</v>
      </c>
      <c r="AC439" s="642">
        <v>0</v>
      </c>
      <c r="AD439" s="642">
        <v>24.563190847778323</v>
      </c>
      <c r="AE439" s="642">
        <v>0</v>
      </c>
      <c r="AF439" s="642">
        <v>0</v>
      </c>
      <c r="AG439" s="642">
        <v>0</v>
      </c>
      <c r="AH439" s="642">
        <v>0</v>
      </c>
      <c r="AI439" s="642">
        <v>0</v>
      </c>
      <c r="AJ439" s="642">
        <v>16.442815988159179</v>
      </c>
      <c r="AK439" s="650">
        <v>112.22222404815641</v>
      </c>
    </row>
    <row r="440" spans="3:37" ht="13.5">
      <c r="C440" s="646" t="s">
        <v>85</v>
      </c>
      <c r="D440" s="647">
        <v>4.6398193944555786</v>
      </c>
      <c r="E440" s="647">
        <v>0</v>
      </c>
      <c r="F440" s="647">
        <v>392.91402821922651</v>
      </c>
      <c r="G440" s="647">
        <v>278.88287012980999</v>
      </c>
      <c r="H440" s="647">
        <v>0</v>
      </c>
      <c r="I440" s="647">
        <v>0</v>
      </c>
      <c r="J440" s="647">
        <v>117.91049787329212</v>
      </c>
      <c r="K440" s="647">
        <v>1.7618751350284469</v>
      </c>
      <c r="L440" s="647">
        <v>25.931812443893016</v>
      </c>
      <c r="M440" s="647">
        <v>5.4750905882772853</v>
      </c>
      <c r="N440" s="647">
        <v>67.964408038916218</v>
      </c>
      <c r="O440" s="647">
        <v>2.8554061636244761</v>
      </c>
      <c r="P440" s="647">
        <v>525.4263853892121</v>
      </c>
      <c r="Q440" s="647">
        <v>34.870731395116664</v>
      </c>
      <c r="R440" s="647">
        <v>5.7492063580491291</v>
      </c>
      <c r="S440" s="647">
        <v>1464.3821311289018</v>
      </c>
      <c r="U440" s="646" t="s">
        <v>85</v>
      </c>
      <c r="V440" s="647">
        <v>1.264986561669641</v>
      </c>
      <c r="W440" s="647">
        <v>0</v>
      </c>
      <c r="X440" s="647">
        <v>99.612665084394791</v>
      </c>
      <c r="Y440" s="647">
        <v>64.7714675751795</v>
      </c>
      <c r="Z440" s="647">
        <v>0</v>
      </c>
      <c r="AA440" s="647">
        <v>0</v>
      </c>
      <c r="AB440" s="647">
        <v>76.628296851050663</v>
      </c>
      <c r="AC440" s="647">
        <v>4.7844305635958433</v>
      </c>
      <c r="AD440" s="647">
        <v>91.594737246692318</v>
      </c>
      <c r="AE440" s="647">
        <v>63.974688608994001</v>
      </c>
      <c r="AF440" s="647">
        <v>109.8518848230913</v>
      </c>
      <c r="AG440" s="647">
        <v>7.4724249888520751</v>
      </c>
      <c r="AH440" s="647">
        <v>511.81625811534803</v>
      </c>
      <c r="AI440" s="647">
        <v>68.301024235701377</v>
      </c>
      <c r="AJ440" s="647">
        <v>31.04291921337316</v>
      </c>
      <c r="AK440" s="647">
        <v>1131.1157838679426</v>
      </c>
    </row>
    <row r="441" spans="3:37" ht="13">
      <c r="C441" s="636"/>
      <c r="D441" s="636"/>
      <c r="E441" s="636"/>
      <c r="F441" s="636"/>
      <c r="G441" s="636"/>
      <c r="H441" s="636"/>
      <c r="I441" s="636"/>
      <c r="J441" s="636"/>
      <c r="K441" s="636"/>
      <c r="L441" s="636"/>
      <c r="M441" s="636"/>
      <c r="N441" s="636"/>
      <c r="O441" s="636"/>
      <c r="P441" s="636"/>
      <c r="Q441" s="636"/>
      <c r="R441" s="636"/>
      <c r="S441" s="636"/>
      <c r="U441" s="636"/>
      <c r="V441" s="636"/>
      <c r="W441" s="636"/>
      <c r="X441" s="636"/>
      <c r="Y441" s="636"/>
      <c r="Z441" s="636"/>
      <c r="AA441" s="636"/>
      <c r="AB441" s="636"/>
      <c r="AC441" s="636"/>
      <c r="AD441" s="636"/>
      <c r="AE441" s="636"/>
      <c r="AF441" s="636"/>
      <c r="AG441" s="636"/>
      <c r="AH441" s="636"/>
      <c r="AI441" s="636"/>
      <c r="AJ441" s="636"/>
      <c r="AK441" s="636"/>
    </row>
    <row r="442" spans="3:37" ht="22.5">
      <c r="C442" s="699" t="s">
        <v>89</v>
      </c>
      <c r="D442" s="699"/>
      <c r="E442" s="699"/>
      <c r="F442" s="699"/>
      <c r="G442" s="699"/>
      <c r="H442" s="699"/>
      <c r="I442" s="699"/>
      <c r="J442" s="699"/>
      <c r="K442" s="699"/>
      <c r="L442" s="699"/>
      <c r="M442" s="699"/>
      <c r="N442" s="699"/>
      <c r="O442" s="699"/>
      <c r="P442" s="699"/>
      <c r="Q442" s="699"/>
      <c r="R442" s="699"/>
      <c r="S442" s="699"/>
      <c r="U442" s="699" t="s">
        <v>89</v>
      </c>
      <c r="V442" s="699"/>
      <c r="W442" s="699"/>
      <c r="X442" s="699"/>
      <c r="Y442" s="699"/>
      <c r="Z442" s="699"/>
      <c r="AA442" s="699"/>
      <c r="AB442" s="699"/>
      <c r="AC442" s="699"/>
      <c r="AD442" s="699"/>
      <c r="AE442" s="699"/>
      <c r="AF442" s="699"/>
      <c r="AG442" s="699"/>
      <c r="AH442" s="699"/>
      <c r="AI442" s="699"/>
      <c r="AJ442" s="699"/>
      <c r="AK442" s="699"/>
    </row>
    <row r="443" spans="3:37" ht="13">
      <c r="C443" s="636"/>
      <c r="D443" s="636"/>
      <c r="E443" s="636"/>
      <c r="F443" s="636"/>
      <c r="G443" s="636"/>
      <c r="H443" s="636"/>
      <c r="I443" s="636"/>
      <c r="J443" s="636"/>
      <c r="K443" s="636"/>
      <c r="L443" s="636"/>
      <c r="M443" s="636"/>
      <c r="N443" s="636"/>
      <c r="O443" s="636"/>
      <c r="P443" s="636"/>
      <c r="Q443" s="636"/>
      <c r="R443" s="636"/>
      <c r="S443" s="636"/>
      <c r="U443" s="636"/>
      <c r="V443" s="636"/>
      <c r="W443" s="636"/>
      <c r="X443" s="636"/>
      <c r="Y443" s="636"/>
      <c r="Z443" s="636"/>
      <c r="AA443" s="636"/>
      <c r="AB443" s="636"/>
      <c r="AC443" s="636"/>
      <c r="AD443" s="636"/>
      <c r="AE443" s="636"/>
      <c r="AF443" s="636"/>
      <c r="AG443" s="636"/>
      <c r="AH443" s="636"/>
      <c r="AI443" s="636"/>
      <c r="AJ443" s="636"/>
      <c r="AK443" s="636"/>
    </row>
    <row r="444" spans="3:37" ht="13" customHeight="1">
      <c r="C444" s="700" t="s">
        <v>128</v>
      </c>
      <c r="D444" s="701" t="s">
        <v>42</v>
      </c>
      <c r="E444" s="701" t="s">
        <v>52</v>
      </c>
      <c r="F444" s="701" t="s">
        <v>53</v>
      </c>
      <c r="G444" s="701" t="s">
        <v>32</v>
      </c>
      <c r="H444" s="701" t="s">
        <v>20</v>
      </c>
      <c r="I444" s="701" t="s">
        <v>55</v>
      </c>
      <c r="J444" s="701" t="s">
        <v>56</v>
      </c>
      <c r="K444" s="701"/>
      <c r="L444" s="701"/>
      <c r="M444" s="701"/>
      <c r="N444" s="701"/>
      <c r="O444" s="701"/>
      <c r="P444" s="701" t="s">
        <v>57</v>
      </c>
      <c r="Q444" s="701" t="s">
        <v>58</v>
      </c>
      <c r="R444" s="701" t="s">
        <v>31</v>
      </c>
      <c r="S444" s="701" t="s">
        <v>10</v>
      </c>
      <c r="U444" s="700" t="s">
        <v>128</v>
      </c>
      <c r="V444" s="701" t="s">
        <v>42</v>
      </c>
      <c r="W444" s="701" t="s">
        <v>52</v>
      </c>
      <c r="X444" s="701" t="s">
        <v>53</v>
      </c>
      <c r="Y444" s="701" t="s">
        <v>32</v>
      </c>
      <c r="Z444" s="701" t="s">
        <v>20</v>
      </c>
      <c r="AA444" s="701" t="s">
        <v>55</v>
      </c>
      <c r="AB444" s="701" t="s">
        <v>56</v>
      </c>
      <c r="AC444" s="701"/>
      <c r="AD444" s="701"/>
      <c r="AE444" s="701"/>
      <c r="AF444" s="701"/>
      <c r="AG444" s="701"/>
      <c r="AH444" s="701" t="s">
        <v>57</v>
      </c>
      <c r="AI444" s="701" t="s">
        <v>58</v>
      </c>
      <c r="AJ444" s="701" t="s">
        <v>31</v>
      </c>
      <c r="AK444" s="701" t="s">
        <v>10</v>
      </c>
    </row>
    <row r="445" spans="3:37" ht="46">
      <c r="C445" s="700"/>
      <c r="D445" s="701"/>
      <c r="E445" s="701"/>
      <c r="F445" s="701"/>
      <c r="G445" s="701"/>
      <c r="H445" s="701"/>
      <c r="I445" s="701"/>
      <c r="J445" s="640" t="s">
        <v>338</v>
      </c>
      <c r="K445" s="640" t="s">
        <v>40</v>
      </c>
      <c r="L445" s="640" t="s">
        <v>346</v>
      </c>
      <c r="M445" s="640" t="s">
        <v>347</v>
      </c>
      <c r="N445" s="640" t="s">
        <v>348</v>
      </c>
      <c r="O445" s="640" t="s">
        <v>349</v>
      </c>
      <c r="P445" s="701"/>
      <c r="Q445" s="701"/>
      <c r="R445" s="701"/>
      <c r="S445" s="701"/>
      <c r="U445" s="700"/>
      <c r="V445" s="701"/>
      <c r="W445" s="701"/>
      <c r="X445" s="701"/>
      <c r="Y445" s="701"/>
      <c r="Z445" s="701"/>
      <c r="AA445" s="701"/>
      <c r="AB445" s="640" t="s">
        <v>338</v>
      </c>
      <c r="AC445" s="640" t="s">
        <v>40</v>
      </c>
      <c r="AD445" s="640" t="s">
        <v>346</v>
      </c>
      <c r="AE445" s="640" t="s">
        <v>347</v>
      </c>
      <c r="AF445" s="640" t="s">
        <v>348</v>
      </c>
      <c r="AG445" s="640" t="s">
        <v>349</v>
      </c>
      <c r="AH445" s="701"/>
      <c r="AI445" s="701"/>
      <c r="AJ445" s="701"/>
      <c r="AK445" s="701"/>
    </row>
    <row r="446" spans="3:37" ht="13.5">
      <c r="C446" s="641" t="s">
        <v>59</v>
      </c>
      <c r="D446" s="642">
        <v>0</v>
      </c>
      <c r="E446" s="643">
        <v>0</v>
      </c>
      <c r="F446" s="643">
        <v>0</v>
      </c>
      <c r="G446" s="642">
        <v>0</v>
      </c>
      <c r="H446" s="643">
        <v>727.27272727272737</v>
      </c>
      <c r="I446" s="643">
        <v>338.37995078139568</v>
      </c>
      <c r="J446" s="643">
        <v>185.12606679296266</v>
      </c>
      <c r="K446" s="643">
        <v>19.887492227897642</v>
      </c>
      <c r="L446" s="643">
        <v>0.67629573379861951</v>
      </c>
      <c r="M446" s="643">
        <v>0.16041590589481752</v>
      </c>
      <c r="N446" s="643">
        <v>75.083762899489528</v>
      </c>
      <c r="O446" s="643">
        <v>12.515766779598991</v>
      </c>
      <c r="P446" s="644">
        <v>0</v>
      </c>
      <c r="Q446" s="643">
        <v>0</v>
      </c>
      <c r="R446" s="643">
        <v>0</v>
      </c>
      <c r="S446" s="645">
        <v>1359.1024783937653</v>
      </c>
      <c r="U446" s="641" t="s">
        <v>59</v>
      </c>
      <c r="V446" s="642">
        <v>0</v>
      </c>
      <c r="W446" s="643">
        <v>0</v>
      </c>
      <c r="X446" s="643">
        <v>0</v>
      </c>
      <c r="Y446" s="642">
        <v>0</v>
      </c>
      <c r="Z446" s="643">
        <v>764.84848484848499</v>
      </c>
      <c r="AA446" s="643">
        <v>423.19995078139567</v>
      </c>
      <c r="AB446" s="643">
        <v>256.09062969225096</v>
      </c>
      <c r="AC446" s="643">
        <v>36.108430969743218</v>
      </c>
      <c r="AD446" s="643">
        <v>0.67629573379861951</v>
      </c>
      <c r="AE446" s="643">
        <v>0.16041590589481752</v>
      </c>
      <c r="AF446" s="643">
        <v>123.16818516374138</v>
      </c>
      <c r="AG446" s="643">
        <v>30.250193334526926</v>
      </c>
      <c r="AH446" s="644">
        <v>0</v>
      </c>
      <c r="AI446" s="643">
        <v>0</v>
      </c>
      <c r="AJ446" s="643">
        <v>0</v>
      </c>
      <c r="AK446" s="645">
        <v>1634.5025864298366</v>
      </c>
    </row>
    <row r="447" spans="3:37" ht="13.5">
      <c r="C447" s="641" t="s">
        <v>60</v>
      </c>
      <c r="D447" s="642">
        <v>46.099891323621534</v>
      </c>
      <c r="E447" s="643">
        <v>464.7986487</v>
      </c>
      <c r="F447" s="643">
        <v>48.534128715927544</v>
      </c>
      <c r="G447" s="642">
        <v>345.55093723566335</v>
      </c>
      <c r="H447" s="643">
        <v>0</v>
      </c>
      <c r="I447" s="643">
        <v>0</v>
      </c>
      <c r="J447" s="643">
        <v>5.7213435879484642</v>
      </c>
      <c r="K447" s="643">
        <v>0</v>
      </c>
      <c r="L447" s="643">
        <v>3.0565993326094723</v>
      </c>
      <c r="M447" s="643">
        <v>0</v>
      </c>
      <c r="N447" s="643">
        <v>0</v>
      </c>
      <c r="O447" s="643">
        <v>0</v>
      </c>
      <c r="P447" s="644">
        <v>0</v>
      </c>
      <c r="Q447" s="643">
        <v>0</v>
      </c>
      <c r="R447" s="643">
        <v>0</v>
      </c>
      <c r="S447" s="645">
        <v>913.76154889577037</v>
      </c>
      <c r="U447" s="641" t="s">
        <v>60</v>
      </c>
      <c r="V447" s="642">
        <v>4.5871215860372576</v>
      </c>
      <c r="W447" s="643">
        <v>113.59926767676768</v>
      </c>
      <c r="X447" s="643">
        <v>20.138935454909394</v>
      </c>
      <c r="Y447" s="642">
        <v>0.51452681198611927</v>
      </c>
      <c r="Z447" s="643">
        <v>0</v>
      </c>
      <c r="AA447" s="643">
        <v>0</v>
      </c>
      <c r="AB447" s="643">
        <v>5.7213435879484642</v>
      </c>
      <c r="AC447" s="643">
        <v>0</v>
      </c>
      <c r="AD447" s="643">
        <v>3.0565993326094723</v>
      </c>
      <c r="AE447" s="643">
        <v>0</v>
      </c>
      <c r="AF447" s="643">
        <v>0</v>
      </c>
      <c r="AG447" s="643">
        <v>0</v>
      </c>
      <c r="AH447" s="644">
        <v>0</v>
      </c>
      <c r="AI447" s="643">
        <v>0</v>
      </c>
      <c r="AJ447" s="643">
        <v>0</v>
      </c>
      <c r="AK447" s="645">
        <v>147.6177944502584</v>
      </c>
    </row>
    <row r="448" spans="3:37" ht="13.5">
      <c r="C448" s="641" t="s">
        <v>61</v>
      </c>
      <c r="D448" s="642">
        <v>0</v>
      </c>
      <c r="E448" s="643">
        <v>0</v>
      </c>
      <c r="F448" s="643">
        <v>0</v>
      </c>
      <c r="G448" s="642">
        <v>0</v>
      </c>
      <c r="H448" s="643">
        <v>0</v>
      </c>
      <c r="I448" s="643">
        <v>0</v>
      </c>
      <c r="J448" s="643">
        <v>0</v>
      </c>
      <c r="K448" s="643">
        <v>0</v>
      </c>
      <c r="L448" s="643">
        <v>0</v>
      </c>
      <c r="M448" s="643">
        <v>0</v>
      </c>
      <c r="N448" s="643">
        <v>0</v>
      </c>
      <c r="O448" s="643">
        <v>0</v>
      </c>
      <c r="P448" s="644">
        <v>-12.7985093299136</v>
      </c>
      <c r="Q448" s="643">
        <v>0</v>
      </c>
      <c r="R448" s="643">
        <v>0</v>
      </c>
      <c r="S448" s="645">
        <v>-12.7985093299136</v>
      </c>
      <c r="U448" s="641" t="s">
        <v>61</v>
      </c>
      <c r="V448" s="642">
        <v>0</v>
      </c>
      <c r="W448" s="643">
        <v>0</v>
      </c>
      <c r="X448" s="643">
        <v>0</v>
      </c>
      <c r="Y448" s="642">
        <v>0</v>
      </c>
      <c r="Z448" s="643">
        <v>0</v>
      </c>
      <c r="AA448" s="643">
        <v>0</v>
      </c>
      <c r="AB448" s="643">
        <v>0</v>
      </c>
      <c r="AC448" s="643">
        <v>0</v>
      </c>
      <c r="AD448" s="643">
        <v>0</v>
      </c>
      <c r="AE448" s="643">
        <v>0</v>
      </c>
      <c r="AF448" s="643">
        <v>0</v>
      </c>
      <c r="AG448" s="643">
        <v>0</v>
      </c>
      <c r="AH448" s="644">
        <v>-41.639986107117011</v>
      </c>
      <c r="AI448" s="643">
        <v>0</v>
      </c>
      <c r="AJ448" s="643">
        <v>0</v>
      </c>
      <c r="AK448" s="645">
        <v>-41.639986107117011</v>
      </c>
    </row>
    <row r="449" spans="3:37" ht="13.5">
      <c r="C449" s="641" t="s">
        <v>62</v>
      </c>
      <c r="D449" s="642">
        <v>0</v>
      </c>
      <c r="E449" s="643">
        <v>0</v>
      </c>
      <c r="F449" s="643">
        <v>-14.431507774067331</v>
      </c>
      <c r="G449" s="642">
        <v>0</v>
      </c>
      <c r="H449" s="643">
        <v>0</v>
      </c>
      <c r="I449" s="643">
        <v>0</v>
      </c>
      <c r="J449" s="643">
        <v>0</v>
      </c>
      <c r="K449" s="643">
        <v>0</v>
      </c>
      <c r="L449" s="643">
        <v>0</v>
      </c>
      <c r="M449" s="643">
        <v>0</v>
      </c>
      <c r="N449" s="643">
        <v>0</v>
      </c>
      <c r="O449" s="643">
        <v>0</v>
      </c>
      <c r="P449" s="644">
        <v>0</v>
      </c>
      <c r="Q449" s="643">
        <v>0</v>
      </c>
      <c r="R449" s="643">
        <v>0</v>
      </c>
      <c r="S449" s="645">
        <v>-14.431507774067331</v>
      </c>
      <c r="U449" s="641" t="s">
        <v>62</v>
      </c>
      <c r="V449" s="642">
        <v>0</v>
      </c>
      <c r="W449" s="643">
        <v>0</v>
      </c>
      <c r="X449" s="643">
        <v>-5.3013702027186111</v>
      </c>
      <c r="Y449" s="642">
        <v>0</v>
      </c>
      <c r="Z449" s="643">
        <v>0</v>
      </c>
      <c r="AA449" s="643">
        <v>0</v>
      </c>
      <c r="AB449" s="643">
        <v>0</v>
      </c>
      <c r="AC449" s="643">
        <v>0</v>
      </c>
      <c r="AD449" s="643">
        <v>0</v>
      </c>
      <c r="AE449" s="643">
        <v>-5.1137296191648005</v>
      </c>
      <c r="AF449" s="643">
        <v>0</v>
      </c>
      <c r="AG449" s="643">
        <v>0</v>
      </c>
      <c r="AH449" s="644">
        <v>0</v>
      </c>
      <c r="AI449" s="643">
        <v>0</v>
      </c>
      <c r="AJ449" s="643">
        <v>0</v>
      </c>
      <c r="AK449" s="645">
        <v>-10.415099821883413</v>
      </c>
    </row>
    <row r="450" spans="3:37" ht="13.5">
      <c r="C450" s="641" t="s">
        <v>63</v>
      </c>
      <c r="D450" s="642">
        <v>0</v>
      </c>
      <c r="E450" s="643">
        <v>0</v>
      </c>
      <c r="F450" s="643">
        <v>-93.443844381495637</v>
      </c>
      <c r="G450" s="642">
        <v>0</v>
      </c>
      <c r="H450" s="643">
        <v>0</v>
      </c>
      <c r="I450" s="643">
        <v>0</v>
      </c>
      <c r="J450" s="643">
        <v>0</v>
      </c>
      <c r="K450" s="643">
        <v>0</v>
      </c>
      <c r="L450" s="643">
        <v>-0.96889726774865159</v>
      </c>
      <c r="M450" s="643">
        <v>0</v>
      </c>
      <c r="N450" s="643">
        <v>0</v>
      </c>
      <c r="O450" s="643">
        <v>0</v>
      </c>
      <c r="P450" s="644">
        <v>0</v>
      </c>
      <c r="Q450" s="643">
        <v>0</v>
      </c>
      <c r="R450" s="643">
        <v>0</v>
      </c>
      <c r="S450" s="645">
        <v>-94.412741649244282</v>
      </c>
      <c r="U450" s="641" t="s">
        <v>63</v>
      </c>
      <c r="V450" s="642">
        <v>0</v>
      </c>
      <c r="W450" s="643">
        <v>0</v>
      </c>
      <c r="X450" s="643">
        <v>-35.841594545498886</v>
      </c>
      <c r="Y450" s="642">
        <v>0</v>
      </c>
      <c r="Z450" s="643">
        <v>0</v>
      </c>
      <c r="AA450" s="643">
        <v>0</v>
      </c>
      <c r="AB450" s="643">
        <v>0</v>
      </c>
      <c r="AC450" s="643">
        <v>0</v>
      </c>
      <c r="AD450" s="643">
        <v>-46.567340427053182</v>
      </c>
      <c r="AE450" s="643">
        <v>0</v>
      </c>
      <c r="AF450" s="643">
        <v>0</v>
      </c>
      <c r="AG450" s="643">
        <v>0</v>
      </c>
      <c r="AH450" s="644">
        <v>0</v>
      </c>
      <c r="AI450" s="643">
        <v>0</v>
      </c>
      <c r="AJ450" s="643">
        <v>0</v>
      </c>
      <c r="AK450" s="645">
        <v>-82.408934972552061</v>
      </c>
    </row>
    <row r="451" spans="3:37" ht="13.5">
      <c r="C451" s="641" t="s">
        <v>64</v>
      </c>
      <c r="D451" s="642">
        <v>0</v>
      </c>
      <c r="E451" s="643">
        <v>0</v>
      </c>
      <c r="F451" s="643">
        <v>0</v>
      </c>
      <c r="G451" s="642">
        <v>0</v>
      </c>
      <c r="H451" s="643">
        <v>0</v>
      </c>
      <c r="I451" s="643">
        <v>0</v>
      </c>
      <c r="J451" s="643">
        <v>0</v>
      </c>
      <c r="K451" s="643">
        <v>0</v>
      </c>
      <c r="L451" s="643">
        <v>0</v>
      </c>
      <c r="M451" s="643">
        <v>0</v>
      </c>
      <c r="N451" s="643">
        <v>0</v>
      </c>
      <c r="O451" s="643">
        <v>0</v>
      </c>
      <c r="P451" s="644">
        <v>0</v>
      </c>
      <c r="Q451" s="643">
        <v>0</v>
      </c>
      <c r="R451" s="643">
        <v>0</v>
      </c>
      <c r="S451" s="645">
        <v>0</v>
      </c>
      <c r="U451" s="641" t="s">
        <v>64</v>
      </c>
      <c r="V451" s="642">
        <v>0</v>
      </c>
      <c r="W451" s="643">
        <v>0</v>
      </c>
      <c r="X451" s="643">
        <v>0</v>
      </c>
      <c r="Y451" s="642">
        <v>0</v>
      </c>
      <c r="Z451" s="643">
        <v>0</v>
      </c>
      <c r="AA451" s="643">
        <v>0</v>
      </c>
      <c r="AB451" s="643">
        <v>0</v>
      </c>
      <c r="AC451" s="643">
        <v>0</v>
      </c>
      <c r="AD451" s="643">
        <v>0</v>
      </c>
      <c r="AE451" s="643">
        <v>0</v>
      </c>
      <c r="AF451" s="643">
        <v>0</v>
      </c>
      <c r="AG451" s="643">
        <v>0</v>
      </c>
      <c r="AH451" s="644">
        <v>0</v>
      </c>
      <c r="AI451" s="643">
        <v>0</v>
      </c>
      <c r="AJ451" s="643">
        <v>0</v>
      </c>
      <c r="AK451" s="645">
        <v>0</v>
      </c>
    </row>
    <row r="452" spans="3:37" ht="13.5">
      <c r="C452" s="646" t="s">
        <v>65</v>
      </c>
      <c r="D452" s="647">
        <v>46.099891323621534</v>
      </c>
      <c r="E452" s="647">
        <v>464.7986487</v>
      </c>
      <c r="F452" s="647">
        <v>-59.341223439635421</v>
      </c>
      <c r="G452" s="647">
        <v>345.55093723566335</v>
      </c>
      <c r="H452" s="647">
        <v>727.27272727272737</v>
      </c>
      <c r="I452" s="647">
        <v>338.37995078139568</v>
      </c>
      <c r="J452" s="647">
        <v>190.84741038091113</v>
      </c>
      <c r="K452" s="647">
        <v>19.887492227897642</v>
      </c>
      <c r="L452" s="647">
        <v>2.7639977986594397</v>
      </c>
      <c r="M452" s="647">
        <v>0.16041590589481752</v>
      </c>
      <c r="N452" s="647">
        <v>75.083762899489528</v>
      </c>
      <c r="O452" s="647">
        <v>12.515766779598991</v>
      </c>
      <c r="P452" s="647">
        <v>-12.7985093299136</v>
      </c>
      <c r="Q452" s="647">
        <v>0</v>
      </c>
      <c r="R452" s="647">
        <v>0</v>
      </c>
      <c r="S452" s="647">
        <v>2151.2212685363102</v>
      </c>
      <c r="U452" s="646" t="s">
        <v>65</v>
      </c>
      <c r="V452" s="647">
        <v>4.5871215860372576</v>
      </c>
      <c r="W452" s="647">
        <v>113.59926767676768</v>
      </c>
      <c r="X452" s="647">
        <v>-21.004029293308101</v>
      </c>
      <c r="Y452" s="647">
        <v>0.51452681198611927</v>
      </c>
      <c r="Z452" s="647">
        <v>764.84848484848499</v>
      </c>
      <c r="AA452" s="647">
        <v>423.19995078139567</v>
      </c>
      <c r="AB452" s="647">
        <v>261.81197328019942</v>
      </c>
      <c r="AC452" s="647">
        <v>36.108430969743218</v>
      </c>
      <c r="AD452" s="647">
        <v>-42.834445360645091</v>
      </c>
      <c r="AE452" s="647">
        <v>-4.9533137132699832</v>
      </c>
      <c r="AF452" s="647">
        <v>123.16818516374138</v>
      </c>
      <c r="AG452" s="647">
        <v>30.250193334526926</v>
      </c>
      <c r="AH452" s="647">
        <v>-41.639986107117011</v>
      </c>
      <c r="AI452" s="647">
        <v>0</v>
      </c>
      <c r="AJ452" s="647">
        <v>0</v>
      </c>
      <c r="AK452" s="647">
        <v>1647.6563599785427</v>
      </c>
    </row>
    <row r="453" spans="3:37" ht="13">
      <c r="C453" s="636"/>
      <c r="D453" s="636">
        <v>0</v>
      </c>
      <c r="E453" s="636">
        <v>0</v>
      </c>
      <c r="F453" s="636">
        <v>0</v>
      </c>
      <c r="G453" s="636">
        <v>0</v>
      </c>
      <c r="H453" s="636">
        <v>0</v>
      </c>
      <c r="I453" s="636">
        <v>0</v>
      </c>
      <c r="J453" s="636">
        <v>0</v>
      </c>
      <c r="K453" s="636">
        <v>0</v>
      </c>
      <c r="L453" s="636">
        <v>0</v>
      </c>
      <c r="M453" s="636">
        <v>0</v>
      </c>
      <c r="N453" s="636">
        <v>0</v>
      </c>
      <c r="O453" s="636">
        <v>0</v>
      </c>
      <c r="P453" s="636">
        <v>0</v>
      </c>
      <c r="Q453" s="636">
        <v>0</v>
      </c>
      <c r="R453" s="636">
        <v>0</v>
      </c>
      <c r="S453" s="636">
        <v>0</v>
      </c>
      <c r="U453" s="636"/>
      <c r="V453" s="636">
        <v>0</v>
      </c>
      <c r="W453" s="636">
        <v>0</v>
      </c>
      <c r="X453" s="636">
        <v>0</v>
      </c>
      <c r="Y453" s="636">
        <v>0</v>
      </c>
      <c r="Z453" s="636">
        <v>0</v>
      </c>
      <c r="AA453" s="636">
        <v>0</v>
      </c>
      <c r="AB453" s="636">
        <v>0</v>
      </c>
      <c r="AC453" s="636">
        <v>0</v>
      </c>
      <c r="AD453" s="636">
        <v>0</v>
      </c>
      <c r="AE453" s="636">
        <v>0</v>
      </c>
      <c r="AF453" s="636">
        <v>0</v>
      </c>
      <c r="AG453" s="636">
        <v>0</v>
      </c>
      <c r="AH453" s="636">
        <v>0</v>
      </c>
      <c r="AI453" s="636">
        <v>0</v>
      </c>
      <c r="AJ453" s="636">
        <v>0</v>
      </c>
      <c r="AK453" s="636">
        <v>0</v>
      </c>
    </row>
    <row r="454" spans="3:37" ht="13.5">
      <c r="C454" s="648" t="s">
        <v>67</v>
      </c>
      <c r="D454" s="642">
        <v>0</v>
      </c>
      <c r="E454" s="649">
        <v>0</v>
      </c>
      <c r="F454" s="649">
        <v>0</v>
      </c>
      <c r="G454" s="642">
        <v>0</v>
      </c>
      <c r="H454" s="642">
        <v>0</v>
      </c>
      <c r="I454" s="642">
        <v>0</v>
      </c>
      <c r="J454" s="642">
        <v>0</v>
      </c>
      <c r="K454" s="642">
        <v>0</v>
      </c>
      <c r="L454" s="642">
        <v>0</v>
      </c>
      <c r="M454" s="642">
        <v>0</v>
      </c>
      <c r="N454" s="642">
        <v>0</v>
      </c>
      <c r="O454" s="642">
        <v>0</v>
      </c>
      <c r="P454" s="642">
        <v>0</v>
      </c>
      <c r="Q454" s="642">
        <v>0</v>
      </c>
      <c r="R454" s="642">
        <v>0</v>
      </c>
      <c r="S454" s="650">
        <v>0</v>
      </c>
      <c r="U454" s="648" t="s">
        <v>67</v>
      </c>
      <c r="V454" s="642">
        <v>0</v>
      </c>
      <c r="W454" s="649">
        <v>0</v>
      </c>
      <c r="X454" s="649">
        <v>0</v>
      </c>
      <c r="Y454" s="642">
        <v>0</v>
      </c>
      <c r="Z454" s="642">
        <v>0</v>
      </c>
      <c r="AA454" s="642">
        <v>0</v>
      </c>
      <c r="AB454" s="642">
        <v>0</v>
      </c>
      <c r="AC454" s="642">
        <v>0</v>
      </c>
      <c r="AD454" s="642">
        <v>0</v>
      </c>
      <c r="AE454" s="642">
        <v>0</v>
      </c>
      <c r="AF454" s="642">
        <v>0</v>
      </c>
      <c r="AG454" s="642">
        <v>0</v>
      </c>
      <c r="AH454" s="642">
        <v>0</v>
      </c>
      <c r="AI454" s="642">
        <v>0</v>
      </c>
      <c r="AJ454" s="642">
        <v>0</v>
      </c>
      <c r="AK454" s="650">
        <v>0</v>
      </c>
    </row>
    <row r="455" spans="3:37" ht="13.5">
      <c r="C455" s="648" t="s">
        <v>350</v>
      </c>
      <c r="D455" s="642">
        <v>2.8267856410252494</v>
      </c>
      <c r="E455" s="642">
        <v>0</v>
      </c>
      <c r="F455" s="642">
        <v>8.0599105831015567</v>
      </c>
      <c r="G455" s="642">
        <v>46.530346198952707</v>
      </c>
      <c r="H455" s="642">
        <v>727.27272727272737</v>
      </c>
      <c r="I455" s="642">
        <v>338.37995078139568</v>
      </c>
      <c r="J455" s="651">
        <v>28.452469116356035</v>
      </c>
      <c r="K455" s="651">
        <v>6.2305848357200952</v>
      </c>
      <c r="L455" s="651">
        <v>3.7328950664080915</v>
      </c>
      <c r="M455" s="651">
        <v>1.0761160081227215</v>
      </c>
      <c r="N455" s="651">
        <v>0</v>
      </c>
      <c r="O455" s="651">
        <v>7.5664382136221358</v>
      </c>
      <c r="P455" s="642">
        <v>-629.14515201417555</v>
      </c>
      <c r="Q455" s="642">
        <v>0</v>
      </c>
      <c r="R455" s="642">
        <v>0</v>
      </c>
      <c r="S455" s="650">
        <v>540.98307170325586</v>
      </c>
      <c r="U455" s="648" t="s">
        <v>350</v>
      </c>
      <c r="V455" s="642">
        <v>0.62631490545869017</v>
      </c>
      <c r="W455" s="642">
        <v>0</v>
      </c>
      <c r="X455" s="642">
        <v>4.1962742194651934</v>
      </c>
      <c r="Y455" s="642">
        <v>0</v>
      </c>
      <c r="Z455" s="642">
        <v>764.84848484848499</v>
      </c>
      <c r="AA455" s="642">
        <v>423.19995078139567</v>
      </c>
      <c r="AB455" s="651">
        <v>22.478183728982629</v>
      </c>
      <c r="AC455" s="651">
        <v>5.0926371917675839</v>
      </c>
      <c r="AD455" s="651">
        <v>3.7328950664080915</v>
      </c>
      <c r="AE455" s="651">
        <v>0.79318377276994545</v>
      </c>
      <c r="AF455" s="651">
        <v>0</v>
      </c>
      <c r="AG455" s="651">
        <v>7.5664382136221358</v>
      </c>
      <c r="AH455" s="642">
        <v>-696.77718495359215</v>
      </c>
      <c r="AI455" s="642">
        <v>0</v>
      </c>
      <c r="AJ455" s="642">
        <v>3.75</v>
      </c>
      <c r="AK455" s="650">
        <v>539.50717777476291</v>
      </c>
    </row>
    <row r="456" spans="3:37" ht="13.5">
      <c r="C456" s="648" t="s">
        <v>351</v>
      </c>
      <c r="D456" s="642">
        <v>0</v>
      </c>
      <c r="E456" s="642">
        <v>0</v>
      </c>
      <c r="F456" s="642">
        <v>0</v>
      </c>
      <c r="G456" s="642">
        <v>14.783508517784153</v>
      </c>
      <c r="H456" s="642">
        <v>0</v>
      </c>
      <c r="I456" s="642">
        <v>0</v>
      </c>
      <c r="J456" s="651">
        <v>12.163067049530284</v>
      </c>
      <c r="K456" s="651">
        <v>11.829214997579474</v>
      </c>
      <c r="L456" s="651">
        <v>0</v>
      </c>
      <c r="M456" s="651">
        <v>0.31740804730172578</v>
      </c>
      <c r="N456" s="651">
        <v>0</v>
      </c>
      <c r="O456" s="651">
        <v>2.086875550337155</v>
      </c>
      <c r="P456" s="642">
        <v>0</v>
      </c>
      <c r="Q456" s="642">
        <v>-37.667878685561853</v>
      </c>
      <c r="R456" s="642">
        <v>0</v>
      </c>
      <c r="S456" s="650">
        <v>3.5121954769709394</v>
      </c>
      <c r="U456" s="648" t="s">
        <v>351</v>
      </c>
      <c r="V456" s="642">
        <v>0</v>
      </c>
      <c r="W456" s="642">
        <v>0</v>
      </c>
      <c r="X456" s="642">
        <v>0</v>
      </c>
      <c r="Y456" s="642">
        <v>0</v>
      </c>
      <c r="Z456" s="642">
        <v>0</v>
      </c>
      <c r="AA456" s="642">
        <v>0</v>
      </c>
      <c r="AB456" s="651">
        <v>28.523630086620891</v>
      </c>
      <c r="AC456" s="651">
        <v>26.288013396118924</v>
      </c>
      <c r="AD456" s="651">
        <v>0</v>
      </c>
      <c r="AE456" s="651">
        <v>10.611192177482708</v>
      </c>
      <c r="AF456" s="651">
        <v>0</v>
      </c>
      <c r="AG456" s="651">
        <v>14.121402979798832</v>
      </c>
      <c r="AH456" s="642">
        <v>0</v>
      </c>
      <c r="AI456" s="642">
        <v>-74.176724382187018</v>
      </c>
      <c r="AJ456" s="642">
        <v>0</v>
      </c>
      <c r="AK456" s="650">
        <v>5.3675142578343316</v>
      </c>
    </row>
    <row r="457" spans="3:37" ht="13.5">
      <c r="C457" s="648" t="s">
        <v>352</v>
      </c>
      <c r="D457" s="642">
        <v>0</v>
      </c>
      <c r="E457" s="642">
        <v>0</v>
      </c>
      <c r="F457" s="642">
        <v>0</v>
      </c>
      <c r="G457" s="642">
        <v>0</v>
      </c>
      <c r="H457" s="642">
        <v>0</v>
      </c>
      <c r="I457" s="642">
        <v>0</v>
      </c>
      <c r="J457" s="652">
        <v>7.1450792385721682</v>
      </c>
      <c r="K457" s="652">
        <v>0</v>
      </c>
      <c r="L457" s="652">
        <v>0</v>
      </c>
      <c r="M457" s="652">
        <v>-6.8235506728364204</v>
      </c>
      <c r="N457" s="652">
        <v>0</v>
      </c>
      <c r="O457" s="652">
        <v>0</v>
      </c>
      <c r="P457" s="642">
        <v>0</v>
      </c>
      <c r="Q457" s="642">
        <v>0</v>
      </c>
      <c r="R457" s="642">
        <v>0</v>
      </c>
      <c r="S457" s="650">
        <v>0.32152856573574784</v>
      </c>
      <c r="U457" s="648" t="s">
        <v>352</v>
      </c>
      <c r="V457" s="642">
        <v>0</v>
      </c>
      <c r="W457" s="642">
        <v>0</v>
      </c>
      <c r="X457" s="642">
        <v>0</v>
      </c>
      <c r="Y457" s="642">
        <v>0</v>
      </c>
      <c r="Z457" s="642">
        <v>0</v>
      </c>
      <c r="AA457" s="642">
        <v>0</v>
      </c>
      <c r="AB457" s="652">
        <v>137.81211213320262</v>
      </c>
      <c r="AC457" s="652">
        <v>0</v>
      </c>
      <c r="AD457" s="652">
        <v>0</v>
      </c>
      <c r="AE457" s="652">
        <v>-131.61056708720849</v>
      </c>
      <c r="AF457" s="652">
        <v>0</v>
      </c>
      <c r="AG457" s="652">
        <v>0</v>
      </c>
      <c r="AH457" s="642">
        <v>0</v>
      </c>
      <c r="AI457" s="642">
        <v>0</v>
      </c>
      <c r="AJ457" s="642">
        <v>0</v>
      </c>
      <c r="AK457" s="650">
        <v>6.2015450459941235</v>
      </c>
    </row>
    <row r="458" spans="3:37" ht="13.5">
      <c r="C458" s="648" t="s">
        <v>353</v>
      </c>
      <c r="D458" s="642">
        <v>0</v>
      </c>
      <c r="E458" s="642">
        <v>0</v>
      </c>
      <c r="F458" s="642">
        <v>0</v>
      </c>
      <c r="G458" s="642">
        <v>0</v>
      </c>
      <c r="H458" s="642">
        <v>0</v>
      </c>
      <c r="I458" s="642">
        <v>0</v>
      </c>
      <c r="J458" s="642">
        <v>0</v>
      </c>
      <c r="K458" s="642">
        <v>0</v>
      </c>
      <c r="L458" s="642">
        <v>0</v>
      </c>
      <c r="M458" s="642">
        <v>0</v>
      </c>
      <c r="N458" s="642">
        <v>0</v>
      </c>
      <c r="O458" s="642">
        <v>0</v>
      </c>
      <c r="P458" s="642">
        <v>0</v>
      </c>
      <c r="Q458" s="642">
        <v>0</v>
      </c>
      <c r="R458" s="642">
        <v>0</v>
      </c>
      <c r="S458" s="650">
        <v>0</v>
      </c>
      <c r="U458" s="648" t="s">
        <v>353</v>
      </c>
      <c r="V458" s="642">
        <v>0</v>
      </c>
      <c r="W458" s="642">
        <v>0</v>
      </c>
      <c r="X458" s="642">
        <v>0</v>
      </c>
      <c r="Y458" s="642">
        <v>0</v>
      </c>
      <c r="Z458" s="642">
        <v>0</v>
      </c>
      <c r="AA458" s="642">
        <v>0</v>
      </c>
      <c r="AB458" s="642">
        <v>0</v>
      </c>
      <c r="AC458" s="642">
        <v>0</v>
      </c>
      <c r="AD458" s="642">
        <v>0</v>
      </c>
      <c r="AE458" s="642">
        <v>0</v>
      </c>
      <c r="AF458" s="642">
        <v>0</v>
      </c>
      <c r="AG458" s="642">
        <v>0</v>
      </c>
      <c r="AH458" s="642">
        <v>0</v>
      </c>
      <c r="AI458" s="642">
        <v>0</v>
      </c>
      <c r="AJ458" s="642">
        <v>0</v>
      </c>
      <c r="AK458" s="650">
        <v>0</v>
      </c>
    </row>
    <row r="459" spans="3:37" ht="13.5">
      <c r="C459" s="648" t="s">
        <v>72</v>
      </c>
      <c r="D459" s="642">
        <v>0</v>
      </c>
      <c r="E459" s="642">
        <v>481.48200000000003</v>
      </c>
      <c r="F459" s="642">
        <v>-476.66718000000003</v>
      </c>
      <c r="G459" s="642">
        <v>0</v>
      </c>
      <c r="H459" s="642">
        <v>0</v>
      </c>
      <c r="I459" s="642">
        <v>0</v>
      </c>
      <c r="J459" s="642">
        <v>0</v>
      </c>
      <c r="K459" s="642">
        <v>0</v>
      </c>
      <c r="L459" s="642">
        <v>0</v>
      </c>
      <c r="M459" s="642">
        <v>0</v>
      </c>
      <c r="N459" s="642">
        <v>0</v>
      </c>
      <c r="O459" s="642">
        <v>0</v>
      </c>
      <c r="P459" s="642">
        <v>0</v>
      </c>
      <c r="Q459" s="642">
        <v>0</v>
      </c>
      <c r="R459" s="642">
        <v>0</v>
      </c>
      <c r="S459" s="650">
        <v>4.8148199999999974</v>
      </c>
      <c r="U459" s="648" t="s">
        <v>72</v>
      </c>
      <c r="V459" s="642">
        <v>0</v>
      </c>
      <c r="W459" s="642">
        <v>117.67676767676768</v>
      </c>
      <c r="X459" s="642">
        <v>-116.5</v>
      </c>
      <c r="Y459" s="642">
        <v>0</v>
      </c>
      <c r="Z459" s="642">
        <v>0</v>
      </c>
      <c r="AA459" s="642">
        <v>0</v>
      </c>
      <c r="AB459" s="642">
        <v>0</v>
      </c>
      <c r="AC459" s="642">
        <v>0</v>
      </c>
      <c r="AD459" s="642">
        <v>0</v>
      </c>
      <c r="AE459" s="642">
        <v>0</v>
      </c>
      <c r="AF459" s="642">
        <v>0</v>
      </c>
      <c r="AG459" s="642">
        <v>0</v>
      </c>
      <c r="AH459" s="642">
        <v>0</v>
      </c>
      <c r="AI459" s="642">
        <v>0</v>
      </c>
      <c r="AJ459" s="642">
        <v>0</v>
      </c>
      <c r="AK459" s="650">
        <v>1.1767676767676818</v>
      </c>
    </row>
    <row r="460" spans="3:37" ht="13.5">
      <c r="C460" s="648" t="s">
        <v>354</v>
      </c>
      <c r="D460" s="642">
        <v>0</v>
      </c>
      <c r="E460" s="642">
        <v>0</v>
      </c>
      <c r="F460" s="642">
        <v>0</v>
      </c>
      <c r="G460" s="642">
        <v>0</v>
      </c>
      <c r="H460" s="642">
        <v>0</v>
      </c>
      <c r="I460" s="642">
        <v>0</v>
      </c>
      <c r="J460" s="642">
        <v>26.125483595276659</v>
      </c>
      <c r="K460" s="642">
        <v>0</v>
      </c>
      <c r="L460" s="642">
        <v>-26.125483595276659</v>
      </c>
      <c r="M460" s="642">
        <v>0</v>
      </c>
      <c r="N460" s="642">
        <v>0</v>
      </c>
      <c r="O460" s="642">
        <v>0</v>
      </c>
      <c r="P460" s="642">
        <v>0</v>
      </c>
      <c r="Q460" s="642">
        <v>0</v>
      </c>
      <c r="R460" s="642">
        <v>0</v>
      </c>
      <c r="S460" s="650">
        <v>0</v>
      </c>
      <c r="U460" s="648" t="s">
        <v>354</v>
      </c>
      <c r="V460" s="642">
        <v>0</v>
      </c>
      <c r="W460" s="642">
        <v>0</v>
      </c>
      <c r="X460" s="642">
        <v>0</v>
      </c>
      <c r="Y460" s="642">
        <v>0</v>
      </c>
      <c r="Z460" s="642">
        <v>0</v>
      </c>
      <c r="AA460" s="642">
        <v>0</v>
      </c>
      <c r="AB460" s="642" t="e">
        <v>#VALUE!</v>
      </c>
      <c r="AC460" s="642">
        <v>0</v>
      </c>
      <c r="AD460" s="642">
        <v>-100.69655001825291</v>
      </c>
      <c r="AE460" s="642">
        <v>0</v>
      </c>
      <c r="AF460" s="642">
        <v>0</v>
      </c>
      <c r="AG460" s="642">
        <v>0</v>
      </c>
      <c r="AH460" s="642">
        <v>0</v>
      </c>
      <c r="AI460" s="642">
        <v>0</v>
      </c>
      <c r="AJ460" s="642">
        <v>0</v>
      </c>
      <c r="AK460" s="650">
        <v>-100.69655001825291</v>
      </c>
    </row>
    <row r="461" spans="3:37" ht="13.5">
      <c r="C461" s="648" t="s">
        <v>355</v>
      </c>
      <c r="D461" s="642">
        <v>0</v>
      </c>
      <c r="E461" s="642">
        <v>0</v>
      </c>
      <c r="F461" s="642">
        <v>0</v>
      </c>
      <c r="G461" s="642">
        <v>0</v>
      </c>
      <c r="H461" s="642">
        <v>0</v>
      </c>
      <c r="I461" s="642">
        <v>0</v>
      </c>
      <c r="J461" s="642">
        <v>0</v>
      </c>
      <c r="K461" s="642">
        <v>0</v>
      </c>
      <c r="L461" s="642">
        <v>0</v>
      </c>
      <c r="M461" s="642">
        <v>0</v>
      </c>
      <c r="N461" s="642">
        <v>0</v>
      </c>
      <c r="O461" s="642">
        <v>0</v>
      </c>
      <c r="P461" s="642">
        <v>0</v>
      </c>
      <c r="Q461" s="642">
        <v>0</v>
      </c>
      <c r="R461" s="642">
        <v>0</v>
      </c>
      <c r="S461" s="650">
        <v>0</v>
      </c>
      <c r="U461" s="648" t="s">
        <v>355</v>
      </c>
      <c r="V461" s="642">
        <v>0</v>
      </c>
      <c r="W461" s="642">
        <v>0</v>
      </c>
      <c r="X461" s="642">
        <v>0</v>
      </c>
      <c r="Y461" s="642">
        <v>0</v>
      </c>
      <c r="Z461" s="642">
        <v>0</v>
      </c>
      <c r="AA461" s="642">
        <v>0</v>
      </c>
      <c r="AB461" s="642">
        <v>0</v>
      </c>
      <c r="AC461" s="642">
        <v>0</v>
      </c>
      <c r="AD461" s="642">
        <v>-28.460377640694865</v>
      </c>
      <c r="AE461" s="642">
        <v>0</v>
      </c>
      <c r="AF461" s="642">
        <v>0</v>
      </c>
      <c r="AG461" s="642">
        <v>0</v>
      </c>
      <c r="AH461" s="642">
        <v>0</v>
      </c>
      <c r="AI461" s="642">
        <v>0</v>
      </c>
      <c r="AJ461" s="642">
        <v>0</v>
      </c>
      <c r="AK461" s="650">
        <v>-28.460377640694865</v>
      </c>
    </row>
    <row r="462" spans="3:37" ht="13.5">
      <c r="C462" s="648" t="s">
        <v>73</v>
      </c>
      <c r="D462" s="642">
        <v>0</v>
      </c>
      <c r="E462" s="642">
        <v>0</v>
      </c>
      <c r="F462" s="642">
        <v>0</v>
      </c>
      <c r="G462" s="642">
        <v>8.6128889644156494</v>
      </c>
      <c r="H462" s="642">
        <v>0</v>
      </c>
      <c r="I462" s="642">
        <v>0</v>
      </c>
      <c r="J462" s="642">
        <v>0</v>
      </c>
      <c r="K462" s="642">
        <v>0.10101910584583218</v>
      </c>
      <c r="L462" s="642">
        <v>0</v>
      </c>
      <c r="M462" s="642">
        <v>0.17577324417174797</v>
      </c>
      <c r="N462" s="642">
        <v>0</v>
      </c>
      <c r="O462" s="642">
        <v>0</v>
      </c>
      <c r="P462" s="642">
        <v>1.1785562348680418</v>
      </c>
      <c r="Q462" s="642">
        <v>0</v>
      </c>
      <c r="R462" s="642">
        <v>-7.071337409208251</v>
      </c>
      <c r="S462" s="650">
        <v>2.99690014009302</v>
      </c>
      <c r="U462" s="648" t="s">
        <v>73</v>
      </c>
      <c r="V462" s="642">
        <v>0</v>
      </c>
      <c r="W462" s="642">
        <v>0</v>
      </c>
      <c r="X462" s="642">
        <v>0</v>
      </c>
      <c r="Y462" s="642">
        <v>0</v>
      </c>
      <c r="Z462" s="642">
        <v>0</v>
      </c>
      <c r="AA462" s="642">
        <v>0</v>
      </c>
      <c r="AB462" s="642">
        <v>0</v>
      </c>
      <c r="AC462" s="642">
        <v>0.58294529496624936</v>
      </c>
      <c r="AD462" s="642">
        <v>0</v>
      </c>
      <c r="AE462" s="642">
        <v>0</v>
      </c>
      <c r="AF462" s="642">
        <v>0</v>
      </c>
      <c r="AG462" s="642">
        <v>0</v>
      </c>
      <c r="AH462" s="642">
        <v>56.108484640501494</v>
      </c>
      <c r="AI462" s="642">
        <v>0</v>
      </c>
      <c r="AJ462" s="642">
        <v>-40.806170647637451</v>
      </c>
      <c r="AK462" s="650">
        <v>15.885259287830294</v>
      </c>
    </row>
    <row r="463" spans="3:37" ht="13.5">
      <c r="C463" s="648" t="s">
        <v>356</v>
      </c>
      <c r="D463" s="642">
        <v>28.51179328125</v>
      </c>
      <c r="E463" s="642">
        <v>-16.683351300000002</v>
      </c>
      <c r="F463" s="642">
        <v>21.820838094867195</v>
      </c>
      <c r="G463" s="642">
        <v>0</v>
      </c>
      <c r="H463" s="642">
        <v>0</v>
      </c>
      <c r="I463" s="642">
        <v>0</v>
      </c>
      <c r="J463" s="642">
        <v>0</v>
      </c>
      <c r="K463" s="642">
        <v>0</v>
      </c>
      <c r="L463" s="642">
        <v>0</v>
      </c>
      <c r="M463" s="642">
        <v>0</v>
      </c>
      <c r="N463" s="642">
        <v>0</v>
      </c>
      <c r="O463" s="642">
        <v>0</v>
      </c>
      <c r="P463" s="642">
        <v>0</v>
      </c>
      <c r="Q463" s="642">
        <v>0</v>
      </c>
      <c r="R463" s="642">
        <v>0</v>
      </c>
      <c r="S463" s="650">
        <v>33.649280076117194</v>
      </c>
      <c r="U463" s="648" t="s">
        <v>356</v>
      </c>
      <c r="V463" s="642">
        <v>0.72303211975097659</v>
      </c>
      <c r="W463" s="642">
        <v>-4.0775000000000006</v>
      </c>
      <c r="X463" s="642">
        <v>5.333129161634389</v>
      </c>
      <c r="Y463" s="642">
        <v>0</v>
      </c>
      <c r="Z463" s="642">
        <v>0</v>
      </c>
      <c r="AA463" s="642">
        <v>0</v>
      </c>
      <c r="AB463" s="642">
        <v>0</v>
      </c>
      <c r="AC463" s="642">
        <v>0</v>
      </c>
      <c r="AD463" s="642">
        <v>0</v>
      </c>
      <c r="AE463" s="642">
        <v>0</v>
      </c>
      <c r="AF463" s="642">
        <v>0</v>
      </c>
      <c r="AG463" s="642">
        <v>0</v>
      </c>
      <c r="AH463" s="642">
        <v>0</v>
      </c>
      <c r="AI463" s="642">
        <v>0</v>
      </c>
      <c r="AJ463" s="642">
        <v>0</v>
      </c>
      <c r="AK463" s="650">
        <v>1.978661281385365</v>
      </c>
    </row>
    <row r="464" spans="3:37" ht="13.5">
      <c r="C464" s="648" t="s">
        <v>75</v>
      </c>
      <c r="D464" s="642">
        <v>11.087919609375001</v>
      </c>
      <c r="E464" s="642">
        <v>0</v>
      </c>
      <c r="F464" s="642">
        <v>16.370388000000002</v>
      </c>
      <c r="G464" s="642">
        <v>4.6713383640000004</v>
      </c>
      <c r="H464" s="642">
        <v>0</v>
      </c>
      <c r="I464" s="642">
        <v>0</v>
      </c>
      <c r="J464" s="642">
        <v>0</v>
      </c>
      <c r="K464" s="642">
        <v>0</v>
      </c>
      <c r="L464" s="642">
        <v>0</v>
      </c>
      <c r="M464" s="642">
        <v>9.5333436000000008E-2</v>
      </c>
      <c r="N464" s="642">
        <v>0</v>
      </c>
      <c r="O464" s="642">
        <v>0</v>
      </c>
      <c r="P464" s="642">
        <v>26.129145836866744</v>
      </c>
      <c r="Q464" s="642">
        <v>0</v>
      </c>
      <c r="R464" s="642">
        <v>0</v>
      </c>
      <c r="S464" s="650">
        <v>58.35412524624175</v>
      </c>
      <c r="U464" s="648" t="s">
        <v>75</v>
      </c>
      <c r="V464" s="642">
        <v>1.73775830078125</v>
      </c>
      <c r="W464" s="642">
        <v>0</v>
      </c>
      <c r="X464" s="642">
        <v>16.370388000000002</v>
      </c>
      <c r="Y464" s="642">
        <v>0</v>
      </c>
      <c r="Z464" s="642">
        <v>0</v>
      </c>
      <c r="AA464" s="642">
        <v>0</v>
      </c>
      <c r="AB464" s="642">
        <v>0</v>
      </c>
      <c r="AC464" s="642">
        <v>0</v>
      </c>
      <c r="AD464" s="642">
        <v>0</v>
      </c>
      <c r="AE464" s="642">
        <v>4.7666718000000001</v>
      </c>
      <c r="AF464" s="642">
        <v>0</v>
      </c>
      <c r="AG464" s="642">
        <v>0</v>
      </c>
      <c r="AH464" s="642">
        <v>36.696565665655768</v>
      </c>
      <c r="AI464" s="642">
        <v>0</v>
      </c>
      <c r="AJ464" s="642">
        <v>0</v>
      </c>
      <c r="AK464" s="650">
        <v>59.571383766437016</v>
      </c>
    </row>
    <row r="465" spans="3:37" ht="13.5">
      <c r="C465" s="648" t="s">
        <v>76</v>
      </c>
      <c r="D465" s="642">
        <v>0</v>
      </c>
      <c r="E465" s="642">
        <v>0</v>
      </c>
      <c r="F465" s="642">
        <v>0</v>
      </c>
      <c r="G465" s="642">
        <v>3.9646717348100942</v>
      </c>
      <c r="H465" s="642">
        <v>0</v>
      </c>
      <c r="I465" s="642">
        <v>0</v>
      </c>
      <c r="J465" s="642">
        <v>0</v>
      </c>
      <c r="K465" s="642">
        <v>0</v>
      </c>
      <c r="L465" s="642">
        <v>0</v>
      </c>
      <c r="M465" s="642">
        <v>8.0911668057348868E-2</v>
      </c>
      <c r="N465" s="642">
        <v>0</v>
      </c>
      <c r="O465" s="642">
        <v>0</v>
      </c>
      <c r="P465" s="642">
        <v>47.131742012269626</v>
      </c>
      <c r="Q465" s="642">
        <v>2.9238621334994321</v>
      </c>
      <c r="R465" s="642">
        <v>0</v>
      </c>
      <c r="S465" s="650">
        <v>54.101187548636503</v>
      </c>
      <c r="U465" s="648" t="s">
        <v>76</v>
      </c>
      <c r="V465" s="642">
        <v>0</v>
      </c>
      <c r="W465" s="642">
        <v>0</v>
      </c>
      <c r="X465" s="642">
        <v>0</v>
      </c>
      <c r="Y465" s="642">
        <v>0</v>
      </c>
      <c r="Z465" s="642">
        <v>0</v>
      </c>
      <c r="AA465" s="642">
        <v>0</v>
      </c>
      <c r="AB465" s="642">
        <v>0</v>
      </c>
      <c r="AC465" s="642">
        <v>0</v>
      </c>
      <c r="AD465" s="642">
        <v>0</v>
      </c>
      <c r="AE465" s="642">
        <v>1.5605996097297452</v>
      </c>
      <c r="AF465" s="642">
        <v>0</v>
      </c>
      <c r="AG465" s="642">
        <v>0</v>
      </c>
      <c r="AH465" s="642">
        <v>50.104610120731024</v>
      </c>
      <c r="AI465" s="642">
        <v>5.7529608775183565</v>
      </c>
      <c r="AJ465" s="642">
        <v>0</v>
      </c>
      <c r="AK465" s="650">
        <v>57.418170607979121</v>
      </c>
    </row>
    <row r="466" spans="3:37" ht="13.5">
      <c r="C466" s="646" t="s">
        <v>77</v>
      </c>
      <c r="D466" s="647">
        <v>42.426498531650253</v>
      </c>
      <c r="E466" s="647">
        <v>464.7986487</v>
      </c>
      <c r="F466" s="647">
        <v>-430.41604332203127</v>
      </c>
      <c r="G466" s="647">
        <v>78.562753779962591</v>
      </c>
      <c r="H466" s="647">
        <v>727.27272727272737</v>
      </c>
      <c r="I466" s="647">
        <v>338.37995078139568</v>
      </c>
      <c r="J466" s="647">
        <v>73.88609899973514</v>
      </c>
      <c r="K466" s="647">
        <v>18.1608189391454</v>
      </c>
      <c r="L466" s="647">
        <v>-22.392588528868568</v>
      </c>
      <c r="M466" s="647">
        <v>-5.0780082691828765</v>
      </c>
      <c r="N466" s="647">
        <v>0</v>
      </c>
      <c r="O466" s="647">
        <v>9.6533137639592894</v>
      </c>
      <c r="P466" s="647">
        <v>-554.70570793017112</v>
      </c>
      <c r="Q466" s="647">
        <v>-34.744016552062419</v>
      </c>
      <c r="R466" s="647">
        <v>-7.071337409208251</v>
      </c>
      <c r="S466" s="647">
        <v>698.73310875705101</v>
      </c>
      <c r="U466" s="646" t="s">
        <v>77</v>
      </c>
      <c r="V466" s="647">
        <v>3.0871053259909167</v>
      </c>
      <c r="W466" s="647">
        <v>113.59926767676768</v>
      </c>
      <c r="X466" s="647">
        <v>-90.60020861890041</v>
      </c>
      <c r="Y466" s="647">
        <v>0</v>
      </c>
      <c r="Z466" s="647">
        <v>764.84848484848499</v>
      </c>
      <c r="AA466" s="647">
        <v>423.19995078139567</v>
      </c>
      <c r="AB466" s="647">
        <v>188.81392594880614</v>
      </c>
      <c r="AC466" s="647">
        <v>31.963595882852758</v>
      </c>
      <c r="AD466" s="647">
        <v>-125.42403259253969</v>
      </c>
      <c r="AE466" s="647">
        <v>-113.87891972722609</v>
      </c>
      <c r="AF466" s="647">
        <v>0</v>
      </c>
      <c r="AG466" s="647">
        <v>21.687841193420969</v>
      </c>
      <c r="AH466" s="647">
        <v>-553.86752452670385</v>
      </c>
      <c r="AI466" s="647">
        <v>-68.423763504668656</v>
      </c>
      <c r="AJ466" s="647">
        <v>-37.056170647637451</v>
      </c>
      <c r="AK466" s="647">
        <v>557.94955204004305</v>
      </c>
    </row>
    <row r="467" spans="3:37" ht="13">
      <c r="C467" s="636"/>
      <c r="D467" s="636">
        <v>0</v>
      </c>
      <c r="E467" s="636">
        <v>0</v>
      </c>
      <c r="F467" s="636">
        <v>0</v>
      </c>
      <c r="G467" s="636">
        <v>0</v>
      </c>
      <c r="H467" s="636">
        <v>0</v>
      </c>
      <c r="I467" s="636">
        <v>0</v>
      </c>
      <c r="J467" s="636">
        <v>0</v>
      </c>
      <c r="K467" s="636">
        <v>0</v>
      </c>
      <c r="L467" s="636">
        <v>0</v>
      </c>
      <c r="M467" s="636">
        <v>0</v>
      </c>
      <c r="N467" s="636">
        <v>0</v>
      </c>
      <c r="O467" s="636">
        <v>0</v>
      </c>
      <c r="P467" s="636">
        <v>0</v>
      </c>
      <c r="Q467" s="636">
        <v>0</v>
      </c>
      <c r="R467" s="636">
        <v>0</v>
      </c>
      <c r="S467" s="636">
        <v>0</v>
      </c>
      <c r="U467" s="636"/>
      <c r="V467" s="636">
        <v>0</v>
      </c>
      <c r="W467" s="636">
        <v>0</v>
      </c>
      <c r="X467" s="636">
        <v>0</v>
      </c>
      <c r="Y467" s="636">
        <v>0</v>
      </c>
      <c r="Z467" s="636">
        <v>0</v>
      </c>
      <c r="AA467" s="636">
        <v>0</v>
      </c>
      <c r="AB467" s="636">
        <v>0</v>
      </c>
      <c r="AC467" s="636">
        <v>0</v>
      </c>
      <c r="AD467" s="636">
        <v>0</v>
      </c>
      <c r="AE467" s="636">
        <v>0</v>
      </c>
      <c r="AF467" s="636">
        <v>0</v>
      </c>
      <c r="AG467" s="636">
        <v>0</v>
      </c>
      <c r="AH467" s="636">
        <v>0</v>
      </c>
      <c r="AI467" s="636">
        <v>0</v>
      </c>
      <c r="AJ467" s="636">
        <v>0</v>
      </c>
      <c r="AK467" s="636">
        <v>0</v>
      </c>
    </row>
    <row r="468" spans="3:37" ht="13.5">
      <c r="C468" s="648" t="s">
        <v>78</v>
      </c>
      <c r="D468" s="642">
        <v>3.6733927919712848</v>
      </c>
      <c r="E468" s="642">
        <v>0</v>
      </c>
      <c r="F468" s="642">
        <v>19.397200033553816</v>
      </c>
      <c r="G468" s="642">
        <v>91.130108310207916</v>
      </c>
      <c r="H468" s="642">
        <v>0</v>
      </c>
      <c r="I468" s="642">
        <v>0</v>
      </c>
      <c r="J468" s="642">
        <v>22.791437377983073</v>
      </c>
      <c r="K468" s="642">
        <v>1.7013098714668424</v>
      </c>
      <c r="L468" s="642">
        <v>1.007010953125</v>
      </c>
      <c r="M468" s="642">
        <v>1.8779931367345493</v>
      </c>
      <c r="N468" s="642">
        <v>0</v>
      </c>
      <c r="O468" s="642">
        <v>3.7093504340600874E-4</v>
      </c>
      <c r="P468" s="642">
        <v>114.54790196708234</v>
      </c>
      <c r="Q468" s="642">
        <v>16.21056036467343</v>
      </c>
      <c r="R468" s="642">
        <v>0.23655174255371095</v>
      </c>
      <c r="S468" s="650">
        <v>272.57383748439537</v>
      </c>
      <c r="U468" s="648" t="s">
        <v>78</v>
      </c>
      <c r="V468" s="642">
        <v>1.5000162600463405</v>
      </c>
      <c r="W468" s="642">
        <v>0</v>
      </c>
      <c r="X468" s="642">
        <v>0.65820239923796242</v>
      </c>
      <c r="Y468" s="642">
        <v>0</v>
      </c>
      <c r="Z468" s="642">
        <v>0</v>
      </c>
      <c r="AA468" s="642">
        <v>0</v>
      </c>
      <c r="AB468" s="642">
        <v>14.22856522114639</v>
      </c>
      <c r="AC468" s="642">
        <v>4.1194716696050602</v>
      </c>
      <c r="AD468" s="642">
        <v>8.3494072265624997</v>
      </c>
      <c r="AE468" s="642">
        <v>60.539358802903692</v>
      </c>
      <c r="AF468" s="642">
        <v>0</v>
      </c>
      <c r="AG468" s="642">
        <v>3.7093504340600874E-4</v>
      </c>
      <c r="AH468" s="642">
        <v>157.01971492382648</v>
      </c>
      <c r="AI468" s="642">
        <v>25.540840498351418</v>
      </c>
      <c r="AJ468" s="642">
        <v>8.9542294921874994</v>
      </c>
      <c r="AK468" s="650">
        <v>280.91017742891074</v>
      </c>
    </row>
    <row r="469" spans="3:37" ht="13.5">
      <c r="C469" s="648" t="s">
        <v>79</v>
      </c>
      <c r="D469" s="642">
        <v>0</v>
      </c>
      <c r="E469" s="642">
        <v>0</v>
      </c>
      <c r="F469" s="642">
        <v>216.8751541495462</v>
      </c>
      <c r="G469" s="642">
        <v>32.745585882615877</v>
      </c>
      <c r="H469" s="642">
        <v>0</v>
      </c>
      <c r="I469" s="642">
        <v>0</v>
      </c>
      <c r="J469" s="642">
        <v>0</v>
      </c>
      <c r="K469" s="642">
        <v>0</v>
      </c>
      <c r="L469" s="642">
        <v>20.896591906701669</v>
      </c>
      <c r="M469" s="642">
        <v>0.66827726291052814</v>
      </c>
      <c r="N469" s="642">
        <v>0</v>
      </c>
      <c r="O469" s="642">
        <v>0</v>
      </c>
      <c r="P469" s="642">
        <v>80.819270278256823</v>
      </c>
      <c r="Q469" s="642">
        <v>0</v>
      </c>
      <c r="R469" s="642">
        <v>2.9193508940431485</v>
      </c>
      <c r="S469" s="650">
        <v>354.92423037407423</v>
      </c>
      <c r="U469" s="648" t="s">
        <v>79</v>
      </c>
      <c r="V469" s="642">
        <v>0</v>
      </c>
      <c r="W469" s="642">
        <v>0</v>
      </c>
      <c r="X469" s="642">
        <v>8.8339079607242379</v>
      </c>
      <c r="Y469" s="642">
        <v>0</v>
      </c>
      <c r="Z469" s="642">
        <v>0</v>
      </c>
      <c r="AA469" s="642">
        <v>0</v>
      </c>
      <c r="AB469" s="642">
        <v>0</v>
      </c>
      <c r="AC469" s="642">
        <v>0</v>
      </c>
      <c r="AD469" s="642">
        <v>12.788272739607951</v>
      </c>
      <c r="AE469" s="642">
        <v>24.887279738493259</v>
      </c>
      <c r="AF469" s="642">
        <v>0</v>
      </c>
      <c r="AG469" s="642">
        <v>0</v>
      </c>
      <c r="AH469" s="642">
        <v>93.844452584108197</v>
      </c>
      <c r="AI469" s="642">
        <v>0</v>
      </c>
      <c r="AJ469" s="642">
        <v>7.1149935986121697</v>
      </c>
      <c r="AK469" s="650">
        <v>147.46890662154581</v>
      </c>
    </row>
    <row r="470" spans="3:37" ht="13.5">
      <c r="C470" s="648" t="s">
        <v>80</v>
      </c>
      <c r="D470" s="642">
        <v>0</v>
      </c>
      <c r="E470" s="642">
        <v>0</v>
      </c>
      <c r="F470" s="642">
        <v>5.2094674308398901</v>
      </c>
      <c r="G470" s="642">
        <v>68.551385920257417</v>
      </c>
      <c r="H470" s="642">
        <v>0</v>
      </c>
      <c r="I470" s="642">
        <v>0</v>
      </c>
      <c r="J470" s="642">
        <v>86.155325304334795</v>
      </c>
      <c r="K470" s="642">
        <v>0</v>
      </c>
      <c r="L470" s="642">
        <v>0</v>
      </c>
      <c r="M470" s="642">
        <v>1.3990078759236206</v>
      </c>
      <c r="N470" s="642">
        <v>66.478227859390046</v>
      </c>
      <c r="O470" s="642">
        <v>2.1206229173139883</v>
      </c>
      <c r="P470" s="642">
        <v>194.47767196350526</v>
      </c>
      <c r="Q470" s="642">
        <v>15.182773802844931</v>
      </c>
      <c r="R470" s="642">
        <v>0</v>
      </c>
      <c r="S470" s="650">
        <v>439.5744830744099</v>
      </c>
      <c r="U470" s="648" t="s">
        <v>80</v>
      </c>
      <c r="V470" s="642">
        <v>0</v>
      </c>
      <c r="W470" s="642">
        <v>0</v>
      </c>
      <c r="X470" s="642">
        <v>0.92826525658471626</v>
      </c>
      <c r="Y470" s="642">
        <v>0</v>
      </c>
      <c r="Z470" s="642">
        <v>0</v>
      </c>
      <c r="AA470" s="642">
        <v>0</v>
      </c>
      <c r="AB470" s="642">
        <v>47.227858114444189</v>
      </c>
      <c r="AC470" s="642">
        <v>0</v>
      </c>
      <c r="AD470" s="642">
        <v>0</v>
      </c>
      <c r="AE470" s="642">
        <v>17.293312779197663</v>
      </c>
      <c r="AF470" s="642">
        <v>108.09916343666818</v>
      </c>
      <c r="AG470" s="642">
        <v>4.9369795689122755</v>
      </c>
      <c r="AH470" s="642">
        <v>137.38519988829395</v>
      </c>
      <c r="AI470" s="642">
        <v>27.91071693101145</v>
      </c>
      <c r="AJ470" s="642">
        <v>0</v>
      </c>
      <c r="AK470" s="650">
        <v>343.78149597511242</v>
      </c>
    </row>
    <row r="471" spans="3:37" ht="13.5">
      <c r="C471" s="648" t="s">
        <v>81</v>
      </c>
      <c r="D471" s="642">
        <v>0</v>
      </c>
      <c r="E471" s="642">
        <v>0</v>
      </c>
      <c r="F471" s="642">
        <v>2.3181271880740835</v>
      </c>
      <c r="G471" s="642">
        <v>62.553452404821357</v>
      </c>
      <c r="H471" s="642">
        <v>0</v>
      </c>
      <c r="I471" s="642">
        <v>0</v>
      </c>
      <c r="J471" s="642">
        <v>3.0090868580403627</v>
      </c>
      <c r="K471" s="642">
        <v>2.5363417285398034E-2</v>
      </c>
      <c r="L471" s="642">
        <v>0</v>
      </c>
      <c r="M471" s="642">
        <v>1.27660106948615</v>
      </c>
      <c r="N471" s="642">
        <v>8.6055350400994808</v>
      </c>
      <c r="O471" s="642">
        <v>0.68093940948821108</v>
      </c>
      <c r="P471" s="642">
        <v>146.08879967332064</v>
      </c>
      <c r="Q471" s="642">
        <v>3.3506823845440552</v>
      </c>
      <c r="R471" s="642">
        <v>0</v>
      </c>
      <c r="S471" s="650">
        <v>227.90858744515972</v>
      </c>
      <c r="U471" s="648" t="s">
        <v>81</v>
      </c>
      <c r="V471" s="642">
        <v>0</v>
      </c>
      <c r="W471" s="642">
        <v>0</v>
      </c>
      <c r="X471" s="642">
        <v>0.55102356567889155</v>
      </c>
      <c r="Y471" s="642">
        <v>0</v>
      </c>
      <c r="Z471" s="642">
        <v>0</v>
      </c>
      <c r="AA471" s="642">
        <v>0</v>
      </c>
      <c r="AB471" s="642">
        <v>6.5361621549849476</v>
      </c>
      <c r="AC471" s="642">
        <v>2.5363417285398034E-2</v>
      </c>
      <c r="AD471" s="642">
        <v>0</v>
      </c>
      <c r="AE471" s="642">
        <v>5.3379988256415478</v>
      </c>
      <c r="AF471" s="642">
        <v>15.069021727073199</v>
      </c>
      <c r="AG471" s="642">
        <v>1.4375946320597892</v>
      </c>
      <c r="AH471" s="642">
        <v>112.31243747223964</v>
      </c>
      <c r="AI471" s="642">
        <v>14.972206075305797</v>
      </c>
      <c r="AJ471" s="642">
        <v>0</v>
      </c>
      <c r="AK471" s="650">
        <v>156.24180787026921</v>
      </c>
    </row>
    <row r="472" spans="3:37" ht="13.5">
      <c r="C472" s="648" t="s">
        <v>82</v>
      </c>
      <c r="D472" s="642">
        <v>0</v>
      </c>
      <c r="E472" s="642">
        <v>0</v>
      </c>
      <c r="F472" s="642">
        <v>27.219719362233906</v>
      </c>
      <c r="G472" s="642">
        <v>0.81069667111944488</v>
      </c>
      <c r="H472" s="642">
        <v>0</v>
      </c>
      <c r="I472" s="642">
        <v>0</v>
      </c>
      <c r="J472" s="642">
        <v>5.0054618408177598</v>
      </c>
      <c r="K472" s="642">
        <v>0</v>
      </c>
      <c r="L472" s="642">
        <v>3.2629555410385191</v>
      </c>
      <c r="M472" s="642">
        <v>1.6544830022845812E-2</v>
      </c>
      <c r="N472" s="642">
        <v>0</v>
      </c>
      <c r="O472" s="642">
        <v>6.051975379409523E-2</v>
      </c>
      <c r="P472" s="642">
        <v>5.5235547180923223</v>
      </c>
      <c r="Q472" s="642">
        <v>0</v>
      </c>
      <c r="R472" s="642">
        <v>0</v>
      </c>
      <c r="S472" s="650">
        <v>41.899452717118898</v>
      </c>
      <c r="U472" s="648" t="s">
        <v>82</v>
      </c>
      <c r="V472" s="642">
        <v>0</v>
      </c>
      <c r="W472" s="642">
        <v>0</v>
      </c>
      <c r="X472" s="642">
        <v>0.67158967449506357</v>
      </c>
      <c r="Y472" s="642">
        <v>0</v>
      </c>
      <c r="Z472" s="642">
        <v>0</v>
      </c>
      <c r="AA472" s="642">
        <v>0</v>
      </c>
      <c r="AB472" s="642">
        <v>5.0054618408177598</v>
      </c>
      <c r="AC472" s="642">
        <v>0</v>
      </c>
      <c r="AD472" s="642">
        <v>35.167200828266267</v>
      </c>
      <c r="AE472" s="642">
        <v>0.86765586771995196</v>
      </c>
      <c r="AF472" s="642">
        <v>0</v>
      </c>
      <c r="AG472" s="642">
        <v>2.1874070050904897</v>
      </c>
      <c r="AH472" s="642">
        <v>5.6657335511185538</v>
      </c>
      <c r="AI472" s="642">
        <v>0</v>
      </c>
      <c r="AJ472" s="642">
        <v>0.44339331184266689</v>
      </c>
      <c r="AK472" s="650">
        <v>50.008442079350758</v>
      </c>
    </row>
    <row r="473" spans="3:37" ht="13.5">
      <c r="C473" s="648" t="s">
        <v>357</v>
      </c>
      <c r="D473" s="642">
        <v>0</v>
      </c>
      <c r="E473" s="642">
        <v>0</v>
      </c>
      <c r="F473" s="642">
        <v>0</v>
      </c>
      <c r="G473" s="642">
        <v>0</v>
      </c>
      <c r="H473" s="642">
        <v>0</v>
      </c>
      <c r="I473" s="642">
        <v>0</v>
      </c>
      <c r="J473" s="642">
        <v>0</v>
      </c>
      <c r="K473" s="642">
        <v>0</v>
      </c>
      <c r="L473" s="642">
        <v>0</v>
      </c>
      <c r="M473" s="642">
        <v>0</v>
      </c>
      <c r="N473" s="642">
        <v>0</v>
      </c>
      <c r="O473" s="642">
        <v>0</v>
      </c>
      <c r="P473" s="642">
        <v>0.44999999999999996</v>
      </c>
      <c r="Q473" s="642">
        <v>0</v>
      </c>
      <c r="R473" s="642">
        <v>0</v>
      </c>
      <c r="S473" s="650">
        <v>0.44999999999999996</v>
      </c>
      <c r="U473" s="648" t="s">
        <v>357</v>
      </c>
      <c r="V473" s="642">
        <v>0</v>
      </c>
      <c r="W473" s="642">
        <v>0</v>
      </c>
      <c r="X473" s="642">
        <v>0</v>
      </c>
      <c r="Y473" s="642">
        <v>0</v>
      </c>
      <c r="Z473" s="642">
        <v>0</v>
      </c>
      <c r="AA473" s="642">
        <v>0</v>
      </c>
      <c r="AB473" s="642">
        <v>0</v>
      </c>
      <c r="AC473" s="642">
        <v>0</v>
      </c>
      <c r="AD473" s="642">
        <v>0</v>
      </c>
      <c r="AE473" s="642">
        <v>0</v>
      </c>
      <c r="AF473" s="642">
        <v>0</v>
      </c>
      <c r="AG473" s="642">
        <v>0</v>
      </c>
      <c r="AH473" s="642">
        <v>6</v>
      </c>
      <c r="AI473" s="642">
        <v>0</v>
      </c>
      <c r="AJ473" s="642">
        <v>0</v>
      </c>
      <c r="AK473" s="650">
        <v>6</v>
      </c>
    </row>
    <row r="474" spans="3:37" ht="13.5">
      <c r="C474" s="646" t="s">
        <v>83</v>
      </c>
      <c r="D474" s="647">
        <v>3.6733927919712848</v>
      </c>
      <c r="E474" s="647">
        <v>0</v>
      </c>
      <c r="F474" s="647">
        <v>271.01966816424783</v>
      </c>
      <c r="G474" s="647">
        <v>255.79122918902203</v>
      </c>
      <c r="H474" s="647">
        <v>0</v>
      </c>
      <c r="I474" s="647">
        <v>0</v>
      </c>
      <c r="J474" s="647">
        <v>116.96131138117599</v>
      </c>
      <c r="K474" s="647">
        <v>1.7266732887522405</v>
      </c>
      <c r="L474" s="647">
        <v>25.166558400865188</v>
      </c>
      <c r="M474" s="647">
        <v>5.238424175077693</v>
      </c>
      <c r="N474" s="647">
        <v>75.083762899489528</v>
      </c>
      <c r="O474" s="647">
        <v>2.8624530156397006</v>
      </c>
      <c r="P474" s="647">
        <v>541.90719860025752</v>
      </c>
      <c r="Q474" s="647">
        <v>34.744016552062419</v>
      </c>
      <c r="R474" s="647">
        <v>3.1559026365968594</v>
      </c>
      <c r="S474" s="647">
        <v>1337.3305910951583</v>
      </c>
      <c r="U474" s="646" t="s">
        <v>83</v>
      </c>
      <c r="V474" s="647">
        <v>1.5000162600463405</v>
      </c>
      <c r="W474" s="647">
        <v>0</v>
      </c>
      <c r="X474" s="647">
        <v>11.642988856720871</v>
      </c>
      <c r="Y474" s="647">
        <v>0</v>
      </c>
      <c r="Z474" s="647">
        <v>0</v>
      </c>
      <c r="AA474" s="647">
        <v>0</v>
      </c>
      <c r="AB474" s="647">
        <v>72.998047331393281</v>
      </c>
      <c r="AC474" s="647">
        <v>4.1448350868904589</v>
      </c>
      <c r="AD474" s="647">
        <v>56.30488079443672</v>
      </c>
      <c r="AE474" s="647">
        <v>108.92560601395611</v>
      </c>
      <c r="AF474" s="647">
        <v>123.16818516374138</v>
      </c>
      <c r="AG474" s="647">
        <v>8.5623521411059595</v>
      </c>
      <c r="AH474" s="647">
        <v>512.22753841958684</v>
      </c>
      <c r="AI474" s="647">
        <v>68.423763504668656</v>
      </c>
      <c r="AJ474" s="647">
        <v>16.512616402642333</v>
      </c>
      <c r="AK474" s="647">
        <v>984.4108299751889</v>
      </c>
    </row>
    <row r="475" spans="3:37" ht="13.5">
      <c r="C475" s="641" t="s">
        <v>84</v>
      </c>
      <c r="D475" s="642">
        <v>0</v>
      </c>
      <c r="E475" s="642">
        <v>0</v>
      </c>
      <c r="F475" s="642">
        <v>100.05515171814793</v>
      </c>
      <c r="G475" s="642">
        <v>11.196954266678716</v>
      </c>
      <c r="H475" s="642">
        <v>0</v>
      </c>
      <c r="I475" s="642">
        <v>0</v>
      </c>
      <c r="J475" s="642">
        <v>0</v>
      </c>
      <c r="K475" s="642">
        <v>0</v>
      </c>
      <c r="L475" s="642">
        <v>0</v>
      </c>
      <c r="M475" s="642">
        <v>0</v>
      </c>
      <c r="N475" s="642">
        <v>0</v>
      </c>
      <c r="O475" s="642">
        <v>0</v>
      </c>
      <c r="P475" s="642">
        <v>0</v>
      </c>
      <c r="Q475" s="642">
        <v>0</v>
      </c>
      <c r="R475" s="642">
        <v>3.9154347726113912</v>
      </c>
      <c r="S475" s="650">
        <v>115.16754075743803</v>
      </c>
      <c r="U475" s="641" t="s">
        <v>84</v>
      </c>
      <c r="V475" s="642">
        <v>0</v>
      </c>
      <c r="W475" s="642">
        <v>0</v>
      </c>
      <c r="X475" s="642">
        <v>57.953190468871433</v>
      </c>
      <c r="Y475" s="642">
        <v>0.51452681198611927</v>
      </c>
      <c r="Z475" s="642">
        <v>0</v>
      </c>
      <c r="AA475" s="642">
        <v>0</v>
      </c>
      <c r="AB475" s="642">
        <v>0</v>
      </c>
      <c r="AC475" s="642">
        <v>0</v>
      </c>
      <c r="AD475" s="642">
        <v>30.108432000732424</v>
      </c>
      <c r="AE475" s="642">
        <v>0</v>
      </c>
      <c r="AF475" s="642">
        <v>0</v>
      </c>
      <c r="AG475" s="642">
        <v>0</v>
      </c>
      <c r="AH475" s="642">
        <v>0</v>
      </c>
      <c r="AI475" s="642">
        <v>0</v>
      </c>
      <c r="AJ475" s="642">
        <v>20.543554244995118</v>
      </c>
      <c r="AK475" s="650">
        <v>109.1197035265851</v>
      </c>
    </row>
    <row r="476" spans="3:37" ht="13.5">
      <c r="C476" s="646" t="s">
        <v>85</v>
      </c>
      <c r="D476" s="647">
        <v>3.6733927919712848</v>
      </c>
      <c r="E476" s="647">
        <v>0</v>
      </c>
      <c r="F476" s="647">
        <v>371.07481988239573</v>
      </c>
      <c r="G476" s="647">
        <v>266.98818345570078</v>
      </c>
      <c r="H476" s="647">
        <v>0</v>
      </c>
      <c r="I476" s="647">
        <v>0</v>
      </c>
      <c r="J476" s="647">
        <v>116.96131138117599</v>
      </c>
      <c r="K476" s="647">
        <v>1.7266732887522405</v>
      </c>
      <c r="L476" s="647">
        <v>25.166558400865188</v>
      </c>
      <c r="M476" s="647">
        <v>5.238424175077693</v>
      </c>
      <c r="N476" s="647">
        <v>75.083762899489528</v>
      </c>
      <c r="O476" s="647">
        <v>2.8624530156397006</v>
      </c>
      <c r="P476" s="647">
        <v>541.90719860025752</v>
      </c>
      <c r="Q476" s="647">
        <v>34.744016552062419</v>
      </c>
      <c r="R476" s="647">
        <v>7.071337409208251</v>
      </c>
      <c r="S476" s="647">
        <v>1452.4981318525963</v>
      </c>
      <c r="U476" s="646" t="s">
        <v>85</v>
      </c>
      <c r="V476" s="647">
        <v>1.5000162600463405</v>
      </c>
      <c r="W476" s="647">
        <v>0</v>
      </c>
      <c r="X476" s="647">
        <v>69.596179325592303</v>
      </c>
      <c r="Y476" s="647">
        <v>0.51452681198611927</v>
      </c>
      <c r="Z476" s="647">
        <v>0</v>
      </c>
      <c r="AA476" s="647">
        <v>0</v>
      </c>
      <c r="AB476" s="647">
        <v>72.998047331393281</v>
      </c>
      <c r="AC476" s="647">
        <v>4.1448350868904589</v>
      </c>
      <c r="AD476" s="647">
        <v>86.413312795169148</v>
      </c>
      <c r="AE476" s="647">
        <v>108.92560601395611</v>
      </c>
      <c r="AF476" s="647">
        <v>123.16818516374138</v>
      </c>
      <c r="AG476" s="647">
        <v>8.5623521411059595</v>
      </c>
      <c r="AH476" s="647">
        <v>512.22753841958684</v>
      </c>
      <c r="AI476" s="647">
        <v>68.423763504668656</v>
      </c>
      <c r="AJ476" s="647">
        <v>37.056170647637451</v>
      </c>
      <c r="AK476" s="647">
        <v>1093.530533501774</v>
      </c>
    </row>
    <row r="477" spans="3:37" ht="13">
      <c r="C477" s="636"/>
      <c r="D477" s="636"/>
      <c r="E477" s="636"/>
      <c r="F477" s="636"/>
      <c r="G477" s="636"/>
      <c r="H477" s="636"/>
      <c r="I477" s="636"/>
      <c r="J477" s="636"/>
      <c r="K477" s="636"/>
      <c r="L477" s="636"/>
      <c r="M477" s="636"/>
      <c r="N477" s="636"/>
      <c r="O477" s="636"/>
      <c r="P477" s="636"/>
      <c r="Q477" s="636"/>
      <c r="R477" s="636"/>
      <c r="S477" s="636"/>
      <c r="U477" s="636"/>
      <c r="V477" s="636"/>
      <c r="W477" s="636"/>
      <c r="X477" s="636"/>
      <c r="Y477" s="636"/>
      <c r="Z477" s="636"/>
      <c r="AA477" s="636"/>
      <c r="AB477" s="636"/>
      <c r="AC477" s="636"/>
      <c r="AD477" s="636"/>
      <c r="AE477" s="636"/>
      <c r="AF477" s="636"/>
      <c r="AG477" s="636"/>
      <c r="AH477" s="636"/>
      <c r="AI477" s="636"/>
      <c r="AJ477" s="636"/>
      <c r="AK477" s="636"/>
    </row>
    <row r="478" spans="3:37" ht="13">
      <c r="C478" s="636"/>
      <c r="D478" s="636"/>
      <c r="E478" s="636"/>
      <c r="F478" s="636"/>
      <c r="G478" s="636"/>
      <c r="H478" s="636"/>
      <c r="I478" s="636"/>
      <c r="J478" s="636"/>
      <c r="K478" s="636"/>
      <c r="L478" s="636"/>
      <c r="M478" s="636"/>
      <c r="N478" s="636"/>
      <c r="O478" s="636"/>
      <c r="P478" s="636"/>
      <c r="Q478" s="636"/>
      <c r="R478" s="636"/>
      <c r="S478" s="636"/>
      <c r="U478" s="636"/>
      <c r="V478" s="636"/>
      <c r="W478" s="636"/>
      <c r="X478" s="636"/>
      <c r="Y478" s="636"/>
      <c r="Z478" s="636"/>
      <c r="AA478" s="636"/>
      <c r="AB478" s="636"/>
      <c r="AC478" s="636"/>
      <c r="AD478" s="636"/>
      <c r="AE478" s="636"/>
      <c r="AF478" s="636"/>
      <c r="AG478" s="636"/>
      <c r="AH478" s="636"/>
      <c r="AI478" s="636"/>
      <c r="AJ478" s="636"/>
      <c r="AK478" s="636"/>
    </row>
  </sheetData>
  <mergeCells count="340">
    <mergeCell ref="AA444:AA445"/>
    <mergeCell ref="AB444:AG444"/>
    <mergeCell ref="AH444:AH445"/>
    <mergeCell ref="AI444:AI445"/>
    <mergeCell ref="AJ444:AJ445"/>
    <mergeCell ref="AK444:AK445"/>
    <mergeCell ref="U444:U445"/>
    <mergeCell ref="V444:V445"/>
    <mergeCell ref="W444:W445"/>
    <mergeCell ref="X444:X445"/>
    <mergeCell ref="Y444:Y445"/>
    <mergeCell ref="Z444:Z445"/>
    <mergeCell ref="I444:I445"/>
    <mergeCell ref="J444:O444"/>
    <mergeCell ref="P444:P445"/>
    <mergeCell ref="Q444:Q445"/>
    <mergeCell ref="R444:R445"/>
    <mergeCell ref="S444:S445"/>
    <mergeCell ref="C444:C445"/>
    <mergeCell ref="D444:D445"/>
    <mergeCell ref="E444:E445"/>
    <mergeCell ref="F444:F445"/>
    <mergeCell ref="G444:G445"/>
    <mergeCell ref="H444:H445"/>
    <mergeCell ref="C442:S442"/>
    <mergeCell ref="U442:AK442"/>
    <mergeCell ref="W408:W409"/>
    <mergeCell ref="X408:X409"/>
    <mergeCell ref="Y408:Y409"/>
    <mergeCell ref="Z408:Z409"/>
    <mergeCell ref="AA408:AA409"/>
    <mergeCell ref="AB408:AG408"/>
    <mergeCell ref="P408:P409"/>
    <mergeCell ref="Q408:Q409"/>
    <mergeCell ref="R408:R409"/>
    <mergeCell ref="S408:S409"/>
    <mergeCell ref="U408:U409"/>
    <mergeCell ref="V408:V409"/>
    <mergeCell ref="C406:S406"/>
    <mergeCell ref="U406:AK406"/>
    <mergeCell ref="C408:C409"/>
    <mergeCell ref="D408:D409"/>
    <mergeCell ref="E408:E409"/>
    <mergeCell ref="F408:F409"/>
    <mergeCell ref="G408:G409"/>
    <mergeCell ref="H408:H409"/>
    <mergeCell ref="I408:I409"/>
    <mergeCell ref="J408:O408"/>
    <mergeCell ref="AH408:AH409"/>
    <mergeCell ref="AI408:AI409"/>
    <mergeCell ref="AJ408:AJ409"/>
    <mergeCell ref="AK408:AK409"/>
    <mergeCell ref="AA372:AA373"/>
    <mergeCell ref="AB372:AG372"/>
    <mergeCell ref="AH372:AH373"/>
    <mergeCell ref="AI372:AI373"/>
    <mergeCell ref="AJ372:AJ373"/>
    <mergeCell ref="AK372:AK373"/>
    <mergeCell ref="U372:U373"/>
    <mergeCell ref="V372:V373"/>
    <mergeCell ref="W372:W373"/>
    <mergeCell ref="X372:X373"/>
    <mergeCell ref="Y372:Y373"/>
    <mergeCell ref="Z372:Z373"/>
    <mergeCell ref="I372:I373"/>
    <mergeCell ref="J372:O372"/>
    <mergeCell ref="P372:P373"/>
    <mergeCell ref="Q372:Q373"/>
    <mergeCell ref="R372:R373"/>
    <mergeCell ref="S372:S373"/>
    <mergeCell ref="C372:C373"/>
    <mergeCell ref="D372:D373"/>
    <mergeCell ref="E372:E373"/>
    <mergeCell ref="F372:F373"/>
    <mergeCell ref="G372:G373"/>
    <mergeCell ref="H372:H373"/>
    <mergeCell ref="C370:S370"/>
    <mergeCell ref="U370:AK370"/>
    <mergeCell ref="W336:W337"/>
    <mergeCell ref="X336:X337"/>
    <mergeCell ref="Y336:Y337"/>
    <mergeCell ref="Z336:Z337"/>
    <mergeCell ref="AA336:AA337"/>
    <mergeCell ref="AB336:AG336"/>
    <mergeCell ref="P336:P337"/>
    <mergeCell ref="Q336:Q337"/>
    <mergeCell ref="R336:R337"/>
    <mergeCell ref="S336:S337"/>
    <mergeCell ref="U336:U337"/>
    <mergeCell ref="V336:V337"/>
    <mergeCell ref="C334:S334"/>
    <mergeCell ref="U334:AK334"/>
    <mergeCell ref="C336:C337"/>
    <mergeCell ref="D336:D337"/>
    <mergeCell ref="E336:E337"/>
    <mergeCell ref="F336:F337"/>
    <mergeCell ref="G336:G337"/>
    <mergeCell ref="H336:H337"/>
    <mergeCell ref="I336:I337"/>
    <mergeCell ref="J336:O336"/>
    <mergeCell ref="AH336:AH337"/>
    <mergeCell ref="AI336:AI337"/>
    <mergeCell ref="AJ336:AJ337"/>
    <mergeCell ref="AK336:AK337"/>
    <mergeCell ref="AA300:AA301"/>
    <mergeCell ref="AB300:AG300"/>
    <mergeCell ref="AH300:AH301"/>
    <mergeCell ref="AI300:AI301"/>
    <mergeCell ref="AJ300:AJ301"/>
    <mergeCell ref="AK300:AK301"/>
    <mergeCell ref="U300:U301"/>
    <mergeCell ref="V300:V301"/>
    <mergeCell ref="W300:W301"/>
    <mergeCell ref="X300:X301"/>
    <mergeCell ref="Y300:Y301"/>
    <mergeCell ref="Z300:Z301"/>
    <mergeCell ref="I300:I301"/>
    <mergeCell ref="J300:O300"/>
    <mergeCell ref="P300:P301"/>
    <mergeCell ref="Q300:Q301"/>
    <mergeCell ref="R300:R301"/>
    <mergeCell ref="S300:S301"/>
    <mergeCell ref="C300:C301"/>
    <mergeCell ref="D300:D301"/>
    <mergeCell ref="E300:E301"/>
    <mergeCell ref="F300:F301"/>
    <mergeCell ref="G300:G301"/>
    <mergeCell ref="H300:H301"/>
    <mergeCell ref="C298:S298"/>
    <mergeCell ref="U298:AK298"/>
    <mergeCell ref="W264:W265"/>
    <mergeCell ref="X264:X265"/>
    <mergeCell ref="Y264:Y265"/>
    <mergeCell ref="Z264:Z265"/>
    <mergeCell ref="AA264:AA265"/>
    <mergeCell ref="AB264:AG264"/>
    <mergeCell ref="P264:P265"/>
    <mergeCell ref="Q264:Q265"/>
    <mergeCell ref="R264:R265"/>
    <mergeCell ref="S264:S265"/>
    <mergeCell ref="U264:U265"/>
    <mergeCell ref="V264:V265"/>
    <mergeCell ref="C262:S262"/>
    <mergeCell ref="U262:AK262"/>
    <mergeCell ref="C264:C265"/>
    <mergeCell ref="D264:D265"/>
    <mergeCell ref="E264:E265"/>
    <mergeCell ref="F264:F265"/>
    <mergeCell ref="G264:G265"/>
    <mergeCell ref="H264:H265"/>
    <mergeCell ref="I264:I265"/>
    <mergeCell ref="J264:O264"/>
    <mergeCell ref="AH264:AH265"/>
    <mergeCell ref="AI264:AI265"/>
    <mergeCell ref="AJ264:AJ265"/>
    <mergeCell ref="AK264:AK265"/>
    <mergeCell ref="AA228:AA229"/>
    <mergeCell ref="AB228:AG228"/>
    <mergeCell ref="AH228:AH229"/>
    <mergeCell ref="AI228:AI229"/>
    <mergeCell ref="AJ228:AJ229"/>
    <mergeCell ref="AK228:AK229"/>
    <mergeCell ref="U228:U229"/>
    <mergeCell ref="V228:V229"/>
    <mergeCell ref="W228:W229"/>
    <mergeCell ref="X228:X229"/>
    <mergeCell ref="Y228:Y229"/>
    <mergeCell ref="Z228:Z229"/>
    <mergeCell ref="I228:I229"/>
    <mergeCell ref="J228:O228"/>
    <mergeCell ref="P228:P229"/>
    <mergeCell ref="Q228:Q229"/>
    <mergeCell ref="R228:R229"/>
    <mergeCell ref="S228:S229"/>
    <mergeCell ref="C228:C229"/>
    <mergeCell ref="D228:D229"/>
    <mergeCell ref="E228:E229"/>
    <mergeCell ref="F228:F229"/>
    <mergeCell ref="G228:G229"/>
    <mergeCell ref="H228:H229"/>
    <mergeCell ref="C226:S226"/>
    <mergeCell ref="U226:AK226"/>
    <mergeCell ref="W192:W193"/>
    <mergeCell ref="X192:X193"/>
    <mergeCell ref="Y192:Y193"/>
    <mergeCell ref="Z192:Z193"/>
    <mergeCell ref="AA192:AA193"/>
    <mergeCell ref="AB192:AG192"/>
    <mergeCell ref="P192:P193"/>
    <mergeCell ref="Q192:Q193"/>
    <mergeCell ref="R192:R193"/>
    <mergeCell ref="S192:S193"/>
    <mergeCell ref="U192:U193"/>
    <mergeCell ref="V192:V193"/>
    <mergeCell ref="C190:S190"/>
    <mergeCell ref="U190:AK190"/>
    <mergeCell ref="C192:C193"/>
    <mergeCell ref="D192:D193"/>
    <mergeCell ref="E192:E193"/>
    <mergeCell ref="F192:F193"/>
    <mergeCell ref="G192:G193"/>
    <mergeCell ref="H192:H193"/>
    <mergeCell ref="I192:I193"/>
    <mergeCell ref="J192:O192"/>
    <mergeCell ref="AH192:AH193"/>
    <mergeCell ref="AI192:AI193"/>
    <mergeCell ref="AJ192:AJ193"/>
    <mergeCell ref="AK192:AK193"/>
    <mergeCell ref="AA156:AA157"/>
    <mergeCell ref="AB156:AG156"/>
    <mergeCell ref="AH156:AH157"/>
    <mergeCell ref="AI156:AI157"/>
    <mergeCell ref="AJ156:AJ157"/>
    <mergeCell ref="AK156:AK157"/>
    <mergeCell ref="U156:U157"/>
    <mergeCell ref="V156:V157"/>
    <mergeCell ref="W156:W157"/>
    <mergeCell ref="X156:X157"/>
    <mergeCell ref="Y156:Y157"/>
    <mergeCell ref="Z156:Z157"/>
    <mergeCell ref="I156:I157"/>
    <mergeCell ref="J156:O156"/>
    <mergeCell ref="P156:P157"/>
    <mergeCell ref="Q156:Q157"/>
    <mergeCell ref="R156:R157"/>
    <mergeCell ref="S156:S157"/>
    <mergeCell ref="C156:C157"/>
    <mergeCell ref="D156:D157"/>
    <mergeCell ref="E156:E157"/>
    <mergeCell ref="F156:F157"/>
    <mergeCell ref="G156:G157"/>
    <mergeCell ref="H156:H157"/>
    <mergeCell ref="C154:S154"/>
    <mergeCell ref="U154:AK154"/>
    <mergeCell ref="W120:W121"/>
    <mergeCell ref="X120:X121"/>
    <mergeCell ref="Y120:Y121"/>
    <mergeCell ref="Z120:Z121"/>
    <mergeCell ref="AA120:AA121"/>
    <mergeCell ref="AB120:AG120"/>
    <mergeCell ref="P120:P121"/>
    <mergeCell ref="Q120:Q121"/>
    <mergeCell ref="R120:R121"/>
    <mergeCell ref="S120:S121"/>
    <mergeCell ref="U120:U121"/>
    <mergeCell ref="V120:V121"/>
    <mergeCell ref="C118:S118"/>
    <mergeCell ref="U118:AK118"/>
    <mergeCell ref="C120:C121"/>
    <mergeCell ref="D120:D121"/>
    <mergeCell ref="E120:E121"/>
    <mergeCell ref="F120:F121"/>
    <mergeCell ref="G120:G121"/>
    <mergeCell ref="H120:H121"/>
    <mergeCell ref="I120:I121"/>
    <mergeCell ref="J120:O120"/>
    <mergeCell ref="AH120:AH121"/>
    <mergeCell ref="AI120:AI121"/>
    <mergeCell ref="AJ120:AJ121"/>
    <mergeCell ref="AK120:AK121"/>
    <mergeCell ref="AA83:AA84"/>
    <mergeCell ref="AB83:AG83"/>
    <mergeCell ref="AH83:AH84"/>
    <mergeCell ref="AI83:AI84"/>
    <mergeCell ref="AJ83:AJ84"/>
    <mergeCell ref="AK83:AK84"/>
    <mergeCell ref="U83:U84"/>
    <mergeCell ref="V83:V84"/>
    <mergeCell ref="W83:W84"/>
    <mergeCell ref="X83:X84"/>
    <mergeCell ref="Y83:Y84"/>
    <mergeCell ref="Z83:Z84"/>
    <mergeCell ref="I83:I84"/>
    <mergeCell ref="J83:O83"/>
    <mergeCell ref="P83:P84"/>
    <mergeCell ref="Q83:Q84"/>
    <mergeCell ref="R83:R84"/>
    <mergeCell ref="S83:S84"/>
    <mergeCell ref="C83:C84"/>
    <mergeCell ref="D83:D84"/>
    <mergeCell ref="E83:E84"/>
    <mergeCell ref="F83:F84"/>
    <mergeCell ref="G83:G84"/>
    <mergeCell ref="H83:H84"/>
    <mergeCell ref="C81:S81"/>
    <mergeCell ref="U81:AK81"/>
    <mergeCell ref="W47:W48"/>
    <mergeCell ref="X47:X48"/>
    <mergeCell ref="Y47:Y48"/>
    <mergeCell ref="Z47:Z48"/>
    <mergeCell ref="AA47:AA48"/>
    <mergeCell ref="AB47:AG47"/>
    <mergeCell ref="P47:P48"/>
    <mergeCell ref="Q47:Q48"/>
    <mergeCell ref="R47:R48"/>
    <mergeCell ref="S47:S48"/>
    <mergeCell ref="U47:U48"/>
    <mergeCell ref="V47:V48"/>
    <mergeCell ref="C47:C48"/>
    <mergeCell ref="D47:D48"/>
    <mergeCell ref="E47:E48"/>
    <mergeCell ref="F47:F48"/>
    <mergeCell ref="AH47:AH48"/>
    <mergeCell ref="AI47:AI48"/>
    <mergeCell ref="AJ47:AJ48"/>
    <mergeCell ref="AK47:AK48"/>
    <mergeCell ref="C2:S2"/>
    <mergeCell ref="U2:AK2"/>
    <mergeCell ref="C8:S8"/>
    <mergeCell ref="U8:AK8"/>
    <mergeCell ref="C10:C11"/>
    <mergeCell ref="D10:D11"/>
    <mergeCell ref="E10:E11"/>
    <mergeCell ref="F10:F11"/>
    <mergeCell ref="G10:G11"/>
    <mergeCell ref="H10:H11"/>
    <mergeCell ref="AA10:AA11"/>
    <mergeCell ref="AB10:AG10"/>
    <mergeCell ref="AH10:AH11"/>
    <mergeCell ref="AI10:AI11"/>
    <mergeCell ref="AJ10:AJ11"/>
    <mergeCell ref="AK10:AK11"/>
    <mergeCell ref="P10:P11"/>
    <mergeCell ref="Q10:Q11"/>
    <mergeCell ref="R10:R11"/>
    <mergeCell ref="S10:S11"/>
    <mergeCell ref="U10:U11"/>
    <mergeCell ref="V10:V11"/>
    <mergeCell ref="W10:W11"/>
    <mergeCell ref="X10:X11"/>
    <mergeCell ref="Y10:Y11"/>
    <mergeCell ref="Z10:Z11"/>
    <mergeCell ref="I10:I11"/>
    <mergeCell ref="J10:O10"/>
    <mergeCell ref="G47:G48"/>
    <mergeCell ref="H47:H48"/>
    <mergeCell ref="I47:I48"/>
    <mergeCell ref="J47:O47"/>
    <mergeCell ref="C45:S45"/>
    <mergeCell ref="U45:AK45"/>
  </mergeCells>
  <conditionalFormatting sqref="P15:S17 E15:I17 J15:O16 Q12:S14 G12:G14 D12:D17 D18:S18">
    <cfRule type="cellIs" dxfId="13169" priority="1202" operator="equal">
      <formula>0</formula>
    </cfRule>
  </conditionalFormatting>
  <conditionalFormatting sqref="P12:P17">
    <cfRule type="cellIs" dxfId="13168" priority="1203" operator="equal">
      <formula>0</formula>
    </cfRule>
  </conditionalFormatting>
  <conditionalFormatting sqref="D12:E17 H12:I17">
    <cfRule type="cellIs" dxfId="13167" priority="1204" operator="equal">
      <formula>0</formula>
    </cfRule>
  </conditionalFormatting>
  <conditionalFormatting sqref="F12:F17">
    <cfRule type="cellIs" dxfId="13166" priority="1205" operator="equal">
      <formula>0</formula>
    </cfRule>
  </conditionalFormatting>
  <conditionalFormatting sqref="J15:J17">
    <cfRule type="cellIs" dxfId="13165" priority="1206" operator="equal">
      <formula>0</formula>
    </cfRule>
  </conditionalFormatting>
  <conditionalFormatting sqref="J12:J17 K12:O12">
    <cfRule type="cellIs" dxfId="13164" priority="1207" operator="equal">
      <formula>0</formula>
    </cfRule>
  </conditionalFormatting>
  <conditionalFormatting sqref="K15:K17">
    <cfRule type="cellIs" dxfId="13163" priority="1208" operator="equal">
      <formula>0</formula>
    </cfRule>
  </conditionalFormatting>
  <conditionalFormatting sqref="K12:K17">
    <cfRule type="cellIs" dxfId="13162" priority="1209" operator="equal">
      <formula>0</formula>
    </cfRule>
  </conditionalFormatting>
  <conditionalFormatting sqref="L15:L17">
    <cfRule type="cellIs" dxfId="13161" priority="1210" operator="equal">
      <formula>0</formula>
    </cfRule>
  </conditionalFormatting>
  <conditionalFormatting sqref="L12:L17">
    <cfRule type="cellIs" dxfId="13160" priority="1211" operator="equal">
      <formula>0</formula>
    </cfRule>
  </conditionalFormatting>
  <conditionalFormatting sqref="M15:M17">
    <cfRule type="cellIs" dxfId="13159" priority="1212" operator="equal">
      <formula>0</formula>
    </cfRule>
  </conditionalFormatting>
  <conditionalFormatting sqref="M12:M17">
    <cfRule type="cellIs" dxfId="13158" priority="1213" operator="equal">
      <formula>0</formula>
    </cfRule>
  </conditionalFormatting>
  <conditionalFormatting sqref="N15:N17">
    <cfRule type="cellIs" dxfId="13157" priority="1214" operator="equal">
      <formula>0</formula>
    </cfRule>
  </conditionalFormatting>
  <conditionalFormatting sqref="N12:N17">
    <cfRule type="cellIs" dxfId="13156" priority="1215" operator="equal">
      <formula>0</formula>
    </cfRule>
  </conditionalFormatting>
  <conditionalFormatting sqref="O15:O17">
    <cfRule type="cellIs" dxfId="13155" priority="1216" operator="equal">
      <formula>0</formula>
    </cfRule>
  </conditionalFormatting>
  <conditionalFormatting sqref="O12:O17">
    <cfRule type="cellIs" dxfId="13154" priority="1217" operator="equal">
      <formula>0</formula>
    </cfRule>
  </conditionalFormatting>
  <conditionalFormatting sqref="D12:S18">
    <cfRule type="expression" dxfId="13153" priority="1218">
      <formula>LEN(TRIM(D12))=0</formula>
    </cfRule>
  </conditionalFormatting>
  <conditionalFormatting sqref="L15:L16">
    <cfRule type="cellIs" dxfId="13152" priority="1219" operator="equal">
      <formula>0</formula>
    </cfRule>
  </conditionalFormatting>
  <conditionalFormatting sqref="M15:M16">
    <cfRule type="cellIs" dxfId="13151" priority="1220" operator="equal">
      <formula>0</formula>
    </cfRule>
  </conditionalFormatting>
  <conditionalFormatting sqref="N15:O15">
    <cfRule type="cellIs" dxfId="13150" priority="1221" operator="equal">
      <formula>0</formula>
    </cfRule>
  </conditionalFormatting>
  <conditionalFormatting sqref="N16:O16">
    <cfRule type="cellIs" dxfId="13149" priority="1222" operator="equal">
      <formula>0</formula>
    </cfRule>
  </conditionalFormatting>
  <conditionalFormatting sqref="E29:G29 D30:G31 H29:I31 D25:I28 J25:R31 D20:S20 D32:R32 D21:I22 S21:S32 P21:R22">
    <cfRule type="cellIs" dxfId="13148" priority="1196" operator="equal">
      <formula>0</formula>
    </cfRule>
  </conditionalFormatting>
  <conditionalFormatting sqref="D29">
    <cfRule type="cellIs" dxfId="13147" priority="1197" operator="equal">
      <formula>0</formula>
    </cfRule>
  </conditionalFormatting>
  <conditionalFormatting sqref="D20:S20 D25:R32 D21:I22 S21:S32 P21:R22">
    <cfRule type="expression" dxfId="13146" priority="1198">
      <formula>LEN(TRIM(D20))=0</formula>
    </cfRule>
  </conditionalFormatting>
  <conditionalFormatting sqref="D23:R24">
    <cfRule type="cellIs" dxfId="13145" priority="1199" operator="equal">
      <formula>0</formula>
    </cfRule>
  </conditionalFormatting>
  <conditionalFormatting sqref="P23:P24">
    <cfRule type="cellIs" dxfId="13144" priority="1200" operator="equal">
      <formula>0</formula>
    </cfRule>
  </conditionalFormatting>
  <conditionalFormatting sqref="D23:R24">
    <cfRule type="expression" dxfId="13143" priority="1201">
      <formula>LEN(TRIM(D23))=0</formula>
    </cfRule>
  </conditionalFormatting>
  <conditionalFormatting sqref="J21:O22">
    <cfRule type="cellIs" dxfId="13142" priority="1194" operator="equal">
      <formula>0</formula>
    </cfRule>
  </conditionalFormatting>
  <conditionalFormatting sqref="J21:O22">
    <cfRule type="expression" dxfId="13141" priority="1195">
      <formula>LEN(TRIM(J21))=0</formula>
    </cfRule>
  </conditionalFormatting>
  <conditionalFormatting sqref="D35:R40 S34:S39 S41 D34:I34 P34:R34">
    <cfRule type="cellIs" dxfId="13140" priority="1188" operator="equal">
      <formula>0</formula>
    </cfRule>
  </conditionalFormatting>
  <conditionalFormatting sqref="D41:R41">
    <cfRule type="cellIs" dxfId="13139" priority="1189" operator="equal">
      <formula>0</formula>
    </cfRule>
  </conditionalFormatting>
  <conditionalFormatting sqref="D35:S39 D41:S41 D40:R40 D34:I34 P34:S34">
    <cfRule type="expression" dxfId="13138" priority="1190">
      <formula>LEN(TRIM(D34))=0</formula>
    </cfRule>
  </conditionalFormatting>
  <conditionalFormatting sqref="D41:R41">
    <cfRule type="cellIs" dxfId="13137" priority="1191" operator="equal">
      <formula>0</formula>
    </cfRule>
  </conditionalFormatting>
  <conditionalFormatting sqref="D42:R42">
    <cfRule type="cellIs" dxfId="13136" priority="1192" operator="equal">
      <formula>0</formula>
    </cfRule>
  </conditionalFormatting>
  <conditionalFormatting sqref="D42:R42">
    <cfRule type="expression" dxfId="13135" priority="1193">
      <formula>LEN(TRIM(D42))=0</formula>
    </cfRule>
  </conditionalFormatting>
  <conditionalFormatting sqref="S42">
    <cfRule type="cellIs" dxfId="13134" priority="1186" operator="equal">
      <formula>0</formula>
    </cfRule>
  </conditionalFormatting>
  <conditionalFormatting sqref="S42">
    <cfRule type="expression" dxfId="13133" priority="1187">
      <formula>LEN(TRIM(S42))=0</formula>
    </cfRule>
  </conditionalFormatting>
  <conditionalFormatting sqref="S40">
    <cfRule type="cellIs" dxfId="13132" priority="1184" operator="equal">
      <formula>0</formula>
    </cfRule>
  </conditionalFormatting>
  <conditionalFormatting sqref="S40">
    <cfRule type="expression" dxfId="13131" priority="1185">
      <formula>LEN(TRIM(S40))=0</formula>
    </cfRule>
  </conditionalFormatting>
  <conditionalFormatting sqref="J34:O34">
    <cfRule type="cellIs" dxfId="13130" priority="1182" operator="equal">
      <formula>0</formula>
    </cfRule>
  </conditionalFormatting>
  <conditionalFormatting sqref="J34:O34">
    <cfRule type="expression" dxfId="13129" priority="1183">
      <formula>LEN(TRIM(J34))=0</formula>
    </cfRule>
  </conditionalFormatting>
  <conditionalFormatting sqref="AF16:AG16">
    <cfRule type="cellIs" dxfId="13128" priority="1181" operator="equal">
      <formula>0</formula>
    </cfRule>
  </conditionalFormatting>
  <conditionalFormatting sqref="AF15:AG15">
    <cfRule type="cellIs" dxfId="13127" priority="1180" operator="equal">
      <formula>0</formula>
    </cfRule>
  </conditionalFormatting>
  <conditionalFormatting sqref="AE15:AE16">
    <cfRule type="cellIs" dxfId="13126" priority="1179" operator="equal">
      <formula>0</formula>
    </cfRule>
  </conditionalFormatting>
  <conditionalFormatting sqref="AD15:AD16">
    <cfRule type="cellIs" dxfId="13125" priority="1178" operator="equal">
      <formula>0</formula>
    </cfRule>
  </conditionalFormatting>
  <conditionalFormatting sqref="AG12:AG17">
    <cfRule type="cellIs" dxfId="13124" priority="1176" operator="equal">
      <formula>0</formula>
    </cfRule>
  </conditionalFormatting>
  <conditionalFormatting sqref="AG445">
    <cfRule type="cellIs" dxfId="13123" priority="7" operator="equal">
      <formula>0</formula>
    </cfRule>
  </conditionalFormatting>
  <conditionalFormatting sqref="AH15:AK17 W15:AA17 AB15:AG16 AI12:AK14 Y12:Y14 V12:V17 V18:AK18">
    <cfRule type="cellIs" dxfId="13122" priority="1161" operator="equal">
      <formula>0</formula>
    </cfRule>
  </conditionalFormatting>
  <conditionalFormatting sqref="AH12:AH17">
    <cfRule type="cellIs" dxfId="13121" priority="1162" operator="equal">
      <formula>0</formula>
    </cfRule>
  </conditionalFormatting>
  <conditionalFormatting sqref="V12:W17 Z12:AA17">
    <cfRule type="cellIs" dxfId="13120" priority="1163" operator="equal">
      <formula>0</formula>
    </cfRule>
  </conditionalFormatting>
  <conditionalFormatting sqref="X12:X17">
    <cfRule type="cellIs" dxfId="13119" priority="1164" operator="equal">
      <formula>0</formula>
    </cfRule>
  </conditionalFormatting>
  <conditionalFormatting sqref="AB15:AB17">
    <cfRule type="cellIs" dxfId="13118" priority="1165" operator="equal">
      <formula>0</formula>
    </cfRule>
  </conditionalFormatting>
  <conditionalFormatting sqref="AB12:AB17 AC12:AG12">
    <cfRule type="cellIs" dxfId="13117" priority="1166" operator="equal">
      <formula>0</formula>
    </cfRule>
  </conditionalFormatting>
  <conditionalFormatting sqref="AC15:AC17">
    <cfRule type="cellIs" dxfId="13116" priority="1167" operator="equal">
      <formula>0</formula>
    </cfRule>
  </conditionalFormatting>
  <conditionalFormatting sqref="AC12:AC17">
    <cfRule type="cellIs" dxfId="13115" priority="1168" operator="equal">
      <formula>0</formula>
    </cfRule>
  </conditionalFormatting>
  <conditionalFormatting sqref="AD15:AD17">
    <cfRule type="cellIs" dxfId="13114" priority="1169" operator="equal">
      <formula>0</formula>
    </cfRule>
  </conditionalFormatting>
  <conditionalFormatting sqref="AD12:AD17">
    <cfRule type="cellIs" dxfId="13113" priority="1170" operator="equal">
      <formula>0</formula>
    </cfRule>
  </conditionalFormatting>
  <conditionalFormatting sqref="AE15:AE17">
    <cfRule type="cellIs" dxfId="13112" priority="1171" operator="equal">
      <formula>0</formula>
    </cfRule>
  </conditionalFormatting>
  <conditionalFormatting sqref="AE12:AE17">
    <cfRule type="cellIs" dxfId="13111" priority="1172" operator="equal">
      <formula>0</formula>
    </cfRule>
  </conditionalFormatting>
  <conditionalFormatting sqref="AF15:AF17">
    <cfRule type="cellIs" dxfId="13110" priority="1173" operator="equal">
      <formula>0</formula>
    </cfRule>
  </conditionalFormatting>
  <conditionalFormatting sqref="AF12:AF17">
    <cfRule type="cellIs" dxfId="13109" priority="1174" operator="equal">
      <formula>0</formula>
    </cfRule>
  </conditionalFormatting>
  <conditionalFormatting sqref="AG15:AG17">
    <cfRule type="cellIs" dxfId="13108" priority="1175" operator="equal">
      <formula>0</formula>
    </cfRule>
  </conditionalFormatting>
  <conditionalFormatting sqref="V12:AK18">
    <cfRule type="expression" dxfId="13107" priority="1177">
      <formula>LEN(TRIM(V12))=0</formula>
    </cfRule>
  </conditionalFormatting>
  <conditionalFormatting sqref="W29:Y29 V30:Y31 Z29:AA31 V25:AA28 AB25:AJ31 V20:AK20 V32:AJ32 V21:AA22 AK21:AK32 AH21:AJ22">
    <cfRule type="cellIs" dxfId="13106" priority="1155" operator="equal">
      <formula>0</formula>
    </cfRule>
  </conditionalFormatting>
  <conditionalFormatting sqref="V29">
    <cfRule type="cellIs" dxfId="13105" priority="1156" operator="equal">
      <formula>0</formula>
    </cfRule>
  </conditionalFormatting>
  <conditionalFormatting sqref="V20:AK20 V25:AJ32 V21:AA22 AK21:AK32 AH21:AJ22">
    <cfRule type="expression" dxfId="13104" priority="1157">
      <formula>LEN(TRIM(V20))=0</formula>
    </cfRule>
  </conditionalFormatting>
  <conditionalFormatting sqref="V23:AJ24">
    <cfRule type="cellIs" dxfId="13103" priority="1158" operator="equal">
      <formula>0</formula>
    </cfRule>
  </conditionalFormatting>
  <conditionalFormatting sqref="AH23:AH24">
    <cfRule type="cellIs" dxfId="13102" priority="1159" operator="equal">
      <formula>0</formula>
    </cfRule>
  </conditionalFormatting>
  <conditionalFormatting sqref="V23:AJ24">
    <cfRule type="expression" dxfId="13101" priority="1160">
      <formula>LEN(TRIM(V23))=0</formula>
    </cfRule>
  </conditionalFormatting>
  <conditionalFormatting sqref="AB21:AG22">
    <cfRule type="cellIs" dxfId="13100" priority="1153" operator="equal">
      <formula>0</formula>
    </cfRule>
  </conditionalFormatting>
  <conditionalFormatting sqref="AB21:AG22">
    <cfRule type="expression" dxfId="13099" priority="1154">
      <formula>LEN(TRIM(AB21))=0</formula>
    </cfRule>
  </conditionalFormatting>
  <conditionalFormatting sqref="V35:AJ40 AK34:AK39 AK41 V34:AA34 AH34:AJ34">
    <cfRule type="cellIs" dxfId="13098" priority="1147" operator="equal">
      <formula>0</formula>
    </cfRule>
  </conditionalFormatting>
  <conditionalFormatting sqref="V41:AJ41">
    <cfRule type="cellIs" dxfId="13097" priority="1148" operator="equal">
      <formula>0</formula>
    </cfRule>
  </conditionalFormatting>
  <conditionalFormatting sqref="V35:AK39 V41:AK41 V40:AJ40 V34:AA34 AH34:AK34">
    <cfRule type="expression" dxfId="13096" priority="1149">
      <formula>LEN(TRIM(V34))=0</formula>
    </cfRule>
  </conditionalFormatting>
  <conditionalFormatting sqref="V41:AJ41">
    <cfRule type="cellIs" dxfId="13095" priority="1150" operator="equal">
      <formula>0</formula>
    </cfRule>
  </conditionalFormatting>
  <conditionalFormatting sqref="V42:AJ42">
    <cfRule type="cellIs" dxfId="13094" priority="1151" operator="equal">
      <formula>0</formula>
    </cfRule>
  </conditionalFormatting>
  <conditionalFormatting sqref="V42:AJ42">
    <cfRule type="expression" dxfId="13093" priority="1152">
      <formula>LEN(TRIM(V42))=0</formula>
    </cfRule>
  </conditionalFormatting>
  <conditionalFormatting sqref="AK42">
    <cfRule type="cellIs" dxfId="13092" priority="1145" operator="equal">
      <formula>0</formula>
    </cfRule>
  </conditionalFormatting>
  <conditionalFormatting sqref="AK42">
    <cfRule type="expression" dxfId="13091" priority="1146">
      <formula>LEN(TRIM(AK42))=0</formula>
    </cfRule>
  </conditionalFormatting>
  <conditionalFormatting sqref="AK40">
    <cfRule type="cellIs" dxfId="13090" priority="1143" operator="equal">
      <formula>0</formula>
    </cfRule>
  </conditionalFormatting>
  <conditionalFormatting sqref="AK40">
    <cfRule type="expression" dxfId="13089" priority="1144">
      <formula>LEN(TRIM(AK40))=0</formula>
    </cfRule>
  </conditionalFormatting>
  <conditionalFormatting sqref="AB34:AG34">
    <cfRule type="cellIs" dxfId="13088" priority="1141" operator="equal">
      <formula>0</formula>
    </cfRule>
  </conditionalFormatting>
  <conditionalFormatting sqref="AB34:AG34">
    <cfRule type="expression" dxfId="13087" priority="1142">
      <formula>LEN(TRIM(AB34))=0</formula>
    </cfRule>
  </conditionalFormatting>
  <conditionalFormatting sqref="AB11">
    <cfRule type="cellIs" dxfId="13086" priority="1140" operator="equal">
      <formula>0</formula>
    </cfRule>
  </conditionalFormatting>
  <conditionalFormatting sqref="AC11">
    <cfRule type="cellIs" dxfId="13085" priority="1139" operator="equal">
      <formula>0</formula>
    </cfRule>
  </conditionalFormatting>
  <conditionalFormatting sqref="AD11">
    <cfRule type="cellIs" dxfId="13084" priority="1138" operator="equal">
      <formula>0</formula>
    </cfRule>
  </conditionalFormatting>
  <conditionalFormatting sqref="AE11">
    <cfRule type="cellIs" dxfId="13083" priority="1137" operator="equal">
      <formula>0</formula>
    </cfRule>
  </conditionalFormatting>
  <conditionalFormatting sqref="AF11">
    <cfRule type="cellIs" dxfId="13082" priority="1136" operator="equal">
      <formula>0</formula>
    </cfRule>
  </conditionalFormatting>
  <conditionalFormatting sqref="AG11">
    <cfRule type="cellIs" dxfId="13081" priority="1135" operator="equal">
      <formula>0</formula>
    </cfRule>
  </conditionalFormatting>
  <conditionalFormatting sqref="P52:S54 E52:I54 J52:O53 Q49:S51 G49:G51 D49:D54 D55:S55">
    <cfRule type="cellIs" dxfId="13080" priority="1114" operator="equal">
      <formula>0</formula>
    </cfRule>
  </conditionalFormatting>
  <conditionalFormatting sqref="P49:P54">
    <cfRule type="cellIs" dxfId="13079" priority="1115" operator="equal">
      <formula>0</formula>
    </cfRule>
  </conditionalFormatting>
  <conditionalFormatting sqref="D49:E54 H49:I54">
    <cfRule type="cellIs" dxfId="13078" priority="1116" operator="equal">
      <formula>0</formula>
    </cfRule>
  </conditionalFormatting>
  <conditionalFormatting sqref="F49:F54">
    <cfRule type="cellIs" dxfId="13077" priority="1117" operator="equal">
      <formula>0</formula>
    </cfRule>
  </conditionalFormatting>
  <conditionalFormatting sqref="J52:J54">
    <cfRule type="cellIs" dxfId="13076" priority="1118" operator="equal">
      <formula>0</formula>
    </cfRule>
  </conditionalFormatting>
  <conditionalFormatting sqref="J49:J54 K49:O49">
    <cfRule type="cellIs" dxfId="13075" priority="1119" operator="equal">
      <formula>0</formula>
    </cfRule>
  </conditionalFormatting>
  <conditionalFormatting sqref="K52:K54">
    <cfRule type="cellIs" dxfId="13074" priority="1120" operator="equal">
      <formula>0</formula>
    </cfRule>
  </conditionalFormatting>
  <conditionalFormatting sqref="K49:K54">
    <cfRule type="cellIs" dxfId="13073" priority="1121" operator="equal">
      <formula>0</formula>
    </cfRule>
  </conditionalFormatting>
  <conditionalFormatting sqref="L52:L54">
    <cfRule type="cellIs" dxfId="13072" priority="1122" operator="equal">
      <formula>0</formula>
    </cfRule>
  </conditionalFormatting>
  <conditionalFormatting sqref="L49:L54">
    <cfRule type="cellIs" dxfId="13071" priority="1123" operator="equal">
      <formula>0</formula>
    </cfRule>
  </conditionalFormatting>
  <conditionalFormatting sqref="M52:M54">
    <cfRule type="cellIs" dxfId="13070" priority="1124" operator="equal">
      <formula>0</formula>
    </cfRule>
  </conditionalFormatting>
  <conditionalFormatting sqref="M49:M54">
    <cfRule type="cellIs" dxfId="13069" priority="1125" operator="equal">
      <formula>0</formula>
    </cfRule>
  </conditionalFormatting>
  <conditionalFormatting sqref="N52:N54">
    <cfRule type="cellIs" dxfId="13068" priority="1126" operator="equal">
      <formula>0</formula>
    </cfRule>
  </conditionalFormatting>
  <conditionalFormatting sqref="N49:N54">
    <cfRule type="cellIs" dxfId="13067" priority="1127" operator="equal">
      <formula>0</formula>
    </cfRule>
  </conditionalFormatting>
  <conditionalFormatting sqref="O52:O54">
    <cfRule type="cellIs" dxfId="13066" priority="1128" operator="equal">
      <formula>0</formula>
    </cfRule>
  </conditionalFormatting>
  <conditionalFormatting sqref="O49:O54">
    <cfRule type="cellIs" dxfId="13065" priority="1129" operator="equal">
      <formula>0</formula>
    </cfRule>
  </conditionalFormatting>
  <conditionalFormatting sqref="D49:S55">
    <cfRule type="expression" dxfId="13064" priority="1130">
      <formula>LEN(TRIM(D49))=0</formula>
    </cfRule>
  </conditionalFormatting>
  <conditionalFormatting sqref="L52:L53">
    <cfRule type="cellIs" dxfId="13063" priority="1131" operator="equal">
      <formula>0</formula>
    </cfRule>
  </conditionalFormatting>
  <conditionalFormatting sqref="M52:M53">
    <cfRule type="cellIs" dxfId="13062" priority="1132" operator="equal">
      <formula>0</formula>
    </cfRule>
  </conditionalFormatting>
  <conditionalFormatting sqref="N52:O52">
    <cfRule type="cellIs" dxfId="13061" priority="1133" operator="equal">
      <formula>0</formula>
    </cfRule>
  </conditionalFormatting>
  <conditionalFormatting sqref="N53:O53">
    <cfRule type="cellIs" dxfId="13060" priority="1134" operator="equal">
      <formula>0</formula>
    </cfRule>
  </conditionalFormatting>
  <conditionalFormatting sqref="E66:G66 D67:G68 H66:I68 D62:I65 J62:R68 D57:S57 D69:R69 D58:I59 S58:S69 P58:R59">
    <cfRule type="cellIs" dxfId="13059" priority="1108" operator="equal">
      <formula>0</formula>
    </cfRule>
  </conditionalFormatting>
  <conditionalFormatting sqref="D66">
    <cfRule type="cellIs" dxfId="13058" priority="1109" operator="equal">
      <formula>0</formula>
    </cfRule>
  </conditionalFormatting>
  <conditionalFormatting sqref="D57:S57 D62:R69 D58:I59 S58:S69 P58:R59">
    <cfRule type="expression" dxfId="13057" priority="1110">
      <formula>LEN(TRIM(D57))=0</formula>
    </cfRule>
  </conditionalFormatting>
  <conditionalFormatting sqref="D60:R61">
    <cfRule type="cellIs" dxfId="13056" priority="1111" operator="equal">
      <formula>0</formula>
    </cfRule>
  </conditionalFormatting>
  <conditionalFormatting sqref="P60:P61">
    <cfRule type="cellIs" dxfId="13055" priority="1112" operator="equal">
      <formula>0</formula>
    </cfRule>
  </conditionalFormatting>
  <conditionalFormatting sqref="D60:R61">
    <cfRule type="expression" dxfId="13054" priority="1113">
      <formula>LEN(TRIM(D60))=0</formula>
    </cfRule>
  </conditionalFormatting>
  <conditionalFormatting sqref="J58:O59">
    <cfRule type="cellIs" dxfId="13053" priority="1106" operator="equal">
      <formula>0</formula>
    </cfRule>
  </conditionalFormatting>
  <conditionalFormatting sqref="J58:O59">
    <cfRule type="expression" dxfId="13052" priority="1107">
      <formula>LEN(TRIM(J58))=0</formula>
    </cfRule>
  </conditionalFormatting>
  <conditionalFormatting sqref="D72:R77 S71:S76 S78 D71:I71 P71:R71">
    <cfRule type="cellIs" dxfId="13051" priority="1100" operator="equal">
      <formula>0</formula>
    </cfRule>
  </conditionalFormatting>
  <conditionalFormatting sqref="D78:R78">
    <cfRule type="cellIs" dxfId="13050" priority="1101" operator="equal">
      <formula>0</formula>
    </cfRule>
  </conditionalFormatting>
  <conditionalFormatting sqref="D72:S76 D78:S78 D77:R77 D71:I71 P71:S71">
    <cfRule type="expression" dxfId="13049" priority="1102">
      <formula>LEN(TRIM(D71))=0</formula>
    </cfRule>
  </conditionalFormatting>
  <conditionalFormatting sqref="D78:R78">
    <cfRule type="cellIs" dxfId="13048" priority="1103" operator="equal">
      <formula>0</formula>
    </cfRule>
  </conditionalFormatting>
  <conditionalFormatting sqref="D79:R79">
    <cfRule type="cellIs" dxfId="13047" priority="1104" operator="equal">
      <formula>0</formula>
    </cfRule>
  </conditionalFormatting>
  <conditionalFormatting sqref="D79:R79">
    <cfRule type="expression" dxfId="13046" priority="1105">
      <formula>LEN(TRIM(D79))=0</formula>
    </cfRule>
  </conditionalFormatting>
  <conditionalFormatting sqref="S79">
    <cfRule type="cellIs" dxfId="13045" priority="1098" operator="equal">
      <formula>0</formula>
    </cfRule>
  </conditionalFormatting>
  <conditionalFormatting sqref="S79">
    <cfRule type="expression" dxfId="13044" priority="1099">
      <formula>LEN(TRIM(S79))=0</formula>
    </cfRule>
  </conditionalFormatting>
  <conditionalFormatting sqref="S77">
    <cfRule type="cellIs" dxfId="13043" priority="1096" operator="equal">
      <formula>0</formula>
    </cfRule>
  </conditionalFormatting>
  <conditionalFormatting sqref="S77">
    <cfRule type="expression" dxfId="13042" priority="1097">
      <formula>LEN(TRIM(S77))=0</formula>
    </cfRule>
  </conditionalFormatting>
  <conditionalFormatting sqref="J71:O71">
    <cfRule type="cellIs" dxfId="13041" priority="1094" operator="equal">
      <formula>0</formula>
    </cfRule>
  </conditionalFormatting>
  <conditionalFormatting sqref="J71:O71">
    <cfRule type="expression" dxfId="13040" priority="1095">
      <formula>LEN(TRIM(J71))=0</formula>
    </cfRule>
  </conditionalFormatting>
  <conditionalFormatting sqref="P88:S90 E88:I90 J88:O89 Q85:S87 G85:G87 D85:D90 D91:S91">
    <cfRule type="cellIs" dxfId="13039" priority="1073" operator="equal">
      <formula>0</formula>
    </cfRule>
  </conditionalFormatting>
  <conditionalFormatting sqref="P85:P90">
    <cfRule type="cellIs" dxfId="13038" priority="1074" operator="equal">
      <formula>0</formula>
    </cfRule>
  </conditionalFormatting>
  <conditionalFormatting sqref="D85:E90 H85:I90">
    <cfRule type="cellIs" dxfId="13037" priority="1075" operator="equal">
      <formula>0</formula>
    </cfRule>
  </conditionalFormatting>
  <conditionalFormatting sqref="F85:F90">
    <cfRule type="cellIs" dxfId="13036" priority="1076" operator="equal">
      <formula>0</formula>
    </cfRule>
  </conditionalFormatting>
  <conditionalFormatting sqref="J88:J90">
    <cfRule type="cellIs" dxfId="13035" priority="1077" operator="equal">
      <formula>0</formula>
    </cfRule>
  </conditionalFormatting>
  <conditionalFormatting sqref="J85:J90 K85:O85">
    <cfRule type="cellIs" dxfId="13034" priority="1078" operator="equal">
      <formula>0</formula>
    </cfRule>
  </conditionalFormatting>
  <conditionalFormatting sqref="K88:K90">
    <cfRule type="cellIs" dxfId="13033" priority="1079" operator="equal">
      <formula>0</formula>
    </cfRule>
  </conditionalFormatting>
  <conditionalFormatting sqref="K85:K90">
    <cfRule type="cellIs" dxfId="13032" priority="1080" operator="equal">
      <formula>0</formula>
    </cfRule>
  </conditionalFormatting>
  <conditionalFormatting sqref="L88:L90">
    <cfRule type="cellIs" dxfId="13031" priority="1081" operator="equal">
      <formula>0</formula>
    </cfRule>
  </conditionalFormatting>
  <conditionalFormatting sqref="L85:L90">
    <cfRule type="cellIs" dxfId="13030" priority="1082" operator="equal">
      <formula>0</formula>
    </cfRule>
  </conditionalFormatting>
  <conditionalFormatting sqref="M88:M90">
    <cfRule type="cellIs" dxfId="13029" priority="1083" operator="equal">
      <formula>0</formula>
    </cfRule>
  </conditionalFormatting>
  <conditionalFormatting sqref="M85:M90">
    <cfRule type="cellIs" dxfId="13028" priority="1084" operator="equal">
      <formula>0</formula>
    </cfRule>
  </conditionalFormatting>
  <conditionalFormatting sqref="N88:N90">
    <cfRule type="cellIs" dxfId="13027" priority="1085" operator="equal">
      <formula>0</formula>
    </cfRule>
  </conditionalFormatting>
  <conditionalFormatting sqref="N85:N90">
    <cfRule type="cellIs" dxfId="13026" priority="1086" operator="equal">
      <formula>0</formula>
    </cfRule>
  </conditionalFormatting>
  <conditionalFormatting sqref="O88:O90">
    <cfRule type="cellIs" dxfId="13025" priority="1087" operator="equal">
      <formula>0</formula>
    </cfRule>
  </conditionalFormatting>
  <conditionalFormatting sqref="O85:O90">
    <cfRule type="cellIs" dxfId="13024" priority="1088" operator="equal">
      <formula>0</formula>
    </cfRule>
  </conditionalFormatting>
  <conditionalFormatting sqref="D85:S91">
    <cfRule type="expression" dxfId="13023" priority="1089">
      <formula>LEN(TRIM(D85))=0</formula>
    </cfRule>
  </conditionalFormatting>
  <conditionalFormatting sqref="L88:L89">
    <cfRule type="cellIs" dxfId="13022" priority="1090" operator="equal">
      <formula>0</formula>
    </cfRule>
  </conditionalFormatting>
  <conditionalFormatting sqref="M88:M89">
    <cfRule type="cellIs" dxfId="13021" priority="1091" operator="equal">
      <formula>0</formula>
    </cfRule>
  </conditionalFormatting>
  <conditionalFormatting sqref="N88:O88">
    <cfRule type="cellIs" dxfId="13020" priority="1092" operator="equal">
      <formula>0</formula>
    </cfRule>
  </conditionalFormatting>
  <conditionalFormatting sqref="N89:O89">
    <cfRule type="cellIs" dxfId="13019" priority="1093" operator="equal">
      <formula>0</formula>
    </cfRule>
  </conditionalFormatting>
  <conditionalFormatting sqref="E102:G102 D103:G104 H102:I104 D98:I101 J98:R104 D93:S93 D105:R105 D94:I95 S94:S105 P94:R95">
    <cfRule type="cellIs" dxfId="13018" priority="1067" operator="equal">
      <formula>0</formula>
    </cfRule>
  </conditionalFormatting>
  <conditionalFormatting sqref="D102">
    <cfRule type="cellIs" dxfId="13017" priority="1068" operator="equal">
      <formula>0</formula>
    </cfRule>
  </conditionalFormatting>
  <conditionalFormatting sqref="D93:S93 D98:R105 D94:I95 S94:S105 P94:R95">
    <cfRule type="expression" dxfId="13016" priority="1069">
      <formula>LEN(TRIM(D93))=0</formula>
    </cfRule>
  </conditionalFormatting>
  <conditionalFormatting sqref="D96:R97">
    <cfRule type="cellIs" dxfId="13015" priority="1070" operator="equal">
      <formula>0</formula>
    </cfRule>
  </conditionalFormatting>
  <conditionalFormatting sqref="P96:P97">
    <cfRule type="cellIs" dxfId="13014" priority="1071" operator="equal">
      <formula>0</formula>
    </cfRule>
  </conditionalFormatting>
  <conditionalFormatting sqref="D96:R97">
    <cfRule type="expression" dxfId="13013" priority="1072">
      <formula>LEN(TRIM(D96))=0</formula>
    </cfRule>
  </conditionalFormatting>
  <conditionalFormatting sqref="J94:O95">
    <cfRule type="cellIs" dxfId="13012" priority="1065" operator="equal">
      <formula>0</formula>
    </cfRule>
  </conditionalFormatting>
  <conditionalFormatting sqref="J94:O95">
    <cfRule type="expression" dxfId="13011" priority="1066">
      <formula>LEN(TRIM(J94))=0</formula>
    </cfRule>
  </conditionalFormatting>
  <conditionalFormatting sqref="D108:R113 S107:S112 S114 D107:I107 P107:R107">
    <cfRule type="cellIs" dxfId="13010" priority="1059" operator="equal">
      <formula>0</formula>
    </cfRule>
  </conditionalFormatting>
  <conditionalFormatting sqref="D114:R114">
    <cfRule type="cellIs" dxfId="13009" priority="1060" operator="equal">
      <formula>0</formula>
    </cfRule>
  </conditionalFormatting>
  <conditionalFormatting sqref="D108:S112 D114:S114 D113:R113 D107:I107 P107:S107">
    <cfRule type="expression" dxfId="13008" priority="1061">
      <formula>LEN(TRIM(D107))=0</formula>
    </cfRule>
  </conditionalFormatting>
  <conditionalFormatting sqref="D114:R114">
    <cfRule type="cellIs" dxfId="13007" priority="1062" operator="equal">
      <formula>0</formula>
    </cfRule>
  </conditionalFormatting>
  <conditionalFormatting sqref="D115:R115">
    <cfRule type="cellIs" dxfId="13006" priority="1063" operator="equal">
      <formula>0</formula>
    </cfRule>
  </conditionalFormatting>
  <conditionalFormatting sqref="D115:R115">
    <cfRule type="expression" dxfId="13005" priority="1064">
      <formula>LEN(TRIM(D115))=0</formula>
    </cfRule>
  </conditionalFormatting>
  <conditionalFormatting sqref="S115">
    <cfRule type="cellIs" dxfId="13004" priority="1057" operator="equal">
      <formula>0</formula>
    </cfRule>
  </conditionalFormatting>
  <conditionalFormatting sqref="S115">
    <cfRule type="expression" dxfId="13003" priority="1058">
      <formula>LEN(TRIM(S115))=0</formula>
    </cfRule>
  </conditionalFormatting>
  <conditionalFormatting sqref="S113">
    <cfRule type="cellIs" dxfId="13002" priority="1055" operator="equal">
      <formula>0</formula>
    </cfRule>
  </conditionalFormatting>
  <conditionalFormatting sqref="S113">
    <cfRule type="expression" dxfId="13001" priority="1056">
      <formula>LEN(TRIM(S113))=0</formula>
    </cfRule>
  </conditionalFormatting>
  <conditionalFormatting sqref="J107:O107">
    <cfRule type="cellIs" dxfId="13000" priority="1053" operator="equal">
      <formula>0</formula>
    </cfRule>
  </conditionalFormatting>
  <conditionalFormatting sqref="J107:O107">
    <cfRule type="expression" dxfId="12999" priority="1054">
      <formula>LEN(TRIM(J107))=0</formula>
    </cfRule>
  </conditionalFormatting>
  <conditionalFormatting sqref="P125:S127 E125:I127 J125:O126 Q122:S124 G122:G124 D122:D127 D128:S128">
    <cfRule type="cellIs" dxfId="12998" priority="1032" operator="equal">
      <formula>0</formula>
    </cfRule>
  </conditionalFormatting>
  <conditionalFormatting sqref="P122:P127">
    <cfRule type="cellIs" dxfId="12997" priority="1033" operator="equal">
      <formula>0</formula>
    </cfRule>
  </conditionalFormatting>
  <conditionalFormatting sqref="D122:E127 H122:I127">
    <cfRule type="cellIs" dxfId="12996" priority="1034" operator="equal">
      <formula>0</formula>
    </cfRule>
  </conditionalFormatting>
  <conditionalFormatting sqref="F122:F127">
    <cfRule type="cellIs" dxfId="12995" priority="1035" operator="equal">
      <formula>0</formula>
    </cfRule>
  </conditionalFormatting>
  <conditionalFormatting sqref="J125:J127">
    <cfRule type="cellIs" dxfId="12994" priority="1036" operator="equal">
      <formula>0</formula>
    </cfRule>
  </conditionalFormatting>
  <conditionalFormatting sqref="J122:J127 K122:O122">
    <cfRule type="cellIs" dxfId="12993" priority="1037" operator="equal">
      <formula>0</formula>
    </cfRule>
  </conditionalFormatting>
  <conditionalFormatting sqref="K125:K127">
    <cfRule type="cellIs" dxfId="12992" priority="1038" operator="equal">
      <formula>0</formula>
    </cfRule>
  </conditionalFormatting>
  <conditionalFormatting sqref="K122:K127">
    <cfRule type="cellIs" dxfId="12991" priority="1039" operator="equal">
      <formula>0</formula>
    </cfRule>
  </conditionalFormatting>
  <conditionalFormatting sqref="L125:L127">
    <cfRule type="cellIs" dxfId="12990" priority="1040" operator="equal">
      <formula>0</formula>
    </cfRule>
  </conditionalFormatting>
  <conditionalFormatting sqref="L122:L127">
    <cfRule type="cellIs" dxfId="12989" priority="1041" operator="equal">
      <formula>0</formula>
    </cfRule>
  </conditionalFormatting>
  <conditionalFormatting sqref="M125:M127">
    <cfRule type="cellIs" dxfId="12988" priority="1042" operator="equal">
      <formula>0</formula>
    </cfRule>
  </conditionalFormatting>
  <conditionalFormatting sqref="M122:M127">
    <cfRule type="cellIs" dxfId="12987" priority="1043" operator="equal">
      <formula>0</formula>
    </cfRule>
  </conditionalFormatting>
  <conditionalFormatting sqref="N125:N127">
    <cfRule type="cellIs" dxfId="12986" priority="1044" operator="equal">
      <formula>0</formula>
    </cfRule>
  </conditionalFormatting>
  <conditionalFormatting sqref="N122:N127">
    <cfRule type="cellIs" dxfId="12985" priority="1045" operator="equal">
      <formula>0</formula>
    </cfRule>
  </conditionalFormatting>
  <conditionalFormatting sqref="O125:O127">
    <cfRule type="cellIs" dxfId="12984" priority="1046" operator="equal">
      <formula>0</formula>
    </cfRule>
  </conditionalFormatting>
  <conditionalFormatting sqref="O122:O127">
    <cfRule type="cellIs" dxfId="12983" priority="1047" operator="equal">
      <formula>0</formula>
    </cfRule>
  </conditionalFormatting>
  <conditionalFormatting sqref="D122:S128">
    <cfRule type="expression" dxfId="12982" priority="1048">
      <formula>LEN(TRIM(D122))=0</formula>
    </cfRule>
  </conditionalFormatting>
  <conditionalFormatting sqref="L125:L126">
    <cfRule type="cellIs" dxfId="12981" priority="1049" operator="equal">
      <formula>0</formula>
    </cfRule>
  </conditionalFormatting>
  <conditionalFormatting sqref="M125:M126">
    <cfRule type="cellIs" dxfId="12980" priority="1050" operator="equal">
      <formula>0</formula>
    </cfRule>
  </conditionalFormatting>
  <conditionalFormatting sqref="N125:O125">
    <cfRule type="cellIs" dxfId="12979" priority="1051" operator="equal">
      <formula>0</formula>
    </cfRule>
  </conditionalFormatting>
  <conditionalFormatting sqref="N126:O126">
    <cfRule type="cellIs" dxfId="12978" priority="1052" operator="equal">
      <formula>0</formula>
    </cfRule>
  </conditionalFormatting>
  <conditionalFormatting sqref="E139:G139 D140:G141 H139:I141 D135:I138 J135:R141 D130:S130 D142:R142 D131:I132 S131:S142 P131:R132">
    <cfRule type="cellIs" dxfId="12977" priority="1026" operator="equal">
      <formula>0</formula>
    </cfRule>
  </conditionalFormatting>
  <conditionalFormatting sqref="D139">
    <cfRule type="cellIs" dxfId="12976" priority="1027" operator="equal">
      <formula>0</formula>
    </cfRule>
  </conditionalFormatting>
  <conditionalFormatting sqref="D130:S130 D135:R142 D131:I132 S131:S142 P131:R132">
    <cfRule type="expression" dxfId="12975" priority="1028">
      <formula>LEN(TRIM(D130))=0</formula>
    </cfRule>
  </conditionalFormatting>
  <conditionalFormatting sqref="D133:R134">
    <cfRule type="cellIs" dxfId="12974" priority="1029" operator="equal">
      <formula>0</formula>
    </cfRule>
  </conditionalFormatting>
  <conditionalFormatting sqref="P133:P134">
    <cfRule type="cellIs" dxfId="12973" priority="1030" operator="equal">
      <formula>0</formula>
    </cfRule>
  </conditionalFormatting>
  <conditionalFormatting sqref="D133:R134">
    <cfRule type="expression" dxfId="12972" priority="1031">
      <formula>LEN(TRIM(D133))=0</formula>
    </cfRule>
  </conditionalFormatting>
  <conditionalFormatting sqref="J131:O132">
    <cfRule type="cellIs" dxfId="12971" priority="1024" operator="equal">
      <formula>0</formula>
    </cfRule>
  </conditionalFormatting>
  <conditionalFormatting sqref="J131:O132">
    <cfRule type="expression" dxfId="12970" priority="1025">
      <formula>LEN(TRIM(J131))=0</formula>
    </cfRule>
  </conditionalFormatting>
  <conditionalFormatting sqref="D145:R150 S144:S149 S151 D144:I144 P144:R144">
    <cfRule type="cellIs" dxfId="12969" priority="1018" operator="equal">
      <formula>0</formula>
    </cfRule>
  </conditionalFormatting>
  <conditionalFormatting sqref="D151:R151">
    <cfRule type="cellIs" dxfId="12968" priority="1019" operator="equal">
      <formula>0</formula>
    </cfRule>
  </conditionalFormatting>
  <conditionalFormatting sqref="D145:S149 D151:S151 D150:R150 D144:I144 P144:S144">
    <cfRule type="expression" dxfId="12967" priority="1020">
      <formula>LEN(TRIM(D144))=0</formula>
    </cfRule>
  </conditionalFormatting>
  <conditionalFormatting sqref="D151:R151">
    <cfRule type="cellIs" dxfId="12966" priority="1021" operator="equal">
      <formula>0</formula>
    </cfRule>
  </conditionalFormatting>
  <conditionalFormatting sqref="D152:R152">
    <cfRule type="cellIs" dxfId="12965" priority="1022" operator="equal">
      <formula>0</formula>
    </cfRule>
  </conditionalFormatting>
  <conditionalFormatting sqref="D152:R152">
    <cfRule type="expression" dxfId="12964" priority="1023">
      <formula>LEN(TRIM(D152))=0</formula>
    </cfRule>
  </conditionalFormatting>
  <conditionalFormatting sqref="S152">
    <cfRule type="cellIs" dxfId="12963" priority="1016" operator="equal">
      <formula>0</formula>
    </cfRule>
  </conditionalFormatting>
  <conditionalFormatting sqref="S152">
    <cfRule type="expression" dxfId="12962" priority="1017">
      <formula>LEN(TRIM(S152))=0</formula>
    </cfRule>
  </conditionalFormatting>
  <conditionalFormatting sqref="S150">
    <cfRule type="cellIs" dxfId="12961" priority="1014" operator="equal">
      <formula>0</formula>
    </cfRule>
  </conditionalFormatting>
  <conditionalFormatting sqref="S150">
    <cfRule type="expression" dxfId="12960" priority="1015">
      <formula>LEN(TRIM(S150))=0</formula>
    </cfRule>
  </conditionalFormatting>
  <conditionalFormatting sqref="J144:O144">
    <cfRule type="cellIs" dxfId="12959" priority="1012" operator="equal">
      <formula>0</formula>
    </cfRule>
  </conditionalFormatting>
  <conditionalFormatting sqref="J144:O144">
    <cfRule type="expression" dxfId="12958" priority="1013">
      <formula>LEN(TRIM(J144))=0</formula>
    </cfRule>
  </conditionalFormatting>
  <conditionalFormatting sqref="P161:S163 E161:I163 J161:O162 Q158:S160 G158:G160 D158:D163 D164:S164">
    <cfRule type="cellIs" dxfId="12957" priority="991" operator="equal">
      <formula>0</formula>
    </cfRule>
  </conditionalFormatting>
  <conditionalFormatting sqref="P158:P163">
    <cfRule type="cellIs" dxfId="12956" priority="992" operator="equal">
      <formula>0</formula>
    </cfRule>
  </conditionalFormatting>
  <conditionalFormatting sqref="D158:E163 H158:I163">
    <cfRule type="cellIs" dxfId="12955" priority="993" operator="equal">
      <formula>0</formula>
    </cfRule>
  </conditionalFormatting>
  <conditionalFormatting sqref="F158:F163">
    <cfRule type="cellIs" dxfId="12954" priority="994" operator="equal">
      <formula>0</formula>
    </cfRule>
  </conditionalFormatting>
  <conditionalFormatting sqref="J161:J163">
    <cfRule type="cellIs" dxfId="12953" priority="995" operator="equal">
      <formula>0</formula>
    </cfRule>
  </conditionalFormatting>
  <conditionalFormatting sqref="J158:J163 K158:O158">
    <cfRule type="cellIs" dxfId="12952" priority="996" operator="equal">
      <formula>0</formula>
    </cfRule>
  </conditionalFormatting>
  <conditionalFormatting sqref="K161:K163">
    <cfRule type="cellIs" dxfId="12951" priority="997" operator="equal">
      <formula>0</formula>
    </cfRule>
  </conditionalFormatting>
  <conditionalFormatting sqref="K158:K163">
    <cfRule type="cellIs" dxfId="12950" priority="998" operator="equal">
      <formula>0</formula>
    </cfRule>
  </conditionalFormatting>
  <conditionalFormatting sqref="L161:L163">
    <cfRule type="cellIs" dxfId="12949" priority="999" operator="equal">
      <formula>0</formula>
    </cfRule>
  </conditionalFormatting>
  <conditionalFormatting sqref="L158:L163">
    <cfRule type="cellIs" dxfId="12948" priority="1000" operator="equal">
      <formula>0</formula>
    </cfRule>
  </conditionalFormatting>
  <conditionalFormatting sqref="M161:M163">
    <cfRule type="cellIs" dxfId="12947" priority="1001" operator="equal">
      <formula>0</formula>
    </cfRule>
  </conditionalFormatting>
  <conditionalFormatting sqref="M158:M163">
    <cfRule type="cellIs" dxfId="12946" priority="1002" operator="equal">
      <formula>0</formula>
    </cfRule>
  </conditionalFormatting>
  <conditionalFormatting sqref="N161:N163">
    <cfRule type="cellIs" dxfId="12945" priority="1003" operator="equal">
      <formula>0</formula>
    </cfRule>
  </conditionalFormatting>
  <conditionalFormatting sqref="N158:N163">
    <cfRule type="cellIs" dxfId="12944" priority="1004" operator="equal">
      <formula>0</formula>
    </cfRule>
  </conditionalFormatting>
  <conditionalFormatting sqref="O161:O163">
    <cfRule type="cellIs" dxfId="12943" priority="1005" operator="equal">
      <formula>0</formula>
    </cfRule>
  </conditionalFormatting>
  <conditionalFormatting sqref="O158:O163">
    <cfRule type="cellIs" dxfId="12942" priority="1006" operator="equal">
      <formula>0</formula>
    </cfRule>
  </conditionalFormatting>
  <conditionalFormatting sqref="D158:S164">
    <cfRule type="expression" dxfId="12941" priority="1007">
      <formula>LEN(TRIM(D158))=0</formula>
    </cfRule>
  </conditionalFormatting>
  <conditionalFormatting sqref="L161:L162">
    <cfRule type="cellIs" dxfId="12940" priority="1008" operator="equal">
      <formula>0</formula>
    </cfRule>
  </conditionalFormatting>
  <conditionalFormatting sqref="M161:M162">
    <cfRule type="cellIs" dxfId="12939" priority="1009" operator="equal">
      <formula>0</formula>
    </cfRule>
  </conditionalFormatting>
  <conditionalFormatting sqref="N161:O161">
    <cfRule type="cellIs" dxfId="12938" priority="1010" operator="equal">
      <formula>0</formula>
    </cfRule>
  </conditionalFormatting>
  <conditionalFormatting sqref="N162:O162">
    <cfRule type="cellIs" dxfId="12937" priority="1011" operator="equal">
      <formula>0</formula>
    </cfRule>
  </conditionalFormatting>
  <conditionalFormatting sqref="E175:G175 D176:G177 H175:I177 D171:I174 J171:R177 D166:S166 D178:R178 D167:I168 S167:S178 P167:R168">
    <cfRule type="cellIs" dxfId="12936" priority="985" operator="equal">
      <formula>0</formula>
    </cfRule>
  </conditionalFormatting>
  <conditionalFormatting sqref="D175">
    <cfRule type="cellIs" dxfId="12935" priority="986" operator="equal">
      <formula>0</formula>
    </cfRule>
  </conditionalFormatting>
  <conditionalFormatting sqref="D166:S166 D171:R178 D167:I168 S167:S178 P167:R168">
    <cfRule type="expression" dxfId="12934" priority="987">
      <formula>LEN(TRIM(D166))=0</formula>
    </cfRule>
  </conditionalFormatting>
  <conditionalFormatting sqref="D169:R170">
    <cfRule type="cellIs" dxfId="12933" priority="988" operator="equal">
      <formula>0</formula>
    </cfRule>
  </conditionalFormatting>
  <conditionalFormatting sqref="P169:P170">
    <cfRule type="cellIs" dxfId="12932" priority="989" operator="equal">
      <formula>0</formula>
    </cfRule>
  </conditionalFormatting>
  <conditionalFormatting sqref="D169:R170">
    <cfRule type="expression" dxfId="12931" priority="990">
      <formula>LEN(TRIM(D169))=0</formula>
    </cfRule>
  </conditionalFormatting>
  <conditionalFormatting sqref="J167:O168">
    <cfRule type="cellIs" dxfId="12930" priority="983" operator="equal">
      <formula>0</formula>
    </cfRule>
  </conditionalFormatting>
  <conditionalFormatting sqref="J167:O168">
    <cfRule type="expression" dxfId="12929" priority="984">
      <formula>LEN(TRIM(J167))=0</formula>
    </cfRule>
  </conditionalFormatting>
  <conditionalFormatting sqref="D181:R186 S180:S185 S187 D180:I180 P180:R180">
    <cfRule type="cellIs" dxfId="12928" priority="977" operator="equal">
      <formula>0</formula>
    </cfRule>
  </conditionalFormatting>
  <conditionalFormatting sqref="D187:R187">
    <cfRule type="cellIs" dxfId="12927" priority="978" operator="equal">
      <formula>0</formula>
    </cfRule>
  </conditionalFormatting>
  <conditionalFormatting sqref="D181:S185 D187:S187 D186:R186 D180:I180 P180:S180">
    <cfRule type="expression" dxfId="12926" priority="979">
      <formula>LEN(TRIM(D180))=0</formula>
    </cfRule>
  </conditionalFormatting>
  <conditionalFormatting sqref="D187:R187">
    <cfRule type="cellIs" dxfId="12925" priority="980" operator="equal">
      <formula>0</formula>
    </cfRule>
  </conditionalFormatting>
  <conditionalFormatting sqref="D188:R188">
    <cfRule type="cellIs" dxfId="12924" priority="981" operator="equal">
      <formula>0</formula>
    </cfRule>
  </conditionalFormatting>
  <conditionalFormatting sqref="D188:R188">
    <cfRule type="expression" dxfId="12923" priority="982">
      <formula>LEN(TRIM(D188))=0</formula>
    </cfRule>
  </conditionalFormatting>
  <conditionalFormatting sqref="S188">
    <cfRule type="cellIs" dxfId="12922" priority="975" operator="equal">
      <formula>0</formula>
    </cfRule>
  </conditionalFormatting>
  <conditionalFormatting sqref="S188">
    <cfRule type="expression" dxfId="12921" priority="976">
      <formula>LEN(TRIM(S188))=0</formula>
    </cfRule>
  </conditionalFormatting>
  <conditionalFormatting sqref="S186">
    <cfRule type="cellIs" dxfId="12920" priority="973" operator="equal">
      <formula>0</formula>
    </cfRule>
  </conditionalFormatting>
  <conditionalFormatting sqref="S186">
    <cfRule type="expression" dxfId="12919" priority="974">
      <formula>LEN(TRIM(S186))=0</formula>
    </cfRule>
  </conditionalFormatting>
  <conditionalFormatting sqref="J180:O180">
    <cfRule type="cellIs" dxfId="12918" priority="971" operator="equal">
      <formula>0</formula>
    </cfRule>
  </conditionalFormatting>
  <conditionalFormatting sqref="J180:O180">
    <cfRule type="expression" dxfId="12917" priority="972">
      <formula>LEN(TRIM(J180))=0</formula>
    </cfRule>
  </conditionalFormatting>
  <conditionalFormatting sqref="P197:S199 E197:I199 J197:O198 Q194:S196 G194:G196 D194:D199 D200:S200">
    <cfRule type="cellIs" dxfId="12916" priority="950" operator="equal">
      <formula>0</formula>
    </cfRule>
  </conditionalFormatting>
  <conditionalFormatting sqref="P194:P199">
    <cfRule type="cellIs" dxfId="12915" priority="951" operator="equal">
      <formula>0</formula>
    </cfRule>
  </conditionalFormatting>
  <conditionalFormatting sqref="D194:E199 H194:I199">
    <cfRule type="cellIs" dxfId="12914" priority="952" operator="equal">
      <formula>0</formula>
    </cfRule>
  </conditionalFormatting>
  <conditionalFormatting sqref="F194:F199">
    <cfRule type="cellIs" dxfId="12913" priority="953" operator="equal">
      <formula>0</formula>
    </cfRule>
  </conditionalFormatting>
  <conditionalFormatting sqref="J197:J199">
    <cfRule type="cellIs" dxfId="12912" priority="954" operator="equal">
      <formula>0</formula>
    </cfRule>
  </conditionalFormatting>
  <conditionalFormatting sqref="J194:J199 K194:O194">
    <cfRule type="cellIs" dxfId="12911" priority="955" operator="equal">
      <formula>0</formula>
    </cfRule>
  </conditionalFormatting>
  <conditionalFormatting sqref="K197:K199">
    <cfRule type="cellIs" dxfId="12910" priority="956" operator="equal">
      <formula>0</formula>
    </cfRule>
  </conditionalFormatting>
  <conditionalFormatting sqref="K194:K199">
    <cfRule type="cellIs" dxfId="12909" priority="957" operator="equal">
      <formula>0</formula>
    </cfRule>
  </conditionalFormatting>
  <conditionalFormatting sqref="L197:L199">
    <cfRule type="cellIs" dxfId="12908" priority="958" operator="equal">
      <formula>0</formula>
    </cfRule>
  </conditionalFormatting>
  <conditionalFormatting sqref="L194:L199">
    <cfRule type="cellIs" dxfId="12907" priority="959" operator="equal">
      <formula>0</formula>
    </cfRule>
  </conditionalFormatting>
  <conditionalFormatting sqref="M197:M199">
    <cfRule type="cellIs" dxfId="12906" priority="960" operator="equal">
      <formula>0</formula>
    </cfRule>
  </conditionalFormatting>
  <conditionalFormatting sqref="M194:M199">
    <cfRule type="cellIs" dxfId="12905" priority="961" operator="equal">
      <formula>0</formula>
    </cfRule>
  </conditionalFormatting>
  <conditionalFormatting sqref="N197:N199">
    <cfRule type="cellIs" dxfId="12904" priority="962" operator="equal">
      <formula>0</formula>
    </cfRule>
  </conditionalFormatting>
  <conditionalFormatting sqref="N194:N199">
    <cfRule type="cellIs" dxfId="12903" priority="963" operator="equal">
      <formula>0</formula>
    </cfRule>
  </conditionalFormatting>
  <conditionalFormatting sqref="O197:O199">
    <cfRule type="cellIs" dxfId="12902" priority="964" operator="equal">
      <formula>0</formula>
    </cfRule>
  </conditionalFormatting>
  <conditionalFormatting sqref="O194:O199">
    <cfRule type="cellIs" dxfId="12901" priority="965" operator="equal">
      <formula>0</formula>
    </cfRule>
  </conditionalFormatting>
  <conditionalFormatting sqref="D194:S200">
    <cfRule type="expression" dxfId="12900" priority="966">
      <formula>LEN(TRIM(D194))=0</formula>
    </cfRule>
  </conditionalFormatting>
  <conditionalFormatting sqref="L197:L198">
    <cfRule type="cellIs" dxfId="12899" priority="967" operator="equal">
      <formula>0</formula>
    </cfRule>
  </conditionalFormatting>
  <conditionalFormatting sqref="M197:M198">
    <cfRule type="cellIs" dxfId="12898" priority="968" operator="equal">
      <formula>0</formula>
    </cfRule>
  </conditionalFormatting>
  <conditionalFormatting sqref="N197:O197">
    <cfRule type="cellIs" dxfId="12897" priority="969" operator="equal">
      <formula>0</formula>
    </cfRule>
  </conditionalFormatting>
  <conditionalFormatting sqref="N198:O198">
    <cfRule type="cellIs" dxfId="12896" priority="970" operator="equal">
      <formula>0</formula>
    </cfRule>
  </conditionalFormatting>
  <conditionalFormatting sqref="E211:G211 D212:G213 H211:I213 D207:I210 J207:R213 D202:S202 D214:R214 D203:I204 S203:S214 P203:R204">
    <cfRule type="cellIs" dxfId="12895" priority="944" operator="equal">
      <formula>0</formula>
    </cfRule>
  </conditionalFormatting>
  <conditionalFormatting sqref="D211">
    <cfRule type="cellIs" dxfId="12894" priority="945" operator="equal">
      <formula>0</formula>
    </cfRule>
  </conditionalFormatting>
  <conditionalFormatting sqref="D202:S202 D207:R214 D203:I204 S203:S214 P203:R204">
    <cfRule type="expression" dxfId="12893" priority="946">
      <formula>LEN(TRIM(D202))=0</formula>
    </cfRule>
  </conditionalFormatting>
  <conditionalFormatting sqref="D205:R206">
    <cfRule type="cellIs" dxfId="12892" priority="947" operator="equal">
      <formula>0</formula>
    </cfRule>
  </conditionalFormatting>
  <conditionalFormatting sqref="P205:P206">
    <cfRule type="cellIs" dxfId="12891" priority="948" operator="equal">
      <formula>0</formula>
    </cfRule>
  </conditionalFormatting>
  <conditionalFormatting sqref="D205:R206">
    <cfRule type="expression" dxfId="12890" priority="949">
      <formula>LEN(TRIM(D205))=0</formula>
    </cfRule>
  </conditionalFormatting>
  <conditionalFormatting sqref="J203:O204">
    <cfRule type="cellIs" dxfId="12889" priority="942" operator="equal">
      <formula>0</formula>
    </cfRule>
  </conditionalFormatting>
  <conditionalFormatting sqref="J203:O204">
    <cfRule type="expression" dxfId="12888" priority="943">
      <formula>LEN(TRIM(J203))=0</formula>
    </cfRule>
  </conditionalFormatting>
  <conditionalFormatting sqref="D217:R222 S216:S221 S223 D216:I216 P216:R216">
    <cfRule type="cellIs" dxfId="12887" priority="936" operator="equal">
      <formula>0</formula>
    </cfRule>
  </conditionalFormatting>
  <conditionalFormatting sqref="D223:R223">
    <cfRule type="cellIs" dxfId="12886" priority="937" operator="equal">
      <formula>0</formula>
    </cfRule>
  </conditionalFormatting>
  <conditionalFormatting sqref="D217:S221 D223:S223 D222:R222 D216:I216 P216:S216">
    <cfRule type="expression" dxfId="12885" priority="938">
      <formula>LEN(TRIM(D216))=0</formula>
    </cfRule>
  </conditionalFormatting>
  <conditionalFormatting sqref="D223:R223">
    <cfRule type="cellIs" dxfId="12884" priority="939" operator="equal">
      <formula>0</formula>
    </cfRule>
  </conditionalFormatting>
  <conditionalFormatting sqref="D224:R224">
    <cfRule type="cellIs" dxfId="12883" priority="940" operator="equal">
      <formula>0</formula>
    </cfRule>
  </conditionalFormatting>
  <conditionalFormatting sqref="D224:R224">
    <cfRule type="expression" dxfId="12882" priority="941">
      <formula>LEN(TRIM(D224))=0</formula>
    </cfRule>
  </conditionalFormatting>
  <conditionalFormatting sqref="S224">
    <cfRule type="cellIs" dxfId="12881" priority="934" operator="equal">
      <formula>0</formula>
    </cfRule>
  </conditionalFormatting>
  <conditionalFormatting sqref="S224">
    <cfRule type="expression" dxfId="12880" priority="935">
      <formula>LEN(TRIM(S224))=0</formula>
    </cfRule>
  </conditionalFormatting>
  <conditionalFormatting sqref="S222">
    <cfRule type="cellIs" dxfId="12879" priority="932" operator="equal">
      <formula>0</formula>
    </cfRule>
  </conditionalFormatting>
  <conditionalFormatting sqref="S222">
    <cfRule type="expression" dxfId="12878" priority="933">
      <formula>LEN(TRIM(S222))=0</formula>
    </cfRule>
  </conditionalFormatting>
  <conditionalFormatting sqref="J216:O216">
    <cfRule type="cellIs" dxfId="12877" priority="930" operator="equal">
      <formula>0</formula>
    </cfRule>
  </conditionalFormatting>
  <conditionalFormatting sqref="J216:O216">
    <cfRule type="expression" dxfId="12876" priority="931">
      <formula>LEN(TRIM(J216))=0</formula>
    </cfRule>
  </conditionalFormatting>
  <conditionalFormatting sqref="P233:S235 E233:I235 J233:O234 Q230:S232 G230:G232 D230:D235 D236:S236">
    <cfRule type="cellIs" dxfId="12875" priority="909" operator="equal">
      <formula>0</formula>
    </cfRule>
  </conditionalFormatting>
  <conditionalFormatting sqref="P230:P235">
    <cfRule type="cellIs" dxfId="12874" priority="910" operator="equal">
      <formula>0</formula>
    </cfRule>
  </conditionalFormatting>
  <conditionalFormatting sqref="D230:E235 H230:I235">
    <cfRule type="cellIs" dxfId="12873" priority="911" operator="equal">
      <formula>0</formula>
    </cfRule>
  </conditionalFormatting>
  <conditionalFormatting sqref="F230:F235">
    <cfRule type="cellIs" dxfId="12872" priority="912" operator="equal">
      <formula>0</formula>
    </cfRule>
  </conditionalFormatting>
  <conditionalFormatting sqref="J233:J235">
    <cfRule type="cellIs" dxfId="12871" priority="913" operator="equal">
      <formula>0</formula>
    </cfRule>
  </conditionalFormatting>
  <conditionalFormatting sqref="J230:J235 K230:O230">
    <cfRule type="cellIs" dxfId="12870" priority="914" operator="equal">
      <formula>0</formula>
    </cfRule>
  </conditionalFormatting>
  <conditionalFormatting sqref="K233:K235">
    <cfRule type="cellIs" dxfId="12869" priority="915" operator="equal">
      <formula>0</formula>
    </cfRule>
  </conditionalFormatting>
  <conditionalFormatting sqref="K230:K235">
    <cfRule type="cellIs" dxfId="12868" priority="916" operator="equal">
      <formula>0</formula>
    </cfRule>
  </conditionalFormatting>
  <conditionalFormatting sqref="L233:L235">
    <cfRule type="cellIs" dxfId="12867" priority="917" operator="equal">
      <formula>0</formula>
    </cfRule>
  </conditionalFormatting>
  <conditionalFormatting sqref="L230:L235">
    <cfRule type="cellIs" dxfId="12866" priority="918" operator="equal">
      <formula>0</formula>
    </cfRule>
  </conditionalFormatting>
  <conditionalFormatting sqref="M233:M235">
    <cfRule type="cellIs" dxfId="12865" priority="919" operator="equal">
      <formula>0</formula>
    </cfRule>
  </conditionalFormatting>
  <conditionalFormatting sqref="M230:M235">
    <cfRule type="cellIs" dxfId="12864" priority="920" operator="equal">
      <formula>0</formula>
    </cfRule>
  </conditionalFormatting>
  <conditionalFormatting sqref="N233:N235">
    <cfRule type="cellIs" dxfId="12863" priority="921" operator="equal">
      <formula>0</formula>
    </cfRule>
  </conditionalFormatting>
  <conditionalFormatting sqref="N230:N235">
    <cfRule type="cellIs" dxfId="12862" priority="922" operator="equal">
      <formula>0</formula>
    </cfRule>
  </conditionalFormatting>
  <conditionalFormatting sqref="O233:O235">
    <cfRule type="cellIs" dxfId="12861" priority="923" operator="equal">
      <formula>0</formula>
    </cfRule>
  </conditionalFormatting>
  <conditionalFormatting sqref="O230:O235">
    <cfRule type="cellIs" dxfId="12860" priority="924" operator="equal">
      <formula>0</formula>
    </cfRule>
  </conditionalFormatting>
  <conditionalFormatting sqref="D230:S236">
    <cfRule type="expression" dxfId="12859" priority="925">
      <formula>LEN(TRIM(D230))=0</formula>
    </cfRule>
  </conditionalFormatting>
  <conditionalFormatting sqref="L233:L234">
    <cfRule type="cellIs" dxfId="12858" priority="926" operator="equal">
      <formula>0</formula>
    </cfRule>
  </conditionalFormatting>
  <conditionalFormatting sqref="M233:M234">
    <cfRule type="cellIs" dxfId="12857" priority="927" operator="equal">
      <formula>0</formula>
    </cfRule>
  </conditionalFormatting>
  <conditionalFormatting sqref="N233:O233">
    <cfRule type="cellIs" dxfId="12856" priority="928" operator="equal">
      <formula>0</formula>
    </cfRule>
  </conditionalFormatting>
  <conditionalFormatting sqref="N234:O234">
    <cfRule type="cellIs" dxfId="12855" priority="929" operator="equal">
      <formula>0</formula>
    </cfRule>
  </conditionalFormatting>
  <conditionalFormatting sqref="E247:G247 D248:G249 H247:I249 D243:I246 J243:R249 D238:S238 D250:R250 D239:I240 S239:S250 P239:R240">
    <cfRule type="cellIs" dxfId="12854" priority="903" operator="equal">
      <formula>0</formula>
    </cfRule>
  </conditionalFormatting>
  <conditionalFormatting sqref="D247">
    <cfRule type="cellIs" dxfId="12853" priority="904" operator="equal">
      <formula>0</formula>
    </cfRule>
  </conditionalFormatting>
  <conditionalFormatting sqref="D238:S238 D243:R250 D239:I240 S239:S250 P239:R240">
    <cfRule type="expression" dxfId="12852" priority="905">
      <formula>LEN(TRIM(D238))=0</formula>
    </cfRule>
  </conditionalFormatting>
  <conditionalFormatting sqref="D241:R242">
    <cfRule type="cellIs" dxfId="12851" priority="906" operator="equal">
      <formula>0</formula>
    </cfRule>
  </conditionalFormatting>
  <conditionalFormatting sqref="P241:P242">
    <cfRule type="cellIs" dxfId="12850" priority="907" operator="equal">
      <formula>0</formula>
    </cfRule>
  </conditionalFormatting>
  <conditionalFormatting sqref="D241:R242">
    <cfRule type="expression" dxfId="12849" priority="908">
      <formula>LEN(TRIM(D241))=0</formula>
    </cfRule>
  </conditionalFormatting>
  <conditionalFormatting sqref="J239:O240">
    <cfRule type="cellIs" dxfId="12848" priority="901" operator="equal">
      <formula>0</formula>
    </cfRule>
  </conditionalFormatting>
  <conditionalFormatting sqref="J239:O240">
    <cfRule type="expression" dxfId="12847" priority="902">
      <formula>LEN(TRIM(J239))=0</formula>
    </cfRule>
  </conditionalFormatting>
  <conditionalFormatting sqref="D253:R258 S252:S257 S259 D252:I252 P252:R252">
    <cfRule type="cellIs" dxfId="12846" priority="895" operator="equal">
      <formula>0</formula>
    </cfRule>
  </conditionalFormatting>
  <conditionalFormatting sqref="D259:R259">
    <cfRule type="cellIs" dxfId="12845" priority="896" operator="equal">
      <formula>0</formula>
    </cfRule>
  </conditionalFormatting>
  <conditionalFormatting sqref="D253:S257 D259:S259 D258:R258 D252:I252 P252:S252">
    <cfRule type="expression" dxfId="12844" priority="897">
      <formula>LEN(TRIM(D252))=0</formula>
    </cfRule>
  </conditionalFormatting>
  <conditionalFormatting sqref="D259:R259">
    <cfRule type="cellIs" dxfId="12843" priority="898" operator="equal">
      <formula>0</formula>
    </cfRule>
  </conditionalFormatting>
  <conditionalFormatting sqref="D260:R260">
    <cfRule type="cellIs" dxfId="12842" priority="899" operator="equal">
      <formula>0</formula>
    </cfRule>
  </conditionalFormatting>
  <conditionalFormatting sqref="D260:R260">
    <cfRule type="expression" dxfId="12841" priority="900">
      <formula>LEN(TRIM(D260))=0</formula>
    </cfRule>
  </conditionalFormatting>
  <conditionalFormatting sqref="S260">
    <cfRule type="cellIs" dxfId="12840" priority="893" operator="equal">
      <formula>0</formula>
    </cfRule>
  </conditionalFormatting>
  <conditionalFormatting sqref="S260">
    <cfRule type="expression" dxfId="12839" priority="894">
      <formula>LEN(TRIM(S260))=0</formula>
    </cfRule>
  </conditionalFormatting>
  <conditionalFormatting sqref="S258">
    <cfRule type="cellIs" dxfId="12838" priority="891" operator="equal">
      <formula>0</formula>
    </cfRule>
  </conditionalFormatting>
  <conditionalFormatting sqref="S258">
    <cfRule type="expression" dxfId="12837" priority="892">
      <formula>LEN(TRIM(S258))=0</formula>
    </cfRule>
  </conditionalFormatting>
  <conditionalFormatting sqref="J252:O252">
    <cfRule type="cellIs" dxfId="12836" priority="889" operator="equal">
      <formula>0</formula>
    </cfRule>
  </conditionalFormatting>
  <conditionalFormatting sqref="J252:O252">
    <cfRule type="expression" dxfId="12835" priority="890">
      <formula>LEN(TRIM(J252))=0</formula>
    </cfRule>
  </conditionalFormatting>
  <conditionalFormatting sqref="P269:S271 E269:I271 J269:O270 Q266:S268 G266:G268 D266:D271 D272:S272">
    <cfRule type="cellIs" dxfId="12834" priority="868" operator="equal">
      <formula>0</formula>
    </cfRule>
  </conditionalFormatting>
  <conditionalFormatting sqref="P266:P271">
    <cfRule type="cellIs" dxfId="12833" priority="869" operator="equal">
      <formula>0</formula>
    </cfRule>
  </conditionalFormatting>
  <conditionalFormatting sqref="D266:E271 H266:I271">
    <cfRule type="cellIs" dxfId="12832" priority="870" operator="equal">
      <formula>0</formula>
    </cfRule>
  </conditionalFormatting>
  <conditionalFormatting sqref="F266:F271">
    <cfRule type="cellIs" dxfId="12831" priority="871" operator="equal">
      <formula>0</formula>
    </cfRule>
  </conditionalFormatting>
  <conditionalFormatting sqref="J269:J271">
    <cfRule type="cellIs" dxfId="12830" priority="872" operator="equal">
      <formula>0</formula>
    </cfRule>
  </conditionalFormatting>
  <conditionalFormatting sqref="J266:J271 K266:O266">
    <cfRule type="cellIs" dxfId="12829" priority="873" operator="equal">
      <formula>0</formula>
    </cfRule>
  </conditionalFormatting>
  <conditionalFormatting sqref="K269:K271">
    <cfRule type="cellIs" dxfId="12828" priority="874" operator="equal">
      <formula>0</formula>
    </cfRule>
  </conditionalFormatting>
  <conditionalFormatting sqref="K266:K271">
    <cfRule type="cellIs" dxfId="12827" priority="875" operator="equal">
      <formula>0</formula>
    </cfRule>
  </conditionalFormatting>
  <conditionalFormatting sqref="L269:L271">
    <cfRule type="cellIs" dxfId="12826" priority="876" operator="equal">
      <formula>0</formula>
    </cfRule>
  </conditionalFormatting>
  <conditionalFormatting sqref="L266:L271">
    <cfRule type="cellIs" dxfId="12825" priority="877" operator="equal">
      <formula>0</formula>
    </cfRule>
  </conditionalFormatting>
  <conditionalFormatting sqref="M269:M271">
    <cfRule type="cellIs" dxfId="12824" priority="878" operator="equal">
      <formula>0</formula>
    </cfRule>
  </conditionalFormatting>
  <conditionalFormatting sqref="M266:M271">
    <cfRule type="cellIs" dxfId="12823" priority="879" operator="equal">
      <formula>0</formula>
    </cfRule>
  </conditionalFormatting>
  <conditionalFormatting sqref="N269:N271">
    <cfRule type="cellIs" dxfId="12822" priority="880" operator="equal">
      <formula>0</formula>
    </cfRule>
  </conditionalFormatting>
  <conditionalFormatting sqref="N266:N271">
    <cfRule type="cellIs" dxfId="12821" priority="881" operator="equal">
      <formula>0</formula>
    </cfRule>
  </conditionalFormatting>
  <conditionalFormatting sqref="O269:O271">
    <cfRule type="cellIs" dxfId="12820" priority="882" operator="equal">
      <formula>0</formula>
    </cfRule>
  </conditionalFormatting>
  <conditionalFormatting sqref="O266:O271">
    <cfRule type="cellIs" dxfId="12819" priority="883" operator="equal">
      <formula>0</formula>
    </cfRule>
  </conditionalFormatting>
  <conditionalFormatting sqref="D266:S272">
    <cfRule type="expression" dxfId="12818" priority="884">
      <formula>LEN(TRIM(D266))=0</formula>
    </cfRule>
  </conditionalFormatting>
  <conditionalFormatting sqref="L269:L270">
    <cfRule type="cellIs" dxfId="12817" priority="885" operator="equal">
      <formula>0</formula>
    </cfRule>
  </conditionalFormatting>
  <conditionalFormatting sqref="M269:M270">
    <cfRule type="cellIs" dxfId="12816" priority="886" operator="equal">
      <formula>0</formula>
    </cfRule>
  </conditionalFormatting>
  <conditionalFormatting sqref="N269:O269">
    <cfRule type="cellIs" dxfId="12815" priority="887" operator="equal">
      <formula>0</formula>
    </cfRule>
  </conditionalFormatting>
  <conditionalFormatting sqref="N270:O270">
    <cfRule type="cellIs" dxfId="12814" priority="888" operator="equal">
      <formula>0</formula>
    </cfRule>
  </conditionalFormatting>
  <conditionalFormatting sqref="E283:G283 D284:G285 H283:I285 D279:I282 J279:R285 D274:S274 D286:R286 D275:I276 S275:S286 P275:R276">
    <cfRule type="cellIs" dxfId="12813" priority="862" operator="equal">
      <formula>0</formula>
    </cfRule>
  </conditionalFormatting>
  <conditionalFormatting sqref="D283">
    <cfRule type="cellIs" dxfId="12812" priority="863" operator="equal">
      <formula>0</formula>
    </cfRule>
  </conditionalFormatting>
  <conditionalFormatting sqref="D274:S274 D279:R286 D275:I276 S275:S286 P275:R276">
    <cfRule type="expression" dxfId="12811" priority="864">
      <formula>LEN(TRIM(D274))=0</formula>
    </cfRule>
  </conditionalFormatting>
  <conditionalFormatting sqref="D277:R278">
    <cfRule type="cellIs" dxfId="12810" priority="865" operator="equal">
      <formula>0</formula>
    </cfRule>
  </conditionalFormatting>
  <conditionalFormatting sqref="P277:P278">
    <cfRule type="cellIs" dxfId="12809" priority="866" operator="equal">
      <formula>0</formula>
    </cfRule>
  </conditionalFormatting>
  <conditionalFormatting sqref="D277:R278">
    <cfRule type="expression" dxfId="12808" priority="867">
      <formula>LEN(TRIM(D277))=0</formula>
    </cfRule>
  </conditionalFormatting>
  <conditionalFormatting sqref="J275:O276">
    <cfRule type="cellIs" dxfId="12807" priority="860" operator="equal">
      <formula>0</formula>
    </cfRule>
  </conditionalFormatting>
  <conditionalFormatting sqref="J275:O276">
    <cfRule type="expression" dxfId="12806" priority="861">
      <formula>LEN(TRIM(J275))=0</formula>
    </cfRule>
  </conditionalFormatting>
  <conditionalFormatting sqref="D289:R294 S288:S293 S295 D288:I288 P288:R288">
    <cfRule type="cellIs" dxfId="12805" priority="854" operator="equal">
      <formula>0</formula>
    </cfRule>
  </conditionalFormatting>
  <conditionalFormatting sqref="D295:R295">
    <cfRule type="cellIs" dxfId="12804" priority="855" operator="equal">
      <formula>0</formula>
    </cfRule>
  </conditionalFormatting>
  <conditionalFormatting sqref="D289:S293 D295:S295 D294:R294 D288:I288 P288:S288">
    <cfRule type="expression" dxfId="12803" priority="856">
      <formula>LEN(TRIM(D288))=0</formula>
    </cfRule>
  </conditionalFormatting>
  <conditionalFormatting sqref="D295:R295">
    <cfRule type="cellIs" dxfId="12802" priority="857" operator="equal">
      <formula>0</formula>
    </cfRule>
  </conditionalFormatting>
  <conditionalFormatting sqref="D296:R296">
    <cfRule type="cellIs" dxfId="12801" priority="858" operator="equal">
      <formula>0</formula>
    </cfRule>
  </conditionalFormatting>
  <conditionalFormatting sqref="D296:R296">
    <cfRule type="expression" dxfId="12800" priority="859">
      <formula>LEN(TRIM(D296))=0</formula>
    </cfRule>
  </conditionalFormatting>
  <conditionalFormatting sqref="S296">
    <cfRule type="cellIs" dxfId="12799" priority="852" operator="equal">
      <formula>0</formula>
    </cfRule>
  </conditionalFormatting>
  <conditionalFormatting sqref="S296">
    <cfRule type="expression" dxfId="12798" priority="853">
      <formula>LEN(TRIM(S296))=0</formula>
    </cfRule>
  </conditionalFormatting>
  <conditionalFormatting sqref="S294">
    <cfRule type="cellIs" dxfId="12797" priority="850" operator="equal">
      <formula>0</formula>
    </cfRule>
  </conditionalFormatting>
  <conditionalFormatting sqref="S294">
    <cfRule type="expression" dxfId="12796" priority="851">
      <formula>LEN(TRIM(S294))=0</formula>
    </cfRule>
  </conditionalFormatting>
  <conditionalFormatting sqref="J288:O288">
    <cfRule type="cellIs" dxfId="12795" priority="848" operator="equal">
      <formula>0</formula>
    </cfRule>
  </conditionalFormatting>
  <conditionalFormatting sqref="J288:O288">
    <cfRule type="expression" dxfId="12794" priority="849">
      <formula>LEN(TRIM(J288))=0</formula>
    </cfRule>
  </conditionalFormatting>
  <conditionalFormatting sqref="P305:S307 E305:I307 J305:O306 Q302:S304 G302:G304 D302:D307 D308:S308">
    <cfRule type="cellIs" dxfId="12793" priority="827" operator="equal">
      <formula>0</formula>
    </cfRule>
  </conditionalFormatting>
  <conditionalFormatting sqref="P302:P307">
    <cfRule type="cellIs" dxfId="12792" priority="828" operator="equal">
      <formula>0</formula>
    </cfRule>
  </conditionalFormatting>
  <conditionalFormatting sqref="D302:E307 H302:I307">
    <cfRule type="cellIs" dxfId="12791" priority="829" operator="equal">
      <formula>0</formula>
    </cfRule>
  </conditionalFormatting>
  <conditionalFormatting sqref="F302:F307">
    <cfRule type="cellIs" dxfId="12790" priority="830" operator="equal">
      <formula>0</formula>
    </cfRule>
  </conditionalFormatting>
  <conditionalFormatting sqref="J305:J307">
    <cfRule type="cellIs" dxfId="12789" priority="831" operator="equal">
      <formula>0</formula>
    </cfRule>
  </conditionalFormatting>
  <conditionalFormatting sqref="J302:J307 K302:O302">
    <cfRule type="cellIs" dxfId="12788" priority="832" operator="equal">
      <formula>0</formula>
    </cfRule>
  </conditionalFormatting>
  <conditionalFormatting sqref="K305:K307">
    <cfRule type="cellIs" dxfId="12787" priority="833" operator="equal">
      <formula>0</formula>
    </cfRule>
  </conditionalFormatting>
  <conditionalFormatting sqref="K302:K307">
    <cfRule type="cellIs" dxfId="12786" priority="834" operator="equal">
      <formula>0</formula>
    </cfRule>
  </conditionalFormatting>
  <conditionalFormatting sqref="L305:L307">
    <cfRule type="cellIs" dxfId="12785" priority="835" operator="equal">
      <formula>0</formula>
    </cfRule>
  </conditionalFormatting>
  <conditionalFormatting sqref="L302:L307">
    <cfRule type="cellIs" dxfId="12784" priority="836" operator="equal">
      <formula>0</formula>
    </cfRule>
  </conditionalFormatting>
  <conditionalFormatting sqref="M305:M307">
    <cfRule type="cellIs" dxfId="12783" priority="837" operator="equal">
      <formula>0</formula>
    </cfRule>
  </conditionalFormatting>
  <conditionalFormatting sqref="M302:M307">
    <cfRule type="cellIs" dxfId="12782" priority="838" operator="equal">
      <formula>0</formula>
    </cfRule>
  </conditionalFormatting>
  <conditionalFormatting sqref="N305:N307">
    <cfRule type="cellIs" dxfId="12781" priority="839" operator="equal">
      <formula>0</formula>
    </cfRule>
  </conditionalFormatting>
  <conditionalFormatting sqref="N302:N307">
    <cfRule type="cellIs" dxfId="12780" priority="840" operator="equal">
      <formula>0</formula>
    </cfRule>
  </conditionalFormatting>
  <conditionalFormatting sqref="O305:O307">
    <cfRule type="cellIs" dxfId="12779" priority="841" operator="equal">
      <formula>0</formula>
    </cfRule>
  </conditionalFormatting>
  <conditionalFormatting sqref="O302:O307">
    <cfRule type="cellIs" dxfId="12778" priority="842" operator="equal">
      <formula>0</formula>
    </cfRule>
  </conditionalFormatting>
  <conditionalFormatting sqref="D302:S308">
    <cfRule type="expression" dxfId="12777" priority="843">
      <formula>LEN(TRIM(D302))=0</formula>
    </cfRule>
  </conditionalFormatting>
  <conditionalFormatting sqref="L305:L306">
    <cfRule type="cellIs" dxfId="12776" priority="844" operator="equal">
      <formula>0</formula>
    </cfRule>
  </conditionalFormatting>
  <conditionalFormatting sqref="M305:M306">
    <cfRule type="cellIs" dxfId="12775" priority="845" operator="equal">
      <formula>0</formula>
    </cfRule>
  </conditionalFormatting>
  <conditionalFormatting sqref="N305:O305">
    <cfRule type="cellIs" dxfId="12774" priority="846" operator="equal">
      <formula>0</formula>
    </cfRule>
  </conditionalFormatting>
  <conditionalFormatting sqref="N306:O306">
    <cfRule type="cellIs" dxfId="12773" priority="847" operator="equal">
      <formula>0</formula>
    </cfRule>
  </conditionalFormatting>
  <conditionalFormatting sqref="E319:G319 D320:G321 H319:I321 D315:I318 J315:R321 D310:S310 D322:R322 D311:I312 S311:S322 P311:R312">
    <cfRule type="cellIs" dxfId="12772" priority="821" operator="equal">
      <formula>0</formula>
    </cfRule>
  </conditionalFormatting>
  <conditionalFormatting sqref="D319">
    <cfRule type="cellIs" dxfId="12771" priority="822" operator="equal">
      <formula>0</formula>
    </cfRule>
  </conditionalFormatting>
  <conditionalFormatting sqref="D310:S310 D315:R322 D311:I312 S311:S322 P311:R312">
    <cfRule type="expression" dxfId="12770" priority="823">
      <formula>LEN(TRIM(D310))=0</formula>
    </cfRule>
  </conditionalFormatting>
  <conditionalFormatting sqref="D313:R314">
    <cfRule type="cellIs" dxfId="12769" priority="824" operator="equal">
      <formula>0</formula>
    </cfRule>
  </conditionalFormatting>
  <conditionalFormatting sqref="P313:P314">
    <cfRule type="cellIs" dxfId="12768" priority="825" operator="equal">
      <formula>0</formula>
    </cfRule>
  </conditionalFormatting>
  <conditionalFormatting sqref="D313:R314">
    <cfRule type="expression" dxfId="12767" priority="826">
      <formula>LEN(TRIM(D313))=0</formula>
    </cfRule>
  </conditionalFormatting>
  <conditionalFormatting sqref="J311:O312">
    <cfRule type="cellIs" dxfId="12766" priority="819" operator="equal">
      <formula>0</formula>
    </cfRule>
  </conditionalFormatting>
  <conditionalFormatting sqref="J311:O312">
    <cfRule type="expression" dxfId="12765" priority="820">
      <formula>LEN(TRIM(J311))=0</formula>
    </cfRule>
  </conditionalFormatting>
  <conditionalFormatting sqref="D325:R330 S324:S329 S331 D324:I324 P324:R324">
    <cfRule type="cellIs" dxfId="12764" priority="813" operator="equal">
      <formula>0</formula>
    </cfRule>
  </conditionalFormatting>
  <conditionalFormatting sqref="D331:R331">
    <cfRule type="cellIs" dxfId="12763" priority="814" operator="equal">
      <formula>0</formula>
    </cfRule>
  </conditionalFormatting>
  <conditionalFormatting sqref="D325:S329 D331:S331 D330:R330 D324:I324 P324:S324">
    <cfRule type="expression" dxfId="12762" priority="815">
      <formula>LEN(TRIM(D324))=0</formula>
    </cfRule>
  </conditionalFormatting>
  <conditionalFormatting sqref="D331:R331">
    <cfRule type="cellIs" dxfId="12761" priority="816" operator="equal">
      <formula>0</formula>
    </cfRule>
  </conditionalFormatting>
  <conditionalFormatting sqref="D332:R332">
    <cfRule type="cellIs" dxfId="12760" priority="817" operator="equal">
      <formula>0</formula>
    </cfRule>
  </conditionalFormatting>
  <conditionalFormatting sqref="D332:R332">
    <cfRule type="expression" dxfId="12759" priority="818">
      <formula>LEN(TRIM(D332))=0</formula>
    </cfRule>
  </conditionalFormatting>
  <conditionalFormatting sqref="S332">
    <cfRule type="cellIs" dxfId="12758" priority="811" operator="equal">
      <formula>0</formula>
    </cfRule>
  </conditionalFormatting>
  <conditionalFormatting sqref="S332">
    <cfRule type="expression" dxfId="12757" priority="812">
      <formula>LEN(TRIM(S332))=0</formula>
    </cfRule>
  </conditionalFormatting>
  <conditionalFormatting sqref="S330">
    <cfRule type="cellIs" dxfId="12756" priority="809" operator="equal">
      <formula>0</formula>
    </cfRule>
  </conditionalFormatting>
  <conditionalFormatting sqref="S330">
    <cfRule type="expression" dxfId="12755" priority="810">
      <formula>LEN(TRIM(S330))=0</formula>
    </cfRule>
  </conditionalFormatting>
  <conditionalFormatting sqref="J324:O324">
    <cfRule type="cellIs" dxfId="12754" priority="807" operator="equal">
      <formula>0</formula>
    </cfRule>
  </conditionalFormatting>
  <conditionalFormatting sqref="J324:O324">
    <cfRule type="expression" dxfId="12753" priority="808">
      <formula>LEN(TRIM(J324))=0</formula>
    </cfRule>
  </conditionalFormatting>
  <conditionalFormatting sqref="P341:S343 E341:I343 J341:O342 Q338:S340 G338:G340 D338:D343 D344:S344">
    <cfRule type="cellIs" dxfId="12752" priority="786" operator="equal">
      <formula>0</formula>
    </cfRule>
  </conditionalFormatting>
  <conditionalFormatting sqref="P338:P343">
    <cfRule type="cellIs" dxfId="12751" priority="787" operator="equal">
      <formula>0</formula>
    </cfRule>
  </conditionalFormatting>
  <conditionalFormatting sqref="D338:E343 H338:I343">
    <cfRule type="cellIs" dxfId="12750" priority="788" operator="equal">
      <formula>0</formula>
    </cfRule>
  </conditionalFormatting>
  <conditionalFormatting sqref="F338:F343">
    <cfRule type="cellIs" dxfId="12749" priority="789" operator="equal">
      <formula>0</formula>
    </cfRule>
  </conditionalFormatting>
  <conditionalFormatting sqref="J341:J343">
    <cfRule type="cellIs" dxfId="12748" priority="790" operator="equal">
      <formula>0</formula>
    </cfRule>
  </conditionalFormatting>
  <conditionalFormatting sqref="J338:J343 K338:O338">
    <cfRule type="cellIs" dxfId="12747" priority="791" operator="equal">
      <formula>0</formula>
    </cfRule>
  </conditionalFormatting>
  <conditionalFormatting sqref="K341:K343">
    <cfRule type="cellIs" dxfId="12746" priority="792" operator="equal">
      <formula>0</formula>
    </cfRule>
  </conditionalFormatting>
  <conditionalFormatting sqref="K338:K343">
    <cfRule type="cellIs" dxfId="12745" priority="793" operator="equal">
      <formula>0</formula>
    </cfRule>
  </conditionalFormatting>
  <conditionalFormatting sqref="L341:L343">
    <cfRule type="cellIs" dxfId="12744" priority="794" operator="equal">
      <formula>0</formula>
    </cfRule>
  </conditionalFormatting>
  <conditionalFormatting sqref="L338:L343">
    <cfRule type="cellIs" dxfId="12743" priority="795" operator="equal">
      <formula>0</formula>
    </cfRule>
  </conditionalFormatting>
  <conditionalFormatting sqref="M341:M343">
    <cfRule type="cellIs" dxfId="12742" priority="796" operator="equal">
      <formula>0</formula>
    </cfRule>
  </conditionalFormatting>
  <conditionalFormatting sqref="M338:M343">
    <cfRule type="cellIs" dxfId="12741" priority="797" operator="equal">
      <formula>0</formula>
    </cfRule>
  </conditionalFormatting>
  <conditionalFormatting sqref="N341:N343">
    <cfRule type="cellIs" dxfId="12740" priority="798" operator="equal">
      <formula>0</formula>
    </cfRule>
  </conditionalFormatting>
  <conditionalFormatting sqref="N338:N343">
    <cfRule type="cellIs" dxfId="12739" priority="799" operator="equal">
      <formula>0</formula>
    </cfRule>
  </conditionalFormatting>
  <conditionalFormatting sqref="O341:O343">
    <cfRule type="cellIs" dxfId="12738" priority="800" operator="equal">
      <formula>0</formula>
    </cfRule>
  </conditionalFormatting>
  <conditionalFormatting sqref="O338:O343">
    <cfRule type="cellIs" dxfId="12737" priority="801" operator="equal">
      <formula>0</formula>
    </cfRule>
  </conditionalFormatting>
  <conditionalFormatting sqref="D338:S344">
    <cfRule type="expression" dxfId="12736" priority="802">
      <formula>LEN(TRIM(D338))=0</formula>
    </cfRule>
  </conditionalFormatting>
  <conditionalFormatting sqref="L341:L342">
    <cfRule type="cellIs" dxfId="12735" priority="803" operator="equal">
      <formula>0</formula>
    </cfRule>
  </conditionalFormatting>
  <conditionalFormatting sqref="M341:M342">
    <cfRule type="cellIs" dxfId="12734" priority="804" operator="equal">
      <formula>0</formula>
    </cfRule>
  </conditionalFormatting>
  <conditionalFormatting sqref="N341:O341">
    <cfRule type="cellIs" dxfId="12733" priority="805" operator="equal">
      <formula>0</formula>
    </cfRule>
  </conditionalFormatting>
  <conditionalFormatting sqref="N342:O342">
    <cfRule type="cellIs" dxfId="12732" priority="806" operator="equal">
      <formula>0</formula>
    </cfRule>
  </conditionalFormatting>
  <conditionalFormatting sqref="E355:G355 D356:G357 H355:I357 D351:I354 J351:R357 D346:S346 D358:R358 D347:I348 S347:S358 P347:R348">
    <cfRule type="cellIs" dxfId="12731" priority="780" operator="equal">
      <formula>0</formula>
    </cfRule>
  </conditionalFormatting>
  <conditionalFormatting sqref="D355">
    <cfRule type="cellIs" dxfId="12730" priority="781" operator="equal">
      <formula>0</formula>
    </cfRule>
  </conditionalFormatting>
  <conditionalFormatting sqref="D346:S346 D351:R358 D347:I348 S347:S358 P347:R348">
    <cfRule type="expression" dxfId="12729" priority="782">
      <formula>LEN(TRIM(D346))=0</formula>
    </cfRule>
  </conditionalFormatting>
  <conditionalFormatting sqref="D349:R350">
    <cfRule type="cellIs" dxfId="12728" priority="783" operator="equal">
      <formula>0</formula>
    </cfRule>
  </conditionalFormatting>
  <conditionalFormatting sqref="P349:P350">
    <cfRule type="cellIs" dxfId="12727" priority="784" operator="equal">
      <formula>0</formula>
    </cfRule>
  </conditionalFormatting>
  <conditionalFormatting sqref="D349:R350">
    <cfRule type="expression" dxfId="12726" priority="785">
      <formula>LEN(TRIM(D349))=0</formula>
    </cfRule>
  </conditionalFormatting>
  <conditionalFormatting sqref="J347:O348">
    <cfRule type="cellIs" dxfId="12725" priority="778" operator="equal">
      <formula>0</formula>
    </cfRule>
  </conditionalFormatting>
  <conditionalFormatting sqref="J347:O348">
    <cfRule type="expression" dxfId="12724" priority="779">
      <formula>LEN(TRIM(J347))=0</formula>
    </cfRule>
  </conditionalFormatting>
  <conditionalFormatting sqref="D361:R366 S360:S365 S367 D360:I360 P360:R360">
    <cfRule type="cellIs" dxfId="12723" priority="772" operator="equal">
      <formula>0</formula>
    </cfRule>
  </conditionalFormatting>
  <conditionalFormatting sqref="D367:R367">
    <cfRule type="cellIs" dxfId="12722" priority="773" operator="equal">
      <formula>0</formula>
    </cfRule>
  </conditionalFormatting>
  <conditionalFormatting sqref="D361:S365 D367:S367 D366:R366 D360:I360 P360:S360">
    <cfRule type="expression" dxfId="12721" priority="774">
      <formula>LEN(TRIM(D360))=0</formula>
    </cfRule>
  </conditionalFormatting>
  <conditionalFormatting sqref="D367:R367">
    <cfRule type="cellIs" dxfId="12720" priority="775" operator="equal">
      <formula>0</formula>
    </cfRule>
  </conditionalFormatting>
  <conditionalFormatting sqref="D368:R368">
    <cfRule type="cellIs" dxfId="12719" priority="776" operator="equal">
      <formula>0</formula>
    </cfRule>
  </conditionalFormatting>
  <conditionalFormatting sqref="D368:R368">
    <cfRule type="expression" dxfId="12718" priority="777">
      <formula>LEN(TRIM(D368))=0</formula>
    </cfRule>
  </conditionalFormatting>
  <conditionalFormatting sqref="S368">
    <cfRule type="cellIs" dxfId="12717" priority="770" operator="equal">
      <formula>0</formula>
    </cfRule>
  </conditionalFormatting>
  <conditionalFormatting sqref="S368">
    <cfRule type="expression" dxfId="12716" priority="771">
      <formula>LEN(TRIM(S368))=0</formula>
    </cfRule>
  </conditionalFormatting>
  <conditionalFormatting sqref="S366">
    <cfRule type="cellIs" dxfId="12715" priority="768" operator="equal">
      <formula>0</formula>
    </cfRule>
  </conditionalFormatting>
  <conditionalFormatting sqref="S366">
    <cfRule type="expression" dxfId="12714" priority="769">
      <formula>LEN(TRIM(S366))=0</formula>
    </cfRule>
  </conditionalFormatting>
  <conditionalFormatting sqref="J360:O360">
    <cfRule type="cellIs" dxfId="12713" priority="766" operator="equal">
      <formula>0</formula>
    </cfRule>
  </conditionalFormatting>
  <conditionalFormatting sqref="J360:O360">
    <cfRule type="expression" dxfId="12712" priority="767">
      <formula>LEN(TRIM(J360))=0</formula>
    </cfRule>
  </conditionalFormatting>
  <conditionalFormatting sqref="P377:S379 E377:I379 J377:O378 Q374:S376 G374:G376 D374:D379 D380:S380">
    <cfRule type="cellIs" dxfId="12711" priority="745" operator="equal">
      <formula>0</formula>
    </cfRule>
  </conditionalFormatting>
  <conditionalFormatting sqref="P374:P379">
    <cfRule type="cellIs" dxfId="12710" priority="746" operator="equal">
      <formula>0</formula>
    </cfRule>
  </conditionalFormatting>
  <conditionalFormatting sqref="D374:E379 H374:I379">
    <cfRule type="cellIs" dxfId="12709" priority="747" operator="equal">
      <formula>0</formula>
    </cfRule>
  </conditionalFormatting>
  <conditionalFormatting sqref="F374:F379">
    <cfRule type="cellIs" dxfId="12708" priority="748" operator="equal">
      <formula>0</formula>
    </cfRule>
  </conditionalFormatting>
  <conditionalFormatting sqref="J377:J379">
    <cfRule type="cellIs" dxfId="12707" priority="749" operator="equal">
      <formula>0</formula>
    </cfRule>
  </conditionalFormatting>
  <conditionalFormatting sqref="J374:J379 K374:O374">
    <cfRule type="cellIs" dxfId="12706" priority="750" operator="equal">
      <formula>0</formula>
    </cfRule>
  </conditionalFormatting>
  <conditionalFormatting sqref="K377:K379">
    <cfRule type="cellIs" dxfId="12705" priority="751" operator="equal">
      <formula>0</formula>
    </cfRule>
  </conditionalFormatting>
  <conditionalFormatting sqref="K374:K379">
    <cfRule type="cellIs" dxfId="12704" priority="752" operator="equal">
      <formula>0</formula>
    </cfRule>
  </conditionalFormatting>
  <conditionalFormatting sqref="L377:L379">
    <cfRule type="cellIs" dxfId="12703" priority="753" operator="equal">
      <formula>0</formula>
    </cfRule>
  </conditionalFormatting>
  <conditionalFormatting sqref="L374:L379">
    <cfRule type="cellIs" dxfId="12702" priority="754" operator="equal">
      <formula>0</formula>
    </cfRule>
  </conditionalFormatting>
  <conditionalFormatting sqref="M377:M379">
    <cfRule type="cellIs" dxfId="12701" priority="755" operator="equal">
      <formula>0</formula>
    </cfRule>
  </conditionalFormatting>
  <conditionalFormatting sqref="M374:M379">
    <cfRule type="cellIs" dxfId="12700" priority="756" operator="equal">
      <formula>0</formula>
    </cfRule>
  </conditionalFormatting>
  <conditionalFormatting sqref="N377:N379">
    <cfRule type="cellIs" dxfId="12699" priority="757" operator="equal">
      <formula>0</formula>
    </cfRule>
  </conditionalFormatting>
  <conditionalFormatting sqref="N374:N379">
    <cfRule type="cellIs" dxfId="12698" priority="758" operator="equal">
      <formula>0</formula>
    </cfRule>
  </conditionalFormatting>
  <conditionalFormatting sqref="O377:O379">
    <cfRule type="cellIs" dxfId="12697" priority="759" operator="equal">
      <formula>0</formula>
    </cfRule>
  </conditionalFormatting>
  <conditionalFormatting sqref="O374:O379">
    <cfRule type="cellIs" dxfId="12696" priority="760" operator="equal">
      <formula>0</formula>
    </cfRule>
  </conditionalFormatting>
  <conditionalFormatting sqref="D374:S380">
    <cfRule type="expression" dxfId="12695" priority="761">
      <formula>LEN(TRIM(D374))=0</formula>
    </cfRule>
  </conditionalFormatting>
  <conditionalFormatting sqref="L377:L378">
    <cfRule type="cellIs" dxfId="12694" priority="762" operator="equal">
      <formula>0</formula>
    </cfRule>
  </conditionalFormatting>
  <conditionalFormatting sqref="M377:M378">
    <cfRule type="cellIs" dxfId="12693" priority="763" operator="equal">
      <formula>0</formula>
    </cfRule>
  </conditionalFormatting>
  <conditionalFormatting sqref="N377:O377">
    <cfRule type="cellIs" dxfId="12692" priority="764" operator="equal">
      <formula>0</formula>
    </cfRule>
  </conditionalFormatting>
  <conditionalFormatting sqref="N378:O378">
    <cfRule type="cellIs" dxfId="12691" priority="765" operator="equal">
      <formula>0</formula>
    </cfRule>
  </conditionalFormatting>
  <conditionalFormatting sqref="E391:G391 D392:G393 H391:I393 D387:I390 J387:R393 D382:S382 D394:R394 D383:I384 S383:S394 P383:R384">
    <cfRule type="cellIs" dxfId="12690" priority="739" operator="equal">
      <formula>0</formula>
    </cfRule>
  </conditionalFormatting>
  <conditionalFormatting sqref="D391">
    <cfRule type="cellIs" dxfId="12689" priority="740" operator="equal">
      <formula>0</formula>
    </cfRule>
  </conditionalFormatting>
  <conditionalFormatting sqref="D382:S382 D387:R394 D383:I384 S383:S394 P383:R384">
    <cfRule type="expression" dxfId="12688" priority="741">
      <formula>LEN(TRIM(D382))=0</formula>
    </cfRule>
  </conditionalFormatting>
  <conditionalFormatting sqref="D385:R386">
    <cfRule type="cellIs" dxfId="12687" priority="742" operator="equal">
      <formula>0</formula>
    </cfRule>
  </conditionalFormatting>
  <conditionalFormatting sqref="P385:P386">
    <cfRule type="cellIs" dxfId="12686" priority="743" operator="equal">
      <formula>0</formula>
    </cfRule>
  </conditionalFormatting>
  <conditionalFormatting sqref="D385:R386">
    <cfRule type="expression" dxfId="12685" priority="744">
      <formula>LEN(TRIM(D385))=0</formula>
    </cfRule>
  </conditionalFormatting>
  <conditionalFormatting sqref="J383:O384">
    <cfRule type="cellIs" dxfId="12684" priority="737" operator="equal">
      <formula>0</formula>
    </cfRule>
  </conditionalFormatting>
  <conditionalFormatting sqref="J383:O384">
    <cfRule type="expression" dxfId="12683" priority="738">
      <formula>LEN(TRIM(J383))=0</formula>
    </cfRule>
  </conditionalFormatting>
  <conditionalFormatting sqref="D397:R402 S396:S401 S403 D396:I396 P396:R396">
    <cfRule type="cellIs" dxfId="12682" priority="731" operator="equal">
      <formula>0</formula>
    </cfRule>
  </conditionalFormatting>
  <conditionalFormatting sqref="D403:R403">
    <cfRule type="cellIs" dxfId="12681" priority="732" operator="equal">
      <formula>0</formula>
    </cfRule>
  </conditionalFormatting>
  <conditionalFormatting sqref="D397:S401 D403:S403 D402:R402 D396:I396 P396:S396">
    <cfRule type="expression" dxfId="12680" priority="733">
      <formula>LEN(TRIM(D396))=0</formula>
    </cfRule>
  </conditionalFormatting>
  <conditionalFormatting sqref="D403:R403">
    <cfRule type="cellIs" dxfId="12679" priority="734" operator="equal">
      <formula>0</formula>
    </cfRule>
  </conditionalFormatting>
  <conditionalFormatting sqref="D404:R404">
    <cfRule type="cellIs" dxfId="12678" priority="735" operator="equal">
      <formula>0</formula>
    </cfRule>
  </conditionalFormatting>
  <conditionalFormatting sqref="D404:R404">
    <cfRule type="expression" dxfId="12677" priority="736">
      <formula>LEN(TRIM(D404))=0</formula>
    </cfRule>
  </conditionalFormatting>
  <conditionalFormatting sqref="S404">
    <cfRule type="cellIs" dxfId="12676" priority="729" operator="equal">
      <formula>0</formula>
    </cfRule>
  </conditionalFormatting>
  <conditionalFormatting sqref="S404">
    <cfRule type="expression" dxfId="12675" priority="730">
      <formula>LEN(TRIM(S404))=0</formula>
    </cfRule>
  </conditionalFormatting>
  <conditionalFormatting sqref="S402">
    <cfRule type="cellIs" dxfId="12674" priority="727" operator="equal">
      <formula>0</formula>
    </cfRule>
  </conditionalFormatting>
  <conditionalFormatting sqref="S402">
    <cfRule type="expression" dxfId="12673" priority="728">
      <formula>LEN(TRIM(S402))=0</formula>
    </cfRule>
  </conditionalFormatting>
  <conditionalFormatting sqref="J396:O396">
    <cfRule type="cellIs" dxfId="12672" priority="725" operator="equal">
      <formula>0</formula>
    </cfRule>
  </conditionalFormatting>
  <conditionalFormatting sqref="J396:O396">
    <cfRule type="expression" dxfId="12671" priority="726">
      <formula>LEN(TRIM(J396))=0</formula>
    </cfRule>
  </conditionalFormatting>
  <conditionalFormatting sqref="P413:S415 E413:I415 J413:O414 Q410:S412 G410:G412 D410:D415 D416:S416">
    <cfRule type="cellIs" dxfId="12670" priority="704" operator="equal">
      <formula>0</formula>
    </cfRule>
  </conditionalFormatting>
  <conditionalFormatting sqref="P410:P415">
    <cfRule type="cellIs" dxfId="12669" priority="705" operator="equal">
      <formula>0</formula>
    </cfRule>
  </conditionalFormatting>
  <conditionalFormatting sqref="D410:E415 H410:I415">
    <cfRule type="cellIs" dxfId="12668" priority="706" operator="equal">
      <formula>0</formula>
    </cfRule>
  </conditionalFormatting>
  <conditionalFormatting sqref="F410:F415">
    <cfRule type="cellIs" dxfId="12667" priority="707" operator="equal">
      <formula>0</formula>
    </cfRule>
  </conditionalFormatting>
  <conditionalFormatting sqref="J413:J415">
    <cfRule type="cellIs" dxfId="12666" priority="708" operator="equal">
      <formula>0</formula>
    </cfRule>
  </conditionalFormatting>
  <conditionalFormatting sqref="J410:J415 K410:O410">
    <cfRule type="cellIs" dxfId="12665" priority="709" operator="equal">
      <formula>0</formula>
    </cfRule>
  </conditionalFormatting>
  <conditionalFormatting sqref="K413:K415">
    <cfRule type="cellIs" dxfId="12664" priority="710" operator="equal">
      <formula>0</formula>
    </cfRule>
  </conditionalFormatting>
  <conditionalFormatting sqref="K410:K415">
    <cfRule type="cellIs" dxfId="12663" priority="711" operator="equal">
      <formula>0</formula>
    </cfRule>
  </conditionalFormatting>
  <conditionalFormatting sqref="L413:L415">
    <cfRule type="cellIs" dxfId="12662" priority="712" operator="equal">
      <formula>0</formula>
    </cfRule>
  </conditionalFormatting>
  <conditionalFormatting sqref="L410:L415">
    <cfRule type="cellIs" dxfId="12661" priority="713" operator="equal">
      <formula>0</formula>
    </cfRule>
  </conditionalFormatting>
  <conditionalFormatting sqref="M413:M415">
    <cfRule type="cellIs" dxfId="12660" priority="714" operator="equal">
      <formula>0</formula>
    </cfRule>
  </conditionalFormatting>
  <conditionalFormatting sqref="M410:M415">
    <cfRule type="cellIs" dxfId="12659" priority="715" operator="equal">
      <formula>0</formula>
    </cfRule>
  </conditionalFormatting>
  <conditionalFormatting sqref="N413:N415">
    <cfRule type="cellIs" dxfId="12658" priority="716" operator="equal">
      <formula>0</formula>
    </cfRule>
  </conditionalFormatting>
  <conditionalFormatting sqref="N410:N415">
    <cfRule type="cellIs" dxfId="12657" priority="717" operator="equal">
      <formula>0</formula>
    </cfRule>
  </conditionalFormatting>
  <conditionalFormatting sqref="O413:O415">
    <cfRule type="cellIs" dxfId="12656" priority="718" operator="equal">
      <formula>0</formula>
    </cfRule>
  </conditionalFormatting>
  <conditionalFormatting sqref="O410:O415">
    <cfRule type="cellIs" dxfId="12655" priority="719" operator="equal">
      <formula>0</formula>
    </cfRule>
  </conditionalFormatting>
  <conditionalFormatting sqref="D410:S416">
    <cfRule type="expression" dxfId="12654" priority="720">
      <formula>LEN(TRIM(D410))=0</formula>
    </cfRule>
  </conditionalFormatting>
  <conditionalFormatting sqref="L413:L414">
    <cfRule type="cellIs" dxfId="12653" priority="721" operator="equal">
      <formula>0</formula>
    </cfRule>
  </conditionalFormatting>
  <conditionalFormatting sqref="M413:M414">
    <cfRule type="cellIs" dxfId="12652" priority="722" operator="equal">
      <formula>0</formula>
    </cfRule>
  </conditionalFormatting>
  <conditionalFormatting sqref="N413:O413">
    <cfRule type="cellIs" dxfId="12651" priority="723" operator="equal">
      <formula>0</formula>
    </cfRule>
  </conditionalFormatting>
  <conditionalFormatting sqref="N414:O414">
    <cfRule type="cellIs" dxfId="12650" priority="724" operator="equal">
      <formula>0</formula>
    </cfRule>
  </conditionalFormatting>
  <conditionalFormatting sqref="E427:G427 D428:G429 H427:I429 D423:I426 J423:R429 D418:S418 D430:R430 D419:I420 S419:S430 P419:R420">
    <cfRule type="cellIs" dxfId="12649" priority="698" operator="equal">
      <formula>0</formula>
    </cfRule>
  </conditionalFormatting>
  <conditionalFormatting sqref="D427">
    <cfRule type="cellIs" dxfId="12648" priority="699" operator="equal">
      <formula>0</formula>
    </cfRule>
  </conditionalFormatting>
  <conditionalFormatting sqref="D418:S418 D423:R430 D419:I420 S419:S430 P419:R420">
    <cfRule type="expression" dxfId="12647" priority="700">
      <formula>LEN(TRIM(D418))=0</formula>
    </cfRule>
  </conditionalFormatting>
  <conditionalFormatting sqref="D421:R422">
    <cfRule type="cellIs" dxfId="12646" priority="701" operator="equal">
      <formula>0</formula>
    </cfRule>
  </conditionalFormatting>
  <conditionalFormatting sqref="P421:P422">
    <cfRule type="cellIs" dxfId="12645" priority="702" operator="equal">
      <formula>0</formula>
    </cfRule>
  </conditionalFormatting>
  <conditionalFormatting sqref="D421:R422">
    <cfRule type="expression" dxfId="12644" priority="703">
      <formula>LEN(TRIM(D421))=0</formula>
    </cfRule>
  </conditionalFormatting>
  <conditionalFormatting sqref="J419:O420">
    <cfRule type="cellIs" dxfId="12643" priority="696" operator="equal">
      <formula>0</formula>
    </cfRule>
  </conditionalFormatting>
  <conditionalFormatting sqref="J419:O420">
    <cfRule type="expression" dxfId="12642" priority="697">
      <formula>LEN(TRIM(J419))=0</formula>
    </cfRule>
  </conditionalFormatting>
  <conditionalFormatting sqref="D433:R438 S432:S437 S439 D432:I432 P432:R432">
    <cfRule type="cellIs" dxfId="12641" priority="690" operator="equal">
      <formula>0</formula>
    </cfRule>
  </conditionalFormatting>
  <conditionalFormatting sqref="D439:R439">
    <cfRule type="cellIs" dxfId="12640" priority="691" operator="equal">
      <formula>0</formula>
    </cfRule>
  </conditionalFormatting>
  <conditionalFormatting sqref="D433:S437 D439:S439 D438:R438 D432:I432 P432:S432">
    <cfRule type="expression" dxfId="12639" priority="692">
      <formula>LEN(TRIM(D432))=0</formula>
    </cfRule>
  </conditionalFormatting>
  <conditionalFormatting sqref="D439:R439">
    <cfRule type="cellIs" dxfId="12638" priority="693" operator="equal">
      <formula>0</formula>
    </cfRule>
  </conditionalFormatting>
  <conditionalFormatting sqref="D440:R440">
    <cfRule type="cellIs" dxfId="12637" priority="694" operator="equal">
      <formula>0</formula>
    </cfRule>
  </conditionalFormatting>
  <conditionalFormatting sqref="D440:R440">
    <cfRule type="expression" dxfId="12636" priority="695">
      <formula>LEN(TRIM(D440))=0</formula>
    </cfRule>
  </conditionalFormatting>
  <conditionalFormatting sqref="S440">
    <cfRule type="cellIs" dxfId="12635" priority="688" operator="equal">
      <formula>0</formula>
    </cfRule>
  </conditionalFormatting>
  <conditionalFormatting sqref="S440">
    <cfRule type="expression" dxfId="12634" priority="689">
      <formula>LEN(TRIM(S440))=0</formula>
    </cfRule>
  </conditionalFormatting>
  <conditionalFormatting sqref="S438">
    <cfRule type="cellIs" dxfId="12633" priority="686" operator="equal">
      <formula>0</formula>
    </cfRule>
  </conditionalFormatting>
  <conditionalFormatting sqref="S438">
    <cfRule type="expression" dxfId="12632" priority="687">
      <formula>LEN(TRIM(S438))=0</formula>
    </cfRule>
  </conditionalFormatting>
  <conditionalFormatting sqref="J432:O432">
    <cfRule type="cellIs" dxfId="12631" priority="684" operator="equal">
      <formula>0</formula>
    </cfRule>
  </conditionalFormatting>
  <conditionalFormatting sqref="J432:O432">
    <cfRule type="expression" dxfId="12630" priority="685">
      <formula>LEN(TRIM(J432))=0</formula>
    </cfRule>
  </conditionalFormatting>
  <conditionalFormatting sqref="P449:S451 E449:I451 J449:O450 Q446:S448 G446:G448 D446:D451 D452:S452">
    <cfRule type="cellIs" dxfId="12629" priority="663" operator="equal">
      <formula>0</formula>
    </cfRule>
  </conditionalFormatting>
  <conditionalFormatting sqref="P446:P451">
    <cfRule type="cellIs" dxfId="12628" priority="664" operator="equal">
      <formula>0</formula>
    </cfRule>
  </conditionalFormatting>
  <conditionalFormatting sqref="D446:E451 H446:I451">
    <cfRule type="cellIs" dxfId="12627" priority="665" operator="equal">
      <formula>0</formula>
    </cfRule>
  </conditionalFormatting>
  <conditionalFormatting sqref="F446:F451">
    <cfRule type="cellIs" dxfId="12626" priority="666" operator="equal">
      <formula>0</formula>
    </cfRule>
  </conditionalFormatting>
  <conditionalFormatting sqref="J449:J451">
    <cfRule type="cellIs" dxfId="12625" priority="667" operator="equal">
      <formula>0</formula>
    </cfRule>
  </conditionalFormatting>
  <conditionalFormatting sqref="J446:J451 K446:O446">
    <cfRule type="cellIs" dxfId="12624" priority="668" operator="equal">
      <formula>0</formula>
    </cfRule>
  </conditionalFormatting>
  <conditionalFormatting sqref="K449:K451">
    <cfRule type="cellIs" dxfId="12623" priority="669" operator="equal">
      <formula>0</formula>
    </cfRule>
  </conditionalFormatting>
  <conditionalFormatting sqref="K446:K451">
    <cfRule type="cellIs" dxfId="12622" priority="670" operator="equal">
      <formula>0</formula>
    </cfRule>
  </conditionalFormatting>
  <conditionalFormatting sqref="L449:L451">
    <cfRule type="cellIs" dxfId="12621" priority="671" operator="equal">
      <formula>0</formula>
    </cfRule>
  </conditionalFormatting>
  <conditionalFormatting sqref="L446:L451">
    <cfRule type="cellIs" dxfId="12620" priority="672" operator="equal">
      <formula>0</formula>
    </cfRule>
  </conditionalFormatting>
  <conditionalFormatting sqref="M449:M451">
    <cfRule type="cellIs" dxfId="12619" priority="673" operator="equal">
      <formula>0</formula>
    </cfRule>
  </conditionalFormatting>
  <conditionalFormatting sqref="M446:M451">
    <cfRule type="cellIs" dxfId="12618" priority="674" operator="equal">
      <formula>0</formula>
    </cfRule>
  </conditionalFormatting>
  <conditionalFormatting sqref="N449:N451">
    <cfRule type="cellIs" dxfId="12617" priority="675" operator="equal">
      <formula>0</formula>
    </cfRule>
  </conditionalFormatting>
  <conditionalFormatting sqref="N446:N451">
    <cfRule type="cellIs" dxfId="12616" priority="676" operator="equal">
      <formula>0</formula>
    </cfRule>
  </conditionalFormatting>
  <conditionalFormatting sqref="O449:O451">
    <cfRule type="cellIs" dxfId="12615" priority="677" operator="equal">
      <formula>0</formula>
    </cfRule>
  </conditionalFormatting>
  <conditionalFormatting sqref="O446:O451">
    <cfRule type="cellIs" dxfId="12614" priority="678" operator="equal">
      <formula>0</formula>
    </cfRule>
  </conditionalFormatting>
  <conditionalFormatting sqref="D446:S452">
    <cfRule type="expression" dxfId="12613" priority="679">
      <formula>LEN(TRIM(D446))=0</formula>
    </cfRule>
  </conditionalFormatting>
  <conditionalFormatting sqref="L449:L450">
    <cfRule type="cellIs" dxfId="12612" priority="680" operator="equal">
      <formula>0</formula>
    </cfRule>
  </conditionalFormatting>
  <conditionalFormatting sqref="M449:M450">
    <cfRule type="cellIs" dxfId="12611" priority="681" operator="equal">
      <formula>0</formula>
    </cfRule>
  </conditionalFormatting>
  <conditionalFormatting sqref="N449:O449">
    <cfRule type="cellIs" dxfId="12610" priority="682" operator="equal">
      <formula>0</formula>
    </cfRule>
  </conditionalFormatting>
  <conditionalFormatting sqref="N450:O450">
    <cfRule type="cellIs" dxfId="12609" priority="683" operator="equal">
      <formula>0</formula>
    </cfRule>
  </conditionalFormatting>
  <conditionalFormatting sqref="E463:G463 D464:G465 H463:I465 D459:I462 J459:R465 D454:S454 D466:R466 D455:I456 S455:S466 P455:R456">
    <cfRule type="cellIs" dxfId="12608" priority="657" operator="equal">
      <formula>0</formula>
    </cfRule>
  </conditionalFormatting>
  <conditionalFormatting sqref="D463">
    <cfRule type="cellIs" dxfId="12607" priority="658" operator="equal">
      <formula>0</formula>
    </cfRule>
  </conditionalFormatting>
  <conditionalFormatting sqref="D454:S454 D459:R466 D455:I456 S455:S466 P455:R456">
    <cfRule type="expression" dxfId="12606" priority="659">
      <formula>LEN(TRIM(D454))=0</formula>
    </cfRule>
  </conditionalFormatting>
  <conditionalFormatting sqref="D457:R458">
    <cfRule type="cellIs" dxfId="12605" priority="660" operator="equal">
      <formula>0</formula>
    </cfRule>
  </conditionalFormatting>
  <conditionalFormatting sqref="P457:P458">
    <cfRule type="cellIs" dxfId="12604" priority="661" operator="equal">
      <formula>0</formula>
    </cfRule>
  </conditionalFormatting>
  <conditionalFormatting sqref="D457:R458">
    <cfRule type="expression" dxfId="12603" priority="662">
      <formula>LEN(TRIM(D457))=0</formula>
    </cfRule>
  </conditionalFormatting>
  <conditionalFormatting sqref="J455:O456">
    <cfRule type="cellIs" dxfId="12602" priority="655" operator="equal">
      <formula>0</formula>
    </cfRule>
  </conditionalFormatting>
  <conditionalFormatting sqref="J455:O456">
    <cfRule type="expression" dxfId="12601" priority="656">
      <formula>LEN(TRIM(J455))=0</formula>
    </cfRule>
  </conditionalFormatting>
  <conditionalFormatting sqref="D469:R474 S468:S473 S475 D468:I468 P468:R468">
    <cfRule type="cellIs" dxfId="12600" priority="649" operator="equal">
      <formula>0</formula>
    </cfRule>
  </conditionalFormatting>
  <conditionalFormatting sqref="D475:R475">
    <cfRule type="cellIs" dxfId="12599" priority="650" operator="equal">
      <formula>0</formula>
    </cfRule>
  </conditionalFormatting>
  <conditionalFormatting sqref="D469:S473 D475:S475 D474:R474 D468:I468 P468:S468">
    <cfRule type="expression" dxfId="12598" priority="651">
      <formula>LEN(TRIM(D468))=0</formula>
    </cfRule>
  </conditionalFormatting>
  <conditionalFormatting sqref="D475:R475">
    <cfRule type="cellIs" dxfId="12597" priority="652" operator="equal">
      <formula>0</formula>
    </cfRule>
  </conditionalFormatting>
  <conditionalFormatting sqref="D476:R476">
    <cfRule type="cellIs" dxfId="12596" priority="653" operator="equal">
      <formula>0</formula>
    </cfRule>
  </conditionalFormatting>
  <conditionalFormatting sqref="D476:R476">
    <cfRule type="expression" dxfId="12595" priority="654">
      <formula>LEN(TRIM(D476))=0</formula>
    </cfRule>
  </conditionalFormatting>
  <conditionalFormatting sqref="S476">
    <cfRule type="cellIs" dxfId="12594" priority="647" operator="equal">
      <formula>0</formula>
    </cfRule>
  </conditionalFormatting>
  <conditionalFormatting sqref="S476">
    <cfRule type="expression" dxfId="12593" priority="648">
      <formula>LEN(TRIM(S476))=0</formula>
    </cfRule>
  </conditionalFormatting>
  <conditionalFormatting sqref="S474">
    <cfRule type="cellIs" dxfId="12592" priority="645" operator="equal">
      <formula>0</formula>
    </cfRule>
  </conditionalFormatting>
  <conditionalFormatting sqref="S474">
    <cfRule type="expression" dxfId="12591" priority="646">
      <formula>LEN(TRIM(S474))=0</formula>
    </cfRule>
  </conditionalFormatting>
  <conditionalFormatting sqref="J468:O468">
    <cfRule type="cellIs" dxfId="12590" priority="643" operator="equal">
      <formula>0</formula>
    </cfRule>
  </conditionalFormatting>
  <conditionalFormatting sqref="J468:O468">
    <cfRule type="expression" dxfId="12589" priority="644">
      <formula>LEN(TRIM(J468))=0</formula>
    </cfRule>
  </conditionalFormatting>
  <conditionalFormatting sqref="AH52:AK54 W52:AA54 AB52:AG53 AI49:AK51 Y49:Y51 V49:V54 V55:AK55">
    <cfRule type="cellIs" dxfId="12588" priority="622" operator="equal">
      <formula>0</formula>
    </cfRule>
  </conditionalFormatting>
  <conditionalFormatting sqref="AH49:AH54">
    <cfRule type="cellIs" dxfId="12587" priority="623" operator="equal">
      <formula>0</formula>
    </cfRule>
  </conditionalFormatting>
  <conditionalFormatting sqref="V49:W54 Z49:AA54">
    <cfRule type="cellIs" dxfId="12586" priority="624" operator="equal">
      <formula>0</formula>
    </cfRule>
  </conditionalFormatting>
  <conditionalFormatting sqref="X49:X54">
    <cfRule type="cellIs" dxfId="12585" priority="625" operator="equal">
      <formula>0</formula>
    </cfRule>
  </conditionalFormatting>
  <conditionalFormatting sqref="AB52:AB54">
    <cfRule type="cellIs" dxfId="12584" priority="626" operator="equal">
      <formula>0</formula>
    </cfRule>
  </conditionalFormatting>
  <conditionalFormatting sqref="AB49:AB54 AC49:AG49">
    <cfRule type="cellIs" dxfId="12583" priority="627" operator="equal">
      <formula>0</formula>
    </cfRule>
  </conditionalFormatting>
  <conditionalFormatting sqref="AC52:AC54">
    <cfRule type="cellIs" dxfId="12582" priority="628" operator="equal">
      <formula>0</formula>
    </cfRule>
  </conditionalFormatting>
  <conditionalFormatting sqref="AC49:AC54">
    <cfRule type="cellIs" dxfId="12581" priority="629" operator="equal">
      <formula>0</formula>
    </cfRule>
  </conditionalFormatting>
  <conditionalFormatting sqref="AD52:AD54">
    <cfRule type="cellIs" dxfId="12580" priority="630" operator="equal">
      <formula>0</formula>
    </cfRule>
  </conditionalFormatting>
  <conditionalFormatting sqref="AD49:AD54">
    <cfRule type="cellIs" dxfId="12579" priority="631" operator="equal">
      <formula>0</formula>
    </cfRule>
  </conditionalFormatting>
  <conditionalFormatting sqref="AE52:AE54">
    <cfRule type="cellIs" dxfId="12578" priority="632" operator="equal">
      <formula>0</formula>
    </cfRule>
  </conditionalFormatting>
  <conditionalFormatting sqref="AE49:AE54">
    <cfRule type="cellIs" dxfId="12577" priority="633" operator="equal">
      <formula>0</formula>
    </cfRule>
  </conditionalFormatting>
  <conditionalFormatting sqref="AF52:AF54">
    <cfRule type="cellIs" dxfId="12576" priority="634" operator="equal">
      <formula>0</formula>
    </cfRule>
  </conditionalFormatting>
  <conditionalFormatting sqref="AF49:AF54">
    <cfRule type="cellIs" dxfId="12575" priority="635" operator="equal">
      <formula>0</formula>
    </cfRule>
  </conditionalFormatting>
  <conditionalFormatting sqref="AG52:AG54">
    <cfRule type="cellIs" dxfId="12574" priority="636" operator="equal">
      <formula>0</formula>
    </cfRule>
  </conditionalFormatting>
  <conditionalFormatting sqref="AG49:AG54">
    <cfRule type="cellIs" dxfId="12573" priority="637" operator="equal">
      <formula>0</formula>
    </cfRule>
  </conditionalFormatting>
  <conditionalFormatting sqref="V49:AK55">
    <cfRule type="expression" dxfId="12572" priority="638">
      <formula>LEN(TRIM(V49))=0</formula>
    </cfRule>
  </conditionalFormatting>
  <conditionalFormatting sqref="AD52:AD53">
    <cfRule type="cellIs" dxfId="12571" priority="639" operator="equal">
      <formula>0</formula>
    </cfRule>
  </conditionalFormatting>
  <conditionalFormatting sqref="AE52:AE53">
    <cfRule type="cellIs" dxfId="12570" priority="640" operator="equal">
      <formula>0</formula>
    </cfRule>
  </conditionalFormatting>
  <conditionalFormatting sqref="AF52:AG52">
    <cfRule type="cellIs" dxfId="12569" priority="641" operator="equal">
      <formula>0</formula>
    </cfRule>
  </conditionalFormatting>
  <conditionalFormatting sqref="AF53:AG53">
    <cfRule type="cellIs" dxfId="12568" priority="642" operator="equal">
      <formula>0</formula>
    </cfRule>
  </conditionalFormatting>
  <conditionalFormatting sqref="W66:Y66 V67:Y68 Z66:AA68 V62:AA65 AB62:AJ68 V57:AK57 V69:AJ69 V58:AA59 AK58:AK69 AH58:AJ59">
    <cfRule type="cellIs" dxfId="12567" priority="616" operator="equal">
      <formula>0</formula>
    </cfRule>
  </conditionalFormatting>
  <conditionalFormatting sqref="V66">
    <cfRule type="cellIs" dxfId="12566" priority="617" operator="equal">
      <formula>0</formula>
    </cfRule>
  </conditionalFormatting>
  <conditionalFormatting sqref="V57:AK57 V62:AJ69 V58:AA59 AK58:AK69 AH58:AJ59">
    <cfRule type="expression" dxfId="12565" priority="618">
      <formula>LEN(TRIM(V57))=0</formula>
    </cfRule>
  </conditionalFormatting>
  <conditionalFormatting sqref="V60:AJ61">
    <cfRule type="cellIs" dxfId="12564" priority="619" operator="equal">
      <formula>0</formula>
    </cfRule>
  </conditionalFormatting>
  <conditionalFormatting sqref="AH60:AH61">
    <cfRule type="cellIs" dxfId="12563" priority="620" operator="equal">
      <formula>0</formula>
    </cfRule>
  </conditionalFormatting>
  <conditionalFormatting sqref="V60:AJ61">
    <cfRule type="expression" dxfId="12562" priority="621">
      <formula>LEN(TRIM(V60))=0</formula>
    </cfRule>
  </conditionalFormatting>
  <conditionalFormatting sqref="AB58:AG59">
    <cfRule type="cellIs" dxfId="12561" priority="614" operator="equal">
      <formula>0</formula>
    </cfRule>
  </conditionalFormatting>
  <conditionalFormatting sqref="AB58:AG59">
    <cfRule type="expression" dxfId="12560" priority="615">
      <formula>LEN(TRIM(AB58))=0</formula>
    </cfRule>
  </conditionalFormatting>
  <conditionalFormatting sqref="V72:AJ77 AK71:AK76 AK78 V71:AA71 AH71:AJ71">
    <cfRule type="cellIs" dxfId="12559" priority="608" operator="equal">
      <formula>0</formula>
    </cfRule>
  </conditionalFormatting>
  <conditionalFormatting sqref="V78:AJ78">
    <cfRule type="cellIs" dxfId="12558" priority="609" operator="equal">
      <formula>0</formula>
    </cfRule>
  </conditionalFormatting>
  <conditionalFormatting sqref="V72:AK76 V78:AK78 V77:AJ77 V71:AA71 AH71:AK71">
    <cfRule type="expression" dxfId="12557" priority="610">
      <formula>LEN(TRIM(V71))=0</formula>
    </cfRule>
  </conditionalFormatting>
  <conditionalFormatting sqref="V78:AJ78">
    <cfRule type="cellIs" dxfId="12556" priority="611" operator="equal">
      <formula>0</formula>
    </cfRule>
  </conditionalFormatting>
  <conditionalFormatting sqref="V79:AJ79">
    <cfRule type="cellIs" dxfId="12555" priority="612" operator="equal">
      <formula>0</formula>
    </cfRule>
  </conditionalFormatting>
  <conditionalFormatting sqref="V79:AJ79">
    <cfRule type="expression" dxfId="12554" priority="613">
      <formula>LEN(TRIM(V79))=0</formula>
    </cfRule>
  </conditionalFormatting>
  <conditionalFormatting sqref="AK79">
    <cfRule type="cellIs" dxfId="12553" priority="606" operator="equal">
      <formula>0</formula>
    </cfRule>
  </conditionalFormatting>
  <conditionalFormatting sqref="AK79">
    <cfRule type="expression" dxfId="12552" priority="607">
      <formula>LEN(TRIM(AK79))=0</formula>
    </cfRule>
  </conditionalFormatting>
  <conditionalFormatting sqref="AK77">
    <cfRule type="cellIs" dxfId="12551" priority="604" operator="equal">
      <formula>0</formula>
    </cfRule>
  </conditionalFormatting>
  <conditionalFormatting sqref="AK77">
    <cfRule type="expression" dxfId="12550" priority="605">
      <formula>LEN(TRIM(AK77))=0</formula>
    </cfRule>
  </conditionalFormatting>
  <conditionalFormatting sqref="AB71:AG71">
    <cfRule type="cellIs" dxfId="12549" priority="602" operator="equal">
      <formula>0</formula>
    </cfRule>
  </conditionalFormatting>
  <conditionalFormatting sqref="AB71:AG71">
    <cfRule type="expression" dxfId="12548" priority="603">
      <formula>LEN(TRIM(AB71))=0</formula>
    </cfRule>
  </conditionalFormatting>
  <conditionalFormatting sqref="AH88:AK90 W88:AA90 AB88:AG89 AI85:AK87 Y85:Y87 V85:V90 V91:AK91">
    <cfRule type="cellIs" dxfId="12547" priority="581" operator="equal">
      <formula>0</formula>
    </cfRule>
  </conditionalFormatting>
  <conditionalFormatting sqref="AH85:AH90">
    <cfRule type="cellIs" dxfId="12546" priority="582" operator="equal">
      <formula>0</formula>
    </cfRule>
  </conditionalFormatting>
  <conditionalFormatting sqref="V85:W90 Z85:AA90">
    <cfRule type="cellIs" dxfId="12545" priority="583" operator="equal">
      <formula>0</formula>
    </cfRule>
  </conditionalFormatting>
  <conditionalFormatting sqref="X85:X90">
    <cfRule type="cellIs" dxfId="12544" priority="584" operator="equal">
      <formula>0</formula>
    </cfRule>
  </conditionalFormatting>
  <conditionalFormatting sqref="AB88:AB90">
    <cfRule type="cellIs" dxfId="12543" priority="585" operator="equal">
      <formula>0</formula>
    </cfRule>
  </conditionalFormatting>
  <conditionalFormatting sqref="AB85:AB90 AC85:AG85">
    <cfRule type="cellIs" dxfId="12542" priority="586" operator="equal">
      <formula>0</formula>
    </cfRule>
  </conditionalFormatting>
  <conditionalFormatting sqref="AC88:AC90">
    <cfRule type="cellIs" dxfId="12541" priority="587" operator="equal">
      <formula>0</formula>
    </cfRule>
  </conditionalFormatting>
  <conditionalFormatting sqref="AC85:AC90">
    <cfRule type="cellIs" dxfId="12540" priority="588" operator="equal">
      <formula>0</formula>
    </cfRule>
  </conditionalFormatting>
  <conditionalFormatting sqref="AD88:AD90">
    <cfRule type="cellIs" dxfId="12539" priority="589" operator="equal">
      <formula>0</formula>
    </cfRule>
  </conditionalFormatting>
  <conditionalFormatting sqref="AD85:AD90">
    <cfRule type="cellIs" dxfId="12538" priority="590" operator="equal">
      <formula>0</formula>
    </cfRule>
  </conditionalFormatting>
  <conditionalFormatting sqref="AE88:AE90">
    <cfRule type="cellIs" dxfId="12537" priority="591" operator="equal">
      <formula>0</formula>
    </cfRule>
  </conditionalFormatting>
  <conditionalFormatting sqref="AE85:AE90">
    <cfRule type="cellIs" dxfId="12536" priority="592" operator="equal">
      <formula>0</formula>
    </cfRule>
  </conditionalFormatting>
  <conditionalFormatting sqref="AF88:AF90">
    <cfRule type="cellIs" dxfId="12535" priority="593" operator="equal">
      <formula>0</formula>
    </cfRule>
  </conditionalFormatting>
  <conditionalFormatting sqref="AF85:AF90">
    <cfRule type="cellIs" dxfId="12534" priority="594" operator="equal">
      <formula>0</formula>
    </cfRule>
  </conditionalFormatting>
  <conditionalFormatting sqref="AG88:AG90">
    <cfRule type="cellIs" dxfId="12533" priority="595" operator="equal">
      <formula>0</formula>
    </cfRule>
  </conditionalFormatting>
  <conditionalFormatting sqref="AG85:AG90">
    <cfRule type="cellIs" dxfId="12532" priority="596" operator="equal">
      <formula>0</formula>
    </cfRule>
  </conditionalFormatting>
  <conditionalFormatting sqref="V85:AK91">
    <cfRule type="expression" dxfId="12531" priority="597">
      <formula>LEN(TRIM(V85))=0</formula>
    </cfRule>
  </conditionalFormatting>
  <conditionalFormatting sqref="AD88:AD89">
    <cfRule type="cellIs" dxfId="12530" priority="598" operator="equal">
      <formula>0</formula>
    </cfRule>
  </conditionalFormatting>
  <conditionalFormatting sqref="AE88:AE89">
    <cfRule type="cellIs" dxfId="12529" priority="599" operator="equal">
      <formula>0</formula>
    </cfRule>
  </conditionalFormatting>
  <conditionalFormatting sqref="AF88:AG88">
    <cfRule type="cellIs" dxfId="12528" priority="600" operator="equal">
      <formula>0</formula>
    </cfRule>
  </conditionalFormatting>
  <conditionalFormatting sqref="AF89:AG89">
    <cfRule type="cellIs" dxfId="12527" priority="601" operator="equal">
      <formula>0</formula>
    </cfRule>
  </conditionalFormatting>
  <conditionalFormatting sqref="W102:Y102 V103:Y104 Z102:AA104 V98:AA101 AB98:AJ104 V93:AK93 V105:AJ105 V94:AA95 AK94:AK105 AH94:AJ95">
    <cfRule type="cellIs" dxfId="12526" priority="575" operator="equal">
      <formula>0</formula>
    </cfRule>
  </conditionalFormatting>
  <conditionalFormatting sqref="V102">
    <cfRule type="cellIs" dxfId="12525" priority="576" operator="equal">
      <formula>0</formula>
    </cfRule>
  </conditionalFormatting>
  <conditionalFormatting sqref="V93:AK93 V98:AJ105 V94:AA95 AK94:AK105 AH94:AJ95">
    <cfRule type="expression" dxfId="12524" priority="577">
      <formula>LEN(TRIM(V93))=0</formula>
    </cfRule>
  </conditionalFormatting>
  <conditionalFormatting sqref="V96:AJ97">
    <cfRule type="cellIs" dxfId="12523" priority="578" operator="equal">
      <formula>0</formula>
    </cfRule>
  </conditionalFormatting>
  <conditionalFormatting sqref="AH96:AH97">
    <cfRule type="cellIs" dxfId="12522" priority="579" operator="equal">
      <formula>0</formula>
    </cfRule>
  </conditionalFormatting>
  <conditionalFormatting sqref="V96:AJ97">
    <cfRule type="expression" dxfId="12521" priority="580">
      <formula>LEN(TRIM(V96))=0</formula>
    </cfRule>
  </conditionalFormatting>
  <conditionalFormatting sqref="AB94:AG95">
    <cfRule type="cellIs" dxfId="12520" priority="573" operator="equal">
      <formula>0</formula>
    </cfRule>
  </conditionalFormatting>
  <conditionalFormatting sqref="AB94:AG95">
    <cfRule type="expression" dxfId="12519" priority="574">
      <formula>LEN(TRIM(AB94))=0</formula>
    </cfRule>
  </conditionalFormatting>
  <conditionalFormatting sqref="V108:AJ113 AK107:AK112 AK114 V107:AA107 AH107:AJ107">
    <cfRule type="cellIs" dxfId="12518" priority="567" operator="equal">
      <formula>0</formula>
    </cfRule>
  </conditionalFormatting>
  <conditionalFormatting sqref="V114:AJ114">
    <cfRule type="cellIs" dxfId="12517" priority="568" operator="equal">
      <formula>0</formula>
    </cfRule>
  </conditionalFormatting>
  <conditionalFormatting sqref="V108:AK112 V114:AK114 V113:AJ113 V107:AA107 AH107:AK107">
    <cfRule type="expression" dxfId="12516" priority="569">
      <formula>LEN(TRIM(V107))=0</formula>
    </cfRule>
  </conditionalFormatting>
  <conditionalFormatting sqref="V114:AJ114">
    <cfRule type="cellIs" dxfId="12515" priority="570" operator="equal">
      <formula>0</formula>
    </cfRule>
  </conditionalFormatting>
  <conditionalFormatting sqref="V115:AJ115">
    <cfRule type="cellIs" dxfId="12514" priority="571" operator="equal">
      <formula>0</formula>
    </cfRule>
  </conditionalFormatting>
  <conditionalFormatting sqref="V115:AJ115">
    <cfRule type="expression" dxfId="12513" priority="572">
      <formula>LEN(TRIM(V115))=0</formula>
    </cfRule>
  </conditionalFormatting>
  <conditionalFormatting sqref="AK115">
    <cfRule type="cellIs" dxfId="12512" priority="565" operator="equal">
      <formula>0</formula>
    </cfRule>
  </conditionalFormatting>
  <conditionalFormatting sqref="AK115">
    <cfRule type="expression" dxfId="12511" priority="566">
      <formula>LEN(TRIM(AK115))=0</formula>
    </cfRule>
  </conditionalFormatting>
  <conditionalFormatting sqref="AK113">
    <cfRule type="cellIs" dxfId="12510" priority="563" operator="equal">
      <formula>0</formula>
    </cfRule>
  </conditionalFormatting>
  <conditionalFormatting sqref="AK113">
    <cfRule type="expression" dxfId="12509" priority="564">
      <formula>LEN(TRIM(AK113))=0</formula>
    </cfRule>
  </conditionalFormatting>
  <conditionalFormatting sqref="AB107:AG107">
    <cfRule type="cellIs" dxfId="12508" priority="561" operator="equal">
      <formula>0</formula>
    </cfRule>
  </conditionalFormatting>
  <conditionalFormatting sqref="AB107:AG107">
    <cfRule type="expression" dxfId="12507" priority="562">
      <formula>LEN(TRIM(AB107))=0</formula>
    </cfRule>
  </conditionalFormatting>
  <conditionalFormatting sqref="AH125:AK127 W125:AA127 AB125:AG126 AI122:AK124 Y122:Y124 V122:V127 V128:AK128">
    <cfRule type="cellIs" dxfId="12506" priority="540" operator="equal">
      <formula>0</formula>
    </cfRule>
  </conditionalFormatting>
  <conditionalFormatting sqref="AH122:AH127">
    <cfRule type="cellIs" dxfId="12505" priority="541" operator="equal">
      <formula>0</formula>
    </cfRule>
  </conditionalFormatting>
  <conditionalFormatting sqref="V122:W127 Z122:AA127">
    <cfRule type="cellIs" dxfId="12504" priority="542" operator="equal">
      <formula>0</formula>
    </cfRule>
  </conditionalFormatting>
  <conditionalFormatting sqref="X122:X127">
    <cfRule type="cellIs" dxfId="12503" priority="543" operator="equal">
      <formula>0</formula>
    </cfRule>
  </conditionalFormatting>
  <conditionalFormatting sqref="AB125:AB127">
    <cfRule type="cellIs" dxfId="12502" priority="544" operator="equal">
      <formula>0</formula>
    </cfRule>
  </conditionalFormatting>
  <conditionalFormatting sqref="AB122:AB127 AC122:AG122">
    <cfRule type="cellIs" dxfId="12501" priority="545" operator="equal">
      <formula>0</formula>
    </cfRule>
  </conditionalFormatting>
  <conditionalFormatting sqref="AC125:AC127">
    <cfRule type="cellIs" dxfId="12500" priority="546" operator="equal">
      <formula>0</formula>
    </cfRule>
  </conditionalFormatting>
  <conditionalFormatting sqref="AC122:AC127">
    <cfRule type="cellIs" dxfId="12499" priority="547" operator="equal">
      <formula>0</formula>
    </cfRule>
  </conditionalFormatting>
  <conditionalFormatting sqref="AD125:AD127">
    <cfRule type="cellIs" dxfId="12498" priority="548" operator="equal">
      <formula>0</formula>
    </cfRule>
  </conditionalFormatting>
  <conditionalFormatting sqref="AD122:AD127">
    <cfRule type="cellIs" dxfId="12497" priority="549" operator="equal">
      <formula>0</formula>
    </cfRule>
  </conditionalFormatting>
  <conditionalFormatting sqref="AE125:AE127">
    <cfRule type="cellIs" dxfId="12496" priority="550" operator="equal">
      <formula>0</formula>
    </cfRule>
  </conditionalFormatting>
  <conditionalFormatting sqref="AE122:AE127">
    <cfRule type="cellIs" dxfId="12495" priority="551" operator="equal">
      <formula>0</formula>
    </cfRule>
  </conditionalFormatting>
  <conditionalFormatting sqref="AF125:AF127">
    <cfRule type="cellIs" dxfId="12494" priority="552" operator="equal">
      <formula>0</formula>
    </cfRule>
  </conditionalFormatting>
  <conditionalFormatting sqref="AF122:AF127">
    <cfRule type="cellIs" dxfId="12493" priority="553" operator="equal">
      <formula>0</formula>
    </cfRule>
  </conditionalFormatting>
  <conditionalFormatting sqref="AG125:AG127">
    <cfRule type="cellIs" dxfId="12492" priority="554" operator="equal">
      <formula>0</formula>
    </cfRule>
  </conditionalFormatting>
  <conditionalFormatting sqref="AG122:AG127">
    <cfRule type="cellIs" dxfId="12491" priority="555" operator="equal">
      <formula>0</formula>
    </cfRule>
  </conditionalFormatting>
  <conditionalFormatting sqref="V122:AK128">
    <cfRule type="expression" dxfId="12490" priority="556">
      <formula>LEN(TRIM(V122))=0</formula>
    </cfRule>
  </conditionalFormatting>
  <conditionalFormatting sqref="AD125:AD126">
    <cfRule type="cellIs" dxfId="12489" priority="557" operator="equal">
      <formula>0</formula>
    </cfRule>
  </conditionalFormatting>
  <conditionalFormatting sqref="AE125:AE126">
    <cfRule type="cellIs" dxfId="12488" priority="558" operator="equal">
      <formula>0</formula>
    </cfRule>
  </conditionalFormatting>
  <conditionalFormatting sqref="AF125:AG125">
    <cfRule type="cellIs" dxfId="12487" priority="559" operator="equal">
      <formula>0</formula>
    </cfRule>
  </conditionalFormatting>
  <conditionalFormatting sqref="AF126:AG126">
    <cfRule type="cellIs" dxfId="12486" priority="560" operator="equal">
      <formula>0</formula>
    </cfRule>
  </conditionalFormatting>
  <conditionalFormatting sqref="W139:Y139 V140:Y141 Z139:AA141 V135:AA138 AB135:AJ141 V130:AK130 V142:AJ142 V131:AA132 AK131:AK142 AH131:AJ132">
    <cfRule type="cellIs" dxfId="12485" priority="534" operator="equal">
      <formula>0</formula>
    </cfRule>
  </conditionalFormatting>
  <conditionalFormatting sqref="V139">
    <cfRule type="cellIs" dxfId="12484" priority="535" operator="equal">
      <formula>0</formula>
    </cfRule>
  </conditionalFormatting>
  <conditionalFormatting sqref="V130:AK130 V135:AJ142 V131:AA132 AK131:AK142 AH131:AJ132">
    <cfRule type="expression" dxfId="12483" priority="536">
      <formula>LEN(TRIM(V130))=0</formula>
    </cfRule>
  </conditionalFormatting>
  <conditionalFormatting sqref="V133:AJ134">
    <cfRule type="cellIs" dxfId="12482" priority="537" operator="equal">
      <formula>0</formula>
    </cfRule>
  </conditionalFormatting>
  <conditionalFormatting sqref="AH133:AH134">
    <cfRule type="cellIs" dxfId="12481" priority="538" operator="equal">
      <formula>0</formula>
    </cfRule>
  </conditionalFormatting>
  <conditionalFormatting sqref="V133:AJ134">
    <cfRule type="expression" dxfId="12480" priority="539">
      <formula>LEN(TRIM(V133))=0</formula>
    </cfRule>
  </conditionalFormatting>
  <conditionalFormatting sqref="AB131:AG132">
    <cfRule type="cellIs" dxfId="12479" priority="532" operator="equal">
      <formula>0</formula>
    </cfRule>
  </conditionalFormatting>
  <conditionalFormatting sqref="AB131:AG132">
    <cfRule type="expression" dxfId="12478" priority="533">
      <formula>LEN(TRIM(AB131))=0</formula>
    </cfRule>
  </conditionalFormatting>
  <conditionalFormatting sqref="V145:AJ150 AK144:AK149 AK151 V144:AA144 AH144:AJ144">
    <cfRule type="cellIs" dxfId="12477" priority="526" operator="equal">
      <formula>0</formula>
    </cfRule>
  </conditionalFormatting>
  <conditionalFormatting sqref="V151:AJ151">
    <cfRule type="cellIs" dxfId="12476" priority="527" operator="equal">
      <formula>0</formula>
    </cfRule>
  </conditionalFormatting>
  <conditionalFormatting sqref="V145:AK149 V151:AK151 V150:AJ150 V144:AA144 AH144:AK144">
    <cfRule type="expression" dxfId="12475" priority="528">
      <formula>LEN(TRIM(V144))=0</formula>
    </cfRule>
  </conditionalFormatting>
  <conditionalFormatting sqref="V151:AJ151">
    <cfRule type="cellIs" dxfId="12474" priority="529" operator="equal">
      <formula>0</formula>
    </cfRule>
  </conditionalFormatting>
  <conditionalFormatting sqref="V152:AJ152">
    <cfRule type="cellIs" dxfId="12473" priority="530" operator="equal">
      <formula>0</formula>
    </cfRule>
  </conditionalFormatting>
  <conditionalFormatting sqref="V152:AJ152">
    <cfRule type="expression" dxfId="12472" priority="531">
      <formula>LEN(TRIM(V152))=0</formula>
    </cfRule>
  </conditionalFormatting>
  <conditionalFormatting sqref="AK152">
    <cfRule type="cellIs" dxfId="12471" priority="524" operator="equal">
      <formula>0</formula>
    </cfRule>
  </conditionalFormatting>
  <conditionalFormatting sqref="AK152">
    <cfRule type="expression" dxfId="12470" priority="525">
      <formula>LEN(TRIM(AK152))=0</formula>
    </cfRule>
  </conditionalFormatting>
  <conditionalFormatting sqref="AK150">
    <cfRule type="cellIs" dxfId="12469" priority="522" operator="equal">
      <formula>0</formula>
    </cfRule>
  </conditionalFormatting>
  <conditionalFormatting sqref="AK150">
    <cfRule type="expression" dxfId="12468" priority="523">
      <formula>LEN(TRIM(AK150))=0</formula>
    </cfRule>
  </conditionalFormatting>
  <conditionalFormatting sqref="AB144:AG144">
    <cfRule type="cellIs" dxfId="12467" priority="520" operator="equal">
      <formula>0</formula>
    </cfRule>
  </conditionalFormatting>
  <conditionalFormatting sqref="AB144:AG144">
    <cfRule type="expression" dxfId="12466" priority="521">
      <formula>LEN(TRIM(AB144))=0</formula>
    </cfRule>
  </conditionalFormatting>
  <conditionalFormatting sqref="AH161:AK163 W161:AA163 AB161:AG162 AI158:AK160 Y158:Y160 V158:V163 V164:AK164">
    <cfRule type="cellIs" dxfId="12465" priority="499" operator="equal">
      <formula>0</formula>
    </cfRule>
  </conditionalFormatting>
  <conditionalFormatting sqref="AH158:AH163">
    <cfRule type="cellIs" dxfId="12464" priority="500" operator="equal">
      <formula>0</formula>
    </cfRule>
  </conditionalFormatting>
  <conditionalFormatting sqref="V158:W163 Z158:AA163">
    <cfRule type="cellIs" dxfId="12463" priority="501" operator="equal">
      <formula>0</formula>
    </cfRule>
  </conditionalFormatting>
  <conditionalFormatting sqref="X158:X163">
    <cfRule type="cellIs" dxfId="12462" priority="502" operator="equal">
      <formula>0</formula>
    </cfRule>
  </conditionalFormatting>
  <conditionalFormatting sqref="AB161:AB163">
    <cfRule type="cellIs" dxfId="12461" priority="503" operator="equal">
      <formula>0</formula>
    </cfRule>
  </conditionalFormatting>
  <conditionalFormatting sqref="AB158:AB163 AC158:AG158">
    <cfRule type="cellIs" dxfId="12460" priority="504" operator="equal">
      <formula>0</formula>
    </cfRule>
  </conditionalFormatting>
  <conditionalFormatting sqref="AC161:AC163">
    <cfRule type="cellIs" dxfId="12459" priority="505" operator="equal">
      <formula>0</formula>
    </cfRule>
  </conditionalFormatting>
  <conditionalFormatting sqref="AC158:AC163">
    <cfRule type="cellIs" dxfId="12458" priority="506" operator="equal">
      <formula>0</formula>
    </cfRule>
  </conditionalFormatting>
  <conditionalFormatting sqref="AD161:AD163">
    <cfRule type="cellIs" dxfId="12457" priority="507" operator="equal">
      <formula>0</formula>
    </cfRule>
  </conditionalFormatting>
  <conditionalFormatting sqref="AD158:AD163">
    <cfRule type="cellIs" dxfId="12456" priority="508" operator="equal">
      <formula>0</formula>
    </cfRule>
  </conditionalFormatting>
  <conditionalFormatting sqref="AE161:AE163">
    <cfRule type="cellIs" dxfId="12455" priority="509" operator="equal">
      <formula>0</formula>
    </cfRule>
  </conditionalFormatting>
  <conditionalFormatting sqref="AE158:AE163">
    <cfRule type="cellIs" dxfId="12454" priority="510" operator="equal">
      <formula>0</formula>
    </cfRule>
  </conditionalFormatting>
  <conditionalFormatting sqref="AF161:AF163">
    <cfRule type="cellIs" dxfId="12453" priority="511" operator="equal">
      <formula>0</formula>
    </cfRule>
  </conditionalFormatting>
  <conditionalFormatting sqref="AF158:AF163">
    <cfRule type="cellIs" dxfId="12452" priority="512" operator="equal">
      <formula>0</formula>
    </cfRule>
  </conditionalFormatting>
  <conditionalFormatting sqref="AG161:AG163">
    <cfRule type="cellIs" dxfId="12451" priority="513" operator="equal">
      <formula>0</formula>
    </cfRule>
  </conditionalFormatting>
  <conditionalFormatting sqref="AG158:AG163">
    <cfRule type="cellIs" dxfId="12450" priority="514" operator="equal">
      <formula>0</formula>
    </cfRule>
  </conditionalFormatting>
  <conditionalFormatting sqref="V158:AK164">
    <cfRule type="expression" dxfId="12449" priority="515">
      <formula>LEN(TRIM(V158))=0</formula>
    </cfRule>
  </conditionalFormatting>
  <conditionalFormatting sqref="AD161:AD162">
    <cfRule type="cellIs" dxfId="12448" priority="516" operator="equal">
      <formula>0</formula>
    </cfRule>
  </conditionalFormatting>
  <conditionalFormatting sqref="AE161:AE162">
    <cfRule type="cellIs" dxfId="12447" priority="517" operator="equal">
      <formula>0</formula>
    </cfRule>
  </conditionalFormatting>
  <conditionalFormatting sqref="AF161:AG161">
    <cfRule type="cellIs" dxfId="12446" priority="518" operator="equal">
      <formula>0</formula>
    </cfRule>
  </conditionalFormatting>
  <conditionalFormatting sqref="AF162:AG162">
    <cfRule type="cellIs" dxfId="12445" priority="519" operator="equal">
      <formula>0</formula>
    </cfRule>
  </conditionalFormatting>
  <conditionalFormatting sqref="W175:Y175 V176:Y177 Z175:AA177 V171:AA174 AB171:AJ177 V166:AK166 V178:AJ178 V167:AA168 AK167:AK178 AH167:AJ168">
    <cfRule type="cellIs" dxfId="12444" priority="493" operator="equal">
      <formula>0</formula>
    </cfRule>
  </conditionalFormatting>
  <conditionalFormatting sqref="V175">
    <cfRule type="cellIs" dxfId="12443" priority="494" operator="equal">
      <formula>0</formula>
    </cfRule>
  </conditionalFormatting>
  <conditionalFormatting sqref="V166:AK166 V171:AJ178 V167:AA168 AK167:AK178 AH167:AJ168">
    <cfRule type="expression" dxfId="12442" priority="495">
      <formula>LEN(TRIM(V166))=0</formula>
    </cfRule>
  </conditionalFormatting>
  <conditionalFormatting sqref="V169:AJ170">
    <cfRule type="cellIs" dxfId="12441" priority="496" operator="equal">
      <formula>0</formula>
    </cfRule>
  </conditionalFormatting>
  <conditionalFormatting sqref="AH169:AH170">
    <cfRule type="cellIs" dxfId="12440" priority="497" operator="equal">
      <formula>0</formula>
    </cfRule>
  </conditionalFormatting>
  <conditionalFormatting sqref="V169:AJ170">
    <cfRule type="expression" dxfId="12439" priority="498">
      <formula>LEN(TRIM(V169))=0</formula>
    </cfRule>
  </conditionalFormatting>
  <conditionalFormatting sqref="AB167:AG168">
    <cfRule type="cellIs" dxfId="12438" priority="491" operator="equal">
      <formula>0</formula>
    </cfRule>
  </conditionalFormatting>
  <conditionalFormatting sqref="AB167:AG168">
    <cfRule type="expression" dxfId="12437" priority="492">
      <formula>LEN(TRIM(AB167))=0</formula>
    </cfRule>
  </conditionalFormatting>
  <conditionalFormatting sqref="V181:AJ186 AK180:AK185 AK187 V180:AA180 AH180:AJ180">
    <cfRule type="cellIs" dxfId="12436" priority="485" operator="equal">
      <formula>0</formula>
    </cfRule>
  </conditionalFormatting>
  <conditionalFormatting sqref="V187:AJ187">
    <cfRule type="cellIs" dxfId="12435" priority="486" operator="equal">
      <formula>0</formula>
    </cfRule>
  </conditionalFormatting>
  <conditionalFormatting sqref="V181:AK185 V187:AK187 V186:AJ186 V180:AA180 AH180:AK180">
    <cfRule type="expression" dxfId="12434" priority="487">
      <formula>LEN(TRIM(V180))=0</formula>
    </cfRule>
  </conditionalFormatting>
  <conditionalFormatting sqref="V187:AJ187">
    <cfRule type="cellIs" dxfId="12433" priority="488" operator="equal">
      <formula>0</formula>
    </cfRule>
  </conditionalFormatting>
  <conditionalFormatting sqref="V188:AJ188">
    <cfRule type="cellIs" dxfId="12432" priority="489" operator="equal">
      <formula>0</formula>
    </cfRule>
  </conditionalFormatting>
  <conditionalFormatting sqref="V188:AJ188">
    <cfRule type="expression" dxfId="12431" priority="490">
      <formula>LEN(TRIM(V188))=0</formula>
    </cfRule>
  </conditionalFormatting>
  <conditionalFormatting sqref="AK188">
    <cfRule type="cellIs" dxfId="12430" priority="483" operator="equal">
      <formula>0</formula>
    </cfRule>
  </conditionalFormatting>
  <conditionalFormatting sqref="AK188">
    <cfRule type="expression" dxfId="12429" priority="484">
      <formula>LEN(TRIM(AK188))=0</formula>
    </cfRule>
  </conditionalFormatting>
  <conditionalFormatting sqref="AK186">
    <cfRule type="cellIs" dxfId="12428" priority="481" operator="equal">
      <formula>0</formula>
    </cfRule>
  </conditionalFormatting>
  <conditionalFormatting sqref="AK186">
    <cfRule type="expression" dxfId="12427" priority="482">
      <formula>LEN(TRIM(AK186))=0</formula>
    </cfRule>
  </conditionalFormatting>
  <conditionalFormatting sqref="AB180:AG180">
    <cfRule type="cellIs" dxfId="12426" priority="479" operator="equal">
      <formula>0</formula>
    </cfRule>
  </conditionalFormatting>
  <conditionalFormatting sqref="AB180:AG180">
    <cfRule type="expression" dxfId="12425" priority="480">
      <formula>LEN(TRIM(AB180))=0</formula>
    </cfRule>
  </conditionalFormatting>
  <conditionalFormatting sqref="AH197:AK199 W197:AA199 AB197:AG198 AI194:AK196 Y194:Y196 V194:V199 V200:AK200">
    <cfRule type="cellIs" dxfId="12424" priority="458" operator="equal">
      <formula>0</formula>
    </cfRule>
  </conditionalFormatting>
  <conditionalFormatting sqref="AH194:AH199">
    <cfRule type="cellIs" dxfId="12423" priority="459" operator="equal">
      <formula>0</formula>
    </cfRule>
  </conditionalFormatting>
  <conditionalFormatting sqref="V194:W199 Z194:AA199">
    <cfRule type="cellIs" dxfId="12422" priority="460" operator="equal">
      <formula>0</formula>
    </cfRule>
  </conditionalFormatting>
  <conditionalFormatting sqref="X194:X199">
    <cfRule type="cellIs" dxfId="12421" priority="461" operator="equal">
      <formula>0</formula>
    </cfRule>
  </conditionalFormatting>
  <conditionalFormatting sqref="AB197:AB199">
    <cfRule type="cellIs" dxfId="12420" priority="462" operator="equal">
      <formula>0</formula>
    </cfRule>
  </conditionalFormatting>
  <conditionalFormatting sqref="AB194:AB199 AC194:AG194">
    <cfRule type="cellIs" dxfId="12419" priority="463" operator="equal">
      <formula>0</formula>
    </cfRule>
  </conditionalFormatting>
  <conditionalFormatting sqref="AC197:AC199">
    <cfRule type="cellIs" dxfId="12418" priority="464" operator="equal">
      <formula>0</formula>
    </cfRule>
  </conditionalFormatting>
  <conditionalFormatting sqref="AC194:AC199">
    <cfRule type="cellIs" dxfId="12417" priority="465" operator="equal">
      <formula>0</formula>
    </cfRule>
  </conditionalFormatting>
  <conditionalFormatting sqref="AD197:AD199">
    <cfRule type="cellIs" dxfId="12416" priority="466" operator="equal">
      <formula>0</formula>
    </cfRule>
  </conditionalFormatting>
  <conditionalFormatting sqref="AD194:AD199">
    <cfRule type="cellIs" dxfId="12415" priority="467" operator="equal">
      <formula>0</formula>
    </cfRule>
  </conditionalFormatting>
  <conditionalFormatting sqref="AE197:AE199">
    <cfRule type="cellIs" dxfId="12414" priority="468" operator="equal">
      <formula>0</formula>
    </cfRule>
  </conditionalFormatting>
  <conditionalFormatting sqref="AE194:AE199">
    <cfRule type="cellIs" dxfId="12413" priority="469" operator="equal">
      <formula>0</formula>
    </cfRule>
  </conditionalFormatting>
  <conditionalFormatting sqref="AF197:AF199">
    <cfRule type="cellIs" dxfId="12412" priority="470" operator="equal">
      <formula>0</formula>
    </cfRule>
  </conditionalFormatting>
  <conditionalFormatting sqref="AF194:AF199">
    <cfRule type="cellIs" dxfId="12411" priority="471" operator="equal">
      <formula>0</formula>
    </cfRule>
  </conditionalFormatting>
  <conditionalFormatting sqref="AG197:AG199">
    <cfRule type="cellIs" dxfId="12410" priority="472" operator="equal">
      <formula>0</formula>
    </cfRule>
  </conditionalFormatting>
  <conditionalFormatting sqref="AG194:AG199">
    <cfRule type="cellIs" dxfId="12409" priority="473" operator="equal">
      <formula>0</formula>
    </cfRule>
  </conditionalFormatting>
  <conditionalFormatting sqref="V194:AK200">
    <cfRule type="expression" dxfId="12408" priority="474">
      <formula>LEN(TRIM(V194))=0</formula>
    </cfRule>
  </conditionalFormatting>
  <conditionalFormatting sqref="AD197:AD198">
    <cfRule type="cellIs" dxfId="12407" priority="475" operator="equal">
      <formula>0</formula>
    </cfRule>
  </conditionalFormatting>
  <conditionalFormatting sqref="AE197:AE198">
    <cfRule type="cellIs" dxfId="12406" priority="476" operator="equal">
      <formula>0</formula>
    </cfRule>
  </conditionalFormatting>
  <conditionalFormatting sqref="AF197:AG197">
    <cfRule type="cellIs" dxfId="12405" priority="477" operator="equal">
      <formula>0</formula>
    </cfRule>
  </conditionalFormatting>
  <conditionalFormatting sqref="AF198:AG198">
    <cfRule type="cellIs" dxfId="12404" priority="478" operator="equal">
      <formula>0</formula>
    </cfRule>
  </conditionalFormatting>
  <conditionalFormatting sqref="W211:Y211 V212:Y213 Z211:AA213 V207:AA210 AB207:AJ213 V202:AK202 V214:AJ214 V203:AA204 AK203:AK214 AH203:AJ204">
    <cfRule type="cellIs" dxfId="12403" priority="452" operator="equal">
      <formula>0</formula>
    </cfRule>
  </conditionalFormatting>
  <conditionalFormatting sqref="V211">
    <cfRule type="cellIs" dxfId="12402" priority="453" operator="equal">
      <formula>0</formula>
    </cfRule>
  </conditionalFormatting>
  <conditionalFormatting sqref="V202:AK202 V207:AJ214 V203:AA204 AK203:AK214 AH203:AJ204">
    <cfRule type="expression" dxfId="12401" priority="454">
      <formula>LEN(TRIM(V202))=0</formula>
    </cfRule>
  </conditionalFormatting>
  <conditionalFormatting sqref="V205:AJ206">
    <cfRule type="cellIs" dxfId="12400" priority="455" operator="equal">
      <formula>0</formula>
    </cfRule>
  </conditionalFormatting>
  <conditionalFormatting sqref="AH205:AH206">
    <cfRule type="cellIs" dxfId="12399" priority="456" operator="equal">
      <formula>0</formula>
    </cfRule>
  </conditionalFormatting>
  <conditionalFormatting sqref="V205:AJ206">
    <cfRule type="expression" dxfId="12398" priority="457">
      <formula>LEN(TRIM(V205))=0</formula>
    </cfRule>
  </conditionalFormatting>
  <conditionalFormatting sqref="AB203:AG204">
    <cfRule type="cellIs" dxfId="12397" priority="450" operator="equal">
      <formula>0</formula>
    </cfRule>
  </conditionalFormatting>
  <conditionalFormatting sqref="AB203:AG204">
    <cfRule type="expression" dxfId="12396" priority="451">
      <formula>LEN(TRIM(AB203))=0</formula>
    </cfRule>
  </conditionalFormatting>
  <conditionalFormatting sqref="V217:AJ222 AK216:AK221 AK223 V216:AA216 AH216:AJ216">
    <cfRule type="cellIs" dxfId="12395" priority="444" operator="equal">
      <formula>0</formula>
    </cfRule>
  </conditionalFormatting>
  <conditionalFormatting sqref="V223:AJ223">
    <cfRule type="cellIs" dxfId="12394" priority="445" operator="equal">
      <formula>0</formula>
    </cfRule>
  </conditionalFormatting>
  <conditionalFormatting sqref="V217:AK221 V223:AK223 V222:AJ222 V216:AA216 AH216:AK216">
    <cfRule type="expression" dxfId="12393" priority="446">
      <formula>LEN(TRIM(V216))=0</formula>
    </cfRule>
  </conditionalFormatting>
  <conditionalFormatting sqref="V223:AJ223">
    <cfRule type="cellIs" dxfId="12392" priority="447" operator="equal">
      <formula>0</formula>
    </cfRule>
  </conditionalFormatting>
  <conditionalFormatting sqref="V224:AJ224">
    <cfRule type="cellIs" dxfId="12391" priority="448" operator="equal">
      <formula>0</formula>
    </cfRule>
  </conditionalFormatting>
  <conditionalFormatting sqref="V224:AJ224">
    <cfRule type="expression" dxfId="12390" priority="449">
      <formula>LEN(TRIM(V224))=0</formula>
    </cfRule>
  </conditionalFormatting>
  <conditionalFormatting sqref="AK224">
    <cfRule type="cellIs" dxfId="12389" priority="442" operator="equal">
      <formula>0</formula>
    </cfRule>
  </conditionalFormatting>
  <conditionalFormatting sqref="AK224">
    <cfRule type="expression" dxfId="12388" priority="443">
      <formula>LEN(TRIM(AK224))=0</formula>
    </cfRule>
  </conditionalFormatting>
  <conditionalFormatting sqref="AK222">
    <cfRule type="cellIs" dxfId="12387" priority="440" operator="equal">
      <formula>0</formula>
    </cfRule>
  </conditionalFormatting>
  <conditionalFormatting sqref="AK222">
    <cfRule type="expression" dxfId="12386" priority="441">
      <formula>LEN(TRIM(AK222))=0</formula>
    </cfRule>
  </conditionalFormatting>
  <conditionalFormatting sqref="AB216:AG216">
    <cfRule type="cellIs" dxfId="12385" priority="438" operator="equal">
      <formula>0</formula>
    </cfRule>
  </conditionalFormatting>
  <conditionalFormatting sqref="AB216:AG216">
    <cfRule type="expression" dxfId="12384" priority="439">
      <formula>LEN(TRIM(AB216))=0</formula>
    </cfRule>
  </conditionalFormatting>
  <conditionalFormatting sqref="AH233:AK235 W233:AA235 AB233:AG234 AI230:AK232 Y230:Y232 V230:V235 V236:AK236">
    <cfRule type="cellIs" dxfId="12383" priority="417" operator="equal">
      <formula>0</formula>
    </cfRule>
  </conditionalFormatting>
  <conditionalFormatting sqref="AH230:AH235">
    <cfRule type="cellIs" dxfId="12382" priority="418" operator="equal">
      <formula>0</formula>
    </cfRule>
  </conditionalFormatting>
  <conditionalFormatting sqref="V230:W235 Z230:AA235">
    <cfRule type="cellIs" dxfId="12381" priority="419" operator="equal">
      <formula>0</formula>
    </cfRule>
  </conditionalFormatting>
  <conditionalFormatting sqref="X230:X235">
    <cfRule type="cellIs" dxfId="12380" priority="420" operator="equal">
      <formula>0</formula>
    </cfRule>
  </conditionalFormatting>
  <conditionalFormatting sqref="AB233:AB235">
    <cfRule type="cellIs" dxfId="12379" priority="421" operator="equal">
      <formula>0</formula>
    </cfRule>
  </conditionalFormatting>
  <conditionalFormatting sqref="AB230:AB235 AC230:AG230">
    <cfRule type="cellIs" dxfId="12378" priority="422" operator="equal">
      <formula>0</formula>
    </cfRule>
  </conditionalFormatting>
  <conditionalFormatting sqref="AC233:AC235">
    <cfRule type="cellIs" dxfId="12377" priority="423" operator="equal">
      <formula>0</formula>
    </cfRule>
  </conditionalFormatting>
  <conditionalFormatting sqref="AC230:AC235">
    <cfRule type="cellIs" dxfId="12376" priority="424" operator="equal">
      <formula>0</formula>
    </cfRule>
  </conditionalFormatting>
  <conditionalFormatting sqref="AD233:AD235">
    <cfRule type="cellIs" dxfId="12375" priority="425" operator="equal">
      <formula>0</formula>
    </cfRule>
  </conditionalFormatting>
  <conditionalFormatting sqref="AD230:AD235">
    <cfRule type="cellIs" dxfId="12374" priority="426" operator="equal">
      <formula>0</formula>
    </cfRule>
  </conditionalFormatting>
  <conditionalFormatting sqref="AE233:AE235">
    <cfRule type="cellIs" dxfId="12373" priority="427" operator="equal">
      <formula>0</formula>
    </cfRule>
  </conditionalFormatting>
  <conditionalFormatting sqref="AE230:AE235">
    <cfRule type="cellIs" dxfId="12372" priority="428" operator="equal">
      <formula>0</formula>
    </cfRule>
  </conditionalFormatting>
  <conditionalFormatting sqref="AF233:AF235">
    <cfRule type="cellIs" dxfId="12371" priority="429" operator="equal">
      <formula>0</formula>
    </cfRule>
  </conditionalFormatting>
  <conditionalFormatting sqref="AF230:AF235">
    <cfRule type="cellIs" dxfId="12370" priority="430" operator="equal">
      <formula>0</formula>
    </cfRule>
  </conditionalFormatting>
  <conditionalFormatting sqref="AG233:AG235">
    <cfRule type="cellIs" dxfId="12369" priority="431" operator="equal">
      <formula>0</formula>
    </cfRule>
  </conditionalFormatting>
  <conditionalFormatting sqref="AG230:AG235">
    <cfRule type="cellIs" dxfId="12368" priority="432" operator="equal">
      <formula>0</formula>
    </cfRule>
  </conditionalFormatting>
  <conditionalFormatting sqref="V230:AK236">
    <cfRule type="expression" dxfId="12367" priority="433">
      <formula>LEN(TRIM(V230))=0</formula>
    </cfRule>
  </conditionalFormatting>
  <conditionalFormatting sqref="AD233:AD234">
    <cfRule type="cellIs" dxfId="12366" priority="434" operator="equal">
      <formula>0</formula>
    </cfRule>
  </conditionalFormatting>
  <conditionalFormatting sqref="AE233:AE234">
    <cfRule type="cellIs" dxfId="12365" priority="435" operator="equal">
      <formula>0</formula>
    </cfRule>
  </conditionalFormatting>
  <conditionalFormatting sqref="AF233:AG233">
    <cfRule type="cellIs" dxfId="12364" priority="436" operator="equal">
      <formula>0</formula>
    </cfRule>
  </conditionalFormatting>
  <conditionalFormatting sqref="AF234:AG234">
    <cfRule type="cellIs" dxfId="12363" priority="437" operator="equal">
      <formula>0</formula>
    </cfRule>
  </conditionalFormatting>
  <conditionalFormatting sqref="W247:Y247 V248:Y249 Z247:AA249 V243:AA246 AB243:AJ249 V238:AK238 V250:AJ250 V239:AA240 AK239:AK250 AH239:AJ240">
    <cfRule type="cellIs" dxfId="12362" priority="411" operator="equal">
      <formula>0</formula>
    </cfRule>
  </conditionalFormatting>
  <conditionalFormatting sqref="V247">
    <cfRule type="cellIs" dxfId="12361" priority="412" operator="equal">
      <formula>0</formula>
    </cfRule>
  </conditionalFormatting>
  <conditionalFormatting sqref="V238:AK238 V243:AJ250 V239:AA240 AK239:AK250 AH239:AJ240">
    <cfRule type="expression" dxfId="12360" priority="413">
      <formula>LEN(TRIM(V238))=0</formula>
    </cfRule>
  </conditionalFormatting>
  <conditionalFormatting sqref="V241:AJ242">
    <cfRule type="cellIs" dxfId="12359" priority="414" operator="equal">
      <formula>0</formula>
    </cfRule>
  </conditionalFormatting>
  <conditionalFormatting sqref="AH241:AH242">
    <cfRule type="cellIs" dxfId="12358" priority="415" operator="equal">
      <formula>0</formula>
    </cfRule>
  </conditionalFormatting>
  <conditionalFormatting sqref="V241:AJ242">
    <cfRule type="expression" dxfId="12357" priority="416">
      <formula>LEN(TRIM(V241))=0</formula>
    </cfRule>
  </conditionalFormatting>
  <conditionalFormatting sqref="AB239:AG240">
    <cfRule type="cellIs" dxfId="12356" priority="409" operator="equal">
      <formula>0</formula>
    </cfRule>
  </conditionalFormatting>
  <conditionalFormatting sqref="AB239:AG240">
    <cfRule type="expression" dxfId="12355" priority="410">
      <formula>LEN(TRIM(AB239))=0</formula>
    </cfRule>
  </conditionalFormatting>
  <conditionalFormatting sqref="V253:AJ258 AK252:AK257 AK259 V252:AA252 AH252:AJ252">
    <cfRule type="cellIs" dxfId="12354" priority="403" operator="equal">
      <formula>0</formula>
    </cfRule>
  </conditionalFormatting>
  <conditionalFormatting sqref="V259:AJ259">
    <cfRule type="cellIs" dxfId="12353" priority="404" operator="equal">
      <formula>0</formula>
    </cfRule>
  </conditionalFormatting>
  <conditionalFormatting sqref="V253:AK257 V259:AK259 V258:AJ258 V252:AA252 AH252:AK252">
    <cfRule type="expression" dxfId="12352" priority="405">
      <formula>LEN(TRIM(V252))=0</formula>
    </cfRule>
  </conditionalFormatting>
  <conditionalFormatting sqref="V259:AJ259">
    <cfRule type="cellIs" dxfId="12351" priority="406" operator="equal">
      <formula>0</formula>
    </cfRule>
  </conditionalFormatting>
  <conditionalFormatting sqref="V260:AJ260">
    <cfRule type="cellIs" dxfId="12350" priority="407" operator="equal">
      <formula>0</formula>
    </cfRule>
  </conditionalFormatting>
  <conditionalFormatting sqref="V260:AJ260">
    <cfRule type="expression" dxfId="12349" priority="408">
      <formula>LEN(TRIM(V260))=0</formula>
    </cfRule>
  </conditionalFormatting>
  <conditionalFormatting sqref="AK260">
    <cfRule type="cellIs" dxfId="12348" priority="401" operator="equal">
      <formula>0</formula>
    </cfRule>
  </conditionalFormatting>
  <conditionalFormatting sqref="AK260">
    <cfRule type="expression" dxfId="12347" priority="402">
      <formula>LEN(TRIM(AK260))=0</formula>
    </cfRule>
  </conditionalFormatting>
  <conditionalFormatting sqref="AK258">
    <cfRule type="cellIs" dxfId="12346" priority="399" operator="equal">
      <formula>0</formula>
    </cfRule>
  </conditionalFormatting>
  <conditionalFormatting sqref="AK258">
    <cfRule type="expression" dxfId="12345" priority="400">
      <formula>LEN(TRIM(AK258))=0</formula>
    </cfRule>
  </conditionalFormatting>
  <conditionalFormatting sqref="AB252:AG252">
    <cfRule type="cellIs" dxfId="12344" priority="397" operator="equal">
      <formula>0</formula>
    </cfRule>
  </conditionalFormatting>
  <conditionalFormatting sqref="AB252:AG252">
    <cfRule type="expression" dxfId="12343" priority="398">
      <formula>LEN(TRIM(AB252))=0</formula>
    </cfRule>
  </conditionalFormatting>
  <conditionalFormatting sqref="AH269:AK271 W269:AA271 AB269:AG270 AI266:AK268 Y266:Y268 V266:V271 V272:AK272">
    <cfRule type="cellIs" dxfId="12342" priority="376" operator="equal">
      <formula>0</formula>
    </cfRule>
  </conditionalFormatting>
  <conditionalFormatting sqref="AH266:AH271">
    <cfRule type="cellIs" dxfId="12341" priority="377" operator="equal">
      <formula>0</formula>
    </cfRule>
  </conditionalFormatting>
  <conditionalFormatting sqref="V266:W271 Z266:AA271">
    <cfRule type="cellIs" dxfId="12340" priority="378" operator="equal">
      <formula>0</formula>
    </cfRule>
  </conditionalFormatting>
  <conditionalFormatting sqref="X266:X271">
    <cfRule type="cellIs" dxfId="12339" priority="379" operator="equal">
      <formula>0</formula>
    </cfRule>
  </conditionalFormatting>
  <conditionalFormatting sqref="AB269:AB271">
    <cfRule type="cellIs" dxfId="12338" priority="380" operator="equal">
      <formula>0</formula>
    </cfRule>
  </conditionalFormatting>
  <conditionalFormatting sqref="AB266:AB271 AC266:AG266">
    <cfRule type="cellIs" dxfId="12337" priority="381" operator="equal">
      <formula>0</formula>
    </cfRule>
  </conditionalFormatting>
  <conditionalFormatting sqref="AC269:AC271">
    <cfRule type="cellIs" dxfId="12336" priority="382" operator="equal">
      <formula>0</formula>
    </cfRule>
  </conditionalFormatting>
  <conditionalFormatting sqref="AC266:AC271">
    <cfRule type="cellIs" dxfId="12335" priority="383" operator="equal">
      <formula>0</formula>
    </cfRule>
  </conditionalFormatting>
  <conditionalFormatting sqref="AD269:AD271">
    <cfRule type="cellIs" dxfId="12334" priority="384" operator="equal">
      <formula>0</formula>
    </cfRule>
  </conditionalFormatting>
  <conditionalFormatting sqref="AD266:AD271">
    <cfRule type="cellIs" dxfId="12333" priority="385" operator="equal">
      <formula>0</formula>
    </cfRule>
  </conditionalFormatting>
  <conditionalFormatting sqref="AE269:AE271">
    <cfRule type="cellIs" dxfId="12332" priority="386" operator="equal">
      <formula>0</formula>
    </cfRule>
  </conditionalFormatting>
  <conditionalFormatting sqref="AE266:AE271">
    <cfRule type="cellIs" dxfId="12331" priority="387" operator="equal">
      <formula>0</formula>
    </cfRule>
  </conditionalFormatting>
  <conditionalFormatting sqref="AF269:AF271">
    <cfRule type="cellIs" dxfId="12330" priority="388" operator="equal">
      <formula>0</formula>
    </cfRule>
  </conditionalFormatting>
  <conditionalFormatting sqref="AF266:AF271">
    <cfRule type="cellIs" dxfId="12329" priority="389" operator="equal">
      <formula>0</formula>
    </cfRule>
  </conditionalFormatting>
  <conditionalFormatting sqref="AG269:AG271">
    <cfRule type="cellIs" dxfId="12328" priority="390" operator="equal">
      <formula>0</formula>
    </cfRule>
  </conditionalFormatting>
  <conditionalFormatting sqref="AG266:AG271">
    <cfRule type="cellIs" dxfId="12327" priority="391" operator="equal">
      <formula>0</formula>
    </cfRule>
  </conditionalFormatting>
  <conditionalFormatting sqref="V266:AK272">
    <cfRule type="expression" dxfId="12326" priority="392">
      <formula>LEN(TRIM(V266))=0</formula>
    </cfRule>
  </conditionalFormatting>
  <conditionalFormatting sqref="AD269:AD270">
    <cfRule type="cellIs" dxfId="12325" priority="393" operator="equal">
      <formula>0</formula>
    </cfRule>
  </conditionalFormatting>
  <conditionalFormatting sqref="AE269:AE270">
    <cfRule type="cellIs" dxfId="12324" priority="394" operator="equal">
      <formula>0</formula>
    </cfRule>
  </conditionalFormatting>
  <conditionalFormatting sqref="AF269:AG269">
    <cfRule type="cellIs" dxfId="12323" priority="395" operator="equal">
      <formula>0</formula>
    </cfRule>
  </conditionalFormatting>
  <conditionalFormatting sqref="AF270:AG270">
    <cfRule type="cellIs" dxfId="12322" priority="396" operator="equal">
      <formula>0</formula>
    </cfRule>
  </conditionalFormatting>
  <conditionalFormatting sqref="W283:Y283 V284:Y285 Z283:AA285 V279:AA282 AB279:AJ285 V274:AK274 V286:AJ286 V275:AA276 AK275:AK286 AH275:AJ276">
    <cfRule type="cellIs" dxfId="12321" priority="370" operator="equal">
      <formula>0</formula>
    </cfRule>
  </conditionalFormatting>
  <conditionalFormatting sqref="V283">
    <cfRule type="cellIs" dxfId="12320" priority="371" operator="equal">
      <formula>0</formula>
    </cfRule>
  </conditionalFormatting>
  <conditionalFormatting sqref="V274:AK274 V279:AJ286 V275:AA276 AK275:AK286 AH275:AJ276">
    <cfRule type="expression" dxfId="12319" priority="372">
      <formula>LEN(TRIM(V274))=0</formula>
    </cfRule>
  </conditionalFormatting>
  <conditionalFormatting sqref="V277:AJ278">
    <cfRule type="cellIs" dxfId="12318" priority="373" operator="equal">
      <formula>0</formula>
    </cfRule>
  </conditionalFormatting>
  <conditionalFormatting sqref="AH277:AH278">
    <cfRule type="cellIs" dxfId="12317" priority="374" operator="equal">
      <formula>0</formula>
    </cfRule>
  </conditionalFormatting>
  <conditionalFormatting sqref="V277:AJ278">
    <cfRule type="expression" dxfId="12316" priority="375">
      <formula>LEN(TRIM(V277))=0</formula>
    </cfRule>
  </conditionalFormatting>
  <conditionalFormatting sqref="AB275:AG276">
    <cfRule type="cellIs" dxfId="12315" priority="368" operator="equal">
      <formula>0</formula>
    </cfRule>
  </conditionalFormatting>
  <conditionalFormatting sqref="AB275:AG276">
    <cfRule type="expression" dxfId="12314" priority="369">
      <formula>LEN(TRIM(AB275))=0</formula>
    </cfRule>
  </conditionalFormatting>
  <conditionalFormatting sqref="V289:AJ294 AK288:AK293 AK295 V288:AA288 AH288:AJ288">
    <cfRule type="cellIs" dxfId="12313" priority="362" operator="equal">
      <formula>0</formula>
    </cfRule>
  </conditionalFormatting>
  <conditionalFormatting sqref="V295:AJ295">
    <cfRule type="cellIs" dxfId="12312" priority="363" operator="equal">
      <formula>0</formula>
    </cfRule>
  </conditionalFormatting>
  <conditionalFormatting sqref="V289:AK293 V295:AK295 V294:AJ294 V288:AA288 AH288:AK288">
    <cfRule type="expression" dxfId="12311" priority="364">
      <formula>LEN(TRIM(V288))=0</formula>
    </cfRule>
  </conditionalFormatting>
  <conditionalFormatting sqref="V295:AJ295">
    <cfRule type="cellIs" dxfId="12310" priority="365" operator="equal">
      <formula>0</formula>
    </cfRule>
  </conditionalFormatting>
  <conditionalFormatting sqref="V296:AJ296">
    <cfRule type="cellIs" dxfId="12309" priority="366" operator="equal">
      <formula>0</formula>
    </cfRule>
  </conditionalFormatting>
  <conditionalFormatting sqref="V296:AJ296">
    <cfRule type="expression" dxfId="12308" priority="367">
      <formula>LEN(TRIM(V296))=0</formula>
    </cfRule>
  </conditionalFormatting>
  <conditionalFormatting sqref="AK296">
    <cfRule type="cellIs" dxfId="12307" priority="360" operator="equal">
      <formula>0</formula>
    </cfRule>
  </conditionalFormatting>
  <conditionalFormatting sqref="AK296">
    <cfRule type="expression" dxfId="12306" priority="361">
      <formula>LEN(TRIM(AK296))=0</formula>
    </cfRule>
  </conditionalFormatting>
  <conditionalFormatting sqref="AK294">
    <cfRule type="cellIs" dxfId="12305" priority="358" operator="equal">
      <formula>0</formula>
    </cfRule>
  </conditionalFormatting>
  <conditionalFormatting sqref="AK294">
    <cfRule type="expression" dxfId="12304" priority="359">
      <formula>LEN(TRIM(AK294))=0</formula>
    </cfRule>
  </conditionalFormatting>
  <conditionalFormatting sqref="AB288:AG288">
    <cfRule type="cellIs" dxfId="12303" priority="356" operator="equal">
      <formula>0</formula>
    </cfRule>
  </conditionalFormatting>
  <conditionalFormatting sqref="AB288:AG288">
    <cfRule type="expression" dxfId="12302" priority="357">
      <formula>LEN(TRIM(AB288))=0</formula>
    </cfRule>
  </conditionalFormatting>
  <conditionalFormatting sqref="AH305:AK307 W305:AA307 AB305:AG306 AI302:AK304 Y302:Y304 V302:V307 V308:AK308">
    <cfRule type="cellIs" dxfId="12301" priority="335" operator="equal">
      <formula>0</formula>
    </cfRule>
  </conditionalFormatting>
  <conditionalFormatting sqref="AH302:AH307">
    <cfRule type="cellIs" dxfId="12300" priority="336" operator="equal">
      <formula>0</formula>
    </cfRule>
  </conditionalFormatting>
  <conditionalFormatting sqref="V302:W307 Z302:AA307">
    <cfRule type="cellIs" dxfId="12299" priority="337" operator="equal">
      <formula>0</formula>
    </cfRule>
  </conditionalFormatting>
  <conditionalFormatting sqref="X302:X307">
    <cfRule type="cellIs" dxfId="12298" priority="338" operator="equal">
      <formula>0</formula>
    </cfRule>
  </conditionalFormatting>
  <conditionalFormatting sqref="AB305:AB307">
    <cfRule type="cellIs" dxfId="12297" priority="339" operator="equal">
      <formula>0</formula>
    </cfRule>
  </conditionalFormatting>
  <conditionalFormatting sqref="AB302:AB307 AC302:AG302">
    <cfRule type="cellIs" dxfId="12296" priority="340" operator="equal">
      <formula>0</formula>
    </cfRule>
  </conditionalFormatting>
  <conditionalFormatting sqref="AC305:AC307">
    <cfRule type="cellIs" dxfId="12295" priority="341" operator="equal">
      <formula>0</formula>
    </cfRule>
  </conditionalFormatting>
  <conditionalFormatting sqref="AC302:AC307">
    <cfRule type="cellIs" dxfId="12294" priority="342" operator="equal">
      <formula>0</formula>
    </cfRule>
  </conditionalFormatting>
  <conditionalFormatting sqref="AD305:AD307">
    <cfRule type="cellIs" dxfId="12293" priority="343" operator="equal">
      <formula>0</formula>
    </cfRule>
  </conditionalFormatting>
  <conditionalFormatting sqref="AD302:AD307">
    <cfRule type="cellIs" dxfId="12292" priority="344" operator="equal">
      <formula>0</formula>
    </cfRule>
  </conditionalFormatting>
  <conditionalFormatting sqref="AE305:AE307">
    <cfRule type="cellIs" dxfId="12291" priority="345" operator="equal">
      <formula>0</formula>
    </cfRule>
  </conditionalFormatting>
  <conditionalFormatting sqref="AE302:AE307">
    <cfRule type="cellIs" dxfId="12290" priority="346" operator="equal">
      <formula>0</formula>
    </cfRule>
  </conditionalFormatting>
  <conditionalFormatting sqref="AF305:AF307">
    <cfRule type="cellIs" dxfId="12289" priority="347" operator="equal">
      <formula>0</formula>
    </cfRule>
  </conditionalFormatting>
  <conditionalFormatting sqref="AF302:AF307">
    <cfRule type="cellIs" dxfId="12288" priority="348" operator="equal">
      <formula>0</formula>
    </cfRule>
  </conditionalFormatting>
  <conditionalFormatting sqref="AG305:AG307">
    <cfRule type="cellIs" dxfId="12287" priority="349" operator="equal">
      <formula>0</formula>
    </cfRule>
  </conditionalFormatting>
  <conditionalFormatting sqref="AG302:AG307">
    <cfRule type="cellIs" dxfId="12286" priority="350" operator="equal">
      <formula>0</formula>
    </cfRule>
  </conditionalFormatting>
  <conditionalFormatting sqref="V302:AK308">
    <cfRule type="expression" dxfId="12285" priority="351">
      <formula>LEN(TRIM(V302))=0</formula>
    </cfRule>
  </conditionalFormatting>
  <conditionalFormatting sqref="AD305:AD306">
    <cfRule type="cellIs" dxfId="12284" priority="352" operator="equal">
      <formula>0</formula>
    </cfRule>
  </conditionalFormatting>
  <conditionalFormatting sqref="AE305:AE306">
    <cfRule type="cellIs" dxfId="12283" priority="353" operator="equal">
      <formula>0</formula>
    </cfRule>
  </conditionalFormatting>
  <conditionalFormatting sqref="AF305:AG305">
    <cfRule type="cellIs" dxfId="12282" priority="354" operator="equal">
      <formula>0</formula>
    </cfRule>
  </conditionalFormatting>
  <conditionalFormatting sqref="AF306:AG306">
    <cfRule type="cellIs" dxfId="12281" priority="355" operator="equal">
      <formula>0</formula>
    </cfRule>
  </conditionalFormatting>
  <conditionalFormatting sqref="W319:Y319 V320:Y321 Z319:AA321 V315:AA318 AB315:AJ321 V310:AK310 V322:AJ322 V311:AA312 AK311:AK322 AH311:AJ312">
    <cfRule type="cellIs" dxfId="12280" priority="329" operator="equal">
      <formula>0</formula>
    </cfRule>
  </conditionalFormatting>
  <conditionalFormatting sqref="V319">
    <cfRule type="cellIs" dxfId="12279" priority="330" operator="equal">
      <formula>0</formula>
    </cfRule>
  </conditionalFormatting>
  <conditionalFormatting sqref="V310:AK310 V315:AJ322 V311:AA312 AK311:AK322 AH311:AJ312">
    <cfRule type="expression" dxfId="12278" priority="331">
      <formula>LEN(TRIM(V310))=0</formula>
    </cfRule>
  </conditionalFormatting>
  <conditionalFormatting sqref="V313:AJ314">
    <cfRule type="cellIs" dxfId="12277" priority="332" operator="equal">
      <formula>0</formula>
    </cfRule>
  </conditionalFormatting>
  <conditionalFormatting sqref="AH313:AH314">
    <cfRule type="cellIs" dxfId="12276" priority="333" operator="equal">
      <formula>0</formula>
    </cfRule>
  </conditionalFormatting>
  <conditionalFormatting sqref="V313:AJ314">
    <cfRule type="expression" dxfId="12275" priority="334">
      <formula>LEN(TRIM(V313))=0</formula>
    </cfRule>
  </conditionalFormatting>
  <conditionalFormatting sqref="AB311:AG312">
    <cfRule type="cellIs" dxfId="12274" priority="327" operator="equal">
      <formula>0</formula>
    </cfRule>
  </conditionalFormatting>
  <conditionalFormatting sqref="AB311:AG312">
    <cfRule type="expression" dxfId="12273" priority="328">
      <formula>LEN(TRIM(AB311))=0</formula>
    </cfRule>
  </conditionalFormatting>
  <conditionalFormatting sqref="V325:AJ330 AK324:AK329 AK331 V324:AA324 AH324:AJ324">
    <cfRule type="cellIs" dxfId="12272" priority="321" operator="equal">
      <formula>0</formula>
    </cfRule>
  </conditionalFormatting>
  <conditionalFormatting sqref="V331:AJ331">
    <cfRule type="cellIs" dxfId="12271" priority="322" operator="equal">
      <formula>0</formula>
    </cfRule>
  </conditionalFormatting>
  <conditionalFormatting sqref="V325:AK329 V331:AK331 V330:AJ330 V324:AA324 AH324:AK324">
    <cfRule type="expression" dxfId="12270" priority="323">
      <formula>LEN(TRIM(V324))=0</formula>
    </cfRule>
  </conditionalFormatting>
  <conditionalFormatting sqref="V331:AJ331">
    <cfRule type="cellIs" dxfId="12269" priority="324" operator="equal">
      <formula>0</formula>
    </cfRule>
  </conditionalFormatting>
  <conditionalFormatting sqref="V332:AJ332">
    <cfRule type="cellIs" dxfId="12268" priority="325" operator="equal">
      <formula>0</formula>
    </cfRule>
  </conditionalFormatting>
  <conditionalFormatting sqref="V332:AJ332">
    <cfRule type="expression" dxfId="12267" priority="326">
      <formula>LEN(TRIM(V332))=0</formula>
    </cfRule>
  </conditionalFormatting>
  <conditionalFormatting sqref="AK332">
    <cfRule type="cellIs" dxfId="12266" priority="319" operator="equal">
      <formula>0</formula>
    </cfRule>
  </conditionalFormatting>
  <conditionalFormatting sqref="AK332">
    <cfRule type="expression" dxfId="12265" priority="320">
      <formula>LEN(TRIM(AK332))=0</formula>
    </cfRule>
  </conditionalFormatting>
  <conditionalFormatting sqref="AK330">
    <cfRule type="cellIs" dxfId="12264" priority="317" operator="equal">
      <formula>0</formula>
    </cfRule>
  </conditionalFormatting>
  <conditionalFormatting sqref="AK330">
    <cfRule type="expression" dxfId="12263" priority="318">
      <formula>LEN(TRIM(AK330))=0</formula>
    </cfRule>
  </conditionalFormatting>
  <conditionalFormatting sqref="AB324:AG324">
    <cfRule type="cellIs" dxfId="12262" priority="315" operator="equal">
      <formula>0</formula>
    </cfRule>
  </conditionalFormatting>
  <conditionalFormatting sqref="AB324:AG324">
    <cfRule type="expression" dxfId="12261" priority="316">
      <formula>LEN(TRIM(AB324))=0</formula>
    </cfRule>
  </conditionalFormatting>
  <conditionalFormatting sqref="AH341:AK343 W341:AA343 AB341:AG342 AI338:AK340 Y338:Y340 V338:V343 V344:AK344">
    <cfRule type="cellIs" dxfId="12260" priority="294" operator="equal">
      <formula>0</formula>
    </cfRule>
  </conditionalFormatting>
  <conditionalFormatting sqref="AH338:AH343">
    <cfRule type="cellIs" dxfId="12259" priority="295" operator="equal">
      <formula>0</formula>
    </cfRule>
  </conditionalFormatting>
  <conditionalFormatting sqref="V338:W343 Z338:AA343">
    <cfRule type="cellIs" dxfId="12258" priority="296" operator="equal">
      <formula>0</formula>
    </cfRule>
  </conditionalFormatting>
  <conditionalFormatting sqref="X338:X343">
    <cfRule type="cellIs" dxfId="12257" priority="297" operator="equal">
      <formula>0</formula>
    </cfRule>
  </conditionalFormatting>
  <conditionalFormatting sqref="AB341:AB343">
    <cfRule type="cellIs" dxfId="12256" priority="298" operator="equal">
      <formula>0</formula>
    </cfRule>
  </conditionalFormatting>
  <conditionalFormatting sqref="AB338:AB343 AC338:AG338">
    <cfRule type="cellIs" dxfId="12255" priority="299" operator="equal">
      <formula>0</formula>
    </cfRule>
  </conditionalFormatting>
  <conditionalFormatting sqref="AC341:AC343">
    <cfRule type="cellIs" dxfId="12254" priority="300" operator="equal">
      <formula>0</formula>
    </cfRule>
  </conditionalFormatting>
  <conditionalFormatting sqref="AC338:AC343">
    <cfRule type="cellIs" dxfId="12253" priority="301" operator="equal">
      <formula>0</formula>
    </cfRule>
  </conditionalFormatting>
  <conditionalFormatting sqref="AD341:AD343">
    <cfRule type="cellIs" dxfId="12252" priority="302" operator="equal">
      <formula>0</formula>
    </cfRule>
  </conditionalFormatting>
  <conditionalFormatting sqref="AD338:AD343">
    <cfRule type="cellIs" dxfId="12251" priority="303" operator="equal">
      <formula>0</formula>
    </cfRule>
  </conditionalFormatting>
  <conditionalFormatting sqref="AE341:AE343">
    <cfRule type="cellIs" dxfId="12250" priority="304" operator="equal">
      <formula>0</formula>
    </cfRule>
  </conditionalFormatting>
  <conditionalFormatting sqref="AE338:AE343">
    <cfRule type="cellIs" dxfId="12249" priority="305" operator="equal">
      <formula>0</formula>
    </cfRule>
  </conditionalFormatting>
  <conditionalFormatting sqref="AF341:AF343">
    <cfRule type="cellIs" dxfId="12248" priority="306" operator="equal">
      <formula>0</formula>
    </cfRule>
  </conditionalFormatting>
  <conditionalFormatting sqref="AF338:AF343">
    <cfRule type="cellIs" dxfId="12247" priority="307" operator="equal">
      <formula>0</formula>
    </cfRule>
  </conditionalFormatting>
  <conditionalFormatting sqref="AG341:AG343">
    <cfRule type="cellIs" dxfId="12246" priority="308" operator="equal">
      <formula>0</formula>
    </cfRule>
  </conditionalFormatting>
  <conditionalFormatting sqref="AG338:AG343">
    <cfRule type="cellIs" dxfId="12245" priority="309" operator="equal">
      <formula>0</formula>
    </cfRule>
  </conditionalFormatting>
  <conditionalFormatting sqref="V338:AK344">
    <cfRule type="expression" dxfId="12244" priority="310">
      <formula>LEN(TRIM(V338))=0</formula>
    </cfRule>
  </conditionalFormatting>
  <conditionalFormatting sqref="AD341:AD342">
    <cfRule type="cellIs" dxfId="12243" priority="311" operator="equal">
      <formula>0</formula>
    </cfRule>
  </conditionalFormatting>
  <conditionalFormatting sqref="AE341:AE342">
    <cfRule type="cellIs" dxfId="12242" priority="312" operator="equal">
      <formula>0</formula>
    </cfRule>
  </conditionalFormatting>
  <conditionalFormatting sqref="AF341:AG341">
    <cfRule type="cellIs" dxfId="12241" priority="313" operator="equal">
      <formula>0</formula>
    </cfRule>
  </conditionalFormatting>
  <conditionalFormatting sqref="AF342:AG342">
    <cfRule type="cellIs" dxfId="12240" priority="314" operator="equal">
      <formula>0</formula>
    </cfRule>
  </conditionalFormatting>
  <conditionalFormatting sqref="W355:Y355 V356:Y357 Z355:AA357 V351:AA354 AB351:AJ357 V346:AK346 V358:AJ358 V347:AA348 AK347:AK358 AH347:AJ348">
    <cfRule type="cellIs" dxfId="12239" priority="288" operator="equal">
      <formula>0</formula>
    </cfRule>
  </conditionalFormatting>
  <conditionalFormatting sqref="V355">
    <cfRule type="cellIs" dxfId="12238" priority="289" operator="equal">
      <formula>0</formula>
    </cfRule>
  </conditionalFormatting>
  <conditionalFormatting sqref="V346:AK346 V351:AJ358 V347:AA348 AK347:AK358 AH347:AJ348">
    <cfRule type="expression" dxfId="12237" priority="290">
      <formula>LEN(TRIM(V346))=0</formula>
    </cfRule>
  </conditionalFormatting>
  <conditionalFormatting sqref="V349:AJ350">
    <cfRule type="cellIs" dxfId="12236" priority="291" operator="equal">
      <formula>0</formula>
    </cfRule>
  </conditionalFormatting>
  <conditionalFormatting sqref="AH349:AH350">
    <cfRule type="cellIs" dxfId="12235" priority="292" operator="equal">
      <formula>0</formula>
    </cfRule>
  </conditionalFormatting>
  <conditionalFormatting sqref="V349:AJ350">
    <cfRule type="expression" dxfId="12234" priority="293">
      <formula>LEN(TRIM(V349))=0</formula>
    </cfRule>
  </conditionalFormatting>
  <conditionalFormatting sqref="AB347:AG348">
    <cfRule type="cellIs" dxfId="12233" priority="286" operator="equal">
      <formula>0</formula>
    </cfRule>
  </conditionalFormatting>
  <conditionalFormatting sqref="AB347:AG348">
    <cfRule type="expression" dxfId="12232" priority="287">
      <formula>LEN(TRIM(AB347))=0</formula>
    </cfRule>
  </conditionalFormatting>
  <conditionalFormatting sqref="V361:AJ366 AK360:AK365 AK367 V360:AA360 AH360:AJ360">
    <cfRule type="cellIs" dxfId="12231" priority="280" operator="equal">
      <formula>0</formula>
    </cfRule>
  </conditionalFormatting>
  <conditionalFormatting sqref="V367:AJ367">
    <cfRule type="cellIs" dxfId="12230" priority="281" operator="equal">
      <formula>0</formula>
    </cfRule>
  </conditionalFormatting>
  <conditionalFormatting sqref="V361:AK365 V367:AK367 V366:AJ366 V360:AA360 AH360:AK360">
    <cfRule type="expression" dxfId="12229" priority="282">
      <formula>LEN(TRIM(V360))=0</formula>
    </cfRule>
  </conditionalFormatting>
  <conditionalFormatting sqref="V367:AJ367">
    <cfRule type="cellIs" dxfId="12228" priority="283" operator="equal">
      <formula>0</formula>
    </cfRule>
  </conditionalFormatting>
  <conditionalFormatting sqref="V368:AJ368">
    <cfRule type="cellIs" dxfId="12227" priority="284" operator="equal">
      <formula>0</formula>
    </cfRule>
  </conditionalFormatting>
  <conditionalFormatting sqref="V368:AJ368">
    <cfRule type="expression" dxfId="12226" priority="285">
      <formula>LEN(TRIM(V368))=0</formula>
    </cfRule>
  </conditionalFormatting>
  <conditionalFormatting sqref="AK368">
    <cfRule type="cellIs" dxfId="12225" priority="278" operator="equal">
      <formula>0</formula>
    </cfRule>
  </conditionalFormatting>
  <conditionalFormatting sqref="AK368">
    <cfRule type="expression" dxfId="12224" priority="279">
      <formula>LEN(TRIM(AK368))=0</formula>
    </cfRule>
  </conditionalFormatting>
  <conditionalFormatting sqref="AK366">
    <cfRule type="cellIs" dxfId="12223" priority="276" operator="equal">
      <formula>0</formula>
    </cfRule>
  </conditionalFormatting>
  <conditionalFormatting sqref="AK366">
    <cfRule type="expression" dxfId="12222" priority="277">
      <formula>LEN(TRIM(AK366))=0</formula>
    </cfRule>
  </conditionalFormatting>
  <conditionalFormatting sqref="AB360:AG360">
    <cfRule type="cellIs" dxfId="12221" priority="274" operator="equal">
      <formula>0</formula>
    </cfRule>
  </conditionalFormatting>
  <conditionalFormatting sqref="AB360:AG360">
    <cfRule type="expression" dxfId="12220" priority="275">
      <formula>LEN(TRIM(AB360))=0</formula>
    </cfRule>
  </conditionalFormatting>
  <conditionalFormatting sqref="AH377:AK379 W377:AA379 AB377:AG378 AI374:AK376 Y374:Y376 V374:V379 V380:AK380">
    <cfRule type="cellIs" dxfId="12219" priority="253" operator="equal">
      <formula>0</formula>
    </cfRule>
  </conditionalFormatting>
  <conditionalFormatting sqref="AH374:AH379">
    <cfRule type="cellIs" dxfId="12218" priority="254" operator="equal">
      <formula>0</formula>
    </cfRule>
  </conditionalFormatting>
  <conditionalFormatting sqref="V374:W379 Z374:AA379">
    <cfRule type="cellIs" dxfId="12217" priority="255" operator="equal">
      <formula>0</formula>
    </cfRule>
  </conditionalFormatting>
  <conditionalFormatting sqref="X374:X379">
    <cfRule type="cellIs" dxfId="12216" priority="256" operator="equal">
      <formula>0</formula>
    </cfRule>
  </conditionalFormatting>
  <conditionalFormatting sqref="AB377:AB379">
    <cfRule type="cellIs" dxfId="12215" priority="257" operator="equal">
      <formula>0</formula>
    </cfRule>
  </conditionalFormatting>
  <conditionalFormatting sqref="AB374:AB379 AC374:AG374">
    <cfRule type="cellIs" dxfId="12214" priority="258" operator="equal">
      <formula>0</formula>
    </cfRule>
  </conditionalFormatting>
  <conditionalFormatting sqref="AC377:AC379">
    <cfRule type="cellIs" dxfId="12213" priority="259" operator="equal">
      <formula>0</formula>
    </cfRule>
  </conditionalFormatting>
  <conditionalFormatting sqref="AC374:AC379">
    <cfRule type="cellIs" dxfId="12212" priority="260" operator="equal">
      <formula>0</formula>
    </cfRule>
  </conditionalFormatting>
  <conditionalFormatting sqref="AD377:AD379">
    <cfRule type="cellIs" dxfId="12211" priority="261" operator="equal">
      <formula>0</formula>
    </cfRule>
  </conditionalFormatting>
  <conditionalFormatting sqref="AD374:AD379">
    <cfRule type="cellIs" dxfId="12210" priority="262" operator="equal">
      <formula>0</formula>
    </cfRule>
  </conditionalFormatting>
  <conditionalFormatting sqref="AE377:AE379">
    <cfRule type="cellIs" dxfId="12209" priority="263" operator="equal">
      <formula>0</formula>
    </cfRule>
  </conditionalFormatting>
  <conditionalFormatting sqref="AE374:AE379">
    <cfRule type="cellIs" dxfId="12208" priority="264" operator="equal">
      <formula>0</formula>
    </cfRule>
  </conditionalFormatting>
  <conditionalFormatting sqref="AF377:AF379">
    <cfRule type="cellIs" dxfId="12207" priority="265" operator="equal">
      <formula>0</formula>
    </cfRule>
  </conditionalFormatting>
  <conditionalFormatting sqref="AF374:AF379">
    <cfRule type="cellIs" dxfId="12206" priority="266" operator="equal">
      <formula>0</formula>
    </cfRule>
  </conditionalFormatting>
  <conditionalFormatting sqref="AG377:AG379">
    <cfRule type="cellIs" dxfId="12205" priority="267" operator="equal">
      <formula>0</formula>
    </cfRule>
  </conditionalFormatting>
  <conditionalFormatting sqref="AG374:AG379">
    <cfRule type="cellIs" dxfId="12204" priority="268" operator="equal">
      <formula>0</formula>
    </cfRule>
  </conditionalFormatting>
  <conditionalFormatting sqref="V374:AK380">
    <cfRule type="expression" dxfId="12203" priority="269">
      <formula>LEN(TRIM(V374))=0</formula>
    </cfRule>
  </conditionalFormatting>
  <conditionalFormatting sqref="AD377:AD378">
    <cfRule type="cellIs" dxfId="12202" priority="270" operator="equal">
      <formula>0</formula>
    </cfRule>
  </conditionalFormatting>
  <conditionalFormatting sqref="AE377:AE378">
    <cfRule type="cellIs" dxfId="12201" priority="271" operator="equal">
      <formula>0</formula>
    </cfRule>
  </conditionalFormatting>
  <conditionalFormatting sqref="AF377:AG377">
    <cfRule type="cellIs" dxfId="12200" priority="272" operator="equal">
      <formula>0</formula>
    </cfRule>
  </conditionalFormatting>
  <conditionalFormatting sqref="AF378:AG378">
    <cfRule type="cellIs" dxfId="12199" priority="273" operator="equal">
      <formula>0</formula>
    </cfRule>
  </conditionalFormatting>
  <conditionalFormatting sqref="W391:Y391 V392:Y393 Z391:AA393 V387:AA390 AB387:AJ393 V382:AK382 V394:AJ394 V383:AA384 AK383:AK394 AH383:AJ384">
    <cfRule type="cellIs" dxfId="12198" priority="247" operator="equal">
      <formula>0</formula>
    </cfRule>
  </conditionalFormatting>
  <conditionalFormatting sqref="V391">
    <cfRule type="cellIs" dxfId="12197" priority="248" operator="equal">
      <formula>0</formula>
    </cfRule>
  </conditionalFormatting>
  <conditionalFormatting sqref="V382:AK382 V387:AJ394 V383:AA384 AK383:AK394 AH383:AJ384">
    <cfRule type="expression" dxfId="12196" priority="249">
      <formula>LEN(TRIM(V382))=0</formula>
    </cfRule>
  </conditionalFormatting>
  <conditionalFormatting sqref="V385:AJ386">
    <cfRule type="cellIs" dxfId="12195" priority="250" operator="equal">
      <formula>0</formula>
    </cfRule>
  </conditionalFormatting>
  <conditionalFormatting sqref="AH385:AH386">
    <cfRule type="cellIs" dxfId="12194" priority="251" operator="equal">
      <formula>0</formula>
    </cfRule>
  </conditionalFormatting>
  <conditionalFormatting sqref="V385:AJ386">
    <cfRule type="expression" dxfId="12193" priority="252">
      <formula>LEN(TRIM(V385))=0</formula>
    </cfRule>
  </conditionalFormatting>
  <conditionalFormatting sqref="AB383:AG384">
    <cfRule type="cellIs" dxfId="12192" priority="245" operator="equal">
      <formula>0</formula>
    </cfRule>
  </conditionalFormatting>
  <conditionalFormatting sqref="AB383:AG384">
    <cfRule type="expression" dxfId="12191" priority="246">
      <formula>LEN(TRIM(AB383))=0</formula>
    </cfRule>
  </conditionalFormatting>
  <conditionalFormatting sqref="V397:AJ402 AK396:AK401 AK403 V396:AA396 AH396:AJ396">
    <cfRule type="cellIs" dxfId="12190" priority="239" operator="equal">
      <formula>0</formula>
    </cfRule>
  </conditionalFormatting>
  <conditionalFormatting sqref="V403:AJ403">
    <cfRule type="cellIs" dxfId="12189" priority="240" operator="equal">
      <formula>0</formula>
    </cfRule>
  </conditionalFormatting>
  <conditionalFormatting sqref="V397:AK401 V403:AK403 V402:AJ402 V396:AA396 AH396:AK396">
    <cfRule type="expression" dxfId="12188" priority="241">
      <formula>LEN(TRIM(V396))=0</formula>
    </cfRule>
  </conditionalFormatting>
  <conditionalFormatting sqref="V403:AJ403">
    <cfRule type="cellIs" dxfId="12187" priority="242" operator="equal">
      <formula>0</formula>
    </cfRule>
  </conditionalFormatting>
  <conditionalFormatting sqref="V404:AJ404">
    <cfRule type="cellIs" dxfId="12186" priority="243" operator="equal">
      <formula>0</formula>
    </cfRule>
  </conditionalFormatting>
  <conditionalFormatting sqref="V404:AJ404">
    <cfRule type="expression" dxfId="12185" priority="244">
      <formula>LEN(TRIM(V404))=0</formula>
    </cfRule>
  </conditionalFormatting>
  <conditionalFormatting sqref="AK404">
    <cfRule type="cellIs" dxfId="12184" priority="237" operator="equal">
      <formula>0</formula>
    </cfRule>
  </conditionalFormatting>
  <conditionalFormatting sqref="AK404">
    <cfRule type="expression" dxfId="12183" priority="238">
      <formula>LEN(TRIM(AK404))=0</formula>
    </cfRule>
  </conditionalFormatting>
  <conditionalFormatting sqref="AK402">
    <cfRule type="cellIs" dxfId="12182" priority="235" operator="equal">
      <formula>0</formula>
    </cfRule>
  </conditionalFormatting>
  <conditionalFormatting sqref="AK402">
    <cfRule type="expression" dxfId="12181" priority="236">
      <formula>LEN(TRIM(AK402))=0</formula>
    </cfRule>
  </conditionalFormatting>
  <conditionalFormatting sqref="AB396:AG396">
    <cfRule type="cellIs" dxfId="12180" priority="233" operator="equal">
      <formula>0</formula>
    </cfRule>
  </conditionalFormatting>
  <conditionalFormatting sqref="AB396:AG396">
    <cfRule type="expression" dxfId="12179" priority="234">
      <formula>LEN(TRIM(AB396))=0</formula>
    </cfRule>
  </conditionalFormatting>
  <conditionalFormatting sqref="AH413:AK415 W413:AA415 AB413:AG414 AI410:AK412 Y410:Y412 V410:V415 V416:AK416">
    <cfRule type="cellIs" dxfId="12178" priority="212" operator="equal">
      <formula>0</formula>
    </cfRule>
  </conditionalFormatting>
  <conditionalFormatting sqref="AH410:AH415">
    <cfRule type="cellIs" dxfId="12177" priority="213" operator="equal">
      <formula>0</formula>
    </cfRule>
  </conditionalFormatting>
  <conditionalFormatting sqref="V410:W415 Z410:AA415">
    <cfRule type="cellIs" dxfId="12176" priority="214" operator="equal">
      <formula>0</formula>
    </cfRule>
  </conditionalFormatting>
  <conditionalFormatting sqref="X410:X415">
    <cfRule type="cellIs" dxfId="12175" priority="215" operator="equal">
      <formula>0</formula>
    </cfRule>
  </conditionalFormatting>
  <conditionalFormatting sqref="AB413:AB415">
    <cfRule type="cellIs" dxfId="12174" priority="216" operator="equal">
      <formula>0</formula>
    </cfRule>
  </conditionalFormatting>
  <conditionalFormatting sqref="AB410:AB415 AC410:AG410">
    <cfRule type="cellIs" dxfId="12173" priority="217" operator="equal">
      <formula>0</formula>
    </cfRule>
  </conditionalFormatting>
  <conditionalFormatting sqref="AC413:AC415">
    <cfRule type="cellIs" dxfId="12172" priority="218" operator="equal">
      <formula>0</formula>
    </cfRule>
  </conditionalFormatting>
  <conditionalFormatting sqref="AC410:AC415">
    <cfRule type="cellIs" dxfId="12171" priority="219" operator="equal">
      <formula>0</formula>
    </cfRule>
  </conditionalFormatting>
  <conditionalFormatting sqref="AD413:AD415">
    <cfRule type="cellIs" dxfId="12170" priority="220" operator="equal">
      <formula>0</formula>
    </cfRule>
  </conditionalFormatting>
  <conditionalFormatting sqref="AD410:AD415">
    <cfRule type="cellIs" dxfId="12169" priority="221" operator="equal">
      <formula>0</formula>
    </cfRule>
  </conditionalFormatting>
  <conditionalFormatting sqref="AE413:AE415">
    <cfRule type="cellIs" dxfId="12168" priority="222" operator="equal">
      <formula>0</formula>
    </cfRule>
  </conditionalFormatting>
  <conditionalFormatting sqref="AE410:AE415">
    <cfRule type="cellIs" dxfId="12167" priority="223" operator="equal">
      <formula>0</formula>
    </cfRule>
  </conditionalFormatting>
  <conditionalFormatting sqref="AF413:AF415">
    <cfRule type="cellIs" dxfId="12166" priority="224" operator="equal">
      <formula>0</formula>
    </cfRule>
  </conditionalFormatting>
  <conditionalFormatting sqref="AF410:AF415">
    <cfRule type="cellIs" dxfId="12165" priority="225" operator="equal">
      <formula>0</formula>
    </cfRule>
  </conditionalFormatting>
  <conditionalFormatting sqref="AG413:AG415">
    <cfRule type="cellIs" dxfId="12164" priority="226" operator="equal">
      <formula>0</formula>
    </cfRule>
  </conditionalFormatting>
  <conditionalFormatting sqref="AG410:AG415">
    <cfRule type="cellIs" dxfId="12163" priority="227" operator="equal">
      <formula>0</formula>
    </cfRule>
  </conditionalFormatting>
  <conditionalFormatting sqref="V410:AK416">
    <cfRule type="expression" dxfId="12162" priority="228">
      <formula>LEN(TRIM(V410))=0</formula>
    </cfRule>
  </conditionalFormatting>
  <conditionalFormatting sqref="AD413:AD414">
    <cfRule type="cellIs" dxfId="12161" priority="229" operator="equal">
      <formula>0</formula>
    </cfRule>
  </conditionalFormatting>
  <conditionalFormatting sqref="AE413:AE414">
    <cfRule type="cellIs" dxfId="12160" priority="230" operator="equal">
      <formula>0</formula>
    </cfRule>
  </conditionalFormatting>
  <conditionalFormatting sqref="AF413:AG413">
    <cfRule type="cellIs" dxfId="12159" priority="231" operator="equal">
      <formula>0</formula>
    </cfRule>
  </conditionalFormatting>
  <conditionalFormatting sqref="AF414:AG414">
    <cfRule type="cellIs" dxfId="12158" priority="232" operator="equal">
      <formula>0</formula>
    </cfRule>
  </conditionalFormatting>
  <conditionalFormatting sqref="W427:Y427 V428:Y429 Z427:AA429 V423:AA426 AB423:AJ429 V418:AK418 V430:AJ430 V419:AA420 AK419:AK430 AH419:AJ420">
    <cfRule type="cellIs" dxfId="12157" priority="206" operator="equal">
      <formula>0</formula>
    </cfRule>
  </conditionalFormatting>
  <conditionalFormatting sqref="V427">
    <cfRule type="cellIs" dxfId="12156" priority="207" operator="equal">
      <formula>0</formula>
    </cfRule>
  </conditionalFormatting>
  <conditionalFormatting sqref="V418:AK418 V423:AJ430 V419:AA420 AK419:AK430 AH419:AJ420">
    <cfRule type="expression" dxfId="12155" priority="208">
      <formula>LEN(TRIM(V418))=0</formula>
    </cfRule>
  </conditionalFormatting>
  <conditionalFormatting sqref="V421:AJ422">
    <cfRule type="cellIs" dxfId="12154" priority="209" operator="equal">
      <formula>0</formula>
    </cfRule>
  </conditionalFormatting>
  <conditionalFormatting sqref="AH421:AH422">
    <cfRule type="cellIs" dxfId="12153" priority="210" operator="equal">
      <formula>0</formula>
    </cfRule>
  </conditionalFormatting>
  <conditionalFormatting sqref="V421:AJ422">
    <cfRule type="expression" dxfId="12152" priority="211">
      <formula>LEN(TRIM(V421))=0</formula>
    </cfRule>
  </conditionalFormatting>
  <conditionalFormatting sqref="AB419:AG420">
    <cfRule type="cellIs" dxfId="12151" priority="204" operator="equal">
      <formula>0</formula>
    </cfRule>
  </conditionalFormatting>
  <conditionalFormatting sqref="AB419:AG420">
    <cfRule type="expression" dxfId="12150" priority="205">
      <formula>LEN(TRIM(AB419))=0</formula>
    </cfRule>
  </conditionalFormatting>
  <conditionalFormatting sqref="V433:AJ438 AK432:AK437 AK439 V432:AA432 AH432:AJ432">
    <cfRule type="cellIs" dxfId="12149" priority="198" operator="equal">
      <formula>0</formula>
    </cfRule>
  </conditionalFormatting>
  <conditionalFormatting sqref="V439:AJ439">
    <cfRule type="cellIs" dxfId="12148" priority="199" operator="equal">
      <formula>0</formula>
    </cfRule>
  </conditionalFormatting>
  <conditionalFormatting sqref="V433:AK437 V439:AK439 V438:AJ438 V432:AA432 AH432:AK432">
    <cfRule type="expression" dxfId="12147" priority="200">
      <formula>LEN(TRIM(V432))=0</formula>
    </cfRule>
  </conditionalFormatting>
  <conditionalFormatting sqref="V439:AJ439">
    <cfRule type="cellIs" dxfId="12146" priority="201" operator="equal">
      <formula>0</formula>
    </cfRule>
  </conditionalFormatting>
  <conditionalFormatting sqref="V440:AJ440">
    <cfRule type="cellIs" dxfId="12145" priority="202" operator="equal">
      <formula>0</formula>
    </cfRule>
  </conditionalFormatting>
  <conditionalFormatting sqref="V440:AJ440">
    <cfRule type="expression" dxfId="12144" priority="203">
      <formula>LEN(TRIM(V440))=0</formula>
    </cfRule>
  </conditionalFormatting>
  <conditionalFormatting sqref="AK440">
    <cfRule type="cellIs" dxfId="12143" priority="196" operator="equal">
      <formula>0</formula>
    </cfRule>
  </conditionalFormatting>
  <conditionalFormatting sqref="AK440">
    <cfRule type="expression" dxfId="12142" priority="197">
      <formula>LEN(TRIM(AK440))=0</formula>
    </cfRule>
  </conditionalFormatting>
  <conditionalFormatting sqref="AK438">
    <cfRule type="cellIs" dxfId="12141" priority="194" operator="equal">
      <formula>0</formula>
    </cfRule>
  </conditionalFormatting>
  <conditionalFormatting sqref="AK438">
    <cfRule type="expression" dxfId="12140" priority="195">
      <formula>LEN(TRIM(AK438))=0</formula>
    </cfRule>
  </conditionalFormatting>
  <conditionalFormatting sqref="AB432:AG432">
    <cfRule type="cellIs" dxfId="12139" priority="192" operator="equal">
      <formula>0</formula>
    </cfRule>
  </conditionalFormatting>
  <conditionalFormatting sqref="AB432:AG432">
    <cfRule type="expression" dxfId="12138" priority="193">
      <formula>LEN(TRIM(AB432))=0</formula>
    </cfRule>
  </conditionalFormatting>
  <conditionalFormatting sqref="AH449:AK451 W449:AA451 AB449:AG450 AI446:AK448 Y446:Y448 V446:V451 V452:AK452">
    <cfRule type="cellIs" dxfId="12137" priority="171" operator="equal">
      <formula>0</formula>
    </cfRule>
  </conditionalFormatting>
  <conditionalFormatting sqref="AH446:AH451">
    <cfRule type="cellIs" dxfId="12136" priority="172" operator="equal">
      <formula>0</formula>
    </cfRule>
  </conditionalFormatting>
  <conditionalFormatting sqref="V446:W451 Z446:AA451">
    <cfRule type="cellIs" dxfId="12135" priority="173" operator="equal">
      <formula>0</formula>
    </cfRule>
  </conditionalFormatting>
  <conditionalFormatting sqref="X446:X451">
    <cfRule type="cellIs" dxfId="12134" priority="174" operator="equal">
      <formula>0</formula>
    </cfRule>
  </conditionalFormatting>
  <conditionalFormatting sqref="AB449:AB451">
    <cfRule type="cellIs" dxfId="12133" priority="175" operator="equal">
      <formula>0</formula>
    </cfRule>
  </conditionalFormatting>
  <conditionalFormatting sqref="AB446:AB451 AC446:AG446">
    <cfRule type="cellIs" dxfId="12132" priority="176" operator="equal">
      <formula>0</formula>
    </cfRule>
  </conditionalFormatting>
  <conditionalFormatting sqref="AC449:AC451">
    <cfRule type="cellIs" dxfId="12131" priority="177" operator="equal">
      <formula>0</formula>
    </cfRule>
  </conditionalFormatting>
  <conditionalFormatting sqref="AC446:AC451">
    <cfRule type="cellIs" dxfId="12130" priority="178" operator="equal">
      <formula>0</formula>
    </cfRule>
  </conditionalFormatting>
  <conditionalFormatting sqref="AD449:AD451">
    <cfRule type="cellIs" dxfId="12129" priority="179" operator="equal">
      <formula>0</formula>
    </cfRule>
  </conditionalFormatting>
  <conditionalFormatting sqref="AD446:AD451">
    <cfRule type="cellIs" dxfId="12128" priority="180" operator="equal">
      <formula>0</formula>
    </cfRule>
  </conditionalFormatting>
  <conditionalFormatting sqref="AE449:AE451">
    <cfRule type="cellIs" dxfId="12127" priority="181" operator="equal">
      <formula>0</formula>
    </cfRule>
  </conditionalFormatting>
  <conditionalFormatting sqref="AE446:AE451">
    <cfRule type="cellIs" dxfId="12126" priority="182" operator="equal">
      <formula>0</formula>
    </cfRule>
  </conditionalFormatting>
  <conditionalFormatting sqref="AF449:AF451">
    <cfRule type="cellIs" dxfId="12125" priority="183" operator="equal">
      <formula>0</formula>
    </cfRule>
  </conditionalFormatting>
  <conditionalFormatting sqref="AF446:AF451">
    <cfRule type="cellIs" dxfId="12124" priority="184" operator="equal">
      <formula>0</formula>
    </cfRule>
  </conditionalFormatting>
  <conditionalFormatting sqref="AG449:AG451">
    <cfRule type="cellIs" dxfId="12123" priority="185" operator="equal">
      <formula>0</formula>
    </cfRule>
  </conditionalFormatting>
  <conditionalFormatting sqref="AG446:AG451">
    <cfRule type="cellIs" dxfId="12122" priority="186" operator="equal">
      <formula>0</formula>
    </cfRule>
  </conditionalFormatting>
  <conditionalFormatting sqref="V446:AK452">
    <cfRule type="expression" dxfId="12121" priority="187">
      <formula>LEN(TRIM(V446))=0</formula>
    </cfRule>
  </conditionalFormatting>
  <conditionalFormatting sqref="AD449:AD450">
    <cfRule type="cellIs" dxfId="12120" priority="188" operator="equal">
      <formula>0</formula>
    </cfRule>
  </conditionalFormatting>
  <conditionalFormatting sqref="AE449:AE450">
    <cfRule type="cellIs" dxfId="12119" priority="189" operator="equal">
      <formula>0</formula>
    </cfRule>
  </conditionalFormatting>
  <conditionalFormatting sqref="AF449:AG449">
    <cfRule type="cellIs" dxfId="12118" priority="190" operator="equal">
      <formula>0</formula>
    </cfRule>
  </conditionalFormatting>
  <conditionalFormatting sqref="AF450:AG450">
    <cfRule type="cellIs" dxfId="12117" priority="191" operator="equal">
      <formula>0</formula>
    </cfRule>
  </conditionalFormatting>
  <conditionalFormatting sqref="W463:Y463 V464:Y465 Z463:AA465 V459:AA462 AB459:AJ465 V454:AK454 V466:AJ466 V455:AA456 AK455:AK466 AH455:AJ456">
    <cfRule type="cellIs" dxfId="12116" priority="165" operator="equal">
      <formula>0</formula>
    </cfRule>
  </conditionalFormatting>
  <conditionalFormatting sqref="V463">
    <cfRule type="cellIs" dxfId="12115" priority="166" operator="equal">
      <formula>0</formula>
    </cfRule>
  </conditionalFormatting>
  <conditionalFormatting sqref="V454:AK454 V459:AJ466 V455:AA456 AK455:AK466 AH455:AJ456">
    <cfRule type="expression" dxfId="12114" priority="167">
      <formula>LEN(TRIM(V454))=0</formula>
    </cfRule>
  </conditionalFormatting>
  <conditionalFormatting sqref="V457:AJ458">
    <cfRule type="cellIs" dxfId="12113" priority="168" operator="equal">
      <formula>0</formula>
    </cfRule>
  </conditionalFormatting>
  <conditionalFormatting sqref="AH457:AH458">
    <cfRule type="cellIs" dxfId="12112" priority="169" operator="equal">
      <formula>0</formula>
    </cfRule>
  </conditionalFormatting>
  <conditionalFormatting sqref="V457:AJ458">
    <cfRule type="expression" dxfId="12111" priority="170">
      <formula>LEN(TRIM(V457))=0</formula>
    </cfRule>
  </conditionalFormatting>
  <conditionalFormatting sqref="AB455:AG456">
    <cfRule type="cellIs" dxfId="12110" priority="163" operator="equal">
      <formula>0</formula>
    </cfRule>
  </conditionalFormatting>
  <conditionalFormatting sqref="AB455:AG456">
    <cfRule type="expression" dxfId="12109" priority="164">
      <formula>LEN(TRIM(AB455))=0</formula>
    </cfRule>
  </conditionalFormatting>
  <conditionalFormatting sqref="V469:AJ474 AK468:AK473 AK475 V468:AA468 AH468:AJ468">
    <cfRule type="cellIs" dxfId="12108" priority="157" operator="equal">
      <formula>0</formula>
    </cfRule>
  </conditionalFormatting>
  <conditionalFormatting sqref="V475:AJ475">
    <cfRule type="cellIs" dxfId="12107" priority="158" operator="equal">
      <formula>0</formula>
    </cfRule>
  </conditionalFormatting>
  <conditionalFormatting sqref="V469:AK473 V475:AK475 V474:AJ474 V468:AA468 AH468:AK468">
    <cfRule type="expression" dxfId="12106" priority="159">
      <formula>LEN(TRIM(V468))=0</formula>
    </cfRule>
  </conditionalFormatting>
  <conditionalFormatting sqref="V475:AJ475">
    <cfRule type="cellIs" dxfId="12105" priority="160" operator="equal">
      <formula>0</formula>
    </cfRule>
  </conditionalFormatting>
  <conditionalFormatting sqref="V476:AJ476">
    <cfRule type="cellIs" dxfId="12104" priority="161" operator="equal">
      <formula>0</formula>
    </cfRule>
  </conditionalFormatting>
  <conditionalFormatting sqref="V476:AJ476">
    <cfRule type="expression" dxfId="12103" priority="162">
      <formula>LEN(TRIM(V476))=0</formula>
    </cfRule>
  </conditionalFormatting>
  <conditionalFormatting sqref="AK476">
    <cfRule type="cellIs" dxfId="12102" priority="155" operator="equal">
      <formula>0</formula>
    </cfRule>
  </conditionalFormatting>
  <conditionalFormatting sqref="AK476">
    <cfRule type="expression" dxfId="12101" priority="156">
      <formula>LEN(TRIM(AK476))=0</formula>
    </cfRule>
  </conditionalFormatting>
  <conditionalFormatting sqref="AK474">
    <cfRule type="cellIs" dxfId="12100" priority="153" operator="equal">
      <formula>0</formula>
    </cfRule>
  </conditionalFormatting>
  <conditionalFormatting sqref="AK474">
    <cfRule type="expression" dxfId="12099" priority="154">
      <formula>LEN(TRIM(AK474))=0</formula>
    </cfRule>
  </conditionalFormatting>
  <conditionalFormatting sqref="AB468:AG468">
    <cfRule type="cellIs" dxfId="12098" priority="151" operator="equal">
      <formula>0</formula>
    </cfRule>
  </conditionalFormatting>
  <conditionalFormatting sqref="AB468:AG468">
    <cfRule type="expression" dxfId="12097" priority="152">
      <formula>LEN(TRIM(AB468))=0</formula>
    </cfRule>
  </conditionalFormatting>
  <conditionalFormatting sqref="J48">
    <cfRule type="cellIs" dxfId="12096" priority="150" operator="equal">
      <formula>0</formula>
    </cfRule>
  </conditionalFormatting>
  <conditionalFormatting sqref="K48">
    <cfRule type="cellIs" dxfId="12095" priority="149" operator="equal">
      <formula>0</formula>
    </cfRule>
  </conditionalFormatting>
  <conditionalFormatting sqref="L48">
    <cfRule type="cellIs" dxfId="12094" priority="148" operator="equal">
      <formula>0</formula>
    </cfRule>
  </conditionalFormatting>
  <conditionalFormatting sqref="M48">
    <cfRule type="cellIs" dxfId="12093" priority="147" operator="equal">
      <formula>0</formula>
    </cfRule>
  </conditionalFormatting>
  <conditionalFormatting sqref="N48">
    <cfRule type="cellIs" dxfId="12092" priority="146" operator="equal">
      <formula>0</formula>
    </cfRule>
  </conditionalFormatting>
  <conditionalFormatting sqref="O48">
    <cfRule type="cellIs" dxfId="12091" priority="145" operator="equal">
      <formula>0</formula>
    </cfRule>
  </conditionalFormatting>
  <conditionalFormatting sqref="AB48">
    <cfRule type="cellIs" dxfId="12090" priority="144" operator="equal">
      <formula>0</formula>
    </cfRule>
  </conditionalFormatting>
  <conditionalFormatting sqref="AC48">
    <cfRule type="cellIs" dxfId="12089" priority="143" operator="equal">
      <formula>0</formula>
    </cfRule>
  </conditionalFormatting>
  <conditionalFormatting sqref="AD48">
    <cfRule type="cellIs" dxfId="12088" priority="142" operator="equal">
      <formula>0</formula>
    </cfRule>
  </conditionalFormatting>
  <conditionalFormatting sqref="AE48">
    <cfRule type="cellIs" dxfId="12087" priority="141" operator="equal">
      <formula>0</formula>
    </cfRule>
  </conditionalFormatting>
  <conditionalFormatting sqref="AF48">
    <cfRule type="cellIs" dxfId="12086" priority="140" operator="equal">
      <formula>0</formula>
    </cfRule>
  </conditionalFormatting>
  <conditionalFormatting sqref="AG48">
    <cfRule type="cellIs" dxfId="12085" priority="139" operator="equal">
      <formula>0</formula>
    </cfRule>
  </conditionalFormatting>
  <conditionalFormatting sqref="J84">
    <cfRule type="cellIs" dxfId="12084" priority="138" operator="equal">
      <formula>0</formula>
    </cfRule>
  </conditionalFormatting>
  <conditionalFormatting sqref="K84">
    <cfRule type="cellIs" dxfId="12083" priority="137" operator="equal">
      <formula>0</formula>
    </cfRule>
  </conditionalFormatting>
  <conditionalFormatting sqref="L84">
    <cfRule type="cellIs" dxfId="12082" priority="136" operator="equal">
      <formula>0</formula>
    </cfRule>
  </conditionalFormatting>
  <conditionalFormatting sqref="M84">
    <cfRule type="cellIs" dxfId="12081" priority="135" operator="equal">
      <formula>0</formula>
    </cfRule>
  </conditionalFormatting>
  <conditionalFormatting sqref="N84">
    <cfRule type="cellIs" dxfId="12080" priority="134" operator="equal">
      <formula>0</formula>
    </cfRule>
  </conditionalFormatting>
  <conditionalFormatting sqref="O84">
    <cfRule type="cellIs" dxfId="12079" priority="133" operator="equal">
      <formula>0</formula>
    </cfRule>
  </conditionalFormatting>
  <conditionalFormatting sqref="AB84">
    <cfRule type="cellIs" dxfId="12078" priority="132" operator="equal">
      <formula>0</formula>
    </cfRule>
  </conditionalFormatting>
  <conditionalFormatting sqref="AC84">
    <cfRule type="cellIs" dxfId="12077" priority="131" operator="equal">
      <formula>0</formula>
    </cfRule>
  </conditionalFormatting>
  <conditionalFormatting sqref="AD84">
    <cfRule type="cellIs" dxfId="12076" priority="130" operator="equal">
      <formula>0</formula>
    </cfRule>
  </conditionalFormatting>
  <conditionalFormatting sqref="AE84">
    <cfRule type="cellIs" dxfId="12075" priority="129" operator="equal">
      <formula>0</formula>
    </cfRule>
  </conditionalFormatting>
  <conditionalFormatting sqref="AF84">
    <cfRule type="cellIs" dxfId="12074" priority="128" operator="equal">
      <formula>0</formula>
    </cfRule>
  </conditionalFormatting>
  <conditionalFormatting sqref="AG84">
    <cfRule type="cellIs" dxfId="12073" priority="127" operator="equal">
      <formula>0</formula>
    </cfRule>
  </conditionalFormatting>
  <conditionalFormatting sqref="J121">
    <cfRule type="cellIs" dxfId="12072" priority="126" operator="equal">
      <formula>0</formula>
    </cfRule>
  </conditionalFormatting>
  <conditionalFormatting sqref="K121">
    <cfRule type="cellIs" dxfId="12071" priority="125" operator="equal">
      <formula>0</formula>
    </cfRule>
  </conditionalFormatting>
  <conditionalFormatting sqref="L121">
    <cfRule type="cellIs" dxfId="12070" priority="124" operator="equal">
      <formula>0</formula>
    </cfRule>
  </conditionalFormatting>
  <conditionalFormatting sqref="M121">
    <cfRule type="cellIs" dxfId="12069" priority="123" operator="equal">
      <formula>0</formula>
    </cfRule>
  </conditionalFormatting>
  <conditionalFormatting sqref="N121">
    <cfRule type="cellIs" dxfId="12068" priority="122" operator="equal">
      <formula>0</formula>
    </cfRule>
  </conditionalFormatting>
  <conditionalFormatting sqref="O121">
    <cfRule type="cellIs" dxfId="12067" priority="121" operator="equal">
      <formula>0</formula>
    </cfRule>
  </conditionalFormatting>
  <conditionalFormatting sqref="AB121">
    <cfRule type="cellIs" dxfId="12066" priority="120" operator="equal">
      <formula>0</formula>
    </cfRule>
  </conditionalFormatting>
  <conditionalFormatting sqref="AC121">
    <cfRule type="cellIs" dxfId="12065" priority="119" operator="equal">
      <formula>0</formula>
    </cfRule>
  </conditionalFormatting>
  <conditionalFormatting sqref="AD121">
    <cfRule type="cellIs" dxfId="12064" priority="118" operator="equal">
      <formula>0</formula>
    </cfRule>
  </conditionalFormatting>
  <conditionalFormatting sqref="AE121">
    <cfRule type="cellIs" dxfId="12063" priority="117" operator="equal">
      <formula>0</formula>
    </cfRule>
  </conditionalFormatting>
  <conditionalFormatting sqref="AF121">
    <cfRule type="cellIs" dxfId="12062" priority="116" operator="equal">
      <formula>0</formula>
    </cfRule>
  </conditionalFormatting>
  <conditionalFormatting sqref="AG121">
    <cfRule type="cellIs" dxfId="12061" priority="115" operator="equal">
      <formula>0</formula>
    </cfRule>
  </conditionalFormatting>
  <conditionalFormatting sqref="J157">
    <cfRule type="cellIs" dxfId="12060" priority="114" operator="equal">
      <formula>0</formula>
    </cfRule>
  </conditionalFormatting>
  <conditionalFormatting sqref="K157">
    <cfRule type="cellIs" dxfId="12059" priority="113" operator="equal">
      <formula>0</formula>
    </cfRule>
  </conditionalFormatting>
  <conditionalFormatting sqref="L157">
    <cfRule type="cellIs" dxfId="12058" priority="112" operator="equal">
      <formula>0</formula>
    </cfRule>
  </conditionalFormatting>
  <conditionalFormatting sqref="M157">
    <cfRule type="cellIs" dxfId="12057" priority="111" operator="equal">
      <formula>0</formula>
    </cfRule>
  </conditionalFormatting>
  <conditionalFormatting sqref="N157">
    <cfRule type="cellIs" dxfId="12056" priority="110" operator="equal">
      <formula>0</formula>
    </cfRule>
  </conditionalFormatting>
  <conditionalFormatting sqref="O157">
    <cfRule type="cellIs" dxfId="12055" priority="109" operator="equal">
      <formula>0</formula>
    </cfRule>
  </conditionalFormatting>
  <conditionalFormatting sqref="AB157">
    <cfRule type="cellIs" dxfId="12054" priority="108" operator="equal">
      <formula>0</formula>
    </cfRule>
  </conditionalFormatting>
  <conditionalFormatting sqref="AC157">
    <cfRule type="cellIs" dxfId="12053" priority="107" operator="equal">
      <formula>0</formula>
    </cfRule>
  </conditionalFormatting>
  <conditionalFormatting sqref="AD157">
    <cfRule type="cellIs" dxfId="12052" priority="106" operator="equal">
      <formula>0</formula>
    </cfRule>
  </conditionalFormatting>
  <conditionalFormatting sqref="AE157">
    <cfRule type="cellIs" dxfId="12051" priority="105" operator="equal">
      <formula>0</formula>
    </cfRule>
  </conditionalFormatting>
  <conditionalFormatting sqref="AF157">
    <cfRule type="cellIs" dxfId="12050" priority="104" operator="equal">
      <formula>0</formula>
    </cfRule>
  </conditionalFormatting>
  <conditionalFormatting sqref="AG157">
    <cfRule type="cellIs" dxfId="12049" priority="103" operator="equal">
      <formula>0</formula>
    </cfRule>
  </conditionalFormatting>
  <conditionalFormatting sqref="J193">
    <cfRule type="cellIs" dxfId="12048" priority="102" operator="equal">
      <formula>0</formula>
    </cfRule>
  </conditionalFormatting>
  <conditionalFormatting sqref="K193">
    <cfRule type="cellIs" dxfId="12047" priority="101" operator="equal">
      <formula>0</formula>
    </cfRule>
  </conditionalFormatting>
  <conditionalFormatting sqref="L193">
    <cfRule type="cellIs" dxfId="12046" priority="100" operator="equal">
      <formula>0</formula>
    </cfRule>
  </conditionalFormatting>
  <conditionalFormatting sqref="M193">
    <cfRule type="cellIs" dxfId="12045" priority="99" operator="equal">
      <formula>0</formula>
    </cfRule>
  </conditionalFormatting>
  <conditionalFormatting sqref="N193">
    <cfRule type="cellIs" dxfId="12044" priority="98" operator="equal">
      <formula>0</formula>
    </cfRule>
  </conditionalFormatting>
  <conditionalFormatting sqref="O193">
    <cfRule type="cellIs" dxfId="12043" priority="97" operator="equal">
      <formula>0</formula>
    </cfRule>
  </conditionalFormatting>
  <conditionalFormatting sqref="AB193">
    <cfRule type="cellIs" dxfId="12042" priority="96" operator="equal">
      <formula>0</formula>
    </cfRule>
  </conditionalFormatting>
  <conditionalFormatting sqref="AC193">
    <cfRule type="cellIs" dxfId="12041" priority="95" operator="equal">
      <formula>0</formula>
    </cfRule>
  </conditionalFormatting>
  <conditionalFormatting sqref="AD193">
    <cfRule type="cellIs" dxfId="12040" priority="94" operator="equal">
      <formula>0</formula>
    </cfRule>
  </conditionalFormatting>
  <conditionalFormatting sqref="AE193">
    <cfRule type="cellIs" dxfId="12039" priority="93" operator="equal">
      <formula>0</formula>
    </cfRule>
  </conditionalFormatting>
  <conditionalFormatting sqref="AF193">
    <cfRule type="cellIs" dxfId="12038" priority="92" operator="equal">
      <formula>0</formula>
    </cfRule>
  </conditionalFormatting>
  <conditionalFormatting sqref="AG193">
    <cfRule type="cellIs" dxfId="12037" priority="91" operator="equal">
      <formula>0</formula>
    </cfRule>
  </conditionalFormatting>
  <conditionalFormatting sqref="J229">
    <cfRule type="cellIs" dxfId="12036" priority="90" operator="equal">
      <formula>0</formula>
    </cfRule>
  </conditionalFormatting>
  <conditionalFormatting sqref="K229">
    <cfRule type="cellIs" dxfId="12035" priority="89" operator="equal">
      <formula>0</formula>
    </cfRule>
  </conditionalFormatting>
  <conditionalFormatting sqref="L229">
    <cfRule type="cellIs" dxfId="12034" priority="88" operator="equal">
      <formula>0</formula>
    </cfRule>
  </conditionalFormatting>
  <conditionalFormatting sqref="M229">
    <cfRule type="cellIs" dxfId="12033" priority="87" operator="equal">
      <formula>0</formula>
    </cfRule>
  </conditionalFormatting>
  <conditionalFormatting sqref="N229">
    <cfRule type="cellIs" dxfId="12032" priority="86" operator="equal">
      <formula>0</formula>
    </cfRule>
  </conditionalFormatting>
  <conditionalFormatting sqref="O229">
    <cfRule type="cellIs" dxfId="12031" priority="85" operator="equal">
      <formula>0</formula>
    </cfRule>
  </conditionalFormatting>
  <conditionalFormatting sqref="AB229">
    <cfRule type="cellIs" dxfId="12030" priority="84" operator="equal">
      <formula>0</formula>
    </cfRule>
  </conditionalFormatting>
  <conditionalFormatting sqref="AC229">
    <cfRule type="cellIs" dxfId="12029" priority="83" operator="equal">
      <formula>0</formula>
    </cfRule>
  </conditionalFormatting>
  <conditionalFormatting sqref="AD229">
    <cfRule type="cellIs" dxfId="12028" priority="82" operator="equal">
      <formula>0</formula>
    </cfRule>
  </conditionalFormatting>
  <conditionalFormatting sqref="AE229">
    <cfRule type="cellIs" dxfId="12027" priority="81" operator="equal">
      <formula>0</formula>
    </cfRule>
  </conditionalFormatting>
  <conditionalFormatting sqref="AF229">
    <cfRule type="cellIs" dxfId="12026" priority="80" operator="equal">
      <formula>0</formula>
    </cfRule>
  </conditionalFormatting>
  <conditionalFormatting sqref="AG229">
    <cfRule type="cellIs" dxfId="12025" priority="79" operator="equal">
      <formula>0</formula>
    </cfRule>
  </conditionalFormatting>
  <conditionalFormatting sqref="J265">
    <cfRule type="cellIs" dxfId="12024" priority="78" operator="equal">
      <formula>0</formula>
    </cfRule>
  </conditionalFormatting>
  <conditionalFormatting sqref="K265">
    <cfRule type="cellIs" dxfId="12023" priority="77" operator="equal">
      <formula>0</formula>
    </cfRule>
  </conditionalFormatting>
  <conditionalFormatting sqref="L265">
    <cfRule type="cellIs" dxfId="12022" priority="76" operator="equal">
      <formula>0</formula>
    </cfRule>
  </conditionalFormatting>
  <conditionalFormatting sqref="M265">
    <cfRule type="cellIs" dxfId="12021" priority="75" operator="equal">
      <formula>0</formula>
    </cfRule>
  </conditionalFormatting>
  <conditionalFormatting sqref="N265">
    <cfRule type="cellIs" dxfId="12020" priority="74" operator="equal">
      <formula>0</formula>
    </cfRule>
  </conditionalFormatting>
  <conditionalFormatting sqref="O265">
    <cfRule type="cellIs" dxfId="12019" priority="73" operator="equal">
      <formula>0</formula>
    </cfRule>
  </conditionalFormatting>
  <conditionalFormatting sqref="AB265">
    <cfRule type="cellIs" dxfId="12018" priority="72" operator="equal">
      <formula>0</formula>
    </cfRule>
  </conditionalFormatting>
  <conditionalFormatting sqref="AC265">
    <cfRule type="cellIs" dxfId="12017" priority="71" operator="equal">
      <formula>0</formula>
    </cfRule>
  </conditionalFormatting>
  <conditionalFormatting sqref="AD265">
    <cfRule type="cellIs" dxfId="12016" priority="70" operator="equal">
      <formula>0</formula>
    </cfRule>
  </conditionalFormatting>
  <conditionalFormatting sqref="AE265">
    <cfRule type="cellIs" dxfId="12015" priority="69" operator="equal">
      <formula>0</formula>
    </cfRule>
  </conditionalFormatting>
  <conditionalFormatting sqref="AF265">
    <cfRule type="cellIs" dxfId="12014" priority="68" operator="equal">
      <formula>0</formula>
    </cfRule>
  </conditionalFormatting>
  <conditionalFormatting sqref="AG265">
    <cfRule type="cellIs" dxfId="12013" priority="67" operator="equal">
      <formula>0</formula>
    </cfRule>
  </conditionalFormatting>
  <conditionalFormatting sqref="J301">
    <cfRule type="cellIs" dxfId="12012" priority="66" operator="equal">
      <formula>0</formula>
    </cfRule>
  </conditionalFormatting>
  <conditionalFormatting sqref="K301">
    <cfRule type="cellIs" dxfId="12011" priority="65" operator="equal">
      <formula>0</formula>
    </cfRule>
  </conditionalFormatting>
  <conditionalFormatting sqref="L301">
    <cfRule type="cellIs" dxfId="12010" priority="64" operator="equal">
      <formula>0</formula>
    </cfRule>
  </conditionalFormatting>
  <conditionalFormatting sqref="M301">
    <cfRule type="cellIs" dxfId="12009" priority="63" operator="equal">
      <formula>0</formula>
    </cfRule>
  </conditionalFormatting>
  <conditionalFormatting sqref="N301">
    <cfRule type="cellIs" dxfId="12008" priority="62" operator="equal">
      <formula>0</formula>
    </cfRule>
  </conditionalFormatting>
  <conditionalFormatting sqref="O301">
    <cfRule type="cellIs" dxfId="12007" priority="61" operator="equal">
      <formula>0</formula>
    </cfRule>
  </conditionalFormatting>
  <conditionalFormatting sqref="AB301">
    <cfRule type="cellIs" dxfId="12006" priority="60" operator="equal">
      <formula>0</formula>
    </cfRule>
  </conditionalFormatting>
  <conditionalFormatting sqref="AC301">
    <cfRule type="cellIs" dxfId="12005" priority="59" operator="equal">
      <formula>0</formula>
    </cfRule>
  </conditionalFormatting>
  <conditionalFormatting sqref="AD301">
    <cfRule type="cellIs" dxfId="12004" priority="58" operator="equal">
      <formula>0</formula>
    </cfRule>
  </conditionalFormatting>
  <conditionalFormatting sqref="AE301">
    <cfRule type="cellIs" dxfId="12003" priority="57" operator="equal">
      <formula>0</formula>
    </cfRule>
  </conditionalFormatting>
  <conditionalFormatting sqref="AF301">
    <cfRule type="cellIs" dxfId="12002" priority="56" operator="equal">
      <formula>0</formula>
    </cfRule>
  </conditionalFormatting>
  <conditionalFormatting sqref="AG301">
    <cfRule type="cellIs" dxfId="12001" priority="55" operator="equal">
      <formula>0</formula>
    </cfRule>
  </conditionalFormatting>
  <conditionalFormatting sqref="J337">
    <cfRule type="cellIs" dxfId="12000" priority="54" operator="equal">
      <formula>0</formula>
    </cfRule>
  </conditionalFormatting>
  <conditionalFormatting sqref="K337">
    <cfRule type="cellIs" dxfId="11999" priority="53" operator="equal">
      <formula>0</formula>
    </cfRule>
  </conditionalFormatting>
  <conditionalFormatting sqref="L337">
    <cfRule type="cellIs" dxfId="11998" priority="52" operator="equal">
      <formula>0</formula>
    </cfRule>
  </conditionalFormatting>
  <conditionalFormatting sqref="M337">
    <cfRule type="cellIs" dxfId="11997" priority="51" operator="equal">
      <formula>0</formula>
    </cfRule>
  </conditionalFormatting>
  <conditionalFormatting sqref="N337">
    <cfRule type="cellIs" dxfId="11996" priority="50" operator="equal">
      <formula>0</formula>
    </cfRule>
  </conditionalFormatting>
  <conditionalFormatting sqref="O337">
    <cfRule type="cellIs" dxfId="11995" priority="49" operator="equal">
      <formula>0</formula>
    </cfRule>
  </conditionalFormatting>
  <conditionalFormatting sqref="AB337">
    <cfRule type="cellIs" dxfId="11994" priority="48" operator="equal">
      <formula>0</formula>
    </cfRule>
  </conditionalFormatting>
  <conditionalFormatting sqref="AC337">
    <cfRule type="cellIs" dxfId="11993" priority="47" operator="equal">
      <formula>0</formula>
    </cfRule>
  </conditionalFormatting>
  <conditionalFormatting sqref="AD337">
    <cfRule type="cellIs" dxfId="11992" priority="46" operator="equal">
      <formula>0</formula>
    </cfRule>
  </conditionalFormatting>
  <conditionalFormatting sqref="AE337">
    <cfRule type="cellIs" dxfId="11991" priority="45" operator="equal">
      <formula>0</formula>
    </cfRule>
  </conditionalFormatting>
  <conditionalFormatting sqref="AF337">
    <cfRule type="cellIs" dxfId="11990" priority="44" operator="equal">
      <formula>0</formula>
    </cfRule>
  </conditionalFormatting>
  <conditionalFormatting sqref="AG337">
    <cfRule type="cellIs" dxfId="11989" priority="43" operator="equal">
      <formula>0</formula>
    </cfRule>
  </conditionalFormatting>
  <conditionalFormatting sqref="J373">
    <cfRule type="cellIs" dxfId="11988" priority="42" operator="equal">
      <formula>0</formula>
    </cfRule>
  </conditionalFormatting>
  <conditionalFormatting sqref="K373">
    <cfRule type="cellIs" dxfId="11987" priority="41" operator="equal">
      <formula>0</formula>
    </cfRule>
  </conditionalFormatting>
  <conditionalFormatting sqref="L373">
    <cfRule type="cellIs" dxfId="11986" priority="40" operator="equal">
      <formula>0</formula>
    </cfRule>
  </conditionalFormatting>
  <conditionalFormatting sqref="M373">
    <cfRule type="cellIs" dxfId="11985" priority="39" operator="equal">
      <formula>0</formula>
    </cfRule>
  </conditionalFormatting>
  <conditionalFormatting sqref="N373">
    <cfRule type="cellIs" dxfId="11984" priority="38" operator="equal">
      <formula>0</formula>
    </cfRule>
  </conditionalFormatting>
  <conditionalFormatting sqref="O373">
    <cfRule type="cellIs" dxfId="11983" priority="37" operator="equal">
      <formula>0</formula>
    </cfRule>
  </conditionalFormatting>
  <conditionalFormatting sqref="AB373">
    <cfRule type="cellIs" dxfId="11982" priority="36" operator="equal">
      <formula>0</formula>
    </cfRule>
  </conditionalFormatting>
  <conditionalFormatting sqref="AC373">
    <cfRule type="cellIs" dxfId="11981" priority="35" operator="equal">
      <formula>0</formula>
    </cfRule>
  </conditionalFormatting>
  <conditionalFormatting sqref="AD373">
    <cfRule type="cellIs" dxfId="11980" priority="34" operator="equal">
      <formula>0</formula>
    </cfRule>
  </conditionalFormatting>
  <conditionalFormatting sqref="AE373">
    <cfRule type="cellIs" dxfId="11979" priority="33" operator="equal">
      <formula>0</formula>
    </cfRule>
  </conditionalFormatting>
  <conditionalFormatting sqref="AF373">
    <cfRule type="cellIs" dxfId="11978" priority="32" operator="equal">
      <formula>0</formula>
    </cfRule>
  </conditionalFormatting>
  <conditionalFormatting sqref="AG373">
    <cfRule type="cellIs" dxfId="11977" priority="31" operator="equal">
      <formula>0</formula>
    </cfRule>
  </conditionalFormatting>
  <conditionalFormatting sqref="J409">
    <cfRule type="cellIs" dxfId="11976" priority="30" operator="equal">
      <formula>0</formula>
    </cfRule>
  </conditionalFormatting>
  <conditionalFormatting sqref="K409">
    <cfRule type="cellIs" dxfId="11975" priority="29" operator="equal">
      <formula>0</formula>
    </cfRule>
  </conditionalFormatting>
  <conditionalFormatting sqref="L409">
    <cfRule type="cellIs" dxfId="11974" priority="28" operator="equal">
      <formula>0</formula>
    </cfRule>
  </conditionalFormatting>
  <conditionalFormatting sqref="M409">
    <cfRule type="cellIs" dxfId="11973" priority="27" operator="equal">
      <formula>0</formula>
    </cfRule>
  </conditionalFormatting>
  <conditionalFormatting sqref="N409">
    <cfRule type="cellIs" dxfId="11972" priority="26" operator="equal">
      <formula>0</formula>
    </cfRule>
  </conditionalFormatting>
  <conditionalFormatting sqref="O409">
    <cfRule type="cellIs" dxfId="11971" priority="25" operator="equal">
      <formula>0</formula>
    </cfRule>
  </conditionalFormatting>
  <conditionalFormatting sqref="AB409">
    <cfRule type="cellIs" dxfId="11970" priority="24" operator="equal">
      <formula>0</formula>
    </cfRule>
  </conditionalFormatting>
  <conditionalFormatting sqref="AC409">
    <cfRule type="cellIs" dxfId="11969" priority="23" operator="equal">
      <formula>0</formula>
    </cfRule>
  </conditionalFormatting>
  <conditionalFormatting sqref="AD409">
    <cfRule type="cellIs" dxfId="11968" priority="22" operator="equal">
      <formula>0</formula>
    </cfRule>
  </conditionalFormatting>
  <conditionalFormatting sqref="AE409">
    <cfRule type="cellIs" dxfId="11967" priority="21" operator="equal">
      <formula>0</formula>
    </cfRule>
  </conditionalFormatting>
  <conditionalFormatting sqref="AF409">
    <cfRule type="cellIs" dxfId="11966" priority="20" operator="equal">
      <formula>0</formula>
    </cfRule>
  </conditionalFormatting>
  <conditionalFormatting sqref="AG409">
    <cfRule type="cellIs" dxfId="11965" priority="19" operator="equal">
      <formula>0</formula>
    </cfRule>
  </conditionalFormatting>
  <conditionalFormatting sqref="J445">
    <cfRule type="cellIs" dxfId="11964" priority="18" operator="equal">
      <formula>0</formula>
    </cfRule>
  </conditionalFormatting>
  <conditionalFormatting sqref="K445">
    <cfRule type="cellIs" dxfId="11963" priority="17" operator="equal">
      <formula>0</formula>
    </cfRule>
  </conditionalFormatting>
  <conditionalFormatting sqref="L445">
    <cfRule type="cellIs" dxfId="11962" priority="16" operator="equal">
      <formula>0</formula>
    </cfRule>
  </conditionalFormatting>
  <conditionalFormatting sqref="M445">
    <cfRule type="cellIs" dxfId="11961" priority="15" operator="equal">
      <formula>0</formula>
    </cfRule>
  </conditionalFormatting>
  <conditionalFormatting sqref="N445">
    <cfRule type="cellIs" dxfId="11960" priority="14" operator="equal">
      <formula>0</formula>
    </cfRule>
  </conditionalFormatting>
  <conditionalFormatting sqref="O445">
    <cfRule type="cellIs" dxfId="11959" priority="13" operator="equal">
      <formula>0</formula>
    </cfRule>
  </conditionalFormatting>
  <conditionalFormatting sqref="AB445">
    <cfRule type="cellIs" dxfId="11958" priority="12" operator="equal">
      <formula>0</formula>
    </cfRule>
  </conditionalFormatting>
  <conditionalFormatting sqref="AC445">
    <cfRule type="cellIs" dxfId="11957" priority="11" operator="equal">
      <formula>0</formula>
    </cfRule>
  </conditionalFormatting>
  <conditionalFormatting sqref="AD445">
    <cfRule type="cellIs" dxfId="11956" priority="10" operator="equal">
      <formula>0</formula>
    </cfRule>
  </conditionalFormatting>
  <conditionalFormatting sqref="AE445">
    <cfRule type="cellIs" dxfId="11955" priority="9" operator="equal">
      <formula>0</formula>
    </cfRule>
  </conditionalFormatting>
  <conditionalFormatting sqref="AF445">
    <cfRule type="cellIs" dxfId="11954" priority="8" operator="equal">
      <formula>0</formula>
    </cfRule>
  </conditionalFormatting>
  <conditionalFormatting sqref="J11">
    <cfRule type="cellIs" dxfId="11953" priority="6" operator="equal">
      <formula>0</formula>
    </cfRule>
  </conditionalFormatting>
  <conditionalFormatting sqref="K11">
    <cfRule type="cellIs" dxfId="11952" priority="5" operator="equal">
      <formula>0</formula>
    </cfRule>
  </conditionalFormatting>
  <conditionalFormatting sqref="L11">
    <cfRule type="cellIs" dxfId="11951" priority="4" operator="equal">
      <formula>0</formula>
    </cfRule>
  </conditionalFormatting>
  <conditionalFormatting sqref="M11">
    <cfRule type="cellIs" dxfId="11950" priority="3" operator="equal">
      <formula>0</formula>
    </cfRule>
  </conditionalFormatting>
  <conditionalFormatting sqref="N11">
    <cfRule type="cellIs" dxfId="11949" priority="2" operator="equal">
      <formula>0</formula>
    </cfRule>
  </conditionalFormatting>
  <conditionalFormatting sqref="O11">
    <cfRule type="cellIs" dxfId="11948" priority="1"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AEB13-18CC-47DC-8947-29CFB5812287}">
  <dimension ref="A2:V414"/>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86</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9.7977867342210008</v>
      </c>
      <c r="F12" s="422">
        <v>0</v>
      </c>
      <c r="G12" s="421">
        <v>0.18111849999999999</v>
      </c>
      <c r="H12" s="422">
        <v>1072.2208090909101</v>
      </c>
      <c r="I12" s="422">
        <v>115.87787899999999</v>
      </c>
      <c r="J12" s="422">
        <v>112.028883763832</v>
      </c>
      <c r="K12" s="422">
        <v>33.3469764659337</v>
      </c>
      <c r="L12" s="422">
        <v>0</v>
      </c>
      <c r="M12" s="422">
        <v>0</v>
      </c>
      <c r="N12" s="422">
        <v>32.169396111111098</v>
      </c>
      <c r="O12" s="422">
        <v>5.5031144880955498</v>
      </c>
      <c r="P12" s="422">
        <v>0</v>
      </c>
      <c r="Q12" s="422">
        <v>0</v>
      </c>
      <c r="R12" s="422">
        <v>0</v>
      </c>
      <c r="S12" s="423">
        <f t="shared" ref="S12:S17" si="0">SUM(D12:R12)</f>
        <v>1381.1259641541035</v>
      </c>
      <c r="T12" s="412"/>
    </row>
    <row r="13" spans="2:20" ht="13.5">
      <c r="B13" s="412"/>
      <c r="C13" s="420" t="s">
        <v>60</v>
      </c>
      <c r="D13" s="422">
        <v>53.758669450103397</v>
      </c>
      <c r="E13" s="422">
        <v>391.30391811518598</v>
      </c>
      <c r="F13" s="422">
        <v>490.50203112152298</v>
      </c>
      <c r="G13" s="422">
        <v>479.42224425000001</v>
      </c>
      <c r="H13" s="422">
        <v>0</v>
      </c>
      <c r="I13" s="422">
        <v>0</v>
      </c>
      <c r="J13" s="422">
        <v>2.6631252777777799</v>
      </c>
      <c r="K13" s="422">
        <v>0</v>
      </c>
      <c r="L13" s="552">
        <v>12.8011363168111</v>
      </c>
      <c r="M13" s="422">
        <v>0</v>
      </c>
      <c r="N13" s="422">
        <v>0</v>
      </c>
      <c r="O13" s="422">
        <v>0</v>
      </c>
      <c r="P13" s="432">
        <v>19.536102</v>
      </c>
      <c r="Q13" s="422">
        <v>0</v>
      </c>
      <c r="R13" s="422">
        <v>0</v>
      </c>
      <c r="S13" s="423">
        <f t="shared" si="0"/>
        <v>1449.9872265314011</v>
      </c>
      <c r="T13" s="412"/>
    </row>
    <row r="14" spans="2:20" ht="13.5">
      <c r="B14" s="412"/>
      <c r="C14" s="420" t="s">
        <v>61</v>
      </c>
      <c r="D14" s="422">
        <v>-9.697288221E-2</v>
      </c>
      <c r="E14" s="422">
        <v>-1.448866438559</v>
      </c>
      <c r="F14" s="422">
        <v>-152.00047045328199</v>
      </c>
      <c r="G14" s="422">
        <v>-95.022441999999998</v>
      </c>
      <c r="H14" s="422">
        <v>0</v>
      </c>
      <c r="I14" s="422">
        <v>0</v>
      </c>
      <c r="J14" s="422">
        <v>-2.0287163888888902</v>
      </c>
      <c r="K14" s="422">
        <v>0</v>
      </c>
      <c r="L14" s="557">
        <v>-5.9724632088267002</v>
      </c>
      <c r="M14" s="422">
        <v>0</v>
      </c>
      <c r="N14" s="422">
        <v>0</v>
      </c>
      <c r="O14" s="422">
        <v>0</v>
      </c>
      <c r="P14" s="432">
        <v>-64.575295999999994</v>
      </c>
      <c r="Q14" s="422">
        <v>0</v>
      </c>
      <c r="R14" s="422">
        <v>0</v>
      </c>
      <c r="S14" s="423">
        <f t="shared" si="0"/>
        <v>-321.14522737176657</v>
      </c>
      <c r="T14" s="412"/>
    </row>
    <row r="15" spans="2:20" ht="13.5">
      <c r="B15" s="412"/>
      <c r="C15" s="420" t="s">
        <v>62</v>
      </c>
      <c r="D15" s="421">
        <v>0</v>
      </c>
      <c r="E15" s="421">
        <v>0</v>
      </c>
      <c r="F15" s="421">
        <v>-10.9552200351159</v>
      </c>
      <c r="G15" s="421">
        <v>0</v>
      </c>
      <c r="H15" s="421">
        <v>0</v>
      </c>
      <c r="I15" s="421">
        <v>0</v>
      </c>
      <c r="J15" s="421">
        <v>0</v>
      </c>
      <c r="K15" s="421">
        <v>0</v>
      </c>
      <c r="L15" s="421">
        <v>0</v>
      </c>
      <c r="M15" s="421">
        <v>0</v>
      </c>
      <c r="N15" s="421">
        <v>0</v>
      </c>
      <c r="O15" s="421">
        <v>0</v>
      </c>
      <c r="P15" s="422">
        <v>0</v>
      </c>
      <c r="Q15" s="422">
        <v>0</v>
      </c>
      <c r="R15" s="421">
        <v>0</v>
      </c>
      <c r="S15" s="423">
        <f t="shared" si="0"/>
        <v>-10.9552200351159</v>
      </c>
      <c r="T15" s="412"/>
    </row>
    <row r="16" spans="2:20" ht="13.5">
      <c r="B16" s="412"/>
      <c r="C16" s="420" t="s">
        <v>63</v>
      </c>
      <c r="D16" s="421">
        <v>0</v>
      </c>
      <c r="E16" s="421">
        <v>0</v>
      </c>
      <c r="F16" s="421">
        <v>-33.884598226965998</v>
      </c>
      <c r="G16" s="421">
        <v>0</v>
      </c>
      <c r="H16" s="421">
        <v>0</v>
      </c>
      <c r="I16" s="421">
        <v>0</v>
      </c>
      <c r="J16" s="421">
        <v>0</v>
      </c>
      <c r="K16" s="421">
        <v>0</v>
      </c>
      <c r="L16" s="421">
        <v>0</v>
      </c>
      <c r="M16" s="421">
        <v>0</v>
      </c>
      <c r="N16" s="421">
        <v>0</v>
      </c>
      <c r="O16" s="421">
        <v>0</v>
      </c>
      <c r="P16" s="422">
        <v>0</v>
      </c>
      <c r="Q16" s="422">
        <v>0</v>
      </c>
      <c r="R16" s="421">
        <v>0</v>
      </c>
      <c r="S16" s="423">
        <f t="shared" si="0"/>
        <v>-33.884598226965998</v>
      </c>
      <c r="T16" s="412"/>
    </row>
    <row r="17" spans="1:22" ht="13.5">
      <c r="B17" s="412"/>
      <c r="C17" s="420" t="s">
        <v>64</v>
      </c>
      <c r="D17" s="422">
        <v>2.3241764109487302</v>
      </c>
      <c r="E17" s="422">
        <v>1.7113809303380001</v>
      </c>
      <c r="F17" s="422">
        <v>-2.0229574121509999</v>
      </c>
      <c r="G17" s="422">
        <v>21.247113500000001</v>
      </c>
      <c r="H17" s="422">
        <v>0</v>
      </c>
      <c r="I17" s="422">
        <v>0</v>
      </c>
      <c r="J17" s="422">
        <v>0</v>
      </c>
      <c r="K17" s="422">
        <v>0</v>
      </c>
      <c r="L17" s="422">
        <v>0</v>
      </c>
      <c r="M17" s="422">
        <v>0</v>
      </c>
      <c r="N17" s="422">
        <v>0</v>
      </c>
      <c r="O17" s="422">
        <v>0</v>
      </c>
      <c r="P17" s="422">
        <v>0</v>
      </c>
      <c r="Q17" s="422">
        <v>0</v>
      </c>
      <c r="R17" s="422">
        <v>0</v>
      </c>
      <c r="S17" s="423">
        <f t="shared" si="0"/>
        <v>23.259713429135733</v>
      </c>
      <c r="T17" s="412"/>
    </row>
    <row r="18" spans="1:22" ht="13.5">
      <c r="A18" s="488"/>
      <c r="B18" s="412"/>
      <c r="C18" s="424" t="s">
        <v>65</v>
      </c>
      <c r="D18" s="425">
        <f t="shared" ref="D18:S18" si="1">SUM(D12:D17)</f>
        <v>55.985872978842131</v>
      </c>
      <c r="E18" s="425">
        <f t="shared" si="1"/>
        <v>401.36421934118601</v>
      </c>
      <c r="F18" s="425">
        <f t="shared" si="1"/>
        <v>291.63878499400806</v>
      </c>
      <c r="G18" s="425">
        <f t="shared" si="1"/>
        <v>405.82803425000003</v>
      </c>
      <c r="H18" s="425">
        <f t="shared" si="1"/>
        <v>1072.2208090909101</v>
      </c>
      <c r="I18" s="425">
        <f t="shared" si="1"/>
        <v>115.87787899999999</v>
      </c>
      <c r="J18" s="425">
        <f t="shared" si="1"/>
        <v>112.66329265272088</v>
      </c>
      <c r="K18" s="425">
        <f t="shared" si="1"/>
        <v>33.3469764659337</v>
      </c>
      <c r="L18" s="425">
        <f t="shared" si="1"/>
        <v>6.8286731079843994</v>
      </c>
      <c r="M18" s="425">
        <f t="shared" si="1"/>
        <v>0</v>
      </c>
      <c r="N18" s="425">
        <f t="shared" si="1"/>
        <v>32.169396111111098</v>
      </c>
      <c r="O18" s="425">
        <f t="shared" si="1"/>
        <v>5.5031144880955498</v>
      </c>
      <c r="P18" s="425">
        <f t="shared" si="1"/>
        <v>-45.039193999999995</v>
      </c>
      <c r="Q18" s="425">
        <f t="shared" si="1"/>
        <v>0</v>
      </c>
      <c r="R18" s="425">
        <f t="shared" si="1"/>
        <v>0</v>
      </c>
      <c r="S18" s="425">
        <f t="shared" si="1"/>
        <v>2488.3878584807921</v>
      </c>
      <c r="T18" s="412"/>
      <c r="U18" s="488"/>
    </row>
    <row r="19" spans="1:22" ht="13.5">
      <c r="B19" s="412"/>
      <c r="C19" s="426"/>
      <c r="D19" s="427">
        <f t="shared" ref="D19:J19" si="2">D18-(D32+D42)</f>
        <v>0</v>
      </c>
      <c r="E19" s="492">
        <f t="shared" si="2"/>
        <v>-0.72010530613835044</v>
      </c>
      <c r="F19" s="492">
        <f t="shared" si="2"/>
        <v>0</v>
      </c>
      <c r="G19" s="492">
        <f t="shared" si="2"/>
        <v>-1.9873640000000137</v>
      </c>
      <c r="H19" s="427">
        <f t="shared" si="2"/>
        <v>0</v>
      </c>
      <c r="I19" s="427">
        <f t="shared" si="2"/>
        <v>0</v>
      </c>
      <c r="J19" s="427">
        <f t="shared" si="2"/>
        <v>-4.0283470070789917E-7</v>
      </c>
      <c r="K19" s="492">
        <f>K18-(K32+K42)</f>
        <v>-0.39663193821571952</v>
      </c>
      <c r="L19" s="558">
        <f>L18-(L32+L42)</f>
        <v>0.41349297023793152</v>
      </c>
      <c r="M19" s="427">
        <f t="shared" ref="M19:R19" si="3">M18-(M32+M42)</f>
        <v>1.6666668445353139E-7</v>
      </c>
      <c r="N19" s="427">
        <f t="shared" si="3"/>
        <v>0</v>
      </c>
      <c r="O19" s="427">
        <f t="shared" si="3"/>
        <v>-5.592689014122243E-7</v>
      </c>
      <c r="P19" s="492">
        <f t="shared" si="3"/>
        <v>-9.9475983006414026E-14</v>
      </c>
      <c r="Q19" s="492">
        <f t="shared" si="3"/>
        <v>-5.5555548783559061E-7</v>
      </c>
      <c r="R19" s="427">
        <f t="shared" si="3"/>
        <v>0</v>
      </c>
      <c r="S19" s="427">
        <f>S18-(S32+S42)</f>
        <v>-2.6906096251086637</v>
      </c>
      <c r="T19" s="412"/>
    </row>
    <row r="20" spans="1:22" ht="13.5">
      <c r="B20" s="412"/>
      <c r="C20" s="428" t="s">
        <v>67</v>
      </c>
      <c r="D20" s="551">
        <v>-3.1696853392377902</v>
      </c>
      <c r="E20" s="431">
        <v>7.5650399061953602</v>
      </c>
      <c r="F20" s="431">
        <v>5.1904492215094802</v>
      </c>
      <c r="G20" s="431">
        <v>1.297493</v>
      </c>
      <c r="H20" s="421">
        <v>0</v>
      </c>
      <c r="I20" s="421">
        <v>0</v>
      </c>
      <c r="J20" s="421">
        <v>0</v>
      </c>
      <c r="K20" s="431">
        <v>0</v>
      </c>
      <c r="L20" s="421">
        <v>0</v>
      </c>
      <c r="M20" s="421">
        <v>0</v>
      </c>
      <c r="N20" s="421">
        <v>0</v>
      </c>
      <c r="O20" s="421">
        <v>0</v>
      </c>
      <c r="P20" s="431">
        <v>3.4925675262248301</v>
      </c>
      <c r="Q20" s="431">
        <v>0</v>
      </c>
      <c r="R20" s="422">
        <v>0</v>
      </c>
      <c r="S20" s="423">
        <f t="shared" ref="S20:S31" si="4">SUM(D20:R20)</f>
        <v>14.37586431469188</v>
      </c>
      <c r="T20" s="412"/>
    </row>
    <row r="21" spans="1:22" ht="13.5">
      <c r="B21" s="412"/>
      <c r="C21" s="428" t="s">
        <v>350</v>
      </c>
      <c r="D21" s="431">
        <v>9.3252829217432893</v>
      </c>
      <c r="E21" s="421">
        <v>0</v>
      </c>
      <c r="F21" s="431">
        <v>3.4206184464582501</v>
      </c>
      <c r="G21" s="431">
        <v>55.436136268600997</v>
      </c>
      <c r="H21" s="431">
        <v>1072.2208090909101</v>
      </c>
      <c r="I21" s="431">
        <v>115.87787899999999</v>
      </c>
      <c r="J21" s="431">
        <v>15.525267102350799</v>
      </c>
      <c r="K21" s="431">
        <v>11.440482679229399</v>
      </c>
      <c r="L21" s="421">
        <v>0</v>
      </c>
      <c r="M21" s="431">
        <v>5.1116648388888901</v>
      </c>
      <c r="N21" s="421">
        <v>0</v>
      </c>
      <c r="O21" s="421">
        <v>0.1168952</v>
      </c>
      <c r="P21" s="421">
        <v>-521.27667777381203</v>
      </c>
      <c r="Q21" s="421">
        <v>0</v>
      </c>
      <c r="R21" s="422">
        <v>0</v>
      </c>
      <c r="S21" s="491">
        <f t="shared" si="4"/>
        <v>767.1983577743697</v>
      </c>
      <c r="T21" s="430"/>
      <c r="U21" s="488"/>
    </row>
    <row r="22" spans="1:22" ht="13.5">
      <c r="B22" s="412"/>
      <c r="C22" s="428" t="s">
        <v>351</v>
      </c>
      <c r="D22" s="431">
        <v>1.57293676268989</v>
      </c>
      <c r="E22" s="421">
        <v>0</v>
      </c>
      <c r="F22" s="431">
        <v>0.19738462224074599</v>
      </c>
      <c r="G22" s="431">
        <v>21.089114481399001</v>
      </c>
      <c r="H22" s="421">
        <v>0</v>
      </c>
      <c r="I22" s="421">
        <v>0</v>
      </c>
      <c r="J22" s="431">
        <v>7.65275234209368</v>
      </c>
      <c r="K22" s="431">
        <v>16.451727879229399</v>
      </c>
      <c r="L22" s="421">
        <v>0</v>
      </c>
      <c r="M22" s="431">
        <v>3.0353079388888902</v>
      </c>
      <c r="N22" s="551">
        <v>0.25705111111111101</v>
      </c>
      <c r="O22" s="431">
        <v>3.6793581777777802</v>
      </c>
      <c r="P22" s="421">
        <v>0</v>
      </c>
      <c r="Q22" s="421">
        <v>-47.163694953464002</v>
      </c>
      <c r="R22" s="422">
        <v>0</v>
      </c>
      <c r="S22" s="491">
        <f t="shared" si="4"/>
        <v>6.7719383619664981</v>
      </c>
      <c r="T22" s="412"/>
      <c r="U22" s="488">
        <f>K18-K21</f>
        <v>21.906493786704303</v>
      </c>
    </row>
    <row r="23" spans="1:22" ht="13.5">
      <c r="A23" s="488"/>
      <c r="B23" s="412"/>
      <c r="C23" s="428" t="s">
        <v>352</v>
      </c>
      <c r="D23" s="421">
        <v>0</v>
      </c>
      <c r="E23" s="421">
        <v>0</v>
      </c>
      <c r="F23" s="421">
        <v>0</v>
      </c>
      <c r="G23" s="421">
        <v>0</v>
      </c>
      <c r="H23" s="421">
        <v>0</v>
      </c>
      <c r="I23" s="421">
        <v>0</v>
      </c>
      <c r="J23" s="421"/>
      <c r="K23" s="421"/>
      <c r="L23" s="421">
        <v>0</v>
      </c>
      <c r="M23" s="431">
        <v>-11.045323777777799</v>
      </c>
      <c r="N23" s="421">
        <v>0</v>
      </c>
      <c r="O23" s="421">
        <v>0</v>
      </c>
      <c r="P23" s="421">
        <v>0</v>
      </c>
      <c r="Q23" s="421">
        <v>0</v>
      </c>
      <c r="R23" s="422">
        <v>0</v>
      </c>
      <c r="S23" s="423">
        <f t="shared" si="4"/>
        <v>-11.045323777777799</v>
      </c>
      <c r="T23" s="412"/>
    </row>
    <row r="24" spans="1:22" ht="13.5">
      <c r="A24" s="488"/>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f t="shared" si="4"/>
        <v>0</v>
      </c>
      <c r="T24" s="412"/>
    </row>
    <row r="25" spans="1:22" ht="13.5">
      <c r="A25" s="488"/>
      <c r="B25" s="412"/>
      <c r="C25" s="428" t="s">
        <v>72</v>
      </c>
      <c r="D25" s="421">
        <v>0</v>
      </c>
      <c r="E25" s="431">
        <v>436.86125260161799</v>
      </c>
      <c r="F25" s="421">
        <v>-434.01700779015403</v>
      </c>
      <c r="G25" s="431">
        <v>0</v>
      </c>
      <c r="H25" s="421">
        <v>0</v>
      </c>
      <c r="I25" s="421">
        <v>0</v>
      </c>
      <c r="J25" s="421">
        <v>0</v>
      </c>
      <c r="K25" s="421">
        <v>0</v>
      </c>
      <c r="L25" s="421">
        <v>0</v>
      </c>
      <c r="M25" s="421">
        <v>0</v>
      </c>
      <c r="N25" s="421">
        <v>0</v>
      </c>
      <c r="O25" s="421">
        <v>0</v>
      </c>
      <c r="P25" s="421">
        <v>0</v>
      </c>
      <c r="Q25" s="421">
        <v>0</v>
      </c>
      <c r="R25" s="422">
        <v>0</v>
      </c>
      <c r="S25" s="491">
        <f t="shared" si="4"/>
        <v>2.844244811463966</v>
      </c>
      <c r="T25" s="412"/>
      <c r="U25" s="488">
        <f>L26-L18</f>
        <v>-34.144922487783099</v>
      </c>
    </row>
    <row r="26" spans="1:22" ht="13.5">
      <c r="B26" s="412"/>
      <c r="C26" s="428" t="s">
        <v>354</v>
      </c>
      <c r="D26" s="421">
        <v>0</v>
      </c>
      <c r="E26" s="421">
        <v>0</v>
      </c>
      <c r="F26" s="421">
        <v>0</v>
      </c>
      <c r="G26" s="421">
        <v>0</v>
      </c>
      <c r="H26" s="421">
        <v>0</v>
      </c>
      <c r="I26" s="421">
        <v>0</v>
      </c>
      <c r="J26" s="421"/>
      <c r="K26" s="421"/>
      <c r="L26" s="421">
        <v>-27.316249379798698</v>
      </c>
      <c r="M26" s="421">
        <v>0</v>
      </c>
      <c r="N26" s="421">
        <v>0</v>
      </c>
      <c r="O26" s="421">
        <v>0</v>
      </c>
      <c r="P26" s="421">
        <v>0</v>
      </c>
      <c r="Q26" s="421">
        <v>0</v>
      </c>
      <c r="R26" s="422">
        <v>0</v>
      </c>
      <c r="S26" s="423">
        <f t="shared" si="4"/>
        <v>-27.316249379798698</v>
      </c>
      <c r="T26" s="412"/>
      <c r="U26" s="488"/>
    </row>
    <row r="27" spans="1:22" ht="13.5">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2">
        <v>0</v>
      </c>
      <c r="S27" s="423">
        <f t="shared" si="4"/>
        <v>0</v>
      </c>
      <c r="T27" s="412"/>
    </row>
    <row r="28" spans="1:22" ht="13.5">
      <c r="A28" s="488"/>
      <c r="B28" s="412"/>
      <c r="C28" s="428" t="s">
        <v>73</v>
      </c>
      <c r="D28" s="421">
        <v>0</v>
      </c>
      <c r="E28" s="421">
        <v>0</v>
      </c>
      <c r="F28" s="421">
        <v>0</v>
      </c>
      <c r="G28" s="421">
        <v>0</v>
      </c>
      <c r="H28" s="421">
        <v>0</v>
      </c>
      <c r="I28" s="421">
        <v>0</v>
      </c>
      <c r="J28" s="421">
        <v>0</v>
      </c>
      <c r="K28" s="421">
        <v>0</v>
      </c>
      <c r="L28" s="421">
        <v>0</v>
      </c>
      <c r="M28" s="421">
        <v>0</v>
      </c>
      <c r="N28" s="421">
        <v>0</v>
      </c>
      <c r="O28" s="421">
        <v>0</v>
      </c>
      <c r="P28" s="421">
        <v>0</v>
      </c>
      <c r="Q28" s="421">
        <v>0</v>
      </c>
      <c r="R28" s="422">
        <v>0</v>
      </c>
      <c r="S28" s="423">
        <f t="shared" si="4"/>
        <v>0</v>
      </c>
      <c r="T28" s="412"/>
    </row>
    <row r="29" spans="1:22" ht="13.5">
      <c r="B29" s="412"/>
      <c r="C29" s="428" t="s">
        <v>356</v>
      </c>
      <c r="D29" s="431">
        <v>24.856875540426699</v>
      </c>
      <c r="E29" s="431">
        <v>-42.341967860489</v>
      </c>
      <c r="F29" s="431">
        <v>41.425158678488998</v>
      </c>
      <c r="G29" s="431">
        <v>0</v>
      </c>
      <c r="H29" s="421">
        <v>0</v>
      </c>
      <c r="I29" s="421">
        <v>0</v>
      </c>
      <c r="J29" s="421">
        <v>0</v>
      </c>
      <c r="K29" s="421">
        <v>0</v>
      </c>
      <c r="L29" s="431">
        <v>0</v>
      </c>
      <c r="M29" s="431">
        <v>0</v>
      </c>
      <c r="N29" s="421">
        <v>0</v>
      </c>
      <c r="O29" s="421">
        <v>0</v>
      </c>
      <c r="P29" s="421">
        <v>0</v>
      </c>
      <c r="Q29" s="421">
        <v>0</v>
      </c>
      <c r="R29" s="422">
        <v>0</v>
      </c>
      <c r="S29" s="423">
        <f t="shared" si="4"/>
        <v>23.940066358426698</v>
      </c>
      <c r="T29" s="412"/>
    </row>
    <row r="30" spans="1:22" ht="13.5">
      <c r="B30" s="412"/>
      <c r="C30" s="428" t="s">
        <v>75</v>
      </c>
      <c r="D30" s="421">
        <v>10.864485</v>
      </c>
      <c r="E30" s="421">
        <v>0</v>
      </c>
      <c r="F30" s="431">
        <v>12.156002809978</v>
      </c>
      <c r="G30" s="431">
        <v>6.2612449999999997</v>
      </c>
      <c r="H30" s="421">
        <v>0</v>
      </c>
      <c r="I30" s="421">
        <v>0</v>
      </c>
      <c r="J30" s="421">
        <v>0</v>
      </c>
      <c r="K30" s="421">
        <v>0</v>
      </c>
      <c r="L30" s="421">
        <v>0</v>
      </c>
      <c r="M30" s="431">
        <v>0</v>
      </c>
      <c r="N30" s="421">
        <v>0</v>
      </c>
      <c r="O30" s="421">
        <v>0</v>
      </c>
      <c r="P30" s="431">
        <v>32.877518711415298</v>
      </c>
      <c r="Q30" s="421">
        <v>0</v>
      </c>
      <c r="R30" s="422">
        <v>0</v>
      </c>
      <c r="S30" s="423">
        <f t="shared" si="4"/>
        <v>62.159251521393301</v>
      </c>
      <c r="T30" s="412"/>
    </row>
    <row r="31" spans="1:22" ht="13.5">
      <c r="B31" s="412"/>
      <c r="C31" s="428" t="s">
        <v>76</v>
      </c>
      <c r="D31" s="421">
        <v>0</v>
      </c>
      <c r="E31" s="421">
        <v>0</v>
      </c>
      <c r="F31" s="421">
        <v>0</v>
      </c>
      <c r="G31" s="431">
        <v>3.9080132500000002</v>
      </c>
      <c r="H31" s="421">
        <v>0</v>
      </c>
      <c r="I31" s="421">
        <v>0</v>
      </c>
      <c r="J31" s="421">
        <v>0</v>
      </c>
      <c r="K31" s="421">
        <v>0</v>
      </c>
      <c r="L31" s="421">
        <v>0</v>
      </c>
      <c r="M31" s="431">
        <v>0</v>
      </c>
      <c r="N31" s="421">
        <v>0</v>
      </c>
      <c r="O31" s="421">
        <v>0</v>
      </c>
      <c r="P31" s="431">
        <v>35.222329940373399</v>
      </c>
      <c r="Q31" s="431">
        <v>4.2874916030489096</v>
      </c>
      <c r="R31" s="422">
        <v>0</v>
      </c>
      <c r="S31" s="423">
        <f t="shared" si="4"/>
        <v>43.417834793422315</v>
      </c>
      <c r="T31" s="412"/>
    </row>
    <row r="32" spans="1:22" ht="13.5">
      <c r="B32" s="412"/>
      <c r="C32" s="424" t="s">
        <v>77</v>
      </c>
      <c r="D32" s="425">
        <f t="shared" ref="D32:S32" si="5">SUM(D20:D31)</f>
        <v>43.449894885622093</v>
      </c>
      <c r="E32" s="425">
        <f t="shared" si="5"/>
        <v>402.08432464732437</v>
      </c>
      <c r="F32" s="425">
        <f t="shared" si="5"/>
        <v>-371.62739401147854</v>
      </c>
      <c r="G32" s="425">
        <f t="shared" si="5"/>
        <v>87.992001999999999</v>
      </c>
      <c r="H32" s="425">
        <f t="shared" si="5"/>
        <v>1072.2208090909101</v>
      </c>
      <c r="I32" s="425">
        <f t="shared" si="5"/>
        <v>115.87787899999999</v>
      </c>
      <c r="J32" s="425">
        <f t="shared" si="5"/>
        <v>23.17801944444448</v>
      </c>
      <c r="K32" s="425">
        <f t="shared" si="5"/>
        <v>27.8922105584588</v>
      </c>
      <c r="L32" s="425">
        <f t="shared" si="5"/>
        <v>-27.316249379798698</v>
      </c>
      <c r="M32" s="425">
        <f t="shared" si="5"/>
        <v>-2.8983510000000194</v>
      </c>
      <c r="N32" s="425">
        <f t="shared" si="5"/>
        <v>0.25705111111111101</v>
      </c>
      <c r="O32" s="425">
        <f t="shared" si="5"/>
        <v>3.7962533777777803</v>
      </c>
      <c r="P32" s="425">
        <f t="shared" si="5"/>
        <v>-449.68426159579855</v>
      </c>
      <c r="Q32" s="425">
        <f t="shared" si="5"/>
        <v>-42.876203350415096</v>
      </c>
      <c r="R32" s="425">
        <f t="shared" si="5"/>
        <v>0</v>
      </c>
      <c r="S32" s="425">
        <f t="shared" si="5"/>
        <v>882.34598477815791</v>
      </c>
      <c r="T32" s="412"/>
      <c r="V32" s="488"/>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31">
        <v>8.9862670625500005</v>
      </c>
      <c r="E34" s="421">
        <v>0</v>
      </c>
      <c r="F34" s="431">
        <v>30.361762354379302</v>
      </c>
      <c r="G34" s="431">
        <v>115.67477925</v>
      </c>
      <c r="H34" s="421">
        <v>0</v>
      </c>
      <c r="I34" s="421">
        <v>0</v>
      </c>
      <c r="J34" s="431">
        <v>15.5648575</v>
      </c>
      <c r="K34" s="431">
        <v>3.5678886111111101</v>
      </c>
      <c r="L34" s="431">
        <v>1.0434102222764099</v>
      </c>
      <c r="M34" s="431">
        <v>0.91264888888888895</v>
      </c>
      <c r="N34" s="431">
        <v>0</v>
      </c>
      <c r="O34" s="431">
        <v>1.51127777777778E-2</v>
      </c>
      <c r="P34" s="431">
        <v>105.150592236873</v>
      </c>
      <c r="Q34" s="431">
        <v>18.686166128192799</v>
      </c>
      <c r="R34" s="421">
        <v>0</v>
      </c>
      <c r="S34" s="429">
        <f t="shared" ref="S34:S42" si="6">SUM(D34:R34)</f>
        <v>299.96348503204922</v>
      </c>
      <c r="T34" s="412"/>
    </row>
    <row r="35" spans="2:20" ht="13.5">
      <c r="B35" s="412"/>
      <c r="C35" s="428" t="s">
        <v>79</v>
      </c>
      <c r="D35" s="431">
        <v>0</v>
      </c>
      <c r="E35" s="421">
        <v>0</v>
      </c>
      <c r="F35" s="431">
        <v>384.06791201745</v>
      </c>
      <c r="G35" s="431">
        <v>2.2477144999999998</v>
      </c>
      <c r="H35" s="421">
        <v>0</v>
      </c>
      <c r="I35" s="421">
        <v>0</v>
      </c>
      <c r="J35" s="431">
        <v>0</v>
      </c>
      <c r="K35" s="431">
        <v>0</v>
      </c>
      <c r="L35" s="431">
        <v>30.751352031352699</v>
      </c>
      <c r="M35" s="431">
        <v>0</v>
      </c>
      <c r="N35" s="431">
        <v>0</v>
      </c>
      <c r="O35" s="431">
        <v>0</v>
      </c>
      <c r="P35" s="431">
        <v>8.3371990700000005</v>
      </c>
      <c r="Q35" s="431">
        <v>0</v>
      </c>
      <c r="R35" s="421">
        <v>0</v>
      </c>
      <c r="S35" s="429">
        <f t="shared" si="6"/>
        <v>425.40417761880269</v>
      </c>
      <c r="T35" s="412"/>
    </row>
    <row r="36" spans="2:20" ht="13.5">
      <c r="B36" s="412"/>
      <c r="C36" s="428" t="s">
        <v>80</v>
      </c>
      <c r="D36" s="431">
        <v>0.24074954805000001</v>
      </c>
      <c r="E36" s="421">
        <v>0</v>
      </c>
      <c r="F36" s="431">
        <v>49.863308104442503</v>
      </c>
      <c r="G36" s="431">
        <v>125.05981224999999</v>
      </c>
      <c r="H36" s="421">
        <v>0</v>
      </c>
      <c r="I36" s="421">
        <v>0</v>
      </c>
      <c r="J36" s="431">
        <v>69.4067088888889</v>
      </c>
      <c r="K36" s="431">
        <v>0</v>
      </c>
      <c r="L36" s="431">
        <v>0</v>
      </c>
      <c r="M36" s="431">
        <v>0</v>
      </c>
      <c r="N36" s="431">
        <v>27.426589444444399</v>
      </c>
      <c r="O36" s="431">
        <v>1.04480216638667</v>
      </c>
      <c r="P36" s="431">
        <v>158.3858485003</v>
      </c>
      <c r="Q36" s="431">
        <v>14.411899999999999</v>
      </c>
      <c r="R36" s="421">
        <v>0</v>
      </c>
      <c r="S36" s="429">
        <f t="shared" si="6"/>
        <v>445.8397189025124</v>
      </c>
      <c r="T36" s="412"/>
    </row>
    <row r="37" spans="2:20" ht="13.5">
      <c r="B37" s="412"/>
      <c r="C37" s="428" t="s">
        <v>81</v>
      </c>
      <c r="D37" s="431">
        <v>0.35525487623000002</v>
      </c>
      <c r="E37" s="421">
        <v>0</v>
      </c>
      <c r="F37" s="431">
        <v>31.480497483360899</v>
      </c>
      <c r="G37" s="431">
        <v>62.61667825</v>
      </c>
      <c r="H37" s="421">
        <v>0</v>
      </c>
      <c r="I37" s="421">
        <v>0</v>
      </c>
      <c r="J37" s="431">
        <v>2.8232277777777801</v>
      </c>
      <c r="K37" s="431">
        <v>2.28350923457951</v>
      </c>
      <c r="L37" s="431">
        <v>0</v>
      </c>
      <c r="M37" s="431">
        <v>1.47450888888889</v>
      </c>
      <c r="N37" s="431">
        <v>4.4857555555555599</v>
      </c>
      <c r="O37" s="431">
        <v>0.354625058755556</v>
      </c>
      <c r="P37" s="431">
        <v>124.730012203676</v>
      </c>
      <c r="Q37" s="431">
        <v>9.5887644444444504</v>
      </c>
      <c r="R37" s="421">
        <v>0</v>
      </c>
      <c r="S37" s="429">
        <f t="shared" si="6"/>
        <v>240.19283377326863</v>
      </c>
      <c r="T37" s="412"/>
    </row>
    <row r="38" spans="2:20" ht="13.5">
      <c r="B38" s="412"/>
      <c r="C38" s="428" t="s">
        <v>82</v>
      </c>
      <c r="D38" s="431">
        <v>1.5371382629999999E-2</v>
      </c>
      <c r="E38" s="421">
        <v>0</v>
      </c>
      <c r="F38" s="431">
        <v>37.008579624305803</v>
      </c>
      <c r="G38" s="431">
        <v>2.1964755</v>
      </c>
      <c r="H38" s="421">
        <v>0</v>
      </c>
      <c r="I38" s="421">
        <v>0</v>
      </c>
      <c r="J38" s="431">
        <v>1.69047944444444</v>
      </c>
      <c r="K38" s="431">
        <v>0</v>
      </c>
      <c r="L38" s="431">
        <v>1.93666726391606</v>
      </c>
      <c r="M38" s="431">
        <v>0.51119305555555605</v>
      </c>
      <c r="N38" s="431">
        <v>0</v>
      </c>
      <c r="O38" s="431">
        <v>0.29232166666666698</v>
      </c>
      <c r="P38" s="431">
        <v>8.0414155849497</v>
      </c>
      <c r="Q38" s="431">
        <v>0.189373333333333</v>
      </c>
      <c r="R38" s="421">
        <v>0</v>
      </c>
      <c r="S38" s="429">
        <f t="shared" si="6"/>
        <v>51.881876855801565</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f t="shared" si="6"/>
        <v>0</v>
      </c>
      <c r="T39" s="412"/>
    </row>
    <row r="40" spans="2:20" ht="13.5">
      <c r="B40" s="412"/>
      <c r="C40" s="424" t="s">
        <v>83</v>
      </c>
      <c r="D40" s="425">
        <f t="shared" ref="D40:R40" si="7">SUM(D34:D39)</f>
        <v>9.5976428694599996</v>
      </c>
      <c r="E40" s="425">
        <f t="shared" si="7"/>
        <v>0</v>
      </c>
      <c r="F40" s="425">
        <f t="shared" si="7"/>
        <v>532.78205958393858</v>
      </c>
      <c r="G40" s="425">
        <f t="shared" si="7"/>
        <v>307.79545975000002</v>
      </c>
      <c r="H40" s="425">
        <f t="shared" si="7"/>
        <v>0</v>
      </c>
      <c r="I40" s="425">
        <f t="shared" si="7"/>
        <v>0</v>
      </c>
      <c r="J40" s="425">
        <f t="shared" si="7"/>
        <v>89.485273611111111</v>
      </c>
      <c r="K40" s="425">
        <f t="shared" si="7"/>
        <v>5.8513978456906202</v>
      </c>
      <c r="L40" s="425">
        <f t="shared" si="7"/>
        <v>33.731429517545166</v>
      </c>
      <c r="M40" s="425">
        <f t="shared" si="7"/>
        <v>2.898350833333335</v>
      </c>
      <c r="N40" s="425">
        <f t="shared" si="7"/>
        <v>31.912344999999959</v>
      </c>
      <c r="O40" s="425">
        <f t="shared" si="7"/>
        <v>1.7068616695866707</v>
      </c>
      <c r="P40" s="425">
        <f t="shared" si="7"/>
        <v>404.64506759579865</v>
      </c>
      <c r="Q40" s="425">
        <f t="shared" si="7"/>
        <v>42.876203905970584</v>
      </c>
      <c r="R40" s="425">
        <f t="shared" si="7"/>
        <v>0</v>
      </c>
      <c r="S40" s="425">
        <f t="shared" si="6"/>
        <v>1463.2820921824346</v>
      </c>
      <c r="T40" s="412"/>
    </row>
    <row r="41" spans="2:20" ht="13.5">
      <c r="B41" s="412"/>
      <c r="C41" s="420" t="s">
        <v>84</v>
      </c>
      <c r="D41" s="431">
        <v>2.9383352237599998</v>
      </c>
      <c r="E41" s="421">
        <v>0</v>
      </c>
      <c r="F41" s="431">
        <v>130.484119421548</v>
      </c>
      <c r="G41" s="431">
        <v>12.027936499999999</v>
      </c>
      <c r="H41" s="421">
        <v>0</v>
      </c>
      <c r="I41" s="421">
        <v>0</v>
      </c>
      <c r="J41" s="421">
        <v>0</v>
      </c>
      <c r="K41" s="421">
        <v>0</v>
      </c>
      <c r="L41" s="431">
        <v>0</v>
      </c>
      <c r="M41" s="431">
        <v>0</v>
      </c>
      <c r="N41" s="421">
        <v>0</v>
      </c>
      <c r="O41" s="421">
        <v>0</v>
      </c>
      <c r="P41" s="421">
        <v>0</v>
      </c>
      <c r="Q41" s="421">
        <v>0</v>
      </c>
      <c r="R41" s="421">
        <v>0</v>
      </c>
      <c r="S41" s="429">
        <f t="shared" si="6"/>
        <v>145.450391145308</v>
      </c>
      <c r="T41" s="412"/>
    </row>
    <row r="42" spans="2:20" ht="13.5">
      <c r="B42" s="412"/>
      <c r="C42" s="424" t="s">
        <v>85</v>
      </c>
      <c r="D42" s="425">
        <f t="shared" ref="D42:R42" si="8">D40+D41</f>
        <v>12.535978093219999</v>
      </c>
      <c r="E42" s="425">
        <f t="shared" si="8"/>
        <v>0</v>
      </c>
      <c r="F42" s="425">
        <f t="shared" si="8"/>
        <v>663.26617900548661</v>
      </c>
      <c r="G42" s="425">
        <f t="shared" si="8"/>
        <v>319.82339625000003</v>
      </c>
      <c r="H42" s="425">
        <f t="shared" si="8"/>
        <v>0</v>
      </c>
      <c r="I42" s="425">
        <f t="shared" si="8"/>
        <v>0</v>
      </c>
      <c r="J42" s="425">
        <f t="shared" si="8"/>
        <v>89.485273611111111</v>
      </c>
      <c r="K42" s="425">
        <f t="shared" si="8"/>
        <v>5.8513978456906202</v>
      </c>
      <c r="L42" s="425">
        <f t="shared" si="8"/>
        <v>33.731429517545166</v>
      </c>
      <c r="M42" s="425">
        <f t="shared" si="8"/>
        <v>2.898350833333335</v>
      </c>
      <c r="N42" s="425">
        <f t="shared" si="8"/>
        <v>31.912344999999959</v>
      </c>
      <c r="O42" s="425">
        <f t="shared" si="8"/>
        <v>1.7068616695866707</v>
      </c>
      <c r="P42" s="425">
        <f t="shared" si="8"/>
        <v>404.64506759579865</v>
      </c>
      <c r="Q42" s="425">
        <f t="shared" si="8"/>
        <v>42.876203905970584</v>
      </c>
      <c r="R42" s="425">
        <f t="shared" si="8"/>
        <v>0</v>
      </c>
      <c r="S42" s="425">
        <f t="shared" si="6"/>
        <v>1608.732483327743</v>
      </c>
      <c r="T42" s="412"/>
    </row>
    <row r="43" spans="2:20">
      <c r="B43" s="412"/>
      <c r="C43" s="412"/>
      <c r="D43" s="412"/>
      <c r="E43" s="412"/>
      <c r="F43" s="412"/>
      <c r="G43" s="412"/>
      <c r="H43" s="412"/>
      <c r="I43" s="412"/>
      <c r="J43" s="412"/>
      <c r="K43" s="412"/>
      <c r="L43" s="412"/>
      <c r="M43" s="412"/>
      <c r="N43" s="412"/>
      <c r="O43" s="412"/>
      <c r="P43" s="412"/>
      <c r="Q43" s="412"/>
      <c r="R43" s="412"/>
      <c r="S43" s="412"/>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358</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9.7691999999999997</v>
      </c>
      <c r="F49" s="421">
        <v>0</v>
      </c>
      <c r="G49" s="421">
        <v>0.18608</v>
      </c>
      <c r="H49" s="422">
        <v>1100</v>
      </c>
      <c r="I49" s="422">
        <v>132.91999999999999</v>
      </c>
      <c r="J49" s="422">
        <v>188.067672565268</v>
      </c>
      <c r="K49" s="422">
        <v>26.326605803260801</v>
      </c>
      <c r="L49" s="421">
        <v>0</v>
      </c>
      <c r="M49" s="421">
        <v>0</v>
      </c>
      <c r="N49" s="422">
        <v>36.079315619527598</v>
      </c>
      <c r="O49" s="422">
        <v>3.8677813273305701</v>
      </c>
      <c r="P49" s="421">
        <v>0</v>
      </c>
      <c r="Q49" s="421">
        <v>0</v>
      </c>
      <c r="R49" s="421">
        <v>0</v>
      </c>
      <c r="S49" s="423">
        <v>1497.21665531539</v>
      </c>
      <c r="T49" s="412"/>
    </row>
    <row r="50" spans="2:20" ht="13.5">
      <c r="B50" s="412"/>
      <c r="C50" s="420" t="s">
        <v>60</v>
      </c>
      <c r="D50" s="421">
        <v>49.5469924761749</v>
      </c>
      <c r="E50" s="421">
        <v>498.31484372741801</v>
      </c>
      <c r="F50" s="421">
        <v>265.184638300828</v>
      </c>
      <c r="G50" s="421">
        <v>407.12156574706302</v>
      </c>
      <c r="H50" s="421">
        <v>0</v>
      </c>
      <c r="I50" s="421">
        <v>0</v>
      </c>
      <c r="J50" s="421">
        <v>0</v>
      </c>
      <c r="K50" s="421">
        <v>0</v>
      </c>
      <c r="L50" s="421">
        <v>0</v>
      </c>
      <c r="M50" s="421">
        <v>0</v>
      </c>
      <c r="N50" s="421">
        <v>0</v>
      </c>
      <c r="O50" s="421">
        <v>0</v>
      </c>
      <c r="P50" s="421">
        <v>0</v>
      </c>
      <c r="Q50" s="421">
        <v>0</v>
      </c>
      <c r="R50" s="421">
        <v>0</v>
      </c>
      <c r="S50" s="423">
        <v>1220.1680402514801</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-33.244535842966798</v>
      </c>
      <c r="Q51" s="421">
        <v>0</v>
      </c>
      <c r="R51" s="421">
        <v>0</v>
      </c>
      <c r="S51" s="423">
        <v>-33.244535842966798</v>
      </c>
      <c r="T51" s="412"/>
    </row>
    <row r="52" spans="2:20" ht="13.5">
      <c r="B52" s="412"/>
      <c r="C52" s="420" t="s">
        <v>62</v>
      </c>
      <c r="D52" s="421">
        <v>0</v>
      </c>
      <c r="E52" s="421">
        <v>0</v>
      </c>
      <c r="F52" s="421">
        <v>-18.7727409289602</v>
      </c>
      <c r="G52" s="421">
        <v>0</v>
      </c>
      <c r="H52" s="421">
        <v>0</v>
      </c>
      <c r="I52" s="421">
        <v>0</v>
      </c>
      <c r="J52" s="421">
        <v>0</v>
      </c>
      <c r="K52" s="421">
        <v>0</v>
      </c>
      <c r="L52" s="421">
        <v>0</v>
      </c>
      <c r="M52" s="421">
        <v>0</v>
      </c>
      <c r="N52" s="421">
        <v>0</v>
      </c>
      <c r="O52" s="421">
        <v>0</v>
      </c>
      <c r="P52" s="421">
        <v>0</v>
      </c>
      <c r="Q52" s="421">
        <v>0</v>
      </c>
      <c r="R52" s="421">
        <v>0</v>
      </c>
      <c r="S52" s="423">
        <v>-18.7727409289602</v>
      </c>
      <c r="T52" s="412"/>
    </row>
    <row r="53" spans="2:20" ht="13.5">
      <c r="B53" s="412"/>
      <c r="C53" s="420" t="s">
        <v>63</v>
      </c>
      <c r="D53" s="421">
        <v>0</v>
      </c>
      <c r="E53" s="421">
        <v>0</v>
      </c>
      <c r="F53" s="421">
        <v>-72.922720270572995</v>
      </c>
      <c r="G53" s="421">
        <v>0</v>
      </c>
      <c r="H53" s="421">
        <v>0</v>
      </c>
      <c r="I53" s="421">
        <v>0</v>
      </c>
      <c r="J53" s="421">
        <v>0</v>
      </c>
      <c r="K53" s="421">
        <v>0</v>
      </c>
      <c r="L53" s="421">
        <v>-0.75281209705321706</v>
      </c>
      <c r="M53" s="421">
        <v>0</v>
      </c>
      <c r="N53" s="421">
        <v>0</v>
      </c>
      <c r="O53" s="421">
        <v>0</v>
      </c>
      <c r="P53" s="421">
        <v>0</v>
      </c>
      <c r="Q53" s="421">
        <v>0</v>
      </c>
      <c r="R53" s="421">
        <v>0</v>
      </c>
      <c r="S53" s="423">
        <v>-73.675532367626204</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49.5469924761749</v>
      </c>
      <c r="E55" s="425">
        <v>508.08404372741802</v>
      </c>
      <c r="F55" s="425">
        <v>173.48917710129501</v>
      </c>
      <c r="G55" s="425">
        <v>407.30764574706302</v>
      </c>
      <c r="H55" s="425">
        <v>1100</v>
      </c>
      <c r="I55" s="425">
        <v>132.91999999999999</v>
      </c>
      <c r="J55" s="425">
        <v>188.067672565268</v>
      </c>
      <c r="K55" s="425">
        <v>26.326605803260801</v>
      </c>
      <c r="L55" s="425">
        <v>-0.75281209705321706</v>
      </c>
      <c r="M55" s="425">
        <v>0</v>
      </c>
      <c r="N55" s="425">
        <v>36.079315619527598</v>
      </c>
      <c r="O55" s="425">
        <v>3.8677813273305701</v>
      </c>
      <c r="P55" s="425">
        <v>-33.244535842966798</v>
      </c>
      <c r="Q55" s="425">
        <v>0</v>
      </c>
      <c r="R55" s="425">
        <v>0</v>
      </c>
      <c r="S55" s="425">
        <v>2591.6918864273198</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43.110109584564697</v>
      </c>
      <c r="H58" s="421">
        <v>1100</v>
      </c>
      <c r="I58" s="421">
        <v>132.91999999999999</v>
      </c>
      <c r="J58" s="421">
        <v>31.266204074514999</v>
      </c>
      <c r="K58" s="421">
        <v>9.3162173763582707</v>
      </c>
      <c r="L58" s="421">
        <v>0</v>
      </c>
      <c r="M58" s="421">
        <v>0.54127719607999403</v>
      </c>
      <c r="N58" s="421">
        <v>0</v>
      </c>
      <c r="O58" s="421">
        <v>0</v>
      </c>
      <c r="P58" s="421">
        <v>-531.28062944661895</v>
      </c>
      <c r="Q58" s="421">
        <v>0</v>
      </c>
      <c r="R58" s="421">
        <v>0</v>
      </c>
      <c r="S58" s="429">
        <v>791.93728588410204</v>
      </c>
      <c r="T58" s="412"/>
    </row>
    <row r="59" spans="2:20" ht="13.5">
      <c r="B59" s="412"/>
      <c r="C59" s="428" t="s">
        <v>351</v>
      </c>
      <c r="D59" s="421">
        <v>0.74274104021394804</v>
      </c>
      <c r="E59" s="421">
        <v>0</v>
      </c>
      <c r="F59" s="421">
        <v>9.6807273074047601E-2</v>
      </c>
      <c r="G59" s="421">
        <v>18.358678149105401</v>
      </c>
      <c r="H59" s="421">
        <v>0</v>
      </c>
      <c r="I59" s="421">
        <v>0</v>
      </c>
      <c r="J59" s="421">
        <v>14.428351097379601</v>
      </c>
      <c r="K59" s="421">
        <v>13.004424723043201</v>
      </c>
      <c r="L59" s="421">
        <v>0</v>
      </c>
      <c r="M59" s="421">
        <v>0.23050588198552699</v>
      </c>
      <c r="N59" s="421">
        <v>0</v>
      </c>
      <c r="O59" s="421">
        <v>2.39162871134433</v>
      </c>
      <c r="P59" s="421">
        <v>0</v>
      </c>
      <c r="Q59" s="421">
        <v>-43.536573371937401</v>
      </c>
      <c r="R59" s="421">
        <v>0</v>
      </c>
      <c r="S59" s="429">
        <v>5.7165635042085698</v>
      </c>
      <c r="T59" s="412"/>
    </row>
    <row r="60" spans="2:20" ht="13.5">
      <c r="B60" s="412"/>
      <c r="C60" s="428" t="s">
        <v>352</v>
      </c>
      <c r="D60" s="421">
        <v>0</v>
      </c>
      <c r="E60" s="421">
        <v>0</v>
      </c>
      <c r="F60" s="421">
        <v>0</v>
      </c>
      <c r="G60" s="421">
        <v>0</v>
      </c>
      <c r="H60" s="421">
        <v>0</v>
      </c>
      <c r="I60" s="421">
        <v>0</v>
      </c>
      <c r="J60" s="421">
        <v>5.6977956768119897</v>
      </c>
      <c r="K60" s="421">
        <v>0</v>
      </c>
      <c r="L60" s="421">
        <v>0</v>
      </c>
      <c r="M60" s="421">
        <v>-4.9570822388264304</v>
      </c>
      <c r="N60" s="421">
        <v>0</v>
      </c>
      <c r="O60" s="421">
        <v>0</v>
      </c>
      <c r="P60" s="421">
        <v>0</v>
      </c>
      <c r="Q60" s="421">
        <v>0</v>
      </c>
      <c r="R60" s="421">
        <v>0</v>
      </c>
      <c r="S60" s="429">
        <v>0.740713437985558</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526.32106875994998</v>
      </c>
      <c r="F62" s="421">
        <v>-521.05785807234997</v>
      </c>
      <c r="G62" s="421">
        <v>0</v>
      </c>
      <c r="H62" s="421">
        <v>0</v>
      </c>
      <c r="I62" s="421">
        <v>0</v>
      </c>
      <c r="J62" s="421">
        <v>0</v>
      </c>
      <c r="K62" s="421">
        <v>0</v>
      </c>
      <c r="L62" s="421">
        <v>0</v>
      </c>
      <c r="M62" s="421">
        <v>0</v>
      </c>
      <c r="N62" s="421">
        <v>0</v>
      </c>
      <c r="O62" s="421">
        <v>0</v>
      </c>
      <c r="P62" s="421">
        <v>0</v>
      </c>
      <c r="Q62" s="421">
        <v>0</v>
      </c>
      <c r="R62" s="421">
        <v>0</v>
      </c>
      <c r="S62" s="429">
        <v>5.2632106875995497</v>
      </c>
      <c r="T62" s="412"/>
    </row>
    <row r="63" spans="2:20" ht="13.5">
      <c r="B63" s="412"/>
      <c r="C63" s="428" t="s">
        <v>354</v>
      </c>
      <c r="D63" s="421">
        <v>0</v>
      </c>
      <c r="E63" s="421">
        <v>0</v>
      </c>
      <c r="F63" s="421">
        <v>0</v>
      </c>
      <c r="G63" s="421">
        <v>0</v>
      </c>
      <c r="H63" s="421">
        <v>0</v>
      </c>
      <c r="I63" s="421">
        <v>0</v>
      </c>
      <c r="J63" s="421">
        <v>39.5364479846275</v>
      </c>
      <c r="K63" s="421">
        <v>0</v>
      </c>
      <c r="L63" s="421">
        <v>-39.5364479846275</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v>
      </c>
      <c r="M64" s="421">
        <v>0</v>
      </c>
      <c r="N64" s="421">
        <v>0</v>
      </c>
      <c r="O64" s="421">
        <v>0</v>
      </c>
      <c r="P64" s="421">
        <v>0</v>
      </c>
      <c r="Q64" s="421">
        <v>0</v>
      </c>
      <c r="R64" s="421">
        <v>0</v>
      </c>
      <c r="S64" s="429">
        <v>0</v>
      </c>
      <c r="T64" s="412"/>
    </row>
    <row r="65" spans="2:20" ht="13.5">
      <c r="B65" s="412"/>
      <c r="C65" s="428" t="s">
        <v>73</v>
      </c>
      <c r="D65" s="421">
        <v>0</v>
      </c>
      <c r="E65" s="421">
        <v>0</v>
      </c>
      <c r="F65" s="421">
        <v>0</v>
      </c>
      <c r="G65" s="421">
        <v>0.23665830152728301</v>
      </c>
      <c r="H65" s="421">
        <v>0</v>
      </c>
      <c r="I65" s="421">
        <v>0</v>
      </c>
      <c r="J65" s="421">
        <v>0</v>
      </c>
      <c r="K65" s="421">
        <v>2.5738959176199801E-3</v>
      </c>
      <c r="L65" s="421">
        <v>0</v>
      </c>
      <c r="M65" s="421">
        <v>2.9714084031372098E-3</v>
      </c>
      <c r="N65" s="421">
        <v>0</v>
      </c>
      <c r="O65" s="421">
        <v>0</v>
      </c>
      <c r="P65" s="421">
        <v>1.6354138676569999E-2</v>
      </c>
      <c r="Q65" s="421">
        <v>0</v>
      </c>
      <c r="R65" s="421">
        <v>-0.18017271423339801</v>
      </c>
      <c r="S65" s="429">
        <v>7.8385030291211494E-2</v>
      </c>
      <c r="T65" s="412"/>
    </row>
    <row r="66" spans="2:20" ht="13.5">
      <c r="B66" s="412"/>
      <c r="C66" s="428" t="s">
        <v>356</v>
      </c>
      <c r="D66" s="421">
        <v>22.204820312500001</v>
      </c>
      <c r="E66" s="421">
        <v>-18.237025032532301</v>
      </c>
      <c r="F66" s="421">
        <v>23.852951568964802</v>
      </c>
      <c r="G66" s="421">
        <v>0</v>
      </c>
      <c r="H66" s="421">
        <v>0</v>
      </c>
      <c r="I66" s="421">
        <v>0</v>
      </c>
      <c r="J66" s="421">
        <v>0</v>
      </c>
      <c r="K66" s="421">
        <v>0</v>
      </c>
      <c r="L66" s="421">
        <v>0</v>
      </c>
      <c r="M66" s="421">
        <v>0</v>
      </c>
      <c r="N66" s="421">
        <v>0</v>
      </c>
      <c r="O66" s="421">
        <v>0</v>
      </c>
      <c r="P66" s="421">
        <v>0</v>
      </c>
      <c r="Q66" s="421">
        <v>0</v>
      </c>
      <c r="R66" s="421">
        <v>0</v>
      </c>
      <c r="S66" s="429">
        <v>27.8207468489326</v>
      </c>
      <c r="T66" s="412"/>
    </row>
    <row r="67" spans="2:20" ht="13.5">
      <c r="B67" s="412"/>
      <c r="C67" s="428" t="s">
        <v>75</v>
      </c>
      <c r="D67" s="421">
        <v>13.221516601562501</v>
      </c>
      <c r="E67" s="421">
        <v>0</v>
      </c>
      <c r="F67" s="421">
        <v>17.8949163378383</v>
      </c>
      <c r="G67" s="421">
        <v>5.14596740632253</v>
      </c>
      <c r="H67" s="421">
        <v>0</v>
      </c>
      <c r="I67" s="421">
        <v>0</v>
      </c>
      <c r="J67" s="421">
        <v>0</v>
      </c>
      <c r="K67" s="421">
        <v>0</v>
      </c>
      <c r="L67" s="421">
        <v>0</v>
      </c>
      <c r="M67" s="421">
        <v>6.4611174400971402E-2</v>
      </c>
      <c r="N67" s="421">
        <v>0</v>
      </c>
      <c r="O67" s="421">
        <v>0</v>
      </c>
      <c r="P67" s="421">
        <v>34.668031472331002</v>
      </c>
      <c r="Q67" s="421">
        <v>0</v>
      </c>
      <c r="R67" s="421">
        <v>0</v>
      </c>
      <c r="S67" s="429">
        <v>70.995042992455296</v>
      </c>
      <c r="T67" s="412"/>
    </row>
    <row r="68" spans="2:20" ht="13.5">
      <c r="B68" s="412"/>
      <c r="C68" s="428" t="s">
        <v>76</v>
      </c>
      <c r="D68" s="421">
        <v>0</v>
      </c>
      <c r="E68" s="421">
        <v>0</v>
      </c>
      <c r="F68" s="421">
        <v>0</v>
      </c>
      <c r="G68" s="421">
        <v>4.6815132147121501</v>
      </c>
      <c r="H68" s="421">
        <v>0</v>
      </c>
      <c r="I68" s="421">
        <v>0</v>
      </c>
      <c r="J68" s="421">
        <v>0</v>
      </c>
      <c r="K68" s="421">
        <v>0</v>
      </c>
      <c r="L68" s="421">
        <v>0</v>
      </c>
      <c r="M68" s="421">
        <v>5.8779631290431997E-2</v>
      </c>
      <c r="N68" s="421">
        <v>0</v>
      </c>
      <c r="O68" s="421">
        <v>0</v>
      </c>
      <c r="P68" s="421">
        <v>38.168971162606802</v>
      </c>
      <c r="Q68" s="421">
        <v>3.3736828074195002</v>
      </c>
      <c r="R68" s="421">
        <v>0</v>
      </c>
      <c r="S68" s="429">
        <v>46.282946816028897</v>
      </c>
      <c r="T68" s="412"/>
    </row>
    <row r="69" spans="2:20" ht="13.5">
      <c r="B69" s="412"/>
      <c r="C69" s="424" t="s">
        <v>77</v>
      </c>
      <c r="D69" s="425">
        <v>38.369548689843</v>
      </c>
      <c r="E69" s="425">
        <v>508.08404372741802</v>
      </c>
      <c r="F69" s="425">
        <v>-475.34954652883698</v>
      </c>
      <c r="G69" s="425">
        <v>71.532926656231993</v>
      </c>
      <c r="H69" s="425">
        <v>1100</v>
      </c>
      <c r="I69" s="425">
        <v>132.91999999999999</v>
      </c>
      <c r="J69" s="425">
        <v>90.928798833334</v>
      </c>
      <c r="K69" s="425">
        <v>22.323215995319099</v>
      </c>
      <c r="L69" s="425">
        <v>-39.5364479846275</v>
      </c>
      <c r="M69" s="425">
        <v>-4.0589369466663703</v>
      </c>
      <c r="N69" s="425">
        <v>0</v>
      </c>
      <c r="O69" s="425">
        <v>2.39162871134433</v>
      </c>
      <c r="P69" s="425">
        <v>-458.42727267300501</v>
      </c>
      <c r="Q69" s="425">
        <v>-40.162890564517902</v>
      </c>
      <c r="R69" s="425">
        <v>-0.18017271423339801</v>
      </c>
      <c r="S69" s="425">
        <v>948.83489520160401</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8.2197396847693707</v>
      </c>
      <c r="E71" s="421">
        <v>0</v>
      </c>
      <c r="F71" s="421">
        <v>28.180521880790899</v>
      </c>
      <c r="G71" s="421">
        <v>112.202197168209</v>
      </c>
      <c r="H71" s="421">
        <v>0</v>
      </c>
      <c r="I71" s="421">
        <v>0</v>
      </c>
      <c r="J71" s="421">
        <v>17.034037714807798</v>
      </c>
      <c r="K71" s="421">
        <v>4.0033898079417298</v>
      </c>
      <c r="L71" s="421">
        <v>0.89586796289062498</v>
      </c>
      <c r="M71" s="421">
        <v>1.4087760681306101</v>
      </c>
      <c r="N71" s="421">
        <v>0</v>
      </c>
      <c r="O71" s="421">
        <v>0</v>
      </c>
      <c r="P71" s="421">
        <v>108.21704147474701</v>
      </c>
      <c r="Q71" s="421">
        <v>18.2326403230594</v>
      </c>
      <c r="R71" s="421">
        <v>0.18017271423339801</v>
      </c>
      <c r="S71" s="429">
        <v>298.57438479958</v>
      </c>
      <c r="T71" s="412"/>
    </row>
    <row r="72" spans="2:20" ht="13.5">
      <c r="B72" s="412"/>
      <c r="C72" s="428" t="s">
        <v>79</v>
      </c>
      <c r="D72" s="421">
        <v>0</v>
      </c>
      <c r="E72" s="421">
        <v>0</v>
      </c>
      <c r="F72" s="421">
        <v>381.141400590812</v>
      </c>
      <c r="G72" s="421">
        <v>4.7808389838304803</v>
      </c>
      <c r="H72" s="421">
        <v>0</v>
      </c>
      <c r="I72" s="421">
        <v>0</v>
      </c>
      <c r="J72" s="421">
        <v>0</v>
      </c>
      <c r="K72" s="421">
        <v>0</v>
      </c>
      <c r="L72" s="421">
        <v>36.729850270547203</v>
      </c>
      <c r="M72" s="421">
        <v>8.1330349453470993E-2</v>
      </c>
      <c r="N72" s="421">
        <v>0</v>
      </c>
      <c r="O72" s="421">
        <v>0</v>
      </c>
      <c r="P72" s="421">
        <v>13.917165054851701</v>
      </c>
      <c r="Q72" s="421">
        <v>0</v>
      </c>
      <c r="R72" s="421">
        <v>0</v>
      </c>
      <c r="S72" s="429">
        <v>436.65058524949501</v>
      </c>
      <c r="T72" s="412"/>
    </row>
    <row r="73" spans="2:20" ht="13.5">
      <c r="B73" s="412"/>
      <c r="C73" s="428" t="s">
        <v>80</v>
      </c>
      <c r="D73" s="421">
        <v>0</v>
      </c>
      <c r="E73" s="421">
        <v>0</v>
      </c>
      <c r="F73" s="421">
        <v>45.2391315244111</v>
      </c>
      <c r="G73" s="421">
        <v>133.04908791919399</v>
      </c>
      <c r="H73" s="421">
        <v>0</v>
      </c>
      <c r="I73" s="421">
        <v>0</v>
      </c>
      <c r="J73" s="421">
        <v>75.533769220439794</v>
      </c>
      <c r="K73" s="421">
        <v>0</v>
      </c>
      <c r="L73" s="421">
        <v>0</v>
      </c>
      <c r="M73" s="421">
        <v>1.6705231776002401</v>
      </c>
      <c r="N73" s="421">
        <v>30.638911807936498</v>
      </c>
      <c r="O73" s="421">
        <v>0.38834857281910401</v>
      </c>
      <c r="P73" s="421">
        <v>165.12177710767</v>
      </c>
      <c r="Q73" s="421">
        <v>16.128184194203499</v>
      </c>
      <c r="R73" s="421">
        <v>0</v>
      </c>
      <c r="S73" s="429">
        <v>467.76973352427399</v>
      </c>
      <c r="T73" s="412"/>
    </row>
    <row r="74" spans="2:20" ht="13.5">
      <c r="B74" s="412"/>
      <c r="C74" s="428" t="s">
        <v>81</v>
      </c>
      <c r="D74" s="421">
        <v>0</v>
      </c>
      <c r="E74" s="421">
        <v>0</v>
      </c>
      <c r="F74" s="421">
        <v>24.631208462384599</v>
      </c>
      <c r="G74" s="421">
        <v>70.462480116853897</v>
      </c>
      <c r="H74" s="421">
        <v>0</v>
      </c>
      <c r="I74" s="421">
        <v>0</v>
      </c>
      <c r="J74" s="421">
        <v>4.2047097373813802</v>
      </c>
      <c r="K74" s="421">
        <v>0</v>
      </c>
      <c r="L74" s="421">
        <v>0</v>
      </c>
      <c r="M74" s="421">
        <v>0.88470509664741703</v>
      </c>
      <c r="N74" s="421">
        <v>5.4404038115911604</v>
      </c>
      <c r="O74" s="421">
        <v>0.99522781778772396</v>
      </c>
      <c r="P74" s="421">
        <v>129.52827270094099</v>
      </c>
      <c r="Q74" s="421">
        <v>5.8020660472549901</v>
      </c>
      <c r="R74" s="421">
        <v>0</v>
      </c>
      <c r="S74" s="429">
        <v>241.94907379084199</v>
      </c>
      <c r="T74" s="412"/>
    </row>
    <row r="75" spans="2:20" ht="13.5">
      <c r="B75" s="412"/>
      <c r="C75" s="428" t="s">
        <v>82</v>
      </c>
      <c r="D75" s="421">
        <v>0</v>
      </c>
      <c r="E75" s="421">
        <v>0</v>
      </c>
      <c r="F75" s="421">
        <v>33.610106097975702</v>
      </c>
      <c r="G75" s="421">
        <v>2.7590441466845501</v>
      </c>
      <c r="H75" s="421">
        <v>0</v>
      </c>
      <c r="I75" s="421">
        <v>0</v>
      </c>
      <c r="J75" s="421">
        <v>0.36635705930495199</v>
      </c>
      <c r="K75" s="421">
        <v>0</v>
      </c>
      <c r="L75" s="421">
        <v>1.1579176541364899</v>
      </c>
      <c r="M75" s="421">
        <v>3.4641704555374998E-2</v>
      </c>
      <c r="N75" s="421">
        <v>0</v>
      </c>
      <c r="O75" s="421">
        <v>9.2576225379409599E-2</v>
      </c>
      <c r="P75" s="421">
        <v>8.3984804918280105</v>
      </c>
      <c r="Q75" s="421">
        <v>0</v>
      </c>
      <c r="R75" s="421">
        <v>0</v>
      </c>
      <c r="S75" s="429">
        <v>46.419123379864502</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8.2197396847693707</v>
      </c>
      <c r="E77" s="425">
        <v>0</v>
      </c>
      <c r="F77" s="425">
        <v>512.80236855637395</v>
      </c>
      <c r="G77" s="425">
        <v>323.25364833477198</v>
      </c>
      <c r="H77" s="425">
        <v>0</v>
      </c>
      <c r="I77" s="425">
        <v>0</v>
      </c>
      <c r="J77" s="425">
        <v>97.138873731933799</v>
      </c>
      <c r="K77" s="425">
        <v>4.0033898079417298</v>
      </c>
      <c r="L77" s="425">
        <v>38.783635887574299</v>
      </c>
      <c r="M77" s="425">
        <v>4.0799763963871198</v>
      </c>
      <c r="N77" s="425">
        <v>36.079315619527598</v>
      </c>
      <c r="O77" s="425">
        <v>1.4761526159862399</v>
      </c>
      <c r="P77" s="425">
        <v>425.18273683003798</v>
      </c>
      <c r="Q77" s="425">
        <v>40.162890564517902</v>
      </c>
      <c r="R77" s="425">
        <v>0.18017271423339801</v>
      </c>
      <c r="S77" s="425">
        <v>1491.36290074406</v>
      </c>
      <c r="T77" s="412"/>
    </row>
    <row r="78" spans="2:20" ht="13.5">
      <c r="B78" s="412"/>
      <c r="C78" s="420" t="s">
        <v>84</v>
      </c>
      <c r="D78" s="421">
        <v>2.9577041015624999</v>
      </c>
      <c r="E78" s="421">
        <v>0</v>
      </c>
      <c r="F78" s="421">
        <v>136.03635507375699</v>
      </c>
      <c r="G78" s="421">
        <v>12.5000313063388</v>
      </c>
      <c r="H78" s="421">
        <v>0</v>
      </c>
      <c r="I78" s="421">
        <v>0</v>
      </c>
      <c r="J78" s="421">
        <v>0</v>
      </c>
      <c r="K78" s="421">
        <v>0</v>
      </c>
      <c r="L78" s="421">
        <v>0</v>
      </c>
      <c r="M78" s="421">
        <v>0</v>
      </c>
      <c r="N78" s="421">
        <v>0</v>
      </c>
      <c r="O78" s="421">
        <v>0</v>
      </c>
      <c r="P78" s="421">
        <v>0</v>
      </c>
      <c r="Q78" s="421">
        <v>0</v>
      </c>
      <c r="R78" s="421">
        <v>0</v>
      </c>
      <c r="S78" s="429">
        <v>151.49409048165899</v>
      </c>
      <c r="T78" s="412"/>
    </row>
    <row r="79" spans="2:20" ht="13.5">
      <c r="B79" s="412"/>
      <c r="C79" s="424" t="s">
        <v>85</v>
      </c>
      <c r="D79" s="425">
        <v>11.177443786331899</v>
      </c>
      <c r="E79" s="425">
        <v>0</v>
      </c>
      <c r="F79" s="425">
        <v>648.83872363013199</v>
      </c>
      <c r="G79" s="425">
        <v>335.75367964111098</v>
      </c>
      <c r="H79" s="425">
        <v>0</v>
      </c>
      <c r="I79" s="425">
        <v>0</v>
      </c>
      <c r="J79" s="425">
        <v>97.138873731933799</v>
      </c>
      <c r="K79" s="425">
        <v>4.0033898079417298</v>
      </c>
      <c r="L79" s="425">
        <v>38.783635887574299</v>
      </c>
      <c r="M79" s="425">
        <v>4.0799763963871198</v>
      </c>
      <c r="N79" s="425">
        <v>36.079315619527598</v>
      </c>
      <c r="O79" s="425">
        <v>1.4761526159862399</v>
      </c>
      <c r="P79" s="425">
        <v>425.18273683003798</v>
      </c>
      <c r="Q79" s="425">
        <v>40.162890564517902</v>
      </c>
      <c r="R79" s="425">
        <v>0.18017271423339801</v>
      </c>
      <c r="S79" s="425">
        <v>1642.8569912257101</v>
      </c>
      <c r="T79" s="412"/>
    </row>
    <row r="80" spans="2:20">
      <c r="B80" s="412"/>
      <c r="C80" s="412"/>
      <c r="D80" s="430">
        <f t="shared" ref="D80:S80" si="9">D79+D69-D55</f>
        <v>0</v>
      </c>
      <c r="E80" s="430">
        <f t="shared" si="9"/>
        <v>0</v>
      </c>
      <c r="F80" s="430">
        <f t="shared" si="9"/>
        <v>0</v>
      </c>
      <c r="G80" s="430">
        <f t="shared" si="9"/>
        <v>-2.1039449720035464E-2</v>
      </c>
      <c r="H80" s="430">
        <f t="shared" si="9"/>
        <v>0</v>
      </c>
      <c r="I80" s="430">
        <f t="shared" si="9"/>
        <v>0</v>
      </c>
      <c r="J80" s="430">
        <f t="shared" si="9"/>
        <v>0</v>
      </c>
      <c r="K80" s="430">
        <f t="shared" si="9"/>
        <v>2.8421709430404007E-14</v>
      </c>
      <c r="L80" s="430">
        <f t="shared" si="9"/>
        <v>1.5543122344752192E-14</v>
      </c>
      <c r="M80" s="430">
        <f t="shared" si="9"/>
        <v>2.1039449720749559E-2</v>
      </c>
      <c r="N80" s="430">
        <f t="shared" si="9"/>
        <v>0</v>
      </c>
      <c r="O80" s="430">
        <f t="shared" si="9"/>
        <v>0</v>
      </c>
      <c r="P80" s="430">
        <f t="shared" si="9"/>
        <v>-2.2737367544323206E-13</v>
      </c>
      <c r="Q80" s="430">
        <f t="shared" si="9"/>
        <v>0</v>
      </c>
      <c r="R80" s="430">
        <f t="shared" si="9"/>
        <v>0</v>
      </c>
      <c r="S80" s="430">
        <f t="shared" si="9"/>
        <v>-5.9117155615240335E-12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87</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9.7691999999999997</v>
      </c>
      <c r="F86" s="421">
        <v>0</v>
      </c>
      <c r="G86" s="421">
        <v>0.18608</v>
      </c>
      <c r="H86" s="422">
        <v>1190.9090909090901</v>
      </c>
      <c r="I86" s="422">
        <v>150.68799999999999</v>
      </c>
      <c r="J86" s="422">
        <v>192.55962255618499</v>
      </c>
      <c r="K86" s="422">
        <v>26.086924564420499</v>
      </c>
      <c r="L86" s="421">
        <v>0</v>
      </c>
      <c r="M86" s="421">
        <v>0</v>
      </c>
      <c r="N86" s="422">
        <v>38.824946626539997</v>
      </c>
      <c r="O86" s="422">
        <v>3.9832016462042499</v>
      </c>
      <c r="P86" s="421">
        <v>0</v>
      </c>
      <c r="Q86" s="421">
        <v>0</v>
      </c>
      <c r="R86" s="421">
        <v>0</v>
      </c>
      <c r="S86" s="423">
        <v>1613.0070663024401</v>
      </c>
      <c r="T86" s="412"/>
    </row>
    <row r="87" spans="2:20" ht="13.5">
      <c r="B87" s="412"/>
      <c r="C87" s="420" t="s">
        <v>60</v>
      </c>
      <c r="D87" s="421">
        <v>44.356557420150601</v>
      </c>
      <c r="E87" s="421">
        <v>553.51354311683997</v>
      </c>
      <c r="F87" s="421">
        <v>214.35798974996999</v>
      </c>
      <c r="G87" s="421">
        <v>380.29283409068802</v>
      </c>
      <c r="H87" s="421">
        <v>0</v>
      </c>
      <c r="I87" s="421">
        <v>0</v>
      </c>
      <c r="J87" s="421">
        <v>0</v>
      </c>
      <c r="K87" s="421">
        <v>0</v>
      </c>
      <c r="L87" s="421">
        <v>0</v>
      </c>
      <c r="M87" s="421">
        <v>0</v>
      </c>
      <c r="N87" s="421">
        <v>0</v>
      </c>
      <c r="O87" s="421">
        <v>0</v>
      </c>
      <c r="P87" s="421">
        <v>0</v>
      </c>
      <c r="Q87" s="421">
        <v>0</v>
      </c>
      <c r="R87" s="421">
        <v>0</v>
      </c>
      <c r="S87" s="423">
        <v>1192.5209243776501</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-64.037371169234603</v>
      </c>
      <c r="Q88" s="421">
        <v>0</v>
      </c>
      <c r="R88" s="421">
        <v>0</v>
      </c>
      <c r="S88" s="423">
        <v>-64.037371169234603</v>
      </c>
      <c r="T88" s="412"/>
    </row>
    <row r="89" spans="2:20" ht="13.5">
      <c r="B89" s="412"/>
      <c r="C89" s="420" t="s">
        <v>62</v>
      </c>
      <c r="D89" s="421">
        <v>0</v>
      </c>
      <c r="E89" s="421">
        <v>0</v>
      </c>
      <c r="F89" s="421">
        <v>-17.936302519198001</v>
      </c>
      <c r="G89" s="421">
        <v>0</v>
      </c>
      <c r="H89" s="421">
        <v>0</v>
      </c>
      <c r="I89" s="421">
        <v>0</v>
      </c>
      <c r="J89" s="421">
        <v>0</v>
      </c>
      <c r="K89" s="421">
        <v>0</v>
      </c>
      <c r="L89" s="421">
        <v>0</v>
      </c>
      <c r="M89" s="421">
        <v>0</v>
      </c>
      <c r="N89" s="421">
        <v>0</v>
      </c>
      <c r="O89" s="421">
        <v>0</v>
      </c>
      <c r="P89" s="421">
        <v>0</v>
      </c>
      <c r="Q89" s="421">
        <v>0</v>
      </c>
      <c r="R89" s="421">
        <v>0</v>
      </c>
      <c r="S89" s="423">
        <v>-17.936302519198001</v>
      </c>
      <c r="T89" s="412"/>
    </row>
    <row r="90" spans="2:20" ht="13.5">
      <c r="B90" s="412"/>
      <c r="C90" s="420" t="s">
        <v>63</v>
      </c>
      <c r="D90" s="421">
        <v>0</v>
      </c>
      <c r="E90" s="421">
        <v>0</v>
      </c>
      <c r="F90" s="421">
        <v>-79.260028986096998</v>
      </c>
      <c r="G90" s="421">
        <v>0</v>
      </c>
      <c r="H90" s="421">
        <v>0</v>
      </c>
      <c r="I90" s="421">
        <v>0</v>
      </c>
      <c r="J90" s="421">
        <v>0</v>
      </c>
      <c r="K90" s="421">
        <v>0</v>
      </c>
      <c r="L90" s="421">
        <v>-0.81988618642427602</v>
      </c>
      <c r="M90" s="421">
        <v>0</v>
      </c>
      <c r="N90" s="421">
        <v>0</v>
      </c>
      <c r="O90" s="421">
        <v>0</v>
      </c>
      <c r="P90" s="421">
        <v>0</v>
      </c>
      <c r="Q90" s="421">
        <v>0</v>
      </c>
      <c r="R90" s="421">
        <v>0</v>
      </c>
      <c r="S90" s="423">
        <v>-80.079915172521297</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44.356557420150601</v>
      </c>
      <c r="E92" s="425">
        <v>563.28274311684004</v>
      </c>
      <c r="F92" s="425">
        <v>117.161658244675</v>
      </c>
      <c r="G92" s="425">
        <v>380.47891409068802</v>
      </c>
      <c r="H92" s="425">
        <v>1190.9090909090901</v>
      </c>
      <c r="I92" s="425">
        <v>150.68799999999999</v>
      </c>
      <c r="J92" s="425">
        <v>192.55962255618499</v>
      </c>
      <c r="K92" s="425">
        <v>26.086924564420499</v>
      </c>
      <c r="L92" s="425">
        <v>-0.81988618642427602</v>
      </c>
      <c r="M92" s="425">
        <v>0</v>
      </c>
      <c r="N92" s="425">
        <v>38.824946626539997</v>
      </c>
      <c r="O92" s="425">
        <v>3.9832016462042499</v>
      </c>
      <c r="P92" s="425">
        <v>-64.037371169234603</v>
      </c>
      <c r="Q92" s="425">
        <v>0</v>
      </c>
      <c r="R92" s="425">
        <v>0</v>
      </c>
      <c r="S92" s="425">
        <v>2643.47440181914</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21.350265318958598</v>
      </c>
      <c r="H95" s="421">
        <v>1190.9090909090901</v>
      </c>
      <c r="I95" s="421">
        <v>150.68799999999999</v>
      </c>
      <c r="J95" s="421">
        <v>30.0443018658917</v>
      </c>
      <c r="K95" s="421">
        <v>8.7092987515159699</v>
      </c>
      <c r="L95" s="421">
        <v>0</v>
      </c>
      <c r="M95" s="421">
        <v>0.43571970038690899</v>
      </c>
      <c r="N95" s="421">
        <v>0</v>
      </c>
      <c r="O95" s="421">
        <v>0</v>
      </c>
      <c r="P95" s="421">
        <v>-567.63457206025305</v>
      </c>
      <c r="Q95" s="421">
        <v>0</v>
      </c>
      <c r="R95" s="421">
        <v>0</v>
      </c>
      <c r="S95" s="429">
        <v>840.56621158479402</v>
      </c>
      <c r="T95" s="412"/>
    </row>
    <row r="96" spans="2:20" ht="13.5">
      <c r="B96" s="412"/>
      <c r="C96" s="428" t="s">
        <v>351</v>
      </c>
      <c r="D96" s="421">
        <v>0.123491187368727</v>
      </c>
      <c r="E96" s="421">
        <v>0</v>
      </c>
      <c r="F96" s="421">
        <v>0</v>
      </c>
      <c r="G96" s="421">
        <v>18.256412910237302</v>
      </c>
      <c r="H96" s="421">
        <v>0</v>
      </c>
      <c r="I96" s="421">
        <v>0</v>
      </c>
      <c r="J96" s="421">
        <v>14.431704526244101</v>
      </c>
      <c r="K96" s="421">
        <v>13.2604433911694</v>
      </c>
      <c r="L96" s="421">
        <v>0</v>
      </c>
      <c r="M96" s="421">
        <v>0.37257985531096499</v>
      </c>
      <c r="N96" s="421">
        <v>0</v>
      </c>
      <c r="O96" s="421">
        <v>2.3954921223483301</v>
      </c>
      <c r="P96" s="421">
        <v>0</v>
      </c>
      <c r="Q96" s="421">
        <v>-43.438604623737099</v>
      </c>
      <c r="R96" s="421">
        <v>0</v>
      </c>
      <c r="S96" s="429">
        <v>5.4015193689417904</v>
      </c>
      <c r="T96" s="412"/>
    </row>
    <row r="97" spans="2:20" ht="13.5">
      <c r="B97" s="412"/>
      <c r="C97" s="428" t="s">
        <v>352</v>
      </c>
      <c r="D97" s="421">
        <v>0</v>
      </c>
      <c r="E97" s="421">
        <v>0</v>
      </c>
      <c r="F97" s="421">
        <v>0</v>
      </c>
      <c r="G97" s="421">
        <v>0</v>
      </c>
      <c r="H97" s="421">
        <v>0</v>
      </c>
      <c r="I97" s="421">
        <v>0</v>
      </c>
      <c r="J97" s="421">
        <v>8.5046212766704201</v>
      </c>
      <c r="K97" s="421">
        <v>0</v>
      </c>
      <c r="L97" s="421">
        <v>0</v>
      </c>
      <c r="M97" s="421">
        <v>-7.5074544319808103</v>
      </c>
      <c r="N97" s="421">
        <v>0</v>
      </c>
      <c r="O97" s="421">
        <v>0</v>
      </c>
      <c r="P97" s="421">
        <v>0</v>
      </c>
      <c r="Q97" s="421">
        <v>0</v>
      </c>
      <c r="R97" s="421">
        <v>0</v>
      </c>
      <c r="S97" s="429">
        <v>0.99716684468960604</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583.50105466083801</v>
      </c>
      <c r="F99" s="421">
        <v>-577.66604411422998</v>
      </c>
      <c r="G99" s="421">
        <v>0</v>
      </c>
      <c r="H99" s="421">
        <v>0</v>
      </c>
      <c r="I99" s="421">
        <v>0</v>
      </c>
      <c r="J99" s="421">
        <v>0</v>
      </c>
      <c r="K99" s="421">
        <v>0</v>
      </c>
      <c r="L99" s="421">
        <v>0</v>
      </c>
      <c r="M99" s="421">
        <v>0</v>
      </c>
      <c r="N99" s="421">
        <v>0</v>
      </c>
      <c r="O99" s="421">
        <v>0</v>
      </c>
      <c r="P99" s="421">
        <v>0</v>
      </c>
      <c r="Q99" s="421">
        <v>0</v>
      </c>
      <c r="R99" s="421">
        <v>0</v>
      </c>
      <c r="S99" s="429">
        <v>5.8350105466083697</v>
      </c>
      <c r="T99" s="412"/>
    </row>
    <row r="100" spans="2:20" ht="13.5">
      <c r="B100" s="412"/>
      <c r="C100" s="428" t="s">
        <v>354</v>
      </c>
      <c r="D100" s="421">
        <v>0</v>
      </c>
      <c r="E100" s="421">
        <v>0</v>
      </c>
      <c r="F100" s="421">
        <v>0</v>
      </c>
      <c r="G100" s="421">
        <v>0</v>
      </c>
      <c r="H100" s="421">
        <v>0</v>
      </c>
      <c r="I100" s="421">
        <v>0</v>
      </c>
      <c r="J100" s="421">
        <v>42.170129990919797</v>
      </c>
      <c r="K100" s="421">
        <v>0</v>
      </c>
      <c r="L100" s="421">
        <v>-42.170129990919797</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v>
      </c>
      <c r="M101" s="421">
        <v>0</v>
      </c>
      <c r="N101" s="421">
        <v>0</v>
      </c>
      <c r="O101" s="421">
        <v>0</v>
      </c>
      <c r="P101" s="421">
        <v>0</v>
      </c>
      <c r="Q101" s="421">
        <v>0</v>
      </c>
      <c r="R101" s="421">
        <v>0</v>
      </c>
      <c r="S101" s="429">
        <v>0</v>
      </c>
      <c r="T101" s="412"/>
    </row>
    <row r="102" spans="2:20" ht="13.5">
      <c r="B102" s="412"/>
      <c r="C102" s="428" t="s">
        <v>73</v>
      </c>
      <c r="D102" s="421">
        <v>0</v>
      </c>
      <c r="E102" s="421">
        <v>0</v>
      </c>
      <c r="F102" s="421">
        <v>0</v>
      </c>
      <c r="G102" s="421">
        <v>0.34877320343017598</v>
      </c>
      <c r="H102" s="421">
        <v>0</v>
      </c>
      <c r="I102" s="421">
        <v>0</v>
      </c>
      <c r="J102" s="421">
        <v>0</v>
      </c>
      <c r="K102" s="421">
        <v>3.84747052873884E-3</v>
      </c>
      <c r="L102" s="421">
        <v>0</v>
      </c>
      <c r="M102" s="421">
        <v>7.1178204781668598E-3</v>
      </c>
      <c r="N102" s="421">
        <v>0</v>
      </c>
      <c r="O102" s="421">
        <v>0</v>
      </c>
      <c r="P102" s="421">
        <v>2.6932293701171901E-2</v>
      </c>
      <c r="Q102" s="421">
        <v>0</v>
      </c>
      <c r="R102" s="421">
        <v>-0.269322937011719</v>
      </c>
      <c r="S102" s="429">
        <v>0.11734785112653499</v>
      </c>
      <c r="T102" s="412"/>
    </row>
    <row r="103" spans="2:20" ht="13.5">
      <c r="B103" s="412"/>
      <c r="C103" s="428" t="s">
        <v>356</v>
      </c>
      <c r="D103" s="421">
        <v>19.823072753906299</v>
      </c>
      <c r="E103" s="421">
        <v>-20.218311543997999</v>
      </c>
      <c r="F103" s="421">
        <v>26.4443573008719</v>
      </c>
      <c r="G103" s="421">
        <v>0</v>
      </c>
      <c r="H103" s="421">
        <v>0</v>
      </c>
      <c r="I103" s="421">
        <v>0</v>
      </c>
      <c r="J103" s="421">
        <v>0</v>
      </c>
      <c r="K103" s="421">
        <v>0</v>
      </c>
      <c r="L103" s="421">
        <v>0</v>
      </c>
      <c r="M103" s="421">
        <v>0</v>
      </c>
      <c r="N103" s="421">
        <v>0</v>
      </c>
      <c r="O103" s="421">
        <v>0</v>
      </c>
      <c r="P103" s="421">
        <v>0</v>
      </c>
      <c r="Q103" s="421">
        <v>0</v>
      </c>
      <c r="R103" s="421">
        <v>0</v>
      </c>
      <c r="S103" s="429">
        <v>26.049118510780101</v>
      </c>
      <c r="T103" s="412"/>
    </row>
    <row r="104" spans="2:20" ht="13.5">
      <c r="B104" s="412"/>
      <c r="C104" s="428" t="s">
        <v>75</v>
      </c>
      <c r="D104" s="421">
        <v>11.7867587890625</v>
      </c>
      <c r="E104" s="421">
        <v>0</v>
      </c>
      <c r="F104" s="421">
        <v>19.839035858468499</v>
      </c>
      <c r="G104" s="421">
        <v>5.6611272323194504</v>
      </c>
      <c r="H104" s="421">
        <v>0</v>
      </c>
      <c r="I104" s="421">
        <v>0</v>
      </c>
      <c r="J104" s="421">
        <v>0</v>
      </c>
      <c r="K104" s="421">
        <v>0</v>
      </c>
      <c r="L104" s="421">
        <v>0</v>
      </c>
      <c r="M104" s="421">
        <v>0.115533208822846</v>
      </c>
      <c r="N104" s="421">
        <v>0</v>
      </c>
      <c r="O104" s="421">
        <v>0</v>
      </c>
      <c r="P104" s="421">
        <v>36.2791467848308</v>
      </c>
      <c r="Q104" s="421">
        <v>0</v>
      </c>
      <c r="R104" s="421">
        <v>0</v>
      </c>
      <c r="S104" s="429">
        <v>73.681601873504107</v>
      </c>
      <c r="T104" s="412"/>
    </row>
    <row r="105" spans="2:20" ht="13.5">
      <c r="B105" s="412"/>
      <c r="C105" s="428" t="s">
        <v>76</v>
      </c>
      <c r="D105" s="421">
        <v>0</v>
      </c>
      <c r="E105" s="421">
        <v>0</v>
      </c>
      <c r="F105" s="421">
        <v>0</v>
      </c>
      <c r="G105" s="421">
        <v>4.3620387411113803</v>
      </c>
      <c r="H105" s="421">
        <v>0</v>
      </c>
      <c r="I105" s="421">
        <v>0</v>
      </c>
      <c r="J105" s="421">
        <v>0</v>
      </c>
      <c r="K105" s="421">
        <v>0</v>
      </c>
      <c r="L105" s="421">
        <v>0</v>
      </c>
      <c r="M105" s="421">
        <v>8.9021198798191495E-2</v>
      </c>
      <c r="N105" s="421">
        <v>0</v>
      </c>
      <c r="O105" s="421">
        <v>0</v>
      </c>
      <c r="P105" s="421">
        <v>38.595168674011603</v>
      </c>
      <c r="Q105" s="421">
        <v>3.3660911332047201</v>
      </c>
      <c r="R105" s="421">
        <v>0</v>
      </c>
      <c r="S105" s="429">
        <v>46.412319747125899</v>
      </c>
      <c r="T105" s="412"/>
    </row>
    <row r="106" spans="2:20" ht="13.5">
      <c r="B106" s="412"/>
      <c r="C106" s="424" t="s">
        <v>77</v>
      </c>
      <c r="D106" s="425">
        <v>33.933793465904003</v>
      </c>
      <c r="E106" s="425">
        <v>563.28274311684004</v>
      </c>
      <c r="F106" s="425">
        <v>-527.51901459125304</v>
      </c>
      <c r="G106" s="425">
        <v>49.978617406056898</v>
      </c>
      <c r="H106" s="425">
        <v>1190.9090909090901</v>
      </c>
      <c r="I106" s="425">
        <v>150.68799999999999</v>
      </c>
      <c r="J106" s="425">
        <v>95.150757659726096</v>
      </c>
      <c r="K106" s="425">
        <v>21.973589613214099</v>
      </c>
      <c r="L106" s="425">
        <v>-42.170129990919797</v>
      </c>
      <c r="M106" s="425">
        <v>-6.4874826481837298</v>
      </c>
      <c r="N106" s="425">
        <v>0</v>
      </c>
      <c r="O106" s="425">
        <v>2.3954921223483301</v>
      </c>
      <c r="P106" s="425">
        <v>-492.73332430771001</v>
      </c>
      <c r="Q106" s="425">
        <v>-40.072513490532302</v>
      </c>
      <c r="R106" s="425">
        <v>-0.269322937011719</v>
      </c>
      <c r="S106" s="425">
        <v>999.06029632756997</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7.7428555069809004</v>
      </c>
      <c r="E108" s="421">
        <v>0</v>
      </c>
      <c r="F108" s="421">
        <v>27.508268593652101</v>
      </c>
      <c r="G108" s="421">
        <v>110.739014151216</v>
      </c>
      <c r="H108" s="421">
        <v>0</v>
      </c>
      <c r="I108" s="421">
        <v>0</v>
      </c>
      <c r="J108" s="421">
        <v>18.465977371058798</v>
      </c>
      <c r="K108" s="421">
        <v>4.1133349512063502</v>
      </c>
      <c r="L108" s="421">
        <v>0.88399341210937499</v>
      </c>
      <c r="M108" s="421">
        <v>2.2599798806370699</v>
      </c>
      <c r="N108" s="421">
        <v>0</v>
      </c>
      <c r="O108" s="421">
        <v>0</v>
      </c>
      <c r="P108" s="421">
        <v>107.066437049081</v>
      </c>
      <c r="Q108" s="421">
        <v>18.5660448445831</v>
      </c>
      <c r="R108" s="421">
        <v>0.269322937011719</v>
      </c>
      <c r="S108" s="429">
        <v>297.61522869753702</v>
      </c>
      <c r="T108" s="412"/>
    </row>
    <row r="109" spans="2:20" ht="13.5">
      <c r="B109" s="412"/>
      <c r="C109" s="428" t="s">
        <v>79</v>
      </c>
      <c r="D109" s="421">
        <v>0</v>
      </c>
      <c r="E109" s="421">
        <v>0</v>
      </c>
      <c r="F109" s="421">
        <v>384.408288039186</v>
      </c>
      <c r="G109" s="421">
        <v>6.57358039629678</v>
      </c>
      <c r="H109" s="421">
        <v>0</v>
      </c>
      <c r="I109" s="421">
        <v>0</v>
      </c>
      <c r="J109" s="421">
        <v>0</v>
      </c>
      <c r="K109" s="421">
        <v>0</v>
      </c>
      <c r="L109" s="421">
        <v>38.437863989696801</v>
      </c>
      <c r="M109" s="421">
        <v>0.13415470196524101</v>
      </c>
      <c r="N109" s="421">
        <v>0</v>
      </c>
      <c r="O109" s="421">
        <v>0</v>
      </c>
      <c r="P109" s="421">
        <v>17.457157002657102</v>
      </c>
      <c r="Q109" s="421">
        <v>0</v>
      </c>
      <c r="R109" s="421">
        <v>0</v>
      </c>
      <c r="S109" s="429">
        <v>447.01104412980197</v>
      </c>
      <c r="T109" s="412"/>
    </row>
    <row r="110" spans="2:20" ht="13.5">
      <c r="B110" s="412"/>
      <c r="C110" s="428" t="s">
        <v>80</v>
      </c>
      <c r="D110" s="421">
        <v>0</v>
      </c>
      <c r="E110" s="421">
        <v>0</v>
      </c>
      <c r="F110" s="421">
        <v>41.330383982032899</v>
      </c>
      <c r="G110" s="421">
        <v>129.49851397129601</v>
      </c>
      <c r="H110" s="421">
        <v>0</v>
      </c>
      <c r="I110" s="421">
        <v>0</v>
      </c>
      <c r="J110" s="421">
        <v>74.486996634240697</v>
      </c>
      <c r="K110" s="421">
        <v>0</v>
      </c>
      <c r="L110" s="421">
        <v>0</v>
      </c>
      <c r="M110" s="421">
        <v>2.6428268157407402</v>
      </c>
      <c r="N110" s="421">
        <v>32.878057830208398</v>
      </c>
      <c r="O110" s="421">
        <v>0.55181999653465397</v>
      </c>
      <c r="P110" s="421">
        <v>166.361902820984</v>
      </c>
      <c r="Q110" s="421">
        <v>16.154300000665899</v>
      </c>
      <c r="R110" s="421">
        <v>0</v>
      </c>
      <c r="S110" s="429">
        <v>463.90480205170297</v>
      </c>
      <c r="T110" s="412"/>
    </row>
    <row r="111" spans="2:20" ht="13.5">
      <c r="B111" s="412"/>
      <c r="C111" s="428" t="s">
        <v>81</v>
      </c>
      <c r="D111" s="421">
        <v>0</v>
      </c>
      <c r="E111" s="421">
        <v>0</v>
      </c>
      <c r="F111" s="421">
        <v>21.059073464779701</v>
      </c>
      <c r="G111" s="421">
        <v>68.165042900995104</v>
      </c>
      <c r="H111" s="421">
        <v>0</v>
      </c>
      <c r="I111" s="421">
        <v>0</v>
      </c>
      <c r="J111" s="421">
        <v>4.0172655181176102</v>
      </c>
      <c r="K111" s="421">
        <v>0</v>
      </c>
      <c r="L111" s="421">
        <v>0</v>
      </c>
      <c r="M111" s="421">
        <v>1.3911233245101</v>
      </c>
      <c r="N111" s="421">
        <v>5.9468887963316002</v>
      </c>
      <c r="O111" s="421">
        <v>0.94568785539262001</v>
      </c>
      <c r="P111" s="421">
        <v>129.457157945034</v>
      </c>
      <c r="Q111" s="421">
        <v>5.3521686452833004</v>
      </c>
      <c r="R111" s="421">
        <v>0</v>
      </c>
      <c r="S111" s="429">
        <v>236.33440845044399</v>
      </c>
      <c r="T111" s="412"/>
    </row>
    <row r="112" spans="2:20" ht="13.5">
      <c r="B112" s="412"/>
      <c r="C112" s="428" t="s">
        <v>82</v>
      </c>
      <c r="D112" s="421">
        <v>0</v>
      </c>
      <c r="E112" s="421">
        <v>0</v>
      </c>
      <c r="F112" s="421">
        <v>32.092515391018601</v>
      </c>
      <c r="G112" s="421">
        <v>2.9104983411987502</v>
      </c>
      <c r="H112" s="421">
        <v>0</v>
      </c>
      <c r="I112" s="421">
        <v>0</v>
      </c>
      <c r="J112" s="421">
        <v>0.43862537304169502</v>
      </c>
      <c r="K112" s="421">
        <v>0</v>
      </c>
      <c r="L112" s="421">
        <v>2.0283864026893799</v>
      </c>
      <c r="M112" s="421">
        <v>5.9397925330586701E-2</v>
      </c>
      <c r="N112" s="421">
        <v>0</v>
      </c>
      <c r="O112" s="421">
        <v>9.0201671928645602E-2</v>
      </c>
      <c r="P112" s="421">
        <v>8.3532983207182703</v>
      </c>
      <c r="Q112" s="421">
        <v>0</v>
      </c>
      <c r="R112" s="421">
        <v>0</v>
      </c>
      <c r="S112" s="429">
        <v>45.972923425925998</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7.7428555069809004</v>
      </c>
      <c r="E114" s="425">
        <v>0</v>
      </c>
      <c r="F114" s="425">
        <v>506.39852947066902</v>
      </c>
      <c r="G114" s="425">
        <v>317.88664976100301</v>
      </c>
      <c r="H114" s="425">
        <v>0</v>
      </c>
      <c r="I114" s="425">
        <v>0</v>
      </c>
      <c r="J114" s="425">
        <v>97.408864896458795</v>
      </c>
      <c r="K114" s="425">
        <v>4.1133349512063502</v>
      </c>
      <c r="L114" s="425">
        <v>41.350243804495598</v>
      </c>
      <c r="M114" s="425">
        <v>6.4874826481837404</v>
      </c>
      <c r="N114" s="425">
        <v>38.824946626539997</v>
      </c>
      <c r="O114" s="425">
        <v>1.58770952385592</v>
      </c>
      <c r="P114" s="425">
        <v>428.69595313847498</v>
      </c>
      <c r="Q114" s="425">
        <v>40.072513490532401</v>
      </c>
      <c r="R114" s="425">
        <v>0.269322937011719</v>
      </c>
      <c r="S114" s="425">
        <v>1490.83840675541</v>
      </c>
      <c r="T114" s="412"/>
    </row>
    <row r="115" spans="2:20" ht="13.5">
      <c r="B115" s="412"/>
      <c r="C115" s="420" t="s">
        <v>84</v>
      </c>
      <c r="D115" s="421">
        <v>2.67990844726563</v>
      </c>
      <c r="E115" s="421">
        <v>0</v>
      </c>
      <c r="F115" s="421">
        <v>138.282143365259</v>
      </c>
      <c r="G115" s="421">
        <v>12.6136469236283</v>
      </c>
      <c r="H115" s="421">
        <v>0</v>
      </c>
      <c r="I115" s="421">
        <v>0</v>
      </c>
      <c r="J115" s="421">
        <v>0</v>
      </c>
      <c r="K115" s="421">
        <v>0</v>
      </c>
      <c r="L115" s="421">
        <v>0</v>
      </c>
      <c r="M115" s="421">
        <v>0</v>
      </c>
      <c r="N115" s="421">
        <v>0</v>
      </c>
      <c r="O115" s="421">
        <v>0</v>
      </c>
      <c r="P115" s="421">
        <v>0</v>
      </c>
      <c r="Q115" s="421">
        <v>0</v>
      </c>
      <c r="R115" s="421">
        <v>0</v>
      </c>
      <c r="S115" s="429">
        <v>153.57569873615299</v>
      </c>
      <c r="T115" s="412"/>
    </row>
    <row r="116" spans="2:20" ht="13.5">
      <c r="B116" s="412"/>
      <c r="C116" s="424" t="s">
        <v>85</v>
      </c>
      <c r="D116" s="425">
        <v>10.4227639542465</v>
      </c>
      <c r="E116" s="425">
        <v>0</v>
      </c>
      <c r="F116" s="425">
        <v>644.68067283592802</v>
      </c>
      <c r="G116" s="425">
        <v>330.500296684631</v>
      </c>
      <c r="H116" s="425">
        <v>0</v>
      </c>
      <c r="I116" s="425">
        <v>0</v>
      </c>
      <c r="J116" s="425">
        <v>97.408864896458795</v>
      </c>
      <c r="K116" s="425">
        <v>4.1133349512063502</v>
      </c>
      <c r="L116" s="425">
        <v>41.350243804495598</v>
      </c>
      <c r="M116" s="425">
        <v>6.4874826481837404</v>
      </c>
      <c r="N116" s="425">
        <v>38.824946626539997</v>
      </c>
      <c r="O116" s="425">
        <v>1.58770952385592</v>
      </c>
      <c r="P116" s="425">
        <v>428.69595313847498</v>
      </c>
      <c r="Q116" s="425">
        <v>40.072513490532302</v>
      </c>
      <c r="R116" s="425">
        <v>0.269322937011719</v>
      </c>
      <c r="S116" s="425">
        <v>1644.4141054915699</v>
      </c>
      <c r="T116" s="412"/>
    </row>
    <row r="117" spans="2:20">
      <c r="B117" s="412"/>
      <c r="C117" s="412"/>
      <c r="D117" s="430">
        <f t="shared" ref="D117:S117" si="10">D116+D106-D92</f>
        <v>-9.9475983006414026E-14</v>
      </c>
      <c r="E117" s="430">
        <f t="shared" si="10"/>
        <v>0</v>
      </c>
      <c r="F117" s="430">
        <f t="shared" si="10"/>
        <v>0</v>
      </c>
      <c r="G117" s="430">
        <f t="shared" si="10"/>
        <v>0</v>
      </c>
      <c r="H117" s="430">
        <f t="shared" si="10"/>
        <v>0</v>
      </c>
      <c r="I117" s="430">
        <f t="shared" si="10"/>
        <v>0</v>
      </c>
      <c r="J117" s="430">
        <f t="shared" si="10"/>
        <v>0</v>
      </c>
      <c r="K117" s="430">
        <f t="shared" si="10"/>
        <v>-4.9737991503207013E-14</v>
      </c>
      <c r="L117" s="430">
        <f t="shared" si="10"/>
        <v>7.6938455606523348E-14</v>
      </c>
      <c r="M117" s="430">
        <f t="shared" si="10"/>
        <v>1.0658141036401503E-14</v>
      </c>
      <c r="N117" s="430">
        <f t="shared" si="10"/>
        <v>0</v>
      </c>
      <c r="O117" s="430">
        <f t="shared" si="10"/>
        <v>0</v>
      </c>
      <c r="P117" s="430">
        <f t="shared" si="10"/>
        <v>-4.2632564145606011E-13</v>
      </c>
      <c r="Q117" s="430">
        <f t="shared" si="10"/>
        <v>0</v>
      </c>
      <c r="R117" s="430">
        <f t="shared" si="10"/>
        <v>0</v>
      </c>
      <c r="S117" s="430">
        <f t="shared" si="10"/>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359</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9.7691999999999997</v>
      </c>
      <c r="F123" s="421">
        <v>0</v>
      </c>
      <c r="G123" s="421">
        <v>0.18608</v>
      </c>
      <c r="H123" s="422">
        <v>1190.9090909090901</v>
      </c>
      <c r="I123" s="422">
        <v>170.08</v>
      </c>
      <c r="J123" s="422">
        <v>186.15630231182601</v>
      </c>
      <c r="K123" s="422">
        <v>24.974953825182599</v>
      </c>
      <c r="L123" s="421">
        <v>0</v>
      </c>
      <c r="M123" s="421">
        <v>0</v>
      </c>
      <c r="N123" s="422">
        <v>43.871249036200602</v>
      </c>
      <c r="O123" s="422">
        <v>4.0793508751074903</v>
      </c>
      <c r="P123" s="421">
        <v>0</v>
      </c>
      <c r="Q123" s="421">
        <v>0</v>
      </c>
      <c r="R123" s="421">
        <v>0</v>
      </c>
      <c r="S123" s="423">
        <v>1630.02622695741</v>
      </c>
      <c r="T123" s="412"/>
    </row>
    <row r="124" spans="2:20" ht="13.5">
      <c r="B124" s="412"/>
      <c r="C124" s="420" t="s">
        <v>60</v>
      </c>
      <c r="D124" s="421">
        <v>40.055895368373001</v>
      </c>
      <c r="E124" s="421">
        <v>541.69545178681904</v>
      </c>
      <c r="F124" s="421">
        <v>171.988032744695</v>
      </c>
      <c r="G124" s="421">
        <v>372.78103647712499</v>
      </c>
      <c r="H124" s="421">
        <v>0</v>
      </c>
      <c r="I124" s="421">
        <v>0</v>
      </c>
      <c r="J124" s="421">
        <v>0</v>
      </c>
      <c r="K124" s="421">
        <v>0</v>
      </c>
      <c r="L124" s="421">
        <v>0</v>
      </c>
      <c r="M124" s="421">
        <v>0</v>
      </c>
      <c r="N124" s="421">
        <v>0</v>
      </c>
      <c r="O124" s="421">
        <v>0</v>
      </c>
      <c r="P124" s="421">
        <v>0</v>
      </c>
      <c r="Q124" s="421">
        <v>0</v>
      </c>
      <c r="R124" s="421">
        <v>0</v>
      </c>
      <c r="S124" s="423">
        <v>1126.52041637701</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-73.437247589053598</v>
      </c>
      <c r="Q125" s="421">
        <v>0</v>
      </c>
      <c r="R125" s="421">
        <v>0</v>
      </c>
      <c r="S125" s="423">
        <v>-73.437247589053598</v>
      </c>
      <c r="T125" s="412"/>
    </row>
    <row r="126" spans="2:20" ht="13.5">
      <c r="B126" s="412"/>
      <c r="C126" s="420" t="s">
        <v>62</v>
      </c>
      <c r="D126" s="421">
        <v>0</v>
      </c>
      <c r="E126" s="421">
        <v>0</v>
      </c>
      <c r="F126" s="421">
        <v>-17.070412052753898</v>
      </c>
      <c r="G126" s="421">
        <v>0</v>
      </c>
      <c r="H126" s="421">
        <v>0</v>
      </c>
      <c r="I126" s="421">
        <v>0</v>
      </c>
      <c r="J126" s="421">
        <v>0</v>
      </c>
      <c r="K126" s="421">
        <v>0</v>
      </c>
      <c r="L126" s="421">
        <v>0</v>
      </c>
      <c r="M126" s="421">
        <v>0</v>
      </c>
      <c r="N126" s="421">
        <v>0</v>
      </c>
      <c r="O126" s="421">
        <v>0</v>
      </c>
      <c r="P126" s="421">
        <v>0</v>
      </c>
      <c r="Q126" s="421">
        <v>0</v>
      </c>
      <c r="R126" s="421">
        <v>0</v>
      </c>
      <c r="S126" s="423">
        <v>-17.070412052753898</v>
      </c>
      <c r="T126" s="412"/>
    </row>
    <row r="127" spans="2:20" ht="13.5">
      <c r="B127" s="412"/>
      <c r="C127" s="420" t="s">
        <v>63</v>
      </c>
      <c r="D127" s="421">
        <v>0</v>
      </c>
      <c r="E127" s="421">
        <v>0</v>
      </c>
      <c r="F127" s="421">
        <v>-79.938484984822097</v>
      </c>
      <c r="G127" s="421">
        <v>0</v>
      </c>
      <c r="H127" s="421">
        <v>0</v>
      </c>
      <c r="I127" s="421">
        <v>0</v>
      </c>
      <c r="J127" s="421">
        <v>0</v>
      </c>
      <c r="K127" s="421">
        <v>0</v>
      </c>
      <c r="L127" s="421">
        <v>-0.82674452547362898</v>
      </c>
      <c r="M127" s="421">
        <v>0</v>
      </c>
      <c r="N127" s="421">
        <v>0</v>
      </c>
      <c r="O127" s="421">
        <v>0</v>
      </c>
      <c r="P127" s="421">
        <v>0</v>
      </c>
      <c r="Q127" s="421">
        <v>0</v>
      </c>
      <c r="R127" s="421">
        <v>0</v>
      </c>
      <c r="S127" s="423">
        <v>-80.765229510295697</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40.055895368373001</v>
      </c>
      <c r="E129" s="425">
        <v>551.46465178681899</v>
      </c>
      <c r="F129" s="425">
        <v>74.979135707119397</v>
      </c>
      <c r="G129" s="425">
        <v>372.96711647712499</v>
      </c>
      <c r="H129" s="425">
        <v>1190.9090909090901</v>
      </c>
      <c r="I129" s="425">
        <v>170.08</v>
      </c>
      <c r="J129" s="425">
        <v>186.15630231182601</v>
      </c>
      <c r="K129" s="425">
        <v>24.974953825182599</v>
      </c>
      <c r="L129" s="425">
        <v>-0.82674452547362898</v>
      </c>
      <c r="M129" s="425">
        <v>0</v>
      </c>
      <c r="N129" s="425">
        <v>43.871249036200602</v>
      </c>
      <c r="O129" s="425">
        <v>4.0793508751074903</v>
      </c>
      <c r="P129" s="425">
        <v>-73.437247589053598</v>
      </c>
      <c r="Q129" s="425">
        <v>0</v>
      </c>
      <c r="R129" s="425">
        <v>0</v>
      </c>
      <c r="S129" s="425">
        <v>2585.2737541823199</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19.544561216829301</v>
      </c>
      <c r="H132" s="421">
        <v>1190.9090909090901</v>
      </c>
      <c r="I132" s="421">
        <v>170.08</v>
      </c>
      <c r="J132" s="421">
        <v>28.040540215902201</v>
      </c>
      <c r="K132" s="421">
        <v>7.7727848860172202</v>
      </c>
      <c r="L132" s="421">
        <v>0</v>
      </c>
      <c r="M132" s="421">
        <v>0.39886859626182303</v>
      </c>
      <c r="N132" s="421">
        <v>0</v>
      </c>
      <c r="O132" s="421">
        <v>0</v>
      </c>
      <c r="P132" s="421">
        <v>-586.289338958695</v>
      </c>
      <c r="Q132" s="421">
        <v>0</v>
      </c>
      <c r="R132" s="421">
        <v>0</v>
      </c>
      <c r="S132" s="429">
        <v>836.52061396460897</v>
      </c>
      <c r="T132" s="412"/>
    </row>
    <row r="133" spans="2:20" ht="13.5">
      <c r="B133" s="412"/>
      <c r="C133" s="428" t="s">
        <v>351</v>
      </c>
      <c r="D133" s="421">
        <v>4.9396474947490797E-2</v>
      </c>
      <c r="E133" s="421">
        <v>0</v>
      </c>
      <c r="F133" s="421">
        <v>0</v>
      </c>
      <c r="G133" s="421">
        <v>17.665254513296698</v>
      </c>
      <c r="H133" s="421">
        <v>0</v>
      </c>
      <c r="I133" s="421">
        <v>0</v>
      </c>
      <c r="J133" s="421">
        <v>13.597483560150501</v>
      </c>
      <c r="K133" s="421">
        <v>12.973950708076901</v>
      </c>
      <c r="L133" s="421">
        <v>0</v>
      </c>
      <c r="M133" s="421">
        <v>0.36051539823054402</v>
      </c>
      <c r="N133" s="421">
        <v>0</v>
      </c>
      <c r="O133" s="421">
        <v>2.3125206785732901</v>
      </c>
      <c r="P133" s="421">
        <v>0</v>
      </c>
      <c r="Q133" s="421">
        <v>-42.110083349928601</v>
      </c>
      <c r="R133" s="421">
        <v>0</v>
      </c>
      <c r="S133" s="429">
        <v>4.84903798334678</v>
      </c>
      <c r="T133" s="412"/>
    </row>
    <row r="134" spans="2:20" ht="13.5">
      <c r="B134" s="412"/>
      <c r="C134" s="428" t="s">
        <v>352</v>
      </c>
      <c r="D134" s="421">
        <v>0</v>
      </c>
      <c r="E134" s="421">
        <v>0</v>
      </c>
      <c r="F134" s="421">
        <v>0</v>
      </c>
      <c r="G134" s="421">
        <v>0</v>
      </c>
      <c r="H134" s="421">
        <v>0</v>
      </c>
      <c r="I134" s="421">
        <v>0</v>
      </c>
      <c r="J134" s="421">
        <v>8.2513049671567806</v>
      </c>
      <c r="K134" s="421">
        <v>0</v>
      </c>
      <c r="L134" s="421">
        <v>0</v>
      </c>
      <c r="M134" s="421">
        <v>-7.35397555197848</v>
      </c>
      <c r="N134" s="421">
        <v>0</v>
      </c>
      <c r="O134" s="421">
        <v>0</v>
      </c>
      <c r="P134" s="421">
        <v>0</v>
      </c>
      <c r="Q134" s="421">
        <v>0</v>
      </c>
      <c r="R134" s="421">
        <v>0</v>
      </c>
      <c r="S134" s="429">
        <v>0.897329415178301</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571.25876810153704</v>
      </c>
      <c r="F136" s="421">
        <v>-565.54618042052198</v>
      </c>
      <c r="G136" s="421">
        <v>0</v>
      </c>
      <c r="H136" s="421">
        <v>0</v>
      </c>
      <c r="I136" s="421">
        <v>0</v>
      </c>
      <c r="J136" s="421">
        <v>0</v>
      </c>
      <c r="K136" s="421">
        <v>0</v>
      </c>
      <c r="L136" s="421">
        <v>0</v>
      </c>
      <c r="M136" s="421">
        <v>0</v>
      </c>
      <c r="N136" s="421">
        <v>0</v>
      </c>
      <c r="O136" s="421">
        <v>0</v>
      </c>
      <c r="P136" s="421">
        <v>0</v>
      </c>
      <c r="Q136" s="421">
        <v>0</v>
      </c>
      <c r="R136" s="421">
        <v>0</v>
      </c>
      <c r="S136" s="429">
        <v>5.7125876810154104</v>
      </c>
      <c r="T136" s="412"/>
    </row>
    <row r="137" spans="2:20" ht="13.5">
      <c r="B137" s="412"/>
      <c r="C137" s="428" t="s">
        <v>354</v>
      </c>
      <c r="D137" s="421">
        <v>0</v>
      </c>
      <c r="E137" s="421">
        <v>0</v>
      </c>
      <c r="F137" s="421">
        <v>0</v>
      </c>
      <c r="G137" s="421">
        <v>0</v>
      </c>
      <c r="H137" s="421">
        <v>0</v>
      </c>
      <c r="I137" s="421">
        <v>0</v>
      </c>
      <c r="J137" s="421">
        <v>40.340137818349199</v>
      </c>
      <c r="K137" s="421">
        <v>0</v>
      </c>
      <c r="L137" s="421">
        <v>-40.340137818349199</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-0.12750106482601001</v>
      </c>
      <c r="M138" s="421">
        <v>0</v>
      </c>
      <c r="N138" s="421">
        <v>0</v>
      </c>
      <c r="O138" s="421">
        <v>0</v>
      </c>
      <c r="P138" s="421">
        <v>0</v>
      </c>
      <c r="Q138" s="421">
        <v>0</v>
      </c>
      <c r="R138" s="421">
        <v>0.182144378322872</v>
      </c>
      <c r="S138" s="429">
        <v>5.4643313496861502E-2</v>
      </c>
      <c r="T138" s="412"/>
    </row>
    <row r="139" spans="2:20" ht="13.5">
      <c r="B139" s="412"/>
      <c r="C139" s="428" t="s">
        <v>73</v>
      </c>
      <c r="D139" s="421">
        <v>0</v>
      </c>
      <c r="E139" s="421">
        <v>0</v>
      </c>
      <c r="F139" s="421">
        <v>0</v>
      </c>
      <c r="G139" s="421">
        <v>0.831376892645455</v>
      </c>
      <c r="H139" s="421">
        <v>0</v>
      </c>
      <c r="I139" s="421">
        <v>0</v>
      </c>
      <c r="J139" s="421">
        <v>0</v>
      </c>
      <c r="K139" s="421">
        <v>9.2613948472223297E-3</v>
      </c>
      <c r="L139" s="421">
        <v>0</v>
      </c>
      <c r="M139" s="421">
        <v>1.6966875360111301E-2</v>
      </c>
      <c r="N139" s="421">
        <v>0</v>
      </c>
      <c r="O139" s="421">
        <v>0</v>
      </c>
      <c r="P139" s="421">
        <v>7.3806192782479504E-2</v>
      </c>
      <c r="Q139" s="421">
        <v>0</v>
      </c>
      <c r="R139" s="421">
        <v>-0.64829763930556406</v>
      </c>
      <c r="S139" s="429">
        <v>0.283113716329704</v>
      </c>
      <c r="T139" s="412"/>
    </row>
    <row r="140" spans="2:20" ht="13.5">
      <c r="B140" s="412"/>
      <c r="C140" s="428" t="s">
        <v>356</v>
      </c>
      <c r="D140" s="421">
        <v>17.563290527343799</v>
      </c>
      <c r="E140" s="421">
        <v>-19.794116314718298</v>
      </c>
      <c r="F140" s="421">
        <v>25.889534996151301</v>
      </c>
      <c r="G140" s="421">
        <v>0</v>
      </c>
      <c r="H140" s="421">
        <v>0</v>
      </c>
      <c r="I140" s="421">
        <v>0</v>
      </c>
      <c r="J140" s="421">
        <v>0</v>
      </c>
      <c r="K140" s="421">
        <v>0</v>
      </c>
      <c r="L140" s="421">
        <v>0</v>
      </c>
      <c r="M140" s="421">
        <v>0</v>
      </c>
      <c r="N140" s="421">
        <v>0</v>
      </c>
      <c r="O140" s="421">
        <v>0</v>
      </c>
      <c r="P140" s="421">
        <v>0</v>
      </c>
      <c r="Q140" s="421">
        <v>0</v>
      </c>
      <c r="R140" s="421">
        <v>0</v>
      </c>
      <c r="S140" s="429">
        <v>23.658709208776799</v>
      </c>
      <c r="T140" s="412"/>
    </row>
    <row r="141" spans="2:20" ht="13.5">
      <c r="B141" s="412"/>
      <c r="C141" s="428" t="s">
        <v>75</v>
      </c>
      <c r="D141" s="421">
        <v>10.802251953124999</v>
      </c>
      <c r="E141" s="421">
        <v>0</v>
      </c>
      <c r="F141" s="421">
        <v>19.422798115452299</v>
      </c>
      <c r="G141" s="421">
        <v>5.5423525681211201</v>
      </c>
      <c r="H141" s="421">
        <v>0</v>
      </c>
      <c r="I141" s="421">
        <v>0</v>
      </c>
      <c r="J141" s="421">
        <v>0</v>
      </c>
      <c r="K141" s="421">
        <v>0</v>
      </c>
      <c r="L141" s="421">
        <v>0</v>
      </c>
      <c r="M141" s="421">
        <v>0.113109236084104</v>
      </c>
      <c r="N141" s="421">
        <v>0</v>
      </c>
      <c r="O141" s="421">
        <v>0</v>
      </c>
      <c r="P141" s="421">
        <v>36.242285129753</v>
      </c>
      <c r="Q141" s="421">
        <v>0</v>
      </c>
      <c r="R141" s="421">
        <v>0</v>
      </c>
      <c r="S141" s="429">
        <v>72.122797002535407</v>
      </c>
      <c r="T141" s="412"/>
    </row>
    <row r="142" spans="2:20" ht="13.5">
      <c r="B142" s="412"/>
      <c r="C142" s="428" t="s">
        <v>76</v>
      </c>
      <c r="D142" s="421">
        <v>0</v>
      </c>
      <c r="E142" s="421">
        <v>0</v>
      </c>
      <c r="F142" s="421">
        <v>0</v>
      </c>
      <c r="G142" s="421">
        <v>4.2728632653787999</v>
      </c>
      <c r="H142" s="421">
        <v>0</v>
      </c>
      <c r="I142" s="421">
        <v>0</v>
      </c>
      <c r="J142" s="421">
        <v>0</v>
      </c>
      <c r="K142" s="421">
        <v>0</v>
      </c>
      <c r="L142" s="421">
        <v>0</v>
      </c>
      <c r="M142" s="421">
        <v>8.7201291130179603E-2</v>
      </c>
      <c r="N142" s="421">
        <v>0</v>
      </c>
      <c r="O142" s="421">
        <v>0</v>
      </c>
      <c r="P142" s="421">
        <v>39.304453909215397</v>
      </c>
      <c r="Q142" s="421">
        <v>3.26314299021587</v>
      </c>
      <c r="R142" s="421">
        <v>0</v>
      </c>
      <c r="S142" s="429">
        <v>46.927661455940203</v>
      </c>
      <c r="T142" s="412"/>
    </row>
    <row r="143" spans="2:20" ht="13.5">
      <c r="B143" s="412"/>
      <c r="C143" s="424" t="s">
        <v>77</v>
      </c>
      <c r="D143" s="425">
        <v>30.615409690982801</v>
      </c>
      <c r="E143" s="425">
        <v>551.46465178681899</v>
      </c>
      <c r="F143" s="425">
        <v>-516.370210945282</v>
      </c>
      <c r="G143" s="425">
        <v>47.856408456271403</v>
      </c>
      <c r="H143" s="425">
        <v>1190.9090909090901</v>
      </c>
      <c r="I143" s="425">
        <v>170.08</v>
      </c>
      <c r="J143" s="425">
        <v>90.229466561558695</v>
      </c>
      <c r="K143" s="425">
        <v>20.755996988941401</v>
      </c>
      <c r="L143" s="425">
        <v>-40.467638883175198</v>
      </c>
      <c r="M143" s="425">
        <v>-6.37731415491172</v>
      </c>
      <c r="N143" s="425">
        <v>0</v>
      </c>
      <c r="O143" s="425">
        <v>2.3125206785732901</v>
      </c>
      <c r="P143" s="425">
        <v>-510.66879372694501</v>
      </c>
      <c r="Q143" s="425">
        <v>-38.846940359712697</v>
      </c>
      <c r="R143" s="425">
        <v>-0.466153260982692</v>
      </c>
      <c r="S143" s="425">
        <v>991.02649374122802</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6.9572827965307997</v>
      </c>
      <c r="E145" s="421">
        <v>0</v>
      </c>
      <c r="F145" s="421">
        <v>25.896684663228299</v>
      </c>
      <c r="G145" s="421">
        <v>106.26458392294199</v>
      </c>
      <c r="H145" s="421">
        <v>0</v>
      </c>
      <c r="I145" s="421">
        <v>0</v>
      </c>
      <c r="J145" s="421">
        <v>17.745142204637499</v>
      </c>
      <c r="K145" s="421">
        <v>4.2189568362411896</v>
      </c>
      <c r="L145" s="421">
        <v>0.87282323828124997</v>
      </c>
      <c r="M145" s="421">
        <v>2.1686649780192302</v>
      </c>
      <c r="N145" s="421">
        <v>0</v>
      </c>
      <c r="O145" s="421">
        <v>0</v>
      </c>
      <c r="P145" s="421">
        <v>105.29003362157</v>
      </c>
      <c r="Q145" s="421">
        <v>18.0750594681117</v>
      </c>
      <c r="R145" s="421">
        <v>0.25568812561035198</v>
      </c>
      <c r="S145" s="429">
        <v>287.74491985517301</v>
      </c>
      <c r="T145" s="412"/>
    </row>
    <row r="146" spans="2:20" ht="13.5">
      <c r="B146" s="412"/>
      <c r="C146" s="428" t="s">
        <v>79</v>
      </c>
      <c r="D146" s="421">
        <v>0</v>
      </c>
      <c r="E146" s="421">
        <v>0</v>
      </c>
      <c r="F146" s="421">
        <v>346.690942673081</v>
      </c>
      <c r="G146" s="421">
        <v>11.424554462604799</v>
      </c>
      <c r="H146" s="421">
        <v>0</v>
      </c>
      <c r="I146" s="421">
        <v>0</v>
      </c>
      <c r="J146" s="421">
        <v>0</v>
      </c>
      <c r="K146" s="421">
        <v>0</v>
      </c>
      <c r="L146" s="421">
        <v>34.925099911617998</v>
      </c>
      <c r="M146" s="421">
        <v>0.23315417270621999</v>
      </c>
      <c r="N146" s="421">
        <v>0</v>
      </c>
      <c r="O146" s="421">
        <v>0</v>
      </c>
      <c r="P146" s="421">
        <v>24.35299203193</v>
      </c>
      <c r="Q146" s="421">
        <v>0</v>
      </c>
      <c r="R146" s="421">
        <v>0.21046513537233999</v>
      </c>
      <c r="S146" s="429">
        <v>417.83720838731301</v>
      </c>
      <c r="T146" s="412"/>
    </row>
    <row r="147" spans="2:20" ht="13.5">
      <c r="B147" s="412"/>
      <c r="C147" s="428" t="s">
        <v>80</v>
      </c>
      <c r="D147" s="421">
        <v>0</v>
      </c>
      <c r="E147" s="421">
        <v>0</v>
      </c>
      <c r="F147" s="421">
        <v>35.491759921092701</v>
      </c>
      <c r="G147" s="421">
        <v>125.919726758168</v>
      </c>
      <c r="H147" s="421">
        <v>0</v>
      </c>
      <c r="I147" s="421">
        <v>0</v>
      </c>
      <c r="J147" s="421">
        <v>73.813414818534</v>
      </c>
      <c r="K147" s="421">
        <v>0</v>
      </c>
      <c r="L147" s="421">
        <v>0</v>
      </c>
      <c r="M147" s="421">
        <v>2.56979034200342</v>
      </c>
      <c r="N147" s="421">
        <v>37.3286750803004</v>
      </c>
      <c r="O147" s="421">
        <v>0.79885474759688602</v>
      </c>
      <c r="P147" s="421">
        <v>169.76247082548599</v>
      </c>
      <c r="Q147" s="421">
        <v>15.993012493150101</v>
      </c>
      <c r="R147" s="421">
        <v>0</v>
      </c>
      <c r="S147" s="429">
        <v>461.67770498633098</v>
      </c>
      <c r="T147" s="412"/>
    </row>
    <row r="148" spans="2:20" ht="13.5">
      <c r="B148" s="412"/>
      <c r="C148" s="428" t="s">
        <v>81</v>
      </c>
      <c r="D148" s="421">
        <v>0</v>
      </c>
      <c r="E148" s="421">
        <v>0</v>
      </c>
      <c r="F148" s="421">
        <v>16.1286772108141</v>
      </c>
      <c r="G148" s="421">
        <v>65.616209399755206</v>
      </c>
      <c r="H148" s="421">
        <v>0</v>
      </c>
      <c r="I148" s="421">
        <v>0</v>
      </c>
      <c r="J148" s="421">
        <v>3.7763192942950199</v>
      </c>
      <c r="K148" s="421">
        <v>0</v>
      </c>
      <c r="L148" s="421">
        <v>0</v>
      </c>
      <c r="M148" s="421">
        <v>1.33910631428072</v>
      </c>
      <c r="N148" s="421">
        <v>6.5425739559002496</v>
      </c>
      <c r="O148" s="421">
        <v>0.88133560718480697</v>
      </c>
      <c r="P148" s="421">
        <v>129.56623414657301</v>
      </c>
      <c r="Q148" s="421">
        <v>4.7788683984510296</v>
      </c>
      <c r="R148" s="421">
        <v>0</v>
      </c>
      <c r="S148" s="429">
        <v>228.62932432725401</v>
      </c>
      <c r="T148" s="412"/>
    </row>
    <row r="149" spans="2:20" ht="13.5">
      <c r="B149" s="412"/>
      <c r="C149" s="428" t="s">
        <v>82</v>
      </c>
      <c r="D149" s="421">
        <v>0</v>
      </c>
      <c r="E149" s="421">
        <v>0</v>
      </c>
      <c r="F149" s="421">
        <v>28.971780309740499</v>
      </c>
      <c r="G149" s="421">
        <v>3.2633190472043498</v>
      </c>
      <c r="H149" s="421">
        <v>0</v>
      </c>
      <c r="I149" s="421">
        <v>0</v>
      </c>
      <c r="J149" s="421">
        <v>0.59195943280110996</v>
      </c>
      <c r="K149" s="421">
        <v>0</v>
      </c>
      <c r="L149" s="421">
        <v>3.8429712078023499</v>
      </c>
      <c r="M149" s="421">
        <v>6.6598347902129498E-2</v>
      </c>
      <c r="N149" s="421">
        <v>0</v>
      </c>
      <c r="O149" s="421">
        <v>8.6639841752499502E-2</v>
      </c>
      <c r="P149" s="421">
        <v>8.2598155123323398</v>
      </c>
      <c r="Q149" s="421">
        <v>0</v>
      </c>
      <c r="R149" s="421">
        <v>0</v>
      </c>
      <c r="S149" s="429">
        <v>45.083083699535301</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6.9572827965307997</v>
      </c>
      <c r="E151" s="425">
        <v>0</v>
      </c>
      <c r="F151" s="425">
        <v>453.17984477795699</v>
      </c>
      <c r="G151" s="425">
        <v>312.48839359067398</v>
      </c>
      <c r="H151" s="425">
        <v>0</v>
      </c>
      <c r="I151" s="425">
        <v>0</v>
      </c>
      <c r="J151" s="425">
        <v>95.9268357502676</v>
      </c>
      <c r="K151" s="425">
        <v>4.2189568362411896</v>
      </c>
      <c r="L151" s="425">
        <v>39.640894357701598</v>
      </c>
      <c r="M151" s="425">
        <v>6.37731415491172</v>
      </c>
      <c r="N151" s="425">
        <v>43.871249036200602</v>
      </c>
      <c r="O151" s="425">
        <v>1.7668301965341899</v>
      </c>
      <c r="P151" s="425">
        <v>437.23154613789097</v>
      </c>
      <c r="Q151" s="425">
        <v>38.846940359712697</v>
      </c>
      <c r="R151" s="425">
        <v>0.466153260982692</v>
      </c>
      <c r="S151" s="425">
        <v>1440.97224125561</v>
      </c>
      <c r="T151" s="412"/>
    </row>
    <row r="152" spans="2:20" ht="13.5">
      <c r="B152" s="412"/>
      <c r="C152" s="420" t="s">
        <v>84</v>
      </c>
      <c r="D152" s="421">
        <v>2.48320288085938</v>
      </c>
      <c r="E152" s="421">
        <v>0</v>
      </c>
      <c r="F152" s="421">
        <v>138.16950187444499</v>
      </c>
      <c r="G152" s="421">
        <v>12.6223144301798</v>
      </c>
      <c r="H152" s="421">
        <v>0</v>
      </c>
      <c r="I152" s="421">
        <v>0</v>
      </c>
      <c r="J152" s="421">
        <v>0</v>
      </c>
      <c r="K152" s="421">
        <v>0</v>
      </c>
      <c r="L152" s="421">
        <v>0</v>
      </c>
      <c r="M152" s="421">
        <v>0</v>
      </c>
      <c r="N152" s="421">
        <v>0</v>
      </c>
      <c r="O152" s="421">
        <v>0</v>
      </c>
      <c r="P152" s="421">
        <v>0</v>
      </c>
      <c r="Q152" s="421">
        <v>0</v>
      </c>
      <c r="R152" s="421">
        <v>0</v>
      </c>
      <c r="S152" s="429">
        <v>153.27501918548401</v>
      </c>
      <c r="T152" s="412"/>
    </row>
    <row r="153" spans="2:20" ht="13.5">
      <c r="B153" s="412"/>
      <c r="C153" s="424" t="s">
        <v>85</v>
      </c>
      <c r="D153" s="425">
        <v>9.4404856773901802</v>
      </c>
      <c r="E153" s="425">
        <v>0</v>
      </c>
      <c r="F153" s="425">
        <v>591.34934665240098</v>
      </c>
      <c r="G153" s="425">
        <v>325.11070802085402</v>
      </c>
      <c r="H153" s="425">
        <v>0</v>
      </c>
      <c r="I153" s="425">
        <v>0</v>
      </c>
      <c r="J153" s="425">
        <v>95.9268357502676</v>
      </c>
      <c r="K153" s="425">
        <v>4.2189568362411896</v>
      </c>
      <c r="L153" s="425">
        <v>39.640894357701598</v>
      </c>
      <c r="M153" s="425">
        <v>6.37731415491172</v>
      </c>
      <c r="N153" s="425">
        <v>43.871249036200602</v>
      </c>
      <c r="O153" s="425">
        <v>1.7668301965341899</v>
      </c>
      <c r="P153" s="425">
        <v>437.23154613789097</v>
      </c>
      <c r="Q153" s="425">
        <v>38.846940359712697</v>
      </c>
      <c r="R153" s="425">
        <v>0.466153260982692</v>
      </c>
      <c r="S153" s="425">
        <v>1594.24726044109</v>
      </c>
      <c r="T153" s="412"/>
    </row>
    <row r="154" spans="2:20">
      <c r="B154" s="412"/>
      <c r="C154" s="412"/>
      <c r="D154" s="430">
        <f t="shared" ref="D154:S154" si="11">D153+D143-D129</f>
        <v>0</v>
      </c>
      <c r="E154" s="430">
        <f t="shared" si="11"/>
        <v>0</v>
      </c>
      <c r="F154" s="430">
        <f t="shared" si="11"/>
        <v>-4.1211478674085811E-13</v>
      </c>
      <c r="G154" s="430">
        <f t="shared" si="11"/>
        <v>4.5474735088646412E-13</v>
      </c>
      <c r="H154" s="430">
        <f t="shared" si="11"/>
        <v>0</v>
      </c>
      <c r="I154" s="430">
        <f t="shared" si="11"/>
        <v>0</v>
      </c>
      <c r="J154" s="430">
        <f t="shared" si="11"/>
        <v>2.8421709430404007E-13</v>
      </c>
      <c r="K154" s="430">
        <f t="shared" si="11"/>
        <v>0</v>
      </c>
      <c r="L154" s="430">
        <f t="shared" si="11"/>
        <v>2.8643754035329039E-14</v>
      </c>
      <c r="M154" s="430">
        <f t="shared" si="11"/>
        <v>0</v>
      </c>
      <c r="N154" s="430">
        <f t="shared" si="11"/>
        <v>0</v>
      </c>
      <c r="O154" s="430">
        <f t="shared" si="11"/>
        <v>-1.0658141036401503E-14</v>
      </c>
      <c r="P154" s="430">
        <f t="shared" si="11"/>
        <v>-4.4053649617126212E-13</v>
      </c>
      <c r="Q154" s="430">
        <f t="shared" si="11"/>
        <v>0</v>
      </c>
      <c r="R154" s="430">
        <f t="shared" si="11"/>
        <v>0</v>
      </c>
      <c r="S154" s="430">
        <f t="shared" si="11"/>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88</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9.7691999999999997</v>
      </c>
      <c r="F160" s="421">
        <v>0</v>
      </c>
      <c r="G160" s="421">
        <v>0.18608</v>
      </c>
      <c r="H160" s="422">
        <v>1190.9090909090901</v>
      </c>
      <c r="I160" s="422">
        <v>180.08</v>
      </c>
      <c r="J160" s="422">
        <v>182.69909167509101</v>
      </c>
      <c r="K160" s="422">
        <v>24.336304255308299</v>
      </c>
      <c r="L160" s="421">
        <v>0</v>
      </c>
      <c r="M160" s="421">
        <v>0</v>
      </c>
      <c r="N160" s="422">
        <v>47.404940243004702</v>
      </c>
      <c r="O160" s="422">
        <v>4.1431468389453903</v>
      </c>
      <c r="P160" s="421">
        <v>0</v>
      </c>
      <c r="Q160" s="421">
        <v>0</v>
      </c>
      <c r="R160" s="421">
        <v>0</v>
      </c>
      <c r="S160" s="423">
        <v>1639.5278539214401</v>
      </c>
      <c r="T160" s="412"/>
    </row>
    <row r="161" spans="2:20" ht="13.5">
      <c r="B161" s="412"/>
      <c r="C161" s="420" t="s">
        <v>60</v>
      </c>
      <c r="D161" s="421">
        <v>37.339422707782298</v>
      </c>
      <c r="E161" s="421">
        <v>533.81672423347197</v>
      </c>
      <c r="F161" s="421">
        <v>143.39659601628199</v>
      </c>
      <c r="G161" s="421">
        <v>370.50350222542198</v>
      </c>
      <c r="H161" s="421">
        <v>0</v>
      </c>
      <c r="I161" s="421">
        <v>0</v>
      </c>
      <c r="J161" s="421">
        <v>0</v>
      </c>
      <c r="K161" s="421">
        <v>0</v>
      </c>
      <c r="L161" s="421">
        <v>0</v>
      </c>
      <c r="M161" s="421">
        <v>0</v>
      </c>
      <c r="N161" s="421">
        <v>0</v>
      </c>
      <c r="O161" s="421">
        <v>0</v>
      </c>
      <c r="P161" s="421">
        <v>0</v>
      </c>
      <c r="Q161" s="421">
        <v>0</v>
      </c>
      <c r="R161" s="421">
        <v>0</v>
      </c>
      <c r="S161" s="423">
        <v>1085.0562451829601</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-78.290170277584906</v>
      </c>
      <c r="Q162" s="421">
        <v>0</v>
      </c>
      <c r="R162" s="421">
        <v>0</v>
      </c>
      <c r="S162" s="423">
        <v>-78.290170277584906</v>
      </c>
      <c r="T162" s="412"/>
    </row>
    <row r="163" spans="2:20" ht="13.5">
      <c r="B163" s="412"/>
      <c r="C163" s="420" t="s">
        <v>62</v>
      </c>
      <c r="D163" s="421">
        <v>0</v>
      </c>
      <c r="E163" s="421">
        <v>0</v>
      </c>
      <c r="F163" s="421">
        <v>-16.493151741791198</v>
      </c>
      <c r="G163" s="421">
        <v>0</v>
      </c>
      <c r="H163" s="421">
        <v>0</v>
      </c>
      <c r="I163" s="421">
        <v>0</v>
      </c>
      <c r="J163" s="421">
        <v>0</v>
      </c>
      <c r="K163" s="421">
        <v>0</v>
      </c>
      <c r="L163" s="421">
        <v>0</v>
      </c>
      <c r="M163" s="421">
        <v>0</v>
      </c>
      <c r="N163" s="421">
        <v>0</v>
      </c>
      <c r="O163" s="421">
        <v>0</v>
      </c>
      <c r="P163" s="421">
        <v>0</v>
      </c>
      <c r="Q163" s="421">
        <v>0</v>
      </c>
      <c r="R163" s="421">
        <v>0</v>
      </c>
      <c r="S163" s="423">
        <v>-16.493151741791198</v>
      </c>
      <c r="T163" s="412"/>
    </row>
    <row r="164" spans="2:20" ht="13.5">
      <c r="B164" s="412"/>
      <c r="C164" s="420" t="s">
        <v>63</v>
      </c>
      <c r="D164" s="421">
        <v>0</v>
      </c>
      <c r="E164" s="421">
        <v>0</v>
      </c>
      <c r="F164" s="421">
        <v>-80.524753863298102</v>
      </c>
      <c r="G164" s="421">
        <v>0</v>
      </c>
      <c r="H164" s="421">
        <v>0</v>
      </c>
      <c r="I164" s="421">
        <v>0</v>
      </c>
      <c r="J164" s="421">
        <v>0</v>
      </c>
      <c r="K164" s="421">
        <v>0</v>
      </c>
      <c r="L164" s="421">
        <v>-0.83268754501228504</v>
      </c>
      <c r="M164" s="421">
        <v>0</v>
      </c>
      <c r="N164" s="421">
        <v>0</v>
      </c>
      <c r="O164" s="421">
        <v>0</v>
      </c>
      <c r="P164" s="421">
        <v>0</v>
      </c>
      <c r="Q164" s="421">
        <v>0</v>
      </c>
      <c r="R164" s="421">
        <v>0</v>
      </c>
      <c r="S164" s="423">
        <v>-81.357441408310294</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37.339422707782298</v>
      </c>
      <c r="E166" s="425">
        <v>543.58592423347204</v>
      </c>
      <c r="F166" s="425">
        <v>46.378690411192402</v>
      </c>
      <c r="G166" s="425">
        <v>370.68958222542199</v>
      </c>
      <c r="H166" s="425">
        <v>1190.9090909090901</v>
      </c>
      <c r="I166" s="425">
        <v>180.08</v>
      </c>
      <c r="J166" s="425">
        <v>182.69909167509101</v>
      </c>
      <c r="K166" s="425">
        <v>24.336304255308299</v>
      </c>
      <c r="L166" s="425">
        <v>-0.83268754501228504</v>
      </c>
      <c r="M166" s="425">
        <v>0</v>
      </c>
      <c r="N166" s="425">
        <v>47.404940243004702</v>
      </c>
      <c r="O166" s="425">
        <v>4.1431468389453903</v>
      </c>
      <c r="P166" s="425">
        <v>-78.290170277584906</v>
      </c>
      <c r="Q166" s="425">
        <v>0</v>
      </c>
      <c r="R166" s="425">
        <v>0</v>
      </c>
      <c r="S166" s="425">
        <v>2548.4433356767099</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21.057260399703999</v>
      </c>
      <c r="H169" s="421">
        <v>1190.9090909090901</v>
      </c>
      <c r="I169" s="421">
        <v>180.08</v>
      </c>
      <c r="J169" s="421">
        <v>26.7962649198797</v>
      </c>
      <c r="K169" s="421">
        <v>7.2535340783692002</v>
      </c>
      <c r="L169" s="421">
        <v>0</v>
      </c>
      <c r="M169" s="421">
        <v>0.42974000815722502</v>
      </c>
      <c r="N169" s="421">
        <v>0</v>
      </c>
      <c r="O169" s="421">
        <v>0</v>
      </c>
      <c r="P169" s="421">
        <v>-597.29785022432395</v>
      </c>
      <c r="Q169" s="421">
        <v>0</v>
      </c>
      <c r="R169" s="421">
        <v>0</v>
      </c>
      <c r="S169" s="429">
        <v>835.29214719007996</v>
      </c>
      <c r="T169" s="412"/>
    </row>
    <row r="170" spans="2:20" ht="13.5">
      <c r="B170" s="412"/>
      <c r="C170" s="428" t="s">
        <v>351</v>
      </c>
      <c r="D170" s="421">
        <v>0</v>
      </c>
      <c r="E170" s="421">
        <v>0</v>
      </c>
      <c r="F170" s="421">
        <v>0</v>
      </c>
      <c r="G170" s="421">
        <v>17.2690006533789</v>
      </c>
      <c r="H170" s="421">
        <v>0</v>
      </c>
      <c r="I170" s="421">
        <v>0</v>
      </c>
      <c r="J170" s="421">
        <v>13.0699665611328</v>
      </c>
      <c r="K170" s="421">
        <v>12.782704302523401</v>
      </c>
      <c r="L170" s="421">
        <v>0</v>
      </c>
      <c r="M170" s="421">
        <v>0.35242858476283501</v>
      </c>
      <c r="N170" s="421">
        <v>0</v>
      </c>
      <c r="O170" s="421">
        <v>2.2569028606256798</v>
      </c>
      <c r="P170" s="421">
        <v>0</v>
      </c>
      <c r="Q170" s="421">
        <v>-41.219343799096599</v>
      </c>
      <c r="R170" s="421">
        <v>0</v>
      </c>
      <c r="S170" s="429">
        <v>4.5116591633269501</v>
      </c>
      <c r="T170" s="412"/>
    </row>
    <row r="171" spans="2:20" ht="13.5">
      <c r="B171" s="412"/>
      <c r="C171" s="428" t="s">
        <v>352</v>
      </c>
      <c r="D171" s="421">
        <v>0</v>
      </c>
      <c r="E171" s="421">
        <v>0</v>
      </c>
      <c r="F171" s="421">
        <v>0</v>
      </c>
      <c r="G171" s="421">
        <v>0</v>
      </c>
      <c r="H171" s="421">
        <v>0</v>
      </c>
      <c r="I171" s="421">
        <v>0</v>
      </c>
      <c r="J171" s="421">
        <v>8.3993143440742202</v>
      </c>
      <c r="K171" s="421">
        <v>0</v>
      </c>
      <c r="L171" s="421">
        <v>0</v>
      </c>
      <c r="M171" s="421">
        <v>-7.3074034793445701</v>
      </c>
      <c r="N171" s="421">
        <v>0</v>
      </c>
      <c r="O171" s="421">
        <v>0</v>
      </c>
      <c r="P171" s="421">
        <v>0</v>
      </c>
      <c r="Q171" s="421">
        <v>0</v>
      </c>
      <c r="R171" s="421">
        <v>0</v>
      </c>
      <c r="S171" s="429">
        <v>1.09191086472965</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563.09724372867004</v>
      </c>
      <c r="F173" s="421">
        <v>-557.46627129138403</v>
      </c>
      <c r="G173" s="421">
        <v>0</v>
      </c>
      <c r="H173" s="421">
        <v>0</v>
      </c>
      <c r="I173" s="421">
        <v>0</v>
      </c>
      <c r="J173" s="421">
        <v>0</v>
      </c>
      <c r="K173" s="421">
        <v>0</v>
      </c>
      <c r="L173" s="421">
        <v>0</v>
      </c>
      <c r="M173" s="421">
        <v>0</v>
      </c>
      <c r="N173" s="421">
        <v>0</v>
      </c>
      <c r="O173" s="421">
        <v>0</v>
      </c>
      <c r="P173" s="421">
        <v>0</v>
      </c>
      <c r="Q173" s="421">
        <v>0</v>
      </c>
      <c r="R173" s="421">
        <v>0</v>
      </c>
      <c r="S173" s="429">
        <v>5.6309724372866903</v>
      </c>
      <c r="T173" s="412"/>
    </row>
    <row r="174" spans="2:20" ht="13.5">
      <c r="B174" s="412"/>
      <c r="C174" s="428" t="s">
        <v>354</v>
      </c>
      <c r="D174" s="421">
        <v>0</v>
      </c>
      <c r="E174" s="421">
        <v>0</v>
      </c>
      <c r="F174" s="421">
        <v>0</v>
      </c>
      <c r="G174" s="421">
        <v>0</v>
      </c>
      <c r="H174" s="421">
        <v>0</v>
      </c>
      <c r="I174" s="421">
        <v>0</v>
      </c>
      <c r="J174" s="421">
        <v>39.4678203667548</v>
      </c>
      <c r="K174" s="421">
        <v>0</v>
      </c>
      <c r="L174" s="421">
        <v>-39.4678203667548</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-0.17560464547893101</v>
      </c>
      <c r="M175" s="421">
        <v>0</v>
      </c>
      <c r="N175" s="421">
        <v>0</v>
      </c>
      <c r="O175" s="421">
        <v>0</v>
      </c>
      <c r="P175" s="421">
        <v>0</v>
      </c>
      <c r="Q175" s="421">
        <v>0</v>
      </c>
      <c r="R175" s="421">
        <v>0.25086377925561598</v>
      </c>
      <c r="S175" s="429">
        <v>7.5259133776684806E-2</v>
      </c>
      <c r="T175" s="412"/>
    </row>
    <row r="176" spans="2:20" ht="13.5">
      <c r="B176" s="412"/>
      <c r="C176" s="428" t="s">
        <v>73</v>
      </c>
      <c r="D176" s="421">
        <v>0</v>
      </c>
      <c r="E176" s="421">
        <v>0</v>
      </c>
      <c r="F176" s="421">
        <v>0</v>
      </c>
      <c r="G176" s="421">
        <v>1.08065426442295</v>
      </c>
      <c r="H176" s="421">
        <v>0</v>
      </c>
      <c r="I176" s="421">
        <v>0</v>
      </c>
      <c r="J176" s="421">
        <v>0</v>
      </c>
      <c r="K176" s="421">
        <v>1.2117675088842201E-2</v>
      </c>
      <c r="L176" s="421">
        <v>0</v>
      </c>
      <c r="M176" s="421">
        <v>2.2054168661692901E-2</v>
      </c>
      <c r="N176" s="421">
        <v>0</v>
      </c>
      <c r="O176" s="421">
        <v>0</v>
      </c>
      <c r="P176" s="421">
        <v>0.104398431534641</v>
      </c>
      <c r="Q176" s="421">
        <v>0</v>
      </c>
      <c r="R176" s="421">
        <v>-0.84823725621895596</v>
      </c>
      <c r="S176" s="429">
        <v>0.37098728348916998</v>
      </c>
      <c r="T176" s="412"/>
    </row>
    <row r="177" spans="2:20" ht="13.5">
      <c r="B177" s="412"/>
      <c r="C177" s="428" t="s">
        <v>356</v>
      </c>
      <c r="D177" s="421">
        <v>16.156125732421899</v>
      </c>
      <c r="E177" s="421">
        <v>-19.5113194951984</v>
      </c>
      <c r="F177" s="421">
        <v>25.519653459670899</v>
      </c>
      <c r="G177" s="421">
        <v>0</v>
      </c>
      <c r="H177" s="421">
        <v>0</v>
      </c>
      <c r="I177" s="421">
        <v>0</v>
      </c>
      <c r="J177" s="421">
        <v>0</v>
      </c>
      <c r="K177" s="421">
        <v>0</v>
      </c>
      <c r="L177" s="421">
        <v>0</v>
      </c>
      <c r="M177" s="421">
        <v>0</v>
      </c>
      <c r="N177" s="421">
        <v>0</v>
      </c>
      <c r="O177" s="421">
        <v>0</v>
      </c>
      <c r="P177" s="421">
        <v>0</v>
      </c>
      <c r="Q177" s="421">
        <v>0</v>
      </c>
      <c r="R177" s="421">
        <v>0</v>
      </c>
      <c r="S177" s="429">
        <v>22.164459696894401</v>
      </c>
      <c r="T177" s="412"/>
    </row>
    <row r="178" spans="2:20" ht="13.5">
      <c r="B178" s="412"/>
      <c r="C178" s="428" t="s">
        <v>75</v>
      </c>
      <c r="D178" s="421">
        <v>10.1643505859375</v>
      </c>
      <c r="E178" s="421">
        <v>0</v>
      </c>
      <c r="F178" s="421">
        <v>19.145306286774801</v>
      </c>
      <c r="G178" s="421">
        <v>5.4631694586555604</v>
      </c>
      <c r="H178" s="421">
        <v>0</v>
      </c>
      <c r="I178" s="421">
        <v>0</v>
      </c>
      <c r="J178" s="421">
        <v>0</v>
      </c>
      <c r="K178" s="421">
        <v>0</v>
      </c>
      <c r="L178" s="421">
        <v>0</v>
      </c>
      <c r="M178" s="421">
        <v>0.111493254258277</v>
      </c>
      <c r="N178" s="421">
        <v>0</v>
      </c>
      <c r="O178" s="421">
        <v>0</v>
      </c>
      <c r="P178" s="421">
        <v>36.292710693034401</v>
      </c>
      <c r="Q178" s="421">
        <v>0</v>
      </c>
      <c r="R178" s="421">
        <v>0</v>
      </c>
      <c r="S178" s="429">
        <v>71.177030278660496</v>
      </c>
      <c r="T178" s="412"/>
    </row>
    <row r="179" spans="2:20" ht="13.5">
      <c r="B179" s="412"/>
      <c r="C179" s="428" t="s">
        <v>76</v>
      </c>
      <c r="D179" s="421">
        <v>0</v>
      </c>
      <c r="E179" s="421">
        <v>0</v>
      </c>
      <c r="F179" s="421">
        <v>0</v>
      </c>
      <c r="G179" s="421">
        <v>4.2458036026231296</v>
      </c>
      <c r="H179" s="421">
        <v>0</v>
      </c>
      <c r="I179" s="421">
        <v>0</v>
      </c>
      <c r="J179" s="421">
        <v>0</v>
      </c>
      <c r="K179" s="421">
        <v>0</v>
      </c>
      <c r="L179" s="421">
        <v>0</v>
      </c>
      <c r="M179" s="421">
        <v>8.6649053114757804E-2</v>
      </c>
      <c r="N179" s="421">
        <v>0</v>
      </c>
      <c r="O179" s="421">
        <v>0</v>
      </c>
      <c r="P179" s="421">
        <v>39.776211851873803</v>
      </c>
      <c r="Q179" s="421">
        <v>3.1941188921809198</v>
      </c>
      <c r="R179" s="421">
        <v>0</v>
      </c>
      <c r="S179" s="429">
        <v>47.302783399792602</v>
      </c>
      <c r="T179" s="412"/>
    </row>
    <row r="180" spans="2:20" ht="13.5">
      <c r="B180" s="412"/>
      <c r="C180" s="424" t="s">
        <v>77</v>
      </c>
      <c r="D180" s="425">
        <v>28.520947053925902</v>
      </c>
      <c r="E180" s="425">
        <v>543.58592423347204</v>
      </c>
      <c r="F180" s="425">
        <v>-508.93767518130198</v>
      </c>
      <c r="G180" s="425">
        <v>49.115888378784597</v>
      </c>
      <c r="H180" s="425">
        <v>1190.9090909090901</v>
      </c>
      <c r="I180" s="425">
        <v>180.08</v>
      </c>
      <c r="J180" s="425">
        <v>87.733366191841498</v>
      </c>
      <c r="K180" s="425">
        <v>20.0483560559815</v>
      </c>
      <c r="L180" s="425">
        <v>-39.643425012233699</v>
      </c>
      <c r="M180" s="425">
        <v>-6.3050384103897796</v>
      </c>
      <c r="N180" s="425">
        <v>0</v>
      </c>
      <c r="O180" s="425">
        <v>2.2569028606256798</v>
      </c>
      <c r="P180" s="425">
        <v>-521.12452924788101</v>
      </c>
      <c r="Q180" s="425">
        <v>-38.025224906915703</v>
      </c>
      <c r="R180" s="425">
        <v>-0.59737347696334098</v>
      </c>
      <c r="S180" s="425">
        <v>987.61720944803699</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6.4636113960439099</v>
      </c>
      <c r="E182" s="421">
        <v>0</v>
      </c>
      <c r="F182" s="421">
        <v>24.862596272257498</v>
      </c>
      <c r="G182" s="421">
        <v>103.286678516522</v>
      </c>
      <c r="H182" s="421">
        <v>0</v>
      </c>
      <c r="I182" s="421">
        <v>0</v>
      </c>
      <c r="J182" s="421">
        <v>17.262400786113901</v>
      </c>
      <c r="K182" s="421">
        <v>4.2879481993268298</v>
      </c>
      <c r="L182" s="421">
        <v>0.86540506640625003</v>
      </c>
      <c r="M182" s="421">
        <v>2.1078913982963701</v>
      </c>
      <c r="N182" s="421">
        <v>0</v>
      </c>
      <c r="O182" s="421">
        <v>0</v>
      </c>
      <c r="P182" s="421">
        <v>104.034829447817</v>
      </c>
      <c r="Q182" s="421">
        <v>17.743069184880099</v>
      </c>
      <c r="R182" s="421">
        <v>0.24659825134277299</v>
      </c>
      <c r="S182" s="429">
        <v>281.161028519007</v>
      </c>
      <c r="T182" s="412"/>
    </row>
    <row r="183" spans="2:20" ht="13.5">
      <c r="B183" s="412"/>
      <c r="C183" s="428" t="s">
        <v>79</v>
      </c>
      <c r="D183" s="421">
        <v>0</v>
      </c>
      <c r="E183" s="421">
        <v>0</v>
      </c>
      <c r="F183" s="421">
        <v>321.54604576234499</v>
      </c>
      <c r="G183" s="421">
        <v>14.6585371734768</v>
      </c>
      <c r="H183" s="421">
        <v>0</v>
      </c>
      <c r="I183" s="421">
        <v>0</v>
      </c>
      <c r="J183" s="421">
        <v>0</v>
      </c>
      <c r="K183" s="421">
        <v>0</v>
      </c>
      <c r="L183" s="421">
        <v>32.583257192898799</v>
      </c>
      <c r="M183" s="421">
        <v>0.29915381986687301</v>
      </c>
      <c r="N183" s="421">
        <v>0</v>
      </c>
      <c r="O183" s="421">
        <v>0</v>
      </c>
      <c r="P183" s="421">
        <v>28.950215384778598</v>
      </c>
      <c r="Q183" s="421">
        <v>0</v>
      </c>
      <c r="R183" s="421">
        <v>0.35077522562056701</v>
      </c>
      <c r="S183" s="429">
        <v>398.38798455898598</v>
      </c>
      <c r="T183" s="412"/>
    </row>
    <row r="184" spans="2:20" ht="13.5">
      <c r="B184" s="412"/>
      <c r="C184" s="428" t="s">
        <v>80</v>
      </c>
      <c r="D184" s="421">
        <v>0</v>
      </c>
      <c r="E184" s="421">
        <v>0</v>
      </c>
      <c r="F184" s="421">
        <v>31.599343880465799</v>
      </c>
      <c r="G184" s="421">
        <v>123.533868616082</v>
      </c>
      <c r="H184" s="421">
        <v>0</v>
      </c>
      <c r="I184" s="421">
        <v>0</v>
      </c>
      <c r="J184" s="421">
        <v>73.364360274729606</v>
      </c>
      <c r="K184" s="421">
        <v>0</v>
      </c>
      <c r="L184" s="421">
        <v>0</v>
      </c>
      <c r="M184" s="421">
        <v>2.5210993595118798</v>
      </c>
      <c r="N184" s="421">
        <v>40.465242847391998</v>
      </c>
      <c r="O184" s="421">
        <v>0.96354458163837398</v>
      </c>
      <c r="P184" s="421">
        <v>172.02951616182</v>
      </c>
      <c r="Q184" s="421">
        <v>15.8854874881395</v>
      </c>
      <c r="R184" s="421">
        <v>0</v>
      </c>
      <c r="S184" s="429">
        <v>460.36246320978</v>
      </c>
      <c r="T184" s="412"/>
    </row>
    <row r="185" spans="2:20" ht="13.5">
      <c r="B185" s="412"/>
      <c r="C185" s="428" t="s">
        <v>81</v>
      </c>
      <c r="D185" s="421">
        <v>0</v>
      </c>
      <c r="E185" s="421">
        <v>0</v>
      </c>
      <c r="F185" s="421">
        <v>12.841746374836999</v>
      </c>
      <c r="G185" s="421">
        <v>63.9169870655954</v>
      </c>
      <c r="H185" s="421">
        <v>0</v>
      </c>
      <c r="I185" s="421">
        <v>0</v>
      </c>
      <c r="J185" s="421">
        <v>3.6156884784133001</v>
      </c>
      <c r="K185" s="421">
        <v>0</v>
      </c>
      <c r="L185" s="421">
        <v>0</v>
      </c>
      <c r="M185" s="421">
        <v>1.30442830746113</v>
      </c>
      <c r="N185" s="421">
        <v>6.9396973956126802</v>
      </c>
      <c r="O185" s="421">
        <v>0.83843410837959897</v>
      </c>
      <c r="P185" s="421">
        <v>129.63895161426501</v>
      </c>
      <c r="Q185" s="421">
        <v>4.3966682338961798</v>
      </c>
      <c r="R185" s="421">
        <v>0</v>
      </c>
      <c r="S185" s="429">
        <v>223.49260157846101</v>
      </c>
      <c r="T185" s="412"/>
    </row>
    <row r="186" spans="2:20" ht="13.5">
      <c r="B186" s="412"/>
      <c r="C186" s="428" t="s">
        <v>82</v>
      </c>
      <c r="D186" s="421">
        <v>0</v>
      </c>
      <c r="E186" s="421">
        <v>0</v>
      </c>
      <c r="F186" s="421">
        <v>26.373605719731</v>
      </c>
      <c r="G186" s="421">
        <v>3.55081073742303</v>
      </c>
      <c r="H186" s="421">
        <v>0</v>
      </c>
      <c r="I186" s="421">
        <v>0</v>
      </c>
      <c r="J186" s="421">
        <v>0.72327594399272899</v>
      </c>
      <c r="K186" s="421">
        <v>0</v>
      </c>
      <c r="L186" s="421">
        <v>5.3620752079163996</v>
      </c>
      <c r="M186" s="421">
        <v>7.2465525253531296E-2</v>
      </c>
      <c r="N186" s="421">
        <v>0</v>
      </c>
      <c r="O186" s="421">
        <v>8.4265288301735505E-2</v>
      </c>
      <c r="P186" s="421">
        <v>8.1808463616144707</v>
      </c>
      <c r="Q186" s="421">
        <v>0</v>
      </c>
      <c r="R186" s="421">
        <v>0</v>
      </c>
      <c r="S186" s="429">
        <v>44.347344784232902</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ht="13.5">
      <c r="B188" s="412"/>
      <c r="C188" s="424" t="s">
        <v>83</v>
      </c>
      <c r="D188" s="425">
        <v>6.4636113960439099</v>
      </c>
      <c r="E188" s="425">
        <v>0</v>
      </c>
      <c r="F188" s="425">
        <v>417.223338009636</v>
      </c>
      <c r="G188" s="425">
        <v>308.94688210909902</v>
      </c>
      <c r="H188" s="425">
        <v>0</v>
      </c>
      <c r="I188" s="425">
        <v>0</v>
      </c>
      <c r="J188" s="425">
        <v>94.9657254832495</v>
      </c>
      <c r="K188" s="425">
        <v>4.2879481993268298</v>
      </c>
      <c r="L188" s="425">
        <v>38.810737467221401</v>
      </c>
      <c r="M188" s="425">
        <v>6.3050384103897796</v>
      </c>
      <c r="N188" s="425">
        <v>47.404940243004702</v>
      </c>
      <c r="O188" s="425">
        <v>1.88624397831971</v>
      </c>
      <c r="P188" s="425">
        <v>442.83435897029602</v>
      </c>
      <c r="Q188" s="425">
        <v>38.025224906915703</v>
      </c>
      <c r="R188" s="425">
        <v>0.59737347696334098</v>
      </c>
      <c r="S188" s="425">
        <v>1407.75142265047</v>
      </c>
      <c r="T188" s="412"/>
    </row>
    <row r="189" spans="2:20" ht="13.5">
      <c r="B189" s="412"/>
      <c r="C189" s="420" t="s">
        <v>84</v>
      </c>
      <c r="D189" s="421">
        <v>2.3548642578124999</v>
      </c>
      <c r="E189" s="421">
        <v>0</v>
      </c>
      <c r="F189" s="421">
        <v>138.09302758285801</v>
      </c>
      <c r="G189" s="421">
        <v>12.626811737538199</v>
      </c>
      <c r="H189" s="421">
        <v>0</v>
      </c>
      <c r="I189" s="421">
        <v>0</v>
      </c>
      <c r="J189" s="421">
        <v>0</v>
      </c>
      <c r="K189" s="421">
        <v>0</v>
      </c>
      <c r="L189" s="421">
        <v>0</v>
      </c>
      <c r="M189" s="421">
        <v>0</v>
      </c>
      <c r="N189" s="421">
        <v>0</v>
      </c>
      <c r="O189" s="421">
        <v>0</v>
      </c>
      <c r="P189" s="421">
        <v>0</v>
      </c>
      <c r="Q189" s="421">
        <v>0</v>
      </c>
      <c r="R189" s="421">
        <v>0</v>
      </c>
      <c r="S189" s="429">
        <v>153.07470357820799</v>
      </c>
      <c r="T189" s="412"/>
    </row>
    <row r="190" spans="2:20" ht="13.5">
      <c r="B190" s="412"/>
      <c r="C190" s="424" t="s">
        <v>85</v>
      </c>
      <c r="D190" s="425">
        <v>8.8184756538564102</v>
      </c>
      <c r="E190" s="425">
        <v>0</v>
      </c>
      <c r="F190" s="425">
        <v>555.31636559249398</v>
      </c>
      <c r="G190" s="425">
        <v>321.57369384663798</v>
      </c>
      <c r="H190" s="425">
        <v>0</v>
      </c>
      <c r="I190" s="425">
        <v>0</v>
      </c>
      <c r="J190" s="425">
        <v>94.9657254832495</v>
      </c>
      <c r="K190" s="425">
        <v>4.2879481993268298</v>
      </c>
      <c r="L190" s="425">
        <v>38.810737467221401</v>
      </c>
      <c r="M190" s="425">
        <v>6.3050384103897796</v>
      </c>
      <c r="N190" s="425">
        <v>47.404940243004702</v>
      </c>
      <c r="O190" s="425">
        <v>1.88624397831971</v>
      </c>
      <c r="P190" s="425">
        <v>442.83435897029602</v>
      </c>
      <c r="Q190" s="425">
        <v>38.025224906915703</v>
      </c>
      <c r="R190" s="425">
        <v>0.59737347696334098</v>
      </c>
      <c r="S190" s="425">
        <v>1560.8261262286801</v>
      </c>
      <c r="T190" s="412"/>
    </row>
    <row r="191" spans="2:20">
      <c r="B191" s="412"/>
      <c r="C191" s="412"/>
      <c r="D191" s="430">
        <f t="shared" ref="D191:S191" si="12">D190+D180-D166</f>
        <v>0</v>
      </c>
      <c r="E191" s="430">
        <f t="shared" si="12"/>
        <v>0</v>
      </c>
      <c r="F191" s="430">
        <f t="shared" si="12"/>
        <v>-4.0500935938325711E-13</v>
      </c>
      <c r="G191" s="430">
        <f t="shared" si="12"/>
        <v>5.6843418860808015E-13</v>
      </c>
      <c r="H191" s="430">
        <f t="shared" si="12"/>
        <v>0</v>
      </c>
      <c r="I191" s="430">
        <f t="shared" si="12"/>
        <v>0</v>
      </c>
      <c r="J191" s="430">
        <f t="shared" si="12"/>
        <v>0</v>
      </c>
      <c r="K191" s="430">
        <f t="shared" si="12"/>
        <v>3.1974423109204508E-14</v>
      </c>
      <c r="L191" s="430">
        <f t="shared" si="12"/>
        <v>-1.3322676295501878E-14</v>
      </c>
      <c r="M191" s="430">
        <f t="shared" si="12"/>
        <v>0</v>
      </c>
      <c r="N191" s="430">
        <f t="shared" si="12"/>
        <v>0</v>
      </c>
      <c r="O191" s="430">
        <f t="shared" si="12"/>
        <v>0</v>
      </c>
      <c r="P191" s="430">
        <f t="shared" si="12"/>
        <v>0</v>
      </c>
      <c r="Q191" s="430">
        <f t="shared" si="12"/>
        <v>0</v>
      </c>
      <c r="R191" s="430">
        <f t="shared" si="12"/>
        <v>0</v>
      </c>
      <c r="S191" s="430">
        <f t="shared" si="12"/>
        <v>7.2759576141834259E-12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360</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7.3966799999999999</v>
      </c>
      <c r="F197" s="421">
        <v>0</v>
      </c>
      <c r="G197" s="421">
        <v>0.13025600000000001</v>
      </c>
      <c r="H197" s="422">
        <v>1121.3636363636399</v>
      </c>
      <c r="I197" s="422">
        <v>204.83</v>
      </c>
      <c r="J197" s="422">
        <v>181.32702192976799</v>
      </c>
      <c r="K197" s="422">
        <v>23.929538630329802</v>
      </c>
      <c r="L197" s="421">
        <v>0</v>
      </c>
      <c r="M197" s="421">
        <v>0</v>
      </c>
      <c r="N197" s="422">
        <v>51.218112395264598</v>
      </c>
      <c r="O197" s="422">
        <v>4.1137123082446401</v>
      </c>
      <c r="P197" s="421">
        <v>0</v>
      </c>
      <c r="Q197" s="421">
        <v>0</v>
      </c>
      <c r="R197" s="421">
        <v>0</v>
      </c>
      <c r="S197" s="423">
        <v>1594.30895762724</v>
      </c>
      <c r="T197" s="412"/>
    </row>
    <row r="198" spans="2:20" ht="13.5">
      <c r="B198" s="412"/>
      <c r="C198" s="420" t="s">
        <v>60</v>
      </c>
      <c r="D198" s="421">
        <v>35.895169375746498</v>
      </c>
      <c r="E198" s="421">
        <v>524.37115290345105</v>
      </c>
      <c r="F198" s="421">
        <v>114.332913340551</v>
      </c>
      <c r="G198" s="421">
        <v>371.94967802814801</v>
      </c>
      <c r="H198" s="421">
        <v>0</v>
      </c>
      <c r="I198" s="421">
        <v>0</v>
      </c>
      <c r="J198" s="421">
        <v>0</v>
      </c>
      <c r="K198" s="421">
        <v>0</v>
      </c>
      <c r="L198" s="421">
        <v>0</v>
      </c>
      <c r="M198" s="421">
        <v>0</v>
      </c>
      <c r="N198" s="421">
        <v>0</v>
      </c>
      <c r="O198" s="421">
        <v>0</v>
      </c>
      <c r="P198" s="421">
        <v>0</v>
      </c>
      <c r="Q198" s="421">
        <v>0</v>
      </c>
      <c r="R198" s="421">
        <v>0</v>
      </c>
      <c r="S198" s="423">
        <v>1046.5489136479</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-63.764232482267403</v>
      </c>
      <c r="Q199" s="421">
        <v>0</v>
      </c>
      <c r="R199" s="421">
        <v>0</v>
      </c>
      <c r="S199" s="423">
        <v>-63.764232482267403</v>
      </c>
      <c r="T199" s="412"/>
    </row>
    <row r="200" spans="2:20" ht="13.5">
      <c r="B200" s="412"/>
      <c r="C200" s="420" t="s">
        <v>62</v>
      </c>
      <c r="D200" s="421">
        <v>0</v>
      </c>
      <c r="E200" s="421">
        <v>0</v>
      </c>
      <c r="F200" s="421">
        <v>-16.3524327500959</v>
      </c>
      <c r="G200" s="421">
        <v>0</v>
      </c>
      <c r="H200" s="421">
        <v>0</v>
      </c>
      <c r="I200" s="421">
        <v>0</v>
      </c>
      <c r="J200" s="421">
        <v>0</v>
      </c>
      <c r="K200" s="421">
        <v>0</v>
      </c>
      <c r="L200" s="421">
        <v>0</v>
      </c>
      <c r="M200" s="421">
        <v>0</v>
      </c>
      <c r="N200" s="421">
        <v>0</v>
      </c>
      <c r="O200" s="421">
        <v>0</v>
      </c>
      <c r="P200" s="421">
        <v>0</v>
      </c>
      <c r="Q200" s="421">
        <v>0</v>
      </c>
      <c r="R200" s="421">
        <v>0</v>
      </c>
      <c r="S200" s="423">
        <v>-16.3524327500959</v>
      </c>
      <c r="T200" s="412"/>
    </row>
    <row r="201" spans="2:20" ht="13.5">
      <c r="B201" s="412"/>
      <c r="C201" s="420" t="s">
        <v>63</v>
      </c>
      <c r="D201" s="421">
        <v>0</v>
      </c>
      <c r="E201" s="421">
        <v>0</v>
      </c>
      <c r="F201" s="421">
        <v>-82.072762113811194</v>
      </c>
      <c r="G201" s="421">
        <v>0</v>
      </c>
      <c r="H201" s="421">
        <v>0</v>
      </c>
      <c r="I201" s="421">
        <v>0</v>
      </c>
      <c r="J201" s="421">
        <v>0</v>
      </c>
      <c r="K201" s="421">
        <v>0</v>
      </c>
      <c r="L201" s="421">
        <v>-0.84850040331290999</v>
      </c>
      <c r="M201" s="421">
        <v>0</v>
      </c>
      <c r="N201" s="421">
        <v>0</v>
      </c>
      <c r="O201" s="421">
        <v>0</v>
      </c>
      <c r="P201" s="421">
        <v>0</v>
      </c>
      <c r="Q201" s="421">
        <v>0</v>
      </c>
      <c r="R201" s="421">
        <v>0</v>
      </c>
      <c r="S201" s="423">
        <v>-82.921262517124106</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35.895169375746498</v>
      </c>
      <c r="E203" s="425">
        <v>531.76783290345099</v>
      </c>
      <c r="F203" s="425">
        <v>15.907718476643501</v>
      </c>
      <c r="G203" s="425">
        <v>372.07993402814799</v>
      </c>
      <c r="H203" s="425">
        <v>1121.3636363636399</v>
      </c>
      <c r="I203" s="425">
        <v>204.83</v>
      </c>
      <c r="J203" s="425">
        <v>181.32702192976799</v>
      </c>
      <c r="K203" s="425">
        <v>23.929538630329802</v>
      </c>
      <c r="L203" s="425">
        <v>-0.84850040331290999</v>
      </c>
      <c r="M203" s="425">
        <v>0</v>
      </c>
      <c r="N203" s="425">
        <v>51.218112395264598</v>
      </c>
      <c r="O203" s="425">
        <v>4.1137123082446401</v>
      </c>
      <c r="P203" s="425">
        <v>-63.764232482267403</v>
      </c>
      <c r="Q203" s="425">
        <v>0</v>
      </c>
      <c r="R203" s="425">
        <v>0</v>
      </c>
      <c r="S203" s="425">
        <v>2477.8199435256502</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2.2004707355665598</v>
      </c>
      <c r="E206" s="421">
        <v>0</v>
      </c>
      <c r="F206" s="421">
        <v>3.8636363636363602</v>
      </c>
      <c r="G206" s="421">
        <v>19.3842302630087</v>
      </c>
      <c r="H206" s="421">
        <v>1121.3636363636399</v>
      </c>
      <c r="I206" s="421">
        <v>204.83</v>
      </c>
      <c r="J206" s="421">
        <v>25.6968541009532</v>
      </c>
      <c r="K206" s="421">
        <v>6.9082981230435703</v>
      </c>
      <c r="L206" s="421">
        <v>0</v>
      </c>
      <c r="M206" s="421">
        <v>0.39559653597976902</v>
      </c>
      <c r="N206" s="421">
        <v>0</v>
      </c>
      <c r="O206" s="421">
        <v>0</v>
      </c>
      <c r="P206" s="421">
        <v>-598.30725344043606</v>
      </c>
      <c r="Q206" s="421">
        <v>0</v>
      </c>
      <c r="R206" s="421">
        <v>0</v>
      </c>
      <c r="S206" s="429">
        <v>786.335469045389</v>
      </c>
      <c r="T206" s="412"/>
    </row>
    <row r="207" spans="2:20" ht="13.5">
      <c r="B207" s="412"/>
      <c r="C207" s="428" t="s">
        <v>351</v>
      </c>
      <c r="D207" s="421">
        <v>0</v>
      </c>
      <c r="E207" s="421">
        <v>0</v>
      </c>
      <c r="F207" s="421">
        <v>0</v>
      </c>
      <c r="G207" s="421">
        <v>17.221606845423</v>
      </c>
      <c r="H207" s="421">
        <v>0</v>
      </c>
      <c r="I207" s="421">
        <v>0</v>
      </c>
      <c r="J207" s="421">
        <v>12.908782164778099</v>
      </c>
      <c r="K207" s="421">
        <v>12.746985757209</v>
      </c>
      <c r="L207" s="421">
        <v>0</v>
      </c>
      <c r="M207" s="421">
        <v>0.351461364192306</v>
      </c>
      <c r="N207" s="421">
        <v>0</v>
      </c>
      <c r="O207" s="421">
        <v>2.2502067182143302</v>
      </c>
      <c r="P207" s="421">
        <v>0</v>
      </c>
      <c r="Q207" s="421">
        <v>-41.107741425574098</v>
      </c>
      <c r="R207" s="421">
        <v>0</v>
      </c>
      <c r="S207" s="429">
        <v>4.3713014242427501</v>
      </c>
      <c r="T207" s="412"/>
    </row>
    <row r="208" spans="2:20" ht="13.5">
      <c r="B208" s="412"/>
      <c r="C208" s="428" t="s">
        <v>352</v>
      </c>
      <c r="D208" s="421">
        <v>0</v>
      </c>
      <c r="E208" s="421">
        <v>0</v>
      </c>
      <c r="F208" s="421">
        <v>0</v>
      </c>
      <c r="G208" s="421">
        <v>0</v>
      </c>
      <c r="H208" s="421">
        <v>0</v>
      </c>
      <c r="I208" s="421">
        <v>0</v>
      </c>
      <c r="J208" s="421">
        <v>8.3133555663813503</v>
      </c>
      <c r="K208" s="421">
        <v>0</v>
      </c>
      <c r="L208" s="421">
        <v>0</v>
      </c>
      <c r="M208" s="421">
        <v>-7.3386146262231398</v>
      </c>
      <c r="N208" s="421">
        <v>0</v>
      </c>
      <c r="O208" s="421">
        <v>0</v>
      </c>
      <c r="P208" s="421">
        <v>0</v>
      </c>
      <c r="Q208" s="421">
        <v>0</v>
      </c>
      <c r="R208" s="421">
        <v>0</v>
      </c>
      <c r="S208" s="429">
        <v>0.974740940158213</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550.85495716936998</v>
      </c>
      <c r="F210" s="421">
        <v>-545.34640759767603</v>
      </c>
      <c r="G210" s="421">
        <v>0</v>
      </c>
      <c r="H210" s="421">
        <v>0</v>
      </c>
      <c r="I210" s="421">
        <v>0</v>
      </c>
      <c r="J210" s="421">
        <v>0</v>
      </c>
      <c r="K210" s="421">
        <v>0</v>
      </c>
      <c r="L210" s="421">
        <v>0</v>
      </c>
      <c r="M210" s="421">
        <v>0</v>
      </c>
      <c r="N210" s="421">
        <v>0</v>
      </c>
      <c r="O210" s="421">
        <v>0</v>
      </c>
      <c r="P210" s="421">
        <v>0</v>
      </c>
      <c r="Q210" s="421">
        <v>0</v>
      </c>
      <c r="R210" s="421">
        <v>0</v>
      </c>
      <c r="S210" s="429">
        <v>5.5085495716937203</v>
      </c>
      <c r="T210" s="412"/>
    </row>
    <row r="211" spans="2:20" ht="13.5">
      <c r="B211" s="412"/>
      <c r="C211" s="428" t="s">
        <v>354</v>
      </c>
      <c r="D211" s="421">
        <v>0</v>
      </c>
      <c r="E211" s="421">
        <v>0</v>
      </c>
      <c r="F211" s="421">
        <v>0</v>
      </c>
      <c r="G211" s="421">
        <v>0</v>
      </c>
      <c r="H211" s="421">
        <v>0</v>
      </c>
      <c r="I211" s="421">
        <v>0</v>
      </c>
      <c r="J211" s="421">
        <v>39.093854884301599</v>
      </c>
      <c r="K211" s="421">
        <v>0</v>
      </c>
      <c r="L211" s="421">
        <v>-39.093854884301599</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-0.17691580225894701</v>
      </c>
      <c r="M212" s="421">
        <v>0</v>
      </c>
      <c r="N212" s="421">
        <v>0</v>
      </c>
      <c r="O212" s="421">
        <v>0</v>
      </c>
      <c r="P212" s="421">
        <v>0</v>
      </c>
      <c r="Q212" s="421">
        <v>0</v>
      </c>
      <c r="R212" s="421">
        <v>0.25273686036992499</v>
      </c>
      <c r="S212" s="429">
        <v>7.5821058110977502E-2</v>
      </c>
      <c r="T212" s="412"/>
    </row>
    <row r="213" spans="2:20" ht="13.5">
      <c r="B213" s="412"/>
      <c r="C213" s="428" t="s">
        <v>73</v>
      </c>
      <c r="D213" s="421">
        <v>0</v>
      </c>
      <c r="E213" s="421">
        <v>0</v>
      </c>
      <c r="F213" s="421">
        <v>0</v>
      </c>
      <c r="G213" s="421">
        <v>1.8824761736884601</v>
      </c>
      <c r="H213" s="421">
        <v>0</v>
      </c>
      <c r="I213" s="421">
        <v>0</v>
      </c>
      <c r="J213" s="421">
        <v>0</v>
      </c>
      <c r="K213" s="421">
        <v>2.1248828039647599E-2</v>
      </c>
      <c r="L213" s="421">
        <v>0</v>
      </c>
      <c r="M213" s="421">
        <v>3.8417881095682803E-2</v>
      </c>
      <c r="N213" s="421">
        <v>0</v>
      </c>
      <c r="O213" s="421">
        <v>0</v>
      </c>
      <c r="P213" s="421">
        <v>0.19366834943024799</v>
      </c>
      <c r="Q213" s="421">
        <v>0</v>
      </c>
      <c r="R213" s="421">
        <v>-1.4874179627753299</v>
      </c>
      <c r="S213" s="429">
        <v>0.64839326947870701</v>
      </c>
      <c r="T213" s="412"/>
    </row>
    <row r="214" spans="2:20" ht="13.5">
      <c r="B214" s="412"/>
      <c r="C214" s="428" t="s">
        <v>356</v>
      </c>
      <c r="D214" s="421">
        <v>15.374535156249999</v>
      </c>
      <c r="E214" s="421">
        <v>-19.0871242659187</v>
      </c>
      <c r="F214" s="421">
        <v>24.964831154950399</v>
      </c>
      <c r="G214" s="421">
        <v>0</v>
      </c>
      <c r="H214" s="421">
        <v>0</v>
      </c>
      <c r="I214" s="421">
        <v>0</v>
      </c>
      <c r="J214" s="421">
        <v>0</v>
      </c>
      <c r="K214" s="421">
        <v>0</v>
      </c>
      <c r="L214" s="421">
        <v>0</v>
      </c>
      <c r="M214" s="421">
        <v>0</v>
      </c>
      <c r="N214" s="421">
        <v>0</v>
      </c>
      <c r="O214" s="421">
        <v>0</v>
      </c>
      <c r="P214" s="421">
        <v>0</v>
      </c>
      <c r="Q214" s="421">
        <v>0</v>
      </c>
      <c r="R214" s="421">
        <v>0</v>
      </c>
      <c r="S214" s="429">
        <v>21.252242045281701</v>
      </c>
      <c r="T214" s="412"/>
    </row>
    <row r="215" spans="2:20" ht="13.5">
      <c r="B215" s="412"/>
      <c r="C215" s="428" t="s">
        <v>75</v>
      </c>
      <c r="D215" s="421">
        <v>10.0084814453125</v>
      </c>
      <c r="E215" s="421">
        <v>0</v>
      </c>
      <c r="F215" s="421">
        <v>18.729068543758601</v>
      </c>
      <c r="G215" s="421">
        <v>5.3443947944572301</v>
      </c>
      <c r="H215" s="421">
        <v>0</v>
      </c>
      <c r="I215" s="421">
        <v>0</v>
      </c>
      <c r="J215" s="421">
        <v>0</v>
      </c>
      <c r="K215" s="421">
        <v>0</v>
      </c>
      <c r="L215" s="421">
        <v>0</v>
      </c>
      <c r="M215" s="421">
        <v>0.109069281519535</v>
      </c>
      <c r="N215" s="421">
        <v>0</v>
      </c>
      <c r="O215" s="421">
        <v>0</v>
      </c>
      <c r="P215" s="421">
        <v>34.584089944749103</v>
      </c>
      <c r="Q215" s="421">
        <v>0</v>
      </c>
      <c r="R215" s="421">
        <v>0</v>
      </c>
      <c r="S215" s="429">
        <v>68.775104009796905</v>
      </c>
      <c r="T215" s="412"/>
    </row>
    <row r="216" spans="2:20" ht="13.5">
      <c r="B216" s="412"/>
      <c r="C216" s="428" t="s">
        <v>76</v>
      </c>
      <c r="D216" s="421">
        <v>0</v>
      </c>
      <c r="E216" s="421">
        <v>0</v>
      </c>
      <c r="F216" s="421">
        <v>0</v>
      </c>
      <c r="G216" s="421">
        <v>4.2639381425091001</v>
      </c>
      <c r="H216" s="421">
        <v>0</v>
      </c>
      <c r="I216" s="421">
        <v>0</v>
      </c>
      <c r="J216" s="421">
        <v>0</v>
      </c>
      <c r="K216" s="421">
        <v>0</v>
      </c>
      <c r="L216" s="421">
        <v>0</v>
      </c>
      <c r="M216" s="421">
        <v>8.7019145765491801E-2</v>
      </c>
      <c r="N216" s="421">
        <v>0</v>
      </c>
      <c r="O216" s="421">
        <v>0</v>
      </c>
      <c r="P216" s="421">
        <v>40.966824320893799</v>
      </c>
      <c r="Q216" s="421">
        <v>3.1854707377751099</v>
      </c>
      <c r="R216" s="421">
        <v>0</v>
      </c>
      <c r="S216" s="429">
        <v>48.503252346943498</v>
      </c>
      <c r="T216" s="412"/>
    </row>
    <row r="217" spans="2:20" ht="13.5">
      <c r="B217" s="412"/>
      <c r="C217" s="424" t="s">
        <v>77</v>
      </c>
      <c r="D217" s="425">
        <v>27.5834873371291</v>
      </c>
      <c r="E217" s="425">
        <v>531.76783290345099</v>
      </c>
      <c r="F217" s="425">
        <v>-497.788871535331</v>
      </c>
      <c r="G217" s="425">
        <v>48.096646219086502</v>
      </c>
      <c r="H217" s="425">
        <v>1121.3636363636399</v>
      </c>
      <c r="I217" s="425">
        <v>204.83</v>
      </c>
      <c r="J217" s="425">
        <v>86.012846716414401</v>
      </c>
      <c r="K217" s="425">
        <v>19.676532708292299</v>
      </c>
      <c r="L217" s="425">
        <v>-39.270770686560603</v>
      </c>
      <c r="M217" s="425">
        <v>-6.3570504176703597</v>
      </c>
      <c r="N217" s="425">
        <v>0</v>
      </c>
      <c r="O217" s="425">
        <v>2.2502067182143302</v>
      </c>
      <c r="P217" s="425">
        <v>-522.56267082536306</v>
      </c>
      <c r="Q217" s="425">
        <v>-37.9222706877989</v>
      </c>
      <c r="R217" s="425">
        <v>-1.2346811024054101</v>
      </c>
      <c r="S217" s="425">
        <v>936.44487371109506</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6.0139144604924599</v>
      </c>
      <c r="E219" s="421">
        <v>0</v>
      </c>
      <c r="F219" s="421">
        <v>23.633642469065599</v>
      </c>
      <c r="G219" s="421">
        <v>102.391084630545</v>
      </c>
      <c r="H219" s="421">
        <v>0</v>
      </c>
      <c r="I219" s="421">
        <v>0</v>
      </c>
      <c r="J219" s="421">
        <v>17.159172144595999</v>
      </c>
      <c r="K219" s="421">
        <v>4.25300592203756</v>
      </c>
      <c r="L219" s="421">
        <v>0.85978953515625001</v>
      </c>
      <c r="M219" s="421">
        <v>2.08961397205193</v>
      </c>
      <c r="N219" s="421">
        <v>0</v>
      </c>
      <c r="O219" s="421">
        <v>0</v>
      </c>
      <c r="P219" s="421">
        <v>105.422390190743</v>
      </c>
      <c r="Q219" s="421">
        <v>17.9038299201341</v>
      </c>
      <c r="R219" s="421">
        <v>0.246216918945312</v>
      </c>
      <c r="S219" s="429">
        <v>279.97266016376699</v>
      </c>
      <c r="T219" s="412"/>
    </row>
    <row r="220" spans="2:20" ht="13.5">
      <c r="B220" s="412"/>
      <c r="C220" s="428" t="s">
        <v>79</v>
      </c>
      <c r="D220" s="421">
        <v>0</v>
      </c>
      <c r="E220" s="421">
        <v>0</v>
      </c>
      <c r="F220" s="421">
        <v>291.75543836647398</v>
      </c>
      <c r="G220" s="421">
        <v>20.535297042062101</v>
      </c>
      <c r="H220" s="421">
        <v>0</v>
      </c>
      <c r="I220" s="421">
        <v>0</v>
      </c>
      <c r="J220" s="421">
        <v>0</v>
      </c>
      <c r="K220" s="421">
        <v>0</v>
      </c>
      <c r="L220" s="421">
        <v>29.571406958369401</v>
      </c>
      <c r="M220" s="421">
        <v>0.41908769473596202</v>
      </c>
      <c r="N220" s="421">
        <v>0</v>
      </c>
      <c r="O220" s="421">
        <v>0</v>
      </c>
      <c r="P220" s="421">
        <v>38.026089769837199</v>
      </c>
      <c r="Q220" s="421">
        <v>0</v>
      </c>
      <c r="R220" s="421">
        <v>0.81131136729798503</v>
      </c>
      <c r="S220" s="429">
        <v>381.118631198777</v>
      </c>
      <c r="T220" s="412"/>
    </row>
    <row r="221" spans="2:20" ht="13.5">
      <c r="B221" s="412"/>
      <c r="C221" s="428" t="s">
        <v>80</v>
      </c>
      <c r="D221" s="421">
        <v>0</v>
      </c>
      <c r="E221" s="421">
        <v>0</v>
      </c>
      <c r="F221" s="421">
        <v>27.220999009721101</v>
      </c>
      <c r="G221" s="421">
        <v>120.03161923866701</v>
      </c>
      <c r="H221" s="421">
        <v>0</v>
      </c>
      <c r="I221" s="421">
        <v>0</v>
      </c>
      <c r="J221" s="421">
        <v>73.643008497672298</v>
      </c>
      <c r="K221" s="421">
        <v>0</v>
      </c>
      <c r="L221" s="421">
        <v>0</v>
      </c>
      <c r="M221" s="421">
        <v>2.4496248824217699</v>
      </c>
      <c r="N221" s="421">
        <v>44.3894996556715</v>
      </c>
      <c r="O221" s="421">
        <v>0.96187754856444097</v>
      </c>
      <c r="P221" s="421">
        <v>174.81659309154401</v>
      </c>
      <c r="Q221" s="421">
        <v>15.741799933741699</v>
      </c>
      <c r="R221" s="421">
        <v>0</v>
      </c>
      <c r="S221" s="429">
        <v>459.255021858004</v>
      </c>
      <c r="T221" s="412"/>
    </row>
    <row r="222" spans="2:20" ht="13.5">
      <c r="B222" s="412"/>
      <c r="C222" s="428" t="s">
        <v>81</v>
      </c>
      <c r="D222" s="421">
        <v>0</v>
      </c>
      <c r="E222" s="421">
        <v>0</v>
      </c>
      <c r="F222" s="421">
        <v>11.206782837990801</v>
      </c>
      <c r="G222" s="421">
        <v>64.507568852564205</v>
      </c>
      <c r="H222" s="421">
        <v>0</v>
      </c>
      <c r="I222" s="421">
        <v>0</v>
      </c>
      <c r="J222" s="421">
        <v>3.55454723390908</v>
      </c>
      <c r="K222" s="421">
        <v>0</v>
      </c>
      <c r="L222" s="421">
        <v>0</v>
      </c>
      <c r="M222" s="421">
        <v>1.31648099699111</v>
      </c>
      <c r="N222" s="421">
        <v>6.82861273959311</v>
      </c>
      <c r="O222" s="421">
        <v>0.82092458334028295</v>
      </c>
      <c r="P222" s="421">
        <v>132.49225631372801</v>
      </c>
      <c r="Q222" s="421">
        <v>4.2766408339232003</v>
      </c>
      <c r="R222" s="421">
        <v>0</v>
      </c>
      <c r="S222" s="429">
        <v>225.00381439204</v>
      </c>
      <c r="T222" s="412"/>
    </row>
    <row r="223" spans="2:20" ht="13.5">
      <c r="B223" s="412"/>
      <c r="C223" s="428" t="s">
        <v>82</v>
      </c>
      <c r="D223" s="421">
        <v>0</v>
      </c>
      <c r="E223" s="421">
        <v>0</v>
      </c>
      <c r="F223" s="421">
        <v>21.8797075546779</v>
      </c>
      <c r="G223" s="421">
        <v>4.0299007020097699</v>
      </c>
      <c r="H223" s="421">
        <v>0</v>
      </c>
      <c r="I223" s="421">
        <v>0</v>
      </c>
      <c r="J223" s="421">
        <v>0.95744733717577402</v>
      </c>
      <c r="K223" s="421">
        <v>0</v>
      </c>
      <c r="L223" s="421">
        <v>7.9910737897220097</v>
      </c>
      <c r="M223" s="421">
        <v>8.2242871469587198E-2</v>
      </c>
      <c r="N223" s="421">
        <v>0</v>
      </c>
      <c r="O223" s="421">
        <v>8.0703458125589503E-2</v>
      </c>
      <c r="P223" s="421">
        <v>8.0411089772434305</v>
      </c>
      <c r="Q223" s="421">
        <v>0</v>
      </c>
      <c r="R223" s="421">
        <v>0</v>
      </c>
      <c r="S223" s="429">
        <v>43.062184690423997</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ht="13.5">
      <c r="B225" s="412"/>
      <c r="C225" s="424" t="s">
        <v>83</v>
      </c>
      <c r="D225" s="425">
        <v>6.0139144604924599</v>
      </c>
      <c r="E225" s="425">
        <v>0</v>
      </c>
      <c r="F225" s="425">
        <v>375.696570237929</v>
      </c>
      <c r="G225" s="425">
        <v>311.49547046584701</v>
      </c>
      <c r="H225" s="425">
        <v>0</v>
      </c>
      <c r="I225" s="425">
        <v>0</v>
      </c>
      <c r="J225" s="425">
        <v>95.314175213353096</v>
      </c>
      <c r="K225" s="425">
        <v>4.25300592203756</v>
      </c>
      <c r="L225" s="425">
        <v>38.422270283247698</v>
      </c>
      <c r="M225" s="425">
        <v>6.3570504176703597</v>
      </c>
      <c r="N225" s="425">
        <v>51.218112395264598</v>
      </c>
      <c r="O225" s="425">
        <v>1.8635055900303099</v>
      </c>
      <c r="P225" s="425">
        <v>458.798438343096</v>
      </c>
      <c r="Q225" s="425">
        <v>37.9222706877989</v>
      </c>
      <c r="R225" s="425">
        <v>1.0575282862433</v>
      </c>
      <c r="S225" s="425">
        <v>1388.4123123030099</v>
      </c>
      <c r="T225" s="412"/>
    </row>
    <row r="226" spans="2:20" ht="13.5">
      <c r="B226" s="412"/>
      <c r="C226" s="420" t="s">
        <v>84</v>
      </c>
      <c r="D226" s="421">
        <v>2.2977675781250002</v>
      </c>
      <c r="E226" s="421">
        <v>0</v>
      </c>
      <c r="F226" s="421">
        <v>138.000019774045</v>
      </c>
      <c r="G226" s="421">
        <v>12.487817343213999</v>
      </c>
      <c r="H226" s="421">
        <v>0</v>
      </c>
      <c r="I226" s="421">
        <v>0</v>
      </c>
      <c r="J226" s="421">
        <v>0</v>
      </c>
      <c r="K226" s="421">
        <v>0</v>
      </c>
      <c r="L226" s="421">
        <v>0</v>
      </c>
      <c r="M226" s="421">
        <v>0</v>
      </c>
      <c r="N226" s="421">
        <v>0</v>
      </c>
      <c r="O226" s="421">
        <v>0</v>
      </c>
      <c r="P226" s="421">
        <v>0</v>
      </c>
      <c r="Q226" s="421">
        <v>0</v>
      </c>
      <c r="R226" s="421">
        <v>0.17715281616210901</v>
      </c>
      <c r="S226" s="429">
        <v>152.96275751154599</v>
      </c>
      <c r="T226" s="412"/>
    </row>
    <row r="227" spans="2:20" ht="13.5">
      <c r="B227" s="412"/>
      <c r="C227" s="424" t="s">
        <v>85</v>
      </c>
      <c r="D227" s="425">
        <v>8.3116820386174606</v>
      </c>
      <c r="E227" s="425">
        <v>0</v>
      </c>
      <c r="F227" s="425">
        <v>513.69659001197397</v>
      </c>
      <c r="G227" s="425">
        <v>323.98328780906098</v>
      </c>
      <c r="H227" s="425">
        <v>0</v>
      </c>
      <c r="I227" s="425">
        <v>0</v>
      </c>
      <c r="J227" s="425">
        <v>95.314175213353195</v>
      </c>
      <c r="K227" s="425">
        <v>4.25300592203756</v>
      </c>
      <c r="L227" s="425">
        <v>38.422270283247698</v>
      </c>
      <c r="M227" s="425">
        <v>6.3570504176703597</v>
      </c>
      <c r="N227" s="425">
        <v>51.218112395264598</v>
      </c>
      <c r="O227" s="425">
        <v>1.8635055900303099</v>
      </c>
      <c r="P227" s="425">
        <v>458.798438343096</v>
      </c>
      <c r="Q227" s="425">
        <v>37.9222706877989</v>
      </c>
      <c r="R227" s="425">
        <v>1.2346811024054101</v>
      </c>
      <c r="S227" s="425">
        <v>1541.37506981456</v>
      </c>
      <c r="T227" s="412"/>
    </row>
    <row r="228" spans="2:20">
      <c r="B228" s="412"/>
      <c r="C228" s="412"/>
      <c r="D228" s="430">
        <f t="shared" ref="D228:S228" si="13">D227+D217-D203</f>
        <v>6.3948846218409017E-14</v>
      </c>
      <c r="E228" s="430">
        <f t="shared" si="13"/>
        <v>0</v>
      </c>
      <c r="F228" s="430">
        <f t="shared" si="13"/>
        <v>-5.3113069498067489E-13</v>
      </c>
      <c r="G228" s="430">
        <f t="shared" si="13"/>
        <v>-5.1159076974727213E-13</v>
      </c>
      <c r="H228" s="430">
        <f t="shared" si="13"/>
        <v>0</v>
      </c>
      <c r="I228" s="430">
        <f t="shared" si="13"/>
        <v>0</v>
      </c>
      <c r="J228" s="430">
        <f t="shared" si="13"/>
        <v>-3.979039320256561E-13</v>
      </c>
      <c r="K228" s="430">
        <f t="shared" si="13"/>
        <v>5.6843418860808015E-14</v>
      </c>
      <c r="L228" s="430">
        <f t="shared" si="13"/>
        <v>5.5511151231257827E-15</v>
      </c>
      <c r="M228" s="430">
        <f t="shared" si="13"/>
        <v>0</v>
      </c>
      <c r="N228" s="430">
        <f t="shared" si="13"/>
        <v>0</v>
      </c>
      <c r="O228" s="430">
        <f t="shared" si="13"/>
        <v>0</v>
      </c>
      <c r="P228" s="430">
        <f t="shared" si="13"/>
        <v>3.4106051316484809E-13</v>
      </c>
      <c r="Q228" s="430">
        <f t="shared" si="13"/>
        <v>0</v>
      </c>
      <c r="R228" s="430">
        <f t="shared" si="13"/>
        <v>0</v>
      </c>
      <c r="S228" s="430">
        <f t="shared" si="13"/>
        <v>5.0022208597511053E-12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361</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5.8150000000000004</v>
      </c>
      <c r="F234" s="421">
        <v>0</v>
      </c>
      <c r="G234" s="421">
        <v>9.3039999999999998E-2</v>
      </c>
      <c r="H234" s="422">
        <v>1075</v>
      </c>
      <c r="I234" s="422">
        <v>221.33</v>
      </c>
      <c r="J234" s="422">
        <v>180.617309805269</v>
      </c>
      <c r="K234" s="422">
        <v>23.667602138393399</v>
      </c>
      <c r="L234" s="421">
        <v>0</v>
      </c>
      <c r="M234" s="421">
        <v>0</v>
      </c>
      <c r="N234" s="422">
        <v>53.883302871721199</v>
      </c>
      <c r="O234" s="422">
        <v>4.0937306138358602</v>
      </c>
      <c r="P234" s="421">
        <v>0</v>
      </c>
      <c r="Q234" s="421">
        <v>0</v>
      </c>
      <c r="R234" s="421">
        <v>0</v>
      </c>
      <c r="S234" s="423">
        <v>1564.49998542922</v>
      </c>
      <c r="T234" s="412"/>
    </row>
    <row r="235" spans="2:20" ht="13.5">
      <c r="B235" s="412"/>
      <c r="C235" s="420" t="s">
        <v>60</v>
      </c>
      <c r="D235" s="421">
        <v>34.929201732774303</v>
      </c>
      <c r="E235" s="421">
        <v>518.07410535010399</v>
      </c>
      <c r="F235" s="421">
        <v>94.899650530247001</v>
      </c>
      <c r="G235" s="421">
        <v>372.90309898365098</v>
      </c>
      <c r="H235" s="421">
        <v>0</v>
      </c>
      <c r="I235" s="421">
        <v>0</v>
      </c>
      <c r="J235" s="421">
        <v>0</v>
      </c>
      <c r="K235" s="421">
        <v>0</v>
      </c>
      <c r="L235" s="421">
        <v>0</v>
      </c>
      <c r="M235" s="421">
        <v>0</v>
      </c>
      <c r="N235" s="421">
        <v>0</v>
      </c>
      <c r="O235" s="421">
        <v>0</v>
      </c>
      <c r="P235" s="421">
        <v>0</v>
      </c>
      <c r="Q235" s="421">
        <v>0</v>
      </c>
      <c r="R235" s="421">
        <v>0</v>
      </c>
      <c r="S235" s="423">
        <v>1020.80605659678</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-54.0995610292184</v>
      </c>
      <c r="Q236" s="421">
        <v>0</v>
      </c>
      <c r="R236" s="421">
        <v>0</v>
      </c>
      <c r="S236" s="423">
        <v>-54.0995610292184</v>
      </c>
      <c r="T236" s="412"/>
    </row>
    <row r="237" spans="2:20" ht="13.5">
      <c r="B237" s="412"/>
      <c r="C237" s="420" t="s">
        <v>62</v>
      </c>
      <c r="D237" s="421">
        <v>0</v>
      </c>
      <c r="E237" s="421">
        <v>0</v>
      </c>
      <c r="F237" s="421">
        <v>-16.258620088965699</v>
      </c>
      <c r="G237" s="421">
        <v>0</v>
      </c>
      <c r="H237" s="421">
        <v>0</v>
      </c>
      <c r="I237" s="421">
        <v>0</v>
      </c>
      <c r="J237" s="421">
        <v>0</v>
      </c>
      <c r="K237" s="421">
        <v>0</v>
      </c>
      <c r="L237" s="421">
        <v>0</v>
      </c>
      <c r="M237" s="421">
        <v>0</v>
      </c>
      <c r="N237" s="421">
        <v>0</v>
      </c>
      <c r="O237" s="421">
        <v>0</v>
      </c>
      <c r="P237" s="421">
        <v>0</v>
      </c>
      <c r="Q237" s="421">
        <v>0</v>
      </c>
      <c r="R237" s="421">
        <v>0</v>
      </c>
      <c r="S237" s="423">
        <v>-16.258620088965699</v>
      </c>
      <c r="T237" s="412"/>
    </row>
    <row r="238" spans="2:20" ht="13.5">
      <c r="B238" s="412"/>
      <c r="C238" s="420" t="s">
        <v>63</v>
      </c>
      <c r="D238" s="421">
        <v>0</v>
      </c>
      <c r="E238" s="421">
        <v>0</v>
      </c>
      <c r="F238" s="421">
        <v>-83.288391654292198</v>
      </c>
      <c r="G238" s="421">
        <v>0</v>
      </c>
      <c r="H238" s="421">
        <v>0</v>
      </c>
      <c r="I238" s="421">
        <v>0</v>
      </c>
      <c r="J238" s="421">
        <v>0</v>
      </c>
      <c r="K238" s="421">
        <v>0</v>
      </c>
      <c r="L238" s="421">
        <v>-0.86093886612012704</v>
      </c>
      <c r="M238" s="421">
        <v>0</v>
      </c>
      <c r="N238" s="421">
        <v>0</v>
      </c>
      <c r="O238" s="421">
        <v>0</v>
      </c>
      <c r="P238" s="421">
        <v>0</v>
      </c>
      <c r="Q238" s="421">
        <v>0</v>
      </c>
      <c r="R238" s="421">
        <v>0</v>
      </c>
      <c r="S238" s="423">
        <v>-84.149330520412306</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34.929201732774303</v>
      </c>
      <c r="E240" s="425">
        <v>523.88910535010405</v>
      </c>
      <c r="F240" s="425">
        <v>-4.6473612130108704</v>
      </c>
      <c r="G240" s="425">
        <v>372.99613898365101</v>
      </c>
      <c r="H240" s="425">
        <v>1075</v>
      </c>
      <c r="I240" s="425">
        <v>221.33</v>
      </c>
      <c r="J240" s="425">
        <v>180.617309805269</v>
      </c>
      <c r="K240" s="425">
        <v>23.667602138393399</v>
      </c>
      <c r="L240" s="425">
        <v>-0.86093886612012704</v>
      </c>
      <c r="M240" s="425">
        <v>0</v>
      </c>
      <c r="N240" s="425">
        <v>53.883302871721199</v>
      </c>
      <c r="O240" s="425">
        <v>4.0937306138358602</v>
      </c>
      <c r="P240" s="425">
        <v>-54.0995610292184</v>
      </c>
      <c r="Q240" s="425">
        <v>0</v>
      </c>
      <c r="R240" s="425">
        <v>0</v>
      </c>
      <c r="S240" s="425">
        <v>2430.7985303874002</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2.2004707355665598</v>
      </c>
      <c r="E243" s="421">
        <v>0</v>
      </c>
      <c r="F243" s="421">
        <v>3.8636363636363602</v>
      </c>
      <c r="G243" s="421">
        <v>18.293662470199799</v>
      </c>
      <c r="H243" s="421">
        <v>1075</v>
      </c>
      <c r="I243" s="421">
        <v>221.33</v>
      </c>
      <c r="J243" s="421">
        <v>25.015631200963998</v>
      </c>
      <c r="K243" s="421">
        <v>6.6958995171334896</v>
      </c>
      <c r="L243" s="421">
        <v>0</v>
      </c>
      <c r="M243" s="421">
        <v>0.373340050412242</v>
      </c>
      <c r="N243" s="421">
        <v>0</v>
      </c>
      <c r="O243" s="421">
        <v>0</v>
      </c>
      <c r="P243" s="421">
        <v>-598.98018891784398</v>
      </c>
      <c r="Q243" s="421">
        <v>0</v>
      </c>
      <c r="R243" s="421">
        <v>0</v>
      </c>
      <c r="S243" s="429">
        <v>753.79245142006801</v>
      </c>
      <c r="T243" s="412"/>
    </row>
    <row r="244" spans="2:20" ht="13.5">
      <c r="B244" s="412"/>
      <c r="C244" s="428" t="s">
        <v>351</v>
      </c>
      <c r="D244" s="421">
        <v>0</v>
      </c>
      <c r="E244" s="421">
        <v>0</v>
      </c>
      <c r="F244" s="421">
        <v>0</v>
      </c>
      <c r="G244" s="421">
        <v>17.187472358998999</v>
      </c>
      <c r="H244" s="421">
        <v>0</v>
      </c>
      <c r="I244" s="421">
        <v>0</v>
      </c>
      <c r="J244" s="421">
        <v>12.802427774494999</v>
      </c>
      <c r="K244" s="421">
        <v>12.7214936345308</v>
      </c>
      <c r="L244" s="421">
        <v>0</v>
      </c>
      <c r="M244" s="421">
        <v>0.35076474202038699</v>
      </c>
      <c r="N244" s="421">
        <v>0</v>
      </c>
      <c r="O244" s="421">
        <v>2.24538394933181</v>
      </c>
      <c r="P244" s="421">
        <v>0</v>
      </c>
      <c r="Q244" s="421">
        <v>-41.027361944198802</v>
      </c>
      <c r="R244" s="421">
        <v>0</v>
      </c>
      <c r="S244" s="429">
        <v>4.2801805151782197</v>
      </c>
      <c r="T244" s="412"/>
    </row>
    <row r="245" spans="2:20" ht="13.5">
      <c r="B245" s="412"/>
      <c r="C245" s="428" t="s">
        <v>352</v>
      </c>
      <c r="D245" s="421">
        <v>0</v>
      </c>
      <c r="E245" s="421">
        <v>0</v>
      </c>
      <c r="F245" s="421">
        <v>0</v>
      </c>
      <c r="G245" s="421">
        <v>0</v>
      </c>
      <c r="H245" s="421">
        <v>0</v>
      </c>
      <c r="I245" s="421">
        <v>0</v>
      </c>
      <c r="J245" s="421">
        <v>8.2571965997470702</v>
      </c>
      <c r="K245" s="421">
        <v>0</v>
      </c>
      <c r="L245" s="421">
        <v>0</v>
      </c>
      <c r="M245" s="421">
        <v>-7.3592264695245797</v>
      </c>
      <c r="N245" s="421">
        <v>0</v>
      </c>
      <c r="O245" s="421">
        <v>0</v>
      </c>
      <c r="P245" s="421">
        <v>0</v>
      </c>
      <c r="Q245" s="421">
        <v>0</v>
      </c>
      <c r="R245" s="421">
        <v>0</v>
      </c>
      <c r="S245" s="429">
        <v>0.89797013022249295</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542.69343279650298</v>
      </c>
      <c r="F247" s="421">
        <v>-537.26649846853797</v>
      </c>
      <c r="G247" s="421">
        <v>0</v>
      </c>
      <c r="H247" s="421">
        <v>0</v>
      </c>
      <c r="I247" s="421">
        <v>0</v>
      </c>
      <c r="J247" s="421">
        <v>0</v>
      </c>
      <c r="K247" s="421">
        <v>0</v>
      </c>
      <c r="L247" s="421">
        <v>0</v>
      </c>
      <c r="M247" s="421">
        <v>0</v>
      </c>
      <c r="N247" s="421">
        <v>0</v>
      </c>
      <c r="O247" s="421">
        <v>0</v>
      </c>
      <c r="P247" s="421">
        <v>0</v>
      </c>
      <c r="Q247" s="421">
        <v>0</v>
      </c>
      <c r="R247" s="421">
        <v>0</v>
      </c>
      <c r="S247" s="429">
        <v>5.4269343279650002</v>
      </c>
      <c r="T247" s="412"/>
    </row>
    <row r="248" spans="2:20" ht="13.5">
      <c r="B248" s="412"/>
      <c r="C248" s="428" t="s">
        <v>354</v>
      </c>
      <c r="D248" s="421">
        <v>0</v>
      </c>
      <c r="E248" s="421">
        <v>0</v>
      </c>
      <c r="F248" s="421">
        <v>0</v>
      </c>
      <c r="G248" s="421">
        <v>0</v>
      </c>
      <c r="H248" s="421">
        <v>0</v>
      </c>
      <c r="I248" s="421">
        <v>0</v>
      </c>
      <c r="J248" s="421">
        <v>38.982913287446898</v>
      </c>
      <c r="K248" s="421">
        <v>0</v>
      </c>
      <c r="L248" s="421">
        <v>-38.982913287446898</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-0.17805542479724401</v>
      </c>
      <c r="M249" s="421">
        <v>0</v>
      </c>
      <c r="N249" s="421">
        <v>0</v>
      </c>
      <c r="O249" s="421">
        <v>0</v>
      </c>
      <c r="P249" s="421">
        <v>0</v>
      </c>
      <c r="Q249" s="421">
        <v>0</v>
      </c>
      <c r="R249" s="421">
        <v>0.25436489256749101</v>
      </c>
      <c r="S249" s="429">
        <v>7.6309467770247302E-2</v>
      </c>
      <c r="T249" s="412"/>
    </row>
    <row r="250" spans="2:20" ht="13.5">
      <c r="B250" s="412"/>
      <c r="C250" s="428" t="s">
        <v>73</v>
      </c>
      <c r="D250" s="421">
        <v>0</v>
      </c>
      <c r="E250" s="421">
        <v>0</v>
      </c>
      <c r="F250" s="421">
        <v>0</v>
      </c>
      <c r="G250" s="421">
        <v>2.4096506208169699</v>
      </c>
      <c r="H250" s="421">
        <v>0</v>
      </c>
      <c r="I250" s="421">
        <v>0</v>
      </c>
      <c r="J250" s="421">
        <v>0</v>
      </c>
      <c r="K250" s="421">
        <v>2.7320301823321701E-2</v>
      </c>
      <c r="L250" s="421">
        <v>0</v>
      </c>
      <c r="M250" s="421">
        <v>4.9176543281978999E-2</v>
      </c>
      <c r="N250" s="421">
        <v>0</v>
      </c>
      <c r="O250" s="421">
        <v>0</v>
      </c>
      <c r="P250" s="421">
        <v>0.257854534062811</v>
      </c>
      <c r="Q250" s="421">
        <v>0</v>
      </c>
      <c r="R250" s="421">
        <v>-1.91242112763252</v>
      </c>
      <c r="S250" s="429">
        <v>0.83158087235256695</v>
      </c>
      <c r="T250" s="412"/>
    </row>
    <row r="251" spans="2:20" ht="13.5">
      <c r="B251" s="412"/>
      <c r="C251" s="428" t="s">
        <v>356</v>
      </c>
      <c r="D251" s="421">
        <v>14.8684370117188</v>
      </c>
      <c r="E251" s="421">
        <v>-18.804327446398801</v>
      </c>
      <c r="F251" s="421">
        <v>24.59494961847</v>
      </c>
      <c r="G251" s="421">
        <v>0</v>
      </c>
      <c r="H251" s="421">
        <v>0</v>
      </c>
      <c r="I251" s="421">
        <v>0</v>
      </c>
      <c r="J251" s="421">
        <v>0</v>
      </c>
      <c r="K251" s="421">
        <v>0</v>
      </c>
      <c r="L251" s="421">
        <v>0</v>
      </c>
      <c r="M251" s="421">
        <v>0</v>
      </c>
      <c r="N251" s="421">
        <v>0</v>
      </c>
      <c r="O251" s="421">
        <v>0</v>
      </c>
      <c r="P251" s="421">
        <v>0</v>
      </c>
      <c r="Q251" s="421">
        <v>0</v>
      </c>
      <c r="R251" s="421">
        <v>0</v>
      </c>
      <c r="S251" s="429">
        <v>20.6590591837899</v>
      </c>
      <c r="T251" s="412"/>
    </row>
    <row r="252" spans="2:20" ht="13.5">
      <c r="B252" s="412"/>
      <c r="C252" s="428" t="s">
        <v>75</v>
      </c>
      <c r="D252" s="421">
        <v>9.9030000000000005</v>
      </c>
      <c r="E252" s="421">
        <v>0</v>
      </c>
      <c r="F252" s="421">
        <v>18.451576715081099</v>
      </c>
      <c r="G252" s="421">
        <v>5.2652116849916704</v>
      </c>
      <c r="H252" s="421">
        <v>0</v>
      </c>
      <c r="I252" s="421">
        <v>0</v>
      </c>
      <c r="J252" s="421">
        <v>0</v>
      </c>
      <c r="K252" s="421">
        <v>0</v>
      </c>
      <c r="L252" s="421">
        <v>0</v>
      </c>
      <c r="M252" s="421">
        <v>0.107453299693708</v>
      </c>
      <c r="N252" s="421">
        <v>0</v>
      </c>
      <c r="O252" s="421">
        <v>0</v>
      </c>
      <c r="P252" s="421">
        <v>33.445009445892197</v>
      </c>
      <c r="Q252" s="421">
        <v>0</v>
      </c>
      <c r="R252" s="421">
        <v>0</v>
      </c>
      <c r="S252" s="429">
        <v>67.172251145658706</v>
      </c>
      <c r="T252" s="412"/>
    </row>
    <row r="253" spans="2:20" ht="13.5">
      <c r="B253" s="412"/>
      <c r="C253" s="428" t="s">
        <v>76</v>
      </c>
      <c r="D253" s="421">
        <v>0</v>
      </c>
      <c r="E253" s="421">
        <v>0</v>
      </c>
      <c r="F253" s="421">
        <v>0</v>
      </c>
      <c r="G253" s="421">
        <v>4.2759141937553897</v>
      </c>
      <c r="H253" s="421">
        <v>0</v>
      </c>
      <c r="I253" s="421">
        <v>0</v>
      </c>
      <c r="J253" s="421">
        <v>0</v>
      </c>
      <c r="K253" s="421">
        <v>0</v>
      </c>
      <c r="L253" s="421">
        <v>0</v>
      </c>
      <c r="M253" s="421">
        <v>8.72635549745997E-2</v>
      </c>
      <c r="N253" s="421">
        <v>0</v>
      </c>
      <c r="O253" s="421">
        <v>0</v>
      </c>
      <c r="P253" s="421">
        <v>41.7590878252594</v>
      </c>
      <c r="Q253" s="421">
        <v>3.1792420694766599</v>
      </c>
      <c r="R253" s="421">
        <v>0</v>
      </c>
      <c r="S253" s="429">
        <v>49.301507643466103</v>
      </c>
      <c r="T253" s="412"/>
    </row>
    <row r="254" spans="2:20" ht="13.5">
      <c r="B254" s="412"/>
      <c r="C254" s="424" t="s">
        <v>77</v>
      </c>
      <c r="D254" s="425">
        <v>26.9719077472853</v>
      </c>
      <c r="E254" s="425">
        <v>523.88910535010405</v>
      </c>
      <c r="F254" s="425">
        <v>-490.35633577135002</v>
      </c>
      <c r="G254" s="425">
        <v>47.431911328762801</v>
      </c>
      <c r="H254" s="425">
        <v>1075</v>
      </c>
      <c r="I254" s="425">
        <v>221.33</v>
      </c>
      <c r="J254" s="425">
        <v>85.058168862653105</v>
      </c>
      <c r="K254" s="425">
        <v>19.444713453487601</v>
      </c>
      <c r="L254" s="425">
        <v>-39.160968712244099</v>
      </c>
      <c r="M254" s="425">
        <v>-6.3912282791416599</v>
      </c>
      <c r="N254" s="425">
        <v>0</v>
      </c>
      <c r="O254" s="425">
        <v>2.24538394933181</v>
      </c>
      <c r="P254" s="425">
        <v>-523.51823711263</v>
      </c>
      <c r="Q254" s="425">
        <v>-37.848119874722101</v>
      </c>
      <c r="R254" s="425">
        <v>-1.6580562350650301</v>
      </c>
      <c r="S254" s="425">
        <v>902.43824470647201</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5.6972080479890099</v>
      </c>
      <c r="E256" s="421">
        <v>0</v>
      </c>
      <c r="F256" s="421">
        <v>22.817179327139399</v>
      </c>
      <c r="G256" s="421">
        <v>101.760565699211</v>
      </c>
      <c r="H256" s="421">
        <v>0</v>
      </c>
      <c r="I256" s="421">
        <v>0</v>
      </c>
      <c r="J256" s="421">
        <v>17.084919933372099</v>
      </c>
      <c r="K256" s="421">
        <v>4.2228886849058398</v>
      </c>
      <c r="L256" s="421">
        <v>0.85605592578125</v>
      </c>
      <c r="M256" s="421">
        <v>2.0767462387593998</v>
      </c>
      <c r="N256" s="421">
        <v>0</v>
      </c>
      <c r="O256" s="421">
        <v>0</v>
      </c>
      <c r="P256" s="421">
        <v>106.33530498490499</v>
      </c>
      <c r="Q256" s="421">
        <v>18.005489076637701</v>
      </c>
      <c r="R256" s="421">
        <v>0.24596269226074199</v>
      </c>
      <c r="S256" s="429">
        <v>279.10232061096099</v>
      </c>
      <c r="T256" s="412"/>
    </row>
    <row r="257" spans="2:20" ht="13.5">
      <c r="B257" s="412"/>
      <c r="C257" s="428" t="s">
        <v>79</v>
      </c>
      <c r="D257" s="421">
        <v>0</v>
      </c>
      <c r="E257" s="421">
        <v>0</v>
      </c>
      <c r="F257" s="421">
        <v>271.89503343589303</v>
      </c>
      <c r="G257" s="421">
        <v>24.4531369544524</v>
      </c>
      <c r="H257" s="421">
        <v>0</v>
      </c>
      <c r="I257" s="421">
        <v>0</v>
      </c>
      <c r="J257" s="421">
        <v>0</v>
      </c>
      <c r="K257" s="421">
        <v>0</v>
      </c>
      <c r="L257" s="421">
        <v>27.563506802016501</v>
      </c>
      <c r="M257" s="421">
        <v>0.49904361131535402</v>
      </c>
      <c r="N257" s="421">
        <v>0</v>
      </c>
      <c r="O257" s="421">
        <v>0</v>
      </c>
      <c r="P257" s="421">
        <v>44.076672693209503</v>
      </c>
      <c r="Q257" s="421">
        <v>0</v>
      </c>
      <c r="R257" s="421">
        <v>1.1183354617496</v>
      </c>
      <c r="S257" s="429">
        <v>369.60572895863697</v>
      </c>
      <c r="T257" s="412"/>
    </row>
    <row r="258" spans="2:20" ht="13.5">
      <c r="B258" s="412"/>
      <c r="C258" s="428" t="s">
        <v>80</v>
      </c>
      <c r="D258" s="421">
        <v>0</v>
      </c>
      <c r="E258" s="421">
        <v>0</v>
      </c>
      <c r="F258" s="421">
        <v>24.3021024292247</v>
      </c>
      <c r="G258" s="421">
        <v>117.69678632039</v>
      </c>
      <c r="H258" s="421">
        <v>0</v>
      </c>
      <c r="I258" s="421">
        <v>0</v>
      </c>
      <c r="J258" s="421">
        <v>73.828773979634093</v>
      </c>
      <c r="K258" s="421">
        <v>0</v>
      </c>
      <c r="L258" s="421">
        <v>0</v>
      </c>
      <c r="M258" s="421">
        <v>2.4019752310283602</v>
      </c>
      <c r="N258" s="421">
        <v>47.128746569474501</v>
      </c>
      <c r="O258" s="421">
        <v>0.960766193181818</v>
      </c>
      <c r="P258" s="421">
        <v>176.67464437802599</v>
      </c>
      <c r="Q258" s="421">
        <v>15.6460082308098</v>
      </c>
      <c r="R258" s="421">
        <v>0</v>
      </c>
      <c r="S258" s="429">
        <v>458.63980333176897</v>
      </c>
      <c r="T258" s="412"/>
    </row>
    <row r="259" spans="2:20" ht="13.5">
      <c r="B259" s="412"/>
      <c r="C259" s="428" t="s">
        <v>81</v>
      </c>
      <c r="D259" s="421">
        <v>0</v>
      </c>
      <c r="E259" s="421">
        <v>0</v>
      </c>
      <c r="F259" s="421">
        <v>10.1168071467599</v>
      </c>
      <c r="G259" s="421">
        <v>64.901290043876799</v>
      </c>
      <c r="H259" s="421">
        <v>0</v>
      </c>
      <c r="I259" s="421">
        <v>0</v>
      </c>
      <c r="J259" s="421">
        <v>3.5137864042396001</v>
      </c>
      <c r="K259" s="421">
        <v>0</v>
      </c>
      <c r="L259" s="421">
        <v>0</v>
      </c>
      <c r="M259" s="421">
        <v>1.32451612334442</v>
      </c>
      <c r="N259" s="421">
        <v>6.7545563022467299</v>
      </c>
      <c r="O259" s="421">
        <v>0.80925156664740405</v>
      </c>
      <c r="P259" s="421">
        <v>134.394459446703</v>
      </c>
      <c r="Q259" s="421">
        <v>4.1966225672745496</v>
      </c>
      <c r="R259" s="421">
        <v>0</v>
      </c>
      <c r="S259" s="429">
        <v>226.01128960109199</v>
      </c>
      <c r="T259" s="412"/>
    </row>
    <row r="260" spans="2:20" ht="13.5">
      <c r="B260" s="412"/>
      <c r="C260" s="428" t="s">
        <v>82</v>
      </c>
      <c r="D260" s="421">
        <v>0</v>
      </c>
      <c r="E260" s="421">
        <v>0</v>
      </c>
      <c r="F260" s="421">
        <v>18.642153643202501</v>
      </c>
      <c r="G260" s="421">
        <v>4.3584066600117204</v>
      </c>
      <c r="H260" s="421">
        <v>0</v>
      </c>
      <c r="I260" s="421">
        <v>0</v>
      </c>
      <c r="J260" s="421">
        <v>1.13166062537042</v>
      </c>
      <c r="K260" s="421">
        <v>0</v>
      </c>
      <c r="L260" s="421">
        <v>9.8804671183263206</v>
      </c>
      <c r="M260" s="421">
        <v>8.8947074694116696E-2</v>
      </c>
      <c r="N260" s="421">
        <v>0</v>
      </c>
      <c r="O260" s="421">
        <v>7.8328904674825395E-2</v>
      </c>
      <c r="P260" s="421">
        <v>7.9375945805684101</v>
      </c>
      <c r="Q260" s="421">
        <v>0</v>
      </c>
      <c r="R260" s="421">
        <v>0</v>
      </c>
      <c r="S260" s="429">
        <v>42.117558606848299</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v>
      </c>
      <c r="Q261" s="421">
        <v>0</v>
      </c>
      <c r="R261" s="421">
        <v>0</v>
      </c>
      <c r="S261" s="429">
        <v>0</v>
      </c>
      <c r="T261" s="412"/>
    </row>
    <row r="262" spans="2:20" ht="13.5">
      <c r="B262" s="412"/>
      <c r="C262" s="424" t="s">
        <v>83</v>
      </c>
      <c r="D262" s="425">
        <v>5.6972080479890099</v>
      </c>
      <c r="E262" s="425">
        <v>0</v>
      </c>
      <c r="F262" s="425">
        <v>347.77327598222001</v>
      </c>
      <c r="G262" s="425">
        <v>313.17018567794099</v>
      </c>
      <c r="H262" s="425">
        <v>0</v>
      </c>
      <c r="I262" s="425">
        <v>0</v>
      </c>
      <c r="J262" s="425">
        <v>95.559140942616196</v>
      </c>
      <c r="K262" s="425">
        <v>4.2228886849058398</v>
      </c>
      <c r="L262" s="425">
        <v>38.300029846123998</v>
      </c>
      <c r="M262" s="425">
        <v>6.3912282791416599</v>
      </c>
      <c r="N262" s="425">
        <v>53.883302871721199</v>
      </c>
      <c r="O262" s="425">
        <v>1.8483466645040501</v>
      </c>
      <c r="P262" s="425">
        <v>469.41867608341198</v>
      </c>
      <c r="Q262" s="425">
        <v>37.848119874722101</v>
      </c>
      <c r="R262" s="425">
        <v>1.36429815401034</v>
      </c>
      <c r="S262" s="425">
        <v>1375.4767011093099</v>
      </c>
      <c r="T262" s="412"/>
    </row>
    <row r="263" spans="2:20" ht="13.5">
      <c r="B263" s="412"/>
      <c r="C263" s="420" t="s">
        <v>84</v>
      </c>
      <c r="D263" s="421">
        <v>2.2600859375</v>
      </c>
      <c r="E263" s="421">
        <v>0</v>
      </c>
      <c r="F263" s="421">
        <v>137.93569857611899</v>
      </c>
      <c r="G263" s="421">
        <v>12.394041976947101</v>
      </c>
      <c r="H263" s="421">
        <v>0</v>
      </c>
      <c r="I263" s="421">
        <v>0</v>
      </c>
      <c r="J263" s="421">
        <v>0</v>
      </c>
      <c r="K263" s="421">
        <v>0</v>
      </c>
      <c r="L263" s="421">
        <v>0</v>
      </c>
      <c r="M263" s="421">
        <v>0</v>
      </c>
      <c r="N263" s="421">
        <v>0</v>
      </c>
      <c r="O263" s="421">
        <v>0</v>
      </c>
      <c r="P263" s="421">
        <v>0</v>
      </c>
      <c r="Q263" s="421">
        <v>0</v>
      </c>
      <c r="R263" s="421">
        <v>0.29375808105468698</v>
      </c>
      <c r="S263" s="429">
        <v>152.88358457162099</v>
      </c>
      <c r="T263" s="412"/>
    </row>
    <row r="264" spans="2:20" ht="13.5">
      <c r="B264" s="412"/>
      <c r="C264" s="424" t="s">
        <v>85</v>
      </c>
      <c r="D264" s="425">
        <v>7.9572939854890103</v>
      </c>
      <c r="E264" s="425">
        <v>0</v>
      </c>
      <c r="F264" s="425">
        <v>485.70897455833898</v>
      </c>
      <c r="G264" s="425">
        <v>325.56422765488799</v>
      </c>
      <c r="H264" s="425">
        <v>0</v>
      </c>
      <c r="I264" s="425">
        <v>0</v>
      </c>
      <c r="J264" s="425">
        <v>95.559140942616196</v>
      </c>
      <c r="K264" s="425">
        <v>4.2228886849058398</v>
      </c>
      <c r="L264" s="425">
        <v>38.300029846123998</v>
      </c>
      <c r="M264" s="425">
        <v>6.3912282791416599</v>
      </c>
      <c r="N264" s="425">
        <v>53.883302871721199</v>
      </c>
      <c r="O264" s="425">
        <v>1.8483466645040501</v>
      </c>
      <c r="P264" s="425">
        <v>469.41867608341198</v>
      </c>
      <c r="Q264" s="425">
        <v>37.848119874722101</v>
      </c>
      <c r="R264" s="425">
        <v>1.6580562350650301</v>
      </c>
      <c r="S264" s="425">
        <v>1528.36028568093</v>
      </c>
      <c r="T264" s="412"/>
    </row>
    <row r="265" spans="2:20">
      <c r="B265" s="412"/>
      <c r="C265" s="412"/>
      <c r="D265" s="430">
        <f t="shared" ref="D265:S265" si="14">D264+D254-D240</f>
        <v>0</v>
      </c>
      <c r="E265" s="430">
        <f t="shared" si="14"/>
        <v>0</v>
      </c>
      <c r="F265" s="430">
        <f t="shared" si="14"/>
        <v>-1.6786572132332367E-13</v>
      </c>
      <c r="G265" s="430">
        <f t="shared" si="14"/>
        <v>0</v>
      </c>
      <c r="H265" s="430">
        <f t="shared" si="14"/>
        <v>0</v>
      </c>
      <c r="I265" s="430">
        <f t="shared" si="14"/>
        <v>0</v>
      </c>
      <c r="J265" s="430">
        <f t="shared" si="14"/>
        <v>3.1263880373444408E-13</v>
      </c>
      <c r="K265" s="430">
        <f t="shared" si="14"/>
        <v>4.2632564145606011E-14</v>
      </c>
      <c r="L265" s="430">
        <f t="shared" si="14"/>
        <v>2.6090241078691179E-14</v>
      </c>
      <c r="M265" s="430">
        <f t="shared" si="14"/>
        <v>0</v>
      </c>
      <c r="N265" s="430">
        <f t="shared" si="14"/>
        <v>0</v>
      </c>
      <c r="O265" s="430">
        <f t="shared" si="14"/>
        <v>0</v>
      </c>
      <c r="P265" s="430">
        <f t="shared" si="14"/>
        <v>3.765876499528531E-13</v>
      </c>
      <c r="Q265" s="430">
        <f t="shared" si="14"/>
        <v>0</v>
      </c>
      <c r="R265" s="430">
        <f t="shared" si="14"/>
        <v>0</v>
      </c>
      <c r="S265" s="430">
        <f t="shared" si="14"/>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362</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2.3260000000000001</v>
      </c>
      <c r="F271" s="421">
        <v>0</v>
      </c>
      <c r="G271" s="421">
        <v>3.7215999999999999E-2</v>
      </c>
      <c r="H271" s="422">
        <v>1005.45454545455</v>
      </c>
      <c r="I271" s="422">
        <v>246.08</v>
      </c>
      <c r="J271" s="422">
        <v>180.45818950373001</v>
      </c>
      <c r="K271" s="422">
        <v>23.324330540101599</v>
      </c>
      <c r="L271" s="421">
        <v>0</v>
      </c>
      <c r="M271" s="421">
        <v>0</v>
      </c>
      <c r="N271" s="422">
        <v>57.2465959754038</v>
      </c>
      <c r="O271" s="422">
        <v>4.06931439737036</v>
      </c>
      <c r="P271" s="421">
        <v>0</v>
      </c>
      <c r="Q271" s="421">
        <v>0</v>
      </c>
      <c r="R271" s="421">
        <v>0</v>
      </c>
      <c r="S271" s="423">
        <v>1518.9961918711499</v>
      </c>
      <c r="T271" s="412"/>
    </row>
    <row r="272" spans="2:20" ht="13.5">
      <c r="B272" s="412"/>
      <c r="C272" s="420" t="s">
        <v>60</v>
      </c>
      <c r="D272" s="421">
        <v>33.607567251657201</v>
      </c>
      <c r="E272" s="421">
        <v>509.74501402008298</v>
      </c>
      <c r="F272" s="421">
        <v>72.737164762837693</v>
      </c>
      <c r="G272" s="421">
        <v>374.55851469184501</v>
      </c>
      <c r="H272" s="421">
        <v>0</v>
      </c>
      <c r="I272" s="421">
        <v>0</v>
      </c>
      <c r="J272" s="421">
        <v>0</v>
      </c>
      <c r="K272" s="421">
        <v>0</v>
      </c>
      <c r="L272" s="421">
        <v>0</v>
      </c>
      <c r="M272" s="421">
        <v>0</v>
      </c>
      <c r="N272" s="421">
        <v>0</v>
      </c>
      <c r="O272" s="421">
        <v>0</v>
      </c>
      <c r="P272" s="421">
        <v>0</v>
      </c>
      <c r="Q272" s="421">
        <v>0</v>
      </c>
      <c r="R272" s="421">
        <v>0</v>
      </c>
      <c r="S272" s="423">
        <v>990.64826072642302</v>
      </c>
      <c r="T272" s="412"/>
    </row>
    <row r="273" spans="2:20" ht="13.5">
      <c r="B273" s="412"/>
      <c r="C273" s="420" t="s">
        <v>61</v>
      </c>
      <c r="D273" s="421">
        <v>0</v>
      </c>
      <c r="E273" s="421">
        <v>0</v>
      </c>
      <c r="F273" s="421">
        <v>0</v>
      </c>
      <c r="G273" s="421">
        <v>0</v>
      </c>
      <c r="H273" s="421">
        <v>0</v>
      </c>
      <c r="I273" s="421">
        <v>0</v>
      </c>
      <c r="J273" s="421">
        <v>0</v>
      </c>
      <c r="K273" s="421">
        <v>0</v>
      </c>
      <c r="L273" s="421">
        <v>0</v>
      </c>
      <c r="M273" s="421">
        <v>0</v>
      </c>
      <c r="N273" s="421">
        <v>0</v>
      </c>
      <c r="O273" s="421">
        <v>0</v>
      </c>
      <c r="P273" s="421">
        <v>-40.599613583103199</v>
      </c>
      <c r="Q273" s="421">
        <v>0</v>
      </c>
      <c r="R273" s="421">
        <v>0</v>
      </c>
      <c r="S273" s="423">
        <v>-40.599613583103199</v>
      </c>
      <c r="T273" s="412"/>
    </row>
    <row r="274" spans="2:20" ht="13.5">
      <c r="B274" s="412"/>
      <c r="C274" s="420" t="s">
        <v>62</v>
      </c>
      <c r="D274" s="421">
        <v>0</v>
      </c>
      <c r="E274" s="421">
        <v>0</v>
      </c>
      <c r="F274" s="421">
        <v>-16.016991189558802</v>
      </c>
      <c r="G274" s="421">
        <v>0</v>
      </c>
      <c r="H274" s="421">
        <v>0</v>
      </c>
      <c r="I274" s="421">
        <v>0</v>
      </c>
      <c r="J274" s="421">
        <v>0</v>
      </c>
      <c r="K274" s="421">
        <v>0</v>
      </c>
      <c r="L274" s="421">
        <v>0</v>
      </c>
      <c r="M274" s="421">
        <v>0</v>
      </c>
      <c r="N274" s="421">
        <v>0</v>
      </c>
      <c r="O274" s="421">
        <v>0</v>
      </c>
      <c r="P274" s="421">
        <v>0</v>
      </c>
      <c r="Q274" s="421">
        <v>0</v>
      </c>
      <c r="R274" s="421">
        <v>0</v>
      </c>
      <c r="S274" s="423">
        <v>-16.016991189558802</v>
      </c>
      <c r="T274" s="412"/>
    </row>
    <row r="275" spans="2:20" ht="13.5">
      <c r="B275" s="412"/>
      <c r="C275" s="420" t="s">
        <v>63</v>
      </c>
      <c r="D275" s="421">
        <v>0</v>
      </c>
      <c r="E275" s="421">
        <v>0</v>
      </c>
      <c r="F275" s="421">
        <v>-85.292767146842095</v>
      </c>
      <c r="G275" s="421">
        <v>0</v>
      </c>
      <c r="H275" s="421">
        <v>0</v>
      </c>
      <c r="I275" s="421">
        <v>0</v>
      </c>
      <c r="J275" s="421">
        <v>0</v>
      </c>
      <c r="K275" s="421">
        <v>0</v>
      </c>
      <c r="L275" s="421">
        <v>-0.88147124718821601</v>
      </c>
      <c r="M275" s="421">
        <v>0</v>
      </c>
      <c r="N275" s="421">
        <v>0</v>
      </c>
      <c r="O275" s="421">
        <v>0</v>
      </c>
      <c r="P275" s="421">
        <v>0</v>
      </c>
      <c r="Q275" s="421">
        <v>0</v>
      </c>
      <c r="R275" s="421">
        <v>0</v>
      </c>
      <c r="S275" s="423">
        <v>-86.174238394030297</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33.607567251657201</v>
      </c>
      <c r="E277" s="425">
        <v>512.071014020083</v>
      </c>
      <c r="F277" s="425">
        <v>-28.5725935735632</v>
      </c>
      <c r="G277" s="425">
        <v>374.59573069184501</v>
      </c>
      <c r="H277" s="425">
        <v>1005.45454545455</v>
      </c>
      <c r="I277" s="425">
        <v>246.08</v>
      </c>
      <c r="J277" s="425">
        <v>180.45818950373001</v>
      </c>
      <c r="K277" s="425">
        <v>23.324330540101599</v>
      </c>
      <c r="L277" s="425">
        <v>-0.88147124718821601</v>
      </c>
      <c r="M277" s="425">
        <v>0</v>
      </c>
      <c r="N277" s="425">
        <v>57.2465959754038</v>
      </c>
      <c r="O277" s="425">
        <v>4.06931439737036</v>
      </c>
      <c r="P277" s="425">
        <v>-40.599613583103199</v>
      </c>
      <c r="Q277" s="425">
        <v>0</v>
      </c>
      <c r="R277" s="425">
        <v>0</v>
      </c>
      <c r="S277" s="425">
        <v>2366.8536094308802</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2.2004707355665598</v>
      </c>
      <c r="E280" s="421">
        <v>0</v>
      </c>
      <c r="F280" s="421">
        <v>3.8636363636363602</v>
      </c>
      <c r="G280" s="421">
        <v>17.955675135092299</v>
      </c>
      <c r="H280" s="421">
        <v>1005.45454545455</v>
      </c>
      <c r="I280" s="421">
        <v>246.08</v>
      </c>
      <c r="J280" s="421">
        <v>24.057674539507001</v>
      </c>
      <c r="K280" s="421">
        <v>6.4003284253933197</v>
      </c>
      <c r="L280" s="421">
        <v>0</v>
      </c>
      <c r="M280" s="421">
        <v>0.366442349695761</v>
      </c>
      <c r="N280" s="421">
        <v>0</v>
      </c>
      <c r="O280" s="421">
        <v>0</v>
      </c>
      <c r="P280" s="421">
        <v>-600.72360696632904</v>
      </c>
      <c r="Q280" s="421">
        <v>0</v>
      </c>
      <c r="R280" s="421">
        <v>0</v>
      </c>
      <c r="S280" s="429">
        <v>705.65516603710796</v>
      </c>
      <c r="T280" s="412"/>
    </row>
    <row r="281" spans="2:20" ht="13.5">
      <c r="B281" s="412"/>
      <c r="C281" s="428" t="s">
        <v>351</v>
      </c>
      <c r="D281" s="421">
        <v>0</v>
      </c>
      <c r="E281" s="421">
        <v>0</v>
      </c>
      <c r="F281" s="421">
        <v>0</v>
      </c>
      <c r="G281" s="421">
        <v>17.1879921419563</v>
      </c>
      <c r="H281" s="421">
        <v>0</v>
      </c>
      <c r="I281" s="421">
        <v>0</v>
      </c>
      <c r="J281" s="421">
        <v>12.682834988028199</v>
      </c>
      <c r="K281" s="421">
        <v>12.7191917514679</v>
      </c>
      <c r="L281" s="421">
        <v>0</v>
      </c>
      <c r="M281" s="421">
        <v>0.35077534983584302</v>
      </c>
      <c r="N281" s="421">
        <v>0</v>
      </c>
      <c r="O281" s="421">
        <v>2.2454573880541999</v>
      </c>
      <c r="P281" s="421">
        <v>0</v>
      </c>
      <c r="Q281" s="421">
        <v>-41.0285859229053</v>
      </c>
      <c r="R281" s="421">
        <v>0</v>
      </c>
      <c r="S281" s="429">
        <v>4.1576656964370899</v>
      </c>
      <c r="T281" s="412"/>
    </row>
    <row r="282" spans="2:20" ht="13.5">
      <c r="B282" s="412"/>
      <c r="C282" s="428" t="s">
        <v>352</v>
      </c>
      <c r="D282" s="421">
        <v>0</v>
      </c>
      <c r="E282" s="421">
        <v>0</v>
      </c>
      <c r="F282" s="421">
        <v>0</v>
      </c>
      <c r="G282" s="421">
        <v>0</v>
      </c>
      <c r="H282" s="421">
        <v>0</v>
      </c>
      <c r="I282" s="421">
        <v>0</v>
      </c>
      <c r="J282" s="421">
        <v>8.1791621467337805</v>
      </c>
      <c r="K282" s="421">
        <v>0</v>
      </c>
      <c r="L282" s="421">
        <v>0</v>
      </c>
      <c r="M282" s="421">
        <v>-7.3939625806473401</v>
      </c>
      <c r="N282" s="421">
        <v>0</v>
      </c>
      <c r="O282" s="421">
        <v>0</v>
      </c>
      <c r="P282" s="421">
        <v>0</v>
      </c>
      <c r="Q282" s="421">
        <v>0</v>
      </c>
      <c r="R282" s="421">
        <v>0</v>
      </c>
      <c r="S282" s="429">
        <v>0.78519956608644204</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530.45114623720201</v>
      </c>
      <c r="F284" s="421">
        <v>-525.14663477482998</v>
      </c>
      <c r="G284" s="421">
        <v>0</v>
      </c>
      <c r="H284" s="421">
        <v>0</v>
      </c>
      <c r="I284" s="421">
        <v>0</v>
      </c>
      <c r="J284" s="421">
        <v>0</v>
      </c>
      <c r="K284" s="421">
        <v>0</v>
      </c>
      <c r="L284" s="421">
        <v>0</v>
      </c>
      <c r="M284" s="421">
        <v>0</v>
      </c>
      <c r="N284" s="421">
        <v>0</v>
      </c>
      <c r="O284" s="421">
        <v>0</v>
      </c>
      <c r="P284" s="421">
        <v>0</v>
      </c>
      <c r="Q284" s="421">
        <v>0</v>
      </c>
      <c r="R284" s="421">
        <v>0</v>
      </c>
      <c r="S284" s="429">
        <v>5.3045114623720302</v>
      </c>
      <c r="T284" s="412"/>
    </row>
    <row r="285" spans="2:20" ht="13.5">
      <c r="B285" s="412"/>
      <c r="C285" s="428" t="s">
        <v>354</v>
      </c>
      <c r="D285" s="421">
        <v>0</v>
      </c>
      <c r="E285" s="421">
        <v>0</v>
      </c>
      <c r="F285" s="421">
        <v>0</v>
      </c>
      <c r="G285" s="421">
        <v>0</v>
      </c>
      <c r="H285" s="421">
        <v>0</v>
      </c>
      <c r="I285" s="421">
        <v>0</v>
      </c>
      <c r="J285" s="421">
        <v>39.445597700089998</v>
      </c>
      <c r="K285" s="421">
        <v>0</v>
      </c>
      <c r="L285" s="421">
        <v>-39.445597700089998</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-0.18005031965795901</v>
      </c>
      <c r="M286" s="421">
        <v>0</v>
      </c>
      <c r="N286" s="421">
        <v>0</v>
      </c>
      <c r="O286" s="421">
        <v>0</v>
      </c>
      <c r="P286" s="421">
        <v>0</v>
      </c>
      <c r="Q286" s="421">
        <v>0</v>
      </c>
      <c r="R286" s="421">
        <v>0.25721474236851299</v>
      </c>
      <c r="S286" s="429">
        <v>7.7164422710554001E-2</v>
      </c>
      <c r="T286" s="412"/>
    </row>
    <row r="287" spans="2:20" ht="13.5">
      <c r="B287" s="412"/>
      <c r="C287" s="428" t="s">
        <v>73</v>
      </c>
      <c r="D287" s="421">
        <v>0</v>
      </c>
      <c r="E287" s="421">
        <v>0</v>
      </c>
      <c r="F287" s="421">
        <v>0</v>
      </c>
      <c r="G287" s="421">
        <v>3.2927955650537002</v>
      </c>
      <c r="H287" s="421">
        <v>0</v>
      </c>
      <c r="I287" s="421">
        <v>0</v>
      </c>
      <c r="J287" s="421">
        <v>0</v>
      </c>
      <c r="K287" s="421">
        <v>3.7583841997143097E-2</v>
      </c>
      <c r="L287" s="421">
        <v>0</v>
      </c>
      <c r="M287" s="421">
        <v>6.7199909490891899E-2</v>
      </c>
      <c r="N287" s="421">
        <v>0</v>
      </c>
      <c r="O287" s="421">
        <v>0</v>
      </c>
      <c r="P287" s="421">
        <v>0.37251241625487003</v>
      </c>
      <c r="Q287" s="421">
        <v>0</v>
      </c>
      <c r="R287" s="421">
        <v>-2.63086893980002</v>
      </c>
      <c r="S287" s="429">
        <v>1.1392227929965899</v>
      </c>
      <c r="T287" s="412"/>
    </row>
    <row r="288" spans="2:20" ht="13.5">
      <c r="B288" s="412"/>
      <c r="C288" s="428" t="s">
        <v>356</v>
      </c>
      <c r="D288" s="421">
        <v>14.1944855957031</v>
      </c>
      <c r="E288" s="421">
        <v>-18.380132217119101</v>
      </c>
      <c r="F288" s="421">
        <v>24.040127313749402</v>
      </c>
      <c r="G288" s="421">
        <v>0</v>
      </c>
      <c r="H288" s="421">
        <v>0</v>
      </c>
      <c r="I288" s="421">
        <v>0</v>
      </c>
      <c r="J288" s="421">
        <v>0</v>
      </c>
      <c r="K288" s="421">
        <v>0</v>
      </c>
      <c r="L288" s="421">
        <v>0</v>
      </c>
      <c r="M288" s="421">
        <v>0</v>
      </c>
      <c r="N288" s="421">
        <v>0</v>
      </c>
      <c r="O288" s="421">
        <v>0</v>
      </c>
      <c r="P288" s="421">
        <v>0</v>
      </c>
      <c r="Q288" s="421">
        <v>0</v>
      </c>
      <c r="R288" s="421">
        <v>0</v>
      </c>
      <c r="S288" s="429">
        <v>19.8544806923335</v>
      </c>
      <c r="T288" s="412"/>
    </row>
    <row r="289" spans="2:20" ht="13.5">
      <c r="B289" s="412"/>
      <c r="C289" s="428" t="s">
        <v>75</v>
      </c>
      <c r="D289" s="421">
        <v>9.7861113281249992</v>
      </c>
      <c r="E289" s="421">
        <v>0</v>
      </c>
      <c r="F289" s="421">
        <v>18.035338972064899</v>
      </c>
      <c r="G289" s="421">
        <v>5.1464370207933401</v>
      </c>
      <c r="H289" s="421">
        <v>0</v>
      </c>
      <c r="I289" s="421">
        <v>0</v>
      </c>
      <c r="J289" s="421">
        <v>0</v>
      </c>
      <c r="K289" s="421">
        <v>0</v>
      </c>
      <c r="L289" s="421">
        <v>0</v>
      </c>
      <c r="M289" s="421">
        <v>0.105029326954966</v>
      </c>
      <c r="N289" s="421">
        <v>0</v>
      </c>
      <c r="O289" s="421">
        <v>0</v>
      </c>
      <c r="P289" s="421">
        <v>31.7730894392256</v>
      </c>
      <c r="Q289" s="421">
        <v>0</v>
      </c>
      <c r="R289" s="421">
        <v>0</v>
      </c>
      <c r="S289" s="429">
        <v>64.846006087163701</v>
      </c>
      <c r="T289" s="412"/>
    </row>
    <row r="290" spans="2:20" ht="13.5">
      <c r="B290" s="412"/>
      <c r="C290" s="428" t="s">
        <v>76</v>
      </c>
      <c r="D290" s="421">
        <v>0</v>
      </c>
      <c r="E290" s="421">
        <v>0</v>
      </c>
      <c r="F290" s="421">
        <v>0</v>
      </c>
      <c r="G290" s="421">
        <v>4.2960968353958799</v>
      </c>
      <c r="H290" s="421">
        <v>0</v>
      </c>
      <c r="I290" s="421">
        <v>0</v>
      </c>
      <c r="J290" s="421">
        <v>0</v>
      </c>
      <c r="K290" s="421">
        <v>0</v>
      </c>
      <c r="L290" s="421">
        <v>0</v>
      </c>
      <c r="M290" s="421">
        <v>8.7675445620324199E-2</v>
      </c>
      <c r="N290" s="421">
        <v>0</v>
      </c>
      <c r="O290" s="421">
        <v>0</v>
      </c>
      <c r="P290" s="421">
        <v>42.927323592620297</v>
      </c>
      <c r="Q290" s="421">
        <v>3.1793369165350902</v>
      </c>
      <c r="R290" s="421">
        <v>0</v>
      </c>
      <c r="S290" s="429">
        <v>50.490432790171603</v>
      </c>
      <c r="T290" s="412"/>
    </row>
    <row r="291" spans="2:20" ht="13.5">
      <c r="B291" s="412"/>
      <c r="C291" s="424" t="s">
        <v>77</v>
      </c>
      <c r="D291" s="425">
        <v>26.181067659394699</v>
      </c>
      <c r="E291" s="425">
        <v>512.071014020083</v>
      </c>
      <c r="F291" s="425">
        <v>-479.20753212538</v>
      </c>
      <c r="G291" s="425">
        <v>47.878996698291502</v>
      </c>
      <c r="H291" s="425">
        <v>1005.45454545455</v>
      </c>
      <c r="I291" s="425">
        <v>246.08</v>
      </c>
      <c r="J291" s="425">
        <v>84.365269374358903</v>
      </c>
      <c r="K291" s="425">
        <v>19.157104018858298</v>
      </c>
      <c r="L291" s="425">
        <v>-39.625648019747899</v>
      </c>
      <c r="M291" s="425">
        <v>-6.4168401990495498</v>
      </c>
      <c r="N291" s="425">
        <v>0</v>
      </c>
      <c r="O291" s="425">
        <v>2.2454573880541999</v>
      </c>
      <c r="P291" s="425">
        <v>-525.650681518228</v>
      </c>
      <c r="Q291" s="425">
        <v>-37.849249006370201</v>
      </c>
      <c r="R291" s="425">
        <v>-2.37365419743151</v>
      </c>
      <c r="S291" s="425">
        <v>852.30984954737903</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5.2125076489031201</v>
      </c>
      <c r="E293" s="421">
        <v>0</v>
      </c>
      <c r="F293" s="421">
        <v>21.727756673907599</v>
      </c>
      <c r="G293" s="421">
        <v>101.51924937784101</v>
      </c>
      <c r="H293" s="421">
        <v>0</v>
      </c>
      <c r="I293" s="421">
        <v>0</v>
      </c>
      <c r="J293" s="421">
        <v>17.0707077986517</v>
      </c>
      <c r="K293" s="421">
        <v>4.1672265212432702</v>
      </c>
      <c r="L293" s="421">
        <v>0.85564616601562504</v>
      </c>
      <c r="M293" s="421">
        <v>2.07182141587431</v>
      </c>
      <c r="N293" s="421">
        <v>0</v>
      </c>
      <c r="O293" s="421">
        <v>0</v>
      </c>
      <c r="P293" s="421">
        <v>108.651427718851</v>
      </c>
      <c r="Q293" s="421">
        <v>18.253539143187599</v>
      </c>
      <c r="R293" s="421">
        <v>0.245581359863281</v>
      </c>
      <c r="S293" s="429">
        <v>279.775463824339</v>
      </c>
      <c r="T293" s="412"/>
    </row>
    <row r="294" spans="2:20" ht="13.5">
      <c r="B294" s="412"/>
      <c r="C294" s="428" t="s">
        <v>79</v>
      </c>
      <c r="D294" s="421">
        <v>0</v>
      </c>
      <c r="E294" s="421">
        <v>0</v>
      </c>
      <c r="F294" s="421">
        <v>248.35405318252</v>
      </c>
      <c r="G294" s="421">
        <v>28.348372671164501</v>
      </c>
      <c r="H294" s="421">
        <v>0</v>
      </c>
      <c r="I294" s="421">
        <v>0</v>
      </c>
      <c r="J294" s="421">
        <v>0</v>
      </c>
      <c r="K294" s="421">
        <v>0</v>
      </c>
      <c r="L294" s="421">
        <v>25.168184235978501</v>
      </c>
      <c r="M294" s="421">
        <v>0.57853821777886805</v>
      </c>
      <c r="N294" s="421">
        <v>0</v>
      </c>
      <c r="O294" s="421">
        <v>0</v>
      </c>
      <c r="P294" s="421">
        <v>52.469592014343696</v>
      </c>
      <c r="Q294" s="421">
        <v>0</v>
      </c>
      <c r="R294" s="421">
        <v>1.65835229069323</v>
      </c>
      <c r="S294" s="429">
        <v>356.57709261247902</v>
      </c>
      <c r="T294" s="412"/>
    </row>
    <row r="295" spans="2:20" ht="13.5">
      <c r="B295" s="412"/>
      <c r="C295" s="428" t="s">
        <v>80</v>
      </c>
      <c r="D295" s="421">
        <v>0</v>
      </c>
      <c r="E295" s="421">
        <v>0</v>
      </c>
      <c r="F295" s="421">
        <v>20.256761512665399</v>
      </c>
      <c r="G295" s="421">
        <v>114.236246094908</v>
      </c>
      <c r="H295" s="421">
        <v>0</v>
      </c>
      <c r="I295" s="421">
        <v>0</v>
      </c>
      <c r="J295" s="421">
        <v>74.165421932581495</v>
      </c>
      <c r="K295" s="421">
        <v>0</v>
      </c>
      <c r="L295" s="421">
        <v>0</v>
      </c>
      <c r="M295" s="421">
        <v>2.3313519611205602</v>
      </c>
      <c r="N295" s="421">
        <v>50.603124329176602</v>
      </c>
      <c r="O295" s="421">
        <v>0.95734789320939595</v>
      </c>
      <c r="P295" s="421">
        <v>178.886337281088</v>
      </c>
      <c r="Q295" s="421">
        <v>15.5186626122163</v>
      </c>
      <c r="R295" s="421">
        <v>0</v>
      </c>
      <c r="S295" s="429">
        <v>456.95525361696502</v>
      </c>
      <c r="T295" s="412"/>
    </row>
    <row r="296" spans="2:20" ht="13.5">
      <c r="B296" s="412"/>
      <c r="C296" s="428" t="s">
        <v>81</v>
      </c>
      <c r="D296" s="421">
        <v>0</v>
      </c>
      <c r="E296" s="421">
        <v>0</v>
      </c>
      <c r="F296" s="421">
        <v>8.4821062063849304</v>
      </c>
      <c r="G296" s="421">
        <v>65.4970920681791</v>
      </c>
      <c r="H296" s="421">
        <v>0</v>
      </c>
      <c r="I296" s="421">
        <v>0</v>
      </c>
      <c r="J296" s="421">
        <v>3.4528006603112198</v>
      </c>
      <c r="K296" s="421">
        <v>0</v>
      </c>
      <c r="L296" s="421">
        <v>0</v>
      </c>
      <c r="M296" s="421">
        <v>1.3366753483301901</v>
      </c>
      <c r="N296" s="421">
        <v>6.6434716462271597</v>
      </c>
      <c r="O296" s="421">
        <v>0.79174204160808703</v>
      </c>
      <c r="P296" s="421">
        <v>137.26768731378999</v>
      </c>
      <c r="Q296" s="421">
        <v>4.0770472509662401</v>
      </c>
      <c r="R296" s="421">
        <v>0</v>
      </c>
      <c r="S296" s="429">
        <v>227.54862253579699</v>
      </c>
      <c r="T296" s="412"/>
    </row>
    <row r="297" spans="2:20" ht="13.5">
      <c r="B297" s="412"/>
      <c r="C297" s="428" t="s">
        <v>82</v>
      </c>
      <c r="D297" s="421">
        <v>0</v>
      </c>
      <c r="E297" s="421">
        <v>0</v>
      </c>
      <c r="F297" s="421">
        <v>13.750506376214</v>
      </c>
      <c r="G297" s="421">
        <v>4.8242095413356898</v>
      </c>
      <c r="H297" s="421">
        <v>0</v>
      </c>
      <c r="I297" s="421">
        <v>0</v>
      </c>
      <c r="J297" s="421">
        <v>1.4039897378261701</v>
      </c>
      <c r="K297" s="421">
        <v>0</v>
      </c>
      <c r="L297" s="421">
        <v>12.720346370565601</v>
      </c>
      <c r="M297" s="421">
        <v>9.8453255945626303E-2</v>
      </c>
      <c r="N297" s="421">
        <v>0</v>
      </c>
      <c r="O297" s="421">
        <v>7.4767074498679406E-2</v>
      </c>
      <c r="P297" s="421">
        <v>7.7760236070527604</v>
      </c>
      <c r="Q297" s="421">
        <v>0</v>
      </c>
      <c r="R297" s="421">
        <v>0</v>
      </c>
      <c r="S297" s="429">
        <v>40.648295963438599</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0</v>
      </c>
      <c r="Q298" s="421">
        <v>0</v>
      </c>
      <c r="R298" s="421">
        <v>0</v>
      </c>
      <c r="S298" s="429">
        <v>0</v>
      </c>
      <c r="T298" s="412"/>
    </row>
    <row r="299" spans="2:20" ht="13.5">
      <c r="B299" s="412"/>
      <c r="C299" s="424" t="s">
        <v>83</v>
      </c>
      <c r="D299" s="425">
        <v>5.2125076489031201</v>
      </c>
      <c r="E299" s="425">
        <v>0</v>
      </c>
      <c r="F299" s="425">
        <v>312.57118395169198</v>
      </c>
      <c r="G299" s="425">
        <v>314.42516975342801</v>
      </c>
      <c r="H299" s="425">
        <v>0</v>
      </c>
      <c r="I299" s="425">
        <v>0</v>
      </c>
      <c r="J299" s="425">
        <v>96.092920129370597</v>
      </c>
      <c r="K299" s="425">
        <v>4.1672265212432702</v>
      </c>
      <c r="L299" s="425">
        <v>38.744176772559697</v>
      </c>
      <c r="M299" s="425">
        <v>6.4168401990495498</v>
      </c>
      <c r="N299" s="425">
        <v>57.2465959754038</v>
      </c>
      <c r="O299" s="425">
        <v>1.8238570093161599</v>
      </c>
      <c r="P299" s="425">
        <v>485.05106793512499</v>
      </c>
      <c r="Q299" s="425">
        <v>37.849249006370201</v>
      </c>
      <c r="R299" s="425">
        <v>1.9039336505565101</v>
      </c>
      <c r="S299" s="425">
        <v>1361.50472855302</v>
      </c>
      <c r="T299" s="412"/>
    </row>
    <row r="300" spans="2:20" ht="13.5">
      <c r="B300" s="412"/>
      <c r="C300" s="420" t="s">
        <v>84</v>
      </c>
      <c r="D300" s="421">
        <v>2.2139919433593702</v>
      </c>
      <c r="E300" s="421">
        <v>0</v>
      </c>
      <c r="F300" s="421">
        <v>138.06375460012401</v>
      </c>
      <c r="G300" s="421">
        <v>12.2915642401253</v>
      </c>
      <c r="H300" s="421">
        <v>0</v>
      </c>
      <c r="I300" s="421">
        <v>0</v>
      </c>
      <c r="J300" s="421">
        <v>0</v>
      </c>
      <c r="K300" s="421">
        <v>0</v>
      </c>
      <c r="L300" s="421">
        <v>0</v>
      </c>
      <c r="M300" s="421">
        <v>0</v>
      </c>
      <c r="N300" s="421">
        <v>0</v>
      </c>
      <c r="O300" s="421">
        <v>0</v>
      </c>
      <c r="P300" s="421">
        <v>0</v>
      </c>
      <c r="Q300" s="421">
        <v>0</v>
      </c>
      <c r="R300" s="421">
        <v>0.46972054687499998</v>
      </c>
      <c r="S300" s="429">
        <v>153.03903133048399</v>
      </c>
      <c r="T300" s="412"/>
    </row>
    <row r="301" spans="2:20" ht="13.5">
      <c r="B301" s="412"/>
      <c r="C301" s="424" t="s">
        <v>85</v>
      </c>
      <c r="D301" s="425">
        <v>7.4264995922625001</v>
      </c>
      <c r="E301" s="425">
        <v>0</v>
      </c>
      <c r="F301" s="425">
        <v>450.63493855181599</v>
      </c>
      <c r="G301" s="425">
        <v>326.71673399355302</v>
      </c>
      <c r="H301" s="425">
        <v>0</v>
      </c>
      <c r="I301" s="425">
        <v>0</v>
      </c>
      <c r="J301" s="425">
        <v>96.092920129370597</v>
      </c>
      <c r="K301" s="425">
        <v>4.1672265212432702</v>
      </c>
      <c r="L301" s="425">
        <v>38.744176772559697</v>
      </c>
      <c r="M301" s="425">
        <v>6.4168401990495498</v>
      </c>
      <c r="N301" s="425">
        <v>57.2465959754038</v>
      </c>
      <c r="O301" s="425">
        <v>1.8238570093161599</v>
      </c>
      <c r="P301" s="425">
        <v>485.05106793512499</v>
      </c>
      <c r="Q301" s="425">
        <v>37.849249006370201</v>
      </c>
      <c r="R301" s="425">
        <v>2.37365419743151</v>
      </c>
      <c r="S301" s="425">
        <v>1514.5437598834999</v>
      </c>
      <c r="T301" s="412"/>
    </row>
    <row r="302" spans="2:20">
      <c r="B302" s="412"/>
      <c r="C302" s="412"/>
      <c r="D302" s="430">
        <f t="shared" ref="D302:S302" si="15">D301+D291-D277</f>
        <v>0</v>
      </c>
      <c r="E302" s="430">
        <f t="shared" si="15"/>
        <v>0</v>
      </c>
      <c r="F302" s="430">
        <f t="shared" si="15"/>
        <v>-8.0646600508771371E-13</v>
      </c>
      <c r="G302" s="430">
        <f t="shared" si="15"/>
        <v>-4.5474735088646412E-13</v>
      </c>
      <c r="H302" s="430">
        <f t="shared" si="15"/>
        <v>0</v>
      </c>
      <c r="I302" s="430">
        <f t="shared" si="15"/>
        <v>0</v>
      </c>
      <c r="J302" s="430">
        <f t="shared" si="15"/>
        <v>-5.1159076974727213E-13</v>
      </c>
      <c r="K302" s="430">
        <f t="shared" si="15"/>
        <v>-2.8421709430404007E-14</v>
      </c>
      <c r="L302" s="430">
        <f t="shared" si="15"/>
        <v>1.4210854715202004E-14</v>
      </c>
      <c r="M302" s="430">
        <f t="shared" si="15"/>
        <v>0</v>
      </c>
      <c r="N302" s="430">
        <f t="shared" si="15"/>
        <v>0</v>
      </c>
      <c r="O302" s="430">
        <f t="shared" si="15"/>
        <v>0</v>
      </c>
      <c r="P302" s="430">
        <f t="shared" si="15"/>
        <v>1.9184653865522705E-13</v>
      </c>
      <c r="Q302" s="430">
        <f t="shared" si="15"/>
        <v>0</v>
      </c>
      <c r="R302" s="430">
        <f t="shared" si="15"/>
        <v>0</v>
      </c>
      <c r="S302" s="430">
        <f t="shared" si="15"/>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3.5">
      <c r="B304" s="416"/>
      <c r="C304" s="417" t="s">
        <v>363</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02" t="s">
        <v>128</v>
      </c>
      <c r="D306" s="703" t="s">
        <v>42</v>
      </c>
      <c r="E306" s="703" t="s">
        <v>52</v>
      </c>
      <c r="F306" s="703" t="s">
        <v>53</v>
      </c>
      <c r="G306" s="703" t="s">
        <v>32</v>
      </c>
      <c r="H306" s="703" t="s">
        <v>20</v>
      </c>
      <c r="I306" s="703" t="s">
        <v>55</v>
      </c>
      <c r="J306" s="703" t="s">
        <v>56</v>
      </c>
      <c r="K306" s="703"/>
      <c r="L306" s="703"/>
      <c r="M306" s="703"/>
      <c r="N306" s="703"/>
      <c r="O306" s="703"/>
      <c r="P306" s="703" t="s">
        <v>57</v>
      </c>
      <c r="Q306" s="703" t="s">
        <v>58</v>
      </c>
      <c r="R306" s="703" t="s">
        <v>31</v>
      </c>
      <c r="S306" s="703" t="s">
        <v>10</v>
      </c>
      <c r="T306" s="412"/>
    </row>
    <row r="307" spans="2:20" ht="57.5">
      <c r="B307" s="412"/>
      <c r="C307" s="702"/>
      <c r="D307" s="703"/>
      <c r="E307" s="703"/>
      <c r="F307" s="703"/>
      <c r="G307" s="703"/>
      <c r="H307" s="703"/>
      <c r="I307" s="703"/>
      <c r="J307" s="418" t="s">
        <v>338</v>
      </c>
      <c r="K307" s="418" t="s">
        <v>40</v>
      </c>
      <c r="L307" s="418" t="s">
        <v>346</v>
      </c>
      <c r="M307" s="418" t="s">
        <v>347</v>
      </c>
      <c r="N307" s="419" t="s">
        <v>348</v>
      </c>
      <c r="O307" s="418" t="s">
        <v>349</v>
      </c>
      <c r="P307" s="703"/>
      <c r="Q307" s="703"/>
      <c r="R307" s="703"/>
      <c r="S307" s="703"/>
      <c r="T307" s="412"/>
    </row>
    <row r="308" spans="2:20" ht="13.5">
      <c r="B308" s="412"/>
      <c r="C308" s="420" t="s">
        <v>59</v>
      </c>
      <c r="D308" s="421">
        <v>0</v>
      </c>
      <c r="E308" s="421">
        <v>0</v>
      </c>
      <c r="F308" s="421">
        <v>0</v>
      </c>
      <c r="G308" s="421">
        <v>0</v>
      </c>
      <c r="H308" s="422">
        <v>959.09090909090901</v>
      </c>
      <c r="I308" s="422">
        <v>262.58</v>
      </c>
      <c r="J308" s="422">
        <v>180.265617568263</v>
      </c>
      <c r="K308" s="422">
        <v>23.099472372796701</v>
      </c>
      <c r="L308" s="421">
        <v>0</v>
      </c>
      <c r="M308" s="421">
        <v>0</v>
      </c>
      <c r="N308" s="422">
        <v>59.577309191786703</v>
      </c>
      <c r="O308" s="422">
        <v>4.0524132365006302</v>
      </c>
      <c r="P308" s="421">
        <v>0</v>
      </c>
      <c r="Q308" s="421">
        <v>0</v>
      </c>
      <c r="R308" s="421">
        <v>0</v>
      </c>
      <c r="S308" s="423">
        <v>1488.6657214602601</v>
      </c>
      <c r="T308" s="412"/>
    </row>
    <row r="309" spans="2:20" ht="13.5">
      <c r="B309" s="412"/>
      <c r="C309" s="420" t="s">
        <v>60</v>
      </c>
      <c r="D309" s="421">
        <v>32.718430513686002</v>
      </c>
      <c r="E309" s="421">
        <v>504.19228646673599</v>
      </c>
      <c r="F309" s="421">
        <v>58.276607316060698</v>
      </c>
      <c r="G309" s="421">
        <v>375.54945868825399</v>
      </c>
      <c r="H309" s="421">
        <v>0</v>
      </c>
      <c r="I309" s="421">
        <v>0</v>
      </c>
      <c r="J309" s="421">
        <v>0</v>
      </c>
      <c r="K309" s="421">
        <v>0</v>
      </c>
      <c r="L309" s="421">
        <v>0</v>
      </c>
      <c r="M309" s="421">
        <v>0</v>
      </c>
      <c r="N309" s="421">
        <v>0</v>
      </c>
      <c r="O309" s="421">
        <v>0</v>
      </c>
      <c r="P309" s="421">
        <v>0</v>
      </c>
      <c r="Q309" s="421">
        <v>0</v>
      </c>
      <c r="R309" s="421">
        <v>0</v>
      </c>
      <c r="S309" s="423">
        <v>970.73678298473703</v>
      </c>
      <c r="T309" s="412"/>
    </row>
    <row r="310" spans="2:20" ht="13.5">
      <c r="B310" s="412"/>
      <c r="C310" s="420" t="s">
        <v>61</v>
      </c>
      <c r="D310" s="421">
        <v>0</v>
      </c>
      <c r="E310" s="421">
        <v>0</v>
      </c>
      <c r="F310" s="421">
        <v>0</v>
      </c>
      <c r="G310" s="421">
        <v>0</v>
      </c>
      <c r="H310" s="421">
        <v>0</v>
      </c>
      <c r="I310" s="421">
        <v>0</v>
      </c>
      <c r="J310" s="421">
        <v>0</v>
      </c>
      <c r="K310" s="421">
        <v>0</v>
      </c>
      <c r="L310" s="421">
        <v>0</v>
      </c>
      <c r="M310" s="421">
        <v>0</v>
      </c>
      <c r="N310" s="421">
        <v>0</v>
      </c>
      <c r="O310" s="421">
        <v>0</v>
      </c>
      <c r="P310" s="421">
        <v>-31.629492690064499</v>
      </c>
      <c r="Q310" s="421">
        <v>0</v>
      </c>
      <c r="R310" s="421">
        <v>0</v>
      </c>
      <c r="S310" s="423">
        <v>-31.629492690064499</v>
      </c>
      <c r="T310" s="412"/>
    </row>
    <row r="311" spans="2:20" ht="13.5">
      <c r="B311" s="412"/>
      <c r="C311" s="420" t="s">
        <v>62</v>
      </c>
      <c r="D311" s="421">
        <v>0</v>
      </c>
      <c r="E311" s="421">
        <v>0</v>
      </c>
      <c r="F311" s="421">
        <v>-15.8559052566209</v>
      </c>
      <c r="G311" s="421">
        <v>0</v>
      </c>
      <c r="H311" s="421">
        <v>0</v>
      </c>
      <c r="I311" s="421">
        <v>0</v>
      </c>
      <c r="J311" s="421">
        <v>0</v>
      </c>
      <c r="K311" s="421">
        <v>0</v>
      </c>
      <c r="L311" s="421">
        <v>0</v>
      </c>
      <c r="M311" s="421">
        <v>0</v>
      </c>
      <c r="N311" s="421">
        <v>0</v>
      </c>
      <c r="O311" s="421">
        <v>0</v>
      </c>
      <c r="P311" s="421">
        <v>0</v>
      </c>
      <c r="Q311" s="421">
        <v>0</v>
      </c>
      <c r="R311" s="421">
        <v>0</v>
      </c>
      <c r="S311" s="423">
        <v>-15.8559052566209</v>
      </c>
      <c r="T311" s="412"/>
    </row>
    <row r="312" spans="2:20" ht="13.5">
      <c r="B312" s="412"/>
      <c r="C312" s="420" t="s">
        <v>63</v>
      </c>
      <c r="D312" s="421">
        <v>0</v>
      </c>
      <c r="E312" s="421">
        <v>0</v>
      </c>
      <c r="F312" s="421">
        <v>-86.773262368245497</v>
      </c>
      <c r="G312" s="421">
        <v>0</v>
      </c>
      <c r="H312" s="421">
        <v>0</v>
      </c>
      <c r="I312" s="421">
        <v>0</v>
      </c>
      <c r="J312" s="421">
        <v>0</v>
      </c>
      <c r="K312" s="421">
        <v>0</v>
      </c>
      <c r="L312" s="421">
        <v>-0.89665432830126901</v>
      </c>
      <c r="M312" s="421">
        <v>0</v>
      </c>
      <c r="N312" s="421">
        <v>0</v>
      </c>
      <c r="O312" s="421">
        <v>0</v>
      </c>
      <c r="P312" s="421">
        <v>0</v>
      </c>
      <c r="Q312" s="421">
        <v>0</v>
      </c>
      <c r="R312" s="421">
        <v>0</v>
      </c>
      <c r="S312" s="423">
        <v>-87.669916696546807</v>
      </c>
      <c r="T312" s="412"/>
    </row>
    <row r="313" spans="2:20" ht="13.5">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ht="13.5">
      <c r="B314" s="412"/>
      <c r="C314" s="424" t="s">
        <v>65</v>
      </c>
      <c r="D314" s="425">
        <v>32.718430513686002</v>
      </c>
      <c r="E314" s="425">
        <v>504.19228646673599</v>
      </c>
      <c r="F314" s="425">
        <v>-44.3525603088057</v>
      </c>
      <c r="G314" s="425">
        <v>375.54945868825399</v>
      </c>
      <c r="H314" s="425">
        <v>959.09090909090901</v>
      </c>
      <c r="I314" s="425">
        <v>262.58</v>
      </c>
      <c r="J314" s="425">
        <v>180.265617568263</v>
      </c>
      <c r="K314" s="425">
        <v>23.099472372796701</v>
      </c>
      <c r="L314" s="425">
        <v>-0.89665432830126901</v>
      </c>
      <c r="M314" s="425">
        <v>0</v>
      </c>
      <c r="N314" s="425">
        <v>59.577309191786703</v>
      </c>
      <c r="O314" s="425">
        <v>4.0524132365006302</v>
      </c>
      <c r="P314" s="425">
        <v>-31.629492690064499</v>
      </c>
      <c r="Q314" s="425">
        <v>0</v>
      </c>
      <c r="R314" s="425">
        <v>0</v>
      </c>
      <c r="S314" s="425">
        <v>2324.2471898017602</v>
      </c>
      <c r="T314" s="412"/>
    </row>
    <row r="315" spans="2:20" ht="13.5">
      <c r="B315" s="412"/>
      <c r="C315" s="426"/>
      <c r="D315" s="427"/>
      <c r="E315" s="427"/>
      <c r="F315" s="427"/>
      <c r="G315" s="427"/>
      <c r="H315" s="427"/>
      <c r="I315" s="427"/>
      <c r="J315" s="427"/>
      <c r="K315" s="427"/>
      <c r="L315" s="427"/>
      <c r="M315" s="427"/>
      <c r="N315" s="427"/>
      <c r="O315" s="427"/>
      <c r="P315" s="427"/>
      <c r="Q315" s="427"/>
      <c r="R315" s="427"/>
      <c r="S315" s="427"/>
      <c r="T315" s="412"/>
    </row>
    <row r="316" spans="2:20" ht="13.5">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ht="13.5">
      <c r="B317" s="412"/>
      <c r="C317" s="428" t="s">
        <v>350</v>
      </c>
      <c r="D317" s="421">
        <v>2.2004707355665598</v>
      </c>
      <c r="E317" s="421">
        <v>0</v>
      </c>
      <c r="F317" s="421">
        <v>3.8636363636363602</v>
      </c>
      <c r="G317" s="421">
        <v>17.735248612195999</v>
      </c>
      <c r="H317" s="421">
        <v>959.09090909090901</v>
      </c>
      <c r="I317" s="421">
        <v>262.58</v>
      </c>
      <c r="J317" s="421">
        <v>23.4611328004797</v>
      </c>
      <c r="K317" s="421">
        <v>6.2174163871509203</v>
      </c>
      <c r="L317" s="421">
        <v>0</v>
      </c>
      <c r="M317" s="421">
        <v>0.36194384922848999</v>
      </c>
      <c r="N317" s="421">
        <v>0</v>
      </c>
      <c r="O317" s="421">
        <v>0</v>
      </c>
      <c r="P317" s="421">
        <v>-601.88588566531905</v>
      </c>
      <c r="Q317" s="421">
        <v>0</v>
      </c>
      <c r="R317" s="421">
        <v>0</v>
      </c>
      <c r="S317" s="429">
        <v>673.62487217384796</v>
      </c>
      <c r="T317" s="412"/>
    </row>
    <row r="318" spans="2:20" ht="13.5">
      <c r="B318" s="412"/>
      <c r="C318" s="428" t="s">
        <v>351</v>
      </c>
      <c r="D318" s="421">
        <v>0</v>
      </c>
      <c r="E318" s="421">
        <v>0</v>
      </c>
      <c r="F318" s="421">
        <v>0</v>
      </c>
      <c r="G318" s="421">
        <v>17.183924372650001</v>
      </c>
      <c r="H318" s="421">
        <v>0</v>
      </c>
      <c r="I318" s="421">
        <v>0</v>
      </c>
      <c r="J318" s="421">
        <v>12.602550905863099</v>
      </c>
      <c r="K318" s="421">
        <v>12.7146561007388</v>
      </c>
      <c r="L318" s="421">
        <v>0</v>
      </c>
      <c r="M318" s="421">
        <v>0.35069233413571399</v>
      </c>
      <c r="N318" s="421">
        <v>0</v>
      </c>
      <c r="O318" s="421">
        <v>2.2448826639763899</v>
      </c>
      <c r="P318" s="421">
        <v>0</v>
      </c>
      <c r="Q318" s="421">
        <v>-41.019007188274998</v>
      </c>
      <c r="R318" s="421">
        <v>0</v>
      </c>
      <c r="S318" s="429">
        <v>4.0776991890889702</v>
      </c>
      <c r="T318" s="412"/>
    </row>
    <row r="319" spans="2:20" ht="13.5">
      <c r="B319" s="412"/>
      <c r="C319" s="428" t="s">
        <v>352</v>
      </c>
      <c r="D319" s="421">
        <v>0</v>
      </c>
      <c r="E319" s="421">
        <v>0</v>
      </c>
      <c r="F319" s="421">
        <v>0</v>
      </c>
      <c r="G319" s="421">
        <v>0</v>
      </c>
      <c r="H319" s="421">
        <v>0</v>
      </c>
      <c r="I319" s="421">
        <v>0</v>
      </c>
      <c r="J319" s="421">
        <v>8.1259394649786305</v>
      </c>
      <c r="K319" s="421">
        <v>0</v>
      </c>
      <c r="L319" s="421">
        <v>0</v>
      </c>
      <c r="M319" s="421">
        <v>-7.4149197617929996</v>
      </c>
      <c r="N319" s="421">
        <v>0</v>
      </c>
      <c r="O319" s="421">
        <v>0</v>
      </c>
      <c r="P319" s="421">
        <v>0</v>
      </c>
      <c r="Q319" s="421">
        <v>0</v>
      </c>
      <c r="R319" s="421">
        <v>0</v>
      </c>
      <c r="S319" s="429">
        <v>0.71101970318563101</v>
      </c>
      <c r="T319" s="412"/>
    </row>
    <row r="320" spans="2:20" ht="13.5">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ht="13.5">
      <c r="B321" s="412"/>
      <c r="C321" s="428" t="s">
        <v>72</v>
      </c>
      <c r="D321" s="421">
        <v>0</v>
      </c>
      <c r="E321" s="421">
        <v>522.289621864335</v>
      </c>
      <c r="F321" s="421">
        <v>-517.06672564569203</v>
      </c>
      <c r="G321" s="421">
        <v>0</v>
      </c>
      <c r="H321" s="421">
        <v>0</v>
      </c>
      <c r="I321" s="421">
        <v>0</v>
      </c>
      <c r="J321" s="421">
        <v>0</v>
      </c>
      <c r="K321" s="421">
        <v>0</v>
      </c>
      <c r="L321" s="421">
        <v>0</v>
      </c>
      <c r="M321" s="421">
        <v>0</v>
      </c>
      <c r="N321" s="421">
        <v>0</v>
      </c>
      <c r="O321" s="421">
        <v>0</v>
      </c>
      <c r="P321" s="421">
        <v>0</v>
      </c>
      <c r="Q321" s="421">
        <v>0</v>
      </c>
      <c r="R321" s="421">
        <v>0</v>
      </c>
      <c r="S321" s="429">
        <v>5.2228962186433101</v>
      </c>
      <c r="T321" s="412"/>
    </row>
    <row r="322" spans="2:20" ht="13.5">
      <c r="B322" s="412"/>
      <c r="C322" s="428" t="s">
        <v>354</v>
      </c>
      <c r="D322" s="421">
        <v>0</v>
      </c>
      <c r="E322" s="421">
        <v>0</v>
      </c>
      <c r="F322" s="421">
        <v>0</v>
      </c>
      <c r="G322" s="421">
        <v>0</v>
      </c>
      <c r="H322" s="421">
        <v>0</v>
      </c>
      <c r="I322" s="421">
        <v>0</v>
      </c>
      <c r="J322" s="421">
        <v>39.636150809514099</v>
      </c>
      <c r="K322" s="421">
        <v>0</v>
      </c>
      <c r="L322" s="421">
        <v>-39.636150809514099</v>
      </c>
      <c r="M322" s="421">
        <v>0</v>
      </c>
      <c r="N322" s="421">
        <v>0</v>
      </c>
      <c r="O322" s="421">
        <v>0</v>
      </c>
      <c r="P322" s="421">
        <v>0</v>
      </c>
      <c r="Q322" s="421">
        <v>0</v>
      </c>
      <c r="R322" s="421">
        <v>0</v>
      </c>
      <c r="S322" s="429">
        <v>0</v>
      </c>
      <c r="T322" s="412"/>
    </row>
    <row r="323" spans="2:20" ht="13.5">
      <c r="B323" s="412"/>
      <c r="C323" s="428" t="s">
        <v>355</v>
      </c>
      <c r="D323" s="421">
        <v>0</v>
      </c>
      <c r="E323" s="421">
        <v>0</v>
      </c>
      <c r="F323" s="421">
        <v>0</v>
      </c>
      <c r="G323" s="421">
        <v>0</v>
      </c>
      <c r="H323" s="421">
        <v>0</v>
      </c>
      <c r="I323" s="421">
        <v>0</v>
      </c>
      <c r="J323" s="421">
        <v>0</v>
      </c>
      <c r="K323" s="421">
        <v>0</v>
      </c>
      <c r="L323" s="421">
        <v>-0.18158952535457601</v>
      </c>
      <c r="M323" s="421">
        <v>0</v>
      </c>
      <c r="N323" s="421">
        <v>0</v>
      </c>
      <c r="O323" s="421">
        <v>0</v>
      </c>
      <c r="P323" s="421">
        <v>0</v>
      </c>
      <c r="Q323" s="421">
        <v>0</v>
      </c>
      <c r="R323" s="421">
        <v>0.25941360764939397</v>
      </c>
      <c r="S323" s="429">
        <v>7.7824082294818103E-2</v>
      </c>
      <c r="T323" s="412"/>
    </row>
    <row r="324" spans="2:20" ht="13.5">
      <c r="B324" s="412"/>
      <c r="C324" s="428" t="s">
        <v>73</v>
      </c>
      <c r="D324" s="421">
        <v>0</v>
      </c>
      <c r="E324" s="421">
        <v>0</v>
      </c>
      <c r="F324" s="421">
        <v>0</v>
      </c>
      <c r="G324" s="421">
        <v>3.8743456372163201</v>
      </c>
      <c r="H324" s="421">
        <v>0</v>
      </c>
      <c r="I324" s="421">
        <v>0</v>
      </c>
      <c r="J324" s="421">
        <v>0</v>
      </c>
      <c r="K324" s="421">
        <v>4.4420381073335499E-2</v>
      </c>
      <c r="L324" s="421">
        <v>0</v>
      </c>
      <c r="M324" s="421">
        <v>7.9068278310537199E-2</v>
      </c>
      <c r="N324" s="421">
        <v>0</v>
      </c>
      <c r="O324" s="421">
        <v>0</v>
      </c>
      <c r="P324" s="421">
        <v>0.45393090147934101</v>
      </c>
      <c r="Q324" s="421">
        <v>0</v>
      </c>
      <c r="R324" s="421">
        <v>-3.10942667513349</v>
      </c>
      <c r="S324" s="429">
        <v>1.3423385229460501</v>
      </c>
      <c r="T324" s="412"/>
    </row>
    <row r="325" spans="2:20" ht="13.5">
      <c r="B325" s="412"/>
      <c r="C325" s="428" t="s">
        <v>356</v>
      </c>
      <c r="D325" s="421">
        <v>13.757025878906299</v>
      </c>
      <c r="E325" s="421">
        <v>-18.097335397599199</v>
      </c>
      <c r="F325" s="421">
        <v>23.670245777269098</v>
      </c>
      <c r="G325" s="421">
        <v>0</v>
      </c>
      <c r="H325" s="421">
        <v>0</v>
      </c>
      <c r="I325" s="421">
        <v>0</v>
      </c>
      <c r="J325" s="421">
        <v>0</v>
      </c>
      <c r="K325" s="421">
        <v>0</v>
      </c>
      <c r="L325" s="421">
        <v>0</v>
      </c>
      <c r="M325" s="421">
        <v>0</v>
      </c>
      <c r="N325" s="421">
        <v>0</v>
      </c>
      <c r="O325" s="421">
        <v>0</v>
      </c>
      <c r="P325" s="421">
        <v>0</v>
      </c>
      <c r="Q325" s="421">
        <v>0</v>
      </c>
      <c r="R325" s="421">
        <v>0</v>
      </c>
      <c r="S325" s="429">
        <v>19.329936258576101</v>
      </c>
      <c r="T325" s="412"/>
    </row>
    <row r="326" spans="2:20" ht="13.5">
      <c r="B326" s="412"/>
      <c r="C326" s="428" t="s">
        <v>75</v>
      </c>
      <c r="D326" s="421">
        <v>9.7066552734374998</v>
      </c>
      <c r="E326" s="421">
        <v>0</v>
      </c>
      <c r="F326" s="421">
        <v>17.757847143387401</v>
      </c>
      <c r="G326" s="421">
        <v>5.0672539113277804</v>
      </c>
      <c r="H326" s="421">
        <v>0</v>
      </c>
      <c r="I326" s="421">
        <v>0</v>
      </c>
      <c r="J326" s="421">
        <v>0</v>
      </c>
      <c r="K326" s="421">
        <v>0</v>
      </c>
      <c r="L326" s="421">
        <v>0</v>
      </c>
      <c r="M326" s="421">
        <v>0.103413345129138</v>
      </c>
      <c r="N326" s="421">
        <v>0</v>
      </c>
      <c r="O326" s="421">
        <v>0</v>
      </c>
      <c r="P326" s="421">
        <v>30.6584761014478</v>
      </c>
      <c r="Q326" s="421">
        <v>0</v>
      </c>
      <c r="R326" s="421">
        <v>0</v>
      </c>
      <c r="S326" s="429">
        <v>63.293645774729598</v>
      </c>
      <c r="T326" s="412"/>
    </row>
    <row r="327" spans="2:20" ht="13.5">
      <c r="B327" s="412"/>
      <c r="C327" s="428" t="s">
        <v>76</v>
      </c>
      <c r="D327" s="421">
        <v>0</v>
      </c>
      <c r="E327" s="421">
        <v>0</v>
      </c>
      <c r="F327" s="421">
        <v>0</v>
      </c>
      <c r="G327" s="421">
        <v>4.3082735374844701</v>
      </c>
      <c r="H327" s="421">
        <v>0</v>
      </c>
      <c r="I327" s="421">
        <v>0</v>
      </c>
      <c r="J327" s="421">
        <v>0</v>
      </c>
      <c r="K327" s="421">
        <v>0</v>
      </c>
      <c r="L327" s="421">
        <v>0</v>
      </c>
      <c r="M327" s="421">
        <v>8.7923949744581106E-2</v>
      </c>
      <c r="N327" s="421">
        <v>0</v>
      </c>
      <c r="O327" s="421">
        <v>0</v>
      </c>
      <c r="P327" s="421">
        <v>43.703860218786801</v>
      </c>
      <c r="Q327" s="421">
        <v>3.1785946529659599</v>
      </c>
      <c r="R327" s="421">
        <v>0</v>
      </c>
      <c r="S327" s="429">
        <v>51.278652358981802</v>
      </c>
      <c r="T327" s="412"/>
    </row>
    <row r="328" spans="2:20" ht="13.5">
      <c r="B328" s="412"/>
      <c r="C328" s="424" t="s">
        <v>77</v>
      </c>
      <c r="D328" s="425">
        <v>25.6641518879103</v>
      </c>
      <c r="E328" s="425">
        <v>504.19228646673599</v>
      </c>
      <c r="F328" s="425">
        <v>-471.77499636139902</v>
      </c>
      <c r="G328" s="425">
        <v>48.1690460708746</v>
      </c>
      <c r="H328" s="425">
        <v>959.09090909090901</v>
      </c>
      <c r="I328" s="425">
        <v>262.58</v>
      </c>
      <c r="J328" s="425">
        <v>83.825773980835606</v>
      </c>
      <c r="K328" s="425">
        <v>18.976492868963099</v>
      </c>
      <c r="L328" s="425">
        <v>-39.817740334868702</v>
      </c>
      <c r="M328" s="425">
        <v>-6.4318780052445401</v>
      </c>
      <c r="N328" s="425">
        <v>0</v>
      </c>
      <c r="O328" s="425">
        <v>2.2448826639763899</v>
      </c>
      <c r="P328" s="425">
        <v>-527.06961844360501</v>
      </c>
      <c r="Q328" s="425">
        <v>-37.840412535309099</v>
      </c>
      <c r="R328" s="425">
        <v>-2.85001306748409</v>
      </c>
      <c r="S328" s="425">
        <v>818.958884282295</v>
      </c>
      <c r="T328" s="412"/>
    </row>
    <row r="329" spans="2:20" ht="13.5">
      <c r="B329" s="412"/>
      <c r="C329" s="426"/>
      <c r="D329" s="427"/>
      <c r="E329" s="427"/>
      <c r="F329" s="427"/>
      <c r="G329" s="427"/>
      <c r="H329" s="427"/>
      <c r="I329" s="427"/>
      <c r="J329" s="427"/>
      <c r="K329" s="427"/>
      <c r="L329" s="427"/>
      <c r="M329" s="427"/>
      <c r="N329" s="427"/>
      <c r="O329" s="427"/>
      <c r="P329" s="427"/>
      <c r="Q329" s="427"/>
      <c r="R329" s="427"/>
      <c r="S329" s="427"/>
      <c r="T329" s="412"/>
    </row>
    <row r="330" spans="2:20" ht="13.5">
      <c r="B330" s="412"/>
      <c r="C330" s="428" t="s">
        <v>78</v>
      </c>
      <c r="D330" s="421">
        <v>4.8707551882757301</v>
      </c>
      <c r="E330" s="421">
        <v>0</v>
      </c>
      <c r="F330" s="421">
        <v>20.993444165004</v>
      </c>
      <c r="G330" s="421">
        <v>101.297175428703</v>
      </c>
      <c r="H330" s="421">
        <v>0</v>
      </c>
      <c r="I330" s="421">
        <v>0</v>
      </c>
      <c r="J330" s="421">
        <v>17.0565927141357</v>
      </c>
      <c r="K330" s="421">
        <v>4.1229795038336201</v>
      </c>
      <c r="L330" s="421">
        <v>0.85536540625000002</v>
      </c>
      <c r="M330" s="421">
        <v>2.0672892944633201</v>
      </c>
      <c r="N330" s="421">
        <v>0</v>
      </c>
      <c r="O330" s="421">
        <v>0</v>
      </c>
      <c r="P330" s="421">
        <v>110.160518652362</v>
      </c>
      <c r="Q330" s="421">
        <v>18.409316628727701</v>
      </c>
      <c r="R330" s="421">
        <v>0.24532713317871099</v>
      </c>
      <c r="S330" s="429">
        <v>280.07876411493402</v>
      </c>
      <c r="T330" s="412"/>
    </row>
    <row r="331" spans="2:20" ht="13.5">
      <c r="B331" s="412"/>
      <c r="C331" s="428" t="s">
        <v>79</v>
      </c>
      <c r="D331" s="421">
        <v>0</v>
      </c>
      <c r="E331" s="421">
        <v>0</v>
      </c>
      <c r="F331" s="421">
        <v>232.66006634693801</v>
      </c>
      <c r="G331" s="421">
        <v>30.945196482305999</v>
      </c>
      <c r="H331" s="421">
        <v>0</v>
      </c>
      <c r="I331" s="421">
        <v>0</v>
      </c>
      <c r="J331" s="421">
        <v>0</v>
      </c>
      <c r="K331" s="421">
        <v>0</v>
      </c>
      <c r="L331" s="421">
        <v>23.571302525286502</v>
      </c>
      <c r="M331" s="421">
        <v>0.63153462208787803</v>
      </c>
      <c r="N331" s="421">
        <v>0</v>
      </c>
      <c r="O331" s="421">
        <v>0</v>
      </c>
      <c r="P331" s="421">
        <v>58.064871561766502</v>
      </c>
      <c r="Q331" s="421">
        <v>0</v>
      </c>
      <c r="R331" s="421">
        <v>2.0183635099889798</v>
      </c>
      <c r="S331" s="429">
        <v>347.891335048374</v>
      </c>
      <c r="T331" s="412"/>
    </row>
    <row r="332" spans="2:20" ht="13.5">
      <c r="B332" s="412"/>
      <c r="C332" s="428" t="s">
        <v>80</v>
      </c>
      <c r="D332" s="421">
        <v>0</v>
      </c>
      <c r="E332" s="421">
        <v>0</v>
      </c>
      <c r="F332" s="421">
        <v>17.5598675682925</v>
      </c>
      <c r="G332" s="421">
        <v>111.929219277919</v>
      </c>
      <c r="H332" s="421">
        <v>0</v>
      </c>
      <c r="I332" s="421">
        <v>0</v>
      </c>
      <c r="J332" s="421">
        <v>74.389853901213101</v>
      </c>
      <c r="K332" s="421">
        <v>0</v>
      </c>
      <c r="L332" s="421">
        <v>0</v>
      </c>
      <c r="M332" s="421">
        <v>2.2842697811820298</v>
      </c>
      <c r="N332" s="421">
        <v>53.007893982905898</v>
      </c>
      <c r="O332" s="421">
        <v>0.95506902656111503</v>
      </c>
      <c r="P332" s="421">
        <v>180.360799216462</v>
      </c>
      <c r="Q332" s="421">
        <v>15.433765533154</v>
      </c>
      <c r="R332" s="421">
        <v>0</v>
      </c>
      <c r="S332" s="429">
        <v>455.92073828769003</v>
      </c>
      <c r="T332" s="412"/>
    </row>
    <row r="333" spans="2:20" ht="13.5">
      <c r="B333" s="412"/>
      <c r="C333" s="428" t="s">
        <v>81</v>
      </c>
      <c r="D333" s="421">
        <v>0</v>
      </c>
      <c r="E333" s="421">
        <v>0</v>
      </c>
      <c r="F333" s="421">
        <v>7.3923055794682702</v>
      </c>
      <c r="G333" s="421">
        <v>65.894293417713897</v>
      </c>
      <c r="H333" s="421">
        <v>0</v>
      </c>
      <c r="I333" s="421">
        <v>0</v>
      </c>
      <c r="J333" s="421">
        <v>3.41214349769231</v>
      </c>
      <c r="K333" s="421">
        <v>0</v>
      </c>
      <c r="L333" s="421">
        <v>0</v>
      </c>
      <c r="M333" s="421">
        <v>1.34478149832069</v>
      </c>
      <c r="N333" s="421">
        <v>6.5694152088807796</v>
      </c>
      <c r="O333" s="421">
        <v>0.78006902491520902</v>
      </c>
      <c r="P333" s="421">
        <v>139.183172558515</v>
      </c>
      <c r="Q333" s="421">
        <v>3.99733037342736</v>
      </c>
      <c r="R333" s="421">
        <v>0</v>
      </c>
      <c r="S333" s="429">
        <v>228.573511158934</v>
      </c>
      <c r="T333" s="412"/>
    </row>
    <row r="334" spans="2:20" ht="13.5">
      <c r="B334" s="412"/>
      <c r="C334" s="428" t="s">
        <v>82</v>
      </c>
      <c r="D334" s="421">
        <v>0</v>
      </c>
      <c r="E334" s="421">
        <v>0</v>
      </c>
      <c r="F334" s="421">
        <v>10.671888604675701</v>
      </c>
      <c r="G334" s="421">
        <v>5.0961376503405704</v>
      </c>
      <c r="H334" s="421">
        <v>0</v>
      </c>
      <c r="I334" s="421">
        <v>0</v>
      </c>
      <c r="J334" s="421">
        <v>1.58125347438603</v>
      </c>
      <c r="K334" s="421">
        <v>0</v>
      </c>
      <c r="L334" s="421">
        <v>14.494418075031</v>
      </c>
      <c r="M334" s="421">
        <v>0.104002809190624</v>
      </c>
      <c r="N334" s="421">
        <v>0</v>
      </c>
      <c r="O334" s="421">
        <v>7.2392521047915395E-2</v>
      </c>
      <c r="P334" s="421">
        <v>7.67076376443437</v>
      </c>
      <c r="Q334" s="421">
        <v>0</v>
      </c>
      <c r="R334" s="421">
        <v>0</v>
      </c>
      <c r="S334" s="429">
        <v>39.690856899106201</v>
      </c>
      <c r="T334" s="412"/>
    </row>
    <row r="335" spans="2:20" ht="13.5">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0</v>
      </c>
      <c r="Q335" s="421">
        <v>0</v>
      </c>
      <c r="R335" s="421">
        <v>0</v>
      </c>
      <c r="S335" s="429">
        <v>0</v>
      </c>
      <c r="T335" s="412"/>
    </row>
    <row r="336" spans="2:20" ht="13.5">
      <c r="B336" s="412"/>
      <c r="C336" s="424" t="s">
        <v>83</v>
      </c>
      <c r="D336" s="425">
        <v>4.8707551882757301</v>
      </c>
      <c r="E336" s="425">
        <v>0</v>
      </c>
      <c r="F336" s="425">
        <v>289.27757226437899</v>
      </c>
      <c r="G336" s="425">
        <v>315.16202225698203</v>
      </c>
      <c r="H336" s="425">
        <v>0</v>
      </c>
      <c r="I336" s="425">
        <v>0</v>
      </c>
      <c r="J336" s="425">
        <v>96.439843587427205</v>
      </c>
      <c r="K336" s="425">
        <v>4.1229795038336201</v>
      </c>
      <c r="L336" s="425">
        <v>38.9210860065674</v>
      </c>
      <c r="M336" s="425">
        <v>6.4318780052445401</v>
      </c>
      <c r="N336" s="425">
        <v>59.577309191786703</v>
      </c>
      <c r="O336" s="425">
        <v>1.8075305725242401</v>
      </c>
      <c r="P336" s="425">
        <v>495.440125753541</v>
      </c>
      <c r="Q336" s="425">
        <v>37.840412535309099</v>
      </c>
      <c r="R336" s="425">
        <v>2.2636906431676902</v>
      </c>
      <c r="S336" s="425">
        <v>1352.1552055090399</v>
      </c>
      <c r="T336" s="412"/>
    </row>
    <row r="337" spans="2:20" ht="13.5">
      <c r="B337" s="412"/>
      <c r="C337" s="420" t="s">
        <v>84</v>
      </c>
      <c r="D337" s="421">
        <v>2.1835234374999999</v>
      </c>
      <c r="E337" s="421">
        <v>0</v>
      </c>
      <c r="F337" s="421">
        <v>138.144863788214</v>
      </c>
      <c r="G337" s="421">
        <v>12.218390360397301</v>
      </c>
      <c r="H337" s="421">
        <v>0</v>
      </c>
      <c r="I337" s="421">
        <v>0</v>
      </c>
      <c r="J337" s="421">
        <v>0</v>
      </c>
      <c r="K337" s="421">
        <v>0</v>
      </c>
      <c r="L337" s="421">
        <v>0</v>
      </c>
      <c r="M337" s="421">
        <v>0</v>
      </c>
      <c r="N337" s="421">
        <v>0</v>
      </c>
      <c r="O337" s="421">
        <v>0</v>
      </c>
      <c r="P337" s="421">
        <v>0</v>
      </c>
      <c r="Q337" s="421">
        <v>0</v>
      </c>
      <c r="R337" s="421">
        <v>0.58632242431640602</v>
      </c>
      <c r="S337" s="429">
        <v>153.133100010428</v>
      </c>
      <c r="T337" s="412"/>
    </row>
    <row r="338" spans="2:20" ht="13.5">
      <c r="B338" s="412"/>
      <c r="C338" s="424" t="s">
        <v>85</v>
      </c>
      <c r="D338" s="425">
        <v>7.0542786257757299</v>
      </c>
      <c r="E338" s="425">
        <v>0</v>
      </c>
      <c r="F338" s="425">
        <v>427.42243605259301</v>
      </c>
      <c r="G338" s="425">
        <v>327.38041261737999</v>
      </c>
      <c r="H338" s="425">
        <v>0</v>
      </c>
      <c r="I338" s="425">
        <v>0</v>
      </c>
      <c r="J338" s="425">
        <v>96.439843587427205</v>
      </c>
      <c r="K338" s="425">
        <v>4.1229795038336201</v>
      </c>
      <c r="L338" s="425">
        <v>38.9210860065674</v>
      </c>
      <c r="M338" s="425">
        <v>6.4318780052445401</v>
      </c>
      <c r="N338" s="425">
        <v>59.577309191786703</v>
      </c>
      <c r="O338" s="425">
        <v>1.8075305725242401</v>
      </c>
      <c r="P338" s="425">
        <v>495.440125753541</v>
      </c>
      <c r="Q338" s="425">
        <v>37.840412535309099</v>
      </c>
      <c r="R338" s="425">
        <v>2.85001306748409</v>
      </c>
      <c r="S338" s="425">
        <v>1505.28830551947</v>
      </c>
      <c r="T338" s="412"/>
    </row>
    <row r="339" spans="2:20">
      <c r="B339" s="412"/>
      <c r="C339" s="412"/>
      <c r="D339" s="430">
        <f t="shared" ref="D339:S339" si="16">D338+D328-D314</f>
        <v>0</v>
      </c>
      <c r="E339" s="430">
        <f t="shared" si="16"/>
        <v>0</v>
      </c>
      <c r="F339" s="430">
        <f t="shared" si="16"/>
        <v>-3.0553337637684308E-13</v>
      </c>
      <c r="G339" s="430">
        <f t="shared" si="16"/>
        <v>6.2527760746888816E-13</v>
      </c>
      <c r="H339" s="430">
        <f t="shared" si="16"/>
        <v>0</v>
      </c>
      <c r="I339" s="430">
        <f t="shared" si="16"/>
        <v>0</v>
      </c>
      <c r="J339" s="430">
        <f t="shared" si="16"/>
        <v>0</v>
      </c>
      <c r="K339" s="430">
        <f t="shared" si="16"/>
        <v>0</v>
      </c>
      <c r="L339" s="430">
        <f t="shared" si="16"/>
        <v>-3.3417713041217212E-14</v>
      </c>
      <c r="M339" s="430">
        <f t="shared" si="16"/>
        <v>0</v>
      </c>
      <c r="N339" s="430">
        <f t="shared" si="16"/>
        <v>0</v>
      </c>
      <c r="O339" s="430">
        <f t="shared" si="16"/>
        <v>0</v>
      </c>
      <c r="P339" s="430">
        <f t="shared" si="16"/>
        <v>4.8672177399566863E-13</v>
      </c>
      <c r="Q339" s="430">
        <f t="shared" si="16"/>
        <v>0</v>
      </c>
      <c r="R339" s="430">
        <f t="shared" si="16"/>
        <v>0</v>
      </c>
      <c r="S339" s="430">
        <f t="shared" si="16"/>
        <v>4.5474735088646412E-12</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row r="341" spans="2:20" ht="13.5">
      <c r="B341" s="416"/>
      <c r="C341" s="417" t="s">
        <v>364</v>
      </c>
      <c r="D341" s="416"/>
      <c r="E341" s="416"/>
      <c r="F341" s="416"/>
      <c r="G341" s="416"/>
      <c r="H341" s="416"/>
      <c r="I341" s="416"/>
      <c r="J341" s="416"/>
      <c r="K341" s="416"/>
      <c r="L341" s="416"/>
      <c r="M341" s="416"/>
      <c r="N341" s="416"/>
      <c r="O341" s="416"/>
      <c r="P341" s="416"/>
      <c r="Q341" s="416"/>
      <c r="R341" s="416"/>
      <c r="S341" s="416"/>
      <c r="T341" s="416"/>
    </row>
    <row r="342" spans="2:20">
      <c r="B342" s="412"/>
      <c r="C342" s="412"/>
      <c r="D342" s="412"/>
      <c r="E342" s="412"/>
      <c r="F342" s="412"/>
      <c r="G342" s="412"/>
      <c r="H342" s="412"/>
      <c r="I342" s="412"/>
      <c r="J342" s="412"/>
      <c r="K342" s="412"/>
      <c r="L342" s="412"/>
      <c r="M342" s="412"/>
      <c r="N342" s="412"/>
      <c r="O342" s="412"/>
      <c r="P342" s="412"/>
      <c r="Q342" s="412"/>
      <c r="R342" s="412"/>
      <c r="S342" s="412"/>
      <c r="T342" s="412"/>
    </row>
    <row r="343" spans="2:20" ht="13.5" customHeight="1">
      <c r="B343" s="412"/>
      <c r="C343" s="702" t="s">
        <v>128</v>
      </c>
      <c r="D343" s="703" t="s">
        <v>42</v>
      </c>
      <c r="E343" s="703" t="s">
        <v>52</v>
      </c>
      <c r="F343" s="703" t="s">
        <v>53</v>
      </c>
      <c r="G343" s="703" t="s">
        <v>32</v>
      </c>
      <c r="H343" s="703" t="s">
        <v>20</v>
      </c>
      <c r="I343" s="703" t="s">
        <v>55</v>
      </c>
      <c r="J343" s="703" t="s">
        <v>56</v>
      </c>
      <c r="K343" s="703"/>
      <c r="L343" s="703"/>
      <c r="M343" s="703"/>
      <c r="N343" s="703"/>
      <c r="O343" s="703"/>
      <c r="P343" s="703" t="s">
        <v>57</v>
      </c>
      <c r="Q343" s="703" t="s">
        <v>58</v>
      </c>
      <c r="R343" s="703" t="s">
        <v>31</v>
      </c>
      <c r="S343" s="703" t="s">
        <v>10</v>
      </c>
      <c r="T343" s="412"/>
    </row>
    <row r="344" spans="2:20" ht="57.5">
      <c r="B344" s="412"/>
      <c r="C344" s="702"/>
      <c r="D344" s="703"/>
      <c r="E344" s="703"/>
      <c r="F344" s="703"/>
      <c r="G344" s="703"/>
      <c r="H344" s="703"/>
      <c r="I344" s="703"/>
      <c r="J344" s="418" t="s">
        <v>338</v>
      </c>
      <c r="K344" s="418" t="s">
        <v>40</v>
      </c>
      <c r="L344" s="418" t="s">
        <v>346</v>
      </c>
      <c r="M344" s="418" t="s">
        <v>347</v>
      </c>
      <c r="N344" s="419" t="s">
        <v>348</v>
      </c>
      <c r="O344" s="418" t="s">
        <v>349</v>
      </c>
      <c r="P344" s="703"/>
      <c r="Q344" s="703"/>
      <c r="R344" s="703"/>
      <c r="S344" s="703"/>
      <c r="T344" s="412"/>
    </row>
    <row r="345" spans="2:20" ht="13.5">
      <c r="B345" s="412"/>
      <c r="C345" s="420" t="s">
        <v>59</v>
      </c>
      <c r="D345" s="421">
        <v>0</v>
      </c>
      <c r="E345" s="421">
        <v>0</v>
      </c>
      <c r="F345" s="421">
        <v>0</v>
      </c>
      <c r="G345" s="421">
        <v>0</v>
      </c>
      <c r="H345" s="422">
        <v>843.18181818181802</v>
      </c>
      <c r="I345" s="422">
        <v>303.83</v>
      </c>
      <c r="J345" s="422">
        <v>180.58227082712199</v>
      </c>
      <c r="K345" s="422">
        <v>22.584752367457401</v>
      </c>
      <c r="L345" s="421">
        <v>0</v>
      </c>
      <c r="M345" s="421">
        <v>0</v>
      </c>
      <c r="N345" s="422">
        <v>64.228247119713899</v>
      </c>
      <c r="O345" s="422">
        <v>4.0154786653397201</v>
      </c>
      <c r="P345" s="421">
        <v>0</v>
      </c>
      <c r="Q345" s="421">
        <v>0</v>
      </c>
      <c r="R345" s="421">
        <v>0</v>
      </c>
      <c r="S345" s="423">
        <v>1418.4225671614499</v>
      </c>
      <c r="T345" s="412"/>
    </row>
    <row r="346" spans="2:20" ht="13.5">
      <c r="B346" s="412"/>
      <c r="C346" s="420" t="s">
        <v>60</v>
      </c>
      <c r="D346" s="421">
        <v>30.885603791058401</v>
      </c>
      <c r="E346" s="421">
        <v>484.495467583368</v>
      </c>
      <c r="F346" s="421">
        <v>42.659321237611302</v>
      </c>
      <c r="G346" s="421">
        <v>385.71207499197101</v>
      </c>
      <c r="H346" s="421">
        <v>0</v>
      </c>
      <c r="I346" s="421">
        <v>0</v>
      </c>
      <c r="J346" s="421">
        <v>0</v>
      </c>
      <c r="K346" s="421">
        <v>0</v>
      </c>
      <c r="L346" s="421">
        <v>0</v>
      </c>
      <c r="M346" s="421">
        <v>0</v>
      </c>
      <c r="N346" s="421">
        <v>0</v>
      </c>
      <c r="O346" s="421">
        <v>0</v>
      </c>
      <c r="P346" s="421">
        <v>0</v>
      </c>
      <c r="Q346" s="421">
        <v>0</v>
      </c>
      <c r="R346" s="421">
        <v>0</v>
      </c>
      <c r="S346" s="423">
        <v>943.75246760400796</v>
      </c>
      <c r="T346" s="412"/>
    </row>
    <row r="347" spans="2:20" ht="13.5">
      <c r="B347" s="412"/>
      <c r="C347" s="420" t="s">
        <v>61</v>
      </c>
      <c r="D347" s="421">
        <v>0</v>
      </c>
      <c r="E347" s="421">
        <v>0</v>
      </c>
      <c r="F347" s="421">
        <v>0</v>
      </c>
      <c r="G347" s="421">
        <v>0</v>
      </c>
      <c r="H347" s="421">
        <v>0</v>
      </c>
      <c r="I347" s="421">
        <v>0</v>
      </c>
      <c r="J347" s="421">
        <v>0</v>
      </c>
      <c r="K347" s="421">
        <v>0</v>
      </c>
      <c r="L347" s="421">
        <v>0</v>
      </c>
      <c r="M347" s="421">
        <v>0</v>
      </c>
      <c r="N347" s="421">
        <v>0</v>
      </c>
      <c r="O347" s="421">
        <v>0</v>
      </c>
      <c r="P347" s="421">
        <v>-18.341336792236799</v>
      </c>
      <c r="Q347" s="421">
        <v>0</v>
      </c>
      <c r="R347" s="421">
        <v>0</v>
      </c>
      <c r="S347" s="423">
        <v>-18.341336792236799</v>
      </c>
      <c r="T347" s="412"/>
    </row>
    <row r="348" spans="2:20" ht="13.5">
      <c r="B348" s="412"/>
      <c r="C348" s="420" t="s">
        <v>62</v>
      </c>
      <c r="D348" s="421">
        <v>0</v>
      </c>
      <c r="E348" s="421">
        <v>0</v>
      </c>
      <c r="F348" s="421">
        <v>-15.257294848391901</v>
      </c>
      <c r="G348" s="421">
        <v>0</v>
      </c>
      <c r="H348" s="421">
        <v>0</v>
      </c>
      <c r="I348" s="421">
        <v>0</v>
      </c>
      <c r="J348" s="421">
        <v>0</v>
      </c>
      <c r="K348" s="421">
        <v>0</v>
      </c>
      <c r="L348" s="421">
        <v>0</v>
      </c>
      <c r="M348" s="421">
        <v>0</v>
      </c>
      <c r="N348" s="421">
        <v>0</v>
      </c>
      <c r="O348" s="421">
        <v>0</v>
      </c>
      <c r="P348" s="421">
        <v>0</v>
      </c>
      <c r="Q348" s="421">
        <v>0</v>
      </c>
      <c r="R348" s="421">
        <v>0</v>
      </c>
      <c r="S348" s="423">
        <v>-15.257294848391901</v>
      </c>
      <c r="T348" s="412"/>
    </row>
    <row r="349" spans="2:20" ht="13.5">
      <c r="B349" s="412"/>
      <c r="C349" s="420" t="s">
        <v>63</v>
      </c>
      <c r="D349" s="421">
        <v>0</v>
      </c>
      <c r="E349" s="421">
        <v>0</v>
      </c>
      <c r="F349" s="421">
        <v>-90.626969920873506</v>
      </c>
      <c r="G349" s="421">
        <v>0</v>
      </c>
      <c r="H349" s="421">
        <v>0</v>
      </c>
      <c r="I349" s="421">
        <v>0</v>
      </c>
      <c r="J349" s="421">
        <v>0</v>
      </c>
      <c r="K349" s="421">
        <v>0</v>
      </c>
      <c r="L349" s="421">
        <v>-0.93615330165546395</v>
      </c>
      <c r="M349" s="421">
        <v>0</v>
      </c>
      <c r="N349" s="421">
        <v>0</v>
      </c>
      <c r="O349" s="421">
        <v>0</v>
      </c>
      <c r="P349" s="421">
        <v>0</v>
      </c>
      <c r="Q349" s="421">
        <v>0</v>
      </c>
      <c r="R349" s="421">
        <v>0</v>
      </c>
      <c r="S349" s="423">
        <v>-91.563123222528901</v>
      </c>
      <c r="T349" s="412"/>
    </row>
    <row r="350" spans="2:20" ht="13.5">
      <c r="B350" s="412"/>
      <c r="C350" s="420" t="s">
        <v>64</v>
      </c>
      <c r="D350" s="421">
        <v>0</v>
      </c>
      <c r="E350" s="421">
        <v>0</v>
      </c>
      <c r="F350" s="421">
        <v>0</v>
      </c>
      <c r="G350" s="421">
        <v>0</v>
      </c>
      <c r="H350" s="421">
        <v>0</v>
      </c>
      <c r="I350" s="421">
        <v>0</v>
      </c>
      <c r="J350" s="421">
        <v>0</v>
      </c>
      <c r="K350" s="421">
        <v>0</v>
      </c>
      <c r="L350" s="421">
        <v>0</v>
      </c>
      <c r="M350" s="421">
        <v>0</v>
      </c>
      <c r="N350" s="421">
        <v>0</v>
      </c>
      <c r="O350" s="421">
        <v>0</v>
      </c>
      <c r="P350" s="421">
        <v>0</v>
      </c>
      <c r="Q350" s="421">
        <v>0</v>
      </c>
      <c r="R350" s="421">
        <v>0</v>
      </c>
      <c r="S350" s="423">
        <v>0</v>
      </c>
      <c r="T350" s="412"/>
    </row>
    <row r="351" spans="2:20" ht="13.5">
      <c r="B351" s="412"/>
      <c r="C351" s="424" t="s">
        <v>65</v>
      </c>
      <c r="D351" s="425">
        <v>30.885603791058401</v>
      </c>
      <c r="E351" s="425">
        <v>484.495467583368</v>
      </c>
      <c r="F351" s="425">
        <v>-63.224943531653999</v>
      </c>
      <c r="G351" s="425">
        <v>385.71207499197101</v>
      </c>
      <c r="H351" s="425">
        <v>843.18181818181802</v>
      </c>
      <c r="I351" s="425">
        <v>303.83</v>
      </c>
      <c r="J351" s="425">
        <v>180.58227082712199</v>
      </c>
      <c r="K351" s="425">
        <v>22.584752367457401</v>
      </c>
      <c r="L351" s="425">
        <v>-0.93615330165546395</v>
      </c>
      <c r="M351" s="425">
        <v>0</v>
      </c>
      <c r="N351" s="425">
        <v>64.228247119713899</v>
      </c>
      <c r="O351" s="425">
        <v>4.0154786653397201</v>
      </c>
      <c r="P351" s="425">
        <v>-18.341336792236799</v>
      </c>
      <c r="Q351" s="425">
        <v>0</v>
      </c>
      <c r="R351" s="425">
        <v>0</v>
      </c>
      <c r="S351" s="425">
        <v>2237.0132799022999</v>
      </c>
      <c r="T351" s="412"/>
    </row>
    <row r="352" spans="2:20" ht="13.5">
      <c r="B352" s="412"/>
      <c r="C352" s="426"/>
      <c r="D352" s="427"/>
      <c r="E352" s="427"/>
      <c r="F352" s="427"/>
      <c r="G352" s="427"/>
      <c r="H352" s="427"/>
      <c r="I352" s="427"/>
      <c r="J352" s="427"/>
      <c r="K352" s="427"/>
      <c r="L352" s="427"/>
      <c r="M352" s="427"/>
      <c r="N352" s="427"/>
      <c r="O352" s="427"/>
      <c r="P352" s="427"/>
      <c r="Q352" s="427"/>
      <c r="R352" s="427"/>
      <c r="S352" s="427"/>
      <c r="T352" s="412"/>
    </row>
    <row r="353" spans="2:20" ht="13.5">
      <c r="B353" s="412"/>
      <c r="C353" s="428" t="s">
        <v>67</v>
      </c>
      <c r="D353" s="421">
        <v>0</v>
      </c>
      <c r="E353" s="421">
        <v>0</v>
      </c>
      <c r="F353" s="421">
        <v>0</v>
      </c>
      <c r="G353" s="421">
        <v>0</v>
      </c>
      <c r="H353" s="421">
        <v>0</v>
      </c>
      <c r="I353" s="421">
        <v>0</v>
      </c>
      <c r="J353" s="421">
        <v>0</v>
      </c>
      <c r="K353" s="421">
        <v>0</v>
      </c>
      <c r="L353" s="421">
        <v>0</v>
      </c>
      <c r="M353" s="421">
        <v>0</v>
      </c>
      <c r="N353" s="421">
        <v>0</v>
      </c>
      <c r="O353" s="421">
        <v>0</v>
      </c>
      <c r="P353" s="421">
        <v>0</v>
      </c>
      <c r="Q353" s="421">
        <v>0</v>
      </c>
      <c r="R353" s="421">
        <v>0</v>
      </c>
      <c r="S353" s="429">
        <v>0</v>
      </c>
      <c r="T353" s="412"/>
    </row>
    <row r="354" spans="2:20" ht="13.5">
      <c r="B354" s="412"/>
      <c r="C354" s="428" t="s">
        <v>350</v>
      </c>
      <c r="D354" s="421">
        <v>2.2004707355665598</v>
      </c>
      <c r="E354" s="421">
        <v>0</v>
      </c>
      <c r="F354" s="421">
        <v>3.8636363636363602</v>
      </c>
      <c r="G354" s="421">
        <v>26.7514143940613</v>
      </c>
      <c r="H354" s="421">
        <v>843.18181818181802</v>
      </c>
      <c r="I354" s="421">
        <v>303.83</v>
      </c>
      <c r="J354" s="421">
        <v>22.093473329706701</v>
      </c>
      <c r="K354" s="421">
        <v>5.8025151206166701</v>
      </c>
      <c r="L354" s="421">
        <v>0</v>
      </c>
      <c r="M354" s="421">
        <v>0.54594723253186395</v>
      </c>
      <c r="N354" s="421">
        <v>0</v>
      </c>
      <c r="O354" s="421">
        <v>0</v>
      </c>
      <c r="P354" s="421">
        <v>-610.51719995562303</v>
      </c>
      <c r="Q354" s="421">
        <v>0</v>
      </c>
      <c r="R354" s="421">
        <v>0</v>
      </c>
      <c r="S354" s="429">
        <v>597.75207540231395</v>
      </c>
      <c r="T354" s="412"/>
    </row>
    <row r="355" spans="2:20" ht="13.5">
      <c r="B355" s="412"/>
      <c r="C355" s="428" t="s">
        <v>351</v>
      </c>
      <c r="D355" s="421">
        <v>0</v>
      </c>
      <c r="E355" s="421">
        <v>0</v>
      </c>
      <c r="F355" s="421">
        <v>0</v>
      </c>
      <c r="G355" s="421">
        <v>17.221669860310801</v>
      </c>
      <c r="H355" s="421">
        <v>0</v>
      </c>
      <c r="I355" s="421">
        <v>0</v>
      </c>
      <c r="J355" s="421">
        <v>12.443095766795199</v>
      </c>
      <c r="K355" s="421">
        <v>12.7366574955616</v>
      </c>
      <c r="L355" s="421">
        <v>0</v>
      </c>
      <c r="M355" s="421">
        <v>0.351462650210425</v>
      </c>
      <c r="N355" s="421">
        <v>0</v>
      </c>
      <c r="O355" s="421">
        <v>2.25021562141669</v>
      </c>
      <c r="P355" s="421">
        <v>0</v>
      </c>
      <c r="Q355" s="421">
        <v>-41.107889812280099</v>
      </c>
      <c r="R355" s="421">
        <v>0</v>
      </c>
      <c r="S355" s="429">
        <v>3.8952115820145798</v>
      </c>
      <c r="T355" s="412"/>
    </row>
    <row r="356" spans="2:20" ht="13.5">
      <c r="B356" s="412"/>
      <c r="C356" s="428" t="s">
        <v>352</v>
      </c>
      <c r="D356" s="421">
        <v>0</v>
      </c>
      <c r="E356" s="421">
        <v>0</v>
      </c>
      <c r="F356" s="421">
        <v>0</v>
      </c>
      <c r="G356" s="421">
        <v>0</v>
      </c>
      <c r="H356" s="421">
        <v>0</v>
      </c>
      <c r="I356" s="421">
        <v>0</v>
      </c>
      <c r="J356" s="421">
        <v>8.1664030992761294</v>
      </c>
      <c r="K356" s="421">
        <v>0</v>
      </c>
      <c r="L356" s="421">
        <v>0</v>
      </c>
      <c r="M356" s="421">
        <v>-7.6253788939490796</v>
      </c>
      <c r="N356" s="421">
        <v>0</v>
      </c>
      <c r="O356" s="421">
        <v>0</v>
      </c>
      <c r="P356" s="421">
        <v>0</v>
      </c>
      <c r="Q356" s="421">
        <v>0</v>
      </c>
      <c r="R356" s="421">
        <v>0</v>
      </c>
      <c r="S356" s="429">
        <v>0.54102420532704398</v>
      </c>
      <c r="T356" s="412"/>
    </row>
    <row r="357" spans="2:20" ht="13.5">
      <c r="B357" s="412"/>
      <c r="C357" s="428" t="s">
        <v>353</v>
      </c>
      <c r="D357" s="421">
        <v>0</v>
      </c>
      <c r="E357" s="421">
        <v>0</v>
      </c>
      <c r="F357" s="421">
        <v>0</v>
      </c>
      <c r="G357" s="421">
        <v>0</v>
      </c>
      <c r="H357" s="421">
        <v>0</v>
      </c>
      <c r="I357" s="421">
        <v>0</v>
      </c>
      <c r="J357" s="421">
        <v>0</v>
      </c>
      <c r="K357" s="421">
        <v>0</v>
      </c>
      <c r="L357" s="421">
        <v>0</v>
      </c>
      <c r="M357" s="421">
        <v>0</v>
      </c>
      <c r="N357" s="421">
        <v>0</v>
      </c>
      <c r="O357" s="421">
        <v>0</v>
      </c>
      <c r="P357" s="421">
        <v>0</v>
      </c>
      <c r="Q357" s="421">
        <v>0</v>
      </c>
      <c r="R357" s="421">
        <v>0</v>
      </c>
      <c r="S357" s="429">
        <v>0</v>
      </c>
      <c r="T357" s="412"/>
    </row>
    <row r="358" spans="2:20" ht="13.5">
      <c r="B358" s="412"/>
      <c r="C358" s="428" t="s">
        <v>72</v>
      </c>
      <c r="D358" s="421">
        <v>0</v>
      </c>
      <c r="E358" s="421">
        <v>501.885810932168</v>
      </c>
      <c r="F358" s="421">
        <v>-496.86695282284597</v>
      </c>
      <c r="G358" s="421">
        <v>0</v>
      </c>
      <c r="H358" s="421">
        <v>0</v>
      </c>
      <c r="I358" s="421">
        <v>0</v>
      </c>
      <c r="J358" s="421">
        <v>0</v>
      </c>
      <c r="K358" s="421">
        <v>0</v>
      </c>
      <c r="L358" s="421">
        <v>0</v>
      </c>
      <c r="M358" s="421">
        <v>0</v>
      </c>
      <c r="N358" s="421">
        <v>0</v>
      </c>
      <c r="O358" s="421">
        <v>0</v>
      </c>
      <c r="P358" s="421">
        <v>0</v>
      </c>
      <c r="Q358" s="421">
        <v>0</v>
      </c>
      <c r="R358" s="421">
        <v>0</v>
      </c>
      <c r="S358" s="429">
        <v>5.0188581093216804</v>
      </c>
      <c r="T358" s="412"/>
    </row>
    <row r="359" spans="2:20" ht="13.5">
      <c r="B359" s="412"/>
      <c r="C359" s="428" t="s">
        <v>354</v>
      </c>
      <c r="D359" s="421">
        <v>0</v>
      </c>
      <c r="E359" s="421">
        <v>0</v>
      </c>
      <c r="F359" s="421">
        <v>0</v>
      </c>
      <c r="G359" s="421">
        <v>0</v>
      </c>
      <c r="H359" s="421">
        <v>0</v>
      </c>
      <c r="I359" s="421">
        <v>0</v>
      </c>
      <c r="J359" s="421">
        <v>40.922578855232103</v>
      </c>
      <c r="K359" s="421">
        <v>0</v>
      </c>
      <c r="L359" s="421">
        <v>-40.922578855232103</v>
      </c>
      <c r="M359" s="421">
        <v>0</v>
      </c>
      <c r="N359" s="421">
        <v>0</v>
      </c>
      <c r="O359" s="421">
        <v>0</v>
      </c>
      <c r="P359" s="421">
        <v>0</v>
      </c>
      <c r="Q359" s="421">
        <v>0</v>
      </c>
      <c r="R359" s="421">
        <v>0</v>
      </c>
      <c r="S359" s="429">
        <v>0</v>
      </c>
      <c r="T359" s="412"/>
    </row>
    <row r="360" spans="2:20" ht="13.5">
      <c r="B360" s="412"/>
      <c r="C360" s="428" t="s">
        <v>355</v>
      </c>
      <c r="D360" s="421">
        <v>0</v>
      </c>
      <c r="E360" s="421">
        <v>0</v>
      </c>
      <c r="F360" s="421">
        <v>0</v>
      </c>
      <c r="G360" s="421">
        <v>0</v>
      </c>
      <c r="H360" s="421">
        <v>0</v>
      </c>
      <c r="I360" s="421">
        <v>0</v>
      </c>
      <c r="J360" s="421">
        <v>0</v>
      </c>
      <c r="K360" s="421">
        <v>0</v>
      </c>
      <c r="L360" s="421">
        <v>-0.185690681788441</v>
      </c>
      <c r="M360" s="421">
        <v>0</v>
      </c>
      <c r="N360" s="421">
        <v>0</v>
      </c>
      <c r="O360" s="421">
        <v>0</v>
      </c>
      <c r="P360" s="421">
        <v>0</v>
      </c>
      <c r="Q360" s="421">
        <v>0</v>
      </c>
      <c r="R360" s="421">
        <v>0.26527240255491602</v>
      </c>
      <c r="S360" s="429">
        <v>7.9581720766474906E-2</v>
      </c>
      <c r="T360" s="412"/>
    </row>
    <row r="361" spans="2:20" ht="13.5">
      <c r="B361" s="412"/>
      <c r="C361" s="428" t="s">
        <v>73</v>
      </c>
      <c r="D361" s="421">
        <v>0</v>
      </c>
      <c r="E361" s="421">
        <v>0</v>
      </c>
      <c r="F361" s="421">
        <v>0</v>
      </c>
      <c r="G361" s="421">
        <v>5.0830420654676596</v>
      </c>
      <c r="H361" s="421">
        <v>0</v>
      </c>
      <c r="I361" s="421">
        <v>0</v>
      </c>
      <c r="J361" s="421">
        <v>0</v>
      </c>
      <c r="K361" s="421">
        <v>5.89406547480016E-2</v>
      </c>
      <c r="L361" s="421">
        <v>0</v>
      </c>
      <c r="M361" s="421">
        <v>0.103735552356483</v>
      </c>
      <c r="N361" s="421">
        <v>0</v>
      </c>
      <c r="O361" s="421">
        <v>0</v>
      </c>
      <c r="P361" s="421">
        <v>0.64603991681083595</v>
      </c>
      <c r="Q361" s="421">
        <v>0</v>
      </c>
      <c r="R361" s="421">
        <v>-4.1258458323601097</v>
      </c>
      <c r="S361" s="429">
        <v>1.7659123570228701</v>
      </c>
      <c r="T361" s="412"/>
    </row>
    <row r="362" spans="2:20" ht="13.5">
      <c r="B362" s="412"/>
      <c r="C362" s="428" t="s">
        <v>356</v>
      </c>
      <c r="D362" s="421">
        <v>12.835820312499999</v>
      </c>
      <c r="E362" s="421">
        <v>-17.3903433487996</v>
      </c>
      <c r="F362" s="421">
        <v>22.745541936068101</v>
      </c>
      <c r="G362" s="421">
        <v>0</v>
      </c>
      <c r="H362" s="421">
        <v>0</v>
      </c>
      <c r="I362" s="421">
        <v>0</v>
      </c>
      <c r="J362" s="421">
        <v>0</v>
      </c>
      <c r="K362" s="421">
        <v>0</v>
      </c>
      <c r="L362" s="421">
        <v>0</v>
      </c>
      <c r="M362" s="421">
        <v>0</v>
      </c>
      <c r="N362" s="421">
        <v>0</v>
      </c>
      <c r="O362" s="421">
        <v>0</v>
      </c>
      <c r="P362" s="421">
        <v>0</v>
      </c>
      <c r="Q362" s="421">
        <v>0</v>
      </c>
      <c r="R362" s="421">
        <v>0</v>
      </c>
      <c r="S362" s="429">
        <v>18.191018899768501</v>
      </c>
      <c r="T362" s="412"/>
    </row>
    <row r="363" spans="2:20" ht="13.5">
      <c r="B363" s="412"/>
      <c r="C363" s="428" t="s">
        <v>75</v>
      </c>
      <c r="D363" s="421">
        <v>9.6016132812499997</v>
      </c>
      <c r="E363" s="421">
        <v>0</v>
      </c>
      <c r="F363" s="421">
        <v>17.0641175716937</v>
      </c>
      <c r="G363" s="421">
        <v>4.8692961376638904</v>
      </c>
      <c r="H363" s="421">
        <v>0</v>
      </c>
      <c r="I363" s="421">
        <v>0</v>
      </c>
      <c r="J363" s="421">
        <v>0</v>
      </c>
      <c r="K363" s="421">
        <v>0</v>
      </c>
      <c r="L363" s="421">
        <v>0</v>
      </c>
      <c r="M363" s="421">
        <v>9.9373390564569203E-2</v>
      </c>
      <c r="N363" s="421">
        <v>0</v>
      </c>
      <c r="O363" s="421">
        <v>0</v>
      </c>
      <c r="P363" s="421">
        <v>28.1582236341448</v>
      </c>
      <c r="Q363" s="421">
        <v>0</v>
      </c>
      <c r="R363" s="421">
        <v>0</v>
      </c>
      <c r="S363" s="429">
        <v>59.792624015317003</v>
      </c>
      <c r="T363" s="412"/>
    </row>
    <row r="364" spans="2:20" ht="13.5">
      <c r="B364" s="412"/>
      <c r="C364" s="428" t="s">
        <v>76</v>
      </c>
      <c r="D364" s="421">
        <v>0</v>
      </c>
      <c r="E364" s="421">
        <v>0</v>
      </c>
      <c r="F364" s="421">
        <v>0</v>
      </c>
      <c r="G364" s="421">
        <v>4.4305561162471001</v>
      </c>
      <c r="H364" s="421">
        <v>0</v>
      </c>
      <c r="I364" s="421">
        <v>0</v>
      </c>
      <c r="J364" s="421">
        <v>0</v>
      </c>
      <c r="K364" s="421">
        <v>0</v>
      </c>
      <c r="L364" s="421">
        <v>0</v>
      </c>
      <c r="M364" s="421">
        <v>9.0419512576471406E-2</v>
      </c>
      <c r="N364" s="421">
        <v>0</v>
      </c>
      <c r="O364" s="421">
        <v>0</v>
      </c>
      <c r="P364" s="421">
        <v>45.383745745670502</v>
      </c>
      <c r="Q364" s="421">
        <v>3.1854822363759498</v>
      </c>
      <c r="R364" s="421">
        <v>0</v>
      </c>
      <c r="S364" s="429">
        <v>53.090203610869999</v>
      </c>
      <c r="T364" s="412"/>
    </row>
    <row r="365" spans="2:20" ht="13.5">
      <c r="B365" s="412"/>
      <c r="C365" s="424" t="s">
        <v>77</v>
      </c>
      <c r="D365" s="425">
        <v>24.637904329316601</v>
      </c>
      <c r="E365" s="425">
        <v>484.495467583368</v>
      </c>
      <c r="F365" s="425">
        <v>-453.19365695144802</v>
      </c>
      <c r="G365" s="425">
        <v>58.355978573750797</v>
      </c>
      <c r="H365" s="425">
        <v>843.18181818181802</v>
      </c>
      <c r="I365" s="425">
        <v>303.83</v>
      </c>
      <c r="J365" s="425">
        <v>83.625551051010106</v>
      </c>
      <c r="K365" s="425">
        <v>18.598113270926302</v>
      </c>
      <c r="L365" s="425">
        <v>-41.108269537020597</v>
      </c>
      <c r="M365" s="425">
        <v>-6.4344405557092701</v>
      </c>
      <c r="N365" s="425">
        <v>0</v>
      </c>
      <c r="O365" s="425">
        <v>2.25021562141669</v>
      </c>
      <c r="P365" s="425">
        <v>-536.32919065899705</v>
      </c>
      <c r="Q365" s="425">
        <v>-37.922407575904202</v>
      </c>
      <c r="R365" s="425">
        <v>-3.8605734298051999</v>
      </c>
      <c r="S365" s="425">
        <v>740.12650990272198</v>
      </c>
      <c r="T365" s="412"/>
    </row>
    <row r="366" spans="2:20" ht="13.5">
      <c r="B366" s="412"/>
      <c r="C366" s="426"/>
      <c r="D366" s="427"/>
      <c r="E366" s="427"/>
      <c r="F366" s="427"/>
      <c r="G366" s="427"/>
      <c r="H366" s="427"/>
      <c r="I366" s="427"/>
      <c r="J366" s="427"/>
      <c r="K366" s="427"/>
      <c r="L366" s="427"/>
      <c r="M366" s="427"/>
      <c r="N366" s="427"/>
      <c r="O366" s="427"/>
      <c r="P366" s="427"/>
      <c r="Q366" s="427"/>
      <c r="R366" s="427"/>
      <c r="S366" s="427"/>
      <c r="T366" s="412"/>
    </row>
    <row r="367" spans="2:20" ht="13.5">
      <c r="B367" s="412"/>
      <c r="C367" s="428" t="s">
        <v>78</v>
      </c>
      <c r="D367" s="421">
        <v>4.1175454090074304</v>
      </c>
      <c r="E367" s="421">
        <v>0</v>
      </c>
      <c r="F367" s="421">
        <v>19.277494882052501</v>
      </c>
      <c r="G367" s="421">
        <v>101.47453920726601</v>
      </c>
      <c r="H367" s="421">
        <v>0</v>
      </c>
      <c r="I367" s="421">
        <v>0</v>
      </c>
      <c r="J367" s="421">
        <v>17.1465838958113</v>
      </c>
      <c r="K367" s="421">
        <v>3.98663909653113</v>
      </c>
      <c r="L367" s="421">
        <v>0.86272697265624998</v>
      </c>
      <c r="M367" s="421">
        <v>2.0709089634136002</v>
      </c>
      <c r="N367" s="421">
        <v>0</v>
      </c>
      <c r="O367" s="421">
        <v>0</v>
      </c>
      <c r="P367" s="421">
        <v>115.02579662342799</v>
      </c>
      <c r="Q367" s="421">
        <v>18.9073764304365</v>
      </c>
      <c r="R367" s="421">
        <v>0.24469155883789101</v>
      </c>
      <c r="S367" s="429">
        <v>283.11430303944098</v>
      </c>
      <c r="T367" s="412"/>
    </row>
    <row r="368" spans="2:20" ht="13.5">
      <c r="B368" s="412"/>
      <c r="C368" s="428" t="s">
        <v>79</v>
      </c>
      <c r="D368" s="421">
        <v>0</v>
      </c>
      <c r="E368" s="421">
        <v>0</v>
      </c>
      <c r="F368" s="421">
        <v>211.515991693448</v>
      </c>
      <c r="G368" s="421">
        <v>33.673192204334903</v>
      </c>
      <c r="H368" s="421">
        <v>0</v>
      </c>
      <c r="I368" s="421">
        <v>0</v>
      </c>
      <c r="J368" s="421">
        <v>0</v>
      </c>
      <c r="K368" s="421">
        <v>0</v>
      </c>
      <c r="L368" s="421">
        <v>21.364475731578199</v>
      </c>
      <c r="M368" s="421">
        <v>0.68720800417009997</v>
      </c>
      <c r="N368" s="421">
        <v>0</v>
      </c>
      <c r="O368" s="421">
        <v>0</v>
      </c>
      <c r="P368" s="421">
        <v>67.538126653199896</v>
      </c>
      <c r="Q368" s="421">
        <v>0</v>
      </c>
      <c r="R368" s="421">
        <v>2.73358870080129</v>
      </c>
      <c r="S368" s="429">
        <v>337.51258298753203</v>
      </c>
      <c r="T368" s="412"/>
    </row>
    <row r="369" spans="2:20" ht="13.5">
      <c r="B369" s="412"/>
      <c r="C369" s="428" t="s">
        <v>80</v>
      </c>
      <c r="D369" s="421">
        <v>0</v>
      </c>
      <c r="E369" s="421">
        <v>0</v>
      </c>
      <c r="F369" s="421">
        <v>11.269398252747999</v>
      </c>
      <c r="G369" s="421">
        <v>107.66857440515901</v>
      </c>
      <c r="H369" s="421">
        <v>0</v>
      </c>
      <c r="I369" s="421">
        <v>0</v>
      </c>
      <c r="J369" s="421">
        <v>74.555024603306606</v>
      </c>
      <c r="K369" s="421">
        <v>0</v>
      </c>
      <c r="L369" s="421">
        <v>0</v>
      </c>
      <c r="M369" s="421">
        <v>2.19731784500325</v>
      </c>
      <c r="N369" s="421">
        <v>57.8439730041991</v>
      </c>
      <c r="O369" s="421">
        <v>0.94792042331900395</v>
      </c>
      <c r="P369" s="421">
        <v>182.60815084241301</v>
      </c>
      <c r="Q369" s="421">
        <v>15.2162816007431</v>
      </c>
      <c r="R369" s="421">
        <v>0</v>
      </c>
      <c r="S369" s="429">
        <v>452.306640976891</v>
      </c>
      <c r="T369" s="412"/>
    </row>
    <row r="370" spans="2:20" ht="13.5">
      <c r="B370" s="412"/>
      <c r="C370" s="428" t="s">
        <v>81</v>
      </c>
      <c r="D370" s="421">
        <v>0</v>
      </c>
      <c r="E370" s="421">
        <v>0</v>
      </c>
      <c r="F370" s="421">
        <v>4.6678370944484504</v>
      </c>
      <c r="G370" s="421">
        <v>66.895141856533499</v>
      </c>
      <c r="H370" s="421">
        <v>0</v>
      </c>
      <c r="I370" s="421">
        <v>0</v>
      </c>
      <c r="J370" s="421">
        <v>3.3107731809745702</v>
      </c>
      <c r="K370" s="421">
        <v>0</v>
      </c>
      <c r="L370" s="421">
        <v>0</v>
      </c>
      <c r="M370" s="421">
        <v>1.3652069766639501</v>
      </c>
      <c r="N370" s="421">
        <v>6.3842741155148302</v>
      </c>
      <c r="O370" s="421">
        <v>0.75088648318301499</v>
      </c>
      <c r="P370" s="421">
        <v>144.56234737622799</v>
      </c>
      <c r="Q370" s="421">
        <v>3.79874954472458</v>
      </c>
      <c r="R370" s="421">
        <v>0</v>
      </c>
      <c r="S370" s="429">
        <v>231.73521662827099</v>
      </c>
      <c r="T370" s="412"/>
    </row>
    <row r="371" spans="2:20" ht="13.5">
      <c r="B371" s="412"/>
      <c r="C371" s="428" t="s">
        <v>82</v>
      </c>
      <c r="D371" s="421">
        <v>0</v>
      </c>
      <c r="E371" s="421">
        <v>0</v>
      </c>
      <c r="F371" s="421">
        <v>4.5923360843350496</v>
      </c>
      <c r="G371" s="421">
        <v>5.5761395564600598</v>
      </c>
      <c r="H371" s="421">
        <v>0</v>
      </c>
      <c r="I371" s="421">
        <v>0</v>
      </c>
      <c r="J371" s="421">
        <v>1.9443380960196801</v>
      </c>
      <c r="K371" s="421">
        <v>0</v>
      </c>
      <c r="L371" s="421">
        <v>17.944913531130702</v>
      </c>
      <c r="M371" s="421">
        <v>0.11379876645836901</v>
      </c>
      <c r="N371" s="421">
        <v>0</v>
      </c>
      <c r="O371" s="421">
        <v>6.6456137421005299E-2</v>
      </c>
      <c r="P371" s="421">
        <v>7.4534323714914201</v>
      </c>
      <c r="Q371" s="421">
        <v>0</v>
      </c>
      <c r="R371" s="421">
        <v>0</v>
      </c>
      <c r="S371" s="429">
        <v>37.691414543316299</v>
      </c>
      <c r="T371" s="412"/>
    </row>
    <row r="372" spans="2:20" ht="13.5">
      <c r="B372" s="412"/>
      <c r="C372" s="428" t="s">
        <v>357</v>
      </c>
      <c r="D372" s="421">
        <v>0</v>
      </c>
      <c r="E372" s="421">
        <v>0</v>
      </c>
      <c r="F372" s="421">
        <v>0</v>
      </c>
      <c r="G372" s="421">
        <v>0</v>
      </c>
      <c r="H372" s="421">
        <v>0</v>
      </c>
      <c r="I372" s="421">
        <v>0</v>
      </c>
      <c r="J372" s="421">
        <v>0</v>
      </c>
      <c r="K372" s="421">
        <v>0</v>
      </c>
      <c r="L372" s="421">
        <v>0</v>
      </c>
      <c r="M372" s="421">
        <v>0</v>
      </c>
      <c r="N372" s="421">
        <v>0</v>
      </c>
      <c r="O372" s="421">
        <v>0</v>
      </c>
      <c r="P372" s="421">
        <v>0.8</v>
      </c>
      <c r="Q372" s="421">
        <v>0</v>
      </c>
      <c r="R372" s="421">
        <v>0</v>
      </c>
      <c r="S372" s="429">
        <v>0.8</v>
      </c>
      <c r="T372" s="412"/>
    </row>
    <row r="373" spans="2:20" ht="13.5">
      <c r="B373" s="412"/>
      <c r="C373" s="424" t="s">
        <v>83</v>
      </c>
      <c r="D373" s="425">
        <v>4.1175454090074304</v>
      </c>
      <c r="E373" s="425">
        <v>0</v>
      </c>
      <c r="F373" s="425">
        <v>251.32305800703199</v>
      </c>
      <c r="G373" s="425">
        <v>315.28758722975402</v>
      </c>
      <c r="H373" s="425">
        <v>0</v>
      </c>
      <c r="I373" s="425">
        <v>0</v>
      </c>
      <c r="J373" s="425">
        <v>96.956719776112095</v>
      </c>
      <c r="K373" s="425">
        <v>3.98663909653113</v>
      </c>
      <c r="L373" s="425">
        <v>40.172116235365102</v>
      </c>
      <c r="M373" s="425">
        <v>6.4344405557092701</v>
      </c>
      <c r="N373" s="425">
        <v>64.228247119713899</v>
      </c>
      <c r="O373" s="425">
        <v>1.7652630439230199</v>
      </c>
      <c r="P373" s="425">
        <v>517.98785386676104</v>
      </c>
      <c r="Q373" s="425">
        <v>37.922407575904103</v>
      </c>
      <c r="R373" s="425">
        <v>2.9782802596391802</v>
      </c>
      <c r="S373" s="425">
        <v>1343.1601581754501</v>
      </c>
      <c r="T373" s="412"/>
    </row>
    <row r="374" spans="2:20" ht="13.5">
      <c r="B374" s="412"/>
      <c r="C374" s="420" t="s">
        <v>84</v>
      </c>
      <c r="D374" s="421">
        <v>2.1301540527343801</v>
      </c>
      <c r="E374" s="421">
        <v>0</v>
      </c>
      <c r="F374" s="421">
        <v>138.64565541276201</v>
      </c>
      <c r="G374" s="421">
        <v>12.0685091884655</v>
      </c>
      <c r="H374" s="421">
        <v>0</v>
      </c>
      <c r="I374" s="421">
        <v>0</v>
      </c>
      <c r="J374" s="421">
        <v>0</v>
      </c>
      <c r="K374" s="421">
        <v>0</v>
      </c>
      <c r="L374" s="421">
        <v>0</v>
      </c>
      <c r="M374" s="421">
        <v>0</v>
      </c>
      <c r="N374" s="421">
        <v>0</v>
      </c>
      <c r="O374" s="421">
        <v>0</v>
      </c>
      <c r="P374" s="421">
        <v>0</v>
      </c>
      <c r="Q374" s="421">
        <v>0</v>
      </c>
      <c r="R374" s="421">
        <v>0.88229317016601605</v>
      </c>
      <c r="S374" s="429">
        <v>153.72661182412801</v>
      </c>
      <c r="T374" s="412"/>
    </row>
    <row r="375" spans="2:20" ht="13.5">
      <c r="B375" s="412"/>
      <c r="C375" s="424" t="s">
        <v>85</v>
      </c>
      <c r="D375" s="425">
        <v>6.2476994617418002</v>
      </c>
      <c r="E375" s="425">
        <v>0</v>
      </c>
      <c r="F375" s="425">
        <v>389.96871341979403</v>
      </c>
      <c r="G375" s="425">
        <v>327.35609641821998</v>
      </c>
      <c r="H375" s="425">
        <v>0</v>
      </c>
      <c r="I375" s="425">
        <v>0</v>
      </c>
      <c r="J375" s="425">
        <v>96.956719776112095</v>
      </c>
      <c r="K375" s="425">
        <v>3.98663909653113</v>
      </c>
      <c r="L375" s="425">
        <v>40.172116235365102</v>
      </c>
      <c r="M375" s="425">
        <v>6.4344405557092701</v>
      </c>
      <c r="N375" s="425">
        <v>64.228247119713899</v>
      </c>
      <c r="O375" s="425">
        <v>1.7652630439230199</v>
      </c>
      <c r="P375" s="425">
        <v>517.98785386676104</v>
      </c>
      <c r="Q375" s="425">
        <v>37.922407575904103</v>
      </c>
      <c r="R375" s="425">
        <v>3.8605734298051999</v>
      </c>
      <c r="S375" s="425">
        <v>1496.8867699995801</v>
      </c>
      <c r="T375" s="412"/>
    </row>
    <row r="376" spans="2:20">
      <c r="B376" s="412"/>
      <c r="C376" s="412"/>
      <c r="D376" s="430">
        <f t="shared" ref="D376:S376" si="17">D375+D365-D351</f>
        <v>0</v>
      </c>
      <c r="E376" s="430">
        <f t="shared" si="17"/>
        <v>0</v>
      </c>
      <c r="F376" s="430">
        <f t="shared" si="17"/>
        <v>0</v>
      </c>
      <c r="G376" s="430">
        <f t="shared" si="17"/>
        <v>0</v>
      </c>
      <c r="H376" s="430">
        <f t="shared" si="17"/>
        <v>0</v>
      </c>
      <c r="I376" s="430">
        <f t="shared" si="17"/>
        <v>0</v>
      </c>
      <c r="J376" s="430">
        <f t="shared" si="17"/>
        <v>2.2737367544323206E-13</v>
      </c>
      <c r="K376" s="430">
        <f t="shared" si="17"/>
        <v>3.1974423109204508E-14</v>
      </c>
      <c r="L376" s="430">
        <f t="shared" si="17"/>
        <v>-3.0420110874729289E-14</v>
      </c>
      <c r="M376" s="430">
        <f t="shared" si="17"/>
        <v>0</v>
      </c>
      <c r="N376" s="430">
        <f t="shared" si="17"/>
        <v>0</v>
      </c>
      <c r="O376" s="430">
        <f t="shared" si="17"/>
        <v>-9.7699626167013776E-15</v>
      </c>
      <c r="P376" s="430">
        <f t="shared" si="17"/>
        <v>7.9225515037251171E-13</v>
      </c>
      <c r="Q376" s="430">
        <f t="shared" si="17"/>
        <v>-9.9475983006414026E-14</v>
      </c>
      <c r="R376" s="430">
        <f t="shared" si="17"/>
        <v>0</v>
      </c>
      <c r="S376" s="430">
        <f t="shared" si="17"/>
        <v>0</v>
      </c>
      <c r="T376" s="412"/>
    </row>
    <row r="377" spans="2:20">
      <c r="B377" s="412"/>
      <c r="C377" s="412"/>
      <c r="D377" s="412"/>
      <c r="E377" s="412"/>
      <c r="F377" s="412"/>
      <c r="G377" s="412"/>
      <c r="H377" s="412"/>
      <c r="I377" s="412"/>
      <c r="J377" s="412"/>
      <c r="K377" s="412"/>
      <c r="L377" s="412"/>
      <c r="M377" s="412"/>
      <c r="N377" s="412"/>
      <c r="O377" s="412"/>
      <c r="P377" s="412"/>
      <c r="Q377" s="412"/>
      <c r="R377" s="412"/>
      <c r="S377" s="412"/>
      <c r="T377" s="412"/>
    </row>
    <row r="378" spans="2:20" ht="13.5">
      <c r="B378" s="416"/>
      <c r="C378" s="417" t="s">
        <v>89</v>
      </c>
      <c r="D378" s="416"/>
      <c r="E378" s="416"/>
      <c r="F378" s="416"/>
      <c r="G378" s="416"/>
      <c r="H378" s="416"/>
      <c r="I378" s="416"/>
      <c r="J378" s="416"/>
      <c r="K378" s="416"/>
      <c r="L378" s="416"/>
      <c r="M378" s="416"/>
      <c r="N378" s="416"/>
      <c r="O378" s="416"/>
      <c r="P378" s="416"/>
      <c r="Q378" s="416"/>
      <c r="R378" s="416"/>
      <c r="S378" s="416"/>
      <c r="T378" s="416"/>
    </row>
    <row r="379" spans="2:20">
      <c r="B379" s="412"/>
      <c r="C379" s="412"/>
      <c r="D379" s="412"/>
      <c r="E379" s="412"/>
      <c r="F379" s="412"/>
      <c r="G379" s="412"/>
      <c r="H379" s="412"/>
      <c r="I379" s="412"/>
      <c r="J379" s="412"/>
      <c r="K379" s="412"/>
      <c r="L379" s="412"/>
      <c r="M379" s="412"/>
      <c r="N379" s="412"/>
      <c r="O379" s="412"/>
      <c r="P379" s="412"/>
      <c r="Q379" s="412"/>
      <c r="R379" s="412"/>
      <c r="S379" s="412"/>
      <c r="T379" s="412"/>
    </row>
    <row r="380" spans="2:20" ht="13.5" customHeight="1">
      <c r="B380" s="412"/>
      <c r="C380" s="702" t="s">
        <v>128</v>
      </c>
      <c r="D380" s="703" t="s">
        <v>42</v>
      </c>
      <c r="E380" s="703" t="s">
        <v>52</v>
      </c>
      <c r="F380" s="703" t="s">
        <v>53</v>
      </c>
      <c r="G380" s="703" t="s">
        <v>32</v>
      </c>
      <c r="H380" s="703" t="s">
        <v>20</v>
      </c>
      <c r="I380" s="703" t="s">
        <v>55</v>
      </c>
      <c r="J380" s="703" t="s">
        <v>56</v>
      </c>
      <c r="K380" s="703"/>
      <c r="L380" s="703"/>
      <c r="M380" s="703"/>
      <c r="N380" s="703"/>
      <c r="O380" s="703"/>
      <c r="P380" s="703" t="s">
        <v>57</v>
      </c>
      <c r="Q380" s="703" t="s">
        <v>58</v>
      </c>
      <c r="R380" s="703" t="s">
        <v>31</v>
      </c>
      <c r="S380" s="703" t="s">
        <v>10</v>
      </c>
      <c r="T380" s="412"/>
    </row>
    <row r="381" spans="2:20" ht="57.5">
      <c r="B381" s="412"/>
      <c r="C381" s="702"/>
      <c r="D381" s="703"/>
      <c r="E381" s="703"/>
      <c r="F381" s="703"/>
      <c r="G381" s="703"/>
      <c r="H381" s="703"/>
      <c r="I381" s="703"/>
      <c r="J381" s="418" t="s">
        <v>338</v>
      </c>
      <c r="K381" s="418" t="s">
        <v>40</v>
      </c>
      <c r="L381" s="418" t="s">
        <v>346</v>
      </c>
      <c r="M381" s="418" t="s">
        <v>347</v>
      </c>
      <c r="N381" s="419" t="s">
        <v>348</v>
      </c>
      <c r="O381" s="418" t="s">
        <v>349</v>
      </c>
      <c r="P381" s="703"/>
      <c r="Q381" s="703"/>
      <c r="R381" s="703"/>
      <c r="S381" s="703"/>
      <c r="T381" s="412"/>
    </row>
    <row r="382" spans="2:20" ht="13.5">
      <c r="B382" s="412"/>
      <c r="C382" s="420" t="s">
        <v>59</v>
      </c>
      <c r="D382" s="421">
        <v>0</v>
      </c>
      <c r="E382" s="421">
        <v>0</v>
      </c>
      <c r="F382" s="421">
        <v>0</v>
      </c>
      <c r="G382" s="421">
        <v>0</v>
      </c>
      <c r="H382" s="422">
        <v>727.27272727272702</v>
      </c>
      <c r="I382" s="422">
        <v>285.08</v>
      </c>
      <c r="J382" s="422">
        <v>179.02026508455899</v>
      </c>
      <c r="K382" s="422">
        <v>22.071430242595699</v>
      </c>
      <c r="L382" s="421">
        <v>0</v>
      </c>
      <c r="M382" s="421">
        <v>0</v>
      </c>
      <c r="N382" s="422">
        <v>69.124340714614704</v>
      </c>
      <c r="O382" s="422">
        <v>3.9743240940765601</v>
      </c>
      <c r="P382" s="421">
        <v>0</v>
      </c>
      <c r="Q382" s="421">
        <v>0</v>
      </c>
      <c r="R382" s="421">
        <v>0</v>
      </c>
      <c r="S382" s="423">
        <v>1286.54308740857</v>
      </c>
      <c r="T382" s="412"/>
    </row>
    <row r="383" spans="2:20" ht="13.5">
      <c r="B383" s="412"/>
      <c r="C383" s="420" t="s">
        <v>60</v>
      </c>
      <c r="D383" s="421">
        <v>29.137863782851301</v>
      </c>
      <c r="E383" s="421">
        <v>464.7986487</v>
      </c>
      <c r="F383" s="421">
        <v>43.026150332406097</v>
      </c>
      <c r="G383" s="421">
        <v>393.69712052116603</v>
      </c>
      <c r="H383" s="421">
        <v>0</v>
      </c>
      <c r="I383" s="421">
        <v>0</v>
      </c>
      <c r="J383" s="421">
        <v>0</v>
      </c>
      <c r="K383" s="421">
        <v>0</v>
      </c>
      <c r="L383" s="421">
        <v>0</v>
      </c>
      <c r="M383" s="421">
        <v>0</v>
      </c>
      <c r="N383" s="421">
        <v>0</v>
      </c>
      <c r="O383" s="421">
        <v>0</v>
      </c>
      <c r="P383" s="421">
        <v>52.272660894863201</v>
      </c>
      <c r="Q383" s="421">
        <v>0</v>
      </c>
      <c r="R383" s="421">
        <v>0</v>
      </c>
      <c r="S383" s="423">
        <v>982.93244423128704</v>
      </c>
      <c r="T383" s="412"/>
    </row>
    <row r="384" spans="2:20" ht="13.5">
      <c r="B384" s="412"/>
      <c r="C384" s="420" t="s">
        <v>61</v>
      </c>
      <c r="D384" s="421">
        <v>0</v>
      </c>
      <c r="E384" s="421">
        <v>0</v>
      </c>
      <c r="F384" s="421">
        <v>0</v>
      </c>
      <c r="G384" s="421">
        <v>0</v>
      </c>
      <c r="H384" s="421">
        <v>0</v>
      </c>
      <c r="I384" s="421">
        <v>0</v>
      </c>
      <c r="J384" s="421">
        <v>0</v>
      </c>
      <c r="K384" s="421">
        <v>0</v>
      </c>
      <c r="L384" s="421">
        <v>0</v>
      </c>
      <c r="M384" s="421">
        <v>0</v>
      </c>
      <c r="N384" s="421">
        <v>0</v>
      </c>
      <c r="O384" s="421">
        <v>0</v>
      </c>
      <c r="P384" s="421">
        <v>0</v>
      </c>
      <c r="Q384" s="421">
        <v>0</v>
      </c>
      <c r="R384" s="421">
        <v>0</v>
      </c>
      <c r="S384" s="423">
        <v>0</v>
      </c>
      <c r="T384" s="412"/>
    </row>
    <row r="385" spans="2:20" ht="13.5">
      <c r="B385" s="412"/>
      <c r="C385" s="420" t="s">
        <v>62</v>
      </c>
      <c r="D385" s="421">
        <v>0</v>
      </c>
      <c r="E385" s="421">
        <v>0</v>
      </c>
      <c r="F385" s="421">
        <v>-14.431507774067301</v>
      </c>
      <c r="G385" s="421">
        <v>0</v>
      </c>
      <c r="H385" s="421">
        <v>0</v>
      </c>
      <c r="I385" s="421">
        <v>0</v>
      </c>
      <c r="J385" s="421">
        <v>0</v>
      </c>
      <c r="K385" s="421">
        <v>0</v>
      </c>
      <c r="L385" s="421">
        <v>0</v>
      </c>
      <c r="M385" s="421">
        <v>0</v>
      </c>
      <c r="N385" s="421">
        <v>0</v>
      </c>
      <c r="O385" s="421">
        <v>0</v>
      </c>
      <c r="P385" s="421">
        <v>0</v>
      </c>
      <c r="Q385" s="421">
        <v>0</v>
      </c>
      <c r="R385" s="421">
        <v>0</v>
      </c>
      <c r="S385" s="423">
        <v>-14.431507774067301</v>
      </c>
      <c r="T385" s="412"/>
    </row>
    <row r="386" spans="2:20" ht="13.5">
      <c r="B386" s="412"/>
      <c r="C386" s="420" t="s">
        <v>63</v>
      </c>
      <c r="D386" s="421">
        <v>0</v>
      </c>
      <c r="E386" s="421">
        <v>0</v>
      </c>
      <c r="F386" s="421">
        <v>-93.073301321338505</v>
      </c>
      <c r="G386" s="421">
        <v>0</v>
      </c>
      <c r="H386" s="421">
        <v>0</v>
      </c>
      <c r="I386" s="421">
        <v>0</v>
      </c>
      <c r="J386" s="421">
        <v>0</v>
      </c>
      <c r="K386" s="421">
        <v>0</v>
      </c>
      <c r="L386" s="421">
        <v>-0.96113349486483901</v>
      </c>
      <c r="M386" s="421">
        <v>0</v>
      </c>
      <c r="N386" s="421">
        <v>0</v>
      </c>
      <c r="O386" s="421">
        <v>0</v>
      </c>
      <c r="P386" s="421">
        <v>0</v>
      </c>
      <c r="Q386" s="421">
        <v>0</v>
      </c>
      <c r="R386" s="421">
        <v>0</v>
      </c>
      <c r="S386" s="423">
        <v>-94.034434816203301</v>
      </c>
      <c r="T386" s="412"/>
    </row>
    <row r="387" spans="2:20" ht="13.5">
      <c r="B387" s="412"/>
      <c r="C387" s="420" t="s">
        <v>64</v>
      </c>
      <c r="D387" s="421">
        <v>0</v>
      </c>
      <c r="E387" s="421">
        <v>0</v>
      </c>
      <c r="F387" s="421">
        <v>0</v>
      </c>
      <c r="G387" s="421">
        <v>0</v>
      </c>
      <c r="H387" s="421">
        <v>0</v>
      </c>
      <c r="I387" s="421">
        <v>0</v>
      </c>
      <c r="J387" s="421">
        <v>0</v>
      </c>
      <c r="K387" s="421">
        <v>0</v>
      </c>
      <c r="L387" s="421">
        <v>0</v>
      </c>
      <c r="M387" s="421">
        <v>0</v>
      </c>
      <c r="N387" s="421">
        <v>0</v>
      </c>
      <c r="O387" s="421">
        <v>0</v>
      </c>
      <c r="P387" s="421">
        <v>0</v>
      </c>
      <c r="Q387" s="421">
        <v>0</v>
      </c>
      <c r="R387" s="421">
        <v>0</v>
      </c>
      <c r="S387" s="423">
        <v>0</v>
      </c>
      <c r="T387" s="412"/>
    </row>
    <row r="388" spans="2:20" ht="13.5">
      <c r="B388" s="412"/>
      <c r="C388" s="424" t="s">
        <v>65</v>
      </c>
      <c r="D388" s="425">
        <v>29.137863782851301</v>
      </c>
      <c r="E388" s="425">
        <v>464.7986487</v>
      </c>
      <c r="F388" s="425">
        <v>-64.4786587629997</v>
      </c>
      <c r="G388" s="425">
        <v>393.69712052116603</v>
      </c>
      <c r="H388" s="425">
        <v>727.27272727272702</v>
      </c>
      <c r="I388" s="425">
        <v>285.08</v>
      </c>
      <c r="J388" s="425">
        <v>179.02026508455899</v>
      </c>
      <c r="K388" s="425">
        <v>22.071430242595699</v>
      </c>
      <c r="L388" s="425">
        <v>-0.96113349486483901</v>
      </c>
      <c r="M388" s="425">
        <v>0</v>
      </c>
      <c r="N388" s="425">
        <v>69.124340714614704</v>
      </c>
      <c r="O388" s="425">
        <v>3.9743240940765601</v>
      </c>
      <c r="P388" s="425">
        <v>52.272660894863201</v>
      </c>
      <c r="Q388" s="425">
        <v>0</v>
      </c>
      <c r="R388" s="425">
        <v>0</v>
      </c>
      <c r="S388" s="425">
        <v>2161.00958904959</v>
      </c>
      <c r="T388" s="412"/>
    </row>
    <row r="389" spans="2:20" ht="13.5">
      <c r="B389" s="412"/>
      <c r="C389" s="426"/>
      <c r="D389" s="427"/>
      <c r="E389" s="427"/>
      <c r="F389" s="427"/>
      <c r="G389" s="427"/>
      <c r="H389" s="427"/>
      <c r="I389" s="427"/>
      <c r="J389" s="427"/>
      <c r="K389" s="427"/>
      <c r="L389" s="427"/>
      <c r="M389" s="427"/>
      <c r="N389" s="427"/>
      <c r="O389" s="427"/>
      <c r="P389" s="427"/>
      <c r="Q389" s="427"/>
      <c r="R389" s="427"/>
      <c r="S389" s="427"/>
      <c r="T389" s="412"/>
    </row>
    <row r="390" spans="2:20" ht="13.5">
      <c r="B390" s="412"/>
      <c r="C390" s="428" t="s">
        <v>67</v>
      </c>
      <c r="D390" s="421">
        <v>0</v>
      </c>
      <c r="E390" s="421">
        <v>0</v>
      </c>
      <c r="F390" s="421">
        <v>0</v>
      </c>
      <c r="G390" s="421">
        <v>0</v>
      </c>
      <c r="H390" s="421">
        <v>0</v>
      </c>
      <c r="I390" s="421">
        <v>0</v>
      </c>
      <c r="J390" s="421">
        <v>0</v>
      </c>
      <c r="K390" s="421">
        <v>0</v>
      </c>
      <c r="L390" s="421">
        <v>0</v>
      </c>
      <c r="M390" s="421">
        <v>0</v>
      </c>
      <c r="N390" s="421">
        <v>0</v>
      </c>
      <c r="O390" s="421">
        <v>0</v>
      </c>
      <c r="P390" s="421">
        <v>0</v>
      </c>
      <c r="Q390" s="421">
        <v>0</v>
      </c>
      <c r="R390" s="421">
        <v>0</v>
      </c>
      <c r="S390" s="429">
        <v>0</v>
      </c>
      <c r="T390" s="412"/>
    </row>
    <row r="391" spans="2:20" ht="13.5">
      <c r="B391" s="412"/>
      <c r="C391" s="428" t="s">
        <v>350</v>
      </c>
      <c r="D391" s="421">
        <v>2.2004707355665598</v>
      </c>
      <c r="E391" s="421">
        <v>0</v>
      </c>
      <c r="F391" s="421">
        <v>3.8636363636363602</v>
      </c>
      <c r="G391" s="421">
        <v>35.960251906978201</v>
      </c>
      <c r="H391" s="421">
        <v>727.27272727272702</v>
      </c>
      <c r="I391" s="421">
        <v>285.08</v>
      </c>
      <c r="J391" s="421">
        <v>20.883347007614301</v>
      </c>
      <c r="K391" s="421">
        <v>5.4396340942741803</v>
      </c>
      <c r="L391" s="421">
        <v>0</v>
      </c>
      <c r="M391" s="421">
        <v>0.73388269197914702</v>
      </c>
      <c r="N391" s="421">
        <v>0</v>
      </c>
      <c r="O391" s="421">
        <v>0</v>
      </c>
      <c r="P391" s="421">
        <v>-559.49648075937398</v>
      </c>
      <c r="Q391" s="421">
        <v>0</v>
      </c>
      <c r="R391" s="421">
        <v>0</v>
      </c>
      <c r="S391" s="429">
        <v>521.93746931340195</v>
      </c>
      <c r="T391" s="412"/>
    </row>
    <row r="392" spans="2:20" ht="13.5">
      <c r="B392" s="412"/>
      <c r="C392" s="428" t="s">
        <v>351</v>
      </c>
      <c r="D392" s="421">
        <v>0</v>
      </c>
      <c r="E392" s="421">
        <v>0</v>
      </c>
      <c r="F392" s="421">
        <v>0</v>
      </c>
      <c r="G392" s="421">
        <v>17.249248608476702</v>
      </c>
      <c r="H392" s="421">
        <v>0</v>
      </c>
      <c r="I392" s="421">
        <v>0</v>
      </c>
      <c r="J392" s="421">
        <v>12.287356523997399</v>
      </c>
      <c r="K392" s="421">
        <v>12.751836063828801</v>
      </c>
      <c r="L392" s="421">
        <v>0</v>
      </c>
      <c r="M392" s="421">
        <v>0.35202548180564602</v>
      </c>
      <c r="N392" s="421">
        <v>0</v>
      </c>
      <c r="O392" s="421">
        <v>2.25411214784515</v>
      </c>
      <c r="P392" s="421">
        <v>0</v>
      </c>
      <c r="Q392" s="421">
        <v>-41.172831919421</v>
      </c>
      <c r="R392" s="421">
        <v>0</v>
      </c>
      <c r="S392" s="429">
        <v>3.7217469065325699</v>
      </c>
      <c r="T392" s="412"/>
    </row>
    <row r="393" spans="2:20" ht="13.5">
      <c r="B393" s="412"/>
      <c r="C393" s="428" t="s">
        <v>352</v>
      </c>
      <c r="D393" s="421">
        <v>0</v>
      </c>
      <c r="E393" s="421">
        <v>0</v>
      </c>
      <c r="F393" s="421">
        <v>0</v>
      </c>
      <c r="G393" s="421">
        <v>0</v>
      </c>
      <c r="H393" s="421">
        <v>0</v>
      </c>
      <c r="I393" s="421">
        <v>0</v>
      </c>
      <c r="J393" s="421">
        <v>8.1584068388578199</v>
      </c>
      <c r="K393" s="421">
        <v>0</v>
      </c>
      <c r="L393" s="421">
        <v>0</v>
      </c>
      <c r="M393" s="421">
        <v>-7.7912785311092199</v>
      </c>
      <c r="N393" s="421">
        <v>0</v>
      </c>
      <c r="O393" s="421">
        <v>0</v>
      </c>
      <c r="P393" s="421">
        <v>0</v>
      </c>
      <c r="Q393" s="421">
        <v>0</v>
      </c>
      <c r="R393" s="421">
        <v>0</v>
      </c>
      <c r="S393" s="429">
        <v>0.367128307748603</v>
      </c>
      <c r="T393" s="412"/>
    </row>
    <row r="394" spans="2:20" ht="13.5">
      <c r="B394" s="412"/>
      <c r="C394" s="428" t="s">
        <v>353</v>
      </c>
      <c r="D394" s="421">
        <v>0</v>
      </c>
      <c r="E394" s="421">
        <v>0</v>
      </c>
      <c r="F394" s="421">
        <v>0</v>
      </c>
      <c r="G394" s="421">
        <v>0</v>
      </c>
      <c r="H394" s="421">
        <v>0</v>
      </c>
      <c r="I394" s="421">
        <v>0</v>
      </c>
      <c r="J394" s="421">
        <v>0</v>
      </c>
      <c r="K394" s="421">
        <v>0</v>
      </c>
      <c r="L394" s="421">
        <v>0</v>
      </c>
      <c r="M394" s="421">
        <v>0</v>
      </c>
      <c r="N394" s="421">
        <v>0</v>
      </c>
      <c r="O394" s="421">
        <v>0</v>
      </c>
      <c r="P394" s="421">
        <v>0</v>
      </c>
      <c r="Q394" s="421">
        <v>0</v>
      </c>
      <c r="R394" s="421">
        <v>0</v>
      </c>
      <c r="S394" s="429">
        <v>0</v>
      </c>
      <c r="T394" s="412"/>
    </row>
    <row r="395" spans="2:20" ht="13.5">
      <c r="B395" s="412"/>
      <c r="C395" s="428" t="s">
        <v>72</v>
      </c>
      <c r="D395" s="421">
        <v>0</v>
      </c>
      <c r="E395" s="421">
        <v>481.48200000000003</v>
      </c>
      <c r="F395" s="421">
        <v>-476.66717999999997</v>
      </c>
      <c r="G395" s="421">
        <v>0</v>
      </c>
      <c r="H395" s="421">
        <v>0</v>
      </c>
      <c r="I395" s="421">
        <v>0</v>
      </c>
      <c r="J395" s="421">
        <v>0</v>
      </c>
      <c r="K395" s="421">
        <v>0</v>
      </c>
      <c r="L395" s="421">
        <v>0</v>
      </c>
      <c r="M395" s="421">
        <v>0</v>
      </c>
      <c r="N395" s="421">
        <v>0</v>
      </c>
      <c r="O395" s="421">
        <v>0</v>
      </c>
      <c r="P395" s="421">
        <v>0</v>
      </c>
      <c r="Q395" s="421">
        <v>0</v>
      </c>
      <c r="R395" s="421">
        <v>0</v>
      </c>
      <c r="S395" s="429">
        <v>4.8148200000000001</v>
      </c>
      <c r="T395" s="412"/>
    </row>
    <row r="396" spans="2:20" ht="13.5">
      <c r="B396" s="412"/>
      <c r="C396" s="428" t="s">
        <v>354</v>
      </c>
      <c r="D396" s="421">
        <v>0</v>
      </c>
      <c r="E396" s="421">
        <v>0</v>
      </c>
      <c r="F396" s="421">
        <v>0</v>
      </c>
      <c r="G396" s="421">
        <v>0</v>
      </c>
      <c r="H396" s="421">
        <v>0</v>
      </c>
      <c r="I396" s="421">
        <v>0</v>
      </c>
      <c r="J396" s="421">
        <v>41.474660133722303</v>
      </c>
      <c r="K396" s="421">
        <v>0</v>
      </c>
      <c r="L396" s="421">
        <v>-41.474660133722303</v>
      </c>
      <c r="M396" s="421">
        <v>0</v>
      </c>
      <c r="N396" s="421">
        <v>0</v>
      </c>
      <c r="O396" s="421">
        <v>0</v>
      </c>
      <c r="P396" s="421">
        <v>0</v>
      </c>
      <c r="Q396" s="421">
        <v>0</v>
      </c>
      <c r="R396" s="421">
        <v>0</v>
      </c>
      <c r="S396" s="429">
        <v>0</v>
      </c>
      <c r="T396" s="412"/>
    </row>
    <row r="397" spans="2:20" ht="13.5">
      <c r="B397" s="412"/>
      <c r="C397" s="428" t="s">
        <v>355</v>
      </c>
      <c r="D397" s="421">
        <v>0</v>
      </c>
      <c r="E397" s="421">
        <v>0</v>
      </c>
      <c r="F397" s="421">
        <v>0</v>
      </c>
      <c r="G397" s="421">
        <v>0</v>
      </c>
      <c r="H397" s="421">
        <v>0</v>
      </c>
      <c r="I397" s="421">
        <v>0</v>
      </c>
      <c r="J397" s="421">
        <v>0</v>
      </c>
      <c r="K397" s="421">
        <v>0</v>
      </c>
      <c r="L397" s="421">
        <v>-0.18779562104234199</v>
      </c>
      <c r="M397" s="421">
        <v>0</v>
      </c>
      <c r="N397" s="421">
        <v>0</v>
      </c>
      <c r="O397" s="421">
        <v>0</v>
      </c>
      <c r="P397" s="421">
        <v>0</v>
      </c>
      <c r="Q397" s="421">
        <v>0</v>
      </c>
      <c r="R397" s="421">
        <v>0.26827945863191799</v>
      </c>
      <c r="S397" s="429">
        <v>8.0483837589575294E-2</v>
      </c>
      <c r="T397" s="412"/>
    </row>
    <row r="398" spans="2:20" ht="13.5">
      <c r="B398" s="412"/>
      <c r="C398" s="428" t="s">
        <v>73</v>
      </c>
      <c r="D398" s="421">
        <v>0</v>
      </c>
      <c r="E398" s="421">
        <v>0</v>
      </c>
      <c r="F398" s="421">
        <v>0</v>
      </c>
      <c r="G398" s="421">
        <v>5.7699673283914903</v>
      </c>
      <c r="H398" s="421">
        <v>0</v>
      </c>
      <c r="I398" s="421">
        <v>0</v>
      </c>
      <c r="J398" s="421">
        <v>0</v>
      </c>
      <c r="K398" s="421">
        <v>6.7674962800744601E-2</v>
      </c>
      <c r="L398" s="421">
        <v>0</v>
      </c>
      <c r="M398" s="421">
        <v>0.117754435273296</v>
      </c>
      <c r="N398" s="421">
        <v>0</v>
      </c>
      <c r="O398" s="421">
        <v>0</v>
      </c>
      <c r="P398" s="421">
        <v>0.78954123267535403</v>
      </c>
      <c r="Q398" s="421">
        <v>0</v>
      </c>
      <c r="R398" s="421">
        <v>-4.73724739605212</v>
      </c>
      <c r="S398" s="429">
        <v>2.0076905630887598</v>
      </c>
      <c r="T398" s="412"/>
    </row>
    <row r="399" spans="2:20" ht="13.5">
      <c r="B399" s="412"/>
      <c r="C399" s="428" t="s">
        <v>356</v>
      </c>
      <c r="D399" s="421">
        <v>12.0380056152344</v>
      </c>
      <c r="E399" s="421">
        <v>-16.683351300000002</v>
      </c>
      <c r="F399" s="421">
        <v>21.820838094867199</v>
      </c>
      <c r="G399" s="421">
        <v>0</v>
      </c>
      <c r="H399" s="421">
        <v>0</v>
      </c>
      <c r="I399" s="421">
        <v>0</v>
      </c>
      <c r="J399" s="421">
        <v>0</v>
      </c>
      <c r="K399" s="421">
        <v>0</v>
      </c>
      <c r="L399" s="421">
        <v>0</v>
      </c>
      <c r="M399" s="421">
        <v>0</v>
      </c>
      <c r="N399" s="421">
        <v>0</v>
      </c>
      <c r="O399" s="421">
        <v>0</v>
      </c>
      <c r="P399" s="421">
        <v>0</v>
      </c>
      <c r="Q399" s="421">
        <v>0</v>
      </c>
      <c r="R399" s="421">
        <v>0</v>
      </c>
      <c r="S399" s="429">
        <v>17.175492410101601</v>
      </c>
      <c r="T399" s="412"/>
    </row>
    <row r="400" spans="2:20" ht="13.5">
      <c r="B400" s="412"/>
      <c r="C400" s="428" t="s">
        <v>75</v>
      </c>
      <c r="D400" s="421">
        <v>9.5550615234374998</v>
      </c>
      <c r="E400" s="421">
        <v>0</v>
      </c>
      <c r="F400" s="421">
        <v>16.370387999999998</v>
      </c>
      <c r="G400" s="421">
        <v>4.6713383640000004</v>
      </c>
      <c r="H400" s="421">
        <v>0</v>
      </c>
      <c r="I400" s="421">
        <v>0</v>
      </c>
      <c r="J400" s="421">
        <v>0</v>
      </c>
      <c r="K400" s="421">
        <v>0</v>
      </c>
      <c r="L400" s="421">
        <v>0</v>
      </c>
      <c r="M400" s="421">
        <v>9.5333435999999994E-2</v>
      </c>
      <c r="N400" s="421">
        <v>0</v>
      </c>
      <c r="O400" s="421">
        <v>0</v>
      </c>
      <c r="P400" s="421">
        <v>25.6753694925142</v>
      </c>
      <c r="Q400" s="421">
        <v>0</v>
      </c>
      <c r="R400" s="421">
        <v>0</v>
      </c>
      <c r="S400" s="429">
        <v>56.367490815951697</v>
      </c>
      <c r="T400" s="412"/>
    </row>
    <row r="401" spans="2:20" ht="13.5">
      <c r="B401" s="412"/>
      <c r="C401" s="428" t="s">
        <v>76</v>
      </c>
      <c r="D401" s="421">
        <v>0</v>
      </c>
      <c r="E401" s="421">
        <v>0</v>
      </c>
      <c r="F401" s="421">
        <v>0</v>
      </c>
      <c r="G401" s="421">
        <v>4.52694839554567</v>
      </c>
      <c r="H401" s="421">
        <v>0</v>
      </c>
      <c r="I401" s="421">
        <v>0</v>
      </c>
      <c r="J401" s="421">
        <v>0</v>
      </c>
      <c r="K401" s="421">
        <v>0</v>
      </c>
      <c r="L401" s="421">
        <v>0</v>
      </c>
      <c r="M401" s="421">
        <v>9.2386701949911706E-2</v>
      </c>
      <c r="N401" s="421">
        <v>0</v>
      </c>
      <c r="O401" s="421">
        <v>0</v>
      </c>
      <c r="P401" s="421">
        <v>46.885354346539003</v>
      </c>
      <c r="Q401" s="421">
        <v>3.1905146505824402</v>
      </c>
      <c r="R401" s="421">
        <v>0</v>
      </c>
      <c r="S401" s="429">
        <v>54.695204094616997</v>
      </c>
      <c r="T401" s="412"/>
    </row>
    <row r="402" spans="2:20" ht="13.5">
      <c r="B402" s="412"/>
      <c r="C402" s="424" t="s">
        <v>77</v>
      </c>
      <c r="D402" s="425">
        <v>23.7935378742384</v>
      </c>
      <c r="E402" s="425">
        <v>464.7986487</v>
      </c>
      <c r="F402" s="425">
        <v>-434.61231754149702</v>
      </c>
      <c r="G402" s="425">
        <v>68.177754603392003</v>
      </c>
      <c r="H402" s="425">
        <v>727.27272727272702</v>
      </c>
      <c r="I402" s="425">
        <v>285.08</v>
      </c>
      <c r="J402" s="425">
        <v>82.803770504191903</v>
      </c>
      <c r="K402" s="425">
        <v>18.2591451209037</v>
      </c>
      <c r="L402" s="425">
        <v>-41.6624557547647</v>
      </c>
      <c r="M402" s="425">
        <v>-6.3998957841012203</v>
      </c>
      <c r="N402" s="425">
        <v>0</v>
      </c>
      <c r="O402" s="425">
        <v>2.25411214784515</v>
      </c>
      <c r="P402" s="425">
        <v>-486.14621568764602</v>
      </c>
      <c r="Q402" s="425">
        <v>-37.982317268838599</v>
      </c>
      <c r="R402" s="425">
        <v>-4.46896793742021</v>
      </c>
      <c r="S402" s="425">
        <v>661.16752624903097</v>
      </c>
      <c r="T402" s="412"/>
    </row>
    <row r="403" spans="2:20" ht="13.5">
      <c r="B403" s="412"/>
      <c r="C403" s="426"/>
      <c r="D403" s="427"/>
      <c r="E403" s="427"/>
      <c r="F403" s="427"/>
      <c r="G403" s="427"/>
      <c r="H403" s="427"/>
      <c r="I403" s="427"/>
      <c r="J403" s="427"/>
      <c r="K403" s="427"/>
      <c r="L403" s="427"/>
      <c r="M403" s="427"/>
      <c r="N403" s="427"/>
      <c r="O403" s="427"/>
      <c r="P403" s="427"/>
      <c r="Q403" s="427"/>
      <c r="R403" s="427"/>
      <c r="S403" s="427"/>
      <c r="T403" s="412"/>
    </row>
    <row r="404" spans="2:20" ht="13.5">
      <c r="B404" s="412"/>
      <c r="C404" s="428" t="s">
        <v>78</v>
      </c>
      <c r="D404" s="421">
        <v>3.2525348929878701</v>
      </c>
      <c r="E404" s="421">
        <v>0</v>
      </c>
      <c r="F404" s="421">
        <v>17.532199420942199</v>
      </c>
      <c r="G404" s="421">
        <v>101.536086736296</v>
      </c>
      <c r="H404" s="421">
        <v>0</v>
      </c>
      <c r="I404" s="421">
        <v>0</v>
      </c>
      <c r="J404" s="421">
        <v>17.243729128153799</v>
      </c>
      <c r="K404" s="421">
        <v>3.8122851216920202</v>
      </c>
      <c r="L404" s="421">
        <v>0.87021837890624998</v>
      </c>
      <c r="M404" s="421">
        <v>2.0721650354346099</v>
      </c>
      <c r="N404" s="421">
        <v>0</v>
      </c>
      <c r="O404" s="421">
        <v>0</v>
      </c>
      <c r="P404" s="421">
        <v>120.089551917563</v>
      </c>
      <c r="Q404" s="421">
        <v>19.4196670049601</v>
      </c>
      <c r="R404" s="421">
        <v>0.24405599975585901</v>
      </c>
      <c r="S404" s="429">
        <v>286.072493636692</v>
      </c>
      <c r="T404" s="412"/>
    </row>
    <row r="405" spans="2:20" ht="13.5">
      <c r="B405" s="412"/>
      <c r="C405" s="428" t="s">
        <v>79</v>
      </c>
      <c r="D405" s="421">
        <v>0</v>
      </c>
      <c r="E405" s="421">
        <v>0</v>
      </c>
      <c r="F405" s="421">
        <v>204.27744800701601</v>
      </c>
      <c r="G405" s="421">
        <v>35.056721936600702</v>
      </c>
      <c r="H405" s="421">
        <v>0</v>
      </c>
      <c r="I405" s="421">
        <v>0</v>
      </c>
      <c r="J405" s="421">
        <v>0</v>
      </c>
      <c r="K405" s="421">
        <v>0</v>
      </c>
      <c r="L405" s="421">
        <v>20.587238275227001</v>
      </c>
      <c r="M405" s="421">
        <v>0.71544330482858598</v>
      </c>
      <c r="N405" s="421">
        <v>0</v>
      </c>
      <c r="O405" s="421">
        <v>0</v>
      </c>
      <c r="P405" s="421">
        <v>74.338731935176895</v>
      </c>
      <c r="Q405" s="421">
        <v>0</v>
      </c>
      <c r="R405" s="421">
        <v>3.0427208487971602</v>
      </c>
      <c r="S405" s="429">
        <v>338.01830430764699</v>
      </c>
      <c r="T405" s="412"/>
    </row>
    <row r="406" spans="2:20" ht="13.5">
      <c r="B406" s="412"/>
      <c r="C406" s="428" t="s">
        <v>80</v>
      </c>
      <c r="D406" s="421">
        <v>0</v>
      </c>
      <c r="E406" s="421">
        <v>0</v>
      </c>
      <c r="F406" s="421">
        <v>5.0790798253364304</v>
      </c>
      <c r="G406" s="421">
        <v>103.36019560958501</v>
      </c>
      <c r="H406" s="421">
        <v>0</v>
      </c>
      <c r="I406" s="421">
        <v>0</v>
      </c>
      <c r="J406" s="421">
        <v>73.674863255740703</v>
      </c>
      <c r="K406" s="421">
        <v>0</v>
      </c>
      <c r="L406" s="421">
        <v>0</v>
      </c>
      <c r="M406" s="421">
        <v>2.1093917471343899</v>
      </c>
      <c r="N406" s="421">
        <v>62.925207692465797</v>
      </c>
      <c r="O406" s="421">
        <v>0.93798825098649496</v>
      </c>
      <c r="P406" s="421">
        <v>184.247095425738</v>
      </c>
      <c r="Q406" s="421">
        <v>14.961677987514401</v>
      </c>
      <c r="R406" s="421">
        <v>0</v>
      </c>
      <c r="S406" s="429">
        <v>447.29549979450098</v>
      </c>
      <c r="T406" s="412"/>
    </row>
    <row r="407" spans="2:20" ht="13.5">
      <c r="B407" s="412"/>
      <c r="C407" s="428" t="s">
        <v>81</v>
      </c>
      <c r="D407" s="421">
        <v>0</v>
      </c>
      <c r="E407" s="421">
        <v>0</v>
      </c>
      <c r="F407" s="421">
        <v>1.9431733632283299</v>
      </c>
      <c r="G407" s="421">
        <v>67.9041876215625</v>
      </c>
      <c r="H407" s="421">
        <v>0</v>
      </c>
      <c r="I407" s="421">
        <v>0</v>
      </c>
      <c r="J407" s="421">
        <v>3.20971056517973</v>
      </c>
      <c r="K407" s="421">
        <v>0</v>
      </c>
      <c r="L407" s="421">
        <v>0</v>
      </c>
      <c r="M407" s="421">
        <v>1.3857997473788299</v>
      </c>
      <c r="N407" s="421">
        <v>6.1991330221488896</v>
      </c>
      <c r="O407" s="421">
        <v>0.72170394145081995</v>
      </c>
      <c r="P407" s="421">
        <v>149.98195377916301</v>
      </c>
      <c r="Q407" s="421">
        <v>3.6009722763640601</v>
      </c>
      <c r="R407" s="421">
        <v>0</v>
      </c>
      <c r="S407" s="429">
        <v>234.94663431647601</v>
      </c>
      <c r="T407" s="412"/>
    </row>
    <row r="408" spans="2:20" ht="13.5">
      <c r="B408" s="412"/>
      <c r="C408" s="428" t="s">
        <v>82</v>
      </c>
      <c r="D408" s="421">
        <v>0</v>
      </c>
      <c r="E408" s="421">
        <v>0</v>
      </c>
      <c r="F408" s="421">
        <v>2.1543406684855499</v>
      </c>
      <c r="G408" s="421">
        <v>5.7377015169157897</v>
      </c>
      <c r="H408" s="421">
        <v>0</v>
      </c>
      <c r="I408" s="421">
        <v>0</v>
      </c>
      <c r="J408" s="421">
        <v>2.0881916312924198</v>
      </c>
      <c r="K408" s="421">
        <v>0</v>
      </c>
      <c r="L408" s="421">
        <v>19.243865605766601</v>
      </c>
      <c r="M408" s="421">
        <v>0.117095949324812</v>
      </c>
      <c r="N408" s="421">
        <v>0</v>
      </c>
      <c r="O408" s="421">
        <v>6.0519753794095202E-2</v>
      </c>
      <c r="P408" s="421">
        <v>7.3615435248684502</v>
      </c>
      <c r="Q408" s="421">
        <v>0</v>
      </c>
      <c r="R408" s="421">
        <v>0</v>
      </c>
      <c r="S408" s="429">
        <v>36.763258650447703</v>
      </c>
      <c r="T408" s="412"/>
    </row>
    <row r="409" spans="2:20" ht="13.5">
      <c r="B409" s="412"/>
      <c r="C409" s="428" t="s">
        <v>357</v>
      </c>
      <c r="D409" s="421">
        <v>0</v>
      </c>
      <c r="E409" s="421">
        <v>0</v>
      </c>
      <c r="F409" s="421">
        <v>0</v>
      </c>
      <c r="G409" s="421">
        <v>0</v>
      </c>
      <c r="H409" s="421">
        <v>0</v>
      </c>
      <c r="I409" s="421">
        <v>0</v>
      </c>
      <c r="J409" s="421">
        <v>0</v>
      </c>
      <c r="K409" s="421">
        <v>0</v>
      </c>
      <c r="L409" s="421">
        <v>0</v>
      </c>
      <c r="M409" s="421">
        <v>0</v>
      </c>
      <c r="N409" s="421">
        <v>0</v>
      </c>
      <c r="O409" s="421">
        <v>0</v>
      </c>
      <c r="P409" s="421">
        <v>2.4</v>
      </c>
      <c r="Q409" s="421">
        <v>0</v>
      </c>
      <c r="R409" s="421">
        <v>0</v>
      </c>
      <c r="S409" s="429">
        <v>2.4</v>
      </c>
      <c r="T409" s="412"/>
    </row>
    <row r="410" spans="2:20" ht="13.5">
      <c r="B410" s="412"/>
      <c r="C410" s="424" t="s">
        <v>83</v>
      </c>
      <c r="D410" s="425">
        <v>3.2525348929878701</v>
      </c>
      <c r="E410" s="425">
        <v>0</v>
      </c>
      <c r="F410" s="425">
        <v>230.98624128500899</v>
      </c>
      <c r="G410" s="425">
        <v>313.59489342095998</v>
      </c>
      <c r="H410" s="425">
        <v>0</v>
      </c>
      <c r="I410" s="425">
        <v>0</v>
      </c>
      <c r="J410" s="425">
        <v>96.2164945803667</v>
      </c>
      <c r="K410" s="425">
        <v>3.8122851216920202</v>
      </c>
      <c r="L410" s="425">
        <v>40.701322259899896</v>
      </c>
      <c r="M410" s="425">
        <v>6.3998957841012203</v>
      </c>
      <c r="N410" s="425">
        <v>69.124340714614704</v>
      </c>
      <c r="O410" s="425">
        <v>1.72021194623141</v>
      </c>
      <c r="P410" s="425">
        <v>538.41887658250903</v>
      </c>
      <c r="Q410" s="425">
        <v>37.982317268838599</v>
      </c>
      <c r="R410" s="425">
        <v>3.28677684855302</v>
      </c>
      <c r="S410" s="425">
        <v>1345.49619070576</v>
      </c>
      <c r="T410" s="412"/>
    </row>
    <row r="411" spans="2:20" ht="13.5">
      <c r="B411" s="412"/>
      <c r="C411" s="420" t="s">
        <v>84</v>
      </c>
      <c r="D411" s="421">
        <v>2.0917910156250001</v>
      </c>
      <c r="E411" s="421">
        <v>0</v>
      </c>
      <c r="F411" s="421">
        <v>139.14741749348801</v>
      </c>
      <c r="G411" s="421">
        <v>11.9244724968143</v>
      </c>
      <c r="H411" s="421">
        <v>0</v>
      </c>
      <c r="I411" s="421">
        <v>0</v>
      </c>
      <c r="J411" s="421">
        <v>0</v>
      </c>
      <c r="K411" s="421">
        <v>0</v>
      </c>
      <c r="L411" s="421">
        <v>0</v>
      </c>
      <c r="M411" s="421">
        <v>0</v>
      </c>
      <c r="N411" s="421">
        <v>0</v>
      </c>
      <c r="O411" s="421">
        <v>0</v>
      </c>
      <c r="P411" s="421">
        <v>0</v>
      </c>
      <c r="Q411" s="421">
        <v>0</v>
      </c>
      <c r="R411" s="421">
        <v>1.18219108886719</v>
      </c>
      <c r="S411" s="429">
        <v>154.345872094794</v>
      </c>
      <c r="T411" s="412"/>
    </row>
    <row r="412" spans="2:20" ht="13.5">
      <c r="B412" s="412"/>
      <c r="C412" s="424" t="s">
        <v>85</v>
      </c>
      <c r="D412" s="425">
        <v>5.3443259086128698</v>
      </c>
      <c r="E412" s="425">
        <v>0</v>
      </c>
      <c r="F412" s="425">
        <v>370.13365877849702</v>
      </c>
      <c r="G412" s="425">
        <v>325.519365917774</v>
      </c>
      <c r="H412" s="425">
        <v>0</v>
      </c>
      <c r="I412" s="425">
        <v>0</v>
      </c>
      <c r="J412" s="425">
        <v>96.2164945803667</v>
      </c>
      <c r="K412" s="425">
        <v>3.8122851216920202</v>
      </c>
      <c r="L412" s="425">
        <v>40.701322259899896</v>
      </c>
      <c r="M412" s="425">
        <v>6.3998957841012203</v>
      </c>
      <c r="N412" s="425">
        <v>69.124340714614704</v>
      </c>
      <c r="O412" s="425">
        <v>1.72021194623141</v>
      </c>
      <c r="P412" s="425">
        <v>538.41887658250903</v>
      </c>
      <c r="Q412" s="425">
        <v>37.982317268838599</v>
      </c>
      <c r="R412" s="425">
        <v>4.46896793742021</v>
      </c>
      <c r="S412" s="425">
        <v>1499.8420628005599</v>
      </c>
      <c r="T412" s="412"/>
    </row>
    <row r="413" spans="2:20">
      <c r="B413" s="412"/>
      <c r="C413" s="412"/>
      <c r="D413" s="430">
        <f t="shared" ref="D413:S413" si="18">D412+D402-D388</f>
        <v>-3.1974423109204508E-14</v>
      </c>
      <c r="E413" s="430">
        <f t="shared" si="18"/>
        <v>0</v>
      </c>
      <c r="F413" s="430">
        <f t="shared" si="18"/>
        <v>-2.9842794901924208E-13</v>
      </c>
      <c r="G413" s="430">
        <f t="shared" si="18"/>
        <v>0</v>
      </c>
      <c r="H413" s="430">
        <f t="shared" si="18"/>
        <v>0</v>
      </c>
      <c r="I413" s="430">
        <f t="shared" si="18"/>
        <v>0</v>
      </c>
      <c r="J413" s="430">
        <f t="shared" si="18"/>
        <v>-3.694822225952521E-13</v>
      </c>
      <c r="K413" s="430">
        <f t="shared" si="18"/>
        <v>0</v>
      </c>
      <c r="L413" s="430">
        <f t="shared" si="18"/>
        <v>3.5416114485542494E-14</v>
      </c>
      <c r="M413" s="430">
        <f t="shared" si="18"/>
        <v>0</v>
      </c>
      <c r="N413" s="430">
        <f t="shared" si="18"/>
        <v>0</v>
      </c>
      <c r="O413" s="430">
        <f t="shared" si="18"/>
        <v>0</v>
      </c>
      <c r="P413" s="430">
        <f t="shared" si="18"/>
        <v>-1.9184653865522705E-13</v>
      </c>
      <c r="Q413" s="430">
        <f t="shared" si="18"/>
        <v>0</v>
      </c>
      <c r="R413" s="430">
        <f t="shared" si="18"/>
        <v>0</v>
      </c>
      <c r="S413" s="430">
        <f t="shared" si="18"/>
        <v>0</v>
      </c>
      <c r="T413" s="412"/>
    </row>
    <row r="414" spans="2:20">
      <c r="B414" s="412"/>
      <c r="C414" s="412"/>
      <c r="D414" s="412"/>
      <c r="E414" s="412"/>
      <c r="F414" s="412"/>
      <c r="G414" s="412"/>
      <c r="H414" s="412"/>
      <c r="I414" s="412"/>
      <c r="J414" s="412"/>
      <c r="K414" s="412"/>
      <c r="L414" s="412"/>
      <c r="M414" s="412"/>
      <c r="N414" s="412"/>
      <c r="O414" s="412"/>
      <c r="P414" s="412"/>
      <c r="Q414" s="412"/>
      <c r="R414" s="412"/>
      <c r="S414" s="412"/>
      <c r="T414" s="412"/>
    </row>
  </sheetData>
  <mergeCells count="132">
    <mergeCell ref="I380:I381"/>
    <mergeCell ref="J380:O380"/>
    <mergeCell ref="P380:P381"/>
    <mergeCell ref="Q380:Q381"/>
    <mergeCell ref="R380:R381"/>
    <mergeCell ref="S380:S381"/>
    <mergeCell ref="C380:C381"/>
    <mergeCell ref="D380:D381"/>
    <mergeCell ref="E380:E381"/>
    <mergeCell ref="F380:F381"/>
    <mergeCell ref="G380:G381"/>
    <mergeCell ref="H380:H381"/>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N382:O382">
    <cfRule type="expression" dxfId="11947" priority="526">
      <formula>LEN(TRIM(N382))=0</formula>
    </cfRule>
  </conditionalFormatting>
  <conditionalFormatting sqref="N382:O382">
    <cfRule type="cellIs" dxfId="11946" priority="525" operator="equal">
      <formula>0</formula>
    </cfRule>
  </conditionalFormatting>
  <conditionalFormatting sqref="N382:O382">
    <cfRule type="cellIs" dxfId="11945" priority="524" operator="equal">
      <formula>0</formula>
    </cfRule>
  </conditionalFormatting>
  <conditionalFormatting sqref="H382:K382">
    <cfRule type="expression" dxfId="11944" priority="523">
      <formula>LEN(TRIM(H382))=0</formula>
    </cfRule>
  </conditionalFormatting>
  <conditionalFormatting sqref="K382">
    <cfRule type="cellIs" dxfId="11943" priority="522" operator="equal">
      <formula>0</formula>
    </cfRule>
  </conditionalFormatting>
  <conditionalFormatting sqref="J382:K382">
    <cfRule type="cellIs" dxfId="11942" priority="521" operator="equal">
      <formula>0</formula>
    </cfRule>
  </conditionalFormatting>
  <conditionalFormatting sqref="I382">
    <cfRule type="cellIs" dxfId="11941" priority="520" operator="equal">
      <formula>0</formula>
    </cfRule>
  </conditionalFormatting>
  <conditionalFormatting sqref="H382">
    <cfRule type="cellIs" dxfId="11940" priority="519" operator="equal">
      <formula>0</formula>
    </cfRule>
  </conditionalFormatting>
  <conditionalFormatting sqref="D390:R401">
    <cfRule type="expression" dxfId="11939" priority="518">
      <formula>LEN(TRIM(D390))=0</formula>
    </cfRule>
  </conditionalFormatting>
  <conditionalFormatting sqref="D390:R401">
    <cfRule type="cellIs" dxfId="11938" priority="517" operator="equal">
      <formula>0</formula>
    </cfRule>
  </conditionalFormatting>
  <conditionalFormatting sqref="N386:O386">
    <cfRule type="cellIs" dxfId="11937" priority="516" operator="equal">
      <formula>0</formula>
    </cfRule>
  </conditionalFormatting>
  <conditionalFormatting sqref="N385:O385">
    <cfRule type="cellIs" dxfId="11936" priority="515" operator="equal">
      <formula>0</formula>
    </cfRule>
  </conditionalFormatting>
  <conditionalFormatting sqref="M385:M386">
    <cfRule type="cellIs" dxfId="11935" priority="514" operator="equal">
      <formula>0</formula>
    </cfRule>
  </conditionalFormatting>
  <conditionalFormatting sqref="L385:L386">
    <cfRule type="cellIs" dxfId="11934" priority="513" operator="equal">
      <formula>0</formula>
    </cfRule>
  </conditionalFormatting>
  <conditionalFormatting sqref="D411:R411">
    <cfRule type="cellIs" dxfId="11933" priority="512" operator="equal">
      <formula>0</formula>
    </cfRule>
  </conditionalFormatting>
  <conditionalFormatting sqref="D404:R412 D402:R402 D383:R388 D382:G382 L382:M382 P382:R382">
    <cfRule type="expression" dxfId="11932" priority="511">
      <formula>LEN(TRIM(D382))=0</formula>
    </cfRule>
  </conditionalFormatting>
  <conditionalFormatting sqref="D411:R411">
    <cfRule type="cellIs" dxfId="11931" priority="510" operator="equal">
      <formula>0</formula>
    </cfRule>
  </conditionalFormatting>
  <conditionalFormatting sqref="O383:O384">
    <cfRule type="cellIs" dxfId="11930" priority="509" operator="equal">
      <formula>0</formula>
    </cfRule>
  </conditionalFormatting>
  <conditionalFormatting sqref="O385:O387 O403">
    <cfRule type="cellIs" dxfId="11929" priority="508" operator="equal">
      <formula>0</formula>
    </cfRule>
  </conditionalFormatting>
  <conditionalFormatting sqref="N383:N384">
    <cfRule type="cellIs" dxfId="11928" priority="507" operator="equal">
      <formula>0</formula>
    </cfRule>
  </conditionalFormatting>
  <conditionalFormatting sqref="N385:N387 N403">
    <cfRule type="cellIs" dxfId="11927" priority="506" operator="equal">
      <formula>0</formula>
    </cfRule>
  </conditionalFormatting>
  <conditionalFormatting sqref="M382:M384">
    <cfRule type="cellIs" dxfId="11926" priority="505" operator="equal">
      <formula>0</formula>
    </cfRule>
  </conditionalFormatting>
  <conditionalFormatting sqref="M385:M387 M403">
    <cfRule type="cellIs" dxfId="11925" priority="504" operator="equal">
      <formula>0</formula>
    </cfRule>
  </conditionalFormatting>
  <conditionalFormatting sqref="L382:L384">
    <cfRule type="cellIs" dxfId="11924" priority="503" operator="equal">
      <formula>0</formula>
    </cfRule>
  </conditionalFormatting>
  <conditionalFormatting sqref="L385:L387 L403">
    <cfRule type="cellIs" dxfId="11923" priority="502" operator="equal">
      <formula>0</formula>
    </cfRule>
  </conditionalFormatting>
  <conditionalFormatting sqref="K383:K384">
    <cfRule type="cellIs" dxfId="11922" priority="501" operator="equal">
      <formula>0</formula>
    </cfRule>
  </conditionalFormatting>
  <conditionalFormatting sqref="K385:K387 K403">
    <cfRule type="cellIs" dxfId="11921" priority="500" operator="equal">
      <formula>0</formula>
    </cfRule>
  </conditionalFormatting>
  <conditionalFormatting sqref="J383:J384">
    <cfRule type="cellIs" dxfId="11920" priority="499" operator="equal">
      <formula>0</formula>
    </cfRule>
  </conditionalFormatting>
  <conditionalFormatting sqref="J385:J387 J403">
    <cfRule type="cellIs" dxfId="11919" priority="498" operator="equal">
      <formula>0</formula>
    </cfRule>
  </conditionalFormatting>
  <conditionalFormatting sqref="L382:M382">
    <cfRule type="cellIs" dxfId="11918" priority="497" operator="equal">
      <formula>0</formula>
    </cfRule>
  </conditionalFormatting>
  <conditionalFormatting sqref="F383:F384">
    <cfRule type="cellIs" dxfId="11917" priority="496" operator="equal">
      <formula>0</formula>
    </cfRule>
  </conditionalFormatting>
  <conditionalFormatting sqref="P382:R382 L382:M382 D383:R384">
    <cfRule type="cellIs" dxfId="11916" priority="495" operator="equal">
      <formula>0</formula>
    </cfRule>
  </conditionalFormatting>
  <conditionalFormatting sqref="P382:P384">
    <cfRule type="cellIs" dxfId="11915" priority="494" operator="equal">
      <formula>0</formula>
    </cfRule>
  </conditionalFormatting>
  <conditionalFormatting sqref="D412:R412 P403:R403 D403:I403 D404:R410 D402:R402 D383:R389 D382:G382 L382:M382 P382:R382">
    <cfRule type="cellIs" dxfId="11914" priority="493" operator="equal">
      <formula>0</formula>
    </cfRule>
  </conditionalFormatting>
  <conditionalFormatting sqref="N345:O345">
    <cfRule type="expression" dxfId="11913" priority="492">
      <formula>LEN(TRIM(N345))=0</formula>
    </cfRule>
  </conditionalFormatting>
  <conditionalFormatting sqref="N345:O345">
    <cfRule type="cellIs" dxfId="11912" priority="491" operator="equal">
      <formula>0</formula>
    </cfRule>
  </conditionalFormatting>
  <conditionalFormatting sqref="N345:O345">
    <cfRule type="cellIs" dxfId="11911" priority="490" operator="equal">
      <formula>0</formula>
    </cfRule>
  </conditionalFormatting>
  <conditionalFormatting sqref="H345:K345">
    <cfRule type="expression" dxfId="11910" priority="489">
      <formula>LEN(TRIM(H345))=0</formula>
    </cfRule>
  </conditionalFormatting>
  <conditionalFormatting sqref="K345">
    <cfRule type="cellIs" dxfId="11909" priority="488" operator="equal">
      <formula>0</formula>
    </cfRule>
  </conditionalFormatting>
  <conditionalFormatting sqref="J345:K345">
    <cfRule type="cellIs" dxfId="11908" priority="487" operator="equal">
      <formula>0</formula>
    </cfRule>
  </conditionalFormatting>
  <conditionalFormatting sqref="I345">
    <cfRule type="cellIs" dxfId="11907" priority="486" operator="equal">
      <formula>0</formula>
    </cfRule>
  </conditionalFormatting>
  <conditionalFormatting sqref="H345">
    <cfRule type="cellIs" dxfId="11906" priority="485" operator="equal">
      <formula>0</formula>
    </cfRule>
  </conditionalFormatting>
  <conditionalFormatting sqref="D353:R364">
    <cfRule type="expression" dxfId="11905" priority="484">
      <formula>LEN(TRIM(D353))=0</formula>
    </cfRule>
  </conditionalFormatting>
  <conditionalFormatting sqref="D353:R364">
    <cfRule type="cellIs" dxfId="11904" priority="483" operator="equal">
      <formula>0</formula>
    </cfRule>
  </conditionalFormatting>
  <conditionalFormatting sqref="N349:O349">
    <cfRule type="cellIs" dxfId="11903" priority="482" operator="equal">
      <formula>0</formula>
    </cfRule>
  </conditionalFormatting>
  <conditionalFormatting sqref="N348:O348">
    <cfRule type="cellIs" dxfId="11902" priority="481" operator="equal">
      <formula>0</formula>
    </cfRule>
  </conditionalFormatting>
  <conditionalFormatting sqref="M348:M349">
    <cfRule type="cellIs" dxfId="11901" priority="480" operator="equal">
      <formula>0</formula>
    </cfRule>
  </conditionalFormatting>
  <conditionalFormatting sqref="L348:L349">
    <cfRule type="cellIs" dxfId="11900" priority="479" operator="equal">
      <formula>0</formula>
    </cfRule>
  </conditionalFormatting>
  <conditionalFormatting sqref="D374:R374">
    <cfRule type="cellIs" dxfId="11899" priority="478" operator="equal">
      <formula>0</formula>
    </cfRule>
  </conditionalFormatting>
  <conditionalFormatting sqref="D367:R375 D365:R365 D346:R351 D345:G345 L345:M345 P345:R345">
    <cfRule type="expression" dxfId="11898" priority="477">
      <formula>LEN(TRIM(D345))=0</formula>
    </cfRule>
  </conditionalFormatting>
  <conditionalFormatting sqref="D374:R374">
    <cfRule type="cellIs" dxfId="11897" priority="476" operator="equal">
      <formula>0</formula>
    </cfRule>
  </conditionalFormatting>
  <conditionalFormatting sqref="O346:O347">
    <cfRule type="cellIs" dxfId="11896" priority="475" operator="equal">
      <formula>0</formula>
    </cfRule>
  </conditionalFormatting>
  <conditionalFormatting sqref="O348:O350 O366">
    <cfRule type="cellIs" dxfId="11895" priority="474" operator="equal">
      <formula>0</formula>
    </cfRule>
  </conditionalFormatting>
  <conditionalFormatting sqref="N346:N347">
    <cfRule type="cellIs" dxfId="11894" priority="473" operator="equal">
      <formula>0</formula>
    </cfRule>
  </conditionalFormatting>
  <conditionalFormatting sqref="N348:N350 N366">
    <cfRule type="cellIs" dxfId="11893" priority="472" operator="equal">
      <formula>0</formula>
    </cfRule>
  </conditionalFormatting>
  <conditionalFormatting sqref="M345:M347">
    <cfRule type="cellIs" dxfId="11892" priority="471" operator="equal">
      <formula>0</formula>
    </cfRule>
  </conditionalFormatting>
  <conditionalFormatting sqref="M348:M350 M366">
    <cfRule type="cellIs" dxfId="11891" priority="470" operator="equal">
      <formula>0</formula>
    </cfRule>
  </conditionalFormatting>
  <conditionalFormatting sqref="L345:L347">
    <cfRule type="cellIs" dxfId="11890" priority="469" operator="equal">
      <formula>0</formula>
    </cfRule>
  </conditionalFormatting>
  <conditionalFormatting sqref="L348:L350 L366">
    <cfRule type="cellIs" dxfId="11889" priority="468" operator="equal">
      <formula>0</formula>
    </cfRule>
  </conditionalFormatting>
  <conditionalFormatting sqref="K346:K347">
    <cfRule type="cellIs" dxfId="11888" priority="467" operator="equal">
      <formula>0</formula>
    </cfRule>
  </conditionalFormatting>
  <conditionalFormatting sqref="K348:K350 K366">
    <cfRule type="cellIs" dxfId="11887" priority="466" operator="equal">
      <formula>0</formula>
    </cfRule>
  </conditionalFormatting>
  <conditionalFormatting sqref="J346:J347">
    <cfRule type="cellIs" dxfId="11886" priority="465" operator="equal">
      <formula>0</formula>
    </cfRule>
  </conditionalFormatting>
  <conditionalFormatting sqref="J348:J350 J366">
    <cfRule type="cellIs" dxfId="11885" priority="464" operator="equal">
      <formula>0</formula>
    </cfRule>
  </conditionalFormatting>
  <conditionalFormatting sqref="L345:M345">
    <cfRule type="cellIs" dxfId="11884" priority="463" operator="equal">
      <formula>0</formula>
    </cfRule>
  </conditionalFormatting>
  <conditionalFormatting sqref="F346:F347">
    <cfRule type="cellIs" dxfId="11883" priority="462" operator="equal">
      <formula>0</formula>
    </cfRule>
  </conditionalFormatting>
  <conditionalFormatting sqref="P345:R345 L345:M345 D346:R347">
    <cfRule type="cellIs" dxfId="11882" priority="461" operator="equal">
      <formula>0</formula>
    </cfRule>
  </conditionalFormatting>
  <conditionalFormatting sqref="P345:P347">
    <cfRule type="cellIs" dxfId="11881" priority="460" operator="equal">
      <formula>0</formula>
    </cfRule>
  </conditionalFormatting>
  <conditionalFormatting sqref="D375:R375 P366:R366 D366:I366 D367:R373 D365:R365 D346:R352 D345:G345 L345:M345 P345:R345">
    <cfRule type="cellIs" dxfId="11880" priority="459" operator="equal">
      <formula>0</formula>
    </cfRule>
  </conditionalFormatting>
  <conditionalFormatting sqref="S367:S375 S345:S351 S353:S365">
    <cfRule type="expression" dxfId="11879" priority="458">
      <formula>LEN(TRIM(S345))=0</formula>
    </cfRule>
  </conditionalFormatting>
  <conditionalFormatting sqref="S374">
    <cfRule type="cellIs" dxfId="11878" priority="457" operator="equal">
      <formula>0</formula>
    </cfRule>
  </conditionalFormatting>
  <conditionalFormatting sqref="S375 S345:S373">
    <cfRule type="cellIs" dxfId="11877" priority="456" operator="equal">
      <formula>0</formula>
    </cfRule>
  </conditionalFormatting>
  <conditionalFormatting sqref="S390:S401">
    <cfRule type="expression" dxfId="11876" priority="455">
      <formula>LEN(TRIM(S390))=0</formula>
    </cfRule>
  </conditionalFormatting>
  <conditionalFormatting sqref="S390:S401">
    <cfRule type="cellIs" dxfId="11875" priority="454" operator="equal">
      <formula>0</formula>
    </cfRule>
  </conditionalFormatting>
  <conditionalFormatting sqref="S385:S386">
    <cfRule type="expression" dxfId="11874" priority="453">
      <formula>LEN(TRIM(S385))=0</formula>
    </cfRule>
  </conditionalFormatting>
  <conditionalFormatting sqref="S385:S386">
    <cfRule type="cellIs" dxfId="11873" priority="452" operator="equal">
      <formula>0</formula>
    </cfRule>
  </conditionalFormatting>
  <conditionalFormatting sqref="S404:S412 S382:S384 S387:S388">
    <cfRule type="expression" dxfId="11872" priority="451">
      <formula>LEN(TRIM(S382))=0</formula>
    </cfRule>
  </conditionalFormatting>
  <conditionalFormatting sqref="S411">
    <cfRule type="cellIs" dxfId="11871" priority="450" operator="equal">
      <formula>0</formula>
    </cfRule>
  </conditionalFormatting>
  <conditionalFormatting sqref="S412 S382:S384">
    <cfRule type="cellIs" dxfId="11870" priority="449" operator="equal">
      <formula>0</formula>
    </cfRule>
  </conditionalFormatting>
  <conditionalFormatting sqref="O381">
    <cfRule type="cellIs" dxfId="11869" priority="448" operator="equal">
      <formula>0</formula>
    </cfRule>
  </conditionalFormatting>
  <conditionalFormatting sqref="J381:N381">
    <cfRule type="cellIs" dxfId="11868" priority="447" operator="equal">
      <formula>0</formula>
    </cfRule>
  </conditionalFormatting>
  <conditionalFormatting sqref="O344">
    <cfRule type="cellIs" dxfId="11867" priority="446" operator="equal">
      <formula>0</formula>
    </cfRule>
  </conditionalFormatting>
  <conditionalFormatting sqref="J344:N344">
    <cfRule type="cellIs" dxfId="11866" priority="445" operator="equal">
      <formula>0</formula>
    </cfRule>
  </conditionalFormatting>
  <conditionalFormatting sqref="N308:O308">
    <cfRule type="expression" dxfId="11865" priority="444">
      <formula>LEN(TRIM(N308))=0</formula>
    </cfRule>
  </conditionalFormatting>
  <conditionalFormatting sqref="N308:O308">
    <cfRule type="cellIs" dxfId="11864" priority="443" operator="equal">
      <formula>0</formula>
    </cfRule>
  </conditionalFormatting>
  <conditionalFormatting sqref="N308:O308">
    <cfRule type="cellIs" dxfId="11863" priority="442" operator="equal">
      <formula>0</formula>
    </cfRule>
  </conditionalFormatting>
  <conditionalFormatting sqref="H308:K308">
    <cfRule type="expression" dxfId="11862" priority="441">
      <formula>LEN(TRIM(H308))=0</formula>
    </cfRule>
  </conditionalFormatting>
  <conditionalFormatting sqref="K308">
    <cfRule type="cellIs" dxfId="11861" priority="440" operator="equal">
      <formula>0</formula>
    </cfRule>
  </conditionalFormatting>
  <conditionalFormatting sqref="J308:K308">
    <cfRule type="cellIs" dxfId="11860" priority="439" operator="equal">
      <formula>0</formula>
    </cfRule>
  </conditionalFormatting>
  <conditionalFormatting sqref="I308">
    <cfRule type="cellIs" dxfId="11859" priority="438" operator="equal">
      <formula>0</formula>
    </cfRule>
  </conditionalFormatting>
  <conditionalFormatting sqref="H308">
    <cfRule type="cellIs" dxfId="11858" priority="437" operator="equal">
      <formula>0</formula>
    </cfRule>
  </conditionalFormatting>
  <conditionalFormatting sqref="D316:R327">
    <cfRule type="expression" dxfId="11857" priority="436">
      <formula>LEN(TRIM(D316))=0</formula>
    </cfRule>
  </conditionalFormatting>
  <conditionalFormatting sqref="D316:R327">
    <cfRule type="cellIs" dxfId="11856" priority="435" operator="equal">
      <formula>0</formula>
    </cfRule>
  </conditionalFormatting>
  <conditionalFormatting sqref="N312:O312">
    <cfRule type="cellIs" dxfId="11855" priority="434" operator="equal">
      <formula>0</formula>
    </cfRule>
  </conditionalFormatting>
  <conditionalFormatting sqref="N311:O311">
    <cfRule type="cellIs" dxfId="11854" priority="433" operator="equal">
      <formula>0</formula>
    </cfRule>
  </conditionalFormatting>
  <conditionalFormatting sqref="M311:M312">
    <cfRule type="cellIs" dxfId="11853" priority="432" operator="equal">
      <formula>0</formula>
    </cfRule>
  </conditionalFormatting>
  <conditionalFormatting sqref="L311:L312">
    <cfRule type="cellIs" dxfId="11852" priority="431" operator="equal">
      <formula>0</formula>
    </cfRule>
  </conditionalFormatting>
  <conditionalFormatting sqref="D337:R337">
    <cfRule type="cellIs" dxfId="11851" priority="430" operator="equal">
      <formula>0</formula>
    </cfRule>
  </conditionalFormatting>
  <conditionalFormatting sqref="D330:R338 D328:R328 D309:R314 D308:G308 L308:M308 P308:R308">
    <cfRule type="expression" dxfId="11850" priority="429">
      <formula>LEN(TRIM(D308))=0</formula>
    </cfRule>
  </conditionalFormatting>
  <conditionalFormatting sqref="D337:R337">
    <cfRule type="cellIs" dxfId="11849" priority="428" operator="equal">
      <formula>0</formula>
    </cfRule>
  </conditionalFormatting>
  <conditionalFormatting sqref="O309:O310">
    <cfRule type="cellIs" dxfId="11848" priority="427" operator="equal">
      <formula>0</formula>
    </cfRule>
  </conditionalFormatting>
  <conditionalFormatting sqref="O311:O313 O329">
    <cfRule type="cellIs" dxfId="11847" priority="426" operator="equal">
      <formula>0</formula>
    </cfRule>
  </conditionalFormatting>
  <conditionalFormatting sqref="N309:N310">
    <cfRule type="cellIs" dxfId="11846" priority="425" operator="equal">
      <formula>0</formula>
    </cfRule>
  </conditionalFormatting>
  <conditionalFormatting sqref="N311:N313 N329">
    <cfRule type="cellIs" dxfId="11845" priority="424" operator="equal">
      <formula>0</formula>
    </cfRule>
  </conditionalFormatting>
  <conditionalFormatting sqref="M308:M310">
    <cfRule type="cellIs" dxfId="11844" priority="423" operator="equal">
      <formula>0</formula>
    </cfRule>
  </conditionalFormatting>
  <conditionalFormatting sqref="M311:M313 M329">
    <cfRule type="cellIs" dxfId="11843" priority="422" operator="equal">
      <formula>0</formula>
    </cfRule>
  </conditionalFormatting>
  <conditionalFormatting sqref="L308:L310">
    <cfRule type="cellIs" dxfId="11842" priority="421" operator="equal">
      <formula>0</formula>
    </cfRule>
  </conditionalFormatting>
  <conditionalFormatting sqref="L311:L313 L329">
    <cfRule type="cellIs" dxfId="11841" priority="420" operator="equal">
      <formula>0</formula>
    </cfRule>
  </conditionalFormatting>
  <conditionalFormatting sqref="K309:K310">
    <cfRule type="cellIs" dxfId="11840" priority="419" operator="equal">
      <formula>0</formula>
    </cfRule>
  </conditionalFormatting>
  <conditionalFormatting sqref="K311:K313 K329">
    <cfRule type="cellIs" dxfId="11839" priority="418" operator="equal">
      <formula>0</formula>
    </cfRule>
  </conditionalFormatting>
  <conditionalFormatting sqref="J309:J310">
    <cfRule type="cellIs" dxfId="11838" priority="417" operator="equal">
      <formula>0</formula>
    </cfRule>
  </conditionalFormatting>
  <conditionalFormatting sqref="J311:J313 J329">
    <cfRule type="cellIs" dxfId="11837" priority="416" operator="equal">
      <formula>0</formula>
    </cfRule>
  </conditionalFormatting>
  <conditionalFormatting sqref="L308:M308">
    <cfRule type="cellIs" dxfId="11836" priority="415" operator="equal">
      <formula>0</formula>
    </cfRule>
  </conditionalFormatting>
  <conditionalFormatting sqref="F309:F310">
    <cfRule type="cellIs" dxfId="11835" priority="414" operator="equal">
      <formula>0</formula>
    </cfRule>
  </conditionalFormatting>
  <conditionalFormatting sqref="P308:R308 L308:M308 D309:R310">
    <cfRule type="cellIs" dxfId="11834" priority="413" operator="equal">
      <formula>0</formula>
    </cfRule>
  </conditionalFormatting>
  <conditionalFormatting sqref="P308:P310">
    <cfRule type="cellIs" dxfId="11833" priority="412" operator="equal">
      <formula>0</formula>
    </cfRule>
  </conditionalFormatting>
  <conditionalFormatting sqref="D338:R338 P329:R329 D329:I329 D330:R336 D328:R328 D309:R315 D308:G308 L308:M308 P308:R308">
    <cfRule type="cellIs" dxfId="11832" priority="411" operator="equal">
      <formula>0</formula>
    </cfRule>
  </conditionalFormatting>
  <conditionalFormatting sqref="N271:O271">
    <cfRule type="expression" dxfId="11831" priority="410">
      <formula>LEN(TRIM(N271))=0</formula>
    </cfRule>
  </conditionalFormatting>
  <conditionalFormatting sqref="N271:O271">
    <cfRule type="cellIs" dxfId="11830" priority="409" operator="equal">
      <formula>0</formula>
    </cfRule>
  </conditionalFormatting>
  <conditionalFormatting sqref="N271:O271">
    <cfRule type="cellIs" dxfId="11829" priority="408" operator="equal">
      <formula>0</formula>
    </cfRule>
  </conditionalFormatting>
  <conditionalFormatting sqref="H271:K271">
    <cfRule type="expression" dxfId="11828" priority="407">
      <formula>LEN(TRIM(H271))=0</formula>
    </cfRule>
  </conditionalFormatting>
  <conditionalFormatting sqref="K271">
    <cfRule type="cellIs" dxfId="11827" priority="406" operator="equal">
      <formula>0</formula>
    </cfRule>
  </conditionalFormatting>
  <conditionalFormatting sqref="J271:K271">
    <cfRule type="cellIs" dxfId="11826" priority="405" operator="equal">
      <formula>0</formula>
    </cfRule>
  </conditionalFormatting>
  <conditionalFormatting sqref="I271">
    <cfRule type="cellIs" dxfId="11825" priority="404" operator="equal">
      <formula>0</formula>
    </cfRule>
  </conditionalFormatting>
  <conditionalFormatting sqref="H271">
    <cfRule type="cellIs" dxfId="11824" priority="403" operator="equal">
      <formula>0</formula>
    </cfRule>
  </conditionalFormatting>
  <conditionalFormatting sqref="D279:R290">
    <cfRule type="expression" dxfId="11823" priority="402">
      <formula>LEN(TRIM(D279))=0</formula>
    </cfRule>
  </conditionalFormatting>
  <conditionalFormatting sqref="D279:R290">
    <cfRule type="cellIs" dxfId="11822" priority="401" operator="equal">
      <formula>0</formula>
    </cfRule>
  </conditionalFormatting>
  <conditionalFormatting sqref="N275:O275">
    <cfRule type="cellIs" dxfId="11821" priority="400" operator="equal">
      <formula>0</formula>
    </cfRule>
  </conditionalFormatting>
  <conditionalFormatting sqref="N274:O274">
    <cfRule type="cellIs" dxfId="11820" priority="399" operator="equal">
      <formula>0</formula>
    </cfRule>
  </conditionalFormatting>
  <conditionalFormatting sqref="M274:M275">
    <cfRule type="cellIs" dxfId="11819" priority="398" operator="equal">
      <formula>0</formula>
    </cfRule>
  </conditionalFormatting>
  <conditionalFormatting sqref="L274:L275">
    <cfRule type="cellIs" dxfId="11818" priority="397" operator="equal">
      <formula>0</formula>
    </cfRule>
  </conditionalFormatting>
  <conditionalFormatting sqref="D300:R300">
    <cfRule type="cellIs" dxfId="11817" priority="396" operator="equal">
      <formula>0</formula>
    </cfRule>
  </conditionalFormatting>
  <conditionalFormatting sqref="D293:R301 D291:R291 D272:R277 D271:G271 L271:M271 P271:R271">
    <cfRule type="expression" dxfId="11816" priority="395">
      <formula>LEN(TRIM(D271))=0</formula>
    </cfRule>
  </conditionalFormatting>
  <conditionalFormatting sqref="D300:R300">
    <cfRule type="cellIs" dxfId="11815" priority="394" operator="equal">
      <formula>0</formula>
    </cfRule>
  </conditionalFormatting>
  <conditionalFormatting sqref="O272:O273">
    <cfRule type="cellIs" dxfId="11814" priority="393" operator="equal">
      <formula>0</formula>
    </cfRule>
  </conditionalFormatting>
  <conditionalFormatting sqref="O274:O276 O292">
    <cfRule type="cellIs" dxfId="11813" priority="392" operator="equal">
      <formula>0</formula>
    </cfRule>
  </conditionalFormatting>
  <conditionalFormatting sqref="N272:N273">
    <cfRule type="cellIs" dxfId="11812" priority="391" operator="equal">
      <formula>0</formula>
    </cfRule>
  </conditionalFormatting>
  <conditionalFormatting sqref="N274:N276 N292">
    <cfRule type="cellIs" dxfId="11811" priority="390" operator="equal">
      <formula>0</formula>
    </cfRule>
  </conditionalFormatting>
  <conditionalFormatting sqref="M271:M273">
    <cfRule type="cellIs" dxfId="11810" priority="389" operator="equal">
      <formula>0</formula>
    </cfRule>
  </conditionalFormatting>
  <conditionalFormatting sqref="M274:M276 M292">
    <cfRule type="cellIs" dxfId="11809" priority="388" operator="equal">
      <formula>0</formula>
    </cfRule>
  </conditionalFormatting>
  <conditionalFormatting sqref="L271:L273">
    <cfRule type="cellIs" dxfId="11808" priority="387" operator="equal">
      <formula>0</formula>
    </cfRule>
  </conditionalFormatting>
  <conditionalFormatting sqref="L274:L276 L292">
    <cfRule type="cellIs" dxfId="11807" priority="386" operator="equal">
      <formula>0</formula>
    </cfRule>
  </conditionalFormatting>
  <conditionalFormatting sqref="K272:K273">
    <cfRule type="cellIs" dxfId="11806" priority="385" operator="equal">
      <formula>0</formula>
    </cfRule>
  </conditionalFormatting>
  <conditionalFormatting sqref="K274:K276 K292">
    <cfRule type="cellIs" dxfId="11805" priority="384" operator="equal">
      <formula>0</formula>
    </cfRule>
  </conditionalFormatting>
  <conditionalFormatting sqref="J272:J273">
    <cfRule type="cellIs" dxfId="11804" priority="383" operator="equal">
      <formula>0</formula>
    </cfRule>
  </conditionalFormatting>
  <conditionalFormatting sqref="J274:J276 J292">
    <cfRule type="cellIs" dxfId="11803" priority="382" operator="equal">
      <formula>0</formula>
    </cfRule>
  </conditionalFormatting>
  <conditionalFormatting sqref="L271:M271">
    <cfRule type="cellIs" dxfId="11802" priority="381" operator="equal">
      <formula>0</formula>
    </cfRule>
  </conditionalFormatting>
  <conditionalFormatting sqref="F272:F273">
    <cfRule type="cellIs" dxfId="11801" priority="380" operator="equal">
      <formula>0</formula>
    </cfRule>
  </conditionalFormatting>
  <conditionalFormatting sqref="P271:R271 L271:M271 D272:R273">
    <cfRule type="cellIs" dxfId="11800" priority="379" operator="equal">
      <formula>0</formula>
    </cfRule>
  </conditionalFormatting>
  <conditionalFormatting sqref="P271:P273">
    <cfRule type="cellIs" dxfId="11799" priority="378" operator="equal">
      <formula>0</formula>
    </cfRule>
  </conditionalFormatting>
  <conditionalFormatting sqref="D301:R301 P292:R292 D292:I292 D293:R299 D291:R291 D272:R278 D271:G271 L271:M271 P271:R271">
    <cfRule type="cellIs" dxfId="11798" priority="377" operator="equal">
      <formula>0</formula>
    </cfRule>
  </conditionalFormatting>
  <conditionalFormatting sqref="N234:O234">
    <cfRule type="expression" dxfId="11797" priority="376">
      <formula>LEN(TRIM(N234))=0</formula>
    </cfRule>
  </conditionalFormatting>
  <conditionalFormatting sqref="N234:O234">
    <cfRule type="cellIs" dxfId="11796" priority="375" operator="equal">
      <formula>0</formula>
    </cfRule>
  </conditionalFormatting>
  <conditionalFormatting sqref="N234:O234">
    <cfRule type="cellIs" dxfId="11795" priority="374" operator="equal">
      <formula>0</formula>
    </cfRule>
  </conditionalFormatting>
  <conditionalFormatting sqref="H234:K234">
    <cfRule type="expression" dxfId="11794" priority="373">
      <formula>LEN(TRIM(H234))=0</formula>
    </cfRule>
  </conditionalFormatting>
  <conditionalFormatting sqref="K234">
    <cfRule type="cellIs" dxfId="11793" priority="372" operator="equal">
      <formula>0</formula>
    </cfRule>
  </conditionalFormatting>
  <conditionalFormatting sqref="J234:K234">
    <cfRule type="cellIs" dxfId="11792" priority="371" operator="equal">
      <formula>0</formula>
    </cfRule>
  </conditionalFormatting>
  <conditionalFormatting sqref="I234">
    <cfRule type="cellIs" dxfId="11791" priority="370" operator="equal">
      <formula>0</formula>
    </cfRule>
  </conditionalFormatting>
  <conditionalFormatting sqref="H234">
    <cfRule type="cellIs" dxfId="11790" priority="369" operator="equal">
      <formula>0</formula>
    </cfRule>
  </conditionalFormatting>
  <conditionalFormatting sqref="D242:R253">
    <cfRule type="expression" dxfId="11789" priority="368">
      <formula>LEN(TRIM(D242))=0</formula>
    </cfRule>
  </conditionalFormatting>
  <conditionalFormatting sqref="D242:R253">
    <cfRule type="cellIs" dxfId="11788" priority="367" operator="equal">
      <formula>0</formula>
    </cfRule>
  </conditionalFormatting>
  <conditionalFormatting sqref="N238:O238">
    <cfRule type="cellIs" dxfId="11787" priority="366" operator="equal">
      <formula>0</formula>
    </cfRule>
  </conditionalFormatting>
  <conditionalFormatting sqref="N237:O237">
    <cfRule type="cellIs" dxfId="11786" priority="365" operator="equal">
      <formula>0</formula>
    </cfRule>
  </conditionalFormatting>
  <conditionalFormatting sqref="M237:M238">
    <cfRule type="cellIs" dxfId="11785" priority="364" operator="equal">
      <formula>0</formula>
    </cfRule>
  </conditionalFormatting>
  <conditionalFormatting sqref="L237:L238">
    <cfRule type="cellIs" dxfId="11784" priority="363" operator="equal">
      <formula>0</formula>
    </cfRule>
  </conditionalFormatting>
  <conditionalFormatting sqref="D263:R263">
    <cfRule type="cellIs" dxfId="11783" priority="362" operator="equal">
      <formula>0</formula>
    </cfRule>
  </conditionalFormatting>
  <conditionalFormatting sqref="D256:R264 D254:R254 D235:R240 D234:G234 L234:M234 P234:R234">
    <cfRule type="expression" dxfId="11782" priority="361">
      <formula>LEN(TRIM(D234))=0</formula>
    </cfRule>
  </conditionalFormatting>
  <conditionalFormatting sqref="D263:R263">
    <cfRule type="cellIs" dxfId="11781" priority="360" operator="equal">
      <formula>0</formula>
    </cfRule>
  </conditionalFormatting>
  <conditionalFormatting sqref="O235:O236">
    <cfRule type="cellIs" dxfId="11780" priority="359" operator="equal">
      <formula>0</formula>
    </cfRule>
  </conditionalFormatting>
  <conditionalFormatting sqref="O237:O239 O255">
    <cfRule type="cellIs" dxfId="11779" priority="358" operator="equal">
      <formula>0</formula>
    </cfRule>
  </conditionalFormatting>
  <conditionalFormatting sqref="N235:N236">
    <cfRule type="cellIs" dxfId="11778" priority="357" operator="equal">
      <formula>0</formula>
    </cfRule>
  </conditionalFormatting>
  <conditionalFormatting sqref="N237:N239 N255">
    <cfRule type="cellIs" dxfId="11777" priority="356" operator="equal">
      <formula>0</formula>
    </cfRule>
  </conditionalFormatting>
  <conditionalFormatting sqref="M234:M236">
    <cfRule type="cellIs" dxfId="11776" priority="355" operator="equal">
      <formula>0</formula>
    </cfRule>
  </conditionalFormatting>
  <conditionalFormatting sqref="M237:M239 M255">
    <cfRule type="cellIs" dxfId="11775" priority="354" operator="equal">
      <formula>0</formula>
    </cfRule>
  </conditionalFormatting>
  <conditionalFormatting sqref="L234:L236">
    <cfRule type="cellIs" dxfId="11774" priority="353" operator="equal">
      <formula>0</formula>
    </cfRule>
  </conditionalFormatting>
  <conditionalFormatting sqref="L237:L239 L255">
    <cfRule type="cellIs" dxfId="11773" priority="352" operator="equal">
      <formula>0</formula>
    </cfRule>
  </conditionalFormatting>
  <conditionalFormatting sqref="K235:K236">
    <cfRule type="cellIs" dxfId="11772" priority="351" operator="equal">
      <formula>0</formula>
    </cfRule>
  </conditionalFormatting>
  <conditionalFormatting sqref="K237:K239 K255">
    <cfRule type="cellIs" dxfId="11771" priority="350" operator="equal">
      <formula>0</formula>
    </cfRule>
  </conditionalFormatting>
  <conditionalFormatting sqref="J235:J236">
    <cfRule type="cellIs" dxfId="11770" priority="349" operator="equal">
      <formula>0</formula>
    </cfRule>
  </conditionalFormatting>
  <conditionalFormatting sqref="J237:J239 J255">
    <cfRule type="cellIs" dxfId="11769" priority="348" operator="equal">
      <formula>0</formula>
    </cfRule>
  </conditionalFormatting>
  <conditionalFormatting sqref="L234:M234">
    <cfRule type="cellIs" dxfId="11768" priority="347" operator="equal">
      <formula>0</formula>
    </cfRule>
  </conditionalFormatting>
  <conditionalFormatting sqref="F235:F236">
    <cfRule type="cellIs" dxfId="11767" priority="346" operator="equal">
      <formula>0</formula>
    </cfRule>
  </conditionalFormatting>
  <conditionalFormatting sqref="P234:R234 L234:M234 D235:R236">
    <cfRule type="cellIs" dxfId="11766" priority="345" operator="equal">
      <formula>0</formula>
    </cfRule>
  </conditionalFormatting>
  <conditionalFormatting sqref="P234:P236">
    <cfRule type="cellIs" dxfId="11765" priority="344" operator="equal">
      <formula>0</formula>
    </cfRule>
  </conditionalFormatting>
  <conditionalFormatting sqref="D264:R264 P255:R255 D255:I255 D256:R262 D254:R254 D235:R241 D234:G234 L234:M234 P234:R234">
    <cfRule type="cellIs" dxfId="11764" priority="343" operator="equal">
      <formula>0</formula>
    </cfRule>
  </conditionalFormatting>
  <conditionalFormatting sqref="S330:S338 S308:S314 S316:S328">
    <cfRule type="expression" dxfId="11763" priority="342">
      <formula>LEN(TRIM(S308))=0</formula>
    </cfRule>
  </conditionalFormatting>
  <conditionalFormatting sqref="S337">
    <cfRule type="cellIs" dxfId="11762" priority="341" operator="equal">
      <formula>0</formula>
    </cfRule>
  </conditionalFormatting>
  <conditionalFormatting sqref="S338 S308:S336">
    <cfRule type="cellIs" dxfId="11761" priority="340" operator="equal">
      <formula>0</formula>
    </cfRule>
  </conditionalFormatting>
  <conditionalFormatting sqref="S293:S301 S271:S277 S279:S291">
    <cfRule type="expression" dxfId="11760" priority="339">
      <formula>LEN(TRIM(S271))=0</formula>
    </cfRule>
  </conditionalFormatting>
  <conditionalFormatting sqref="S300">
    <cfRule type="cellIs" dxfId="11759" priority="338" operator="equal">
      <formula>0</formula>
    </cfRule>
  </conditionalFormatting>
  <conditionalFormatting sqref="S301 S271:S299">
    <cfRule type="cellIs" dxfId="11758" priority="337" operator="equal">
      <formula>0</formula>
    </cfRule>
  </conditionalFormatting>
  <conditionalFormatting sqref="S256:S264 S234:S240 S242:S254">
    <cfRule type="expression" dxfId="11757" priority="336">
      <formula>LEN(TRIM(S234))=0</formula>
    </cfRule>
  </conditionalFormatting>
  <conditionalFormatting sqref="S263">
    <cfRule type="cellIs" dxfId="11756" priority="335" operator="equal">
      <formula>0</formula>
    </cfRule>
  </conditionalFormatting>
  <conditionalFormatting sqref="S264 S234:S262">
    <cfRule type="cellIs" dxfId="11755" priority="334" operator="equal">
      <formula>0</formula>
    </cfRule>
  </conditionalFormatting>
  <conditionalFormatting sqref="O307">
    <cfRule type="cellIs" dxfId="11754" priority="333" operator="equal">
      <formula>0</formula>
    </cfRule>
  </conditionalFormatting>
  <conditionalFormatting sqref="J307:N307">
    <cfRule type="cellIs" dxfId="11753" priority="332" operator="equal">
      <formula>0</formula>
    </cfRule>
  </conditionalFormatting>
  <conditionalFormatting sqref="O270">
    <cfRule type="cellIs" dxfId="11752" priority="331" operator="equal">
      <formula>0</formula>
    </cfRule>
  </conditionalFormatting>
  <conditionalFormatting sqref="J270:N270">
    <cfRule type="cellIs" dxfId="11751" priority="330" operator="equal">
      <formula>0</formula>
    </cfRule>
  </conditionalFormatting>
  <conditionalFormatting sqref="O233">
    <cfRule type="cellIs" dxfId="11750" priority="329" operator="equal">
      <formula>0</formula>
    </cfRule>
  </conditionalFormatting>
  <conditionalFormatting sqref="J233:N233">
    <cfRule type="cellIs" dxfId="11749" priority="328" operator="equal">
      <formula>0</formula>
    </cfRule>
  </conditionalFormatting>
  <conditionalFormatting sqref="N197:O197">
    <cfRule type="expression" dxfId="11748" priority="327">
      <formula>LEN(TRIM(N197))=0</formula>
    </cfRule>
  </conditionalFormatting>
  <conditionalFormatting sqref="N197:O197">
    <cfRule type="cellIs" dxfId="11747" priority="326" operator="equal">
      <formula>0</formula>
    </cfRule>
  </conditionalFormatting>
  <conditionalFormatting sqref="N197:O197">
    <cfRule type="cellIs" dxfId="11746" priority="325" operator="equal">
      <formula>0</formula>
    </cfRule>
  </conditionalFormatting>
  <conditionalFormatting sqref="H197:K197">
    <cfRule type="expression" dxfId="11745" priority="324">
      <formula>LEN(TRIM(H197))=0</formula>
    </cfRule>
  </conditionalFormatting>
  <conditionalFormatting sqref="K197">
    <cfRule type="cellIs" dxfId="11744" priority="323" operator="equal">
      <formula>0</formula>
    </cfRule>
  </conditionalFormatting>
  <conditionalFormatting sqref="J197:K197">
    <cfRule type="cellIs" dxfId="11743" priority="322" operator="equal">
      <formula>0</formula>
    </cfRule>
  </conditionalFormatting>
  <conditionalFormatting sqref="I197">
    <cfRule type="cellIs" dxfId="11742" priority="321" operator="equal">
      <formula>0</formula>
    </cfRule>
  </conditionalFormatting>
  <conditionalFormatting sqref="H197">
    <cfRule type="cellIs" dxfId="11741" priority="320" operator="equal">
      <formula>0</formula>
    </cfRule>
  </conditionalFormatting>
  <conditionalFormatting sqref="D205:R216">
    <cfRule type="expression" dxfId="11740" priority="319">
      <formula>LEN(TRIM(D205))=0</formula>
    </cfRule>
  </conditionalFormatting>
  <conditionalFormatting sqref="D205:R216">
    <cfRule type="cellIs" dxfId="11739" priority="318" operator="equal">
      <formula>0</formula>
    </cfRule>
  </conditionalFormatting>
  <conditionalFormatting sqref="N201:O201">
    <cfRule type="cellIs" dxfId="11738" priority="317" operator="equal">
      <formula>0</formula>
    </cfRule>
  </conditionalFormatting>
  <conditionalFormatting sqref="N200:O200">
    <cfRule type="cellIs" dxfId="11737" priority="316" operator="equal">
      <formula>0</formula>
    </cfRule>
  </conditionalFormatting>
  <conditionalFormatting sqref="M200:M201">
    <cfRule type="cellIs" dxfId="11736" priority="315" operator="equal">
      <formula>0</formula>
    </cfRule>
  </conditionalFormatting>
  <conditionalFormatting sqref="L200:L201">
    <cfRule type="cellIs" dxfId="11735" priority="314" operator="equal">
      <formula>0</formula>
    </cfRule>
  </conditionalFormatting>
  <conditionalFormatting sqref="D226:R226">
    <cfRule type="cellIs" dxfId="11734" priority="313" operator="equal">
      <formula>0</formula>
    </cfRule>
  </conditionalFormatting>
  <conditionalFormatting sqref="D219:R227 D217:R217 D198:R203 D197:G197 L197:M197 P197:R197">
    <cfRule type="expression" dxfId="11733" priority="312">
      <formula>LEN(TRIM(D197))=0</formula>
    </cfRule>
  </conditionalFormatting>
  <conditionalFormatting sqref="D226:R226">
    <cfRule type="cellIs" dxfId="11732" priority="311" operator="equal">
      <formula>0</formula>
    </cfRule>
  </conditionalFormatting>
  <conditionalFormatting sqref="O198:O199">
    <cfRule type="cellIs" dxfId="11731" priority="310" operator="equal">
      <formula>0</formula>
    </cfRule>
  </conditionalFormatting>
  <conditionalFormatting sqref="O200:O202 O218">
    <cfRule type="cellIs" dxfId="11730" priority="309" operator="equal">
      <formula>0</formula>
    </cfRule>
  </conditionalFormatting>
  <conditionalFormatting sqref="N198:N199">
    <cfRule type="cellIs" dxfId="11729" priority="308" operator="equal">
      <formula>0</formula>
    </cfRule>
  </conditionalFormatting>
  <conditionalFormatting sqref="N200:N202 N218">
    <cfRule type="cellIs" dxfId="11728" priority="307" operator="equal">
      <formula>0</formula>
    </cfRule>
  </conditionalFormatting>
  <conditionalFormatting sqref="M197:M199">
    <cfRule type="cellIs" dxfId="11727" priority="306" operator="equal">
      <formula>0</formula>
    </cfRule>
  </conditionalFormatting>
  <conditionalFormatting sqref="M200:M202 M218">
    <cfRule type="cellIs" dxfId="11726" priority="305" operator="equal">
      <formula>0</formula>
    </cfRule>
  </conditionalFormatting>
  <conditionalFormatting sqref="L197:L199">
    <cfRule type="cellIs" dxfId="11725" priority="304" operator="equal">
      <formula>0</formula>
    </cfRule>
  </conditionalFormatting>
  <conditionalFormatting sqref="L200:L202 L218">
    <cfRule type="cellIs" dxfId="11724" priority="303" operator="equal">
      <formula>0</formula>
    </cfRule>
  </conditionalFormatting>
  <conditionalFormatting sqref="K198:K199">
    <cfRule type="cellIs" dxfId="11723" priority="302" operator="equal">
      <formula>0</formula>
    </cfRule>
  </conditionalFormatting>
  <conditionalFormatting sqref="K200:K202 K218">
    <cfRule type="cellIs" dxfId="11722" priority="301" operator="equal">
      <formula>0</formula>
    </cfRule>
  </conditionalFormatting>
  <conditionalFormatting sqref="J198:J199">
    <cfRule type="cellIs" dxfId="11721" priority="300" operator="equal">
      <formula>0</formula>
    </cfRule>
  </conditionalFormatting>
  <conditionalFormatting sqref="J200:J202 J218">
    <cfRule type="cellIs" dxfId="11720" priority="299" operator="equal">
      <formula>0</formula>
    </cfRule>
  </conditionalFormatting>
  <conditionalFormatting sqref="L197:M197">
    <cfRule type="cellIs" dxfId="11719" priority="298" operator="equal">
      <formula>0</formula>
    </cfRule>
  </conditionalFormatting>
  <conditionalFormatting sqref="F198:F199">
    <cfRule type="cellIs" dxfId="11718" priority="297" operator="equal">
      <formula>0</formula>
    </cfRule>
  </conditionalFormatting>
  <conditionalFormatting sqref="P197:R197 L197:M197 D198:R199">
    <cfRule type="cellIs" dxfId="11717" priority="296" operator="equal">
      <formula>0</formula>
    </cfRule>
  </conditionalFormatting>
  <conditionalFormatting sqref="P197:P199">
    <cfRule type="cellIs" dxfId="11716" priority="295" operator="equal">
      <formula>0</formula>
    </cfRule>
  </conditionalFormatting>
  <conditionalFormatting sqref="D227:R227 P218:R218 D218:I218 D219:R225 D217:R217 D198:R204 D197:G197 L197:M197 P197:R197">
    <cfRule type="cellIs" dxfId="11715" priority="294" operator="equal">
      <formula>0</formula>
    </cfRule>
  </conditionalFormatting>
  <conditionalFormatting sqref="S219:S227 S197:S203 S205:S217">
    <cfRule type="expression" dxfId="11714" priority="293">
      <formula>LEN(TRIM(S197))=0</formula>
    </cfRule>
  </conditionalFormatting>
  <conditionalFormatting sqref="S226">
    <cfRule type="cellIs" dxfId="11713" priority="292" operator="equal">
      <formula>0</formula>
    </cfRule>
  </conditionalFormatting>
  <conditionalFormatting sqref="S227 S197:S225">
    <cfRule type="cellIs" dxfId="11712" priority="291" operator="equal">
      <formula>0</formula>
    </cfRule>
  </conditionalFormatting>
  <conditionalFormatting sqref="O196">
    <cfRule type="cellIs" dxfId="11711" priority="290" operator="equal">
      <formula>0</formula>
    </cfRule>
  </conditionalFormatting>
  <conditionalFormatting sqref="J196:N196">
    <cfRule type="cellIs" dxfId="11710" priority="289" operator="equal">
      <formula>0</formula>
    </cfRule>
  </conditionalFormatting>
  <conditionalFormatting sqref="N160:O160">
    <cfRule type="expression" dxfId="11709" priority="288">
      <formula>LEN(TRIM(N160))=0</formula>
    </cfRule>
  </conditionalFormatting>
  <conditionalFormatting sqref="N160:O160">
    <cfRule type="cellIs" dxfId="11708" priority="287" operator="equal">
      <formula>0</formula>
    </cfRule>
  </conditionalFormatting>
  <conditionalFormatting sqref="N160:O160">
    <cfRule type="cellIs" dxfId="11707" priority="286" operator="equal">
      <formula>0</formula>
    </cfRule>
  </conditionalFormatting>
  <conditionalFormatting sqref="H160:K160">
    <cfRule type="expression" dxfId="11706" priority="285">
      <formula>LEN(TRIM(H160))=0</formula>
    </cfRule>
  </conditionalFormatting>
  <conditionalFormatting sqref="K160">
    <cfRule type="cellIs" dxfId="11705" priority="284" operator="equal">
      <formula>0</formula>
    </cfRule>
  </conditionalFormatting>
  <conditionalFormatting sqref="J160:K160">
    <cfRule type="cellIs" dxfId="11704" priority="283" operator="equal">
      <formula>0</formula>
    </cfRule>
  </conditionalFormatting>
  <conditionalFormatting sqref="I160">
    <cfRule type="cellIs" dxfId="11703" priority="282" operator="equal">
      <formula>0</formula>
    </cfRule>
  </conditionalFormatting>
  <conditionalFormatting sqref="H160">
    <cfRule type="cellIs" dxfId="11702" priority="281" operator="equal">
      <formula>0</formula>
    </cfRule>
  </conditionalFormatting>
  <conditionalFormatting sqref="D168:R179">
    <cfRule type="expression" dxfId="11701" priority="280">
      <formula>LEN(TRIM(D168))=0</formula>
    </cfRule>
  </conditionalFormatting>
  <conditionalFormatting sqref="D168:R179">
    <cfRule type="cellIs" dxfId="11700" priority="279" operator="equal">
      <formula>0</formula>
    </cfRule>
  </conditionalFormatting>
  <conditionalFormatting sqref="N164:O164">
    <cfRule type="cellIs" dxfId="11699" priority="278" operator="equal">
      <formula>0</formula>
    </cfRule>
  </conditionalFormatting>
  <conditionalFormatting sqref="N163:O163">
    <cfRule type="cellIs" dxfId="11698" priority="277" operator="equal">
      <formula>0</formula>
    </cfRule>
  </conditionalFormatting>
  <conditionalFormatting sqref="M163:M164">
    <cfRule type="cellIs" dxfId="11697" priority="276" operator="equal">
      <formula>0</formula>
    </cfRule>
  </conditionalFormatting>
  <conditionalFormatting sqref="L163:L164">
    <cfRule type="cellIs" dxfId="11696" priority="275" operator="equal">
      <formula>0</formula>
    </cfRule>
  </conditionalFormatting>
  <conditionalFormatting sqref="D189:R189">
    <cfRule type="cellIs" dxfId="11695" priority="274" operator="equal">
      <formula>0</formula>
    </cfRule>
  </conditionalFormatting>
  <conditionalFormatting sqref="D182:R190 D180:R180 D161:R166 D160:G160 L160:M160 P160:R160">
    <cfRule type="expression" dxfId="11694" priority="273">
      <formula>LEN(TRIM(D160))=0</formula>
    </cfRule>
  </conditionalFormatting>
  <conditionalFormatting sqref="D189:R189">
    <cfRule type="cellIs" dxfId="11693" priority="272" operator="equal">
      <formula>0</formula>
    </cfRule>
  </conditionalFormatting>
  <conditionalFormatting sqref="O161:O162">
    <cfRule type="cellIs" dxfId="11692" priority="271" operator="equal">
      <formula>0</formula>
    </cfRule>
  </conditionalFormatting>
  <conditionalFormatting sqref="O163:O165 O181">
    <cfRule type="cellIs" dxfId="11691" priority="270" operator="equal">
      <formula>0</formula>
    </cfRule>
  </conditionalFormatting>
  <conditionalFormatting sqref="N161:N162">
    <cfRule type="cellIs" dxfId="11690" priority="269" operator="equal">
      <formula>0</formula>
    </cfRule>
  </conditionalFormatting>
  <conditionalFormatting sqref="N163:N165 N181">
    <cfRule type="cellIs" dxfId="11689" priority="268" operator="equal">
      <formula>0</formula>
    </cfRule>
  </conditionalFormatting>
  <conditionalFormatting sqref="M160:M162">
    <cfRule type="cellIs" dxfId="11688" priority="267" operator="equal">
      <formula>0</formula>
    </cfRule>
  </conditionalFormatting>
  <conditionalFormatting sqref="M163:M165 M181">
    <cfRule type="cellIs" dxfId="11687" priority="266" operator="equal">
      <formula>0</formula>
    </cfRule>
  </conditionalFormatting>
  <conditionalFormatting sqref="L160:L162">
    <cfRule type="cellIs" dxfId="11686" priority="265" operator="equal">
      <formula>0</formula>
    </cfRule>
  </conditionalFormatting>
  <conditionalFormatting sqref="L163:L165 L181">
    <cfRule type="cellIs" dxfId="11685" priority="264" operator="equal">
      <formula>0</formula>
    </cfRule>
  </conditionalFormatting>
  <conditionalFormatting sqref="K161:K162">
    <cfRule type="cellIs" dxfId="11684" priority="263" operator="equal">
      <formula>0</formula>
    </cfRule>
  </conditionalFormatting>
  <conditionalFormatting sqref="K163:K165 K181">
    <cfRule type="cellIs" dxfId="11683" priority="262" operator="equal">
      <formula>0</formula>
    </cfRule>
  </conditionalFormatting>
  <conditionalFormatting sqref="J161:J162">
    <cfRule type="cellIs" dxfId="11682" priority="261" operator="equal">
      <formula>0</formula>
    </cfRule>
  </conditionalFormatting>
  <conditionalFormatting sqref="J163:J165 J181">
    <cfRule type="cellIs" dxfId="11681" priority="260" operator="equal">
      <formula>0</formula>
    </cfRule>
  </conditionalFormatting>
  <conditionalFormatting sqref="L160:M160">
    <cfRule type="cellIs" dxfId="11680" priority="259" operator="equal">
      <formula>0</formula>
    </cfRule>
  </conditionalFormatting>
  <conditionalFormatting sqref="F161:F162">
    <cfRule type="cellIs" dxfId="11679" priority="258" operator="equal">
      <formula>0</formula>
    </cfRule>
  </conditionalFormatting>
  <conditionalFormatting sqref="P160:R160 L160:M160 D161:R162">
    <cfRule type="cellIs" dxfId="11678" priority="257" operator="equal">
      <formula>0</formula>
    </cfRule>
  </conditionalFormatting>
  <conditionalFormatting sqref="P160:P162">
    <cfRule type="cellIs" dxfId="11677" priority="256" operator="equal">
      <formula>0</formula>
    </cfRule>
  </conditionalFormatting>
  <conditionalFormatting sqref="D190:R190 P181:R181 D181:I181 D182:R188 D180:R180 D161:R167 D160:G160 L160:M160 P160:R160">
    <cfRule type="cellIs" dxfId="11676" priority="255" operator="equal">
      <formula>0</formula>
    </cfRule>
  </conditionalFormatting>
  <conditionalFormatting sqref="N123:O123">
    <cfRule type="expression" dxfId="11675" priority="254">
      <formula>LEN(TRIM(N123))=0</formula>
    </cfRule>
  </conditionalFormatting>
  <conditionalFormatting sqref="N123:O123">
    <cfRule type="cellIs" dxfId="11674" priority="253" operator="equal">
      <formula>0</formula>
    </cfRule>
  </conditionalFormatting>
  <conditionalFormatting sqref="N123:O123">
    <cfRule type="cellIs" dxfId="11673" priority="252" operator="equal">
      <formula>0</formula>
    </cfRule>
  </conditionalFormatting>
  <conditionalFormatting sqref="H123:K123">
    <cfRule type="expression" dxfId="11672" priority="251">
      <formula>LEN(TRIM(H123))=0</formula>
    </cfRule>
  </conditionalFormatting>
  <conditionalFormatting sqref="K123">
    <cfRule type="cellIs" dxfId="11671" priority="250" operator="equal">
      <formula>0</formula>
    </cfRule>
  </conditionalFormatting>
  <conditionalFormatting sqref="J123:K123">
    <cfRule type="cellIs" dxfId="11670" priority="249" operator="equal">
      <formula>0</formula>
    </cfRule>
  </conditionalFormatting>
  <conditionalFormatting sqref="I123">
    <cfRule type="cellIs" dxfId="11669" priority="248" operator="equal">
      <formula>0</formula>
    </cfRule>
  </conditionalFormatting>
  <conditionalFormatting sqref="H123">
    <cfRule type="cellIs" dxfId="11668" priority="247" operator="equal">
      <formula>0</formula>
    </cfRule>
  </conditionalFormatting>
  <conditionalFormatting sqref="D131:R142">
    <cfRule type="expression" dxfId="11667" priority="246">
      <formula>LEN(TRIM(D131))=0</formula>
    </cfRule>
  </conditionalFormatting>
  <conditionalFormatting sqref="D131:R142">
    <cfRule type="cellIs" dxfId="11666" priority="245" operator="equal">
      <formula>0</formula>
    </cfRule>
  </conditionalFormatting>
  <conditionalFormatting sqref="N127:O127">
    <cfRule type="cellIs" dxfId="11665" priority="244" operator="equal">
      <formula>0</formula>
    </cfRule>
  </conditionalFormatting>
  <conditionalFormatting sqref="N126:O126">
    <cfRule type="cellIs" dxfId="11664" priority="243" operator="equal">
      <formula>0</formula>
    </cfRule>
  </conditionalFormatting>
  <conditionalFormatting sqref="M126:M127">
    <cfRule type="cellIs" dxfId="11663" priority="242" operator="equal">
      <formula>0</formula>
    </cfRule>
  </conditionalFormatting>
  <conditionalFormatting sqref="L126:L127">
    <cfRule type="cellIs" dxfId="11662" priority="241" operator="equal">
      <formula>0</formula>
    </cfRule>
  </conditionalFormatting>
  <conditionalFormatting sqref="D152:R152">
    <cfRule type="cellIs" dxfId="11661" priority="240" operator="equal">
      <formula>0</formula>
    </cfRule>
  </conditionalFormatting>
  <conditionalFormatting sqref="D145:R153 D143:R143 D124:R129 D123:G123 L123:M123 P123:R123">
    <cfRule type="expression" dxfId="11660" priority="239">
      <formula>LEN(TRIM(D123))=0</formula>
    </cfRule>
  </conditionalFormatting>
  <conditionalFormatting sqref="D152:R152">
    <cfRule type="cellIs" dxfId="11659" priority="238" operator="equal">
      <formula>0</formula>
    </cfRule>
  </conditionalFormatting>
  <conditionalFormatting sqref="O124:O125">
    <cfRule type="cellIs" dxfId="11658" priority="237" operator="equal">
      <formula>0</formula>
    </cfRule>
  </conditionalFormatting>
  <conditionalFormatting sqref="O126:O128 O144">
    <cfRule type="cellIs" dxfId="11657" priority="236" operator="equal">
      <formula>0</formula>
    </cfRule>
  </conditionalFormatting>
  <conditionalFormatting sqref="N124:N125">
    <cfRule type="cellIs" dxfId="11656" priority="235" operator="equal">
      <formula>0</formula>
    </cfRule>
  </conditionalFormatting>
  <conditionalFormatting sqref="N126:N128 N144">
    <cfRule type="cellIs" dxfId="11655" priority="234" operator="equal">
      <formula>0</formula>
    </cfRule>
  </conditionalFormatting>
  <conditionalFormatting sqref="M123:M125">
    <cfRule type="cellIs" dxfId="11654" priority="233" operator="equal">
      <formula>0</formula>
    </cfRule>
  </conditionalFormatting>
  <conditionalFormatting sqref="M126:M128 M144">
    <cfRule type="cellIs" dxfId="11653" priority="232" operator="equal">
      <formula>0</formula>
    </cfRule>
  </conditionalFormatting>
  <conditionalFormatting sqref="L123:L125">
    <cfRule type="cellIs" dxfId="11652" priority="231" operator="equal">
      <formula>0</formula>
    </cfRule>
  </conditionalFormatting>
  <conditionalFormatting sqref="L126:L128 L144">
    <cfRule type="cellIs" dxfId="11651" priority="230" operator="equal">
      <formula>0</formula>
    </cfRule>
  </conditionalFormatting>
  <conditionalFormatting sqref="K124:K125">
    <cfRule type="cellIs" dxfId="11650" priority="229" operator="equal">
      <formula>0</formula>
    </cfRule>
  </conditionalFormatting>
  <conditionalFormatting sqref="K126:K128 K144">
    <cfRule type="cellIs" dxfId="11649" priority="228" operator="equal">
      <formula>0</formula>
    </cfRule>
  </conditionalFormatting>
  <conditionalFormatting sqref="J124:J125">
    <cfRule type="cellIs" dxfId="11648" priority="227" operator="equal">
      <formula>0</formula>
    </cfRule>
  </conditionalFormatting>
  <conditionalFormatting sqref="J126:J128 J144">
    <cfRule type="cellIs" dxfId="11647" priority="226" operator="equal">
      <formula>0</formula>
    </cfRule>
  </conditionalFormatting>
  <conditionalFormatting sqref="L123:M123">
    <cfRule type="cellIs" dxfId="11646" priority="225" operator="equal">
      <formula>0</formula>
    </cfRule>
  </conditionalFormatting>
  <conditionalFormatting sqref="F124:F125">
    <cfRule type="cellIs" dxfId="11645" priority="224" operator="equal">
      <formula>0</formula>
    </cfRule>
  </conditionalFormatting>
  <conditionalFormatting sqref="P123:R123 L123:M123 D124:R125">
    <cfRule type="cellIs" dxfId="11644" priority="223" operator="equal">
      <formula>0</formula>
    </cfRule>
  </conditionalFormatting>
  <conditionalFormatting sqref="P123:P125">
    <cfRule type="cellIs" dxfId="11643" priority="222" operator="equal">
      <formula>0</formula>
    </cfRule>
  </conditionalFormatting>
  <conditionalFormatting sqref="D153:R153 P144:R144 D144:I144 D145:R151 D143:R143 D124:R130 D123:G123 L123:M123 P123:R123">
    <cfRule type="cellIs" dxfId="11642" priority="221" operator="equal">
      <formula>0</formula>
    </cfRule>
  </conditionalFormatting>
  <conditionalFormatting sqref="N86:O86">
    <cfRule type="expression" dxfId="11641" priority="220">
      <formula>LEN(TRIM(N86))=0</formula>
    </cfRule>
  </conditionalFormatting>
  <conditionalFormatting sqref="N86:O86">
    <cfRule type="cellIs" dxfId="11640" priority="219" operator="equal">
      <formula>0</formula>
    </cfRule>
  </conditionalFormatting>
  <conditionalFormatting sqref="N86:O86">
    <cfRule type="cellIs" dxfId="11639" priority="218" operator="equal">
      <formula>0</formula>
    </cfRule>
  </conditionalFormatting>
  <conditionalFormatting sqref="H86:K86">
    <cfRule type="expression" dxfId="11638" priority="217">
      <formula>LEN(TRIM(H86))=0</formula>
    </cfRule>
  </conditionalFormatting>
  <conditionalFormatting sqref="K86">
    <cfRule type="cellIs" dxfId="11637" priority="216" operator="equal">
      <formula>0</formula>
    </cfRule>
  </conditionalFormatting>
  <conditionalFormatting sqref="J86:K86">
    <cfRule type="cellIs" dxfId="11636" priority="215" operator="equal">
      <formula>0</formula>
    </cfRule>
  </conditionalFormatting>
  <conditionalFormatting sqref="I86">
    <cfRule type="cellIs" dxfId="11635" priority="214" operator="equal">
      <formula>0</formula>
    </cfRule>
  </conditionalFormatting>
  <conditionalFormatting sqref="H86">
    <cfRule type="cellIs" dxfId="11634" priority="213" operator="equal">
      <formula>0</formula>
    </cfRule>
  </conditionalFormatting>
  <conditionalFormatting sqref="D94:R105">
    <cfRule type="expression" dxfId="11633" priority="212">
      <formula>LEN(TRIM(D94))=0</formula>
    </cfRule>
  </conditionalFormatting>
  <conditionalFormatting sqref="D94:R105">
    <cfRule type="cellIs" dxfId="11632" priority="211" operator="equal">
      <formula>0</formula>
    </cfRule>
  </conditionalFormatting>
  <conditionalFormatting sqref="N90:O90">
    <cfRule type="cellIs" dxfId="11631" priority="210" operator="equal">
      <formula>0</formula>
    </cfRule>
  </conditionalFormatting>
  <conditionalFormatting sqref="N89:O89">
    <cfRule type="cellIs" dxfId="11630" priority="209" operator="equal">
      <formula>0</formula>
    </cfRule>
  </conditionalFormatting>
  <conditionalFormatting sqref="M89:M90">
    <cfRule type="cellIs" dxfId="11629" priority="208" operator="equal">
      <formula>0</formula>
    </cfRule>
  </conditionalFormatting>
  <conditionalFormatting sqref="L89:L90">
    <cfRule type="cellIs" dxfId="11628" priority="207" operator="equal">
      <formula>0</formula>
    </cfRule>
  </conditionalFormatting>
  <conditionalFormatting sqref="D115:R115">
    <cfRule type="cellIs" dxfId="11627" priority="206" operator="equal">
      <formula>0</formula>
    </cfRule>
  </conditionalFormatting>
  <conditionalFormatting sqref="D108:R116 D106:R106 D87:R92 D86:G86 L86:M86 P86:R86">
    <cfRule type="expression" dxfId="11626" priority="205">
      <formula>LEN(TRIM(D86))=0</formula>
    </cfRule>
  </conditionalFormatting>
  <conditionalFormatting sqref="D115:R115">
    <cfRule type="cellIs" dxfId="11625" priority="204" operator="equal">
      <formula>0</formula>
    </cfRule>
  </conditionalFormatting>
  <conditionalFormatting sqref="O87:O88">
    <cfRule type="cellIs" dxfId="11624" priority="203" operator="equal">
      <formula>0</formula>
    </cfRule>
  </conditionalFormatting>
  <conditionalFormatting sqref="O89:O91 O107">
    <cfRule type="cellIs" dxfId="11623" priority="202" operator="equal">
      <formula>0</formula>
    </cfRule>
  </conditionalFormatting>
  <conditionalFormatting sqref="N87:N88">
    <cfRule type="cellIs" dxfId="11622" priority="201" operator="equal">
      <formula>0</formula>
    </cfRule>
  </conditionalFormatting>
  <conditionalFormatting sqref="N89:N91 N107">
    <cfRule type="cellIs" dxfId="11621" priority="200" operator="equal">
      <formula>0</formula>
    </cfRule>
  </conditionalFormatting>
  <conditionalFormatting sqref="M86:M88">
    <cfRule type="cellIs" dxfId="11620" priority="199" operator="equal">
      <formula>0</formula>
    </cfRule>
  </conditionalFormatting>
  <conditionalFormatting sqref="M89:M91 M107">
    <cfRule type="cellIs" dxfId="11619" priority="198" operator="equal">
      <formula>0</formula>
    </cfRule>
  </conditionalFormatting>
  <conditionalFormatting sqref="L86:L88">
    <cfRule type="cellIs" dxfId="11618" priority="197" operator="equal">
      <formula>0</formula>
    </cfRule>
  </conditionalFormatting>
  <conditionalFormatting sqref="L89:L91 L107">
    <cfRule type="cellIs" dxfId="11617" priority="196" operator="equal">
      <formula>0</formula>
    </cfRule>
  </conditionalFormatting>
  <conditionalFormatting sqref="K87:K88">
    <cfRule type="cellIs" dxfId="11616" priority="195" operator="equal">
      <formula>0</formula>
    </cfRule>
  </conditionalFormatting>
  <conditionalFormatting sqref="K89:K91 K107">
    <cfRule type="cellIs" dxfId="11615" priority="194" operator="equal">
      <formula>0</formula>
    </cfRule>
  </conditionalFormatting>
  <conditionalFormatting sqref="J87:J88">
    <cfRule type="cellIs" dxfId="11614" priority="193" operator="equal">
      <formula>0</formula>
    </cfRule>
  </conditionalFormatting>
  <conditionalFormatting sqref="J89:J91 J107">
    <cfRule type="cellIs" dxfId="11613" priority="192" operator="equal">
      <formula>0</formula>
    </cfRule>
  </conditionalFormatting>
  <conditionalFormatting sqref="L86:M86">
    <cfRule type="cellIs" dxfId="11612" priority="191" operator="equal">
      <formula>0</formula>
    </cfRule>
  </conditionalFormatting>
  <conditionalFormatting sqref="F87:F88">
    <cfRule type="cellIs" dxfId="11611" priority="190" operator="equal">
      <formula>0</formula>
    </cfRule>
  </conditionalFormatting>
  <conditionalFormatting sqref="P86:R86 L86:M86 D87:R88">
    <cfRule type="cellIs" dxfId="11610" priority="189" operator="equal">
      <formula>0</formula>
    </cfRule>
  </conditionalFormatting>
  <conditionalFormatting sqref="P86:P88">
    <cfRule type="cellIs" dxfId="11609" priority="188" operator="equal">
      <formula>0</formula>
    </cfRule>
  </conditionalFormatting>
  <conditionalFormatting sqref="D116:R116 P107:R107 D107:I107 D108:R114 D106:R106 D87:R93 D86:G86 L86:M86 P86:R86">
    <cfRule type="cellIs" dxfId="11608" priority="187" operator="equal">
      <formula>0</formula>
    </cfRule>
  </conditionalFormatting>
  <conditionalFormatting sqref="N49:O49">
    <cfRule type="expression" dxfId="11607" priority="186">
      <formula>LEN(TRIM(N49))=0</formula>
    </cfRule>
  </conditionalFormatting>
  <conditionalFormatting sqref="N49:O49">
    <cfRule type="cellIs" dxfId="11606" priority="185" operator="equal">
      <formula>0</formula>
    </cfRule>
  </conditionalFormatting>
  <conditionalFormatting sqref="N49:O49">
    <cfRule type="cellIs" dxfId="11605" priority="184" operator="equal">
      <formula>0</formula>
    </cfRule>
  </conditionalFormatting>
  <conditionalFormatting sqref="H49:K49">
    <cfRule type="expression" dxfId="11604" priority="183">
      <formula>LEN(TRIM(H49))=0</formula>
    </cfRule>
  </conditionalFormatting>
  <conditionalFormatting sqref="K49">
    <cfRule type="cellIs" dxfId="11603" priority="182" operator="equal">
      <formula>0</formula>
    </cfRule>
  </conditionalFormatting>
  <conditionalFormatting sqref="J49:K49">
    <cfRule type="cellIs" dxfId="11602" priority="181" operator="equal">
      <formula>0</formula>
    </cfRule>
  </conditionalFormatting>
  <conditionalFormatting sqref="I49">
    <cfRule type="cellIs" dxfId="11601" priority="180" operator="equal">
      <formula>0</formula>
    </cfRule>
  </conditionalFormatting>
  <conditionalFormatting sqref="H49">
    <cfRule type="cellIs" dxfId="11600" priority="179" operator="equal">
      <formula>0</formula>
    </cfRule>
  </conditionalFormatting>
  <conditionalFormatting sqref="D57:R68">
    <cfRule type="expression" dxfId="11599" priority="178">
      <formula>LEN(TRIM(D57))=0</formula>
    </cfRule>
  </conditionalFormatting>
  <conditionalFormatting sqref="D57:R68">
    <cfRule type="cellIs" dxfId="11598" priority="177" operator="equal">
      <formula>0</formula>
    </cfRule>
  </conditionalFormatting>
  <conditionalFormatting sqref="S182:S190 S160:S166 S168:S180">
    <cfRule type="expression" dxfId="11597" priority="176">
      <formula>LEN(TRIM(S160))=0</formula>
    </cfRule>
  </conditionalFormatting>
  <conditionalFormatting sqref="S189">
    <cfRule type="cellIs" dxfId="11596" priority="175" operator="equal">
      <formula>0</formula>
    </cfRule>
  </conditionalFormatting>
  <conditionalFormatting sqref="S190 S160:S188">
    <cfRule type="cellIs" dxfId="11595" priority="174" operator="equal">
      <formula>0</formula>
    </cfRule>
  </conditionalFormatting>
  <conditionalFormatting sqref="S145:S153 S123:S129 S131:S143">
    <cfRule type="expression" dxfId="11594" priority="173">
      <formula>LEN(TRIM(S123))=0</formula>
    </cfRule>
  </conditionalFormatting>
  <conditionalFormatting sqref="S152">
    <cfRule type="cellIs" dxfId="11593" priority="172" operator="equal">
      <formula>0</formula>
    </cfRule>
  </conditionalFormatting>
  <conditionalFormatting sqref="S153 S123:S151">
    <cfRule type="cellIs" dxfId="11592" priority="171" operator="equal">
      <formula>0</formula>
    </cfRule>
  </conditionalFormatting>
  <conditionalFormatting sqref="S108:S116 S86:S92 S94:S106">
    <cfRule type="expression" dxfId="11591" priority="170">
      <formula>LEN(TRIM(S86))=0</formula>
    </cfRule>
  </conditionalFormatting>
  <conditionalFormatting sqref="S115">
    <cfRule type="cellIs" dxfId="11590" priority="169" operator="equal">
      <formula>0</formula>
    </cfRule>
  </conditionalFormatting>
  <conditionalFormatting sqref="S116 S86:S114">
    <cfRule type="cellIs" dxfId="11589" priority="168" operator="equal">
      <formula>0</formula>
    </cfRule>
  </conditionalFormatting>
  <conditionalFormatting sqref="N53:O53">
    <cfRule type="cellIs" dxfId="11588" priority="167" operator="equal">
      <formula>0</formula>
    </cfRule>
  </conditionalFormatting>
  <conditionalFormatting sqref="N52:O52">
    <cfRule type="cellIs" dxfId="11587" priority="166" operator="equal">
      <formula>0</formula>
    </cfRule>
  </conditionalFormatting>
  <conditionalFormatting sqref="M52:M53">
    <cfRule type="cellIs" dxfId="11586" priority="165" operator="equal">
      <formula>0</formula>
    </cfRule>
  </conditionalFormatting>
  <conditionalFormatting sqref="L52:L53">
    <cfRule type="cellIs" dxfId="11585" priority="164" operator="equal">
      <formula>0</formula>
    </cfRule>
  </conditionalFormatting>
  <conditionalFormatting sqref="D78:R78">
    <cfRule type="cellIs" dxfId="11584" priority="163" operator="equal">
      <formula>0</formula>
    </cfRule>
  </conditionalFormatting>
  <conditionalFormatting sqref="O159">
    <cfRule type="cellIs" dxfId="11583" priority="162" operator="equal">
      <formula>0</formula>
    </cfRule>
  </conditionalFormatting>
  <conditionalFormatting sqref="J159:N159">
    <cfRule type="cellIs" dxfId="11582" priority="161" operator="equal">
      <formula>0</formula>
    </cfRule>
  </conditionalFormatting>
  <conditionalFormatting sqref="O122">
    <cfRule type="cellIs" dxfId="11581" priority="160" operator="equal">
      <formula>0</formula>
    </cfRule>
  </conditionalFormatting>
  <conditionalFormatting sqref="J122:N122">
    <cfRule type="cellIs" dxfId="11580" priority="159" operator="equal">
      <formula>0</formula>
    </cfRule>
  </conditionalFormatting>
  <conditionalFormatting sqref="O85">
    <cfRule type="cellIs" dxfId="11579" priority="158" operator="equal">
      <formula>0</formula>
    </cfRule>
  </conditionalFormatting>
  <conditionalFormatting sqref="J85:N85">
    <cfRule type="cellIs" dxfId="11578" priority="157" operator="equal">
      <formula>0</formula>
    </cfRule>
  </conditionalFormatting>
  <conditionalFormatting sqref="D71:S79 D69:S69 S57:S68 D50:S55 D49:G49 L49:M49 P49:S49 S402">
    <cfRule type="expression" dxfId="11577" priority="156">
      <formula>LEN(TRIM(D49))=0</formula>
    </cfRule>
  </conditionalFormatting>
  <conditionalFormatting sqref="D78:S78">
    <cfRule type="cellIs" dxfId="11576" priority="155" operator="equal">
      <formula>0</formula>
    </cfRule>
  </conditionalFormatting>
  <conditionalFormatting sqref="O50:O51">
    <cfRule type="cellIs" dxfId="11575" priority="154" operator="equal">
      <formula>0</formula>
    </cfRule>
  </conditionalFormatting>
  <conditionalFormatting sqref="O52:O54 O70">
    <cfRule type="cellIs" dxfId="11574" priority="153" operator="equal">
      <formula>0</formula>
    </cfRule>
  </conditionalFormatting>
  <conditionalFormatting sqref="N50:N51">
    <cfRule type="cellIs" dxfId="11573" priority="152" operator="equal">
      <formula>0</formula>
    </cfRule>
  </conditionalFormatting>
  <conditionalFormatting sqref="N52:N54 N70">
    <cfRule type="cellIs" dxfId="11572" priority="151" operator="equal">
      <formula>0</formula>
    </cfRule>
  </conditionalFormatting>
  <conditionalFormatting sqref="M49:M51">
    <cfRule type="cellIs" dxfId="11571" priority="150" operator="equal">
      <formula>0</formula>
    </cfRule>
  </conditionalFormatting>
  <conditionalFormatting sqref="M52:M54 M70">
    <cfRule type="cellIs" dxfId="11570" priority="149" operator="equal">
      <formula>0</formula>
    </cfRule>
  </conditionalFormatting>
  <conditionalFormatting sqref="L49:L51">
    <cfRule type="cellIs" dxfId="11569" priority="148" operator="equal">
      <formula>0</formula>
    </cfRule>
  </conditionalFormatting>
  <conditionalFormatting sqref="L52:L54 L70">
    <cfRule type="cellIs" dxfId="11568" priority="147" operator="equal">
      <formula>0</formula>
    </cfRule>
  </conditionalFormatting>
  <conditionalFormatting sqref="K50:K51">
    <cfRule type="cellIs" dxfId="11567" priority="146" operator="equal">
      <formula>0</formula>
    </cfRule>
  </conditionalFormatting>
  <conditionalFormatting sqref="K52:K54 K70">
    <cfRule type="cellIs" dxfId="11566" priority="145" operator="equal">
      <formula>0</formula>
    </cfRule>
  </conditionalFormatting>
  <conditionalFormatting sqref="J50:J51">
    <cfRule type="cellIs" dxfId="11565" priority="144" operator="equal">
      <formula>0</formula>
    </cfRule>
  </conditionalFormatting>
  <conditionalFormatting sqref="J52:J54 J70">
    <cfRule type="cellIs" dxfId="11564" priority="143" operator="equal">
      <formula>0</formula>
    </cfRule>
  </conditionalFormatting>
  <conditionalFormatting sqref="L49:M49">
    <cfRule type="cellIs" dxfId="11563" priority="142" operator="equal">
      <formula>0</formula>
    </cfRule>
  </conditionalFormatting>
  <conditionalFormatting sqref="O48">
    <cfRule type="cellIs" dxfId="11562" priority="141" operator="equal">
      <formula>0</formula>
    </cfRule>
  </conditionalFormatting>
  <conditionalFormatting sqref="F50:F51">
    <cfRule type="cellIs" dxfId="11561" priority="140" operator="equal">
      <formula>0</formula>
    </cfRule>
  </conditionalFormatting>
  <conditionalFormatting sqref="P49:R49 L49:M49 D50:R51">
    <cfRule type="cellIs" dxfId="11560" priority="139" operator="equal">
      <formula>0</formula>
    </cfRule>
  </conditionalFormatting>
  <conditionalFormatting sqref="P49:P51">
    <cfRule type="cellIs" dxfId="11559" priority="138" operator="equal">
      <formula>0</formula>
    </cfRule>
  </conditionalFormatting>
  <conditionalFormatting sqref="J48:N48 D79:S79 P70:S70 D70:I70 D71:S77 D69:S69 D50:S56 S57:S68 D49:G49 L49:M49 P49:S49 S387:S389 S402:S410">
    <cfRule type="cellIs" dxfId="11558" priority="137" operator="equal">
      <formula>0</formula>
    </cfRule>
  </conditionalFormatting>
  <conditionalFormatting sqref="M23">
    <cfRule type="expression" dxfId="11557" priority="136">
      <formula>LEN(TRIM(M23))=0</formula>
    </cfRule>
  </conditionalFormatting>
  <conditionalFormatting sqref="M23">
    <cfRule type="cellIs" dxfId="11556" priority="135" operator="equal">
      <formula>0</formula>
    </cfRule>
  </conditionalFormatting>
  <conditionalFormatting sqref="R27:R28">
    <cfRule type="expression" dxfId="11555" priority="134">
      <formula>LEN(TRIM(R27))=0</formula>
    </cfRule>
  </conditionalFormatting>
  <conditionalFormatting sqref="R27:R28">
    <cfRule type="cellIs" dxfId="11554" priority="133" operator="equal">
      <formula>0</formula>
    </cfRule>
  </conditionalFormatting>
  <conditionalFormatting sqref="D27:Q28">
    <cfRule type="expression" dxfId="11553" priority="132">
      <formula>LEN(TRIM(D27))=0</formula>
    </cfRule>
  </conditionalFormatting>
  <conditionalFormatting sqref="D27:Q28">
    <cfRule type="cellIs" dxfId="11552" priority="131" operator="equal">
      <formula>0</formula>
    </cfRule>
  </conditionalFormatting>
  <conditionalFormatting sqref="S20:S31">
    <cfRule type="expression" dxfId="11551" priority="130">
      <formula>LEN(TRIM(S20))=0</formula>
    </cfRule>
  </conditionalFormatting>
  <conditionalFormatting sqref="S20:S31">
    <cfRule type="cellIs" dxfId="11550" priority="129" operator="equal">
      <formula>0</formula>
    </cfRule>
  </conditionalFormatting>
  <conditionalFormatting sqref="R20:R26 R29:R31">
    <cfRule type="expression" dxfId="11549" priority="128">
      <formula>LEN(TRIM(R20))=0</formula>
    </cfRule>
  </conditionalFormatting>
  <conditionalFormatting sqref="R20:R26 R29:R31">
    <cfRule type="cellIs" dxfId="11548" priority="127" operator="equal">
      <formula>0</formula>
    </cfRule>
  </conditionalFormatting>
  <conditionalFormatting sqref="D42:S42">
    <cfRule type="expression" dxfId="11547" priority="126">
      <formula>LEN(TRIM(D42))=0</formula>
    </cfRule>
  </conditionalFormatting>
  <conditionalFormatting sqref="D42:S42">
    <cfRule type="cellIs" dxfId="11546" priority="125" operator="equal">
      <formula>0</formula>
    </cfRule>
  </conditionalFormatting>
  <conditionalFormatting sqref="D41:R41">
    <cfRule type="cellIs" dxfId="11545" priority="124" operator="equal">
      <formula>0</formula>
    </cfRule>
  </conditionalFormatting>
  <conditionalFormatting sqref="D34:S41">
    <cfRule type="expression" dxfId="11544" priority="123">
      <formula>LEN(TRIM(D34))=0</formula>
    </cfRule>
  </conditionalFormatting>
  <conditionalFormatting sqref="D41:S41">
    <cfRule type="cellIs" dxfId="11543" priority="122" operator="equal">
      <formula>0</formula>
    </cfRule>
  </conditionalFormatting>
  <conditionalFormatting sqref="S34:S41 D34:R40">
    <cfRule type="cellIs" dxfId="11542" priority="121" operator="equal">
      <formula>0</formula>
    </cfRule>
  </conditionalFormatting>
  <conditionalFormatting sqref="D32:S32">
    <cfRule type="expression" dxfId="11541" priority="120">
      <formula>LEN(TRIM(D32))=0</formula>
    </cfRule>
  </conditionalFormatting>
  <conditionalFormatting sqref="D32:S32">
    <cfRule type="cellIs" dxfId="11540" priority="119" operator="equal">
      <formula>0</formula>
    </cfRule>
  </conditionalFormatting>
  <conditionalFormatting sqref="D18:S18">
    <cfRule type="expression" dxfId="11539" priority="118">
      <formula>LEN(TRIM(D18))=0</formula>
    </cfRule>
  </conditionalFormatting>
  <conditionalFormatting sqref="D18:S18">
    <cfRule type="cellIs" dxfId="11538" priority="117" operator="equal">
      <formula>0</formula>
    </cfRule>
  </conditionalFormatting>
  <conditionalFormatting sqref="N16:O16">
    <cfRule type="cellIs" dxfId="11537" priority="116" operator="equal">
      <formula>0</formula>
    </cfRule>
  </conditionalFormatting>
  <conditionalFormatting sqref="N15:O15">
    <cfRule type="cellIs" dxfId="11536" priority="115" operator="equal">
      <formula>0</formula>
    </cfRule>
  </conditionalFormatting>
  <conditionalFormatting sqref="M15:M16">
    <cfRule type="cellIs" dxfId="11535" priority="114" operator="equal">
      <formula>0</formula>
    </cfRule>
  </conditionalFormatting>
  <conditionalFormatting sqref="L15:L16">
    <cfRule type="cellIs" dxfId="11534" priority="113" operator="equal">
      <formula>0</formula>
    </cfRule>
  </conditionalFormatting>
  <conditionalFormatting sqref="D15:O16 R15:R16">
    <cfRule type="expression" dxfId="11533" priority="112">
      <formula>LEN(TRIM(D15))=0</formula>
    </cfRule>
  </conditionalFormatting>
  <conditionalFormatting sqref="O15:O16">
    <cfRule type="cellIs" dxfId="11532" priority="111" operator="equal">
      <formula>0</formula>
    </cfRule>
  </conditionalFormatting>
  <conditionalFormatting sqref="N15:N16">
    <cfRule type="cellIs" dxfId="11531" priority="110" operator="equal">
      <formula>0</formula>
    </cfRule>
  </conditionalFormatting>
  <conditionalFormatting sqref="M15:M16">
    <cfRule type="cellIs" dxfId="11530" priority="109" operator="equal">
      <formula>0</formula>
    </cfRule>
  </conditionalFormatting>
  <conditionalFormatting sqref="L15:L16">
    <cfRule type="cellIs" dxfId="11529" priority="108" operator="equal">
      <formula>0</formula>
    </cfRule>
  </conditionalFormatting>
  <conditionalFormatting sqref="K15:K16">
    <cfRule type="cellIs" dxfId="11528" priority="107" operator="equal">
      <formula>0</formula>
    </cfRule>
  </conditionalFormatting>
  <conditionalFormatting sqref="J15:J16">
    <cfRule type="cellIs" dxfId="11527" priority="106" operator="equal">
      <formula>0</formula>
    </cfRule>
  </conditionalFormatting>
  <conditionalFormatting sqref="D15:O16 R15:R16">
    <cfRule type="cellIs" dxfId="11526" priority="105" operator="equal">
      <formula>0</formula>
    </cfRule>
  </conditionalFormatting>
  <conditionalFormatting sqref="D24:Q24 D23:L23 N23:Q23">
    <cfRule type="expression" dxfId="11525" priority="104">
      <formula>LEN(TRIM(D23))=0</formula>
    </cfRule>
  </conditionalFormatting>
  <conditionalFormatting sqref="D24:Q24 D23:L23 N23:Q23">
    <cfRule type="cellIs" dxfId="11524" priority="103" operator="equal">
      <formula>0</formula>
    </cfRule>
  </conditionalFormatting>
  <conditionalFormatting sqref="S12:S17">
    <cfRule type="expression" dxfId="11523" priority="102">
      <formula>LEN(TRIM(S12))=0</formula>
    </cfRule>
  </conditionalFormatting>
  <conditionalFormatting sqref="S12:S17">
    <cfRule type="cellIs" dxfId="11522" priority="101" operator="equal">
      <formula>0</formula>
    </cfRule>
  </conditionalFormatting>
  <conditionalFormatting sqref="D12:P12 P13:P17 R12 Q12:Q17">
    <cfRule type="expression" dxfId="11521" priority="100">
      <formula>LEN(TRIM(D12))=0</formula>
    </cfRule>
  </conditionalFormatting>
  <conditionalFormatting sqref="K12">
    <cfRule type="cellIs" dxfId="11520" priority="99" operator="equal">
      <formula>0</formula>
    </cfRule>
  </conditionalFormatting>
  <conditionalFormatting sqref="J12">
    <cfRule type="cellIs" dxfId="11519" priority="98" operator="equal">
      <formula>0</formula>
    </cfRule>
  </conditionalFormatting>
  <conditionalFormatting sqref="L12:O12">
    <cfRule type="cellIs" dxfId="11518" priority="97" operator="equal">
      <formula>0</formula>
    </cfRule>
  </conditionalFormatting>
  <conditionalFormatting sqref="I12">
    <cfRule type="cellIs" dxfId="11517" priority="96" operator="equal">
      <formula>0</formula>
    </cfRule>
  </conditionalFormatting>
  <conditionalFormatting sqref="H12">
    <cfRule type="cellIs" dxfId="11516" priority="95" operator="equal">
      <formula>0</formula>
    </cfRule>
  </conditionalFormatting>
  <conditionalFormatting sqref="D12:G12 R12 P12:Q17">
    <cfRule type="cellIs" dxfId="11515" priority="94" operator="equal">
      <formula>0</formula>
    </cfRule>
  </conditionalFormatting>
  <conditionalFormatting sqref="D13:O14 D17:O17 R17 R13:R14 D25:Q26 D29:Q31">
    <cfRule type="expression" dxfId="11514" priority="93">
      <formula>LEN(TRIM(D13))=0</formula>
    </cfRule>
  </conditionalFormatting>
  <conditionalFormatting sqref="O13:O14">
    <cfRule type="cellIs" dxfId="11513" priority="92" operator="equal">
      <formula>0</formula>
    </cfRule>
  </conditionalFormatting>
  <conditionalFormatting sqref="O17 O33">
    <cfRule type="cellIs" dxfId="11512" priority="91" operator="equal">
      <formula>0</formula>
    </cfRule>
  </conditionalFormatting>
  <conditionalFormatting sqref="N13:N14">
    <cfRule type="cellIs" dxfId="11511" priority="90" operator="equal">
      <formula>0</formula>
    </cfRule>
  </conditionalFormatting>
  <conditionalFormatting sqref="N17 N33">
    <cfRule type="cellIs" dxfId="11510" priority="89" operator="equal">
      <formula>0</formula>
    </cfRule>
  </conditionalFormatting>
  <conditionalFormatting sqref="M13:M14">
    <cfRule type="cellIs" dxfId="11509" priority="88" operator="equal">
      <formula>0</formula>
    </cfRule>
  </conditionalFormatting>
  <conditionalFormatting sqref="M17 M33">
    <cfRule type="cellIs" dxfId="11508" priority="87" operator="equal">
      <formula>0</formula>
    </cfRule>
  </conditionalFormatting>
  <conditionalFormatting sqref="L13:L14">
    <cfRule type="cellIs" dxfId="11507" priority="86" operator="equal">
      <formula>0</formula>
    </cfRule>
  </conditionalFormatting>
  <conditionalFormatting sqref="L17 L33">
    <cfRule type="cellIs" dxfId="11506" priority="85" operator="equal">
      <formula>0</formula>
    </cfRule>
  </conditionalFormatting>
  <conditionalFormatting sqref="K13:K14">
    <cfRule type="cellIs" dxfId="11505" priority="84" operator="equal">
      <formula>0</formula>
    </cfRule>
  </conditionalFormatting>
  <conditionalFormatting sqref="K17 K33">
    <cfRule type="cellIs" dxfId="11504" priority="83" operator="equal">
      <formula>0</formula>
    </cfRule>
  </conditionalFormatting>
  <conditionalFormatting sqref="J13:J14">
    <cfRule type="cellIs" dxfId="11503" priority="82" operator="equal">
      <formula>0</formula>
    </cfRule>
  </conditionalFormatting>
  <conditionalFormatting sqref="J17 J33">
    <cfRule type="cellIs" dxfId="11502" priority="81" operator="equal">
      <formula>0</formula>
    </cfRule>
  </conditionalFormatting>
  <conditionalFormatting sqref="O11">
    <cfRule type="cellIs" dxfId="11501" priority="80" operator="equal">
      <formula>0</formula>
    </cfRule>
  </conditionalFormatting>
  <conditionalFormatting sqref="D29:Q31">
    <cfRule type="cellIs" dxfId="11500" priority="79" operator="equal">
      <formula>0</formula>
    </cfRule>
  </conditionalFormatting>
  <conditionalFormatting sqref="F13:F14">
    <cfRule type="cellIs" dxfId="11499" priority="78" operator="equal">
      <formula>0</formula>
    </cfRule>
  </conditionalFormatting>
  <conditionalFormatting sqref="D13:E14 H13:I14">
    <cfRule type="cellIs" dxfId="11498" priority="77" operator="equal">
      <formula>0</formula>
    </cfRule>
  </conditionalFormatting>
  <conditionalFormatting sqref="R13:R14 R17 G13:G14 D17:I17 J11:N11 P33:R33 D33:I33 D30:Q31 D25:Q26">
    <cfRule type="cellIs" dxfId="11497" priority="76" operator="equal">
      <formula>0</formula>
    </cfRule>
  </conditionalFormatting>
  <conditionalFormatting sqref="D20:Q22">
    <cfRule type="expression" dxfId="11496" priority="75">
      <formula>LEN(TRIM(D20))=0</formula>
    </cfRule>
  </conditionalFormatting>
  <conditionalFormatting sqref="S33 D20:Q22 D19:S19">
    <cfRule type="cellIs" dxfId="11495"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61A5-A02C-4E52-A7A5-78810F8FC371}">
  <dimension ref="B2:T377"/>
  <sheetViews>
    <sheetView topLeftCell="A6" zoomScale="55" zoomScaleNormal="55"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358</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2">
        <v>0</v>
      </c>
      <c r="G12" s="421">
        <v>0.18608</v>
      </c>
      <c r="H12" s="422">
        <v>1100</v>
      </c>
      <c r="I12" s="422">
        <v>132.91999999999999</v>
      </c>
      <c r="J12" s="422">
        <v>188.067672565268</v>
      </c>
      <c r="K12" s="422">
        <v>26.326605803260801</v>
      </c>
      <c r="L12" s="422">
        <v>0</v>
      </c>
      <c r="M12" s="422">
        <v>0</v>
      </c>
      <c r="N12" s="432">
        <v>36.079315619527598</v>
      </c>
      <c r="O12" s="509">
        <v>3.8677813273305701</v>
      </c>
      <c r="P12" s="422">
        <v>0</v>
      </c>
      <c r="Q12" s="422">
        <v>0</v>
      </c>
      <c r="R12" s="422">
        <v>0</v>
      </c>
      <c r="S12" s="423">
        <v>1497.21665531539</v>
      </c>
      <c r="T12" s="412"/>
    </row>
    <row r="13" spans="2:20" ht="13.5">
      <c r="B13" s="412"/>
      <c r="C13" s="420" t="s">
        <v>60</v>
      </c>
      <c r="D13" s="422">
        <v>49.5469924761749</v>
      </c>
      <c r="E13" s="422">
        <v>498.31484372741801</v>
      </c>
      <c r="F13" s="422">
        <v>265.184638300828</v>
      </c>
      <c r="G13" s="422">
        <v>407.12156574706302</v>
      </c>
      <c r="H13" s="422">
        <v>0</v>
      </c>
      <c r="I13" s="422">
        <v>0</v>
      </c>
      <c r="J13" s="422">
        <v>0</v>
      </c>
      <c r="K13" s="422">
        <v>0</v>
      </c>
      <c r="L13" s="422">
        <v>0</v>
      </c>
      <c r="M13" s="432">
        <v>0</v>
      </c>
      <c r="N13" s="422">
        <v>0</v>
      </c>
      <c r="O13" s="422">
        <v>0</v>
      </c>
      <c r="P13" s="432">
        <v>0</v>
      </c>
      <c r="Q13" s="422">
        <v>0</v>
      </c>
      <c r="R13" s="432">
        <v>0</v>
      </c>
      <c r="S13" s="423">
        <v>1220.1680402514801</v>
      </c>
      <c r="T13" s="412"/>
    </row>
    <row r="14" spans="2:20" ht="13.5">
      <c r="B14" s="412"/>
      <c r="C14" s="420" t="s">
        <v>61</v>
      </c>
      <c r="D14" s="422">
        <v>0</v>
      </c>
      <c r="E14" s="422">
        <v>0</v>
      </c>
      <c r="F14" s="422">
        <v>0</v>
      </c>
      <c r="G14" s="422">
        <v>0</v>
      </c>
      <c r="H14" s="422">
        <v>0</v>
      </c>
      <c r="I14" s="422">
        <v>0</v>
      </c>
      <c r="J14" s="422">
        <v>0</v>
      </c>
      <c r="K14" s="422">
        <v>0</v>
      </c>
      <c r="L14" s="422">
        <v>0</v>
      </c>
      <c r="M14" s="432">
        <v>0</v>
      </c>
      <c r="N14" s="422">
        <v>0</v>
      </c>
      <c r="O14" s="422">
        <v>0</v>
      </c>
      <c r="P14" s="432">
        <v>-33.244535842966798</v>
      </c>
      <c r="Q14" s="422">
        <v>0</v>
      </c>
      <c r="R14" s="432">
        <v>0</v>
      </c>
      <c r="S14" s="423">
        <v>-33.244535842966798</v>
      </c>
      <c r="T14" s="412"/>
    </row>
    <row r="15" spans="2:20" ht="13.5">
      <c r="B15" s="412"/>
      <c r="C15" s="420" t="s">
        <v>62</v>
      </c>
      <c r="D15" s="421">
        <v>0</v>
      </c>
      <c r="E15" s="421">
        <v>0</v>
      </c>
      <c r="F15" s="421">
        <v>-18.7727409289602</v>
      </c>
      <c r="G15" s="421">
        <v>0</v>
      </c>
      <c r="H15" s="421">
        <v>0</v>
      </c>
      <c r="I15" s="421">
        <v>0</v>
      </c>
      <c r="J15" s="421">
        <v>0</v>
      </c>
      <c r="K15" s="421">
        <v>0</v>
      </c>
      <c r="L15" s="431">
        <v>0</v>
      </c>
      <c r="M15" s="431">
        <v>0</v>
      </c>
      <c r="N15" s="421">
        <v>0</v>
      </c>
      <c r="O15" s="421">
        <v>0</v>
      </c>
      <c r="P15" s="422">
        <v>0</v>
      </c>
      <c r="Q15" s="422">
        <v>0</v>
      </c>
      <c r="R15" s="431">
        <v>0</v>
      </c>
      <c r="S15" s="423">
        <v>-18.7727409289602</v>
      </c>
      <c r="T15" s="412"/>
    </row>
    <row r="16" spans="2:20" ht="13.5">
      <c r="B16" s="412"/>
      <c r="C16" s="420" t="s">
        <v>63</v>
      </c>
      <c r="D16" s="421">
        <v>0</v>
      </c>
      <c r="E16" s="421">
        <v>0</v>
      </c>
      <c r="F16" s="421">
        <v>-72.922720270572995</v>
      </c>
      <c r="G16" s="421">
        <v>0</v>
      </c>
      <c r="H16" s="421">
        <v>0</v>
      </c>
      <c r="I16" s="421">
        <v>0</v>
      </c>
      <c r="J16" s="421">
        <v>0</v>
      </c>
      <c r="K16" s="421">
        <v>0</v>
      </c>
      <c r="L16" s="431">
        <v>-0.75281209705321706</v>
      </c>
      <c r="M16" s="431">
        <v>0</v>
      </c>
      <c r="N16" s="421">
        <v>0</v>
      </c>
      <c r="O16" s="421">
        <v>0</v>
      </c>
      <c r="P16" s="422">
        <v>0</v>
      </c>
      <c r="Q16" s="422">
        <v>0</v>
      </c>
      <c r="R16" s="431">
        <v>0</v>
      </c>
      <c r="S16" s="423">
        <v>-73.675532367626204</v>
      </c>
      <c r="T16" s="412"/>
    </row>
    <row r="17" spans="2:20" ht="13.5">
      <c r="B17" s="412"/>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T17" s="412"/>
    </row>
    <row r="18" spans="2:20" ht="13.5">
      <c r="B18" s="412"/>
      <c r="C18" s="424" t="s">
        <v>65</v>
      </c>
      <c r="D18" s="510">
        <v>49.5469924761749</v>
      </c>
      <c r="E18" s="510">
        <v>508.08404372741802</v>
      </c>
      <c r="F18" s="510">
        <v>173.48917710129501</v>
      </c>
      <c r="G18" s="510">
        <v>407.30764574706302</v>
      </c>
      <c r="H18" s="425">
        <v>1100</v>
      </c>
      <c r="I18" s="425">
        <v>132.91999999999999</v>
      </c>
      <c r="J18" s="425">
        <v>188.067672565268</v>
      </c>
      <c r="K18" s="510">
        <v>26.326605803260801</v>
      </c>
      <c r="L18" s="425">
        <v>-0.75281209705321706</v>
      </c>
      <c r="M18" s="425">
        <v>0</v>
      </c>
      <c r="N18" s="425">
        <v>36.079315619527598</v>
      </c>
      <c r="O18" s="425">
        <v>3.8677813273305701</v>
      </c>
      <c r="P18" s="425">
        <v>-33.244535842966798</v>
      </c>
      <c r="Q18" s="425">
        <v>0</v>
      </c>
      <c r="R18" s="425">
        <v>0</v>
      </c>
      <c r="S18" s="425">
        <v>2591.6918864273198</v>
      </c>
      <c r="T18" s="412"/>
    </row>
    <row r="19" spans="2:20" ht="13.5">
      <c r="B19" s="412"/>
      <c r="C19" s="426"/>
      <c r="D19" s="427"/>
      <c r="E19" s="492"/>
      <c r="F19" s="492"/>
      <c r="G19" s="492"/>
      <c r="H19" s="427"/>
      <c r="I19" s="427"/>
      <c r="J19" s="427"/>
      <c r="K19" s="492"/>
      <c r="L19" s="427"/>
      <c r="M19" s="427"/>
      <c r="N19" s="427"/>
      <c r="O19" s="427"/>
      <c r="P19" s="492"/>
      <c r="Q19" s="492"/>
      <c r="R19" s="427"/>
      <c r="S19" s="427"/>
      <c r="T19" s="412"/>
    </row>
    <row r="20" spans="2:20" ht="13.5">
      <c r="B20" s="412"/>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T20" s="412"/>
    </row>
    <row r="21" spans="2:20" ht="12.5" customHeight="1">
      <c r="B21" s="412"/>
      <c r="C21" s="428" t="s">
        <v>350</v>
      </c>
      <c r="D21" s="431">
        <v>2.2004707355665598</v>
      </c>
      <c r="E21" s="421">
        <v>0</v>
      </c>
      <c r="F21" s="431">
        <v>3.8636363636363602</v>
      </c>
      <c r="G21" s="431">
        <v>43.110109584564697</v>
      </c>
      <c r="H21" s="431">
        <v>1100</v>
      </c>
      <c r="I21" s="431">
        <v>132.91999999999999</v>
      </c>
      <c r="J21" s="431">
        <v>31.266204074514999</v>
      </c>
      <c r="K21" s="431">
        <v>9.3162173763582707</v>
      </c>
      <c r="L21" s="421">
        <v>0</v>
      </c>
      <c r="M21" s="431">
        <v>0.54127719607999403</v>
      </c>
      <c r="N21" s="421">
        <v>0</v>
      </c>
      <c r="O21" s="421">
        <v>0</v>
      </c>
      <c r="P21" s="421">
        <v>-531.28062944661895</v>
      </c>
      <c r="Q21" s="421">
        <v>0</v>
      </c>
      <c r="R21" s="432">
        <v>0</v>
      </c>
      <c r="S21" s="491">
        <v>791.93728588410204</v>
      </c>
      <c r="T21" s="412"/>
    </row>
    <row r="22" spans="2:20" ht="13.5">
      <c r="B22" s="412"/>
      <c r="C22" s="428" t="s">
        <v>351</v>
      </c>
      <c r="D22" s="431">
        <v>0.74274104021394804</v>
      </c>
      <c r="E22" s="421">
        <v>0</v>
      </c>
      <c r="F22" s="431">
        <v>9.6807273074047601E-2</v>
      </c>
      <c r="G22" s="431">
        <v>18.358678149105401</v>
      </c>
      <c r="H22" s="421">
        <v>0</v>
      </c>
      <c r="I22" s="421">
        <v>0</v>
      </c>
      <c r="J22" s="431">
        <v>14.428351097379601</v>
      </c>
      <c r="K22" s="431">
        <v>13.004424723043201</v>
      </c>
      <c r="L22" s="421">
        <v>0</v>
      </c>
      <c r="M22" s="431">
        <v>0.23050588198552699</v>
      </c>
      <c r="N22" s="421">
        <v>0</v>
      </c>
      <c r="O22" s="431">
        <v>2.39162871134433</v>
      </c>
      <c r="P22" s="421">
        <v>0</v>
      </c>
      <c r="Q22" s="421">
        <v>-43.536573371937401</v>
      </c>
      <c r="R22" s="432">
        <v>0</v>
      </c>
      <c r="S22" s="491">
        <v>5.7165635042085698</v>
      </c>
      <c r="T22" s="412"/>
    </row>
    <row r="23" spans="2:20" ht="13.5">
      <c r="B23" s="412"/>
      <c r="C23" s="428" t="s">
        <v>352</v>
      </c>
      <c r="D23" s="421">
        <v>0</v>
      </c>
      <c r="E23" s="421">
        <v>0</v>
      </c>
      <c r="F23" s="421">
        <v>0</v>
      </c>
      <c r="G23" s="421">
        <v>0</v>
      </c>
      <c r="H23" s="421">
        <v>0</v>
      </c>
      <c r="I23" s="421">
        <v>0</v>
      </c>
      <c r="J23" s="431">
        <v>5.6977956768119897</v>
      </c>
      <c r="K23" s="421">
        <v>0</v>
      </c>
      <c r="L23" s="421">
        <v>0</v>
      </c>
      <c r="M23" s="421">
        <v>-4.9570822388264304</v>
      </c>
      <c r="N23" s="421">
        <v>0</v>
      </c>
      <c r="O23" s="421">
        <v>0</v>
      </c>
      <c r="P23" s="421">
        <v>0</v>
      </c>
      <c r="Q23" s="421">
        <v>0</v>
      </c>
      <c r="R23" s="422">
        <v>0</v>
      </c>
      <c r="S23" s="491">
        <v>0.740713437985558</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T24" s="412"/>
    </row>
    <row r="25" spans="2:20" ht="13.5">
      <c r="B25" s="412"/>
      <c r="C25" s="428" t="s">
        <v>72</v>
      </c>
      <c r="D25" s="421">
        <v>0</v>
      </c>
      <c r="E25" s="431">
        <v>526.32106875994998</v>
      </c>
      <c r="F25" s="421">
        <v>-521.05785807234997</v>
      </c>
      <c r="G25" s="431">
        <v>0</v>
      </c>
      <c r="H25" s="421">
        <v>0</v>
      </c>
      <c r="I25" s="421">
        <v>0</v>
      </c>
      <c r="J25" s="421">
        <v>0</v>
      </c>
      <c r="K25" s="421">
        <v>0</v>
      </c>
      <c r="L25" s="421">
        <v>0</v>
      </c>
      <c r="M25" s="421">
        <v>0</v>
      </c>
      <c r="N25" s="421">
        <v>0</v>
      </c>
      <c r="O25" s="421">
        <v>0</v>
      </c>
      <c r="P25" s="421">
        <v>0</v>
      </c>
      <c r="Q25" s="421">
        <v>0</v>
      </c>
      <c r="R25" s="422">
        <v>0</v>
      </c>
      <c r="S25" s="491">
        <v>5.2632106875995497</v>
      </c>
      <c r="T25" s="412"/>
    </row>
    <row r="26" spans="2:20" ht="13.5">
      <c r="B26" s="412"/>
      <c r="C26" s="428" t="s">
        <v>354</v>
      </c>
      <c r="D26" s="421">
        <v>0</v>
      </c>
      <c r="E26" s="421">
        <v>0</v>
      </c>
      <c r="F26" s="421">
        <v>0</v>
      </c>
      <c r="G26" s="421">
        <v>0</v>
      </c>
      <c r="H26" s="421">
        <v>0</v>
      </c>
      <c r="I26" s="421">
        <v>0</v>
      </c>
      <c r="J26" s="421">
        <v>39.5364479846275</v>
      </c>
      <c r="K26" s="421">
        <v>0</v>
      </c>
      <c r="L26" s="431">
        <v>-39.5364479846275</v>
      </c>
      <c r="M26" s="421">
        <v>0</v>
      </c>
      <c r="N26" s="421">
        <v>0</v>
      </c>
      <c r="O26" s="421">
        <v>0</v>
      </c>
      <c r="P26" s="421">
        <v>0</v>
      </c>
      <c r="Q26" s="421">
        <v>0</v>
      </c>
      <c r="R26" s="422">
        <v>0</v>
      </c>
      <c r="S26" s="423">
        <v>0</v>
      </c>
      <c r="T26" s="412"/>
    </row>
    <row r="27" spans="2:20" ht="13.5">
      <c r="B27" s="412"/>
      <c r="C27" s="428" t="s">
        <v>355</v>
      </c>
      <c r="D27" s="421">
        <v>0</v>
      </c>
      <c r="E27" s="421">
        <v>0</v>
      </c>
      <c r="F27" s="421">
        <v>0</v>
      </c>
      <c r="G27" s="421">
        <v>0</v>
      </c>
      <c r="H27" s="421">
        <v>0</v>
      </c>
      <c r="I27" s="421">
        <v>0</v>
      </c>
      <c r="J27" s="421">
        <v>0</v>
      </c>
      <c r="K27" s="421">
        <v>0</v>
      </c>
      <c r="L27" s="431">
        <v>0</v>
      </c>
      <c r="M27" s="421">
        <v>0</v>
      </c>
      <c r="N27" s="421">
        <v>0</v>
      </c>
      <c r="O27" s="421">
        <v>0</v>
      </c>
      <c r="P27" s="421">
        <v>0</v>
      </c>
      <c r="Q27" s="421">
        <v>0</v>
      </c>
      <c r="R27" s="432">
        <v>0</v>
      </c>
      <c r="S27" s="491">
        <v>0</v>
      </c>
      <c r="T27" s="412"/>
    </row>
    <row r="28" spans="2:20" ht="13.5">
      <c r="B28" s="412"/>
      <c r="C28" s="428" t="s">
        <v>73</v>
      </c>
      <c r="D28" s="421">
        <v>0</v>
      </c>
      <c r="E28" s="421">
        <v>0</v>
      </c>
      <c r="F28" s="421">
        <v>0</v>
      </c>
      <c r="G28" s="431">
        <v>0.23665830152728301</v>
      </c>
      <c r="H28" s="421">
        <v>0</v>
      </c>
      <c r="I28" s="421">
        <v>0</v>
      </c>
      <c r="J28" s="421">
        <v>0</v>
      </c>
      <c r="K28" s="431">
        <v>2.5738959176199801E-3</v>
      </c>
      <c r="L28" s="421">
        <v>0</v>
      </c>
      <c r="M28" s="431">
        <v>2.9714084031372098E-3</v>
      </c>
      <c r="N28" s="421">
        <v>0</v>
      </c>
      <c r="O28" s="421">
        <v>0</v>
      </c>
      <c r="P28" s="431">
        <v>1.6354138676569999E-2</v>
      </c>
      <c r="Q28" s="421">
        <v>0</v>
      </c>
      <c r="R28" s="509">
        <v>-0.18017271423339801</v>
      </c>
      <c r="S28" s="491">
        <v>7.8385030291211494E-2</v>
      </c>
      <c r="T28" s="412"/>
    </row>
    <row r="29" spans="2:20" ht="13.5">
      <c r="B29" s="412"/>
      <c r="C29" s="428" t="s">
        <v>356</v>
      </c>
      <c r="D29" s="431">
        <v>22.204820312500001</v>
      </c>
      <c r="E29" s="431">
        <v>-18.237025032532301</v>
      </c>
      <c r="F29" s="431">
        <v>23.852951568964802</v>
      </c>
      <c r="G29" s="431">
        <v>0</v>
      </c>
      <c r="H29" s="421">
        <v>0</v>
      </c>
      <c r="I29" s="421">
        <v>0</v>
      </c>
      <c r="J29" s="421">
        <v>0</v>
      </c>
      <c r="K29" s="421">
        <v>0</v>
      </c>
      <c r="L29" s="431">
        <v>0</v>
      </c>
      <c r="M29" s="431">
        <v>0</v>
      </c>
      <c r="N29" s="421">
        <v>0</v>
      </c>
      <c r="O29" s="421">
        <v>0</v>
      </c>
      <c r="P29" s="421">
        <v>0</v>
      </c>
      <c r="Q29" s="421">
        <v>0</v>
      </c>
      <c r="R29" s="422">
        <v>0</v>
      </c>
      <c r="S29" s="423">
        <v>27.8207468489326</v>
      </c>
      <c r="T29" s="412"/>
    </row>
    <row r="30" spans="2:20" ht="13.5">
      <c r="B30" s="412"/>
      <c r="C30" s="428" t="s">
        <v>75</v>
      </c>
      <c r="D30" s="431">
        <v>13.221516601562501</v>
      </c>
      <c r="E30" s="421">
        <v>0</v>
      </c>
      <c r="F30" s="431">
        <v>17.8949163378383</v>
      </c>
      <c r="G30" s="431">
        <v>5.14596740632253</v>
      </c>
      <c r="H30" s="421">
        <v>0</v>
      </c>
      <c r="I30" s="421">
        <v>0</v>
      </c>
      <c r="J30" s="421">
        <v>0</v>
      </c>
      <c r="K30" s="421">
        <v>0</v>
      </c>
      <c r="L30" s="421">
        <v>0</v>
      </c>
      <c r="M30" s="431">
        <v>6.4611174400971402E-2</v>
      </c>
      <c r="N30" s="421">
        <v>0</v>
      </c>
      <c r="O30" s="421">
        <v>0</v>
      </c>
      <c r="P30" s="431">
        <v>34.668031472331002</v>
      </c>
      <c r="Q30" s="421">
        <v>0</v>
      </c>
      <c r="R30" s="422">
        <v>0</v>
      </c>
      <c r="S30" s="423">
        <v>70.995042992455296</v>
      </c>
      <c r="T30" s="412"/>
    </row>
    <row r="31" spans="2:20" ht="13.5">
      <c r="B31" s="412"/>
      <c r="C31" s="428" t="s">
        <v>76</v>
      </c>
      <c r="D31" s="421">
        <v>0</v>
      </c>
      <c r="E31" s="421">
        <v>0</v>
      </c>
      <c r="F31" s="421">
        <v>0</v>
      </c>
      <c r="G31" s="431">
        <v>4.6815132147121501</v>
      </c>
      <c r="H31" s="421">
        <v>0</v>
      </c>
      <c r="I31" s="421">
        <v>0</v>
      </c>
      <c r="J31" s="421">
        <v>0</v>
      </c>
      <c r="K31" s="421">
        <v>0</v>
      </c>
      <c r="L31" s="421">
        <v>0</v>
      </c>
      <c r="M31" s="431">
        <v>5.8779631290431997E-2</v>
      </c>
      <c r="N31" s="421">
        <v>0</v>
      </c>
      <c r="O31" s="421">
        <v>0</v>
      </c>
      <c r="P31" s="431">
        <v>38.168971162606802</v>
      </c>
      <c r="Q31" s="431">
        <v>3.3736828074195002</v>
      </c>
      <c r="R31" s="432">
        <v>0</v>
      </c>
      <c r="S31" s="423">
        <v>46.282946816028897</v>
      </c>
      <c r="T31" s="412"/>
    </row>
    <row r="32" spans="2:20" ht="13.5">
      <c r="B32" s="412"/>
      <c r="C32" s="424" t="s">
        <v>77</v>
      </c>
      <c r="D32" s="425">
        <v>38.369548689843</v>
      </c>
      <c r="E32" s="425">
        <v>508.08404372741802</v>
      </c>
      <c r="F32" s="425">
        <v>-475.34954652883698</v>
      </c>
      <c r="G32" s="425">
        <v>71.532926656231993</v>
      </c>
      <c r="H32" s="425">
        <v>1100</v>
      </c>
      <c r="I32" s="425">
        <v>132.91999999999999</v>
      </c>
      <c r="J32" s="425">
        <v>90.928798833334</v>
      </c>
      <c r="K32" s="425">
        <v>22.323215995319099</v>
      </c>
      <c r="L32" s="425">
        <v>-39.5364479846275</v>
      </c>
      <c r="M32" s="425">
        <v>-4.0589369466663703</v>
      </c>
      <c r="N32" s="425">
        <v>0</v>
      </c>
      <c r="O32" s="425">
        <v>2.39162871134433</v>
      </c>
      <c r="P32" s="425">
        <v>-458.42727267300501</v>
      </c>
      <c r="Q32" s="425">
        <v>-40.162890564517902</v>
      </c>
      <c r="R32" s="425">
        <v>-0.18017271423339801</v>
      </c>
      <c r="S32" s="425">
        <v>948.83489520160401</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31">
        <v>8.2197396847693707</v>
      </c>
      <c r="E34" s="421">
        <v>0</v>
      </c>
      <c r="F34" s="431">
        <v>28.180521880790899</v>
      </c>
      <c r="G34" s="431">
        <v>112.202197168209</v>
      </c>
      <c r="H34" s="421">
        <v>0</v>
      </c>
      <c r="I34" s="421">
        <v>0</v>
      </c>
      <c r="J34" s="431">
        <v>17.034037714807798</v>
      </c>
      <c r="K34" s="431">
        <v>4.0033898079417298</v>
      </c>
      <c r="L34" s="431">
        <v>0.89586796289062498</v>
      </c>
      <c r="M34" s="431">
        <v>1.4087760681306101</v>
      </c>
      <c r="N34" s="431">
        <v>0</v>
      </c>
      <c r="O34" s="431">
        <v>0</v>
      </c>
      <c r="P34" s="431">
        <v>108.21704147474701</v>
      </c>
      <c r="Q34" s="431">
        <v>18.2326403230594</v>
      </c>
      <c r="R34" s="431">
        <v>0.18017271423339801</v>
      </c>
      <c r="S34" s="429">
        <v>298.57438479958</v>
      </c>
      <c r="T34" s="412"/>
    </row>
    <row r="35" spans="2:20" ht="13.5">
      <c r="B35" s="412"/>
      <c r="C35" s="428" t="s">
        <v>79</v>
      </c>
      <c r="D35" s="431">
        <v>0</v>
      </c>
      <c r="E35" s="421">
        <v>0</v>
      </c>
      <c r="F35" s="431">
        <v>381.141400590812</v>
      </c>
      <c r="G35" s="431">
        <v>4.7808389838304803</v>
      </c>
      <c r="H35" s="421">
        <v>0</v>
      </c>
      <c r="I35" s="421">
        <v>0</v>
      </c>
      <c r="J35" s="431">
        <v>0</v>
      </c>
      <c r="K35" s="431">
        <v>0</v>
      </c>
      <c r="L35" s="431">
        <v>36.729850270547203</v>
      </c>
      <c r="M35" s="431">
        <v>8.1330349453470993E-2</v>
      </c>
      <c r="N35" s="431">
        <v>0</v>
      </c>
      <c r="O35" s="431">
        <v>0</v>
      </c>
      <c r="P35" s="431">
        <v>13.917165054851701</v>
      </c>
      <c r="Q35" s="431">
        <v>0</v>
      </c>
      <c r="R35" s="431">
        <v>0</v>
      </c>
      <c r="S35" s="429">
        <v>436.65058524949501</v>
      </c>
      <c r="T35" s="412"/>
    </row>
    <row r="36" spans="2:20" ht="13.5">
      <c r="B36" s="412"/>
      <c r="C36" s="428" t="s">
        <v>80</v>
      </c>
      <c r="D36" s="431">
        <v>0</v>
      </c>
      <c r="E36" s="421">
        <v>0</v>
      </c>
      <c r="F36" s="431">
        <v>45.2391315244111</v>
      </c>
      <c r="G36" s="431">
        <v>133.04908791919399</v>
      </c>
      <c r="H36" s="421">
        <v>0</v>
      </c>
      <c r="I36" s="421">
        <v>0</v>
      </c>
      <c r="J36" s="431">
        <v>75.533769220439794</v>
      </c>
      <c r="K36" s="431">
        <v>0</v>
      </c>
      <c r="L36" s="431">
        <v>0</v>
      </c>
      <c r="M36" s="431">
        <v>1.6705231776002401</v>
      </c>
      <c r="N36" s="431">
        <v>30.638911807936498</v>
      </c>
      <c r="O36" s="431">
        <v>0.38834857281910401</v>
      </c>
      <c r="P36" s="431">
        <v>165.12177710767</v>
      </c>
      <c r="Q36" s="431">
        <v>16.128184194203499</v>
      </c>
      <c r="R36" s="431">
        <v>0</v>
      </c>
      <c r="S36" s="429">
        <v>467.76973352427399</v>
      </c>
      <c r="T36" s="412"/>
    </row>
    <row r="37" spans="2:20" ht="13.5">
      <c r="B37" s="412"/>
      <c r="C37" s="428" t="s">
        <v>81</v>
      </c>
      <c r="D37" s="431">
        <v>0</v>
      </c>
      <c r="E37" s="421">
        <v>0</v>
      </c>
      <c r="F37" s="431">
        <v>24.631208462384599</v>
      </c>
      <c r="G37" s="431">
        <v>70.462480116853897</v>
      </c>
      <c r="H37" s="421">
        <v>0</v>
      </c>
      <c r="I37" s="421">
        <v>0</v>
      </c>
      <c r="J37" s="431">
        <v>4.2047097373813802</v>
      </c>
      <c r="K37" s="431">
        <v>0</v>
      </c>
      <c r="L37" s="431">
        <v>0</v>
      </c>
      <c r="M37" s="431">
        <v>0.88470509664741703</v>
      </c>
      <c r="N37" s="431">
        <v>5.4404038115911604</v>
      </c>
      <c r="O37" s="431">
        <v>0.99522781778772396</v>
      </c>
      <c r="P37" s="431">
        <v>129.52827270094099</v>
      </c>
      <c r="Q37" s="431">
        <v>5.8020660472549901</v>
      </c>
      <c r="R37" s="431">
        <v>0</v>
      </c>
      <c r="S37" s="429">
        <v>241.94907379084199</v>
      </c>
      <c r="T37" s="412"/>
    </row>
    <row r="38" spans="2:20" ht="13.5">
      <c r="B38" s="412"/>
      <c r="C38" s="428" t="s">
        <v>82</v>
      </c>
      <c r="D38" s="431">
        <v>0</v>
      </c>
      <c r="E38" s="421">
        <v>0</v>
      </c>
      <c r="F38" s="431">
        <v>33.610106097975702</v>
      </c>
      <c r="G38" s="431">
        <v>2.7590441466845501</v>
      </c>
      <c r="H38" s="421">
        <v>0</v>
      </c>
      <c r="I38" s="421">
        <v>0</v>
      </c>
      <c r="J38" s="431">
        <v>0.36635705930495199</v>
      </c>
      <c r="K38" s="431">
        <v>0</v>
      </c>
      <c r="L38" s="431">
        <v>1.1579176541364899</v>
      </c>
      <c r="M38" s="431">
        <v>3.4641704555374998E-2</v>
      </c>
      <c r="N38" s="431">
        <v>0</v>
      </c>
      <c r="O38" s="431">
        <v>9.2576225379409599E-2</v>
      </c>
      <c r="P38" s="431">
        <v>8.3984804918280105</v>
      </c>
      <c r="Q38" s="431">
        <v>0</v>
      </c>
      <c r="R38" s="431">
        <v>0</v>
      </c>
      <c r="S38" s="429">
        <v>46.419123379864502</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31">
        <v>0</v>
      </c>
      <c r="Q39" s="421">
        <v>0</v>
      </c>
      <c r="R39" s="421">
        <v>0</v>
      </c>
      <c r="S39" s="429">
        <v>0</v>
      </c>
      <c r="T39" s="412"/>
    </row>
    <row r="40" spans="2:20" ht="13.5">
      <c r="B40" s="412"/>
      <c r="C40" s="424" t="s">
        <v>83</v>
      </c>
      <c r="D40" s="425">
        <v>8.2197396847693707</v>
      </c>
      <c r="E40" s="425">
        <v>0</v>
      </c>
      <c r="F40" s="425">
        <v>512.80236855637395</v>
      </c>
      <c r="G40" s="425">
        <v>323.25364833477198</v>
      </c>
      <c r="H40" s="425">
        <v>0</v>
      </c>
      <c r="I40" s="425">
        <v>0</v>
      </c>
      <c r="J40" s="425">
        <v>97.138873731933799</v>
      </c>
      <c r="K40" s="425">
        <v>4.0033898079417298</v>
      </c>
      <c r="L40" s="425">
        <v>38.783635887574299</v>
      </c>
      <c r="M40" s="425">
        <v>4.0799763963871198</v>
      </c>
      <c r="N40" s="425">
        <v>36.079315619527598</v>
      </c>
      <c r="O40" s="425">
        <v>1.4761526159862399</v>
      </c>
      <c r="P40" s="425">
        <v>425.18273683003798</v>
      </c>
      <c r="Q40" s="425">
        <v>40.162890564517902</v>
      </c>
      <c r="R40" s="425">
        <v>0.18017271423339801</v>
      </c>
      <c r="S40" s="425">
        <v>1491.36290074406</v>
      </c>
      <c r="T40" s="412"/>
    </row>
    <row r="41" spans="2:20" ht="13.5">
      <c r="B41" s="412"/>
      <c r="C41" s="420" t="s">
        <v>84</v>
      </c>
      <c r="D41" s="431">
        <v>2.9577041015624999</v>
      </c>
      <c r="E41" s="421">
        <v>0</v>
      </c>
      <c r="F41" s="431">
        <v>136.03635507375699</v>
      </c>
      <c r="G41" s="431">
        <v>12.5000313063388</v>
      </c>
      <c r="H41" s="421">
        <v>0</v>
      </c>
      <c r="I41" s="421">
        <v>0</v>
      </c>
      <c r="J41" s="421">
        <v>0</v>
      </c>
      <c r="K41" s="421">
        <v>0</v>
      </c>
      <c r="L41" s="431">
        <v>0</v>
      </c>
      <c r="M41" s="431">
        <v>0</v>
      </c>
      <c r="N41" s="421">
        <v>0</v>
      </c>
      <c r="O41" s="421">
        <v>0</v>
      </c>
      <c r="P41" s="421">
        <v>0</v>
      </c>
      <c r="Q41" s="421">
        <v>0</v>
      </c>
      <c r="R41" s="431">
        <v>0</v>
      </c>
      <c r="S41" s="429">
        <v>151.49409048165899</v>
      </c>
      <c r="T41" s="412"/>
    </row>
    <row r="42" spans="2:20" ht="13.5">
      <c r="B42" s="412"/>
      <c r="C42" s="424" t="s">
        <v>85</v>
      </c>
      <c r="D42" s="425">
        <v>11.177443786331899</v>
      </c>
      <c r="E42" s="425">
        <v>0</v>
      </c>
      <c r="F42" s="425">
        <v>648.83872363013199</v>
      </c>
      <c r="G42" s="425">
        <v>335.75367964111098</v>
      </c>
      <c r="H42" s="425">
        <v>0</v>
      </c>
      <c r="I42" s="425">
        <v>0</v>
      </c>
      <c r="J42" s="425">
        <v>97.138873731933799</v>
      </c>
      <c r="K42" s="425">
        <v>4.0033898079417298</v>
      </c>
      <c r="L42" s="425">
        <v>38.783635887574299</v>
      </c>
      <c r="M42" s="425">
        <v>4.0799763963871198</v>
      </c>
      <c r="N42" s="425">
        <v>36.079315619527598</v>
      </c>
      <c r="O42" s="425">
        <v>1.4761526159862399</v>
      </c>
      <c r="P42" s="425">
        <v>425.18273683003798</v>
      </c>
      <c r="Q42" s="425">
        <v>40.162890564517902</v>
      </c>
      <c r="R42" s="425">
        <v>0.18017271423339801</v>
      </c>
      <c r="S42" s="425">
        <v>1642.8569912257101</v>
      </c>
      <c r="T42" s="412"/>
    </row>
    <row r="43" spans="2:20">
      <c r="B43" s="412"/>
      <c r="C43" s="412"/>
      <c r="D43" s="430">
        <f t="shared" ref="D43:S43" si="0">D42+D32-D18</f>
        <v>0</v>
      </c>
      <c r="E43" s="430">
        <f t="shared" si="0"/>
        <v>0</v>
      </c>
      <c r="F43" s="430">
        <f t="shared" si="0"/>
        <v>0</v>
      </c>
      <c r="G43" s="430">
        <f t="shared" si="0"/>
        <v>-2.1039449720035464E-2</v>
      </c>
      <c r="H43" s="430">
        <f t="shared" si="0"/>
        <v>0</v>
      </c>
      <c r="I43" s="430">
        <f t="shared" si="0"/>
        <v>0</v>
      </c>
      <c r="J43" s="430">
        <f t="shared" si="0"/>
        <v>0</v>
      </c>
      <c r="K43" s="430">
        <f t="shared" si="0"/>
        <v>2.8421709430404007E-14</v>
      </c>
      <c r="L43" s="430">
        <f t="shared" si="0"/>
        <v>1.5543122344752192E-14</v>
      </c>
      <c r="M43" s="430">
        <f t="shared" si="0"/>
        <v>2.1039449720749559E-2</v>
      </c>
      <c r="N43" s="430">
        <f t="shared" si="0"/>
        <v>0</v>
      </c>
      <c r="O43" s="430">
        <f t="shared" si="0"/>
        <v>0</v>
      </c>
      <c r="P43" s="430">
        <f t="shared" si="0"/>
        <v>-2.2737367544323206E-13</v>
      </c>
      <c r="Q43" s="430">
        <f t="shared" si="0"/>
        <v>0</v>
      </c>
      <c r="R43" s="430">
        <f t="shared" si="0"/>
        <v>0</v>
      </c>
      <c r="S43" s="430">
        <f t="shared" si="0"/>
        <v>-5.9117155615240335E-12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87</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9.7691999999999997</v>
      </c>
      <c r="F49" s="421">
        <v>0</v>
      </c>
      <c r="G49" s="421">
        <v>0.18608</v>
      </c>
      <c r="H49" s="422">
        <v>1190.9090909090901</v>
      </c>
      <c r="I49" s="422">
        <v>150.68799999999999</v>
      </c>
      <c r="J49" s="422">
        <v>192.55962255618499</v>
      </c>
      <c r="K49" s="422">
        <v>26.086924564420499</v>
      </c>
      <c r="L49" s="421">
        <v>0</v>
      </c>
      <c r="M49" s="421">
        <v>0</v>
      </c>
      <c r="N49" s="422">
        <v>38.824946626539997</v>
      </c>
      <c r="O49" s="422">
        <v>3.9832016462042499</v>
      </c>
      <c r="P49" s="421">
        <v>0</v>
      </c>
      <c r="Q49" s="421">
        <v>0</v>
      </c>
      <c r="R49" s="421">
        <v>0</v>
      </c>
      <c r="S49" s="423">
        <v>1613.0070663024401</v>
      </c>
      <c r="T49" s="412"/>
    </row>
    <row r="50" spans="2:20" ht="13.5">
      <c r="B50" s="412"/>
      <c r="C50" s="420" t="s">
        <v>60</v>
      </c>
      <c r="D50" s="421">
        <v>44.356557420150601</v>
      </c>
      <c r="E50" s="421">
        <v>553.51354311683997</v>
      </c>
      <c r="F50" s="421">
        <v>214.35798974996999</v>
      </c>
      <c r="G50" s="421">
        <v>380.29283409068802</v>
      </c>
      <c r="H50" s="421">
        <v>0</v>
      </c>
      <c r="I50" s="421">
        <v>0</v>
      </c>
      <c r="J50" s="421">
        <v>0</v>
      </c>
      <c r="K50" s="421">
        <v>0</v>
      </c>
      <c r="L50" s="421">
        <v>0</v>
      </c>
      <c r="M50" s="421">
        <v>0</v>
      </c>
      <c r="N50" s="421">
        <v>0</v>
      </c>
      <c r="O50" s="421">
        <v>0</v>
      </c>
      <c r="P50" s="421">
        <v>0</v>
      </c>
      <c r="Q50" s="421">
        <v>0</v>
      </c>
      <c r="R50" s="421">
        <v>0</v>
      </c>
      <c r="S50" s="423">
        <v>1192.5209243776501</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-64.037371169234603</v>
      </c>
      <c r="Q51" s="421">
        <v>0</v>
      </c>
      <c r="R51" s="421">
        <v>0</v>
      </c>
      <c r="S51" s="423">
        <v>-64.037371169234603</v>
      </c>
      <c r="T51" s="412"/>
    </row>
    <row r="52" spans="2:20" ht="13.5">
      <c r="B52" s="412"/>
      <c r="C52" s="420" t="s">
        <v>62</v>
      </c>
      <c r="D52" s="421">
        <v>0</v>
      </c>
      <c r="E52" s="421">
        <v>0</v>
      </c>
      <c r="F52" s="421">
        <v>-17.936302519198001</v>
      </c>
      <c r="G52" s="421">
        <v>0</v>
      </c>
      <c r="H52" s="421">
        <v>0</v>
      </c>
      <c r="I52" s="421">
        <v>0</v>
      </c>
      <c r="J52" s="421">
        <v>0</v>
      </c>
      <c r="K52" s="421">
        <v>0</v>
      </c>
      <c r="L52" s="421">
        <v>0</v>
      </c>
      <c r="M52" s="421">
        <v>0</v>
      </c>
      <c r="N52" s="421">
        <v>0</v>
      </c>
      <c r="O52" s="421">
        <v>0</v>
      </c>
      <c r="P52" s="421">
        <v>0</v>
      </c>
      <c r="Q52" s="421">
        <v>0</v>
      </c>
      <c r="R52" s="421">
        <v>0</v>
      </c>
      <c r="S52" s="423">
        <v>-17.936302519198001</v>
      </c>
      <c r="T52" s="412"/>
    </row>
    <row r="53" spans="2:20" ht="13.5">
      <c r="B53" s="412"/>
      <c r="C53" s="420" t="s">
        <v>63</v>
      </c>
      <c r="D53" s="421">
        <v>0</v>
      </c>
      <c r="E53" s="421">
        <v>0</v>
      </c>
      <c r="F53" s="421">
        <v>-79.260028986096998</v>
      </c>
      <c r="G53" s="421">
        <v>0</v>
      </c>
      <c r="H53" s="421">
        <v>0</v>
      </c>
      <c r="I53" s="421">
        <v>0</v>
      </c>
      <c r="J53" s="421">
        <v>0</v>
      </c>
      <c r="K53" s="421">
        <v>0</v>
      </c>
      <c r="L53" s="421">
        <v>-0.81988618642427602</v>
      </c>
      <c r="M53" s="421">
        <v>0</v>
      </c>
      <c r="N53" s="421">
        <v>0</v>
      </c>
      <c r="O53" s="421">
        <v>0</v>
      </c>
      <c r="P53" s="421">
        <v>0</v>
      </c>
      <c r="Q53" s="421">
        <v>0</v>
      </c>
      <c r="R53" s="421">
        <v>0</v>
      </c>
      <c r="S53" s="423">
        <v>-80.079915172521297</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44.356557420150601</v>
      </c>
      <c r="E55" s="425">
        <v>563.28274311684004</v>
      </c>
      <c r="F55" s="425">
        <v>117.161658244675</v>
      </c>
      <c r="G55" s="425">
        <v>380.47891409068802</v>
      </c>
      <c r="H55" s="425">
        <v>1190.9090909090901</v>
      </c>
      <c r="I55" s="425">
        <v>150.68799999999999</v>
      </c>
      <c r="J55" s="425">
        <v>192.55962255618499</v>
      </c>
      <c r="K55" s="425">
        <v>26.086924564420499</v>
      </c>
      <c r="L55" s="425">
        <v>-0.81988618642427602</v>
      </c>
      <c r="M55" s="425">
        <v>0</v>
      </c>
      <c r="N55" s="425">
        <v>38.824946626539997</v>
      </c>
      <c r="O55" s="425">
        <v>3.9832016462042499</v>
      </c>
      <c r="P55" s="425">
        <v>-64.037371169234603</v>
      </c>
      <c r="Q55" s="425">
        <v>0</v>
      </c>
      <c r="R55" s="425">
        <v>0</v>
      </c>
      <c r="S55" s="425">
        <v>2643.47440181914</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21.350265318958598</v>
      </c>
      <c r="H58" s="421">
        <v>1190.9090909090901</v>
      </c>
      <c r="I58" s="421">
        <v>150.68799999999999</v>
      </c>
      <c r="J58" s="421">
        <v>30.0443018658917</v>
      </c>
      <c r="K58" s="421">
        <v>8.7092987515159699</v>
      </c>
      <c r="L58" s="421">
        <v>0</v>
      </c>
      <c r="M58" s="421">
        <v>0.43571970038690899</v>
      </c>
      <c r="N58" s="421">
        <v>0</v>
      </c>
      <c r="O58" s="421">
        <v>0</v>
      </c>
      <c r="P58" s="421">
        <v>-567.63457206025305</v>
      </c>
      <c r="Q58" s="421">
        <v>0</v>
      </c>
      <c r="R58" s="421">
        <v>0</v>
      </c>
      <c r="S58" s="429">
        <v>840.56621158479402</v>
      </c>
      <c r="T58" s="412"/>
    </row>
    <row r="59" spans="2:20" ht="13.5">
      <c r="B59" s="412"/>
      <c r="C59" s="428" t="s">
        <v>351</v>
      </c>
      <c r="D59" s="421">
        <v>0.123491187368727</v>
      </c>
      <c r="E59" s="421">
        <v>0</v>
      </c>
      <c r="F59" s="421">
        <v>0</v>
      </c>
      <c r="G59" s="421">
        <v>18.256412910237302</v>
      </c>
      <c r="H59" s="421">
        <v>0</v>
      </c>
      <c r="I59" s="421">
        <v>0</v>
      </c>
      <c r="J59" s="421">
        <v>14.431704526244101</v>
      </c>
      <c r="K59" s="421">
        <v>13.2604433911694</v>
      </c>
      <c r="L59" s="421">
        <v>0</v>
      </c>
      <c r="M59" s="421">
        <v>0.37257985531096499</v>
      </c>
      <c r="N59" s="421">
        <v>0</v>
      </c>
      <c r="O59" s="421">
        <v>2.3954921223483301</v>
      </c>
      <c r="P59" s="421">
        <v>0</v>
      </c>
      <c r="Q59" s="421">
        <v>-43.438604623737099</v>
      </c>
      <c r="R59" s="421">
        <v>0</v>
      </c>
      <c r="S59" s="429">
        <v>5.4015193689417904</v>
      </c>
      <c r="T59" s="412"/>
    </row>
    <row r="60" spans="2:20" ht="13.5">
      <c r="B60" s="412"/>
      <c r="C60" s="428" t="s">
        <v>352</v>
      </c>
      <c r="D60" s="421">
        <v>0</v>
      </c>
      <c r="E60" s="421">
        <v>0</v>
      </c>
      <c r="F60" s="421">
        <v>0</v>
      </c>
      <c r="G60" s="421">
        <v>0</v>
      </c>
      <c r="H60" s="421">
        <v>0</v>
      </c>
      <c r="I60" s="421">
        <v>0</v>
      </c>
      <c r="J60" s="421">
        <v>8.5046212766704201</v>
      </c>
      <c r="K60" s="421">
        <v>0</v>
      </c>
      <c r="L60" s="421">
        <v>0</v>
      </c>
      <c r="M60" s="421">
        <v>-7.5074544319808103</v>
      </c>
      <c r="N60" s="421">
        <v>0</v>
      </c>
      <c r="O60" s="421">
        <v>0</v>
      </c>
      <c r="P60" s="421">
        <v>0</v>
      </c>
      <c r="Q60" s="421">
        <v>0</v>
      </c>
      <c r="R60" s="421">
        <v>0</v>
      </c>
      <c r="S60" s="429">
        <v>0.99716684468960604</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583.50105466083801</v>
      </c>
      <c r="F62" s="421">
        <v>-577.66604411422998</v>
      </c>
      <c r="G62" s="421">
        <v>0</v>
      </c>
      <c r="H62" s="421">
        <v>0</v>
      </c>
      <c r="I62" s="421">
        <v>0</v>
      </c>
      <c r="J62" s="421">
        <v>0</v>
      </c>
      <c r="K62" s="421">
        <v>0</v>
      </c>
      <c r="L62" s="421">
        <v>0</v>
      </c>
      <c r="M62" s="421">
        <v>0</v>
      </c>
      <c r="N62" s="421">
        <v>0</v>
      </c>
      <c r="O62" s="421">
        <v>0</v>
      </c>
      <c r="P62" s="421">
        <v>0</v>
      </c>
      <c r="Q62" s="421">
        <v>0</v>
      </c>
      <c r="R62" s="421">
        <v>0</v>
      </c>
      <c r="S62" s="429">
        <v>5.8350105466083697</v>
      </c>
      <c r="T62" s="412"/>
    </row>
    <row r="63" spans="2:20" ht="13.5">
      <c r="B63" s="412"/>
      <c r="C63" s="428" t="s">
        <v>354</v>
      </c>
      <c r="D63" s="421">
        <v>0</v>
      </c>
      <c r="E63" s="421">
        <v>0</v>
      </c>
      <c r="F63" s="421">
        <v>0</v>
      </c>
      <c r="G63" s="421">
        <v>0</v>
      </c>
      <c r="H63" s="421">
        <v>0</v>
      </c>
      <c r="I63" s="421">
        <v>0</v>
      </c>
      <c r="J63" s="421">
        <v>42.170129990919797</v>
      </c>
      <c r="K63" s="421">
        <v>0</v>
      </c>
      <c r="L63" s="421">
        <v>-42.170129990919797</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v>
      </c>
      <c r="M64" s="421">
        <v>0</v>
      </c>
      <c r="N64" s="421">
        <v>0</v>
      </c>
      <c r="O64" s="421">
        <v>0</v>
      </c>
      <c r="P64" s="421">
        <v>0</v>
      </c>
      <c r="Q64" s="421">
        <v>0</v>
      </c>
      <c r="R64" s="421">
        <v>0</v>
      </c>
      <c r="S64" s="429">
        <v>0</v>
      </c>
      <c r="T64" s="412"/>
    </row>
    <row r="65" spans="2:20" ht="13.5">
      <c r="B65" s="412"/>
      <c r="C65" s="428" t="s">
        <v>73</v>
      </c>
      <c r="D65" s="421">
        <v>0</v>
      </c>
      <c r="E65" s="421">
        <v>0</v>
      </c>
      <c r="F65" s="421">
        <v>0</v>
      </c>
      <c r="G65" s="421">
        <v>0.34877320343017598</v>
      </c>
      <c r="H65" s="421">
        <v>0</v>
      </c>
      <c r="I65" s="421">
        <v>0</v>
      </c>
      <c r="J65" s="421">
        <v>0</v>
      </c>
      <c r="K65" s="421">
        <v>3.84747052873884E-3</v>
      </c>
      <c r="L65" s="421">
        <v>0</v>
      </c>
      <c r="M65" s="421">
        <v>7.1178204781668598E-3</v>
      </c>
      <c r="N65" s="421">
        <v>0</v>
      </c>
      <c r="O65" s="421">
        <v>0</v>
      </c>
      <c r="P65" s="421">
        <v>2.6932293701171901E-2</v>
      </c>
      <c r="Q65" s="421">
        <v>0</v>
      </c>
      <c r="R65" s="421">
        <v>-0.269322937011719</v>
      </c>
      <c r="S65" s="429">
        <v>0.11734785112653499</v>
      </c>
      <c r="T65" s="412"/>
    </row>
    <row r="66" spans="2:20" ht="13.5">
      <c r="B66" s="412"/>
      <c r="C66" s="428" t="s">
        <v>356</v>
      </c>
      <c r="D66" s="421">
        <v>19.823072753906299</v>
      </c>
      <c r="E66" s="421">
        <v>-20.218311543997999</v>
      </c>
      <c r="F66" s="421">
        <v>26.4443573008719</v>
      </c>
      <c r="G66" s="421">
        <v>0</v>
      </c>
      <c r="H66" s="421">
        <v>0</v>
      </c>
      <c r="I66" s="421">
        <v>0</v>
      </c>
      <c r="J66" s="421">
        <v>0</v>
      </c>
      <c r="K66" s="421">
        <v>0</v>
      </c>
      <c r="L66" s="421">
        <v>0</v>
      </c>
      <c r="M66" s="421">
        <v>0</v>
      </c>
      <c r="N66" s="421">
        <v>0</v>
      </c>
      <c r="O66" s="421">
        <v>0</v>
      </c>
      <c r="P66" s="421">
        <v>0</v>
      </c>
      <c r="Q66" s="421">
        <v>0</v>
      </c>
      <c r="R66" s="421">
        <v>0</v>
      </c>
      <c r="S66" s="429">
        <v>26.049118510780101</v>
      </c>
      <c r="T66" s="412"/>
    </row>
    <row r="67" spans="2:20" ht="13.5">
      <c r="B67" s="412"/>
      <c r="C67" s="428" t="s">
        <v>75</v>
      </c>
      <c r="D67" s="421">
        <v>11.7867587890625</v>
      </c>
      <c r="E67" s="421">
        <v>0</v>
      </c>
      <c r="F67" s="421">
        <v>19.839035858468499</v>
      </c>
      <c r="G67" s="421">
        <v>5.6611272323194504</v>
      </c>
      <c r="H67" s="421">
        <v>0</v>
      </c>
      <c r="I67" s="421">
        <v>0</v>
      </c>
      <c r="J67" s="421">
        <v>0</v>
      </c>
      <c r="K67" s="421">
        <v>0</v>
      </c>
      <c r="L67" s="421">
        <v>0</v>
      </c>
      <c r="M67" s="421">
        <v>0.115533208822846</v>
      </c>
      <c r="N67" s="421">
        <v>0</v>
      </c>
      <c r="O67" s="421">
        <v>0</v>
      </c>
      <c r="P67" s="421">
        <v>36.2791467848308</v>
      </c>
      <c r="Q67" s="421">
        <v>0</v>
      </c>
      <c r="R67" s="421">
        <v>0</v>
      </c>
      <c r="S67" s="429">
        <v>73.681601873504107</v>
      </c>
      <c r="T67" s="412"/>
    </row>
    <row r="68" spans="2:20" ht="13.5">
      <c r="B68" s="412"/>
      <c r="C68" s="428" t="s">
        <v>76</v>
      </c>
      <c r="D68" s="421">
        <v>0</v>
      </c>
      <c r="E68" s="421">
        <v>0</v>
      </c>
      <c r="F68" s="421">
        <v>0</v>
      </c>
      <c r="G68" s="421">
        <v>4.3620387411113803</v>
      </c>
      <c r="H68" s="421">
        <v>0</v>
      </c>
      <c r="I68" s="421">
        <v>0</v>
      </c>
      <c r="J68" s="421">
        <v>0</v>
      </c>
      <c r="K68" s="421">
        <v>0</v>
      </c>
      <c r="L68" s="421">
        <v>0</v>
      </c>
      <c r="M68" s="421">
        <v>8.9021198798191495E-2</v>
      </c>
      <c r="N68" s="421">
        <v>0</v>
      </c>
      <c r="O68" s="421">
        <v>0</v>
      </c>
      <c r="P68" s="421">
        <v>38.595168674011603</v>
      </c>
      <c r="Q68" s="421">
        <v>3.3660911332047201</v>
      </c>
      <c r="R68" s="421">
        <v>0</v>
      </c>
      <c r="S68" s="429">
        <v>46.412319747125899</v>
      </c>
      <c r="T68" s="412"/>
    </row>
    <row r="69" spans="2:20" ht="13.5">
      <c r="B69" s="412"/>
      <c r="C69" s="424" t="s">
        <v>77</v>
      </c>
      <c r="D69" s="425">
        <v>33.933793465904003</v>
      </c>
      <c r="E69" s="425">
        <v>563.28274311684004</v>
      </c>
      <c r="F69" s="425">
        <v>-527.51901459125304</v>
      </c>
      <c r="G69" s="425">
        <v>49.978617406056898</v>
      </c>
      <c r="H69" s="425">
        <v>1190.9090909090901</v>
      </c>
      <c r="I69" s="425">
        <v>150.68799999999999</v>
      </c>
      <c r="J69" s="425">
        <v>95.150757659726096</v>
      </c>
      <c r="K69" s="425">
        <v>21.973589613214099</v>
      </c>
      <c r="L69" s="425">
        <v>-42.170129990919797</v>
      </c>
      <c r="M69" s="425">
        <v>-6.4874826481837298</v>
      </c>
      <c r="N69" s="425">
        <v>0</v>
      </c>
      <c r="O69" s="425">
        <v>2.3954921223483301</v>
      </c>
      <c r="P69" s="425">
        <v>-492.73332430771001</v>
      </c>
      <c r="Q69" s="425">
        <v>-40.072513490532302</v>
      </c>
      <c r="R69" s="425">
        <v>-0.269322937011719</v>
      </c>
      <c r="S69" s="425">
        <v>999.06029632756997</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7.7428555069809004</v>
      </c>
      <c r="E71" s="421">
        <v>0</v>
      </c>
      <c r="F71" s="421">
        <v>27.508268593652101</v>
      </c>
      <c r="G71" s="421">
        <v>110.739014151216</v>
      </c>
      <c r="H71" s="421">
        <v>0</v>
      </c>
      <c r="I71" s="421">
        <v>0</v>
      </c>
      <c r="J71" s="421">
        <v>18.465977371058798</v>
      </c>
      <c r="K71" s="421">
        <v>4.1133349512063502</v>
      </c>
      <c r="L71" s="421">
        <v>0.88399341210937499</v>
      </c>
      <c r="M71" s="421">
        <v>2.2599798806370699</v>
      </c>
      <c r="N71" s="421">
        <v>0</v>
      </c>
      <c r="O71" s="421">
        <v>0</v>
      </c>
      <c r="P71" s="421">
        <v>107.066437049081</v>
      </c>
      <c r="Q71" s="421">
        <v>18.5660448445831</v>
      </c>
      <c r="R71" s="421">
        <v>0.269322937011719</v>
      </c>
      <c r="S71" s="429">
        <v>297.61522869753702</v>
      </c>
      <c r="T71" s="412"/>
    </row>
    <row r="72" spans="2:20" ht="13.5">
      <c r="B72" s="412"/>
      <c r="C72" s="428" t="s">
        <v>79</v>
      </c>
      <c r="D72" s="421">
        <v>0</v>
      </c>
      <c r="E72" s="421">
        <v>0</v>
      </c>
      <c r="F72" s="421">
        <v>384.408288039186</v>
      </c>
      <c r="G72" s="421">
        <v>6.57358039629678</v>
      </c>
      <c r="H72" s="421">
        <v>0</v>
      </c>
      <c r="I72" s="421">
        <v>0</v>
      </c>
      <c r="J72" s="421">
        <v>0</v>
      </c>
      <c r="K72" s="421">
        <v>0</v>
      </c>
      <c r="L72" s="421">
        <v>38.437863989696801</v>
      </c>
      <c r="M72" s="421">
        <v>0.13415470196524101</v>
      </c>
      <c r="N72" s="421">
        <v>0</v>
      </c>
      <c r="O72" s="421">
        <v>0</v>
      </c>
      <c r="P72" s="421">
        <v>17.457157002657102</v>
      </c>
      <c r="Q72" s="421">
        <v>0</v>
      </c>
      <c r="R72" s="421">
        <v>0</v>
      </c>
      <c r="S72" s="429">
        <v>447.01104412980197</v>
      </c>
      <c r="T72" s="412"/>
    </row>
    <row r="73" spans="2:20" ht="13.5">
      <c r="B73" s="412"/>
      <c r="C73" s="428" t="s">
        <v>80</v>
      </c>
      <c r="D73" s="421">
        <v>0</v>
      </c>
      <c r="E73" s="421">
        <v>0</v>
      </c>
      <c r="F73" s="421">
        <v>41.330383982032899</v>
      </c>
      <c r="G73" s="421">
        <v>129.49851397129601</v>
      </c>
      <c r="H73" s="421">
        <v>0</v>
      </c>
      <c r="I73" s="421">
        <v>0</v>
      </c>
      <c r="J73" s="421">
        <v>74.486996634240697</v>
      </c>
      <c r="K73" s="421">
        <v>0</v>
      </c>
      <c r="L73" s="421">
        <v>0</v>
      </c>
      <c r="M73" s="421">
        <v>2.6428268157407402</v>
      </c>
      <c r="N73" s="421">
        <v>32.878057830208398</v>
      </c>
      <c r="O73" s="421">
        <v>0.55181999653465397</v>
      </c>
      <c r="P73" s="421">
        <v>166.361902820984</v>
      </c>
      <c r="Q73" s="421">
        <v>16.154300000665899</v>
      </c>
      <c r="R73" s="421">
        <v>0</v>
      </c>
      <c r="S73" s="429">
        <v>463.90480205170297</v>
      </c>
      <c r="T73" s="412"/>
    </row>
    <row r="74" spans="2:20" ht="13.5">
      <c r="B74" s="412"/>
      <c r="C74" s="428" t="s">
        <v>81</v>
      </c>
      <c r="D74" s="421">
        <v>0</v>
      </c>
      <c r="E74" s="421">
        <v>0</v>
      </c>
      <c r="F74" s="421">
        <v>21.059073464779701</v>
      </c>
      <c r="G74" s="421">
        <v>68.165042900995104</v>
      </c>
      <c r="H74" s="421">
        <v>0</v>
      </c>
      <c r="I74" s="421">
        <v>0</v>
      </c>
      <c r="J74" s="421">
        <v>4.0172655181176102</v>
      </c>
      <c r="K74" s="421">
        <v>0</v>
      </c>
      <c r="L74" s="421">
        <v>0</v>
      </c>
      <c r="M74" s="421">
        <v>1.3911233245101</v>
      </c>
      <c r="N74" s="421">
        <v>5.9468887963316002</v>
      </c>
      <c r="O74" s="421">
        <v>0.94568785539262001</v>
      </c>
      <c r="P74" s="421">
        <v>129.457157945034</v>
      </c>
      <c r="Q74" s="421">
        <v>5.3521686452833004</v>
      </c>
      <c r="R74" s="421">
        <v>0</v>
      </c>
      <c r="S74" s="429">
        <v>236.33440845044399</v>
      </c>
      <c r="T74" s="412"/>
    </row>
    <row r="75" spans="2:20" ht="13.5">
      <c r="B75" s="412"/>
      <c r="C75" s="428" t="s">
        <v>82</v>
      </c>
      <c r="D75" s="421">
        <v>0</v>
      </c>
      <c r="E75" s="421">
        <v>0</v>
      </c>
      <c r="F75" s="421">
        <v>32.092515391018601</v>
      </c>
      <c r="G75" s="421">
        <v>2.9104983411987502</v>
      </c>
      <c r="H75" s="421">
        <v>0</v>
      </c>
      <c r="I75" s="421">
        <v>0</v>
      </c>
      <c r="J75" s="421">
        <v>0.43862537304169502</v>
      </c>
      <c r="K75" s="421">
        <v>0</v>
      </c>
      <c r="L75" s="421">
        <v>2.0283864026893799</v>
      </c>
      <c r="M75" s="421">
        <v>5.9397925330586701E-2</v>
      </c>
      <c r="N75" s="421">
        <v>0</v>
      </c>
      <c r="O75" s="421">
        <v>9.0201671928645602E-2</v>
      </c>
      <c r="P75" s="421">
        <v>8.3532983207182703</v>
      </c>
      <c r="Q75" s="421">
        <v>0</v>
      </c>
      <c r="R75" s="421">
        <v>0</v>
      </c>
      <c r="S75" s="429">
        <v>45.972923425925998</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7.7428555069809004</v>
      </c>
      <c r="E77" s="425">
        <v>0</v>
      </c>
      <c r="F77" s="425">
        <v>506.39852947066902</v>
      </c>
      <c r="G77" s="425">
        <v>317.88664976100301</v>
      </c>
      <c r="H77" s="425">
        <v>0</v>
      </c>
      <c r="I77" s="425">
        <v>0</v>
      </c>
      <c r="J77" s="425">
        <v>97.408864896458795</v>
      </c>
      <c r="K77" s="425">
        <v>4.1133349512063502</v>
      </c>
      <c r="L77" s="425">
        <v>41.350243804495598</v>
      </c>
      <c r="M77" s="425">
        <v>6.4874826481837404</v>
      </c>
      <c r="N77" s="425">
        <v>38.824946626539997</v>
      </c>
      <c r="O77" s="425">
        <v>1.58770952385592</v>
      </c>
      <c r="P77" s="425">
        <v>428.69595313847498</v>
      </c>
      <c r="Q77" s="425">
        <v>40.072513490532401</v>
      </c>
      <c r="R77" s="425">
        <v>0.269322937011719</v>
      </c>
      <c r="S77" s="425">
        <v>1490.83840675541</v>
      </c>
      <c r="T77" s="412"/>
    </row>
    <row r="78" spans="2:20" ht="13.5">
      <c r="B78" s="412"/>
      <c r="C78" s="420" t="s">
        <v>84</v>
      </c>
      <c r="D78" s="421">
        <v>2.67990844726563</v>
      </c>
      <c r="E78" s="421">
        <v>0</v>
      </c>
      <c r="F78" s="421">
        <v>138.282143365259</v>
      </c>
      <c r="G78" s="421">
        <v>12.6136469236283</v>
      </c>
      <c r="H78" s="421">
        <v>0</v>
      </c>
      <c r="I78" s="421">
        <v>0</v>
      </c>
      <c r="J78" s="421">
        <v>0</v>
      </c>
      <c r="K78" s="421">
        <v>0</v>
      </c>
      <c r="L78" s="421">
        <v>0</v>
      </c>
      <c r="M78" s="421">
        <v>0</v>
      </c>
      <c r="N78" s="421">
        <v>0</v>
      </c>
      <c r="O78" s="421">
        <v>0</v>
      </c>
      <c r="P78" s="421">
        <v>0</v>
      </c>
      <c r="Q78" s="421">
        <v>0</v>
      </c>
      <c r="R78" s="421">
        <v>0</v>
      </c>
      <c r="S78" s="429">
        <v>153.57569873615299</v>
      </c>
      <c r="T78" s="412"/>
    </row>
    <row r="79" spans="2:20" ht="13.5">
      <c r="B79" s="412"/>
      <c r="C79" s="424" t="s">
        <v>85</v>
      </c>
      <c r="D79" s="425">
        <v>10.4227639542465</v>
      </c>
      <c r="E79" s="425">
        <v>0</v>
      </c>
      <c r="F79" s="425">
        <v>644.68067283592802</v>
      </c>
      <c r="G79" s="425">
        <v>330.500296684631</v>
      </c>
      <c r="H79" s="425">
        <v>0</v>
      </c>
      <c r="I79" s="425">
        <v>0</v>
      </c>
      <c r="J79" s="425">
        <v>97.408864896458795</v>
      </c>
      <c r="K79" s="425">
        <v>4.1133349512063502</v>
      </c>
      <c r="L79" s="425">
        <v>41.350243804495598</v>
      </c>
      <c r="M79" s="425">
        <v>6.4874826481837404</v>
      </c>
      <c r="N79" s="425">
        <v>38.824946626539997</v>
      </c>
      <c r="O79" s="425">
        <v>1.58770952385592</v>
      </c>
      <c r="P79" s="425">
        <v>428.69595313847498</v>
      </c>
      <c r="Q79" s="425">
        <v>40.072513490532302</v>
      </c>
      <c r="R79" s="425">
        <v>0.269322937011719</v>
      </c>
      <c r="S79" s="425">
        <v>1644.4141054915699</v>
      </c>
      <c r="T79" s="412"/>
    </row>
    <row r="80" spans="2:20">
      <c r="B80" s="412"/>
      <c r="C80" s="412"/>
      <c r="D80" s="430">
        <f t="shared" ref="D80:S80" si="1">D79+D69-D55</f>
        <v>-9.9475983006414026E-14</v>
      </c>
      <c r="E80" s="430">
        <f t="shared" si="1"/>
        <v>0</v>
      </c>
      <c r="F80" s="430">
        <f t="shared" si="1"/>
        <v>0</v>
      </c>
      <c r="G80" s="430">
        <f t="shared" si="1"/>
        <v>0</v>
      </c>
      <c r="H80" s="430">
        <f t="shared" si="1"/>
        <v>0</v>
      </c>
      <c r="I80" s="430">
        <f t="shared" si="1"/>
        <v>0</v>
      </c>
      <c r="J80" s="430">
        <f t="shared" si="1"/>
        <v>0</v>
      </c>
      <c r="K80" s="430">
        <f t="shared" si="1"/>
        <v>-4.9737991503207013E-14</v>
      </c>
      <c r="L80" s="430">
        <f t="shared" si="1"/>
        <v>7.6938455606523348E-14</v>
      </c>
      <c r="M80" s="430">
        <f t="shared" si="1"/>
        <v>1.0658141036401503E-14</v>
      </c>
      <c r="N80" s="430">
        <f t="shared" si="1"/>
        <v>0</v>
      </c>
      <c r="O80" s="430">
        <f t="shared" si="1"/>
        <v>0</v>
      </c>
      <c r="P80" s="430">
        <f t="shared" si="1"/>
        <v>-4.2632564145606011E-13</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359</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9.7691999999999997</v>
      </c>
      <c r="F86" s="421">
        <v>0</v>
      </c>
      <c r="G86" s="421">
        <v>0.18608</v>
      </c>
      <c r="H86" s="422">
        <v>1190.9090909090901</v>
      </c>
      <c r="I86" s="422">
        <v>170.08</v>
      </c>
      <c r="J86" s="422">
        <v>186.15630231182601</v>
      </c>
      <c r="K86" s="422">
        <v>24.974953825182599</v>
      </c>
      <c r="L86" s="421">
        <v>0</v>
      </c>
      <c r="M86" s="421">
        <v>0</v>
      </c>
      <c r="N86" s="422">
        <v>43.871249036200602</v>
      </c>
      <c r="O86" s="422">
        <v>4.0793508751074903</v>
      </c>
      <c r="P86" s="421">
        <v>0</v>
      </c>
      <c r="Q86" s="421">
        <v>0</v>
      </c>
      <c r="R86" s="421">
        <v>0</v>
      </c>
      <c r="S86" s="423">
        <v>1630.02622695741</v>
      </c>
      <c r="T86" s="412"/>
    </row>
    <row r="87" spans="2:20" ht="13.5">
      <c r="B87" s="412"/>
      <c r="C87" s="420" t="s">
        <v>60</v>
      </c>
      <c r="D87" s="421">
        <v>40.055895368373001</v>
      </c>
      <c r="E87" s="421">
        <v>541.69545178681904</v>
      </c>
      <c r="F87" s="421">
        <v>171.988032744695</v>
      </c>
      <c r="G87" s="421">
        <v>372.78103647712499</v>
      </c>
      <c r="H87" s="421">
        <v>0</v>
      </c>
      <c r="I87" s="421">
        <v>0</v>
      </c>
      <c r="J87" s="421">
        <v>0</v>
      </c>
      <c r="K87" s="421">
        <v>0</v>
      </c>
      <c r="L87" s="421">
        <v>0</v>
      </c>
      <c r="M87" s="421">
        <v>0</v>
      </c>
      <c r="N87" s="421">
        <v>0</v>
      </c>
      <c r="O87" s="421">
        <v>0</v>
      </c>
      <c r="P87" s="421">
        <v>0</v>
      </c>
      <c r="Q87" s="421">
        <v>0</v>
      </c>
      <c r="R87" s="421">
        <v>0</v>
      </c>
      <c r="S87" s="423">
        <v>1126.52041637701</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-73.437247589053598</v>
      </c>
      <c r="Q88" s="421">
        <v>0</v>
      </c>
      <c r="R88" s="421">
        <v>0</v>
      </c>
      <c r="S88" s="423">
        <v>-73.437247589053598</v>
      </c>
      <c r="T88" s="412"/>
    </row>
    <row r="89" spans="2:20" ht="13.5">
      <c r="B89" s="412"/>
      <c r="C89" s="420" t="s">
        <v>62</v>
      </c>
      <c r="D89" s="421">
        <v>0</v>
      </c>
      <c r="E89" s="421">
        <v>0</v>
      </c>
      <c r="F89" s="421">
        <v>-17.070412052753898</v>
      </c>
      <c r="G89" s="421">
        <v>0</v>
      </c>
      <c r="H89" s="421">
        <v>0</v>
      </c>
      <c r="I89" s="421">
        <v>0</v>
      </c>
      <c r="J89" s="421">
        <v>0</v>
      </c>
      <c r="K89" s="421">
        <v>0</v>
      </c>
      <c r="L89" s="421">
        <v>0</v>
      </c>
      <c r="M89" s="421">
        <v>0</v>
      </c>
      <c r="N89" s="421">
        <v>0</v>
      </c>
      <c r="O89" s="421">
        <v>0</v>
      </c>
      <c r="P89" s="421">
        <v>0</v>
      </c>
      <c r="Q89" s="421">
        <v>0</v>
      </c>
      <c r="R89" s="421">
        <v>0</v>
      </c>
      <c r="S89" s="423">
        <v>-17.070412052753898</v>
      </c>
      <c r="T89" s="412"/>
    </row>
    <row r="90" spans="2:20" ht="13.5">
      <c r="B90" s="412"/>
      <c r="C90" s="420" t="s">
        <v>63</v>
      </c>
      <c r="D90" s="421">
        <v>0</v>
      </c>
      <c r="E90" s="421">
        <v>0</v>
      </c>
      <c r="F90" s="421">
        <v>-79.938484984822097</v>
      </c>
      <c r="G90" s="421">
        <v>0</v>
      </c>
      <c r="H90" s="421">
        <v>0</v>
      </c>
      <c r="I90" s="421">
        <v>0</v>
      </c>
      <c r="J90" s="421">
        <v>0</v>
      </c>
      <c r="K90" s="421">
        <v>0</v>
      </c>
      <c r="L90" s="421">
        <v>-0.82674452547362898</v>
      </c>
      <c r="M90" s="421">
        <v>0</v>
      </c>
      <c r="N90" s="421">
        <v>0</v>
      </c>
      <c r="O90" s="421">
        <v>0</v>
      </c>
      <c r="P90" s="421">
        <v>0</v>
      </c>
      <c r="Q90" s="421">
        <v>0</v>
      </c>
      <c r="R90" s="421">
        <v>0</v>
      </c>
      <c r="S90" s="423">
        <v>-80.765229510295697</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40.055895368373001</v>
      </c>
      <c r="E92" s="425">
        <v>551.46465178681899</v>
      </c>
      <c r="F92" s="425">
        <v>74.979135707119397</v>
      </c>
      <c r="G92" s="425">
        <v>372.96711647712499</v>
      </c>
      <c r="H92" s="425">
        <v>1190.9090909090901</v>
      </c>
      <c r="I92" s="425">
        <v>170.08</v>
      </c>
      <c r="J92" s="425">
        <v>186.15630231182601</v>
      </c>
      <c r="K92" s="425">
        <v>24.974953825182599</v>
      </c>
      <c r="L92" s="425">
        <v>-0.82674452547362898</v>
      </c>
      <c r="M92" s="425">
        <v>0</v>
      </c>
      <c r="N92" s="425">
        <v>43.871249036200602</v>
      </c>
      <c r="O92" s="425">
        <v>4.0793508751074903</v>
      </c>
      <c r="P92" s="425">
        <v>-73.437247589053598</v>
      </c>
      <c r="Q92" s="425">
        <v>0</v>
      </c>
      <c r="R92" s="425">
        <v>0</v>
      </c>
      <c r="S92" s="425">
        <v>2585.2737541823199</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19.544561216829301</v>
      </c>
      <c r="H95" s="421">
        <v>1190.9090909090901</v>
      </c>
      <c r="I95" s="421">
        <v>170.08</v>
      </c>
      <c r="J95" s="421">
        <v>28.040540215902201</v>
      </c>
      <c r="K95" s="421">
        <v>7.7727848860172202</v>
      </c>
      <c r="L95" s="421">
        <v>0</v>
      </c>
      <c r="M95" s="421">
        <v>0.39886859626182303</v>
      </c>
      <c r="N95" s="421">
        <v>0</v>
      </c>
      <c r="O95" s="421">
        <v>0</v>
      </c>
      <c r="P95" s="421">
        <v>-586.289338958695</v>
      </c>
      <c r="Q95" s="421">
        <v>0</v>
      </c>
      <c r="R95" s="421">
        <v>0</v>
      </c>
      <c r="S95" s="429">
        <v>836.52061396460897</v>
      </c>
      <c r="T95" s="412"/>
    </row>
    <row r="96" spans="2:20" ht="13.5">
      <c r="B96" s="412"/>
      <c r="C96" s="428" t="s">
        <v>351</v>
      </c>
      <c r="D96" s="421">
        <v>4.9396474947490797E-2</v>
      </c>
      <c r="E96" s="421">
        <v>0</v>
      </c>
      <c r="F96" s="421">
        <v>0</v>
      </c>
      <c r="G96" s="421">
        <v>17.665254513296698</v>
      </c>
      <c r="H96" s="421">
        <v>0</v>
      </c>
      <c r="I96" s="421">
        <v>0</v>
      </c>
      <c r="J96" s="421">
        <v>13.597483560150501</v>
      </c>
      <c r="K96" s="421">
        <v>12.973950708076901</v>
      </c>
      <c r="L96" s="421">
        <v>0</v>
      </c>
      <c r="M96" s="421">
        <v>0.36051539823054402</v>
      </c>
      <c r="N96" s="421">
        <v>0</v>
      </c>
      <c r="O96" s="421">
        <v>2.3125206785732901</v>
      </c>
      <c r="P96" s="421">
        <v>0</v>
      </c>
      <c r="Q96" s="421">
        <v>-42.110083349928601</v>
      </c>
      <c r="R96" s="421">
        <v>0</v>
      </c>
      <c r="S96" s="429">
        <v>4.84903798334678</v>
      </c>
      <c r="T96" s="412"/>
    </row>
    <row r="97" spans="2:20" ht="13.5">
      <c r="B97" s="412"/>
      <c r="C97" s="428" t="s">
        <v>352</v>
      </c>
      <c r="D97" s="421">
        <v>0</v>
      </c>
      <c r="E97" s="421">
        <v>0</v>
      </c>
      <c r="F97" s="421">
        <v>0</v>
      </c>
      <c r="G97" s="421">
        <v>0</v>
      </c>
      <c r="H97" s="421">
        <v>0</v>
      </c>
      <c r="I97" s="421">
        <v>0</v>
      </c>
      <c r="J97" s="421">
        <v>8.2513049671567806</v>
      </c>
      <c r="K97" s="421">
        <v>0</v>
      </c>
      <c r="L97" s="421">
        <v>0</v>
      </c>
      <c r="M97" s="421">
        <v>-7.35397555197848</v>
      </c>
      <c r="N97" s="421">
        <v>0</v>
      </c>
      <c r="O97" s="421">
        <v>0</v>
      </c>
      <c r="P97" s="421">
        <v>0</v>
      </c>
      <c r="Q97" s="421">
        <v>0</v>
      </c>
      <c r="R97" s="421">
        <v>0</v>
      </c>
      <c r="S97" s="429">
        <v>0.897329415178301</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571.25876810153704</v>
      </c>
      <c r="F99" s="421">
        <v>-565.54618042052198</v>
      </c>
      <c r="G99" s="421">
        <v>0</v>
      </c>
      <c r="H99" s="421">
        <v>0</v>
      </c>
      <c r="I99" s="421">
        <v>0</v>
      </c>
      <c r="J99" s="421">
        <v>0</v>
      </c>
      <c r="K99" s="421">
        <v>0</v>
      </c>
      <c r="L99" s="421">
        <v>0</v>
      </c>
      <c r="M99" s="421">
        <v>0</v>
      </c>
      <c r="N99" s="421">
        <v>0</v>
      </c>
      <c r="O99" s="421">
        <v>0</v>
      </c>
      <c r="P99" s="421">
        <v>0</v>
      </c>
      <c r="Q99" s="421">
        <v>0</v>
      </c>
      <c r="R99" s="421">
        <v>0</v>
      </c>
      <c r="S99" s="429">
        <v>5.7125876810154104</v>
      </c>
      <c r="T99" s="412"/>
    </row>
    <row r="100" spans="2:20" ht="13.5">
      <c r="B100" s="412"/>
      <c r="C100" s="428" t="s">
        <v>354</v>
      </c>
      <c r="D100" s="421">
        <v>0</v>
      </c>
      <c r="E100" s="421">
        <v>0</v>
      </c>
      <c r="F100" s="421">
        <v>0</v>
      </c>
      <c r="G100" s="421">
        <v>0</v>
      </c>
      <c r="H100" s="421">
        <v>0</v>
      </c>
      <c r="I100" s="421">
        <v>0</v>
      </c>
      <c r="J100" s="421">
        <v>40.340137818349199</v>
      </c>
      <c r="K100" s="421">
        <v>0</v>
      </c>
      <c r="L100" s="421">
        <v>-40.340137818349199</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-0.12750106482601001</v>
      </c>
      <c r="M101" s="421">
        <v>0</v>
      </c>
      <c r="N101" s="421">
        <v>0</v>
      </c>
      <c r="O101" s="421">
        <v>0</v>
      </c>
      <c r="P101" s="421">
        <v>0</v>
      </c>
      <c r="Q101" s="421">
        <v>0</v>
      </c>
      <c r="R101" s="421">
        <v>0.182144378322872</v>
      </c>
      <c r="S101" s="429">
        <v>5.4643313496861502E-2</v>
      </c>
      <c r="T101" s="412"/>
    </row>
    <row r="102" spans="2:20" ht="13.5">
      <c r="B102" s="412"/>
      <c r="C102" s="428" t="s">
        <v>73</v>
      </c>
      <c r="D102" s="421">
        <v>0</v>
      </c>
      <c r="E102" s="421">
        <v>0</v>
      </c>
      <c r="F102" s="421">
        <v>0</v>
      </c>
      <c r="G102" s="421">
        <v>0.831376892645455</v>
      </c>
      <c r="H102" s="421">
        <v>0</v>
      </c>
      <c r="I102" s="421">
        <v>0</v>
      </c>
      <c r="J102" s="421">
        <v>0</v>
      </c>
      <c r="K102" s="421">
        <v>9.2613948472223297E-3</v>
      </c>
      <c r="L102" s="421">
        <v>0</v>
      </c>
      <c r="M102" s="421">
        <v>1.6966875360111301E-2</v>
      </c>
      <c r="N102" s="421">
        <v>0</v>
      </c>
      <c r="O102" s="421">
        <v>0</v>
      </c>
      <c r="P102" s="421">
        <v>7.3806192782479504E-2</v>
      </c>
      <c r="Q102" s="421">
        <v>0</v>
      </c>
      <c r="R102" s="421">
        <v>-0.64829763930556406</v>
      </c>
      <c r="S102" s="429">
        <v>0.283113716329704</v>
      </c>
      <c r="T102" s="412"/>
    </row>
    <row r="103" spans="2:20" ht="13.5">
      <c r="B103" s="412"/>
      <c r="C103" s="428" t="s">
        <v>356</v>
      </c>
      <c r="D103" s="421">
        <v>17.563290527343799</v>
      </c>
      <c r="E103" s="421">
        <v>-19.794116314718298</v>
      </c>
      <c r="F103" s="421">
        <v>25.889534996151301</v>
      </c>
      <c r="G103" s="421">
        <v>0</v>
      </c>
      <c r="H103" s="421">
        <v>0</v>
      </c>
      <c r="I103" s="421">
        <v>0</v>
      </c>
      <c r="J103" s="421">
        <v>0</v>
      </c>
      <c r="K103" s="421">
        <v>0</v>
      </c>
      <c r="L103" s="421">
        <v>0</v>
      </c>
      <c r="M103" s="421">
        <v>0</v>
      </c>
      <c r="N103" s="421">
        <v>0</v>
      </c>
      <c r="O103" s="421">
        <v>0</v>
      </c>
      <c r="P103" s="421">
        <v>0</v>
      </c>
      <c r="Q103" s="421">
        <v>0</v>
      </c>
      <c r="R103" s="421">
        <v>0</v>
      </c>
      <c r="S103" s="429">
        <v>23.658709208776799</v>
      </c>
      <c r="T103" s="412"/>
    </row>
    <row r="104" spans="2:20" ht="13.5">
      <c r="B104" s="412"/>
      <c r="C104" s="428" t="s">
        <v>75</v>
      </c>
      <c r="D104" s="421">
        <v>10.802251953124999</v>
      </c>
      <c r="E104" s="421">
        <v>0</v>
      </c>
      <c r="F104" s="421">
        <v>19.422798115452299</v>
      </c>
      <c r="G104" s="421">
        <v>5.5423525681211201</v>
      </c>
      <c r="H104" s="421">
        <v>0</v>
      </c>
      <c r="I104" s="421">
        <v>0</v>
      </c>
      <c r="J104" s="421">
        <v>0</v>
      </c>
      <c r="K104" s="421">
        <v>0</v>
      </c>
      <c r="L104" s="421">
        <v>0</v>
      </c>
      <c r="M104" s="421">
        <v>0.113109236084104</v>
      </c>
      <c r="N104" s="421">
        <v>0</v>
      </c>
      <c r="O104" s="421">
        <v>0</v>
      </c>
      <c r="P104" s="421">
        <v>36.242285129753</v>
      </c>
      <c r="Q104" s="421">
        <v>0</v>
      </c>
      <c r="R104" s="421">
        <v>0</v>
      </c>
      <c r="S104" s="429">
        <v>72.122797002535407</v>
      </c>
      <c r="T104" s="412"/>
    </row>
    <row r="105" spans="2:20" ht="13.5">
      <c r="B105" s="412"/>
      <c r="C105" s="428" t="s">
        <v>76</v>
      </c>
      <c r="D105" s="421">
        <v>0</v>
      </c>
      <c r="E105" s="421">
        <v>0</v>
      </c>
      <c r="F105" s="421">
        <v>0</v>
      </c>
      <c r="G105" s="421">
        <v>4.2728632653787999</v>
      </c>
      <c r="H105" s="421">
        <v>0</v>
      </c>
      <c r="I105" s="421">
        <v>0</v>
      </c>
      <c r="J105" s="421">
        <v>0</v>
      </c>
      <c r="K105" s="421">
        <v>0</v>
      </c>
      <c r="L105" s="421">
        <v>0</v>
      </c>
      <c r="M105" s="421">
        <v>8.7201291130179603E-2</v>
      </c>
      <c r="N105" s="421">
        <v>0</v>
      </c>
      <c r="O105" s="421">
        <v>0</v>
      </c>
      <c r="P105" s="421">
        <v>39.304453909215397</v>
      </c>
      <c r="Q105" s="421">
        <v>3.26314299021587</v>
      </c>
      <c r="R105" s="421">
        <v>0</v>
      </c>
      <c r="S105" s="429">
        <v>46.927661455940203</v>
      </c>
      <c r="T105" s="412"/>
    </row>
    <row r="106" spans="2:20" ht="13.5">
      <c r="B106" s="412"/>
      <c r="C106" s="424" t="s">
        <v>77</v>
      </c>
      <c r="D106" s="425">
        <v>30.615409690982801</v>
      </c>
      <c r="E106" s="425">
        <v>551.46465178681899</v>
      </c>
      <c r="F106" s="425">
        <v>-516.370210945282</v>
      </c>
      <c r="G106" s="425">
        <v>47.856408456271403</v>
      </c>
      <c r="H106" s="425">
        <v>1190.9090909090901</v>
      </c>
      <c r="I106" s="425">
        <v>170.08</v>
      </c>
      <c r="J106" s="425">
        <v>90.229466561558695</v>
      </c>
      <c r="K106" s="425">
        <v>20.755996988941401</v>
      </c>
      <c r="L106" s="425">
        <v>-40.467638883175198</v>
      </c>
      <c r="M106" s="425">
        <v>-6.37731415491172</v>
      </c>
      <c r="N106" s="425">
        <v>0</v>
      </c>
      <c r="O106" s="425">
        <v>2.3125206785732901</v>
      </c>
      <c r="P106" s="425">
        <v>-510.66879372694501</v>
      </c>
      <c r="Q106" s="425">
        <v>-38.846940359712697</v>
      </c>
      <c r="R106" s="425">
        <v>-0.466153260982692</v>
      </c>
      <c r="S106" s="425">
        <v>991.02649374122802</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6.9572827965307997</v>
      </c>
      <c r="E108" s="421">
        <v>0</v>
      </c>
      <c r="F108" s="421">
        <v>25.896684663228299</v>
      </c>
      <c r="G108" s="421">
        <v>106.26458392294199</v>
      </c>
      <c r="H108" s="421">
        <v>0</v>
      </c>
      <c r="I108" s="421">
        <v>0</v>
      </c>
      <c r="J108" s="421">
        <v>17.745142204637499</v>
      </c>
      <c r="K108" s="421">
        <v>4.2189568362411896</v>
      </c>
      <c r="L108" s="421">
        <v>0.87282323828124997</v>
      </c>
      <c r="M108" s="421">
        <v>2.1686649780192302</v>
      </c>
      <c r="N108" s="421">
        <v>0</v>
      </c>
      <c r="O108" s="421">
        <v>0</v>
      </c>
      <c r="P108" s="421">
        <v>105.29003362157</v>
      </c>
      <c r="Q108" s="421">
        <v>18.0750594681117</v>
      </c>
      <c r="R108" s="421">
        <v>0.25568812561035198</v>
      </c>
      <c r="S108" s="429">
        <v>287.74491985517301</v>
      </c>
      <c r="T108" s="412"/>
    </row>
    <row r="109" spans="2:20" ht="13.5">
      <c r="B109" s="412"/>
      <c r="C109" s="428" t="s">
        <v>79</v>
      </c>
      <c r="D109" s="421">
        <v>0</v>
      </c>
      <c r="E109" s="421">
        <v>0</v>
      </c>
      <c r="F109" s="421">
        <v>346.690942673081</v>
      </c>
      <c r="G109" s="421">
        <v>11.424554462604799</v>
      </c>
      <c r="H109" s="421">
        <v>0</v>
      </c>
      <c r="I109" s="421">
        <v>0</v>
      </c>
      <c r="J109" s="421">
        <v>0</v>
      </c>
      <c r="K109" s="421">
        <v>0</v>
      </c>
      <c r="L109" s="421">
        <v>34.925099911617998</v>
      </c>
      <c r="M109" s="421">
        <v>0.23315417270621999</v>
      </c>
      <c r="N109" s="421">
        <v>0</v>
      </c>
      <c r="O109" s="421">
        <v>0</v>
      </c>
      <c r="P109" s="421">
        <v>24.35299203193</v>
      </c>
      <c r="Q109" s="421">
        <v>0</v>
      </c>
      <c r="R109" s="421">
        <v>0.21046513537233999</v>
      </c>
      <c r="S109" s="429">
        <v>417.83720838731301</v>
      </c>
      <c r="T109" s="412"/>
    </row>
    <row r="110" spans="2:20" ht="13.5">
      <c r="B110" s="412"/>
      <c r="C110" s="428" t="s">
        <v>80</v>
      </c>
      <c r="D110" s="421">
        <v>0</v>
      </c>
      <c r="E110" s="421">
        <v>0</v>
      </c>
      <c r="F110" s="421">
        <v>35.491759921092701</v>
      </c>
      <c r="G110" s="421">
        <v>125.919726758168</v>
      </c>
      <c r="H110" s="421">
        <v>0</v>
      </c>
      <c r="I110" s="421">
        <v>0</v>
      </c>
      <c r="J110" s="421">
        <v>73.813414818534</v>
      </c>
      <c r="K110" s="421">
        <v>0</v>
      </c>
      <c r="L110" s="421">
        <v>0</v>
      </c>
      <c r="M110" s="421">
        <v>2.56979034200342</v>
      </c>
      <c r="N110" s="421">
        <v>37.3286750803004</v>
      </c>
      <c r="O110" s="421">
        <v>0.79885474759688602</v>
      </c>
      <c r="P110" s="421">
        <v>169.76247082548599</v>
      </c>
      <c r="Q110" s="421">
        <v>15.993012493150101</v>
      </c>
      <c r="R110" s="421">
        <v>0</v>
      </c>
      <c r="S110" s="429">
        <v>461.67770498633098</v>
      </c>
      <c r="T110" s="412"/>
    </row>
    <row r="111" spans="2:20" ht="13.5">
      <c r="B111" s="412"/>
      <c r="C111" s="428" t="s">
        <v>81</v>
      </c>
      <c r="D111" s="421">
        <v>0</v>
      </c>
      <c r="E111" s="421">
        <v>0</v>
      </c>
      <c r="F111" s="421">
        <v>16.1286772108141</v>
      </c>
      <c r="G111" s="421">
        <v>65.616209399755206</v>
      </c>
      <c r="H111" s="421">
        <v>0</v>
      </c>
      <c r="I111" s="421">
        <v>0</v>
      </c>
      <c r="J111" s="421">
        <v>3.7763192942950199</v>
      </c>
      <c r="K111" s="421">
        <v>0</v>
      </c>
      <c r="L111" s="421">
        <v>0</v>
      </c>
      <c r="M111" s="421">
        <v>1.33910631428072</v>
      </c>
      <c r="N111" s="421">
        <v>6.5425739559002496</v>
      </c>
      <c r="O111" s="421">
        <v>0.88133560718480697</v>
      </c>
      <c r="P111" s="421">
        <v>129.56623414657301</v>
      </c>
      <c r="Q111" s="421">
        <v>4.7788683984510296</v>
      </c>
      <c r="R111" s="421">
        <v>0</v>
      </c>
      <c r="S111" s="429">
        <v>228.62932432725401</v>
      </c>
      <c r="T111" s="412"/>
    </row>
    <row r="112" spans="2:20" ht="13.5">
      <c r="B112" s="412"/>
      <c r="C112" s="428" t="s">
        <v>82</v>
      </c>
      <c r="D112" s="421">
        <v>0</v>
      </c>
      <c r="E112" s="421">
        <v>0</v>
      </c>
      <c r="F112" s="421">
        <v>28.971780309740499</v>
      </c>
      <c r="G112" s="421">
        <v>3.2633190472043498</v>
      </c>
      <c r="H112" s="421">
        <v>0</v>
      </c>
      <c r="I112" s="421">
        <v>0</v>
      </c>
      <c r="J112" s="421">
        <v>0.59195943280110996</v>
      </c>
      <c r="K112" s="421">
        <v>0</v>
      </c>
      <c r="L112" s="421">
        <v>3.8429712078023499</v>
      </c>
      <c r="M112" s="421">
        <v>6.6598347902129498E-2</v>
      </c>
      <c r="N112" s="421">
        <v>0</v>
      </c>
      <c r="O112" s="421">
        <v>8.6639841752499502E-2</v>
      </c>
      <c r="P112" s="421">
        <v>8.2598155123323398</v>
      </c>
      <c r="Q112" s="421">
        <v>0</v>
      </c>
      <c r="R112" s="421">
        <v>0</v>
      </c>
      <c r="S112" s="429">
        <v>45.083083699535301</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6.9572827965307997</v>
      </c>
      <c r="E114" s="425">
        <v>0</v>
      </c>
      <c r="F114" s="425">
        <v>453.17984477795699</v>
      </c>
      <c r="G114" s="425">
        <v>312.48839359067398</v>
      </c>
      <c r="H114" s="425">
        <v>0</v>
      </c>
      <c r="I114" s="425">
        <v>0</v>
      </c>
      <c r="J114" s="425">
        <v>95.9268357502676</v>
      </c>
      <c r="K114" s="425">
        <v>4.2189568362411896</v>
      </c>
      <c r="L114" s="425">
        <v>39.640894357701598</v>
      </c>
      <c r="M114" s="425">
        <v>6.37731415491172</v>
      </c>
      <c r="N114" s="425">
        <v>43.871249036200602</v>
      </c>
      <c r="O114" s="425">
        <v>1.7668301965341899</v>
      </c>
      <c r="P114" s="425">
        <v>437.23154613789097</v>
      </c>
      <c r="Q114" s="425">
        <v>38.846940359712697</v>
      </c>
      <c r="R114" s="425">
        <v>0.466153260982692</v>
      </c>
      <c r="S114" s="425">
        <v>1440.97224125561</v>
      </c>
      <c r="T114" s="412"/>
    </row>
    <row r="115" spans="2:20" ht="13.5">
      <c r="B115" s="412"/>
      <c r="C115" s="420" t="s">
        <v>84</v>
      </c>
      <c r="D115" s="421">
        <v>2.48320288085938</v>
      </c>
      <c r="E115" s="421">
        <v>0</v>
      </c>
      <c r="F115" s="421">
        <v>138.16950187444499</v>
      </c>
      <c r="G115" s="421">
        <v>12.6223144301798</v>
      </c>
      <c r="H115" s="421">
        <v>0</v>
      </c>
      <c r="I115" s="421">
        <v>0</v>
      </c>
      <c r="J115" s="421">
        <v>0</v>
      </c>
      <c r="K115" s="421">
        <v>0</v>
      </c>
      <c r="L115" s="421">
        <v>0</v>
      </c>
      <c r="M115" s="421">
        <v>0</v>
      </c>
      <c r="N115" s="421">
        <v>0</v>
      </c>
      <c r="O115" s="421">
        <v>0</v>
      </c>
      <c r="P115" s="421">
        <v>0</v>
      </c>
      <c r="Q115" s="421">
        <v>0</v>
      </c>
      <c r="R115" s="421">
        <v>0</v>
      </c>
      <c r="S115" s="429">
        <v>153.27501918548401</v>
      </c>
      <c r="T115" s="412"/>
    </row>
    <row r="116" spans="2:20" ht="13.5">
      <c r="B116" s="412"/>
      <c r="C116" s="424" t="s">
        <v>85</v>
      </c>
      <c r="D116" s="425">
        <v>9.4404856773901802</v>
      </c>
      <c r="E116" s="425">
        <v>0</v>
      </c>
      <c r="F116" s="425">
        <v>591.34934665240098</v>
      </c>
      <c r="G116" s="425">
        <v>325.11070802085402</v>
      </c>
      <c r="H116" s="425">
        <v>0</v>
      </c>
      <c r="I116" s="425">
        <v>0</v>
      </c>
      <c r="J116" s="425">
        <v>95.9268357502676</v>
      </c>
      <c r="K116" s="425">
        <v>4.2189568362411896</v>
      </c>
      <c r="L116" s="425">
        <v>39.640894357701598</v>
      </c>
      <c r="M116" s="425">
        <v>6.37731415491172</v>
      </c>
      <c r="N116" s="425">
        <v>43.871249036200602</v>
      </c>
      <c r="O116" s="425">
        <v>1.7668301965341899</v>
      </c>
      <c r="P116" s="425">
        <v>437.23154613789097</v>
      </c>
      <c r="Q116" s="425">
        <v>38.846940359712697</v>
      </c>
      <c r="R116" s="425">
        <v>0.466153260982692</v>
      </c>
      <c r="S116" s="425">
        <v>1594.24726044109</v>
      </c>
      <c r="T116" s="412"/>
    </row>
    <row r="117" spans="2:20">
      <c r="B117" s="412"/>
      <c r="C117" s="412"/>
      <c r="D117" s="430">
        <f t="shared" ref="D117:S117" si="2">D116+D106-D92</f>
        <v>0</v>
      </c>
      <c r="E117" s="430">
        <f t="shared" si="2"/>
        <v>0</v>
      </c>
      <c r="F117" s="430">
        <f t="shared" si="2"/>
        <v>-4.1211478674085811E-13</v>
      </c>
      <c r="G117" s="430">
        <f t="shared" si="2"/>
        <v>4.5474735088646412E-13</v>
      </c>
      <c r="H117" s="430">
        <f t="shared" si="2"/>
        <v>0</v>
      </c>
      <c r="I117" s="430">
        <f t="shared" si="2"/>
        <v>0</v>
      </c>
      <c r="J117" s="430">
        <f t="shared" si="2"/>
        <v>2.8421709430404007E-13</v>
      </c>
      <c r="K117" s="430">
        <f t="shared" si="2"/>
        <v>0</v>
      </c>
      <c r="L117" s="430">
        <f t="shared" si="2"/>
        <v>2.8643754035329039E-14</v>
      </c>
      <c r="M117" s="430">
        <f t="shared" si="2"/>
        <v>0</v>
      </c>
      <c r="N117" s="430">
        <f t="shared" si="2"/>
        <v>0</v>
      </c>
      <c r="O117" s="430">
        <f t="shared" si="2"/>
        <v>-1.0658141036401503E-14</v>
      </c>
      <c r="P117" s="430">
        <f t="shared" si="2"/>
        <v>-4.4053649617126212E-13</v>
      </c>
      <c r="Q117" s="430">
        <f t="shared" si="2"/>
        <v>0</v>
      </c>
      <c r="R117" s="430">
        <f t="shared" si="2"/>
        <v>0</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88</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9.7691999999999997</v>
      </c>
      <c r="F123" s="421">
        <v>0</v>
      </c>
      <c r="G123" s="421">
        <v>0.18608</v>
      </c>
      <c r="H123" s="422">
        <v>1190.9090909090901</v>
      </c>
      <c r="I123" s="422">
        <v>180.08</v>
      </c>
      <c r="J123" s="422">
        <v>182.69909167509101</v>
      </c>
      <c r="K123" s="422">
        <v>24.336304255308299</v>
      </c>
      <c r="L123" s="421">
        <v>0</v>
      </c>
      <c r="M123" s="421">
        <v>0</v>
      </c>
      <c r="N123" s="422">
        <v>47.404940243004702</v>
      </c>
      <c r="O123" s="422">
        <v>4.1431468389453903</v>
      </c>
      <c r="P123" s="421">
        <v>0</v>
      </c>
      <c r="Q123" s="421">
        <v>0</v>
      </c>
      <c r="R123" s="421">
        <v>0</v>
      </c>
      <c r="S123" s="423">
        <v>1639.5278539214401</v>
      </c>
      <c r="T123" s="412"/>
    </row>
    <row r="124" spans="2:20" ht="13.5">
      <c r="B124" s="412"/>
      <c r="C124" s="420" t="s">
        <v>60</v>
      </c>
      <c r="D124" s="421">
        <v>37.339422707782298</v>
      </c>
      <c r="E124" s="421">
        <v>533.81672423347197</v>
      </c>
      <c r="F124" s="421">
        <v>143.39659601628199</v>
      </c>
      <c r="G124" s="421">
        <v>370.50350222542198</v>
      </c>
      <c r="H124" s="421">
        <v>0</v>
      </c>
      <c r="I124" s="421">
        <v>0</v>
      </c>
      <c r="J124" s="421">
        <v>0</v>
      </c>
      <c r="K124" s="421">
        <v>0</v>
      </c>
      <c r="L124" s="421">
        <v>0</v>
      </c>
      <c r="M124" s="421">
        <v>0</v>
      </c>
      <c r="N124" s="421">
        <v>0</v>
      </c>
      <c r="O124" s="421">
        <v>0</v>
      </c>
      <c r="P124" s="421">
        <v>0</v>
      </c>
      <c r="Q124" s="421">
        <v>0</v>
      </c>
      <c r="R124" s="421">
        <v>0</v>
      </c>
      <c r="S124" s="423">
        <v>1085.0562451829601</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-78.290170277584906</v>
      </c>
      <c r="Q125" s="421">
        <v>0</v>
      </c>
      <c r="R125" s="421">
        <v>0</v>
      </c>
      <c r="S125" s="423">
        <v>-78.290170277584906</v>
      </c>
      <c r="T125" s="412"/>
    </row>
    <row r="126" spans="2:20" ht="13.5">
      <c r="B126" s="412"/>
      <c r="C126" s="420" t="s">
        <v>62</v>
      </c>
      <c r="D126" s="421">
        <v>0</v>
      </c>
      <c r="E126" s="421">
        <v>0</v>
      </c>
      <c r="F126" s="421">
        <v>-16.493151741791198</v>
      </c>
      <c r="G126" s="421">
        <v>0</v>
      </c>
      <c r="H126" s="421">
        <v>0</v>
      </c>
      <c r="I126" s="421">
        <v>0</v>
      </c>
      <c r="J126" s="421">
        <v>0</v>
      </c>
      <c r="K126" s="421">
        <v>0</v>
      </c>
      <c r="L126" s="421">
        <v>0</v>
      </c>
      <c r="M126" s="421">
        <v>0</v>
      </c>
      <c r="N126" s="421">
        <v>0</v>
      </c>
      <c r="O126" s="421">
        <v>0</v>
      </c>
      <c r="P126" s="421">
        <v>0</v>
      </c>
      <c r="Q126" s="421">
        <v>0</v>
      </c>
      <c r="R126" s="421">
        <v>0</v>
      </c>
      <c r="S126" s="423">
        <v>-16.493151741791198</v>
      </c>
      <c r="T126" s="412"/>
    </row>
    <row r="127" spans="2:20" ht="13.5">
      <c r="B127" s="412"/>
      <c r="C127" s="420" t="s">
        <v>63</v>
      </c>
      <c r="D127" s="421">
        <v>0</v>
      </c>
      <c r="E127" s="421">
        <v>0</v>
      </c>
      <c r="F127" s="421">
        <v>-80.524753863298102</v>
      </c>
      <c r="G127" s="421">
        <v>0</v>
      </c>
      <c r="H127" s="421">
        <v>0</v>
      </c>
      <c r="I127" s="421">
        <v>0</v>
      </c>
      <c r="J127" s="421">
        <v>0</v>
      </c>
      <c r="K127" s="421">
        <v>0</v>
      </c>
      <c r="L127" s="421">
        <v>-0.83268754501228504</v>
      </c>
      <c r="M127" s="421">
        <v>0</v>
      </c>
      <c r="N127" s="421">
        <v>0</v>
      </c>
      <c r="O127" s="421">
        <v>0</v>
      </c>
      <c r="P127" s="421">
        <v>0</v>
      </c>
      <c r="Q127" s="421">
        <v>0</v>
      </c>
      <c r="R127" s="421">
        <v>0</v>
      </c>
      <c r="S127" s="423">
        <v>-81.357441408310294</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37.339422707782298</v>
      </c>
      <c r="E129" s="425">
        <v>543.58592423347204</v>
      </c>
      <c r="F129" s="425">
        <v>46.378690411192402</v>
      </c>
      <c r="G129" s="425">
        <v>370.68958222542199</v>
      </c>
      <c r="H129" s="425">
        <v>1190.9090909090901</v>
      </c>
      <c r="I129" s="425">
        <v>180.08</v>
      </c>
      <c r="J129" s="425">
        <v>182.69909167509101</v>
      </c>
      <c r="K129" s="425">
        <v>24.336304255308299</v>
      </c>
      <c r="L129" s="425">
        <v>-0.83268754501228504</v>
      </c>
      <c r="M129" s="425">
        <v>0</v>
      </c>
      <c r="N129" s="425">
        <v>47.404940243004702</v>
      </c>
      <c r="O129" s="425">
        <v>4.1431468389453903</v>
      </c>
      <c r="P129" s="425">
        <v>-78.290170277584906</v>
      </c>
      <c r="Q129" s="425">
        <v>0</v>
      </c>
      <c r="R129" s="425">
        <v>0</v>
      </c>
      <c r="S129" s="425">
        <v>2548.4433356767099</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21.057260399703999</v>
      </c>
      <c r="H132" s="421">
        <v>1190.9090909090901</v>
      </c>
      <c r="I132" s="421">
        <v>180.08</v>
      </c>
      <c r="J132" s="421">
        <v>26.7962649198797</v>
      </c>
      <c r="K132" s="421">
        <v>7.2535340783692002</v>
      </c>
      <c r="L132" s="421">
        <v>0</v>
      </c>
      <c r="M132" s="421">
        <v>0.42974000815722502</v>
      </c>
      <c r="N132" s="421">
        <v>0</v>
      </c>
      <c r="O132" s="421">
        <v>0</v>
      </c>
      <c r="P132" s="421">
        <v>-597.29785022432395</v>
      </c>
      <c r="Q132" s="421">
        <v>0</v>
      </c>
      <c r="R132" s="421">
        <v>0</v>
      </c>
      <c r="S132" s="429">
        <v>835.29214719007996</v>
      </c>
      <c r="T132" s="412"/>
    </row>
    <row r="133" spans="2:20" ht="13.5">
      <c r="B133" s="412"/>
      <c r="C133" s="428" t="s">
        <v>351</v>
      </c>
      <c r="D133" s="421">
        <v>0</v>
      </c>
      <c r="E133" s="421">
        <v>0</v>
      </c>
      <c r="F133" s="421">
        <v>0</v>
      </c>
      <c r="G133" s="421">
        <v>17.2690006533789</v>
      </c>
      <c r="H133" s="421">
        <v>0</v>
      </c>
      <c r="I133" s="421">
        <v>0</v>
      </c>
      <c r="J133" s="421">
        <v>13.0699665611328</v>
      </c>
      <c r="K133" s="421">
        <v>12.782704302523401</v>
      </c>
      <c r="L133" s="421">
        <v>0</v>
      </c>
      <c r="M133" s="421">
        <v>0.35242858476283501</v>
      </c>
      <c r="N133" s="421">
        <v>0</v>
      </c>
      <c r="O133" s="421">
        <v>2.2569028606256798</v>
      </c>
      <c r="P133" s="421">
        <v>0</v>
      </c>
      <c r="Q133" s="421">
        <v>-41.219343799096599</v>
      </c>
      <c r="R133" s="421">
        <v>0</v>
      </c>
      <c r="S133" s="429">
        <v>4.5116591633269501</v>
      </c>
      <c r="T133" s="412"/>
    </row>
    <row r="134" spans="2:20" ht="13.5">
      <c r="B134" s="412"/>
      <c r="C134" s="428" t="s">
        <v>352</v>
      </c>
      <c r="D134" s="421">
        <v>0</v>
      </c>
      <c r="E134" s="421">
        <v>0</v>
      </c>
      <c r="F134" s="421">
        <v>0</v>
      </c>
      <c r="G134" s="421">
        <v>0</v>
      </c>
      <c r="H134" s="421">
        <v>0</v>
      </c>
      <c r="I134" s="421">
        <v>0</v>
      </c>
      <c r="J134" s="421">
        <v>8.3993143440742202</v>
      </c>
      <c r="K134" s="421">
        <v>0</v>
      </c>
      <c r="L134" s="421">
        <v>0</v>
      </c>
      <c r="M134" s="421">
        <v>-7.3074034793445701</v>
      </c>
      <c r="N134" s="421">
        <v>0</v>
      </c>
      <c r="O134" s="421">
        <v>0</v>
      </c>
      <c r="P134" s="421">
        <v>0</v>
      </c>
      <c r="Q134" s="421">
        <v>0</v>
      </c>
      <c r="R134" s="421">
        <v>0</v>
      </c>
      <c r="S134" s="429">
        <v>1.09191086472965</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563.09724372867004</v>
      </c>
      <c r="F136" s="421">
        <v>-557.46627129138403</v>
      </c>
      <c r="G136" s="421">
        <v>0</v>
      </c>
      <c r="H136" s="421">
        <v>0</v>
      </c>
      <c r="I136" s="421">
        <v>0</v>
      </c>
      <c r="J136" s="421">
        <v>0</v>
      </c>
      <c r="K136" s="421">
        <v>0</v>
      </c>
      <c r="L136" s="421">
        <v>0</v>
      </c>
      <c r="M136" s="421">
        <v>0</v>
      </c>
      <c r="N136" s="421">
        <v>0</v>
      </c>
      <c r="O136" s="421">
        <v>0</v>
      </c>
      <c r="P136" s="421">
        <v>0</v>
      </c>
      <c r="Q136" s="421">
        <v>0</v>
      </c>
      <c r="R136" s="421">
        <v>0</v>
      </c>
      <c r="S136" s="429">
        <v>5.6309724372866903</v>
      </c>
      <c r="T136" s="412"/>
    </row>
    <row r="137" spans="2:20" ht="13.5">
      <c r="B137" s="412"/>
      <c r="C137" s="428" t="s">
        <v>354</v>
      </c>
      <c r="D137" s="421">
        <v>0</v>
      </c>
      <c r="E137" s="421">
        <v>0</v>
      </c>
      <c r="F137" s="421">
        <v>0</v>
      </c>
      <c r="G137" s="421">
        <v>0</v>
      </c>
      <c r="H137" s="421">
        <v>0</v>
      </c>
      <c r="I137" s="421">
        <v>0</v>
      </c>
      <c r="J137" s="421">
        <v>39.4678203667548</v>
      </c>
      <c r="K137" s="421">
        <v>0</v>
      </c>
      <c r="L137" s="421">
        <v>-39.4678203667548</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-0.17560464547893101</v>
      </c>
      <c r="M138" s="421">
        <v>0</v>
      </c>
      <c r="N138" s="421">
        <v>0</v>
      </c>
      <c r="O138" s="421">
        <v>0</v>
      </c>
      <c r="P138" s="421">
        <v>0</v>
      </c>
      <c r="Q138" s="421">
        <v>0</v>
      </c>
      <c r="R138" s="421">
        <v>0.25086377925561598</v>
      </c>
      <c r="S138" s="429">
        <v>7.5259133776684806E-2</v>
      </c>
      <c r="T138" s="412"/>
    </row>
    <row r="139" spans="2:20" ht="13.5">
      <c r="B139" s="412"/>
      <c r="C139" s="428" t="s">
        <v>73</v>
      </c>
      <c r="D139" s="421">
        <v>0</v>
      </c>
      <c r="E139" s="421">
        <v>0</v>
      </c>
      <c r="F139" s="421">
        <v>0</v>
      </c>
      <c r="G139" s="421">
        <v>1.08065426442295</v>
      </c>
      <c r="H139" s="421">
        <v>0</v>
      </c>
      <c r="I139" s="421">
        <v>0</v>
      </c>
      <c r="J139" s="421">
        <v>0</v>
      </c>
      <c r="K139" s="421">
        <v>1.2117675088842201E-2</v>
      </c>
      <c r="L139" s="421">
        <v>0</v>
      </c>
      <c r="M139" s="421">
        <v>2.2054168661692901E-2</v>
      </c>
      <c r="N139" s="421">
        <v>0</v>
      </c>
      <c r="O139" s="421">
        <v>0</v>
      </c>
      <c r="P139" s="421">
        <v>0.104398431534641</v>
      </c>
      <c r="Q139" s="421">
        <v>0</v>
      </c>
      <c r="R139" s="421">
        <v>-0.84823725621895596</v>
      </c>
      <c r="S139" s="429">
        <v>0.37098728348916998</v>
      </c>
      <c r="T139" s="412"/>
    </row>
    <row r="140" spans="2:20" ht="13.5">
      <c r="B140" s="412"/>
      <c r="C140" s="428" t="s">
        <v>356</v>
      </c>
      <c r="D140" s="421">
        <v>16.156125732421899</v>
      </c>
      <c r="E140" s="421">
        <v>-19.5113194951984</v>
      </c>
      <c r="F140" s="421">
        <v>25.519653459670899</v>
      </c>
      <c r="G140" s="421">
        <v>0</v>
      </c>
      <c r="H140" s="421">
        <v>0</v>
      </c>
      <c r="I140" s="421">
        <v>0</v>
      </c>
      <c r="J140" s="421">
        <v>0</v>
      </c>
      <c r="K140" s="421">
        <v>0</v>
      </c>
      <c r="L140" s="421">
        <v>0</v>
      </c>
      <c r="M140" s="421">
        <v>0</v>
      </c>
      <c r="N140" s="421">
        <v>0</v>
      </c>
      <c r="O140" s="421">
        <v>0</v>
      </c>
      <c r="P140" s="421">
        <v>0</v>
      </c>
      <c r="Q140" s="421">
        <v>0</v>
      </c>
      <c r="R140" s="421">
        <v>0</v>
      </c>
      <c r="S140" s="429">
        <v>22.164459696894401</v>
      </c>
      <c r="T140" s="412"/>
    </row>
    <row r="141" spans="2:20" ht="13.5">
      <c r="B141" s="412"/>
      <c r="C141" s="428" t="s">
        <v>75</v>
      </c>
      <c r="D141" s="421">
        <v>10.1643505859375</v>
      </c>
      <c r="E141" s="421">
        <v>0</v>
      </c>
      <c r="F141" s="421">
        <v>19.145306286774801</v>
      </c>
      <c r="G141" s="421">
        <v>5.4631694586555604</v>
      </c>
      <c r="H141" s="421">
        <v>0</v>
      </c>
      <c r="I141" s="421">
        <v>0</v>
      </c>
      <c r="J141" s="421">
        <v>0</v>
      </c>
      <c r="K141" s="421">
        <v>0</v>
      </c>
      <c r="L141" s="421">
        <v>0</v>
      </c>
      <c r="M141" s="421">
        <v>0.111493254258277</v>
      </c>
      <c r="N141" s="421">
        <v>0</v>
      </c>
      <c r="O141" s="421">
        <v>0</v>
      </c>
      <c r="P141" s="421">
        <v>36.292710693034401</v>
      </c>
      <c r="Q141" s="421">
        <v>0</v>
      </c>
      <c r="R141" s="421">
        <v>0</v>
      </c>
      <c r="S141" s="429">
        <v>71.177030278660496</v>
      </c>
      <c r="T141" s="412"/>
    </row>
    <row r="142" spans="2:20" ht="13.5">
      <c r="B142" s="412"/>
      <c r="C142" s="428" t="s">
        <v>76</v>
      </c>
      <c r="D142" s="421">
        <v>0</v>
      </c>
      <c r="E142" s="421">
        <v>0</v>
      </c>
      <c r="F142" s="421">
        <v>0</v>
      </c>
      <c r="G142" s="421">
        <v>4.2458036026231296</v>
      </c>
      <c r="H142" s="421">
        <v>0</v>
      </c>
      <c r="I142" s="421">
        <v>0</v>
      </c>
      <c r="J142" s="421">
        <v>0</v>
      </c>
      <c r="K142" s="421">
        <v>0</v>
      </c>
      <c r="L142" s="421">
        <v>0</v>
      </c>
      <c r="M142" s="421">
        <v>8.6649053114757804E-2</v>
      </c>
      <c r="N142" s="421">
        <v>0</v>
      </c>
      <c r="O142" s="421">
        <v>0</v>
      </c>
      <c r="P142" s="421">
        <v>39.776211851873803</v>
      </c>
      <c r="Q142" s="421">
        <v>3.1941188921809198</v>
      </c>
      <c r="R142" s="421">
        <v>0</v>
      </c>
      <c r="S142" s="429">
        <v>47.302783399792602</v>
      </c>
      <c r="T142" s="412"/>
    </row>
    <row r="143" spans="2:20" ht="13.5">
      <c r="B143" s="412"/>
      <c r="C143" s="424" t="s">
        <v>77</v>
      </c>
      <c r="D143" s="425">
        <v>28.520947053925902</v>
      </c>
      <c r="E143" s="425">
        <v>543.58592423347204</v>
      </c>
      <c r="F143" s="425">
        <v>-508.93767518130198</v>
      </c>
      <c r="G143" s="425">
        <v>49.115888378784597</v>
      </c>
      <c r="H143" s="425">
        <v>1190.9090909090901</v>
      </c>
      <c r="I143" s="425">
        <v>180.08</v>
      </c>
      <c r="J143" s="425">
        <v>87.733366191841498</v>
      </c>
      <c r="K143" s="425">
        <v>20.0483560559815</v>
      </c>
      <c r="L143" s="425">
        <v>-39.643425012233699</v>
      </c>
      <c r="M143" s="425">
        <v>-6.3050384103897796</v>
      </c>
      <c r="N143" s="425">
        <v>0</v>
      </c>
      <c r="O143" s="425">
        <v>2.2569028606256798</v>
      </c>
      <c r="P143" s="425">
        <v>-521.12452924788101</v>
      </c>
      <c r="Q143" s="425">
        <v>-38.025224906915703</v>
      </c>
      <c r="R143" s="425">
        <v>-0.59737347696334098</v>
      </c>
      <c r="S143" s="425">
        <v>987.61720944803699</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6.4636113960439099</v>
      </c>
      <c r="E145" s="421">
        <v>0</v>
      </c>
      <c r="F145" s="421">
        <v>24.862596272257498</v>
      </c>
      <c r="G145" s="421">
        <v>103.286678516522</v>
      </c>
      <c r="H145" s="421">
        <v>0</v>
      </c>
      <c r="I145" s="421">
        <v>0</v>
      </c>
      <c r="J145" s="421">
        <v>17.262400786113901</v>
      </c>
      <c r="K145" s="421">
        <v>4.2879481993268298</v>
      </c>
      <c r="L145" s="421">
        <v>0.86540506640625003</v>
      </c>
      <c r="M145" s="421">
        <v>2.1078913982963701</v>
      </c>
      <c r="N145" s="421">
        <v>0</v>
      </c>
      <c r="O145" s="421">
        <v>0</v>
      </c>
      <c r="P145" s="421">
        <v>104.034829447817</v>
      </c>
      <c r="Q145" s="421">
        <v>17.743069184880099</v>
      </c>
      <c r="R145" s="421">
        <v>0.24659825134277299</v>
      </c>
      <c r="S145" s="429">
        <v>281.161028519007</v>
      </c>
      <c r="T145" s="412"/>
    </row>
    <row r="146" spans="2:20" ht="13.5">
      <c r="B146" s="412"/>
      <c r="C146" s="428" t="s">
        <v>79</v>
      </c>
      <c r="D146" s="421">
        <v>0</v>
      </c>
      <c r="E146" s="421">
        <v>0</v>
      </c>
      <c r="F146" s="421">
        <v>321.54604576234499</v>
      </c>
      <c r="G146" s="421">
        <v>14.6585371734768</v>
      </c>
      <c r="H146" s="421">
        <v>0</v>
      </c>
      <c r="I146" s="421">
        <v>0</v>
      </c>
      <c r="J146" s="421">
        <v>0</v>
      </c>
      <c r="K146" s="421">
        <v>0</v>
      </c>
      <c r="L146" s="421">
        <v>32.583257192898799</v>
      </c>
      <c r="M146" s="421">
        <v>0.29915381986687301</v>
      </c>
      <c r="N146" s="421">
        <v>0</v>
      </c>
      <c r="O146" s="421">
        <v>0</v>
      </c>
      <c r="P146" s="421">
        <v>28.950215384778598</v>
      </c>
      <c r="Q146" s="421">
        <v>0</v>
      </c>
      <c r="R146" s="421">
        <v>0.35077522562056701</v>
      </c>
      <c r="S146" s="429">
        <v>398.38798455898598</v>
      </c>
      <c r="T146" s="412"/>
    </row>
    <row r="147" spans="2:20" ht="13.5">
      <c r="B147" s="412"/>
      <c r="C147" s="428" t="s">
        <v>80</v>
      </c>
      <c r="D147" s="421">
        <v>0</v>
      </c>
      <c r="E147" s="421">
        <v>0</v>
      </c>
      <c r="F147" s="421">
        <v>31.599343880465799</v>
      </c>
      <c r="G147" s="421">
        <v>123.533868616082</v>
      </c>
      <c r="H147" s="421">
        <v>0</v>
      </c>
      <c r="I147" s="421">
        <v>0</v>
      </c>
      <c r="J147" s="421">
        <v>73.364360274729606</v>
      </c>
      <c r="K147" s="421">
        <v>0</v>
      </c>
      <c r="L147" s="421">
        <v>0</v>
      </c>
      <c r="M147" s="421">
        <v>2.5210993595118798</v>
      </c>
      <c r="N147" s="421">
        <v>40.465242847391998</v>
      </c>
      <c r="O147" s="421">
        <v>0.96354458163837398</v>
      </c>
      <c r="P147" s="421">
        <v>172.02951616182</v>
      </c>
      <c r="Q147" s="421">
        <v>15.8854874881395</v>
      </c>
      <c r="R147" s="421">
        <v>0</v>
      </c>
      <c r="S147" s="429">
        <v>460.36246320978</v>
      </c>
      <c r="T147" s="412"/>
    </row>
    <row r="148" spans="2:20" ht="13.5">
      <c r="B148" s="412"/>
      <c r="C148" s="428" t="s">
        <v>81</v>
      </c>
      <c r="D148" s="421">
        <v>0</v>
      </c>
      <c r="E148" s="421">
        <v>0</v>
      </c>
      <c r="F148" s="421">
        <v>12.841746374836999</v>
      </c>
      <c r="G148" s="421">
        <v>63.9169870655954</v>
      </c>
      <c r="H148" s="421">
        <v>0</v>
      </c>
      <c r="I148" s="421">
        <v>0</v>
      </c>
      <c r="J148" s="421">
        <v>3.6156884784133001</v>
      </c>
      <c r="K148" s="421">
        <v>0</v>
      </c>
      <c r="L148" s="421">
        <v>0</v>
      </c>
      <c r="M148" s="421">
        <v>1.30442830746113</v>
      </c>
      <c r="N148" s="421">
        <v>6.9396973956126802</v>
      </c>
      <c r="O148" s="421">
        <v>0.83843410837959897</v>
      </c>
      <c r="P148" s="421">
        <v>129.63895161426501</v>
      </c>
      <c r="Q148" s="421">
        <v>4.3966682338961798</v>
      </c>
      <c r="R148" s="421">
        <v>0</v>
      </c>
      <c r="S148" s="429">
        <v>223.49260157846101</v>
      </c>
      <c r="T148" s="412"/>
    </row>
    <row r="149" spans="2:20" ht="13.5">
      <c r="B149" s="412"/>
      <c r="C149" s="428" t="s">
        <v>82</v>
      </c>
      <c r="D149" s="421">
        <v>0</v>
      </c>
      <c r="E149" s="421">
        <v>0</v>
      </c>
      <c r="F149" s="421">
        <v>26.373605719731</v>
      </c>
      <c r="G149" s="421">
        <v>3.55081073742303</v>
      </c>
      <c r="H149" s="421">
        <v>0</v>
      </c>
      <c r="I149" s="421">
        <v>0</v>
      </c>
      <c r="J149" s="421">
        <v>0.72327594399272899</v>
      </c>
      <c r="K149" s="421">
        <v>0</v>
      </c>
      <c r="L149" s="421">
        <v>5.3620752079163996</v>
      </c>
      <c r="M149" s="421">
        <v>7.2465525253531296E-2</v>
      </c>
      <c r="N149" s="421">
        <v>0</v>
      </c>
      <c r="O149" s="421">
        <v>8.4265288301735505E-2</v>
      </c>
      <c r="P149" s="421">
        <v>8.1808463616144707</v>
      </c>
      <c r="Q149" s="421">
        <v>0</v>
      </c>
      <c r="R149" s="421">
        <v>0</v>
      </c>
      <c r="S149" s="429">
        <v>44.347344784232902</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6.4636113960439099</v>
      </c>
      <c r="E151" s="425">
        <v>0</v>
      </c>
      <c r="F151" s="425">
        <v>417.223338009636</v>
      </c>
      <c r="G151" s="425">
        <v>308.94688210909902</v>
      </c>
      <c r="H151" s="425">
        <v>0</v>
      </c>
      <c r="I151" s="425">
        <v>0</v>
      </c>
      <c r="J151" s="425">
        <v>94.9657254832495</v>
      </c>
      <c r="K151" s="425">
        <v>4.2879481993268298</v>
      </c>
      <c r="L151" s="425">
        <v>38.810737467221401</v>
      </c>
      <c r="M151" s="425">
        <v>6.3050384103897796</v>
      </c>
      <c r="N151" s="425">
        <v>47.404940243004702</v>
      </c>
      <c r="O151" s="425">
        <v>1.88624397831971</v>
      </c>
      <c r="P151" s="425">
        <v>442.83435897029602</v>
      </c>
      <c r="Q151" s="425">
        <v>38.025224906915703</v>
      </c>
      <c r="R151" s="425">
        <v>0.59737347696334098</v>
      </c>
      <c r="S151" s="425">
        <v>1407.75142265047</v>
      </c>
      <c r="T151" s="412"/>
    </row>
    <row r="152" spans="2:20" ht="13.5">
      <c r="B152" s="412"/>
      <c r="C152" s="420" t="s">
        <v>84</v>
      </c>
      <c r="D152" s="421">
        <v>2.3548642578124999</v>
      </c>
      <c r="E152" s="421">
        <v>0</v>
      </c>
      <c r="F152" s="421">
        <v>138.09302758285801</v>
      </c>
      <c r="G152" s="421">
        <v>12.626811737538199</v>
      </c>
      <c r="H152" s="421">
        <v>0</v>
      </c>
      <c r="I152" s="421">
        <v>0</v>
      </c>
      <c r="J152" s="421">
        <v>0</v>
      </c>
      <c r="K152" s="421">
        <v>0</v>
      </c>
      <c r="L152" s="421">
        <v>0</v>
      </c>
      <c r="M152" s="421">
        <v>0</v>
      </c>
      <c r="N152" s="421">
        <v>0</v>
      </c>
      <c r="O152" s="421">
        <v>0</v>
      </c>
      <c r="P152" s="421">
        <v>0</v>
      </c>
      <c r="Q152" s="421">
        <v>0</v>
      </c>
      <c r="R152" s="421">
        <v>0</v>
      </c>
      <c r="S152" s="429">
        <v>153.07470357820799</v>
      </c>
      <c r="T152" s="412"/>
    </row>
    <row r="153" spans="2:20" ht="13.5">
      <c r="B153" s="412"/>
      <c r="C153" s="424" t="s">
        <v>85</v>
      </c>
      <c r="D153" s="425">
        <v>8.8184756538564102</v>
      </c>
      <c r="E153" s="425">
        <v>0</v>
      </c>
      <c r="F153" s="425">
        <v>555.31636559249398</v>
      </c>
      <c r="G153" s="425">
        <v>321.57369384663798</v>
      </c>
      <c r="H153" s="425">
        <v>0</v>
      </c>
      <c r="I153" s="425">
        <v>0</v>
      </c>
      <c r="J153" s="425">
        <v>94.9657254832495</v>
      </c>
      <c r="K153" s="425">
        <v>4.2879481993268298</v>
      </c>
      <c r="L153" s="425">
        <v>38.810737467221401</v>
      </c>
      <c r="M153" s="425">
        <v>6.3050384103897796</v>
      </c>
      <c r="N153" s="425">
        <v>47.404940243004702</v>
      </c>
      <c r="O153" s="425">
        <v>1.88624397831971</v>
      </c>
      <c r="P153" s="425">
        <v>442.83435897029602</v>
      </c>
      <c r="Q153" s="425">
        <v>38.025224906915703</v>
      </c>
      <c r="R153" s="425">
        <v>0.59737347696334098</v>
      </c>
      <c r="S153" s="425">
        <v>1560.8261262286801</v>
      </c>
      <c r="T153" s="412"/>
    </row>
    <row r="154" spans="2:20">
      <c r="B154" s="412"/>
      <c r="C154" s="412"/>
      <c r="D154" s="430">
        <f t="shared" ref="D154:S154" si="3">D153+D143-D129</f>
        <v>0</v>
      </c>
      <c r="E154" s="430">
        <f t="shared" si="3"/>
        <v>0</v>
      </c>
      <c r="F154" s="430">
        <f t="shared" si="3"/>
        <v>-4.0500935938325711E-13</v>
      </c>
      <c r="G154" s="430">
        <f t="shared" si="3"/>
        <v>5.6843418860808015E-13</v>
      </c>
      <c r="H154" s="430">
        <f t="shared" si="3"/>
        <v>0</v>
      </c>
      <c r="I154" s="430">
        <f t="shared" si="3"/>
        <v>0</v>
      </c>
      <c r="J154" s="430">
        <f t="shared" si="3"/>
        <v>0</v>
      </c>
      <c r="K154" s="430">
        <f t="shared" si="3"/>
        <v>3.1974423109204508E-14</v>
      </c>
      <c r="L154" s="430">
        <f t="shared" si="3"/>
        <v>-1.3322676295501878E-14</v>
      </c>
      <c r="M154" s="430">
        <f t="shared" si="3"/>
        <v>0</v>
      </c>
      <c r="N154" s="430">
        <f t="shared" si="3"/>
        <v>0</v>
      </c>
      <c r="O154" s="430">
        <f t="shared" si="3"/>
        <v>0</v>
      </c>
      <c r="P154" s="430">
        <f t="shared" si="3"/>
        <v>0</v>
      </c>
      <c r="Q154" s="430">
        <f t="shared" si="3"/>
        <v>0</v>
      </c>
      <c r="R154" s="430">
        <f t="shared" si="3"/>
        <v>0</v>
      </c>
      <c r="S154" s="430">
        <f t="shared" si="3"/>
        <v>7.2759576141834259E-12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360</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7.3966799999999999</v>
      </c>
      <c r="F160" s="421">
        <v>0</v>
      </c>
      <c r="G160" s="421">
        <v>0.13025600000000001</v>
      </c>
      <c r="H160" s="422">
        <v>1121.3636363636399</v>
      </c>
      <c r="I160" s="422">
        <v>204.83</v>
      </c>
      <c r="J160" s="422">
        <v>181.32702192976799</v>
      </c>
      <c r="K160" s="422">
        <v>23.929538630329802</v>
      </c>
      <c r="L160" s="421">
        <v>0</v>
      </c>
      <c r="M160" s="421">
        <v>0</v>
      </c>
      <c r="N160" s="422">
        <v>51.218112395264598</v>
      </c>
      <c r="O160" s="422">
        <v>4.1137123082446401</v>
      </c>
      <c r="P160" s="421">
        <v>0</v>
      </c>
      <c r="Q160" s="421">
        <v>0</v>
      </c>
      <c r="R160" s="421">
        <v>0</v>
      </c>
      <c r="S160" s="423">
        <v>1594.30895762724</v>
      </c>
      <c r="T160" s="412"/>
    </row>
    <row r="161" spans="2:20" ht="13.5">
      <c r="B161" s="412"/>
      <c r="C161" s="420" t="s">
        <v>60</v>
      </c>
      <c r="D161" s="421">
        <v>35.895169375746498</v>
      </c>
      <c r="E161" s="421">
        <v>524.37115290345105</v>
      </c>
      <c r="F161" s="421">
        <v>114.332913340551</v>
      </c>
      <c r="G161" s="421">
        <v>371.94967802814801</v>
      </c>
      <c r="H161" s="421">
        <v>0</v>
      </c>
      <c r="I161" s="421">
        <v>0</v>
      </c>
      <c r="J161" s="421">
        <v>0</v>
      </c>
      <c r="K161" s="421">
        <v>0</v>
      </c>
      <c r="L161" s="421">
        <v>0</v>
      </c>
      <c r="M161" s="421">
        <v>0</v>
      </c>
      <c r="N161" s="421">
        <v>0</v>
      </c>
      <c r="O161" s="421">
        <v>0</v>
      </c>
      <c r="P161" s="421">
        <v>0</v>
      </c>
      <c r="Q161" s="421">
        <v>0</v>
      </c>
      <c r="R161" s="421">
        <v>0</v>
      </c>
      <c r="S161" s="423">
        <v>1046.5489136479</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-63.764232482267403</v>
      </c>
      <c r="Q162" s="421">
        <v>0</v>
      </c>
      <c r="R162" s="421">
        <v>0</v>
      </c>
      <c r="S162" s="423">
        <v>-63.764232482267403</v>
      </c>
      <c r="T162" s="412"/>
    </row>
    <row r="163" spans="2:20" ht="13.5">
      <c r="B163" s="412"/>
      <c r="C163" s="420" t="s">
        <v>62</v>
      </c>
      <c r="D163" s="421">
        <v>0</v>
      </c>
      <c r="E163" s="421">
        <v>0</v>
      </c>
      <c r="F163" s="421">
        <v>-16.3524327500959</v>
      </c>
      <c r="G163" s="421">
        <v>0</v>
      </c>
      <c r="H163" s="421">
        <v>0</v>
      </c>
      <c r="I163" s="421">
        <v>0</v>
      </c>
      <c r="J163" s="421">
        <v>0</v>
      </c>
      <c r="K163" s="421">
        <v>0</v>
      </c>
      <c r="L163" s="421">
        <v>0</v>
      </c>
      <c r="M163" s="421">
        <v>0</v>
      </c>
      <c r="N163" s="421">
        <v>0</v>
      </c>
      <c r="O163" s="421">
        <v>0</v>
      </c>
      <c r="P163" s="421">
        <v>0</v>
      </c>
      <c r="Q163" s="421">
        <v>0</v>
      </c>
      <c r="R163" s="421">
        <v>0</v>
      </c>
      <c r="S163" s="423">
        <v>-16.3524327500959</v>
      </c>
      <c r="T163" s="412"/>
    </row>
    <row r="164" spans="2:20" ht="13.5">
      <c r="B164" s="412"/>
      <c r="C164" s="420" t="s">
        <v>63</v>
      </c>
      <c r="D164" s="421">
        <v>0</v>
      </c>
      <c r="E164" s="421">
        <v>0</v>
      </c>
      <c r="F164" s="421">
        <v>-82.072762113811194</v>
      </c>
      <c r="G164" s="421">
        <v>0</v>
      </c>
      <c r="H164" s="421">
        <v>0</v>
      </c>
      <c r="I164" s="421">
        <v>0</v>
      </c>
      <c r="J164" s="421">
        <v>0</v>
      </c>
      <c r="K164" s="421">
        <v>0</v>
      </c>
      <c r="L164" s="421">
        <v>-0.84850040331290999</v>
      </c>
      <c r="M164" s="421">
        <v>0</v>
      </c>
      <c r="N164" s="421">
        <v>0</v>
      </c>
      <c r="O164" s="421">
        <v>0</v>
      </c>
      <c r="P164" s="421">
        <v>0</v>
      </c>
      <c r="Q164" s="421">
        <v>0</v>
      </c>
      <c r="R164" s="421">
        <v>0</v>
      </c>
      <c r="S164" s="423">
        <v>-82.921262517124106</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35.895169375746498</v>
      </c>
      <c r="E166" s="425">
        <v>531.76783290345099</v>
      </c>
      <c r="F166" s="425">
        <v>15.907718476643501</v>
      </c>
      <c r="G166" s="425">
        <v>372.07993402814799</v>
      </c>
      <c r="H166" s="425">
        <v>1121.3636363636399</v>
      </c>
      <c r="I166" s="425">
        <v>204.83</v>
      </c>
      <c r="J166" s="425">
        <v>181.32702192976799</v>
      </c>
      <c r="K166" s="425">
        <v>23.929538630329802</v>
      </c>
      <c r="L166" s="425">
        <v>-0.84850040331290999</v>
      </c>
      <c r="M166" s="425">
        <v>0</v>
      </c>
      <c r="N166" s="425">
        <v>51.218112395264598</v>
      </c>
      <c r="O166" s="425">
        <v>4.1137123082446401</v>
      </c>
      <c r="P166" s="425">
        <v>-63.764232482267403</v>
      </c>
      <c r="Q166" s="425">
        <v>0</v>
      </c>
      <c r="R166" s="425">
        <v>0</v>
      </c>
      <c r="S166" s="425">
        <v>2477.8199435256502</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19.3842302630087</v>
      </c>
      <c r="H169" s="421">
        <v>1121.3636363636399</v>
      </c>
      <c r="I169" s="421">
        <v>204.83</v>
      </c>
      <c r="J169" s="421">
        <v>25.6968541009532</v>
      </c>
      <c r="K169" s="421">
        <v>6.9082981230435703</v>
      </c>
      <c r="L169" s="421">
        <v>0</v>
      </c>
      <c r="M169" s="421">
        <v>0.39559653597976902</v>
      </c>
      <c r="N169" s="421">
        <v>0</v>
      </c>
      <c r="O169" s="421">
        <v>0</v>
      </c>
      <c r="P169" s="421">
        <v>-598.30725344043606</v>
      </c>
      <c r="Q169" s="421">
        <v>0</v>
      </c>
      <c r="R169" s="421">
        <v>0</v>
      </c>
      <c r="S169" s="429">
        <v>786.335469045389</v>
      </c>
      <c r="T169" s="412"/>
    </row>
    <row r="170" spans="2:20" ht="13.5">
      <c r="B170" s="412"/>
      <c r="C170" s="428" t="s">
        <v>351</v>
      </c>
      <c r="D170" s="421">
        <v>0</v>
      </c>
      <c r="E170" s="421">
        <v>0</v>
      </c>
      <c r="F170" s="421">
        <v>0</v>
      </c>
      <c r="G170" s="421">
        <v>17.221606845423</v>
      </c>
      <c r="H170" s="421">
        <v>0</v>
      </c>
      <c r="I170" s="421">
        <v>0</v>
      </c>
      <c r="J170" s="421">
        <v>12.908782164778099</v>
      </c>
      <c r="K170" s="421">
        <v>12.746985757209</v>
      </c>
      <c r="L170" s="421">
        <v>0</v>
      </c>
      <c r="M170" s="421">
        <v>0.351461364192306</v>
      </c>
      <c r="N170" s="421">
        <v>0</v>
      </c>
      <c r="O170" s="421">
        <v>2.2502067182143302</v>
      </c>
      <c r="P170" s="421">
        <v>0</v>
      </c>
      <c r="Q170" s="421">
        <v>-41.107741425574098</v>
      </c>
      <c r="R170" s="421">
        <v>0</v>
      </c>
      <c r="S170" s="429">
        <v>4.3713014242427501</v>
      </c>
      <c r="T170" s="412"/>
    </row>
    <row r="171" spans="2:20" ht="13.5">
      <c r="B171" s="412"/>
      <c r="C171" s="428" t="s">
        <v>352</v>
      </c>
      <c r="D171" s="421">
        <v>0</v>
      </c>
      <c r="E171" s="421">
        <v>0</v>
      </c>
      <c r="F171" s="421">
        <v>0</v>
      </c>
      <c r="G171" s="421">
        <v>0</v>
      </c>
      <c r="H171" s="421">
        <v>0</v>
      </c>
      <c r="I171" s="421">
        <v>0</v>
      </c>
      <c r="J171" s="421">
        <v>8.3133555663813503</v>
      </c>
      <c r="K171" s="421">
        <v>0</v>
      </c>
      <c r="L171" s="421">
        <v>0</v>
      </c>
      <c r="M171" s="421">
        <v>-7.3386146262231398</v>
      </c>
      <c r="N171" s="421">
        <v>0</v>
      </c>
      <c r="O171" s="421">
        <v>0</v>
      </c>
      <c r="P171" s="421">
        <v>0</v>
      </c>
      <c r="Q171" s="421">
        <v>0</v>
      </c>
      <c r="R171" s="421">
        <v>0</v>
      </c>
      <c r="S171" s="429">
        <v>0.974740940158213</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550.85495716936998</v>
      </c>
      <c r="F173" s="421">
        <v>-545.34640759767603</v>
      </c>
      <c r="G173" s="421">
        <v>0</v>
      </c>
      <c r="H173" s="421">
        <v>0</v>
      </c>
      <c r="I173" s="421">
        <v>0</v>
      </c>
      <c r="J173" s="421">
        <v>0</v>
      </c>
      <c r="K173" s="421">
        <v>0</v>
      </c>
      <c r="L173" s="421">
        <v>0</v>
      </c>
      <c r="M173" s="421">
        <v>0</v>
      </c>
      <c r="N173" s="421">
        <v>0</v>
      </c>
      <c r="O173" s="421">
        <v>0</v>
      </c>
      <c r="P173" s="421">
        <v>0</v>
      </c>
      <c r="Q173" s="421">
        <v>0</v>
      </c>
      <c r="R173" s="421">
        <v>0</v>
      </c>
      <c r="S173" s="429">
        <v>5.5085495716937203</v>
      </c>
      <c r="T173" s="412"/>
    </row>
    <row r="174" spans="2:20" ht="13.5">
      <c r="B174" s="412"/>
      <c r="C174" s="428" t="s">
        <v>354</v>
      </c>
      <c r="D174" s="421">
        <v>0</v>
      </c>
      <c r="E174" s="421">
        <v>0</v>
      </c>
      <c r="F174" s="421">
        <v>0</v>
      </c>
      <c r="G174" s="421">
        <v>0</v>
      </c>
      <c r="H174" s="421">
        <v>0</v>
      </c>
      <c r="I174" s="421">
        <v>0</v>
      </c>
      <c r="J174" s="421">
        <v>39.093854884301599</v>
      </c>
      <c r="K174" s="421">
        <v>0</v>
      </c>
      <c r="L174" s="421">
        <v>-39.093854884301599</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-0.17691580225894701</v>
      </c>
      <c r="M175" s="421">
        <v>0</v>
      </c>
      <c r="N175" s="421">
        <v>0</v>
      </c>
      <c r="O175" s="421">
        <v>0</v>
      </c>
      <c r="P175" s="421">
        <v>0</v>
      </c>
      <c r="Q175" s="421">
        <v>0</v>
      </c>
      <c r="R175" s="421">
        <v>0.25273686036992499</v>
      </c>
      <c r="S175" s="429">
        <v>7.5821058110977502E-2</v>
      </c>
      <c r="T175" s="412"/>
    </row>
    <row r="176" spans="2:20" ht="13.5">
      <c r="B176" s="412"/>
      <c r="C176" s="428" t="s">
        <v>73</v>
      </c>
      <c r="D176" s="421">
        <v>0</v>
      </c>
      <c r="E176" s="421">
        <v>0</v>
      </c>
      <c r="F176" s="421">
        <v>0</v>
      </c>
      <c r="G176" s="421">
        <v>1.8824761736884601</v>
      </c>
      <c r="H176" s="421">
        <v>0</v>
      </c>
      <c r="I176" s="421">
        <v>0</v>
      </c>
      <c r="J176" s="421">
        <v>0</v>
      </c>
      <c r="K176" s="421">
        <v>2.1248828039647599E-2</v>
      </c>
      <c r="L176" s="421">
        <v>0</v>
      </c>
      <c r="M176" s="421">
        <v>3.8417881095682803E-2</v>
      </c>
      <c r="N176" s="421">
        <v>0</v>
      </c>
      <c r="O176" s="421">
        <v>0</v>
      </c>
      <c r="P176" s="421">
        <v>0.19366834943024799</v>
      </c>
      <c r="Q176" s="421">
        <v>0</v>
      </c>
      <c r="R176" s="421">
        <v>-1.4874179627753299</v>
      </c>
      <c r="S176" s="429">
        <v>0.64839326947870701</v>
      </c>
      <c r="T176" s="412"/>
    </row>
    <row r="177" spans="2:20" ht="13.5">
      <c r="B177" s="412"/>
      <c r="C177" s="428" t="s">
        <v>356</v>
      </c>
      <c r="D177" s="421">
        <v>15.374535156249999</v>
      </c>
      <c r="E177" s="421">
        <v>-19.0871242659187</v>
      </c>
      <c r="F177" s="421">
        <v>24.964831154950399</v>
      </c>
      <c r="G177" s="421">
        <v>0</v>
      </c>
      <c r="H177" s="421">
        <v>0</v>
      </c>
      <c r="I177" s="421">
        <v>0</v>
      </c>
      <c r="J177" s="421">
        <v>0</v>
      </c>
      <c r="K177" s="421">
        <v>0</v>
      </c>
      <c r="L177" s="421">
        <v>0</v>
      </c>
      <c r="M177" s="421">
        <v>0</v>
      </c>
      <c r="N177" s="421">
        <v>0</v>
      </c>
      <c r="O177" s="421">
        <v>0</v>
      </c>
      <c r="P177" s="421">
        <v>0</v>
      </c>
      <c r="Q177" s="421">
        <v>0</v>
      </c>
      <c r="R177" s="421">
        <v>0</v>
      </c>
      <c r="S177" s="429">
        <v>21.252242045281701</v>
      </c>
      <c r="T177" s="412"/>
    </row>
    <row r="178" spans="2:20" ht="13.5">
      <c r="B178" s="412"/>
      <c r="C178" s="428" t="s">
        <v>75</v>
      </c>
      <c r="D178" s="421">
        <v>10.0084814453125</v>
      </c>
      <c r="E178" s="421">
        <v>0</v>
      </c>
      <c r="F178" s="421">
        <v>18.729068543758601</v>
      </c>
      <c r="G178" s="421">
        <v>5.3443947944572301</v>
      </c>
      <c r="H178" s="421">
        <v>0</v>
      </c>
      <c r="I178" s="421">
        <v>0</v>
      </c>
      <c r="J178" s="421">
        <v>0</v>
      </c>
      <c r="K178" s="421">
        <v>0</v>
      </c>
      <c r="L178" s="421">
        <v>0</v>
      </c>
      <c r="M178" s="421">
        <v>0.109069281519535</v>
      </c>
      <c r="N178" s="421">
        <v>0</v>
      </c>
      <c r="O178" s="421">
        <v>0</v>
      </c>
      <c r="P178" s="421">
        <v>34.584089944749103</v>
      </c>
      <c r="Q178" s="421">
        <v>0</v>
      </c>
      <c r="R178" s="421">
        <v>0</v>
      </c>
      <c r="S178" s="429">
        <v>68.775104009796905</v>
      </c>
      <c r="T178" s="412"/>
    </row>
    <row r="179" spans="2:20" ht="13.5">
      <c r="B179" s="412"/>
      <c r="C179" s="428" t="s">
        <v>76</v>
      </c>
      <c r="D179" s="421">
        <v>0</v>
      </c>
      <c r="E179" s="421">
        <v>0</v>
      </c>
      <c r="F179" s="421">
        <v>0</v>
      </c>
      <c r="G179" s="421">
        <v>4.2639381425091001</v>
      </c>
      <c r="H179" s="421">
        <v>0</v>
      </c>
      <c r="I179" s="421">
        <v>0</v>
      </c>
      <c r="J179" s="421">
        <v>0</v>
      </c>
      <c r="K179" s="421">
        <v>0</v>
      </c>
      <c r="L179" s="421">
        <v>0</v>
      </c>
      <c r="M179" s="421">
        <v>8.7019145765491801E-2</v>
      </c>
      <c r="N179" s="421">
        <v>0</v>
      </c>
      <c r="O179" s="421">
        <v>0</v>
      </c>
      <c r="P179" s="421">
        <v>40.966824320893799</v>
      </c>
      <c r="Q179" s="421">
        <v>3.1854707377751099</v>
      </c>
      <c r="R179" s="421">
        <v>0</v>
      </c>
      <c r="S179" s="429">
        <v>48.503252346943498</v>
      </c>
      <c r="T179" s="412"/>
    </row>
    <row r="180" spans="2:20" ht="13.5">
      <c r="B180" s="412"/>
      <c r="C180" s="424" t="s">
        <v>77</v>
      </c>
      <c r="D180" s="425">
        <v>27.5834873371291</v>
      </c>
      <c r="E180" s="425">
        <v>531.76783290345099</v>
      </c>
      <c r="F180" s="425">
        <v>-497.788871535331</v>
      </c>
      <c r="G180" s="425">
        <v>48.096646219086502</v>
      </c>
      <c r="H180" s="425">
        <v>1121.3636363636399</v>
      </c>
      <c r="I180" s="425">
        <v>204.83</v>
      </c>
      <c r="J180" s="425">
        <v>86.012846716414401</v>
      </c>
      <c r="K180" s="425">
        <v>19.676532708292299</v>
      </c>
      <c r="L180" s="425">
        <v>-39.270770686560603</v>
      </c>
      <c r="M180" s="425">
        <v>-6.3570504176703597</v>
      </c>
      <c r="N180" s="425">
        <v>0</v>
      </c>
      <c r="O180" s="425">
        <v>2.2502067182143302</v>
      </c>
      <c r="P180" s="425">
        <v>-522.56267082536306</v>
      </c>
      <c r="Q180" s="425">
        <v>-37.9222706877989</v>
      </c>
      <c r="R180" s="425">
        <v>-1.2346811024054101</v>
      </c>
      <c r="S180" s="425">
        <v>936.44487371109506</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6.0139144604924599</v>
      </c>
      <c r="E182" s="421">
        <v>0</v>
      </c>
      <c r="F182" s="421">
        <v>23.633642469065599</v>
      </c>
      <c r="G182" s="421">
        <v>102.391084630545</v>
      </c>
      <c r="H182" s="421">
        <v>0</v>
      </c>
      <c r="I182" s="421">
        <v>0</v>
      </c>
      <c r="J182" s="421">
        <v>17.159172144595999</v>
      </c>
      <c r="K182" s="421">
        <v>4.25300592203756</v>
      </c>
      <c r="L182" s="421">
        <v>0.85978953515625001</v>
      </c>
      <c r="M182" s="421">
        <v>2.08961397205193</v>
      </c>
      <c r="N182" s="421">
        <v>0</v>
      </c>
      <c r="O182" s="421">
        <v>0</v>
      </c>
      <c r="P182" s="421">
        <v>105.422390190743</v>
      </c>
      <c r="Q182" s="421">
        <v>17.9038299201341</v>
      </c>
      <c r="R182" s="421">
        <v>0.246216918945312</v>
      </c>
      <c r="S182" s="429">
        <v>279.97266016376699</v>
      </c>
      <c r="T182" s="412"/>
    </row>
    <row r="183" spans="2:20" ht="13.5">
      <c r="B183" s="412"/>
      <c r="C183" s="428" t="s">
        <v>79</v>
      </c>
      <c r="D183" s="421">
        <v>0</v>
      </c>
      <c r="E183" s="421">
        <v>0</v>
      </c>
      <c r="F183" s="421">
        <v>291.75543836647398</v>
      </c>
      <c r="G183" s="421">
        <v>20.535297042062101</v>
      </c>
      <c r="H183" s="421">
        <v>0</v>
      </c>
      <c r="I183" s="421">
        <v>0</v>
      </c>
      <c r="J183" s="421">
        <v>0</v>
      </c>
      <c r="K183" s="421">
        <v>0</v>
      </c>
      <c r="L183" s="421">
        <v>29.571406958369401</v>
      </c>
      <c r="M183" s="421">
        <v>0.41908769473596202</v>
      </c>
      <c r="N183" s="421">
        <v>0</v>
      </c>
      <c r="O183" s="421">
        <v>0</v>
      </c>
      <c r="P183" s="421">
        <v>38.026089769837199</v>
      </c>
      <c r="Q183" s="421">
        <v>0</v>
      </c>
      <c r="R183" s="421">
        <v>0.81131136729798503</v>
      </c>
      <c r="S183" s="429">
        <v>381.118631198777</v>
      </c>
      <c r="T183" s="412"/>
    </row>
    <row r="184" spans="2:20" ht="13.5">
      <c r="B184" s="412"/>
      <c r="C184" s="428" t="s">
        <v>80</v>
      </c>
      <c r="D184" s="421">
        <v>0</v>
      </c>
      <c r="E184" s="421">
        <v>0</v>
      </c>
      <c r="F184" s="421">
        <v>27.220999009721101</v>
      </c>
      <c r="G184" s="421">
        <v>120.03161923866701</v>
      </c>
      <c r="H184" s="421">
        <v>0</v>
      </c>
      <c r="I184" s="421">
        <v>0</v>
      </c>
      <c r="J184" s="421">
        <v>73.643008497672298</v>
      </c>
      <c r="K184" s="421">
        <v>0</v>
      </c>
      <c r="L184" s="421">
        <v>0</v>
      </c>
      <c r="M184" s="421">
        <v>2.4496248824217699</v>
      </c>
      <c r="N184" s="421">
        <v>44.3894996556715</v>
      </c>
      <c r="O184" s="421">
        <v>0.96187754856444097</v>
      </c>
      <c r="P184" s="421">
        <v>174.81659309154401</v>
      </c>
      <c r="Q184" s="421">
        <v>15.741799933741699</v>
      </c>
      <c r="R184" s="421">
        <v>0</v>
      </c>
      <c r="S184" s="429">
        <v>459.255021858004</v>
      </c>
      <c r="T184" s="412"/>
    </row>
    <row r="185" spans="2:20" ht="13.5">
      <c r="B185" s="412"/>
      <c r="C185" s="428" t="s">
        <v>81</v>
      </c>
      <c r="D185" s="421">
        <v>0</v>
      </c>
      <c r="E185" s="421">
        <v>0</v>
      </c>
      <c r="F185" s="421">
        <v>11.206782837990801</v>
      </c>
      <c r="G185" s="421">
        <v>64.507568852564205</v>
      </c>
      <c r="H185" s="421">
        <v>0</v>
      </c>
      <c r="I185" s="421">
        <v>0</v>
      </c>
      <c r="J185" s="421">
        <v>3.55454723390908</v>
      </c>
      <c r="K185" s="421">
        <v>0</v>
      </c>
      <c r="L185" s="421">
        <v>0</v>
      </c>
      <c r="M185" s="421">
        <v>1.31648099699111</v>
      </c>
      <c r="N185" s="421">
        <v>6.82861273959311</v>
      </c>
      <c r="O185" s="421">
        <v>0.82092458334028295</v>
      </c>
      <c r="P185" s="421">
        <v>132.49225631372801</v>
      </c>
      <c r="Q185" s="421">
        <v>4.2766408339232003</v>
      </c>
      <c r="R185" s="421">
        <v>0</v>
      </c>
      <c r="S185" s="429">
        <v>225.00381439204</v>
      </c>
      <c r="T185" s="412"/>
    </row>
    <row r="186" spans="2:20" ht="13.5">
      <c r="B186" s="412"/>
      <c r="C186" s="428" t="s">
        <v>82</v>
      </c>
      <c r="D186" s="421">
        <v>0</v>
      </c>
      <c r="E186" s="421">
        <v>0</v>
      </c>
      <c r="F186" s="421">
        <v>21.8797075546779</v>
      </c>
      <c r="G186" s="421">
        <v>4.0299007020097699</v>
      </c>
      <c r="H186" s="421">
        <v>0</v>
      </c>
      <c r="I186" s="421">
        <v>0</v>
      </c>
      <c r="J186" s="421">
        <v>0.95744733717577402</v>
      </c>
      <c r="K186" s="421">
        <v>0</v>
      </c>
      <c r="L186" s="421">
        <v>7.9910737897220097</v>
      </c>
      <c r="M186" s="421">
        <v>8.2242871469587198E-2</v>
      </c>
      <c r="N186" s="421">
        <v>0</v>
      </c>
      <c r="O186" s="421">
        <v>8.0703458125589503E-2</v>
      </c>
      <c r="P186" s="421">
        <v>8.0411089772434305</v>
      </c>
      <c r="Q186" s="421">
        <v>0</v>
      </c>
      <c r="R186" s="421">
        <v>0</v>
      </c>
      <c r="S186" s="429">
        <v>43.062184690423997</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ht="13.5">
      <c r="B188" s="412"/>
      <c r="C188" s="424" t="s">
        <v>83</v>
      </c>
      <c r="D188" s="425">
        <v>6.0139144604924599</v>
      </c>
      <c r="E188" s="425">
        <v>0</v>
      </c>
      <c r="F188" s="425">
        <v>375.696570237929</v>
      </c>
      <c r="G188" s="425">
        <v>311.49547046584701</v>
      </c>
      <c r="H188" s="425">
        <v>0</v>
      </c>
      <c r="I188" s="425">
        <v>0</v>
      </c>
      <c r="J188" s="425">
        <v>95.314175213353096</v>
      </c>
      <c r="K188" s="425">
        <v>4.25300592203756</v>
      </c>
      <c r="L188" s="425">
        <v>38.422270283247698</v>
      </c>
      <c r="M188" s="425">
        <v>6.3570504176703597</v>
      </c>
      <c r="N188" s="425">
        <v>51.218112395264598</v>
      </c>
      <c r="O188" s="425">
        <v>1.8635055900303099</v>
      </c>
      <c r="P188" s="425">
        <v>458.798438343096</v>
      </c>
      <c r="Q188" s="425">
        <v>37.9222706877989</v>
      </c>
      <c r="R188" s="425">
        <v>1.0575282862433</v>
      </c>
      <c r="S188" s="425">
        <v>1388.4123123030099</v>
      </c>
      <c r="T188" s="412"/>
    </row>
    <row r="189" spans="2:20" ht="13.5">
      <c r="B189" s="412"/>
      <c r="C189" s="420" t="s">
        <v>84</v>
      </c>
      <c r="D189" s="421">
        <v>2.2977675781250002</v>
      </c>
      <c r="E189" s="421">
        <v>0</v>
      </c>
      <c r="F189" s="421">
        <v>138.000019774045</v>
      </c>
      <c r="G189" s="421">
        <v>12.487817343213999</v>
      </c>
      <c r="H189" s="421">
        <v>0</v>
      </c>
      <c r="I189" s="421">
        <v>0</v>
      </c>
      <c r="J189" s="421">
        <v>0</v>
      </c>
      <c r="K189" s="421">
        <v>0</v>
      </c>
      <c r="L189" s="421">
        <v>0</v>
      </c>
      <c r="M189" s="421">
        <v>0</v>
      </c>
      <c r="N189" s="421">
        <v>0</v>
      </c>
      <c r="O189" s="421">
        <v>0</v>
      </c>
      <c r="P189" s="421">
        <v>0</v>
      </c>
      <c r="Q189" s="421">
        <v>0</v>
      </c>
      <c r="R189" s="421">
        <v>0.17715281616210901</v>
      </c>
      <c r="S189" s="429">
        <v>152.96275751154599</v>
      </c>
      <c r="T189" s="412"/>
    </row>
    <row r="190" spans="2:20" ht="13.5">
      <c r="B190" s="412"/>
      <c r="C190" s="424" t="s">
        <v>85</v>
      </c>
      <c r="D190" s="425">
        <v>8.3116820386174606</v>
      </c>
      <c r="E190" s="425">
        <v>0</v>
      </c>
      <c r="F190" s="425">
        <v>513.69659001197397</v>
      </c>
      <c r="G190" s="425">
        <v>323.98328780906098</v>
      </c>
      <c r="H190" s="425">
        <v>0</v>
      </c>
      <c r="I190" s="425">
        <v>0</v>
      </c>
      <c r="J190" s="425">
        <v>95.314175213353195</v>
      </c>
      <c r="K190" s="425">
        <v>4.25300592203756</v>
      </c>
      <c r="L190" s="425">
        <v>38.422270283247698</v>
      </c>
      <c r="M190" s="425">
        <v>6.3570504176703597</v>
      </c>
      <c r="N190" s="425">
        <v>51.218112395264598</v>
      </c>
      <c r="O190" s="425">
        <v>1.8635055900303099</v>
      </c>
      <c r="P190" s="425">
        <v>458.798438343096</v>
      </c>
      <c r="Q190" s="425">
        <v>37.9222706877989</v>
      </c>
      <c r="R190" s="425">
        <v>1.2346811024054101</v>
      </c>
      <c r="S190" s="425">
        <v>1541.37506981456</v>
      </c>
      <c r="T190" s="412"/>
    </row>
    <row r="191" spans="2:20">
      <c r="B191" s="412"/>
      <c r="C191" s="412"/>
      <c r="D191" s="430">
        <f t="shared" ref="D191:S191" si="4">D190+D180-D166</f>
        <v>6.3948846218409017E-14</v>
      </c>
      <c r="E191" s="430">
        <f t="shared" si="4"/>
        <v>0</v>
      </c>
      <c r="F191" s="430">
        <f t="shared" si="4"/>
        <v>-5.3113069498067489E-13</v>
      </c>
      <c r="G191" s="430">
        <f t="shared" si="4"/>
        <v>-5.1159076974727213E-13</v>
      </c>
      <c r="H191" s="430">
        <f t="shared" si="4"/>
        <v>0</v>
      </c>
      <c r="I191" s="430">
        <f t="shared" si="4"/>
        <v>0</v>
      </c>
      <c r="J191" s="430">
        <f t="shared" si="4"/>
        <v>-3.979039320256561E-13</v>
      </c>
      <c r="K191" s="430">
        <f t="shared" si="4"/>
        <v>5.6843418860808015E-14</v>
      </c>
      <c r="L191" s="430">
        <f t="shared" si="4"/>
        <v>5.5511151231257827E-15</v>
      </c>
      <c r="M191" s="430">
        <f t="shared" si="4"/>
        <v>0</v>
      </c>
      <c r="N191" s="430">
        <f t="shared" si="4"/>
        <v>0</v>
      </c>
      <c r="O191" s="430">
        <f t="shared" si="4"/>
        <v>0</v>
      </c>
      <c r="P191" s="430">
        <f t="shared" si="4"/>
        <v>3.4106051316484809E-13</v>
      </c>
      <c r="Q191" s="430">
        <f t="shared" si="4"/>
        <v>0</v>
      </c>
      <c r="R191" s="430">
        <f t="shared" si="4"/>
        <v>0</v>
      </c>
      <c r="S191" s="430">
        <f t="shared" si="4"/>
        <v>5.0022208597511053E-12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361</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5.8150000000000004</v>
      </c>
      <c r="F197" s="421">
        <v>0</v>
      </c>
      <c r="G197" s="421">
        <v>9.3039999999999998E-2</v>
      </c>
      <c r="H197" s="422">
        <v>1075</v>
      </c>
      <c r="I197" s="422">
        <v>221.33</v>
      </c>
      <c r="J197" s="422">
        <v>180.617309805269</v>
      </c>
      <c r="K197" s="422">
        <v>23.667602138393399</v>
      </c>
      <c r="L197" s="421">
        <v>0</v>
      </c>
      <c r="M197" s="421">
        <v>0</v>
      </c>
      <c r="N197" s="422">
        <v>53.883302871721199</v>
      </c>
      <c r="O197" s="422">
        <v>4.0937306138358602</v>
      </c>
      <c r="P197" s="421">
        <v>0</v>
      </c>
      <c r="Q197" s="421">
        <v>0</v>
      </c>
      <c r="R197" s="421">
        <v>0</v>
      </c>
      <c r="S197" s="423">
        <v>1564.49998542922</v>
      </c>
      <c r="T197" s="412"/>
    </row>
    <row r="198" spans="2:20" ht="13.5">
      <c r="B198" s="412"/>
      <c r="C198" s="420" t="s">
        <v>60</v>
      </c>
      <c r="D198" s="421">
        <v>34.929201732774303</v>
      </c>
      <c r="E198" s="421">
        <v>518.07410535010399</v>
      </c>
      <c r="F198" s="421">
        <v>94.899650530247001</v>
      </c>
      <c r="G198" s="421">
        <v>372.90309898365098</v>
      </c>
      <c r="H198" s="421">
        <v>0</v>
      </c>
      <c r="I198" s="421">
        <v>0</v>
      </c>
      <c r="J198" s="421">
        <v>0</v>
      </c>
      <c r="K198" s="421">
        <v>0</v>
      </c>
      <c r="L198" s="421">
        <v>0</v>
      </c>
      <c r="M198" s="421">
        <v>0</v>
      </c>
      <c r="N198" s="421">
        <v>0</v>
      </c>
      <c r="O198" s="421">
        <v>0</v>
      </c>
      <c r="P198" s="421">
        <v>0</v>
      </c>
      <c r="Q198" s="421">
        <v>0</v>
      </c>
      <c r="R198" s="421">
        <v>0</v>
      </c>
      <c r="S198" s="423">
        <v>1020.80605659678</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-54.0995610292184</v>
      </c>
      <c r="Q199" s="421">
        <v>0</v>
      </c>
      <c r="R199" s="421">
        <v>0</v>
      </c>
      <c r="S199" s="423">
        <v>-54.0995610292184</v>
      </c>
      <c r="T199" s="412"/>
    </row>
    <row r="200" spans="2:20" ht="13.5">
      <c r="B200" s="412"/>
      <c r="C200" s="420" t="s">
        <v>62</v>
      </c>
      <c r="D200" s="421">
        <v>0</v>
      </c>
      <c r="E200" s="421">
        <v>0</v>
      </c>
      <c r="F200" s="421">
        <v>-16.258620088965699</v>
      </c>
      <c r="G200" s="421">
        <v>0</v>
      </c>
      <c r="H200" s="421">
        <v>0</v>
      </c>
      <c r="I200" s="421">
        <v>0</v>
      </c>
      <c r="J200" s="421">
        <v>0</v>
      </c>
      <c r="K200" s="421">
        <v>0</v>
      </c>
      <c r="L200" s="421">
        <v>0</v>
      </c>
      <c r="M200" s="421">
        <v>0</v>
      </c>
      <c r="N200" s="421">
        <v>0</v>
      </c>
      <c r="O200" s="421">
        <v>0</v>
      </c>
      <c r="P200" s="421">
        <v>0</v>
      </c>
      <c r="Q200" s="421">
        <v>0</v>
      </c>
      <c r="R200" s="421">
        <v>0</v>
      </c>
      <c r="S200" s="423">
        <v>-16.258620088965699</v>
      </c>
      <c r="T200" s="412"/>
    </row>
    <row r="201" spans="2:20" ht="13.5">
      <c r="B201" s="412"/>
      <c r="C201" s="420" t="s">
        <v>63</v>
      </c>
      <c r="D201" s="421">
        <v>0</v>
      </c>
      <c r="E201" s="421">
        <v>0</v>
      </c>
      <c r="F201" s="421">
        <v>-83.288391654292198</v>
      </c>
      <c r="G201" s="421">
        <v>0</v>
      </c>
      <c r="H201" s="421">
        <v>0</v>
      </c>
      <c r="I201" s="421">
        <v>0</v>
      </c>
      <c r="J201" s="421">
        <v>0</v>
      </c>
      <c r="K201" s="421">
        <v>0</v>
      </c>
      <c r="L201" s="421">
        <v>-0.86093886612012704</v>
      </c>
      <c r="M201" s="421">
        <v>0</v>
      </c>
      <c r="N201" s="421">
        <v>0</v>
      </c>
      <c r="O201" s="421">
        <v>0</v>
      </c>
      <c r="P201" s="421">
        <v>0</v>
      </c>
      <c r="Q201" s="421">
        <v>0</v>
      </c>
      <c r="R201" s="421">
        <v>0</v>
      </c>
      <c r="S201" s="423">
        <v>-84.149330520412306</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34.929201732774303</v>
      </c>
      <c r="E203" s="425">
        <v>523.88910535010405</v>
      </c>
      <c r="F203" s="425">
        <v>-4.6473612130108704</v>
      </c>
      <c r="G203" s="425">
        <v>372.99613898365101</v>
      </c>
      <c r="H203" s="425">
        <v>1075</v>
      </c>
      <c r="I203" s="425">
        <v>221.33</v>
      </c>
      <c r="J203" s="425">
        <v>180.617309805269</v>
      </c>
      <c r="K203" s="425">
        <v>23.667602138393399</v>
      </c>
      <c r="L203" s="425">
        <v>-0.86093886612012704</v>
      </c>
      <c r="M203" s="425">
        <v>0</v>
      </c>
      <c r="N203" s="425">
        <v>53.883302871721199</v>
      </c>
      <c r="O203" s="425">
        <v>4.0937306138358602</v>
      </c>
      <c r="P203" s="425">
        <v>-54.0995610292184</v>
      </c>
      <c r="Q203" s="425">
        <v>0</v>
      </c>
      <c r="R203" s="425">
        <v>0</v>
      </c>
      <c r="S203" s="425">
        <v>2430.7985303874002</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2.2004707355665598</v>
      </c>
      <c r="E206" s="421">
        <v>0</v>
      </c>
      <c r="F206" s="421">
        <v>3.8636363636363602</v>
      </c>
      <c r="G206" s="421">
        <v>18.293662470199799</v>
      </c>
      <c r="H206" s="421">
        <v>1075</v>
      </c>
      <c r="I206" s="421">
        <v>221.33</v>
      </c>
      <c r="J206" s="421">
        <v>25.015631200963998</v>
      </c>
      <c r="K206" s="421">
        <v>6.6958995171334896</v>
      </c>
      <c r="L206" s="421">
        <v>0</v>
      </c>
      <c r="M206" s="421">
        <v>0.373340050412242</v>
      </c>
      <c r="N206" s="421">
        <v>0</v>
      </c>
      <c r="O206" s="421">
        <v>0</v>
      </c>
      <c r="P206" s="421">
        <v>-598.98018891784398</v>
      </c>
      <c r="Q206" s="421">
        <v>0</v>
      </c>
      <c r="R206" s="421">
        <v>0</v>
      </c>
      <c r="S206" s="429">
        <v>753.79245142006801</v>
      </c>
      <c r="T206" s="412"/>
    </row>
    <row r="207" spans="2:20" ht="13.5">
      <c r="B207" s="412"/>
      <c r="C207" s="428" t="s">
        <v>351</v>
      </c>
      <c r="D207" s="421">
        <v>0</v>
      </c>
      <c r="E207" s="421">
        <v>0</v>
      </c>
      <c r="F207" s="421">
        <v>0</v>
      </c>
      <c r="G207" s="421">
        <v>17.187472358998999</v>
      </c>
      <c r="H207" s="421">
        <v>0</v>
      </c>
      <c r="I207" s="421">
        <v>0</v>
      </c>
      <c r="J207" s="421">
        <v>12.802427774494999</v>
      </c>
      <c r="K207" s="421">
        <v>12.7214936345308</v>
      </c>
      <c r="L207" s="421">
        <v>0</v>
      </c>
      <c r="M207" s="421">
        <v>0.35076474202038699</v>
      </c>
      <c r="N207" s="421">
        <v>0</v>
      </c>
      <c r="O207" s="421">
        <v>2.24538394933181</v>
      </c>
      <c r="P207" s="421">
        <v>0</v>
      </c>
      <c r="Q207" s="421">
        <v>-41.027361944198802</v>
      </c>
      <c r="R207" s="421">
        <v>0</v>
      </c>
      <c r="S207" s="429">
        <v>4.2801805151782197</v>
      </c>
      <c r="T207" s="412"/>
    </row>
    <row r="208" spans="2:20" ht="13.5">
      <c r="B208" s="412"/>
      <c r="C208" s="428" t="s">
        <v>352</v>
      </c>
      <c r="D208" s="421">
        <v>0</v>
      </c>
      <c r="E208" s="421">
        <v>0</v>
      </c>
      <c r="F208" s="421">
        <v>0</v>
      </c>
      <c r="G208" s="421">
        <v>0</v>
      </c>
      <c r="H208" s="421">
        <v>0</v>
      </c>
      <c r="I208" s="421">
        <v>0</v>
      </c>
      <c r="J208" s="421">
        <v>8.2571965997470702</v>
      </c>
      <c r="K208" s="421">
        <v>0</v>
      </c>
      <c r="L208" s="421">
        <v>0</v>
      </c>
      <c r="M208" s="421">
        <v>-7.3592264695245797</v>
      </c>
      <c r="N208" s="421">
        <v>0</v>
      </c>
      <c r="O208" s="421">
        <v>0</v>
      </c>
      <c r="P208" s="421">
        <v>0</v>
      </c>
      <c r="Q208" s="421">
        <v>0</v>
      </c>
      <c r="R208" s="421">
        <v>0</v>
      </c>
      <c r="S208" s="429">
        <v>0.89797013022249295</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542.69343279650298</v>
      </c>
      <c r="F210" s="421">
        <v>-537.26649846853797</v>
      </c>
      <c r="G210" s="421">
        <v>0</v>
      </c>
      <c r="H210" s="421">
        <v>0</v>
      </c>
      <c r="I210" s="421">
        <v>0</v>
      </c>
      <c r="J210" s="421">
        <v>0</v>
      </c>
      <c r="K210" s="421">
        <v>0</v>
      </c>
      <c r="L210" s="421">
        <v>0</v>
      </c>
      <c r="M210" s="421">
        <v>0</v>
      </c>
      <c r="N210" s="421">
        <v>0</v>
      </c>
      <c r="O210" s="421">
        <v>0</v>
      </c>
      <c r="P210" s="421">
        <v>0</v>
      </c>
      <c r="Q210" s="421">
        <v>0</v>
      </c>
      <c r="R210" s="421">
        <v>0</v>
      </c>
      <c r="S210" s="429">
        <v>5.4269343279650002</v>
      </c>
      <c r="T210" s="412"/>
    </row>
    <row r="211" spans="2:20" ht="13.5">
      <c r="B211" s="412"/>
      <c r="C211" s="428" t="s">
        <v>354</v>
      </c>
      <c r="D211" s="421">
        <v>0</v>
      </c>
      <c r="E211" s="421">
        <v>0</v>
      </c>
      <c r="F211" s="421">
        <v>0</v>
      </c>
      <c r="G211" s="421">
        <v>0</v>
      </c>
      <c r="H211" s="421">
        <v>0</v>
      </c>
      <c r="I211" s="421">
        <v>0</v>
      </c>
      <c r="J211" s="421">
        <v>38.982913287446898</v>
      </c>
      <c r="K211" s="421">
        <v>0</v>
      </c>
      <c r="L211" s="421">
        <v>-38.982913287446898</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-0.17805542479724401</v>
      </c>
      <c r="M212" s="421">
        <v>0</v>
      </c>
      <c r="N212" s="421">
        <v>0</v>
      </c>
      <c r="O212" s="421">
        <v>0</v>
      </c>
      <c r="P212" s="421">
        <v>0</v>
      </c>
      <c r="Q212" s="421">
        <v>0</v>
      </c>
      <c r="R212" s="421">
        <v>0.25436489256749101</v>
      </c>
      <c r="S212" s="429">
        <v>7.6309467770247302E-2</v>
      </c>
      <c r="T212" s="412"/>
    </row>
    <row r="213" spans="2:20" ht="13.5">
      <c r="B213" s="412"/>
      <c r="C213" s="428" t="s">
        <v>73</v>
      </c>
      <c r="D213" s="421">
        <v>0</v>
      </c>
      <c r="E213" s="421">
        <v>0</v>
      </c>
      <c r="F213" s="421">
        <v>0</v>
      </c>
      <c r="G213" s="421">
        <v>2.4096506208169699</v>
      </c>
      <c r="H213" s="421">
        <v>0</v>
      </c>
      <c r="I213" s="421">
        <v>0</v>
      </c>
      <c r="J213" s="421">
        <v>0</v>
      </c>
      <c r="K213" s="421">
        <v>2.7320301823321701E-2</v>
      </c>
      <c r="L213" s="421">
        <v>0</v>
      </c>
      <c r="M213" s="421">
        <v>4.9176543281978999E-2</v>
      </c>
      <c r="N213" s="421">
        <v>0</v>
      </c>
      <c r="O213" s="421">
        <v>0</v>
      </c>
      <c r="P213" s="421">
        <v>0.257854534062811</v>
      </c>
      <c r="Q213" s="421">
        <v>0</v>
      </c>
      <c r="R213" s="421">
        <v>-1.91242112763252</v>
      </c>
      <c r="S213" s="429">
        <v>0.83158087235256695</v>
      </c>
      <c r="T213" s="412"/>
    </row>
    <row r="214" spans="2:20" ht="13.5">
      <c r="B214" s="412"/>
      <c r="C214" s="428" t="s">
        <v>356</v>
      </c>
      <c r="D214" s="421">
        <v>14.8684370117188</v>
      </c>
      <c r="E214" s="421">
        <v>-18.804327446398801</v>
      </c>
      <c r="F214" s="421">
        <v>24.59494961847</v>
      </c>
      <c r="G214" s="421">
        <v>0</v>
      </c>
      <c r="H214" s="421">
        <v>0</v>
      </c>
      <c r="I214" s="421">
        <v>0</v>
      </c>
      <c r="J214" s="421">
        <v>0</v>
      </c>
      <c r="K214" s="421">
        <v>0</v>
      </c>
      <c r="L214" s="421">
        <v>0</v>
      </c>
      <c r="M214" s="421">
        <v>0</v>
      </c>
      <c r="N214" s="421">
        <v>0</v>
      </c>
      <c r="O214" s="421">
        <v>0</v>
      </c>
      <c r="P214" s="421">
        <v>0</v>
      </c>
      <c r="Q214" s="421">
        <v>0</v>
      </c>
      <c r="R214" s="421">
        <v>0</v>
      </c>
      <c r="S214" s="429">
        <v>20.6590591837899</v>
      </c>
      <c r="T214" s="412"/>
    </row>
    <row r="215" spans="2:20" ht="13.5">
      <c r="B215" s="412"/>
      <c r="C215" s="428" t="s">
        <v>75</v>
      </c>
      <c r="D215" s="421">
        <v>9.9030000000000005</v>
      </c>
      <c r="E215" s="421">
        <v>0</v>
      </c>
      <c r="F215" s="421">
        <v>18.451576715081099</v>
      </c>
      <c r="G215" s="421">
        <v>5.2652116849916704</v>
      </c>
      <c r="H215" s="421">
        <v>0</v>
      </c>
      <c r="I215" s="421">
        <v>0</v>
      </c>
      <c r="J215" s="421">
        <v>0</v>
      </c>
      <c r="K215" s="421">
        <v>0</v>
      </c>
      <c r="L215" s="421">
        <v>0</v>
      </c>
      <c r="M215" s="421">
        <v>0.107453299693708</v>
      </c>
      <c r="N215" s="421">
        <v>0</v>
      </c>
      <c r="O215" s="421">
        <v>0</v>
      </c>
      <c r="P215" s="421">
        <v>33.445009445892197</v>
      </c>
      <c r="Q215" s="421">
        <v>0</v>
      </c>
      <c r="R215" s="421">
        <v>0</v>
      </c>
      <c r="S215" s="429">
        <v>67.172251145658706</v>
      </c>
      <c r="T215" s="412"/>
    </row>
    <row r="216" spans="2:20" ht="13.5">
      <c r="B216" s="412"/>
      <c r="C216" s="428" t="s">
        <v>76</v>
      </c>
      <c r="D216" s="421">
        <v>0</v>
      </c>
      <c r="E216" s="421">
        <v>0</v>
      </c>
      <c r="F216" s="421">
        <v>0</v>
      </c>
      <c r="G216" s="421">
        <v>4.2759141937553897</v>
      </c>
      <c r="H216" s="421">
        <v>0</v>
      </c>
      <c r="I216" s="421">
        <v>0</v>
      </c>
      <c r="J216" s="421">
        <v>0</v>
      </c>
      <c r="K216" s="421">
        <v>0</v>
      </c>
      <c r="L216" s="421">
        <v>0</v>
      </c>
      <c r="M216" s="421">
        <v>8.72635549745997E-2</v>
      </c>
      <c r="N216" s="421">
        <v>0</v>
      </c>
      <c r="O216" s="421">
        <v>0</v>
      </c>
      <c r="P216" s="421">
        <v>41.7590878252594</v>
      </c>
      <c r="Q216" s="421">
        <v>3.1792420694766599</v>
      </c>
      <c r="R216" s="421">
        <v>0</v>
      </c>
      <c r="S216" s="429">
        <v>49.301507643466103</v>
      </c>
      <c r="T216" s="412"/>
    </row>
    <row r="217" spans="2:20" ht="13.5">
      <c r="B217" s="412"/>
      <c r="C217" s="424" t="s">
        <v>77</v>
      </c>
      <c r="D217" s="425">
        <v>26.9719077472853</v>
      </c>
      <c r="E217" s="425">
        <v>523.88910535010405</v>
      </c>
      <c r="F217" s="425">
        <v>-490.35633577135002</v>
      </c>
      <c r="G217" s="425">
        <v>47.431911328762801</v>
      </c>
      <c r="H217" s="425">
        <v>1075</v>
      </c>
      <c r="I217" s="425">
        <v>221.33</v>
      </c>
      <c r="J217" s="425">
        <v>85.058168862653105</v>
      </c>
      <c r="K217" s="425">
        <v>19.444713453487601</v>
      </c>
      <c r="L217" s="425">
        <v>-39.160968712244099</v>
      </c>
      <c r="M217" s="425">
        <v>-6.3912282791416599</v>
      </c>
      <c r="N217" s="425">
        <v>0</v>
      </c>
      <c r="O217" s="425">
        <v>2.24538394933181</v>
      </c>
      <c r="P217" s="425">
        <v>-523.51823711263</v>
      </c>
      <c r="Q217" s="425">
        <v>-37.848119874722101</v>
      </c>
      <c r="R217" s="425">
        <v>-1.6580562350650301</v>
      </c>
      <c r="S217" s="425">
        <v>902.43824470647201</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5.6972080479890099</v>
      </c>
      <c r="E219" s="421">
        <v>0</v>
      </c>
      <c r="F219" s="421">
        <v>22.817179327139399</v>
      </c>
      <c r="G219" s="421">
        <v>101.760565699211</v>
      </c>
      <c r="H219" s="421">
        <v>0</v>
      </c>
      <c r="I219" s="421">
        <v>0</v>
      </c>
      <c r="J219" s="421">
        <v>17.084919933372099</v>
      </c>
      <c r="K219" s="421">
        <v>4.2228886849058398</v>
      </c>
      <c r="L219" s="421">
        <v>0.85605592578125</v>
      </c>
      <c r="M219" s="421">
        <v>2.0767462387593998</v>
      </c>
      <c r="N219" s="421">
        <v>0</v>
      </c>
      <c r="O219" s="421">
        <v>0</v>
      </c>
      <c r="P219" s="421">
        <v>106.33530498490499</v>
      </c>
      <c r="Q219" s="421">
        <v>18.005489076637701</v>
      </c>
      <c r="R219" s="421">
        <v>0.24596269226074199</v>
      </c>
      <c r="S219" s="429">
        <v>279.10232061096099</v>
      </c>
      <c r="T219" s="412"/>
    </row>
    <row r="220" spans="2:20" ht="13.5">
      <c r="B220" s="412"/>
      <c r="C220" s="428" t="s">
        <v>79</v>
      </c>
      <c r="D220" s="421">
        <v>0</v>
      </c>
      <c r="E220" s="421">
        <v>0</v>
      </c>
      <c r="F220" s="421">
        <v>271.89503343589303</v>
      </c>
      <c r="G220" s="421">
        <v>24.4531369544524</v>
      </c>
      <c r="H220" s="421">
        <v>0</v>
      </c>
      <c r="I220" s="421">
        <v>0</v>
      </c>
      <c r="J220" s="421">
        <v>0</v>
      </c>
      <c r="K220" s="421">
        <v>0</v>
      </c>
      <c r="L220" s="421">
        <v>27.563506802016501</v>
      </c>
      <c r="M220" s="421">
        <v>0.49904361131535402</v>
      </c>
      <c r="N220" s="421">
        <v>0</v>
      </c>
      <c r="O220" s="421">
        <v>0</v>
      </c>
      <c r="P220" s="421">
        <v>44.076672693209503</v>
      </c>
      <c r="Q220" s="421">
        <v>0</v>
      </c>
      <c r="R220" s="421">
        <v>1.1183354617496</v>
      </c>
      <c r="S220" s="429">
        <v>369.60572895863697</v>
      </c>
      <c r="T220" s="412"/>
    </row>
    <row r="221" spans="2:20" ht="13.5">
      <c r="B221" s="412"/>
      <c r="C221" s="428" t="s">
        <v>80</v>
      </c>
      <c r="D221" s="421">
        <v>0</v>
      </c>
      <c r="E221" s="421">
        <v>0</v>
      </c>
      <c r="F221" s="421">
        <v>24.3021024292247</v>
      </c>
      <c r="G221" s="421">
        <v>117.69678632039</v>
      </c>
      <c r="H221" s="421">
        <v>0</v>
      </c>
      <c r="I221" s="421">
        <v>0</v>
      </c>
      <c r="J221" s="421">
        <v>73.828773979634093</v>
      </c>
      <c r="K221" s="421">
        <v>0</v>
      </c>
      <c r="L221" s="421">
        <v>0</v>
      </c>
      <c r="M221" s="421">
        <v>2.4019752310283602</v>
      </c>
      <c r="N221" s="421">
        <v>47.128746569474501</v>
      </c>
      <c r="O221" s="421">
        <v>0.960766193181818</v>
      </c>
      <c r="P221" s="421">
        <v>176.67464437802599</v>
      </c>
      <c r="Q221" s="421">
        <v>15.6460082308098</v>
      </c>
      <c r="R221" s="421">
        <v>0</v>
      </c>
      <c r="S221" s="429">
        <v>458.63980333176897</v>
      </c>
      <c r="T221" s="412"/>
    </row>
    <row r="222" spans="2:20" ht="13.5">
      <c r="B222" s="412"/>
      <c r="C222" s="428" t="s">
        <v>81</v>
      </c>
      <c r="D222" s="421">
        <v>0</v>
      </c>
      <c r="E222" s="421">
        <v>0</v>
      </c>
      <c r="F222" s="421">
        <v>10.1168071467599</v>
      </c>
      <c r="G222" s="421">
        <v>64.901290043876799</v>
      </c>
      <c r="H222" s="421">
        <v>0</v>
      </c>
      <c r="I222" s="421">
        <v>0</v>
      </c>
      <c r="J222" s="421">
        <v>3.5137864042396001</v>
      </c>
      <c r="K222" s="421">
        <v>0</v>
      </c>
      <c r="L222" s="421">
        <v>0</v>
      </c>
      <c r="M222" s="421">
        <v>1.32451612334442</v>
      </c>
      <c r="N222" s="421">
        <v>6.7545563022467299</v>
      </c>
      <c r="O222" s="421">
        <v>0.80925156664740405</v>
      </c>
      <c r="P222" s="421">
        <v>134.394459446703</v>
      </c>
      <c r="Q222" s="421">
        <v>4.1966225672745496</v>
      </c>
      <c r="R222" s="421">
        <v>0</v>
      </c>
      <c r="S222" s="429">
        <v>226.01128960109199</v>
      </c>
      <c r="T222" s="412"/>
    </row>
    <row r="223" spans="2:20" ht="13.5">
      <c r="B223" s="412"/>
      <c r="C223" s="428" t="s">
        <v>82</v>
      </c>
      <c r="D223" s="421">
        <v>0</v>
      </c>
      <c r="E223" s="421">
        <v>0</v>
      </c>
      <c r="F223" s="421">
        <v>18.642153643202501</v>
      </c>
      <c r="G223" s="421">
        <v>4.3584066600117204</v>
      </c>
      <c r="H223" s="421">
        <v>0</v>
      </c>
      <c r="I223" s="421">
        <v>0</v>
      </c>
      <c r="J223" s="421">
        <v>1.13166062537042</v>
      </c>
      <c r="K223" s="421">
        <v>0</v>
      </c>
      <c r="L223" s="421">
        <v>9.8804671183263206</v>
      </c>
      <c r="M223" s="421">
        <v>8.8947074694116696E-2</v>
      </c>
      <c r="N223" s="421">
        <v>0</v>
      </c>
      <c r="O223" s="421">
        <v>7.8328904674825395E-2</v>
      </c>
      <c r="P223" s="421">
        <v>7.9375945805684101</v>
      </c>
      <c r="Q223" s="421">
        <v>0</v>
      </c>
      <c r="R223" s="421">
        <v>0</v>
      </c>
      <c r="S223" s="429">
        <v>42.117558606848299</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ht="13.5">
      <c r="B225" s="412"/>
      <c r="C225" s="424" t="s">
        <v>83</v>
      </c>
      <c r="D225" s="425">
        <v>5.6972080479890099</v>
      </c>
      <c r="E225" s="425">
        <v>0</v>
      </c>
      <c r="F225" s="425">
        <v>347.77327598222001</v>
      </c>
      <c r="G225" s="425">
        <v>313.17018567794099</v>
      </c>
      <c r="H225" s="425">
        <v>0</v>
      </c>
      <c r="I225" s="425">
        <v>0</v>
      </c>
      <c r="J225" s="425">
        <v>95.559140942616196</v>
      </c>
      <c r="K225" s="425">
        <v>4.2228886849058398</v>
      </c>
      <c r="L225" s="425">
        <v>38.300029846123998</v>
      </c>
      <c r="M225" s="425">
        <v>6.3912282791416599</v>
      </c>
      <c r="N225" s="425">
        <v>53.883302871721199</v>
      </c>
      <c r="O225" s="425">
        <v>1.8483466645040501</v>
      </c>
      <c r="P225" s="425">
        <v>469.41867608341198</v>
      </c>
      <c r="Q225" s="425">
        <v>37.848119874722101</v>
      </c>
      <c r="R225" s="425">
        <v>1.36429815401034</v>
      </c>
      <c r="S225" s="425">
        <v>1375.4767011093099</v>
      </c>
      <c r="T225" s="412"/>
    </row>
    <row r="226" spans="2:20" ht="13.5">
      <c r="B226" s="412"/>
      <c r="C226" s="420" t="s">
        <v>84</v>
      </c>
      <c r="D226" s="421">
        <v>2.2600859375</v>
      </c>
      <c r="E226" s="421">
        <v>0</v>
      </c>
      <c r="F226" s="421">
        <v>137.93569857611899</v>
      </c>
      <c r="G226" s="421">
        <v>12.394041976947101</v>
      </c>
      <c r="H226" s="421">
        <v>0</v>
      </c>
      <c r="I226" s="421">
        <v>0</v>
      </c>
      <c r="J226" s="421">
        <v>0</v>
      </c>
      <c r="K226" s="421">
        <v>0</v>
      </c>
      <c r="L226" s="421">
        <v>0</v>
      </c>
      <c r="M226" s="421">
        <v>0</v>
      </c>
      <c r="N226" s="421">
        <v>0</v>
      </c>
      <c r="O226" s="421">
        <v>0</v>
      </c>
      <c r="P226" s="421">
        <v>0</v>
      </c>
      <c r="Q226" s="421">
        <v>0</v>
      </c>
      <c r="R226" s="421">
        <v>0.29375808105468698</v>
      </c>
      <c r="S226" s="429">
        <v>152.88358457162099</v>
      </c>
      <c r="T226" s="412"/>
    </row>
    <row r="227" spans="2:20" ht="13.5">
      <c r="B227" s="412"/>
      <c r="C227" s="424" t="s">
        <v>85</v>
      </c>
      <c r="D227" s="425">
        <v>7.9572939854890103</v>
      </c>
      <c r="E227" s="425">
        <v>0</v>
      </c>
      <c r="F227" s="425">
        <v>485.70897455833898</v>
      </c>
      <c r="G227" s="425">
        <v>325.56422765488799</v>
      </c>
      <c r="H227" s="425">
        <v>0</v>
      </c>
      <c r="I227" s="425">
        <v>0</v>
      </c>
      <c r="J227" s="425">
        <v>95.559140942616196</v>
      </c>
      <c r="K227" s="425">
        <v>4.2228886849058398</v>
      </c>
      <c r="L227" s="425">
        <v>38.300029846123998</v>
      </c>
      <c r="M227" s="425">
        <v>6.3912282791416599</v>
      </c>
      <c r="N227" s="425">
        <v>53.883302871721199</v>
      </c>
      <c r="O227" s="425">
        <v>1.8483466645040501</v>
      </c>
      <c r="P227" s="425">
        <v>469.41867608341198</v>
      </c>
      <c r="Q227" s="425">
        <v>37.848119874722101</v>
      </c>
      <c r="R227" s="425">
        <v>1.6580562350650301</v>
      </c>
      <c r="S227" s="425">
        <v>1528.36028568093</v>
      </c>
      <c r="T227" s="412"/>
    </row>
    <row r="228" spans="2:20">
      <c r="B228" s="412"/>
      <c r="C228" s="412"/>
      <c r="D228" s="430">
        <f t="shared" ref="D228:S228" si="5">D227+D217-D203</f>
        <v>0</v>
      </c>
      <c r="E228" s="430">
        <f t="shared" si="5"/>
        <v>0</v>
      </c>
      <c r="F228" s="430">
        <f t="shared" si="5"/>
        <v>-1.6786572132332367E-13</v>
      </c>
      <c r="G228" s="430">
        <f t="shared" si="5"/>
        <v>0</v>
      </c>
      <c r="H228" s="430">
        <f t="shared" si="5"/>
        <v>0</v>
      </c>
      <c r="I228" s="430">
        <f t="shared" si="5"/>
        <v>0</v>
      </c>
      <c r="J228" s="430">
        <f t="shared" si="5"/>
        <v>3.1263880373444408E-13</v>
      </c>
      <c r="K228" s="430">
        <f t="shared" si="5"/>
        <v>4.2632564145606011E-14</v>
      </c>
      <c r="L228" s="430">
        <f t="shared" si="5"/>
        <v>2.6090241078691179E-14</v>
      </c>
      <c r="M228" s="430">
        <f t="shared" si="5"/>
        <v>0</v>
      </c>
      <c r="N228" s="430">
        <f t="shared" si="5"/>
        <v>0</v>
      </c>
      <c r="O228" s="430">
        <f t="shared" si="5"/>
        <v>0</v>
      </c>
      <c r="P228" s="430">
        <f t="shared" si="5"/>
        <v>3.765876499528531E-13</v>
      </c>
      <c r="Q228" s="430">
        <f t="shared" si="5"/>
        <v>0</v>
      </c>
      <c r="R228" s="430">
        <f t="shared" si="5"/>
        <v>0</v>
      </c>
      <c r="S228" s="430">
        <f t="shared" si="5"/>
        <v>0</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362</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2.3260000000000001</v>
      </c>
      <c r="F234" s="421">
        <v>0</v>
      </c>
      <c r="G234" s="421">
        <v>3.7215999999999999E-2</v>
      </c>
      <c r="H234" s="422">
        <v>1005.45454545455</v>
      </c>
      <c r="I234" s="422">
        <v>246.08</v>
      </c>
      <c r="J234" s="422">
        <v>180.45818950373001</v>
      </c>
      <c r="K234" s="422">
        <v>23.324330540101599</v>
      </c>
      <c r="L234" s="421">
        <v>0</v>
      </c>
      <c r="M234" s="421">
        <v>0</v>
      </c>
      <c r="N234" s="422">
        <v>57.2465959754038</v>
      </c>
      <c r="O234" s="422">
        <v>4.06931439737036</v>
      </c>
      <c r="P234" s="421">
        <v>0</v>
      </c>
      <c r="Q234" s="421">
        <v>0</v>
      </c>
      <c r="R234" s="421">
        <v>0</v>
      </c>
      <c r="S234" s="423">
        <v>1518.9961918711499</v>
      </c>
      <c r="T234" s="412"/>
    </row>
    <row r="235" spans="2:20" ht="13.5">
      <c r="B235" s="412"/>
      <c r="C235" s="420" t="s">
        <v>60</v>
      </c>
      <c r="D235" s="421">
        <v>33.607567251657201</v>
      </c>
      <c r="E235" s="421">
        <v>509.74501402008298</v>
      </c>
      <c r="F235" s="421">
        <v>72.737164762837693</v>
      </c>
      <c r="G235" s="421">
        <v>374.55851469184501</v>
      </c>
      <c r="H235" s="421">
        <v>0</v>
      </c>
      <c r="I235" s="421">
        <v>0</v>
      </c>
      <c r="J235" s="421">
        <v>0</v>
      </c>
      <c r="K235" s="421">
        <v>0</v>
      </c>
      <c r="L235" s="421">
        <v>0</v>
      </c>
      <c r="M235" s="421">
        <v>0</v>
      </c>
      <c r="N235" s="421">
        <v>0</v>
      </c>
      <c r="O235" s="421">
        <v>0</v>
      </c>
      <c r="P235" s="421">
        <v>0</v>
      </c>
      <c r="Q235" s="421">
        <v>0</v>
      </c>
      <c r="R235" s="421">
        <v>0</v>
      </c>
      <c r="S235" s="423">
        <v>990.64826072642302</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-40.599613583103199</v>
      </c>
      <c r="Q236" s="421">
        <v>0</v>
      </c>
      <c r="R236" s="421">
        <v>0</v>
      </c>
      <c r="S236" s="423">
        <v>-40.599613583103199</v>
      </c>
      <c r="T236" s="412"/>
    </row>
    <row r="237" spans="2:20" ht="13.5">
      <c r="B237" s="412"/>
      <c r="C237" s="420" t="s">
        <v>62</v>
      </c>
      <c r="D237" s="421">
        <v>0</v>
      </c>
      <c r="E237" s="421">
        <v>0</v>
      </c>
      <c r="F237" s="421">
        <v>-16.016991189558802</v>
      </c>
      <c r="G237" s="421">
        <v>0</v>
      </c>
      <c r="H237" s="421">
        <v>0</v>
      </c>
      <c r="I237" s="421">
        <v>0</v>
      </c>
      <c r="J237" s="421">
        <v>0</v>
      </c>
      <c r="K237" s="421">
        <v>0</v>
      </c>
      <c r="L237" s="421">
        <v>0</v>
      </c>
      <c r="M237" s="421">
        <v>0</v>
      </c>
      <c r="N237" s="421">
        <v>0</v>
      </c>
      <c r="O237" s="421">
        <v>0</v>
      </c>
      <c r="P237" s="421">
        <v>0</v>
      </c>
      <c r="Q237" s="421">
        <v>0</v>
      </c>
      <c r="R237" s="421">
        <v>0</v>
      </c>
      <c r="S237" s="423">
        <v>-16.016991189558802</v>
      </c>
      <c r="T237" s="412"/>
    </row>
    <row r="238" spans="2:20" ht="13.5">
      <c r="B238" s="412"/>
      <c r="C238" s="420" t="s">
        <v>63</v>
      </c>
      <c r="D238" s="421">
        <v>0</v>
      </c>
      <c r="E238" s="421">
        <v>0</v>
      </c>
      <c r="F238" s="421">
        <v>-85.292767146842095</v>
      </c>
      <c r="G238" s="421">
        <v>0</v>
      </c>
      <c r="H238" s="421">
        <v>0</v>
      </c>
      <c r="I238" s="421">
        <v>0</v>
      </c>
      <c r="J238" s="421">
        <v>0</v>
      </c>
      <c r="K238" s="421">
        <v>0</v>
      </c>
      <c r="L238" s="421">
        <v>-0.88147124718821601</v>
      </c>
      <c r="M238" s="421">
        <v>0</v>
      </c>
      <c r="N238" s="421">
        <v>0</v>
      </c>
      <c r="O238" s="421">
        <v>0</v>
      </c>
      <c r="P238" s="421">
        <v>0</v>
      </c>
      <c r="Q238" s="421">
        <v>0</v>
      </c>
      <c r="R238" s="421">
        <v>0</v>
      </c>
      <c r="S238" s="423">
        <v>-86.174238394030297</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33.607567251657201</v>
      </c>
      <c r="E240" s="425">
        <v>512.071014020083</v>
      </c>
      <c r="F240" s="425">
        <v>-28.5725935735632</v>
      </c>
      <c r="G240" s="425">
        <v>374.59573069184501</v>
      </c>
      <c r="H240" s="425">
        <v>1005.45454545455</v>
      </c>
      <c r="I240" s="425">
        <v>246.08</v>
      </c>
      <c r="J240" s="425">
        <v>180.45818950373001</v>
      </c>
      <c r="K240" s="425">
        <v>23.324330540101599</v>
      </c>
      <c r="L240" s="425">
        <v>-0.88147124718821601</v>
      </c>
      <c r="M240" s="425">
        <v>0</v>
      </c>
      <c r="N240" s="425">
        <v>57.2465959754038</v>
      </c>
      <c r="O240" s="425">
        <v>4.06931439737036</v>
      </c>
      <c r="P240" s="425">
        <v>-40.599613583103199</v>
      </c>
      <c r="Q240" s="425">
        <v>0</v>
      </c>
      <c r="R240" s="425">
        <v>0</v>
      </c>
      <c r="S240" s="425">
        <v>2366.8536094308802</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2.2004707355665598</v>
      </c>
      <c r="E243" s="421">
        <v>0</v>
      </c>
      <c r="F243" s="421">
        <v>3.8636363636363602</v>
      </c>
      <c r="G243" s="421">
        <v>17.955675135092299</v>
      </c>
      <c r="H243" s="421">
        <v>1005.45454545455</v>
      </c>
      <c r="I243" s="421">
        <v>246.08</v>
      </c>
      <c r="J243" s="421">
        <v>24.057674539507001</v>
      </c>
      <c r="K243" s="421">
        <v>6.4003284253933197</v>
      </c>
      <c r="L243" s="421">
        <v>0</v>
      </c>
      <c r="M243" s="421">
        <v>0.366442349695761</v>
      </c>
      <c r="N243" s="421">
        <v>0</v>
      </c>
      <c r="O243" s="421">
        <v>0</v>
      </c>
      <c r="P243" s="421">
        <v>-600.72360696632904</v>
      </c>
      <c r="Q243" s="421">
        <v>0</v>
      </c>
      <c r="R243" s="421">
        <v>0</v>
      </c>
      <c r="S243" s="429">
        <v>705.65516603710796</v>
      </c>
      <c r="T243" s="412"/>
    </row>
    <row r="244" spans="2:20" ht="13.5">
      <c r="B244" s="412"/>
      <c r="C244" s="428" t="s">
        <v>351</v>
      </c>
      <c r="D244" s="421">
        <v>0</v>
      </c>
      <c r="E244" s="421">
        <v>0</v>
      </c>
      <c r="F244" s="421">
        <v>0</v>
      </c>
      <c r="G244" s="421">
        <v>17.1879921419563</v>
      </c>
      <c r="H244" s="421">
        <v>0</v>
      </c>
      <c r="I244" s="421">
        <v>0</v>
      </c>
      <c r="J244" s="421">
        <v>12.682834988028199</v>
      </c>
      <c r="K244" s="421">
        <v>12.7191917514679</v>
      </c>
      <c r="L244" s="421">
        <v>0</v>
      </c>
      <c r="M244" s="421">
        <v>0.35077534983584302</v>
      </c>
      <c r="N244" s="421">
        <v>0</v>
      </c>
      <c r="O244" s="421">
        <v>2.2454573880541999</v>
      </c>
      <c r="P244" s="421">
        <v>0</v>
      </c>
      <c r="Q244" s="421">
        <v>-41.0285859229053</v>
      </c>
      <c r="R244" s="421">
        <v>0</v>
      </c>
      <c r="S244" s="429">
        <v>4.1576656964370899</v>
      </c>
      <c r="T244" s="412"/>
    </row>
    <row r="245" spans="2:20" ht="13.5">
      <c r="B245" s="412"/>
      <c r="C245" s="428" t="s">
        <v>352</v>
      </c>
      <c r="D245" s="421">
        <v>0</v>
      </c>
      <c r="E245" s="421">
        <v>0</v>
      </c>
      <c r="F245" s="421">
        <v>0</v>
      </c>
      <c r="G245" s="421">
        <v>0</v>
      </c>
      <c r="H245" s="421">
        <v>0</v>
      </c>
      <c r="I245" s="421">
        <v>0</v>
      </c>
      <c r="J245" s="421">
        <v>8.1791621467337805</v>
      </c>
      <c r="K245" s="421">
        <v>0</v>
      </c>
      <c r="L245" s="421">
        <v>0</v>
      </c>
      <c r="M245" s="421">
        <v>-7.3939625806473401</v>
      </c>
      <c r="N245" s="421">
        <v>0</v>
      </c>
      <c r="O245" s="421">
        <v>0</v>
      </c>
      <c r="P245" s="421">
        <v>0</v>
      </c>
      <c r="Q245" s="421">
        <v>0</v>
      </c>
      <c r="R245" s="421">
        <v>0</v>
      </c>
      <c r="S245" s="429">
        <v>0.78519956608644204</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530.45114623720201</v>
      </c>
      <c r="F247" s="421">
        <v>-525.14663477482998</v>
      </c>
      <c r="G247" s="421">
        <v>0</v>
      </c>
      <c r="H247" s="421">
        <v>0</v>
      </c>
      <c r="I247" s="421">
        <v>0</v>
      </c>
      <c r="J247" s="421">
        <v>0</v>
      </c>
      <c r="K247" s="421">
        <v>0</v>
      </c>
      <c r="L247" s="421">
        <v>0</v>
      </c>
      <c r="M247" s="421">
        <v>0</v>
      </c>
      <c r="N247" s="421">
        <v>0</v>
      </c>
      <c r="O247" s="421">
        <v>0</v>
      </c>
      <c r="P247" s="421">
        <v>0</v>
      </c>
      <c r="Q247" s="421">
        <v>0</v>
      </c>
      <c r="R247" s="421">
        <v>0</v>
      </c>
      <c r="S247" s="429">
        <v>5.3045114623720302</v>
      </c>
      <c r="T247" s="412"/>
    </row>
    <row r="248" spans="2:20" ht="13.5">
      <c r="B248" s="412"/>
      <c r="C248" s="428" t="s">
        <v>354</v>
      </c>
      <c r="D248" s="421">
        <v>0</v>
      </c>
      <c r="E248" s="421">
        <v>0</v>
      </c>
      <c r="F248" s="421">
        <v>0</v>
      </c>
      <c r="G248" s="421">
        <v>0</v>
      </c>
      <c r="H248" s="421">
        <v>0</v>
      </c>
      <c r="I248" s="421">
        <v>0</v>
      </c>
      <c r="J248" s="421">
        <v>39.445597700089998</v>
      </c>
      <c r="K248" s="421">
        <v>0</v>
      </c>
      <c r="L248" s="421">
        <v>-39.445597700089998</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-0.18005031965795901</v>
      </c>
      <c r="M249" s="421">
        <v>0</v>
      </c>
      <c r="N249" s="421">
        <v>0</v>
      </c>
      <c r="O249" s="421">
        <v>0</v>
      </c>
      <c r="P249" s="421">
        <v>0</v>
      </c>
      <c r="Q249" s="421">
        <v>0</v>
      </c>
      <c r="R249" s="421">
        <v>0.25721474236851299</v>
      </c>
      <c r="S249" s="429">
        <v>7.7164422710554001E-2</v>
      </c>
      <c r="T249" s="412"/>
    </row>
    <row r="250" spans="2:20" ht="13.5">
      <c r="B250" s="412"/>
      <c r="C250" s="428" t="s">
        <v>73</v>
      </c>
      <c r="D250" s="421">
        <v>0</v>
      </c>
      <c r="E250" s="421">
        <v>0</v>
      </c>
      <c r="F250" s="421">
        <v>0</v>
      </c>
      <c r="G250" s="421">
        <v>3.2927955650537002</v>
      </c>
      <c r="H250" s="421">
        <v>0</v>
      </c>
      <c r="I250" s="421">
        <v>0</v>
      </c>
      <c r="J250" s="421">
        <v>0</v>
      </c>
      <c r="K250" s="421">
        <v>3.7583841997143097E-2</v>
      </c>
      <c r="L250" s="421">
        <v>0</v>
      </c>
      <c r="M250" s="421">
        <v>6.7199909490891899E-2</v>
      </c>
      <c r="N250" s="421">
        <v>0</v>
      </c>
      <c r="O250" s="421">
        <v>0</v>
      </c>
      <c r="P250" s="421">
        <v>0.37251241625487003</v>
      </c>
      <c r="Q250" s="421">
        <v>0</v>
      </c>
      <c r="R250" s="421">
        <v>-2.63086893980002</v>
      </c>
      <c r="S250" s="429">
        <v>1.1392227929965899</v>
      </c>
      <c r="T250" s="412"/>
    </row>
    <row r="251" spans="2:20" ht="13.5">
      <c r="B251" s="412"/>
      <c r="C251" s="428" t="s">
        <v>356</v>
      </c>
      <c r="D251" s="421">
        <v>14.1944855957031</v>
      </c>
      <c r="E251" s="421">
        <v>-18.380132217119101</v>
      </c>
      <c r="F251" s="421">
        <v>24.040127313749402</v>
      </c>
      <c r="G251" s="421">
        <v>0</v>
      </c>
      <c r="H251" s="421">
        <v>0</v>
      </c>
      <c r="I251" s="421">
        <v>0</v>
      </c>
      <c r="J251" s="421">
        <v>0</v>
      </c>
      <c r="K251" s="421">
        <v>0</v>
      </c>
      <c r="L251" s="421">
        <v>0</v>
      </c>
      <c r="M251" s="421">
        <v>0</v>
      </c>
      <c r="N251" s="421">
        <v>0</v>
      </c>
      <c r="O251" s="421">
        <v>0</v>
      </c>
      <c r="P251" s="421">
        <v>0</v>
      </c>
      <c r="Q251" s="421">
        <v>0</v>
      </c>
      <c r="R251" s="421">
        <v>0</v>
      </c>
      <c r="S251" s="429">
        <v>19.8544806923335</v>
      </c>
      <c r="T251" s="412"/>
    </row>
    <row r="252" spans="2:20" ht="13.5">
      <c r="B252" s="412"/>
      <c r="C252" s="428" t="s">
        <v>75</v>
      </c>
      <c r="D252" s="421">
        <v>9.7861113281249992</v>
      </c>
      <c r="E252" s="421">
        <v>0</v>
      </c>
      <c r="F252" s="421">
        <v>18.035338972064899</v>
      </c>
      <c r="G252" s="421">
        <v>5.1464370207933401</v>
      </c>
      <c r="H252" s="421">
        <v>0</v>
      </c>
      <c r="I252" s="421">
        <v>0</v>
      </c>
      <c r="J252" s="421">
        <v>0</v>
      </c>
      <c r="K252" s="421">
        <v>0</v>
      </c>
      <c r="L252" s="421">
        <v>0</v>
      </c>
      <c r="M252" s="421">
        <v>0.105029326954966</v>
      </c>
      <c r="N252" s="421">
        <v>0</v>
      </c>
      <c r="O252" s="421">
        <v>0</v>
      </c>
      <c r="P252" s="421">
        <v>31.7730894392256</v>
      </c>
      <c r="Q252" s="421">
        <v>0</v>
      </c>
      <c r="R252" s="421">
        <v>0</v>
      </c>
      <c r="S252" s="429">
        <v>64.846006087163701</v>
      </c>
      <c r="T252" s="412"/>
    </row>
    <row r="253" spans="2:20" ht="13.5">
      <c r="B253" s="412"/>
      <c r="C253" s="428" t="s">
        <v>76</v>
      </c>
      <c r="D253" s="421">
        <v>0</v>
      </c>
      <c r="E253" s="421">
        <v>0</v>
      </c>
      <c r="F253" s="421">
        <v>0</v>
      </c>
      <c r="G253" s="421">
        <v>4.2960968353958799</v>
      </c>
      <c r="H253" s="421">
        <v>0</v>
      </c>
      <c r="I253" s="421">
        <v>0</v>
      </c>
      <c r="J253" s="421">
        <v>0</v>
      </c>
      <c r="K253" s="421">
        <v>0</v>
      </c>
      <c r="L253" s="421">
        <v>0</v>
      </c>
      <c r="M253" s="421">
        <v>8.7675445620324199E-2</v>
      </c>
      <c r="N253" s="421">
        <v>0</v>
      </c>
      <c r="O253" s="421">
        <v>0</v>
      </c>
      <c r="P253" s="421">
        <v>42.927323592620297</v>
      </c>
      <c r="Q253" s="421">
        <v>3.1793369165350902</v>
      </c>
      <c r="R253" s="421">
        <v>0</v>
      </c>
      <c r="S253" s="429">
        <v>50.490432790171603</v>
      </c>
      <c r="T253" s="412"/>
    </row>
    <row r="254" spans="2:20" ht="13.5">
      <c r="B254" s="412"/>
      <c r="C254" s="424" t="s">
        <v>77</v>
      </c>
      <c r="D254" s="425">
        <v>26.181067659394699</v>
      </c>
      <c r="E254" s="425">
        <v>512.071014020083</v>
      </c>
      <c r="F254" s="425">
        <v>-479.20753212538</v>
      </c>
      <c r="G254" s="425">
        <v>47.878996698291502</v>
      </c>
      <c r="H254" s="425">
        <v>1005.45454545455</v>
      </c>
      <c r="I254" s="425">
        <v>246.08</v>
      </c>
      <c r="J254" s="425">
        <v>84.365269374358903</v>
      </c>
      <c r="K254" s="425">
        <v>19.157104018858298</v>
      </c>
      <c r="L254" s="425">
        <v>-39.625648019747899</v>
      </c>
      <c r="M254" s="425">
        <v>-6.4168401990495498</v>
      </c>
      <c r="N254" s="425">
        <v>0</v>
      </c>
      <c r="O254" s="425">
        <v>2.2454573880541999</v>
      </c>
      <c r="P254" s="425">
        <v>-525.650681518228</v>
      </c>
      <c r="Q254" s="425">
        <v>-37.849249006370201</v>
      </c>
      <c r="R254" s="425">
        <v>-2.37365419743151</v>
      </c>
      <c r="S254" s="425">
        <v>852.30984954737903</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5.2125076489031201</v>
      </c>
      <c r="E256" s="421">
        <v>0</v>
      </c>
      <c r="F256" s="421">
        <v>21.727756673907599</v>
      </c>
      <c r="G256" s="421">
        <v>101.51924937784101</v>
      </c>
      <c r="H256" s="421">
        <v>0</v>
      </c>
      <c r="I256" s="421">
        <v>0</v>
      </c>
      <c r="J256" s="421">
        <v>17.0707077986517</v>
      </c>
      <c r="K256" s="421">
        <v>4.1672265212432702</v>
      </c>
      <c r="L256" s="421">
        <v>0.85564616601562504</v>
      </c>
      <c r="M256" s="421">
        <v>2.07182141587431</v>
      </c>
      <c r="N256" s="421">
        <v>0</v>
      </c>
      <c r="O256" s="421">
        <v>0</v>
      </c>
      <c r="P256" s="421">
        <v>108.651427718851</v>
      </c>
      <c r="Q256" s="421">
        <v>18.253539143187599</v>
      </c>
      <c r="R256" s="421">
        <v>0.245581359863281</v>
      </c>
      <c r="S256" s="429">
        <v>279.775463824339</v>
      </c>
      <c r="T256" s="412"/>
    </row>
    <row r="257" spans="2:20" ht="13.5">
      <c r="B257" s="412"/>
      <c r="C257" s="428" t="s">
        <v>79</v>
      </c>
      <c r="D257" s="421">
        <v>0</v>
      </c>
      <c r="E257" s="421">
        <v>0</v>
      </c>
      <c r="F257" s="421">
        <v>248.35405318252</v>
      </c>
      <c r="G257" s="421">
        <v>28.348372671164501</v>
      </c>
      <c r="H257" s="421">
        <v>0</v>
      </c>
      <c r="I257" s="421">
        <v>0</v>
      </c>
      <c r="J257" s="421">
        <v>0</v>
      </c>
      <c r="K257" s="421">
        <v>0</v>
      </c>
      <c r="L257" s="421">
        <v>25.168184235978501</v>
      </c>
      <c r="M257" s="421">
        <v>0.57853821777886805</v>
      </c>
      <c r="N257" s="421">
        <v>0</v>
      </c>
      <c r="O257" s="421">
        <v>0</v>
      </c>
      <c r="P257" s="421">
        <v>52.469592014343696</v>
      </c>
      <c r="Q257" s="421">
        <v>0</v>
      </c>
      <c r="R257" s="421">
        <v>1.65835229069323</v>
      </c>
      <c r="S257" s="429">
        <v>356.57709261247902</v>
      </c>
      <c r="T257" s="412"/>
    </row>
    <row r="258" spans="2:20" ht="13.5">
      <c r="B258" s="412"/>
      <c r="C258" s="428" t="s">
        <v>80</v>
      </c>
      <c r="D258" s="421">
        <v>0</v>
      </c>
      <c r="E258" s="421">
        <v>0</v>
      </c>
      <c r="F258" s="421">
        <v>20.256761512665399</v>
      </c>
      <c r="G258" s="421">
        <v>114.236246094908</v>
      </c>
      <c r="H258" s="421">
        <v>0</v>
      </c>
      <c r="I258" s="421">
        <v>0</v>
      </c>
      <c r="J258" s="421">
        <v>74.165421932581495</v>
      </c>
      <c r="K258" s="421">
        <v>0</v>
      </c>
      <c r="L258" s="421">
        <v>0</v>
      </c>
      <c r="M258" s="421">
        <v>2.3313519611205602</v>
      </c>
      <c r="N258" s="421">
        <v>50.603124329176602</v>
      </c>
      <c r="O258" s="421">
        <v>0.95734789320939595</v>
      </c>
      <c r="P258" s="421">
        <v>178.886337281088</v>
      </c>
      <c r="Q258" s="421">
        <v>15.5186626122163</v>
      </c>
      <c r="R258" s="421">
        <v>0</v>
      </c>
      <c r="S258" s="429">
        <v>456.95525361696502</v>
      </c>
      <c r="T258" s="412"/>
    </row>
    <row r="259" spans="2:20" ht="13.5">
      <c r="B259" s="412"/>
      <c r="C259" s="428" t="s">
        <v>81</v>
      </c>
      <c r="D259" s="421">
        <v>0</v>
      </c>
      <c r="E259" s="421">
        <v>0</v>
      </c>
      <c r="F259" s="421">
        <v>8.4821062063849304</v>
      </c>
      <c r="G259" s="421">
        <v>65.4970920681791</v>
      </c>
      <c r="H259" s="421">
        <v>0</v>
      </c>
      <c r="I259" s="421">
        <v>0</v>
      </c>
      <c r="J259" s="421">
        <v>3.4528006603112198</v>
      </c>
      <c r="K259" s="421">
        <v>0</v>
      </c>
      <c r="L259" s="421">
        <v>0</v>
      </c>
      <c r="M259" s="421">
        <v>1.3366753483301901</v>
      </c>
      <c r="N259" s="421">
        <v>6.6434716462271597</v>
      </c>
      <c r="O259" s="421">
        <v>0.79174204160808703</v>
      </c>
      <c r="P259" s="421">
        <v>137.26768731378999</v>
      </c>
      <c r="Q259" s="421">
        <v>4.0770472509662401</v>
      </c>
      <c r="R259" s="421">
        <v>0</v>
      </c>
      <c r="S259" s="429">
        <v>227.54862253579699</v>
      </c>
      <c r="T259" s="412"/>
    </row>
    <row r="260" spans="2:20" ht="13.5">
      <c r="B260" s="412"/>
      <c r="C260" s="428" t="s">
        <v>82</v>
      </c>
      <c r="D260" s="421">
        <v>0</v>
      </c>
      <c r="E260" s="421">
        <v>0</v>
      </c>
      <c r="F260" s="421">
        <v>13.750506376214</v>
      </c>
      <c r="G260" s="421">
        <v>4.8242095413356898</v>
      </c>
      <c r="H260" s="421">
        <v>0</v>
      </c>
      <c r="I260" s="421">
        <v>0</v>
      </c>
      <c r="J260" s="421">
        <v>1.4039897378261701</v>
      </c>
      <c r="K260" s="421">
        <v>0</v>
      </c>
      <c r="L260" s="421">
        <v>12.720346370565601</v>
      </c>
      <c r="M260" s="421">
        <v>9.8453255945626303E-2</v>
      </c>
      <c r="N260" s="421">
        <v>0</v>
      </c>
      <c r="O260" s="421">
        <v>7.4767074498679406E-2</v>
      </c>
      <c r="P260" s="421">
        <v>7.7760236070527604</v>
      </c>
      <c r="Q260" s="421">
        <v>0</v>
      </c>
      <c r="R260" s="421">
        <v>0</v>
      </c>
      <c r="S260" s="429">
        <v>40.648295963438599</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v>
      </c>
      <c r="Q261" s="421">
        <v>0</v>
      </c>
      <c r="R261" s="421">
        <v>0</v>
      </c>
      <c r="S261" s="429">
        <v>0</v>
      </c>
      <c r="T261" s="412"/>
    </row>
    <row r="262" spans="2:20" ht="13.5">
      <c r="B262" s="412"/>
      <c r="C262" s="424" t="s">
        <v>83</v>
      </c>
      <c r="D262" s="425">
        <v>5.2125076489031201</v>
      </c>
      <c r="E262" s="425">
        <v>0</v>
      </c>
      <c r="F262" s="425">
        <v>312.57118395169198</v>
      </c>
      <c r="G262" s="425">
        <v>314.42516975342801</v>
      </c>
      <c r="H262" s="425">
        <v>0</v>
      </c>
      <c r="I262" s="425">
        <v>0</v>
      </c>
      <c r="J262" s="425">
        <v>96.092920129370597</v>
      </c>
      <c r="K262" s="425">
        <v>4.1672265212432702</v>
      </c>
      <c r="L262" s="425">
        <v>38.744176772559697</v>
      </c>
      <c r="M262" s="425">
        <v>6.4168401990495498</v>
      </c>
      <c r="N262" s="425">
        <v>57.2465959754038</v>
      </c>
      <c r="O262" s="425">
        <v>1.8238570093161599</v>
      </c>
      <c r="P262" s="425">
        <v>485.05106793512499</v>
      </c>
      <c r="Q262" s="425">
        <v>37.849249006370201</v>
      </c>
      <c r="R262" s="425">
        <v>1.9039336505565101</v>
      </c>
      <c r="S262" s="425">
        <v>1361.50472855302</v>
      </c>
      <c r="T262" s="412"/>
    </row>
    <row r="263" spans="2:20" ht="13.5">
      <c r="B263" s="412"/>
      <c r="C263" s="420" t="s">
        <v>84</v>
      </c>
      <c r="D263" s="421">
        <v>2.2139919433593702</v>
      </c>
      <c r="E263" s="421">
        <v>0</v>
      </c>
      <c r="F263" s="421">
        <v>138.06375460012401</v>
      </c>
      <c r="G263" s="421">
        <v>12.2915642401253</v>
      </c>
      <c r="H263" s="421">
        <v>0</v>
      </c>
      <c r="I263" s="421">
        <v>0</v>
      </c>
      <c r="J263" s="421">
        <v>0</v>
      </c>
      <c r="K263" s="421">
        <v>0</v>
      </c>
      <c r="L263" s="421">
        <v>0</v>
      </c>
      <c r="M263" s="421">
        <v>0</v>
      </c>
      <c r="N263" s="421">
        <v>0</v>
      </c>
      <c r="O263" s="421">
        <v>0</v>
      </c>
      <c r="P263" s="421">
        <v>0</v>
      </c>
      <c r="Q263" s="421">
        <v>0</v>
      </c>
      <c r="R263" s="421">
        <v>0.46972054687499998</v>
      </c>
      <c r="S263" s="429">
        <v>153.03903133048399</v>
      </c>
      <c r="T263" s="412"/>
    </row>
    <row r="264" spans="2:20" ht="13.5">
      <c r="B264" s="412"/>
      <c r="C264" s="424" t="s">
        <v>85</v>
      </c>
      <c r="D264" s="425">
        <v>7.4264995922625001</v>
      </c>
      <c r="E264" s="425">
        <v>0</v>
      </c>
      <c r="F264" s="425">
        <v>450.63493855181599</v>
      </c>
      <c r="G264" s="425">
        <v>326.71673399355302</v>
      </c>
      <c r="H264" s="425">
        <v>0</v>
      </c>
      <c r="I264" s="425">
        <v>0</v>
      </c>
      <c r="J264" s="425">
        <v>96.092920129370597</v>
      </c>
      <c r="K264" s="425">
        <v>4.1672265212432702</v>
      </c>
      <c r="L264" s="425">
        <v>38.744176772559697</v>
      </c>
      <c r="M264" s="425">
        <v>6.4168401990495498</v>
      </c>
      <c r="N264" s="425">
        <v>57.2465959754038</v>
      </c>
      <c r="O264" s="425">
        <v>1.8238570093161599</v>
      </c>
      <c r="P264" s="425">
        <v>485.05106793512499</v>
      </c>
      <c r="Q264" s="425">
        <v>37.849249006370201</v>
      </c>
      <c r="R264" s="425">
        <v>2.37365419743151</v>
      </c>
      <c r="S264" s="425">
        <v>1514.5437598834999</v>
      </c>
      <c r="T264" s="412"/>
    </row>
    <row r="265" spans="2:20">
      <c r="B265" s="412"/>
      <c r="C265" s="412"/>
      <c r="D265" s="430">
        <f t="shared" ref="D265:S265" si="6">D264+D254-D240</f>
        <v>0</v>
      </c>
      <c r="E265" s="430">
        <f t="shared" si="6"/>
        <v>0</v>
      </c>
      <c r="F265" s="430">
        <f t="shared" si="6"/>
        <v>-8.0646600508771371E-13</v>
      </c>
      <c r="G265" s="430">
        <f t="shared" si="6"/>
        <v>-4.5474735088646412E-13</v>
      </c>
      <c r="H265" s="430">
        <f t="shared" si="6"/>
        <v>0</v>
      </c>
      <c r="I265" s="430">
        <f t="shared" si="6"/>
        <v>0</v>
      </c>
      <c r="J265" s="430">
        <f t="shared" si="6"/>
        <v>-5.1159076974727213E-13</v>
      </c>
      <c r="K265" s="430">
        <f t="shared" si="6"/>
        <v>-2.8421709430404007E-14</v>
      </c>
      <c r="L265" s="430">
        <f t="shared" si="6"/>
        <v>1.4210854715202004E-14</v>
      </c>
      <c r="M265" s="430">
        <f t="shared" si="6"/>
        <v>0</v>
      </c>
      <c r="N265" s="430">
        <f t="shared" si="6"/>
        <v>0</v>
      </c>
      <c r="O265" s="430">
        <f t="shared" si="6"/>
        <v>0</v>
      </c>
      <c r="P265" s="430">
        <f t="shared" si="6"/>
        <v>1.9184653865522705E-13</v>
      </c>
      <c r="Q265" s="430">
        <f t="shared" si="6"/>
        <v>0</v>
      </c>
      <c r="R265" s="430">
        <f t="shared" si="6"/>
        <v>0</v>
      </c>
      <c r="S265" s="430">
        <f t="shared" si="6"/>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363</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0</v>
      </c>
      <c r="F271" s="421">
        <v>0</v>
      </c>
      <c r="G271" s="421">
        <v>0</v>
      </c>
      <c r="H271" s="422">
        <v>959.09090909090901</v>
      </c>
      <c r="I271" s="422">
        <v>262.58</v>
      </c>
      <c r="J271" s="422">
        <v>180.265617568263</v>
      </c>
      <c r="K271" s="422">
        <v>23.099472372796701</v>
      </c>
      <c r="L271" s="421">
        <v>0</v>
      </c>
      <c r="M271" s="421">
        <v>0</v>
      </c>
      <c r="N271" s="422">
        <v>59.577309191786703</v>
      </c>
      <c r="O271" s="422">
        <v>4.0524132365006302</v>
      </c>
      <c r="P271" s="421">
        <v>0</v>
      </c>
      <c r="Q271" s="421">
        <v>0</v>
      </c>
      <c r="R271" s="421">
        <v>0</v>
      </c>
      <c r="S271" s="423">
        <v>1488.6657214602601</v>
      </c>
      <c r="T271" s="412"/>
    </row>
    <row r="272" spans="2:20" ht="13.5">
      <c r="B272" s="412"/>
      <c r="C272" s="420" t="s">
        <v>60</v>
      </c>
      <c r="D272" s="421">
        <v>32.718430513686002</v>
      </c>
      <c r="E272" s="421">
        <v>504.19228646673599</v>
      </c>
      <c r="F272" s="421">
        <v>58.276607316060698</v>
      </c>
      <c r="G272" s="421">
        <v>375.54945868825399</v>
      </c>
      <c r="H272" s="421">
        <v>0</v>
      </c>
      <c r="I272" s="421">
        <v>0</v>
      </c>
      <c r="J272" s="421">
        <v>0</v>
      </c>
      <c r="K272" s="421">
        <v>0</v>
      </c>
      <c r="L272" s="421">
        <v>0</v>
      </c>
      <c r="M272" s="421">
        <v>0</v>
      </c>
      <c r="N272" s="421">
        <v>0</v>
      </c>
      <c r="O272" s="421">
        <v>0</v>
      </c>
      <c r="P272" s="421">
        <v>0</v>
      </c>
      <c r="Q272" s="421">
        <v>0</v>
      </c>
      <c r="R272" s="421">
        <v>0</v>
      </c>
      <c r="S272" s="423">
        <v>970.73678298473703</v>
      </c>
      <c r="T272" s="412"/>
    </row>
    <row r="273" spans="2:20" ht="13.5">
      <c r="B273" s="412"/>
      <c r="C273" s="420" t="s">
        <v>61</v>
      </c>
      <c r="D273" s="421">
        <v>0</v>
      </c>
      <c r="E273" s="421">
        <v>0</v>
      </c>
      <c r="F273" s="421">
        <v>0</v>
      </c>
      <c r="G273" s="421">
        <v>0</v>
      </c>
      <c r="H273" s="421">
        <v>0</v>
      </c>
      <c r="I273" s="421">
        <v>0</v>
      </c>
      <c r="J273" s="421">
        <v>0</v>
      </c>
      <c r="K273" s="421">
        <v>0</v>
      </c>
      <c r="L273" s="421">
        <v>0</v>
      </c>
      <c r="M273" s="421">
        <v>0</v>
      </c>
      <c r="N273" s="421">
        <v>0</v>
      </c>
      <c r="O273" s="421">
        <v>0</v>
      </c>
      <c r="P273" s="421">
        <v>-31.629492690064499</v>
      </c>
      <c r="Q273" s="421">
        <v>0</v>
      </c>
      <c r="R273" s="421">
        <v>0</v>
      </c>
      <c r="S273" s="423">
        <v>-31.629492690064499</v>
      </c>
      <c r="T273" s="412"/>
    </row>
    <row r="274" spans="2:20" ht="13.5">
      <c r="B274" s="412"/>
      <c r="C274" s="420" t="s">
        <v>62</v>
      </c>
      <c r="D274" s="421">
        <v>0</v>
      </c>
      <c r="E274" s="421">
        <v>0</v>
      </c>
      <c r="F274" s="421">
        <v>-15.8559052566209</v>
      </c>
      <c r="G274" s="421">
        <v>0</v>
      </c>
      <c r="H274" s="421">
        <v>0</v>
      </c>
      <c r="I274" s="421">
        <v>0</v>
      </c>
      <c r="J274" s="421">
        <v>0</v>
      </c>
      <c r="K274" s="421">
        <v>0</v>
      </c>
      <c r="L274" s="421">
        <v>0</v>
      </c>
      <c r="M274" s="421">
        <v>0</v>
      </c>
      <c r="N274" s="421">
        <v>0</v>
      </c>
      <c r="O274" s="421">
        <v>0</v>
      </c>
      <c r="P274" s="421">
        <v>0</v>
      </c>
      <c r="Q274" s="421">
        <v>0</v>
      </c>
      <c r="R274" s="421">
        <v>0</v>
      </c>
      <c r="S274" s="423">
        <v>-15.8559052566209</v>
      </c>
      <c r="T274" s="412"/>
    </row>
    <row r="275" spans="2:20" ht="13.5">
      <c r="B275" s="412"/>
      <c r="C275" s="420" t="s">
        <v>63</v>
      </c>
      <c r="D275" s="421">
        <v>0</v>
      </c>
      <c r="E275" s="421">
        <v>0</v>
      </c>
      <c r="F275" s="421">
        <v>-86.773262368245497</v>
      </c>
      <c r="G275" s="421">
        <v>0</v>
      </c>
      <c r="H275" s="421">
        <v>0</v>
      </c>
      <c r="I275" s="421">
        <v>0</v>
      </c>
      <c r="J275" s="421">
        <v>0</v>
      </c>
      <c r="K275" s="421">
        <v>0</v>
      </c>
      <c r="L275" s="421">
        <v>-0.89665432830126901</v>
      </c>
      <c r="M275" s="421">
        <v>0</v>
      </c>
      <c r="N275" s="421">
        <v>0</v>
      </c>
      <c r="O275" s="421">
        <v>0</v>
      </c>
      <c r="P275" s="421">
        <v>0</v>
      </c>
      <c r="Q275" s="421">
        <v>0</v>
      </c>
      <c r="R275" s="421">
        <v>0</v>
      </c>
      <c r="S275" s="423">
        <v>-87.669916696546807</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32.718430513686002</v>
      </c>
      <c r="E277" s="425">
        <v>504.19228646673599</v>
      </c>
      <c r="F277" s="425">
        <v>-44.3525603088057</v>
      </c>
      <c r="G277" s="425">
        <v>375.54945868825399</v>
      </c>
      <c r="H277" s="425">
        <v>959.09090909090901</v>
      </c>
      <c r="I277" s="425">
        <v>262.58</v>
      </c>
      <c r="J277" s="425">
        <v>180.265617568263</v>
      </c>
      <c r="K277" s="425">
        <v>23.099472372796701</v>
      </c>
      <c r="L277" s="425">
        <v>-0.89665432830126901</v>
      </c>
      <c r="M277" s="425">
        <v>0</v>
      </c>
      <c r="N277" s="425">
        <v>59.577309191786703</v>
      </c>
      <c r="O277" s="425">
        <v>4.0524132365006302</v>
      </c>
      <c r="P277" s="425">
        <v>-31.629492690064499</v>
      </c>
      <c r="Q277" s="425">
        <v>0</v>
      </c>
      <c r="R277" s="425">
        <v>0</v>
      </c>
      <c r="S277" s="425">
        <v>2324.2471898017602</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2.2004707355665598</v>
      </c>
      <c r="E280" s="421">
        <v>0</v>
      </c>
      <c r="F280" s="421">
        <v>3.8636363636363602</v>
      </c>
      <c r="G280" s="421">
        <v>17.735248612195999</v>
      </c>
      <c r="H280" s="421">
        <v>959.09090909090901</v>
      </c>
      <c r="I280" s="421">
        <v>262.58</v>
      </c>
      <c r="J280" s="421">
        <v>23.4611328004797</v>
      </c>
      <c r="K280" s="421">
        <v>6.2174163871509203</v>
      </c>
      <c r="L280" s="421">
        <v>0</v>
      </c>
      <c r="M280" s="421">
        <v>0.36194384922848999</v>
      </c>
      <c r="N280" s="421">
        <v>0</v>
      </c>
      <c r="O280" s="421">
        <v>0</v>
      </c>
      <c r="P280" s="421">
        <v>-601.88588566531905</v>
      </c>
      <c r="Q280" s="421">
        <v>0</v>
      </c>
      <c r="R280" s="421">
        <v>0</v>
      </c>
      <c r="S280" s="429">
        <v>673.62487217384796</v>
      </c>
      <c r="T280" s="412"/>
    </row>
    <row r="281" spans="2:20" ht="13.5">
      <c r="B281" s="412"/>
      <c r="C281" s="428" t="s">
        <v>351</v>
      </c>
      <c r="D281" s="421">
        <v>0</v>
      </c>
      <c r="E281" s="421">
        <v>0</v>
      </c>
      <c r="F281" s="421">
        <v>0</v>
      </c>
      <c r="G281" s="421">
        <v>17.183924372650001</v>
      </c>
      <c r="H281" s="421">
        <v>0</v>
      </c>
      <c r="I281" s="421">
        <v>0</v>
      </c>
      <c r="J281" s="421">
        <v>12.602550905863099</v>
      </c>
      <c r="K281" s="421">
        <v>12.7146561007388</v>
      </c>
      <c r="L281" s="421">
        <v>0</v>
      </c>
      <c r="M281" s="421">
        <v>0.35069233413571399</v>
      </c>
      <c r="N281" s="421">
        <v>0</v>
      </c>
      <c r="O281" s="421">
        <v>2.2448826639763899</v>
      </c>
      <c r="P281" s="421">
        <v>0</v>
      </c>
      <c r="Q281" s="421">
        <v>-41.019007188274998</v>
      </c>
      <c r="R281" s="421">
        <v>0</v>
      </c>
      <c r="S281" s="429">
        <v>4.0776991890889702</v>
      </c>
      <c r="T281" s="412"/>
    </row>
    <row r="282" spans="2:20" ht="13.5">
      <c r="B282" s="412"/>
      <c r="C282" s="428" t="s">
        <v>352</v>
      </c>
      <c r="D282" s="421">
        <v>0</v>
      </c>
      <c r="E282" s="421">
        <v>0</v>
      </c>
      <c r="F282" s="421">
        <v>0</v>
      </c>
      <c r="G282" s="421">
        <v>0</v>
      </c>
      <c r="H282" s="421">
        <v>0</v>
      </c>
      <c r="I282" s="421">
        <v>0</v>
      </c>
      <c r="J282" s="421">
        <v>8.1259394649786305</v>
      </c>
      <c r="K282" s="421">
        <v>0</v>
      </c>
      <c r="L282" s="421">
        <v>0</v>
      </c>
      <c r="M282" s="421">
        <v>-7.4149197617929996</v>
      </c>
      <c r="N282" s="421">
        <v>0</v>
      </c>
      <c r="O282" s="421">
        <v>0</v>
      </c>
      <c r="P282" s="421">
        <v>0</v>
      </c>
      <c r="Q282" s="421">
        <v>0</v>
      </c>
      <c r="R282" s="421">
        <v>0</v>
      </c>
      <c r="S282" s="429">
        <v>0.71101970318563101</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522.289621864335</v>
      </c>
      <c r="F284" s="421">
        <v>-517.06672564569203</v>
      </c>
      <c r="G284" s="421">
        <v>0</v>
      </c>
      <c r="H284" s="421">
        <v>0</v>
      </c>
      <c r="I284" s="421">
        <v>0</v>
      </c>
      <c r="J284" s="421">
        <v>0</v>
      </c>
      <c r="K284" s="421">
        <v>0</v>
      </c>
      <c r="L284" s="421">
        <v>0</v>
      </c>
      <c r="M284" s="421">
        <v>0</v>
      </c>
      <c r="N284" s="421">
        <v>0</v>
      </c>
      <c r="O284" s="421">
        <v>0</v>
      </c>
      <c r="P284" s="421">
        <v>0</v>
      </c>
      <c r="Q284" s="421">
        <v>0</v>
      </c>
      <c r="R284" s="421">
        <v>0</v>
      </c>
      <c r="S284" s="429">
        <v>5.2228962186433101</v>
      </c>
      <c r="T284" s="412"/>
    </row>
    <row r="285" spans="2:20" ht="13.5">
      <c r="B285" s="412"/>
      <c r="C285" s="428" t="s">
        <v>354</v>
      </c>
      <c r="D285" s="421">
        <v>0</v>
      </c>
      <c r="E285" s="421">
        <v>0</v>
      </c>
      <c r="F285" s="421">
        <v>0</v>
      </c>
      <c r="G285" s="421">
        <v>0</v>
      </c>
      <c r="H285" s="421">
        <v>0</v>
      </c>
      <c r="I285" s="421">
        <v>0</v>
      </c>
      <c r="J285" s="421">
        <v>39.636150809514099</v>
      </c>
      <c r="K285" s="421">
        <v>0</v>
      </c>
      <c r="L285" s="421">
        <v>-39.636150809514099</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-0.18158952535457601</v>
      </c>
      <c r="M286" s="421">
        <v>0</v>
      </c>
      <c r="N286" s="421">
        <v>0</v>
      </c>
      <c r="O286" s="421">
        <v>0</v>
      </c>
      <c r="P286" s="421">
        <v>0</v>
      </c>
      <c r="Q286" s="421">
        <v>0</v>
      </c>
      <c r="R286" s="421">
        <v>0.25941360764939397</v>
      </c>
      <c r="S286" s="429">
        <v>7.7824082294818103E-2</v>
      </c>
      <c r="T286" s="412"/>
    </row>
    <row r="287" spans="2:20" ht="13.5">
      <c r="B287" s="412"/>
      <c r="C287" s="428" t="s">
        <v>73</v>
      </c>
      <c r="D287" s="421">
        <v>0</v>
      </c>
      <c r="E287" s="421">
        <v>0</v>
      </c>
      <c r="F287" s="421">
        <v>0</v>
      </c>
      <c r="G287" s="421">
        <v>3.8743456372163201</v>
      </c>
      <c r="H287" s="421">
        <v>0</v>
      </c>
      <c r="I287" s="421">
        <v>0</v>
      </c>
      <c r="J287" s="421">
        <v>0</v>
      </c>
      <c r="K287" s="421">
        <v>4.4420381073335499E-2</v>
      </c>
      <c r="L287" s="421">
        <v>0</v>
      </c>
      <c r="M287" s="421">
        <v>7.9068278310537199E-2</v>
      </c>
      <c r="N287" s="421">
        <v>0</v>
      </c>
      <c r="O287" s="421">
        <v>0</v>
      </c>
      <c r="P287" s="421">
        <v>0.45393090147934101</v>
      </c>
      <c r="Q287" s="421">
        <v>0</v>
      </c>
      <c r="R287" s="421">
        <v>-3.10942667513349</v>
      </c>
      <c r="S287" s="429">
        <v>1.3423385229460501</v>
      </c>
      <c r="T287" s="412"/>
    </row>
    <row r="288" spans="2:20" ht="13.5">
      <c r="B288" s="412"/>
      <c r="C288" s="428" t="s">
        <v>356</v>
      </c>
      <c r="D288" s="421">
        <v>13.757025878906299</v>
      </c>
      <c r="E288" s="421">
        <v>-18.097335397599199</v>
      </c>
      <c r="F288" s="421">
        <v>23.670245777269098</v>
      </c>
      <c r="G288" s="421">
        <v>0</v>
      </c>
      <c r="H288" s="421">
        <v>0</v>
      </c>
      <c r="I288" s="421">
        <v>0</v>
      </c>
      <c r="J288" s="421">
        <v>0</v>
      </c>
      <c r="K288" s="421">
        <v>0</v>
      </c>
      <c r="L288" s="421">
        <v>0</v>
      </c>
      <c r="M288" s="421">
        <v>0</v>
      </c>
      <c r="N288" s="421">
        <v>0</v>
      </c>
      <c r="O288" s="421">
        <v>0</v>
      </c>
      <c r="P288" s="421">
        <v>0</v>
      </c>
      <c r="Q288" s="421">
        <v>0</v>
      </c>
      <c r="R288" s="421">
        <v>0</v>
      </c>
      <c r="S288" s="429">
        <v>19.329936258576101</v>
      </c>
      <c r="T288" s="412"/>
    </row>
    <row r="289" spans="2:20" ht="13.5">
      <c r="B289" s="412"/>
      <c r="C289" s="428" t="s">
        <v>75</v>
      </c>
      <c r="D289" s="421">
        <v>9.7066552734374998</v>
      </c>
      <c r="E289" s="421">
        <v>0</v>
      </c>
      <c r="F289" s="421">
        <v>17.757847143387401</v>
      </c>
      <c r="G289" s="421">
        <v>5.0672539113277804</v>
      </c>
      <c r="H289" s="421">
        <v>0</v>
      </c>
      <c r="I289" s="421">
        <v>0</v>
      </c>
      <c r="J289" s="421">
        <v>0</v>
      </c>
      <c r="K289" s="421">
        <v>0</v>
      </c>
      <c r="L289" s="421">
        <v>0</v>
      </c>
      <c r="M289" s="421">
        <v>0.103413345129138</v>
      </c>
      <c r="N289" s="421">
        <v>0</v>
      </c>
      <c r="O289" s="421">
        <v>0</v>
      </c>
      <c r="P289" s="421">
        <v>30.6584761014478</v>
      </c>
      <c r="Q289" s="421">
        <v>0</v>
      </c>
      <c r="R289" s="421">
        <v>0</v>
      </c>
      <c r="S289" s="429">
        <v>63.293645774729598</v>
      </c>
      <c r="T289" s="412"/>
    </row>
    <row r="290" spans="2:20" ht="13.5">
      <c r="B290" s="412"/>
      <c r="C290" s="428" t="s">
        <v>76</v>
      </c>
      <c r="D290" s="421">
        <v>0</v>
      </c>
      <c r="E290" s="421">
        <v>0</v>
      </c>
      <c r="F290" s="421">
        <v>0</v>
      </c>
      <c r="G290" s="421">
        <v>4.3082735374844701</v>
      </c>
      <c r="H290" s="421">
        <v>0</v>
      </c>
      <c r="I290" s="421">
        <v>0</v>
      </c>
      <c r="J290" s="421">
        <v>0</v>
      </c>
      <c r="K290" s="421">
        <v>0</v>
      </c>
      <c r="L290" s="421">
        <v>0</v>
      </c>
      <c r="M290" s="421">
        <v>8.7923949744581106E-2</v>
      </c>
      <c r="N290" s="421">
        <v>0</v>
      </c>
      <c r="O290" s="421">
        <v>0</v>
      </c>
      <c r="P290" s="421">
        <v>43.703860218786801</v>
      </c>
      <c r="Q290" s="421">
        <v>3.1785946529659599</v>
      </c>
      <c r="R290" s="421">
        <v>0</v>
      </c>
      <c r="S290" s="429">
        <v>51.278652358981802</v>
      </c>
      <c r="T290" s="412"/>
    </row>
    <row r="291" spans="2:20" ht="13.5">
      <c r="B291" s="412"/>
      <c r="C291" s="424" t="s">
        <v>77</v>
      </c>
      <c r="D291" s="425">
        <v>25.6641518879103</v>
      </c>
      <c r="E291" s="425">
        <v>504.19228646673599</v>
      </c>
      <c r="F291" s="425">
        <v>-471.77499636139902</v>
      </c>
      <c r="G291" s="425">
        <v>48.1690460708746</v>
      </c>
      <c r="H291" s="425">
        <v>959.09090909090901</v>
      </c>
      <c r="I291" s="425">
        <v>262.58</v>
      </c>
      <c r="J291" s="425">
        <v>83.825773980835606</v>
      </c>
      <c r="K291" s="425">
        <v>18.976492868963099</v>
      </c>
      <c r="L291" s="425">
        <v>-39.817740334868702</v>
      </c>
      <c r="M291" s="425">
        <v>-6.4318780052445401</v>
      </c>
      <c r="N291" s="425">
        <v>0</v>
      </c>
      <c r="O291" s="425">
        <v>2.2448826639763899</v>
      </c>
      <c r="P291" s="425">
        <v>-527.06961844360501</v>
      </c>
      <c r="Q291" s="425">
        <v>-37.840412535309099</v>
      </c>
      <c r="R291" s="425">
        <v>-2.85001306748409</v>
      </c>
      <c r="S291" s="425">
        <v>818.958884282295</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4.8707551882757301</v>
      </c>
      <c r="E293" s="421">
        <v>0</v>
      </c>
      <c r="F293" s="421">
        <v>20.993444165004</v>
      </c>
      <c r="G293" s="421">
        <v>101.297175428703</v>
      </c>
      <c r="H293" s="421">
        <v>0</v>
      </c>
      <c r="I293" s="421">
        <v>0</v>
      </c>
      <c r="J293" s="421">
        <v>17.0565927141357</v>
      </c>
      <c r="K293" s="421">
        <v>4.1229795038336201</v>
      </c>
      <c r="L293" s="421">
        <v>0.85536540625000002</v>
      </c>
      <c r="M293" s="421">
        <v>2.0672892944633201</v>
      </c>
      <c r="N293" s="421">
        <v>0</v>
      </c>
      <c r="O293" s="421">
        <v>0</v>
      </c>
      <c r="P293" s="421">
        <v>110.160518652362</v>
      </c>
      <c r="Q293" s="421">
        <v>18.409316628727701</v>
      </c>
      <c r="R293" s="421">
        <v>0.24532713317871099</v>
      </c>
      <c r="S293" s="429">
        <v>280.07876411493402</v>
      </c>
      <c r="T293" s="412"/>
    </row>
    <row r="294" spans="2:20" ht="13.5">
      <c r="B294" s="412"/>
      <c r="C294" s="428" t="s">
        <v>79</v>
      </c>
      <c r="D294" s="421">
        <v>0</v>
      </c>
      <c r="E294" s="421">
        <v>0</v>
      </c>
      <c r="F294" s="421">
        <v>232.66006634693801</v>
      </c>
      <c r="G294" s="421">
        <v>30.945196482305999</v>
      </c>
      <c r="H294" s="421">
        <v>0</v>
      </c>
      <c r="I294" s="421">
        <v>0</v>
      </c>
      <c r="J294" s="421">
        <v>0</v>
      </c>
      <c r="K294" s="421">
        <v>0</v>
      </c>
      <c r="L294" s="421">
        <v>23.571302525286502</v>
      </c>
      <c r="M294" s="421">
        <v>0.63153462208787803</v>
      </c>
      <c r="N294" s="421">
        <v>0</v>
      </c>
      <c r="O294" s="421">
        <v>0</v>
      </c>
      <c r="P294" s="421">
        <v>58.064871561766502</v>
      </c>
      <c r="Q294" s="421">
        <v>0</v>
      </c>
      <c r="R294" s="421">
        <v>2.0183635099889798</v>
      </c>
      <c r="S294" s="429">
        <v>347.891335048374</v>
      </c>
      <c r="T294" s="412"/>
    </row>
    <row r="295" spans="2:20" ht="13.5">
      <c r="B295" s="412"/>
      <c r="C295" s="428" t="s">
        <v>80</v>
      </c>
      <c r="D295" s="421">
        <v>0</v>
      </c>
      <c r="E295" s="421">
        <v>0</v>
      </c>
      <c r="F295" s="421">
        <v>17.5598675682925</v>
      </c>
      <c r="G295" s="421">
        <v>111.929219277919</v>
      </c>
      <c r="H295" s="421">
        <v>0</v>
      </c>
      <c r="I295" s="421">
        <v>0</v>
      </c>
      <c r="J295" s="421">
        <v>74.389853901213101</v>
      </c>
      <c r="K295" s="421">
        <v>0</v>
      </c>
      <c r="L295" s="421">
        <v>0</v>
      </c>
      <c r="M295" s="421">
        <v>2.2842697811820298</v>
      </c>
      <c r="N295" s="421">
        <v>53.007893982905898</v>
      </c>
      <c r="O295" s="421">
        <v>0.95506902656111503</v>
      </c>
      <c r="P295" s="421">
        <v>180.360799216462</v>
      </c>
      <c r="Q295" s="421">
        <v>15.433765533154</v>
      </c>
      <c r="R295" s="421">
        <v>0</v>
      </c>
      <c r="S295" s="429">
        <v>455.92073828769003</v>
      </c>
      <c r="T295" s="412"/>
    </row>
    <row r="296" spans="2:20" ht="13.5">
      <c r="B296" s="412"/>
      <c r="C296" s="428" t="s">
        <v>81</v>
      </c>
      <c r="D296" s="421">
        <v>0</v>
      </c>
      <c r="E296" s="421">
        <v>0</v>
      </c>
      <c r="F296" s="421">
        <v>7.3923055794682702</v>
      </c>
      <c r="G296" s="421">
        <v>65.894293417713897</v>
      </c>
      <c r="H296" s="421">
        <v>0</v>
      </c>
      <c r="I296" s="421">
        <v>0</v>
      </c>
      <c r="J296" s="421">
        <v>3.41214349769231</v>
      </c>
      <c r="K296" s="421">
        <v>0</v>
      </c>
      <c r="L296" s="421">
        <v>0</v>
      </c>
      <c r="M296" s="421">
        <v>1.34478149832069</v>
      </c>
      <c r="N296" s="421">
        <v>6.5694152088807796</v>
      </c>
      <c r="O296" s="421">
        <v>0.78006902491520902</v>
      </c>
      <c r="P296" s="421">
        <v>139.183172558515</v>
      </c>
      <c r="Q296" s="421">
        <v>3.99733037342736</v>
      </c>
      <c r="R296" s="421">
        <v>0</v>
      </c>
      <c r="S296" s="429">
        <v>228.573511158934</v>
      </c>
      <c r="T296" s="412"/>
    </row>
    <row r="297" spans="2:20" ht="13.5">
      <c r="B297" s="412"/>
      <c r="C297" s="428" t="s">
        <v>82</v>
      </c>
      <c r="D297" s="421">
        <v>0</v>
      </c>
      <c r="E297" s="421">
        <v>0</v>
      </c>
      <c r="F297" s="421">
        <v>10.671888604675701</v>
      </c>
      <c r="G297" s="421">
        <v>5.0961376503405704</v>
      </c>
      <c r="H297" s="421">
        <v>0</v>
      </c>
      <c r="I297" s="421">
        <v>0</v>
      </c>
      <c r="J297" s="421">
        <v>1.58125347438603</v>
      </c>
      <c r="K297" s="421">
        <v>0</v>
      </c>
      <c r="L297" s="421">
        <v>14.494418075031</v>
      </c>
      <c r="M297" s="421">
        <v>0.104002809190624</v>
      </c>
      <c r="N297" s="421">
        <v>0</v>
      </c>
      <c r="O297" s="421">
        <v>7.2392521047915395E-2</v>
      </c>
      <c r="P297" s="421">
        <v>7.67076376443437</v>
      </c>
      <c r="Q297" s="421">
        <v>0</v>
      </c>
      <c r="R297" s="421">
        <v>0</v>
      </c>
      <c r="S297" s="429">
        <v>39.690856899106201</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0</v>
      </c>
      <c r="Q298" s="421">
        <v>0</v>
      </c>
      <c r="R298" s="421">
        <v>0</v>
      </c>
      <c r="S298" s="429">
        <v>0</v>
      </c>
      <c r="T298" s="412"/>
    </row>
    <row r="299" spans="2:20" ht="13.5">
      <c r="B299" s="412"/>
      <c r="C299" s="424" t="s">
        <v>83</v>
      </c>
      <c r="D299" s="425">
        <v>4.8707551882757301</v>
      </c>
      <c r="E299" s="425">
        <v>0</v>
      </c>
      <c r="F299" s="425">
        <v>289.27757226437899</v>
      </c>
      <c r="G299" s="425">
        <v>315.16202225698203</v>
      </c>
      <c r="H299" s="425">
        <v>0</v>
      </c>
      <c r="I299" s="425">
        <v>0</v>
      </c>
      <c r="J299" s="425">
        <v>96.439843587427205</v>
      </c>
      <c r="K299" s="425">
        <v>4.1229795038336201</v>
      </c>
      <c r="L299" s="425">
        <v>38.9210860065674</v>
      </c>
      <c r="M299" s="425">
        <v>6.4318780052445401</v>
      </c>
      <c r="N299" s="425">
        <v>59.577309191786703</v>
      </c>
      <c r="O299" s="425">
        <v>1.8075305725242401</v>
      </c>
      <c r="P299" s="425">
        <v>495.440125753541</v>
      </c>
      <c r="Q299" s="425">
        <v>37.840412535309099</v>
      </c>
      <c r="R299" s="425">
        <v>2.2636906431676902</v>
      </c>
      <c r="S299" s="425">
        <v>1352.1552055090399</v>
      </c>
      <c r="T299" s="412"/>
    </row>
    <row r="300" spans="2:20" ht="13.5">
      <c r="B300" s="412"/>
      <c r="C300" s="420" t="s">
        <v>84</v>
      </c>
      <c r="D300" s="421">
        <v>2.1835234374999999</v>
      </c>
      <c r="E300" s="421">
        <v>0</v>
      </c>
      <c r="F300" s="421">
        <v>138.144863788214</v>
      </c>
      <c r="G300" s="421">
        <v>12.218390360397301</v>
      </c>
      <c r="H300" s="421">
        <v>0</v>
      </c>
      <c r="I300" s="421">
        <v>0</v>
      </c>
      <c r="J300" s="421">
        <v>0</v>
      </c>
      <c r="K300" s="421">
        <v>0</v>
      </c>
      <c r="L300" s="421">
        <v>0</v>
      </c>
      <c r="M300" s="421">
        <v>0</v>
      </c>
      <c r="N300" s="421">
        <v>0</v>
      </c>
      <c r="O300" s="421">
        <v>0</v>
      </c>
      <c r="P300" s="421">
        <v>0</v>
      </c>
      <c r="Q300" s="421">
        <v>0</v>
      </c>
      <c r="R300" s="421">
        <v>0.58632242431640602</v>
      </c>
      <c r="S300" s="429">
        <v>153.133100010428</v>
      </c>
      <c r="T300" s="412"/>
    </row>
    <row r="301" spans="2:20" ht="13.5">
      <c r="B301" s="412"/>
      <c r="C301" s="424" t="s">
        <v>85</v>
      </c>
      <c r="D301" s="425">
        <v>7.0542786257757299</v>
      </c>
      <c r="E301" s="425">
        <v>0</v>
      </c>
      <c r="F301" s="425">
        <v>427.42243605259301</v>
      </c>
      <c r="G301" s="425">
        <v>327.38041261737999</v>
      </c>
      <c r="H301" s="425">
        <v>0</v>
      </c>
      <c r="I301" s="425">
        <v>0</v>
      </c>
      <c r="J301" s="425">
        <v>96.439843587427205</v>
      </c>
      <c r="K301" s="425">
        <v>4.1229795038336201</v>
      </c>
      <c r="L301" s="425">
        <v>38.9210860065674</v>
      </c>
      <c r="M301" s="425">
        <v>6.4318780052445401</v>
      </c>
      <c r="N301" s="425">
        <v>59.577309191786703</v>
      </c>
      <c r="O301" s="425">
        <v>1.8075305725242401</v>
      </c>
      <c r="P301" s="425">
        <v>495.440125753541</v>
      </c>
      <c r="Q301" s="425">
        <v>37.840412535309099</v>
      </c>
      <c r="R301" s="425">
        <v>2.85001306748409</v>
      </c>
      <c r="S301" s="425">
        <v>1505.28830551947</v>
      </c>
      <c r="T301" s="412"/>
    </row>
    <row r="302" spans="2:20">
      <c r="B302" s="412"/>
      <c r="C302" s="412"/>
      <c r="D302" s="430">
        <f t="shared" ref="D302:S302" si="7">D301+D291-D277</f>
        <v>0</v>
      </c>
      <c r="E302" s="430">
        <f t="shared" si="7"/>
        <v>0</v>
      </c>
      <c r="F302" s="430">
        <f t="shared" si="7"/>
        <v>-3.0553337637684308E-13</v>
      </c>
      <c r="G302" s="430">
        <f t="shared" si="7"/>
        <v>6.2527760746888816E-13</v>
      </c>
      <c r="H302" s="430">
        <f t="shared" si="7"/>
        <v>0</v>
      </c>
      <c r="I302" s="430">
        <f t="shared" si="7"/>
        <v>0</v>
      </c>
      <c r="J302" s="430">
        <f t="shared" si="7"/>
        <v>0</v>
      </c>
      <c r="K302" s="430">
        <f t="shared" si="7"/>
        <v>0</v>
      </c>
      <c r="L302" s="430">
        <f t="shared" si="7"/>
        <v>-3.3417713041217212E-14</v>
      </c>
      <c r="M302" s="430">
        <f t="shared" si="7"/>
        <v>0</v>
      </c>
      <c r="N302" s="430">
        <f t="shared" si="7"/>
        <v>0</v>
      </c>
      <c r="O302" s="430">
        <f t="shared" si="7"/>
        <v>0</v>
      </c>
      <c r="P302" s="430">
        <f t="shared" si="7"/>
        <v>4.8672177399566863E-13</v>
      </c>
      <c r="Q302" s="430">
        <f t="shared" si="7"/>
        <v>0</v>
      </c>
      <c r="R302" s="430">
        <f t="shared" si="7"/>
        <v>0</v>
      </c>
      <c r="S302" s="430">
        <f t="shared" si="7"/>
        <v>4.5474735088646412E-12</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3.5">
      <c r="B304" s="416"/>
      <c r="C304" s="417" t="s">
        <v>364</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02" t="s">
        <v>128</v>
      </c>
      <c r="D306" s="703" t="s">
        <v>42</v>
      </c>
      <c r="E306" s="703" t="s">
        <v>52</v>
      </c>
      <c r="F306" s="703" t="s">
        <v>53</v>
      </c>
      <c r="G306" s="703" t="s">
        <v>32</v>
      </c>
      <c r="H306" s="703" t="s">
        <v>20</v>
      </c>
      <c r="I306" s="703" t="s">
        <v>55</v>
      </c>
      <c r="J306" s="703" t="s">
        <v>56</v>
      </c>
      <c r="K306" s="703"/>
      <c r="L306" s="703"/>
      <c r="M306" s="703"/>
      <c r="N306" s="703"/>
      <c r="O306" s="703"/>
      <c r="P306" s="703" t="s">
        <v>57</v>
      </c>
      <c r="Q306" s="703" t="s">
        <v>58</v>
      </c>
      <c r="R306" s="703" t="s">
        <v>31</v>
      </c>
      <c r="S306" s="703" t="s">
        <v>10</v>
      </c>
      <c r="T306" s="412"/>
    </row>
    <row r="307" spans="2:20" ht="57.5">
      <c r="B307" s="412"/>
      <c r="C307" s="702"/>
      <c r="D307" s="703"/>
      <c r="E307" s="703"/>
      <c r="F307" s="703"/>
      <c r="G307" s="703"/>
      <c r="H307" s="703"/>
      <c r="I307" s="703"/>
      <c r="J307" s="418" t="s">
        <v>338</v>
      </c>
      <c r="K307" s="418" t="s">
        <v>40</v>
      </c>
      <c r="L307" s="418" t="s">
        <v>346</v>
      </c>
      <c r="M307" s="418" t="s">
        <v>347</v>
      </c>
      <c r="N307" s="419" t="s">
        <v>348</v>
      </c>
      <c r="O307" s="418" t="s">
        <v>349</v>
      </c>
      <c r="P307" s="703"/>
      <c r="Q307" s="703"/>
      <c r="R307" s="703"/>
      <c r="S307" s="703"/>
      <c r="T307" s="412"/>
    </row>
    <row r="308" spans="2:20" ht="13.5">
      <c r="B308" s="412"/>
      <c r="C308" s="420" t="s">
        <v>59</v>
      </c>
      <c r="D308" s="421">
        <v>0</v>
      </c>
      <c r="E308" s="421">
        <v>0</v>
      </c>
      <c r="F308" s="421">
        <v>0</v>
      </c>
      <c r="G308" s="421">
        <v>0</v>
      </c>
      <c r="H308" s="422">
        <v>843.18181818181802</v>
      </c>
      <c r="I308" s="422">
        <v>303.83</v>
      </c>
      <c r="J308" s="422">
        <v>180.58227082712199</v>
      </c>
      <c r="K308" s="422">
        <v>22.584752367457401</v>
      </c>
      <c r="L308" s="421">
        <v>0</v>
      </c>
      <c r="M308" s="421">
        <v>0</v>
      </c>
      <c r="N308" s="422">
        <v>64.228247119713899</v>
      </c>
      <c r="O308" s="422">
        <v>4.0154786653397201</v>
      </c>
      <c r="P308" s="421">
        <v>0</v>
      </c>
      <c r="Q308" s="421">
        <v>0</v>
      </c>
      <c r="R308" s="421">
        <v>0</v>
      </c>
      <c r="S308" s="423">
        <v>1418.4225671614499</v>
      </c>
      <c r="T308" s="412"/>
    </row>
    <row r="309" spans="2:20" ht="13.5">
      <c r="B309" s="412"/>
      <c r="C309" s="420" t="s">
        <v>60</v>
      </c>
      <c r="D309" s="421">
        <v>30.885603791058401</v>
      </c>
      <c r="E309" s="421">
        <v>484.495467583368</v>
      </c>
      <c r="F309" s="421">
        <v>42.659321237611302</v>
      </c>
      <c r="G309" s="421">
        <v>385.71207499197101</v>
      </c>
      <c r="H309" s="421">
        <v>0</v>
      </c>
      <c r="I309" s="421">
        <v>0</v>
      </c>
      <c r="J309" s="421">
        <v>0</v>
      </c>
      <c r="K309" s="421">
        <v>0</v>
      </c>
      <c r="L309" s="421">
        <v>0</v>
      </c>
      <c r="M309" s="421">
        <v>0</v>
      </c>
      <c r="N309" s="421">
        <v>0</v>
      </c>
      <c r="O309" s="421">
        <v>0</v>
      </c>
      <c r="P309" s="421">
        <v>0</v>
      </c>
      <c r="Q309" s="421">
        <v>0</v>
      </c>
      <c r="R309" s="421">
        <v>0</v>
      </c>
      <c r="S309" s="423">
        <v>943.75246760400796</v>
      </c>
      <c r="T309" s="412"/>
    </row>
    <row r="310" spans="2:20" ht="13.5">
      <c r="B310" s="412"/>
      <c r="C310" s="420" t="s">
        <v>61</v>
      </c>
      <c r="D310" s="421">
        <v>0</v>
      </c>
      <c r="E310" s="421">
        <v>0</v>
      </c>
      <c r="F310" s="421">
        <v>0</v>
      </c>
      <c r="G310" s="421">
        <v>0</v>
      </c>
      <c r="H310" s="421">
        <v>0</v>
      </c>
      <c r="I310" s="421">
        <v>0</v>
      </c>
      <c r="J310" s="421">
        <v>0</v>
      </c>
      <c r="K310" s="421">
        <v>0</v>
      </c>
      <c r="L310" s="421">
        <v>0</v>
      </c>
      <c r="M310" s="421">
        <v>0</v>
      </c>
      <c r="N310" s="421">
        <v>0</v>
      </c>
      <c r="O310" s="421">
        <v>0</v>
      </c>
      <c r="P310" s="421">
        <v>-18.341336792236799</v>
      </c>
      <c r="Q310" s="421">
        <v>0</v>
      </c>
      <c r="R310" s="421">
        <v>0</v>
      </c>
      <c r="S310" s="423">
        <v>-18.341336792236799</v>
      </c>
      <c r="T310" s="412"/>
    </row>
    <row r="311" spans="2:20" ht="13.5">
      <c r="B311" s="412"/>
      <c r="C311" s="420" t="s">
        <v>62</v>
      </c>
      <c r="D311" s="421">
        <v>0</v>
      </c>
      <c r="E311" s="421">
        <v>0</v>
      </c>
      <c r="F311" s="421">
        <v>-15.257294848391901</v>
      </c>
      <c r="G311" s="421">
        <v>0</v>
      </c>
      <c r="H311" s="421">
        <v>0</v>
      </c>
      <c r="I311" s="421">
        <v>0</v>
      </c>
      <c r="J311" s="421">
        <v>0</v>
      </c>
      <c r="K311" s="421">
        <v>0</v>
      </c>
      <c r="L311" s="421">
        <v>0</v>
      </c>
      <c r="M311" s="421">
        <v>0</v>
      </c>
      <c r="N311" s="421">
        <v>0</v>
      </c>
      <c r="O311" s="421">
        <v>0</v>
      </c>
      <c r="P311" s="421">
        <v>0</v>
      </c>
      <c r="Q311" s="421">
        <v>0</v>
      </c>
      <c r="R311" s="421">
        <v>0</v>
      </c>
      <c r="S311" s="423">
        <v>-15.257294848391901</v>
      </c>
      <c r="T311" s="412"/>
    </row>
    <row r="312" spans="2:20" ht="13.5">
      <c r="B312" s="412"/>
      <c r="C312" s="420" t="s">
        <v>63</v>
      </c>
      <c r="D312" s="421">
        <v>0</v>
      </c>
      <c r="E312" s="421">
        <v>0</v>
      </c>
      <c r="F312" s="421">
        <v>-90.626969920873506</v>
      </c>
      <c r="G312" s="421">
        <v>0</v>
      </c>
      <c r="H312" s="421">
        <v>0</v>
      </c>
      <c r="I312" s="421">
        <v>0</v>
      </c>
      <c r="J312" s="421">
        <v>0</v>
      </c>
      <c r="K312" s="421">
        <v>0</v>
      </c>
      <c r="L312" s="421">
        <v>-0.93615330165546395</v>
      </c>
      <c r="M312" s="421">
        <v>0</v>
      </c>
      <c r="N312" s="421">
        <v>0</v>
      </c>
      <c r="O312" s="421">
        <v>0</v>
      </c>
      <c r="P312" s="421">
        <v>0</v>
      </c>
      <c r="Q312" s="421">
        <v>0</v>
      </c>
      <c r="R312" s="421">
        <v>0</v>
      </c>
      <c r="S312" s="423">
        <v>-91.563123222528901</v>
      </c>
      <c r="T312" s="412"/>
    </row>
    <row r="313" spans="2:20" ht="13.5">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ht="13.5">
      <c r="B314" s="412"/>
      <c r="C314" s="424" t="s">
        <v>65</v>
      </c>
      <c r="D314" s="425">
        <v>30.885603791058401</v>
      </c>
      <c r="E314" s="425">
        <v>484.495467583368</v>
      </c>
      <c r="F314" s="425">
        <v>-63.224943531653999</v>
      </c>
      <c r="G314" s="425">
        <v>385.71207499197101</v>
      </c>
      <c r="H314" s="425">
        <v>843.18181818181802</v>
      </c>
      <c r="I314" s="425">
        <v>303.83</v>
      </c>
      <c r="J314" s="425">
        <v>180.58227082712199</v>
      </c>
      <c r="K314" s="425">
        <v>22.584752367457401</v>
      </c>
      <c r="L314" s="425">
        <v>-0.93615330165546395</v>
      </c>
      <c r="M314" s="425">
        <v>0</v>
      </c>
      <c r="N314" s="425">
        <v>64.228247119713899</v>
      </c>
      <c r="O314" s="425">
        <v>4.0154786653397201</v>
      </c>
      <c r="P314" s="425">
        <v>-18.341336792236799</v>
      </c>
      <c r="Q314" s="425">
        <v>0</v>
      </c>
      <c r="R314" s="425">
        <v>0</v>
      </c>
      <c r="S314" s="425">
        <v>2237.0132799022999</v>
      </c>
      <c r="T314" s="412"/>
    </row>
    <row r="315" spans="2:20" ht="13.5">
      <c r="B315" s="412"/>
      <c r="C315" s="426"/>
      <c r="D315" s="427"/>
      <c r="E315" s="427"/>
      <c r="F315" s="427"/>
      <c r="G315" s="427"/>
      <c r="H315" s="427"/>
      <c r="I315" s="427"/>
      <c r="J315" s="427"/>
      <c r="K315" s="427"/>
      <c r="L315" s="427"/>
      <c r="M315" s="427"/>
      <c r="N315" s="427"/>
      <c r="O315" s="427"/>
      <c r="P315" s="427"/>
      <c r="Q315" s="427"/>
      <c r="R315" s="427"/>
      <c r="S315" s="427"/>
      <c r="T315" s="412"/>
    </row>
    <row r="316" spans="2:20" ht="13.5">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ht="13.5">
      <c r="B317" s="412"/>
      <c r="C317" s="428" t="s">
        <v>350</v>
      </c>
      <c r="D317" s="421">
        <v>2.2004707355665598</v>
      </c>
      <c r="E317" s="421">
        <v>0</v>
      </c>
      <c r="F317" s="421">
        <v>3.8636363636363602</v>
      </c>
      <c r="G317" s="421">
        <v>26.7514143940613</v>
      </c>
      <c r="H317" s="421">
        <v>843.18181818181802</v>
      </c>
      <c r="I317" s="421">
        <v>303.83</v>
      </c>
      <c r="J317" s="421">
        <v>22.093473329706701</v>
      </c>
      <c r="K317" s="421">
        <v>5.8025151206166701</v>
      </c>
      <c r="L317" s="421">
        <v>0</v>
      </c>
      <c r="M317" s="421">
        <v>0.54594723253186395</v>
      </c>
      <c r="N317" s="421">
        <v>0</v>
      </c>
      <c r="O317" s="421">
        <v>0</v>
      </c>
      <c r="P317" s="421">
        <v>-610.51719995562303</v>
      </c>
      <c r="Q317" s="421">
        <v>0</v>
      </c>
      <c r="R317" s="421">
        <v>0</v>
      </c>
      <c r="S317" s="429">
        <v>597.75207540231395</v>
      </c>
      <c r="T317" s="412"/>
    </row>
    <row r="318" spans="2:20" ht="13.5">
      <c r="B318" s="412"/>
      <c r="C318" s="428" t="s">
        <v>351</v>
      </c>
      <c r="D318" s="421">
        <v>0</v>
      </c>
      <c r="E318" s="421">
        <v>0</v>
      </c>
      <c r="F318" s="421">
        <v>0</v>
      </c>
      <c r="G318" s="421">
        <v>17.221669860310801</v>
      </c>
      <c r="H318" s="421">
        <v>0</v>
      </c>
      <c r="I318" s="421">
        <v>0</v>
      </c>
      <c r="J318" s="421">
        <v>12.443095766795199</v>
      </c>
      <c r="K318" s="421">
        <v>12.7366574955616</v>
      </c>
      <c r="L318" s="421">
        <v>0</v>
      </c>
      <c r="M318" s="421">
        <v>0.351462650210425</v>
      </c>
      <c r="N318" s="421">
        <v>0</v>
      </c>
      <c r="O318" s="421">
        <v>2.25021562141669</v>
      </c>
      <c r="P318" s="421">
        <v>0</v>
      </c>
      <c r="Q318" s="421">
        <v>-41.107889812280099</v>
      </c>
      <c r="R318" s="421">
        <v>0</v>
      </c>
      <c r="S318" s="429">
        <v>3.8952115820145798</v>
      </c>
      <c r="T318" s="412"/>
    </row>
    <row r="319" spans="2:20" ht="13.5">
      <c r="B319" s="412"/>
      <c r="C319" s="428" t="s">
        <v>352</v>
      </c>
      <c r="D319" s="421">
        <v>0</v>
      </c>
      <c r="E319" s="421">
        <v>0</v>
      </c>
      <c r="F319" s="421">
        <v>0</v>
      </c>
      <c r="G319" s="421">
        <v>0</v>
      </c>
      <c r="H319" s="421">
        <v>0</v>
      </c>
      <c r="I319" s="421">
        <v>0</v>
      </c>
      <c r="J319" s="421">
        <v>8.1664030992761294</v>
      </c>
      <c r="K319" s="421">
        <v>0</v>
      </c>
      <c r="L319" s="421">
        <v>0</v>
      </c>
      <c r="M319" s="421">
        <v>-7.6253788939490796</v>
      </c>
      <c r="N319" s="421">
        <v>0</v>
      </c>
      <c r="O319" s="421">
        <v>0</v>
      </c>
      <c r="P319" s="421">
        <v>0</v>
      </c>
      <c r="Q319" s="421">
        <v>0</v>
      </c>
      <c r="R319" s="421">
        <v>0</v>
      </c>
      <c r="S319" s="429">
        <v>0.54102420532704398</v>
      </c>
      <c r="T319" s="412"/>
    </row>
    <row r="320" spans="2:20" ht="13.5">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ht="13.5">
      <c r="B321" s="412"/>
      <c r="C321" s="428" t="s">
        <v>72</v>
      </c>
      <c r="D321" s="421">
        <v>0</v>
      </c>
      <c r="E321" s="421">
        <v>501.885810932168</v>
      </c>
      <c r="F321" s="421">
        <v>-496.86695282284597</v>
      </c>
      <c r="G321" s="421">
        <v>0</v>
      </c>
      <c r="H321" s="421">
        <v>0</v>
      </c>
      <c r="I321" s="421">
        <v>0</v>
      </c>
      <c r="J321" s="421">
        <v>0</v>
      </c>
      <c r="K321" s="421">
        <v>0</v>
      </c>
      <c r="L321" s="421">
        <v>0</v>
      </c>
      <c r="M321" s="421">
        <v>0</v>
      </c>
      <c r="N321" s="421">
        <v>0</v>
      </c>
      <c r="O321" s="421">
        <v>0</v>
      </c>
      <c r="P321" s="421">
        <v>0</v>
      </c>
      <c r="Q321" s="421">
        <v>0</v>
      </c>
      <c r="R321" s="421">
        <v>0</v>
      </c>
      <c r="S321" s="429">
        <v>5.0188581093216804</v>
      </c>
      <c r="T321" s="412"/>
    </row>
    <row r="322" spans="2:20" ht="13.5">
      <c r="B322" s="412"/>
      <c r="C322" s="428" t="s">
        <v>354</v>
      </c>
      <c r="D322" s="421">
        <v>0</v>
      </c>
      <c r="E322" s="421">
        <v>0</v>
      </c>
      <c r="F322" s="421">
        <v>0</v>
      </c>
      <c r="G322" s="421">
        <v>0</v>
      </c>
      <c r="H322" s="421">
        <v>0</v>
      </c>
      <c r="I322" s="421">
        <v>0</v>
      </c>
      <c r="J322" s="421">
        <v>40.922578855232103</v>
      </c>
      <c r="K322" s="421">
        <v>0</v>
      </c>
      <c r="L322" s="421">
        <v>-40.922578855232103</v>
      </c>
      <c r="M322" s="421">
        <v>0</v>
      </c>
      <c r="N322" s="421">
        <v>0</v>
      </c>
      <c r="O322" s="421">
        <v>0</v>
      </c>
      <c r="P322" s="421">
        <v>0</v>
      </c>
      <c r="Q322" s="421">
        <v>0</v>
      </c>
      <c r="R322" s="421">
        <v>0</v>
      </c>
      <c r="S322" s="429">
        <v>0</v>
      </c>
      <c r="T322" s="412"/>
    </row>
    <row r="323" spans="2:20" ht="13.5">
      <c r="B323" s="412"/>
      <c r="C323" s="428" t="s">
        <v>355</v>
      </c>
      <c r="D323" s="421">
        <v>0</v>
      </c>
      <c r="E323" s="421">
        <v>0</v>
      </c>
      <c r="F323" s="421">
        <v>0</v>
      </c>
      <c r="G323" s="421">
        <v>0</v>
      </c>
      <c r="H323" s="421">
        <v>0</v>
      </c>
      <c r="I323" s="421">
        <v>0</v>
      </c>
      <c r="J323" s="421">
        <v>0</v>
      </c>
      <c r="K323" s="421">
        <v>0</v>
      </c>
      <c r="L323" s="421">
        <v>-0.185690681788441</v>
      </c>
      <c r="M323" s="421">
        <v>0</v>
      </c>
      <c r="N323" s="421">
        <v>0</v>
      </c>
      <c r="O323" s="421">
        <v>0</v>
      </c>
      <c r="P323" s="421">
        <v>0</v>
      </c>
      <c r="Q323" s="421">
        <v>0</v>
      </c>
      <c r="R323" s="421">
        <v>0.26527240255491602</v>
      </c>
      <c r="S323" s="429">
        <v>7.9581720766474906E-2</v>
      </c>
      <c r="T323" s="412"/>
    </row>
    <row r="324" spans="2:20" ht="13.5">
      <c r="B324" s="412"/>
      <c r="C324" s="428" t="s">
        <v>73</v>
      </c>
      <c r="D324" s="421">
        <v>0</v>
      </c>
      <c r="E324" s="421">
        <v>0</v>
      </c>
      <c r="F324" s="421">
        <v>0</v>
      </c>
      <c r="G324" s="421">
        <v>5.0830420654676596</v>
      </c>
      <c r="H324" s="421">
        <v>0</v>
      </c>
      <c r="I324" s="421">
        <v>0</v>
      </c>
      <c r="J324" s="421">
        <v>0</v>
      </c>
      <c r="K324" s="421">
        <v>5.89406547480016E-2</v>
      </c>
      <c r="L324" s="421">
        <v>0</v>
      </c>
      <c r="M324" s="421">
        <v>0.103735552356483</v>
      </c>
      <c r="N324" s="421">
        <v>0</v>
      </c>
      <c r="O324" s="421">
        <v>0</v>
      </c>
      <c r="P324" s="421">
        <v>0.64603991681083595</v>
      </c>
      <c r="Q324" s="421">
        <v>0</v>
      </c>
      <c r="R324" s="421">
        <v>-4.1258458323601097</v>
      </c>
      <c r="S324" s="429">
        <v>1.7659123570228701</v>
      </c>
      <c r="T324" s="412"/>
    </row>
    <row r="325" spans="2:20" ht="13.5">
      <c r="B325" s="412"/>
      <c r="C325" s="428" t="s">
        <v>356</v>
      </c>
      <c r="D325" s="421">
        <v>12.835820312499999</v>
      </c>
      <c r="E325" s="421">
        <v>-17.3903433487996</v>
      </c>
      <c r="F325" s="421">
        <v>22.745541936068101</v>
      </c>
      <c r="G325" s="421">
        <v>0</v>
      </c>
      <c r="H325" s="421">
        <v>0</v>
      </c>
      <c r="I325" s="421">
        <v>0</v>
      </c>
      <c r="J325" s="421">
        <v>0</v>
      </c>
      <c r="K325" s="421">
        <v>0</v>
      </c>
      <c r="L325" s="421">
        <v>0</v>
      </c>
      <c r="M325" s="421">
        <v>0</v>
      </c>
      <c r="N325" s="421">
        <v>0</v>
      </c>
      <c r="O325" s="421">
        <v>0</v>
      </c>
      <c r="P325" s="421">
        <v>0</v>
      </c>
      <c r="Q325" s="421">
        <v>0</v>
      </c>
      <c r="R325" s="421">
        <v>0</v>
      </c>
      <c r="S325" s="429">
        <v>18.191018899768501</v>
      </c>
      <c r="T325" s="412"/>
    </row>
    <row r="326" spans="2:20" ht="13.5">
      <c r="B326" s="412"/>
      <c r="C326" s="428" t="s">
        <v>75</v>
      </c>
      <c r="D326" s="421">
        <v>9.6016132812499997</v>
      </c>
      <c r="E326" s="421">
        <v>0</v>
      </c>
      <c r="F326" s="421">
        <v>17.0641175716937</v>
      </c>
      <c r="G326" s="421">
        <v>4.8692961376638904</v>
      </c>
      <c r="H326" s="421">
        <v>0</v>
      </c>
      <c r="I326" s="421">
        <v>0</v>
      </c>
      <c r="J326" s="421">
        <v>0</v>
      </c>
      <c r="K326" s="421">
        <v>0</v>
      </c>
      <c r="L326" s="421">
        <v>0</v>
      </c>
      <c r="M326" s="421">
        <v>9.9373390564569203E-2</v>
      </c>
      <c r="N326" s="421">
        <v>0</v>
      </c>
      <c r="O326" s="421">
        <v>0</v>
      </c>
      <c r="P326" s="421">
        <v>28.1582236341448</v>
      </c>
      <c r="Q326" s="421">
        <v>0</v>
      </c>
      <c r="R326" s="421">
        <v>0</v>
      </c>
      <c r="S326" s="429">
        <v>59.792624015317003</v>
      </c>
      <c r="T326" s="412"/>
    </row>
    <row r="327" spans="2:20" ht="13.5">
      <c r="B327" s="412"/>
      <c r="C327" s="428" t="s">
        <v>76</v>
      </c>
      <c r="D327" s="421">
        <v>0</v>
      </c>
      <c r="E327" s="421">
        <v>0</v>
      </c>
      <c r="F327" s="421">
        <v>0</v>
      </c>
      <c r="G327" s="421">
        <v>4.4305561162471001</v>
      </c>
      <c r="H327" s="421">
        <v>0</v>
      </c>
      <c r="I327" s="421">
        <v>0</v>
      </c>
      <c r="J327" s="421">
        <v>0</v>
      </c>
      <c r="K327" s="421">
        <v>0</v>
      </c>
      <c r="L327" s="421">
        <v>0</v>
      </c>
      <c r="M327" s="421">
        <v>9.0419512576471406E-2</v>
      </c>
      <c r="N327" s="421">
        <v>0</v>
      </c>
      <c r="O327" s="421">
        <v>0</v>
      </c>
      <c r="P327" s="421">
        <v>45.383745745670502</v>
      </c>
      <c r="Q327" s="421">
        <v>3.1854822363759498</v>
      </c>
      <c r="R327" s="421">
        <v>0</v>
      </c>
      <c r="S327" s="429">
        <v>53.090203610869999</v>
      </c>
      <c r="T327" s="412"/>
    </row>
    <row r="328" spans="2:20" ht="13.5">
      <c r="B328" s="412"/>
      <c r="C328" s="424" t="s">
        <v>77</v>
      </c>
      <c r="D328" s="425">
        <v>24.637904329316601</v>
      </c>
      <c r="E328" s="425">
        <v>484.495467583368</v>
      </c>
      <c r="F328" s="425">
        <v>-453.19365695144802</v>
      </c>
      <c r="G328" s="425">
        <v>58.355978573750797</v>
      </c>
      <c r="H328" s="425">
        <v>843.18181818181802</v>
      </c>
      <c r="I328" s="425">
        <v>303.83</v>
      </c>
      <c r="J328" s="425">
        <v>83.625551051010106</v>
      </c>
      <c r="K328" s="425">
        <v>18.598113270926302</v>
      </c>
      <c r="L328" s="425">
        <v>-41.108269537020597</v>
      </c>
      <c r="M328" s="425">
        <v>-6.4344405557092701</v>
      </c>
      <c r="N328" s="425">
        <v>0</v>
      </c>
      <c r="O328" s="425">
        <v>2.25021562141669</v>
      </c>
      <c r="P328" s="425">
        <v>-536.32919065899705</v>
      </c>
      <c r="Q328" s="425">
        <v>-37.922407575904202</v>
      </c>
      <c r="R328" s="425">
        <v>-3.8605734298051999</v>
      </c>
      <c r="S328" s="425">
        <v>740.12650990272198</v>
      </c>
      <c r="T328" s="412"/>
    </row>
    <row r="329" spans="2:20" ht="13.5">
      <c r="B329" s="412"/>
      <c r="C329" s="426"/>
      <c r="D329" s="427"/>
      <c r="E329" s="427"/>
      <c r="F329" s="427"/>
      <c r="G329" s="427"/>
      <c r="H329" s="427"/>
      <c r="I329" s="427"/>
      <c r="J329" s="427"/>
      <c r="K329" s="427"/>
      <c r="L329" s="427"/>
      <c r="M329" s="427"/>
      <c r="N329" s="427"/>
      <c r="O329" s="427"/>
      <c r="P329" s="427"/>
      <c r="Q329" s="427"/>
      <c r="R329" s="427"/>
      <c r="S329" s="427"/>
      <c r="T329" s="412"/>
    </row>
    <row r="330" spans="2:20" ht="13.5">
      <c r="B330" s="412"/>
      <c r="C330" s="428" t="s">
        <v>78</v>
      </c>
      <c r="D330" s="421">
        <v>4.1175454090074304</v>
      </c>
      <c r="E330" s="421">
        <v>0</v>
      </c>
      <c r="F330" s="421">
        <v>19.277494882052501</v>
      </c>
      <c r="G330" s="421">
        <v>101.47453920726601</v>
      </c>
      <c r="H330" s="421">
        <v>0</v>
      </c>
      <c r="I330" s="421">
        <v>0</v>
      </c>
      <c r="J330" s="421">
        <v>17.1465838958113</v>
      </c>
      <c r="K330" s="421">
        <v>3.98663909653113</v>
      </c>
      <c r="L330" s="421">
        <v>0.86272697265624998</v>
      </c>
      <c r="M330" s="421">
        <v>2.0709089634136002</v>
      </c>
      <c r="N330" s="421">
        <v>0</v>
      </c>
      <c r="O330" s="421">
        <v>0</v>
      </c>
      <c r="P330" s="421">
        <v>115.02579662342799</v>
      </c>
      <c r="Q330" s="421">
        <v>18.9073764304365</v>
      </c>
      <c r="R330" s="421">
        <v>0.24469155883789101</v>
      </c>
      <c r="S330" s="429">
        <v>283.11430303944098</v>
      </c>
      <c r="T330" s="412"/>
    </row>
    <row r="331" spans="2:20" ht="13.5">
      <c r="B331" s="412"/>
      <c r="C331" s="428" t="s">
        <v>79</v>
      </c>
      <c r="D331" s="421">
        <v>0</v>
      </c>
      <c r="E331" s="421">
        <v>0</v>
      </c>
      <c r="F331" s="421">
        <v>211.515991693448</v>
      </c>
      <c r="G331" s="421">
        <v>33.673192204334903</v>
      </c>
      <c r="H331" s="421">
        <v>0</v>
      </c>
      <c r="I331" s="421">
        <v>0</v>
      </c>
      <c r="J331" s="421">
        <v>0</v>
      </c>
      <c r="K331" s="421">
        <v>0</v>
      </c>
      <c r="L331" s="421">
        <v>21.364475731578199</v>
      </c>
      <c r="M331" s="421">
        <v>0.68720800417009997</v>
      </c>
      <c r="N331" s="421">
        <v>0</v>
      </c>
      <c r="O331" s="421">
        <v>0</v>
      </c>
      <c r="P331" s="421">
        <v>67.538126653199896</v>
      </c>
      <c r="Q331" s="421">
        <v>0</v>
      </c>
      <c r="R331" s="421">
        <v>2.73358870080129</v>
      </c>
      <c r="S331" s="429">
        <v>337.51258298753203</v>
      </c>
      <c r="T331" s="412"/>
    </row>
    <row r="332" spans="2:20" ht="13.5">
      <c r="B332" s="412"/>
      <c r="C332" s="428" t="s">
        <v>80</v>
      </c>
      <c r="D332" s="421">
        <v>0</v>
      </c>
      <c r="E332" s="421">
        <v>0</v>
      </c>
      <c r="F332" s="421">
        <v>11.269398252747999</v>
      </c>
      <c r="G332" s="421">
        <v>107.66857440515901</v>
      </c>
      <c r="H332" s="421">
        <v>0</v>
      </c>
      <c r="I332" s="421">
        <v>0</v>
      </c>
      <c r="J332" s="421">
        <v>74.555024603306606</v>
      </c>
      <c r="K332" s="421">
        <v>0</v>
      </c>
      <c r="L332" s="421">
        <v>0</v>
      </c>
      <c r="M332" s="421">
        <v>2.19731784500325</v>
      </c>
      <c r="N332" s="421">
        <v>57.8439730041991</v>
      </c>
      <c r="O332" s="421">
        <v>0.94792042331900395</v>
      </c>
      <c r="P332" s="421">
        <v>182.60815084241301</v>
      </c>
      <c r="Q332" s="421">
        <v>15.2162816007431</v>
      </c>
      <c r="R332" s="421">
        <v>0</v>
      </c>
      <c r="S332" s="429">
        <v>452.306640976891</v>
      </c>
      <c r="T332" s="412"/>
    </row>
    <row r="333" spans="2:20" ht="13.5">
      <c r="B333" s="412"/>
      <c r="C333" s="428" t="s">
        <v>81</v>
      </c>
      <c r="D333" s="421">
        <v>0</v>
      </c>
      <c r="E333" s="421">
        <v>0</v>
      </c>
      <c r="F333" s="421">
        <v>4.6678370944484504</v>
      </c>
      <c r="G333" s="421">
        <v>66.895141856533499</v>
      </c>
      <c r="H333" s="421">
        <v>0</v>
      </c>
      <c r="I333" s="421">
        <v>0</v>
      </c>
      <c r="J333" s="421">
        <v>3.3107731809745702</v>
      </c>
      <c r="K333" s="421">
        <v>0</v>
      </c>
      <c r="L333" s="421">
        <v>0</v>
      </c>
      <c r="M333" s="421">
        <v>1.3652069766639501</v>
      </c>
      <c r="N333" s="421">
        <v>6.3842741155148302</v>
      </c>
      <c r="O333" s="421">
        <v>0.75088648318301499</v>
      </c>
      <c r="P333" s="421">
        <v>144.56234737622799</v>
      </c>
      <c r="Q333" s="421">
        <v>3.79874954472458</v>
      </c>
      <c r="R333" s="421">
        <v>0</v>
      </c>
      <c r="S333" s="429">
        <v>231.73521662827099</v>
      </c>
      <c r="T333" s="412"/>
    </row>
    <row r="334" spans="2:20" ht="13.5">
      <c r="B334" s="412"/>
      <c r="C334" s="428" t="s">
        <v>82</v>
      </c>
      <c r="D334" s="421">
        <v>0</v>
      </c>
      <c r="E334" s="421">
        <v>0</v>
      </c>
      <c r="F334" s="421">
        <v>4.5923360843350496</v>
      </c>
      <c r="G334" s="421">
        <v>5.5761395564600598</v>
      </c>
      <c r="H334" s="421">
        <v>0</v>
      </c>
      <c r="I334" s="421">
        <v>0</v>
      </c>
      <c r="J334" s="421">
        <v>1.9443380960196801</v>
      </c>
      <c r="K334" s="421">
        <v>0</v>
      </c>
      <c r="L334" s="421">
        <v>17.944913531130702</v>
      </c>
      <c r="M334" s="421">
        <v>0.11379876645836901</v>
      </c>
      <c r="N334" s="421">
        <v>0</v>
      </c>
      <c r="O334" s="421">
        <v>6.6456137421005299E-2</v>
      </c>
      <c r="P334" s="421">
        <v>7.4534323714914201</v>
      </c>
      <c r="Q334" s="421">
        <v>0</v>
      </c>
      <c r="R334" s="421">
        <v>0</v>
      </c>
      <c r="S334" s="429">
        <v>37.691414543316299</v>
      </c>
      <c r="T334" s="412"/>
    </row>
    <row r="335" spans="2:20" ht="13.5">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0.8</v>
      </c>
      <c r="Q335" s="421">
        <v>0</v>
      </c>
      <c r="R335" s="421">
        <v>0</v>
      </c>
      <c r="S335" s="429">
        <v>0.8</v>
      </c>
      <c r="T335" s="412"/>
    </row>
    <row r="336" spans="2:20" ht="13.5">
      <c r="B336" s="412"/>
      <c r="C336" s="424" t="s">
        <v>83</v>
      </c>
      <c r="D336" s="425">
        <v>4.1175454090074304</v>
      </c>
      <c r="E336" s="425">
        <v>0</v>
      </c>
      <c r="F336" s="425">
        <v>251.32305800703199</v>
      </c>
      <c r="G336" s="425">
        <v>315.28758722975402</v>
      </c>
      <c r="H336" s="425">
        <v>0</v>
      </c>
      <c r="I336" s="425">
        <v>0</v>
      </c>
      <c r="J336" s="425">
        <v>96.956719776112095</v>
      </c>
      <c r="K336" s="425">
        <v>3.98663909653113</v>
      </c>
      <c r="L336" s="425">
        <v>40.172116235365102</v>
      </c>
      <c r="M336" s="425">
        <v>6.4344405557092701</v>
      </c>
      <c r="N336" s="425">
        <v>64.228247119713899</v>
      </c>
      <c r="O336" s="425">
        <v>1.7652630439230199</v>
      </c>
      <c r="P336" s="425">
        <v>517.98785386676104</v>
      </c>
      <c r="Q336" s="425">
        <v>37.922407575904103</v>
      </c>
      <c r="R336" s="425">
        <v>2.9782802596391802</v>
      </c>
      <c r="S336" s="425">
        <v>1343.1601581754501</v>
      </c>
      <c r="T336" s="412"/>
    </row>
    <row r="337" spans="2:20" ht="13.5">
      <c r="B337" s="412"/>
      <c r="C337" s="420" t="s">
        <v>84</v>
      </c>
      <c r="D337" s="421">
        <v>2.1301540527343801</v>
      </c>
      <c r="E337" s="421">
        <v>0</v>
      </c>
      <c r="F337" s="421">
        <v>138.64565541276201</v>
      </c>
      <c r="G337" s="421">
        <v>12.0685091884655</v>
      </c>
      <c r="H337" s="421">
        <v>0</v>
      </c>
      <c r="I337" s="421">
        <v>0</v>
      </c>
      <c r="J337" s="421">
        <v>0</v>
      </c>
      <c r="K337" s="421">
        <v>0</v>
      </c>
      <c r="L337" s="421">
        <v>0</v>
      </c>
      <c r="M337" s="421">
        <v>0</v>
      </c>
      <c r="N337" s="421">
        <v>0</v>
      </c>
      <c r="O337" s="421">
        <v>0</v>
      </c>
      <c r="P337" s="421">
        <v>0</v>
      </c>
      <c r="Q337" s="421">
        <v>0</v>
      </c>
      <c r="R337" s="421">
        <v>0.88229317016601605</v>
      </c>
      <c r="S337" s="429">
        <v>153.72661182412801</v>
      </c>
      <c r="T337" s="412"/>
    </row>
    <row r="338" spans="2:20" ht="13.5">
      <c r="B338" s="412"/>
      <c r="C338" s="424" t="s">
        <v>85</v>
      </c>
      <c r="D338" s="425">
        <v>6.2476994617418002</v>
      </c>
      <c r="E338" s="425">
        <v>0</v>
      </c>
      <c r="F338" s="425">
        <v>389.96871341979403</v>
      </c>
      <c r="G338" s="425">
        <v>327.35609641821998</v>
      </c>
      <c r="H338" s="425">
        <v>0</v>
      </c>
      <c r="I338" s="425">
        <v>0</v>
      </c>
      <c r="J338" s="425">
        <v>96.956719776112095</v>
      </c>
      <c r="K338" s="425">
        <v>3.98663909653113</v>
      </c>
      <c r="L338" s="425">
        <v>40.172116235365102</v>
      </c>
      <c r="M338" s="425">
        <v>6.4344405557092701</v>
      </c>
      <c r="N338" s="425">
        <v>64.228247119713899</v>
      </c>
      <c r="O338" s="425">
        <v>1.7652630439230199</v>
      </c>
      <c r="P338" s="425">
        <v>517.98785386676104</v>
      </c>
      <c r="Q338" s="425">
        <v>37.922407575904103</v>
      </c>
      <c r="R338" s="425">
        <v>3.8605734298051999</v>
      </c>
      <c r="S338" s="425">
        <v>1496.8867699995801</v>
      </c>
      <c r="T338" s="412"/>
    </row>
    <row r="339" spans="2:20">
      <c r="B339" s="412"/>
      <c r="C339" s="412"/>
      <c r="D339" s="430">
        <f t="shared" ref="D339:S339" si="8">D338+D328-D314</f>
        <v>0</v>
      </c>
      <c r="E339" s="430">
        <f t="shared" si="8"/>
        <v>0</v>
      </c>
      <c r="F339" s="430">
        <f t="shared" si="8"/>
        <v>0</v>
      </c>
      <c r="G339" s="430">
        <f t="shared" si="8"/>
        <v>0</v>
      </c>
      <c r="H339" s="430">
        <f t="shared" si="8"/>
        <v>0</v>
      </c>
      <c r="I339" s="430">
        <f t="shared" si="8"/>
        <v>0</v>
      </c>
      <c r="J339" s="430">
        <f t="shared" si="8"/>
        <v>2.2737367544323206E-13</v>
      </c>
      <c r="K339" s="430">
        <f t="shared" si="8"/>
        <v>3.1974423109204508E-14</v>
      </c>
      <c r="L339" s="430">
        <f t="shared" si="8"/>
        <v>-3.0420110874729289E-14</v>
      </c>
      <c r="M339" s="430">
        <f t="shared" si="8"/>
        <v>0</v>
      </c>
      <c r="N339" s="430">
        <f t="shared" si="8"/>
        <v>0</v>
      </c>
      <c r="O339" s="430">
        <f t="shared" si="8"/>
        <v>-9.7699626167013776E-15</v>
      </c>
      <c r="P339" s="430">
        <f t="shared" si="8"/>
        <v>7.9225515037251171E-13</v>
      </c>
      <c r="Q339" s="430">
        <f t="shared" si="8"/>
        <v>-9.9475983006414026E-14</v>
      </c>
      <c r="R339" s="430">
        <f t="shared" si="8"/>
        <v>0</v>
      </c>
      <c r="S339" s="430">
        <f t="shared" si="8"/>
        <v>0</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row r="341" spans="2:20" ht="13.5">
      <c r="B341" s="416"/>
      <c r="C341" s="417" t="s">
        <v>89</v>
      </c>
      <c r="D341" s="416"/>
      <c r="E341" s="416"/>
      <c r="F341" s="416"/>
      <c r="G341" s="416"/>
      <c r="H341" s="416"/>
      <c r="I341" s="416"/>
      <c r="J341" s="416"/>
      <c r="K341" s="416"/>
      <c r="L341" s="416"/>
      <c r="M341" s="416"/>
      <c r="N341" s="416"/>
      <c r="O341" s="416"/>
      <c r="P341" s="416"/>
      <c r="Q341" s="416"/>
      <c r="R341" s="416"/>
      <c r="S341" s="416"/>
      <c r="T341" s="416"/>
    </row>
    <row r="342" spans="2:20">
      <c r="B342" s="412"/>
      <c r="C342" s="412"/>
      <c r="D342" s="412"/>
      <c r="E342" s="412"/>
      <c r="F342" s="412"/>
      <c r="G342" s="412"/>
      <c r="H342" s="412"/>
      <c r="I342" s="412"/>
      <c r="J342" s="412"/>
      <c r="K342" s="412"/>
      <c r="L342" s="412"/>
      <c r="M342" s="412"/>
      <c r="N342" s="412"/>
      <c r="O342" s="412"/>
      <c r="P342" s="412"/>
      <c r="Q342" s="412"/>
      <c r="R342" s="412"/>
      <c r="S342" s="412"/>
      <c r="T342" s="412"/>
    </row>
    <row r="343" spans="2:20" ht="13.5" customHeight="1">
      <c r="B343" s="412"/>
      <c r="C343" s="702" t="s">
        <v>128</v>
      </c>
      <c r="D343" s="703" t="s">
        <v>42</v>
      </c>
      <c r="E343" s="703" t="s">
        <v>52</v>
      </c>
      <c r="F343" s="703" t="s">
        <v>53</v>
      </c>
      <c r="G343" s="703" t="s">
        <v>32</v>
      </c>
      <c r="H343" s="703" t="s">
        <v>20</v>
      </c>
      <c r="I343" s="703" t="s">
        <v>55</v>
      </c>
      <c r="J343" s="703" t="s">
        <v>56</v>
      </c>
      <c r="K343" s="703"/>
      <c r="L343" s="703"/>
      <c r="M343" s="703"/>
      <c r="N343" s="703"/>
      <c r="O343" s="703"/>
      <c r="P343" s="703" t="s">
        <v>57</v>
      </c>
      <c r="Q343" s="703" t="s">
        <v>58</v>
      </c>
      <c r="R343" s="703" t="s">
        <v>31</v>
      </c>
      <c r="S343" s="703" t="s">
        <v>10</v>
      </c>
      <c r="T343" s="412"/>
    </row>
    <row r="344" spans="2:20" ht="57.5">
      <c r="B344" s="412"/>
      <c r="C344" s="702"/>
      <c r="D344" s="703"/>
      <c r="E344" s="703"/>
      <c r="F344" s="703"/>
      <c r="G344" s="703"/>
      <c r="H344" s="703"/>
      <c r="I344" s="703"/>
      <c r="J344" s="418" t="s">
        <v>338</v>
      </c>
      <c r="K344" s="418" t="s">
        <v>40</v>
      </c>
      <c r="L344" s="418" t="s">
        <v>346</v>
      </c>
      <c r="M344" s="418" t="s">
        <v>347</v>
      </c>
      <c r="N344" s="419" t="s">
        <v>348</v>
      </c>
      <c r="O344" s="418" t="s">
        <v>349</v>
      </c>
      <c r="P344" s="703"/>
      <c r="Q344" s="703"/>
      <c r="R344" s="703"/>
      <c r="S344" s="703"/>
      <c r="T344" s="412"/>
    </row>
    <row r="345" spans="2:20" ht="13.5">
      <c r="B345" s="412"/>
      <c r="C345" s="420" t="s">
        <v>59</v>
      </c>
      <c r="D345" s="421">
        <v>0</v>
      </c>
      <c r="E345" s="421">
        <v>0</v>
      </c>
      <c r="F345" s="421">
        <v>0</v>
      </c>
      <c r="G345" s="421">
        <v>0</v>
      </c>
      <c r="H345" s="422">
        <v>727.27272727272702</v>
      </c>
      <c r="I345" s="422">
        <v>285.08</v>
      </c>
      <c r="J345" s="422">
        <v>179.02026508455899</v>
      </c>
      <c r="K345" s="422">
        <v>22.071430242595699</v>
      </c>
      <c r="L345" s="421">
        <v>0</v>
      </c>
      <c r="M345" s="421">
        <v>0</v>
      </c>
      <c r="N345" s="422">
        <v>69.124340714614704</v>
      </c>
      <c r="O345" s="422">
        <v>3.9743240940765601</v>
      </c>
      <c r="P345" s="421">
        <v>0</v>
      </c>
      <c r="Q345" s="421">
        <v>0</v>
      </c>
      <c r="R345" s="421">
        <v>0</v>
      </c>
      <c r="S345" s="423">
        <v>1286.54308740857</v>
      </c>
      <c r="T345" s="412"/>
    </row>
    <row r="346" spans="2:20" ht="13.5">
      <c r="B346" s="412"/>
      <c r="C346" s="420" t="s">
        <v>60</v>
      </c>
      <c r="D346" s="421">
        <v>29.137863782851301</v>
      </c>
      <c r="E346" s="421">
        <v>464.7986487</v>
      </c>
      <c r="F346" s="421">
        <v>43.026150332406097</v>
      </c>
      <c r="G346" s="421">
        <v>393.69712052116603</v>
      </c>
      <c r="H346" s="421">
        <v>0</v>
      </c>
      <c r="I346" s="421">
        <v>0</v>
      </c>
      <c r="J346" s="421">
        <v>0</v>
      </c>
      <c r="K346" s="421">
        <v>0</v>
      </c>
      <c r="L346" s="421">
        <v>0</v>
      </c>
      <c r="M346" s="421">
        <v>0</v>
      </c>
      <c r="N346" s="421">
        <v>0</v>
      </c>
      <c r="O346" s="421">
        <v>0</v>
      </c>
      <c r="P346" s="421">
        <v>52.272660894863201</v>
      </c>
      <c r="Q346" s="421">
        <v>0</v>
      </c>
      <c r="R346" s="421">
        <v>0</v>
      </c>
      <c r="S346" s="423">
        <v>982.93244423128704</v>
      </c>
      <c r="T346" s="412"/>
    </row>
    <row r="347" spans="2:20" ht="13.5">
      <c r="B347" s="412"/>
      <c r="C347" s="420" t="s">
        <v>61</v>
      </c>
      <c r="D347" s="421">
        <v>0</v>
      </c>
      <c r="E347" s="421">
        <v>0</v>
      </c>
      <c r="F347" s="421">
        <v>0</v>
      </c>
      <c r="G347" s="421">
        <v>0</v>
      </c>
      <c r="H347" s="421">
        <v>0</v>
      </c>
      <c r="I347" s="421">
        <v>0</v>
      </c>
      <c r="J347" s="421">
        <v>0</v>
      </c>
      <c r="K347" s="421">
        <v>0</v>
      </c>
      <c r="L347" s="421">
        <v>0</v>
      </c>
      <c r="M347" s="421">
        <v>0</v>
      </c>
      <c r="N347" s="421">
        <v>0</v>
      </c>
      <c r="O347" s="421">
        <v>0</v>
      </c>
      <c r="P347" s="421">
        <v>0</v>
      </c>
      <c r="Q347" s="421">
        <v>0</v>
      </c>
      <c r="R347" s="421">
        <v>0</v>
      </c>
      <c r="S347" s="423">
        <v>0</v>
      </c>
      <c r="T347" s="412"/>
    </row>
    <row r="348" spans="2:20" ht="13.5">
      <c r="B348" s="412"/>
      <c r="C348" s="420" t="s">
        <v>62</v>
      </c>
      <c r="D348" s="421">
        <v>0</v>
      </c>
      <c r="E348" s="421">
        <v>0</v>
      </c>
      <c r="F348" s="421">
        <v>-14.431507774067301</v>
      </c>
      <c r="G348" s="421">
        <v>0</v>
      </c>
      <c r="H348" s="421">
        <v>0</v>
      </c>
      <c r="I348" s="421">
        <v>0</v>
      </c>
      <c r="J348" s="421">
        <v>0</v>
      </c>
      <c r="K348" s="421">
        <v>0</v>
      </c>
      <c r="L348" s="421">
        <v>0</v>
      </c>
      <c r="M348" s="421">
        <v>0</v>
      </c>
      <c r="N348" s="421">
        <v>0</v>
      </c>
      <c r="O348" s="421">
        <v>0</v>
      </c>
      <c r="P348" s="421">
        <v>0</v>
      </c>
      <c r="Q348" s="421">
        <v>0</v>
      </c>
      <c r="R348" s="421">
        <v>0</v>
      </c>
      <c r="S348" s="423">
        <v>-14.431507774067301</v>
      </c>
      <c r="T348" s="412"/>
    </row>
    <row r="349" spans="2:20" ht="13.5">
      <c r="B349" s="412"/>
      <c r="C349" s="420" t="s">
        <v>63</v>
      </c>
      <c r="D349" s="421">
        <v>0</v>
      </c>
      <c r="E349" s="421">
        <v>0</v>
      </c>
      <c r="F349" s="421">
        <v>-93.073301321338505</v>
      </c>
      <c r="G349" s="421">
        <v>0</v>
      </c>
      <c r="H349" s="421">
        <v>0</v>
      </c>
      <c r="I349" s="421">
        <v>0</v>
      </c>
      <c r="J349" s="421">
        <v>0</v>
      </c>
      <c r="K349" s="421">
        <v>0</v>
      </c>
      <c r="L349" s="421">
        <v>-0.96113349486483901</v>
      </c>
      <c r="M349" s="421">
        <v>0</v>
      </c>
      <c r="N349" s="421">
        <v>0</v>
      </c>
      <c r="O349" s="421">
        <v>0</v>
      </c>
      <c r="P349" s="421">
        <v>0</v>
      </c>
      <c r="Q349" s="421">
        <v>0</v>
      </c>
      <c r="R349" s="421">
        <v>0</v>
      </c>
      <c r="S349" s="423">
        <v>-94.034434816203301</v>
      </c>
      <c r="T349" s="412"/>
    </row>
    <row r="350" spans="2:20" ht="13.5">
      <c r="B350" s="412"/>
      <c r="C350" s="420" t="s">
        <v>64</v>
      </c>
      <c r="D350" s="421">
        <v>0</v>
      </c>
      <c r="E350" s="421">
        <v>0</v>
      </c>
      <c r="F350" s="421">
        <v>0</v>
      </c>
      <c r="G350" s="421">
        <v>0</v>
      </c>
      <c r="H350" s="421">
        <v>0</v>
      </c>
      <c r="I350" s="421">
        <v>0</v>
      </c>
      <c r="J350" s="421">
        <v>0</v>
      </c>
      <c r="K350" s="421">
        <v>0</v>
      </c>
      <c r="L350" s="421">
        <v>0</v>
      </c>
      <c r="M350" s="421">
        <v>0</v>
      </c>
      <c r="N350" s="421">
        <v>0</v>
      </c>
      <c r="O350" s="421">
        <v>0</v>
      </c>
      <c r="P350" s="421">
        <v>0</v>
      </c>
      <c r="Q350" s="421">
        <v>0</v>
      </c>
      <c r="R350" s="421">
        <v>0</v>
      </c>
      <c r="S350" s="423">
        <v>0</v>
      </c>
      <c r="T350" s="412"/>
    </row>
    <row r="351" spans="2:20" ht="13.5">
      <c r="B351" s="412"/>
      <c r="C351" s="424" t="s">
        <v>65</v>
      </c>
      <c r="D351" s="425">
        <v>29.137863782851301</v>
      </c>
      <c r="E351" s="425">
        <v>464.7986487</v>
      </c>
      <c r="F351" s="425">
        <v>-64.4786587629997</v>
      </c>
      <c r="G351" s="425">
        <v>393.69712052116603</v>
      </c>
      <c r="H351" s="425">
        <v>727.27272727272702</v>
      </c>
      <c r="I351" s="425">
        <v>285.08</v>
      </c>
      <c r="J351" s="425">
        <v>179.02026508455899</v>
      </c>
      <c r="K351" s="425">
        <v>22.071430242595699</v>
      </c>
      <c r="L351" s="425">
        <v>-0.96113349486483901</v>
      </c>
      <c r="M351" s="425">
        <v>0</v>
      </c>
      <c r="N351" s="425">
        <v>69.124340714614704</v>
      </c>
      <c r="O351" s="425">
        <v>3.9743240940765601</v>
      </c>
      <c r="P351" s="425">
        <v>52.272660894863201</v>
      </c>
      <c r="Q351" s="425">
        <v>0</v>
      </c>
      <c r="R351" s="425">
        <v>0</v>
      </c>
      <c r="S351" s="425">
        <v>2161.00958904959</v>
      </c>
      <c r="T351" s="412"/>
    </row>
    <row r="352" spans="2:20" ht="13.5">
      <c r="B352" s="412"/>
      <c r="C352" s="426"/>
      <c r="D352" s="427"/>
      <c r="E352" s="427"/>
      <c r="F352" s="427"/>
      <c r="G352" s="427"/>
      <c r="H352" s="427"/>
      <c r="I352" s="427"/>
      <c r="J352" s="427"/>
      <c r="K352" s="427"/>
      <c r="L352" s="427"/>
      <c r="M352" s="427"/>
      <c r="N352" s="427"/>
      <c r="O352" s="427"/>
      <c r="P352" s="427"/>
      <c r="Q352" s="427"/>
      <c r="R352" s="427"/>
      <c r="S352" s="427"/>
      <c r="T352" s="412"/>
    </row>
    <row r="353" spans="2:20" ht="13.5">
      <c r="B353" s="412"/>
      <c r="C353" s="428" t="s">
        <v>67</v>
      </c>
      <c r="D353" s="421">
        <v>0</v>
      </c>
      <c r="E353" s="421">
        <v>0</v>
      </c>
      <c r="F353" s="421">
        <v>0</v>
      </c>
      <c r="G353" s="421">
        <v>0</v>
      </c>
      <c r="H353" s="421">
        <v>0</v>
      </c>
      <c r="I353" s="421">
        <v>0</v>
      </c>
      <c r="J353" s="421">
        <v>0</v>
      </c>
      <c r="K353" s="421">
        <v>0</v>
      </c>
      <c r="L353" s="421">
        <v>0</v>
      </c>
      <c r="M353" s="421">
        <v>0</v>
      </c>
      <c r="N353" s="421">
        <v>0</v>
      </c>
      <c r="O353" s="421">
        <v>0</v>
      </c>
      <c r="P353" s="421">
        <v>0</v>
      </c>
      <c r="Q353" s="421">
        <v>0</v>
      </c>
      <c r="R353" s="421">
        <v>0</v>
      </c>
      <c r="S353" s="429">
        <v>0</v>
      </c>
      <c r="T353" s="412"/>
    </row>
    <row r="354" spans="2:20" ht="13.5">
      <c r="B354" s="412"/>
      <c r="C354" s="428" t="s">
        <v>350</v>
      </c>
      <c r="D354" s="421">
        <v>2.2004707355665598</v>
      </c>
      <c r="E354" s="421">
        <v>0</v>
      </c>
      <c r="F354" s="421">
        <v>3.8636363636363602</v>
      </c>
      <c r="G354" s="421">
        <v>35.960251906978201</v>
      </c>
      <c r="H354" s="421">
        <v>727.27272727272702</v>
      </c>
      <c r="I354" s="421">
        <v>285.08</v>
      </c>
      <c r="J354" s="421">
        <v>20.883347007614301</v>
      </c>
      <c r="K354" s="421">
        <v>5.4396340942741803</v>
      </c>
      <c r="L354" s="421">
        <v>0</v>
      </c>
      <c r="M354" s="421">
        <v>0.73388269197914702</v>
      </c>
      <c r="N354" s="421">
        <v>0</v>
      </c>
      <c r="O354" s="421">
        <v>0</v>
      </c>
      <c r="P354" s="421">
        <v>-559.49648075937398</v>
      </c>
      <c r="Q354" s="421">
        <v>0</v>
      </c>
      <c r="R354" s="421">
        <v>0</v>
      </c>
      <c r="S354" s="429">
        <v>521.93746931340195</v>
      </c>
      <c r="T354" s="412"/>
    </row>
    <row r="355" spans="2:20" ht="13.5">
      <c r="B355" s="412"/>
      <c r="C355" s="428" t="s">
        <v>351</v>
      </c>
      <c r="D355" s="421">
        <v>0</v>
      </c>
      <c r="E355" s="421">
        <v>0</v>
      </c>
      <c r="F355" s="421">
        <v>0</v>
      </c>
      <c r="G355" s="421">
        <v>17.249248608476702</v>
      </c>
      <c r="H355" s="421">
        <v>0</v>
      </c>
      <c r="I355" s="421">
        <v>0</v>
      </c>
      <c r="J355" s="421">
        <v>12.287356523997399</v>
      </c>
      <c r="K355" s="421">
        <v>12.751836063828801</v>
      </c>
      <c r="L355" s="421">
        <v>0</v>
      </c>
      <c r="M355" s="421">
        <v>0.35202548180564602</v>
      </c>
      <c r="N355" s="421">
        <v>0</v>
      </c>
      <c r="O355" s="421">
        <v>2.25411214784515</v>
      </c>
      <c r="P355" s="421">
        <v>0</v>
      </c>
      <c r="Q355" s="421">
        <v>-41.172831919421</v>
      </c>
      <c r="R355" s="421">
        <v>0</v>
      </c>
      <c r="S355" s="429">
        <v>3.7217469065325699</v>
      </c>
      <c r="T355" s="412"/>
    </row>
    <row r="356" spans="2:20" ht="13.5">
      <c r="B356" s="412"/>
      <c r="C356" s="428" t="s">
        <v>352</v>
      </c>
      <c r="D356" s="421">
        <v>0</v>
      </c>
      <c r="E356" s="421">
        <v>0</v>
      </c>
      <c r="F356" s="421">
        <v>0</v>
      </c>
      <c r="G356" s="421">
        <v>0</v>
      </c>
      <c r="H356" s="421">
        <v>0</v>
      </c>
      <c r="I356" s="421">
        <v>0</v>
      </c>
      <c r="J356" s="421">
        <v>8.1584068388578199</v>
      </c>
      <c r="K356" s="421">
        <v>0</v>
      </c>
      <c r="L356" s="421">
        <v>0</v>
      </c>
      <c r="M356" s="421">
        <v>-7.7912785311092199</v>
      </c>
      <c r="N356" s="421">
        <v>0</v>
      </c>
      <c r="O356" s="421">
        <v>0</v>
      </c>
      <c r="P356" s="421">
        <v>0</v>
      </c>
      <c r="Q356" s="421">
        <v>0</v>
      </c>
      <c r="R356" s="421">
        <v>0</v>
      </c>
      <c r="S356" s="429">
        <v>0.367128307748603</v>
      </c>
      <c r="T356" s="412"/>
    </row>
    <row r="357" spans="2:20" ht="13.5">
      <c r="B357" s="412"/>
      <c r="C357" s="428" t="s">
        <v>353</v>
      </c>
      <c r="D357" s="421">
        <v>0</v>
      </c>
      <c r="E357" s="421">
        <v>0</v>
      </c>
      <c r="F357" s="421">
        <v>0</v>
      </c>
      <c r="G357" s="421">
        <v>0</v>
      </c>
      <c r="H357" s="421">
        <v>0</v>
      </c>
      <c r="I357" s="421">
        <v>0</v>
      </c>
      <c r="J357" s="421">
        <v>0</v>
      </c>
      <c r="K357" s="421">
        <v>0</v>
      </c>
      <c r="L357" s="421">
        <v>0</v>
      </c>
      <c r="M357" s="421">
        <v>0</v>
      </c>
      <c r="N357" s="421">
        <v>0</v>
      </c>
      <c r="O357" s="421">
        <v>0</v>
      </c>
      <c r="P357" s="421">
        <v>0</v>
      </c>
      <c r="Q357" s="421">
        <v>0</v>
      </c>
      <c r="R357" s="421">
        <v>0</v>
      </c>
      <c r="S357" s="429">
        <v>0</v>
      </c>
      <c r="T357" s="412"/>
    </row>
    <row r="358" spans="2:20" ht="13.5">
      <c r="B358" s="412"/>
      <c r="C358" s="428" t="s">
        <v>72</v>
      </c>
      <c r="D358" s="421">
        <v>0</v>
      </c>
      <c r="E358" s="421">
        <v>481.48200000000003</v>
      </c>
      <c r="F358" s="421">
        <v>-476.66717999999997</v>
      </c>
      <c r="G358" s="421">
        <v>0</v>
      </c>
      <c r="H358" s="421">
        <v>0</v>
      </c>
      <c r="I358" s="421">
        <v>0</v>
      </c>
      <c r="J358" s="421">
        <v>0</v>
      </c>
      <c r="K358" s="421">
        <v>0</v>
      </c>
      <c r="L358" s="421">
        <v>0</v>
      </c>
      <c r="M358" s="421">
        <v>0</v>
      </c>
      <c r="N358" s="421">
        <v>0</v>
      </c>
      <c r="O358" s="421">
        <v>0</v>
      </c>
      <c r="P358" s="421">
        <v>0</v>
      </c>
      <c r="Q358" s="421">
        <v>0</v>
      </c>
      <c r="R358" s="421">
        <v>0</v>
      </c>
      <c r="S358" s="429">
        <v>4.8148200000000001</v>
      </c>
      <c r="T358" s="412"/>
    </row>
    <row r="359" spans="2:20" ht="13.5">
      <c r="B359" s="412"/>
      <c r="C359" s="428" t="s">
        <v>354</v>
      </c>
      <c r="D359" s="421">
        <v>0</v>
      </c>
      <c r="E359" s="421">
        <v>0</v>
      </c>
      <c r="F359" s="421">
        <v>0</v>
      </c>
      <c r="G359" s="421">
        <v>0</v>
      </c>
      <c r="H359" s="421">
        <v>0</v>
      </c>
      <c r="I359" s="421">
        <v>0</v>
      </c>
      <c r="J359" s="421">
        <v>41.474660133722303</v>
      </c>
      <c r="K359" s="421">
        <v>0</v>
      </c>
      <c r="L359" s="421">
        <v>-41.474660133722303</v>
      </c>
      <c r="M359" s="421">
        <v>0</v>
      </c>
      <c r="N359" s="421">
        <v>0</v>
      </c>
      <c r="O359" s="421">
        <v>0</v>
      </c>
      <c r="P359" s="421">
        <v>0</v>
      </c>
      <c r="Q359" s="421">
        <v>0</v>
      </c>
      <c r="R359" s="421">
        <v>0</v>
      </c>
      <c r="S359" s="429">
        <v>0</v>
      </c>
      <c r="T359" s="412"/>
    </row>
    <row r="360" spans="2:20" ht="13.5">
      <c r="B360" s="412"/>
      <c r="C360" s="428" t="s">
        <v>355</v>
      </c>
      <c r="D360" s="421">
        <v>0</v>
      </c>
      <c r="E360" s="421">
        <v>0</v>
      </c>
      <c r="F360" s="421">
        <v>0</v>
      </c>
      <c r="G360" s="421">
        <v>0</v>
      </c>
      <c r="H360" s="421">
        <v>0</v>
      </c>
      <c r="I360" s="421">
        <v>0</v>
      </c>
      <c r="J360" s="421">
        <v>0</v>
      </c>
      <c r="K360" s="421">
        <v>0</v>
      </c>
      <c r="L360" s="421">
        <v>-0.18779562104234199</v>
      </c>
      <c r="M360" s="421">
        <v>0</v>
      </c>
      <c r="N360" s="421">
        <v>0</v>
      </c>
      <c r="O360" s="421">
        <v>0</v>
      </c>
      <c r="P360" s="421">
        <v>0</v>
      </c>
      <c r="Q360" s="421">
        <v>0</v>
      </c>
      <c r="R360" s="421">
        <v>0.26827945863191799</v>
      </c>
      <c r="S360" s="429">
        <v>8.0483837589575294E-2</v>
      </c>
      <c r="T360" s="412"/>
    </row>
    <row r="361" spans="2:20" ht="13.5">
      <c r="B361" s="412"/>
      <c r="C361" s="428" t="s">
        <v>73</v>
      </c>
      <c r="D361" s="421">
        <v>0</v>
      </c>
      <c r="E361" s="421">
        <v>0</v>
      </c>
      <c r="F361" s="421">
        <v>0</v>
      </c>
      <c r="G361" s="421">
        <v>5.7699673283914903</v>
      </c>
      <c r="H361" s="421">
        <v>0</v>
      </c>
      <c r="I361" s="421">
        <v>0</v>
      </c>
      <c r="J361" s="421">
        <v>0</v>
      </c>
      <c r="K361" s="421">
        <v>6.7674962800744601E-2</v>
      </c>
      <c r="L361" s="421">
        <v>0</v>
      </c>
      <c r="M361" s="421">
        <v>0.117754435273296</v>
      </c>
      <c r="N361" s="421">
        <v>0</v>
      </c>
      <c r="O361" s="421">
        <v>0</v>
      </c>
      <c r="P361" s="421">
        <v>0.78954123267535403</v>
      </c>
      <c r="Q361" s="421">
        <v>0</v>
      </c>
      <c r="R361" s="421">
        <v>-4.73724739605212</v>
      </c>
      <c r="S361" s="429">
        <v>2.0076905630887598</v>
      </c>
      <c r="T361" s="412"/>
    </row>
    <row r="362" spans="2:20" ht="13.5">
      <c r="B362" s="412"/>
      <c r="C362" s="428" t="s">
        <v>356</v>
      </c>
      <c r="D362" s="421">
        <v>12.0380056152344</v>
      </c>
      <c r="E362" s="421">
        <v>-16.683351300000002</v>
      </c>
      <c r="F362" s="421">
        <v>21.820838094867199</v>
      </c>
      <c r="G362" s="421">
        <v>0</v>
      </c>
      <c r="H362" s="421">
        <v>0</v>
      </c>
      <c r="I362" s="421">
        <v>0</v>
      </c>
      <c r="J362" s="421">
        <v>0</v>
      </c>
      <c r="K362" s="421">
        <v>0</v>
      </c>
      <c r="L362" s="421">
        <v>0</v>
      </c>
      <c r="M362" s="421">
        <v>0</v>
      </c>
      <c r="N362" s="421">
        <v>0</v>
      </c>
      <c r="O362" s="421">
        <v>0</v>
      </c>
      <c r="P362" s="421">
        <v>0</v>
      </c>
      <c r="Q362" s="421">
        <v>0</v>
      </c>
      <c r="R362" s="421">
        <v>0</v>
      </c>
      <c r="S362" s="429">
        <v>17.175492410101601</v>
      </c>
      <c r="T362" s="412"/>
    </row>
    <row r="363" spans="2:20" ht="13.5">
      <c r="B363" s="412"/>
      <c r="C363" s="428" t="s">
        <v>75</v>
      </c>
      <c r="D363" s="421">
        <v>9.5550615234374998</v>
      </c>
      <c r="E363" s="421">
        <v>0</v>
      </c>
      <c r="F363" s="421">
        <v>16.370387999999998</v>
      </c>
      <c r="G363" s="421">
        <v>4.6713383640000004</v>
      </c>
      <c r="H363" s="421">
        <v>0</v>
      </c>
      <c r="I363" s="421">
        <v>0</v>
      </c>
      <c r="J363" s="421">
        <v>0</v>
      </c>
      <c r="K363" s="421">
        <v>0</v>
      </c>
      <c r="L363" s="421">
        <v>0</v>
      </c>
      <c r="M363" s="421">
        <v>9.5333435999999994E-2</v>
      </c>
      <c r="N363" s="421">
        <v>0</v>
      </c>
      <c r="O363" s="421">
        <v>0</v>
      </c>
      <c r="P363" s="421">
        <v>25.6753694925142</v>
      </c>
      <c r="Q363" s="421">
        <v>0</v>
      </c>
      <c r="R363" s="421">
        <v>0</v>
      </c>
      <c r="S363" s="429">
        <v>56.367490815951697</v>
      </c>
      <c r="T363" s="412"/>
    </row>
    <row r="364" spans="2:20" ht="13.5">
      <c r="B364" s="412"/>
      <c r="C364" s="428" t="s">
        <v>76</v>
      </c>
      <c r="D364" s="421">
        <v>0</v>
      </c>
      <c r="E364" s="421">
        <v>0</v>
      </c>
      <c r="F364" s="421">
        <v>0</v>
      </c>
      <c r="G364" s="421">
        <v>4.52694839554567</v>
      </c>
      <c r="H364" s="421">
        <v>0</v>
      </c>
      <c r="I364" s="421">
        <v>0</v>
      </c>
      <c r="J364" s="421">
        <v>0</v>
      </c>
      <c r="K364" s="421">
        <v>0</v>
      </c>
      <c r="L364" s="421">
        <v>0</v>
      </c>
      <c r="M364" s="421">
        <v>9.2386701949911706E-2</v>
      </c>
      <c r="N364" s="421">
        <v>0</v>
      </c>
      <c r="O364" s="421">
        <v>0</v>
      </c>
      <c r="P364" s="421">
        <v>46.885354346539003</v>
      </c>
      <c r="Q364" s="421">
        <v>3.1905146505824402</v>
      </c>
      <c r="R364" s="421">
        <v>0</v>
      </c>
      <c r="S364" s="429">
        <v>54.695204094616997</v>
      </c>
      <c r="T364" s="412"/>
    </row>
    <row r="365" spans="2:20" ht="13.5">
      <c r="B365" s="412"/>
      <c r="C365" s="424" t="s">
        <v>77</v>
      </c>
      <c r="D365" s="425">
        <v>23.7935378742384</v>
      </c>
      <c r="E365" s="425">
        <v>464.7986487</v>
      </c>
      <c r="F365" s="425">
        <v>-434.61231754149702</v>
      </c>
      <c r="G365" s="425">
        <v>68.177754603392003</v>
      </c>
      <c r="H365" s="425">
        <v>727.27272727272702</v>
      </c>
      <c r="I365" s="425">
        <v>285.08</v>
      </c>
      <c r="J365" s="425">
        <v>82.803770504191903</v>
      </c>
      <c r="K365" s="425">
        <v>18.2591451209037</v>
      </c>
      <c r="L365" s="425">
        <v>-41.6624557547647</v>
      </c>
      <c r="M365" s="425">
        <v>-6.3998957841012203</v>
      </c>
      <c r="N365" s="425">
        <v>0</v>
      </c>
      <c r="O365" s="425">
        <v>2.25411214784515</v>
      </c>
      <c r="P365" s="425">
        <v>-486.14621568764602</v>
      </c>
      <c r="Q365" s="425">
        <v>-37.982317268838599</v>
      </c>
      <c r="R365" s="425">
        <v>-4.46896793742021</v>
      </c>
      <c r="S365" s="425">
        <v>661.16752624903097</v>
      </c>
      <c r="T365" s="412"/>
    </row>
    <row r="366" spans="2:20" ht="13.5">
      <c r="B366" s="412"/>
      <c r="C366" s="426"/>
      <c r="D366" s="427"/>
      <c r="E366" s="427"/>
      <c r="F366" s="427"/>
      <c r="G366" s="427"/>
      <c r="H366" s="427"/>
      <c r="I366" s="427"/>
      <c r="J366" s="427"/>
      <c r="K366" s="427"/>
      <c r="L366" s="427"/>
      <c r="M366" s="427"/>
      <c r="N366" s="427"/>
      <c r="O366" s="427"/>
      <c r="P366" s="427"/>
      <c r="Q366" s="427"/>
      <c r="R366" s="427"/>
      <c r="S366" s="427"/>
      <c r="T366" s="412"/>
    </row>
    <row r="367" spans="2:20" ht="13.5">
      <c r="B367" s="412"/>
      <c r="C367" s="428" t="s">
        <v>78</v>
      </c>
      <c r="D367" s="421">
        <v>3.2525348929878701</v>
      </c>
      <c r="E367" s="421">
        <v>0</v>
      </c>
      <c r="F367" s="421">
        <v>17.532199420942199</v>
      </c>
      <c r="G367" s="421">
        <v>101.536086736296</v>
      </c>
      <c r="H367" s="421">
        <v>0</v>
      </c>
      <c r="I367" s="421">
        <v>0</v>
      </c>
      <c r="J367" s="421">
        <v>17.243729128153799</v>
      </c>
      <c r="K367" s="421">
        <v>3.8122851216920202</v>
      </c>
      <c r="L367" s="421">
        <v>0.87021837890624998</v>
      </c>
      <c r="M367" s="421">
        <v>2.0721650354346099</v>
      </c>
      <c r="N367" s="421">
        <v>0</v>
      </c>
      <c r="O367" s="421">
        <v>0</v>
      </c>
      <c r="P367" s="421">
        <v>120.089551917563</v>
      </c>
      <c r="Q367" s="421">
        <v>19.4196670049601</v>
      </c>
      <c r="R367" s="421">
        <v>0.24405599975585901</v>
      </c>
      <c r="S367" s="429">
        <v>286.072493636692</v>
      </c>
      <c r="T367" s="412"/>
    </row>
    <row r="368" spans="2:20" ht="13.5">
      <c r="B368" s="412"/>
      <c r="C368" s="428" t="s">
        <v>79</v>
      </c>
      <c r="D368" s="421">
        <v>0</v>
      </c>
      <c r="E368" s="421">
        <v>0</v>
      </c>
      <c r="F368" s="421">
        <v>204.27744800701601</v>
      </c>
      <c r="G368" s="421">
        <v>35.056721936600702</v>
      </c>
      <c r="H368" s="421">
        <v>0</v>
      </c>
      <c r="I368" s="421">
        <v>0</v>
      </c>
      <c r="J368" s="421">
        <v>0</v>
      </c>
      <c r="K368" s="421">
        <v>0</v>
      </c>
      <c r="L368" s="421">
        <v>20.587238275227001</v>
      </c>
      <c r="M368" s="421">
        <v>0.71544330482858598</v>
      </c>
      <c r="N368" s="421">
        <v>0</v>
      </c>
      <c r="O368" s="421">
        <v>0</v>
      </c>
      <c r="P368" s="421">
        <v>74.338731935176895</v>
      </c>
      <c r="Q368" s="421">
        <v>0</v>
      </c>
      <c r="R368" s="421">
        <v>3.0427208487971602</v>
      </c>
      <c r="S368" s="429">
        <v>338.01830430764699</v>
      </c>
      <c r="T368" s="412"/>
    </row>
    <row r="369" spans="2:20" ht="13.5">
      <c r="B369" s="412"/>
      <c r="C369" s="428" t="s">
        <v>80</v>
      </c>
      <c r="D369" s="421">
        <v>0</v>
      </c>
      <c r="E369" s="421">
        <v>0</v>
      </c>
      <c r="F369" s="421">
        <v>5.0790798253364304</v>
      </c>
      <c r="G369" s="421">
        <v>103.36019560958501</v>
      </c>
      <c r="H369" s="421">
        <v>0</v>
      </c>
      <c r="I369" s="421">
        <v>0</v>
      </c>
      <c r="J369" s="421">
        <v>73.674863255740703</v>
      </c>
      <c r="K369" s="421">
        <v>0</v>
      </c>
      <c r="L369" s="421">
        <v>0</v>
      </c>
      <c r="M369" s="421">
        <v>2.1093917471343899</v>
      </c>
      <c r="N369" s="421">
        <v>62.925207692465797</v>
      </c>
      <c r="O369" s="421">
        <v>0.93798825098649496</v>
      </c>
      <c r="P369" s="421">
        <v>184.247095425738</v>
      </c>
      <c r="Q369" s="421">
        <v>14.961677987514401</v>
      </c>
      <c r="R369" s="421">
        <v>0</v>
      </c>
      <c r="S369" s="429">
        <v>447.29549979450098</v>
      </c>
      <c r="T369" s="412"/>
    </row>
    <row r="370" spans="2:20" ht="13.5">
      <c r="B370" s="412"/>
      <c r="C370" s="428" t="s">
        <v>81</v>
      </c>
      <c r="D370" s="421">
        <v>0</v>
      </c>
      <c r="E370" s="421">
        <v>0</v>
      </c>
      <c r="F370" s="421">
        <v>1.9431733632283299</v>
      </c>
      <c r="G370" s="421">
        <v>67.9041876215625</v>
      </c>
      <c r="H370" s="421">
        <v>0</v>
      </c>
      <c r="I370" s="421">
        <v>0</v>
      </c>
      <c r="J370" s="421">
        <v>3.20971056517973</v>
      </c>
      <c r="K370" s="421">
        <v>0</v>
      </c>
      <c r="L370" s="421">
        <v>0</v>
      </c>
      <c r="M370" s="421">
        <v>1.3857997473788299</v>
      </c>
      <c r="N370" s="421">
        <v>6.1991330221488896</v>
      </c>
      <c r="O370" s="421">
        <v>0.72170394145081995</v>
      </c>
      <c r="P370" s="421">
        <v>149.98195377916301</v>
      </c>
      <c r="Q370" s="421">
        <v>3.6009722763640601</v>
      </c>
      <c r="R370" s="421">
        <v>0</v>
      </c>
      <c r="S370" s="429">
        <v>234.94663431647601</v>
      </c>
      <c r="T370" s="412"/>
    </row>
    <row r="371" spans="2:20" ht="13.5">
      <c r="B371" s="412"/>
      <c r="C371" s="428" t="s">
        <v>82</v>
      </c>
      <c r="D371" s="421">
        <v>0</v>
      </c>
      <c r="E371" s="421">
        <v>0</v>
      </c>
      <c r="F371" s="421">
        <v>2.1543406684855499</v>
      </c>
      <c r="G371" s="421">
        <v>5.7377015169157897</v>
      </c>
      <c r="H371" s="421">
        <v>0</v>
      </c>
      <c r="I371" s="421">
        <v>0</v>
      </c>
      <c r="J371" s="421">
        <v>2.0881916312924198</v>
      </c>
      <c r="K371" s="421">
        <v>0</v>
      </c>
      <c r="L371" s="421">
        <v>19.243865605766601</v>
      </c>
      <c r="M371" s="421">
        <v>0.117095949324812</v>
      </c>
      <c r="N371" s="421">
        <v>0</v>
      </c>
      <c r="O371" s="421">
        <v>6.0519753794095202E-2</v>
      </c>
      <c r="P371" s="421">
        <v>7.3615435248684502</v>
      </c>
      <c r="Q371" s="421">
        <v>0</v>
      </c>
      <c r="R371" s="421">
        <v>0</v>
      </c>
      <c r="S371" s="429">
        <v>36.763258650447703</v>
      </c>
      <c r="T371" s="412"/>
    </row>
    <row r="372" spans="2:20" ht="13.5">
      <c r="B372" s="412"/>
      <c r="C372" s="428" t="s">
        <v>357</v>
      </c>
      <c r="D372" s="421">
        <v>0</v>
      </c>
      <c r="E372" s="421">
        <v>0</v>
      </c>
      <c r="F372" s="421">
        <v>0</v>
      </c>
      <c r="G372" s="421">
        <v>0</v>
      </c>
      <c r="H372" s="421">
        <v>0</v>
      </c>
      <c r="I372" s="421">
        <v>0</v>
      </c>
      <c r="J372" s="421">
        <v>0</v>
      </c>
      <c r="K372" s="421">
        <v>0</v>
      </c>
      <c r="L372" s="421">
        <v>0</v>
      </c>
      <c r="M372" s="421">
        <v>0</v>
      </c>
      <c r="N372" s="421">
        <v>0</v>
      </c>
      <c r="O372" s="421">
        <v>0</v>
      </c>
      <c r="P372" s="421">
        <v>2.4</v>
      </c>
      <c r="Q372" s="421">
        <v>0</v>
      </c>
      <c r="R372" s="421">
        <v>0</v>
      </c>
      <c r="S372" s="429">
        <v>2.4</v>
      </c>
      <c r="T372" s="412"/>
    </row>
    <row r="373" spans="2:20" ht="13.5">
      <c r="B373" s="412"/>
      <c r="C373" s="424" t="s">
        <v>83</v>
      </c>
      <c r="D373" s="425">
        <v>3.2525348929878701</v>
      </c>
      <c r="E373" s="425">
        <v>0</v>
      </c>
      <c r="F373" s="425">
        <v>230.98624128500899</v>
      </c>
      <c r="G373" s="425">
        <v>313.59489342095998</v>
      </c>
      <c r="H373" s="425">
        <v>0</v>
      </c>
      <c r="I373" s="425">
        <v>0</v>
      </c>
      <c r="J373" s="425">
        <v>96.2164945803667</v>
      </c>
      <c r="K373" s="425">
        <v>3.8122851216920202</v>
      </c>
      <c r="L373" s="425">
        <v>40.701322259899896</v>
      </c>
      <c r="M373" s="425">
        <v>6.3998957841012203</v>
      </c>
      <c r="N373" s="425">
        <v>69.124340714614704</v>
      </c>
      <c r="O373" s="425">
        <v>1.72021194623141</v>
      </c>
      <c r="P373" s="425">
        <v>538.41887658250903</v>
      </c>
      <c r="Q373" s="425">
        <v>37.982317268838599</v>
      </c>
      <c r="R373" s="425">
        <v>3.28677684855302</v>
      </c>
      <c r="S373" s="425">
        <v>1345.49619070576</v>
      </c>
      <c r="T373" s="412"/>
    </row>
    <row r="374" spans="2:20" ht="13.5">
      <c r="B374" s="412"/>
      <c r="C374" s="420" t="s">
        <v>84</v>
      </c>
      <c r="D374" s="421">
        <v>2.0917910156250001</v>
      </c>
      <c r="E374" s="421">
        <v>0</v>
      </c>
      <c r="F374" s="421">
        <v>139.14741749348801</v>
      </c>
      <c r="G374" s="421">
        <v>11.9244724968143</v>
      </c>
      <c r="H374" s="421">
        <v>0</v>
      </c>
      <c r="I374" s="421">
        <v>0</v>
      </c>
      <c r="J374" s="421">
        <v>0</v>
      </c>
      <c r="K374" s="421">
        <v>0</v>
      </c>
      <c r="L374" s="421">
        <v>0</v>
      </c>
      <c r="M374" s="421">
        <v>0</v>
      </c>
      <c r="N374" s="421">
        <v>0</v>
      </c>
      <c r="O374" s="421">
        <v>0</v>
      </c>
      <c r="P374" s="421">
        <v>0</v>
      </c>
      <c r="Q374" s="421">
        <v>0</v>
      </c>
      <c r="R374" s="421">
        <v>1.18219108886719</v>
      </c>
      <c r="S374" s="429">
        <v>154.345872094794</v>
      </c>
      <c r="T374" s="412"/>
    </row>
    <row r="375" spans="2:20" ht="13.5">
      <c r="B375" s="412"/>
      <c r="C375" s="424" t="s">
        <v>85</v>
      </c>
      <c r="D375" s="425">
        <v>5.3443259086128698</v>
      </c>
      <c r="E375" s="425">
        <v>0</v>
      </c>
      <c r="F375" s="425">
        <v>370.13365877849702</v>
      </c>
      <c r="G375" s="425">
        <v>325.519365917774</v>
      </c>
      <c r="H375" s="425">
        <v>0</v>
      </c>
      <c r="I375" s="425">
        <v>0</v>
      </c>
      <c r="J375" s="425">
        <v>96.2164945803667</v>
      </c>
      <c r="K375" s="425">
        <v>3.8122851216920202</v>
      </c>
      <c r="L375" s="425">
        <v>40.701322259899896</v>
      </c>
      <c r="M375" s="425">
        <v>6.3998957841012203</v>
      </c>
      <c r="N375" s="425">
        <v>69.124340714614704</v>
      </c>
      <c r="O375" s="425">
        <v>1.72021194623141</v>
      </c>
      <c r="P375" s="425">
        <v>538.41887658250903</v>
      </c>
      <c r="Q375" s="425">
        <v>37.982317268838599</v>
      </c>
      <c r="R375" s="425">
        <v>4.46896793742021</v>
      </c>
      <c r="S375" s="425">
        <v>1499.8420628005599</v>
      </c>
      <c r="T375" s="412"/>
    </row>
    <row r="376" spans="2:20">
      <c r="B376" s="412"/>
      <c r="C376" s="412"/>
      <c r="D376" s="430">
        <f t="shared" ref="D376:S376" si="9">D375+D365-D351</f>
        <v>-3.1974423109204508E-14</v>
      </c>
      <c r="E376" s="430">
        <f t="shared" si="9"/>
        <v>0</v>
      </c>
      <c r="F376" s="430">
        <f t="shared" si="9"/>
        <v>-2.9842794901924208E-13</v>
      </c>
      <c r="G376" s="430">
        <f t="shared" si="9"/>
        <v>0</v>
      </c>
      <c r="H376" s="430">
        <f t="shared" si="9"/>
        <v>0</v>
      </c>
      <c r="I376" s="430">
        <f t="shared" si="9"/>
        <v>0</v>
      </c>
      <c r="J376" s="430">
        <f t="shared" si="9"/>
        <v>-3.694822225952521E-13</v>
      </c>
      <c r="K376" s="430">
        <f t="shared" si="9"/>
        <v>0</v>
      </c>
      <c r="L376" s="430">
        <f t="shared" si="9"/>
        <v>3.5416114485542494E-14</v>
      </c>
      <c r="M376" s="430">
        <f t="shared" si="9"/>
        <v>0</v>
      </c>
      <c r="N376" s="430">
        <f t="shared" si="9"/>
        <v>0</v>
      </c>
      <c r="O376" s="430">
        <f t="shared" si="9"/>
        <v>0</v>
      </c>
      <c r="P376" s="430">
        <f t="shared" si="9"/>
        <v>-1.9184653865522705E-13</v>
      </c>
      <c r="Q376" s="430">
        <f t="shared" si="9"/>
        <v>0</v>
      </c>
      <c r="R376" s="430">
        <f t="shared" si="9"/>
        <v>0</v>
      </c>
      <c r="S376" s="430">
        <f t="shared" si="9"/>
        <v>0</v>
      </c>
      <c r="T376" s="412"/>
    </row>
    <row r="377" spans="2:20">
      <c r="B377" s="412"/>
      <c r="C377" s="412"/>
      <c r="D377" s="412"/>
      <c r="E377" s="412"/>
      <c r="F377" s="412"/>
      <c r="G377" s="412"/>
      <c r="H377" s="412"/>
      <c r="I377" s="412"/>
      <c r="J377" s="412"/>
      <c r="K377" s="412"/>
      <c r="L377" s="412"/>
      <c r="M377" s="412"/>
      <c r="N377" s="412"/>
      <c r="O377" s="412"/>
      <c r="P377" s="412"/>
      <c r="Q377" s="412"/>
      <c r="R377" s="412"/>
      <c r="S377" s="412"/>
      <c r="T377" s="412"/>
    </row>
  </sheetData>
  <mergeCells count="120">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N345:O345">
    <cfRule type="expression" dxfId="11494" priority="618">
      <formula>LEN(TRIM(N345))=0</formula>
    </cfRule>
  </conditionalFormatting>
  <conditionalFormatting sqref="N345:O345">
    <cfRule type="cellIs" dxfId="11493" priority="617" operator="equal">
      <formula>0</formula>
    </cfRule>
  </conditionalFormatting>
  <conditionalFormatting sqref="N345:O345">
    <cfRule type="cellIs" dxfId="11492" priority="616" operator="equal">
      <formula>0</formula>
    </cfRule>
  </conditionalFormatting>
  <conditionalFormatting sqref="H345:K345">
    <cfRule type="expression" dxfId="11491" priority="615">
      <formula>LEN(TRIM(H345))=0</formula>
    </cfRule>
  </conditionalFormatting>
  <conditionalFormatting sqref="K345">
    <cfRule type="cellIs" dxfId="11490" priority="614" operator="equal">
      <formula>0</formula>
    </cfRule>
  </conditionalFormatting>
  <conditionalFormatting sqref="J345:K345">
    <cfRule type="cellIs" dxfId="11489" priority="613" operator="equal">
      <formula>0</formula>
    </cfRule>
  </conditionalFormatting>
  <conditionalFormatting sqref="I345">
    <cfRule type="cellIs" dxfId="11488" priority="612" operator="equal">
      <formula>0</formula>
    </cfRule>
  </conditionalFormatting>
  <conditionalFormatting sqref="H345">
    <cfRule type="cellIs" dxfId="11487" priority="611" operator="equal">
      <formula>0</formula>
    </cfRule>
  </conditionalFormatting>
  <conditionalFormatting sqref="D353:R364">
    <cfRule type="expression" dxfId="11486" priority="610">
      <formula>LEN(TRIM(D353))=0</formula>
    </cfRule>
  </conditionalFormatting>
  <conditionalFormatting sqref="D353:R364">
    <cfRule type="cellIs" dxfId="11485" priority="609" operator="equal">
      <formula>0</formula>
    </cfRule>
  </conditionalFormatting>
  <conditionalFormatting sqref="N349:O349">
    <cfRule type="cellIs" dxfId="11484" priority="608" operator="equal">
      <formula>0</formula>
    </cfRule>
  </conditionalFormatting>
  <conditionalFormatting sqref="N348:O348">
    <cfRule type="cellIs" dxfId="11483" priority="607" operator="equal">
      <formula>0</formula>
    </cfRule>
  </conditionalFormatting>
  <conditionalFormatting sqref="M348:M349">
    <cfRule type="cellIs" dxfId="11482" priority="606" operator="equal">
      <formula>0</formula>
    </cfRule>
  </conditionalFormatting>
  <conditionalFormatting sqref="L348:L349">
    <cfRule type="cellIs" dxfId="11481" priority="605" operator="equal">
      <formula>0</formula>
    </cfRule>
  </conditionalFormatting>
  <conditionalFormatting sqref="D374:R374">
    <cfRule type="cellIs" dxfId="11480" priority="604" operator="equal">
      <formula>0</formula>
    </cfRule>
  </conditionalFormatting>
  <conditionalFormatting sqref="D367:R375 D365:R365 D346:R351 D345:G345 L345:M345 P345:R345">
    <cfRule type="expression" dxfId="11479" priority="603">
      <formula>LEN(TRIM(D345))=0</formula>
    </cfRule>
  </conditionalFormatting>
  <conditionalFormatting sqref="D374:R374">
    <cfRule type="cellIs" dxfId="11478" priority="602" operator="equal">
      <formula>0</formula>
    </cfRule>
  </conditionalFormatting>
  <conditionalFormatting sqref="O346:O347">
    <cfRule type="cellIs" dxfId="11477" priority="601" operator="equal">
      <formula>0</formula>
    </cfRule>
  </conditionalFormatting>
  <conditionalFormatting sqref="O348:O350 O366">
    <cfRule type="cellIs" dxfId="11476" priority="600" operator="equal">
      <formula>0</formula>
    </cfRule>
  </conditionalFormatting>
  <conditionalFormatting sqref="N346:N347">
    <cfRule type="cellIs" dxfId="11475" priority="599" operator="equal">
      <formula>0</formula>
    </cfRule>
  </conditionalFormatting>
  <conditionalFormatting sqref="N348:N350 N366">
    <cfRule type="cellIs" dxfId="11474" priority="598" operator="equal">
      <formula>0</formula>
    </cfRule>
  </conditionalFormatting>
  <conditionalFormatting sqref="M345:M347">
    <cfRule type="cellIs" dxfId="11473" priority="597" operator="equal">
      <formula>0</formula>
    </cfRule>
  </conditionalFormatting>
  <conditionalFormatting sqref="M348:M350 M366">
    <cfRule type="cellIs" dxfId="11472" priority="596" operator="equal">
      <formula>0</formula>
    </cfRule>
  </conditionalFormatting>
  <conditionalFormatting sqref="L345:L347">
    <cfRule type="cellIs" dxfId="11471" priority="595" operator="equal">
      <formula>0</formula>
    </cfRule>
  </conditionalFormatting>
  <conditionalFormatting sqref="L348:L350 L366">
    <cfRule type="cellIs" dxfId="11470" priority="594" operator="equal">
      <formula>0</formula>
    </cfRule>
  </conditionalFormatting>
  <conditionalFormatting sqref="K346:K347">
    <cfRule type="cellIs" dxfId="11469" priority="593" operator="equal">
      <formula>0</formula>
    </cfRule>
  </conditionalFormatting>
  <conditionalFormatting sqref="K348:K350 K366">
    <cfRule type="cellIs" dxfId="11468" priority="592" operator="equal">
      <formula>0</formula>
    </cfRule>
  </conditionalFormatting>
  <conditionalFormatting sqref="J346:J347">
    <cfRule type="cellIs" dxfId="11467" priority="591" operator="equal">
      <formula>0</formula>
    </cfRule>
  </conditionalFormatting>
  <conditionalFormatting sqref="J348:J350 J366">
    <cfRule type="cellIs" dxfId="11466" priority="590" operator="equal">
      <formula>0</formula>
    </cfRule>
  </conditionalFormatting>
  <conditionalFormatting sqref="L345:M345">
    <cfRule type="cellIs" dxfId="11465" priority="589" operator="equal">
      <formula>0</formula>
    </cfRule>
  </conditionalFormatting>
  <conditionalFormatting sqref="F346:F347">
    <cfRule type="cellIs" dxfId="11464" priority="588" operator="equal">
      <formula>0</formula>
    </cfRule>
  </conditionalFormatting>
  <conditionalFormatting sqref="P345:R345 L345:M345 D346:R347">
    <cfRule type="cellIs" dxfId="11463" priority="587" operator="equal">
      <formula>0</formula>
    </cfRule>
  </conditionalFormatting>
  <conditionalFormatting sqref="P345:P347">
    <cfRule type="cellIs" dxfId="11462" priority="586" operator="equal">
      <formula>0</formula>
    </cfRule>
  </conditionalFormatting>
  <conditionalFormatting sqref="D375:R375 P366:R366 D366:I366 D367:R373 D365:R365 D346:R352 D345:G345 L345:M345 P345:R345">
    <cfRule type="cellIs" dxfId="11461" priority="585" operator="equal">
      <formula>0</formula>
    </cfRule>
  </conditionalFormatting>
  <conditionalFormatting sqref="N308:O308">
    <cfRule type="expression" dxfId="11460" priority="584">
      <formula>LEN(TRIM(N308))=0</formula>
    </cfRule>
  </conditionalFormatting>
  <conditionalFormatting sqref="N308:O308">
    <cfRule type="cellIs" dxfId="11459" priority="583" operator="equal">
      <formula>0</formula>
    </cfRule>
  </conditionalFormatting>
  <conditionalFormatting sqref="N308:O308">
    <cfRule type="cellIs" dxfId="11458" priority="582" operator="equal">
      <formula>0</formula>
    </cfRule>
  </conditionalFormatting>
  <conditionalFormatting sqref="H308:K308">
    <cfRule type="expression" dxfId="11457" priority="581">
      <formula>LEN(TRIM(H308))=0</formula>
    </cfRule>
  </conditionalFormatting>
  <conditionalFormatting sqref="K308">
    <cfRule type="cellIs" dxfId="11456" priority="580" operator="equal">
      <formula>0</formula>
    </cfRule>
  </conditionalFormatting>
  <conditionalFormatting sqref="J308:K308">
    <cfRule type="cellIs" dxfId="11455" priority="579" operator="equal">
      <formula>0</formula>
    </cfRule>
  </conditionalFormatting>
  <conditionalFormatting sqref="I308">
    <cfRule type="cellIs" dxfId="11454" priority="578" operator="equal">
      <formula>0</formula>
    </cfRule>
  </conditionalFormatting>
  <conditionalFormatting sqref="H308">
    <cfRule type="cellIs" dxfId="11453" priority="577" operator="equal">
      <formula>0</formula>
    </cfRule>
  </conditionalFormatting>
  <conditionalFormatting sqref="D316:R327">
    <cfRule type="expression" dxfId="11452" priority="576">
      <formula>LEN(TRIM(D316))=0</formula>
    </cfRule>
  </conditionalFormatting>
  <conditionalFormatting sqref="D316:R327">
    <cfRule type="cellIs" dxfId="11451" priority="575" operator="equal">
      <formula>0</formula>
    </cfRule>
  </conditionalFormatting>
  <conditionalFormatting sqref="N312:O312">
    <cfRule type="cellIs" dxfId="11450" priority="574" operator="equal">
      <formula>0</formula>
    </cfRule>
  </conditionalFormatting>
  <conditionalFormatting sqref="N311:O311">
    <cfRule type="cellIs" dxfId="11449" priority="573" operator="equal">
      <formula>0</formula>
    </cfRule>
  </conditionalFormatting>
  <conditionalFormatting sqref="M311:M312">
    <cfRule type="cellIs" dxfId="11448" priority="572" operator="equal">
      <formula>0</formula>
    </cfRule>
  </conditionalFormatting>
  <conditionalFormatting sqref="L311:L312">
    <cfRule type="cellIs" dxfId="11447" priority="571" operator="equal">
      <formula>0</formula>
    </cfRule>
  </conditionalFormatting>
  <conditionalFormatting sqref="D337:R337">
    <cfRule type="cellIs" dxfId="11446" priority="570" operator="equal">
      <formula>0</formula>
    </cfRule>
  </conditionalFormatting>
  <conditionalFormatting sqref="D330:R338 D328:R328 D309:R314 D308:G308 L308:M308 P308:R308">
    <cfRule type="expression" dxfId="11445" priority="569">
      <formula>LEN(TRIM(D308))=0</formula>
    </cfRule>
  </conditionalFormatting>
  <conditionalFormatting sqref="D337:R337">
    <cfRule type="cellIs" dxfId="11444" priority="568" operator="equal">
      <formula>0</formula>
    </cfRule>
  </conditionalFormatting>
  <conditionalFormatting sqref="O309:O310">
    <cfRule type="cellIs" dxfId="11443" priority="567" operator="equal">
      <formula>0</formula>
    </cfRule>
  </conditionalFormatting>
  <conditionalFormatting sqref="O311:O313 O329">
    <cfRule type="cellIs" dxfId="11442" priority="566" operator="equal">
      <formula>0</formula>
    </cfRule>
  </conditionalFormatting>
  <conditionalFormatting sqref="N309:N310">
    <cfRule type="cellIs" dxfId="11441" priority="565" operator="equal">
      <formula>0</formula>
    </cfRule>
  </conditionalFormatting>
  <conditionalFormatting sqref="N311:N313 N329">
    <cfRule type="cellIs" dxfId="11440" priority="564" operator="equal">
      <formula>0</formula>
    </cfRule>
  </conditionalFormatting>
  <conditionalFormatting sqref="M308:M310">
    <cfRule type="cellIs" dxfId="11439" priority="563" operator="equal">
      <formula>0</formula>
    </cfRule>
  </conditionalFormatting>
  <conditionalFormatting sqref="M311:M313 M329">
    <cfRule type="cellIs" dxfId="11438" priority="562" operator="equal">
      <formula>0</formula>
    </cfRule>
  </conditionalFormatting>
  <conditionalFormatting sqref="L308:L310">
    <cfRule type="cellIs" dxfId="11437" priority="561" operator="equal">
      <formula>0</formula>
    </cfRule>
  </conditionalFormatting>
  <conditionalFormatting sqref="L311:L313 L329">
    <cfRule type="cellIs" dxfId="11436" priority="560" operator="equal">
      <formula>0</formula>
    </cfRule>
  </conditionalFormatting>
  <conditionalFormatting sqref="K309:K310">
    <cfRule type="cellIs" dxfId="11435" priority="559" operator="equal">
      <formula>0</formula>
    </cfRule>
  </conditionalFormatting>
  <conditionalFormatting sqref="K311:K313 K329">
    <cfRule type="cellIs" dxfId="11434" priority="558" operator="equal">
      <formula>0</formula>
    </cfRule>
  </conditionalFormatting>
  <conditionalFormatting sqref="J309:J310">
    <cfRule type="cellIs" dxfId="11433" priority="557" operator="equal">
      <formula>0</formula>
    </cfRule>
  </conditionalFormatting>
  <conditionalFormatting sqref="J311:J313 J329">
    <cfRule type="cellIs" dxfId="11432" priority="556" operator="equal">
      <formula>0</formula>
    </cfRule>
  </conditionalFormatting>
  <conditionalFormatting sqref="L308:M308">
    <cfRule type="cellIs" dxfId="11431" priority="555" operator="equal">
      <formula>0</formula>
    </cfRule>
  </conditionalFormatting>
  <conditionalFormatting sqref="F309:F310">
    <cfRule type="cellIs" dxfId="11430" priority="554" operator="equal">
      <formula>0</formula>
    </cfRule>
  </conditionalFormatting>
  <conditionalFormatting sqref="P308:R308 L308:M308 D309:R310">
    <cfRule type="cellIs" dxfId="11429" priority="553" operator="equal">
      <formula>0</formula>
    </cfRule>
  </conditionalFormatting>
  <conditionalFormatting sqref="P308:P310">
    <cfRule type="cellIs" dxfId="11428" priority="552" operator="equal">
      <formula>0</formula>
    </cfRule>
  </conditionalFormatting>
  <conditionalFormatting sqref="D338:R338 P329:R329 D329:I329 D330:R336 D328:R328 D309:R315 D308:G308 L308:M308 P308:R308">
    <cfRule type="cellIs" dxfId="11427" priority="551" operator="equal">
      <formula>0</formula>
    </cfRule>
  </conditionalFormatting>
  <conditionalFormatting sqref="S330:S338 S308:S314 S316:S328">
    <cfRule type="expression" dxfId="11426" priority="550">
      <formula>LEN(TRIM(S308))=0</formula>
    </cfRule>
  </conditionalFormatting>
  <conditionalFormatting sqref="S337">
    <cfRule type="cellIs" dxfId="11425" priority="549" operator="equal">
      <formula>0</formula>
    </cfRule>
  </conditionalFormatting>
  <conditionalFormatting sqref="S338 S308:S336">
    <cfRule type="cellIs" dxfId="11424" priority="548" operator="equal">
      <formula>0</formula>
    </cfRule>
  </conditionalFormatting>
  <conditionalFormatting sqref="S353:S364">
    <cfRule type="expression" dxfId="11423" priority="547">
      <formula>LEN(TRIM(S353))=0</formula>
    </cfRule>
  </conditionalFormatting>
  <conditionalFormatting sqref="S353:S364">
    <cfRule type="cellIs" dxfId="11422" priority="546" operator="equal">
      <formula>0</formula>
    </cfRule>
  </conditionalFormatting>
  <conditionalFormatting sqref="S348:S349">
    <cfRule type="expression" dxfId="11421" priority="545">
      <formula>LEN(TRIM(S348))=0</formula>
    </cfRule>
  </conditionalFormatting>
  <conditionalFormatting sqref="S348:S349">
    <cfRule type="cellIs" dxfId="11420" priority="544" operator="equal">
      <formula>0</formula>
    </cfRule>
  </conditionalFormatting>
  <conditionalFormatting sqref="S367:S375 S345:S347 S350:S351">
    <cfRule type="expression" dxfId="11419" priority="543">
      <formula>LEN(TRIM(S345))=0</formula>
    </cfRule>
  </conditionalFormatting>
  <conditionalFormatting sqref="S374">
    <cfRule type="cellIs" dxfId="11418" priority="542" operator="equal">
      <formula>0</formula>
    </cfRule>
  </conditionalFormatting>
  <conditionalFormatting sqref="S375 S345:S347">
    <cfRule type="cellIs" dxfId="11417" priority="541" operator="equal">
      <formula>0</formula>
    </cfRule>
  </conditionalFormatting>
  <conditionalFormatting sqref="O344">
    <cfRule type="cellIs" dxfId="11416" priority="540" operator="equal">
      <formula>0</formula>
    </cfRule>
  </conditionalFormatting>
  <conditionalFormatting sqref="J344:N344">
    <cfRule type="cellIs" dxfId="11415" priority="539" operator="equal">
      <formula>0</formula>
    </cfRule>
  </conditionalFormatting>
  <conditionalFormatting sqref="O307">
    <cfRule type="cellIs" dxfId="11414" priority="538" operator="equal">
      <formula>0</formula>
    </cfRule>
  </conditionalFormatting>
  <conditionalFormatting sqref="J307:N307">
    <cfRule type="cellIs" dxfId="11413" priority="537" operator="equal">
      <formula>0</formula>
    </cfRule>
  </conditionalFormatting>
  <conditionalFormatting sqref="N271:O271">
    <cfRule type="expression" dxfId="11412" priority="536">
      <formula>LEN(TRIM(N271))=0</formula>
    </cfRule>
  </conditionalFormatting>
  <conditionalFormatting sqref="N271:O271">
    <cfRule type="cellIs" dxfId="11411" priority="535" operator="equal">
      <formula>0</formula>
    </cfRule>
  </conditionalFormatting>
  <conditionalFormatting sqref="N271:O271">
    <cfRule type="cellIs" dxfId="11410" priority="534" operator="equal">
      <formula>0</formula>
    </cfRule>
  </conditionalFormatting>
  <conditionalFormatting sqref="H271:K271">
    <cfRule type="expression" dxfId="11409" priority="533">
      <formula>LEN(TRIM(H271))=0</formula>
    </cfRule>
  </conditionalFormatting>
  <conditionalFormatting sqref="K271">
    <cfRule type="cellIs" dxfId="11408" priority="532" operator="equal">
      <formula>0</formula>
    </cfRule>
  </conditionalFormatting>
  <conditionalFormatting sqref="J271:K271">
    <cfRule type="cellIs" dxfId="11407" priority="531" operator="equal">
      <formula>0</formula>
    </cfRule>
  </conditionalFormatting>
  <conditionalFormatting sqref="I271">
    <cfRule type="cellIs" dxfId="11406" priority="530" operator="equal">
      <formula>0</formula>
    </cfRule>
  </conditionalFormatting>
  <conditionalFormatting sqref="H271">
    <cfRule type="cellIs" dxfId="11405" priority="529" operator="equal">
      <formula>0</formula>
    </cfRule>
  </conditionalFormatting>
  <conditionalFormatting sqref="D279:R290">
    <cfRule type="expression" dxfId="11404" priority="528">
      <formula>LEN(TRIM(D279))=0</formula>
    </cfRule>
  </conditionalFormatting>
  <conditionalFormatting sqref="D279:R290">
    <cfRule type="cellIs" dxfId="11403" priority="527" operator="equal">
      <formula>0</formula>
    </cfRule>
  </conditionalFormatting>
  <conditionalFormatting sqref="N275:O275">
    <cfRule type="cellIs" dxfId="11402" priority="526" operator="equal">
      <formula>0</formula>
    </cfRule>
  </conditionalFormatting>
  <conditionalFormatting sqref="N274:O274">
    <cfRule type="cellIs" dxfId="11401" priority="525" operator="equal">
      <formula>0</formula>
    </cfRule>
  </conditionalFormatting>
  <conditionalFormatting sqref="M274:M275">
    <cfRule type="cellIs" dxfId="11400" priority="524" operator="equal">
      <formula>0</formula>
    </cfRule>
  </conditionalFormatting>
  <conditionalFormatting sqref="L274:L275">
    <cfRule type="cellIs" dxfId="11399" priority="523" operator="equal">
      <formula>0</formula>
    </cfRule>
  </conditionalFormatting>
  <conditionalFormatting sqref="D300:R300">
    <cfRule type="cellIs" dxfId="11398" priority="522" operator="equal">
      <formula>0</formula>
    </cfRule>
  </conditionalFormatting>
  <conditionalFormatting sqref="D293:R301 D291:R291 D272:R277 D271:G271 L271:M271 P271:R271">
    <cfRule type="expression" dxfId="11397" priority="521">
      <formula>LEN(TRIM(D271))=0</formula>
    </cfRule>
  </conditionalFormatting>
  <conditionalFormatting sqref="D300:R300">
    <cfRule type="cellIs" dxfId="11396" priority="520" operator="equal">
      <formula>0</formula>
    </cfRule>
  </conditionalFormatting>
  <conditionalFormatting sqref="O272:O273">
    <cfRule type="cellIs" dxfId="11395" priority="519" operator="equal">
      <formula>0</formula>
    </cfRule>
  </conditionalFormatting>
  <conditionalFormatting sqref="O274:O276 O292">
    <cfRule type="cellIs" dxfId="11394" priority="518" operator="equal">
      <formula>0</formula>
    </cfRule>
  </conditionalFormatting>
  <conditionalFormatting sqref="N272:N273">
    <cfRule type="cellIs" dxfId="11393" priority="517" operator="equal">
      <formula>0</formula>
    </cfRule>
  </conditionalFormatting>
  <conditionalFormatting sqref="N274:N276 N292">
    <cfRule type="cellIs" dxfId="11392" priority="516" operator="equal">
      <formula>0</formula>
    </cfRule>
  </conditionalFormatting>
  <conditionalFormatting sqref="M271:M273">
    <cfRule type="cellIs" dxfId="11391" priority="515" operator="equal">
      <formula>0</formula>
    </cfRule>
  </conditionalFormatting>
  <conditionalFormatting sqref="M274:M276 M292">
    <cfRule type="cellIs" dxfId="11390" priority="514" operator="equal">
      <formula>0</formula>
    </cfRule>
  </conditionalFormatting>
  <conditionalFormatting sqref="L271:L273">
    <cfRule type="cellIs" dxfId="11389" priority="513" operator="equal">
      <formula>0</formula>
    </cfRule>
  </conditionalFormatting>
  <conditionalFormatting sqref="L274:L276 L292">
    <cfRule type="cellIs" dxfId="11388" priority="512" operator="equal">
      <formula>0</formula>
    </cfRule>
  </conditionalFormatting>
  <conditionalFormatting sqref="K272:K273">
    <cfRule type="cellIs" dxfId="11387" priority="511" operator="equal">
      <formula>0</formula>
    </cfRule>
  </conditionalFormatting>
  <conditionalFormatting sqref="K274:K276 K292">
    <cfRule type="cellIs" dxfId="11386" priority="510" operator="equal">
      <formula>0</formula>
    </cfRule>
  </conditionalFormatting>
  <conditionalFormatting sqref="J272:J273">
    <cfRule type="cellIs" dxfId="11385" priority="509" operator="equal">
      <formula>0</formula>
    </cfRule>
  </conditionalFormatting>
  <conditionalFormatting sqref="J274:J276 J292">
    <cfRule type="cellIs" dxfId="11384" priority="508" operator="equal">
      <formula>0</formula>
    </cfRule>
  </conditionalFormatting>
  <conditionalFormatting sqref="L271:M271">
    <cfRule type="cellIs" dxfId="11383" priority="507" operator="equal">
      <formula>0</formula>
    </cfRule>
  </conditionalFormatting>
  <conditionalFormatting sqref="F272:F273">
    <cfRule type="cellIs" dxfId="11382" priority="506" operator="equal">
      <formula>0</formula>
    </cfRule>
  </conditionalFormatting>
  <conditionalFormatting sqref="P271:R271 L271:M271 D272:R273">
    <cfRule type="cellIs" dxfId="11381" priority="505" operator="equal">
      <formula>0</formula>
    </cfRule>
  </conditionalFormatting>
  <conditionalFormatting sqref="P271:P273">
    <cfRule type="cellIs" dxfId="11380" priority="504" operator="equal">
      <formula>0</formula>
    </cfRule>
  </conditionalFormatting>
  <conditionalFormatting sqref="D301:R301 P292:R292 D292:I292 D293:R299 D291:R291 D272:R278 D271:G271 L271:M271 P271:R271">
    <cfRule type="cellIs" dxfId="11379" priority="503" operator="equal">
      <formula>0</formula>
    </cfRule>
  </conditionalFormatting>
  <conditionalFormatting sqref="N234:O234">
    <cfRule type="expression" dxfId="11378" priority="502">
      <formula>LEN(TRIM(N234))=0</formula>
    </cfRule>
  </conditionalFormatting>
  <conditionalFormatting sqref="N234:O234">
    <cfRule type="cellIs" dxfId="11377" priority="501" operator="equal">
      <formula>0</formula>
    </cfRule>
  </conditionalFormatting>
  <conditionalFormatting sqref="N234:O234">
    <cfRule type="cellIs" dxfId="11376" priority="500" operator="equal">
      <formula>0</formula>
    </cfRule>
  </conditionalFormatting>
  <conditionalFormatting sqref="H234:K234">
    <cfRule type="expression" dxfId="11375" priority="499">
      <formula>LEN(TRIM(H234))=0</formula>
    </cfRule>
  </conditionalFormatting>
  <conditionalFormatting sqref="K234">
    <cfRule type="cellIs" dxfId="11374" priority="498" operator="equal">
      <formula>0</formula>
    </cfRule>
  </conditionalFormatting>
  <conditionalFormatting sqref="J234:K234">
    <cfRule type="cellIs" dxfId="11373" priority="497" operator="equal">
      <formula>0</formula>
    </cfRule>
  </conditionalFormatting>
  <conditionalFormatting sqref="I234">
    <cfRule type="cellIs" dxfId="11372" priority="496" operator="equal">
      <formula>0</formula>
    </cfRule>
  </conditionalFormatting>
  <conditionalFormatting sqref="H234">
    <cfRule type="cellIs" dxfId="11371" priority="495" operator="equal">
      <formula>0</formula>
    </cfRule>
  </conditionalFormatting>
  <conditionalFormatting sqref="D242:R253">
    <cfRule type="expression" dxfId="11370" priority="494">
      <formula>LEN(TRIM(D242))=0</formula>
    </cfRule>
  </conditionalFormatting>
  <conditionalFormatting sqref="D242:R253">
    <cfRule type="cellIs" dxfId="11369" priority="493" operator="equal">
      <formula>0</formula>
    </cfRule>
  </conditionalFormatting>
  <conditionalFormatting sqref="N238:O238">
    <cfRule type="cellIs" dxfId="11368" priority="492" operator="equal">
      <formula>0</formula>
    </cfRule>
  </conditionalFormatting>
  <conditionalFormatting sqref="N237:O237">
    <cfRule type="cellIs" dxfId="11367" priority="491" operator="equal">
      <formula>0</formula>
    </cfRule>
  </conditionalFormatting>
  <conditionalFormatting sqref="M237:M238">
    <cfRule type="cellIs" dxfId="11366" priority="490" operator="equal">
      <formula>0</formula>
    </cfRule>
  </conditionalFormatting>
  <conditionalFormatting sqref="L237:L238">
    <cfRule type="cellIs" dxfId="11365" priority="489" operator="equal">
      <formula>0</formula>
    </cfRule>
  </conditionalFormatting>
  <conditionalFormatting sqref="D263:R263">
    <cfRule type="cellIs" dxfId="11364" priority="488" operator="equal">
      <formula>0</formula>
    </cfRule>
  </conditionalFormatting>
  <conditionalFormatting sqref="D256:R264 D254:R254 D235:R240 D234:G234 L234:M234 P234:R234">
    <cfRule type="expression" dxfId="11363" priority="487">
      <formula>LEN(TRIM(D234))=0</formula>
    </cfRule>
  </conditionalFormatting>
  <conditionalFormatting sqref="D263:R263">
    <cfRule type="cellIs" dxfId="11362" priority="486" operator="equal">
      <formula>0</formula>
    </cfRule>
  </conditionalFormatting>
  <conditionalFormatting sqref="O235:O236">
    <cfRule type="cellIs" dxfId="11361" priority="485" operator="equal">
      <formula>0</formula>
    </cfRule>
  </conditionalFormatting>
  <conditionalFormatting sqref="O237:O239 O255">
    <cfRule type="cellIs" dxfId="11360" priority="484" operator="equal">
      <formula>0</formula>
    </cfRule>
  </conditionalFormatting>
  <conditionalFormatting sqref="N235:N236">
    <cfRule type="cellIs" dxfId="11359" priority="483" operator="equal">
      <formula>0</formula>
    </cfRule>
  </conditionalFormatting>
  <conditionalFormatting sqref="N237:N239 N255">
    <cfRule type="cellIs" dxfId="11358" priority="482" operator="equal">
      <formula>0</formula>
    </cfRule>
  </conditionalFormatting>
  <conditionalFormatting sqref="M234:M236">
    <cfRule type="cellIs" dxfId="11357" priority="481" operator="equal">
      <formula>0</formula>
    </cfRule>
  </conditionalFormatting>
  <conditionalFormatting sqref="M237:M239 M255">
    <cfRule type="cellIs" dxfId="11356" priority="480" operator="equal">
      <formula>0</formula>
    </cfRule>
  </conditionalFormatting>
  <conditionalFormatting sqref="L234:L236">
    <cfRule type="cellIs" dxfId="11355" priority="479" operator="equal">
      <formula>0</formula>
    </cfRule>
  </conditionalFormatting>
  <conditionalFormatting sqref="L237:L239 L255">
    <cfRule type="cellIs" dxfId="11354" priority="478" operator="equal">
      <formula>0</formula>
    </cfRule>
  </conditionalFormatting>
  <conditionalFormatting sqref="K235:K236">
    <cfRule type="cellIs" dxfId="11353" priority="477" operator="equal">
      <formula>0</formula>
    </cfRule>
  </conditionalFormatting>
  <conditionalFormatting sqref="K237:K239 K255">
    <cfRule type="cellIs" dxfId="11352" priority="476" operator="equal">
      <formula>0</formula>
    </cfRule>
  </conditionalFormatting>
  <conditionalFormatting sqref="J235:J236">
    <cfRule type="cellIs" dxfId="11351" priority="475" operator="equal">
      <formula>0</formula>
    </cfRule>
  </conditionalFormatting>
  <conditionalFormatting sqref="J237:J239 J255">
    <cfRule type="cellIs" dxfId="11350" priority="474" operator="equal">
      <formula>0</formula>
    </cfRule>
  </conditionalFormatting>
  <conditionalFormatting sqref="L234:M234">
    <cfRule type="cellIs" dxfId="11349" priority="473" operator="equal">
      <formula>0</formula>
    </cfRule>
  </conditionalFormatting>
  <conditionalFormatting sqref="F235:F236">
    <cfRule type="cellIs" dxfId="11348" priority="472" operator="equal">
      <formula>0</formula>
    </cfRule>
  </conditionalFormatting>
  <conditionalFormatting sqref="P234:R234 L234:M234 D235:R236">
    <cfRule type="cellIs" dxfId="11347" priority="471" operator="equal">
      <formula>0</formula>
    </cfRule>
  </conditionalFormatting>
  <conditionalFormatting sqref="P234:P236">
    <cfRule type="cellIs" dxfId="11346" priority="470" operator="equal">
      <formula>0</formula>
    </cfRule>
  </conditionalFormatting>
  <conditionalFormatting sqref="D264:R264 P255:R255 D255:I255 D256:R262 D254:R254 D235:R241 D234:G234 L234:M234 P234:R234">
    <cfRule type="cellIs" dxfId="11345" priority="469" operator="equal">
      <formula>0</formula>
    </cfRule>
  </conditionalFormatting>
  <conditionalFormatting sqref="N197:O197">
    <cfRule type="expression" dxfId="11344" priority="468">
      <formula>LEN(TRIM(N197))=0</formula>
    </cfRule>
  </conditionalFormatting>
  <conditionalFormatting sqref="N197:O197">
    <cfRule type="cellIs" dxfId="11343" priority="467" operator="equal">
      <formula>0</formula>
    </cfRule>
  </conditionalFormatting>
  <conditionalFormatting sqref="N197:O197">
    <cfRule type="cellIs" dxfId="11342" priority="466" operator="equal">
      <formula>0</formula>
    </cfRule>
  </conditionalFormatting>
  <conditionalFormatting sqref="H197:K197">
    <cfRule type="expression" dxfId="11341" priority="465">
      <formula>LEN(TRIM(H197))=0</formula>
    </cfRule>
  </conditionalFormatting>
  <conditionalFormatting sqref="K197">
    <cfRule type="cellIs" dxfId="11340" priority="464" operator="equal">
      <formula>0</formula>
    </cfRule>
  </conditionalFormatting>
  <conditionalFormatting sqref="J197:K197">
    <cfRule type="cellIs" dxfId="11339" priority="463" operator="equal">
      <formula>0</formula>
    </cfRule>
  </conditionalFormatting>
  <conditionalFormatting sqref="I197">
    <cfRule type="cellIs" dxfId="11338" priority="462" operator="equal">
      <formula>0</formula>
    </cfRule>
  </conditionalFormatting>
  <conditionalFormatting sqref="H197">
    <cfRule type="cellIs" dxfId="11337" priority="461" operator="equal">
      <formula>0</formula>
    </cfRule>
  </conditionalFormatting>
  <conditionalFormatting sqref="D205:R216">
    <cfRule type="expression" dxfId="11336" priority="460">
      <formula>LEN(TRIM(D205))=0</formula>
    </cfRule>
  </conditionalFormatting>
  <conditionalFormatting sqref="D205:R216">
    <cfRule type="cellIs" dxfId="11335" priority="459" operator="equal">
      <formula>0</formula>
    </cfRule>
  </conditionalFormatting>
  <conditionalFormatting sqref="N201:O201">
    <cfRule type="cellIs" dxfId="11334" priority="458" operator="equal">
      <formula>0</formula>
    </cfRule>
  </conditionalFormatting>
  <conditionalFormatting sqref="N200:O200">
    <cfRule type="cellIs" dxfId="11333" priority="457" operator="equal">
      <formula>0</formula>
    </cfRule>
  </conditionalFormatting>
  <conditionalFormatting sqref="M200:M201">
    <cfRule type="cellIs" dxfId="11332" priority="456" operator="equal">
      <formula>0</formula>
    </cfRule>
  </conditionalFormatting>
  <conditionalFormatting sqref="L200:L201">
    <cfRule type="cellIs" dxfId="11331" priority="455" operator="equal">
      <formula>0</formula>
    </cfRule>
  </conditionalFormatting>
  <conditionalFormatting sqref="D226:R226">
    <cfRule type="cellIs" dxfId="11330" priority="454" operator="equal">
      <formula>0</formula>
    </cfRule>
  </conditionalFormatting>
  <conditionalFormatting sqref="D219:R227 D217:R217 D198:R203 D197:G197 L197:M197 P197:R197">
    <cfRule type="expression" dxfId="11329" priority="453">
      <formula>LEN(TRIM(D197))=0</formula>
    </cfRule>
  </conditionalFormatting>
  <conditionalFormatting sqref="D226:R226">
    <cfRule type="cellIs" dxfId="11328" priority="452" operator="equal">
      <formula>0</formula>
    </cfRule>
  </conditionalFormatting>
  <conditionalFormatting sqref="O198:O199">
    <cfRule type="cellIs" dxfId="11327" priority="451" operator="equal">
      <formula>0</formula>
    </cfRule>
  </conditionalFormatting>
  <conditionalFormatting sqref="O200:O202 O218">
    <cfRule type="cellIs" dxfId="11326" priority="450" operator="equal">
      <formula>0</formula>
    </cfRule>
  </conditionalFormatting>
  <conditionalFormatting sqref="N198:N199">
    <cfRule type="cellIs" dxfId="11325" priority="449" operator="equal">
      <formula>0</formula>
    </cfRule>
  </conditionalFormatting>
  <conditionalFormatting sqref="N200:N202 N218">
    <cfRule type="cellIs" dxfId="11324" priority="448" operator="equal">
      <formula>0</formula>
    </cfRule>
  </conditionalFormatting>
  <conditionalFormatting sqref="M197:M199">
    <cfRule type="cellIs" dxfId="11323" priority="447" operator="equal">
      <formula>0</formula>
    </cfRule>
  </conditionalFormatting>
  <conditionalFormatting sqref="M200:M202 M218">
    <cfRule type="cellIs" dxfId="11322" priority="446" operator="equal">
      <formula>0</formula>
    </cfRule>
  </conditionalFormatting>
  <conditionalFormatting sqref="L197:L199">
    <cfRule type="cellIs" dxfId="11321" priority="445" operator="equal">
      <formula>0</formula>
    </cfRule>
  </conditionalFormatting>
  <conditionalFormatting sqref="L200:L202 L218">
    <cfRule type="cellIs" dxfId="11320" priority="444" operator="equal">
      <formula>0</formula>
    </cfRule>
  </conditionalFormatting>
  <conditionalFormatting sqref="K198:K199">
    <cfRule type="cellIs" dxfId="11319" priority="443" operator="equal">
      <formula>0</formula>
    </cfRule>
  </conditionalFormatting>
  <conditionalFormatting sqref="K200:K202 K218">
    <cfRule type="cellIs" dxfId="11318" priority="442" operator="equal">
      <formula>0</formula>
    </cfRule>
  </conditionalFormatting>
  <conditionalFormatting sqref="J198:J199">
    <cfRule type="cellIs" dxfId="11317" priority="441" operator="equal">
      <formula>0</formula>
    </cfRule>
  </conditionalFormatting>
  <conditionalFormatting sqref="J200:J202 J218">
    <cfRule type="cellIs" dxfId="11316" priority="440" operator="equal">
      <formula>0</formula>
    </cfRule>
  </conditionalFormatting>
  <conditionalFormatting sqref="L197:M197">
    <cfRule type="cellIs" dxfId="11315" priority="439" operator="equal">
      <formula>0</formula>
    </cfRule>
  </conditionalFormatting>
  <conditionalFormatting sqref="F198:F199">
    <cfRule type="cellIs" dxfId="11314" priority="438" operator="equal">
      <formula>0</formula>
    </cfRule>
  </conditionalFormatting>
  <conditionalFormatting sqref="P197:R197 L197:M197 D198:R199">
    <cfRule type="cellIs" dxfId="11313" priority="437" operator="equal">
      <formula>0</formula>
    </cfRule>
  </conditionalFormatting>
  <conditionalFormatting sqref="P197:P199">
    <cfRule type="cellIs" dxfId="11312" priority="436" operator="equal">
      <formula>0</formula>
    </cfRule>
  </conditionalFormatting>
  <conditionalFormatting sqref="D227:R227 P218:R218 D218:I218 D219:R225 D217:R217 D198:R204 D197:G197 L197:M197 P197:R197">
    <cfRule type="cellIs" dxfId="11311" priority="435" operator="equal">
      <formula>0</formula>
    </cfRule>
  </conditionalFormatting>
  <conditionalFormatting sqref="S293:S301 S271:S277 S279:S291">
    <cfRule type="expression" dxfId="11310" priority="434">
      <formula>LEN(TRIM(S271))=0</formula>
    </cfRule>
  </conditionalFormatting>
  <conditionalFormatting sqref="S300">
    <cfRule type="cellIs" dxfId="11309" priority="433" operator="equal">
      <formula>0</formula>
    </cfRule>
  </conditionalFormatting>
  <conditionalFormatting sqref="S301 S271:S299">
    <cfRule type="cellIs" dxfId="11308" priority="432" operator="equal">
      <formula>0</formula>
    </cfRule>
  </conditionalFormatting>
  <conditionalFormatting sqref="S256:S264 S234:S240 S242:S254">
    <cfRule type="expression" dxfId="11307" priority="431">
      <formula>LEN(TRIM(S234))=0</formula>
    </cfRule>
  </conditionalFormatting>
  <conditionalFormatting sqref="S263">
    <cfRule type="cellIs" dxfId="11306" priority="430" operator="equal">
      <formula>0</formula>
    </cfRule>
  </conditionalFormatting>
  <conditionalFormatting sqref="S264 S234:S262">
    <cfRule type="cellIs" dxfId="11305" priority="429" operator="equal">
      <formula>0</formula>
    </cfRule>
  </conditionalFormatting>
  <conditionalFormatting sqref="S219:S227 S197:S203 S205:S217">
    <cfRule type="expression" dxfId="11304" priority="428">
      <formula>LEN(TRIM(S197))=0</formula>
    </cfRule>
  </conditionalFormatting>
  <conditionalFormatting sqref="S226">
    <cfRule type="cellIs" dxfId="11303" priority="427" operator="equal">
      <formula>0</formula>
    </cfRule>
  </conditionalFormatting>
  <conditionalFormatting sqref="S227 S197:S225">
    <cfRule type="cellIs" dxfId="11302" priority="426" operator="equal">
      <formula>0</formula>
    </cfRule>
  </conditionalFormatting>
  <conditionalFormatting sqref="O270">
    <cfRule type="cellIs" dxfId="11301" priority="425" operator="equal">
      <formula>0</formula>
    </cfRule>
  </conditionalFormatting>
  <conditionalFormatting sqref="J270:N270">
    <cfRule type="cellIs" dxfId="11300" priority="424" operator="equal">
      <formula>0</formula>
    </cfRule>
  </conditionalFormatting>
  <conditionalFormatting sqref="O233">
    <cfRule type="cellIs" dxfId="11299" priority="423" operator="equal">
      <formula>0</formula>
    </cfRule>
  </conditionalFormatting>
  <conditionalFormatting sqref="J233:N233">
    <cfRule type="cellIs" dxfId="11298" priority="422" operator="equal">
      <formula>0</formula>
    </cfRule>
  </conditionalFormatting>
  <conditionalFormatting sqref="O196">
    <cfRule type="cellIs" dxfId="11297" priority="421" operator="equal">
      <formula>0</formula>
    </cfRule>
  </conditionalFormatting>
  <conditionalFormatting sqref="J196:N196">
    <cfRule type="cellIs" dxfId="11296" priority="420" operator="equal">
      <formula>0</formula>
    </cfRule>
  </conditionalFormatting>
  <conditionalFormatting sqref="N160:O160">
    <cfRule type="expression" dxfId="11295" priority="419">
      <formula>LEN(TRIM(N160))=0</formula>
    </cfRule>
  </conditionalFormatting>
  <conditionalFormatting sqref="N160:O160">
    <cfRule type="cellIs" dxfId="11294" priority="418" operator="equal">
      <formula>0</formula>
    </cfRule>
  </conditionalFormatting>
  <conditionalFormatting sqref="N160:O160">
    <cfRule type="cellIs" dxfId="11293" priority="417" operator="equal">
      <formula>0</formula>
    </cfRule>
  </conditionalFormatting>
  <conditionalFormatting sqref="H160:K160">
    <cfRule type="expression" dxfId="11292" priority="416">
      <formula>LEN(TRIM(H160))=0</formula>
    </cfRule>
  </conditionalFormatting>
  <conditionalFormatting sqref="K160">
    <cfRule type="cellIs" dxfId="11291" priority="415" operator="equal">
      <formula>0</formula>
    </cfRule>
  </conditionalFormatting>
  <conditionalFormatting sqref="J160:K160">
    <cfRule type="cellIs" dxfId="11290" priority="414" operator="equal">
      <formula>0</formula>
    </cfRule>
  </conditionalFormatting>
  <conditionalFormatting sqref="I160">
    <cfRule type="cellIs" dxfId="11289" priority="413" operator="equal">
      <formula>0</formula>
    </cfRule>
  </conditionalFormatting>
  <conditionalFormatting sqref="H160">
    <cfRule type="cellIs" dxfId="11288" priority="412" operator="equal">
      <formula>0</formula>
    </cfRule>
  </conditionalFormatting>
  <conditionalFormatting sqref="D168:R179">
    <cfRule type="expression" dxfId="11287" priority="411">
      <formula>LEN(TRIM(D168))=0</formula>
    </cfRule>
  </conditionalFormatting>
  <conditionalFormatting sqref="D168:R179">
    <cfRule type="cellIs" dxfId="11286" priority="410" operator="equal">
      <formula>0</formula>
    </cfRule>
  </conditionalFormatting>
  <conditionalFormatting sqref="N164:O164">
    <cfRule type="cellIs" dxfId="11285" priority="409" operator="equal">
      <formula>0</formula>
    </cfRule>
  </conditionalFormatting>
  <conditionalFormatting sqref="N163:O163">
    <cfRule type="cellIs" dxfId="11284" priority="408" operator="equal">
      <formula>0</formula>
    </cfRule>
  </conditionalFormatting>
  <conditionalFormatting sqref="M163:M164">
    <cfRule type="cellIs" dxfId="11283" priority="407" operator="equal">
      <formula>0</formula>
    </cfRule>
  </conditionalFormatting>
  <conditionalFormatting sqref="L163:L164">
    <cfRule type="cellIs" dxfId="11282" priority="406" operator="equal">
      <formula>0</formula>
    </cfRule>
  </conditionalFormatting>
  <conditionalFormatting sqref="D189:R189">
    <cfRule type="cellIs" dxfId="11281" priority="405" operator="equal">
      <formula>0</formula>
    </cfRule>
  </conditionalFormatting>
  <conditionalFormatting sqref="D182:R190 D180:R180 D161:R166 D160:G160 L160:M160 P160:R160">
    <cfRule type="expression" dxfId="11280" priority="404">
      <formula>LEN(TRIM(D160))=0</formula>
    </cfRule>
  </conditionalFormatting>
  <conditionalFormatting sqref="D189:R189">
    <cfRule type="cellIs" dxfId="11279" priority="403" operator="equal">
      <formula>0</formula>
    </cfRule>
  </conditionalFormatting>
  <conditionalFormatting sqref="O161:O162">
    <cfRule type="cellIs" dxfId="11278" priority="402" operator="equal">
      <formula>0</formula>
    </cfRule>
  </conditionalFormatting>
  <conditionalFormatting sqref="O163:O165 O181">
    <cfRule type="cellIs" dxfId="11277" priority="401" operator="equal">
      <formula>0</formula>
    </cfRule>
  </conditionalFormatting>
  <conditionalFormatting sqref="N161:N162">
    <cfRule type="cellIs" dxfId="11276" priority="400" operator="equal">
      <formula>0</formula>
    </cfRule>
  </conditionalFormatting>
  <conditionalFormatting sqref="N163:N165 N181">
    <cfRule type="cellIs" dxfId="11275" priority="399" operator="equal">
      <formula>0</formula>
    </cfRule>
  </conditionalFormatting>
  <conditionalFormatting sqref="M160:M162">
    <cfRule type="cellIs" dxfId="11274" priority="398" operator="equal">
      <formula>0</formula>
    </cfRule>
  </conditionalFormatting>
  <conditionalFormatting sqref="M163:M165 M181">
    <cfRule type="cellIs" dxfId="11273" priority="397" operator="equal">
      <formula>0</formula>
    </cfRule>
  </conditionalFormatting>
  <conditionalFormatting sqref="L160:L162">
    <cfRule type="cellIs" dxfId="11272" priority="396" operator="equal">
      <formula>0</formula>
    </cfRule>
  </conditionalFormatting>
  <conditionalFormatting sqref="L163:L165 L181">
    <cfRule type="cellIs" dxfId="11271" priority="395" operator="equal">
      <formula>0</formula>
    </cfRule>
  </conditionalFormatting>
  <conditionalFormatting sqref="K161:K162">
    <cfRule type="cellIs" dxfId="11270" priority="394" operator="equal">
      <formula>0</formula>
    </cfRule>
  </conditionalFormatting>
  <conditionalFormatting sqref="K163:K165 K181">
    <cfRule type="cellIs" dxfId="11269" priority="393" operator="equal">
      <formula>0</formula>
    </cfRule>
  </conditionalFormatting>
  <conditionalFormatting sqref="J161:J162">
    <cfRule type="cellIs" dxfId="11268" priority="392" operator="equal">
      <formula>0</formula>
    </cfRule>
  </conditionalFormatting>
  <conditionalFormatting sqref="J163:J165 J181">
    <cfRule type="cellIs" dxfId="11267" priority="391" operator="equal">
      <formula>0</formula>
    </cfRule>
  </conditionalFormatting>
  <conditionalFormatting sqref="L160:M160">
    <cfRule type="cellIs" dxfId="11266" priority="390" operator="equal">
      <formula>0</formula>
    </cfRule>
  </conditionalFormatting>
  <conditionalFormatting sqref="F161:F162">
    <cfRule type="cellIs" dxfId="11265" priority="389" operator="equal">
      <formula>0</formula>
    </cfRule>
  </conditionalFormatting>
  <conditionalFormatting sqref="P160:R160 L160:M160 D161:R162">
    <cfRule type="cellIs" dxfId="11264" priority="388" operator="equal">
      <formula>0</formula>
    </cfRule>
  </conditionalFormatting>
  <conditionalFormatting sqref="P160:P162">
    <cfRule type="cellIs" dxfId="11263" priority="387" operator="equal">
      <formula>0</formula>
    </cfRule>
  </conditionalFormatting>
  <conditionalFormatting sqref="D190:R190 P181:R181 D181:I181 D182:R188 D180:R180 D161:R167 D160:G160 L160:M160 P160:R160">
    <cfRule type="cellIs" dxfId="11262" priority="386" operator="equal">
      <formula>0</formula>
    </cfRule>
  </conditionalFormatting>
  <conditionalFormatting sqref="S182:S190 S160:S166 S168:S180">
    <cfRule type="expression" dxfId="11261" priority="385">
      <formula>LEN(TRIM(S160))=0</formula>
    </cfRule>
  </conditionalFormatting>
  <conditionalFormatting sqref="S189">
    <cfRule type="cellIs" dxfId="11260" priority="384" operator="equal">
      <formula>0</formula>
    </cfRule>
  </conditionalFormatting>
  <conditionalFormatting sqref="S190 S160:S188">
    <cfRule type="cellIs" dxfId="11259" priority="383" operator="equal">
      <formula>0</formula>
    </cfRule>
  </conditionalFormatting>
  <conditionalFormatting sqref="O159">
    <cfRule type="cellIs" dxfId="11258" priority="382" operator="equal">
      <formula>0</formula>
    </cfRule>
  </conditionalFormatting>
  <conditionalFormatting sqref="J159:N159">
    <cfRule type="cellIs" dxfId="11257" priority="381" operator="equal">
      <formula>0</formula>
    </cfRule>
  </conditionalFormatting>
  <conditionalFormatting sqref="N123:O123">
    <cfRule type="expression" dxfId="11256" priority="380">
      <formula>LEN(TRIM(N123))=0</formula>
    </cfRule>
  </conditionalFormatting>
  <conditionalFormatting sqref="N123:O123">
    <cfRule type="cellIs" dxfId="11255" priority="379" operator="equal">
      <formula>0</formula>
    </cfRule>
  </conditionalFormatting>
  <conditionalFormatting sqref="N123:O123">
    <cfRule type="cellIs" dxfId="11254" priority="378" operator="equal">
      <formula>0</formula>
    </cfRule>
  </conditionalFormatting>
  <conditionalFormatting sqref="H123:K123">
    <cfRule type="expression" dxfId="11253" priority="377">
      <formula>LEN(TRIM(H123))=0</formula>
    </cfRule>
  </conditionalFormatting>
  <conditionalFormatting sqref="K123">
    <cfRule type="cellIs" dxfId="11252" priority="376" operator="equal">
      <formula>0</formula>
    </cfRule>
  </conditionalFormatting>
  <conditionalFormatting sqref="J123:K123">
    <cfRule type="cellIs" dxfId="11251" priority="375" operator="equal">
      <formula>0</formula>
    </cfRule>
  </conditionalFormatting>
  <conditionalFormatting sqref="I123">
    <cfRule type="cellIs" dxfId="11250" priority="374" operator="equal">
      <formula>0</formula>
    </cfRule>
  </conditionalFormatting>
  <conditionalFormatting sqref="H123">
    <cfRule type="cellIs" dxfId="11249" priority="373" operator="equal">
      <formula>0</formula>
    </cfRule>
  </conditionalFormatting>
  <conditionalFormatting sqref="D131:R142">
    <cfRule type="expression" dxfId="11248" priority="372">
      <formula>LEN(TRIM(D131))=0</formula>
    </cfRule>
  </conditionalFormatting>
  <conditionalFormatting sqref="D131:R142">
    <cfRule type="cellIs" dxfId="11247" priority="371" operator="equal">
      <formula>0</formula>
    </cfRule>
  </conditionalFormatting>
  <conditionalFormatting sqref="N127:O127">
    <cfRule type="cellIs" dxfId="11246" priority="370" operator="equal">
      <formula>0</formula>
    </cfRule>
  </conditionalFormatting>
  <conditionalFormatting sqref="N126:O126">
    <cfRule type="cellIs" dxfId="11245" priority="369" operator="equal">
      <formula>0</formula>
    </cfRule>
  </conditionalFormatting>
  <conditionalFormatting sqref="M126:M127">
    <cfRule type="cellIs" dxfId="11244" priority="368" operator="equal">
      <formula>0</formula>
    </cfRule>
  </conditionalFormatting>
  <conditionalFormatting sqref="L126:L127">
    <cfRule type="cellIs" dxfId="11243" priority="367" operator="equal">
      <formula>0</formula>
    </cfRule>
  </conditionalFormatting>
  <conditionalFormatting sqref="D152:R152">
    <cfRule type="cellIs" dxfId="11242" priority="366" operator="equal">
      <formula>0</formula>
    </cfRule>
  </conditionalFormatting>
  <conditionalFormatting sqref="D145:R153 D143:R143 D124:R129 D123:G123 L123:M123 P123:R123">
    <cfRule type="expression" dxfId="11241" priority="365">
      <formula>LEN(TRIM(D123))=0</formula>
    </cfRule>
  </conditionalFormatting>
  <conditionalFormatting sqref="D152:R152">
    <cfRule type="cellIs" dxfId="11240" priority="364" operator="equal">
      <formula>0</formula>
    </cfRule>
  </conditionalFormatting>
  <conditionalFormatting sqref="O124:O125">
    <cfRule type="cellIs" dxfId="11239" priority="363" operator="equal">
      <formula>0</formula>
    </cfRule>
  </conditionalFormatting>
  <conditionalFormatting sqref="O126:O128 O144">
    <cfRule type="cellIs" dxfId="11238" priority="362" operator="equal">
      <formula>0</formula>
    </cfRule>
  </conditionalFormatting>
  <conditionalFormatting sqref="N124:N125">
    <cfRule type="cellIs" dxfId="11237" priority="361" operator="equal">
      <formula>0</formula>
    </cfRule>
  </conditionalFormatting>
  <conditionalFormatting sqref="N126:N128 N144">
    <cfRule type="cellIs" dxfId="11236" priority="360" operator="equal">
      <formula>0</formula>
    </cfRule>
  </conditionalFormatting>
  <conditionalFormatting sqref="M123:M125">
    <cfRule type="cellIs" dxfId="11235" priority="359" operator="equal">
      <formula>0</formula>
    </cfRule>
  </conditionalFormatting>
  <conditionalFormatting sqref="M126:M128 M144">
    <cfRule type="cellIs" dxfId="11234" priority="358" operator="equal">
      <formula>0</formula>
    </cfRule>
  </conditionalFormatting>
  <conditionalFormatting sqref="L123:L125">
    <cfRule type="cellIs" dxfId="11233" priority="357" operator="equal">
      <formula>0</formula>
    </cfRule>
  </conditionalFormatting>
  <conditionalFormatting sqref="L126:L128 L144">
    <cfRule type="cellIs" dxfId="11232" priority="356" operator="equal">
      <formula>0</formula>
    </cfRule>
  </conditionalFormatting>
  <conditionalFormatting sqref="K124:K125">
    <cfRule type="cellIs" dxfId="11231" priority="355" operator="equal">
      <formula>0</formula>
    </cfRule>
  </conditionalFormatting>
  <conditionalFormatting sqref="K126:K128 K144">
    <cfRule type="cellIs" dxfId="11230" priority="354" operator="equal">
      <formula>0</formula>
    </cfRule>
  </conditionalFormatting>
  <conditionalFormatting sqref="J124:J125">
    <cfRule type="cellIs" dxfId="11229" priority="353" operator="equal">
      <formula>0</formula>
    </cfRule>
  </conditionalFormatting>
  <conditionalFormatting sqref="J126:J128 J144">
    <cfRule type="cellIs" dxfId="11228" priority="352" operator="equal">
      <formula>0</formula>
    </cfRule>
  </conditionalFormatting>
  <conditionalFormatting sqref="L123:M123">
    <cfRule type="cellIs" dxfId="11227" priority="351" operator="equal">
      <formula>0</formula>
    </cfRule>
  </conditionalFormatting>
  <conditionalFormatting sqref="F124:F125">
    <cfRule type="cellIs" dxfId="11226" priority="350" operator="equal">
      <formula>0</formula>
    </cfRule>
  </conditionalFormatting>
  <conditionalFormatting sqref="P123:R123 L123:M123 D124:R125">
    <cfRule type="cellIs" dxfId="11225" priority="349" operator="equal">
      <formula>0</formula>
    </cfRule>
  </conditionalFormatting>
  <conditionalFormatting sqref="P123:P125">
    <cfRule type="cellIs" dxfId="11224" priority="348" operator="equal">
      <formula>0</formula>
    </cfRule>
  </conditionalFormatting>
  <conditionalFormatting sqref="D153:R153 P144:R144 D144:I144 D145:R151 D143:R143 D124:R130 D123:G123 L123:M123 P123:R123">
    <cfRule type="cellIs" dxfId="11223" priority="347" operator="equal">
      <formula>0</formula>
    </cfRule>
  </conditionalFormatting>
  <conditionalFormatting sqref="N86:O86">
    <cfRule type="expression" dxfId="11222" priority="346">
      <formula>LEN(TRIM(N86))=0</formula>
    </cfRule>
  </conditionalFormatting>
  <conditionalFormatting sqref="N86:O86">
    <cfRule type="cellIs" dxfId="11221" priority="345" operator="equal">
      <formula>0</formula>
    </cfRule>
  </conditionalFormatting>
  <conditionalFormatting sqref="N86:O86">
    <cfRule type="cellIs" dxfId="11220" priority="344" operator="equal">
      <formula>0</formula>
    </cfRule>
  </conditionalFormatting>
  <conditionalFormatting sqref="H86:K86">
    <cfRule type="expression" dxfId="11219" priority="343">
      <formula>LEN(TRIM(H86))=0</formula>
    </cfRule>
  </conditionalFormatting>
  <conditionalFormatting sqref="K86">
    <cfRule type="cellIs" dxfId="11218" priority="342" operator="equal">
      <formula>0</formula>
    </cfRule>
  </conditionalFormatting>
  <conditionalFormatting sqref="J86:K86">
    <cfRule type="cellIs" dxfId="11217" priority="341" operator="equal">
      <formula>0</formula>
    </cfRule>
  </conditionalFormatting>
  <conditionalFormatting sqref="I86">
    <cfRule type="cellIs" dxfId="11216" priority="340" operator="equal">
      <formula>0</formula>
    </cfRule>
  </conditionalFormatting>
  <conditionalFormatting sqref="H86">
    <cfRule type="cellIs" dxfId="11215" priority="339" operator="equal">
      <formula>0</formula>
    </cfRule>
  </conditionalFormatting>
  <conditionalFormatting sqref="D94:R105">
    <cfRule type="expression" dxfId="11214" priority="338">
      <formula>LEN(TRIM(D94))=0</formula>
    </cfRule>
  </conditionalFormatting>
  <conditionalFormatting sqref="D94:R105">
    <cfRule type="cellIs" dxfId="11213" priority="337" operator="equal">
      <formula>0</formula>
    </cfRule>
  </conditionalFormatting>
  <conditionalFormatting sqref="N90:O90">
    <cfRule type="cellIs" dxfId="11212" priority="336" operator="equal">
      <formula>0</formula>
    </cfRule>
  </conditionalFormatting>
  <conditionalFormatting sqref="N89:O89">
    <cfRule type="cellIs" dxfId="11211" priority="335" operator="equal">
      <formula>0</formula>
    </cfRule>
  </conditionalFormatting>
  <conditionalFormatting sqref="M89:M90">
    <cfRule type="cellIs" dxfId="11210" priority="334" operator="equal">
      <formula>0</formula>
    </cfRule>
  </conditionalFormatting>
  <conditionalFormatting sqref="L89:L90">
    <cfRule type="cellIs" dxfId="11209" priority="333" operator="equal">
      <formula>0</formula>
    </cfRule>
  </conditionalFormatting>
  <conditionalFormatting sqref="D115:R115">
    <cfRule type="cellIs" dxfId="11208" priority="332" operator="equal">
      <formula>0</formula>
    </cfRule>
  </conditionalFormatting>
  <conditionalFormatting sqref="D108:R116 D106:R106 D87:R92 D86:G86 L86:M86 P86:R86">
    <cfRule type="expression" dxfId="11207" priority="331">
      <formula>LEN(TRIM(D86))=0</formula>
    </cfRule>
  </conditionalFormatting>
  <conditionalFormatting sqref="D115:R115">
    <cfRule type="cellIs" dxfId="11206" priority="330" operator="equal">
      <formula>0</formula>
    </cfRule>
  </conditionalFormatting>
  <conditionalFormatting sqref="O87:O88">
    <cfRule type="cellIs" dxfId="11205" priority="329" operator="equal">
      <formula>0</formula>
    </cfRule>
  </conditionalFormatting>
  <conditionalFormatting sqref="O89:O91 O107">
    <cfRule type="cellIs" dxfId="11204" priority="328" operator="equal">
      <formula>0</formula>
    </cfRule>
  </conditionalFormatting>
  <conditionalFormatting sqref="N87:N88">
    <cfRule type="cellIs" dxfId="11203" priority="327" operator="equal">
      <formula>0</formula>
    </cfRule>
  </conditionalFormatting>
  <conditionalFormatting sqref="N89:N91 N107">
    <cfRule type="cellIs" dxfId="11202" priority="326" operator="equal">
      <formula>0</formula>
    </cfRule>
  </conditionalFormatting>
  <conditionalFormatting sqref="M86:M88">
    <cfRule type="cellIs" dxfId="11201" priority="325" operator="equal">
      <formula>0</formula>
    </cfRule>
  </conditionalFormatting>
  <conditionalFormatting sqref="M89:M91 M107">
    <cfRule type="cellIs" dxfId="11200" priority="324" operator="equal">
      <formula>0</formula>
    </cfRule>
  </conditionalFormatting>
  <conditionalFormatting sqref="L86:L88">
    <cfRule type="cellIs" dxfId="11199" priority="323" operator="equal">
      <formula>0</formula>
    </cfRule>
  </conditionalFormatting>
  <conditionalFormatting sqref="L89:L91 L107">
    <cfRule type="cellIs" dxfId="11198" priority="322" operator="equal">
      <formula>0</formula>
    </cfRule>
  </conditionalFormatting>
  <conditionalFormatting sqref="K87:K88">
    <cfRule type="cellIs" dxfId="11197" priority="321" operator="equal">
      <formula>0</formula>
    </cfRule>
  </conditionalFormatting>
  <conditionalFormatting sqref="K89:K91 K107">
    <cfRule type="cellIs" dxfId="11196" priority="320" operator="equal">
      <formula>0</formula>
    </cfRule>
  </conditionalFormatting>
  <conditionalFormatting sqref="J87:J88">
    <cfRule type="cellIs" dxfId="11195" priority="319" operator="equal">
      <formula>0</formula>
    </cfRule>
  </conditionalFormatting>
  <conditionalFormatting sqref="J89:J91 J107">
    <cfRule type="cellIs" dxfId="11194" priority="318" operator="equal">
      <formula>0</formula>
    </cfRule>
  </conditionalFormatting>
  <conditionalFormatting sqref="L86:M86">
    <cfRule type="cellIs" dxfId="11193" priority="317" operator="equal">
      <formula>0</formula>
    </cfRule>
  </conditionalFormatting>
  <conditionalFormatting sqref="F87:F88">
    <cfRule type="cellIs" dxfId="11192" priority="316" operator="equal">
      <formula>0</formula>
    </cfRule>
  </conditionalFormatting>
  <conditionalFormatting sqref="P86:R86 L86:M86 D87:R88">
    <cfRule type="cellIs" dxfId="11191" priority="315" operator="equal">
      <formula>0</formula>
    </cfRule>
  </conditionalFormatting>
  <conditionalFormatting sqref="P86:P88">
    <cfRule type="cellIs" dxfId="11190" priority="314" operator="equal">
      <formula>0</formula>
    </cfRule>
  </conditionalFormatting>
  <conditionalFormatting sqref="D116:R116 P107:R107 D107:I107 D108:R114 D106:R106 D87:R93 D86:G86 L86:M86 P86:R86">
    <cfRule type="cellIs" dxfId="11189" priority="313" operator="equal">
      <formula>0</formula>
    </cfRule>
  </conditionalFormatting>
  <conditionalFormatting sqref="N49:O49">
    <cfRule type="expression" dxfId="11188" priority="312">
      <formula>LEN(TRIM(N49))=0</formula>
    </cfRule>
  </conditionalFormatting>
  <conditionalFormatting sqref="N49:O49">
    <cfRule type="cellIs" dxfId="11187" priority="311" operator="equal">
      <formula>0</formula>
    </cfRule>
  </conditionalFormatting>
  <conditionalFormatting sqref="N49:O49">
    <cfRule type="cellIs" dxfId="11186" priority="310" operator="equal">
      <formula>0</formula>
    </cfRule>
  </conditionalFormatting>
  <conditionalFormatting sqref="H49:K49">
    <cfRule type="expression" dxfId="11185" priority="309">
      <formula>LEN(TRIM(H49))=0</formula>
    </cfRule>
  </conditionalFormatting>
  <conditionalFormatting sqref="K49">
    <cfRule type="cellIs" dxfId="11184" priority="308" operator="equal">
      <formula>0</formula>
    </cfRule>
  </conditionalFormatting>
  <conditionalFormatting sqref="J49:K49">
    <cfRule type="cellIs" dxfId="11183" priority="307" operator="equal">
      <formula>0</formula>
    </cfRule>
  </conditionalFormatting>
  <conditionalFormatting sqref="I49">
    <cfRule type="cellIs" dxfId="11182" priority="306" operator="equal">
      <formula>0</formula>
    </cfRule>
  </conditionalFormatting>
  <conditionalFormatting sqref="H49">
    <cfRule type="cellIs" dxfId="11181" priority="305" operator="equal">
      <formula>0</formula>
    </cfRule>
  </conditionalFormatting>
  <conditionalFormatting sqref="D57:R68">
    <cfRule type="expression" dxfId="11180" priority="304">
      <formula>LEN(TRIM(D57))=0</formula>
    </cfRule>
  </conditionalFormatting>
  <conditionalFormatting sqref="D57:R68">
    <cfRule type="cellIs" dxfId="11179" priority="303" operator="equal">
      <formula>0</formula>
    </cfRule>
  </conditionalFormatting>
  <conditionalFormatting sqref="N53:O53">
    <cfRule type="cellIs" dxfId="11178" priority="302" operator="equal">
      <formula>0</formula>
    </cfRule>
  </conditionalFormatting>
  <conditionalFormatting sqref="N52:O52">
    <cfRule type="cellIs" dxfId="11177" priority="301" operator="equal">
      <formula>0</formula>
    </cfRule>
  </conditionalFormatting>
  <conditionalFormatting sqref="M52:M53">
    <cfRule type="cellIs" dxfId="11176" priority="300" operator="equal">
      <formula>0</formula>
    </cfRule>
  </conditionalFormatting>
  <conditionalFormatting sqref="L52:L53">
    <cfRule type="cellIs" dxfId="11175" priority="299" operator="equal">
      <formula>0</formula>
    </cfRule>
  </conditionalFormatting>
  <conditionalFormatting sqref="D78:R78">
    <cfRule type="cellIs" dxfId="11174" priority="298" operator="equal">
      <formula>0</formula>
    </cfRule>
  </conditionalFormatting>
  <conditionalFormatting sqref="D71:R79 D69:R69 D50:R55 D49:G49 L49:M49 P49:R49">
    <cfRule type="expression" dxfId="11173" priority="297">
      <formula>LEN(TRIM(D49))=0</formula>
    </cfRule>
  </conditionalFormatting>
  <conditionalFormatting sqref="D78:R78">
    <cfRule type="cellIs" dxfId="11172" priority="296" operator="equal">
      <formula>0</formula>
    </cfRule>
  </conditionalFormatting>
  <conditionalFormatting sqref="O50:O51">
    <cfRule type="cellIs" dxfId="11171" priority="295" operator="equal">
      <formula>0</formula>
    </cfRule>
  </conditionalFormatting>
  <conditionalFormatting sqref="O52:O54 O70">
    <cfRule type="cellIs" dxfId="11170" priority="294" operator="equal">
      <formula>0</formula>
    </cfRule>
  </conditionalFormatting>
  <conditionalFormatting sqref="N50:N51">
    <cfRule type="cellIs" dxfId="11169" priority="293" operator="equal">
      <formula>0</formula>
    </cfRule>
  </conditionalFormatting>
  <conditionalFormatting sqref="N52:N54 N70">
    <cfRule type="cellIs" dxfId="11168" priority="292" operator="equal">
      <formula>0</formula>
    </cfRule>
  </conditionalFormatting>
  <conditionalFormatting sqref="M49:M51">
    <cfRule type="cellIs" dxfId="11167" priority="291" operator="equal">
      <formula>0</formula>
    </cfRule>
  </conditionalFormatting>
  <conditionalFormatting sqref="M52:M54 M70">
    <cfRule type="cellIs" dxfId="11166" priority="290" operator="equal">
      <formula>0</formula>
    </cfRule>
  </conditionalFormatting>
  <conditionalFormatting sqref="L49:L51">
    <cfRule type="cellIs" dxfId="11165" priority="289" operator="equal">
      <formula>0</formula>
    </cfRule>
  </conditionalFormatting>
  <conditionalFormatting sqref="L52:L54 L70">
    <cfRule type="cellIs" dxfId="11164" priority="288" operator="equal">
      <formula>0</formula>
    </cfRule>
  </conditionalFormatting>
  <conditionalFormatting sqref="K50:K51">
    <cfRule type="cellIs" dxfId="11163" priority="287" operator="equal">
      <formula>0</formula>
    </cfRule>
  </conditionalFormatting>
  <conditionalFormatting sqref="K52:K54 K70">
    <cfRule type="cellIs" dxfId="11162" priority="286" operator="equal">
      <formula>0</formula>
    </cfRule>
  </conditionalFormatting>
  <conditionalFormatting sqref="J50:J51">
    <cfRule type="cellIs" dxfId="11161" priority="285" operator="equal">
      <formula>0</formula>
    </cfRule>
  </conditionalFormatting>
  <conditionalFormatting sqref="J52:J54 J70">
    <cfRule type="cellIs" dxfId="11160" priority="284" operator="equal">
      <formula>0</formula>
    </cfRule>
  </conditionalFormatting>
  <conditionalFormatting sqref="L49:M49">
    <cfRule type="cellIs" dxfId="11159" priority="283" operator="equal">
      <formula>0</formula>
    </cfRule>
  </conditionalFormatting>
  <conditionalFormatting sqref="F50:F51">
    <cfRule type="cellIs" dxfId="11158" priority="282" operator="equal">
      <formula>0</formula>
    </cfRule>
  </conditionalFormatting>
  <conditionalFormatting sqref="P49:R49 L49:M49 D50:R51">
    <cfRule type="cellIs" dxfId="11157" priority="281" operator="equal">
      <formula>0</formula>
    </cfRule>
  </conditionalFormatting>
  <conditionalFormatting sqref="P49:P51">
    <cfRule type="cellIs" dxfId="11156" priority="280" operator="equal">
      <formula>0</formula>
    </cfRule>
  </conditionalFormatting>
  <conditionalFormatting sqref="D79:R79 P70:R70 D70:I70 D71:R77 D69:R69 D50:R56 D49:G49 L49:M49 P49:R49">
    <cfRule type="cellIs" dxfId="11155" priority="279" operator="equal">
      <formula>0</formula>
    </cfRule>
  </conditionalFormatting>
  <conditionalFormatting sqref="S145:S153 S123:S129 S131:S143">
    <cfRule type="expression" dxfId="11154" priority="268">
      <formula>LEN(TRIM(S123))=0</formula>
    </cfRule>
  </conditionalFormatting>
  <conditionalFormatting sqref="S152">
    <cfRule type="cellIs" dxfId="11153" priority="267" operator="equal">
      <formula>0</formula>
    </cfRule>
  </conditionalFormatting>
  <conditionalFormatting sqref="S153 S123:S151">
    <cfRule type="cellIs" dxfId="11152" priority="266" operator="equal">
      <formula>0</formula>
    </cfRule>
  </conditionalFormatting>
  <conditionalFormatting sqref="S108:S116 S86:S92 S94:S106">
    <cfRule type="expression" dxfId="11151" priority="265">
      <formula>LEN(TRIM(S86))=0</formula>
    </cfRule>
  </conditionalFormatting>
  <conditionalFormatting sqref="S115">
    <cfRule type="cellIs" dxfId="11150" priority="264" operator="equal">
      <formula>0</formula>
    </cfRule>
  </conditionalFormatting>
  <conditionalFormatting sqref="S116 S86:S114">
    <cfRule type="cellIs" dxfId="11149" priority="263" operator="equal">
      <formula>0</formula>
    </cfRule>
  </conditionalFormatting>
  <conditionalFormatting sqref="S71:S79 S49:S55 S57:S69">
    <cfRule type="expression" dxfId="11148" priority="262">
      <formula>LEN(TRIM(S49))=0</formula>
    </cfRule>
  </conditionalFormatting>
  <conditionalFormatting sqref="S78">
    <cfRule type="cellIs" dxfId="11147" priority="261" operator="equal">
      <formula>0</formula>
    </cfRule>
  </conditionalFormatting>
  <conditionalFormatting sqref="S79 S49:S77">
    <cfRule type="cellIs" dxfId="11146" priority="260" operator="equal">
      <formula>0</formula>
    </cfRule>
  </conditionalFormatting>
  <conditionalFormatting sqref="O122">
    <cfRule type="cellIs" dxfId="11145" priority="254" operator="equal">
      <formula>0</formula>
    </cfRule>
  </conditionalFormatting>
  <conditionalFormatting sqref="J122:N122">
    <cfRule type="cellIs" dxfId="11144" priority="253" operator="equal">
      <formula>0</formula>
    </cfRule>
  </conditionalFormatting>
  <conditionalFormatting sqref="O85">
    <cfRule type="cellIs" dxfId="11143" priority="252" operator="equal">
      <formula>0</formula>
    </cfRule>
  </conditionalFormatting>
  <conditionalFormatting sqref="J85:N85">
    <cfRule type="cellIs" dxfId="11142" priority="251" operator="equal">
      <formula>0</formula>
    </cfRule>
  </conditionalFormatting>
  <conditionalFormatting sqref="O48">
    <cfRule type="cellIs" dxfId="11141" priority="250" operator="equal">
      <formula>0</formula>
    </cfRule>
  </conditionalFormatting>
  <conditionalFormatting sqref="J48:N48">
    <cfRule type="cellIs" dxfId="11140" priority="249" operator="equal">
      <formula>0</formula>
    </cfRule>
  </conditionalFormatting>
  <conditionalFormatting sqref="S365">
    <cfRule type="expression" dxfId="11139" priority="248">
      <formula>LEN(TRIM(S365))=0</formula>
    </cfRule>
  </conditionalFormatting>
  <conditionalFormatting sqref="S350:S352 S365:S373">
    <cfRule type="cellIs" dxfId="11138" priority="229" operator="equal">
      <formula>0</formula>
    </cfRule>
  </conditionalFormatting>
  <conditionalFormatting sqref="M23">
    <cfRule type="expression" dxfId="11137" priority="63">
      <formula>LEN(TRIM(M23))=0</formula>
    </cfRule>
  </conditionalFormatting>
  <conditionalFormatting sqref="M23">
    <cfRule type="cellIs" dxfId="11136" priority="62" operator="equal">
      <formula>0</formula>
    </cfRule>
  </conditionalFormatting>
  <conditionalFormatting sqref="R27:R28">
    <cfRule type="expression" dxfId="11135" priority="61">
      <formula>LEN(TRIM(R27))=0</formula>
    </cfRule>
  </conditionalFormatting>
  <conditionalFormatting sqref="R27:R28">
    <cfRule type="cellIs" dxfId="11134" priority="60" operator="equal">
      <formula>0</formula>
    </cfRule>
  </conditionalFormatting>
  <conditionalFormatting sqref="D27:Q28">
    <cfRule type="expression" dxfId="11133" priority="59">
      <formula>LEN(TRIM(D27))=0</formula>
    </cfRule>
  </conditionalFormatting>
  <conditionalFormatting sqref="D27:Q28">
    <cfRule type="cellIs" dxfId="11132" priority="58" operator="equal">
      <formula>0</formula>
    </cfRule>
  </conditionalFormatting>
  <conditionalFormatting sqref="S20:S31">
    <cfRule type="expression" dxfId="11131" priority="57">
      <formula>LEN(TRIM(S20))=0</formula>
    </cfRule>
  </conditionalFormatting>
  <conditionalFormatting sqref="S20:S31">
    <cfRule type="cellIs" dxfId="11130" priority="56" operator="equal">
      <formula>0</formula>
    </cfRule>
  </conditionalFormatting>
  <conditionalFormatting sqref="R20:R26 R29:R31">
    <cfRule type="expression" dxfId="11129" priority="55">
      <formula>LEN(TRIM(R20))=0</formula>
    </cfRule>
  </conditionalFormatting>
  <conditionalFormatting sqref="R20:R26 R29:R31">
    <cfRule type="cellIs" dxfId="11128" priority="54" operator="equal">
      <formula>0</formula>
    </cfRule>
  </conditionalFormatting>
  <conditionalFormatting sqref="D42:S42">
    <cfRule type="expression" dxfId="11127" priority="53">
      <formula>LEN(TRIM(D42))=0</formula>
    </cfRule>
  </conditionalFormatting>
  <conditionalFormatting sqref="D42:S42">
    <cfRule type="cellIs" dxfId="11126" priority="52" operator="equal">
      <formula>0</formula>
    </cfRule>
  </conditionalFormatting>
  <conditionalFormatting sqref="D41:R41">
    <cfRule type="cellIs" dxfId="11125" priority="51" operator="equal">
      <formula>0</formula>
    </cfRule>
  </conditionalFormatting>
  <conditionalFormatting sqref="D34:S41">
    <cfRule type="expression" dxfId="11124" priority="50">
      <formula>LEN(TRIM(D34))=0</formula>
    </cfRule>
  </conditionalFormatting>
  <conditionalFormatting sqref="D41:S41">
    <cfRule type="cellIs" dxfId="11123" priority="49" operator="equal">
      <formula>0</formula>
    </cfRule>
  </conditionalFormatting>
  <conditionalFormatting sqref="S34:S41 D34:R40">
    <cfRule type="cellIs" dxfId="11122" priority="48" operator="equal">
      <formula>0</formula>
    </cfRule>
  </conditionalFormatting>
  <conditionalFormatting sqref="D32:S32">
    <cfRule type="expression" dxfId="11121" priority="47">
      <formula>LEN(TRIM(D32))=0</formula>
    </cfRule>
  </conditionalFormatting>
  <conditionalFormatting sqref="D32:S32">
    <cfRule type="cellIs" dxfId="11120" priority="46" operator="equal">
      <formula>0</formula>
    </cfRule>
  </conditionalFormatting>
  <conditionalFormatting sqref="D18:S18">
    <cfRule type="expression" dxfId="11119" priority="45">
      <formula>LEN(TRIM(D18))=0</formula>
    </cfRule>
  </conditionalFormatting>
  <conditionalFormatting sqref="D18:S18">
    <cfRule type="cellIs" dxfId="11118" priority="44" operator="equal">
      <formula>0</formula>
    </cfRule>
  </conditionalFormatting>
  <conditionalFormatting sqref="N16:O16">
    <cfRule type="cellIs" dxfId="11117" priority="43" operator="equal">
      <formula>0</formula>
    </cfRule>
  </conditionalFormatting>
  <conditionalFormatting sqref="N15:O15">
    <cfRule type="cellIs" dxfId="11116" priority="42" operator="equal">
      <formula>0</formula>
    </cfRule>
  </conditionalFormatting>
  <conditionalFormatting sqref="M15:M16">
    <cfRule type="cellIs" dxfId="11115" priority="41" operator="equal">
      <formula>0</formula>
    </cfRule>
  </conditionalFormatting>
  <conditionalFormatting sqref="L15:L16">
    <cfRule type="cellIs" dxfId="11114" priority="40" operator="equal">
      <formula>0</formula>
    </cfRule>
  </conditionalFormatting>
  <conditionalFormatting sqref="D15:O16 R15:R16">
    <cfRule type="expression" dxfId="11113" priority="39">
      <formula>LEN(TRIM(D15))=0</formula>
    </cfRule>
  </conditionalFormatting>
  <conditionalFormatting sqref="O15:O16">
    <cfRule type="cellIs" dxfId="11112" priority="38" operator="equal">
      <formula>0</formula>
    </cfRule>
  </conditionalFormatting>
  <conditionalFormatting sqref="N15:N16">
    <cfRule type="cellIs" dxfId="11111" priority="37" operator="equal">
      <formula>0</formula>
    </cfRule>
  </conditionalFormatting>
  <conditionalFormatting sqref="M15:M16">
    <cfRule type="cellIs" dxfId="11110" priority="36" operator="equal">
      <formula>0</formula>
    </cfRule>
  </conditionalFormatting>
  <conditionalFormatting sqref="L15:L16">
    <cfRule type="cellIs" dxfId="11109" priority="35" operator="equal">
      <formula>0</formula>
    </cfRule>
  </conditionalFormatting>
  <conditionalFormatting sqref="K15:K16">
    <cfRule type="cellIs" dxfId="11108" priority="34" operator="equal">
      <formula>0</formula>
    </cfRule>
  </conditionalFormatting>
  <conditionalFormatting sqref="J15:J16">
    <cfRule type="cellIs" dxfId="11107" priority="33" operator="equal">
      <formula>0</formula>
    </cfRule>
  </conditionalFormatting>
  <conditionalFormatting sqref="D15:O16 R15:R16">
    <cfRule type="cellIs" dxfId="11106" priority="32" operator="equal">
      <formula>0</formula>
    </cfRule>
  </conditionalFormatting>
  <conditionalFormatting sqref="D24:Q24 D23:L23 N23:Q23">
    <cfRule type="expression" dxfId="11105" priority="31">
      <formula>LEN(TRIM(D23))=0</formula>
    </cfRule>
  </conditionalFormatting>
  <conditionalFormatting sqref="D24:Q24 D23:L23 N23:Q23">
    <cfRule type="cellIs" dxfId="11104" priority="30" operator="equal">
      <formula>0</formula>
    </cfRule>
  </conditionalFormatting>
  <conditionalFormatting sqref="S12:S17">
    <cfRule type="expression" dxfId="11103" priority="29">
      <formula>LEN(TRIM(S12))=0</formula>
    </cfRule>
  </conditionalFormatting>
  <conditionalFormatting sqref="S12:S17">
    <cfRule type="cellIs" dxfId="11102" priority="28" operator="equal">
      <formula>0</formula>
    </cfRule>
  </conditionalFormatting>
  <conditionalFormatting sqref="D12:P12 P13:P17 R12 Q12:Q17">
    <cfRule type="expression" dxfId="11101" priority="27">
      <formula>LEN(TRIM(D12))=0</formula>
    </cfRule>
  </conditionalFormatting>
  <conditionalFormatting sqref="K12">
    <cfRule type="cellIs" dxfId="11100" priority="26" operator="equal">
      <formula>0</formula>
    </cfRule>
  </conditionalFormatting>
  <conditionalFormatting sqref="J12">
    <cfRule type="cellIs" dxfId="11099" priority="25" operator="equal">
      <formula>0</formula>
    </cfRule>
  </conditionalFormatting>
  <conditionalFormatting sqref="L12:O12">
    <cfRule type="cellIs" dxfId="11098" priority="24" operator="equal">
      <formula>0</formula>
    </cfRule>
  </conditionalFormatting>
  <conditionalFormatting sqref="I12">
    <cfRule type="cellIs" dxfId="11097" priority="23" operator="equal">
      <formula>0</formula>
    </cfRule>
  </conditionalFormatting>
  <conditionalFormatting sqref="H12">
    <cfRule type="cellIs" dxfId="11096" priority="22" operator="equal">
      <formula>0</formula>
    </cfRule>
  </conditionalFormatting>
  <conditionalFormatting sqref="D12:G12 R12 P12:Q17">
    <cfRule type="cellIs" dxfId="11095" priority="21" operator="equal">
      <formula>0</formula>
    </cfRule>
  </conditionalFormatting>
  <conditionalFormatting sqref="D13:O14 D17:O17 R17 R13:R14 D25:Q26 D29:Q31">
    <cfRule type="expression" dxfId="11094" priority="20">
      <formula>LEN(TRIM(D13))=0</formula>
    </cfRule>
  </conditionalFormatting>
  <conditionalFormatting sqref="O13:O14">
    <cfRule type="cellIs" dxfId="11093" priority="19" operator="equal">
      <formula>0</formula>
    </cfRule>
  </conditionalFormatting>
  <conditionalFormatting sqref="O17 O33">
    <cfRule type="cellIs" dxfId="11092" priority="18" operator="equal">
      <formula>0</formula>
    </cfRule>
  </conditionalFormatting>
  <conditionalFormatting sqref="N13:N14">
    <cfRule type="cellIs" dxfId="11091" priority="17" operator="equal">
      <formula>0</formula>
    </cfRule>
  </conditionalFormatting>
  <conditionalFormatting sqref="N17 N33">
    <cfRule type="cellIs" dxfId="11090" priority="16" operator="equal">
      <formula>0</formula>
    </cfRule>
  </conditionalFormatting>
  <conditionalFormatting sqref="M13:M14">
    <cfRule type="cellIs" dxfId="11089" priority="15" operator="equal">
      <formula>0</formula>
    </cfRule>
  </conditionalFormatting>
  <conditionalFormatting sqref="M17 M33">
    <cfRule type="cellIs" dxfId="11088" priority="14" operator="equal">
      <formula>0</formula>
    </cfRule>
  </conditionalFormatting>
  <conditionalFormatting sqref="L13:L14">
    <cfRule type="cellIs" dxfId="11087" priority="13" operator="equal">
      <formula>0</formula>
    </cfRule>
  </conditionalFormatting>
  <conditionalFormatting sqref="L17 L33">
    <cfRule type="cellIs" dxfId="11086" priority="12" operator="equal">
      <formula>0</formula>
    </cfRule>
  </conditionalFormatting>
  <conditionalFormatting sqref="K13:K14">
    <cfRule type="cellIs" dxfId="11085" priority="11" operator="equal">
      <formula>0</formula>
    </cfRule>
  </conditionalFormatting>
  <conditionalFormatting sqref="K17 K33">
    <cfRule type="cellIs" dxfId="11084" priority="10" operator="equal">
      <formula>0</formula>
    </cfRule>
  </conditionalFormatting>
  <conditionalFormatting sqref="J13:J14">
    <cfRule type="cellIs" dxfId="11083" priority="9" operator="equal">
      <formula>0</formula>
    </cfRule>
  </conditionalFormatting>
  <conditionalFormatting sqref="J17 J33">
    <cfRule type="cellIs" dxfId="11082" priority="8" operator="equal">
      <formula>0</formula>
    </cfRule>
  </conditionalFormatting>
  <conditionalFormatting sqref="O11">
    <cfRule type="cellIs" dxfId="11081" priority="7" operator="equal">
      <formula>0</formula>
    </cfRule>
  </conditionalFormatting>
  <conditionalFormatting sqref="D29:Q31">
    <cfRule type="cellIs" dxfId="11080" priority="6" operator="equal">
      <formula>0</formula>
    </cfRule>
  </conditionalFormatting>
  <conditionalFormatting sqref="F13:F14">
    <cfRule type="cellIs" dxfId="11079" priority="5" operator="equal">
      <formula>0</formula>
    </cfRule>
  </conditionalFormatting>
  <conditionalFormatting sqref="D13:E14 H13:I14">
    <cfRule type="cellIs" dxfId="11078" priority="4" operator="equal">
      <formula>0</formula>
    </cfRule>
  </conditionalFormatting>
  <conditionalFormatting sqref="R13:R14 R17 G13:G14 D17:I17 J11:N11 P33:R33 D33:I33 D30:Q31 D25:Q26">
    <cfRule type="cellIs" dxfId="11077" priority="3" operator="equal">
      <formula>0</formula>
    </cfRule>
  </conditionalFormatting>
  <conditionalFormatting sqref="D20:Q22">
    <cfRule type="expression" dxfId="11076" priority="2">
      <formula>LEN(TRIM(D20))=0</formula>
    </cfRule>
  </conditionalFormatting>
  <conditionalFormatting sqref="S33 D20:Q22 D19:S19">
    <cfRule type="cellIs" dxfId="11075"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15BE4-395D-4709-B277-44ED037573BA}">
  <dimension ref="B2:T340"/>
  <sheetViews>
    <sheetView topLeftCell="A6" workbookViewId="0">
      <selection activeCell="S42" sqref="S42"/>
    </sheetView>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87</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1">
        <v>0</v>
      </c>
      <c r="G12" s="421">
        <v>0.18608</v>
      </c>
      <c r="H12" s="422">
        <v>1190.9090909090901</v>
      </c>
      <c r="I12" s="422">
        <v>150.68799999999999</v>
      </c>
      <c r="J12" s="422">
        <v>192.55962255618499</v>
      </c>
      <c r="K12" s="422">
        <v>26.086924564420499</v>
      </c>
      <c r="L12" s="421">
        <v>0</v>
      </c>
      <c r="M12" s="421">
        <v>0</v>
      </c>
      <c r="N12" s="422">
        <v>38.824946626539997</v>
      </c>
      <c r="O12" s="422">
        <v>3.9832016462042499</v>
      </c>
      <c r="P12" s="421">
        <v>0</v>
      </c>
      <c r="Q12" s="421">
        <v>0</v>
      </c>
      <c r="R12" s="421">
        <v>0</v>
      </c>
      <c r="S12" s="423">
        <v>1613.0070663024401</v>
      </c>
      <c r="T12" s="412"/>
    </row>
    <row r="13" spans="2:20" ht="13.5">
      <c r="B13" s="412"/>
      <c r="C13" s="420" t="s">
        <v>60</v>
      </c>
      <c r="D13" s="421">
        <v>44.356557420150601</v>
      </c>
      <c r="E13" s="421">
        <v>553.51354311683997</v>
      </c>
      <c r="F13" s="421">
        <v>214.35798974996999</v>
      </c>
      <c r="G13" s="421">
        <v>380.29283409068802</v>
      </c>
      <c r="H13" s="421">
        <v>0</v>
      </c>
      <c r="I13" s="421">
        <v>0</v>
      </c>
      <c r="J13" s="421">
        <v>0</v>
      </c>
      <c r="K13" s="421">
        <v>0</v>
      </c>
      <c r="L13" s="421">
        <v>0</v>
      </c>
      <c r="M13" s="421">
        <v>0</v>
      </c>
      <c r="N13" s="421">
        <v>0</v>
      </c>
      <c r="O13" s="421">
        <v>0</v>
      </c>
      <c r="P13" s="421">
        <v>0</v>
      </c>
      <c r="Q13" s="421">
        <v>0</v>
      </c>
      <c r="R13" s="421">
        <v>0</v>
      </c>
      <c r="S13" s="423">
        <v>1192.5209243776501</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-64.037371169234603</v>
      </c>
      <c r="Q14" s="421">
        <v>0</v>
      </c>
      <c r="R14" s="421">
        <v>0</v>
      </c>
      <c r="S14" s="423">
        <v>-64.037371169234603</v>
      </c>
      <c r="T14" s="412"/>
    </row>
    <row r="15" spans="2:20" ht="13.5">
      <c r="B15" s="412"/>
      <c r="C15" s="420" t="s">
        <v>62</v>
      </c>
      <c r="D15" s="421">
        <v>0</v>
      </c>
      <c r="E15" s="421">
        <v>0</v>
      </c>
      <c r="F15" s="421">
        <v>-17.936302519198001</v>
      </c>
      <c r="G15" s="421">
        <v>0</v>
      </c>
      <c r="H15" s="421">
        <v>0</v>
      </c>
      <c r="I15" s="421">
        <v>0</v>
      </c>
      <c r="J15" s="421">
        <v>0</v>
      </c>
      <c r="K15" s="421">
        <v>0</v>
      </c>
      <c r="L15" s="421">
        <v>0</v>
      </c>
      <c r="M15" s="421">
        <v>0</v>
      </c>
      <c r="N15" s="421">
        <v>0</v>
      </c>
      <c r="O15" s="421">
        <v>0</v>
      </c>
      <c r="P15" s="421">
        <v>0</v>
      </c>
      <c r="Q15" s="421">
        <v>0</v>
      </c>
      <c r="R15" s="421">
        <v>0</v>
      </c>
      <c r="S15" s="423">
        <v>-17.936302519198001</v>
      </c>
      <c r="T15" s="412"/>
    </row>
    <row r="16" spans="2:20" ht="13.5">
      <c r="B16" s="412"/>
      <c r="C16" s="420" t="s">
        <v>63</v>
      </c>
      <c r="D16" s="421">
        <v>0</v>
      </c>
      <c r="E16" s="421">
        <v>0</v>
      </c>
      <c r="F16" s="421">
        <v>-79.260028986096998</v>
      </c>
      <c r="G16" s="421">
        <v>0</v>
      </c>
      <c r="H16" s="421">
        <v>0</v>
      </c>
      <c r="I16" s="421">
        <v>0</v>
      </c>
      <c r="J16" s="421">
        <v>0</v>
      </c>
      <c r="K16" s="421">
        <v>0</v>
      </c>
      <c r="L16" s="421">
        <v>-0.81988618642427602</v>
      </c>
      <c r="M16" s="421">
        <v>0</v>
      </c>
      <c r="N16" s="421">
        <v>0</v>
      </c>
      <c r="O16" s="421">
        <v>0</v>
      </c>
      <c r="P16" s="421">
        <v>0</v>
      </c>
      <c r="Q16" s="421">
        <v>0</v>
      </c>
      <c r="R16" s="421">
        <v>0</v>
      </c>
      <c r="S16" s="423">
        <v>-80.079915172521297</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44.356557420150601</v>
      </c>
      <c r="E18" s="425">
        <v>563.28274311684004</v>
      </c>
      <c r="F18" s="425">
        <v>117.161658244675</v>
      </c>
      <c r="G18" s="425">
        <v>380.47891409068802</v>
      </c>
      <c r="H18" s="425">
        <v>1190.9090909090901</v>
      </c>
      <c r="I18" s="425">
        <v>150.68799999999999</v>
      </c>
      <c r="J18" s="425">
        <v>192.55962255618499</v>
      </c>
      <c r="K18" s="425">
        <v>26.086924564420499</v>
      </c>
      <c r="L18" s="425">
        <v>-0.81988618642427602</v>
      </c>
      <c r="M18" s="425">
        <v>0</v>
      </c>
      <c r="N18" s="425">
        <v>38.824946626539997</v>
      </c>
      <c r="O18" s="425">
        <v>3.9832016462042499</v>
      </c>
      <c r="P18" s="425">
        <v>-64.037371169234603</v>
      </c>
      <c r="Q18" s="425">
        <v>0</v>
      </c>
      <c r="R18" s="425">
        <v>0</v>
      </c>
      <c r="S18" s="425">
        <v>2643.47440181914</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21.350265318958598</v>
      </c>
      <c r="H21" s="421">
        <v>1190.9090909090901</v>
      </c>
      <c r="I21" s="421">
        <v>150.68799999999999</v>
      </c>
      <c r="J21" s="421">
        <v>30.0443018658917</v>
      </c>
      <c r="K21" s="421">
        <v>8.7092987515159699</v>
      </c>
      <c r="L21" s="421">
        <v>0</v>
      </c>
      <c r="M21" s="421">
        <v>0.43571970038690899</v>
      </c>
      <c r="N21" s="421">
        <v>0</v>
      </c>
      <c r="O21" s="421">
        <v>0</v>
      </c>
      <c r="P21" s="421">
        <v>-567.63457206025305</v>
      </c>
      <c r="Q21" s="421">
        <v>0</v>
      </c>
      <c r="R21" s="421">
        <v>0</v>
      </c>
      <c r="S21" s="429">
        <v>840.56621158479402</v>
      </c>
      <c r="T21" s="412"/>
    </row>
    <row r="22" spans="2:20" ht="13.5">
      <c r="B22" s="412"/>
      <c r="C22" s="428" t="s">
        <v>351</v>
      </c>
      <c r="D22" s="421">
        <v>0.123491187368727</v>
      </c>
      <c r="E22" s="421">
        <v>0</v>
      </c>
      <c r="F22" s="421">
        <v>0</v>
      </c>
      <c r="G22" s="421">
        <v>18.256412910237302</v>
      </c>
      <c r="H22" s="421">
        <v>0</v>
      </c>
      <c r="I22" s="421">
        <v>0</v>
      </c>
      <c r="J22" s="421">
        <v>14.431704526244101</v>
      </c>
      <c r="K22" s="421">
        <v>13.2604433911694</v>
      </c>
      <c r="L22" s="421">
        <v>0</v>
      </c>
      <c r="M22" s="421">
        <v>0.37257985531096499</v>
      </c>
      <c r="N22" s="421">
        <v>0</v>
      </c>
      <c r="O22" s="421">
        <v>2.3954921223483301</v>
      </c>
      <c r="P22" s="421">
        <v>0</v>
      </c>
      <c r="Q22" s="421">
        <v>-43.438604623737099</v>
      </c>
      <c r="R22" s="421">
        <v>0</v>
      </c>
      <c r="S22" s="429">
        <v>5.4015193689417904</v>
      </c>
      <c r="T22" s="412"/>
    </row>
    <row r="23" spans="2:20" ht="13.5">
      <c r="B23" s="412"/>
      <c r="C23" s="428" t="s">
        <v>352</v>
      </c>
      <c r="D23" s="421">
        <v>0</v>
      </c>
      <c r="E23" s="421">
        <v>0</v>
      </c>
      <c r="F23" s="421">
        <v>0</v>
      </c>
      <c r="G23" s="421">
        <v>0</v>
      </c>
      <c r="H23" s="421">
        <v>0</v>
      </c>
      <c r="I23" s="421">
        <v>0</v>
      </c>
      <c r="J23" s="421">
        <v>8.5046212766704201</v>
      </c>
      <c r="K23" s="421">
        <v>0</v>
      </c>
      <c r="L23" s="421">
        <v>0</v>
      </c>
      <c r="M23" s="421">
        <v>-7.5074544319808103</v>
      </c>
      <c r="N23" s="421">
        <v>0</v>
      </c>
      <c r="O23" s="421">
        <v>0</v>
      </c>
      <c r="P23" s="421">
        <v>0</v>
      </c>
      <c r="Q23" s="421">
        <v>0</v>
      </c>
      <c r="R23" s="421">
        <v>0</v>
      </c>
      <c r="S23" s="429">
        <v>0.99716684468960604</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583.50105466083801</v>
      </c>
      <c r="F25" s="421">
        <v>-577.66604411422998</v>
      </c>
      <c r="G25" s="421">
        <v>0</v>
      </c>
      <c r="H25" s="421">
        <v>0</v>
      </c>
      <c r="I25" s="421">
        <v>0</v>
      </c>
      <c r="J25" s="421">
        <v>0</v>
      </c>
      <c r="K25" s="421">
        <v>0</v>
      </c>
      <c r="L25" s="421">
        <v>0</v>
      </c>
      <c r="M25" s="421">
        <v>0</v>
      </c>
      <c r="N25" s="421">
        <v>0</v>
      </c>
      <c r="O25" s="421">
        <v>0</v>
      </c>
      <c r="P25" s="421">
        <v>0</v>
      </c>
      <c r="Q25" s="421">
        <v>0</v>
      </c>
      <c r="R25" s="421">
        <v>0</v>
      </c>
      <c r="S25" s="429">
        <v>5.8350105466083697</v>
      </c>
      <c r="T25" s="412"/>
    </row>
    <row r="26" spans="2:20" ht="13.5">
      <c r="B26" s="412"/>
      <c r="C26" s="428" t="s">
        <v>354</v>
      </c>
      <c r="D26" s="421">
        <v>0</v>
      </c>
      <c r="E26" s="421">
        <v>0</v>
      </c>
      <c r="F26" s="421">
        <v>0</v>
      </c>
      <c r="G26" s="421">
        <v>0</v>
      </c>
      <c r="H26" s="421">
        <v>0</v>
      </c>
      <c r="I26" s="421">
        <v>0</v>
      </c>
      <c r="J26" s="421">
        <v>42.170129990919797</v>
      </c>
      <c r="K26" s="421">
        <v>0</v>
      </c>
      <c r="L26" s="421">
        <v>-42.170129990919797</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1">
        <v>0</v>
      </c>
      <c r="S27" s="429">
        <v>0</v>
      </c>
      <c r="T27" s="412"/>
    </row>
    <row r="28" spans="2:20" ht="13.5">
      <c r="B28" s="412"/>
      <c r="C28" s="428" t="s">
        <v>73</v>
      </c>
      <c r="D28" s="421">
        <v>0</v>
      </c>
      <c r="E28" s="421">
        <v>0</v>
      </c>
      <c r="F28" s="421">
        <v>0</v>
      </c>
      <c r="G28" s="421">
        <v>0.34877320343017598</v>
      </c>
      <c r="H28" s="421">
        <v>0</v>
      </c>
      <c r="I28" s="421">
        <v>0</v>
      </c>
      <c r="J28" s="421">
        <v>0</v>
      </c>
      <c r="K28" s="421">
        <v>3.84747052873884E-3</v>
      </c>
      <c r="L28" s="421">
        <v>0</v>
      </c>
      <c r="M28" s="421">
        <v>7.1178204781668598E-3</v>
      </c>
      <c r="N28" s="421">
        <v>0</v>
      </c>
      <c r="O28" s="421">
        <v>0</v>
      </c>
      <c r="P28" s="421">
        <v>2.6932293701171901E-2</v>
      </c>
      <c r="Q28" s="421">
        <v>0</v>
      </c>
      <c r="R28" s="421">
        <v>-0.269322937011719</v>
      </c>
      <c r="S28" s="429">
        <v>0.11734785112653499</v>
      </c>
      <c r="T28" s="412"/>
    </row>
    <row r="29" spans="2:20" ht="13.5">
      <c r="B29" s="412"/>
      <c r="C29" s="428" t="s">
        <v>356</v>
      </c>
      <c r="D29" s="421">
        <v>19.823072753906299</v>
      </c>
      <c r="E29" s="421">
        <v>-20.218311543997999</v>
      </c>
      <c r="F29" s="421">
        <v>26.4443573008719</v>
      </c>
      <c r="G29" s="421">
        <v>0</v>
      </c>
      <c r="H29" s="421">
        <v>0</v>
      </c>
      <c r="I29" s="421">
        <v>0</v>
      </c>
      <c r="J29" s="421">
        <v>0</v>
      </c>
      <c r="K29" s="421">
        <v>0</v>
      </c>
      <c r="L29" s="421">
        <v>0</v>
      </c>
      <c r="M29" s="421">
        <v>0</v>
      </c>
      <c r="N29" s="421">
        <v>0</v>
      </c>
      <c r="O29" s="421">
        <v>0</v>
      </c>
      <c r="P29" s="421">
        <v>0</v>
      </c>
      <c r="Q29" s="421">
        <v>0</v>
      </c>
      <c r="R29" s="421">
        <v>0</v>
      </c>
      <c r="S29" s="429">
        <v>26.049118510780101</v>
      </c>
      <c r="T29" s="412"/>
    </row>
    <row r="30" spans="2:20" ht="13.5">
      <c r="B30" s="412"/>
      <c r="C30" s="428" t="s">
        <v>75</v>
      </c>
      <c r="D30" s="421">
        <v>11.7867587890625</v>
      </c>
      <c r="E30" s="421">
        <v>0</v>
      </c>
      <c r="F30" s="421">
        <v>19.839035858468499</v>
      </c>
      <c r="G30" s="421">
        <v>5.6611272323194504</v>
      </c>
      <c r="H30" s="421">
        <v>0</v>
      </c>
      <c r="I30" s="421">
        <v>0</v>
      </c>
      <c r="J30" s="421">
        <v>0</v>
      </c>
      <c r="K30" s="421">
        <v>0</v>
      </c>
      <c r="L30" s="421">
        <v>0</v>
      </c>
      <c r="M30" s="421">
        <v>0.115533208822846</v>
      </c>
      <c r="N30" s="421">
        <v>0</v>
      </c>
      <c r="O30" s="421">
        <v>0</v>
      </c>
      <c r="P30" s="421">
        <v>36.2791467848308</v>
      </c>
      <c r="Q30" s="421">
        <v>0</v>
      </c>
      <c r="R30" s="421">
        <v>0</v>
      </c>
      <c r="S30" s="429">
        <v>73.681601873504107</v>
      </c>
      <c r="T30" s="412"/>
    </row>
    <row r="31" spans="2:20" ht="13.5">
      <c r="B31" s="412"/>
      <c r="C31" s="428" t="s">
        <v>76</v>
      </c>
      <c r="D31" s="421">
        <v>0</v>
      </c>
      <c r="E31" s="421">
        <v>0</v>
      </c>
      <c r="F31" s="421">
        <v>0</v>
      </c>
      <c r="G31" s="421">
        <v>4.3620387411113803</v>
      </c>
      <c r="H31" s="421">
        <v>0</v>
      </c>
      <c r="I31" s="421">
        <v>0</v>
      </c>
      <c r="J31" s="421">
        <v>0</v>
      </c>
      <c r="K31" s="421">
        <v>0</v>
      </c>
      <c r="L31" s="421">
        <v>0</v>
      </c>
      <c r="M31" s="421">
        <v>8.9021198798191495E-2</v>
      </c>
      <c r="N31" s="421">
        <v>0</v>
      </c>
      <c r="O31" s="421">
        <v>0</v>
      </c>
      <c r="P31" s="421">
        <v>38.595168674011603</v>
      </c>
      <c r="Q31" s="421">
        <v>3.3660911332047201</v>
      </c>
      <c r="R31" s="421">
        <v>0</v>
      </c>
      <c r="S31" s="429">
        <v>46.412319747125899</v>
      </c>
      <c r="T31" s="412"/>
    </row>
    <row r="32" spans="2:20" ht="13.5">
      <c r="B32" s="412"/>
      <c r="C32" s="424" t="s">
        <v>77</v>
      </c>
      <c r="D32" s="425">
        <v>33.933793465904003</v>
      </c>
      <c r="E32" s="425">
        <v>563.28274311684004</v>
      </c>
      <c r="F32" s="425">
        <v>-527.51901459125304</v>
      </c>
      <c r="G32" s="425">
        <v>49.978617406056898</v>
      </c>
      <c r="H32" s="425">
        <v>1190.9090909090901</v>
      </c>
      <c r="I32" s="425">
        <v>150.68799999999999</v>
      </c>
      <c r="J32" s="425">
        <v>95.150757659726096</v>
      </c>
      <c r="K32" s="425">
        <v>21.973589613214099</v>
      </c>
      <c r="L32" s="425">
        <v>-42.170129990919797</v>
      </c>
      <c r="M32" s="425">
        <v>-6.4874826481837298</v>
      </c>
      <c r="N32" s="425">
        <v>0</v>
      </c>
      <c r="O32" s="425">
        <v>2.3954921223483301</v>
      </c>
      <c r="P32" s="425">
        <v>-492.73332430771001</v>
      </c>
      <c r="Q32" s="425">
        <v>-40.072513490532302</v>
      </c>
      <c r="R32" s="425">
        <v>-0.269322937011719</v>
      </c>
      <c r="S32" s="425">
        <v>999.06029632756997</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7.7428555069809004</v>
      </c>
      <c r="E34" s="421">
        <v>0</v>
      </c>
      <c r="F34" s="421">
        <v>27.508268593652101</v>
      </c>
      <c r="G34" s="421">
        <v>110.739014151216</v>
      </c>
      <c r="H34" s="421">
        <v>0</v>
      </c>
      <c r="I34" s="421">
        <v>0</v>
      </c>
      <c r="J34" s="421">
        <v>18.465977371058798</v>
      </c>
      <c r="K34" s="421">
        <v>4.1133349512063502</v>
      </c>
      <c r="L34" s="421">
        <v>0.88399341210937499</v>
      </c>
      <c r="M34" s="421">
        <v>2.2599798806370699</v>
      </c>
      <c r="N34" s="421">
        <v>0</v>
      </c>
      <c r="O34" s="421">
        <v>0</v>
      </c>
      <c r="P34" s="421">
        <v>107.066437049081</v>
      </c>
      <c r="Q34" s="421">
        <v>18.5660448445831</v>
      </c>
      <c r="R34" s="421">
        <v>0.269322937011719</v>
      </c>
      <c r="S34" s="429">
        <v>297.61522869753702</v>
      </c>
      <c r="T34" s="412"/>
    </row>
    <row r="35" spans="2:20" ht="13.5">
      <c r="B35" s="412"/>
      <c r="C35" s="428" t="s">
        <v>79</v>
      </c>
      <c r="D35" s="421">
        <v>0</v>
      </c>
      <c r="E35" s="421">
        <v>0</v>
      </c>
      <c r="F35" s="421">
        <v>384.408288039186</v>
      </c>
      <c r="G35" s="421">
        <v>6.57358039629678</v>
      </c>
      <c r="H35" s="421">
        <v>0</v>
      </c>
      <c r="I35" s="421">
        <v>0</v>
      </c>
      <c r="J35" s="421">
        <v>0</v>
      </c>
      <c r="K35" s="421">
        <v>0</v>
      </c>
      <c r="L35" s="421">
        <v>38.437863989696801</v>
      </c>
      <c r="M35" s="421">
        <v>0.13415470196524101</v>
      </c>
      <c r="N35" s="421">
        <v>0</v>
      </c>
      <c r="O35" s="421">
        <v>0</v>
      </c>
      <c r="P35" s="421">
        <v>17.457157002657102</v>
      </c>
      <c r="Q35" s="421">
        <v>0</v>
      </c>
      <c r="R35" s="421">
        <v>0</v>
      </c>
      <c r="S35" s="429">
        <v>447.01104412980197</v>
      </c>
      <c r="T35" s="412"/>
    </row>
    <row r="36" spans="2:20" ht="13.5">
      <c r="B36" s="412"/>
      <c r="C36" s="428" t="s">
        <v>80</v>
      </c>
      <c r="D36" s="421">
        <v>0</v>
      </c>
      <c r="E36" s="421">
        <v>0</v>
      </c>
      <c r="F36" s="421">
        <v>41.330383982032899</v>
      </c>
      <c r="G36" s="421">
        <v>129.49851397129601</v>
      </c>
      <c r="H36" s="421">
        <v>0</v>
      </c>
      <c r="I36" s="421">
        <v>0</v>
      </c>
      <c r="J36" s="421">
        <v>74.486996634240697</v>
      </c>
      <c r="K36" s="421">
        <v>0</v>
      </c>
      <c r="L36" s="421">
        <v>0</v>
      </c>
      <c r="M36" s="421">
        <v>2.6428268157407402</v>
      </c>
      <c r="N36" s="421">
        <v>32.878057830208398</v>
      </c>
      <c r="O36" s="421">
        <v>0.55181999653465397</v>
      </c>
      <c r="P36" s="421">
        <v>166.361902820984</v>
      </c>
      <c r="Q36" s="421">
        <v>16.154300000665899</v>
      </c>
      <c r="R36" s="421">
        <v>0</v>
      </c>
      <c r="S36" s="429">
        <v>463.90480205170297</v>
      </c>
      <c r="T36" s="412"/>
    </row>
    <row r="37" spans="2:20" ht="13.5">
      <c r="B37" s="412"/>
      <c r="C37" s="428" t="s">
        <v>81</v>
      </c>
      <c r="D37" s="421">
        <v>0</v>
      </c>
      <c r="E37" s="421">
        <v>0</v>
      </c>
      <c r="F37" s="421">
        <v>21.059073464779701</v>
      </c>
      <c r="G37" s="421">
        <v>68.165042900995104</v>
      </c>
      <c r="H37" s="421">
        <v>0</v>
      </c>
      <c r="I37" s="421">
        <v>0</v>
      </c>
      <c r="J37" s="421">
        <v>4.0172655181176102</v>
      </c>
      <c r="K37" s="421">
        <v>0</v>
      </c>
      <c r="L37" s="421">
        <v>0</v>
      </c>
      <c r="M37" s="421">
        <v>1.3911233245101</v>
      </c>
      <c r="N37" s="421">
        <v>5.9468887963316002</v>
      </c>
      <c r="O37" s="421">
        <v>0.94568785539262001</v>
      </c>
      <c r="P37" s="421">
        <v>129.457157945034</v>
      </c>
      <c r="Q37" s="421">
        <v>5.3521686452833004</v>
      </c>
      <c r="R37" s="421">
        <v>0</v>
      </c>
      <c r="S37" s="429">
        <v>236.33440845044399</v>
      </c>
      <c r="T37" s="412"/>
    </row>
    <row r="38" spans="2:20" ht="13.5">
      <c r="B38" s="412"/>
      <c r="C38" s="428" t="s">
        <v>82</v>
      </c>
      <c r="D38" s="421">
        <v>0</v>
      </c>
      <c r="E38" s="421">
        <v>0</v>
      </c>
      <c r="F38" s="421">
        <v>32.092515391018601</v>
      </c>
      <c r="G38" s="421">
        <v>2.9104983411987502</v>
      </c>
      <c r="H38" s="421">
        <v>0</v>
      </c>
      <c r="I38" s="421">
        <v>0</v>
      </c>
      <c r="J38" s="421">
        <v>0.43862537304169502</v>
      </c>
      <c r="K38" s="421">
        <v>0</v>
      </c>
      <c r="L38" s="421">
        <v>2.0283864026893799</v>
      </c>
      <c r="M38" s="421">
        <v>5.9397925330586701E-2</v>
      </c>
      <c r="N38" s="421">
        <v>0</v>
      </c>
      <c r="O38" s="421">
        <v>9.0201671928645602E-2</v>
      </c>
      <c r="P38" s="421">
        <v>8.3532983207182703</v>
      </c>
      <c r="Q38" s="421">
        <v>0</v>
      </c>
      <c r="R38" s="421">
        <v>0</v>
      </c>
      <c r="S38" s="429">
        <v>45.972923425925998</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7.7428555069809004</v>
      </c>
      <c r="E40" s="425">
        <v>0</v>
      </c>
      <c r="F40" s="425">
        <v>506.39852947066902</v>
      </c>
      <c r="G40" s="425">
        <v>317.88664976100301</v>
      </c>
      <c r="H40" s="425">
        <v>0</v>
      </c>
      <c r="I40" s="425">
        <v>0</v>
      </c>
      <c r="J40" s="425">
        <v>97.408864896458795</v>
      </c>
      <c r="K40" s="425">
        <v>4.1133349512063502</v>
      </c>
      <c r="L40" s="425">
        <v>41.350243804495598</v>
      </c>
      <c r="M40" s="425">
        <v>6.4874826481837404</v>
      </c>
      <c r="N40" s="425">
        <v>38.824946626539997</v>
      </c>
      <c r="O40" s="425">
        <v>1.58770952385592</v>
      </c>
      <c r="P40" s="425">
        <v>428.69595313847498</v>
      </c>
      <c r="Q40" s="425">
        <v>40.072513490532401</v>
      </c>
      <c r="R40" s="425">
        <v>0.269322937011719</v>
      </c>
      <c r="S40" s="425">
        <v>1490.83840675541</v>
      </c>
      <c r="T40" s="412"/>
    </row>
    <row r="41" spans="2:20" ht="13.5">
      <c r="B41" s="412"/>
      <c r="C41" s="420" t="s">
        <v>84</v>
      </c>
      <c r="D41" s="421">
        <v>2.67990844726563</v>
      </c>
      <c r="E41" s="421">
        <v>0</v>
      </c>
      <c r="F41" s="421">
        <v>138.282143365259</v>
      </c>
      <c r="G41" s="421">
        <v>12.6136469236283</v>
      </c>
      <c r="H41" s="421">
        <v>0</v>
      </c>
      <c r="I41" s="421">
        <v>0</v>
      </c>
      <c r="J41" s="421">
        <v>0</v>
      </c>
      <c r="K41" s="421">
        <v>0</v>
      </c>
      <c r="L41" s="421">
        <v>0</v>
      </c>
      <c r="M41" s="421">
        <v>0</v>
      </c>
      <c r="N41" s="421">
        <v>0</v>
      </c>
      <c r="O41" s="421">
        <v>0</v>
      </c>
      <c r="P41" s="421">
        <v>0</v>
      </c>
      <c r="Q41" s="421">
        <v>0</v>
      </c>
      <c r="R41" s="421">
        <v>0</v>
      </c>
      <c r="S41" s="429">
        <v>153.57569873615299</v>
      </c>
      <c r="T41" s="412"/>
    </row>
    <row r="42" spans="2:20" ht="13.5">
      <c r="B42" s="412"/>
      <c r="C42" s="424" t="s">
        <v>85</v>
      </c>
      <c r="D42" s="425">
        <v>10.4227639542465</v>
      </c>
      <c r="E42" s="425">
        <v>0</v>
      </c>
      <c r="F42" s="425">
        <v>644.68067283592802</v>
      </c>
      <c r="G42" s="425">
        <v>330.500296684631</v>
      </c>
      <c r="H42" s="425">
        <v>0</v>
      </c>
      <c r="I42" s="425">
        <v>0</v>
      </c>
      <c r="J42" s="425">
        <v>97.408864896458795</v>
      </c>
      <c r="K42" s="425">
        <v>4.1133349512063502</v>
      </c>
      <c r="L42" s="425">
        <v>41.350243804495598</v>
      </c>
      <c r="M42" s="425">
        <v>6.4874826481837404</v>
      </c>
      <c r="N42" s="425">
        <v>38.824946626539997</v>
      </c>
      <c r="O42" s="425">
        <v>1.58770952385592</v>
      </c>
      <c r="P42" s="425">
        <v>428.69595313847498</v>
      </c>
      <c r="Q42" s="425">
        <v>40.072513490532302</v>
      </c>
      <c r="R42" s="425">
        <v>0.269322937011719</v>
      </c>
      <c r="S42" s="425">
        <v>1644.4141054915699</v>
      </c>
      <c r="T42" s="412"/>
    </row>
    <row r="43" spans="2:20">
      <c r="B43" s="412"/>
      <c r="C43" s="412"/>
      <c r="D43" s="430">
        <f t="shared" ref="D43:S43" si="0">D42+D32-D18</f>
        <v>-9.9475983006414026E-14</v>
      </c>
      <c r="E43" s="430">
        <f t="shared" si="0"/>
        <v>0</v>
      </c>
      <c r="F43" s="430">
        <f t="shared" si="0"/>
        <v>0</v>
      </c>
      <c r="G43" s="430">
        <f t="shared" si="0"/>
        <v>0</v>
      </c>
      <c r="H43" s="430">
        <f t="shared" si="0"/>
        <v>0</v>
      </c>
      <c r="I43" s="430">
        <f t="shared" si="0"/>
        <v>0</v>
      </c>
      <c r="J43" s="430">
        <f t="shared" si="0"/>
        <v>0</v>
      </c>
      <c r="K43" s="430">
        <f t="shared" si="0"/>
        <v>-4.9737991503207013E-14</v>
      </c>
      <c r="L43" s="430">
        <f t="shared" si="0"/>
        <v>7.6938455606523348E-14</v>
      </c>
      <c r="M43" s="430">
        <f t="shared" si="0"/>
        <v>1.0658141036401503E-14</v>
      </c>
      <c r="N43" s="430">
        <f t="shared" si="0"/>
        <v>0</v>
      </c>
      <c r="O43" s="430">
        <f t="shared" si="0"/>
        <v>0</v>
      </c>
      <c r="P43" s="430">
        <f t="shared" si="0"/>
        <v>-4.2632564145606011E-13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359</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9.7691999999999997</v>
      </c>
      <c r="F49" s="421">
        <v>0</v>
      </c>
      <c r="G49" s="421">
        <v>0.18608</v>
      </c>
      <c r="H49" s="422">
        <v>1190.9090909090901</v>
      </c>
      <c r="I49" s="422">
        <v>170.08</v>
      </c>
      <c r="J49" s="422">
        <v>186.15630231182601</v>
      </c>
      <c r="K49" s="422">
        <v>24.974953825182599</v>
      </c>
      <c r="L49" s="421">
        <v>0</v>
      </c>
      <c r="M49" s="421">
        <v>0</v>
      </c>
      <c r="N49" s="422">
        <v>43.871249036200602</v>
      </c>
      <c r="O49" s="422">
        <v>4.0793508751074903</v>
      </c>
      <c r="P49" s="421">
        <v>0</v>
      </c>
      <c r="Q49" s="421">
        <v>0</v>
      </c>
      <c r="R49" s="421">
        <v>0</v>
      </c>
      <c r="S49" s="423">
        <v>1630.02622695741</v>
      </c>
      <c r="T49" s="412"/>
    </row>
    <row r="50" spans="2:20" ht="13.5">
      <c r="B50" s="412"/>
      <c r="C50" s="420" t="s">
        <v>60</v>
      </c>
      <c r="D50" s="421">
        <v>40.055895368373001</v>
      </c>
      <c r="E50" s="421">
        <v>541.69545178681904</v>
      </c>
      <c r="F50" s="421">
        <v>171.988032744695</v>
      </c>
      <c r="G50" s="421">
        <v>372.78103647712499</v>
      </c>
      <c r="H50" s="421">
        <v>0</v>
      </c>
      <c r="I50" s="421">
        <v>0</v>
      </c>
      <c r="J50" s="421">
        <v>0</v>
      </c>
      <c r="K50" s="421">
        <v>0</v>
      </c>
      <c r="L50" s="421">
        <v>0</v>
      </c>
      <c r="M50" s="421">
        <v>0</v>
      </c>
      <c r="N50" s="421">
        <v>0</v>
      </c>
      <c r="O50" s="421">
        <v>0</v>
      </c>
      <c r="P50" s="421">
        <v>0</v>
      </c>
      <c r="Q50" s="421">
        <v>0</v>
      </c>
      <c r="R50" s="421">
        <v>0</v>
      </c>
      <c r="S50" s="423">
        <v>1126.52041637701</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-73.437247589053598</v>
      </c>
      <c r="Q51" s="421">
        <v>0</v>
      </c>
      <c r="R51" s="421">
        <v>0</v>
      </c>
      <c r="S51" s="423">
        <v>-73.437247589053598</v>
      </c>
      <c r="T51" s="412"/>
    </row>
    <row r="52" spans="2:20" ht="13.5">
      <c r="B52" s="412"/>
      <c r="C52" s="420" t="s">
        <v>62</v>
      </c>
      <c r="D52" s="421">
        <v>0</v>
      </c>
      <c r="E52" s="421">
        <v>0</v>
      </c>
      <c r="F52" s="421">
        <v>-17.070412052753898</v>
      </c>
      <c r="G52" s="421">
        <v>0</v>
      </c>
      <c r="H52" s="421">
        <v>0</v>
      </c>
      <c r="I52" s="421">
        <v>0</v>
      </c>
      <c r="J52" s="421">
        <v>0</v>
      </c>
      <c r="K52" s="421">
        <v>0</v>
      </c>
      <c r="L52" s="421">
        <v>0</v>
      </c>
      <c r="M52" s="421">
        <v>0</v>
      </c>
      <c r="N52" s="421">
        <v>0</v>
      </c>
      <c r="O52" s="421">
        <v>0</v>
      </c>
      <c r="P52" s="421">
        <v>0</v>
      </c>
      <c r="Q52" s="421">
        <v>0</v>
      </c>
      <c r="R52" s="421">
        <v>0</v>
      </c>
      <c r="S52" s="423">
        <v>-17.070412052753898</v>
      </c>
      <c r="T52" s="412"/>
    </row>
    <row r="53" spans="2:20" ht="13.5">
      <c r="B53" s="412"/>
      <c r="C53" s="420" t="s">
        <v>63</v>
      </c>
      <c r="D53" s="421">
        <v>0</v>
      </c>
      <c r="E53" s="421">
        <v>0</v>
      </c>
      <c r="F53" s="421">
        <v>-79.938484984822097</v>
      </c>
      <c r="G53" s="421">
        <v>0</v>
      </c>
      <c r="H53" s="421">
        <v>0</v>
      </c>
      <c r="I53" s="421">
        <v>0</v>
      </c>
      <c r="J53" s="421">
        <v>0</v>
      </c>
      <c r="K53" s="421">
        <v>0</v>
      </c>
      <c r="L53" s="421">
        <v>-0.82674452547362898</v>
      </c>
      <c r="M53" s="421">
        <v>0</v>
      </c>
      <c r="N53" s="421">
        <v>0</v>
      </c>
      <c r="O53" s="421">
        <v>0</v>
      </c>
      <c r="P53" s="421">
        <v>0</v>
      </c>
      <c r="Q53" s="421">
        <v>0</v>
      </c>
      <c r="R53" s="421">
        <v>0</v>
      </c>
      <c r="S53" s="423">
        <v>-80.765229510295697</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40.055895368373001</v>
      </c>
      <c r="E55" s="425">
        <v>551.46465178681899</v>
      </c>
      <c r="F55" s="425">
        <v>74.979135707119397</v>
      </c>
      <c r="G55" s="425">
        <v>372.96711647712499</v>
      </c>
      <c r="H55" s="425">
        <v>1190.9090909090901</v>
      </c>
      <c r="I55" s="425">
        <v>170.08</v>
      </c>
      <c r="J55" s="425">
        <v>186.15630231182601</v>
      </c>
      <c r="K55" s="425">
        <v>24.974953825182599</v>
      </c>
      <c r="L55" s="425">
        <v>-0.82674452547362898</v>
      </c>
      <c r="M55" s="425">
        <v>0</v>
      </c>
      <c r="N55" s="425">
        <v>43.871249036200602</v>
      </c>
      <c r="O55" s="425">
        <v>4.0793508751074903</v>
      </c>
      <c r="P55" s="425">
        <v>-73.437247589053598</v>
      </c>
      <c r="Q55" s="425">
        <v>0</v>
      </c>
      <c r="R55" s="425">
        <v>0</v>
      </c>
      <c r="S55" s="425">
        <v>2585.2737541823199</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19.544561216829301</v>
      </c>
      <c r="H58" s="421">
        <v>1190.9090909090901</v>
      </c>
      <c r="I58" s="421">
        <v>170.08</v>
      </c>
      <c r="J58" s="421">
        <v>28.040540215902201</v>
      </c>
      <c r="K58" s="421">
        <v>7.7727848860172202</v>
      </c>
      <c r="L58" s="421">
        <v>0</v>
      </c>
      <c r="M58" s="421">
        <v>0.39886859626182303</v>
      </c>
      <c r="N58" s="421">
        <v>0</v>
      </c>
      <c r="O58" s="421">
        <v>0</v>
      </c>
      <c r="P58" s="421">
        <v>-586.289338958695</v>
      </c>
      <c r="Q58" s="421">
        <v>0</v>
      </c>
      <c r="R58" s="421">
        <v>0</v>
      </c>
      <c r="S58" s="429">
        <v>836.52061396460897</v>
      </c>
      <c r="T58" s="412"/>
    </row>
    <row r="59" spans="2:20" ht="13.5">
      <c r="B59" s="412"/>
      <c r="C59" s="428" t="s">
        <v>351</v>
      </c>
      <c r="D59" s="421">
        <v>4.9396474947490797E-2</v>
      </c>
      <c r="E59" s="421">
        <v>0</v>
      </c>
      <c r="F59" s="421">
        <v>0</v>
      </c>
      <c r="G59" s="421">
        <v>17.665254513296698</v>
      </c>
      <c r="H59" s="421">
        <v>0</v>
      </c>
      <c r="I59" s="421">
        <v>0</v>
      </c>
      <c r="J59" s="421">
        <v>13.597483560150501</v>
      </c>
      <c r="K59" s="421">
        <v>12.973950708076901</v>
      </c>
      <c r="L59" s="421">
        <v>0</v>
      </c>
      <c r="M59" s="421">
        <v>0.36051539823054402</v>
      </c>
      <c r="N59" s="421">
        <v>0</v>
      </c>
      <c r="O59" s="421">
        <v>2.3125206785732901</v>
      </c>
      <c r="P59" s="421">
        <v>0</v>
      </c>
      <c r="Q59" s="421">
        <v>-42.110083349928601</v>
      </c>
      <c r="R59" s="421">
        <v>0</v>
      </c>
      <c r="S59" s="429">
        <v>4.84903798334678</v>
      </c>
      <c r="T59" s="412"/>
    </row>
    <row r="60" spans="2:20" ht="13.5">
      <c r="B60" s="412"/>
      <c r="C60" s="428" t="s">
        <v>352</v>
      </c>
      <c r="D60" s="421">
        <v>0</v>
      </c>
      <c r="E60" s="421">
        <v>0</v>
      </c>
      <c r="F60" s="421">
        <v>0</v>
      </c>
      <c r="G60" s="421">
        <v>0</v>
      </c>
      <c r="H60" s="421">
        <v>0</v>
      </c>
      <c r="I60" s="421">
        <v>0</v>
      </c>
      <c r="J60" s="421">
        <v>8.2513049671567806</v>
      </c>
      <c r="K60" s="421">
        <v>0</v>
      </c>
      <c r="L60" s="421">
        <v>0</v>
      </c>
      <c r="M60" s="421">
        <v>-7.35397555197848</v>
      </c>
      <c r="N60" s="421">
        <v>0</v>
      </c>
      <c r="O60" s="421">
        <v>0</v>
      </c>
      <c r="P60" s="421">
        <v>0</v>
      </c>
      <c r="Q60" s="421">
        <v>0</v>
      </c>
      <c r="R60" s="421">
        <v>0</v>
      </c>
      <c r="S60" s="429">
        <v>0.897329415178301</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571.25876810153704</v>
      </c>
      <c r="F62" s="421">
        <v>-565.54618042052198</v>
      </c>
      <c r="G62" s="421">
        <v>0</v>
      </c>
      <c r="H62" s="421">
        <v>0</v>
      </c>
      <c r="I62" s="421">
        <v>0</v>
      </c>
      <c r="J62" s="421">
        <v>0</v>
      </c>
      <c r="K62" s="421">
        <v>0</v>
      </c>
      <c r="L62" s="421">
        <v>0</v>
      </c>
      <c r="M62" s="421">
        <v>0</v>
      </c>
      <c r="N62" s="421">
        <v>0</v>
      </c>
      <c r="O62" s="421">
        <v>0</v>
      </c>
      <c r="P62" s="421">
        <v>0</v>
      </c>
      <c r="Q62" s="421">
        <v>0</v>
      </c>
      <c r="R62" s="421">
        <v>0</v>
      </c>
      <c r="S62" s="429">
        <v>5.7125876810154104</v>
      </c>
      <c r="T62" s="412"/>
    </row>
    <row r="63" spans="2:20" ht="13.5">
      <c r="B63" s="412"/>
      <c r="C63" s="428" t="s">
        <v>354</v>
      </c>
      <c r="D63" s="421">
        <v>0</v>
      </c>
      <c r="E63" s="421">
        <v>0</v>
      </c>
      <c r="F63" s="421">
        <v>0</v>
      </c>
      <c r="G63" s="421">
        <v>0</v>
      </c>
      <c r="H63" s="421">
        <v>0</v>
      </c>
      <c r="I63" s="421">
        <v>0</v>
      </c>
      <c r="J63" s="421">
        <v>40.340137818349199</v>
      </c>
      <c r="K63" s="421">
        <v>0</v>
      </c>
      <c r="L63" s="421">
        <v>-40.340137818349199</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-0.12750106482601001</v>
      </c>
      <c r="M64" s="421">
        <v>0</v>
      </c>
      <c r="N64" s="421">
        <v>0</v>
      </c>
      <c r="O64" s="421">
        <v>0</v>
      </c>
      <c r="P64" s="421">
        <v>0</v>
      </c>
      <c r="Q64" s="421">
        <v>0</v>
      </c>
      <c r="R64" s="421">
        <v>0.182144378322872</v>
      </c>
      <c r="S64" s="429">
        <v>5.4643313496861502E-2</v>
      </c>
      <c r="T64" s="412"/>
    </row>
    <row r="65" spans="2:20" ht="13.5">
      <c r="B65" s="412"/>
      <c r="C65" s="428" t="s">
        <v>73</v>
      </c>
      <c r="D65" s="421">
        <v>0</v>
      </c>
      <c r="E65" s="421">
        <v>0</v>
      </c>
      <c r="F65" s="421">
        <v>0</v>
      </c>
      <c r="G65" s="421">
        <v>0.831376892645455</v>
      </c>
      <c r="H65" s="421">
        <v>0</v>
      </c>
      <c r="I65" s="421">
        <v>0</v>
      </c>
      <c r="J65" s="421">
        <v>0</v>
      </c>
      <c r="K65" s="421">
        <v>9.2613948472223297E-3</v>
      </c>
      <c r="L65" s="421">
        <v>0</v>
      </c>
      <c r="M65" s="421">
        <v>1.6966875360111301E-2</v>
      </c>
      <c r="N65" s="421">
        <v>0</v>
      </c>
      <c r="O65" s="421">
        <v>0</v>
      </c>
      <c r="P65" s="421">
        <v>7.3806192782479504E-2</v>
      </c>
      <c r="Q65" s="421">
        <v>0</v>
      </c>
      <c r="R65" s="421">
        <v>-0.64829763930556406</v>
      </c>
      <c r="S65" s="429">
        <v>0.283113716329704</v>
      </c>
      <c r="T65" s="412"/>
    </row>
    <row r="66" spans="2:20" ht="13.5">
      <c r="B66" s="412"/>
      <c r="C66" s="428" t="s">
        <v>356</v>
      </c>
      <c r="D66" s="421">
        <v>17.563290527343799</v>
      </c>
      <c r="E66" s="421">
        <v>-19.794116314718298</v>
      </c>
      <c r="F66" s="421">
        <v>25.889534996151301</v>
      </c>
      <c r="G66" s="421">
        <v>0</v>
      </c>
      <c r="H66" s="421">
        <v>0</v>
      </c>
      <c r="I66" s="421">
        <v>0</v>
      </c>
      <c r="J66" s="421">
        <v>0</v>
      </c>
      <c r="K66" s="421">
        <v>0</v>
      </c>
      <c r="L66" s="421">
        <v>0</v>
      </c>
      <c r="M66" s="421">
        <v>0</v>
      </c>
      <c r="N66" s="421">
        <v>0</v>
      </c>
      <c r="O66" s="421">
        <v>0</v>
      </c>
      <c r="P66" s="421">
        <v>0</v>
      </c>
      <c r="Q66" s="421">
        <v>0</v>
      </c>
      <c r="R66" s="421">
        <v>0</v>
      </c>
      <c r="S66" s="429">
        <v>23.658709208776799</v>
      </c>
      <c r="T66" s="412"/>
    </row>
    <row r="67" spans="2:20" ht="13.5">
      <c r="B67" s="412"/>
      <c r="C67" s="428" t="s">
        <v>75</v>
      </c>
      <c r="D67" s="421">
        <v>10.802251953124999</v>
      </c>
      <c r="E67" s="421">
        <v>0</v>
      </c>
      <c r="F67" s="421">
        <v>19.422798115452299</v>
      </c>
      <c r="G67" s="421">
        <v>5.5423525681211201</v>
      </c>
      <c r="H67" s="421">
        <v>0</v>
      </c>
      <c r="I67" s="421">
        <v>0</v>
      </c>
      <c r="J67" s="421">
        <v>0</v>
      </c>
      <c r="K67" s="421">
        <v>0</v>
      </c>
      <c r="L67" s="421">
        <v>0</v>
      </c>
      <c r="M67" s="421">
        <v>0.113109236084104</v>
      </c>
      <c r="N67" s="421">
        <v>0</v>
      </c>
      <c r="O67" s="421">
        <v>0</v>
      </c>
      <c r="P67" s="421">
        <v>36.242285129753</v>
      </c>
      <c r="Q67" s="421">
        <v>0</v>
      </c>
      <c r="R67" s="421">
        <v>0</v>
      </c>
      <c r="S67" s="429">
        <v>72.122797002535407</v>
      </c>
      <c r="T67" s="412"/>
    </row>
    <row r="68" spans="2:20" ht="13.5">
      <c r="B68" s="412"/>
      <c r="C68" s="428" t="s">
        <v>76</v>
      </c>
      <c r="D68" s="421">
        <v>0</v>
      </c>
      <c r="E68" s="421">
        <v>0</v>
      </c>
      <c r="F68" s="421">
        <v>0</v>
      </c>
      <c r="G68" s="421">
        <v>4.2728632653787999</v>
      </c>
      <c r="H68" s="421">
        <v>0</v>
      </c>
      <c r="I68" s="421">
        <v>0</v>
      </c>
      <c r="J68" s="421">
        <v>0</v>
      </c>
      <c r="K68" s="421">
        <v>0</v>
      </c>
      <c r="L68" s="421">
        <v>0</v>
      </c>
      <c r="M68" s="421">
        <v>8.7201291130179603E-2</v>
      </c>
      <c r="N68" s="421">
        <v>0</v>
      </c>
      <c r="O68" s="421">
        <v>0</v>
      </c>
      <c r="P68" s="421">
        <v>39.304453909215397</v>
      </c>
      <c r="Q68" s="421">
        <v>3.26314299021587</v>
      </c>
      <c r="R68" s="421">
        <v>0</v>
      </c>
      <c r="S68" s="429">
        <v>46.927661455940203</v>
      </c>
      <c r="T68" s="412"/>
    </row>
    <row r="69" spans="2:20" ht="13.5">
      <c r="B69" s="412"/>
      <c r="C69" s="424" t="s">
        <v>77</v>
      </c>
      <c r="D69" s="425">
        <v>30.615409690982801</v>
      </c>
      <c r="E69" s="425">
        <v>551.46465178681899</v>
      </c>
      <c r="F69" s="425">
        <v>-516.370210945282</v>
      </c>
      <c r="G69" s="425">
        <v>47.856408456271403</v>
      </c>
      <c r="H69" s="425">
        <v>1190.9090909090901</v>
      </c>
      <c r="I69" s="425">
        <v>170.08</v>
      </c>
      <c r="J69" s="425">
        <v>90.229466561558695</v>
      </c>
      <c r="K69" s="425">
        <v>20.755996988941401</v>
      </c>
      <c r="L69" s="425">
        <v>-40.467638883175198</v>
      </c>
      <c r="M69" s="425">
        <v>-6.37731415491172</v>
      </c>
      <c r="N69" s="425">
        <v>0</v>
      </c>
      <c r="O69" s="425">
        <v>2.3125206785732901</v>
      </c>
      <c r="P69" s="425">
        <v>-510.66879372694501</v>
      </c>
      <c r="Q69" s="425">
        <v>-38.846940359712697</v>
      </c>
      <c r="R69" s="425">
        <v>-0.466153260982692</v>
      </c>
      <c r="S69" s="425">
        <v>991.02649374122802</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6.9572827965307997</v>
      </c>
      <c r="E71" s="421">
        <v>0</v>
      </c>
      <c r="F71" s="421">
        <v>25.896684663228299</v>
      </c>
      <c r="G71" s="421">
        <v>106.26458392294199</v>
      </c>
      <c r="H71" s="421">
        <v>0</v>
      </c>
      <c r="I71" s="421">
        <v>0</v>
      </c>
      <c r="J71" s="421">
        <v>17.745142204637499</v>
      </c>
      <c r="K71" s="421">
        <v>4.2189568362411896</v>
      </c>
      <c r="L71" s="421">
        <v>0.87282323828124997</v>
      </c>
      <c r="M71" s="421">
        <v>2.1686649780192302</v>
      </c>
      <c r="N71" s="421">
        <v>0</v>
      </c>
      <c r="O71" s="421">
        <v>0</v>
      </c>
      <c r="P71" s="421">
        <v>105.29003362157</v>
      </c>
      <c r="Q71" s="421">
        <v>18.0750594681117</v>
      </c>
      <c r="R71" s="421">
        <v>0.25568812561035198</v>
      </c>
      <c r="S71" s="429">
        <v>287.74491985517301</v>
      </c>
      <c r="T71" s="412"/>
    </row>
    <row r="72" spans="2:20" ht="13.5">
      <c r="B72" s="412"/>
      <c r="C72" s="428" t="s">
        <v>79</v>
      </c>
      <c r="D72" s="421">
        <v>0</v>
      </c>
      <c r="E72" s="421">
        <v>0</v>
      </c>
      <c r="F72" s="421">
        <v>346.690942673081</v>
      </c>
      <c r="G72" s="421">
        <v>11.424554462604799</v>
      </c>
      <c r="H72" s="421">
        <v>0</v>
      </c>
      <c r="I72" s="421">
        <v>0</v>
      </c>
      <c r="J72" s="421">
        <v>0</v>
      </c>
      <c r="K72" s="421">
        <v>0</v>
      </c>
      <c r="L72" s="421">
        <v>34.925099911617998</v>
      </c>
      <c r="M72" s="421">
        <v>0.23315417270621999</v>
      </c>
      <c r="N72" s="421">
        <v>0</v>
      </c>
      <c r="O72" s="421">
        <v>0</v>
      </c>
      <c r="P72" s="421">
        <v>24.35299203193</v>
      </c>
      <c r="Q72" s="421">
        <v>0</v>
      </c>
      <c r="R72" s="421">
        <v>0.21046513537233999</v>
      </c>
      <c r="S72" s="429">
        <v>417.83720838731301</v>
      </c>
      <c r="T72" s="412"/>
    </row>
    <row r="73" spans="2:20" ht="13.5">
      <c r="B73" s="412"/>
      <c r="C73" s="428" t="s">
        <v>80</v>
      </c>
      <c r="D73" s="421">
        <v>0</v>
      </c>
      <c r="E73" s="421">
        <v>0</v>
      </c>
      <c r="F73" s="421">
        <v>35.491759921092701</v>
      </c>
      <c r="G73" s="421">
        <v>125.919726758168</v>
      </c>
      <c r="H73" s="421">
        <v>0</v>
      </c>
      <c r="I73" s="421">
        <v>0</v>
      </c>
      <c r="J73" s="421">
        <v>73.813414818534</v>
      </c>
      <c r="K73" s="421">
        <v>0</v>
      </c>
      <c r="L73" s="421">
        <v>0</v>
      </c>
      <c r="M73" s="421">
        <v>2.56979034200342</v>
      </c>
      <c r="N73" s="421">
        <v>37.3286750803004</v>
      </c>
      <c r="O73" s="421">
        <v>0.79885474759688602</v>
      </c>
      <c r="P73" s="421">
        <v>169.76247082548599</v>
      </c>
      <c r="Q73" s="421">
        <v>15.993012493150101</v>
      </c>
      <c r="R73" s="421">
        <v>0</v>
      </c>
      <c r="S73" s="429">
        <v>461.67770498633098</v>
      </c>
      <c r="T73" s="412"/>
    </row>
    <row r="74" spans="2:20" ht="13.5">
      <c r="B74" s="412"/>
      <c r="C74" s="428" t="s">
        <v>81</v>
      </c>
      <c r="D74" s="421">
        <v>0</v>
      </c>
      <c r="E74" s="421">
        <v>0</v>
      </c>
      <c r="F74" s="421">
        <v>16.1286772108141</v>
      </c>
      <c r="G74" s="421">
        <v>65.616209399755206</v>
      </c>
      <c r="H74" s="421">
        <v>0</v>
      </c>
      <c r="I74" s="421">
        <v>0</v>
      </c>
      <c r="J74" s="421">
        <v>3.7763192942950199</v>
      </c>
      <c r="K74" s="421">
        <v>0</v>
      </c>
      <c r="L74" s="421">
        <v>0</v>
      </c>
      <c r="M74" s="421">
        <v>1.33910631428072</v>
      </c>
      <c r="N74" s="421">
        <v>6.5425739559002496</v>
      </c>
      <c r="O74" s="421">
        <v>0.88133560718480697</v>
      </c>
      <c r="P74" s="421">
        <v>129.56623414657301</v>
      </c>
      <c r="Q74" s="421">
        <v>4.7788683984510296</v>
      </c>
      <c r="R74" s="421">
        <v>0</v>
      </c>
      <c r="S74" s="429">
        <v>228.62932432725401</v>
      </c>
      <c r="T74" s="412"/>
    </row>
    <row r="75" spans="2:20" ht="13.5">
      <c r="B75" s="412"/>
      <c r="C75" s="428" t="s">
        <v>82</v>
      </c>
      <c r="D75" s="421">
        <v>0</v>
      </c>
      <c r="E75" s="421">
        <v>0</v>
      </c>
      <c r="F75" s="421">
        <v>28.971780309740499</v>
      </c>
      <c r="G75" s="421">
        <v>3.2633190472043498</v>
      </c>
      <c r="H75" s="421">
        <v>0</v>
      </c>
      <c r="I75" s="421">
        <v>0</v>
      </c>
      <c r="J75" s="421">
        <v>0.59195943280110996</v>
      </c>
      <c r="K75" s="421">
        <v>0</v>
      </c>
      <c r="L75" s="421">
        <v>3.8429712078023499</v>
      </c>
      <c r="M75" s="421">
        <v>6.6598347902129498E-2</v>
      </c>
      <c r="N75" s="421">
        <v>0</v>
      </c>
      <c r="O75" s="421">
        <v>8.6639841752499502E-2</v>
      </c>
      <c r="P75" s="421">
        <v>8.2598155123323398</v>
      </c>
      <c r="Q75" s="421">
        <v>0</v>
      </c>
      <c r="R75" s="421">
        <v>0</v>
      </c>
      <c r="S75" s="429">
        <v>45.083083699535301</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6.9572827965307997</v>
      </c>
      <c r="E77" s="425">
        <v>0</v>
      </c>
      <c r="F77" s="425">
        <v>453.17984477795699</v>
      </c>
      <c r="G77" s="425">
        <v>312.48839359067398</v>
      </c>
      <c r="H77" s="425">
        <v>0</v>
      </c>
      <c r="I77" s="425">
        <v>0</v>
      </c>
      <c r="J77" s="425">
        <v>95.9268357502676</v>
      </c>
      <c r="K77" s="425">
        <v>4.2189568362411896</v>
      </c>
      <c r="L77" s="425">
        <v>39.640894357701598</v>
      </c>
      <c r="M77" s="425">
        <v>6.37731415491172</v>
      </c>
      <c r="N77" s="425">
        <v>43.871249036200602</v>
      </c>
      <c r="O77" s="425">
        <v>1.7668301965341899</v>
      </c>
      <c r="P77" s="425">
        <v>437.23154613789097</v>
      </c>
      <c r="Q77" s="425">
        <v>38.846940359712697</v>
      </c>
      <c r="R77" s="425">
        <v>0.466153260982692</v>
      </c>
      <c r="S77" s="425">
        <v>1440.97224125561</v>
      </c>
      <c r="T77" s="412"/>
    </row>
    <row r="78" spans="2:20" ht="13.5">
      <c r="B78" s="412"/>
      <c r="C78" s="420" t="s">
        <v>84</v>
      </c>
      <c r="D78" s="421">
        <v>2.48320288085938</v>
      </c>
      <c r="E78" s="421">
        <v>0</v>
      </c>
      <c r="F78" s="421">
        <v>138.16950187444499</v>
      </c>
      <c r="G78" s="421">
        <v>12.6223144301798</v>
      </c>
      <c r="H78" s="421">
        <v>0</v>
      </c>
      <c r="I78" s="421">
        <v>0</v>
      </c>
      <c r="J78" s="421">
        <v>0</v>
      </c>
      <c r="K78" s="421">
        <v>0</v>
      </c>
      <c r="L78" s="421">
        <v>0</v>
      </c>
      <c r="M78" s="421">
        <v>0</v>
      </c>
      <c r="N78" s="421">
        <v>0</v>
      </c>
      <c r="O78" s="421">
        <v>0</v>
      </c>
      <c r="P78" s="421">
        <v>0</v>
      </c>
      <c r="Q78" s="421">
        <v>0</v>
      </c>
      <c r="R78" s="421">
        <v>0</v>
      </c>
      <c r="S78" s="429">
        <v>153.27501918548401</v>
      </c>
      <c r="T78" s="412"/>
    </row>
    <row r="79" spans="2:20" ht="13.5">
      <c r="B79" s="412"/>
      <c r="C79" s="424" t="s">
        <v>85</v>
      </c>
      <c r="D79" s="425">
        <v>9.4404856773901802</v>
      </c>
      <c r="E79" s="425">
        <v>0</v>
      </c>
      <c r="F79" s="425">
        <v>591.34934665240098</v>
      </c>
      <c r="G79" s="425">
        <v>325.11070802085402</v>
      </c>
      <c r="H79" s="425">
        <v>0</v>
      </c>
      <c r="I79" s="425">
        <v>0</v>
      </c>
      <c r="J79" s="425">
        <v>95.9268357502676</v>
      </c>
      <c r="K79" s="425">
        <v>4.2189568362411896</v>
      </c>
      <c r="L79" s="425">
        <v>39.640894357701598</v>
      </c>
      <c r="M79" s="425">
        <v>6.37731415491172</v>
      </c>
      <c r="N79" s="425">
        <v>43.871249036200602</v>
      </c>
      <c r="O79" s="425">
        <v>1.7668301965341899</v>
      </c>
      <c r="P79" s="425">
        <v>437.23154613789097</v>
      </c>
      <c r="Q79" s="425">
        <v>38.846940359712697</v>
      </c>
      <c r="R79" s="425">
        <v>0.466153260982692</v>
      </c>
      <c r="S79" s="425">
        <v>1594.24726044109</v>
      </c>
      <c r="T79" s="412"/>
    </row>
    <row r="80" spans="2:20">
      <c r="B80" s="412"/>
      <c r="C80" s="412"/>
      <c r="D80" s="430">
        <f t="shared" ref="D80:S80" si="1">D79+D69-D55</f>
        <v>0</v>
      </c>
      <c r="E80" s="430">
        <f t="shared" si="1"/>
        <v>0</v>
      </c>
      <c r="F80" s="430">
        <f t="shared" si="1"/>
        <v>-4.1211478674085811E-13</v>
      </c>
      <c r="G80" s="430">
        <f t="shared" si="1"/>
        <v>4.5474735088646412E-13</v>
      </c>
      <c r="H80" s="430">
        <f t="shared" si="1"/>
        <v>0</v>
      </c>
      <c r="I80" s="430">
        <f t="shared" si="1"/>
        <v>0</v>
      </c>
      <c r="J80" s="430">
        <f t="shared" si="1"/>
        <v>2.8421709430404007E-13</v>
      </c>
      <c r="K80" s="430">
        <f t="shared" si="1"/>
        <v>0</v>
      </c>
      <c r="L80" s="430">
        <f t="shared" si="1"/>
        <v>2.8643754035329039E-14</v>
      </c>
      <c r="M80" s="430">
        <f t="shared" si="1"/>
        <v>0</v>
      </c>
      <c r="N80" s="430">
        <f t="shared" si="1"/>
        <v>0</v>
      </c>
      <c r="O80" s="430">
        <f t="shared" si="1"/>
        <v>-1.0658141036401503E-14</v>
      </c>
      <c r="P80" s="430">
        <f t="shared" si="1"/>
        <v>-4.4053649617126212E-13</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88</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9.7691999999999997</v>
      </c>
      <c r="F86" s="421">
        <v>0</v>
      </c>
      <c r="G86" s="421">
        <v>0.18608</v>
      </c>
      <c r="H86" s="422">
        <v>1190.9090909090901</v>
      </c>
      <c r="I86" s="422">
        <v>180.08</v>
      </c>
      <c r="J86" s="422">
        <v>182.69909167509101</v>
      </c>
      <c r="K86" s="422">
        <v>24.336304255308299</v>
      </c>
      <c r="L86" s="421">
        <v>0</v>
      </c>
      <c r="M86" s="421">
        <v>0</v>
      </c>
      <c r="N86" s="422">
        <v>47.404940243004702</v>
      </c>
      <c r="O86" s="422">
        <v>4.1431468389453903</v>
      </c>
      <c r="P86" s="421">
        <v>0</v>
      </c>
      <c r="Q86" s="421">
        <v>0</v>
      </c>
      <c r="R86" s="421">
        <v>0</v>
      </c>
      <c r="S86" s="423">
        <v>1639.5278539214401</v>
      </c>
      <c r="T86" s="412"/>
    </row>
    <row r="87" spans="2:20" ht="13.5">
      <c r="B87" s="412"/>
      <c r="C87" s="420" t="s">
        <v>60</v>
      </c>
      <c r="D87" s="421">
        <v>37.339422707782298</v>
      </c>
      <c r="E87" s="421">
        <v>533.81672423347197</v>
      </c>
      <c r="F87" s="421">
        <v>143.39659601628199</v>
      </c>
      <c r="G87" s="421">
        <v>370.50350222542198</v>
      </c>
      <c r="H87" s="421">
        <v>0</v>
      </c>
      <c r="I87" s="421">
        <v>0</v>
      </c>
      <c r="J87" s="421">
        <v>0</v>
      </c>
      <c r="K87" s="421">
        <v>0</v>
      </c>
      <c r="L87" s="421">
        <v>0</v>
      </c>
      <c r="M87" s="421">
        <v>0</v>
      </c>
      <c r="N87" s="421">
        <v>0</v>
      </c>
      <c r="O87" s="421">
        <v>0</v>
      </c>
      <c r="P87" s="421">
        <v>0</v>
      </c>
      <c r="Q87" s="421">
        <v>0</v>
      </c>
      <c r="R87" s="421">
        <v>0</v>
      </c>
      <c r="S87" s="423">
        <v>1085.0562451829601</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-78.290170277584906</v>
      </c>
      <c r="Q88" s="421">
        <v>0</v>
      </c>
      <c r="R88" s="421">
        <v>0</v>
      </c>
      <c r="S88" s="423">
        <v>-78.290170277584906</v>
      </c>
      <c r="T88" s="412"/>
    </row>
    <row r="89" spans="2:20" ht="13.5">
      <c r="B89" s="412"/>
      <c r="C89" s="420" t="s">
        <v>62</v>
      </c>
      <c r="D89" s="421">
        <v>0</v>
      </c>
      <c r="E89" s="421">
        <v>0</v>
      </c>
      <c r="F89" s="421">
        <v>-16.493151741791198</v>
      </c>
      <c r="G89" s="421">
        <v>0</v>
      </c>
      <c r="H89" s="421">
        <v>0</v>
      </c>
      <c r="I89" s="421">
        <v>0</v>
      </c>
      <c r="J89" s="421">
        <v>0</v>
      </c>
      <c r="K89" s="421">
        <v>0</v>
      </c>
      <c r="L89" s="421">
        <v>0</v>
      </c>
      <c r="M89" s="421">
        <v>0</v>
      </c>
      <c r="N89" s="421">
        <v>0</v>
      </c>
      <c r="O89" s="421">
        <v>0</v>
      </c>
      <c r="P89" s="421">
        <v>0</v>
      </c>
      <c r="Q89" s="421">
        <v>0</v>
      </c>
      <c r="R89" s="421">
        <v>0</v>
      </c>
      <c r="S89" s="423">
        <v>-16.493151741791198</v>
      </c>
      <c r="T89" s="412"/>
    </row>
    <row r="90" spans="2:20" ht="13.5">
      <c r="B90" s="412"/>
      <c r="C90" s="420" t="s">
        <v>63</v>
      </c>
      <c r="D90" s="421">
        <v>0</v>
      </c>
      <c r="E90" s="421">
        <v>0</v>
      </c>
      <c r="F90" s="421">
        <v>-80.524753863298102</v>
      </c>
      <c r="G90" s="421">
        <v>0</v>
      </c>
      <c r="H90" s="421">
        <v>0</v>
      </c>
      <c r="I90" s="421">
        <v>0</v>
      </c>
      <c r="J90" s="421">
        <v>0</v>
      </c>
      <c r="K90" s="421">
        <v>0</v>
      </c>
      <c r="L90" s="421">
        <v>-0.83268754501228504</v>
      </c>
      <c r="M90" s="421">
        <v>0</v>
      </c>
      <c r="N90" s="421">
        <v>0</v>
      </c>
      <c r="O90" s="421">
        <v>0</v>
      </c>
      <c r="P90" s="421">
        <v>0</v>
      </c>
      <c r="Q90" s="421">
        <v>0</v>
      </c>
      <c r="R90" s="421">
        <v>0</v>
      </c>
      <c r="S90" s="423">
        <v>-81.357441408310294</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37.339422707782298</v>
      </c>
      <c r="E92" s="425">
        <v>543.58592423347204</v>
      </c>
      <c r="F92" s="425">
        <v>46.378690411192402</v>
      </c>
      <c r="G92" s="425">
        <v>370.68958222542199</v>
      </c>
      <c r="H92" s="425">
        <v>1190.9090909090901</v>
      </c>
      <c r="I92" s="425">
        <v>180.08</v>
      </c>
      <c r="J92" s="425">
        <v>182.69909167509101</v>
      </c>
      <c r="K92" s="425">
        <v>24.336304255308299</v>
      </c>
      <c r="L92" s="425">
        <v>-0.83268754501228504</v>
      </c>
      <c r="M92" s="425">
        <v>0</v>
      </c>
      <c r="N92" s="425">
        <v>47.404940243004702</v>
      </c>
      <c r="O92" s="425">
        <v>4.1431468389453903</v>
      </c>
      <c r="P92" s="425">
        <v>-78.290170277584906</v>
      </c>
      <c r="Q92" s="425">
        <v>0</v>
      </c>
      <c r="R92" s="425">
        <v>0</v>
      </c>
      <c r="S92" s="425">
        <v>2548.4433356767099</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21.057260399703999</v>
      </c>
      <c r="H95" s="421">
        <v>1190.9090909090901</v>
      </c>
      <c r="I95" s="421">
        <v>180.08</v>
      </c>
      <c r="J95" s="421">
        <v>26.7962649198797</v>
      </c>
      <c r="K95" s="421">
        <v>7.2535340783692002</v>
      </c>
      <c r="L95" s="421">
        <v>0</v>
      </c>
      <c r="M95" s="421">
        <v>0.42974000815722502</v>
      </c>
      <c r="N95" s="421">
        <v>0</v>
      </c>
      <c r="O95" s="421">
        <v>0</v>
      </c>
      <c r="P95" s="421">
        <v>-597.29785022432395</v>
      </c>
      <c r="Q95" s="421">
        <v>0</v>
      </c>
      <c r="R95" s="421">
        <v>0</v>
      </c>
      <c r="S95" s="429">
        <v>835.29214719007996</v>
      </c>
      <c r="T95" s="412"/>
    </row>
    <row r="96" spans="2:20" ht="13.5">
      <c r="B96" s="412"/>
      <c r="C96" s="428" t="s">
        <v>351</v>
      </c>
      <c r="D96" s="421">
        <v>0</v>
      </c>
      <c r="E96" s="421">
        <v>0</v>
      </c>
      <c r="F96" s="421">
        <v>0</v>
      </c>
      <c r="G96" s="421">
        <v>17.2690006533789</v>
      </c>
      <c r="H96" s="421">
        <v>0</v>
      </c>
      <c r="I96" s="421">
        <v>0</v>
      </c>
      <c r="J96" s="421">
        <v>13.0699665611328</v>
      </c>
      <c r="K96" s="421">
        <v>12.782704302523401</v>
      </c>
      <c r="L96" s="421">
        <v>0</v>
      </c>
      <c r="M96" s="421">
        <v>0.35242858476283501</v>
      </c>
      <c r="N96" s="421">
        <v>0</v>
      </c>
      <c r="O96" s="421">
        <v>2.2569028606256798</v>
      </c>
      <c r="P96" s="421">
        <v>0</v>
      </c>
      <c r="Q96" s="421">
        <v>-41.219343799096599</v>
      </c>
      <c r="R96" s="421">
        <v>0</v>
      </c>
      <c r="S96" s="429">
        <v>4.5116591633269501</v>
      </c>
      <c r="T96" s="412"/>
    </row>
    <row r="97" spans="2:20" ht="13.5">
      <c r="B97" s="412"/>
      <c r="C97" s="428" t="s">
        <v>352</v>
      </c>
      <c r="D97" s="421">
        <v>0</v>
      </c>
      <c r="E97" s="421">
        <v>0</v>
      </c>
      <c r="F97" s="421">
        <v>0</v>
      </c>
      <c r="G97" s="421">
        <v>0</v>
      </c>
      <c r="H97" s="421">
        <v>0</v>
      </c>
      <c r="I97" s="421">
        <v>0</v>
      </c>
      <c r="J97" s="421">
        <v>8.3993143440742202</v>
      </c>
      <c r="K97" s="421">
        <v>0</v>
      </c>
      <c r="L97" s="421">
        <v>0</v>
      </c>
      <c r="M97" s="421">
        <v>-7.3074034793445701</v>
      </c>
      <c r="N97" s="421">
        <v>0</v>
      </c>
      <c r="O97" s="421">
        <v>0</v>
      </c>
      <c r="P97" s="421">
        <v>0</v>
      </c>
      <c r="Q97" s="421">
        <v>0</v>
      </c>
      <c r="R97" s="421">
        <v>0</v>
      </c>
      <c r="S97" s="429">
        <v>1.09191086472965</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563.09724372867004</v>
      </c>
      <c r="F99" s="421">
        <v>-557.46627129138403</v>
      </c>
      <c r="G99" s="421">
        <v>0</v>
      </c>
      <c r="H99" s="421">
        <v>0</v>
      </c>
      <c r="I99" s="421">
        <v>0</v>
      </c>
      <c r="J99" s="421">
        <v>0</v>
      </c>
      <c r="K99" s="421">
        <v>0</v>
      </c>
      <c r="L99" s="421">
        <v>0</v>
      </c>
      <c r="M99" s="421">
        <v>0</v>
      </c>
      <c r="N99" s="421">
        <v>0</v>
      </c>
      <c r="O99" s="421">
        <v>0</v>
      </c>
      <c r="P99" s="421">
        <v>0</v>
      </c>
      <c r="Q99" s="421">
        <v>0</v>
      </c>
      <c r="R99" s="421">
        <v>0</v>
      </c>
      <c r="S99" s="429">
        <v>5.6309724372866903</v>
      </c>
      <c r="T99" s="412"/>
    </row>
    <row r="100" spans="2:20" ht="13.5">
      <c r="B100" s="412"/>
      <c r="C100" s="428" t="s">
        <v>354</v>
      </c>
      <c r="D100" s="421">
        <v>0</v>
      </c>
      <c r="E100" s="421">
        <v>0</v>
      </c>
      <c r="F100" s="421">
        <v>0</v>
      </c>
      <c r="G100" s="421">
        <v>0</v>
      </c>
      <c r="H100" s="421">
        <v>0</v>
      </c>
      <c r="I100" s="421">
        <v>0</v>
      </c>
      <c r="J100" s="421">
        <v>39.4678203667548</v>
      </c>
      <c r="K100" s="421">
        <v>0</v>
      </c>
      <c r="L100" s="421">
        <v>-39.4678203667548</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-0.17560464547893101</v>
      </c>
      <c r="M101" s="421">
        <v>0</v>
      </c>
      <c r="N101" s="421">
        <v>0</v>
      </c>
      <c r="O101" s="421">
        <v>0</v>
      </c>
      <c r="P101" s="421">
        <v>0</v>
      </c>
      <c r="Q101" s="421">
        <v>0</v>
      </c>
      <c r="R101" s="421">
        <v>0.25086377925561598</v>
      </c>
      <c r="S101" s="429">
        <v>7.5259133776684806E-2</v>
      </c>
      <c r="T101" s="412"/>
    </row>
    <row r="102" spans="2:20" ht="13.5">
      <c r="B102" s="412"/>
      <c r="C102" s="428" t="s">
        <v>73</v>
      </c>
      <c r="D102" s="421">
        <v>0</v>
      </c>
      <c r="E102" s="421">
        <v>0</v>
      </c>
      <c r="F102" s="421">
        <v>0</v>
      </c>
      <c r="G102" s="421">
        <v>1.08065426442295</v>
      </c>
      <c r="H102" s="421">
        <v>0</v>
      </c>
      <c r="I102" s="421">
        <v>0</v>
      </c>
      <c r="J102" s="421">
        <v>0</v>
      </c>
      <c r="K102" s="421">
        <v>1.2117675088842201E-2</v>
      </c>
      <c r="L102" s="421">
        <v>0</v>
      </c>
      <c r="M102" s="421">
        <v>2.2054168661692901E-2</v>
      </c>
      <c r="N102" s="421">
        <v>0</v>
      </c>
      <c r="O102" s="421">
        <v>0</v>
      </c>
      <c r="P102" s="421">
        <v>0.104398431534641</v>
      </c>
      <c r="Q102" s="421">
        <v>0</v>
      </c>
      <c r="R102" s="421">
        <v>-0.84823725621895596</v>
      </c>
      <c r="S102" s="429">
        <v>0.37098728348916998</v>
      </c>
      <c r="T102" s="412"/>
    </row>
    <row r="103" spans="2:20" ht="13.5">
      <c r="B103" s="412"/>
      <c r="C103" s="428" t="s">
        <v>356</v>
      </c>
      <c r="D103" s="421">
        <v>16.156125732421899</v>
      </c>
      <c r="E103" s="421">
        <v>-19.5113194951984</v>
      </c>
      <c r="F103" s="421">
        <v>25.519653459670899</v>
      </c>
      <c r="G103" s="421">
        <v>0</v>
      </c>
      <c r="H103" s="421">
        <v>0</v>
      </c>
      <c r="I103" s="421">
        <v>0</v>
      </c>
      <c r="J103" s="421">
        <v>0</v>
      </c>
      <c r="K103" s="421">
        <v>0</v>
      </c>
      <c r="L103" s="421">
        <v>0</v>
      </c>
      <c r="M103" s="421">
        <v>0</v>
      </c>
      <c r="N103" s="421">
        <v>0</v>
      </c>
      <c r="O103" s="421">
        <v>0</v>
      </c>
      <c r="P103" s="421">
        <v>0</v>
      </c>
      <c r="Q103" s="421">
        <v>0</v>
      </c>
      <c r="R103" s="421">
        <v>0</v>
      </c>
      <c r="S103" s="429">
        <v>22.164459696894401</v>
      </c>
      <c r="T103" s="412"/>
    </row>
    <row r="104" spans="2:20" ht="13.5">
      <c r="B104" s="412"/>
      <c r="C104" s="428" t="s">
        <v>75</v>
      </c>
      <c r="D104" s="421">
        <v>10.1643505859375</v>
      </c>
      <c r="E104" s="421">
        <v>0</v>
      </c>
      <c r="F104" s="421">
        <v>19.145306286774801</v>
      </c>
      <c r="G104" s="421">
        <v>5.4631694586555604</v>
      </c>
      <c r="H104" s="421">
        <v>0</v>
      </c>
      <c r="I104" s="421">
        <v>0</v>
      </c>
      <c r="J104" s="421">
        <v>0</v>
      </c>
      <c r="K104" s="421">
        <v>0</v>
      </c>
      <c r="L104" s="421">
        <v>0</v>
      </c>
      <c r="M104" s="421">
        <v>0.111493254258277</v>
      </c>
      <c r="N104" s="421">
        <v>0</v>
      </c>
      <c r="O104" s="421">
        <v>0</v>
      </c>
      <c r="P104" s="421">
        <v>36.292710693034401</v>
      </c>
      <c r="Q104" s="421">
        <v>0</v>
      </c>
      <c r="R104" s="421">
        <v>0</v>
      </c>
      <c r="S104" s="429">
        <v>71.177030278660496</v>
      </c>
      <c r="T104" s="412"/>
    </row>
    <row r="105" spans="2:20" ht="13.5">
      <c r="B105" s="412"/>
      <c r="C105" s="428" t="s">
        <v>76</v>
      </c>
      <c r="D105" s="421">
        <v>0</v>
      </c>
      <c r="E105" s="421">
        <v>0</v>
      </c>
      <c r="F105" s="421">
        <v>0</v>
      </c>
      <c r="G105" s="421">
        <v>4.2458036026231296</v>
      </c>
      <c r="H105" s="421">
        <v>0</v>
      </c>
      <c r="I105" s="421">
        <v>0</v>
      </c>
      <c r="J105" s="421">
        <v>0</v>
      </c>
      <c r="K105" s="421">
        <v>0</v>
      </c>
      <c r="L105" s="421">
        <v>0</v>
      </c>
      <c r="M105" s="421">
        <v>8.6649053114757804E-2</v>
      </c>
      <c r="N105" s="421">
        <v>0</v>
      </c>
      <c r="O105" s="421">
        <v>0</v>
      </c>
      <c r="P105" s="421">
        <v>39.776211851873803</v>
      </c>
      <c r="Q105" s="421">
        <v>3.1941188921809198</v>
      </c>
      <c r="R105" s="421">
        <v>0</v>
      </c>
      <c r="S105" s="429">
        <v>47.302783399792602</v>
      </c>
      <c r="T105" s="412"/>
    </row>
    <row r="106" spans="2:20" ht="13.5">
      <c r="B106" s="412"/>
      <c r="C106" s="424" t="s">
        <v>77</v>
      </c>
      <c r="D106" s="425">
        <v>28.520947053925902</v>
      </c>
      <c r="E106" s="425">
        <v>543.58592423347204</v>
      </c>
      <c r="F106" s="425">
        <v>-508.93767518130198</v>
      </c>
      <c r="G106" s="425">
        <v>49.115888378784597</v>
      </c>
      <c r="H106" s="425">
        <v>1190.9090909090901</v>
      </c>
      <c r="I106" s="425">
        <v>180.08</v>
      </c>
      <c r="J106" s="425">
        <v>87.733366191841498</v>
      </c>
      <c r="K106" s="425">
        <v>20.0483560559815</v>
      </c>
      <c r="L106" s="425">
        <v>-39.643425012233699</v>
      </c>
      <c r="M106" s="425">
        <v>-6.3050384103897796</v>
      </c>
      <c r="N106" s="425">
        <v>0</v>
      </c>
      <c r="O106" s="425">
        <v>2.2569028606256798</v>
      </c>
      <c r="P106" s="425">
        <v>-521.12452924788101</v>
      </c>
      <c r="Q106" s="425">
        <v>-38.025224906915703</v>
      </c>
      <c r="R106" s="425">
        <v>-0.59737347696334098</v>
      </c>
      <c r="S106" s="425">
        <v>987.61720944803699</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6.4636113960439099</v>
      </c>
      <c r="E108" s="421">
        <v>0</v>
      </c>
      <c r="F108" s="421">
        <v>24.862596272257498</v>
      </c>
      <c r="G108" s="421">
        <v>103.286678516522</v>
      </c>
      <c r="H108" s="421">
        <v>0</v>
      </c>
      <c r="I108" s="421">
        <v>0</v>
      </c>
      <c r="J108" s="421">
        <v>17.262400786113901</v>
      </c>
      <c r="K108" s="421">
        <v>4.2879481993268298</v>
      </c>
      <c r="L108" s="421">
        <v>0.86540506640625003</v>
      </c>
      <c r="M108" s="421">
        <v>2.1078913982963701</v>
      </c>
      <c r="N108" s="421">
        <v>0</v>
      </c>
      <c r="O108" s="421">
        <v>0</v>
      </c>
      <c r="P108" s="421">
        <v>104.034829447817</v>
      </c>
      <c r="Q108" s="421">
        <v>17.743069184880099</v>
      </c>
      <c r="R108" s="421">
        <v>0.24659825134277299</v>
      </c>
      <c r="S108" s="429">
        <v>281.161028519007</v>
      </c>
      <c r="T108" s="412"/>
    </row>
    <row r="109" spans="2:20" ht="13.5">
      <c r="B109" s="412"/>
      <c r="C109" s="428" t="s">
        <v>79</v>
      </c>
      <c r="D109" s="421">
        <v>0</v>
      </c>
      <c r="E109" s="421">
        <v>0</v>
      </c>
      <c r="F109" s="421">
        <v>321.54604576234499</v>
      </c>
      <c r="G109" s="421">
        <v>14.6585371734768</v>
      </c>
      <c r="H109" s="421">
        <v>0</v>
      </c>
      <c r="I109" s="421">
        <v>0</v>
      </c>
      <c r="J109" s="421">
        <v>0</v>
      </c>
      <c r="K109" s="421">
        <v>0</v>
      </c>
      <c r="L109" s="421">
        <v>32.583257192898799</v>
      </c>
      <c r="M109" s="421">
        <v>0.29915381986687301</v>
      </c>
      <c r="N109" s="421">
        <v>0</v>
      </c>
      <c r="O109" s="421">
        <v>0</v>
      </c>
      <c r="P109" s="421">
        <v>28.950215384778598</v>
      </c>
      <c r="Q109" s="421">
        <v>0</v>
      </c>
      <c r="R109" s="421">
        <v>0.35077522562056701</v>
      </c>
      <c r="S109" s="429">
        <v>398.38798455898598</v>
      </c>
      <c r="T109" s="412"/>
    </row>
    <row r="110" spans="2:20" ht="13.5">
      <c r="B110" s="412"/>
      <c r="C110" s="428" t="s">
        <v>80</v>
      </c>
      <c r="D110" s="421">
        <v>0</v>
      </c>
      <c r="E110" s="421">
        <v>0</v>
      </c>
      <c r="F110" s="421">
        <v>31.599343880465799</v>
      </c>
      <c r="G110" s="421">
        <v>123.533868616082</v>
      </c>
      <c r="H110" s="421">
        <v>0</v>
      </c>
      <c r="I110" s="421">
        <v>0</v>
      </c>
      <c r="J110" s="421">
        <v>73.364360274729606</v>
      </c>
      <c r="K110" s="421">
        <v>0</v>
      </c>
      <c r="L110" s="421">
        <v>0</v>
      </c>
      <c r="M110" s="421">
        <v>2.5210993595118798</v>
      </c>
      <c r="N110" s="421">
        <v>40.465242847391998</v>
      </c>
      <c r="O110" s="421">
        <v>0.96354458163837398</v>
      </c>
      <c r="P110" s="421">
        <v>172.02951616182</v>
      </c>
      <c r="Q110" s="421">
        <v>15.8854874881395</v>
      </c>
      <c r="R110" s="421">
        <v>0</v>
      </c>
      <c r="S110" s="429">
        <v>460.36246320978</v>
      </c>
      <c r="T110" s="412"/>
    </row>
    <row r="111" spans="2:20" ht="13.5">
      <c r="B111" s="412"/>
      <c r="C111" s="428" t="s">
        <v>81</v>
      </c>
      <c r="D111" s="421">
        <v>0</v>
      </c>
      <c r="E111" s="421">
        <v>0</v>
      </c>
      <c r="F111" s="421">
        <v>12.841746374836999</v>
      </c>
      <c r="G111" s="421">
        <v>63.9169870655954</v>
      </c>
      <c r="H111" s="421">
        <v>0</v>
      </c>
      <c r="I111" s="421">
        <v>0</v>
      </c>
      <c r="J111" s="421">
        <v>3.6156884784133001</v>
      </c>
      <c r="K111" s="421">
        <v>0</v>
      </c>
      <c r="L111" s="421">
        <v>0</v>
      </c>
      <c r="M111" s="421">
        <v>1.30442830746113</v>
      </c>
      <c r="N111" s="421">
        <v>6.9396973956126802</v>
      </c>
      <c r="O111" s="421">
        <v>0.83843410837959897</v>
      </c>
      <c r="P111" s="421">
        <v>129.63895161426501</v>
      </c>
      <c r="Q111" s="421">
        <v>4.3966682338961798</v>
      </c>
      <c r="R111" s="421">
        <v>0</v>
      </c>
      <c r="S111" s="429">
        <v>223.49260157846101</v>
      </c>
      <c r="T111" s="412"/>
    </row>
    <row r="112" spans="2:20" ht="13.5">
      <c r="B112" s="412"/>
      <c r="C112" s="428" t="s">
        <v>82</v>
      </c>
      <c r="D112" s="421">
        <v>0</v>
      </c>
      <c r="E112" s="421">
        <v>0</v>
      </c>
      <c r="F112" s="421">
        <v>26.373605719731</v>
      </c>
      <c r="G112" s="421">
        <v>3.55081073742303</v>
      </c>
      <c r="H112" s="421">
        <v>0</v>
      </c>
      <c r="I112" s="421">
        <v>0</v>
      </c>
      <c r="J112" s="421">
        <v>0.72327594399272899</v>
      </c>
      <c r="K112" s="421">
        <v>0</v>
      </c>
      <c r="L112" s="421">
        <v>5.3620752079163996</v>
      </c>
      <c r="M112" s="421">
        <v>7.2465525253531296E-2</v>
      </c>
      <c r="N112" s="421">
        <v>0</v>
      </c>
      <c r="O112" s="421">
        <v>8.4265288301735505E-2</v>
      </c>
      <c r="P112" s="421">
        <v>8.1808463616144707</v>
      </c>
      <c r="Q112" s="421">
        <v>0</v>
      </c>
      <c r="R112" s="421">
        <v>0</v>
      </c>
      <c r="S112" s="429">
        <v>44.347344784232902</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6.4636113960439099</v>
      </c>
      <c r="E114" s="425">
        <v>0</v>
      </c>
      <c r="F114" s="425">
        <v>417.223338009636</v>
      </c>
      <c r="G114" s="425">
        <v>308.94688210909902</v>
      </c>
      <c r="H114" s="425">
        <v>0</v>
      </c>
      <c r="I114" s="425">
        <v>0</v>
      </c>
      <c r="J114" s="425">
        <v>94.9657254832495</v>
      </c>
      <c r="K114" s="425">
        <v>4.2879481993268298</v>
      </c>
      <c r="L114" s="425">
        <v>38.810737467221401</v>
      </c>
      <c r="M114" s="425">
        <v>6.3050384103897796</v>
      </c>
      <c r="N114" s="425">
        <v>47.404940243004702</v>
      </c>
      <c r="O114" s="425">
        <v>1.88624397831971</v>
      </c>
      <c r="P114" s="425">
        <v>442.83435897029602</v>
      </c>
      <c r="Q114" s="425">
        <v>38.025224906915703</v>
      </c>
      <c r="R114" s="425">
        <v>0.59737347696334098</v>
      </c>
      <c r="S114" s="425">
        <v>1407.75142265047</v>
      </c>
      <c r="T114" s="412"/>
    </row>
    <row r="115" spans="2:20" ht="13.5">
      <c r="B115" s="412"/>
      <c r="C115" s="420" t="s">
        <v>84</v>
      </c>
      <c r="D115" s="421">
        <v>2.3548642578124999</v>
      </c>
      <c r="E115" s="421">
        <v>0</v>
      </c>
      <c r="F115" s="421">
        <v>138.09302758285801</v>
      </c>
      <c r="G115" s="421">
        <v>12.626811737538199</v>
      </c>
      <c r="H115" s="421">
        <v>0</v>
      </c>
      <c r="I115" s="421">
        <v>0</v>
      </c>
      <c r="J115" s="421">
        <v>0</v>
      </c>
      <c r="K115" s="421">
        <v>0</v>
      </c>
      <c r="L115" s="421">
        <v>0</v>
      </c>
      <c r="M115" s="421">
        <v>0</v>
      </c>
      <c r="N115" s="421">
        <v>0</v>
      </c>
      <c r="O115" s="421">
        <v>0</v>
      </c>
      <c r="P115" s="421">
        <v>0</v>
      </c>
      <c r="Q115" s="421">
        <v>0</v>
      </c>
      <c r="R115" s="421">
        <v>0</v>
      </c>
      <c r="S115" s="429">
        <v>153.07470357820799</v>
      </c>
      <c r="T115" s="412"/>
    </row>
    <row r="116" spans="2:20" ht="13.5">
      <c r="B116" s="412"/>
      <c r="C116" s="424" t="s">
        <v>85</v>
      </c>
      <c r="D116" s="425">
        <v>8.8184756538564102</v>
      </c>
      <c r="E116" s="425">
        <v>0</v>
      </c>
      <c r="F116" s="425">
        <v>555.31636559249398</v>
      </c>
      <c r="G116" s="425">
        <v>321.57369384663798</v>
      </c>
      <c r="H116" s="425">
        <v>0</v>
      </c>
      <c r="I116" s="425">
        <v>0</v>
      </c>
      <c r="J116" s="425">
        <v>94.9657254832495</v>
      </c>
      <c r="K116" s="425">
        <v>4.2879481993268298</v>
      </c>
      <c r="L116" s="425">
        <v>38.810737467221401</v>
      </c>
      <c r="M116" s="425">
        <v>6.3050384103897796</v>
      </c>
      <c r="N116" s="425">
        <v>47.404940243004702</v>
      </c>
      <c r="O116" s="425">
        <v>1.88624397831971</v>
      </c>
      <c r="P116" s="425">
        <v>442.83435897029602</v>
      </c>
      <c r="Q116" s="425">
        <v>38.025224906915703</v>
      </c>
      <c r="R116" s="425">
        <v>0.59737347696334098</v>
      </c>
      <c r="S116" s="425">
        <v>1560.8261262286801</v>
      </c>
      <c r="T116" s="412"/>
    </row>
    <row r="117" spans="2:20">
      <c r="B117" s="412"/>
      <c r="C117" s="412"/>
      <c r="D117" s="430">
        <f t="shared" ref="D117:S117" si="2">D116+D106-D92</f>
        <v>0</v>
      </c>
      <c r="E117" s="430">
        <f t="shared" si="2"/>
        <v>0</v>
      </c>
      <c r="F117" s="430">
        <f t="shared" si="2"/>
        <v>-4.0500935938325711E-13</v>
      </c>
      <c r="G117" s="430">
        <f t="shared" si="2"/>
        <v>5.6843418860808015E-13</v>
      </c>
      <c r="H117" s="430">
        <f t="shared" si="2"/>
        <v>0</v>
      </c>
      <c r="I117" s="430">
        <f t="shared" si="2"/>
        <v>0</v>
      </c>
      <c r="J117" s="430">
        <f t="shared" si="2"/>
        <v>0</v>
      </c>
      <c r="K117" s="430">
        <f t="shared" si="2"/>
        <v>3.1974423109204508E-14</v>
      </c>
      <c r="L117" s="430">
        <f t="shared" si="2"/>
        <v>-1.3322676295501878E-14</v>
      </c>
      <c r="M117" s="430">
        <f t="shared" si="2"/>
        <v>0</v>
      </c>
      <c r="N117" s="430">
        <f t="shared" si="2"/>
        <v>0</v>
      </c>
      <c r="O117" s="430">
        <f t="shared" si="2"/>
        <v>0</v>
      </c>
      <c r="P117" s="430">
        <f t="shared" si="2"/>
        <v>0</v>
      </c>
      <c r="Q117" s="430">
        <f t="shared" si="2"/>
        <v>0</v>
      </c>
      <c r="R117" s="430">
        <f t="shared" si="2"/>
        <v>0</v>
      </c>
      <c r="S117" s="430">
        <f t="shared" si="2"/>
        <v>7.2759576141834259E-12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360</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7.3966799999999999</v>
      </c>
      <c r="F123" s="421">
        <v>0</v>
      </c>
      <c r="G123" s="421">
        <v>0.13025600000000001</v>
      </c>
      <c r="H123" s="422">
        <v>1121.3636363636399</v>
      </c>
      <c r="I123" s="422">
        <v>204.83</v>
      </c>
      <c r="J123" s="422">
        <v>181.32702192976799</v>
      </c>
      <c r="K123" s="422">
        <v>23.929538630329802</v>
      </c>
      <c r="L123" s="421">
        <v>0</v>
      </c>
      <c r="M123" s="421">
        <v>0</v>
      </c>
      <c r="N123" s="422">
        <v>51.218112395264598</v>
      </c>
      <c r="O123" s="422">
        <v>4.1137123082446401</v>
      </c>
      <c r="P123" s="421">
        <v>0</v>
      </c>
      <c r="Q123" s="421">
        <v>0</v>
      </c>
      <c r="R123" s="421">
        <v>0</v>
      </c>
      <c r="S123" s="423">
        <v>1594.30895762724</v>
      </c>
      <c r="T123" s="412"/>
    </row>
    <row r="124" spans="2:20" ht="13.5">
      <c r="B124" s="412"/>
      <c r="C124" s="420" t="s">
        <v>60</v>
      </c>
      <c r="D124" s="421">
        <v>35.895169375746498</v>
      </c>
      <c r="E124" s="421">
        <v>524.37115290345105</v>
      </c>
      <c r="F124" s="421">
        <v>114.332913340551</v>
      </c>
      <c r="G124" s="421">
        <v>371.94967802814801</v>
      </c>
      <c r="H124" s="421">
        <v>0</v>
      </c>
      <c r="I124" s="421">
        <v>0</v>
      </c>
      <c r="J124" s="421">
        <v>0</v>
      </c>
      <c r="K124" s="421">
        <v>0</v>
      </c>
      <c r="L124" s="421">
        <v>0</v>
      </c>
      <c r="M124" s="421">
        <v>0</v>
      </c>
      <c r="N124" s="421">
        <v>0</v>
      </c>
      <c r="O124" s="421">
        <v>0</v>
      </c>
      <c r="P124" s="421">
        <v>0</v>
      </c>
      <c r="Q124" s="421">
        <v>0</v>
      </c>
      <c r="R124" s="421">
        <v>0</v>
      </c>
      <c r="S124" s="423">
        <v>1046.5489136479</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-63.764232482267403</v>
      </c>
      <c r="Q125" s="421">
        <v>0</v>
      </c>
      <c r="R125" s="421">
        <v>0</v>
      </c>
      <c r="S125" s="423">
        <v>-63.764232482267403</v>
      </c>
      <c r="T125" s="412"/>
    </row>
    <row r="126" spans="2:20" ht="13.5">
      <c r="B126" s="412"/>
      <c r="C126" s="420" t="s">
        <v>62</v>
      </c>
      <c r="D126" s="421">
        <v>0</v>
      </c>
      <c r="E126" s="421">
        <v>0</v>
      </c>
      <c r="F126" s="421">
        <v>-16.3524327500959</v>
      </c>
      <c r="G126" s="421">
        <v>0</v>
      </c>
      <c r="H126" s="421">
        <v>0</v>
      </c>
      <c r="I126" s="421">
        <v>0</v>
      </c>
      <c r="J126" s="421">
        <v>0</v>
      </c>
      <c r="K126" s="421">
        <v>0</v>
      </c>
      <c r="L126" s="421">
        <v>0</v>
      </c>
      <c r="M126" s="421">
        <v>0</v>
      </c>
      <c r="N126" s="421">
        <v>0</v>
      </c>
      <c r="O126" s="421">
        <v>0</v>
      </c>
      <c r="P126" s="421">
        <v>0</v>
      </c>
      <c r="Q126" s="421">
        <v>0</v>
      </c>
      <c r="R126" s="421">
        <v>0</v>
      </c>
      <c r="S126" s="423">
        <v>-16.3524327500959</v>
      </c>
      <c r="T126" s="412"/>
    </row>
    <row r="127" spans="2:20" ht="13.5">
      <c r="B127" s="412"/>
      <c r="C127" s="420" t="s">
        <v>63</v>
      </c>
      <c r="D127" s="421">
        <v>0</v>
      </c>
      <c r="E127" s="421">
        <v>0</v>
      </c>
      <c r="F127" s="421">
        <v>-82.072762113811194</v>
      </c>
      <c r="G127" s="421">
        <v>0</v>
      </c>
      <c r="H127" s="421">
        <v>0</v>
      </c>
      <c r="I127" s="421">
        <v>0</v>
      </c>
      <c r="J127" s="421">
        <v>0</v>
      </c>
      <c r="K127" s="421">
        <v>0</v>
      </c>
      <c r="L127" s="421">
        <v>-0.84850040331290999</v>
      </c>
      <c r="M127" s="421">
        <v>0</v>
      </c>
      <c r="N127" s="421">
        <v>0</v>
      </c>
      <c r="O127" s="421">
        <v>0</v>
      </c>
      <c r="P127" s="421">
        <v>0</v>
      </c>
      <c r="Q127" s="421">
        <v>0</v>
      </c>
      <c r="R127" s="421">
        <v>0</v>
      </c>
      <c r="S127" s="423">
        <v>-82.921262517124106</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35.895169375746498</v>
      </c>
      <c r="E129" s="425">
        <v>531.76783290345099</v>
      </c>
      <c r="F129" s="425">
        <v>15.907718476643501</v>
      </c>
      <c r="G129" s="425">
        <v>372.07993402814799</v>
      </c>
      <c r="H129" s="425">
        <v>1121.3636363636399</v>
      </c>
      <c r="I129" s="425">
        <v>204.83</v>
      </c>
      <c r="J129" s="425">
        <v>181.32702192976799</v>
      </c>
      <c r="K129" s="425">
        <v>23.929538630329802</v>
      </c>
      <c r="L129" s="425">
        <v>-0.84850040331290999</v>
      </c>
      <c r="M129" s="425">
        <v>0</v>
      </c>
      <c r="N129" s="425">
        <v>51.218112395264598</v>
      </c>
      <c r="O129" s="425">
        <v>4.1137123082446401</v>
      </c>
      <c r="P129" s="425">
        <v>-63.764232482267403</v>
      </c>
      <c r="Q129" s="425">
        <v>0</v>
      </c>
      <c r="R129" s="425">
        <v>0</v>
      </c>
      <c r="S129" s="425">
        <v>2477.8199435256502</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19.3842302630087</v>
      </c>
      <c r="H132" s="421">
        <v>1121.3636363636399</v>
      </c>
      <c r="I132" s="421">
        <v>204.83</v>
      </c>
      <c r="J132" s="421">
        <v>25.6968541009532</v>
      </c>
      <c r="K132" s="421">
        <v>6.9082981230435703</v>
      </c>
      <c r="L132" s="421">
        <v>0</v>
      </c>
      <c r="M132" s="421">
        <v>0.39559653597976902</v>
      </c>
      <c r="N132" s="421">
        <v>0</v>
      </c>
      <c r="O132" s="421">
        <v>0</v>
      </c>
      <c r="P132" s="421">
        <v>-598.30725344043606</v>
      </c>
      <c r="Q132" s="421">
        <v>0</v>
      </c>
      <c r="R132" s="421">
        <v>0</v>
      </c>
      <c r="S132" s="429">
        <v>786.335469045389</v>
      </c>
      <c r="T132" s="412"/>
    </row>
    <row r="133" spans="2:20" ht="13.5">
      <c r="B133" s="412"/>
      <c r="C133" s="428" t="s">
        <v>351</v>
      </c>
      <c r="D133" s="421">
        <v>0</v>
      </c>
      <c r="E133" s="421">
        <v>0</v>
      </c>
      <c r="F133" s="421">
        <v>0</v>
      </c>
      <c r="G133" s="421">
        <v>17.221606845423</v>
      </c>
      <c r="H133" s="421">
        <v>0</v>
      </c>
      <c r="I133" s="421">
        <v>0</v>
      </c>
      <c r="J133" s="421">
        <v>12.908782164778099</v>
      </c>
      <c r="K133" s="421">
        <v>12.746985757209</v>
      </c>
      <c r="L133" s="421">
        <v>0</v>
      </c>
      <c r="M133" s="421">
        <v>0.351461364192306</v>
      </c>
      <c r="N133" s="421">
        <v>0</v>
      </c>
      <c r="O133" s="421">
        <v>2.2502067182143302</v>
      </c>
      <c r="P133" s="421">
        <v>0</v>
      </c>
      <c r="Q133" s="421">
        <v>-41.107741425574098</v>
      </c>
      <c r="R133" s="421">
        <v>0</v>
      </c>
      <c r="S133" s="429">
        <v>4.3713014242427501</v>
      </c>
      <c r="T133" s="412"/>
    </row>
    <row r="134" spans="2:20" ht="13.5">
      <c r="B134" s="412"/>
      <c r="C134" s="428" t="s">
        <v>352</v>
      </c>
      <c r="D134" s="421">
        <v>0</v>
      </c>
      <c r="E134" s="421">
        <v>0</v>
      </c>
      <c r="F134" s="421">
        <v>0</v>
      </c>
      <c r="G134" s="421">
        <v>0</v>
      </c>
      <c r="H134" s="421">
        <v>0</v>
      </c>
      <c r="I134" s="421">
        <v>0</v>
      </c>
      <c r="J134" s="421">
        <v>8.3133555663813503</v>
      </c>
      <c r="K134" s="421">
        <v>0</v>
      </c>
      <c r="L134" s="421">
        <v>0</v>
      </c>
      <c r="M134" s="421">
        <v>-7.3386146262231398</v>
      </c>
      <c r="N134" s="421">
        <v>0</v>
      </c>
      <c r="O134" s="421">
        <v>0</v>
      </c>
      <c r="P134" s="421">
        <v>0</v>
      </c>
      <c r="Q134" s="421">
        <v>0</v>
      </c>
      <c r="R134" s="421">
        <v>0</v>
      </c>
      <c r="S134" s="429">
        <v>0.974740940158213</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550.85495716936998</v>
      </c>
      <c r="F136" s="421">
        <v>-545.34640759767603</v>
      </c>
      <c r="G136" s="421">
        <v>0</v>
      </c>
      <c r="H136" s="421">
        <v>0</v>
      </c>
      <c r="I136" s="421">
        <v>0</v>
      </c>
      <c r="J136" s="421">
        <v>0</v>
      </c>
      <c r="K136" s="421">
        <v>0</v>
      </c>
      <c r="L136" s="421">
        <v>0</v>
      </c>
      <c r="M136" s="421">
        <v>0</v>
      </c>
      <c r="N136" s="421">
        <v>0</v>
      </c>
      <c r="O136" s="421">
        <v>0</v>
      </c>
      <c r="P136" s="421">
        <v>0</v>
      </c>
      <c r="Q136" s="421">
        <v>0</v>
      </c>
      <c r="R136" s="421">
        <v>0</v>
      </c>
      <c r="S136" s="429">
        <v>5.5085495716937203</v>
      </c>
      <c r="T136" s="412"/>
    </row>
    <row r="137" spans="2:20" ht="13.5">
      <c r="B137" s="412"/>
      <c r="C137" s="428" t="s">
        <v>354</v>
      </c>
      <c r="D137" s="421">
        <v>0</v>
      </c>
      <c r="E137" s="421">
        <v>0</v>
      </c>
      <c r="F137" s="421">
        <v>0</v>
      </c>
      <c r="G137" s="421">
        <v>0</v>
      </c>
      <c r="H137" s="421">
        <v>0</v>
      </c>
      <c r="I137" s="421">
        <v>0</v>
      </c>
      <c r="J137" s="421">
        <v>39.093854884301599</v>
      </c>
      <c r="K137" s="421">
        <v>0</v>
      </c>
      <c r="L137" s="421">
        <v>-39.093854884301599</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-0.17691580225894701</v>
      </c>
      <c r="M138" s="421">
        <v>0</v>
      </c>
      <c r="N138" s="421">
        <v>0</v>
      </c>
      <c r="O138" s="421">
        <v>0</v>
      </c>
      <c r="P138" s="421">
        <v>0</v>
      </c>
      <c r="Q138" s="421">
        <v>0</v>
      </c>
      <c r="R138" s="421">
        <v>0.25273686036992499</v>
      </c>
      <c r="S138" s="429">
        <v>7.5821058110977502E-2</v>
      </c>
      <c r="T138" s="412"/>
    </row>
    <row r="139" spans="2:20" ht="13.5">
      <c r="B139" s="412"/>
      <c r="C139" s="428" t="s">
        <v>73</v>
      </c>
      <c r="D139" s="421">
        <v>0</v>
      </c>
      <c r="E139" s="421">
        <v>0</v>
      </c>
      <c r="F139" s="421">
        <v>0</v>
      </c>
      <c r="G139" s="421">
        <v>1.8824761736884601</v>
      </c>
      <c r="H139" s="421">
        <v>0</v>
      </c>
      <c r="I139" s="421">
        <v>0</v>
      </c>
      <c r="J139" s="421">
        <v>0</v>
      </c>
      <c r="K139" s="421">
        <v>2.1248828039647599E-2</v>
      </c>
      <c r="L139" s="421">
        <v>0</v>
      </c>
      <c r="M139" s="421">
        <v>3.8417881095682803E-2</v>
      </c>
      <c r="N139" s="421">
        <v>0</v>
      </c>
      <c r="O139" s="421">
        <v>0</v>
      </c>
      <c r="P139" s="421">
        <v>0.19366834943024799</v>
      </c>
      <c r="Q139" s="421">
        <v>0</v>
      </c>
      <c r="R139" s="421">
        <v>-1.4874179627753299</v>
      </c>
      <c r="S139" s="429">
        <v>0.64839326947870701</v>
      </c>
      <c r="T139" s="412"/>
    </row>
    <row r="140" spans="2:20" ht="13.5">
      <c r="B140" s="412"/>
      <c r="C140" s="428" t="s">
        <v>356</v>
      </c>
      <c r="D140" s="421">
        <v>15.374535156249999</v>
      </c>
      <c r="E140" s="421">
        <v>-19.0871242659187</v>
      </c>
      <c r="F140" s="421">
        <v>24.964831154950399</v>
      </c>
      <c r="G140" s="421">
        <v>0</v>
      </c>
      <c r="H140" s="421">
        <v>0</v>
      </c>
      <c r="I140" s="421">
        <v>0</v>
      </c>
      <c r="J140" s="421">
        <v>0</v>
      </c>
      <c r="K140" s="421">
        <v>0</v>
      </c>
      <c r="L140" s="421">
        <v>0</v>
      </c>
      <c r="M140" s="421">
        <v>0</v>
      </c>
      <c r="N140" s="421">
        <v>0</v>
      </c>
      <c r="O140" s="421">
        <v>0</v>
      </c>
      <c r="P140" s="421">
        <v>0</v>
      </c>
      <c r="Q140" s="421">
        <v>0</v>
      </c>
      <c r="R140" s="421">
        <v>0</v>
      </c>
      <c r="S140" s="429">
        <v>21.252242045281701</v>
      </c>
      <c r="T140" s="412"/>
    </row>
    <row r="141" spans="2:20" ht="13.5">
      <c r="B141" s="412"/>
      <c r="C141" s="428" t="s">
        <v>75</v>
      </c>
      <c r="D141" s="421">
        <v>10.0084814453125</v>
      </c>
      <c r="E141" s="421">
        <v>0</v>
      </c>
      <c r="F141" s="421">
        <v>18.729068543758601</v>
      </c>
      <c r="G141" s="421">
        <v>5.3443947944572301</v>
      </c>
      <c r="H141" s="421">
        <v>0</v>
      </c>
      <c r="I141" s="421">
        <v>0</v>
      </c>
      <c r="J141" s="421">
        <v>0</v>
      </c>
      <c r="K141" s="421">
        <v>0</v>
      </c>
      <c r="L141" s="421">
        <v>0</v>
      </c>
      <c r="M141" s="421">
        <v>0.109069281519535</v>
      </c>
      <c r="N141" s="421">
        <v>0</v>
      </c>
      <c r="O141" s="421">
        <v>0</v>
      </c>
      <c r="P141" s="421">
        <v>34.584089944749103</v>
      </c>
      <c r="Q141" s="421">
        <v>0</v>
      </c>
      <c r="R141" s="421">
        <v>0</v>
      </c>
      <c r="S141" s="429">
        <v>68.775104009796905</v>
      </c>
      <c r="T141" s="412"/>
    </row>
    <row r="142" spans="2:20" ht="13.5">
      <c r="B142" s="412"/>
      <c r="C142" s="428" t="s">
        <v>76</v>
      </c>
      <c r="D142" s="421">
        <v>0</v>
      </c>
      <c r="E142" s="421">
        <v>0</v>
      </c>
      <c r="F142" s="421">
        <v>0</v>
      </c>
      <c r="G142" s="421">
        <v>4.2639381425091001</v>
      </c>
      <c r="H142" s="421">
        <v>0</v>
      </c>
      <c r="I142" s="421">
        <v>0</v>
      </c>
      <c r="J142" s="421">
        <v>0</v>
      </c>
      <c r="K142" s="421">
        <v>0</v>
      </c>
      <c r="L142" s="421">
        <v>0</v>
      </c>
      <c r="M142" s="421">
        <v>8.7019145765491801E-2</v>
      </c>
      <c r="N142" s="421">
        <v>0</v>
      </c>
      <c r="O142" s="421">
        <v>0</v>
      </c>
      <c r="P142" s="421">
        <v>40.966824320893799</v>
      </c>
      <c r="Q142" s="421">
        <v>3.1854707377751099</v>
      </c>
      <c r="R142" s="421">
        <v>0</v>
      </c>
      <c r="S142" s="429">
        <v>48.503252346943498</v>
      </c>
      <c r="T142" s="412"/>
    </row>
    <row r="143" spans="2:20" ht="13.5">
      <c r="B143" s="412"/>
      <c r="C143" s="424" t="s">
        <v>77</v>
      </c>
      <c r="D143" s="425">
        <v>27.5834873371291</v>
      </c>
      <c r="E143" s="425">
        <v>531.76783290345099</v>
      </c>
      <c r="F143" s="425">
        <v>-497.788871535331</v>
      </c>
      <c r="G143" s="425">
        <v>48.096646219086502</v>
      </c>
      <c r="H143" s="425">
        <v>1121.3636363636399</v>
      </c>
      <c r="I143" s="425">
        <v>204.83</v>
      </c>
      <c r="J143" s="425">
        <v>86.012846716414401</v>
      </c>
      <c r="K143" s="425">
        <v>19.676532708292299</v>
      </c>
      <c r="L143" s="425">
        <v>-39.270770686560603</v>
      </c>
      <c r="M143" s="425">
        <v>-6.3570504176703597</v>
      </c>
      <c r="N143" s="425">
        <v>0</v>
      </c>
      <c r="O143" s="425">
        <v>2.2502067182143302</v>
      </c>
      <c r="P143" s="425">
        <v>-522.56267082536306</v>
      </c>
      <c r="Q143" s="425">
        <v>-37.9222706877989</v>
      </c>
      <c r="R143" s="425">
        <v>-1.2346811024054101</v>
      </c>
      <c r="S143" s="425">
        <v>936.44487371109506</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6.0139144604924599</v>
      </c>
      <c r="E145" s="421">
        <v>0</v>
      </c>
      <c r="F145" s="421">
        <v>23.633642469065599</v>
      </c>
      <c r="G145" s="421">
        <v>102.391084630545</v>
      </c>
      <c r="H145" s="421">
        <v>0</v>
      </c>
      <c r="I145" s="421">
        <v>0</v>
      </c>
      <c r="J145" s="421">
        <v>17.159172144595999</v>
      </c>
      <c r="K145" s="421">
        <v>4.25300592203756</v>
      </c>
      <c r="L145" s="421">
        <v>0.85978953515625001</v>
      </c>
      <c r="M145" s="421">
        <v>2.08961397205193</v>
      </c>
      <c r="N145" s="421">
        <v>0</v>
      </c>
      <c r="O145" s="421">
        <v>0</v>
      </c>
      <c r="P145" s="421">
        <v>105.422390190743</v>
      </c>
      <c r="Q145" s="421">
        <v>17.9038299201341</v>
      </c>
      <c r="R145" s="421">
        <v>0.246216918945312</v>
      </c>
      <c r="S145" s="429">
        <v>279.97266016376699</v>
      </c>
      <c r="T145" s="412"/>
    </row>
    <row r="146" spans="2:20" ht="13.5">
      <c r="B146" s="412"/>
      <c r="C146" s="428" t="s">
        <v>79</v>
      </c>
      <c r="D146" s="421">
        <v>0</v>
      </c>
      <c r="E146" s="421">
        <v>0</v>
      </c>
      <c r="F146" s="421">
        <v>291.75543836647398</v>
      </c>
      <c r="G146" s="421">
        <v>20.535297042062101</v>
      </c>
      <c r="H146" s="421">
        <v>0</v>
      </c>
      <c r="I146" s="421">
        <v>0</v>
      </c>
      <c r="J146" s="421">
        <v>0</v>
      </c>
      <c r="K146" s="421">
        <v>0</v>
      </c>
      <c r="L146" s="421">
        <v>29.571406958369401</v>
      </c>
      <c r="M146" s="421">
        <v>0.41908769473596202</v>
      </c>
      <c r="N146" s="421">
        <v>0</v>
      </c>
      <c r="O146" s="421">
        <v>0</v>
      </c>
      <c r="P146" s="421">
        <v>38.026089769837199</v>
      </c>
      <c r="Q146" s="421">
        <v>0</v>
      </c>
      <c r="R146" s="421">
        <v>0.81131136729798503</v>
      </c>
      <c r="S146" s="429">
        <v>381.118631198777</v>
      </c>
      <c r="T146" s="412"/>
    </row>
    <row r="147" spans="2:20" ht="13.5">
      <c r="B147" s="412"/>
      <c r="C147" s="428" t="s">
        <v>80</v>
      </c>
      <c r="D147" s="421">
        <v>0</v>
      </c>
      <c r="E147" s="421">
        <v>0</v>
      </c>
      <c r="F147" s="421">
        <v>27.220999009721101</v>
      </c>
      <c r="G147" s="421">
        <v>120.03161923866701</v>
      </c>
      <c r="H147" s="421">
        <v>0</v>
      </c>
      <c r="I147" s="421">
        <v>0</v>
      </c>
      <c r="J147" s="421">
        <v>73.643008497672298</v>
      </c>
      <c r="K147" s="421">
        <v>0</v>
      </c>
      <c r="L147" s="421">
        <v>0</v>
      </c>
      <c r="M147" s="421">
        <v>2.4496248824217699</v>
      </c>
      <c r="N147" s="421">
        <v>44.3894996556715</v>
      </c>
      <c r="O147" s="421">
        <v>0.96187754856444097</v>
      </c>
      <c r="P147" s="421">
        <v>174.81659309154401</v>
      </c>
      <c r="Q147" s="421">
        <v>15.741799933741699</v>
      </c>
      <c r="R147" s="421">
        <v>0</v>
      </c>
      <c r="S147" s="429">
        <v>459.255021858004</v>
      </c>
      <c r="T147" s="412"/>
    </row>
    <row r="148" spans="2:20" ht="13.5">
      <c r="B148" s="412"/>
      <c r="C148" s="428" t="s">
        <v>81</v>
      </c>
      <c r="D148" s="421">
        <v>0</v>
      </c>
      <c r="E148" s="421">
        <v>0</v>
      </c>
      <c r="F148" s="421">
        <v>11.206782837990801</v>
      </c>
      <c r="G148" s="421">
        <v>64.507568852564205</v>
      </c>
      <c r="H148" s="421">
        <v>0</v>
      </c>
      <c r="I148" s="421">
        <v>0</v>
      </c>
      <c r="J148" s="421">
        <v>3.55454723390908</v>
      </c>
      <c r="K148" s="421">
        <v>0</v>
      </c>
      <c r="L148" s="421">
        <v>0</v>
      </c>
      <c r="M148" s="421">
        <v>1.31648099699111</v>
      </c>
      <c r="N148" s="421">
        <v>6.82861273959311</v>
      </c>
      <c r="O148" s="421">
        <v>0.82092458334028295</v>
      </c>
      <c r="P148" s="421">
        <v>132.49225631372801</v>
      </c>
      <c r="Q148" s="421">
        <v>4.2766408339232003</v>
      </c>
      <c r="R148" s="421">
        <v>0</v>
      </c>
      <c r="S148" s="429">
        <v>225.00381439204</v>
      </c>
      <c r="T148" s="412"/>
    </row>
    <row r="149" spans="2:20" ht="13.5">
      <c r="B149" s="412"/>
      <c r="C149" s="428" t="s">
        <v>82</v>
      </c>
      <c r="D149" s="421">
        <v>0</v>
      </c>
      <c r="E149" s="421">
        <v>0</v>
      </c>
      <c r="F149" s="421">
        <v>21.8797075546779</v>
      </c>
      <c r="G149" s="421">
        <v>4.0299007020097699</v>
      </c>
      <c r="H149" s="421">
        <v>0</v>
      </c>
      <c r="I149" s="421">
        <v>0</v>
      </c>
      <c r="J149" s="421">
        <v>0.95744733717577402</v>
      </c>
      <c r="K149" s="421">
        <v>0</v>
      </c>
      <c r="L149" s="421">
        <v>7.9910737897220097</v>
      </c>
      <c r="M149" s="421">
        <v>8.2242871469587198E-2</v>
      </c>
      <c r="N149" s="421">
        <v>0</v>
      </c>
      <c r="O149" s="421">
        <v>8.0703458125589503E-2</v>
      </c>
      <c r="P149" s="421">
        <v>8.0411089772434305</v>
      </c>
      <c r="Q149" s="421">
        <v>0</v>
      </c>
      <c r="R149" s="421">
        <v>0</v>
      </c>
      <c r="S149" s="429">
        <v>43.062184690423997</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6.0139144604924599</v>
      </c>
      <c r="E151" s="425">
        <v>0</v>
      </c>
      <c r="F151" s="425">
        <v>375.696570237929</v>
      </c>
      <c r="G151" s="425">
        <v>311.49547046584701</v>
      </c>
      <c r="H151" s="425">
        <v>0</v>
      </c>
      <c r="I151" s="425">
        <v>0</v>
      </c>
      <c r="J151" s="425">
        <v>95.314175213353096</v>
      </c>
      <c r="K151" s="425">
        <v>4.25300592203756</v>
      </c>
      <c r="L151" s="425">
        <v>38.422270283247698</v>
      </c>
      <c r="M151" s="425">
        <v>6.3570504176703597</v>
      </c>
      <c r="N151" s="425">
        <v>51.218112395264598</v>
      </c>
      <c r="O151" s="425">
        <v>1.8635055900303099</v>
      </c>
      <c r="P151" s="425">
        <v>458.798438343096</v>
      </c>
      <c r="Q151" s="425">
        <v>37.9222706877989</v>
      </c>
      <c r="R151" s="425">
        <v>1.0575282862433</v>
      </c>
      <c r="S151" s="425">
        <v>1388.4123123030099</v>
      </c>
      <c r="T151" s="412"/>
    </row>
    <row r="152" spans="2:20" ht="13.5">
      <c r="B152" s="412"/>
      <c r="C152" s="420" t="s">
        <v>84</v>
      </c>
      <c r="D152" s="421">
        <v>2.2977675781250002</v>
      </c>
      <c r="E152" s="421">
        <v>0</v>
      </c>
      <c r="F152" s="421">
        <v>138.000019774045</v>
      </c>
      <c r="G152" s="421">
        <v>12.487817343213999</v>
      </c>
      <c r="H152" s="421">
        <v>0</v>
      </c>
      <c r="I152" s="421">
        <v>0</v>
      </c>
      <c r="J152" s="421">
        <v>0</v>
      </c>
      <c r="K152" s="421">
        <v>0</v>
      </c>
      <c r="L152" s="421">
        <v>0</v>
      </c>
      <c r="M152" s="421">
        <v>0</v>
      </c>
      <c r="N152" s="421">
        <v>0</v>
      </c>
      <c r="O152" s="421">
        <v>0</v>
      </c>
      <c r="P152" s="421">
        <v>0</v>
      </c>
      <c r="Q152" s="421">
        <v>0</v>
      </c>
      <c r="R152" s="421">
        <v>0.17715281616210901</v>
      </c>
      <c r="S152" s="429">
        <v>152.96275751154599</v>
      </c>
      <c r="T152" s="412"/>
    </row>
    <row r="153" spans="2:20" ht="13.5">
      <c r="B153" s="412"/>
      <c r="C153" s="424" t="s">
        <v>85</v>
      </c>
      <c r="D153" s="425">
        <v>8.3116820386174606</v>
      </c>
      <c r="E153" s="425">
        <v>0</v>
      </c>
      <c r="F153" s="425">
        <v>513.69659001197397</v>
      </c>
      <c r="G153" s="425">
        <v>323.98328780906098</v>
      </c>
      <c r="H153" s="425">
        <v>0</v>
      </c>
      <c r="I153" s="425">
        <v>0</v>
      </c>
      <c r="J153" s="425">
        <v>95.314175213353195</v>
      </c>
      <c r="K153" s="425">
        <v>4.25300592203756</v>
      </c>
      <c r="L153" s="425">
        <v>38.422270283247698</v>
      </c>
      <c r="M153" s="425">
        <v>6.3570504176703597</v>
      </c>
      <c r="N153" s="425">
        <v>51.218112395264598</v>
      </c>
      <c r="O153" s="425">
        <v>1.8635055900303099</v>
      </c>
      <c r="P153" s="425">
        <v>458.798438343096</v>
      </c>
      <c r="Q153" s="425">
        <v>37.9222706877989</v>
      </c>
      <c r="R153" s="425">
        <v>1.2346811024054101</v>
      </c>
      <c r="S153" s="425">
        <v>1541.37506981456</v>
      </c>
      <c r="T153" s="412"/>
    </row>
    <row r="154" spans="2:20">
      <c r="B154" s="412"/>
      <c r="C154" s="412"/>
      <c r="D154" s="430">
        <f t="shared" ref="D154:S154" si="3">D153+D143-D129</f>
        <v>6.3948846218409017E-14</v>
      </c>
      <c r="E154" s="430">
        <f t="shared" si="3"/>
        <v>0</v>
      </c>
      <c r="F154" s="430">
        <f t="shared" si="3"/>
        <v>-5.3113069498067489E-13</v>
      </c>
      <c r="G154" s="430">
        <f t="shared" si="3"/>
        <v>-5.1159076974727213E-13</v>
      </c>
      <c r="H154" s="430">
        <f t="shared" si="3"/>
        <v>0</v>
      </c>
      <c r="I154" s="430">
        <f t="shared" si="3"/>
        <v>0</v>
      </c>
      <c r="J154" s="430">
        <f t="shared" si="3"/>
        <v>-3.979039320256561E-13</v>
      </c>
      <c r="K154" s="430">
        <f t="shared" si="3"/>
        <v>5.6843418860808015E-14</v>
      </c>
      <c r="L154" s="430">
        <f t="shared" si="3"/>
        <v>5.5511151231257827E-15</v>
      </c>
      <c r="M154" s="430">
        <f t="shared" si="3"/>
        <v>0</v>
      </c>
      <c r="N154" s="430">
        <f t="shared" si="3"/>
        <v>0</v>
      </c>
      <c r="O154" s="430">
        <f t="shared" si="3"/>
        <v>0</v>
      </c>
      <c r="P154" s="430">
        <f t="shared" si="3"/>
        <v>3.4106051316484809E-13</v>
      </c>
      <c r="Q154" s="430">
        <f t="shared" si="3"/>
        <v>0</v>
      </c>
      <c r="R154" s="430">
        <f t="shared" si="3"/>
        <v>0</v>
      </c>
      <c r="S154" s="430">
        <f t="shared" si="3"/>
        <v>5.0022208597511053E-12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361</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5.8150000000000004</v>
      </c>
      <c r="F160" s="421">
        <v>0</v>
      </c>
      <c r="G160" s="421">
        <v>9.3039999999999998E-2</v>
      </c>
      <c r="H160" s="422">
        <v>1075</v>
      </c>
      <c r="I160" s="422">
        <v>221.33</v>
      </c>
      <c r="J160" s="422">
        <v>180.617309805269</v>
      </c>
      <c r="K160" s="422">
        <v>23.667602138393399</v>
      </c>
      <c r="L160" s="421">
        <v>0</v>
      </c>
      <c r="M160" s="421">
        <v>0</v>
      </c>
      <c r="N160" s="422">
        <v>53.883302871721199</v>
      </c>
      <c r="O160" s="422">
        <v>4.0937306138358602</v>
      </c>
      <c r="P160" s="421">
        <v>0</v>
      </c>
      <c r="Q160" s="421">
        <v>0</v>
      </c>
      <c r="R160" s="421">
        <v>0</v>
      </c>
      <c r="S160" s="423">
        <v>1564.49998542922</v>
      </c>
      <c r="T160" s="412"/>
    </row>
    <row r="161" spans="2:20" ht="13.5">
      <c r="B161" s="412"/>
      <c r="C161" s="420" t="s">
        <v>60</v>
      </c>
      <c r="D161" s="421">
        <v>34.929201732774303</v>
      </c>
      <c r="E161" s="421">
        <v>518.07410535010399</v>
      </c>
      <c r="F161" s="421">
        <v>94.899650530247001</v>
      </c>
      <c r="G161" s="421">
        <v>372.90309898365098</v>
      </c>
      <c r="H161" s="421">
        <v>0</v>
      </c>
      <c r="I161" s="421">
        <v>0</v>
      </c>
      <c r="J161" s="421">
        <v>0</v>
      </c>
      <c r="K161" s="421">
        <v>0</v>
      </c>
      <c r="L161" s="421">
        <v>0</v>
      </c>
      <c r="M161" s="421">
        <v>0</v>
      </c>
      <c r="N161" s="421">
        <v>0</v>
      </c>
      <c r="O161" s="421">
        <v>0</v>
      </c>
      <c r="P161" s="421">
        <v>0</v>
      </c>
      <c r="Q161" s="421">
        <v>0</v>
      </c>
      <c r="R161" s="421">
        <v>0</v>
      </c>
      <c r="S161" s="423">
        <v>1020.80605659678</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-54.0995610292184</v>
      </c>
      <c r="Q162" s="421">
        <v>0</v>
      </c>
      <c r="R162" s="421">
        <v>0</v>
      </c>
      <c r="S162" s="423">
        <v>-54.0995610292184</v>
      </c>
      <c r="T162" s="412"/>
    </row>
    <row r="163" spans="2:20" ht="13.5">
      <c r="B163" s="412"/>
      <c r="C163" s="420" t="s">
        <v>62</v>
      </c>
      <c r="D163" s="421">
        <v>0</v>
      </c>
      <c r="E163" s="421">
        <v>0</v>
      </c>
      <c r="F163" s="421">
        <v>-16.258620088965699</v>
      </c>
      <c r="G163" s="421">
        <v>0</v>
      </c>
      <c r="H163" s="421">
        <v>0</v>
      </c>
      <c r="I163" s="421">
        <v>0</v>
      </c>
      <c r="J163" s="421">
        <v>0</v>
      </c>
      <c r="K163" s="421">
        <v>0</v>
      </c>
      <c r="L163" s="421">
        <v>0</v>
      </c>
      <c r="M163" s="421">
        <v>0</v>
      </c>
      <c r="N163" s="421">
        <v>0</v>
      </c>
      <c r="O163" s="421">
        <v>0</v>
      </c>
      <c r="P163" s="421">
        <v>0</v>
      </c>
      <c r="Q163" s="421">
        <v>0</v>
      </c>
      <c r="R163" s="421">
        <v>0</v>
      </c>
      <c r="S163" s="423">
        <v>-16.258620088965699</v>
      </c>
      <c r="T163" s="412"/>
    </row>
    <row r="164" spans="2:20" ht="13.5">
      <c r="B164" s="412"/>
      <c r="C164" s="420" t="s">
        <v>63</v>
      </c>
      <c r="D164" s="421">
        <v>0</v>
      </c>
      <c r="E164" s="421">
        <v>0</v>
      </c>
      <c r="F164" s="421">
        <v>-83.288391654292198</v>
      </c>
      <c r="G164" s="421">
        <v>0</v>
      </c>
      <c r="H164" s="421">
        <v>0</v>
      </c>
      <c r="I164" s="421">
        <v>0</v>
      </c>
      <c r="J164" s="421">
        <v>0</v>
      </c>
      <c r="K164" s="421">
        <v>0</v>
      </c>
      <c r="L164" s="421">
        <v>-0.86093886612012704</v>
      </c>
      <c r="M164" s="421">
        <v>0</v>
      </c>
      <c r="N164" s="421">
        <v>0</v>
      </c>
      <c r="O164" s="421">
        <v>0</v>
      </c>
      <c r="P164" s="421">
        <v>0</v>
      </c>
      <c r="Q164" s="421">
        <v>0</v>
      </c>
      <c r="R164" s="421">
        <v>0</v>
      </c>
      <c r="S164" s="423">
        <v>-84.149330520412306</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34.929201732774303</v>
      </c>
      <c r="E166" s="425">
        <v>523.88910535010405</v>
      </c>
      <c r="F166" s="425">
        <v>-4.6473612130108704</v>
      </c>
      <c r="G166" s="425">
        <v>372.99613898365101</v>
      </c>
      <c r="H166" s="425">
        <v>1075</v>
      </c>
      <c r="I166" s="425">
        <v>221.33</v>
      </c>
      <c r="J166" s="425">
        <v>180.617309805269</v>
      </c>
      <c r="K166" s="425">
        <v>23.667602138393399</v>
      </c>
      <c r="L166" s="425">
        <v>-0.86093886612012704</v>
      </c>
      <c r="M166" s="425">
        <v>0</v>
      </c>
      <c r="N166" s="425">
        <v>53.883302871721199</v>
      </c>
      <c r="O166" s="425">
        <v>4.0937306138358602</v>
      </c>
      <c r="P166" s="425">
        <v>-54.0995610292184</v>
      </c>
      <c r="Q166" s="425">
        <v>0</v>
      </c>
      <c r="R166" s="425">
        <v>0</v>
      </c>
      <c r="S166" s="425">
        <v>2430.7985303874002</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18.293662470199799</v>
      </c>
      <c r="H169" s="421">
        <v>1075</v>
      </c>
      <c r="I169" s="421">
        <v>221.33</v>
      </c>
      <c r="J169" s="421">
        <v>25.015631200963998</v>
      </c>
      <c r="K169" s="421">
        <v>6.6958995171334896</v>
      </c>
      <c r="L169" s="421">
        <v>0</v>
      </c>
      <c r="M169" s="421">
        <v>0.373340050412242</v>
      </c>
      <c r="N169" s="421">
        <v>0</v>
      </c>
      <c r="O169" s="421">
        <v>0</v>
      </c>
      <c r="P169" s="421">
        <v>-598.98018891784398</v>
      </c>
      <c r="Q169" s="421">
        <v>0</v>
      </c>
      <c r="R169" s="421">
        <v>0</v>
      </c>
      <c r="S169" s="429">
        <v>753.79245142006801</v>
      </c>
      <c r="T169" s="412"/>
    </row>
    <row r="170" spans="2:20" ht="13.5">
      <c r="B170" s="412"/>
      <c r="C170" s="428" t="s">
        <v>351</v>
      </c>
      <c r="D170" s="421">
        <v>0</v>
      </c>
      <c r="E170" s="421">
        <v>0</v>
      </c>
      <c r="F170" s="421">
        <v>0</v>
      </c>
      <c r="G170" s="421">
        <v>17.187472358998999</v>
      </c>
      <c r="H170" s="421">
        <v>0</v>
      </c>
      <c r="I170" s="421">
        <v>0</v>
      </c>
      <c r="J170" s="421">
        <v>12.802427774494999</v>
      </c>
      <c r="K170" s="421">
        <v>12.7214936345308</v>
      </c>
      <c r="L170" s="421">
        <v>0</v>
      </c>
      <c r="M170" s="421">
        <v>0.35076474202038699</v>
      </c>
      <c r="N170" s="421">
        <v>0</v>
      </c>
      <c r="O170" s="421">
        <v>2.24538394933181</v>
      </c>
      <c r="P170" s="421">
        <v>0</v>
      </c>
      <c r="Q170" s="421">
        <v>-41.027361944198802</v>
      </c>
      <c r="R170" s="421">
        <v>0</v>
      </c>
      <c r="S170" s="429">
        <v>4.2801805151782197</v>
      </c>
      <c r="T170" s="412"/>
    </row>
    <row r="171" spans="2:20" ht="13.5">
      <c r="B171" s="412"/>
      <c r="C171" s="428" t="s">
        <v>352</v>
      </c>
      <c r="D171" s="421">
        <v>0</v>
      </c>
      <c r="E171" s="421">
        <v>0</v>
      </c>
      <c r="F171" s="421">
        <v>0</v>
      </c>
      <c r="G171" s="421">
        <v>0</v>
      </c>
      <c r="H171" s="421">
        <v>0</v>
      </c>
      <c r="I171" s="421">
        <v>0</v>
      </c>
      <c r="J171" s="421">
        <v>8.2571965997470702</v>
      </c>
      <c r="K171" s="421">
        <v>0</v>
      </c>
      <c r="L171" s="421">
        <v>0</v>
      </c>
      <c r="M171" s="421">
        <v>-7.3592264695245797</v>
      </c>
      <c r="N171" s="421">
        <v>0</v>
      </c>
      <c r="O171" s="421">
        <v>0</v>
      </c>
      <c r="P171" s="421">
        <v>0</v>
      </c>
      <c r="Q171" s="421">
        <v>0</v>
      </c>
      <c r="R171" s="421">
        <v>0</v>
      </c>
      <c r="S171" s="429">
        <v>0.89797013022249295</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542.69343279650298</v>
      </c>
      <c r="F173" s="421">
        <v>-537.26649846853797</v>
      </c>
      <c r="G173" s="421">
        <v>0</v>
      </c>
      <c r="H173" s="421">
        <v>0</v>
      </c>
      <c r="I173" s="421">
        <v>0</v>
      </c>
      <c r="J173" s="421">
        <v>0</v>
      </c>
      <c r="K173" s="421">
        <v>0</v>
      </c>
      <c r="L173" s="421">
        <v>0</v>
      </c>
      <c r="M173" s="421">
        <v>0</v>
      </c>
      <c r="N173" s="421">
        <v>0</v>
      </c>
      <c r="O173" s="421">
        <v>0</v>
      </c>
      <c r="P173" s="421">
        <v>0</v>
      </c>
      <c r="Q173" s="421">
        <v>0</v>
      </c>
      <c r="R173" s="421">
        <v>0</v>
      </c>
      <c r="S173" s="429">
        <v>5.4269343279650002</v>
      </c>
      <c r="T173" s="412"/>
    </row>
    <row r="174" spans="2:20" ht="13.5">
      <c r="B174" s="412"/>
      <c r="C174" s="428" t="s">
        <v>354</v>
      </c>
      <c r="D174" s="421">
        <v>0</v>
      </c>
      <c r="E174" s="421">
        <v>0</v>
      </c>
      <c r="F174" s="421">
        <v>0</v>
      </c>
      <c r="G174" s="421">
        <v>0</v>
      </c>
      <c r="H174" s="421">
        <v>0</v>
      </c>
      <c r="I174" s="421">
        <v>0</v>
      </c>
      <c r="J174" s="421">
        <v>38.982913287446898</v>
      </c>
      <c r="K174" s="421">
        <v>0</v>
      </c>
      <c r="L174" s="421">
        <v>-38.982913287446898</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-0.17805542479724401</v>
      </c>
      <c r="M175" s="421">
        <v>0</v>
      </c>
      <c r="N175" s="421">
        <v>0</v>
      </c>
      <c r="O175" s="421">
        <v>0</v>
      </c>
      <c r="P175" s="421">
        <v>0</v>
      </c>
      <c r="Q175" s="421">
        <v>0</v>
      </c>
      <c r="R175" s="421">
        <v>0.25436489256749101</v>
      </c>
      <c r="S175" s="429">
        <v>7.6309467770247302E-2</v>
      </c>
      <c r="T175" s="412"/>
    </row>
    <row r="176" spans="2:20" ht="13.5">
      <c r="B176" s="412"/>
      <c r="C176" s="428" t="s">
        <v>73</v>
      </c>
      <c r="D176" s="421">
        <v>0</v>
      </c>
      <c r="E176" s="421">
        <v>0</v>
      </c>
      <c r="F176" s="421">
        <v>0</v>
      </c>
      <c r="G176" s="421">
        <v>2.4096506208169699</v>
      </c>
      <c r="H176" s="421">
        <v>0</v>
      </c>
      <c r="I176" s="421">
        <v>0</v>
      </c>
      <c r="J176" s="421">
        <v>0</v>
      </c>
      <c r="K176" s="421">
        <v>2.7320301823321701E-2</v>
      </c>
      <c r="L176" s="421">
        <v>0</v>
      </c>
      <c r="M176" s="421">
        <v>4.9176543281978999E-2</v>
      </c>
      <c r="N176" s="421">
        <v>0</v>
      </c>
      <c r="O176" s="421">
        <v>0</v>
      </c>
      <c r="P176" s="421">
        <v>0.257854534062811</v>
      </c>
      <c r="Q176" s="421">
        <v>0</v>
      </c>
      <c r="R176" s="421">
        <v>-1.91242112763252</v>
      </c>
      <c r="S176" s="429">
        <v>0.83158087235256695</v>
      </c>
      <c r="T176" s="412"/>
    </row>
    <row r="177" spans="2:20" ht="13.5">
      <c r="B177" s="412"/>
      <c r="C177" s="428" t="s">
        <v>356</v>
      </c>
      <c r="D177" s="421">
        <v>14.8684370117188</v>
      </c>
      <c r="E177" s="421">
        <v>-18.804327446398801</v>
      </c>
      <c r="F177" s="421">
        <v>24.59494961847</v>
      </c>
      <c r="G177" s="421">
        <v>0</v>
      </c>
      <c r="H177" s="421">
        <v>0</v>
      </c>
      <c r="I177" s="421">
        <v>0</v>
      </c>
      <c r="J177" s="421">
        <v>0</v>
      </c>
      <c r="K177" s="421">
        <v>0</v>
      </c>
      <c r="L177" s="421">
        <v>0</v>
      </c>
      <c r="M177" s="421">
        <v>0</v>
      </c>
      <c r="N177" s="421">
        <v>0</v>
      </c>
      <c r="O177" s="421">
        <v>0</v>
      </c>
      <c r="P177" s="421">
        <v>0</v>
      </c>
      <c r="Q177" s="421">
        <v>0</v>
      </c>
      <c r="R177" s="421">
        <v>0</v>
      </c>
      <c r="S177" s="429">
        <v>20.6590591837899</v>
      </c>
      <c r="T177" s="412"/>
    </row>
    <row r="178" spans="2:20" ht="13.5">
      <c r="B178" s="412"/>
      <c r="C178" s="428" t="s">
        <v>75</v>
      </c>
      <c r="D178" s="421">
        <v>9.9030000000000005</v>
      </c>
      <c r="E178" s="421">
        <v>0</v>
      </c>
      <c r="F178" s="421">
        <v>18.451576715081099</v>
      </c>
      <c r="G178" s="421">
        <v>5.2652116849916704</v>
      </c>
      <c r="H178" s="421">
        <v>0</v>
      </c>
      <c r="I178" s="421">
        <v>0</v>
      </c>
      <c r="J178" s="421">
        <v>0</v>
      </c>
      <c r="K178" s="421">
        <v>0</v>
      </c>
      <c r="L178" s="421">
        <v>0</v>
      </c>
      <c r="M178" s="421">
        <v>0.107453299693708</v>
      </c>
      <c r="N178" s="421">
        <v>0</v>
      </c>
      <c r="O178" s="421">
        <v>0</v>
      </c>
      <c r="P178" s="421">
        <v>33.445009445892197</v>
      </c>
      <c r="Q178" s="421">
        <v>0</v>
      </c>
      <c r="R178" s="421">
        <v>0</v>
      </c>
      <c r="S178" s="429">
        <v>67.172251145658706</v>
      </c>
      <c r="T178" s="412"/>
    </row>
    <row r="179" spans="2:20" ht="13.5">
      <c r="B179" s="412"/>
      <c r="C179" s="428" t="s">
        <v>76</v>
      </c>
      <c r="D179" s="421">
        <v>0</v>
      </c>
      <c r="E179" s="421">
        <v>0</v>
      </c>
      <c r="F179" s="421">
        <v>0</v>
      </c>
      <c r="G179" s="421">
        <v>4.2759141937553897</v>
      </c>
      <c r="H179" s="421">
        <v>0</v>
      </c>
      <c r="I179" s="421">
        <v>0</v>
      </c>
      <c r="J179" s="421">
        <v>0</v>
      </c>
      <c r="K179" s="421">
        <v>0</v>
      </c>
      <c r="L179" s="421">
        <v>0</v>
      </c>
      <c r="M179" s="421">
        <v>8.72635549745997E-2</v>
      </c>
      <c r="N179" s="421">
        <v>0</v>
      </c>
      <c r="O179" s="421">
        <v>0</v>
      </c>
      <c r="P179" s="421">
        <v>41.7590878252594</v>
      </c>
      <c r="Q179" s="421">
        <v>3.1792420694766599</v>
      </c>
      <c r="R179" s="421">
        <v>0</v>
      </c>
      <c r="S179" s="429">
        <v>49.301507643466103</v>
      </c>
      <c r="T179" s="412"/>
    </row>
    <row r="180" spans="2:20" ht="13.5">
      <c r="B180" s="412"/>
      <c r="C180" s="424" t="s">
        <v>77</v>
      </c>
      <c r="D180" s="425">
        <v>26.9719077472853</v>
      </c>
      <c r="E180" s="425">
        <v>523.88910535010405</v>
      </c>
      <c r="F180" s="425">
        <v>-490.35633577135002</v>
      </c>
      <c r="G180" s="425">
        <v>47.431911328762801</v>
      </c>
      <c r="H180" s="425">
        <v>1075</v>
      </c>
      <c r="I180" s="425">
        <v>221.33</v>
      </c>
      <c r="J180" s="425">
        <v>85.058168862653105</v>
      </c>
      <c r="K180" s="425">
        <v>19.444713453487601</v>
      </c>
      <c r="L180" s="425">
        <v>-39.160968712244099</v>
      </c>
      <c r="M180" s="425">
        <v>-6.3912282791416599</v>
      </c>
      <c r="N180" s="425">
        <v>0</v>
      </c>
      <c r="O180" s="425">
        <v>2.24538394933181</v>
      </c>
      <c r="P180" s="425">
        <v>-523.51823711263</v>
      </c>
      <c r="Q180" s="425">
        <v>-37.848119874722101</v>
      </c>
      <c r="R180" s="425">
        <v>-1.6580562350650301</v>
      </c>
      <c r="S180" s="425">
        <v>902.43824470647201</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5.6972080479890099</v>
      </c>
      <c r="E182" s="421">
        <v>0</v>
      </c>
      <c r="F182" s="421">
        <v>22.817179327139399</v>
      </c>
      <c r="G182" s="421">
        <v>101.760565699211</v>
      </c>
      <c r="H182" s="421">
        <v>0</v>
      </c>
      <c r="I182" s="421">
        <v>0</v>
      </c>
      <c r="J182" s="421">
        <v>17.084919933372099</v>
      </c>
      <c r="K182" s="421">
        <v>4.2228886849058398</v>
      </c>
      <c r="L182" s="421">
        <v>0.85605592578125</v>
      </c>
      <c r="M182" s="421">
        <v>2.0767462387593998</v>
      </c>
      <c r="N182" s="421">
        <v>0</v>
      </c>
      <c r="O182" s="421">
        <v>0</v>
      </c>
      <c r="P182" s="421">
        <v>106.33530498490499</v>
      </c>
      <c r="Q182" s="421">
        <v>18.005489076637701</v>
      </c>
      <c r="R182" s="421">
        <v>0.24596269226074199</v>
      </c>
      <c r="S182" s="429">
        <v>279.10232061096099</v>
      </c>
      <c r="T182" s="412"/>
    </row>
    <row r="183" spans="2:20" ht="13.5">
      <c r="B183" s="412"/>
      <c r="C183" s="428" t="s">
        <v>79</v>
      </c>
      <c r="D183" s="421">
        <v>0</v>
      </c>
      <c r="E183" s="421">
        <v>0</v>
      </c>
      <c r="F183" s="421">
        <v>271.89503343589303</v>
      </c>
      <c r="G183" s="421">
        <v>24.4531369544524</v>
      </c>
      <c r="H183" s="421">
        <v>0</v>
      </c>
      <c r="I183" s="421">
        <v>0</v>
      </c>
      <c r="J183" s="421">
        <v>0</v>
      </c>
      <c r="K183" s="421">
        <v>0</v>
      </c>
      <c r="L183" s="421">
        <v>27.563506802016501</v>
      </c>
      <c r="M183" s="421">
        <v>0.49904361131535402</v>
      </c>
      <c r="N183" s="421">
        <v>0</v>
      </c>
      <c r="O183" s="421">
        <v>0</v>
      </c>
      <c r="P183" s="421">
        <v>44.076672693209503</v>
      </c>
      <c r="Q183" s="421">
        <v>0</v>
      </c>
      <c r="R183" s="421">
        <v>1.1183354617496</v>
      </c>
      <c r="S183" s="429">
        <v>369.60572895863697</v>
      </c>
      <c r="T183" s="412"/>
    </row>
    <row r="184" spans="2:20" ht="13.5">
      <c r="B184" s="412"/>
      <c r="C184" s="428" t="s">
        <v>80</v>
      </c>
      <c r="D184" s="421">
        <v>0</v>
      </c>
      <c r="E184" s="421">
        <v>0</v>
      </c>
      <c r="F184" s="421">
        <v>24.3021024292247</v>
      </c>
      <c r="G184" s="421">
        <v>117.69678632039</v>
      </c>
      <c r="H184" s="421">
        <v>0</v>
      </c>
      <c r="I184" s="421">
        <v>0</v>
      </c>
      <c r="J184" s="421">
        <v>73.828773979634093</v>
      </c>
      <c r="K184" s="421">
        <v>0</v>
      </c>
      <c r="L184" s="421">
        <v>0</v>
      </c>
      <c r="M184" s="421">
        <v>2.4019752310283602</v>
      </c>
      <c r="N184" s="421">
        <v>47.128746569474501</v>
      </c>
      <c r="O184" s="421">
        <v>0.960766193181818</v>
      </c>
      <c r="P184" s="421">
        <v>176.67464437802599</v>
      </c>
      <c r="Q184" s="421">
        <v>15.6460082308098</v>
      </c>
      <c r="R184" s="421">
        <v>0</v>
      </c>
      <c r="S184" s="429">
        <v>458.63980333176897</v>
      </c>
      <c r="T184" s="412"/>
    </row>
    <row r="185" spans="2:20" ht="13.5">
      <c r="B185" s="412"/>
      <c r="C185" s="428" t="s">
        <v>81</v>
      </c>
      <c r="D185" s="421">
        <v>0</v>
      </c>
      <c r="E185" s="421">
        <v>0</v>
      </c>
      <c r="F185" s="421">
        <v>10.1168071467599</v>
      </c>
      <c r="G185" s="421">
        <v>64.901290043876799</v>
      </c>
      <c r="H185" s="421">
        <v>0</v>
      </c>
      <c r="I185" s="421">
        <v>0</v>
      </c>
      <c r="J185" s="421">
        <v>3.5137864042396001</v>
      </c>
      <c r="K185" s="421">
        <v>0</v>
      </c>
      <c r="L185" s="421">
        <v>0</v>
      </c>
      <c r="M185" s="421">
        <v>1.32451612334442</v>
      </c>
      <c r="N185" s="421">
        <v>6.7545563022467299</v>
      </c>
      <c r="O185" s="421">
        <v>0.80925156664740405</v>
      </c>
      <c r="P185" s="421">
        <v>134.394459446703</v>
      </c>
      <c r="Q185" s="421">
        <v>4.1966225672745496</v>
      </c>
      <c r="R185" s="421">
        <v>0</v>
      </c>
      <c r="S185" s="429">
        <v>226.01128960109199</v>
      </c>
      <c r="T185" s="412"/>
    </row>
    <row r="186" spans="2:20" ht="13.5">
      <c r="B186" s="412"/>
      <c r="C186" s="428" t="s">
        <v>82</v>
      </c>
      <c r="D186" s="421">
        <v>0</v>
      </c>
      <c r="E186" s="421">
        <v>0</v>
      </c>
      <c r="F186" s="421">
        <v>18.642153643202501</v>
      </c>
      <c r="G186" s="421">
        <v>4.3584066600117204</v>
      </c>
      <c r="H186" s="421">
        <v>0</v>
      </c>
      <c r="I186" s="421">
        <v>0</v>
      </c>
      <c r="J186" s="421">
        <v>1.13166062537042</v>
      </c>
      <c r="K186" s="421">
        <v>0</v>
      </c>
      <c r="L186" s="421">
        <v>9.8804671183263206</v>
      </c>
      <c r="M186" s="421">
        <v>8.8947074694116696E-2</v>
      </c>
      <c r="N186" s="421">
        <v>0</v>
      </c>
      <c r="O186" s="421">
        <v>7.8328904674825395E-2</v>
      </c>
      <c r="P186" s="421">
        <v>7.9375945805684101</v>
      </c>
      <c r="Q186" s="421">
        <v>0</v>
      </c>
      <c r="R186" s="421">
        <v>0</v>
      </c>
      <c r="S186" s="429">
        <v>42.117558606848299</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ht="13.5">
      <c r="B188" s="412"/>
      <c r="C188" s="424" t="s">
        <v>83</v>
      </c>
      <c r="D188" s="425">
        <v>5.6972080479890099</v>
      </c>
      <c r="E188" s="425">
        <v>0</v>
      </c>
      <c r="F188" s="425">
        <v>347.77327598222001</v>
      </c>
      <c r="G188" s="425">
        <v>313.17018567794099</v>
      </c>
      <c r="H188" s="425">
        <v>0</v>
      </c>
      <c r="I188" s="425">
        <v>0</v>
      </c>
      <c r="J188" s="425">
        <v>95.559140942616196</v>
      </c>
      <c r="K188" s="425">
        <v>4.2228886849058398</v>
      </c>
      <c r="L188" s="425">
        <v>38.300029846123998</v>
      </c>
      <c r="M188" s="425">
        <v>6.3912282791416599</v>
      </c>
      <c r="N188" s="425">
        <v>53.883302871721199</v>
      </c>
      <c r="O188" s="425">
        <v>1.8483466645040501</v>
      </c>
      <c r="P188" s="425">
        <v>469.41867608341198</v>
      </c>
      <c r="Q188" s="425">
        <v>37.848119874722101</v>
      </c>
      <c r="R188" s="425">
        <v>1.36429815401034</v>
      </c>
      <c r="S188" s="425">
        <v>1375.4767011093099</v>
      </c>
      <c r="T188" s="412"/>
    </row>
    <row r="189" spans="2:20" ht="13.5">
      <c r="B189" s="412"/>
      <c r="C189" s="420" t="s">
        <v>84</v>
      </c>
      <c r="D189" s="421">
        <v>2.2600859375</v>
      </c>
      <c r="E189" s="421">
        <v>0</v>
      </c>
      <c r="F189" s="421">
        <v>137.93569857611899</v>
      </c>
      <c r="G189" s="421">
        <v>12.394041976947101</v>
      </c>
      <c r="H189" s="421">
        <v>0</v>
      </c>
      <c r="I189" s="421">
        <v>0</v>
      </c>
      <c r="J189" s="421">
        <v>0</v>
      </c>
      <c r="K189" s="421">
        <v>0</v>
      </c>
      <c r="L189" s="421">
        <v>0</v>
      </c>
      <c r="M189" s="421">
        <v>0</v>
      </c>
      <c r="N189" s="421">
        <v>0</v>
      </c>
      <c r="O189" s="421">
        <v>0</v>
      </c>
      <c r="P189" s="421">
        <v>0</v>
      </c>
      <c r="Q189" s="421">
        <v>0</v>
      </c>
      <c r="R189" s="421">
        <v>0.29375808105468698</v>
      </c>
      <c r="S189" s="429">
        <v>152.88358457162099</v>
      </c>
      <c r="T189" s="412"/>
    </row>
    <row r="190" spans="2:20" ht="13.5">
      <c r="B190" s="412"/>
      <c r="C190" s="424" t="s">
        <v>85</v>
      </c>
      <c r="D190" s="425">
        <v>7.9572939854890103</v>
      </c>
      <c r="E190" s="425">
        <v>0</v>
      </c>
      <c r="F190" s="425">
        <v>485.70897455833898</v>
      </c>
      <c r="G190" s="425">
        <v>325.56422765488799</v>
      </c>
      <c r="H190" s="425">
        <v>0</v>
      </c>
      <c r="I190" s="425">
        <v>0</v>
      </c>
      <c r="J190" s="425">
        <v>95.559140942616196</v>
      </c>
      <c r="K190" s="425">
        <v>4.2228886849058398</v>
      </c>
      <c r="L190" s="425">
        <v>38.300029846123998</v>
      </c>
      <c r="M190" s="425">
        <v>6.3912282791416599</v>
      </c>
      <c r="N190" s="425">
        <v>53.883302871721199</v>
      </c>
      <c r="O190" s="425">
        <v>1.8483466645040501</v>
      </c>
      <c r="P190" s="425">
        <v>469.41867608341198</v>
      </c>
      <c r="Q190" s="425">
        <v>37.848119874722101</v>
      </c>
      <c r="R190" s="425">
        <v>1.6580562350650301</v>
      </c>
      <c r="S190" s="425">
        <v>1528.36028568093</v>
      </c>
      <c r="T190" s="412"/>
    </row>
    <row r="191" spans="2:20">
      <c r="B191" s="412"/>
      <c r="C191" s="412"/>
      <c r="D191" s="430">
        <f t="shared" ref="D191:S191" si="4">D190+D180-D166</f>
        <v>0</v>
      </c>
      <c r="E191" s="430">
        <f t="shared" si="4"/>
        <v>0</v>
      </c>
      <c r="F191" s="430">
        <f t="shared" si="4"/>
        <v>-1.6786572132332367E-13</v>
      </c>
      <c r="G191" s="430">
        <f t="shared" si="4"/>
        <v>0</v>
      </c>
      <c r="H191" s="430">
        <f t="shared" si="4"/>
        <v>0</v>
      </c>
      <c r="I191" s="430">
        <f t="shared" si="4"/>
        <v>0</v>
      </c>
      <c r="J191" s="430">
        <f t="shared" si="4"/>
        <v>3.1263880373444408E-13</v>
      </c>
      <c r="K191" s="430">
        <f t="shared" si="4"/>
        <v>4.2632564145606011E-14</v>
      </c>
      <c r="L191" s="430">
        <f t="shared" si="4"/>
        <v>2.6090241078691179E-14</v>
      </c>
      <c r="M191" s="430">
        <f t="shared" si="4"/>
        <v>0</v>
      </c>
      <c r="N191" s="430">
        <f t="shared" si="4"/>
        <v>0</v>
      </c>
      <c r="O191" s="430">
        <f t="shared" si="4"/>
        <v>0</v>
      </c>
      <c r="P191" s="430">
        <f t="shared" si="4"/>
        <v>3.765876499528531E-13</v>
      </c>
      <c r="Q191" s="430">
        <f t="shared" si="4"/>
        <v>0</v>
      </c>
      <c r="R191" s="430">
        <f t="shared" si="4"/>
        <v>0</v>
      </c>
      <c r="S191" s="430">
        <f t="shared" si="4"/>
        <v>0</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362</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2.3260000000000001</v>
      </c>
      <c r="F197" s="421">
        <v>0</v>
      </c>
      <c r="G197" s="421">
        <v>3.7215999999999999E-2</v>
      </c>
      <c r="H197" s="422">
        <v>1005.45454545455</v>
      </c>
      <c r="I197" s="422">
        <v>246.08</v>
      </c>
      <c r="J197" s="422">
        <v>180.45818950373001</v>
      </c>
      <c r="K197" s="422">
        <v>23.324330540101599</v>
      </c>
      <c r="L197" s="421">
        <v>0</v>
      </c>
      <c r="M197" s="421">
        <v>0</v>
      </c>
      <c r="N197" s="422">
        <v>57.2465959754038</v>
      </c>
      <c r="O197" s="422">
        <v>4.06931439737036</v>
      </c>
      <c r="P197" s="421">
        <v>0</v>
      </c>
      <c r="Q197" s="421">
        <v>0</v>
      </c>
      <c r="R197" s="421">
        <v>0</v>
      </c>
      <c r="S197" s="423">
        <v>1518.9961918711499</v>
      </c>
      <c r="T197" s="412"/>
    </row>
    <row r="198" spans="2:20" ht="13.5">
      <c r="B198" s="412"/>
      <c r="C198" s="420" t="s">
        <v>60</v>
      </c>
      <c r="D198" s="421">
        <v>33.607567251657201</v>
      </c>
      <c r="E198" s="421">
        <v>509.74501402008298</v>
      </c>
      <c r="F198" s="421">
        <v>72.737164762837693</v>
      </c>
      <c r="G198" s="421">
        <v>374.55851469184501</v>
      </c>
      <c r="H198" s="421">
        <v>0</v>
      </c>
      <c r="I198" s="421">
        <v>0</v>
      </c>
      <c r="J198" s="421">
        <v>0</v>
      </c>
      <c r="K198" s="421">
        <v>0</v>
      </c>
      <c r="L198" s="421">
        <v>0</v>
      </c>
      <c r="M198" s="421">
        <v>0</v>
      </c>
      <c r="N198" s="421">
        <v>0</v>
      </c>
      <c r="O198" s="421">
        <v>0</v>
      </c>
      <c r="P198" s="421">
        <v>0</v>
      </c>
      <c r="Q198" s="421">
        <v>0</v>
      </c>
      <c r="R198" s="421">
        <v>0</v>
      </c>
      <c r="S198" s="423">
        <v>990.64826072642302</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-40.599613583103199</v>
      </c>
      <c r="Q199" s="421">
        <v>0</v>
      </c>
      <c r="R199" s="421">
        <v>0</v>
      </c>
      <c r="S199" s="423">
        <v>-40.599613583103199</v>
      </c>
      <c r="T199" s="412"/>
    </row>
    <row r="200" spans="2:20" ht="13.5">
      <c r="B200" s="412"/>
      <c r="C200" s="420" t="s">
        <v>62</v>
      </c>
      <c r="D200" s="421">
        <v>0</v>
      </c>
      <c r="E200" s="421">
        <v>0</v>
      </c>
      <c r="F200" s="421">
        <v>-16.016991189558802</v>
      </c>
      <c r="G200" s="421">
        <v>0</v>
      </c>
      <c r="H200" s="421">
        <v>0</v>
      </c>
      <c r="I200" s="421">
        <v>0</v>
      </c>
      <c r="J200" s="421">
        <v>0</v>
      </c>
      <c r="K200" s="421">
        <v>0</v>
      </c>
      <c r="L200" s="421">
        <v>0</v>
      </c>
      <c r="M200" s="421">
        <v>0</v>
      </c>
      <c r="N200" s="421">
        <v>0</v>
      </c>
      <c r="O200" s="421">
        <v>0</v>
      </c>
      <c r="P200" s="421">
        <v>0</v>
      </c>
      <c r="Q200" s="421">
        <v>0</v>
      </c>
      <c r="R200" s="421">
        <v>0</v>
      </c>
      <c r="S200" s="423">
        <v>-16.016991189558802</v>
      </c>
      <c r="T200" s="412"/>
    </row>
    <row r="201" spans="2:20" ht="13.5">
      <c r="B201" s="412"/>
      <c r="C201" s="420" t="s">
        <v>63</v>
      </c>
      <c r="D201" s="421">
        <v>0</v>
      </c>
      <c r="E201" s="421">
        <v>0</v>
      </c>
      <c r="F201" s="421">
        <v>-85.292767146842095</v>
      </c>
      <c r="G201" s="421">
        <v>0</v>
      </c>
      <c r="H201" s="421">
        <v>0</v>
      </c>
      <c r="I201" s="421">
        <v>0</v>
      </c>
      <c r="J201" s="421">
        <v>0</v>
      </c>
      <c r="K201" s="421">
        <v>0</v>
      </c>
      <c r="L201" s="421">
        <v>-0.88147124718821601</v>
      </c>
      <c r="M201" s="421">
        <v>0</v>
      </c>
      <c r="N201" s="421">
        <v>0</v>
      </c>
      <c r="O201" s="421">
        <v>0</v>
      </c>
      <c r="P201" s="421">
        <v>0</v>
      </c>
      <c r="Q201" s="421">
        <v>0</v>
      </c>
      <c r="R201" s="421">
        <v>0</v>
      </c>
      <c r="S201" s="423">
        <v>-86.174238394030297</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33.607567251657201</v>
      </c>
      <c r="E203" s="425">
        <v>512.071014020083</v>
      </c>
      <c r="F203" s="425">
        <v>-28.5725935735632</v>
      </c>
      <c r="G203" s="425">
        <v>374.59573069184501</v>
      </c>
      <c r="H203" s="425">
        <v>1005.45454545455</v>
      </c>
      <c r="I203" s="425">
        <v>246.08</v>
      </c>
      <c r="J203" s="425">
        <v>180.45818950373001</v>
      </c>
      <c r="K203" s="425">
        <v>23.324330540101599</v>
      </c>
      <c r="L203" s="425">
        <v>-0.88147124718821601</v>
      </c>
      <c r="M203" s="425">
        <v>0</v>
      </c>
      <c r="N203" s="425">
        <v>57.2465959754038</v>
      </c>
      <c r="O203" s="425">
        <v>4.06931439737036</v>
      </c>
      <c r="P203" s="425">
        <v>-40.599613583103199</v>
      </c>
      <c r="Q203" s="425">
        <v>0</v>
      </c>
      <c r="R203" s="425">
        <v>0</v>
      </c>
      <c r="S203" s="425">
        <v>2366.8536094308802</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2.2004707355665598</v>
      </c>
      <c r="E206" s="421">
        <v>0</v>
      </c>
      <c r="F206" s="421">
        <v>3.8636363636363602</v>
      </c>
      <c r="G206" s="421">
        <v>17.955675135092299</v>
      </c>
      <c r="H206" s="421">
        <v>1005.45454545455</v>
      </c>
      <c r="I206" s="421">
        <v>246.08</v>
      </c>
      <c r="J206" s="421">
        <v>24.057674539507001</v>
      </c>
      <c r="K206" s="421">
        <v>6.4003284253933197</v>
      </c>
      <c r="L206" s="421">
        <v>0</v>
      </c>
      <c r="M206" s="421">
        <v>0.366442349695761</v>
      </c>
      <c r="N206" s="421">
        <v>0</v>
      </c>
      <c r="O206" s="421">
        <v>0</v>
      </c>
      <c r="P206" s="421">
        <v>-600.72360696632904</v>
      </c>
      <c r="Q206" s="421">
        <v>0</v>
      </c>
      <c r="R206" s="421">
        <v>0</v>
      </c>
      <c r="S206" s="429">
        <v>705.65516603710796</v>
      </c>
      <c r="T206" s="412"/>
    </row>
    <row r="207" spans="2:20" ht="13.5">
      <c r="B207" s="412"/>
      <c r="C207" s="428" t="s">
        <v>351</v>
      </c>
      <c r="D207" s="421">
        <v>0</v>
      </c>
      <c r="E207" s="421">
        <v>0</v>
      </c>
      <c r="F207" s="421">
        <v>0</v>
      </c>
      <c r="G207" s="421">
        <v>17.1879921419563</v>
      </c>
      <c r="H207" s="421">
        <v>0</v>
      </c>
      <c r="I207" s="421">
        <v>0</v>
      </c>
      <c r="J207" s="421">
        <v>12.682834988028199</v>
      </c>
      <c r="K207" s="421">
        <v>12.7191917514679</v>
      </c>
      <c r="L207" s="421">
        <v>0</v>
      </c>
      <c r="M207" s="421">
        <v>0.35077534983584302</v>
      </c>
      <c r="N207" s="421">
        <v>0</v>
      </c>
      <c r="O207" s="421">
        <v>2.2454573880541999</v>
      </c>
      <c r="P207" s="421">
        <v>0</v>
      </c>
      <c r="Q207" s="421">
        <v>-41.0285859229053</v>
      </c>
      <c r="R207" s="421">
        <v>0</v>
      </c>
      <c r="S207" s="429">
        <v>4.1576656964370899</v>
      </c>
      <c r="T207" s="412"/>
    </row>
    <row r="208" spans="2:20" ht="13.5">
      <c r="B208" s="412"/>
      <c r="C208" s="428" t="s">
        <v>352</v>
      </c>
      <c r="D208" s="421">
        <v>0</v>
      </c>
      <c r="E208" s="421">
        <v>0</v>
      </c>
      <c r="F208" s="421">
        <v>0</v>
      </c>
      <c r="G208" s="421">
        <v>0</v>
      </c>
      <c r="H208" s="421">
        <v>0</v>
      </c>
      <c r="I208" s="421">
        <v>0</v>
      </c>
      <c r="J208" s="421">
        <v>8.1791621467337805</v>
      </c>
      <c r="K208" s="421">
        <v>0</v>
      </c>
      <c r="L208" s="421">
        <v>0</v>
      </c>
      <c r="M208" s="421">
        <v>-7.3939625806473401</v>
      </c>
      <c r="N208" s="421">
        <v>0</v>
      </c>
      <c r="O208" s="421">
        <v>0</v>
      </c>
      <c r="P208" s="421">
        <v>0</v>
      </c>
      <c r="Q208" s="421">
        <v>0</v>
      </c>
      <c r="R208" s="421">
        <v>0</v>
      </c>
      <c r="S208" s="429">
        <v>0.78519956608644204</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530.45114623720201</v>
      </c>
      <c r="F210" s="421">
        <v>-525.14663477482998</v>
      </c>
      <c r="G210" s="421">
        <v>0</v>
      </c>
      <c r="H210" s="421">
        <v>0</v>
      </c>
      <c r="I210" s="421">
        <v>0</v>
      </c>
      <c r="J210" s="421">
        <v>0</v>
      </c>
      <c r="K210" s="421">
        <v>0</v>
      </c>
      <c r="L210" s="421">
        <v>0</v>
      </c>
      <c r="M210" s="421">
        <v>0</v>
      </c>
      <c r="N210" s="421">
        <v>0</v>
      </c>
      <c r="O210" s="421">
        <v>0</v>
      </c>
      <c r="P210" s="421">
        <v>0</v>
      </c>
      <c r="Q210" s="421">
        <v>0</v>
      </c>
      <c r="R210" s="421">
        <v>0</v>
      </c>
      <c r="S210" s="429">
        <v>5.3045114623720302</v>
      </c>
      <c r="T210" s="412"/>
    </row>
    <row r="211" spans="2:20" ht="13.5">
      <c r="B211" s="412"/>
      <c r="C211" s="428" t="s">
        <v>354</v>
      </c>
      <c r="D211" s="421">
        <v>0</v>
      </c>
      <c r="E211" s="421">
        <v>0</v>
      </c>
      <c r="F211" s="421">
        <v>0</v>
      </c>
      <c r="G211" s="421">
        <v>0</v>
      </c>
      <c r="H211" s="421">
        <v>0</v>
      </c>
      <c r="I211" s="421">
        <v>0</v>
      </c>
      <c r="J211" s="421">
        <v>39.445597700089998</v>
      </c>
      <c r="K211" s="421">
        <v>0</v>
      </c>
      <c r="L211" s="421">
        <v>-39.445597700089998</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-0.18005031965795901</v>
      </c>
      <c r="M212" s="421">
        <v>0</v>
      </c>
      <c r="N212" s="421">
        <v>0</v>
      </c>
      <c r="O212" s="421">
        <v>0</v>
      </c>
      <c r="P212" s="421">
        <v>0</v>
      </c>
      <c r="Q212" s="421">
        <v>0</v>
      </c>
      <c r="R212" s="421">
        <v>0.25721474236851299</v>
      </c>
      <c r="S212" s="429">
        <v>7.7164422710554001E-2</v>
      </c>
      <c r="T212" s="412"/>
    </row>
    <row r="213" spans="2:20" ht="13.5">
      <c r="B213" s="412"/>
      <c r="C213" s="428" t="s">
        <v>73</v>
      </c>
      <c r="D213" s="421">
        <v>0</v>
      </c>
      <c r="E213" s="421">
        <v>0</v>
      </c>
      <c r="F213" s="421">
        <v>0</v>
      </c>
      <c r="G213" s="421">
        <v>3.2927955650537002</v>
      </c>
      <c r="H213" s="421">
        <v>0</v>
      </c>
      <c r="I213" s="421">
        <v>0</v>
      </c>
      <c r="J213" s="421">
        <v>0</v>
      </c>
      <c r="K213" s="421">
        <v>3.7583841997143097E-2</v>
      </c>
      <c r="L213" s="421">
        <v>0</v>
      </c>
      <c r="M213" s="421">
        <v>6.7199909490891899E-2</v>
      </c>
      <c r="N213" s="421">
        <v>0</v>
      </c>
      <c r="O213" s="421">
        <v>0</v>
      </c>
      <c r="P213" s="421">
        <v>0.37251241625487003</v>
      </c>
      <c r="Q213" s="421">
        <v>0</v>
      </c>
      <c r="R213" s="421">
        <v>-2.63086893980002</v>
      </c>
      <c r="S213" s="429">
        <v>1.1392227929965899</v>
      </c>
      <c r="T213" s="412"/>
    </row>
    <row r="214" spans="2:20" ht="13.5">
      <c r="B214" s="412"/>
      <c r="C214" s="428" t="s">
        <v>356</v>
      </c>
      <c r="D214" s="421">
        <v>14.1944855957031</v>
      </c>
      <c r="E214" s="421">
        <v>-18.380132217119101</v>
      </c>
      <c r="F214" s="421">
        <v>24.040127313749402</v>
      </c>
      <c r="G214" s="421">
        <v>0</v>
      </c>
      <c r="H214" s="421">
        <v>0</v>
      </c>
      <c r="I214" s="421">
        <v>0</v>
      </c>
      <c r="J214" s="421">
        <v>0</v>
      </c>
      <c r="K214" s="421">
        <v>0</v>
      </c>
      <c r="L214" s="421">
        <v>0</v>
      </c>
      <c r="M214" s="421">
        <v>0</v>
      </c>
      <c r="N214" s="421">
        <v>0</v>
      </c>
      <c r="O214" s="421">
        <v>0</v>
      </c>
      <c r="P214" s="421">
        <v>0</v>
      </c>
      <c r="Q214" s="421">
        <v>0</v>
      </c>
      <c r="R214" s="421">
        <v>0</v>
      </c>
      <c r="S214" s="429">
        <v>19.8544806923335</v>
      </c>
      <c r="T214" s="412"/>
    </row>
    <row r="215" spans="2:20" ht="13.5">
      <c r="B215" s="412"/>
      <c r="C215" s="428" t="s">
        <v>75</v>
      </c>
      <c r="D215" s="421">
        <v>9.7861113281249992</v>
      </c>
      <c r="E215" s="421">
        <v>0</v>
      </c>
      <c r="F215" s="421">
        <v>18.035338972064899</v>
      </c>
      <c r="G215" s="421">
        <v>5.1464370207933401</v>
      </c>
      <c r="H215" s="421">
        <v>0</v>
      </c>
      <c r="I215" s="421">
        <v>0</v>
      </c>
      <c r="J215" s="421">
        <v>0</v>
      </c>
      <c r="K215" s="421">
        <v>0</v>
      </c>
      <c r="L215" s="421">
        <v>0</v>
      </c>
      <c r="M215" s="421">
        <v>0.105029326954966</v>
      </c>
      <c r="N215" s="421">
        <v>0</v>
      </c>
      <c r="O215" s="421">
        <v>0</v>
      </c>
      <c r="P215" s="421">
        <v>31.7730894392256</v>
      </c>
      <c r="Q215" s="421">
        <v>0</v>
      </c>
      <c r="R215" s="421">
        <v>0</v>
      </c>
      <c r="S215" s="429">
        <v>64.846006087163701</v>
      </c>
      <c r="T215" s="412"/>
    </row>
    <row r="216" spans="2:20" ht="13.5">
      <c r="B216" s="412"/>
      <c r="C216" s="428" t="s">
        <v>76</v>
      </c>
      <c r="D216" s="421">
        <v>0</v>
      </c>
      <c r="E216" s="421">
        <v>0</v>
      </c>
      <c r="F216" s="421">
        <v>0</v>
      </c>
      <c r="G216" s="421">
        <v>4.2960968353958799</v>
      </c>
      <c r="H216" s="421">
        <v>0</v>
      </c>
      <c r="I216" s="421">
        <v>0</v>
      </c>
      <c r="J216" s="421">
        <v>0</v>
      </c>
      <c r="K216" s="421">
        <v>0</v>
      </c>
      <c r="L216" s="421">
        <v>0</v>
      </c>
      <c r="M216" s="421">
        <v>8.7675445620324199E-2</v>
      </c>
      <c r="N216" s="421">
        <v>0</v>
      </c>
      <c r="O216" s="421">
        <v>0</v>
      </c>
      <c r="P216" s="421">
        <v>42.927323592620297</v>
      </c>
      <c r="Q216" s="421">
        <v>3.1793369165350902</v>
      </c>
      <c r="R216" s="421">
        <v>0</v>
      </c>
      <c r="S216" s="429">
        <v>50.490432790171603</v>
      </c>
      <c r="T216" s="412"/>
    </row>
    <row r="217" spans="2:20" ht="13.5">
      <c r="B217" s="412"/>
      <c r="C217" s="424" t="s">
        <v>77</v>
      </c>
      <c r="D217" s="425">
        <v>26.181067659394699</v>
      </c>
      <c r="E217" s="425">
        <v>512.071014020083</v>
      </c>
      <c r="F217" s="425">
        <v>-479.20753212538</v>
      </c>
      <c r="G217" s="425">
        <v>47.878996698291502</v>
      </c>
      <c r="H217" s="425">
        <v>1005.45454545455</v>
      </c>
      <c r="I217" s="425">
        <v>246.08</v>
      </c>
      <c r="J217" s="425">
        <v>84.365269374358903</v>
      </c>
      <c r="K217" s="425">
        <v>19.157104018858298</v>
      </c>
      <c r="L217" s="425">
        <v>-39.625648019747899</v>
      </c>
      <c r="M217" s="425">
        <v>-6.4168401990495498</v>
      </c>
      <c r="N217" s="425">
        <v>0</v>
      </c>
      <c r="O217" s="425">
        <v>2.2454573880541999</v>
      </c>
      <c r="P217" s="425">
        <v>-525.650681518228</v>
      </c>
      <c r="Q217" s="425">
        <v>-37.849249006370201</v>
      </c>
      <c r="R217" s="425">
        <v>-2.37365419743151</v>
      </c>
      <c r="S217" s="425">
        <v>852.30984954737903</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5.2125076489031201</v>
      </c>
      <c r="E219" s="421">
        <v>0</v>
      </c>
      <c r="F219" s="421">
        <v>21.727756673907599</v>
      </c>
      <c r="G219" s="421">
        <v>101.51924937784101</v>
      </c>
      <c r="H219" s="421">
        <v>0</v>
      </c>
      <c r="I219" s="421">
        <v>0</v>
      </c>
      <c r="J219" s="421">
        <v>17.0707077986517</v>
      </c>
      <c r="K219" s="421">
        <v>4.1672265212432702</v>
      </c>
      <c r="L219" s="421">
        <v>0.85564616601562504</v>
      </c>
      <c r="M219" s="421">
        <v>2.07182141587431</v>
      </c>
      <c r="N219" s="421">
        <v>0</v>
      </c>
      <c r="O219" s="421">
        <v>0</v>
      </c>
      <c r="P219" s="421">
        <v>108.651427718851</v>
      </c>
      <c r="Q219" s="421">
        <v>18.253539143187599</v>
      </c>
      <c r="R219" s="421">
        <v>0.245581359863281</v>
      </c>
      <c r="S219" s="429">
        <v>279.775463824339</v>
      </c>
      <c r="T219" s="412"/>
    </row>
    <row r="220" spans="2:20" ht="13.5">
      <c r="B220" s="412"/>
      <c r="C220" s="428" t="s">
        <v>79</v>
      </c>
      <c r="D220" s="421">
        <v>0</v>
      </c>
      <c r="E220" s="421">
        <v>0</v>
      </c>
      <c r="F220" s="421">
        <v>248.35405318252</v>
      </c>
      <c r="G220" s="421">
        <v>28.348372671164501</v>
      </c>
      <c r="H220" s="421">
        <v>0</v>
      </c>
      <c r="I220" s="421">
        <v>0</v>
      </c>
      <c r="J220" s="421">
        <v>0</v>
      </c>
      <c r="K220" s="421">
        <v>0</v>
      </c>
      <c r="L220" s="421">
        <v>25.168184235978501</v>
      </c>
      <c r="M220" s="421">
        <v>0.57853821777886805</v>
      </c>
      <c r="N220" s="421">
        <v>0</v>
      </c>
      <c r="O220" s="421">
        <v>0</v>
      </c>
      <c r="P220" s="421">
        <v>52.469592014343696</v>
      </c>
      <c r="Q220" s="421">
        <v>0</v>
      </c>
      <c r="R220" s="421">
        <v>1.65835229069323</v>
      </c>
      <c r="S220" s="429">
        <v>356.57709261247902</v>
      </c>
      <c r="T220" s="412"/>
    </row>
    <row r="221" spans="2:20" ht="13.5">
      <c r="B221" s="412"/>
      <c r="C221" s="428" t="s">
        <v>80</v>
      </c>
      <c r="D221" s="421">
        <v>0</v>
      </c>
      <c r="E221" s="421">
        <v>0</v>
      </c>
      <c r="F221" s="421">
        <v>20.256761512665399</v>
      </c>
      <c r="G221" s="421">
        <v>114.236246094908</v>
      </c>
      <c r="H221" s="421">
        <v>0</v>
      </c>
      <c r="I221" s="421">
        <v>0</v>
      </c>
      <c r="J221" s="421">
        <v>74.165421932581495</v>
      </c>
      <c r="K221" s="421">
        <v>0</v>
      </c>
      <c r="L221" s="421">
        <v>0</v>
      </c>
      <c r="M221" s="421">
        <v>2.3313519611205602</v>
      </c>
      <c r="N221" s="421">
        <v>50.603124329176602</v>
      </c>
      <c r="O221" s="421">
        <v>0.95734789320939595</v>
      </c>
      <c r="P221" s="421">
        <v>178.886337281088</v>
      </c>
      <c r="Q221" s="421">
        <v>15.5186626122163</v>
      </c>
      <c r="R221" s="421">
        <v>0</v>
      </c>
      <c r="S221" s="429">
        <v>456.95525361696502</v>
      </c>
      <c r="T221" s="412"/>
    </row>
    <row r="222" spans="2:20" ht="13.5">
      <c r="B222" s="412"/>
      <c r="C222" s="428" t="s">
        <v>81</v>
      </c>
      <c r="D222" s="421">
        <v>0</v>
      </c>
      <c r="E222" s="421">
        <v>0</v>
      </c>
      <c r="F222" s="421">
        <v>8.4821062063849304</v>
      </c>
      <c r="G222" s="421">
        <v>65.4970920681791</v>
      </c>
      <c r="H222" s="421">
        <v>0</v>
      </c>
      <c r="I222" s="421">
        <v>0</v>
      </c>
      <c r="J222" s="421">
        <v>3.4528006603112198</v>
      </c>
      <c r="K222" s="421">
        <v>0</v>
      </c>
      <c r="L222" s="421">
        <v>0</v>
      </c>
      <c r="M222" s="421">
        <v>1.3366753483301901</v>
      </c>
      <c r="N222" s="421">
        <v>6.6434716462271597</v>
      </c>
      <c r="O222" s="421">
        <v>0.79174204160808703</v>
      </c>
      <c r="P222" s="421">
        <v>137.26768731378999</v>
      </c>
      <c r="Q222" s="421">
        <v>4.0770472509662401</v>
      </c>
      <c r="R222" s="421">
        <v>0</v>
      </c>
      <c r="S222" s="429">
        <v>227.54862253579699</v>
      </c>
      <c r="T222" s="412"/>
    </row>
    <row r="223" spans="2:20" ht="13.5">
      <c r="B223" s="412"/>
      <c r="C223" s="428" t="s">
        <v>82</v>
      </c>
      <c r="D223" s="421">
        <v>0</v>
      </c>
      <c r="E223" s="421">
        <v>0</v>
      </c>
      <c r="F223" s="421">
        <v>13.750506376214</v>
      </c>
      <c r="G223" s="421">
        <v>4.8242095413356898</v>
      </c>
      <c r="H223" s="421">
        <v>0</v>
      </c>
      <c r="I223" s="421">
        <v>0</v>
      </c>
      <c r="J223" s="421">
        <v>1.4039897378261701</v>
      </c>
      <c r="K223" s="421">
        <v>0</v>
      </c>
      <c r="L223" s="421">
        <v>12.720346370565601</v>
      </c>
      <c r="M223" s="421">
        <v>9.8453255945626303E-2</v>
      </c>
      <c r="N223" s="421">
        <v>0</v>
      </c>
      <c r="O223" s="421">
        <v>7.4767074498679406E-2</v>
      </c>
      <c r="P223" s="421">
        <v>7.7760236070527604</v>
      </c>
      <c r="Q223" s="421">
        <v>0</v>
      </c>
      <c r="R223" s="421">
        <v>0</v>
      </c>
      <c r="S223" s="429">
        <v>40.648295963438599</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ht="13.5">
      <c r="B225" s="412"/>
      <c r="C225" s="424" t="s">
        <v>83</v>
      </c>
      <c r="D225" s="425">
        <v>5.2125076489031201</v>
      </c>
      <c r="E225" s="425">
        <v>0</v>
      </c>
      <c r="F225" s="425">
        <v>312.57118395169198</v>
      </c>
      <c r="G225" s="425">
        <v>314.42516975342801</v>
      </c>
      <c r="H225" s="425">
        <v>0</v>
      </c>
      <c r="I225" s="425">
        <v>0</v>
      </c>
      <c r="J225" s="425">
        <v>96.092920129370597</v>
      </c>
      <c r="K225" s="425">
        <v>4.1672265212432702</v>
      </c>
      <c r="L225" s="425">
        <v>38.744176772559697</v>
      </c>
      <c r="M225" s="425">
        <v>6.4168401990495498</v>
      </c>
      <c r="N225" s="425">
        <v>57.2465959754038</v>
      </c>
      <c r="O225" s="425">
        <v>1.8238570093161599</v>
      </c>
      <c r="P225" s="425">
        <v>485.05106793512499</v>
      </c>
      <c r="Q225" s="425">
        <v>37.849249006370201</v>
      </c>
      <c r="R225" s="425">
        <v>1.9039336505565101</v>
      </c>
      <c r="S225" s="425">
        <v>1361.50472855302</v>
      </c>
      <c r="T225" s="412"/>
    </row>
    <row r="226" spans="2:20" ht="13.5">
      <c r="B226" s="412"/>
      <c r="C226" s="420" t="s">
        <v>84</v>
      </c>
      <c r="D226" s="421">
        <v>2.2139919433593702</v>
      </c>
      <c r="E226" s="421">
        <v>0</v>
      </c>
      <c r="F226" s="421">
        <v>138.06375460012401</v>
      </c>
      <c r="G226" s="421">
        <v>12.2915642401253</v>
      </c>
      <c r="H226" s="421">
        <v>0</v>
      </c>
      <c r="I226" s="421">
        <v>0</v>
      </c>
      <c r="J226" s="421">
        <v>0</v>
      </c>
      <c r="K226" s="421">
        <v>0</v>
      </c>
      <c r="L226" s="421">
        <v>0</v>
      </c>
      <c r="M226" s="421">
        <v>0</v>
      </c>
      <c r="N226" s="421">
        <v>0</v>
      </c>
      <c r="O226" s="421">
        <v>0</v>
      </c>
      <c r="P226" s="421">
        <v>0</v>
      </c>
      <c r="Q226" s="421">
        <v>0</v>
      </c>
      <c r="R226" s="421">
        <v>0.46972054687499998</v>
      </c>
      <c r="S226" s="429">
        <v>153.03903133048399</v>
      </c>
      <c r="T226" s="412"/>
    </row>
    <row r="227" spans="2:20" ht="13.5">
      <c r="B227" s="412"/>
      <c r="C227" s="424" t="s">
        <v>85</v>
      </c>
      <c r="D227" s="425">
        <v>7.4264995922625001</v>
      </c>
      <c r="E227" s="425">
        <v>0</v>
      </c>
      <c r="F227" s="425">
        <v>450.63493855181599</v>
      </c>
      <c r="G227" s="425">
        <v>326.71673399355302</v>
      </c>
      <c r="H227" s="425">
        <v>0</v>
      </c>
      <c r="I227" s="425">
        <v>0</v>
      </c>
      <c r="J227" s="425">
        <v>96.092920129370597</v>
      </c>
      <c r="K227" s="425">
        <v>4.1672265212432702</v>
      </c>
      <c r="L227" s="425">
        <v>38.744176772559697</v>
      </c>
      <c r="M227" s="425">
        <v>6.4168401990495498</v>
      </c>
      <c r="N227" s="425">
        <v>57.2465959754038</v>
      </c>
      <c r="O227" s="425">
        <v>1.8238570093161599</v>
      </c>
      <c r="P227" s="425">
        <v>485.05106793512499</v>
      </c>
      <c r="Q227" s="425">
        <v>37.849249006370201</v>
      </c>
      <c r="R227" s="425">
        <v>2.37365419743151</v>
      </c>
      <c r="S227" s="425">
        <v>1514.5437598834999</v>
      </c>
      <c r="T227" s="412"/>
    </row>
    <row r="228" spans="2:20">
      <c r="B228" s="412"/>
      <c r="C228" s="412"/>
      <c r="D228" s="430">
        <f t="shared" ref="D228:S228" si="5">D227+D217-D203</f>
        <v>0</v>
      </c>
      <c r="E228" s="430">
        <f t="shared" si="5"/>
        <v>0</v>
      </c>
      <c r="F228" s="430">
        <f t="shared" si="5"/>
        <v>-8.0646600508771371E-13</v>
      </c>
      <c r="G228" s="430">
        <f t="shared" si="5"/>
        <v>-4.5474735088646412E-13</v>
      </c>
      <c r="H228" s="430">
        <f t="shared" si="5"/>
        <v>0</v>
      </c>
      <c r="I228" s="430">
        <f t="shared" si="5"/>
        <v>0</v>
      </c>
      <c r="J228" s="430">
        <f t="shared" si="5"/>
        <v>-5.1159076974727213E-13</v>
      </c>
      <c r="K228" s="430">
        <f t="shared" si="5"/>
        <v>-2.8421709430404007E-14</v>
      </c>
      <c r="L228" s="430">
        <f t="shared" si="5"/>
        <v>1.4210854715202004E-14</v>
      </c>
      <c r="M228" s="430">
        <f t="shared" si="5"/>
        <v>0</v>
      </c>
      <c r="N228" s="430">
        <f t="shared" si="5"/>
        <v>0</v>
      </c>
      <c r="O228" s="430">
        <f t="shared" si="5"/>
        <v>0</v>
      </c>
      <c r="P228" s="430">
        <f t="shared" si="5"/>
        <v>1.9184653865522705E-13</v>
      </c>
      <c r="Q228" s="430">
        <f t="shared" si="5"/>
        <v>0</v>
      </c>
      <c r="R228" s="430">
        <f t="shared" si="5"/>
        <v>0</v>
      </c>
      <c r="S228" s="430">
        <f t="shared" si="5"/>
        <v>0</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363</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0</v>
      </c>
      <c r="F234" s="421">
        <v>0</v>
      </c>
      <c r="G234" s="421">
        <v>0</v>
      </c>
      <c r="H234" s="422">
        <v>959.09090909090901</v>
      </c>
      <c r="I234" s="422">
        <v>262.58</v>
      </c>
      <c r="J234" s="422">
        <v>180.265617568263</v>
      </c>
      <c r="K234" s="422">
        <v>23.099472372796701</v>
      </c>
      <c r="L234" s="421">
        <v>0</v>
      </c>
      <c r="M234" s="421">
        <v>0</v>
      </c>
      <c r="N234" s="422">
        <v>59.577309191786703</v>
      </c>
      <c r="O234" s="422">
        <v>4.0524132365006302</v>
      </c>
      <c r="P234" s="421">
        <v>0</v>
      </c>
      <c r="Q234" s="421">
        <v>0</v>
      </c>
      <c r="R234" s="421">
        <v>0</v>
      </c>
      <c r="S234" s="423">
        <v>1488.6657214602601</v>
      </c>
      <c r="T234" s="412"/>
    </row>
    <row r="235" spans="2:20" ht="13.5">
      <c r="B235" s="412"/>
      <c r="C235" s="420" t="s">
        <v>60</v>
      </c>
      <c r="D235" s="421">
        <v>32.718430513686002</v>
      </c>
      <c r="E235" s="421">
        <v>504.19228646673599</v>
      </c>
      <c r="F235" s="421">
        <v>58.276607316060698</v>
      </c>
      <c r="G235" s="421">
        <v>375.54945868825399</v>
      </c>
      <c r="H235" s="421">
        <v>0</v>
      </c>
      <c r="I235" s="421">
        <v>0</v>
      </c>
      <c r="J235" s="421">
        <v>0</v>
      </c>
      <c r="K235" s="421">
        <v>0</v>
      </c>
      <c r="L235" s="421">
        <v>0</v>
      </c>
      <c r="M235" s="421">
        <v>0</v>
      </c>
      <c r="N235" s="421">
        <v>0</v>
      </c>
      <c r="O235" s="421">
        <v>0</v>
      </c>
      <c r="P235" s="421">
        <v>0</v>
      </c>
      <c r="Q235" s="421">
        <v>0</v>
      </c>
      <c r="R235" s="421">
        <v>0</v>
      </c>
      <c r="S235" s="423">
        <v>970.73678298473703</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-31.629492690064499</v>
      </c>
      <c r="Q236" s="421">
        <v>0</v>
      </c>
      <c r="R236" s="421">
        <v>0</v>
      </c>
      <c r="S236" s="423">
        <v>-31.629492690064499</v>
      </c>
      <c r="T236" s="412"/>
    </row>
    <row r="237" spans="2:20" ht="13.5">
      <c r="B237" s="412"/>
      <c r="C237" s="420" t="s">
        <v>62</v>
      </c>
      <c r="D237" s="421">
        <v>0</v>
      </c>
      <c r="E237" s="421">
        <v>0</v>
      </c>
      <c r="F237" s="421">
        <v>-15.8559052566209</v>
      </c>
      <c r="G237" s="421">
        <v>0</v>
      </c>
      <c r="H237" s="421">
        <v>0</v>
      </c>
      <c r="I237" s="421">
        <v>0</v>
      </c>
      <c r="J237" s="421">
        <v>0</v>
      </c>
      <c r="K237" s="421">
        <v>0</v>
      </c>
      <c r="L237" s="421">
        <v>0</v>
      </c>
      <c r="M237" s="421">
        <v>0</v>
      </c>
      <c r="N237" s="421">
        <v>0</v>
      </c>
      <c r="O237" s="421">
        <v>0</v>
      </c>
      <c r="P237" s="421">
        <v>0</v>
      </c>
      <c r="Q237" s="421">
        <v>0</v>
      </c>
      <c r="R237" s="421">
        <v>0</v>
      </c>
      <c r="S237" s="423">
        <v>-15.8559052566209</v>
      </c>
      <c r="T237" s="412"/>
    </row>
    <row r="238" spans="2:20" ht="13.5">
      <c r="B238" s="412"/>
      <c r="C238" s="420" t="s">
        <v>63</v>
      </c>
      <c r="D238" s="421">
        <v>0</v>
      </c>
      <c r="E238" s="421">
        <v>0</v>
      </c>
      <c r="F238" s="421">
        <v>-86.773262368245497</v>
      </c>
      <c r="G238" s="421">
        <v>0</v>
      </c>
      <c r="H238" s="421">
        <v>0</v>
      </c>
      <c r="I238" s="421">
        <v>0</v>
      </c>
      <c r="J238" s="421">
        <v>0</v>
      </c>
      <c r="K238" s="421">
        <v>0</v>
      </c>
      <c r="L238" s="421">
        <v>-0.89665432830126901</v>
      </c>
      <c r="M238" s="421">
        <v>0</v>
      </c>
      <c r="N238" s="421">
        <v>0</v>
      </c>
      <c r="O238" s="421">
        <v>0</v>
      </c>
      <c r="P238" s="421">
        <v>0</v>
      </c>
      <c r="Q238" s="421">
        <v>0</v>
      </c>
      <c r="R238" s="421">
        <v>0</v>
      </c>
      <c r="S238" s="423">
        <v>-87.669916696546807</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32.718430513686002</v>
      </c>
      <c r="E240" s="425">
        <v>504.19228646673599</v>
      </c>
      <c r="F240" s="425">
        <v>-44.3525603088057</v>
      </c>
      <c r="G240" s="425">
        <v>375.54945868825399</v>
      </c>
      <c r="H240" s="425">
        <v>959.09090909090901</v>
      </c>
      <c r="I240" s="425">
        <v>262.58</v>
      </c>
      <c r="J240" s="425">
        <v>180.265617568263</v>
      </c>
      <c r="K240" s="425">
        <v>23.099472372796701</v>
      </c>
      <c r="L240" s="425">
        <v>-0.89665432830126901</v>
      </c>
      <c r="M240" s="425">
        <v>0</v>
      </c>
      <c r="N240" s="425">
        <v>59.577309191786703</v>
      </c>
      <c r="O240" s="425">
        <v>4.0524132365006302</v>
      </c>
      <c r="P240" s="425">
        <v>-31.629492690064499</v>
      </c>
      <c r="Q240" s="425">
        <v>0</v>
      </c>
      <c r="R240" s="425">
        <v>0</v>
      </c>
      <c r="S240" s="425">
        <v>2324.2471898017602</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2.2004707355665598</v>
      </c>
      <c r="E243" s="421">
        <v>0</v>
      </c>
      <c r="F243" s="421">
        <v>3.8636363636363602</v>
      </c>
      <c r="G243" s="421">
        <v>17.735248612195999</v>
      </c>
      <c r="H243" s="421">
        <v>959.09090909090901</v>
      </c>
      <c r="I243" s="421">
        <v>262.58</v>
      </c>
      <c r="J243" s="421">
        <v>23.4611328004797</v>
      </c>
      <c r="K243" s="421">
        <v>6.2174163871509203</v>
      </c>
      <c r="L243" s="421">
        <v>0</v>
      </c>
      <c r="M243" s="421">
        <v>0.36194384922848999</v>
      </c>
      <c r="N243" s="421">
        <v>0</v>
      </c>
      <c r="O243" s="421">
        <v>0</v>
      </c>
      <c r="P243" s="421">
        <v>-601.88588566531905</v>
      </c>
      <c r="Q243" s="421">
        <v>0</v>
      </c>
      <c r="R243" s="421">
        <v>0</v>
      </c>
      <c r="S243" s="429">
        <v>673.62487217384796</v>
      </c>
      <c r="T243" s="412"/>
    </row>
    <row r="244" spans="2:20" ht="13.5">
      <c r="B244" s="412"/>
      <c r="C244" s="428" t="s">
        <v>351</v>
      </c>
      <c r="D244" s="421">
        <v>0</v>
      </c>
      <c r="E244" s="421">
        <v>0</v>
      </c>
      <c r="F244" s="421">
        <v>0</v>
      </c>
      <c r="G244" s="421">
        <v>17.183924372650001</v>
      </c>
      <c r="H244" s="421">
        <v>0</v>
      </c>
      <c r="I244" s="421">
        <v>0</v>
      </c>
      <c r="J244" s="421">
        <v>12.602550905863099</v>
      </c>
      <c r="K244" s="421">
        <v>12.7146561007388</v>
      </c>
      <c r="L244" s="421">
        <v>0</v>
      </c>
      <c r="M244" s="421">
        <v>0.35069233413571399</v>
      </c>
      <c r="N244" s="421">
        <v>0</v>
      </c>
      <c r="O244" s="421">
        <v>2.2448826639763899</v>
      </c>
      <c r="P244" s="421">
        <v>0</v>
      </c>
      <c r="Q244" s="421">
        <v>-41.019007188274998</v>
      </c>
      <c r="R244" s="421">
        <v>0</v>
      </c>
      <c r="S244" s="429">
        <v>4.0776991890889702</v>
      </c>
      <c r="T244" s="412"/>
    </row>
    <row r="245" spans="2:20" ht="13.5">
      <c r="B245" s="412"/>
      <c r="C245" s="428" t="s">
        <v>352</v>
      </c>
      <c r="D245" s="421">
        <v>0</v>
      </c>
      <c r="E245" s="421">
        <v>0</v>
      </c>
      <c r="F245" s="421">
        <v>0</v>
      </c>
      <c r="G245" s="421">
        <v>0</v>
      </c>
      <c r="H245" s="421">
        <v>0</v>
      </c>
      <c r="I245" s="421">
        <v>0</v>
      </c>
      <c r="J245" s="421">
        <v>8.1259394649786305</v>
      </c>
      <c r="K245" s="421">
        <v>0</v>
      </c>
      <c r="L245" s="421">
        <v>0</v>
      </c>
      <c r="M245" s="421">
        <v>-7.4149197617929996</v>
      </c>
      <c r="N245" s="421">
        <v>0</v>
      </c>
      <c r="O245" s="421">
        <v>0</v>
      </c>
      <c r="P245" s="421">
        <v>0</v>
      </c>
      <c r="Q245" s="421">
        <v>0</v>
      </c>
      <c r="R245" s="421">
        <v>0</v>
      </c>
      <c r="S245" s="429">
        <v>0.71101970318563101</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522.289621864335</v>
      </c>
      <c r="F247" s="421">
        <v>-517.06672564569203</v>
      </c>
      <c r="G247" s="421">
        <v>0</v>
      </c>
      <c r="H247" s="421">
        <v>0</v>
      </c>
      <c r="I247" s="421">
        <v>0</v>
      </c>
      <c r="J247" s="421">
        <v>0</v>
      </c>
      <c r="K247" s="421">
        <v>0</v>
      </c>
      <c r="L247" s="421">
        <v>0</v>
      </c>
      <c r="M247" s="421">
        <v>0</v>
      </c>
      <c r="N247" s="421">
        <v>0</v>
      </c>
      <c r="O247" s="421">
        <v>0</v>
      </c>
      <c r="P247" s="421">
        <v>0</v>
      </c>
      <c r="Q247" s="421">
        <v>0</v>
      </c>
      <c r="R247" s="421">
        <v>0</v>
      </c>
      <c r="S247" s="429">
        <v>5.2228962186433101</v>
      </c>
      <c r="T247" s="412"/>
    </row>
    <row r="248" spans="2:20" ht="13.5">
      <c r="B248" s="412"/>
      <c r="C248" s="428" t="s">
        <v>354</v>
      </c>
      <c r="D248" s="421">
        <v>0</v>
      </c>
      <c r="E248" s="421">
        <v>0</v>
      </c>
      <c r="F248" s="421">
        <v>0</v>
      </c>
      <c r="G248" s="421">
        <v>0</v>
      </c>
      <c r="H248" s="421">
        <v>0</v>
      </c>
      <c r="I248" s="421">
        <v>0</v>
      </c>
      <c r="J248" s="421">
        <v>39.636150809514099</v>
      </c>
      <c r="K248" s="421">
        <v>0</v>
      </c>
      <c r="L248" s="421">
        <v>-39.636150809514099</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-0.18158952535457601</v>
      </c>
      <c r="M249" s="421">
        <v>0</v>
      </c>
      <c r="N249" s="421">
        <v>0</v>
      </c>
      <c r="O249" s="421">
        <v>0</v>
      </c>
      <c r="P249" s="421">
        <v>0</v>
      </c>
      <c r="Q249" s="421">
        <v>0</v>
      </c>
      <c r="R249" s="421">
        <v>0.25941360764939397</v>
      </c>
      <c r="S249" s="429">
        <v>7.7824082294818103E-2</v>
      </c>
      <c r="T249" s="412"/>
    </row>
    <row r="250" spans="2:20" ht="13.5">
      <c r="B250" s="412"/>
      <c r="C250" s="428" t="s">
        <v>73</v>
      </c>
      <c r="D250" s="421">
        <v>0</v>
      </c>
      <c r="E250" s="421">
        <v>0</v>
      </c>
      <c r="F250" s="421">
        <v>0</v>
      </c>
      <c r="G250" s="421">
        <v>3.8743456372163201</v>
      </c>
      <c r="H250" s="421">
        <v>0</v>
      </c>
      <c r="I250" s="421">
        <v>0</v>
      </c>
      <c r="J250" s="421">
        <v>0</v>
      </c>
      <c r="K250" s="421">
        <v>4.4420381073335499E-2</v>
      </c>
      <c r="L250" s="421">
        <v>0</v>
      </c>
      <c r="M250" s="421">
        <v>7.9068278310537199E-2</v>
      </c>
      <c r="N250" s="421">
        <v>0</v>
      </c>
      <c r="O250" s="421">
        <v>0</v>
      </c>
      <c r="P250" s="421">
        <v>0.45393090147934101</v>
      </c>
      <c r="Q250" s="421">
        <v>0</v>
      </c>
      <c r="R250" s="421">
        <v>-3.10942667513349</v>
      </c>
      <c r="S250" s="429">
        <v>1.3423385229460501</v>
      </c>
      <c r="T250" s="412"/>
    </row>
    <row r="251" spans="2:20" ht="13.5">
      <c r="B251" s="412"/>
      <c r="C251" s="428" t="s">
        <v>356</v>
      </c>
      <c r="D251" s="421">
        <v>13.757025878906299</v>
      </c>
      <c r="E251" s="421">
        <v>-18.097335397599199</v>
      </c>
      <c r="F251" s="421">
        <v>23.670245777269098</v>
      </c>
      <c r="G251" s="421">
        <v>0</v>
      </c>
      <c r="H251" s="421">
        <v>0</v>
      </c>
      <c r="I251" s="421">
        <v>0</v>
      </c>
      <c r="J251" s="421">
        <v>0</v>
      </c>
      <c r="K251" s="421">
        <v>0</v>
      </c>
      <c r="L251" s="421">
        <v>0</v>
      </c>
      <c r="M251" s="421">
        <v>0</v>
      </c>
      <c r="N251" s="421">
        <v>0</v>
      </c>
      <c r="O251" s="421">
        <v>0</v>
      </c>
      <c r="P251" s="421">
        <v>0</v>
      </c>
      <c r="Q251" s="421">
        <v>0</v>
      </c>
      <c r="R251" s="421">
        <v>0</v>
      </c>
      <c r="S251" s="429">
        <v>19.329936258576101</v>
      </c>
      <c r="T251" s="412"/>
    </row>
    <row r="252" spans="2:20" ht="13.5">
      <c r="B252" s="412"/>
      <c r="C252" s="428" t="s">
        <v>75</v>
      </c>
      <c r="D252" s="421">
        <v>9.7066552734374998</v>
      </c>
      <c r="E252" s="421">
        <v>0</v>
      </c>
      <c r="F252" s="421">
        <v>17.757847143387401</v>
      </c>
      <c r="G252" s="421">
        <v>5.0672539113277804</v>
      </c>
      <c r="H252" s="421">
        <v>0</v>
      </c>
      <c r="I252" s="421">
        <v>0</v>
      </c>
      <c r="J252" s="421">
        <v>0</v>
      </c>
      <c r="K252" s="421">
        <v>0</v>
      </c>
      <c r="L252" s="421">
        <v>0</v>
      </c>
      <c r="M252" s="421">
        <v>0.103413345129138</v>
      </c>
      <c r="N252" s="421">
        <v>0</v>
      </c>
      <c r="O252" s="421">
        <v>0</v>
      </c>
      <c r="P252" s="421">
        <v>30.6584761014478</v>
      </c>
      <c r="Q252" s="421">
        <v>0</v>
      </c>
      <c r="R252" s="421">
        <v>0</v>
      </c>
      <c r="S252" s="429">
        <v>63.293645774729598</v>
      </c>
      <c r="T252" s="412"/>
    </row>
    <row r="253" spans="2:20" ht="13.5">
      <c r="B253" s="412"/>
      <c r="C253" s="428" t="s">
        <v>76</v>
      </c>
      <c r="D253" s="421">
        <v>0</v>
      </c>
      <c r="E253" s="421">
        <v>0</v>
      </c>
      <c r="F253" s="421">
        <v>0</v>
      </c>
      <c r="G253" s="421">
        <v>4.3082735374844701</v>
      </c>
      <c r="H253" s="421">
        <v>0</v>
      </c>
      <c r="I253" s="421">
        <v>0</v>
      </c>
      <c r="J253" s="421">
        <v>0</v>
      </c>
      <c r="K253" s="421">
        <v>0</v>
      </c>
      <c r="L253" s="421">
        <v>0</v>
      </c>
      <c r="M253" s="421">
        <v>8.7923949744581106E-2</v>
      </c>
      <c r="N253" s="421">
        <v>0</v>
      </c>
      <c r="O253" s="421">
        <v>0</v>
      </c>
      <c r="P253" s="421">
        <v>43.703860218786801</v>
      </c>
      <c r="Q253" s="421">
        <v>3.1785946529659599</v>
      </c>
      <c r="R253" s="421">
        <v>0</v>
      </c>
      <c r="S253" s="429">
        <v>51.278652358981802</v>
      </c>
      <c r="T253" s="412"/>
    </row>
    <row r="254" spans="2:20" ht="13.5">
      <c r="B254" s="412"/>
      <c r="C254" s="424" t="s">
        <v>77</v>
      </c>
      <c r="D254" s="425">
        <v>25.6641518879103</v>
      </c>
      <c r="E254" s="425">
        <v>504.19228646673599</v>
      </c>
      <c r="F254" s="425">
        <v>-471.77499636139902</v>
      </c>
      <c r="G254" s="425">
        <v>48.1690460708746</v>
      </c>
      <c r="H254" s="425">
        <v>959.09090909090901</v>
      </c>
      <c r="I254" s="425">
        <v>262.58</v>
      </c>
      <c r="J254" s="425">
        <v>83.825773980835606</v>
      </c>
      <c r="K254" s="425">
        <v>18.976492868963099</v>
      </c>
      <c r="L254" s="425">
        <v>-39.817740334868702</v>
      </c>
      <c r="M254" s="425">
        <v>-6.4318780052445401</v>
      </c>
      <c r="N254" s="425">
        <v>0</v>
      </c>
      <c r="O254" s="425">
        <v>2.2448826639763899</v>
      </c>
      <c r="P254" s="425">
        <v>-527.06961844360501</v>
      </c>
      <c r="Q254" s="425">
        <v>-37.840412535309099</v>
      </c>
      <c r="R254" s="425">
        <v>-2.85001306748409</v>
      </c>
      <c r="S254" s="425">
        <v>818.958884282295</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4.8707551882757301</v>
      </c>
      <c r="E256" s="421">
        <v>0</v>
      </c>
      <c r="F256" s="421">
        <v>20.993444165004</v>
      </c>
      <c r="G256" s="421">
        <v>101.297175428703</v>
      </c>
      <c r="H256" s="421">
        <v>0</v>
      </c>
      <c r="I256" s="421">
        <v>0</v>
      </c>
      <c r="J256" s="421">
        <v>17.0565927141357</v>
      </c>
      <c r="K256" s="421">
        <v>4.1229795038336201</v>
      </c>
      <c r="L256" s="421">
        <v>0.85536540625000002</v>
      </c>
      <c r="M256" s="421">
        <v>2.0672892944633201</v>
      </c>
      <c r="N256" s="421">
        <v>0</v>
      </c>
      <c r="O256" s="421">
        <v>0</v>
      </c>
      <c r="P256" s="421">
        <v>110.160518652362</v>
      </c>
      <c r="Q256" s="421">
        <v>18.409316628727701</v>
      </c>
      <c r="R256" s="421">
        <v>0.24532713317871099</v>
      </c>
      <c r="S256" s="429">
        <v>280.07876411493402</v>
      </c>
      <c r="T256" s="412"/>
    </row>
    <row r="257" spans="2:20" ht="13.5">
      <c r="B257" s="412"/>
      <c r="C257" s="428" t="s">
        <v>79</v>
      </c>
      <c r="D257" s="421">
        <v>0</v>
      </c>
      <c r="E257" s="421">
        <v>0</v>
      </c>
      <c r="F257" s="421">
        <v>232.66006634693801</v>
      </c>
      <c r="G257" s="421">
        <v>30.945196482305999</v>
      </c>
      <c r="H257" s="421">
        <v>0</v>
      </c>
      <c r="I257" s="421">
        <v>0</v>
      </c>
      <c r="J257" s="421">
        <v>0</v>
      </c>
      <c r="K257" s="421">
        <v>0</v>
      </c>
      <c r="L257" s="421">
        <v>23.571302525286502</v>
      </c>
      <c r="M257" s="421">
        <v>0.63153462208787803</v>
      </c>
      <c r="N257" s="421">
        <v>0</v>
      </c>
      <c r="O257" s="421">
        <v>0</v>
      </c>
      <c r="P257" s="421">
        <v>58.064871561766502</v>
      </c>
      <c r="Q257" s="421">
        <v>0</v>
      </c>
      <c r="R257" s="421">
        <v>2.0183635099889798</v>
      </c>
      <c r="S257" s="429">
        <v>347.891335048374</v>
      </c>
      <c r="T257" s="412"/>
    </row>
    <row r="258" spans="2:20" ht="13.5">
      <c r="B258" s="412"/>
      <c r="C258" s="428" t="s">
        <v>80</v>
      </c>
      <c r="D258" s="421">
        <v>0</v>
      </c>
      <c r="E258" s="421">
        <v>0</v>
      </c>
      <c r="F258" s="421">
        <v>17.5598675682925</v>
      </c>
      <c r="G258" s="421">
        <v>111.929219277919</v>
      </c>
      <c r="H258" s="421">
        <v>0</v>
      </c>
      <c r="I258" s="421">
        <v>0</v>
      </c>
      <c r="J258" s="421">
        <v>74.389853901213101</v>
      </c>
      <c r="K258" s="421">
        <v>0</v>
      </c>
      <c r="L258" s="421">
        <v>0</v>
      </c>
      <c r="M258" s="421">
        <v>2.2842697811820298</v>
      </c>
      <c r="N258" s="421">
        <v>53.007893982905898</v>
      </c>
      <c r="O258" s="421">
        <v>0.95506902656111503</v>
      </c>
      <c r="P258" s="421">
        <v>180.360799216462</v>
      </c>
      <c r="Q258" s="421">
        <v>15.433765533154</v>
      </c>
      <c r="R258" s="421">
        <v>0</v>
      </c>
      <c r="S258" s="429">
        <v>455.92073828769003</v>
      </c>
      <c r="T258" s="412"/>
    </row>
    <row r="259" spans="2:20" ht="13.5">
      <c r="B259" s="412"/>
      <c r="C259" s="428" t="s">
        <v>81</v>
      </c>
      <c r="D259" s="421">
        <v>0</v>
      </c>
      <c r="E259" s="421">
        <v>0</v>
      </c>
      <c r="F259" s="421">
        <v>7.3923055794682702</v>
      </c>
      <c r="G259" s="421">
        <v>65.894293417713897</v>
      </c>
      <c r="H259" s="421">
        <v>0</v>
      </c>
      <c r="I259" s="421">
        <v>0</v>
      </c>
      <c r="J259" s="421">
        <v>3.41214349769231</v>
      </c>
      <c r="K259" s="421">
        <v>0</v>
      </c>
      <c r="L259" s="421">
        <v>0</v>
      </c>
      <c r="M259" s="421">
        <v>1.34478149832069</v>
      </c>
      <c r="N259" s="421">
        <v>6.5694152088807796</v>
      </c>
      <c r="O259" s="421">
        <v>0.78006902491520902</v>
      </c>
      <c r="P259" s="421">
        <v>139.183172558515</v>
      </c>
      <c r="Q259" s="421">
        <v>3.99733037342736</v>
      </c>
      <c r="R259" s="421">
        <v>0</v>
      </c>
      <c r="S259" s="429">
        <v>228.573511158934</v>
      </c>
      <c r="T259" s="412"/>
    </row>
    <row r="260" spans="2:20" ht="13.5">
      <c r="B260" s="412"/>
      <c r="C260" s="428" t="s">
        <v>82</v>
      </c>
      <c r="D260" s="421">
        <v>0</v>
      </c>
      <c r="E260" s="421">
        <v>0</v>
      </c>
      <c r="F260" s="421">
        <v>10.671888604675701</v>
      </c>
      <c r="G260" s="421">
        <v>5.0961376503405704</v>
      </c>
      <c r="H260" s="421">
        <v>0</v>
      </c>
      <c r="I260" s="421">
        <v>0</v>
      </c>
      <c r="J260" s="421">
        <v>1.58125347438603</v>
      </c>
      <c r="K260" s="421">
        <v>0</v>
      </c>
      <c r="L260" s="421">
        <v>14.494418075031</v>
      </c>
      <c r="M260" s="421">
        <v>0.104002809190624</v>
      </c>
      <c r="N260" s="421">
        <v>0</v>
      </c>
      <c r="O260" s="421">
        <v>7.2392521047915395E-2</v>
      </c>
      <c r="P260" s="421">
        <v>7.67076376443437</v>
      </c>
      <c r="Q260" s="421">
        <v>0</v>
      </c>
      <c r="R260" s="421">
        <v>0</v>
      </c>
      <c r="S260" s="429">
        <v>39.690856899106201</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v>
      </c>
      <c r="Q261" s="421">
        <v>0</v>
      </c>
      <c r="R261" s="421">
        <v>0</v>
      </c>
      <c r="S261" s="429">
        <v>0</v>
      </c>
      <c r="T261" s="412"/>
    </row>
    <row r="262" spans="2:20" ht="13.5">
      <c r="B262" s="412"/>
      <c r="C262" s="424" t="s">
        <v>83</v>
      </c>
      <c r="D262" s="425">
        <v>4.8707551882757301</v>
      </c>
      <c r="E262" s="425">
        <v>0</v>
      </c>
      <c r="F262" s="425">
        <v>289.27757226437899</v>
      </c>
      <c r="G262" s="425">
        <v>315.16202225698203</v>
      </c>
      <c r="H262" s="425">
        <v>0</v>
      </c>
      <c r="I262" s="425">
        <v>0</v>
      </c>
      <c r="J262" s="425">
        <v>96.439843587427205</v>
      </c>
      <c r="K262" s="425">
        <v>4.1229795038336201</v>
      </c>
      <c r="L262" s="425">
        <v>38.9210860065674</v>
      </c>
      <c r="M262" s="425">
        <v>6.4318780052445401</v>
      </c>
      <c r="N262" s="425">
        <v>59.577309191786703</v>
      </c>
      <c r="O262" s="425">
        <v>1.8075305725242401</v>
      </c>
      <c r="P262" s="425">
        <v>495.440125753541</v>
      </c>
      <c r="Q262" s="425">
        <v>37.840412535309099</v>
      </c>
      <c r="R262" s="425">
        <v>2.2636906431676902</v>
      </c>
      <c r="S262" s="425">
        <v>1352.1552055090399</v>
      </c>
      <c r="T262" s="412"/>
    </row>
    <row r="263" spans="2:20" ht="13.5">
      <c r="B263" s="412"/>
      <c r="C263" s="420" t="s">
        <v>84</v>
      </c>
      <c r="D263" s="421">
        <v>2.1835234374999999</v>
      </c>
      <c r="E263" s="421">
        <v>0</v>
      </c>
      <c r="F263" s="421">
        <v>138.144863788214</v>
      </c>
      <c r="G263" s="421">
        <v>12.218390360397301</v>
      </c>
      <c r="H263" s="421">
        <v>0</v>
      </c>
      <c r="I263" s="421">
        <v>0</v>
      </c>
      <c r="J263" s="421">
        <v>0</v>
      </c>
      <c r="K263" s="421">
        <v>0</v>
      </c>
      <c r="L263" s="421">
        <v>0</v>
      </c>
      <c r="M263" s="421">
        <v>0</v>
      </c>
      <c r="N263" s="421">
        <v>0</v>
      </c>
      <c r="O263" s="421">
        <v>0</v>
      </c>
      <c r="P263" s="421">
        <v>0</v>
      </c>
      <c r="Q263" s="421">
        <v>0</v>
      </c>
      <c r="R263" s="421">
        <v>0.58632242431640602</v>
      </c>
      <c r="S263" s="429">
        <v>153.133100010428</v>
      </c>
      <c r="T263" s="412"/>
    </row>
    <row r="264" spans="2:20" ht="13.5">
      <c r="B264" s="412"/>
      <c r="C264" s="424" t="s">
        <v>85</v>
      </c>
      <c r="D264" s="425">
        <v>7.0542786257757299</v>
      </c>
      <c r="E264" s="425">
        <v>0</v>
      </c>
      <c r="F264" s="425">
        <v>427.42243605259301</v>
      </c>
      <c r="G264" s="425">
        <v>327.38041261737999</v>
      </c>
      <c r="H264" s="425">
        <v>0</v>
      </c>
      <c r="I264" s="425">
        <v>0</v>
      </c>
      <c r="J264" s="425">
        <v>96.439843587427205</v>
      </c>
      <c r="K264" s="425">
        <v>4.1229795038336201</v>
      </c>
      <c r="L264" s="425">
        <v>38.9210860065674</v>
      </c>
      <c r="M264" s="425">
        <v>6.4318780052445401</v>
      </c>
      <c r="N264" s="425">
        <v>59.577309191786703</v>
      </c>
      <c r="O264" s="425">
        <v>1.8075305725242401</v>
      </c>
      <c r="P264" s="425">
        <v>495.440125753541</v>
      </c>
      <c r="Q264" s="425">
        <v>37.840412535309099</v>
      </c>
      <c r="R264" s="425">
        <v>2.85001306748409</v>
      </c>
      <c r="S264" s="425">
        <v>1505.28830551947</v>
      </c>
      <c r="T264" s="412"/>
    </row>
    <row r="265" spans="2:20">
      <c r="B265" s="412"/>
      <c r="C265" s="412"/>
      <c r="D265" s="430">
        <f t="shared" ref="D265:S265" si="6">D264+D254-D240</f>
        <v>0</v>
      </c>
      <c r="E265" s="430">
        <f t="shared" si="6"/>
        <v>0</v>
      </c>
      <c r="F265" s="430">
        <f t="shared" si="6"/>
        <v>-3.0553337637684308E-13</v>
      </c>
      <c r="G265" s="430">
        <f t="shared" si="6"/>
        <v>6.2527760746888816E-13</v>
      </c>
      <c r="H265" s="430">
        <f t="shared" si="6"/>
        <v>0</v>
      </c>
      <c r="I265" s="430">
        <f t="shared" si="6"/>
        <v>0</v>
      </c>
      <c r="J265" s="430">
        <f t="shared" si="6"/>
        <v>0</v>
      </c>
      <c r="K265" s="430">
        <f t="shared" si="6"/>
        <v>0</v>
      </c>
      <c r="L265" s="430">
        <f t="shared" si="6"/>
        <v>-3.3417713041217212E-14</v>
      </c>
      <c r="M265" s="430">
        <f t="shared" si="6"/>
        <v>0</v>
      </c>
      <c r="N265" s="430">
        <f t="shared" si="6"/>
        <v>0</v>
      </c>
      <c r="O265" s="430">
        <f t="shared" si="6"/>
        <v>0</v>
      </c>
      <c r="P265" s="430">
        <f t="shared" si="6"/>
        <v>4.8672177399566863E-13</v>
      </c>
      <c r="Q265" s="430">
        <f t="shared" si="6"/>
        <v>0</v>
      </c>
      <c r="R265" s="430">
        <f t="shared" si="6"/>
        <v>0</v>
      </c>
      <c r="S265" s="430">
        <f t="shared" si="6"/>
        <v>4.5474735088646412E-12</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364</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0</v>
      </c>
      <c r="F271" s="421">
        <v>0</v>
      </c>
      <c r="G271" s="421">
        <v>0</v>
      </c>
      <c r="H271" s="422">
        <v>843.18181818181802</v>
      </c>
      <c r="I271" s="422">
        <v>303.83</v>
      </c>
      <c r="J271" s="422">
        <v>180.58227082712199</v>
      </c>
      <c r="K271" s="422">
        <v>22.584752367457401</v>
      </c>
      <c r="L271" s="421">
        <v>0</v>
      </c>
      <c r="M271" s="421">
        <v>0</v>
      </c>
      <c r="N271" s="422">
        <v>64.228247119713899</v>
      </c>
      <c r="O271" s="422">
        <v>4.0154786653397201</v>
      </c>
      <c r="P271" s="421">
        <v>0</v>
      </c>
      <c r="Q271" s="421">
        <v>0</v>
      </c>
      <c r="R271" s="421">
        <v>0</v>
      </c>
      <c r="S271" s="423">
        <v>1418.4225671614499</v>
      </c>
      <c r="T271" s="412"/>
    </row>
    <row r="272" spans="2:20" ht="13.5">
      <c r="B272" s="412"/>
      <c r="C272" s="420" t="s">
        <v>60</v>
      </c>
      <c r="D272" s="421">
        <v>30.885603791058401</v>
      </c>
      <c r="E272" s="421">
        <v>484.495467583368</v>
      </c>
      <c r="F272" s="421">
        <v>42.659321237611302</v>
      </c>
      <c r="G272" s="421">
        <v>385.71207499197101</v>
      </c>
      <c r="H272" s="421">
        <v>0</v>
      </c>
      <c r="I272" s="421">
        <v>0</v>
      </c>
      <c r="J272" s="421">
        <v>0</v>
      </c>
      <c r="K272" s="421">
        <v>0</v>
      </c>
      <c r="L272" s="421">
        <v>0</v>
      </c>
      <c r="M272" s="421">
        <v>0</v>
      </c>
      <c r="N272" s="421">
        <v>0</v>
      </c>
      <c r="O272" s="421">
        <v>0</v>
      </c>
      <c r="P272" s="421">
        <v>0</v>
      </c>
      <c r="Q272" s="421">
        <v>0</v>
      </c>
      <c r="R272" s="421">
        <v>0</v>
      </c>
      <c r="S272" s="423">
        <v>943.75246760400796</v>
      </c>
      <c r="T272" s="412"/>
    </row>
    <row r="273" spans="2:20" ht="13.5">
      <c r="B273" s="412"/>
      <c r="C273" s="420" t="s">
        <v>61</v>
      </c>
      <c r="D273" s="421">
        <v>0</v>
      </c>
      <c r="E273" s="421">
        <v>0</v>
      </c>
      <c r="F273" s="421">
        <v>0</v>
      </c>
      <c r="G273" s="421">
        <v>0</v>
      </c>
      <c r="H273" s="421">
        <v>0</v>
      </c>
      <c r="I273" s="421">
        <v>0</v>
      </c>
      <c r="J273" s="421">
        <v>0</v>
      </c>
      <c r="K273" s="421">
        <v>0</v>
      </c>
      <c r="L273" s="421">
        <v>0</v>
      </c>
      <c r="M273" s="421">
        <v>0</v>
      </c>
      <c r="N273" s="421">
        <v>0</v>
      </c>
      <c r="O273" s="421">
        <v>0</v>
      </c>
      <c r="P273" s="421">
        <v>-18.341336792236799</v>
      </c>
      <c r="Q273" s="421">
        <v>0</v>
      </c>
      <c r="R273" s="421">
        <v>0</v>
      </c>
      <c r="S273" s="423">
        <v>-18.341336792236799</v>
      </c>
      <c r="T273" s="412"/>
    </row>
    <row r="274" spans="2:20" ht="13.5">
      <c r="B274" s="412"/>
      <c r="C274" s="420" t="s">
        <v>62</v>
      </c>
      <c r="D274" s="421">
        <v>0</v>
      </c>
      <c r="E274" s="421">
        <v>0</v>
      </c>
      <c r="F274" s="421">
        <v>-15.257294848391901</v>
      </c>
      <c r="G274" s="421">
        <v>0</v>
      </c>
      <c r="H274" s="421">
        <v>0</v>
      </c>
      <c r="I274" s="421">
        <v>0</v>
      </c>
      <c r="J274" s="421">
        <v>0</v>
      </c>
      <c r="K274" s="421">
        <v>0</v>
      </c>
      <c r="L274" s="421">
        <v>0</v>
      </c>
      <c r="M274" s="421">
        <v>0</v>
      </c>
      <c r="N274" s="421">
        <v>0</v>
      </c>
      <c r="O274" s="421">
        <v>0</v>
      </c>
      <c r="P274" s="421">
        <v>0</v>
      </c>
      <c r="Q274" s="421">
        <v>0</v>
      </c>
      <c r="R274" s="421">
        <v>0</v>
      </c>
      <c r="S274" s="423">
        <v>-15.257294848391901</v>
      </c>
      <c r="T274" s="412"/>
    </row>
    <row r="275" spans="2:20" ht="13.5">
      <c r="B275" s="412"/>
      <c r="C275" s="420" t="s">
        <v>63</v>
      </c>
      <c r="D275" s="421">
        <v>0</v>
      </c>
      <c r="E275" s="421">
        <v>0</v>
      </c>
      <c r="F275" s="421">
        <v>-90.626969920873506</v>
      </c>
      <c r="G275" s="421">
        <v>0</v>
      </c>
      <c r="H275" s="421">
        <v>0</v>
      </c>
      <c r="I275" s="421">
        <v>0</v>
      </c>
      <c r="J275" s="421">
        <v>0</v>
      </c>
      <c r="K275" s="421">
        <v>0</v>
      </c>
      <c r="L275" s="421">
        <v>-0.93615330165546395</v>
      </c>
      <c r="M275" s="421">
        <v>0</v>
      </c>
      <c r="N275" s="421">
        <v>0</v>
      </c>
      <c r="O275" s="421">
        <v>0</v>
      </c>
      <c r="P275" s="421">
        <v>0</v>
      </c>
      <c r="Q275" s="421">
        <v>0</v>
      </c>
      <c r="R275" s="421">
        <v>0</v>
      </c>
      <c r="S275" s="423">
        <v>-91.563123222528901</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30.885603791058401</v>
      </c>
      <c r="E277" s="425">
        <v>484.495467583368</v>
      </c>
      <c r="F277" s="425">
        <v>-63.224943531653999</v>
      </c>
      <c r="G277" s="425">
        <v>385.71207499197101</v>
      </c>
      <c r="H277" s="425">
        <v>843.18181818181802</v>
      </c>
      <c r="I277" s="425">
        <v>303.83</v>
      </c>
      <c r="J277" s="425">
        <v>180.58227082712199</v>
      </c>
      <c r="K277" s="425">
        <v>22.584752367457401</v>
      </c>
      <c r="L277" s="425">
        <v>-0.93615330165546395</v>
      </c>
      <c r="M277" s="425">
        <v>0</v>
      </c>
      <c r="N277" s="425">
        <v>64.228247119713899</v>
      </c>
      <c r="O277" s="425">
        <v>4.0154786653397201</v>
      </c>
      <c r="P277" s="425">
        <v>-18.341336792236799</v>
      </c>
      <c r="Q277" s="425">
        <v>0</v>
      </c>
      <c r="R277" s="425">
        <v>0</v>
      </c>
      <c r="S277" s="425">
        <v>2237.0132799022999</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2.2004707355665598</v>
      </c>
      <c r="E280" s="421">
        <v>0</v>
      </c>
      <c r="F280" s="421">
        <v>3.8636363636363602</v>
      </c>
      <c r="G280" s="421">
        <v>26.7514143940613</v>
      </c>
      <c r="H280" s="421">
        <v>843.18181818181802</v>
      </c>
      <c r="I280" s="421">
        <v>303.83</v>
      </c>
      <c r="J280" s="421">
        <v>22.093473329706701</v>
      </c>
      <c r="K280" s="421">
        <v>5.8025151206166701</v>
      </c>
      <c r="L280" s="421">
        <v>0</v>
      </c>
      <c r="M280" s="421">
        <v>0.54594723253186395</v>
      </c>
      <c r="N280" s="421">
        <v>0</v>
      </c>
      <c r="O280" s="421">
        <v>0</v>
      </c>
      <c r="P280" s="421">
        <v>-610.51719995562303</v>
      </c>
      <c r="Q280" s="421">
        <v>0</v>
      </c>
      <c r="R280" s="421">
        <v>0</v>
      </c>
      <c r="S280" s="429">
        <v>597.75207540231395</v>
      </c>
      <c r="T280" s="412"/>
    </row>
    <row r="281" spans="2:20" ht="13.5">
      <c r="B281" s="412"/>
      <c r="C281" s="428" t="s">
        <v>351</v>
      </c>
      <c r="D281" s="421">
        <v>0</v>
      </c>
      <c r="E281" s="421">
        <v>0</v>
      </c>
      <c r="F281" s="421">
        <v>0</v>
      </c>
      <c r="G281" s="421">
        <v>17.221669860310801</v>
      </c>
      <c r="H281" s="421">
        <v>0</v>
      </c>
      <c r="I281" s="421">
        <v>0</v>
      </c>
      <c r="J281" s="421">
        <v>12.443095766795199</v>
      </c>
      <c r="K281" s="421">
        <v>12.7366574955616</v>
      </c>
      <c r="L281" s="421">
        <v>0</v>
      </c>
      <c r="M281" s="421">
        <v>0.351462650210425</v>
      </c>
      <c r="N281" s="421">
        <v>0</v>
      </c>
      <c r="O281" s="421">
        <v>2.25021562141669</v>
      </c>
      <c r="P281" s="421">
        <v>0</v>
      </c>
      <c r="Q281" s="421">
        <v>-41.107889812280099</v>
      </c>
      <c r="R281" s="421">
        <v>0</v>
      </c>
      <c r="S281" s="429">
        <v>3.8952115820145798</v>
      </c>
      <c r="T281" s="412"/>
    </row>
    <row r="282" spans="2:20" ht="13.5">
      <c r="B282" s="412"/>
      <c r="C282" s="428" t="s">
        <v>352</v>
      </c>
      <c r="D282" s="421">
        <v>0</v>
      </c>
      <c r="E282" s="421">
        <v>0</v>
      </c>
      <c r="F282" s="421">
        <v>0</v>
      </c>
      <c r="G282" s="421">
        <v>0</v>
      </c>
      <c r="H282" s="421">
        <v>0</v>
      </c>
      <c r="I282" s="421">
        <v>0</v>
      </c>
      <c r="J282" s="421">
        <v>8.1664030992761294</v>
      </c>
      <c r="K282" s="421">
        <v>0</v>
      </c>
      <c r="L282" s="421">
        <v>0</v>
      </c>
      <c r="M282" s="421">
        <v>-7.6253788939490796</v>
      </c>
      <c r="N282" s="421">
        <v>0</v>
      </c>
      <c r="O282" s="421">
        <v>0</v>
      </c>
      <c r="P282" s="421">
        <v>0</v>
      </c>
      <c r="Q282" s="421">
        <v>0</v>
      </c>
      <c r="R282" s="421">
        <v>0</v>
      </c>
      <c r="S282" s="429">
        <v>0.54102420532704398</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501.885810932168</v>
      </c>
      <c r="F284" s="421">
        <v>-496.86695282284597</v>
      </c>
      <c r="G284" s="421">
        <v>0</v>
      </c>
      <c r="H284" s="421">
        <v>0</v>
      </c>
      <c r="I284" s="421">
        <v>0</v>
      </c>
      <c r="J284" s="421">
        <v>0</v>
      </c>
      <c r="K284" s="421">
        <v>0</v>
      </c>
      <c r="L284" s="421">
        <v>0</v>
      </c>
      <c r="M284" s="421">
        <v>0</v>
      </c>
      <c r="N284" s="421">
        <v>0</v>
      </c>
      <c r="O284" s="421">
        <v>0</v>
      </c>
      <c r="P284" s="421">
        <v>0</v>
      </c>
      <c r="Q284" s="421">
        <v>0</v>
      </c>
      <c r="R284" s="421">
        <v>0</v>
      </c>
      <c r="S284" s="429">
        <v>5.0188581093216804</v>
      </c>
      <c r="T284" s="412"/>
    </row>
    <row r="285" spans="2:20" ht="13.5">
      <c r="B285" s="412"/>
      <c r="C285" s="428" t="s">
        <v>354</v>
      </c>
      <c r="D285" s="421">
        <v>0</v>
      </c>
      <c r="E285" s="421">
        <v>0</v>
      </c>
      <c r="F285" s="421">
        <v>0</v>
      </c>
      <c r="G285" s="421">
        <v>0</v>
      </c>
      <c r="H285" s="421">
        <v>0</v>
      </c>
      <c r="I285" s="421">
        <v>0</v>
      </c>
      <c r="J285" s="421">
        <v>40.922578855232103</v>
      </c>
      <c r="K285" s="421">
        <v>0</v>
      </c>
      <c r="L285" s="421">
        <v>-40.922578855232103</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-0.185690681788441</v>
      </c>
      <c r="M286" s="421">
        <v>0</v>
      </c>
      <c r="N286" s="421">
        <v>0</v>
      </c>
      <c r="O286" s="421">
        <v>0</v>
      </c>
      <c r="P286" s="421">
        <v>0</v>
      </c>
      <c r="Q286" s="421">
        <v>0</v>
      </c>
      <c r="R286" s="421">
        <v>0.26527240255491602</v>
      </c>
      <c r="S286" s="429">
        <v>7.9581720766474906E-2</v>
      </c>
      <c r="T286" s="412"/>
    </row>
    <row r="287" spans="2:20" ht="13.5">
      <c r="B287" s="412"/>
      <c r="C287" s="428" t="s">
        <v>73</v>
      </c>
      <c r="D287" s="421">
        <v>0</v>
      </c>
      <c r="E287" s="421">
        <v>0</v>
      </c>
      <c r="F287" s="421">
        <v>0</v>
      </c>
      <c r="G287" s="421">
        <v>5.0830420654676596</v>
      </c>
      <c r="H287" s="421">
        <v>0</v>
      </c>
      <c r="I287" s="421">
        <v>0</v>
      </c>
      <c r="J287" s="421">
        <v>0</v>
      </c>
      <c r="K287" s="421">
        <v>5.89406547480016E-2</v>
      </c>
      <c r="L287" s="421">
        <v>0</v>
      </c>
      <c r="M287" s="421">
        <v>0.103735552356483</v>
      </c>
      <c r="N287" s="421">
        <v>0</v>
      </c>
      <c r="O287" s="421">
        <v>0</v>
      </c>
      <c r="P287" s="421">
        <v>0.64603991681083595</v>
      </c>
      <c r="Q287" s="421">
        <v>0</v>
      </c>
      <c r="R287" s="421">
        <v>-4.1258458323601097</v>
      </c>
      <c r="S287" s="429">
        <v>1.7659123570228701</v>
      </c>
      <c r="T287" s="412"/>
    </row>
    <row r="288" spans="2:20" ht="13.5">
      <c r="B288" s="412"/>
      <c r="C288" s="428" t="s">
        <v>356</v>
      </c>
      <c r="D288" s="421">
        <v>12.835820312499999</v>
      </c>
      <c r="E288" s="421">
        <v>-17.3903433487996</v>
      </c>
      <c r="F288" s="421">
        <v>22.745541936068101</v>
      </c>
      <c r="G288" s="421">
        <v>0</v>
      </c>
      <c r="H288" s="421">
        <v>0</v>
      </c>
      <c r="I288" s="421">
        <v>0</v>
      </c>
      <c r="J288" s="421">
        <v>0</v>
      </c>
      <c r="K288" s="421">
        <v>0</v>
      </c>
      <c r="L288" s="421">
        <v>0</v>
      </c>
      <c r="M288" s="421">
        <v>0</v>
      </c>
      <c r="N288" s="421">
        <v>0</v>
      </c>
      <c r="O288" s="421">
        <v>0</v>
      </c>
      <c r="P288" s="421">
        <v>0</v>
      </c>
      <c r="Q288" s="421">
        <v>0</v>
      </c>
      <c r="R288" s="421">
        <v>0</v>
      </c>
      <c r="S288" s="429">
        <v>18.191018899768501</v>
      </c>
      <c r="T288" s="412"/>
    </row>
    <row r="289" spans="2:20" ht="13.5">
      <c r="B289" s="412"/>
      <c r="C289" s="428" t="s">
        <v>75</v>
      </c>
      <c r="D289" s="421">
        <v>9.6016132812499997</v>
      </c>
      <c r="E289" s="421">
        <v>0</v>
      </c>
      <c r="F289" s="421">
        <v>17.0641175716937</v>
      </c>
      <c r="G289" s="421">
        <v>4.8692961376638904</v>
      </c>
      <c r="H289" s="421">
        <v>0</v>
      </c>
      <c r="I289" s="421">
        <v>0</v>
      </c>
      <c r="J289" s="421">
        <v>0</v>
      </c>
      <c r="K289" s="421">
        <v>0</v>
      </c>
      <c r="L289" s="421">
        <v>0</v>
      </c>
      <c r="M289" s="421">
        <v>9.9373390564569203E-2</v>
      </c>
      <c r="N289" s="421">
        <v>0</v>
      </c>
      <c r="O289" s="421">
        <v>0</v>
      </c>
      <c r="P289" s="421">
        <v>28.1582236341448</v>
      </c>
      <c r="Q289" s="421">
        <v>0</v>
      </c>
      <c r="R289" s="421">
        <v>0</v>
      </c>
      <c r="S289" s="429">
        <v>59.792624015317003</v>
      </c>
      <c r="T289" s="412"/>
    </row>
    <row r="290" spans="2:20" ht="13.5">
      <c r="B290" s="412"/>
      <c r="C290" s="428" t="s">
        <v>76</v>
      </c>
      <c r="D290" s="421">
        <v>0</v>
      </c>
      <c r="E290" s="421">
        <v>0</v>
      </c>
      <c r="F290" s="421">
        <v>0</v>
      </c>
      <c r="G290" s="421">
        <v>4.4305561162471001</v>
      </c>
      <c r="H290" s="421">
        <v>0</v>
      </c>
      <c r="I290" s="421">
        <v>0</v>
      </c>
      <c r="J290" s="421">
        <v>0</v>
      </c>
      <c r="K290" s="421">
        <v>0</v>
      </c>
      <c r="L290" s="421">
        <v>0</v>
      </c>
      <c r="M290" s="421">
        <v>9.0419512576471406E-2</v>
      </c>
      <c r="N290" s="421">
        <v>0</v>
      </c>
      <c r="O290" s="421">
        <v>0</v>
      </c>
      <c r="P290" s="421">
        <v>45.383745745670502</v>
      </c>
      <c r="Q290" s="421">
        <v>3.1854822363759498</v>
      </c>
      <c r="R290" s="421">
        <v>0</v>
      </c>
      <c r="S290" s="429">
        <v>53.090203610869999</v>
      </c>
      <c r="T290" s="412"/>
    </row>
    <row r="291" spans="2:20" ht="13.5">
      <c r="B291" s="412"/>
      <c r="C291" s="424" t="s">
        <v>77</v>
      </c>
      <c r="D291" s="425">
        <v>24.637904329316601</v>
      </c>
      <c r="E291" s="425">
        <v>484.495467583368</v>
      </c>
      <c r="F291" s="425">
        <v>-453.19365695144802</v>
      </c>
      <c r="G291" s="425">
        <v>58.355978573750797</v>
      </c>
      <c r="H291" s="425">
        <v>843.18181818181802</v>
      </c>
      <c r="I291" s="425">
        <v>303.83</v>
      </c>
      <c r="J291" s="425">
        <v>83.625551051010106</v>
      </c>
      <c r="K291" s="425">
        <v>18.598113270926302</v>
      </c>
      <c r="L291" s="425">
        <v>-41.108269537020597</v>
      </c>
      <c r="M291" s="425">
        <v>-6.4344405557092701</v>
      </c>
      <c r="N291" s="425">
        <v>0</v>
      </c>
      <c r="O291" s="425">
        <v>2.25021562141669</v>
      </c>
      <c r="P291" s="425">
        <v>-536.32919065899705</v>
      </c>
      <c r="Q291" s="425">
        <v>-37.922407575904202</v>
      </c>
      <c r="R291" s="425">
        <v>-3.8605734298051999</v>
      </c>
      <c r="S291" s="425">
        <v>740.12650990272198</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4.1175454090074304</v>
      </c>
      <c r="E293" s="421">
        <v>0</v>
      </c>
      <c r="F293" s="421">
        <v>19.277494882052501</v>
      </c>
      <c r="G293" s="421">
        <v>101.47453920726601</v>
      </c>
      <c r="H293" s="421">
        <v>0</v>
      </c>
      <c r="I293" s="421">
        <v>0</v>
      </c>
      <c r="J293" s="421">
        <v>17.1465838958113</v>
      </c>
      <c r="K293" s="421">
        <v>3.98663909653113</v>
      </c>
      <c r="L293" s="421">
        <v>0.86272697265624998</v>
      </c>
      <c r="M293" s="421">
        <v>2.0709089634136002</v>
      </c>
      <c r="N293" s="421">
        <v>0</v>
      </c>
      <c r="O293" s="421">
        <v>0</v>
      </c>
      <c r="P293" s="421">
        <v>115.02579662342799</v>
      </c>
      <c r="Q293" s="421">
        <v>18.9073764304365</v>
      </c>
      <c r="R293" s="421">
        <v>0.24469155883789101</v>
      </c>
      <c r="S293" s="429">
        <v>283.11430303944098</v>
      </c>
      <c r="T293" s="412"/>
    </row>
    <row r="294" spans="2:20" ht="13.5">
      <c r="B294" s="412"/>
      <c r="C294" s="428" t="s">
        <v>79</v>
      </c>
      <c r="D294" s="421">
        <v>0</v>
      </c>
      <c r="E294" s="421">
        <v>0</v>
      </c>
      <c r="F294" s="421">
        <v>211.515991693448</v>
      </c>
      <c r="G294" s="421">
        <v>33.673192204334903</v>
      </c>
      <c r="H294" s="421">
        <v>0</v>
      </c>
      <c r="I294" s="421">
        <v>0</v>
      </c>
      <c r="J294" s="421">
        <v>0</v>
      </c>
      <c r="K294" s="421">
        <v>0</v>
      </c>
      <c r="L294" s="421">
        <v>21.364475731578199</v>
      </c>
      <c r="M294" s="421">
        <v>0.68720800417009997</v>
      </c>
      <c r="N294" s="421">
        <v>0</v>
      </c>
      <c r="O294" s="421">
        <v>0</v>
      </c>
      <c r="P294" s="421">
        <v>67.538126653199896</v>
      </c>
      <c r="Q294" s="421">
        <v>0</v>
      </c>
      <c r="R294" s="421">
        <v>2.73358870080129</v>
      </c>
      <c r="S294" s="429">
        <v>337.51258298753203</v>
      </c>
      <c r="T294" s="412"/>
    </row>
    <row r="295" spans="2:20" ht="13.5">
      <c r="B295" s="412"/>
      <c r="C295" s="428" t="s">
        <v>80</v>
      </c>
      <c r="D295" s="421">
        <v>0</v>
      </c>
      <c r="E295" s="421">
        <v>0</v>
      </c>
      <c r="F295" s="421">
        <v>11.269398252747999</v>
      </c>
      <c r="G295" s="421">
        <v>107.66857440515901</v>
      </c>
      <c r="H295" s="421">
        <v>0</v>
      </c>
      <c r="I295" s="421">
        <v>0</v>
      </c>
      <c r="J295" s="421">
        <v>74.555024603306606</v>
      </c>
      <c r="K295" s="421">
        <v>0</v>
      </c>
      <c r="L295" s="421">
        <v>0</v>
      </c>
      <c r="M295" s="421">
        <v>2.19731784500325</v>
      </c>
      <c r="N295" s="421">
        <v>57.8439730041991</v>
      </c>
      <c r="O295" s="421">
        <v>0.94792042331900395</v>
      </c>
      <c r="P295" s="421">
        <v>182.60815084241301</v>
      </c>
      <c r="Q295" s="421">
        <v>15.2162816007431</v>
      </c>
      <c r="R295" s="421">
        <v>0</v>
      </c>
      <c r="S295" s="429">
        <v>452.306640976891</v>
      </c>
      <c r="T295" s="412"/>
    </row>
    <row r="296" spans="2:20" ht="13.5">
      <c r="B296" s="412"/>
      <c r="C296" s="428" t="s">
        <v>81</v>
      </c>
      <c r="D296" s="421">
        <v>0</v>
      </c>
      <c r="E296" s="421">
        <v>0</v>
      </c>
      <c r="F296" s="421">
        <v>4.6678370944484504</v>
      </c>
      <c r="G296" s="421">
        <v>66.895141856533499</v>
      </c>
      <c r="H296" s="421">
        <v>0</v>
      </c>
      <c r="I296" s="421">
        <v>0</v>
      </c>
      <c r="J296" s="421">
        <v>3.3107731809745702</v>
      </c>
      <c r="K296" s="421">
        <v>0</v>
      </c>
      <c r="L296" s="421">
        <v>0</v>
      </c>
      <c r="M296" s="421">
        <v>1.3652069766639501</v>
      </c>
      <c r="N296" s="421">
        <v>6.3842741155148302</v>
      </c>
      <c r="O296" s="421">
        <v>0.75088648318301499</v>
      </c>
      <c r="P296" s="421">
        <v>144.56234737622799</v>
      </c>
      <c r="Q296" s="421">
        <v>3.79874954472458</v>
      </c>
      <c r="R296" s="421">
        <v>0</v>
      </c>
      <c r="S296" s="429">
        <v>231.73521662827099</v>
      </c>
      <c r="T296" s="412"/>
    </row>
    <row r="297" spans="2:20" ht="13.5">
      <c r="B297" s="412"/>
      <c r="C297" s="428" t="s">
        <v>82</v>
      </c>
      <c r="D297" s="421">
        <v>0</v>
      </c>
      <c r="E297" s="421">
        <v>0</v>
      </c>
      <c r="F297" s="421">
        <v>4.5923360843350496</v>
      </c>
      <c r="G297" s="421">
        <v>5.5761395564600598</v>
      </c>
      <c r="H297" s="421">
        <v>0</v>
      </c>
      <c r="I297" s="421">
        <v>0</v>
      </c>
      <c r="J297" s="421">
        <v>1.9443380960196801</v>
      </c>
      <c r="K297" s="421">
        <v>0</v>
      </c>
      <c r="L297" s="421">
        <v>17.944913531130702</v>
      </c>
      <c r="M297" s="421">
        <v>0.11379876645836901</v>
      </c>
      <c r="N297" s="421">
        <v>0</v>
      </c>
      <c r="O297" s="421">
        <v>6.6456137421005299E-2</v>
      </c>
      <c r="P297" s="421">
        <v>7.4534323714914201</v>
      </c>
      <c r="Q297" s="421">
        <v>0</v>
      </c>
      <c r="R297" s="421">
        <v>0</v>
      </c>
      <c r="S297" s="429">
        <v>37.691414543316299</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0.8</v>
      </c>
      <c r="Q298" s="421">
        <v>0</v>
      </c>
      <c r="R298" s="421">
        <v>0</v>
      </c>
      <c r="S298" s="429">
        <v>0.8</v>
      </c>
      <c r="T298" s="412"/>
    </row>
    <row r="299" spans="2:20" ht="13.5">
      <c r="B299" s="412"/>
      <c r="C299" s="424" t="s">
        <v>83</v>
      </c>
      <c r="D299" s="425">
        <v>4.1175454090074304</v>
      </c>
      <c r="E299" s="425">
        <v>0</v>
      </c>
      <c r="F299" s="425">
        <v>251.32305800703199</v>
      </c>
      <c r="G299" s="425">
        <v>315.28758722975402</v>
      </c>
      <c r="H299" s="425">
        <v>0</v>
      </c>
      <c r="I299" s="425">
        <v>0</v>
      </c>
      <c r="J299" s="425">
        <v>96.956719776112095</v>
      </c>
      <c r="K299" s="425">
        <v>3.98663909653113</v>
      </c>
      <c r="L299" s="425">
        <v>40.172116235365102</v>
      </c>
      <c r="M299" s="425">
        <v>6.4344405557092701</v>
      </c>
      <c r="N299" s="425">
        <v>64.228247119713899</v>
      </c>
      <c r="O299" s="425">
        <v>1.7652630439230199</v>
      </c>
      <c r="P299" s="425">
        <v>517.98785386676104</v>
      </c>
      <c r="Q299" s="425">
        <v>37.922407575904103</v>
      </c>
      <c r="R299" s="425">
        <v>2.9782802596391802</v>
      </c>
      <c r="S299" s="425">
        <v>1343.1601581754501</v>
      </c>
      <c r="T299" s="412"/>
    </row>
    <row r="300" spans="2:20" ht="13.5">
      <c r="B300" s="412"/>
      <c r="C300" s="420" t="s">
        <v>84</v>
      </c>
      <c r="D300" s="421">
        <v>2.1301540527343801</v>
      </c>
      <c r="E300" s="421">
        <v>0</v>
      </c>
      <c r="F300" s="421">
        <v>138.64565541276201</v>
      </c>
      <c r="G300" s="421">
        <v>12.0685091884655</v>
      </c>
      <c r="H300" s="421">
        <v>0</v>
      </c>
      <c r="I300" s="421">
        <v>0</v>
      </c>
      <c r="J300" s="421">
        <v>0</v>
      </c>
      <c r="K300" s="421">
        <v>0</v>
      </c>
      <c r="L300" s="421">
        <v>0</v>
      </c>
      <c r="M300" s="421">
        <v>0</v>
      </c>
      <c r="N300" s="421">
        <v>0</v>
      </c>
      <c r="O300" s="421">
        <v>0</v>
      </c>
      <c r="P300" s="421">
        <v>0</v>
      </c>
      <c r="Q300" s="421">
        <v>0</v>
      </c>
      <c r="R300" s="421">
        <v>0.88229317016601605</v>
      </c>
      <c r="S300" s="429">
        <v>153.72661182412801</v>
      </c>
      <c r="T300" s="412"/>
    </row>
    <row r="301" spans="2:20" ht="13.5">
      <c r="B301" s="412"/>
      <c r="C301" s="424" t="s">
        <v>85</v>
      </c>
      <c r="D301" s="425">
        <v>6.2476994617418002</v>
      </c>
      <c r="E301" s="425">
        <v>0</v>
      </c>
      <c r="F301" s="425">
        <v>389.96871341979403</v>
      </c>
      <c r="G301" s="425">
        <v>327.35609641821998</v>
      </c>
      <c r="H301" s="425">
        <v>0</v>
      </c>
      <c r="I301" s="425">
        <v>0</v>
      </c>
      <c r="J301" s="425">
        <v>96.956719776112095</v>
      </c>
      <c r="K301" s="425">
        <v>3.98663909653113</v>
      </c>
      <c r="L301" s="425">
        <v>40.172116235365102</v>
      </c>
      <c r="M301" s="425">
        <v>6.4344405557092701</v>
      </c>
      <c r="N301" s="425">
        <v>64.228247119713899</v>
      </c>
      <c r="O301" s="425">
        <v>1.7652630439230199</v>
      </c>
      <c r="P301" s="425">
        <v>517.98785386676104</v>
      </c>
      <c r="Q301" s="425">
        <v>37.922407575904103</v>
      </c>
      <c r="R301" s="425">
        <v>3.8605734298051999</v>
      </c>
      <c r="S301" s="425">
        <v>1496.8867699995801</v>
      </c>
      <c r="T301" s="412"/>
    </row>
    <row r="302" spans="2:20">
      <c r="B302" s="412"/>
      <c r="C302" s="412"/>
      <c r="D302" s="430">
        <f t="shared" ref="D302:S302" si="7">D301+D291-D277</f>
        <v>0</v>
      </c>
      <c r="E302" s="430">
        <f t="shared" si="7"/>
        <v>0</v>
      </c>
      <c r="F302" s="430">
        <f t="shared" si="7"/>
        <v>0</v>
      </c>
      <c r="G302" s="430">
        <f t="shared" si="7"/>
        <v>0</v>
      </c>
      <c r="H302" s="430">
        <f t="shared" si="7"/>
        <v>0</v>
      </c>
      <c r="I302" s="430">
        <f t="shared" si="7"/>
        <v>0</v>
      </c>
      <c r="J302" s="430">
        <f t="shared" si="7"/>
        <v>2.2737367544323206E-13</v>
      </c>
      <c r="K302" s="430">
        <f t="shared" si="7"/>
        <v>3.1974423109204508E-14</v>
      </c>
      <c r="L302" s="430">
        <f t="shared" si="7"/>
        <v>-3.0420110874729289E-14</v>
      </c>
      <c r="M302" s="430">
        <f t="shared" si="7"/>
        <v>0</v>
      </c>
      <c r="N302" s="430">
        <f t="shared" si="7"/>
        <v>0</v>
      </c>
      <c r="O302" s="430">
        <f t="shared" si="7"/>
        <v>-9.7699626167013776E-15</v>
      </c>
      <c r="P302" s="430">
        <f t="shared" si="7"/>
        <v>7.9225515037251171E-13</v>
      </c>
      <c r="Q302" s="430">
        <f t="shared" si="7"/>
        <v>-9.9475983006414026E-14</v>
      </c>
      <c r="R302" s="430">
        <f t="shared" si="7"/>
        <v>0</v>
      </c>
      <c r="S302" s="430">
        <f t="shared" si="7"/>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3.5">
      <c r="B304" s="416"/>
      <c r="C304" s="417" t="s">
        <v>89</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02" t="s">
        <v>128</v>
      </c>
      <c r="D306" s="703" t="s">
        <v>42</v>
      </c>
      <c r="E306" s="703" t="s">
        <v>52</v>
      </c>
      <c r="F306" s="703" t="s">
        <v>53</v>
      </c>
      <c r="G306" s="703" t="s">
        <v>32</v>
      </c>
      <c r="H306" s="703" t="s">
        <v>20</v>
      </c>
      <c r="I306" s="703" t="s">
        <v>55</v>
      </c>
      <c r="J306" s="703" t="s">
        <v>56</v>
      </c>
      <c r="K306" s="703"/>
      <c r="L306" s="703"/>
      <c r="M306" s="703"/>
      <c r="N306" s="703"/>
      <c r="O306" s="703"/>
      <c r="P306" s="703" t="s">
        <v>57</v>
      </c>
      <c r="Q306" s="703" t="s">
        <v>58</v>
      </c>
      <c r="R306" s="703" t="s">
        <v>31</v>
      </c>
      <c r="S306" s="703" t="s">
        <v>10</v>
      </c>
      <c r="T306" s="412"/>
    </row>
    <row r="307" spans="2:20" ht="57.5">
      <c r="B307" s="412"/>
      <c r="C307" s="702"/>
      <c r="D307" s="703"/>
      <c r="E307" s="703"/>
      <c r="F307" s="703"/>
      <c r="G307" s="703"/>
      <c r="H307" s="703"/>
      <c r="I307" s="703"/>
      <c r="J307" s="418" t="s">
        <v>338</v>
      </c>
      <c r="K307" s="418" t="s">
        <v>40</v>
      </c>
      <c r="L307" s="418" t="s">
        <v>346</v>
      </c>
      <c r="M307" s="418" t="s">
        <v>347</v>
      </c>
      <c r="N307" s="419" t="s">
        <v>348</v>
      </c>
      <c r="O307" s="418" t="s">
        <v>349</v>
      </c>
      <c r="P307" s="703"/>
      <c r="Q307" s="703"/>
      <c r="R307" s="703"/>
      <c r="S307" s="703"/>
      <c r="T307" s="412"/>
    </row>
    <row r="308" spans="2:20" ht="13.5">
      <c r="B308" s="412"/>
      <c r="C308" s="420" t="s">
        <v>59</v>
      </c>
      <c r="D308" s="421">
        <v>0</v>
      </c>
      <c r="E308" s="421">
        <v>0</v>
      </c>
      <c r="F308" s="421">
        <v>0</v>
      </c>
      <c r="G308" s="421">
        <v>0</v>
      </c>
      <c r="H308" s="422">
        <v>727.27272727272702</v>
      </c>
      <c r="I308" s="422">
        <v>285.08</v>
      </c>
      <c r="J308" s="422">
        <v>179.02026508455899</v>
      </c>
      <c r="K308" s="422">
        <v>22.071430242595699</v>
      </c>
      <c r="L308" s="421">
        <v>0</v>
      </c>
      <c r="M308" s="421">
        <v>0</v>
      </c>
      <c r="N308" s="422">
        <v>69.124340714614704</v>
      </c>
      <c r="O308" s="422">
        <v>3.9743240940765601</v>
      </c>
      <c r="P308" s="421">
        <v>0</v>
      </c>
      <c r="Q308" s="421">
        <v>0</v>
      </c>
      <c r="R308" s="421">
        <v>0</v>
      </c>
      <c r="S308" s="423">
        <v>1286.54308740857</v>
      </c>
      <c r="T308" s="412"/>
    </row>
    <row r="309" spans="2:20" ht="13.5">
      <c r="B309" s="412"/>
      <c r="C309" s="420" t="s">
        <v>60</v>
      </c>
      <c r="D309" s="421">
        <v>29.137863782851301</v>
      </c>
      <c r="E309" s="421">
        <v>464.7986487</v>
      </c>
      <c r="F309" s="421">
        <v>43.026150332406097</v>
      </c>
      <c r="G309" s="421">
        <v>393.69712052116603</v>
      </c>
      <c r="H309" s="421">
        <v>0</v>
      </c>
      <c r="I309" s="421">
        <v>0</v>
      </c>
      <c r="J309" s="421">
        <v>0</v>
      </c>
      <c r="K309" s="421">
        <v>0</v>
      </c>
      <c r="L309" s="421">
        <v>0</v>
      </c>
      <c r="M309" s="421">
        <v>0</v>
      </c>
      <c r="N309" s="421">
        <v>0</v>
      </c>
      <c r="O309" s="421">
        <v>0</v>
      </c>
      <c r="P309" s="421">
        <v>52.272660894863201</v>
      </c>
      <c r="Q309" s="421">
        <v>0</v>
      </c>
      <c r="R309" s="421">
        <v>0</v>
      </c>
      <c r="S309" s="423">
        <v>982.93244423128704</v>
      </c>
      <c r="T309" s="412"/>
    </row>
    <row r="310" spans="2:20" ht="13.5">
      <c r="B310" s="412"/>
      <c r="C310" s="420" t="s">
        <v>61</v>
      </c>
      <c r="D310" s="421">
        <v>0</v>
      </c>
      <c r="E310" s="421">
        <v>0</v>
      </c>
      <c r="F310" s="421">
        <v>0</v>
      </c>
      <c r="G310" s="421">
        <v>0</v>
      </c>
      <c r="H310" s="421">
        <v>0</v>
      </c>
      <c r="I310" s="421">
        <v>0</v>
      </c>
      <c r="J310" s="421">
        <v>0</v>
      </c>
      <c r="K310" s="421">
        <v>0</v>
      </c>
      <c r="L310" s="421">
        <v>0</v>
      </c>
      <c r="M310" s="421">
        <v>0</v>
      </c>
      <c r="N310" s="421">
        <v>0</v>
      </c>
      <c r="O310" s="421">
        <v>0</v>
      </c>
      <c r="P310" s="421">
        <v>0</v>
      </c>
      <c r="Q310" s="421">
        <v>0</v>
      </c>
      <c r="R310" s="421">
        <v>0</v>
      </c>
      <c r="S310" s="423">
        <v>0</v>
      </c>
      <c r="T310" s="412"/>
    </row>
    <row r="311" spans="2:20" ht="13.5">
      <c r="B311" s="412"/>
      <c r="C311" s="420" t="s">
        <v>62</v>
      </c>
      <c r="D311" s="421">
        <v>0</v>
      </c>
      <c r="E311" s="421">
        <v>0</v>
      </c>
      <c r="F311" s="421">
        <v>-14.431507774067301</v>
      </c>
      <c r="G311" s="421">
        <v>0</v>
      </c>
      <c r="H311" s="421">
        <v>0</v>
      </c>
      <c r="I311" s="421">
        <v>0</v>
      </c>
      <c r="J311" s="421">
        <v>0</v>
      </c>
      <c r="K311" s="421">
        <v>0</v>
      </c>
      <c r="L311" s="421">
        <v>0</v>
      </c>
      <c r="M311" s="421">
        <v>0</v>
      </c>
      <c r="N311" s="421">
        <v>0</v>
      </c>
      <c r="O311" s="421">
        <v>0</v>
      </c>
      <c r="P311" s="421">
        <v>0</v>
      </c>
      <c r="Q311" s="421">
        <v>0</v>
      </c>
      <c r="R311" s="421">
        <v>0</v>
      </c>
      <c r="S311" s="423">
        <v>-14.431507774067301</v>
      </c>
      <c r="T311" s="412"/>
    </row>
    <row r="312" spans="2:20" ht="13.5">
      <c r="B312" s="412"/>
      <c r="C312" s="420" t="s">
        <v>63</v>
      </c>
      <c r="D312" s="421">
        <v>0</v>
      </c>
      <c r="E312" s="421">
        <v>0</v>
      </c>
      <c r="F312" s="421">
        <v>-93.073301321338505</v>
      </c>
      <c r="G312" s="421">
        <v>0</v>
      </c>
      <c r="H312" s="421">
        <v>0</v>
      </c>
      <c r="I312" s="421">
        <v>0</v>
      </c>
      <c r="J312" s="421">
        <v>0</v>
      </c>
      <c r="K312" s="421">
        <v>0</v>
      </c>
      <c r="L312" s="421">
        <v>-0.96113349486483901</v>
      </c>
      <c r="M312" s="421">
        <v>0</v>
      </c>
      <c r="N312" s="421">
        <v>0</v>
      </c>
      <c r="O312" s="421">
        <v>0</v>
      </c>
      <c r="P312" s="421">
        <v>0</v>
      </c>
      <c r="Q312" s="421">
        <v>0</v>
      </c>
      <c r="R312" s="421">
        <v>0</v>
      </c>
      <c r="S312" s="423">
        <v>-94.034434816203301</v>
      </c>
      <c r="T312" s="412"/>
    </row>
    <row r="313" spans="2:20" ht="13.5">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ht="13.5">
      <c r="B314" s="412"/>
      <c r="C314" s="424" t="s">
        <v>65</v>
      </c>
      <c r="D314" s="425">
        <v>29.137863782851301</v>
      </c>
      <c r="E314" s="425">
        <v>464.7986487</v>
      </c>
      <c r="F314" s="425">
        <v>-64.4786587629997</v>
      </c>
      <c r="G314" s="425">
        <v>393.69712052116603</v>
      </c>
      <c r="H314" s="425">
        <v>727.27272727272702</v>
      </c>
      <c r="I314" s="425">
        <v>285.08</v>
      </c>
      <c r="J314" s="425">
        <v>179.02026508455899</v>
      </c>
      <c r="K314" s="425">
        <v>22.071430242595699</v>
      </c>
      <c r="L314" s="425">
        <v>-0.96113349486483901</v>
      </c>
      <c r="M314" s="425">
        <v>0</v>
      </c>
      <c r="N314" s="425">
        <v>69.124340714614704</v>
      </c>
      <c r="O314" s="425">
        <v>3.9743240940765601</v>
      </c>
      <c r="P314" s="425">
        <v>52.272660894863201</v>
      </c>
      <c r="Q314" s="425">
        <v>0</v>
      </c>
      <c r="R314" s="425">
        <v>0</v>
      </c>
      <c r="S314" s="425">
        <v>2161.00958904959</v>
      </c>
      <c r="T314" s="412"/>
    </row>
    <row r="315" spans="2:20" ht="13.5">
      <c r="B315" s="412"/>
      <c r="C315" s="426"/>
      <c r="D315" s="427"/>
      <c r="E315" s="427"/>
      <c r="F315" s="427"/>
      <c r="G315" s="427"/>
      <c r="H315" s="427"/>
      <c r="I315" s="427"/>
      <c r="J315" s="427"/>
      <c r="K315" s="427"/>
      <c r="L315" s="427"/>
      <c r="M315" s="427"/>
      <c r="N315" s="427"/>
      <c r="O315" s="427"/>
      <c r="P315" s="427"/>
      <c r="Q315" s="427"/>
      <c r="R315" s="427"/>
      <c r="S315" s="427"/>
      <c r="T315" s="412"/>
    </row>
    <row r="316" spans="2:20" ht="13.5">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ht="13.5">
      <c r="B317" s="412"/>
      <c r="C317" s="428" t="s">
        <v>350</v>
      </c>
      <c r="D317" s="421">
        <v>2.2004707355665598</v>
      </c>
      <c r="E317" s="421">
        <v>0</v>
      </c>
      <c r="F317" s="421">
        <v>3.8636363636363602</v>
      </c>
      <c r="G317" s="421">
        <v>35.960251906978201</v>
      </c>
      <c r="H317" s="421">
        <v>727.27272727272702</v>
      </c>
      <c r="I317" s="421">
        <v>285.08</v>
      </c>
      <c r="J317" s="421">
        <v>20.883347007614301</v>
      </c>
      <c r="K317" s="421">
        <v>5.4396340942741803</v>
      </c>
      <c r="L317" s="421">
        <v>0</v>
      </c>
      <c r="M317" s="421">
        <v>0.73388269197914702</v>
      </c>
      <c r="N317" s="421">
        <v>0</v>
      </c>
      <c r="O317" s="421">
        <v>0</v>
      </c>
      <c r="P317" s="421">
        <v>-559.49648075937398</v>
      </c>
      <c r="Q317" s="421">
        <v>0</v>
      </c>
      <c r="R317" s="421">
        <v>0</v>
      </c>
      <c r="S317" s="429">
        <v>521.93746931340195</v>
      </c>
      <c r="T317" s="412"/>
    </row>
    <row r="318" spans="2:20" ht="13.5">
      <c r="B318" s="412"/>
      <c r="C318" s="428" t="s">
        <v>351</v>
      </c>
      <c r="D318" s="421">
        <v>0</v>
      </c>
      <c r="E318" s="421">
        <v>0</v>
      </c>
      <c r="F318" s="421">
        <v>0</v>
      </c>
      <c r="G318" s="421">
        <v>17.249248608476702</v>
      </c>
      <c r="H318" s="421">
        <v>0</v>
      </c>
      <c r="I318" s="421">
        <v>0</v>
      </c>
      <c r="J318" s="421">
        <v>12.287356523997399</v>
      </c>
      <c r="K318" s="421">
        <v>12.751836063828801</v>
      </c>
      <c r="L318" s="421">
        <v>0</v>
      </c>
      <c r="M318" s="421">
        <v>0.35202548180564602</v>
      </c>
      <c r="N318" s="421">
        <v>0</v>
      </c>
      <c r="O318" s="421">
        <v>2.25411214784515</v>
      </c>
      <c r="P318" s="421">
        <v>0</v>
      </c>
      <c r="Q318" s="421">
        <v>-41.172831919421</v>
      </c>
      <c r="R318" s="421">
        <v>0</v>
      </c>
      <c r="S318" s="429">
        <v>3.7217469065325699</v>
      </c>
      <c r="T318" s="412"/>
    </row>
    <row r="319" spans="2:20" ht="13.5">
      <c r="B319" s="412"/>
      <c r="C319" s="428" t="s">
        <v>352</v>
      </c>
      <c r="D319" s="421">
        <v>0</v>
      </c>
      <c r="E319" s="421">
        <v>0</v>
      </c>
      <c r="F319" s="421">
        <v>0</v>
      </c>
      <c r="G319" s="421">
        <v>0</v>
      </c>
      <c r="H319" s="421">
        <v>0</v>
      </c>
      <c r="I319" s="421">
        <v>0</v>
      </c>
      <c r="J319" s="421">
        <v>8.1584068388578199</v>
      </c>
      <c r="K319" s="421">
        <v>0</v>
      </c>
      <c r="L319" s="421">
        <v>0</v>
      </c>
      <c r="M319" s="421">
        <v>-7.7912785311092199</v>
      </c>
      <c r="N319" s="421">
        <v>0</v>
      </c>
      <c r="O319" s="421">
        <v>0</v>
      </c>
      <c r="P319" s="421">
        <v>0</v>
      </c>
      <c r="Q319" s="421">
        <v>0</v>
      </c>
      <c r="R319" s="421">
        <v>0</v>
      </c>
      <c r="S319" s="429">
        <v>0.367128307748603</v>
      </c>
      <c r="T319" s="412"/>
    </row>
    <row r="320" spans="2:20" ht="13.5">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ht="13.5">
      <c r="B321" s="412"/>
      <c r="C321" s="428" t="s">
        <v>72</v>
      </c>
      <c r="D321" s="421">
        <v>0</v>
      </c>
      <c r="E321" s="421">
        <v>481.48200000000003</v>
      </c>
      <c r="F321" s="421">
        <v>-476.66717999999997</v>
      </c>
      <c r="G321" s="421">
        <v>0</v>
      </c>
      <c r="H321" s="421">
        <v>0</v>
      </c>
      <c r="I321" s="421">
        <v>0</v>
      </c>
      <c r="J321" s="421">
        <v>0</v>
      </c>
      <c r="K321" s="421">
        <v>0</v>
      </c>
      <c r="L321" s="421">
        <v>0</v>
      </c>
      <c r="M321" s="421">
        <v>0</v>
      </c>
      <c r="N321" s="421">
        <v>0</v>
      </c>
      <c r="O321" s="421">
        <v>0</v>
      </c>
      <c r="P321" s="421">
        <v>0</v>
      </c>
      <c r="Q321" s="421">
        <v>0</v>
      </c>
      <c r="R321" s="421">
        <v>0</v>
      </c>
      <c r="S321" s="429">
        <v>4.8148200000000001</v>
      </c>
      <c r="T321" s="412"/>
    </row>
    <row r="322" spans="2:20" ht="13.5">
      <c r="B322" s="412"/>
      <c r="C322" s="428" t="s">
        <v>354</v>
      </c>
      <c r="D322" s="421">
        <v>0</v>
      </c>
      <c r="E322" s="421">
        <v>0</v>
      </c>
      <c r="F322" s="421">
        <v>0</v>
      </c>
      <c r="G322" s="421">
        <v>0</v>
      </c>
      <c r="H322" s="421">
        <v>0</v>
      </c>
      <c r="I322" s="421">
        <v>0</v>
      </c>
      <c r="J322" s="421">
        <v>41.474660133722303</v>
      </c>
      <c r="K322" s="421">
        <v>0</v>
      </c>
      <c r="L322" s="421">
        <v>-41.474660133722303</v>
      </c>
      <c r="M322" s="421">
        <v>0</v>
      </c>
      <c r="N322" s="421">
        <v>0</v>
      </c>
      <c r="O322" s="421">
        <v>0</v>
      </c>
      <c r="P322" s="421">
        <v>0</v>
      </c>
      <c r="Q322" s="421">
        <v>0</v>
      </c>
      <c r="R322" s="421">
        <v>0</v>
      </c>
      <c r="S322" s="429">
        <v>0</v>
      </c>
      <c r="T322" s="412"/>
    </row>
    <row r="323" spans="2:20" ht="13.5">
      <c r="B323" s="412"/>
      <c r="C323" s="428" t="s">
        <v>355</v>
      </c>
      <c r="D323" s="421">
        <v>0</v>
      </c>
      <c r="E323" s="421">
        <v>0</v>
      </c>
      <c r="F323" s="421">
        <v>0</v>
      </c>
      <c r="G323" s="421">
        <v>0</v>
      </c>
      <c r="H323" s="421">
        <v>0</v>
      </c>
      <c r="I323" s="421">
        <v>0</v>
      </c>
      <c r="J323" s="421">
        <v>0</v>
      </c>
      <c r="K323" s="421">
        <v>0</v>
      </c>
      <c r="L323" s="421">
        <v>-0.18779562104234199</v>
      </c>
      <c r="M323" s="421">
        <v>0</v>
      </c>
      <c r="N323" s="421">
        <v>0</v>
      </c>
      <c r="O323" s="421">
        <v>0</v>
      </c>
      <c r="P323" s="421">
        <v>0</v>
      </c>
      <c r="Q323" s="421">
        <v>0</v>
      </c>
      <c r="R323" s="421">
        <v>0.26827945863191799</v>
      </c>
      <c r="S323" s="429">
        <v>8.0483837589575294E-2</v>
      </c>
      <c r="T323" s="412"/>
    </row>
    <row r="324" spans="2:20" ht="13.5">
      <c r="B324" s="412"/>
      <c r="C324" s="428" t="s">
        <v>73</v>
      </c>
      <c r="D324" s="421">
        <v>0</v>
      </c>
      <c r="E324" s="421">
        <v>0</v>
      </c>
      <c r="F324" s="421">
        <v>0</v>
      </c>
      <c r="G324" s="421">
        <v>5.7699673283914903</v>
      </c>
      <c r="H324" s="421">
        <v>0</v>
      </c>
      <c r="I324" s="421">
        <v>0</v>
      </c>
      <c r="J324" s="421">
        <v>0</v>
      </c>
      <c r="K324" s="421">
        <v>6.7674962800744601E-2</v>
      </c>
      <c r="L324" s="421">
        <v>0</v>
      </c>
      <c r="M324" s="421">
        <v>0.117754435273296</v>
      </c>
      <c r="N324" s="421">
        <v>0</v>
      </c>
      <c r="O324" s="421">
        <v>0</v>
      </c>
      <c r="P324" s="421">
        <v>0.78954123267535403</v>
      </c>
      <c r="Q324" s="421">
        <v>0</v>
      </c>
      <c r="R324" s="421">
        <v>-4.73724739605212</v>
      </c>
      <c r="S324" s="429">
        <v>2.0076905630887598</v>
      </c>
      <c r="T324" s="412"/>
    </row>
    <row r="325" spans="2:20" ht="13.5">
      <c r="B325" s="412"/>
      <c r="C325" s="428" t="s">
        <v>356</v>
      </c>
      <c r="D325" s="421">
        <v>12.0380056152344</v>
      </c>
      <c r="E325" s="421">
        <v>-16.683351300000002</v>
      </c>
      <c r="F325" s="421">
        <v>21.820838094867199</v>
      </c>
      <c r="G325" s="421">
        <v>0</v>
      </c>
      <c r="H325" s="421">
        <v>0</v>
      </c>
      <c r="I325" s="421">
        <v>0</v>
      </c>
      <c r="J325" s="421">
        <v>0</v>
      </c>
      <c r="K325" s="421">
        <v>0</v>
      </c>
      <c r="L325" s="421">
        <v>0</v>
      </c>
      <c r="M325" s="421">
        <v>0</v>
      </c>
      <c r="N325" s="421">
        <v>0</v>
      </c>
      <c r="O325" s="421">
        <v>0</v>
      </c>
      <c r="P325" s="421">
        <v>0</v>
      </c>
      <c r="Q325" s="421">
        <v>0</v>
      </c>
      <c r="R325" s="421">
        <v>0</v>
      </c>
      <c r="S325" s="429">
        <v>17.175492410101601</v>
      </c>
      <c r="T325" s="412"/>
    </row>
    <row r="326" spans="2:20" ht="13.5">
      <c r="B326" s="412"/>
      <c r="C326" s="428" t="s">
        <v>75</v>
      </c>
      <c r="D326" s="421">
        <v>9.5550615234374998</v>
      </c>
      <c r="E326" s="421">
        <v>0</v>
      </c>
      <c r="F326" s="421">
        <v>16.370387999999998</v>
      </c>
      <c r="G326" s="421">
        <v>4.6713383640000004</v>
      </c>
      <c r="H326" s="421">
        <v>0</v>
      </c>
      <c r="I326" s="421">
        <v>0</v>
      </c>
      <c r="J326" s="421">
        <v>0</v>
      </c>
      <c r="K326" s="421">
        <v>0</v>
      </c>
      <c r="L326" s="421">
        <v>0</v>
      </c>
      <c r="M326" s="421">
        <v>9.5333435999999994E-2</v>
      </c>
      <c r="N326" s="421">
        <v>0</v>
      </c>
      <c r="O326" s="421">
        <v>0</v>
      </c>
      <c r="P326" s="421">
        <v>25.6753694925142</v>
      </c>
      <c r="Q326" s="421">
        <v>0</v>
      </c>
      <c r="R326" s="421">
        <v>0</v>
      </c>
      <c r="S326" s="429">
        <v>56.367490815951697</v>
      </c>
      <c r="T326" s="412"/>
    </row>
    <row r="327" spans="2:20" ht="13.5">
      <c r="B327" s="412"/>
      <c r="C327" s="428" t="s">
        <v>76</v>
      </c>
      <c r="D327" s="421">
        <v>0</v>
      </c>
      <c r="E327" s="421">
        <v>0</v>
      </c>
      <c r="F327" s="421">
        <v>0</v>
      </c>
      <c r="G327" s="421">
        <v>4.52694839554567</v>
      </c>
      <c r="H327" s="421">
        <v>0</v>
      </c>
      <c r="I327" s="421">
        <v>0</v>
      </c>
      <c r="J327" s="421">
        <v>0</v>
      </c>
      <c r="K327" s="421">
        <v>0</v>
      </c>
      <c r="L327" s="421">
        <v>0</v>
      </c>
      <c r="M327" s="421">
        <v>9.2386701949911706E-2</v>
      </c>
      <c r="N327" s="421">
        <v>0</v>
      </c>
      <c r="O327" s="421">
        <v>0</v>
      </c>
      <c r="P327" s="421">
        <v>46.885354346539003</v>
      </c>
      <c r="Q327" s="421">
        <v>3.1905146505824402</v>
      </c>
      <c r="R327" s="421">
        <v>0</v>
      </c>
      <c r="S327" s="429">
        <v>54.695204094616997</v>
      </c>
      <c r="T327" s="412"/>
    </row>
    <row r="328" spans="2:20" ht="13.5">
      <c r="B328" s="412"/>
      <c r="C328" s="424" t="s">
        <v>77</v>
      </c>
      <c r="D328" s="425">
        <v>23.7935378742384</v>
      </c>
      <c r="E328" s="425">
        <v>464.7986487</v>
      </c>
      <c r="F328" s="425">
        <v>-434.61231754149702</v>
      </c>
      <c r="G328" s="425">
        <v>68.177754603392003</v>
      </c>
      <c r="H328" s="425">
        <v>727.27272727272702</v>
      </c>
      <c r="I328" s="425">
        <v>285.08</v>
      </c>
      <c r="J328" s="425">
        <v>82.803770504191903</v>
      </c>
      <c r="K328" s="425">
        <v>18.2591451209037</v>
      </c>
      <c r="L328" s="425">
        <v>-41.6624557547647</v>
      </c>
      <c r="M328" s="425">
        <v>-6.3998957841012203</v>
      </c>
      <c r="N328" s="425">
        <v>0</v>
      </c>
      <c r="O328" s="425">
        <v>2.25411214784515</v>
      </c>
      <c r="P328" s="425">
        <v>-486.14621568764602</v>
      </c>
      <c r="Q328" s="425">
        <v>-37.982317268838599</v>
      </c>
      <c r="R328" s="425">
        <v>-4.46896793742021</v>
      </c>
      <c r="S328" s="425">
        <v>661.16752624903097</v>
      </c>
      <c r="T328" s="412"/>
    </row>
    <row r="329" spans="2:20" ht="13.5">
      <c r="B329" s="412"/>
      <c r="C329" s="426"/>
      <c r="D329" s="427"/>
      <c r="E329" s="427"/>
      <c r="F329" s="427"/>
      <c r="G329" s="427"/>
      <c r="H329" s="427"/>
      <c r="I329" s="427"/>
      <c r="J329" s="427"/>
      <c r="K329" s="427"/>
      <c r="L329" s="427"/>
      <c r="M329" s="427"/>
      <c r="N329" s="427"/>
      <c r="O329" s="427"/>
      <c r="P329" s="427"/>
      <c r="Q329" s="427"/>
      <c r="R329" s="427"/>
      <c r="S329" s="427"/>
      <c r="T329" s="412"/>
    </row>
    <row r="330" spans="2:20" ht="13.5">
      <c r="B330" s="412"/>
      <c r="C330" s="428" t="s">
        <v>78</v>
      </c>
      <c r="D330" s="421">
        <v>3.2525348929878701</v>
      </c>
      <c r="E330" s="421">
        <v>0</v>
      </c>
      <c r="F330" s="421">
        <v>17.532199420942199</v>
      </c>
      <c r="G330" s="421">
        <v>101.536086736296</v>
      </c>
      <c r="H330" s="421">
        <v>0</v>
      </c>
      <c r="I330" s="421">
        <v>0</v>
      </c>
      <c r="J330" s="421">
        <v>17.243729128153799</v>
      </c>
      <c r="K330" s="421">
        <v>3.8122851216920202</v>
      </c>
      <c r="L330" s="421">
        <v>0.87021837890624998</v>
      </c>
      <c r="M330" s="421">
        <v>2.0721650354346099</v>
      </c>
      <c r="N330" s="421">
        <v>0</v>
      </c>
      <c r="O330" s="421">
        <v>0</v>
      </c>
      <c r="P330" s="421">
        <v>120.089551917563</v>
      </c>
      <c r="Q330" s="421">
        <v>19.4196670049601</v>
      </c>
      <c r="R330" s="421">
        <v>0.24405599975585901</v>
      </c>
      <c r="S330" s="429">
        <v>286.072493636692</v>
      </c>
      <c r="T330" s="412"/>
    </row>
    <row r="331" spans="2:20" ht="13.5">
      <c r="B331" s="412"/>
      <c r="C331" s="428" t="s">
        <v>79</v>
      </c>
      <c r="D331" s="421">
        <v>0</v>
      </c>
      <c r="E331" s="421">
        <v>0</v>
      </c>
      <c r="F331" s="421">
        <v>204.27744800701601</v>
      </c>
      <c r="G331" s="421">
        <v>35.056721936600702</v>
      </c>
      <c r="H331" s="421">
        <v>0</v>
      </c>
      <c r="I331" s="421">
        <v>0</v>
      </c>
      <c r="J331" s="421">
        <v>0</v>
      </c>
      <c r="K331" s="421">
        <v>0</v>
      </c>
      <c r="L331" s="421">
        <v>20.587238275227001</v>
      </c>
      <c r="M331" s="421">
        <v>0.71544330482858598</v>
      </c>
      <c r="N331" s="421">
        <v>0</v>
      </c>
      <c r="O331" s="421">
        <v>0</v>
      </c>
      <c r="P331" s="421">
        <v>74.338731935176895</v>
      </c>
      <c r="Q331" s="421">
        <v>0</v>
      </c>
      <c r="R331" s="421">
        <v>3.0427208487971602</v>
      </c>
      <c r="S331" s="429">
        <v>338.01830430764699</v>
      </c>
      <c r="T331" s="412"/>
    </row>
    <row r="332" spans="2:20" ht="13.5">
      <c r="B332" s="412"/>
      <c r="C332" s="428" t="s">
        <v>80</v>
      </c>
      <c r="D332" s="421">
        <v>0</v>
      </c>
      <c r="E332" s="421">
        <v>0</v>
      </c>
      <c r="F332" s="421">
        <v>5.0790798253364304</v>
      </c>
      <c r="G332" s="421">
        <v>103.36019560958501</v>
      </c>
      <c r="H332" s="421">
        <v>0</v>
      </c>
      <c r="I332" s="421">
        <v>0</v>
      </c>
      <c r="J332" s="421">
        <v>73.674863255740703</v>
      </c>
      <c r="K332" s="421">
        <v>0</v>
      </c>
      <c r="L332" s="421">
        <v>0</v>
      </c>
      <c r="M332" s="421">
        <v>2.1093917471343899</v>
      </c>
      <c r="N332" s="421">
        <v>62.925207692465797</v>
      </c>
      <c r="O332" s="421">
        <v>0.93798825098649496</v>
      </c>
      <c r="P332" s="421">
        <v>184.247095425738</v>
      </c>
      <c r="Q332" s="421">
        <v>14.961677987514401</v>
      </c>
      <c r="R332" s="421">
        <v>0</v>
      </c>
      <c r="S332" s="429">
        <v>447.29549979450098</v>
      </c>
      <c r="T332" s="412"/>
    </row>
    <row r="333" spans="2:20" ht="13.5">
      <c r="B333" s="412"/>
      <c r="C333" s="428" t="s">
        <v>81</v>
      </c>
      <c r="D333" s="421">
        <v>0</v>
      </c>
      <c r="E333" s="421">
        <v>0</v>
      </c>
      <c r="F333" s="421">
        <v>1.9431733632283299</v>
      </c>
      <c r="G333" s="421">
        <v>67.9041876215625</v>
      </c>
      <c r="H333" s="421">
        <v>0</v>
      </c>
      <c r="I333" s="421">
        <v>0</v>
      </c>
      <c r="J333" s="421">
        <v>3.20971056517973</v>
      </c>
      <c r="K333" s="421">
        <v>0</v>
      </c>
      <c r="L333" s="421">
        <v>0</v>
      </c>
      <c r="M333" s="421">
        <v>1.3857997473788299</v>
      </c>
      <c r="N333" s="421">
        <v>6.1991330221488896</v>
      </c>
      <c r="O333" s="421">
        <v>0.72170394145081995</v>
      </c>
      <c r="P333" s="421">
        <v>149.98195377916301</v>
      </c>
      <c r="Q333" s="421">
        <v>3.6009722763640601</v>
      </c>
      <c r="R333" s="421">
        <v>0</v>
      </c>
      <c r="S333" s="429">
        <v>234.94663431647601</v>
      </c>
      <c r="T333" s="412"/>
    </row>
    <row r="334" spans="2:20" ht="13.5">
      <c r="B334" s="412"/>
      <c r="C334" s="428" t="s">
        <v>82</v>
      </c>
      <c r="D334" s="421">
        <v>0</v>
      </c>
      <c r="E334" s="421">
        <v>0</v>
      </c>
      <c r="F334" s="421">
        <v>2.1543406684855499</v>
      </c>
      <c r="G334" s="421">
        <v>5.7377015169157897</v>
      </c>
      <c r="H334" s="421">
        <v>0</v>
      </c>
      <c r="I334" s="421">
        <v>0</v>
      </c>
      <c r="J334" s="421">
        <v>2.0881916312924198</v>
      </c>
      <c r="K334" s="421">
        <v>0</v>
      </c>
      <c r="L334" s="421">
        <v>19.243865605766601</v>
      </c>
      <c r="M334" s="421">
        <v>0.117095949324812</v>
      </c>
      <c r="N334" s="421">
        <v>0</v>
      </c>
      <c r="O334" s="421">
        <v>6.0519753794095202E-2</v>
      </c>
      <c r="P334" s="421">
        <v>7.3615435248684502</v>
      </c>
      <c r="Q334" s="421">
        <v>0</v>
      </c>
      <c r="R334" s="421">
        <v>0</v>
      </c>
      <c r="S334" s="429">
        <v>36.763258650447703</v>
      </c>
      <c r="T334" s="412"/>
    </row>
    <row r="335" spans="2:20" ht="13.5">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2.4</v>
      </c>
      <c r="Q335" s="421">
        <v>0</v>
      </c>
      <c r="R335" s="421">
        <v>0</v>
      </c>
      <c r="S335" s="429">
        <v>2.4</v>
      </c>
      <c r="T335" s="412"/>
    </row>
    <row r="336" spans="2:20" ht="13.5">
      <c r="B336" s="412"/>
      <c r="C336" s="424" t="s">
        <v>83</v>
      </c>
      <c r="D336" s="425">
        <v>3.2525348929878701</v>
      </c>
      <c r="E336" s="425">
        <v>0</v>
      </c>
      <c r="F336" s="425">
        <v>230.98624128500899</v>
      </c>
      <c r="G336" s="425">
        <v>313.59489342095998</v>
      </c>
      <c r="H336" s="425">
        <v>0</v>
      </c>
      <c r="I336" s="425">
        <v>0</v>
      </c>
      <c r="J336" s="425">
        <v>96.2164945803667</v>
      </c>
      <c r="K336" s="425">
        <v>3.8122851216920202</v>
      </c>
      <c r="L336" s="425">
        <v>40.701322259899896</v>
      </c>
      <c r="M336" s="425">
        <v>6.3998957841012203</v>
      </c>
      <c r="N336" s="425">
        <v>69.124340714614704</v>
      </c>
      <c r="O336" s="425">
        <v>1.72021194623141</v>
      </c>
      <c r="P336" s="425">
        <v>538.41887658250903</v>
      </c>
      <c r="Q336" s="425">
        <v>37.982317268838599</v>
      </c>
      <c r="R336" s="425">
        <v>3.28677684855302</v>
      </c>
      <c r="S336" s="425">
        <v>1345.49619070576</v>
      </c>
      <c r="T336" s="412"/>
    </row>
    <row r="337" spans="2:20" ht="13.5">
      <c r="B337" s="412"/>
      <c r="C337" s="420" t="s">
        <v>84</v>
      </c>
      <c r="D337" s="421">
        <v>2.0917910156250001</v>
      </c>
      <c r="E337" s="421">
        <v>0</v>
      </c>
      <c r="F337" s="421">
        <v>139.14741749348801</v>
      </c>
      <c r="G337" s="421">
        <v>11.9244724968143</v>
      </c>
      <c r="H337" s="421">
        <v>0</v>
      </c>
      <c r="I337" s="421">
        <v>0</v>
      </c>
      <c r="J337" s="421">
        <v>0</v>
      </c>
      <c r="K337" s="421">
        <v>0</v>
      </c>
      <c r="L337" s="421">
        <v>0</v>
      </c>
      <c r="M337" s="421">
        <v>0</v>
      </c>
      <c r="N337" s="421">
        <v>0</v>
      </c>
      <c r="O337" s="421">
        <v>0</v>
      </c>
      <c r="P337" s="421">
        <v>0</v>
      </c>
      <c r="Q337" s="421">
        <v>0</v>
      </c>
      <c r="R337" s="421">
        <v>1.18219108886719</v>
      </c>
      <c r="S337" s="429">
        <v>154.345872094794</v>
      </c>
      <c r="T337" s="412"/>
    </row>
    <row r="338" spans="2:20" ht="13.5">
      <c r="B338" s="412"/>
      <c r="C338" s="424" t="s">
        <v>85</v>
      </c>
      <c r="D338" s="425">
        <v>5.3443259086128698</v>
      </c>
      <c r="E338" s="425">
        <v>0</v>
      </c>
      <c r="F338" s="425">
        <v>370.13365877849702</v>
      </c>
      <c r="G338" s="425">
        <v>325.519365917774</v>
      </c>
      <c r="H338" s="425">
        <v>0</v>
      </c>
      <c r="I338" s="425">
        <v>0</v>
      </c>
      <c r="J338" s="425">
        <v>96.2164945803667</v>
      </c>
      <c r="K338" s="425">
        <v>3.8122851216920202</v>
      </c>
      <c r="L338" s="425">
        <v>40.701322259899896</v>
      </c>
      <c r="M338" s="425">
        <v>6.3998957841012203</v>
      </c>
      <c r="N338" s="425">
        <v>69.124340714614704</v>
      </c>
      <c r="O338" s="425">
        <v>1.72021194623141</v>
      </c>
      <c r="P338" s="425">
        <v>538.41887658250903</v>
      </c>
      <c r="Q338" s="425">
        <v>37.982317268838599</v>
      </c>
      <c r="R338" s="425">
        <v>4.46896793742021</v>
      </c>
      <c r="S338" s="425">
        <v>1499.8420628005599</v>
      </c>
      <c r="T338" s="412"/>
    </row>
    <row r="339" spans="2:20">
      <c r="B339" s="412"/>
      <c r="C339" s="412"/>
      <c r="D339" s="430">
        <f t="shared" ref="D339:S339" si="8">D338+D328-D314</f>
        <v>-3.1974423109204508E-14</v>
      </c>
      <c r="E339" s="430">
        <f t="shared" si="8"/>
        <v>0</v>
      </c>
      <c r="F339" s="430">
        <f t="shared" si="8"/>
        <v>-2.9842794901924208E-13</v>
      </c>
      <c r="G339" s="430">
        <f t="shared" si="8"/>
        <v>0</v>
      </c>
      <c r="H339" s="430">
        <f t="shared" si="8"/>
        <v>0</v>
      </c>
      <c r="I339" s="430">
        <f t="shared" si="8"/>
        <v>0</v>
      </c>
      <c r="J339" s="430">
        <f t="shared" si="8"/>
        <v>-3.694822225952521E-13</v>
      </c>
      <c r="K339" s="430">
        <f t="shared" si="8"/>
        <v>0</v>
      </c>
      <c r="L339" s="430">
        <f t="shared" si="8"/>
        <v>3.5416114485542494E-14</v>
      </c>
      <c r="M339" s="430">
        <f t="shared" si="8"/>
        <v>0</v>
      </c>
      <c r="N339" s="430">
        <f t="shared" si="8"/>
        <v>0</v>
      </c>
      <c r="O339" s="430">
        <f t="shared" si="8"/>
        <v>0</v>
      </c>
      <c r="P339" s="430">
        <f t="shared" si="8"/>
        <v>-1.9184653865522705E-13</v>
      </c>
      <c r="Q339" s="430">
        <f t="shared" si="8"/>
        <v>0</v>
      </c>
      <c r="R339" s="430">
        <f t="shared" si="8"/>
        <v>0</v>
      </c>
      <c r="S339" s="430">
        <f t="shared" si="8"/>
        <v>0</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sheetData>
  <mergeCells count="108">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N308:O308">
    <cfRule type="expression" dxfId="11074" priority="357">
      <formula>LEN(TRIM(N308))=0</formula>
    </cfRule>
  </conditionalFormatting>
  <conditionalFormatting sqref="N308:O308">
    <cfRule type="cellIs" dxfId="11073" priority="356" operator="equal">
      <formula>0</formula>
    </cfRule>
  </conditionalFormatting>
  <conditionalFormatting sqref="N308:O308">
    <cfRule type="cellIs" dxfId="11072" priority="355" operator="equal">
      <formula>0</formula>
    </cfRule>
  </conditionalFormatting>
  <conditionalFormatting sqref="H308:K308">
    <cfRule type="expression" dxfId="11071" priority="354">
      <formula>LEN(TRIM(H308))=0</formula>
    </cfRule>
  </conditionalFormatting>
  <conditionalFormatting sqref="K308">
    <cfRule type="cellIs" dxfId="11070" priority="353" operator="equal">
      <formula>0</formula>
    </cfRule>
  </conditionalFormatting>
  <conditionalFormatting sqref="J308:K308">
    <cfRule type="cellIs" dxfId="11069" priority="352" operator="equal">
      <formula>0</formula>
    </cfRule>
  </conditionalFormatting>
  <conditionalFormatting sqref="I308">
    <cfRule type="cellIs" dxfId="11068" priority="351" operator="equal">
      <formula>0</formula>
    </cfRule>
  </conditionalFormatting>
  <conditionalFormatting sqref="H308">
    <cfRule type="cellIs" dxfId="11067" priority="350" operator="equal">
      <formula>0</formula>
    </cfRule>
  </conditionalFormatting>
  <conditionalFormatting sqref="D316:R327">
    <cfRule type="expression" dxfId="11066" priority="349">
      <formula>LEN(TRIM(D316))=0</formula>
    </cfRule>
  </conditionalFormatting>
  <conditionalFormatting sqref="D316:R327">
    <cfRule type="cellIs" dxfId="11065" priority="348" operator="equal">
      <formula>0</formula>
    </cfRule>
  </conditionalFormatting>
  <conditionalFormatting sqref="N312:O312">
    <cfRule type="cellIs" dxfId="11064" priority="347" operator="equal">
      <formula>0</formula>
    </cfRule>
  </conditionalFormatting>
  <conditionalFormatting sqref="N311:O311">
    <cfRule type="cellIs" dxfId="11063" priority="346" operator="equal">
      <formula>0</formula>
    </cfRule>
  </conditionalFormatting>
  <conditionalFormatting sqref="M311:M312">
    <cfRule type="cellIs" dxfId="11062" priority="345" operator="equal">
      <formula>0</formula>
    </cfRule>
  </conditionalFormatting>
  <conditionalFormatting sqref="L311:L312">
    <cfRule type="cellIs" dxfId="11061" priority="344" operator="equal">
      <formula>0</formula>
    </cfRule>
  </conditionalFormatting>
  <conditionalFormatting sqref="D337:R337">
    <cfRule type="cellIs" dxfId="11060" priority="343" operator="equal">
      <formula>0</formula>
    </cfRule>
  </conditionalFormatting>
  <conditionalFormatting sqref="D330:R338 D328:R328 D309:R314 D308:G308 L308:M308 P308:R308">
    <cfRule type="expression" dxfId="11059" priority="342">
      <formula>LEN(TRIM(D308))=0</formula>
    </cfRule>
  </conditionalFormatting>
  <conditionalFormatting sqref="D337:R337">
    <cfRule type="cellIs" dxfId="11058" priority="341" operator="equal">
      <formula>0</formula>
    </cfRule>
  </conditionalFormatting>
  <conditionalFormatting sqref="O309:O310">
    <cfRule type="cellIs" dxfId="11057" priority="340" operator="equal">
      <formula>0</formula>
    </cfRule>
  </conditionalFormatting>
  <conditionalFormatting sqref="O311:O313 O329">
    <cfRule type="cellIs" dxfId="11056" priority="339" operator="equal">
      <formula>0</formula>
    </cfRule>
  </conditionalFormatting>
  <conditionalFormatting sqref="N309:N310">
    <cfRule type="cellIs" dxfId="11055" priority="338" operator="equal">
      <formula>0</formula>
    </cfRule>
  </conditionalFormatting>
  <conditionalFormatting sqref="N311:N313 N329">
    <cfRule type="cellIs" dxfId="11054" priority="337" operator="equal">
      <formula>0</formula>
    </cfRule>
  </conditionalFormatting>
  <conditionalFormatting sqref="M308:M310">
    <cfRule type="cellIs" dxfId="11053" priority="336" operator="equal">
      <formula>0</formula>
    </cfRule>
  </conditionalFormatting>
  <conditionalFormatting sqref="M311:M313 M329">
    <cfRule type="cellIs" dxfId="11052" priority="335" operator="equal">
      <formula>0</formula>
    </cfRule>
  </conditionalFormatting>
  <conditionalFormatting sqref="L308:L310">
    <cfRule type="cellIs" dxfId="11051" priority="334" operator="equal">
      <formula>0</formula>
    </cfRule>
  </conditionalFormatting>
  <conditionalFormatting sqref="L311:L313 L329">
    <cfRule type="cellIs" dxfId="11050" priority="333" operator="equal">
      <formula>0</formula>
    </cfRule>
  </conditionalFormatting>
  <conditionalFormatting sqref="K309:K310">
    <cfRule type="cellIs" dxfId="11049" priority="332" operator="equal">
      <formula>0</formula>
    </cfRule>
  </conditionalFormatting>
  <conditionalFormatting sqref="K311:K313 K329">
    <cfRule type="cellIs" dxfId="11048" priority="331" operator="equal">
      <formula>0</formula>
    </cfRule>
  </conditionalFormatting>
  <conditionalFormatting sqref="J309:J310">
    <cfRule type="cellIs" dxfId="11047" priority="330" operator="equal">
      <formula>0</formula>
    </cfRule>
  </conditionalFormatting>
  <conditionalFormatting sqref="J311:J313 J329">
    <cfRule type="cellIs" dxfId="11046" priority="329" operator="equal">
      <formula>0</formula>
    </cfRule>
  </conditionalFormatting>
  <conditionalFormatting sqref="L308:M308">
    <cfRule type="cellIs" dxfId="11045" priority="328" operator="equal">
      <formula>0</formula>
    </cfRule>
  </conditionalFormatting>
  <conditionalFormatting sqref="F309:F310">
    <cfRule type="cellIs" dxfId="11044" priority="327" operator="equal">
      <formula>0</formula>
    </cfRule>
  </conditionalFormatting>
  <conditionalFormatting sqref="P308:R308 L308:M308 D309:R310">
    <cfRule type="cellIs" dxfId="11043" priority="326" operator="equal">
      <formula>0</formula>
    </cfRule>
  </conditionalFormatting>
  <conditionalFormatting sqref="P308:P310">
    <cfRule type="cellIs" dxfId="11042" priority="325" operator="equal">
      <formula>0</formula>
    </cfRule>
  </conditionalFormatting>
  <conditionalFormatting sqref="D338:R338 P329:R329 D329:I329 D330:R336 D328:R328 D309:R315 D308:G308 L308:M308 P308:R308">
    <cfRule type="cellIs" dxfId="11041" priority="324" operator="equal">
      <formula>0</formula>
    </cfRule>
  </conditionalFormatting>
  <conditionalFormatting sqref="N271:O271">
    <cfRule type="expression" dxfId="11040" priority="323">
      <formula>LEN(TRIM(N271))=0</formula>
    </cfRule>
  </conditionalFormatting>
  <conditionalFormatting sqref="N271:O271">
    <cfRule type="cellIs" dxfId="11039" priority="322" operator="equal">
      <formula>0</formula>
    </cfRule>
  </conditionalFormatting>
  <conditionalFormatting sqref="N271:O271">
    <cfRule type="cellIs" dxfId="11038" priority="321" operator="equal">
      <formula>0</formula>
    </cfRule>
  </conditionalFormatting>
  <conditionalFormatting sqref="H271:K271">
    <cfRule type="expression" dxfId="11037" priority="320">
      <formula>LEN(TRIM(H271))=0</formula>
    </cfRule>
  </conditionalFormatting>
  <conditionalFormatting sqref="K271">
    <cfRule type="cellIs" dxfId="11036" priority="319" operator="equal">
      <formula>0</formula>
    </cfRule>
  </conditionalFormatting>
  <conditionalFormatting sqref="J271:K271">
    <cfRule type="cellIs" dxfId="11035" priority="318" operator="equal">
      <formula>0</formula>
    </cfRule>
  </conditionalFormatting>
  <conditionalFormatting sqref="I271">
    <cfRule type="cellIs" dxfId="11034" priority="317" operator="equal">
      <formula>0</formula>
    </cfRule>
  </conditionalFormatting>
  <conditionalFormatting sqref="H271">
    <cfRule type="cellIs" dxfId="11033" priority="316" operator="equal">
      <formula>0</formula>
    </cfRule>
  </conditionalFormatting>
  <conditionalFormatting sqref="D279:R290">
    <cfRule type="expression" dxfId="11032" priority="315">
      <formula>LEN(TRIM(D279))=0</formula>
    </cfRule>
  </conditionalFormatting>
  <conditionalFormatting sqref="D279:R290">
    <cfRule type="cellIs" dxfId="11031" priority="314" operator="equal">
      <formula>0</formula>
    </cfRule>
  </conditionalFormatting>
  <conditionalFormatting sqref="N275:O275">
    <cfRule type="cellIs" dxfId="11030" priority="313" operator="equal">
      <formula>0</formula>
    </cfRule>
  </conditionalFormatting>
  <conditionalFormatting sqref="N274:O274">
    <cfRule type="cellIs" dxfId="11029" priority="312" operator="equal">
      <formula>0</formula>
    </cfRule>
  </conditionalFormatting>
  <conditionalFormatting sqref="M274:M275">
    <cfRule type="cellIs" dxfId="11028" priority="311" operator="equal">
      <formula>0</formula>
    </cfRule>
  </conditionalFormatting>
  <conditionalFormatting sqref="L274:L275">
    <cfRule type="cellIs" dxfId="11027" priority="310" operator="equal">
      <formula>0</formula>
    </cfRule>
  </conditionalFormatting>
  <conditionalFormatting sqref="D300:R300">
    <cfRule type="cellIs" dxfId="11026" priority="309" operator="equal">
      <formula>0</formula>
    </cfRule>
  </conditionalFormatting>
  <conditionalFormatting sqref="D293:R301 D291:R291 D272:R277 D271:G271 L271:M271 P271:R271">
    <cfRule type="expression" dxfId="11025" priority="308">
      <formula>LEN(TRIM(D271))=0</formula>
    </cfRule>
  </conditionalFormatting>
  <conditionalFormatting sqref="D300:R300">
    <cfRule type="cellIs" dxfId="11024" priority="307" operator="equal">
      <formula>0</formula>
    </cfRule>
  </conditionalFormatting>
  <conditionalFormatting sqref="O272:O273">
    <cfRule type="cellIs" dxfId="11023" priority="306" operator="equal">
      <formula>0</formula>
    </cfRule>
  </conditionalFormatting>
  <conditionalFormatting sqref="O274:O276 O292">
    <cfRule type="cellIs" dxfId="11022" priority="305" operator="equal">
      <formula>0</formula>
    </cfRule>
  </conditionalFormatting>
  <conditionalFormatting sqref="N272:N273">
    <cfRule type="cellIs" dxfId="11021" priority="304" operator="equal">
      <formula>0</formula>
    </cfRule>
  </conditionalFormatting>
  <conditionalFormatting sqref="N274:N276 N292">
    <cfRule type="cellIs" dxfId="11020" priority="303" operator="equal">
      <formula>0</formula>
    </cfRule>
  </conditionalFormatting>
  <conditionalFormatting sqref="M271:M273">
    <cfRule type="cellIs" dxfId="11019" priority="302" operator="equal">
      <formula>0</formula>
    </cfRule>
  </conditionalFormatting>
  <conditionalFormatting sqref="M274:M276 M292">
    <cfRule type="cellIs" dxfId="11018" priority="301" operator="equal">
      <formula>0</formula>
    </cfRule>
  </conditionalFormatting>
  <conditionalFormatting sqref="L271:L273">
    <cfRule type="cellIs" dxfId="11017" priority="300" operator="equal">
      <formula>0</formula>
    </cfRule>
  </conditionalFormatting>
  <conditionalFormatting sqref="L274:L276 L292">
    <cfRule type="cellIs" dxfId="11016" priority="299" operator="equal">
      <formula>0</formula>
    </cfRule>
  </conditionalFormatting>
  <conditionalFormatting sqref="K272:K273">
    <cfRule type="cellIs" dxfId="11015" priority="298" operator="equal">
      <formula>0</formula>
    </cfRule>
  </conditionalFormatting>
  <conditionalFormatting sqref="K274:K276 K292">
    <cfRule type="cellIs" dxfId="11014" priority="297" operator="equal">
      <formula>0</formula>
    </cfRule>
  </conditionalFormatting>
  <conditionalFormatting sqref="J272:J273">
    <cfRule type="cellIs" dxfId="11013" priority="296" operator="equal">
      <formula>0</formula>
    </cfRule>
  </conditionalFormatting>
  <conditionalFormatting sqref="J274:J276 J292">
    <cfRule type="cellIs" dxfId="11012" priority="295" operator="equal">
      <formula>0</formula>
    </cfRule>
  </conditionalFormatting>
  <conditionalFormatting sqref="L271:M271">
    <cfRule type="cellIs" dxfId="11011" priority="294" operator="equal">
      <formula>0</formula>
    </cfRule>
  </conditionalFormatting>
  <conditionalFormatting sqref="F272:F273">
    <cfRule type="cellIs" dxfId="11010" priority="293" operator="equal">
      <formula>0</formula>
    </cfRule>
  </conditionalFormatting>
  <conditionalFormatting sqref="P271:R271 L271:M271 D272:R273">
    <cfRule type="cellIs" dxfId="11009" priority="292" operator="equal">
      <formula>0</formula>
    </cfRule>
  </conditionalFormatting>
  <conditionalFormatting sqref="P271:P273">
    <cfRule type="cellIs" dxfId="11008" priority="291" operator="equal">
      <formula>0</formula>
    </cfRule>
  </conditionalFormatting>
  <conditionalFormatting sqref="D301:R301 P292:R292 D292:I292 D293:R299 D291:R291 D272:R278 D271:G271 L271:M271 P271:R271">
    <cfRule type="cellIs" dxfId="11007" priority="290" operator="equal">
      <formula>0</formula>
    </cfRule>
  </conditionalFormatting>
  <conditionalFormatting sqref="S293:S301 S271:S277 S279:S291">
    <cfRule type="expression" dxfId="11006" priority="289">
      <formula>LEN(TRIM(S271))=0</formula>
    </cfRule>
  </conditionalFormatting>
  <conditionalFormatting sqref="S300">
    <cfRule type="cellIs" dxfId="11005" priority="288" operator="equal">
      <formula>0</formula>
    </cfRule>
  </conditionalFormatting>
  <conditionalFormatting sqref="S301 S271:S299">
    <cfRule type="cellIs" dxfId="11004" priority="287" operator="equal">
      <formula>0</formula>
    </cfRule>
  </conditionalFormatting>
  <conditionalFormatting sqref="S316:S327">
    <cfRule type="expression" dxfId="11003" priority="286">
      <formula>LEN(TRIM(S316))=0</formula>
    </cfRule>
  </conditionalFormatting>
  <conditionalFormatting sqref="S316:S327">
    <cfRule type="cellIs" dxfId="11002" priority="285" operator="equal">
      <formula>0</formula>
    </cfRule>
  </conditionalFormatting>
  <conditionalFormatting sqref="S311:S312">
    <cfRule type="expression" dxfId="11001" priority="284">
      <formula>LEN(TRIM(S311))=0</formula>
    </cfRule>
  </conditionalFormatting>
  <conditionalFormatting sqref="S311:S312">
    <cfRule type="cellIs" dxfId="11000" priority="283" operator="equal">
      <formula>0</formula>
    </cfRule>
  </conditionalFormatting>
  <conditionalFormatting sqref="S330:S338 S308:S310 S313:S314">
    <cfRule type="expression" dxfId="10999" priority="282">
      <formula>LEN(TRIM(S308))=0</formula>
    </cfRule>
  </conditionalFormatting>
  <conditionalFormatting sqref="S337">
    <cfRule type="cellIs" dxfId="10998" priority="281" operator="equal">
      <formula>0</formula>
    </cfRule>
  </conditionalFormatting>
  <conditionalFormatting sqref="S338 S308:S310">
    <cfRule type="cellIs" dxfId="10997" priority="280" operator="equal">
      <formula>0</formula>
    </cfRule>
  </conditionalFormatting>
  <conditionalFormatting sqref="O307">
    <cfRule type="cellIs" dxfId="10996" priority="279" operator="equal">
      <formula>0</formula>
    </cfRule>
  </conditionalFormatting>
  <conditionalFormatting sqref="J307:N307">
    <cfRule type="cellIs" dxfId="10995" priority="278" operator="equal">
      <formula>0</formula>
    </cfRule>
  </conditionalFormatting>
  <conditionalFormatting sqref="O270">
    <cfRule type="cellIs" dxfId="10994" priority="277" operator="equal">
      <formula>0</formula>
    </cfRule>
  </conditionalFormatting>
  <conditionalFormatting sqref="J270:N270">
    <cfRule type="cellIs" dxfId="10993" priority="276" operator="equal">
      <formula>0</formula>
    </cfRule>
  </conditionalFormatting>
  <conditionalFormatting sqref="N234:O234">
    <cfRule type="expression" dxfId="10992" priority="275">
      <formula>LEN(TRIM(N234))=0</formula>
    </cfRule>
  </conditionalFormatting>
  <conditionalFormatting sqref="N234:O234">
    <cfRule type="cellIs" dxfId="10991" priority="274" operator="equal">
      <formula>0</formula>
    </cfRule>
  </conditionalFormatting>
  <conditionalFormatting sqref="N234:O234">
    <cfRule type="cellIs" dxfId="10990" priority="273" operator="equal">
      <formula>0</formula>
    </cfRule>
  </conditionalFormatting>
  <conditionalFormatting sqref="H234:K234">
    <cfRule type="expression" dxfId="10989" priority="272">
      <formula>LEN(TRIM(H234))=0</formula>
    </cfRule>
  </conditionalFormatting>
  <conditionalFormatting sqref="K234">
    <cfRule type="cellIs" dxfId="10988" priority="271" operator="equal">
      <formula>0</formula>
    </cfRule>
  </conditionalFormatting>
  <conditionalFormatting sqref="J234:K234">
    <cfRule type="cellIs" dxfId="10987" priority="270" operator="equal">
      <formula>0</formula>
    </cfRule>
  </conditionalFormatting>
  <conditionalFormatting sqref="I234">
    <cfRule type="cellIs" dxfId="10986" priority="269" operator="equal">
      <formula>0</formula>
    </cfRule>
  </conditionalFormatting>
  <conditionalFormatting sqref="H234">
    <cfRule type="cellIs" dxfId="10985" priority="268" operator="equal">
      <formula>0</formula>
    </cfRule>
  </conditionalFormatting>
  <conditionalFormatting sqref="D242:R253">
    <cfRule type="expression" dxfId="10984" priority="267">
      <formula>LEN(TRIM(D242))=0</formula>
    </cfRule>
  </conditionalFormatting>
  <conditionalFormatting sqref="D242:R253">
    <cfRule type="cellIs" dxfId="10983" priority="266" operator="equal">
      <formula>0</formula>
    </cfRule>
  </conditionalFormatting>
  <conditionalFormatting sqref="N238:O238">
    <cfRule type="cellIs" dxfId="10982" priority="265" operator="equal">
      <formula>0</formula>
    </cfRule>
  </conditionalFormatting>
  <conditionalFormatting sqref="N237:O237">
    <cfRule type="cellIs" dxfId="10981" priority="264" operator="equal">
      <formula>0</formula>
    </cfRule>
  </conditionalFormatting>
  <conditionalFormatting sqref="M237:M238">
    <cfRule type="cellIs" dxfId="10980" priority="263" operator="equal">
      <formula>0</formula>
    </cfRule>
  </conditionalFormatting>
  <conditionalFormatting sqref="L237:L238">
    <cfRule type="cellIs" dxfId="10979" priority="262" operator="equal">
      <formula>0</formula>
    </cfRule>
  </conditionalFormatting>
  <conditionalFormatting sqref="D263:R263">
    <cfRule type="cellIs" dxfId="10978" priority="261" operator="equal">
      <formula>0</formula>
    </cfRule>
  </conditionalFormatting>
  <conditionalFormatting sqref="D256:R264 D254:R254 D235:R240 D234:G234 L234:M234 P234:R234">
    <cfRule type="expression" dxfId="10977" priority="260">
      <formula>LEN(TRIM(D234))=0</formula>
    </cfRule>
  </conditionalFormatting>
  <conditionalFormatting sqref="D263:R263">
    <cfRule type="cellIs" dxfId="10976" priority="259" operator="equal">
      <formula>0</formula>
    </cfRule>
  </conditionalFormatting>
  <conditionalFormatting sqref="O235:O236">
    <cfRule type="cellIs" dxfId="10975" priority="258" operator="equal">
      <formula>0</formula>
    </cfRule>
  </conditionalFormatting>
  <conditionalFormatting sqref="O237:O239 O255">
    <cfRule type="cellIs" dxfId="10974" priority="257" operator="equal">
      <formula>0</formula>
    </cfRule>
  </conditionalFormatting>
  <conditionalFormatting sqref="N235:N236">
    <cfRule type="cellIs" dxfId="10973" priority="256" operator="equal">
      <formula>0</formula>
    </cfRule>
  </conditionalFormatting>
  <conditionalFormatting sqref="N237:N239 N255">
    <cfRule type="cellIs" dxfId="10972" priority="255" operator="equal">
      <formula>0</formula>
    </cfRule>
  </conditionalFormatting>
  <conditionalFormatting sqref="M234:M236">
    <cfRule type="cellIs" dxfId="10971" priority="254" operator="equal">
      <formula>0</formula>
    </cfRule>
  </conditionalFormatting>
  <conditionalFormatting sqref="M237:M239 M255">
    <cfRule type="cellIs" dxfId="10970" priority="253" operator="equal">
      <formula>0</formula>
    </cfRule>
  </conditionalFormatting>
  <conditionalFormatting sqref="L234:L236">
    <cfRule type="cellIs" dxfId="10969" priority="252" operator="equal">
      <formula>0</formula>
    </cfRule>
  </conditionalFormatting>
  <conditionalFormatting sqref="L237:L239 L255">
    <cfRule type="cellIs" dxfId="10968" priority="251" operator="equal">
      <formula>0</formula>
    </cfRule>
  </conditionalFormatting>
  <conditionalFormatting sqref="K235:K236">
    <cfRule type="cellIs" dxfId="10967" priority="250" operator="equal">
      <formula>0</formula>
    </cfRule>
  </conditionalFormatting>
  <conditionalFormatting sqref="K237:K239 K255">
    <cfRule type="cellIs" dxfId="10966" priority="249" operator="equal">
      <formula>0</formula>
    </cfRule>
  </conditionalFormatting>
  <conditionalFormatting sqref="J235:J236">
    <cfRule type="cellIs" dxfId="10965" priority="248" operator="equal">
      <formula>0</formula>
    </cfRule>
  </conditionalFormatting>
  <conditionalFormatting sqref="J237:J239 J255">
    <cfRule type="cellIs" dxfId="10964" priority="247" operator="equal">
      <formula>0</formula>
    </cfRule>
  </conditionalFormatting>
  <conditionalFormatting sqref="L234:M234">
    <cfRule type="cellIs" dxfId="10963" priority="246" operator="equal">
      <formula>0</formula>
    </cfRule>
  </conditionalFormatting>
  <conditionalFormatting sqref="F235:F236">
    <cfRule type="cellIs" dxfId="10962" priority="245" operator="equal">
      <formula>0</formula>
    </cfRule>
  </conditionalFormatting>
  <conditionalFormatting sqref="P234:R234 L234:M234 D235:R236">
    <cfRule type="cellIs" dxfId="10961" priority="244" operator="equal">
      <formula>0</formula>
    </cfRule>
  </conditionalFormatting>
  <conditionalFormatting sqref="P234:P236">
    <cfRule type="cellIs" dxfId="10960" priority="243" operator="equal">
      <formula>0</formula>
    </cfRule>
  </conditionalFormatting>
  <conditionalFormatting sqref="D264:R264 P255:R255 D255:I255 D256:R262 D254:R254 D235:R241 D234:G234 L234:M234 P234:R234">
    <cfRule type="cellIs" dxfId="10959" priority="242" operator="equal">
      <formula>0</formula>
    </cfRule>
  </conditionalFormatting>
  <conditionalFormatting sqref="N197:O197">
    <cfRule type="expression" dxfId="10958" priority="241">
      <formula>LEN(TRIM(N197))=0</formula>
    </cfRule>
  </conditionalFormatting>
  <conditionalFormatting sqref="N197:O197">
    <cfRule type="cellIs" dxfId="10957" priority="240" operator="equal">
      <formula>0</formula>
    </cfRule>
  </conditionalFormatting>
  <conditionalFormatting sqref="N197:O197">
    <cfRule type="cellIs" dxfId="10956" priority="239" operator="equal">
      <formula>0</formula>
    </cfRule>
  </conditionalFormatting>
  <conditionalFormatting sqref="H197:K197">
    <cfRule type="expression" dxfId="10955" priority="238">
      <formula>LEN(TRIM(H197))=0</formula>
    </cfRule>
  </conditionalFormatting>
  <conditionalFormatting sqref="K197">
    <cfRule type="cellIs" dxfId="10954" priority="237" operator="equal">
      <formula>0</formula>
    </cfRule>
  </conditionalFormatting>
  <conditionalFormatting sqref="J197:K197">
    <cfRule type="cellIs" dxfId="10953" priority="236" operator="equal">
      <formula>0</formula>
    </cfRule>
  </conditionalFormatting>
  <conditionalFormatting sqref="I197">
    <cfRule type="cellIs" dxfId="10952" priority="235" operator="equal">
      <formula>0</formula>
    </cfRule>
  </conditionalFormatting>
  <conditionalFormatting sqref="H197">
    <cfRule type="cellIs" dxfId="10951" priority="234" operator="equal">
      <formula>0</formula>
    </cfRule>
  </conditionalFormatting>
  <conditionalFormatting sqref="D205:R216">
    <cfRule type="expression" dxfId="10950" priority="233">
      <formula>LEN(TRIM(D205))=0</formula>
    </cfRule>
  </conditionalFormatting>
  <conditionalFormatting sqref="D205:R216">
    <cfRule type="cellIs" dxfId="10949" priority="232" operator="equal">
      <formula>0</formula>
    </cfRule>
  </conditionalFormatting>
  <conditionalFormatting sqref="N201:O201">
    <cfRule type="cellIs" dxfId="10948" priority="231" operator="equal">
      <formula>0</formula>
    </cfRule>
  </conditionalFormatting>
  <conditionalFormatting sqref="N200:O200">
    <cfRule type="cellIs" dxfId="10947" priority="230" operator="equal">
      <formula>0</formula>
    </cfRule>
  </conditionalFormatting>
  <conditionalFormatting sqref="M200:M201">
    <cfRule type="cellIs" dxfId="10946" priority="229" operator="equal">
      <formula>0</formula>
    </cfRule>
  </conditionalFormatting>
  <conditionalFormatting sqref="L200:L201">
    <cfRule type="cellIs" dxfId="10945" priority="228" operator="equal">
      <formula>0</formula>
    </cfRule>
  </conditionalFormatting>
  <conditionalFormatting sqref="D226:R226">
    <cfRule type="cellIs" dxfId="10944" priority="227" operator="equal">
      <formula>0</formula>
    </cfRule>
  </conditionalFormatting>
  <conditionalFormatting sqref="D219:R227 D217:R217 D198:R203 D197:G197 L197:M197 P197:R197">
    <cfRule type="expression" dxfId="10943" priority="226">
      <formula>LEN(TRIM(D197))=0</formula>
    </cfRule>
  </conditionalFormatting>
  <conditionalFormatting sqref="D226:R226">
    <cfRule type="cellIs" dxfId="10942" priority="225" operator="equal">
      <formula>0</formula>
    </cfRule>
  </conditionalFormatting>
  <conditionalFormatting sqref="O198:O199">
    <cfRule type="cellIs" dxfId="10941" priority="224" operator="equal">
      <formula>0</formula>
    </cfRule>
  </conditionalFormatting>
  <conditionalFormatting sqref="O200:O202 O218">
    <cfRule type="cellIs" dxfId="10940" priority="223" operator="equal">
      <formula>0</formula>
    </cfRule>
  </conditionalFormatting>
  <conditionalFormatting sqref="N198:N199">
    <cfRule type="cellIs" dxfId="10939" priority="222" operator="equal">
      <formula>0</formula>
    </cfRule>
  </conditionalFormatting>
  <conditionalFormatting sqref="N200:N202 N218">
    <cfRule type="cellIs" dxfId="10938" priority="221" operator="equal">
      <formula>0</formula>
    </cfRule>
  </conditionalFormatting>
  <conditionalFormatting sqref="M197:M199">
    <cfRule type="cellIs" dxfId="10937" priority="220" operator="equal">
      <formula>0</formula>
    </cfRule>
  </conditionalFormatting>
  <conditionalFormatting sqref="M200:M202 M218">
    <cfRule type="cellIs" dxfId="10936" priority="219" operator="equal">
      <formula>0</formula>
    </cfRule>
  </conditionalFormatting>
  <conditionalFormatting sqref="L197:L199">
    <cfRule type="cellIs" dxfId="10935" priority="218" operator="equal">
      <formula>0</formula>
    </cfRule>
  </conditionalFormatting>
  <conditionalFormatting sqref="L200:L202 L218">
    <cfRule type="cellIs" dxfId="10934" priority="217" operator="equal">
      <formula>0</formula>
    </cfRule>
  </conditionalFormatting>
  <conditionalFormatting sqref="K198:K199">
    <cfRule type="cellIs" dxfId="10933" priority="216" operator="equal">
      <formula>0</formula>
    </cfRule>
  </conditionalFormatting>
  <conditionalFormatting sqref="K200:K202 K218">
    <cfRule type="cellIs" dxfId="10932" priority="215" operator="equal">
      <formula>0</formula>
    </cfRule>
  </conditionalFormatting>
  <conditionalFormatting sqref="J198:J199">
    <cfRule type="cellIs" dxfId="10931" priority="214" operator="equal">
      <formula>0</formula>
    </cfRule>
  </conditionalFormatting>
  <conditionalFormatting sqref="J200:J202 J218">
    <cfRule type="cellIs" dxfId="10930" priority="213" operator="equal">
      <formula>0</formula>
    </cfRule>
  </conditionalFormatting>
  <conditionalFormatting sqref="L197:M197">
    <cfRule type="cellIs" dxfId="10929" priority="212" operator="equal">
      <formula>0</formula>
    </cfRule>
  </conditionalFormatting>
  <conditionalFormatting sqref="F198:F199">
    <cfRule type="cellIs" dxfId="10928" priority="211" operator="equal">
      <formula>0</formula>
    </cfRule>
  </conditionalFormatting>
  <conditionalFormatting sqref="P197:R197 L197:M197 D198:R199">
    <cfRule type="cellIs" dxfId="10927" priority="210" operator="equal">
      <formula>0</formula>
    </cfRule>
  </conditionalFormatting>
  <conditionalFormatting sqref="P197:P199">
    <cfRule type="cellIs" dxfId="10926" priority="209" operator="equal">
      <formula>0</formula>
    </cfRule>
  </conditionalFormatting>
  <conditionalFormatting sqref="D227:R227 P218:R218 D218:I218 D219:R225 D217:R217 D198:R204 D197:G197 L197:M197 P197:R197">
    <cfRule type="cellIs" dxfId="10925" priority="208" operator="equal">
      <formula>0</formula>
    </cfRule>
  </conditionalFormatting>
  <conditionalFormatting sqref="N160:O160">
    <cfRule type="expression" dxfId="10924" priority="207">
      <formula>LEN(TRIM(N160))=0</formula>
    </cfRule>
  </conditionalFormatting>
  <conditionalFormatting sqref="N160:O160">
    <cfRule type="cellIs" dxfId="10923" priority="206" operator="equal">
      <formula>0</formula>
    </cfRule>
  </conditionalFormatting>
  <conditionalFormatting sqref="N160:O160">
    <cfRule type="cellIs" dxfId="10922" priority="205" operator="equal">
      <formula>0</formula>
    </cfRule>
  </conditionalFormatting>
  <conditionalFormatting sqref="H160:K160">
    <cfRule type="expression" dxfId="10921" priority="204">
      <formula>LEN(TRIM(H160))=0</formula>
    </cfRule>
  </conditionalFormatting>
  <conditionalFormatting sqref="K160">
    <cfRule type="cellIs" dxfId="10920" priority="203" operator="equal">
      <formula>0</formula>
    </cfRule>
  </conditionalFormatting>
  <conditionalFormatting sqref="J160:K160">
    <cfRule type="cellIs" dxfId="10919" priority="202" operator="equal">
      <formula>0</formula>
    </cfRule>
  </conditionalFormatting>
  <conditionalFormatting sqref="I160">
    <cfRule type="cellIs" dxfId="10918" priority="201" operator="equal">
      <formula>0</formula>
    </cfRule>
  </conditionalFormatting>
  <conditionalFormatting sqref="H160">
    <cfRule type="cellIs" dxfId="10917" priority="200" operator="equal">
      <formula>0</formula>
    </cfRule>
  </conditionalFormatting>
  <conditionalFormatting sqref="D168:R179">
    <cfRule type="expression" dxfId="10916" priority="199">
      <formula>LEN(TRIM(D168))=0</formula>
    </cfRule>
  </conditionalFormatting>
  <conditionalFormatting sqref="D168:R179">
    <cfRule type="cellIs" dxfId="10915" priority="198" operator="equal">
      <formula>0</formula>
    </cfRule>
  </conditionalFormatting>
  <conditionalFormatting sqref="N164:O164">
    <cfRule type="cellIs" dxfId="10914" priority="197" operator="equal">
      <formula>0</formula>
    </cfRule>
  </conditionalFormatting>
  <conditionalFormatting sqref="N163:O163">
    <cfRule type="cellIs" dxfId="10913" priority="196" operator="equal">
      <formula>0</formula>
    </cfRule>
  </conditionalFormatting>
  <conditionalFormatting sqref="M163:M164">
    <cfRule type="cellIs" dxfId="10912" priority="195" operator="equal">
      <formula>0</formula>
    </cfRule>
  </conditionalFormatting>
  <conditionalFormatting sqref="L163:L164">
    <cfRule type="cellIs" dxfId="10911" priority="194" operator="equal">
      <formula>0</formula>
    </cfRule>
  </conditionalFormatting>
  <conditionalFormatting sqref="D189:R189">
    <cfRule type="cellIs" dxfId="10910" priority="193" operator="equal">
      <formula>0</formula>
    </cfRule>
  </conditionalFormatting>
  <conditionalFormatting sqref="D182:R190 D180:R180 D161:R166 D160:G160 L160:M160 P160:R160">
    <cfRule type="expression" dxfId="10909" priority="192">
      <formula>LEN(TRIM(D160))=0</formula>
    </cfRule>
  </conditionalFormatting>
  <conditionalFormatting sqref="D189:R189">
    <cfRule type="cellIs" dxfId="10908" priority="191" operator="equal">
      <formula>0</formula>
    </cfRule>
  </conditionalFormatting>
  <conditionalFormatting sqref="O161:O162">
    <cfRule type="cellIs" dxfId="10907" priority="190" operator="equal">
      <formula>0</formula>
    </cfRule>
  </conditionalFormatting>
  <conditionalFormatting sqref="O163:O165 O181">
    <cfRule type="cellIs" dxfId="10906" priority="189" operator="equal">
      <formula>0</formula>
    </cfRule>
  </conditionalFormatting>
  <conditionalFormatting sqref="N161:N162">
    <cfRule type="cellIs" dxfId="10905" priority="188" operator="equal">
      <formula>0</formula>
    </cfRule>
  </conditionalFormatting>
  <conditionalFormatting sqref="N163:N165 N181">
    <cfRule type="cellIs" dxfId="10904" priority="187" operator="equal">
      <formula>0</formula>
    </cfRule>
  </conditionalFormatting>
  <conditionalFormatting sqref="M160:M162">
    <cfRule type="cellIs" dxfId="10903" priority="186" operator="equal">
      <formula>0</formula>
    </cfRule>
  </conditionalFormatting>
  <conditionalFormatting sqref="M163:M165 M181">
    <cfRule type="cellIs" dxfId="10902" priority="185" operator="equal">
      <formula>0</formula>
    </cfRule>
  </conditionalFormatting>
  <conditionalFormatting sqref="L160:L162">
    <cfRule type="cellIs" dxfId="10901" priority="184" operator="equal">
      <formula>0</formula>
    </cfRule>
  </conditionalFormatting>
  <conditionalFormatting sqref="L163:L165 L181">
    <cfRule type="cellIs" dxfId="10900" priority="183" operator="equal">
      <formula>0</formula>
    </cfRule>
  </conditionalFormatting>
  <conditionalFormatting sqref="K161:K162">
    <cfRule type="cellIs" dxfId="10899" priority="182" operator="equal">
      <formula>0</formula>
    </cfRule>
  </conditionalFormatting>
  <conditionalFormatting sqref="K163:K165 K181">
    <cfRule type="cellIs" dxfId="10898" priority="181" operator="equal">
      <formula>0</formula>
    </cfRule>
  </conditionalFormatting>
  <conditionalFormatting sqref="J161:J162">
    <cfRule type="cellIs" dxfId="10897" priority="180" operator="equal">
      <formula>0</formula>
    </cfRule>
  </conditionalFormatting>
  <conditionalFormatting sqref="J163:J165 J181">
    <cfRule type="cellIs" dxfId="10896" priority="179" operator="equal">
      <formula>0</formula>
    </cfRule>
  </conditionalFormatting>
  <conditionalFormatting sqref="L160:M160">
    <cfRule type="cellIs" dxfId="10895" priority="178" operator="equal">
      <formula>0</formula>
    </cfRule>
  </conditionalFormatting>
  <conditionalFormatting sqref="F161:F162">
    <cfRule type="cellIs" dxfId="10894" priority="177" operator="equal">
      <formula>0</formula>
    </cfRule>
  </conditionalFormatting>
  <conditionalFormatting sqref="P160:R160 L160:M160 D161:R162">
    <cfRule type="cellIs" dxfId="10893" priority="176" operator="equal">
      <formula>0</formula>
    </cfRule>
  </conditionalFormatting>
  <conditionalFormatting sqref="P160:P162">
    <cfRule type="cellIs" dxfId="10892" priority="175" operator="equal">
      <formula>0</formula>
    </cfRule>
  </conditionalFormatting>
  <conditionalFormatting sqref="D190:R190 P181:R181 D181:I181 D182:R188 D180:R180 D161:R167 D160:G160 L160:M160 P160:R160">
    <cfRule type="cellIs" dxfId="10891" priority="174" operator="equal">
      <formula>0</formula>
    </cfRule>
  </conditionalFormatting>
  <conditionalFormatting sqref="S256:S264 S234:S240 S242:S254">
    <cfRule type="expression" dxfId="10890" priority="173">
      <formula>LEN(TRIM(S234))=0</formula>
    </cfRule>
  </conditionalFormatting>
  <conditionalFormatting sqref="S263">
    <cfRule type="cellIs" dxfId="10889" priority="172" operator="equal">
      <formula>0</formula>
    </cfRule>
  </conditionalFormatting>
  <conditionalFormatting sqref="S264 S234:S262">
    <cfRule type="cellIs" dxfId="10888" priority="171" operator="equal">
      <formula>0</formula>
    </cfRule>
  </conditionalFormatting>
  <conditionalFormatting sqref="S219:S227 S197:S203 S205:S217">
    <cfRule type="expression" dxfId="10887" priority="170">
      <formula>LEN(TRIM(S197))=0</formula>
    </cfRule>
  </conditionalFormatting>
  <conditionalFormatting sqref="S226">
    <cfRule type="cellIs" dxfId="10886" priority="169" operator="equal">
      <formula>0</formula>
    </cfRule>
  </conditionalFormatting>
  <conditionalFormatting sqref="S227 S197:S225">
    <cfRule type="cellIs" dxfId="10885" priority="168" operator="equal">
      <formula>0</formula>
    </cfRule>
  </conditionalFormatting>
  <conditionalFormatting sqref="S182:S190 S160:S166 S168:S180">
    <cfRule type="expression" dxfId="10884" priority="167">
      <formula>LEN(TRIM(S160))=0</formula>
    </cfRule>
  </conditionalFormatting>
  <conditionalFormatting sqref="S189">
    <cfRule type="cellIs" dxfId="10883" priority="166" operator="equal">
      <formula>0</formula>
    </cfRule>
  </conditionalFormatting>
  <conditionalFormatting sqref="S190 S160:S188">
    <cfRule type="cellIs" dxfId="10882" priority="165" operator="equal">
      <formula>0</formula>
    </cfRule>
  </conditionalFormatting>
  <conditionalFormatting sqref="O233">
    <cfRule type="cellIs" dxfId="10881" priority="164" operator="equal">
      <formula>0</formula>
    </cfRule>
  </conditionalFormatting>
  <conditionalFormatting sqref="J233:N233">
    <cfRule type="cellIs" dxfId="10880" priority="163" operator="equal">
      <formula>0</formula>
    </cfRule>
  </conditionalFormatting>
  <conditionalFormatting sqref="O196">
    <cfRule type="cellIs" dxfId="10879" priority="162" operator="equal">
      <formula>0</formula>
    </cfRule>
  </conditionalFormatting>
  <conditionalFormatting sqref="J196:N196">
    <cfRule type="cellIs" dxfId="10878" priority="161" operator="equal">
      <formula>0</formula>
    </cfRule>
  </conditionalFormatting>
  <conditionalFormatting sqref="O159">
    <cfRule type="cellIs" dxfId="10877" priority="160" operator="equal">
      <formula>0</formula>
    </cfRule>
  </conditionalFormatting>
  <conditionalFormatting sqref="J159:N159">
    <cfRule type="cellIs" dxfId="10876" priority="159" operator="equal">
      <formula>0</formula>
    </cfRule>
  </conditionalFormatting>
  <conditionalFormatting sqref="N123:O123">
    <cfRule type="expression" dxfId="10875" priority="158">
      <formula>LEN(TRIM(N123))=0</formula>
    </cfRule>
  </conditionalFormatting>
  <conditionalFormatting sqref="N123:O123">
    <cfRule type="cellIs" dxfId="10874" priority="157" operator="equal">
      <formula>0</formula>
    </cfRule>
  </conditionalFormatting>
  <conditionalFormatting sqref="N123:O123">
    <cfRule type="cellIs" dxfId="10873" priority="156" operator="equal">
      <formula>0</formula>
    </cfRule>
  </conditionalFormatting>
  <conditionalFormatting sqref="H123:K123">
    <cfRule type="expression" dxfId="10872" priority="155">
      <formula>LEN(TRIM(H123))=0</formula>
    </cfRule>
  </conditionalFormatting>
  <conditionalFormatting sqref="K123">
    <cfRule type="cellIs" dxfId="10871" priority="154" operator="equal">
      <formula>0</formula>
    </cfRule>
  </conditionalFormatting>
  <conditionalFormatting sqref="J123:K123">
    <cfRule type="cellIs" dxfId="10870" priority="153" operator="equal">
      <formula>0</formula>
    </cfRule>
  </conditionalFormatting>
  <conditionalFormatting sqref="I123">
    <cfRule type="cellIs" dxfId="10869" priority="152" operator="equal">
      <formula>0</formula>
    </cfRule>
  </conditionalFormatting>
  <conditionalFormatting sqref="H123">
    <cfRule type="cellIs" dxfId="10868" priority="151" operator="equal">
      <formula>0</formula>
    </cfRule>
  </conditionalFormatting>
  <conditionalFormatting sqref="D131:R142">
    <cfRule type="expression" dxfId="10867" priority="150">
      <formula>LEN(TRIM(D131))=0</formula>
    </cfRule>
  </conditionalFormatting>
  <conditionalFormatting sqref="D131:R142">
    <cfRule type="cellIs" dxfId="10866" priority="149" operator="equal">
      <formula>0</formula>
    </cfRule>
  </conditionalFormatting>
  <conditionalFormatting sqref="N127:O127">
    <cfRule type="cellIs" dxfId="10865" priority="148" operator="equal">
      <formula>0</formula>
    </cfRule>
  </conditionalFormatting>
  <conditionalFormatting sqref="N126:O126">
    <cfRule type="cellIs" dxfId="10864" priority="147" operator="equal">
      <formula>0</formula>
    </cfRule>
  </conditionalFormatting>
  <conditionalFormatting sqref="M126:M127">
    <cfRule type="cellIs" dxfId="10863" priority="146" operator="equal">
      <formula>0</formula>
    </cfRule>
  </conditionalFormatting>
  <conditionalFormatting sqref="L126:L127">
    <cfRule type="cellIs" dxfId="10862" priority="145" operator="equal">
      <formula>0</formula>
    </cfRule>
  </conditionalFormatting>
  <conditionalFormatting sqref="D152:R152">
    <cfRule type="cellIs" dxfId="10861" priority="144" operator="equal">
      <formula>0</formula>
    </cfRule>
  </conditionalFormatting>
  <conditionalFormatting sqref="D145:R153 D143:R143 D124:R129 D123:G123 L123:M123 P123:R123">
    <cfRule type="expression" dxfId="10860" priority="143">
      <formula>LEN(TRIM(D123))=0</formula>
    </cfRule>
  </conditionalFormatting>
  <conditionalFormatting sqref="D152:R152">
    <cfRule type="cellIs" dxfId="10859" priority="142" operator="equal">
      <formula>0</formula>
    </cfRule>
  </conditionalFormatting>
  <conditionalFormatting sqref="O124:O125">
    <cfRule type="cellIs" dxfId="10858" priority="141" operator="equal">
      <formula>0</formula>
    </cfRule>
  </conditionalFormatting>
  <conditionalFormatting sqref="O126:O128 O144">
    <cfRule type="cellIs" dxfId="10857" priority="140" operator="equal">
      <formula>0</formula>
    </cfRule>
  </conditionalFormatting>
  <conditionalFormatting sqref="N124:N125">
    <cfRule type="cellIs" dxfId="10856" priority="139" operator="equal">
      <formula>0</formula>
    </cfRule>
  </conditionalFormatting>
  <conditionalFormatting sqref="N126:N128 N144">
    <cfRule type="cellIs" dxfId="10855" priority="138" operator="equal">
      <formula>0</formula>
    </cfRule>
  </conditionalFormatting>
  <conditionalFormatting sqref="M123:M125">
    <cfRule type="cellIs" dxfId="10854" priority="137" operator="equal">
      <formula>0</formula>
    </cfRule>
  </conditionalFormatting>
  <conditionalFormatting sqref="M126:M128 M144">
    <cfRule type="cellIs" dxfId="10853" priority="136" operator="equal">
      <formula>0</formula>
    </cfRule>
  </conditionalFormatting>
  <conditionalFormatting sqref="L123:L125">
    <cfRule type="cellIs" dxfId="10852" priority="135" operator="equal">
      <formula>0</formula>
    </cfRule>
  </conditionalFormatting>
  <conditionalFormatting sqref="L126:L128 L144">
    <cfRule type="cellIs" dxfId="10851" priority="134" operator="equal">
      <formula>0</formula>
    </cfRule>
  </conditionalFormatting>
  <conditionalFormatting sqref="K124:K125">
    <cfRule type="cellIs" dxfId="10850" priority="133" operator="equal">
      <formula>0</formula>
    </cfRule>
  </conditionalFormatting>
  <conditionalFormatting sqref="K126:K128 K144">
    <cfRule type="cellIs" dxfId="10849" priority="132" operator="equal">
      <formula>0</formula>
    </cfRule>
  </conditionalFormatting>
  <conditionalFormatting sqref="J124:J125">
    <cfRule type="cellIs" dxfId="10848" priority="131" operator="equal">
      <formula>0</formula>
    </cfRule>
  </conditionalFormatting>
  <conditionalFormatting sqref="J126:J128 J144">
    <cfRule type="cellIs" dxfId="10847" priority="130" operator="equal">
      <formula>0</formula>
    </cfRule>
  </conditionalFormatting>
  <conditionalFormatting sqref="L123:M123">
    <cfRule type="cellIs" dxfId="10846" priority="129" operator="equal">
      <formula>0</formula>
    </cfRule>
  </conditionalFormatting>
  <conditionalFormatting sqref="F124:F125">
    <cfRule type="cellIs" dxfId="10845" priority="128" operator="equal">
      <formula>0</formula>
    </cfRule>
  </conditionalFormatting>
  <conditionalFormatting sqref="P123:R123 L123:M123 D124:R125">
    <cfRule type="cellIs" dxfId="10844" priority="127" operator="equal">
      <formula>0</formula>
    </cfRule>
  </conditionalFormatting>
  <conditionalFormatting sqref="P123:P125">
    <cfRule type="cellIs" dxfId="10843" priority="126" operator="equal">
      <formula>0</formula>
    </cfRule>
  </conditionalFormatting>
  <conditionalFormatting sqref="D153:R153 P144:R144 D144:I144 D145:R151 D143:R143 D124:R130 D123:G123 L123:M123 P123:R123">
    <cfRule type="cellIs" dxfId="10842" priority="125" operator="equal">
      <formula>0</formula>
    </cfRule>
  </conditionalFormatting>
  <conditionalFormatting sqref="S145:S153 S123:S129 S131:S143">
    <cfRule type="expression" dxfId="10841" priority="124">
      <formula>LEN(TRIM(S123))=0</formula>
    </cfRule>
  </conditionalFormatting>
  <conditionalFormatting sqref="S152">
    <cfRule type="cellIs" dxfId="10840" priority="123" operator="equal">
      <formula>0</formula>
    </cfRule>
  </conditionalFormatting>
  <conditionalFormatting sqref="S153 S123:S151">
    <cfRule type="cellIs" dxfId="10839" priority="122" operator="equal">
      <formula>0</formula>
    </cfRule>
  </conditionalFormatting>
  <conditionalFormatting sqref="O122">
    <cfRule type="cellIs" dxfId="10838" priority="121" operator="equal">
      <formula>0</formula>
    </cfRule>
  </conditionalFormatting>
  <conditionalFormatting sqref="J122:N122">
    <cfRule type="cellIs" dxfId="10837" priority="120" operator="equal">
      <formula>0</formula>
    </cfRule>
  </conditionalFormatting>
  <conditionalFormatting sqref="N86:O86">
    <cfRule type="expression" dxfId="10836" priority="119">
      <formula>LEN(TRIM(N86))=0</formula>
    </cfRule>
  </conditionalFormatting>
  <conditionalFormatting sqref="N86:O86">
    <cfRule type="cellIs" dxfId="10835" priority="118" operator="equal">
      <formula>0</formula>
    </cfRule>
  </conditionalFormatting>
  <conditionalFormatting sqref="N86:O86">
    <cfRule type="cellIs" dxfId="10834" priority="117" operator="equal">
      <formula>0</formula>
    </cfRule>
  </conditionalFormatting>
  <conditionalFormatting sqref="H86:K86">
    <cfRule type="expression" dxfId="10833" priority="116">
      <formula>LEN(TRIM(H86))=0</formula>
    </cfRule>
  </conditionalFormatting>
  <conditionalFormatting sqref="K86">
    <cfRule type="cellIs" dxfId="10832" priority="115" operator="equal">
      <formula>0</formula>
    </cfRule>
  </conditionalFormatting>
  <conditionalFormatting sqref="J86:K86">
    <cfRule type="cellIs" dxfId="10831" priority="114" operator="equal">
      <formula>0</formula>
    </cfRule>
  </conditionalFormatting>
  <conditionalFormatting sqref="I86">
    <cfRule type="cellIs" dxfId="10830" priority="113" operator="equal">
      <formula>0</formula>
    </cfRule>
  </conditionalFormatting>
  <conditionalFormatting sqref="H86">
    <cfRule type="cellIs" dxfId="10829" priority="112" operator="equal">
      <formula>0</formula>
    </cfRule>
  </conditionalFormatting>
  <conditionalFormatting sqref="D94:R105">
    <cfRule type="expression" dxfId="10828" priority="111">
      <formula>LEN(TRIM(D94))=0</formula>
    </cfRule>
  </conditionalFormatting>
  <conditionalFormatting sqref="D94:R105">
    <cfRule type="cellIs" dxfId="10827" priority="110" operator="equal">
      <formula>0</formula>
    </cfRule>
  </conditionalFormatting>
  <conditionalFormatting sqref="N90:O90">
    <cfRule type="cellIs" dxfId="10826" priority="109" operator="equal">
      <formula>0</formula>
    </cfRule>
  </conditionalFormatting>
  <conditionalFormatting sqref="N89:O89">
    <cfRule type="cellIs" dxfId="10825" priority="108" operator="equal">
      <formula>0</formula>
    </cfRule>
  </conditionalFormatting>
  <conditionalFormatting sqref="M89:M90">
    <cfRule type="cellIs" dxfId="10824" priority="107" operator="equal">
      <formula>0</formula>
    </cfRule>
  </conditionalFormatting>
  <conditionalFormatting sqref="L89:L90">
    <cfRule type="cellIs" dxfId="10823" priority="106" operator="equal">
      <formula>0</formula>
    </cfRule>
  </conditionalFormatting>
  <conditionalFormatting sqref="D115:R115">
    <cfRule type="cellIs" dxfId="10822" priority="105" operator="equal">
      <formula>0</formula>
    </cfRule>
  </conditionalFormatting>
  <conditionalFormatting sqref="D108:R116 D106:R106 D87:R92 D86:G86 L86:M86 P86:R86">
    <cfRule type="expression" dxfId="10821" priority="104">
      <formula>LEN(TRIM(D86))=0</formula>
    </cfRule>
  </conditionalFormatting>
  <conditionalFormatting sqref="D115:R115">
    <cfRule type="cellIs" dxfId="10820" priority="103" operator="equal">
      <formula>0</formula>
    </cfRule>
  </conditionalFormatting>
  <conditionalFormatting sqref="O87:O88">
    <cfRule type="cellIs" dxfId="10819" priority="102" operator="equal">
      <formula>0</formula>
    </cfRule>
  </conditionalFormatting>
  <conditionalFormatting sqref="O89:O91 O107">
    <cfRule type="cellIs" dxfId="10818" priority="101" operator="equal">
      <formula>0</formula>
    </cfRule>
  </conditionalFormatting>
  <conditionalFormatting sqref="N87:N88">
    <cfRule type="cellIs" dxfId="10817" priority="100" operator="equal">
      <formula>0</formula>
    </cfRule>
  </conditionalFormatting>
  <conditionalFormatting sqref="N89:N91 N107">
    <cfRule type="cellIs" dxfId="10816" priority="99" operator="equal">
      <formula>0</formula>
    </cfRule>
  </conditionalFormatting>
  <conditionalFormatting sqref="M86:M88">
    <cfRule type="cellIs" dxfId="10815" priority="98" operator="equal">
      <formula>0</formula>
    </cfRule>
  </conditionalFormatting>
  <conditionalFormatting sqref="M89:M91 M107">
    <cfRule type="cellIs" dxfId="10814" priority="97" operator="equal">
      <formula>0</formula>
    </cfRule>
  </conditionalFormatting>
  <conditionalFormatting sqref="L86:L88">
    <cfRule type="cellIs" dxfId="10813" priority="96" operator="equal">
      <formula>0</formula>
    </cfRule>
  </conditionalFormatting>
  <conditionalFormatting sqref="L89:L91 L107">
    <cfRule type="cellIs" dxfId="10812" priority="95" operator="equal">
      <formula>0</formula>
    </cfRule>
  </conditionalFormatting>
  <conditionalFormatting sqref="K87:K88">
    <cfRule type="cellIs" dxfId="10811" priority="94" operator="equal">
      <formula>0</formula>
    </cfRule>
  </conditionalFormatting>
  <conditionalFormatting sqref="K89:K91 K107">
    <cfRule type="cellIs" dxfId="10810" priority="93" operator="equal">
      <formula>0</formula>
    </cfRule>
  </conditionalFormatting>
  <conditionalFormatting sqref="J87:J88">
    <cfRule type="cellIs" dxfId="10809" priority="92" operator="equal">
      <formula>0</formula>
    </cfRule>
  </conditionalFormatting>
  <conditionalFormatting sqref="J89:J91 J107">
    <cfRule type="cellIs" dxfId="10808" priority="91" operator="equal">
      <formula>0</formula>
    </cfRule>
  </conditionalFormatting>
  <conditionalFormatting sqref="L86:M86">
    <cfRule type="cellIs" dxfId="10807" priority="90" operator="equal">
      <formula>0</formula>
    </cfRule>
  </conditionalFormatting>
  <conditionalFormatting sqref="F87:F88">
    <cfRule type="cellIs" dxfId="10806" priority="89" operator="equal">
      <formula>0</formula>
    </cfRule>
  </conditionalFormatting>
  <conditionalFormatting sqref="P86:R86 L86:M86 D87:R88">
    <cfRule type="cellIs" dxfId="10805" priority="88" operator="equal">
      <formula>0</formula>
    </cfRule>
  </conditionalFormatting>
  <conditionalFormatting sqref="P86:P88">
    <cfRule type="cellIs" dxfId="10804" priority="87" operator="equal">
      <formula>0</formula>
    </cfRule>
  </conditionalFormatting>
  <conditionalFormatting sqref="D116:R116 P107:R107 D107:I107 D108:R114 D106:R106 D87:R93 D86:G86 L86:M86 P86:R86">
    <cfRule type="cellIs" dxfId="10803" priority="86" operator="equal">
      <formula>0</formula>
    </cfRule>
  </conditionalFormatting>
  <conditionalFormatting sqref="N49:O49">
    <cfRule type="expression" dxfId="10802" priority="85">
      <formula>LEN(TRIM(N49))=0</formula>
    </cfRule>
  </conditionalFormatting>
  <conditionalFormatting sqref="N49:O49">
    <cfRule type="cellIs" dxfId="10801" priority="84" operator="equal">
      <formula>0</formula>
    </cfRule>
  </conditionalFormatting>
  <conditionalFormatting sqref="N49:O49">
    <cfRule type="cellIs" dxfId="10800" priority="83" operator="equal">
      <formula>0</formula>
    </cfRule>
  </conditionalFormatting>
  <conditionalFormatting sqref="H49:K49">
    <cfRule type="expression" dxfId="10799" priority="82">
      <formula>LEN(TRIM(H49))=0</formula>
    </cfRule>
  </conditionalFormatting>
  <conditionalFormatting sqref="K49">
    <cfRule type="cellIs" dxfId="10798" priority="81" operator="equal">
      <formula>0</formula>
    </cfRule>
  </conditionalFormatting>
  <conditionalFormatting sqref="J49:K49">
    <cfRule type="cellIs" dxfId="10797" priority="80" operator="equal">
      <formula>0</formula>
    </cfRule>
  </conditionalFormatting>
  <conditionalFormatting sqref="I49">
    <cfRule type="cellIs" dxfId="10796" priority="79" operator="equal">
      <formula>0</formula>
    </cfRule>
  </conditionalFormatting>
  <conditionalFormatting sqref="H49">
    <cfRule type="cellIs" dxfId="10795" priority="78" operator="equal">
      <formula>0</formula>
    </cfRule>
  </conditionalFormatting>
  <conditionalFormatting sqref="D57:R68">
    <cfRule type="expression" dxfId="10794" priority="77">
      <formula>LEN(TRIM(D57))=0</formula>
    </cfRule>
  </conditionalFormatting>
  <conditionalFormatting sqref="D57:R68">
    <cfRule type="cellIs" dxfId="10793" priority="76" operator="equal">
      <formula>0</formula>
    </cfRule>
  </conditionalFormatting>
  <conditionalFormatting sqref="N53:O53">
    <cfRule type="cellIs" dxfId="10792" priority="75" operator="equal">
      <formula>0</formula>
    </cfRule>
  </conditionalFormatting>
  <conditionalFormatting sqref="N52:O52">
    <cfRule type="cellIs" dxfId="10791" priority="74" operator="equal">
      <formula>0</formula>
    </cfRule>
  </conditionalFormatting>
  <conditionalFormatting sqref="M52:M53">
    <cfRule type="cellIs" dxfId="10790" priority="73" operator="equal">
      <formula>0</formula>
    </cfRule>
  </conditionalFormatting>
  <conditionalFormatting sqref="L52:L53">
    <cfRule type="cellIs" dxfId="10789" priority="72" operator="equal">
      <formula>0</formula>
    </cfRule>
  </conditionalFormatting>
  <conditionalFormatting sqref="D78:R78">
    <cfRule type="cellIs" dxfId="10788" priority="71" operator="equal">
      <formula>0</formula>
    </cfRule>
  </conditionalFormatting>
  <conditionalFormatting sqref="D71:R79 D69:R69 D50:R55 D49:G49 L49:M49 P49:R49">
    <cfRule type="expression" dxfId="10787" priority="70">
      <formula>LEN(TRIM(D49))=0</formula>
    </cfRule>
  </conditionalFormatting>
  <conditionalFormatting sqref="D78:R78">
    <cfRule type="cellIs" dxfId="10786" priority="69" operator="equal">
      <formula>0</formula>
    </cfRule>
  </conditionalFormatting>
  <conditionalFormatting sqref="O50:O51">
    <cfRule type="cellIs" dxfId="10785" priority="68" operator="equal">
      <formula>0</formula>
    </cfRule>
  </conditionalFormatting>
  <conditionalFormatting sqref="O52:O54 O70">
    <cfRule type="cellIs" dxfId="10784" priority="67" operator="equal">
      <formula>0</formula>
    </cfRule>
  </conditionalFormatting>
  <conditionalFormatting sqref="N50:N51">
    <cfRule type="cellIs" dxfId="10783" priority="66" operator="equal">
      <formula>0</formula>
    </cfRule>
  </conditionalFormatting>
  <conditionalFormatting sqref="N52:N54 N70">
    <cfRule type="cellIs" dxfId="10782" priority="65" operator="equal">
      <formula>0</formula>
    </cfRule>
  </conditionalFormatting>
  <conditionalFormatting sqref="M49:M51">
    <cfRule type="cellIs" dxfId="10781" priority="64" operator="equal">
      <formula>0</formula>
    </cfRule>
  </conditionalFormatting>
  <conditionalFormatting sqref="M52:M54 M70">
    <cfRule type="cellIs" dxfId="10780" priority="63" operator="equal">
      <formula>0</formula>
    </cfRule>
  </conditionalFormatting>
  <conditionalFormatting sqref="L49:L51">
    <cfRule type="cellIs" dxfId="10779" priority="62" operator="equal">
      <formula>0</formula>
    </cfRule>
  </conditionalFormatting>
  <conditionalFormatting sqref="L52:L54 L70">
    <cfRule type="cellIs" dxfId="10778" priority="61" operator="equal">
      <formula>0</formula>
    </cfRule>
  </conditionalFormatting>
  <conditionalFormatting sqref="K50:K51">
    <cfRule type="cellIs" dxfId="10777" priority="60" operator="equal">
      <formula>0</formula>
    </cfRule>
  </conditionalFormatting>
  <conditionalFormatting sqref="K52:K54 K70">
    <cfRule type="cellIs" dxfId="10776" priority="59" operator="equal">
      <formula>0</formula>
    </cfRule>
  </conditionalFormatting>
  <conditionalFormatting sqref="J50:J51">
    <cfRule type="cellIs" dxfId="10775" priority="58" operator="equal">
      <formula>0</formula>
    </cfRule>
  </conditionalFormatting>
  <conditionalFormatting sqref="J52:J54 J70">
    <cfRule type="cellIs" dxfId="10774" priority="57" operator="equal">
      <formula>0</formula>
    </cfRule>
  </conditionalFormatting>
  <conditionalFormatting sqref="L49:M49">
    <cfRule type="cellIs" dxfId="10773" priority="56" operator="equal">
      <formula>0</formula>
    </cfRule>
  </conditionalFormatting>
  <conditionalFormatting sqref="F50:F51">
    <cfRule type="cellIs" dxfId="10772" priority="55" operator="equal">
      <formula>0</formula>
    </cfRule>
  </conditionalFormatting>
  <conditionalFormatting sqref="P49:R49 L49:M49 D50:R51">
    <cfRule type="cellIs" dxfId="10771" priority="54" operator="equal">
      <formula>0</formula>
    </cfRule>
  </conditionalFormatting>
  <conditionalFormatting sqref="P49:P51">
    <cfRule type="cellIs" dxfId="10770" priority="53" operator="equal">
      <formula>0</formula>
    </cfRule>
  </conditionalFormatting>
  <conditionalFormatting sqref="D79:R79 P70:R70 D70:I70 D71:R77 D69:R69 D50:R56 D49:G49 L49:M49 P49:R49">
    <cfRule type="cellIs" dxfId="10769" priority="52" operator="equal">
      <formula>0</formula>
    </cfRule>
  </conditionalFormatting>
  <conditionalFormatting sqref="N12:O12">
    <cfRule type="expression" dxfId="10768" priority="51">
      <formula>LEN(TRIM(N12))=0</formula>
    </cfRule>
  </conditionalFormatting>
  <conditionalFormatting sqref="N12:O12">
    <cfRule type="cellIs" dxfId="10767" priority="50" operator="equal">
      <formula>0</formula>
    </cfRule>
  </conditionalFormatting>
  <conditionalFormatting sqref="N12:O12">
    <cfRule type="cellIs" dxfId="10766" priority="49" operator="equal">
      <formula>0</formula>
    </cfRule>
  </conditionalFormatting>
  <conditionalFormatting sqref="H12:K12">
    <cfRule type="expression" dxfId="10765" priority="48">
      <formula>LEN(TRIM(H12))=0</formula>
    </cfRule>
  </conditionalFormatting>
  <conditionalFormatting sqref="K12">
    <cfRule type="cellIs" dxfId="10764" priority="47" operator="equal">
      <formula>0</formula>
    </cfRule>
  </conditionalFormatting>
  <conditionalFormatting sqref="J12:K12">
    <cfRule type="cellIs" dxfId="10763" priority="46" operator="equal">
      <formula>0</formula>
    </cfRule>
  </conditionalFormatting>
  <conditionalFormatting sqref="I12">
    <cfRule type="cellIs" dxfId="10762" priority="45" operator="equal">
      <formula>0</formula>
    </cfRule>
  </conditionalFormatting>
  <conditionalFormatting sqref="H12">
    <cfRule type="cellIs" dxfId="10761" priority="44" operator="equal">
      <formula>0</formula>
    </cfRule>
  </conditionalFormatting>
  <conditionalFormatting sqref="D20:R31">
    <cfRule type="expression" dxfId="10760" priority="43">
      <formula>LEN(TRIM(D20))=0</formula>
    </cfRule>
  </conditionalFormatting>
  <conditionalFormatting sqref="D20:R31">
    <cfRule type="cellIs" dxfId="10759" priority="42" operator="equal">
      <formula>0</formula>
    </cfRule>
  </conditionalFormatting>
  <conditionalFormatting sqref="N16:O16">
    <cfRule type="cellIs" dxfId="10758" priority="41" operator="equal">
      <formula>0</formula>
    </cfRule>
  </conditionalFormatting>
  <conditionalFormatting sqref="N15:O15">
    <cfRule type="cellIs" dxfId="10757" priority="40" operator="equal">
      <formula>0</formula>
    </cfRule>
  </conditionalFormatting>
  <conditionalFormatting sqref="M15:M16">
    <cfRule type="cellIs" dxfId="10756" priority="39" operator="equal">
      <formula>0</formula>
    </cfRule>
  </conditionalFormatting>
  <conditionalFormatting sqref="L15:L16">
    <cfRule type="cellIs" dxfId="10755" priority="38" operator="equal">
      <formula>0</formula>
    </cfRule>
  </conditionalFormatting>
  <conditionalFormatting sqref="D41:R41">
    <cfRule type="cellIs" dxfId="10754" priority="37" operator="equal">
      <formula>0</formula>
    </cfRule>
  </conditionalFormatting>
  <conditionalFormatting sqref="D34:R42 D32:R32 D13:R18 D12:G12 L12:M12 P12:R12">
    <cfRule type="expression" dxfId="10753" priority="36">
      <formula>LEN(TRIM(D12))=0</formula>
    </cfRule>
  </conditionalFormatting>
  <conditionalFormatting sqref="D41:R41">
    <cfRule type="cellIs" dxfId="10752" priority="35" operator="equal">
      <formula>0</formula>
    </cfRule>
  </conditionalFormatting>
  <conditionalFormatting sqref="O13:O14">
    <cfRule type="cellIs" dxfId="10751" priority="34" operator="equal">
      <formula>0</formula>
    </cfRule>
  </conditionalFormatting>
  <conditionalFormatting sqref="O15:O17 O33">
    <cfRule type="cellIs" dxfId="10750" priority="33" operator="equal">
      <formula>0</formula>
    </cfRule>
  </conditionalFormatting>
  <conditionalFormatting sqref="N13:N14">
    <cfRule type="cellIs" dxfId="10749" priority="32" operator="equal">
      <formula>0</formula>
    </cfRule>
  </conditionalFormatting>
  <conditionalFormatting sqref="N15:N17 N33">
    <cfRule type="cellIs" dxfId="10748" priority="31" operator="equal">
      <formula>0</formula>
    </cfRule>
  </conditionalFormatting>
  <conditionalFormatting sqref="M12:M14">
    <cfRule type="cellIs" dxfId="10747" priority="30" operator="equal">
      <formula>0</formula>
    </cfRule>
  </conditionalFormatting>
  <conditionalFormatting sqref="M15:M17 M33">
    <cfRule type="cellIs" dxfId="10746" priority="29" operator="equal">
      <formula>0</formula>
    </cfRule>
  </conditionalFormatting>
  <conditionalFormatting sqref="L12:L14">
    <cfRule type="cellIs" dxfId="10745" priority="28" operator="equal">
      <formula>0</formula>
    </cfRule>
  </conditionalFormatting>
  <conditionalFormatting sqref="L15:L17 L33">
    <cfRule type="cellIs" dxfId="10744" priority="27" operator="equal">
      <formula>0</formula>
    </cfRule>
  </conditionalFormatting>
  <conditionalFormatting sqref="K13:K14">
    <cfRule type="cellIs" dxfId="10743" priority="26" operator="equal">
      <formula>0</formula>
    </cfRule>
  </conditionalFormatting>
  <conditionalFormatting sqref="K15:K17 K33">
    <cfRule type="cellIs" dxfId="10742" priority="25" operator="equal">
      <formula>0</formula>
    </cfRule>
  </conditionalFormatting>
  <conditionalFormatting sqref="J13:J14">
    <cfRule type="cellIs" dxfId="10741" priority="24" operator="equal">
      <formula>0</formula>
    </cfRule>
  </conditionalFormatting>
  <conditionalFormatting sqref="J15:J17 J33">
    <cfRule type="cellIs" dxfId="10740" priority="23" operator="equal">
      <formula>0</formula>
    </cfRule>
  </conditionalFormatting>
  <conditionalFormatting sqref="L12:M12">
    <cfRule type="cellIs" dxfId="10739" priority="22" operator="equal">
      <formula>0</formula>
    </cfRule>
  </conditionalFormatting>
  <conditionalFormatting sqref="F13:F14">
    <cfRule type="cellIs" dxfId="10738" priority="21" operator="equal">
      <formula>0</formula>
    </cfRule>
  </conditionalFormatting>
  <conditionalFormatting sqref="P12:R12 L12:M12 D13:R14">
    <cfRule type="cellIs" dxfId="10737" priority="20" operator="equal">
      <formula>0</formula>
    </cfRule>
  </conditionalFormatting>
  <conditionalFormatting sqref="P12:P14">
    <cfRule type="cellIs" dxfId="10736" priority="19" operator="equal">
      <formula>0</formula>
    </cfRule>
  </conditionalFormatting>
  <conditionalFormatting sqref="D42:R42 P33:R33 D33:I33 D34:R40 D32:R32 D13:R19 D12:G12 L12:M12 P12:R12">
    <cfRule type="cellIs" dxfId="10735" priority="18" operator="equal">
      <formula>0</formula>
    </cfRule>
  </conditionalFormatting>
  <conditionalFormatting sqref="S108:S116 S86:S92 S94:S106">
    <cfRule type="expression" dxfId="10734" priority="17">
      <formula>LEN(TRIM(S86))=0</formula>
    </cfRule>
  </conditionalFormatting>
  <conditionalFormatting sqref="S115">
    <cfRule type="cellIs" dxfId="10733" priority="16" operator="equal">
      <formula>0</formula>
    </cfRule>
  </conditionalFormatting>
  <conditionalFormatting sqref="S116 S86:S114">
    <cfRule type="cellIs" dxfId="10732" priority="15" operator="equal">
      <formula>0</formula>
    </cfRule>
  </conditionalFormatting>
  <conditionalFormatting sqref="S71:S79 S49:S55 S57:S69">
    <cfRule type="expression" dxfId="10731" priority="14">
      <formula>LEN(TRIM(S49))=0</formula>
    </cfRule>
  </conditionalFormatting>
  <conditionalFormatting sqref="S78">
    <cfRule type="cellIs" dxfId="10730" priority="13" operator="equal">
      <formula>0</formula>
    </cfRule>
  </conditionalFormatting>
  <conditionalFormatting sqref="S79 S49:S77">
    <cfRule type="cellIs" dxfId="10729" priority="12" operator="equal">
      <formula>0</formula>
    </cfRule>
  </conditionalFormatting>
  <conditionalFormatting sqref="S34:S42 S12:S18 S20:S32">
    <cfRule type="expression" dxfId="10728" priority="11">
      <formula>LEN(TRIM(S12))=0</formula>
    </cfRule>
  </conditionalFormatting>
  <conditionalFormatting sqref="S41">
    <cfRule type="cellIs" dxfId="10727" priority="10" operator="equal">
      <formula>0</formula>
    </cfRule>
  </conditionalFormatting>
  <conditionalFormatting sqref="S42 S12:S40">
    <cfRule type="cellIs" dxfId="10726" priority="9" operator="equal">
      <formula>0</formula>
    </cfRule>
  </conditionalFormatting>
  <conditionalFormatting sqref="O85">
    <cfRule type="cellIs" dxfId="10725" priority="8" operator="equal">
      <formula>0</formula>
    </cfRule>
  </conditionalFormatting>
  <conditionalFormatting sqref="J85:N85">
    <cfRule type="cellIs" dxfId="10724" priority="7" operator="equal">
      <formula>0</formula>
    </cfRule>
  </conditionalFormatting>
  <conditionalFormatting sqref="O48">
    <cfRule type="cellIs" dxfId="10723" priority="6" operator="equal">
      <formula>0</formula>
    </cfRule>
  </conditionalFormatting>
  <conditionalFormatting sqref="J48:N48">
    <cfRule type="cellIs" dxfId="10722" priority="5" operator="equal">
      <formula>0</formula>
    </cfRule>
  </conditionalFormatting>
  <conditionalFormatting sqref="O11">
    <cfRule type="cellIs" dxfId="10721" priority="4" operator="equal">
      <formula>0</formula>
    </cfRule>
  </conditionalFormatting>
  <conditionalFormatting sqref="J11:N11">
    <cfRule type="cellIs" dxfId="10720" priority="3" operator="equal">
      <formula>0</formula>
    </cfRule>
  </conditionalFormatting>
  <conditionalFormatting sqref="S328">
    <cfRule type="expression" dxfId="10719" priority="2">
      <formula>LEN(TRIM(S328))=0</formula>
    </cfRule>
  </conditionalFormatting>
  <conditionalFormatting sqref="S313:S315 S328:S336">
    <cfRule type="cellIs" dxfId="10718"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9F63D-7711-4F79-8F8A-BD8226EC31A0}">
  <dimension ref="B2:T303"/>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359</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1">
        <v>0</v>
      </c>
      <c r="G12" s="421">
        <v>0.18608</v>
      </c>
      <c r="H12" s="422">
        <v>1190.9090909090901</v>
      </c>
      <c r="I12" s="422">
        <v>170.08</v>
      </c>
      <c r="J12" s="422">
        <v>186.15630231182601</v>
      </c>
      <c r="K12" s="422">
        <v>24.974953825182599</v>
      </c>
      <c r="L12" s="421">
        <v>0</v>
      </c>
      <c r="M12" s="421">
        <v>0</v>
      </c>
      <c r="N12" s="422">
        <v>43.871249036200602</v>
      </c>
      <c r="O12" s="422">
        <v>4.0793508751074903</v>
      </c>
      <c r="P12" s="421">
        <v>0</v>
      </c>
      <c r="Q12" s="421">
        <v>0</v>
      </c>
      <c r="R12" s="421">
        <v>0</v>
      </c>
      <c r="S12" s="423">
        <v>1630.02622695741</v>
      </c>
      <c r="T12" s="412"/>
    </row>
    <row r="13" spans="2:20" ht="13.5">
      <c r="B13" s="412"/>
      <c r="C13" s="420" t="s">
        <v>60</v>
      </c>
      <c r="D13" s="421">
        <v>40.055895368373001</v>
      </c>
      <c r="E13" s="421">
        <v>541.69545178681904</v>
      </c>
      <c r="F13" s="421">
        <v>171.988032744695</v>
      </c>
      <c r="G13" s="421">
        <v>372.78103647712499</v>
      </c>
      <c r="H13" s="421">
        <v>0</v>
      </c>
      <c r="I13" s="421">
        <v>0</v>
      </c>
      <c r="J13" s="421">
        <v>0</v>
      </c>
      <c r="K13" s="421">
        <v>0</v>
      </c>
      <c r="L13" s="421">
        <v>0</v>
      </c>
      <c r="M13" s="421">
        <v>0</v>
      </c>
      <c r="N13" s="421">
        <v>0</v>
      </c>
      <c r="O13" s="421">
        <v>0</v>
      </c>
      <c r="P13" s="421">
        <v>0</v>
      </c>
      <c r="Q13" s="421">
        <v>0</v>
      </c>
      <c r="R13" s="421">
        <v>0</v>
      </c>
      <c r="S13" s="423">
        <v>1126.52041637701</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-73.437247589053598</v>
      </c>
      <c r="Q14" s="421">
        <v>0</v>
      </c>
      <c r="R14" s="421">
        <v>0</v>
      </c>
      <c r="S14" s="423">
        <v>-73.437247589053598</v>
      </c>
      <c r="T14" s="412"/>
    </row>
    <row r="15" spans="2:20" ht="13.5">
      <c r="B15" s="412"/>
      <c r="C15" s="420" t="s">
        <v>62</v>
      </c>
      <c r="D15" s="421">
        <v>0</v>
      </c>
      <c r="E15" s="421">
        <v>0</v>
      </c>
      <c r="F15" s="421">
        <v>-17.070412052753898</v>
      </c>
      <c r="G15" s="421">
        <v>0</v>
      </c>
      <c r="H15" s="421">
        <v>0</v>
      </c>
      <c r="I15" s="421">
        <v>0</v>
      </c>
      <c r="J15" s="421">
        <v>0</v>
      </c>
      <c r="K15" s="421">
        <v>0</v>
      </c>
      <c r="L15" s="421">
        <v>0</v>
      </c>
      <c r="M15" s="421">
        <v>0</v>
      </c>
      <c r="N15" s="421">
        <v>0</v>
      </c>
      <c r="O15" s="421">
        <v>0</v>
      </c>
      <c r="P15" s="421">
        <v>0</v>
      </c>
      <c r="Q15" s="421">
        <v>0</v>
      </c>
      <c r="R15" s="421">
        <v>0</v>
      </c>
      <c r="S15" s="423">
        <v>-17.070412052753898</v>
      </c>
      <c r="T15" s="412"/>
    </row>
    <row r="16" spans="2:20" ht="13.5">
      <c r="B16" s="412"/>
      <c r="C16" s="420" t="s">
        <v>63</v>
      </c>
      <c r="D16" s="421">
        <v>0</v>
      </c>
      <c r="E16" s="421">
        <v>0</v>
      </c>
      <c r="F16" s="421">
        <v>-79.938484984822097</v>
      </c>
      <c r="G16" s="421">
        <v>0</v>
      </c>
      <c r="H16" s="421">
        <v>0</v>
      </c>
      <c r="I16" s="421">
        <v>0</v>
      </c>
      <c r="J16" s="421">
        <v>0</v>
      </c>
      <c r="K16" s="421">
        <v>0</v>
      </c>
      <c r="L16" s="421">
        <v>-0.82674452547362898</v>
      </c>
      <c r="M16" s="421">
        <v>0</v>
      </c>
      <c r="N16" s="421">
        <v>0</v>
      </c>
      <c r="O16" s="421">
        <v>0</v>
      </c>
      <c r="P16" s="421">
        <v>0</v>
      </c>
      <c r="Q16" s="421">
        <v>0</v>
      </c>
      <c r="R16" s="421">
        <v>0</v>
      </c>
      <c r="S16" s="423">
        <v>-80.765229510295697</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40.055895368373001</v>
      </c>
      <c r="E18" s="425">
        <v>551.46465178681899</v>
      </c>
      <c r="F18" s="425">
        <v>74.979135707119397</v>
      </c>
      <c r="G18" s="425">
        <v>372.96711647712499</v>
      </c>
      <c r="H18" s="425">
        <v>1190.9090909090901</v>
      </c>
      <c r="I18" s="425">
        <v>170.08</v>
      </c>
      <c r="J18" s="425">
        <v>186.15630231182601</v>
      </c>
      <c r="K18" s="425">
        <v>24.974953825182599</v>
      </c>
      <c r="L18" s="425">
        <v>-0.82674452547362898</v>
      </c>
      <c r="M18" s="425">
        <v>0</v>
      </c>
      <c r="N18" s="425">
        <v>43.871249036200602</v>
      </c>
      <c r="O18" s="425">
        <v>4.0793508751074903</v>
      </c>
      <c r="P18" s="425">
        <v>-73.437247589053598</v>
      </c>
      <c r="Q18" s="425">
        <v>0</v>
      </c>
      <c r="R18" s="425">
        <v>0</v>
      </c>
      <c r="S18" s="425">
        <v>2585.2737541823199</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19.544561216829301</v>
      </c>
      <c r="H21" s="421">
        <v>1190.9090909090901</v>
      </c>
      <c r="I21" s="421">
        <v>170.08</v>
      </c>
      <c r="J21" s="421">
        <v>28.040540215902201</v>
      </c>
      <c r="K21" s="421">
        <v>7.7727848860172202</v>
      </c>
      <c r="L21" s="421">
        <v>0</v>
      </c>
      <c r="M21" s="421">
        <v>0.39886859626182303</v>
      </c>
      <c r="N21" s="421">
        <v>0</v>
      </c>
      <c r="O21" s="421">
        <v>0</v>
      </c>
      <c r="P21" s="421">
        <v>-586.289338958695</v>
      </c>
      <c r="Q21" s="421">
        <v>0</v>
      </c>
      <c r="R21" s="421">
        <v>0</v>
      </c>
      <c r="S21" s="429">
        <v>836.52061396460897</v>
      </c>
      <c r="T21" s="412"/>
    </row>
    <row r="22" spans="2:20" ht="13.5">
      <c r="B22" s="412"/>
      <c r="C22" s="428" t="s">
        <v>351</v>
      </c>
      <c r="D22" s="421">
        <v>4.9396474947490797E-2</v>
      </c>
      <c r="E22" s="421">
        <v>0</v>
      </c>
      <c r="F22" s="421">
        <v>0</v>
      </c>
      <c r="G22" s="421">
        <v>17.665254513296698</v>
      </c>
      <c r="H22" s="421">
        <v>0</v>
      </c>
      <c r="I22" s="421">
        <v>0</v>
      </c>
      <c r="J22" s="421">
        <v>13.597483560150501</v>
      </c>
      <c r="K22" s="421">
        <v>12.973950708076901</v>
      </c>
      <c r="L22" s="421">
        <v>0</v>
      </c>
      <c r="M22" s="421">
        <v>0.36051539823054402</v>
      </c>
      <c r="N22" s="421">
        <v>0</v>
      </c>
      <c r="O22" s="421">
        <v>2.3125206785732901</v>
      </c>
      <c r="P22" s="421">
        <v>0</v>
      </c>
      <c r="Q22" s="421">
        <v>-42.110083349928601</v>
      </c>
      <c r="R22" s="421">
        <v>0</v>
      </c>
      <c r="S22" s="429">
        <v>4.84903798334678</v>
      </c>
      <c r="T22" s="412"/>
    </row>
    <row r="23" spans="2:20" ht="13.5">
      <c r="B23" s="412"/>
      <c r="C23" s="428" t="s">
        <v>352</v>
      </c>
      <c r="D23" s="421">
        <v>0</v>
      </c>
      <c r="E23" s="421">
        <v>0</v>
      </c>
      <c r="F23" s="421">
        <v>0</v>
      </c>
      <c r="G23" s="421">
        <v>0</v>
      </c>
      <c r="H23" s="421">
        <v>0</v>
      </c>
      <c r="I23" s="421">
        <v>0</v>
      </c>
      <c r="J23" s="421">
        <v>8.2513049671567806</v>
      </c>
      <c r="K23" s="421">
        <v>0</v>
      </c>
      <c r="L23" s="421">
        <v>0</v>
      </c>
      <c r="M23" s="421">
        <v>-7.35397555197848</v>
      </c>
      <c r="N23" s="421">
        <v>0</v>
      </c>
      <c r="O23" s="421">
        <v>0</v>
      </c>
      <c r="P23" s="421">
        <v>0</v>
      </c>
      <c r="Q23" s="421">
        <v>0</v>
      </c>
      <c r="R23" s="421">
        <v>0</v>
      </c>
      <c r="S23" s="429">
        <v>0.897329415178301</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571.25876810153704</v>
      </c>
      <c r="F25" s="421">
        <v>-565.54618042052198</v>
      </c>
      <c r="G25" s="421">
        <v>0</v>
      </c>
      <c r="H25" s="421">
        <v>0</v>
      </c>
      <c r="I25" s="421">
        <v>0</v>
      </c>
      <c r="J25" s="421">
        <v>0</v>
      </c>
      <c r="K25" s="421">
        <v>0</v>
      </c>
      <c r="L25" s="421">
        <v>0</v>
      </c>
      <c r="M25" s="421">
        <v>0</v>
      </c>
      <c r="N25" s="421">
        <v>0</v>
      </c>
      <c r="O25" s="421">
        <v>0</v>
      </c>
      <c r="P25" s="421">
        <v>0</v>
      </c>
      <c r="Q25" s="421">
        <v>0</v>
      </c>
      <c r="R25" s="421">
        <v>0</v>
      </c>
      <c r="S25" s="429">
        <v>5.7125876810154104</v>
      </c>
      <c r="T25" s="412"/>
    </row>
    <row r="26" spans="2:20" ht="13.5">
      <c r="B26" s="412"/>
      <c r="C26" s="428" t="s">
        <v>354</v>
      </c>
      <c r="D26" s="421">
        <v>0</v>
      </c>
      <c r="E26" s="421">
        <v>0</v>
      </c>
      <c r="F26" s="421">
        <v>0</v>
      </c>
      <c r="G26" s="421">
        <v>0</v>
      </c>
      <c r="H26" s="421">
        <v>0</v>
      </c>
      <c r="I26" s="421">
        <v>0</v>
      </c>
      <c r="J26" s="421">
        <v>40.340137818349199</v>
      </c>
      <c r="K26" s="421">
        <v>0</v>
      </c>
      <c r="L26" s="421">
        <v>-40.340137818349199</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-0.12750106482601001</v>
      </c>
      <c r="M27" s="421">
        <v>0</v>
      </c>
      <c r="N27" s="421">
        <v>0</v>
      </c>
      <c r="O27" s="421">
        <v>0</v>
      </c>
      <c r="P27" s="421">
        <v>0</v>
      </c>
      <c r="Q27" s="421">
        <v>0</v>
      </c>
      <c r="R27" s="421">
        <v>0.182144378322872</v>
      </c>
      <c r="S27" s="429">
        <v>5.4643313496861502E-2</v>
      </c>
      <c r="T27" s="412"/>
    </row>
    <row r="28" spans="2:20" ht="13.5">
      <c r="B28" s="412"/>
      <c r="C28" s="428" t="s">
        <v>73</v>
      </c>
      <c r="D28" s="421">
        <v>0</v>
      </c>
      <c r="E28" s="421">
        <v>0</v>
      </c>
      <c r="F28" s="421">
        <v>0</v>
      </c>
      <c r="G28" s="421">
        <v>0.831376892645455</v>
      </c>
      <c r="H28" s="421">
        <v>0</v>
      </c>
      <c r="I28" s="421">
        <v>0</v>
      </c>
      <c r="J28" s="421">
        <v>0</v>
      </c>
      <c r="K28" s="421">
        <v>9.2613948472223297E-3</v>
      </c>
      <c r="L28" s="421">
        <v>0</v>
      </c>
      <c r="M28" s="421">
        <v>1.6966875360111301E-2</v>
      </c>
      <c r="N28" s="421">
        <v>0</v>
      </c>
      <c r="O28" s="421">
        <v>0</v>
      </c>
      <c r="P28" s="421">
        <v>7.3806192782479504E-2</v>
      </c>
      <c r="Q28" s="421">
        <v>0</v>
      </c>
      <c r="R28" s="421">
        <v>-0.64829763930556406</v>
      </c>
      <c r="S28" s="429">
        <v>0.283113716329704</v>
      </c>
      <c r="T28" s="412"/>
    </row>
    <row r="29" spans="2:20" ht="13.5">
      <c r="B29" s="412"/>
      <c r="C29" s="428" t="s">
        <v>356</v>
      </c>
      <c r="D29" s="421">
        <v>17.563290527343799</v>
      </c>
      <c r="E29" s="421">
        <v>-19.794116314718298</v>
      </c>
      <c r="F29" s="421">
        <v>25.889534996151301</v>
      </c>
      <c r="G29" s="421">
        <v>0</v>
      </c>
      <c r="H29" s="421">
        <v>0</v>
      </c>
      <c r="I29" s="421">
        <v>0</v>
      </c>
      <c r="J29" s="421">
        <v>0</v>
      </c>
      <c r="K29" s="421">
        <v>0</v>
      </c>
      <c r="L29" s="421">
        <v>0</v>
      </c>
      <c r="M29" s="421">
        <v>0</v>
      </c>
      <c r="N29" s="421">
        <v>0</v>
      </c>
      <c r="O29" s="421">
        <v>0</v>
      </c>
      <c r="P29" s="421">
        <v>0</v>
      </c>
      <c r="Q29" s="421">
        <v>0</v>
      </c>
      <c r="R29" s="421">
        <v>0</v>
      </c>
      <c r="S29" s="429">
        <v>23.658709208776799</v>
      </c>
      <c r="T29" s="412"/>
    </row>
    <row r="30" spans="2:20" ht="13.5">
      <c r="B30" s="412"/>
      <c r="C30" s="428" t="s">
        <v>75</v>
      </c>
      <c r="D30" s="421">
        <v>10.802251953124999</v>
      </c>
      <c r="E30" s="421">
        <v>0</v>
      </c>
      <c r="F30" s="421">
        <v>19.422798115452299</v>
      </c>
      <c r="G30" s="421">
        <v>5.5423525681211201</v>
      </c>
      <c r="H30" s="421">
        <v>0</v>
      </c>
      <c r="I30" s="421">
        <v>0</v>
      </c>
      <c r="J30" s="421">
        <v>0</v>
      </c>
      <c r="K30" s="421">
        <v>0</v>
      </c>
      <c r="L30" s="421">
        <v>0</v>
      </c>
      <c r="M30" s="421">
        <v>0.113109236084104</v>
      </c>
      <c r="N30" s="421">
        <v>0</v>
      </c>
      <c r="O30" s="421">
        <v>0</v>
      </c>
      <c r="P30" s="421">
        <v>36.242285129753</v>
      </c>
      <c r="Q30" s="421">
        <v>0</v>
      </c>
      <c r="R30" s="421">
        <v>0</v>
      </c>
      <c r="S30" s="429">
        <v>72.122797002535407</v>
      </c>
      <c r="T30" s="412"/>
    </row>
    <row r="31" spans="2:20" ht="13.5">
      <c r="B31" s="412"/>
      <c r="C31" s="428" t="s">
        <v>76</v>
      </c>
      <c r="D31" s="421">
        <v>0</v>
      </c>
      <c r="E31" s="421">
        <v>0</v>
      </c>
      <c r="F31" s="421">
        <v>0</v>
      </c>
      <c r="G31" s="421">
        <v>4.2728632653787999</v>
      </c>
      <c r="H31" s="421">
        <v>0</v>
      </c>
      <c r="I31" s="421">
        <v>0</v>
      </c>
      <c r="J31" s="421">
        <v>0</v>
      </c>
      <c r="K31" s="421">
        <v>0</v>
      </c>
      <c r="L31" s="421">
        <v>0</v>
      </c>
      <c r="M31" s="421">
        <v>8.7201291130179603E-2</v>
      </c>
      <c r="N31" s="421">
        <v>0</v>
      </c>
      <c r="O31" s="421">
        <v>0</v>
      </c>
      <c r="P31" s="421">
        <v>39.304453909215397</v>
      </c>
      <c r="Q31" s="421">
        <v>3.26314299021587</v>
      </c>
      <c r="R31" s="421">
        <v>0</v>
      </c>
      <c r="S31" s="429">
        <v>46.927661455940203</v>
      </c>
      <c r="T31" s="412"/>
    </row>
    <row r="32" spans="2:20" ht="13.5">
      <c r="B32" s="412"/>
      <c r="C32" s="424" t="s">
        <v>77</v>
      </c>
      <c r="D32" s="425">
        <v>30.615409690982801</v>
      </c>
      <c r="E32" s="425">
        <v>551.46465178681899</v>
      </c>
      <c r="F32" s="425">
        <v>-516.370210945282</v>
      </c>
      <c r="G32" s="425">
        <v>47.856408456271403</v>
      </c>
      <c r="H32" s="425">
        <v>1190.9090909090901</v>
      </c>
      <c r="I32" s="425">
        <v>170.08</v>
      </c>
      <c r="J32" s="425">
        <v>90.229466561558695</v>
      </c>
      <c r="K32" s="425">
        <v>20.755996988941401</v>
      </c>
      <c r="L32" s="425">
        <v>-40.467638883175198</v>
      </c>
      <c r="M32" s="425">
        <v>-6.37731415491172</v>
      </c>
      <c r="N32" s="425">
        <v>0</v>
      </c>
      <c r="O32" s="425">
        <v>2.3125206785732901</v>
      </c>
      <c r="P32" s="425">
        <v>-510.66879372694501</v>
      </c>
      <c r="Q32" s="425">
        <v>-38.846940359712697</v>
      </c>
      <c r="R32" s="425">
        <v>-0.466153260982692</v>
      </c>
      <c r="S32" s="425">
        <v>991.02649374122802</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6.9572827965307997</v>
      </c>
      <c r="E34" s="421">
        <v>0</v>
      </c>
      <c r="F34" s="421">
        <v>25.896684663228299</v>
      </c>
      <c r="G34" s="421">
        <v>106.26458392294199</v>
      </c>
      <c r="H34" s="421">
        <v>0</v>
      </c>
      <c r="I34" s="421">
        <v>0</v>
      </c>
      <c r="J34" s="421">
        <v>17.745142204637499</v>
      </c>
      <c r="K34" s="421">
        <v>4.2189568362411896</v>
      </c>
      <c r="L34" s="421">
        <v>0.87282323828124997</v>
      </c>
      <c r="M34" s="421">
        <v>2.1686649780192302</v>
      </c>
      <c r="N34" s="421">
        <v>0</v>
      </c>
      <c r="O34" s="421">
        <v>0</v>
      </c>
      <c r="P34" s="421">
        <v>105.29003362157</v>
      </c>
      <c r="Q34" s="421">
        <v>18.0750594681117</v>
      </c>
      <c r="R34" s="421">
        <v>0.25568812561035198</v>
      </c>
      <c r="S34" s="429">
        <v>287.74491985517301</v>
      </c>
      <c r="T34" s="412"/>
    </row>
    <row r="35" spans="2:20" ht="13.5">
      <c r="B35" s="412"/>
      <c r="C35" s="428" t="s">
        <v>79</v>
      </c>
      <c r="D35" s="421">
        <v>0</v>
      </c>
      <c r="E35" s="421">
        <v>0</v>
      </c>
      <c r="F35" s="421">
        <v>346.690942673081</v>
      </c>
      <c r="G35" s="421">
        <v>11.424554462604799</v>
      </c>
      <c r="H35" s="421">
        <v>0</v>
      </c>
      <c r="I35" s="421">
        <v>0</v>
      </c>
      <c r="J35" s="421">
        <v>0</v>
      </c>
      <c r="K35" s="421">
        <v>0</v>
      </c>
      <c r="L35" s="421">
        <v>34.925099911617998</v>
      </c>
      <c r="M35" s="421">
        <v>0.23315417270621999</v>
      </c>
      <c r="N35" s="421">
        <v>0</v>
      </c>
      <c r="O35" s="421">
        <v>0</v>
      </c>
      <c r="P35" s="421">
        <v>24.35299203193</v>
      </c>
      <c r="Q35" s="421">
        <v>0</v>
      </c>
      <c r="R35" s="421">
        <v>0.21046513537233999</v>
      </c>
      <c r="S35" s="429">
        <v>417.83720838731301</v>
      </c>
      <c r="T35" s="412"/>
    </row>
    <row r="36" spans="2:20" ht="13.5">
      <c r="B36" s="412"/>
      <c r="C36" s="428" t="s">
        <v>80</v>
      </c>
      <c r="D36" s="421">
        <v>0</v>
      </c>
      <c r="E36" s="421">
        <v>0</v>
      </c>
      <c r="F36" s="421">
        <v>35.491759921092701</v>
      </c>
      <c r="G36" s="421">
        <v>125.919726758168</v>
      </c>
      <c r="H36" s="421">
        <v>0</v>
      </c>
      <c r="I36" s="421">
        <v>0</v>
      </c>
      <c r="J36" s="421">
        <v>73.813414818534</v>
      </c>
      <c r="K36" s="421">
        <v>0</v>
      </c>
      <c r="L36" s="421">
        <v>0</v>
      </c>
      <c r="M36" s="421">
        <v>2.56979034200342</v>
      </c>
      <c r="N36" s="421">
        <v>37.3286750803004</v>
      </c>
      <c r="O36" s="421">
        <v>0.79885474759688602</v>
      </c>
      <c r="P36" s="421">
        <v>169.76247082548599</v>
      </c>
      <c r="Q36" s="421">
        <v>15.993012493150101</v>
      </c>
      <c r="R36" s="421">
        <v>0</v>
      </c>
      <c r="S36" s="429">
        <v>461.67770498633098</v>
      </c>
      <c r="T36" s="412"/>
    </row>
    <row r="37" spans="2:20" ht="13.5">
      <c r="B37" s="412"/>
      <c r="C37" s="428" t="s">
        <v>81</v>
      </c>
      <c r="D37" s="421">
        <v>0</v>
      </c>
      <c r="E37" s="421">
        <v>0</v>
      </c>
      <c r="F37" s="421">
        <v>16.1286772108141</v>
      </c>
      <c r="G37" s="421">
        <v>65.616209399755206</v>
      </c>
      <c r="H37" s="421">
        <v>0</v>
      </c>
      <c r="I37" s="421">
        <v>0</v>
      </c>
      <c r="J37" s="421">
        <v>3.7763192942950199</v>
      </c>
      <c r="K37" s="421">
        <v>0</v>
      </c>
      <c r="L37" s="421">
        <v>0</v>
      </c>
      <c r="M37" s="421">
        <v>1.33910631428072</v>
      </c>
      <c r="N37" s="421">
        <v>6.5425739559002496</v>
      </c>
      <c r="O37" s="421">
        <v>0.88133560718480697</v>
      </c>
      <c r="P37" s="421">
        <v>129.56623414657301</v>
      </c>
      <c r="Q37" s="421">
        <v>4.7788683984510296</v>
      </c>
      <c r="R37" s="421">
        <v>0</v>
      </c>
      <c r="S37" s="429">
        <v>228.62932432725401</v>
      </c>
      <c r="T37" s="412"/>
    </row>
    <row r="38" spans="2:20" ht="13.5">
      <c r="B38" s="412"/>
      <c r="C38" s="428" t="s">
        <v>82</v>
      </c>
      <c r="D38" s="421">
        <v>0</v>
      </c>
      <c r="E38" s="421">
        <v>0</v>
      </c>
      <c r="F38" s="421">
        <v>28.971780309740499</v>
      </c>
      <c r="G38" s="421">
        <v>3.2633190472043498</v>
      </c>
      <c r="H38" s="421">
        <v>0</v>
      </c>
      <c r="I38" s="421">
        <v>0</v>
      </c>
      <c r="J38" s="421">
        <v>0.59195943280110996</v>
      </c>
      <c r="K38" s="421">
        <v>0</v>
      </c>
      <c r="L38" s="421">
        <v>3.8429712078023499</v>
      </c>
      <c r="M38" s="421">
        <v>6.6598347902129498E-2</v>
      </c>
      <c r="N38" s="421">
        <v>0</v>
      </c>
      <c r="O38" s="421">
        <v>8.6639841752499502E-2</v>
      </c>
      <c r="P38" s="421">
        <v>8.2598155123323398</v>
      </c>
      <c r="Q38" s="421">
        <v>0</v>
      </c>
      <c r="R38" s="421">
        <v>0</v>
      </c>
      <c r="S38" s="429">
        <v>45.083083699535301</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6.9572827965307997</v>
      </c>
      <c r="E40" s="425">
        <v>0</v>
      </c>
      <c r="F40" s="425">
        <v>453.17984477795699</v>
      </c>
      <c r="G40" s="425">
        <v>312.48839359067398</v>
      </c>
      <c r="H40" s="425">
        <v>0</v>
      </c>
      <c r="I40" s="425">
        <v>0</v>
      </c>
      <c r="J40" s="425">
        <v>95.9268357502676</v>
      </c>
      <c r="K40" s="425">
        <v>4.2189568362411896</v>
      </c>
      <c r="L40" s="425">
        <v>39.640894357701598</v>
      </c>
      <c r="M40" s="425">
        <v>6.37731415491172</v>
      </c>
      <c r="N40" s="425">
        <v>43.871249036200602</v>
      </c>
      <c r="O40" s="425">
        <v>1.7668301965341899</v>
      </c>
      <c r="P40" s="425">
        <v>437.23154613789097</v>
      </c>
      <c r="Q40" s="425">
        <v>38.846940359712697</v>
      </c>
      <c r="R40" s="425">
        <v>0.466153260982692</v>
      </c>
      <c r="S40" s="425">
        <v>1440.97224125561</v>
      </c>
      <c r="T40" s="412"/>
    </row>
    <row r="41" spans="2:20" ht="13.5">
      <c r="B41" s="412"/>
      <c r="C41" s="420" t="s">
        <v>84</v>
      </c>
      <c r="D41" s="421">
        <v>2.48320288085938</v>
      </c>
      <c r="E41" s="421">
        <v>0</v>
      </c>
      <c r="F41" s="421">
        <v>138.16950187444499</v>
      </c>
      <c r="G41" s="421">
        <v>12.6223144301798</v>
      </c>
      <c r="H41" s="421">
        <v>0</v>
      </c>
      <c r="I41" s="421">
        <v>0</v>
      </c>
      <c r="J41" s="421">
        <v>0</v>
      </c>
      <c r="K41" s="421">
        <v>0</v>
      </c>
      <c r="L41" s="421">
        <v>0</v>
      </c>
      <c r="M41" s="421">
        <v>0</v>
      </c>
      <c r="N41" s="421">
        <v>0</v>
      </c>
      <c r="O41" s="421">
        <v>0</v>
      </c>
      <c r="P41" s="421">
        <v>0</v>
      </c>
      <c r="Q41" s="421">
        <v>0</v>
      </c>
      <c r="R41" s="421">
        <v>0</v>
      </c>
      <c r="S41" s="429">
        <v>153.27501918548401</v>
      </c>
      <c r="T41" s="412"/>
    </row>
    <row r="42" spans="2:20" ht="13.5">
      <c r="B42" s="412"/>
      <c r="C42" s="424" t="s">
        <v>85</v>
      </c>
      <c r="D42" s="425">
        <v>9.4404856773901802</v>
      </c>
      <c r="E42" s="425">
        <v>0</v>
      </c>
      <c r="F42" s="425">
        <v>591.34934665240098</v>
      </c>
      <c r="G42" s="425">
        <v>325.11070802085402</v>
      </c>
      <c r="H42" s="425">
        <v>0</v>
      </c>
      <c r="I42" s="425">
        <v>0</v>
      </c>
      <c r="J42" s="425">
        <v>95.9268357502676</v>
      </c>
      <c r="K42" s="425">
        <v>4.2189568362411896</v>
      </c>
      <c r="L42" s="425">
        <v>39.640894357701598</v>
      </c>
      <c r="M42" s="425">
        <v>6.37731415491172</v>
      </c>
      <c r="N42" s="425">
        <v>43.871249036200602</v>
      </c>
      <c r="O42" s="425">
        <v>1.7668301965341899</v>
      </c>
      <c r="P42" s="425">
        <v>437.23154613789097</v>
      </c>
      <c r="Q42" s="425">
        <v>38.846940359712697</v>
      </c>
      <c r="R42" s="425">
        <v>0.466153260982692</v>
      </c>
      <c r="S42" s="425">
        <v>1594.24726044109</v>
      </c>
      <c r="T42" s="412"/>
    </row>
    <row r="43" spans="2:20">
      <c r="B43" s="412"/>
      <c r="C43" s="412"/>
      <c r="D43" s="430">
        <f t="shared" ref="D43:S43" si="0">D42+D32-D18</f>
        <v>0</v>
      </c>
      <c r="E43" s="430">
        <f t="shared" si="0"/>
        <v>0</v>
      </c>
      <c r="F43" s="430">
        <f t="shared" si="0"/>
        <v>-4.1211478674085811E-13</v>
      </c>
      <c r="G43" s="430">
        <f t="shared" si="0"/>
        <v>4.5474735088646412E-13</v>
      </c>
      <c r="H43" s="430">
        <f t="shared" si="0"/>
        <v>0</v>
      </c>
      <c r="I43" s="430">
        <f t="shared" si="0"/>
        <v>0</v>
      </c>
      <c r="J43" s="430">
        <f t="shared" si="0"/>
        <v>2.8421709430404007E-13</v>
      </c>
      <c r="K43" s="430">
        <f t="shared" si="0"/>
        <v>0</v>
      </c>
      <c r="L43" s="430">
        <f t="shared" si="0"/>
        <v>2.8643754035329039E-14</v>
      </c>
      <c r="M43" s="430">
        <f t="shared" si="0"/>
        <v>0</v>
      </c>
      <c r="N43" s="430">
        <f t="shared" si="0"/>
        <v>0</v>
      </c>
      <c r="O43" s="430">
        <f t="shared" si="0"/>
        <v>-1.0658141036401503E-14</v>
      </c>
      <c r="P43" s="430">
        <f t="shared" si="0"/>
        <v>-4.4053649617126212E-13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88</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9.7691999999999997</v>
      </c>
      <c r="F49" s="421">
        <v>0</v>
      </c>
      <c r="G49" s="421">
        <v>0.18608</v>
      </c>
      <c r="H49" s="422">
        <v>1190.9090909090901</v>
      </c>
      <c r="I49" s="422">
        <v>180.08</v>
      </c>
      <c r="J49" s="422">
        <v>182.69909167509101</v>
      </c>
      <c r="K49" s="422">
        <v>24.336304255308299</v>
      </c>
      <c r="L49" s="421">
        <v>0</v>
      </c>
      <c r="M49" s="421">
        <v>0</v>
      </c>
      <c r="N49" s="422">
        <v>47.404940243004702</v>
      </c>
      <c r="O49" s="422">
        <v>4.1431468389453903</v>
      </c>
      <c r="P49" s="421">
        <v>0</v>
      </c>
      <c r="Q49" s="421">
        <v>0</v>
      </c>
      <c r="R49" s="421">
        <v>0</v>
      </c>
      <c r="S49" s="423">
        <v>1639.5278539214401</v>
      </c>
      <c r="T49" s="412"/>
    </row>
    <row r="50" spans="2:20" ht="13.5">
      <c r="B50" s="412"/>
      <c r="C50" s="420" t="s">
        <v>60</v>
      </c>
      <c r="D50" s="421">
        <v>37.339422707782298</v>
      </c>
      <c r="E50" s="421">
        <v>533.81672423347197</v>
      </c>
      <c r="F50" s="421">
        <v>143.39659601628199</v>
      </c>
      <c r="G50" s="421">
        <v>370.50350222542198</v>
      </c>
      <c r="H50" s="421">
        <v>0</v>
      </c>
      <c r="I50" s="421">
        <v>0</v>
      </c>
      <c r="J50" s="421">
        <v>0</v>
      </c>
      <c r="K50" s="421">
        <v>0</v>
      </c>
      <c r="L50" s="421">
        <v>0</v>
      </c>
      <c r="M50" s="421">
        <v>0</v>
      </c>
      <c r="N50" s="421">
        <v>0</v>
      </c>
      <c r="O50" s="421">
        <v>0</v>
      </c>
      <c r="P50" s="421">
        <v>0</v>
      </c>
      <c r="Q50" s="421">
        <v>0</v>
      </c>
      <c r="R50" s="421">
        <v>0</v>
      </c>
      <c r="S50" s="423">
        <v>1085.0562451829601</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-78.290170277584906</v>
      </c>
      <c r="Q51" s="421">
        <v>0</v>
      </c>
      <c r="R51" s="421">
        <v>0</v>
      </c>
      <c r="S51" s="423">
        <v>-78.290170277584906</v>
      </c>
      <c r="T51" s="412"/>
    </row>
    <row r="52" spans="2:20" ht="13.5">
      <c r="B52" s="412"/>
      <c r="C52" s="420" t="s">
        <v>62</v>
      </c>
      <c r="D52" s="421">
        <v>0</v>
      </c>
      <c r="E52" s="421">
        <v>0</v>
      </c>
      <c r="F52" s="421">
        <v>-16.493151741791198</v>
      </c>
      <c r="G52" s="421">
        <v>0</v>
      </c>
      <c r="H52" s="421">
        <v>0</v>
      </c>
      <c r="I52" s="421">
        <v>0</v>
      </c>
      <c r="J52" s="421">
        <v>0</v>
      </c>
      <c r="K52" s="421">
        <v>0</v>
      </c>
      <c r="L52" s="421">
        <v>0</v>
      </c>
      <c r="M52" s="421">
        <v>0</v>
      </c>
      <c r="N52" s="421">
        <v>0</v>
      </c>
      <c r="O52" s="421">
        <v>0</v>
      </c>
      <c r="P52" s="421">
        <v>0</v>
      </c>
      <c r="Q52" s="421">
        <v>0</v>
      </c>
      <c r="R52" s="421">
        <v>0</v>
      </c>
      <c r="S52" s="423">
        <v>-16.493151741791198</v>
      </c>
      <c r="T52" s="412"/>
    </row>
    <row r="53" spans="2:20" ht="13.5">
      <c r="B53" s="412"/>
      <c r="C53" s="420" t="s">
        <v>63</v>
      </c>
      <c r="D53" s="421">
        <v>0</v>
      </c>
      <c r="E53" s="421">
        <v>0</v>
      </c>
      <c r="F53" s="421">
        <v>-80.524753863298102</v>
      </c>
      <c r="G53" s="421">
        <v>0</v>
      </c>
      <c r="H53" s="421">
        <v>0</v>
      </c>
      <c r="I53" s="421">
        <v>0</v>
      </c>
      <c r="J53" s="421">
        <v>0</v>
      </c>
      <c r="K53" s="421">
        <v>0</v>
      </c>
      <c r="L53" s="421">
        <v>-0.83268754501228504</v>
      </c>
      <c r="M53" s="421">
        <v>0</v>
      </c>
      <c r="N53" s="421">
        <v>0</v>
      </c>
      <c r="O53" s="421">
        <v>0</v>
      </c>
      <c r="P53" s="421">
        <v>0</v>
      </c>
      <c r="Q53" s="421">
        <v>0</v>
      </c>
      <c r="R53" s="421">
        <v>0</v>
      </c>
      <c r="S53" s="423">
        <v>-81.357441408310294</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37.339422707782298</v>
      </c>
      <c r="E55" s="425">
        <v>543.58592423347204</v>
      </c>
      <c r="F55" s="425">
        <v>46.378690411192402</v>
      </c>
      <c r="G55" s="425">
        <v>370.68958222542199</v>
      </c>
      <c r="H55" s="425">
        <v>1190.9090909090901</v>
      </c>
      <c r="I55" s="425">
        <v>180.08</v>
      </c>
      <c r="J55" s="425">
        <v>182.69909167509101</v>
      </c>
      <c r="K55" s="425">
        <v>24.336304255308299</v>
      </c>
      <c r="L55" s="425">
        <v>-0.83268754501228504</v>
      </c>
      <c r="M55" s="425">
        <v>0</v>
      </c>
      <c r="N55" s="425">
        <v>47.404940243004702</v>
      </c>
      <c r="O55" s="425">
        <v>4.1431468389453903</v>
      </c>
      <c r="P55" s="425">
        <v>-78.290170277584906</v>
      </c>
      <c r="Q55" s="425">
        <v>0</v>
      </c>
      <c r="R55" s="425">
        <v>0</v>
      </c>
      <c r="S55" s="425">
        <v>2548.4433356767099</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21.057260399703999</v>
      </c>
      <c r="H58" s="421">
        <v>1190.9090909090901</v>
      </c>
      <c r="I58" s="421">
        <v>180.08</v>
      </c>
      <c r="J58" s="421">
        <v>26.7962649198797</v>
      </c>
      <c r="K58" s="421">
        <v>7.2535340783692002</v>
      </c>
      <c r="L58" s="421">
        <v>0</v>
      </c>
      <c r="M58" s="421">
        <v>0.42974000815722502</v>
      </c>
      <c r="N58" s="421">
        <v>0</v>
      </c>
      <c r="O58" s="421">
        <v>0</v>
      </c>
      <c r="P58" s="421">
        <v>-597.29785022432395</v>
      </c>
      <c r="Q58" s="421">
        <v>0</v>
      </c>
      <c r="R58" s="421">
        <v>0</v>
      </c>
      <c r="S58" s="429">
        <v>835.29214719007996</v>
      </c>
      <c r="T58" s="412"/>
    </row>
    <row r="59" spans="2:20" ht="13.5">
      <c r="B59" s="412"/>
      <c r="C59" s="428" t="s">
        <v>351</v>
      </c>
      <c r="D59" s="421">
        <v>0</v>
      </c>
      <c r="E59" s="421">
        <v>0</v>
      </c>
      <c r="F59" s="421">
        <v>0</v>
      </c>
      <c r="G59" s="421">
        <v>17.2690006533789</v>
      </c>
      <c r="H59" s="421">
        <v>0</v>
      </c>
      <c r="I59" s="421">
        <v>0</v>
      </c>
      <c r="J59" s="421">
        <v>13.0699665611328</v>
      </c>
      <c r="K59" s="421">
        <v>12.782704302523401</v>
      </c>
      <c r="L59" s="421">
        <v>0</v>
      </c>
      <c r="M59" s="421">
        <v>0.35242858476283501</v>
      </c>
      <c r="N59" s="421">
        <v>0</v>
      </c>
      <c r="O59" s="421">
        <v>2.2569028606256798</v>
      </c>
      <c r="P59" s="421">
        <v>0</v>
      </c>
      <c r="Q59" s="421">
        <v>-41.219343799096599</v>
      </c>
      <c r="R59" s="421">
        <v>0</v>
      </c>
      <c r="S59" s="429">
        <v>4.5116591633269501</v>
      </c>
      <c r="T59" s="412"/>
    </row>
    <row r="60" spans="2:20" ht="13.5">
      <c r="B60" s="412"/>
      <c r="C60" s="428" t="s">
        <v>352</v>
      </c>
      <c r="D60" s="421">
        <v>0</v>
      </c>
      <c r="E60" s="421">
        <v>0</v>
      </c>
      <c r="F60" s="421">
        <v>0</v>
      </c>
      <c r="G60" s="421">
        <v>0</v>
      </c>
      <c r="H60" s="421">
        <v>0</v>
      </c>
      <c r="I60" s="421">
        <v>0</v>
      </c>
      <c r="J60" s="421">
        <v>8.3993143440742202</v>
      </c>
      <c r="K60" s="421">
        <v>0</v>
      </c>
      <c r="L60" s="421">
        <v>0</v>
      </c>
      <c r="M60" s="421">
        <v>-7.3074034793445701</v>
      </c>
      <c r="N60" s="421">
        <v>0</v>
      </c>
      <c r="O60" s="421">
        <v>0</v>
      </c>
      <c r="P60" s="421">
        <v>0</v>
      </c>
      <c r="Q60" s="421">
        <v>0</v>
      </c>
      <c r="R60" s="421">
        <v>0</v>
      </c>
      <c r="S60" s="429">
        <v>1.09191086472965</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563.09724372867004</v>
      </c>
      <c r="F62" s="421">
        <v>-557.46627129138403</v>
      </c>
      <c r="G62" s="421">
        <v>0</v>
      </c>
      <c r="H62" s="421">
        <v>0</v>
      </c>
      <c r="I62" s="421">
        <v>0</v>
      </c>
      <c r="J62" s="421">
        <v>0</v>
      </c>
      <c r="K62" s="421">
        <v>0</v>
      </c>
      <c r="L62" s="421">
        <v>0</v>
      </c>
      <c r="M62" s="421">
        <v>0</v>
      </c>
      <c r="N62" s="421">
        <v>0</v>
      </c>
      <c r="O62" s="421">
        <v>0</v>
      </c>
      <c r="P62" s="421">
        <v>0</v>
      </c>
      <c r="Q62" s="421">
        <v>0</v>
      </c>
      <c r="R62" s="421">
        <v>0</v>
      </c>
      <c r="S62" s="429">
        <v>5.6309724372866903</v>
      </c>
      <c r="T62" s="412"/>
    </row>
    <row r="63" spans="2:20" ht="13.5">
      <c r="B63" s="412"/>
      <c r="C63" s="428" t="s">
        <v>354</v>
      </c>
      <c r="D63" s="421">
        <v>0</v>
      </c>
      <c r="E63" s="421">
        <v>0</v>
      </c>
      <c r="F63" s="421">
        <v>0</v>
      </c>
      <c r="G63" s="421">
        <v>0</v>
      </c>
      <c r="H63" s="421">
        <v>0</v>
      </c>
      <c r="I63" s="421">
        <v>0</v>
      </c>
      <c r="J63" s="421">
        <v>39.4678203667548</v>
      </c>
      <c r="K63" s="421">
        <v>0</v>
      </c>
      <c r="L63" s="421">
        <v>-39.4678203667548</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-0.17560464547893101</v>
      </c>
      <c r="M64" s="421">
        <v>0</v>
      </c>
      <c r="N64" s="421">
        <v>0</v>
      </c>
      <c r="O64" s="421">
        <v>0</v>
      </c>
      <c r="P64" s="421">
        <v>0</v>
      </c>
      <c r="Q64" s="421">
        <v>0</v>
      </c>
      <c r="R64" s="421">
        <v>0.25086377925561598</v>
      </c>
      <c r="S64" s="429">
        <v>7.5259133776684806E-2</v>
      </c>
      <c r="T64" s="412"/>
    </row>
    <row r="65" spans="2:20" ht="13.5">
      <c r="B65" s="412"/>
      <c r="C65" s="428" t="s">
        <v>73</v>
      </c>
      <c r="D65" s="421">
        <v>0</v>
      </c>
      <c r="E65" s="421">
        <v>0</v>
      </c>
      <c r="F65" s="421">
        <v>0</v>
      </c>
      <c r="G65" s="421">
        <v>1.08065426442295</v>
      </c>
      <c r="H65" s="421">
        <v>0</v>
      </c>
      <c r="I65" s="421">
        <v>0</v>
      </c>
      <c r="J65" s="421">
        <v>0</v>
      </c>
      <c r="K65" s="421">
        <v>1.2117675088842201E-2</v>
      </c>
      <c r="L65" s="421">
        <v>0</v>
      </c>
      <c r="M65" s="421">
        <v>2.2054168661692901E-2</v>
      </c>
      <c r="N65" s="421">
        <v>0</v>
      </c>
      <c r="O65" s="421">
        <v>0</v>
      </c>
      <c r="P65" s="421">
        <v>0.104398431534641</v>
      </c>
      <c r="Q65" s="421">
        <v>0</v>
      </c>
      <c r="R65" s="421">
        <v>-0.84823725621895596</v>
      </c>
      <c r="S65" s="429">
        <v>0.37098728348916998</v>
      </c>
      <c r="T65" s="412"/>
    </row>
    <row r="66" spans="2:20" ht="13.5">
      <c r="B66" s="412"/>
      <c r="C66" s="428" t="s">
        <v>356</v>
      </c>
      <c r="D66" s="421">
        <v>16.156125732421899</v>
      </c>
      <c r="E66" s="421">
        <v>-19.5113194951984</v>
      </c>
      <c r="F66" s="421">
        <v>25.519653459670899</v>
      </c>
      <c r="G66" s="421">
        <v>0</v>
      </c>
      <c r="H66" s="421">
        <v>0</v>
      </c>
      <c r="I66" s="421">
        <v>0</v>
      </c>
      <c r="J66" s="421">
        <v>0</v>
      </c>
      <c r="K66" s="421">
        <v>0</v>
      </c>
      <c r="L66" s="421">
        <v>0</v>
      </c>
      <c r="M66" s="421">
        <v>0</v>
      </c>
      <c r="N66" s="421">
        <v>0</v>
      </c>
      <c r="O66" s="421">
        <v>0</v>
      </c>
      <c r="P66" s="421">
        <v>0</v>
      </c>
      <c r="Q66" s="421">
        <v>0</v>
      </c>
      <c r="R66" s="421">
        <v>0</v>
      </c>
      <c r="S66" s="429">
        <v>22.164459696894401</v>
      </c>
      <c r="T66" s="412"/>
    </row>
    <row r="67" spans="2:20" ht="13.5">
      <c r="B67" s="412"/>
      <c r="C67" s="428" t="s">
        <v>75</v>
      </c>
      <c r="D67" s="421">
        <v>10.1643505859375</v>
      </c>
      <c r="E67" s="421">
        <v>0</v>
      </c>
      <c r="F67" s="421">
        <v>19.145306286774801</v>
      </c>
      <c r="G67" s="421">
        <v>5.4631694586555604</v>
      </c>
      <c r="H67" s="421">
        <v>0</v>
      </c>
      <c r="I67" s="421">
        <v>0</v>
      </c>
      <c r="J67" s="421">
        <v>0</v>
      </c>
      <c r="K67" s="421">
        <v>0</v>
      </c>
      <c r="L67" s="421">
        <v>0</v>
      </c>
      <c r="M67" s="421">
        <v>0.111493254258277</v>
      </c>
      <c r="N67" s="421">
        <v>0</v>
      </c>
      <c r="O67" s="421">
        <v>0</v>
      </c>
      <c r="P67" s="421">
        <v>36.292710693034401</v>
      </c>
      <c r="Q67" s="421">
        <v>0</v>
      </c>
      <c r="R67" s="421">
        <v>0</v>
      </c>
      <c r="S67" s="429">
        <v>71.177030278660496</v>
      </c>
      <c r="T67" s="412"/>
    </row>
    <row r="68" spans="2:20" ht="13.5">
      <c r="B68" s="412"/>
      <c r="C68" s="428" t="s">
        <v>76</v>
      </c>
      <c r="D68" s="421">
        <v>0</v>
      </c>
      <c r="E68" s="421">
        <v>0</v>
      </c>
      <c r="F68" s="421">
        <v>0</v>
      </c>
      <c r="G68" s="421">
        <v>4.2458036026231296</v>
      </c>
      <c r="H68" s="421">
        <v>0</v>
      </c>
      <c r="I68" s="421">
        <v>0</v>
      </c>
      <c r="J68" s="421">
        <v>0</v>
      </c>
      <c r="K68" s="421">
        <v>0</v>
      </c>
      <c r="L68" s="421">
        <v>0</v>
      </c>
      <c r="M68" s="421">
        <v>8.6649053114757804E-2</v>
      </c>
      <c r="N68" s="421">
        <v>0</v>
      </c>
      <c r="O68" s="421">
        <v>0</v>
      </c>
      <c r="P68" s="421">
        <v>39.776211851873803</v>
      </c>
      <c r="Q68" s="421">
        <v>3.1941188921809198</v>
      </c>
      <c r="R68" s="421">
        <v>0</v>
      </c>
      <c r="S68" s="429">
        <v>47.302783399792602</v>
      </c>
      <c r="T68" s="412"/>
    </row>
    <row r="69" spans="2:20" ht="13.5">
      <c r="B69" s="412"/>
      <c r="C69" s="424" t="s">
        <v>77</v>
      </c>
      <c r="D69" s="425">
        <v>28.520947053925902</v>
      </c>
      <c r="E69" s="425">
        <v>543.58592423347204</v>
      </c>
      <c r="F69" s="425">
        <v>-508.93767518130198</v>
      </c>
      <c r="G69" s="425">
        <v>49.115888378784597</v>
      </c>
      <c r="H69" s="425">
        <v>1190.9090909090901</v>
      </c>
      <c r="I69" s="425">
        <v>180.08</v>
      </c>
      <c r="J69" s="425">
        <v>87.733366191841498</v>
      </c>
      <c r="K69" s="425">
        <v>20.0483560559815</v>
      </c>
      <c r="L69" s="425">
        <v>-39.643425012233699</v>
      </c>
      <c r="M69" s="425">
        <v>-6.3050384103897796</v>
      </c>
      <c r="N69" s="425">
        <v>0</v>
      </c>
      <c r="O69" s="425">
        <v>2.2569028606256798</v>
      </c>
      <c r="P69" s="425">
        <v>-521.12452924788101</v>
      </c>
      <c r="Q69" s="425">
        <v>-38.025224906915703</v>
      </c>
      <c r="R69" s="425">
        <v>-0.59737347696334098</v>
      </c>
      <c r="S69" s="425">
        <v>987.61720944803699</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6.4636113960439099</v>
      </c>
      <c r="E71" s="421">
        <v>0</v>
      </c>
      <c r="F71" s="421">
        <v>24.862596272257498</v>
      </c>
      <c r="G71" s="421">
        <v>103.286678516522</v>
      </c>
      <c r="H71" s="421">
        <v>0</v>
      </c>
      <c r="I71" s="421">
        <v>0</v>
      </c>
      <c r="J71" s="421">
        <v>17.262400786113901</v>
      </c>
      <c r="K71" s="421">
        <v>4.2879481993268298</v>
      </c>
      <c r="L71" s="421">
        <v>0.86540506640625003</v>
      </c>
      <c r="M71" s="421">
        <v>2.1078913982963701</v>
      </c>
      <c r="N71" s="421">
        <v>0</v>
      </c>
      <c r="O71" s="421">
        <v>0</v>
      </c>
      <c r="P71" s="421">
        <v>104.034829447817</v>
      </c>
      <c r="Q71" s="421">
        <v>17.743069184880099</v>
      </c>
      <c r="R71" s="421">
        <v>0.24659825134277299</v>
      </c>
      <c r="S71" s="429">
        <v>281.161028519007</v>
      </c>
      <c r="T71" s="412"/>
    </row>
    <row r="72" spans="2:20" ht="13.5">
      <c r="B72" s="412"/>
      <c r="C72" s="428" t="s">
        <v>79</v>
      </c>
      <c r="D72" s="421">
        <v>0</v>
      </c>
      <c r="E72" s="421">
        <v>0</v>
      </c>
      <c r="F72" s="421">
        <v>321.54604576234499</v>
      </c>
      <c r="G72" s="421">
        <v>14.6585371734768</v>
      </c>
      <c r="H72" s="421">
        <v>0</v>
      </c>
      <c r="I72" s="421">
        <v>0</v>
      </c>
      <c r="J72" s="421">
        <v>0</v>
      </c>
      <c r="K72" s="421">
        <v>0</v>
      </c>
      <c r="L72" s="421">
        <v>32.583257192898799</v>
      </c>
      <c r="M72" s="421">
        <v>0.29915381986687301</v>
      </c>
      <c r="N72" s="421">
        <v>0</v>
      </c>
      <c r="O72" s="421">
        <v>0</v>
      </c>
      <c r="P72" s="421">
        <v>28.950215384778598</v>
      </c>
      <c r="Q72" s="421">
        <v>0</v>
      </c>
      <c r="R72" s="421">
        <v>0.35077522562056701</v>
      </c>
      <c r="S72" s="429">
        <v>398.38798455898598</v>
      </c>
      <c r="T72" s="412"/>
    </row>
    <row r="73" spans="2:20" ht="13.5">
      <c r="B73" s="412"/>
      <c r="C73" s="428" t="s">
        <v>80</v>
      </c>
      <c r="D73" s="421">
        <v>0</v>
      </c>
      <c r="E73" s="421">
        <v>0</v>
      </c>
      <c r="F73" s="421">
        <v>31.599343880465799</v>
      </c>
      <c r="G73" s="421">
        <v>123.533868616082</v>
      </c>
      <c r="H73" s="421">
        <v>0</v>
      </c>
      <c r="I73" s="421">
        <v>0</v>
      </c>
      <c r="J73" s="421">
        <v>73.364360274729606</v>
      </c>
      <c r="K73" s="421">
        <v>0</v>
      </c>
      <c r="L73" s="421">
        <v>0</v>
      </c>
      <c r="M73" s="421">
        <v>2.5210993595118798</v>
      </c>
      <c r="N73" s="421">
        <v>40.465242847391998</v>
      </c>
      <c r="O73" s="421">
        <v>0.96354458163837398</v>
      </c>
      <c r="P73" s="421">
        <v>172.02951616182</v>
      </c>
      <c r="Q73" s="421">
        <v>15.8854874881395</v>
      </c>
      <c r="R73" s="421">
        <v>0</v>
      </c>
      <c r="S73" s="429">
        <v>460.36246320978</v>
      </c>
      <c r="T73" s="412"/>
    </row>
    <row r="74" spans="2:20" ht="13.5">
      <c r="B74" s="412"/>
      <c r="C74" s="428" t="s">
        <v>81</v>
      </c>
      <c r="D74" s="421">
        <v>0</v>
      </c>
      <c r="E74" s="421">
        <v>0</v>
      </c>
      <c r="F74" s="421">
        <v>12.841746374836999</v>
      </c>
      <c r="G74" s="421">
        <v>63.9169870655954</v>
      </c>
      <c r="H74" s="421">
        <v>0</v>
      </c>
      <c r="I74" s="421">
        <v>0</v>
      </c>
      <c r="J74" s="421">
        <v>3.6156884784133001</v>
      </c>
      <c r="K74" s="421">
        <v>0</v>
      </c>
      <c r="L74" s="421">
        <v>0</v>
      </c>
      <c r="M74" s="421">
        <v>1.30442830746113</v>
      </c>
      <c r="N74" s="421">
        <v>6.9396973956126802</v>
      </c>
      <c r="O74" s="421">
        <v>0.83843410837959897</v>
      </c>
      <c r="P74" s="421">
        <v>129.63895161426501</v>
      </c>
      <c r="Q74" s="421">
        <v>4.3966682338961798</v>
      </c>
      <c r="R74" s="421">
        <v>0</v>
      </c>
      <c r="S74" s="429">
        <v>223.49260157846101</v>
      </c>
      <c r="T74" s="412"/>
    </row>
    <row r="75" spans="2:20" ht="13.5">
      <c r="B75" s="412"/>
      <c r="C75" s="428" t="s">
        <v>82</v>
      </c>
      <c r="D75" s="421">
        <v>0</v>
      </c>
      <c r="E75" s="421">
        <v>0</v>
      </c>
      <c r="F75" s="421">
        <v>26.373605719731</v>
      </c>
      <c r="G75" s="421">
        <v>3.55081073742303</v>
      </c>
      <c r="H75" s="421">
        <v>0</v>
      </c>
      <c r="I75" s="421">
        <v>0</v>
      </c>
      <c r="J75" s="421">
        <v>0.72327594399272899</v>
      </c>
      <c r="K75" s="421">
        <v>0</v>
      </c>
      <c r="L75" s="421">
        <v>5.3620752079163996</v>
      </c>
      <c r="M75" s="421">
        <v>7.2465525253531296E-2</v>
      </c>
      <c r="N75" s="421">
        <v>0</v>
      </c>
      <c r="O75" s="421">
        <v>8.4265288301735505E-2</v>
      </c>
      <c r="P75" s="421">
        <v>8.1808463616144707</v>
      </c>
      <c r="Q75" s="421">
        <v>0</v>
      </c>
      <c r="R75" s="421">
        <v>0</v>
      </c>
      <c r="S75" s="429">
        <v>44.347344784232902</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6.4636113960439099</v>
      </c>
      <c r="E77" s="425">
        <v>0</v>
      </c>
      <c r="F77" s="425">
        <v>417.223338009636</v>
      </c>
      <c r="G77" s="425">
        <v>308.94688210909902</v>
      </c>
      <c r="H77" s="425">
        <v>0</v>
      </c>
      <c r="I77" s="425">
        <v>0</v>
      </c>
      <c r="J77" s="425">
        <v>94.9657254832495</v>
      </c>
      <c r="K77" s="425">
        <v>4.2879481993268298</v>
      </c>
      <c r="L77" s="425">
        <v>38.810737467221401</v>
      </c>
      <c r="M77" s="425">
        <v>6.3050384103897796</v>
      </c>
      <c r="N77" s="425">
        <v>47.404940243004702</v>
      </c>
      <c r="O77" s="425">
        <v>1.88624397831971</v>
      </c>
      <c r="P77" s="425">
        <v>442.83435897029602</v>
      </c>
      <c r="Q77" s="425">
        <v>38.025224906915703</v>
      </c>
      <c r="R77" s="425">
        <v>0.59737347696334098</v>
      </c>
      <c r="S77" s="425">
        <v>1407.75142265047</v>
      </c>
      <c r="T77" s="412"/>
    </row>
    <row r="78" spans="2:20" ht="13.5">
      <c r="B78" s="412"/>
      <c r="C78" s="420" t="s">
        <v>84</v>
      </c>
      <c r="D78" s="421">
        <v>2.3548642578124999</v>
      </c>
      <c r="E78" s="421">
        <v>0</v>
      </c>
      <c r="F78" s="421">
        <v>138.09302758285801</v>
      </c>
      <c r="G78" s="421">
        <v>12.626811737538199</v>
      </c>
      <c r="H78" s="421">
        <v>0</v>
      </c>
      <c r="I78" s="421">
        <v>0</v>
      </c>
      <c r="J78" s="421">
        <v>0</v>
      </c>
      <c r="K78" s="421">
        <v>0</v>
      </c>
      <c r="L78" s="421">
        <v>0</v>
      </c>
      <c r="M78" s="421">
        <v>0</v>
      </c>
      <c r="N78" s="421">
        <v>0</v>
      </c>
      <c r="O78" s="421">
        <v>0</v>
      </c>
      <c r="P78" s="421">
        <v>0</v>
      </c>
      <c r="Q78" s="421">
        <v>0</v>
      </c>
      <c r="R78" s="421">
        <v>0</v>
      </c>
      <c r="S78" s="429">
        <v>153.07470357820799</v>
      </c>
      <c r="T78" s="412"/>
    </row>
    <row r="79" spans="2:20" ht="13.5">
      <c r="B79" s="412"/>
      <c r="C79" s="424" t="s">
        <v>85</v>
      </c>
      <c r="D79" s="425">
        <v>8.8184756538564102</v>
      </c>
      <c r="E79" s="425">
        <v>0</v>
      </c>
      <c r="F79" s="425">
        <v>555.31636559249398</v>
      </c>
      <c r="G79" s="425">
        <v>321.57369384663798</v>
      </c>
      <c r="H79" s="425">
        <v>0</v>
      </c>
      <c r="I79" s="425">
        <v>0</v>
      </c>
      <c r="J79" s="425">
        <v>94.9657254832495</v>
      </c>
      <c r="K79" s="425">
        <v>4.2879481993268298</v>
      </c>
      <c r="L79" s="425">
        <v>38.810737467221401</v>
      </c>
      <c r="M79" s="425">
        <v>6.3050384103897796</v>
      </c>
      <c r="N79" s="425">
        <v>47.404940243004702</v>
      </c>
      <c r="O79" s="425">
        <v>1.88624397831971</v>
      </c>
      <c r="P79" s="425">
        <v>442.83435897029602</v>
      </c>
      <c r="Q79" s="425">
        <v>38.025224906915703</v>
      </c>
      <c r="R79" s="425">
        <v>0.59737347696334098</v>
      </c>
      <c r="S79" s="425">
        <v>1560.8261262286801</v>
      </c>
      <c r="T79" s="412"/>
    </row>
    <row r="80" spans="2:20">
      <c r="B80" s="412"/>
      <c r="C80" s="412"/>
      <c r="D80" s="430">
        <f t="shared" ref="D80:S80" si="1">D79+D69-D55</f>
        <v>0</v>
      </c>
      <c r="E80" s="430">
        <f t="shared" si="1"/>
        <v>0</v>
      </c>
      <c r="F80" s="430">
        <f t="shared" si="1"/>
        <v>-4.0500935938325711E-13</v>
      </c>
      <c r="G80" s="430">
        <f t="shared" si="1"/>
        <v>5.6843418860808015E-13</v>
      </c>
      <c r="H80" s="430">
        <f t="shared" si="1"/>
        <v>0</v>
      </c>
      <c r="I80" s="430">
        <f t="shared" si="1"/>
        <v>0</v>
      </c>
      <c r="J80" s="430">
        <f t="shared" si="1"/>
        <v>0</v>
      </c>
      <c r="K80" s="430">
        <f t="shared" si="1"/>
        <v>3.1974423109204508E-14</v>
      </c>
      <c r="L80" s="430">
        <f t="shared" si="1"/>
        <v>-1.3322676295501878E-14</v>
      </c>
      <c r="M80" s="430">
        <f t="shared" si="1"/>
        <v>0</v>
      </c>
      <c r="N80" s="430">
        <f t="shared" si="1"/>
        <v>0</v>
      </c>
      <c r="O80" s="430">
        <f t="shared" si="1"/>
        <v>0</v>
      </c>
      <c r="P80" s="430">
        <f t="shared" si="1"/>
        <v>0</v>
      </c>
      <c r="Q80" s="430">
        <f t="shared" si="1"/>
        <v>0</v>
      </c>
      <c r="R80" s="430">
        <f t="shared" si="1"/>
        <v>0</v>
      </c>
      <c r="S80" s="430">
        <f t="shared" si="1"/>
        <v>7.2759576141834259E-12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360</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7.3966799999999999</v>
      </c>
      <c r="F86" s="421">
        <v>0</v>
      </c>
      <c r="G86" s="421">
        <v>0.13025600000000001</v>
      </c>
      <c r="H86" s="422">
        <v>1121.3636363636399</v>
      </c>
      <c r="I86" s="422">
        <v>204.83</v>
      </c>
      <c r="J86" s="422">
        <v>181.32702192976799</v>
      </c>
      <c r="K86" s="422">
        <v>23.929538630329802</v>
      </c>
      <c r="L86" s="421">
        <v>0</v>
      </c>
      <c r="M86" s="421">
        <v>0</v>
      </c>
      <c r="N86" s="422">
        <v>51.218112395264598</v>
      </c>
      <c r="O86" s="422">
        <v>4.1137123082446401</v>
      </c>
      <c r="P86" s="421">
        <v>0</v>
      </c>
      <c r="Q86" s="421">
        <v>0</v>
      </c>
      <c r="R86" s="421">
        <v>0</v>
      </c>
      <c r="S86" s="423">
        <v>1594.30895762724</v>
      </c>
      <c r="T86" s="412"/>
    </row>
    <row r="87" spans="2:20" ht="13.5">
      <c r="B87" s="412"/>
      <c r="C87" s="420" t="s">
        <v>60</v>
      </c>
      <c r="D87" s="421">
        <v>35.895169375746498</v>
      </c>
      <c r="E87" s="421">
        <v>524.37115290345105</v>
      </c>
      <c r="F87" s="421">
        <v>114.332913340551</v>
      </c>
      <c r="G87" s="421">
        <v>371.94967802814801</v>
      </c>
      <c r="H87" s="421">
        <v>0</v>
      </c>
      <c r="I87" s="421">
        <v>0</v>
      </c>
      <c r="J87" s="421">
        <v>0</v>
      </c>
      <c r="K87" s="421">
        <v>0</v>
      </c>
      <c r="L87" s="421">
        <v>0</v>
      </c>
      <c r="M87" s="421">
        <v>0</v>
      </c>
      <c r="N87" s="421">
        <v>0</v>
      </c>
      <c r="O87" s="421">
        <v>0</v>
      </c>
      <c r="P87" s="421">
        <v>0</v>
      </c>
      <c r="Q87" s="421">
        <v>0</v>
      </c>
      <c r="R87" s="421">
        <v>0</v>
      </c>
      <c r="S87" s="423">
        <v>1046.5489136479</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-63.764232482267403</v>
      </c>
      <c r="Q88" s="421">
        <v>0</v>
      </c>
      <c r="R88" s="421">
        <v>0</v>
      </c>
      <c r="S88" s="423">
        <v>-63.764232482267403</v>
      </c>
      <c r="T88" s="412"/>
    </row>
    <row r="89" spans="2:20" ht="13.5">
      <c r="B89" s="412"/>
      <c r="C89" s="420" t="s">
        <v>62</v>
      </c>
      <c r="D89" s="421">
        <v>0</v>
      </c>
      <c r="E89" s="421">
        <v>0</v>
      </c>
      <c r="F89" s="421">
        <v>-16.3524327500959</v>
      </c>
      <c r="G89" s="421">
        <v>0</v>
      </c>
      <c r="H89" s="421">
        <v>0</v>
      </c>
      <c r="I89" s="421">
        <v>0</v>
      </c>
      <c r="J89" s="421">
        <v>0</v>
      </c>
      <c r="K89" s="421">
        <v>0</v>
      </c>
      <c r="L89" s="421">
        <v>0</v>
      </c>
      <c r="M89" s="421">
        <v>0</v>
      </c>
      <c r="N89" s="421">
        <v>0</v>
      </c>
      <c r="O89" s="421">
        <v>0</v>
      </c>
      <c r="P89" s="421">
        <v>0</v>
      </c>
      <c r="Q89" s="421">
        <v>0</v>
      </c>
      <c r="R89" s="421">
        <v>0</v>
      </c>
      <c r="S89" s="423">
        <v>-16.3524327500959</v>
      </c>
      <c r="T89" s="412"/>
    </row>
    <row r="90" spans="2:20" ht="13.5">
      <c r="B90" s="412"/>
      <c r="C90" s="420" t="s">
        <v>63</v>
      </c>
      <c r="D90" s="421">
        <v>0</v>
      </c>
      <c r="E90" s="421">
        <v>0</v>
      </c>
      <c r="F90" s="421">
        <v>-82.072762113811194</v>
      </c>
      <c r="G90" s="421">
        <v>0</v>
      </c>
      <c r="H90" s="421">
        <v>0</v>
      </c>
      <c r="I90" s="421">
        <v>0</v>
      </c>
      <c r="J90" s="421">
        <v>0</v>
      </c>
      <c r="K90" s="421">
        <v>0</v>
      </c>
      <c r="L90" s="421">
        <v>-0.84850040331290999</v>
      </c>
      <c r="M90" s="421">
        <v>0</v>
      </c>
      <c r="N90" s="421">
        <v>0</v>
      </c>
      <c r="O90" s="421">
        <v>0</v>
      </c>
      <c r="P90" s="421">
        <v>0</v>
      </c>
      <c r="Q90" s="421">
        <v>0</v>
      </c>
      <c r="R90" s="421">
        <v>0</v>
      </c>
      <c r="S90" s="423">
        <v>-82.921262517124106</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35.895169375746498</v>
      </c>
      <c r="E92" s="425">
        <v>531.76783290345099</v>
      </c>
      <c r="F92" s="425">
        <v>15.907718476643501</v>
      </c>
      <c r="G92" s="425">
        <v>372.07993402814799</v>
      </c>
      <c r="H92" s="425">
        <v>1121.3636363636399</v>
      </c>
      <c r="I92" s="425">
        <v>204.83</v>
      </c>
      <c r="J92" s="425">
        <v>181.32702192976799</v>
      </c>
      <c r="K92" s="425">
        <v>23.929538630329802</v>
      </c>
      <c r="L92" s="425">
        <v>-0.84850040331290999</v>
      </c>
      <c r="M92" s="425">
        <v>0</v>
      </c>
      <c r="N92" s="425">
        <v>51.218112395264598</v>
      </c>
      <c r="O92" s="425">
        <v>4.1137123082446401</v>
      </c>
      <c r="P92" s="425">
        <v>-63.764232482267403</v>
      </c>
      <c r="Q92" s="425">
        <v>0</v>
      </c>
      <c r="R92" s="425">
        <v>0</v>
      </c>
      <c r="S92" s="425">
        <v>2477.8199435256502</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19.3842302630087</v>
      </c>
      <c r="H95" s="421">
        <v>1121.3636363636399</v>
      </c>
      <c r="I95" s="421">
        <v>204.83</v>
      </c>
      <c r="J95" s="421">
        <v>25.6968541009532</v>
      </c>
      <c r="K95" s="421">
        <v>6.9082981230435703</v>
      </c>
      <c r="L95" s="421">
        <v>0</v>
      </c>
      <c r="M95" s="421">
        <v>0.39559653597976902</v>
      </c>
      <c r="N95" s="421">
        <v>0</v>
      </c>
      <c r="O95" s="421">
        <v>0</v>
      </c>
      <c r="P95" s="421">
        <v>-598.30725344043606</v>
      </c>
      <c r="Q95" s="421">
        <v>0</v>
      </c>
      <c r="R95" s="421">
        <v>0</v>
      </c>
      <c r="S95" s="429">
        <v>786.335469045389</v>
      </c>
      <c r="T95" s="412"/>
    </row>
    <row r="96" spans="2:20" ht="13.5">
      <c r="B96" s="412"/>
      <c r="C96" s="428" t="s">
        <v>351</v>
      </c>
      <c r="D96" s="421">
        <v>0</v>
      </c>
      <c r="E96" s="421">
        <v>0</v>
      </c>
      <c r="F96" s="421">
        <v>0</v>
      </c>
      <c r="G96" s="421">
        <v>17.221606845423</v>
      </c>
      <c r="H96" s="421">
        <v>0</v>
      </c>
      <c r="I96" s="421">
        <v>0</v>
      </c>
      <c r="J96" s="421">
        <v>12.908782164778099</v>
      </c>
      <c r="K96" s="421">
        <v>12.746985757209</v>
      </c>
      <c r="L96" s="421">
        <v>0</v>
      </c>
      <c r="M96" s="421">
        <v>0.351461364192306</v>
      </c>
      <c r="N96" s="421">
        <v>0</v>
      </c>
      <c r="O96" s="421">
        <v>2.2502067182143302</v>
      </c>
      <c r="P96" s="421">
        <v>0</v>
      </c>
      <c r="Q96" s="421">
        <v>-41.107741425574098</v>
      </c>
      <c r="R96" s="421">
        <v>0</v>
      </c>
      <c r="S96" s="429">
        <v>4.3713014242427501</v>
      </c>
      <c r="T96" s="412"/>
    </row>
    <row r="97" spans="2:20" ht="13.5">
      <c r="B97" s="412"/>
      <c r="C97" s="428" t="s">
        <v>352</v>
      </c>
      <c r="D97" s="421">
        <v>0</v>
      </c>
      <c r="E97" s="421">
        <v>0</v>
      </c>
      <c r="F97" s="421">
        <v>0</v>
      </c>
      <c r="G97" s="421">
        <v>0</v>
      </c>
      <c r="H97" s="421">
        <v>0</v>
      </c>
      <c r="I97" s="421">
        <v>0</v>
      </c>
      <c r="J97" s="421">
        <v>8.3133555663813503</v>
      </c>
      <c r="K97" s="421">
        <v>0</v>
      </c>
      <c r="L97" s="421">
        <v>0</v>
      </c>
      <c r="M97" s="421">
        <v>-7.3386146262231398</v>
      </c>
      <c r="N97" s="421">
        <v>0</v>
      </c>
      <c r="O97" s="421">
        <v>0</v>
      </c>
      <c r="P97" s="421">
        <v>0</v>
      </c>
      <c r="Q97" s="421">
        <v>0</v>
      </c>
      <c r="R97" s="421">
        <v>0</v>
      </c>
      <c r="S97" s="429">
        <v>0.974740940158213</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550.85495716936998</v>
      </c>
      <c r="F99" s="421">
        <v>-545.34640759767603</v>
      </c>
      <c r="G99" s="421">
        <v>0</v>
      </c>
      <c r="H99" s="421">
        <v>0</v>
      </c>
      <c r="I99" s="421">
        <v>0</v>
      </c>
      <c r="J99" s="421">
        <v>0</v>
      </c>
      <c r="K99" s="421">
        <v>0</v>
      </c>
      <c r="L99" s="421">
        <v>0</v>
      </c>
      <c r="M99" s="421">
        <v>0</v>
      </c>
      <c r="N99" s="421">
        <v>0</v>
      </c>
      <c r="O99" s="421">
        <v>0</v>
      </c>
      <c r="P99" s="421">
        <v>0</v>
      </c>
      <c r="Q99" s="421">
        <v>0</v>
      </c>
      <c r="R99" s="421">
        <v>0</v>
      </c>
      <c r="S99" s="429">
        <v>5.5085495716937203</v>
      </c>
      <c r="T99" s="412"/>
    </row>
    <row r="100" spans="2:20" ht="13.5">
      <c r="B100" s="412"/>
      <c r="C100" s="428" t="s">
        <v>354</v>
      </c>
      <c r="D100" s="421">
        <v>0</v>
      </c>
      <c r="E100" s="421">
        <v>0</v>
      </c>
      <c r="F100" s="421">
        <v>0</v>
      </c>
      <c r="G100" s="421">
        <v>0</v>
      </c>
      <c r="H100" s="421">
        <v>0</v>
      </c>
      <c r="I100" s="421">
        <v>0</v>
      </c>
      <c r="J100" s="421">
        <v>39.093854884301599</v>
      </c>
      <c r="K100" s="421">
        <v>0</v>
      </c>
      <c r="L100" s="421">
        <v>-39.093854884301599</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-0.17691580225894701</v>
      </c>
      <c r="M101" s="421">
        <v>0</v>
      </c>
      <c r="N101" s="421">
        <v>0</v>
      </c>
      <c r="O101" s="421">
        <v>0</v>
      </c>
      <c r="P101" s="421">
        <v>0</v>
      </c>
      <c r="Q101" s="421">
        <v>0</v>
      </c>
      <c r="R101" s="421">
        <v>0.25273686036992499</v>
      </c>
      <c r="S101" s="429">
        <v>7.5821058110977502E-2</v>
      </c>
      <c r="T101" s="412"/>
    </row>
    <row r="102" spans="2:20" ht="13.5">
      <c r="B102" s="412"/>
      <c r="C102" s="428" t="s">
        <v>73</v>
      </c>
      <c r="D102" s="421">
        <v>0</v>
      </c>
      <c r="E102" s="421">
        <v>0</v>
      </c>
      <c r="F102" s="421">
        <v>0</v>
      </c>
      <c r="G102" s="421">
        <v>1.8824761736884601</v>
      </c>
      <c r="H102" s="421">
        <v>0</v>
      </c>
      <c r="I102" s="421">
        <v>0</v>
      </c>
      <c r="J102" s="421">
        <v>0</v>
      </c>
      <c r="K102" s="421">
        <v>2.1248828039647599E-2</v>
      </c>
      <c r="L102" s="421">
        <v>0</v>
      </c>
      <c r="M102" s="421">
        <v>3.8417881095682803E-2</v>
      </c>
      <c r="N102" s="421">
        <v>0</v>
      </c>
      <c r="O102" s="421">
        <v>0</v>
      </c>
      <c r="P102" s="421">
        <v>0.19366834943024799</v>
      </c>
      <c r="Q102" s="421">
        <v>0</v>
      </c>
      <c r="R102" s="421">
        <v>-1.4874179627753299</v>
      </c>
      <c r="S102" s="429">
        <v>0.64839326947870701</v>
      </c>
      <c r="T102" s="412"/>
    </row>
    <row r="103" spans="2:20" ht="13.5">
      <c r="B103" s="412"/>
      <c r="C103" s="428" t="s">
        <v>356</v>
      </c>
      <c r="D103" s="421">
        <v>15.374535156249999</v>
      </c>
      <c r="E103" s="421">
        <v>-19.0871242659187</v>
      </c>
      <c r="F103" s="421">
        <v>24.964831154950399</v>
      </c>
      <c r="G103" s="421">
        <v>0</v>
      </c>
      <c r="H103" s="421">
        <v>0</v>
      </c>
      <c r="I103" s="421">
        <v>0</v>
      </c>
      <c r="J103" s="421">
        <v>0</v>
      </c>
      <c r="K103" s="421">
        <v>0</v>
      </c>
      <c r="L103" s="421">
        <v>0</v>
      </c>
      <c r="M103" s="421">
        <v>0</v>
      </c>
      <c r="N103" s="421">
        <v>0</v>
      </c>
      <c r="O103" s="421">
        <v>0</v>
      </c>
      <c r="P103" s="421">
        <v>0</v>
      </c>
      <c r="Q103" s="421">
        <v>0</v>
      </c>
      <c r="R103" s="421">
        <v>0</v>
      </c>
      <c r="S103" s="429">
        <v>21.252242045281701</v>
      </c>
      <c r="T103" s="412"/>
    </row>
    <row r="104" spans="2:20" ht="13.5">
      <c r="B104" s="412"/>
      <c r="C104" s="428" t="s">
        <v>75</v>
      </c>
      <c r="D104" s="421">
        <v>10.0084814453125</v>
      </c>
      <c r="E104" s="421">
        <v>0</v>
      </c>
      <c r="F104" s="421">
        <v>18.729068543758601</v>
      </c>
      <c r="G104" s="421">
        <v>5.3443947944572301</v>
      </c>
      <c r="H104" s="421">
        <v>0</v>
      </c>
      <c r="I104" s="421">
        <v>0</v>
      </c>
      <c r="J104" s="421">
        <v>0</v>
      </c>
      <c r="K104" s="421">
        <v>0</v>
      </c>
      <c r="L104" s="421">
        <v>0</v>
      </c>
      <c r="M104" s="421">
        <v>0.109069281519535</v>
      </c>
      <c r="N104" s="421">
        <v>0</v>
      </c>
      <c r="O104" s="421">
        <v>0</v>
      </c>
      <c r="P104" s="421">
        <v>34.584089944749103</v>
      </c>
      <c r="Q104" s="421">
        <v>0</v>
      </c>
      <c r="R104" s="421">
        <v>0</v>
      </c>
      <c r="S104" s="429">
        <v>68.775104009796905</v>
      </c>
      <c r="T104" s="412"/>
    </row>
    <row r="105" spans="2:20" ht="13.5">
      <c r="B105" s="412"/>
      <c r="C105" s="428" t="s">
        <v>76</v>
      </c>
      <c r="D105" s="421">
        <v>0</v>
      </c>
      <c r="E105" s="421">
        <v>0</v>
      </c>
      <c r="F105" s="421">
        <v>0</v>
      </c>
      <c r="G105" s="421">
        <v>4.2639381425091001</v>
      </c>
      <c r="H105" s="421">
        <v>0</v>
      </c>
      <c r="I105" s="421">
        <v>0</v>
      </c>
      <c r="J105" s="421">
        <v>0</v>
      </c>
      <c r="K105" s="421">
        <v>0</v>
      </c>
      <c r="L105" s="421">
        <v>0</v>
      </c>
      <c r="M105" s="421">
        <v>8.7019145765491801E-2</v>
      </c>
      <c r="N105" s="421">
        <v>0</v>
      </c>
      <c r="O105" s="421">
        <v>0</v>
      </c>
      <c r="P105" s="421">
        <v>40.966824320893799</v>
      </c>
      <c r="Q105" s="421">
        <v>3.1854707377751099</v>
      </c>
      <c r="R105" s="421">
        <v>0</v>
      </c>
      <c r="S105" s="429">
        <v>48.503252346943498</v>
      </c>
      <c r="T105" s="412"/>
    </row>
    <row r="106" spans="2:20" ht="13.5">
      <c r="B106" s="412"/>
      <c r="C106" s="424" t="s">
        <v>77</v>
      </c>
      <c r="D106" s="425">
        <v>27.5834873371291</v>
      </c>
      <c r="E106" s="425">
        <v>531.76783290345099</v>
      </c>
      <c r="F106" s="425">
        <v>-497.788871535331</v>
      </c>
      <c r="G106" s="425">
        <v>48.096646219086502</v>
      </c>
      <c r="H106" s="425">
        <v>1121.3636363636399</v>
      </c>
      <c r="I106" s="425">
        <v>204.83</v>
      </c>
      <c r="J106" s="425">
        <v>86.012846716414401</v>
      </c>
      <c r="K106" s="425">
        <v>19.676532708292299</v>
      </c>
      <c r="L106" s="425">
        <v>-39.270770686560603</v>
      </c>
      <c r="M106" s="425">
        <v>-6.3570504176703597</v>
      </c>
      <c r="N106" s="425">
        <v>0</v>
      </c>
      <c r="O106" s="425">
        <v>2.2502067182143302</v>
      </c>
      <c r="P106" s="425">
        <v>-522.56267082536306</v>
      </c>
      <c r="Q106" s="425">
        <v>-37.9222706877989</v>
      </c>
      <c r="R106" s="425">
        <v>-1.2346811024054101</v>
      </c>
      <c r="S106" s="425">
        <v>936.44487371109506</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6.0139144604924599</v>
      </c>
      <c r="E108" s="421">
        <v>0</v>
      </c>
      <c r="F108" s="421">
        <v>23.633642469065599</v>
      </c>
      <c r="G108" s="421">
        <v>102.391084630545</v>
      </c>
      <c r="H108" s="421">
        <v>0</v>
      </c>
      <c r="I108" s="421">
        <v>0</v>
      </c>
      <c r="J108" s="421">
        <v>17.159172144595999</v>
      </c>
      <c r="K108" s="421">
        <v>4.25300592203756</v>
      </c>
      <c r="L108" s="421">
        <v>0.85978953515625001</v>
      </c>
      <c r="M108" s="421">
        <v>2.08961397205193</v>
      </c>
      <c r="N108" s="421">
        <v>0</v>
      </c>
      <c r="O108" s="421">
        <v>0</v>
      </c>
      <c r="P108" s="421">
        <v>105.422390190743</v>
      </c>
      <c r="Q108" s="421">
        <v>17.9038299201341</v>
      </c>
      <c r="R108" s="421">
        <v>0.246216918945312</v>
      </c>
      <c r="S108" s="429">
        <v>279.97266016376699</v>
      </c>
      <c r="T108" s="412"/>
    </row>
    <row r="109" spans="2:20" ht="13.5">
      <c r="B109" s="412"/>
      <c r="C109" s="428" t="s">
        <v>79</v>
      </c>
      <c r="D109" s="421">
        <v>0</v>
      </c>
      <c r="E109" s="421">
        <v>0</v>
      </c>
      <c r="F109" s="421">
        <v>291.75543836647398</v>
      </c>
      <c r="G109" s="421">
        <v>20.535297042062101</v>
      </c>
      <c r="H109" s="421">
        <v>0</v>
      </c>
      <c r="I109" s="421">
        <v>0</v>
      </c>
      <c r="J109" s="421">
        <v>0</v>
      </c>
      <c r="K109" s="421">
        <v>0</v>
      </c>
      <c r="L109" s="421">
        <v>29.571406958369401</v>
      </c>
      <c r="M109" s="421">
        <v>0.41908769473596202</v>
      </c>
      <c r="N109" s="421">
        <v>0</v>
      </c>
      <c r="O109" s="421">
        <v>0</v>
      </c>
      <c r="P109" s="421">
        <v>38.026089769837199</v>
      </c>
      <c r="Q109" s="421">
        <v>0</v>
      </c>
      <c r="R109" s="421">
        <v>0.81131136729798503</v>
      </c>
      <c r="S109" s="429">
        <v>381.118631198777</v>
      </c>
      <c r="T109" s="412"/>
    </row>
    <row r="110" spans="2:20" ht="13.5">
      <c r="B110" s="412"/>
      <c r="C110" s="428" t="s">
        <v>80</v>
      </c>
      <c r="D110" s="421">
        <v>0</v>
      </c>
      <c r="E110" s="421">
        <v>0</v>
      </c>
      <c r="F110" s="421">
        <v>27.220999009721101</v>
      </c>
      <c r="G110" s="421">
        <v>120.03161923866701</v>
      </c>
      <c r="H110" s="421">
        <v>0</v>
      </c>
      <c r="I110" s="421">
        <v>0</v>
      </c>
      <c r="J110" s="421">
        <v>73.643008497672298</v>
      </c>
      <c r="K110" s="421">
        <v>0</v>
      </c>
      <c r="L110" s="421">
        <v>0</v>
      </c>
      <c r="M110" s="421">
        <v>2.4496248824217699</v>
      </c>
      <c r="N110" s="421">
        <v>44.3894996556715</v>
      </c>
      <c r="O110" s="421">
        <v>0.96187754856444097</v>
      </c>
      <c r="P110" s="421">
        <v>174.81659309154401</v>
      </c>
      <c r="Q110" s="421">
        <v>15.741799933741699</v>
      </c>
      <c r="R110" s="421">
        <v>0</v>
      </c>
      <c r="S110" s="429">
        <v>459.255021858004</v>
      </c>
      <c r="T110" s="412"/>
    </row>
    <row r="111" spans="2:20" ht="13.5">
      <c r="B111" s="412"/>
      <c r="C111" s="428" t="s">
        <v>81</v>
      </c>
      <c r="D111" s="421">
        <v>0</v>
      </c>
      <c r="E111" s="421">
        <v>0</v>
      </c>
      <c r="F111" s="421">
        <v>11.206782837990801</v>
      </c>
      <c r="G111" s="421">
        <v>64.507568852564205</v>
      </c>
      <c r="H111" s="421">
        <v>0</v>
      </c>
      <c r="I111" s="421">
        <v>0</v>
      </c>
      <c r="J111" s="421">
        <v>3.55454723390908</v>
      </c>
      <c r="K111" s="421">
        <v>0</v>
      </c>
      <c r="L111" s="421">
        <v>0</v>
      </c>
      <c r="M111" s="421">
        <v>1.31648099699111</v>
      </c>
      <c r="N111" s="421">
        <v>6.82861273959311</v>
      </c>
      <c r="O111" s="421">
        <v>0.82092458334028295</v>
      </c>
      <c r="P111" s="421">
        <v>132.49225631372801</v>
      </c>
      <c r="Q111" s="421">
        <v>4.2766408339232003</v>
      </c>
      <c r="R111" s="421">
        <v>0</v>
      </c>
      <c r="S111" s="429">
        <v>225.00381439204</v>
      </c>
      <c r="T111" s="412"/>
    </row>
    <row r="112" spans="2:20" ht="13.5">
      <c r="B112" s="412"/>
      <c r="C112" s="428" t="s">
        <v>82</v>
      </c>
      <c r="D112" s="421">
        <v>0</v>
      </c>
      <c r="E112" s="421">
        <v>0</v>
      </c>
      <c r="F112" s="421">
        <v>21.8797075546779</v>
      </c>
      <c r="G112" s="421">
        <v>4.0299007020097699</v>
      </c>
      <c r="H112" s="421">
        <v>0</v>
      </c>
      <c r="I112" s="421">
        <v>0</v>
      </c>
      <c r="J112" s="421">
        <v>0.95744733717577402</v>
      </c>
      <c r="K112" s="421">
        <v>0</v>
      </c>
      <c r="L112" s="421">
        <v>7.9910737897220097</v>
      </c>
      <c r="M112" s="421">
        <v>8.2242871469587198E-2</v>
      </c>
      <c r="N112" s="421">
        <v>0</v>
      </c>
      <c r="O112" s="421">
        <v>8.0703458125589503E-2</v>
      </c>
      <c r="P112" s="421">
        <v>8.0411089772434305</v>
      </c>
      <c r="Q112" s="421">
        <v>0</v>
      </c>
      <c r="R112" s="421">
        <v>0</v>
      </c>
      <c r="S112" s="429">
        <v>43.062184690423997</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6.0139144604924599</v>
      </c>
      <c r="E114" s="425">
        <v>0</v>
      </c>
      <c r="F114" s="425">
        <v>375.696570237929</v>
      </c>
      <c r="G114" s="425">
        <v>311.49547046584701</v>
      </c>
      <c r="H114" s="425">
        <v>0</v>
      </c>
      <c r="I114" s="425">
        <v>0</v>
      </c>
      <c r="J114" s="425">
        <v>95.314175213353096</v>
      </c>
      <c r="K114" s="425">
        <v>4.25300592203756</v>
      </c>
      <c r="L114" s="425">
        <v>38.422270283247698</v>
      </c>
      <c r="M114" s="425">
        <v>6.3570504176703597</v>
      </c>
      <c r="N114" s="425">
        <v>51.218112395264598</v>
      </c>
      <c r="O114" s="425">
        <v>1.8635055900303099</v>
      </c>
      <c r="P114" s="425">
        <v>458.798438343096</v>
      </c>
      <c r="Q114" s="425">
        <v>37.9222706877989</v>
      </c>
      <c r="R114" s="425">
        <v>1.0575282862433</v>
      </c>
      <c r="S114" s="425">
        <v>1388.4123123030099</v>
      </c>
      <c r="T114" s="412"/>
    </row>
    <row r="115" spans="2:20" ht="13.5">
      <c r="B115" s="412"/>
      <c r="C115" s="420" t="s">
        <v>84</v>
      </c>
      <c r="D115" s="421">
        <v>2.2977675781250002</v>
      </c>
      <c r="E115" s="421">
        <v>0</v>
      </c>
      <c r="F115" s="421">
        <v>138.000019774045</v>
      </c>
      <c r="G115" s="421">
        <v>12.487817343213999</v>
      </c>
      <c r="H115" s="421">
        <v>0</v>
      </c>
      <c r="I115" s="421">
        <v>0</v>
      </c>
      <c r="J115" s="421">
        <v>0</v>
      </c>
      <c r="K115" s="421">
        <v>0</v>
      </c>
      <c r="L115" s="421">
        <v>0</v>
      </c>
      <c r="M115" s="421">
        <v>0</v>
      </c>
      <c r="N115" s="421">
        <v>0</v>
      </c>
      <c r="O115" s="421">
        <v>0</v>
      </c>
      <c r="P115" s="421">
        <v>0</v>
      </c>
      <c r="Q115" s="421">
        <v>0</v>
      </c>
      <c r="R115" s="421">
        <v>0.17715281616210901</v>
      </c>
      <c r="S115" s="429">
        <v>152.96275751154599</v>
      </c>
      <c r="T115" s="412"/>
    </row>
    <row r="116" spans="2:20" ht="13.5">
      <c r="B116" s="412"/>
      <c r="C116" s="424" t="s">
        <v>85</v>
      </c>
      <c r="D116" s="425">
        <v>8.3116820386174606</v>
      </c>
      <c r="E116" s="425">
        <v>0</v>
      </c>
      <c r="F116" s="425">
        <v>513.69659001197397</v>
      </c>
      <c r="G116" s="425">
        <v>323.98328780906098</v>
      </c>
      <c r="H116" s="425">
        <v>0</v>
      </c>
      <c r="I116" s="425">
        <v>0</v>
      </c>
      <c r="J116" s="425">
        <v>95.314175213353195</v>
      </c>
      <c r="K116" s="425">
        <v>4.25300592203756</v>
      </c>
      <c r="L116" s="425">
        <v>38.422270283247698</v>
      </c>
      <c r="M116" s="425">
        <v>6.3570504176703597</v>
      </c>
      <c r="N116" s="425">
        <v>51.218112395264598</v>
      </c>
      <c r="O116" s="425">
        <v>1.8635055900303099</v>
      </c>
      <c r="P116" s="425">
        <v>458.798438343096</v>
      </c>
      <c r="Q116" s="425">
        <v>37.9222706877989</v>
      </c>
      <c r="R116" s="425">
        <v>1.2346811024054101</v>
      </c>
      <c r="S116" s="425">
        <v>1541.37506981456</v>
      </c>
      <c r="T116" s="412"/>
    </row>
    <row r="117" spans="2:20">
      <c r="B117" s="412"/>
      <c r="C117" s="412"/>
      <c r="D117" s="430">
        <f t="shared" ref="D117:S117" si="2">D116+D106-D92</f>
        <v>6.3948846218409017E-14</v>
      </c>
      <c r="E117" s="430">
        <f t="shared" si="2"/>
        <v>0</v>
      </c>
      <c r="F117" s="430">
        <f t="shared" si="2"/>
        <v>-5.3113069498067489E-13</v>
      </c>
      <c r="G117" s="430">
        <f t="shared" si="2"/>
        <v>-5.1159076974727213E-13</v>
      </c>
      <c r="H117" s="430">
        <f t="shared" si="2"/>
        <v>0</v>
      </c>
      <c r="I117" s="430">
        <f t="shared" si="2"/>
        <v>0</v>
      </c>
      <c r="J117" s="430">
        <f t="shared" si="2"/>
        <v>-3.979039320256561E-13</v>
      </c>
      <c r="K117" s="430">
        <f t="shared" si="2"/>
        <v>5.6843418860808015E-14</v>
      </c>
      <c r="L117" s="430">
        <f t="shared" si="2"/>
        <v>5.5511151231257827E-15</v>
      </c>
      <c r="M117" s="430">
        <f t="shared" si="2"/>
        <v>0</v>
      </c>
      <c r="N117" s="430">
        <f t="shared" si="2"/>
        <v>0</v>
      </c>
      <c r="O117" s="430">
        <f t="shared" si="2"/>
        <v>0</v>
      </c>
      <c r="P117" s="430">
        <f t="shared" si="2"/>
        <v>3.4106051316484809E-13</v>
      </c>
      <c r="Q117" s="430">
        <f t="shared" si="2"/>
        <v>0</v>
      </c>
      <c r="R117" s="430">
        <f t="shared" si="2"/>
        <v>0</v>
      </c>
      <c r="S117" s="430">
        <f t="shared" si="2"/>
        <v>5.0022208597511053E-12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361</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5.8150000000000004</v>
      </c>
      <c r="F123" s="421">
        <v>0</v>
      </c>
      <c r="G123" s="421">
        <v>9.3039999999999998E-2</v>
      </c>
      <c r="H123" s="422">
        <v>1075</v>
      </c>
      <c r="I123" s="422">
        <v>221.33</v>
      </c>
      <c r="J123" s="422">
        <v>180.617309805269</v>
      </c>
      <c r="K123" s="422">
        <v>23.667602138393399</v>
      </c>
      <c r="L123" s="421">
        <v>0</v>
      </c>
      <c r="M123" s="421">
        <v>0</v>
      </c>
      <c r="N123" s="422">
        <v>53.883302871721199</v>
      </c>
      <c r="O123" s="422">
        <v>4.0937306138358602</v>
      </c>
      <c r="P123" s="421">
        <v>0</v>
      </c>
      <c r="Q123" s="421">
        <v>0</v>
      </c>
      <c r="R123" s="421">
        <v>0</v>
      </c>
      <c r="S123" s="423">
        <v>1564.49998542922</v>
      </c>
      <c r="T123" s="412"/>
    </row>
    <row r="124" spans="2:20" ht="13.5">
      <c r="B124" s="412"/>
      <c r="C124" s="420" t="s">
        <v>60</v>
      </c>
      <c r="D124" s="421">
        <v>34.929201732774303</v>
      </c>
      <c r="E124" s="421">
        <v>518.07410535010399</v>
      </c>
      <c r="F124" s="421">
        <v>94.899650530247001</v>
      </c>
      <c r="G124" s="421">
        <v>372.90309898365098</v>
      </c>
      <c r="H124" s="421">
        <v>0</v>
      </c>
      <c r="I124" s="421">
        <v>0</v>
      </c>
      <c r="J124" s="421">
        <v>0</v>
      </c>
      <c r="K124" s="421">
        <v>0</v>
      </c>
      <c r="L124" s="421">
        <v>0</v>
      </c>
      <c r="M124" s="421">
        <v>0</v>
      </c>
      <c r="N124" s="421">
        <v>0</v>
      </c>
      <c r="O124" s="421">
        <v>0</v>
      </c>
      <c r="P124" s="421">
        <v>0</v>
      </c>
      <c r="Q124" s="421">
        <v>0</v>
      </c>
      <c r="R124" s="421">
        <v>0</v>
      </c>
      <c r="S124" s="423">
        <v>1020.80605659678</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-54.0995610292184</v>
      </c>
      <c r="Q125" s="421">
        <v>0</v>
      </c>
      <c r="R125" s="421">
        <v>0</v>
      </c>
      <c r="S125" s="423">
        <v>-54.0995610292184</v>
      </c>
      <c r="T125" s="412"/>
    </row>
    <row r="126" spans="2:20" ht="13.5">
      <c r="B126" s="412"/>
      <c r="C126" s="420" t="s">
        <v>62</v>
      </c>
      <c r="D126" s="421">
        <v>0</v>
      </c>
      <c r="E126" s="421">
        <v>0</v>
      </c>
      <c r="F126" s="421">
        <v>-16.258620088965699</v>
      </c>
      <c r="G126" s="421">
        <v>0</v>
      </c>
      <c r="H126" s="421">
        <v>0</v>
      </c>
      <c r="I126" s="421">
        <v>0</v>
      </c>
      <c r="J126" s="421">
        <v>0</v>
      </c>
      <c r="K126" s="421">
        <v>0</v>
      </c>
      <c r="L126" s="421">
        <v>0</v>
      </c>
      <c r="M126" s="421">
        <v>0</v>
      </c>
      <c r="N126" s="421">
        <v>0</v>
      </c>
      <c r="O126" s="421">
        <v>0</v>
      </c>
      <c r="P126" s="421">
        <v>0</v>
      </c>
      <c r="Q126" s="421">
        <v>0</v>
      </c>
      <c r="R126" s="421">
        <v>0</v>
      </c>
      <c r="S126" s="423">
        <v>-16.258620088965699</v>
      </c>
      <c r="T126" s="412"/>
    </row>
    <row r="127" spans="2:20" ht="13.5">
      <c r="B127" s="412"/>
      <c r="C127" s="420" t="s">
        <v>63</v>
      </c>
      <c r="D127" s="421">
        <v>0</v>
      </c>
      <c r="E127" s="421">
        <v>0</v>
      </c>
      <c r="F127" s="421">
        <v>-83.288391654292198</v>
      </c>
      <c r="G127" s="421">
        <v>0</v>
      </c>
      <c r="H127" s="421">
        <v>0</v>
      </c>
      <c r="I127" s="421">
        <v>0</v>
      </c>
      <c r="J127" s="421">
        <v>0</v>
      </c>
      <c r="K127" s="421">
        <v>0</v>
      </c>
      <c r="L127" s="421">
        <v>-0.86093886612012704</v>
      </c>
      <c r="M127" s="421">
        <v>0</v>
      </c>
      <c r="N127" s="421">
        <v>0</v>
      </c>
      <c r="O127" s="421">
        <v>0</v>
      </c>
      <c r="P127" s="421">
        <v>0</v>
      </c>
      <c r="Q127" s="421">
        <v>0</v>
      </c>
      <c r="R127" s="421">
        <v>0</v>
      </c>
      <c r="S127" s="423">
        <v>-84.149330520412306</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34.929201732774303</v>
      </c>
      <c r="E129" s="425">
        <v>523.88910535010405</v>
      </c>
      <c r="F129" s="425">
        <v>-4.6473612130108704</v>
      </c>
      <c r="G129" s="425">
        <v>372.99613898365101</v>
      </c>
      <c r="H129" s="425">
        <v>1075</v>
      </c>
      <c r="I129" s="425">
        <v>221.33</v>
      </c>
      <c r="J129" s="425">
        <v>180.617309805269</v>
      </c>
      <c r="K129" s="425">
        <v>23.667602138393399</v>
      </c>
      <c r="L129" s="425">
        <v>-0.86093886612012704</v>
      </c>
      <c r="M129" s="425">
        <v>0</v>
      </c>
      <c r="N129" s="425">
        <v>53.883302871721199</v>
      </c>
      <c r="O129" s="425">
        <v>4.0937306138358602</v>
      </c>
      <c r="P129" s="425">
        <v>-54.0995610292184</v>
      </c>
      <c r="Q129" s="425">
        <v>0</v>
      </c>
      <c r="R129" s="425">
        <v>0</v>
      </c>
      <c r="S129" s="425">
        <v>2430.7985303874002</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18.293662470199799</v>
      </c>
      <c r="H132" s="421">
        <v>1075</v>
      </c>
      <c r="I132" s="421">
        <v>221.33</v>
      </c>
      <c r="J132" s="421">
        <v>25.015631200963998</v>
      </c>
      <c r="K132" s="421">
        <v>6.6958995171334896</v>
      </c>
      <c r="L132" s="421">
        <v>0</v>
      </c>
      <c r="M132" s="421">
        <v>0.373340050412242</v>
      </c>
      <c r="N132" s="421">
        <v>0</v>
      </c>
      <c r="O132" s="421">
        <v>0</v>
      </c>
      <c r="P132" s="421">
        <v>-598.98018891784398</v>
      </c>
      <c r="Q132" s="421">
        <v>0</v>
      </c>
      <c r="R132" s="421">
        <v>0</v>
      </c>
      <c r="S132" s="429">
        <v>753.79245142006801</v>
      </c>
      <c r="T132" s="412"/>
    </row>
    <row r="133" spans="2:20" ht="13.5">
      <c r="B133" s="412"/>
      <c r="C133" s="428" t="s">
        <v>351</v>
      </c>
      <c r="D133" s="421">
        <v>0</v>
      </c>
      <c r="E133" s="421">
        <v>0</v>
      </c>
      <c r="F133" s="421">
        <v>0</v>
      </c>
      <c r="G133" s="421">
        <v>17.187472358998999</v>
      </c>
      <c r="H133" s="421">
        <v>0</v>
      </c>
      <c r="I133" s="421">
        <v>0</v>
      </c>
      <c r="J133" s="421">
        <v>12.802427774494999</v>
      </c>
      <c r="K133" s="421">
        <v>12.7214936345308</v>
      </c>
      <c r="L133" s="421">
        <v>0</v>
      </c>
      <c r="M133" s="421">
        <v>0.35076474202038699</v>
      </c>
      <c r="N133" s="421">
        <v>0</v>
      </c>
      <c r="O133" s="421">
        <v>2.24538394933181</v>
      </c>
      <c r="P133" s="421">
        <v>0</v>
      </c>
      <c r="Q133" s="421">
        <v>-41.027361944198802</v>
      </c>
      <c r="R133" s="421">
        <v>0</v>
      </c>
      <c r="S133" s="429">
        <v>4.2801805151782197</v>
      </c>
      <c r="T133" s="412"/>
    </row>
    <row r="134" spans="2:20" ht="13.5">
      <c r="B134" s="412"/>
      <c r="C134" s="428" t="s">
        <v>352</v>
      </c>
      <c r="D134" s="421">
        <v>0</v>
      </c>
      <c r="E134" s="421">
        <v>0</v>
      </c>
      <c r="F134" s="421">
        <v>0</v>
      </c>
      <c r="G134" s="421">
        <v>0</v>
      </c>
      <c r="H134" s="421">
        <v>0</v>
      </c>
      <c r="I134" s="421">
        <v>0</v>
      </c>
      <c r="J134" s="421">
        <v>8.2571965997470702</v>
      </c>
      <c r="K134" s="421">
        <v>0</v>
      </c>
      <c r="L134" s="421">
        <v>0</v>
      </c>
      <c r="M134" s="421">
        <v>-7.3592264695245797</v>
      </c>
      <c r="N134" s="421">
        <v>0</v>
      </c>
      <c r="O134" s="421">
        <v>0</v>
      </c>
      <c r="P134" s="421">
        <v>0</v>
      </c>
      <c r="Q134" s="421">
        <v>0</v>
      </c>
      <c r="R134" s="421">
        <v>0</v>
      </c>
      <c r="S134" s="429">
        <v>0.89797013022249295</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542.69343279650298</v>
      </c>
      <c r="F136" s="421">
        <v>-537.26649846853797</v>
      </c>
      <c r="G136" s="421">
        <v>0</v>
      </c>
      <c r="H136" s="421">
        <v>0</v>
      </c>
      <c r="I136" s="421">
        <v>0</v>
      </c>
      <c r="J136" s="421">
        <v>0</v>
      </c>
      <c r="K136" s="421">
        <v>0</v>
      </c>
      <c r="L136" s="421">
        <v>0</v>
      </c>
      <c r="M136" s="421">
        <v>0</v>
      </c>
      <c r="N136" s="421">
        <v>0</v>
      </c>
      <c r="O136" s="421">
        <v>0</v>
      </c>
      <c r="P136" s="421">
        <v>0</v>
      </c>
      <c r="Q136" s="421">
        <v>0</v>
      </c>
      <c r="R136" s="421">
        <v>0</v>
      </c>
      <c r="S136" s="429">
        <v>5.4269343279650002</v>
      </c>
      <c r="T136" s="412"/>
    </row>
    <row r="137" spans="2:20" ht="13.5">
      <c r="B137" s="412"/>
      <c r="C137" s="428" t="s">
        <v>354</v>
      </c>
      <c r="D137" s="421">
        <v>0</v>
      </c>
      <c r="E137" s="421">
        <v>0</v>
      </c>
      <c r="F137" s="421">
        <v>0</v>
      </c>
      <c r="G137" s="421">
        <v>0</v>
      </c>
      <c r="H137" s="421">
        <v>0</v>
      </c>
      <c r="I137" s="421">
        <v>0</v>
      </c>
      <c r="J137" s="421">
        <v>38.982913287446898</v>
      </c>
      <c r="K137" s="421">
        <v>0</v>
      </c>
      <c r="L137" s="421">
        <v>-38.982913287446898</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-0.17805542479724401</v>
      </c>
      <c r="M138" s="421">
        <v>0</v>
      </c>
      <c r="N138" s="421">
        <v>0</v>
      </c>
      <c r="O138" s="421">
        <v>0</v>
      </c>
      <c r="P138" s="421">
        <v>0</v>
      </c>
      <c r="Q138" s="421">
        <v>0</v>
      </c>
      <c r="R138" s="421">
        <v>0.25436489256749101</v>
      </c>
      <c r="S138" s="429">
        <v>7.6309467770247302E-2</v>
      </c>
      <c r="T138" s="412"/>
    </row>
    <row r="139" spans="2:20" ht="13.5">
      <c r="B139" s="412"/>
      <c r="C139" s="428" t="s">
        <v>73</v>
      </c>
      <c r="D139" s="421">
        <v>0</v>
      </c>
      <c r="E139" s="421">
        <v>0</v>
      </c>
      <c r="F139" s="421">
        <v>0</v>
      </c>
      <c r="G139" s="421">
        <v>2.4096506208169699</v>
      </c>
      <c r="H139" s="421">
        <v>0</v>
      </c>
      <c r="I139" s="421">
        <v>0</v>
      </c>
      <c r="J139" s="421">
        <v>0</v>
      </c>
      <c r="K139" s="421">
        <v>2.7320301823321701E-2</v>
      </c>
      <c r="L139" s="421">
        <v>0</v>
      </c>
      <c r="M139" s="421">
        <v>4.9176543281978999E-2</v>
      </c>
      <c r="N139" s="421">
        <v>0</v>
      </c>
      <c r="O139" s="421">
        <v>0</v>
      </c>
      <c r="P139" s="421">
        <v>0.257854534062811</v>
      </c>
      <c r="Q139" s="421">
        <v>0</v>
      </c>
      <c r="R139" s="421">
        <v>-1.91242112763252</v>
      </c>
      <c r="S139" s="429">
        <v>0.83158087235256695</v>
      </c>
      <c r="T139" s="412"/>
    </row>
    <row r="140" spans="2:20" ht="13.5">
      <c r="B140" s="412"/>
      <c r="C140" s="428" t="s">
        <v>356</v>
      </c>
      <c r="D140" s="421">
        <v>14.8684370117188</v>
      </c>
      <c r="E140" s="421">
        <v>-18.804327446398801</v>
      </c>
      <c r="F140" s="421">
        <v>24.59494961847</v>
      </c>
      <c r="G140" s="421">
        <v>0</v>
      </c>
      <c r="H140" s="421">
        <v>0</v>
      </c>
      <c r="I140" s="421">
        <v>0</v>
      </c>
      <c r="J140" s="421">
        <v>0</v>
      </c>
      <c r="K140" s="421">
        <v>0</v>
      </c>
      <c r="L140" s="421">
        <v>0</v>
      </c>
      <c r="M140" s="421">
        <v>0</v>
      </c>
      <c r="N140" s="421">
        <v>0</v>
      </c>
      <c r="O140" s="421">
        <v>0</v>
      </c>
      <c r="P140" s="421">
        <v>0</v>
      </c>
      <c r="Q140" s="421">
        <v>0</v>
      </c>
      <c r="R140" s="421">
        <v>0</v>
      </c>
      <c r="S140" s="429">
        <v>20.6590591837899</v>
      </c>
      <c r="T140" s="412"/>
    </row>
    <row r="141" spans="2:20" ht="13.5">
      <c r="B141" s="412"/>
      <c r="C141" s="428" t="s">
        <v>75</v>
      </c>
      <c r="D141" s="421">
        <v>9.9030000000000005</v>
      </c>
      <c r="E141" s="421">
        <v>0</v>
      </c>
      <c r="F141" s="421">
        <v>18.451576715081099</v>
      </c>
      <c r="G141" s="421">
        <v>5.2652116849916704</v>
      </c>
      <c r="H141" s="421">
        <v>0</v>
      </c>
      <c r="I141" s="421">
        <v>0</v>
      </c>
      <c r="J141" s="421">
        <v>0</v>
      </c>
      <c r="K141" s="421">
        <v>0</v>
      </c>
      <c r="L141" s="421">
        <v>0</v>
      </c>
      <c r="M141" s="421">
        <v>0.107453299693708</v>
      </c>
      <c r="N141" s="421">
        <v>0</v>
      </c>
      <c r="O141" s="421">
        <v>0</v>
      </c>
      <c r="P141" s="421">
        <v>33.445009445892197</v>
      </c>
      <c r="Q141" s="421">
        <v>0</v>
      </c>
      <c r="R141" s="421">
        <v>0</v>
      </c>
      <c r="S141" s="429">
        <v>67.172251145658706</v>
      </c>
      <c r="T141" s="412"/>
    </row>
    <row r="142" spans="2:20" ht="13.5">
      <c r="B142" s="412"/>
      <c r="C142" s="428" t="s">
        <v>76</v>
      </c>
      <c r="D142" s="421">
        <v>0</v>
      </c>
      <c r="E142" s="421">
        <v>0</v>
      </c>
      <c r="F142" s="421">
        <v>0</v>
      </c>
      <c r="G142" s="421">
        <v>4.2759141937553897</v>
      </c>
      <c r="H142" s="421">
        <v>0</v>
      </c>
      <c r="I142" s="421">
        <v>0</v>
      </c>
      <c r="J142" s="421">
        <v>0</v>
      </c>
      <c r="K142" s="421">
        <v>0</v>
      </c>
      <c r="L142" s="421">
        <v>0</v>
      </c>
      <c r="M142" s="421">
        <v>8.72635549745997E-2</v>
      </c>
      <c r="N142" s="421">
        <v>0</v>
      </c>
      <c r="O142" s="421">
        <v>0</v>
      </c>
      <c r="P142" s="421">
        <v>41.7590878252594</v>
      </c>
      <c r="Q142" s="421">
        <v>3.1792420694766599</v>
      </c>
      <c r="R142" s="421">
        <v>0</v>
      </c>
      <c r="S142" s="429">
        <v>49.301507643466103</v>
      </c>
      <c r="T142" s="412"/>
    </row>
    <row r="143" spans="2:20" ht="13.5">
      <c r="B143" s="412"/>
      <c r="C143" s="424" t="s">
        <v>77</v>
      </c>
      <c r="D143" s="425">
        <v>26.9719077472853</v>
      </c>
      <c r="E143" s="425">
        <v>523.88910535010405</v>
      </c>
      <c r="F143" s="425">
        <v>-490.35633577135002</v>
      </c>
      <c r="G143" s="425">
        <v>47.431911328762801</v>
      </c>
      <c r="H143" s="425">
        <v>1075</v>
      </c>
      <c r="I143" s="425">
        <v>221.33</v>
      </c>
      <c r="J143" s="425">
        <v>85.058168862653105</v>
      </c>
      <c r="K143" s="425">
        <v>19.444713453487601</v>
      </c>
      <c r="L143" s="425">
        <v>-39.160968712244099</v>
      </c>
      <c r="M143" s="425">
        <v>-6.3912282791416599</v>
      </c>
      <c r="N143" s="425">
        <v>0</v>
      </c>
      <c r="O143" s="425">
        <v>2.24538394933181</v>
      </c>
      <c r="P143" s="425">
        <v>-523.51823711263</v>
      </c>
      <c r="Q143" s="425">
        <v>-37.848119874722101</v>
      </c>
      <c r="R143" s="425">
        <v>-1.6580562350650301</v>
      </c>
      <c r="S143" s="425">
        <v>902.43824470647201</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5.6972080479890099</v>
      </c>
      <c r="E145" s="421">
        <v>0</v>
      </c>
      <c r="F145" s="421">
        <v>22.817179327139399</v>
      </c>
      <c r="G145" s="421">
        <v>101.760565699211</v>
      </c>
      <c r="H145" s="421">
        <v>0</v>
      </c>
      <c r="I145" s="421">
        <v>0</v>
      </c>
      <c r="J145" s="421">
        <v>17.084919933372099</v>
      </c>
      <c r="K145" s="421">
        <v>4.2228886849058398</v>
      </c>
      <c r="L145" s="421">
        <v>0.85605592578125</v>
      </c>
      <c r="M145" s="421">
        <v>2.0767462387593998</v>
      </c>
      <c r="N145" s="421">
        <v>0</v>
      </c>
      <c r="O145" s="421">
        <v>0</v>
      </c>
      <c r="P145" s="421">
        <v>106.33530498490499</v>
      </c>
      <c r="Q145" s="421">
        <v>18.005489076637701</v>
      </c>
      <c r="R145" s="421">
        <v>0.24596269226074199</v>
      </c>
      <c r="S145" s="429">
        <v>279.10232061096099</v>
      </c>
      <c r="T145" s="412"/>
    </row>
    <row r="146" spans="2:20" ht="13.5">
      <c r="B146" s="412"/>
      <c r="C146" s="428" t="s">
        <v>79</v>
      </c>
      <c r="D146" s="421">
        <v>0</v>
      </c>
      <c r="E146" s="421">
        <v>0</v>
      </c>
      <c r="F146" s="421">
        <v>271.89503343589303</v>
      </c>
      <c r="G146" s="421">
        <v>24.4531369544524</v>
      </c>
      <c r="H146" s="421">
        <v>0</v>
      </c>
      <c r="I146" s="421">
        <v>0</v>
      </c>
      <c r="J146" s="421">
        <v>0</v>
      </c>
      <c r="K146" s="421">
        <v>0</v>
      </c>
      <c r="L146" s="421">
        <v>27.563506802016501</v>
      </c>
      <c r="M146" s="421">
        <v>0.49904361131535402</v>
      </c>
      <c r="N146" s="421">
        <v>0</v>
      </c>
      <c r="O146" s="421">
        <v>0</v>
      </c>
      <c r="P146" s="421">
        <v>44.076672693209503</v>
      </c>
      <c r="Q146" s="421">
        <v>0</v>
      </c>
      <c r="R146" s="421">
        <v>1.1183354617496</v>
      </c>
      <c r="S146" s="429">
        <v>369.60572895863697</v>
      </c>
      <c r="T146" s="412"/>
    </row>
    <row r="147" spans="2:20" ht="13.5">
      <c r="B147" s="412"/>
      <c r="C147" s="428" t="s">
        <v>80</v>
      </c>
      <c r="D147" s="421">
        <v>0</v>
      </c>
      <c r="E147" s="421">
        <v>0</v>
      </c>
      <c r="F147" s="421">
        <v>24.3021024292247</v>
      </c>
      <c r="G147" s="421">
        <v>117.69678632039</v>
      </c>
      <c r="H147" s="421">
        <v>0</v>
      </c>
      <c r="I147" s="421">
        <v>0</v>
      </c>
      <c r="J147" s="421">
        <v>73.828773979634093</v>
      </c>
      <c r="K147" s="421">
        <v>0</v>
      </c>
      <c r="L147" s="421">
        <v>0</v>
      </c>
      <c r="M147" s="421">
        <v>2.4019752310283602</v>
      </c>
      <c r="N147" s="421">
        <v>47.128746569474501</v>
      </c>
      <c r="O147" s="421">
        <v>0.960766193181818</v>
      </c>
      <c r="P147" s="421">
        <v>176.67464437802599</v>
      </c>
      <c r="Q147" s="421">
        <v>15.6460082308098</v>
      </c>
      <c r="R147" s="421">
        <v>0</v>
      </c>
      <c r="S147" s="429">
        <v>458.63980333176897</v>
      </c>
      <c r="T147" s="412"/>
    </row>
    <row r="148" spans="2:20" ht="13.5">
      <c r="B148" s="412"/>
      <c r="C148" s="428" t="s">
        <v>81</v>
      </c>
      <c r="D148" s="421">
        <v>0</v>
      </c>
      <c r="E148" s="421">
        <v>0</v>
      </c>
      <c r="F148" s="421">
        <v>10.1168071467599</v>
      </c>
      <c r="G148" s="421">
        <v>64.901290043876799</v>
      </c>
      <c r="H148" s="421">
        <v>0</v>
      </c>
      <c r="I148" s="421">
        <v>0</v>
      </c>
      <c r="J148" s="421">
        <v>3.5137864042396001</v>
      </c>
      <c r="K148" s="421">
        <v>0</v>
      </c>
      <c r="L148" s="421">
        <v>0</v>
      </c>
      <c r="M148" s="421">
        <v>1.32451612334442</v>
      </c>
      <c r="N148" s="421">
        <v>6.7545563022467299</v>
      </c>
      <c r="O148" s="421">
        <v>0.80925156664740405</v>
      </c>
      <c r="P148" s="421">
        <v>134.394459446703</v>
      </c>
      <c r="Q148" s="421">
        <v>4.1966225672745496</v>
      </c>
      <c r="R148" s="421">
        <v>0</v>
      </c>
      <c r="S148" s="429">
        <v>226.01128960109199</v>
      </c>
      <c r="T148" s="412"/>
    </row>
    <row r="149" spans="2:20" ht="13.5">
      <c r="B149" s="412"/>
      <c r="C149" s="428" t="s">
        <v>82</v>
      </c>
      <c r="D149" s="421">
        <v>0</v>
      </c>
      <c r="E149" s="421">
        <v>0</v>
      </c>
      <c r="F149" s="421">
        <v>18.642153643202501</v>
      </c>
      <c r="G149" s="421">
        <v>4.3584066600117204</v>
      </c>
      <c r="H149" s="421">
        <v>0</v>
      </c>
      <c r="I149" s="421">
        <v>0</v>
      </c>
      <c r="J149" s="421">
        <v>1.13166062537042</v>
      </c>
      <c r="K149" s="421">
        <v>0</v>
      </c>
      <c r="L149" s="421">
        <v>9.8804671183263206</v>
      </c>
      <c r="M149" s="421">
        <v>8.8947074694116696E-2</v>
      </c>
      <c r="N149" s="421">
        <v>0</v>
      </c>
      <c r="O149" s="421">
        <v>7.8328904674825395E-2</v>
      </c>
      <c r="P149" s="421">
        <v>7.9375945805684101</v>
      </c>
      <c r="Q149" s="421">
        <v>0</v>
      </c>
      <c r="R149" s="421">
        <v>0</v>
      </c>
      <c r="S149" s="429">
        <v>42.117558606848299</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5.6972080479890099</v>
      </c>
      <c r="E151" s="425">
        <v>0</v>
      </c>
      <c r="F151" s="425">
        <v>347.77327598222001</v>
      </c>
      <c r="G151" s="425">
        <v>313.17018567794099</v>
      </c>
      <c r="H151" s="425">
        <v>0</v>
      </c>
      <c r="I151" s="425">
        <v>0</v>
      </c>
      <c r="J151" s="425">
        <v>95.559140942616196</v>
      </c>
      <c r="K151" s="425">
        <v>4.2228886849058398</v>
      </c>
      <c r="L151" s="425">
        <v>38.300029846123998</v>
      </c>
      <c r="M151" s="425">
        <v>6.3912282791416599</v>
      </c>
      <c r="N151" s="425">
        <v>53.883302871721199</v>
      </c>
      <c r="O151" s="425">
        <v>1.8483466645040501</v>
      </c>
      <c r="P151" s="425">
        <v>469.41867608341198</v>
      </c>
      <c r="Q151" s="425">
        <v>37.848119874722101</v>
      </c>
      <c r="R151" s="425">
        <v>1.36429815401034</v>
      </c>
      <c r="S151" s="425">
        <v>1375.4767011093099</v>
      </c>
      <c r="T151" s="412"/>
    </row>
    <row r="152" spans="2:20" ht="13.5">
      <c r="B152" s="412"/>
      <c r="C152" s="420" t="s">
        <v>84</v>
      </c>
      <c r="D152" s="421">
        <v>2.2600859375</v>
      </c>
      <c r="E152" s="421">
        <v>0</v>
      </c>
      <c r="F152" s="421">
        <v>137.93569857611899</v>
      </c>
      <c r="G152" s="421">
        <v>12.394041976947101</v>
      </c>
      <c r="H152" s="421">
        <v>0</v>
      </c>
      <c r="I152" s="421">
        <v>0</v>
      </c>
      <c r="J152" s="421">
        <v>0</v>
      </c>
      <c r="K152" s="421">
        <v>0</v>
      </c>
      <c r="L152" s="421">
        <v>0</v>
      </c>
      <c r="M152" s="421">
        <v>0</v>
      </c>
      <c r="N152" s="421">
        <v>0</v>
      </c>
      <c r="O152" s="421">
        <v>0</v>
      </c>
      <c r="P152" s="421">
        <v>0</v>
      </c>
      <c r="Q152" s="421">
        <v>0</v>
      </c>
      <c r="R152" s="421">
        <v>0.29375808105468698</v>
      </c>
      <c r="S152" s="429">
        <v>152.88358457162099</v>
      </c>
      <c r="T152" s="412"/>
    </row>
    <row r="153" spans="2:20" ht="13.5">
      <c r="B153" s="412"/>
      <c r="C153" s="424" t="s">
        <v>85</v>
      </c>
      <c r="D153" s="425">
        <v>7.9572939854890103</v>
      </c>
      <c r="E153" s="425">
        <v>0</v>
      </c>
      <c r="F153" s="425">
        <v>485.70897455833898</v>
      </c>
      <c r="G153" s="425">
        <v>325.56422765488799</v>
      </c>
      <c r="H153" s="425">
        <v>0</v>
      </c>
      <c r="I153" s="425">
        <v>0</v>
      </c>
      <c r="J153" s="425">
        <v>95.559140942616196</v>
      </c>
      <c r="K153" s="425">
        <v>4.2228886849058398</v>
      </c>
      <c r="L153" s="425">
        <v>38.300029846123998</v>
      </c>
      <c r="M153" s="425">
        <v>6.3912282791416599</v>
      </c>
      <c r="N153" s="425">
        <v>53.883302871721199</v>
      </c>
      <c r="O153" s="425">
        <v>1.8483466645040501</v>
      </c>
      <c r="P153" s="425">
        <v>469.41867608341198</v>
      </c>
      <c r="Q153" s="425">
        <v>37.848119874722101</v>
      </c>
      <c r="R153" s="425">
        <v>1.6580562350650301</v>
      </c>
      <c r="S153" s="425">
        <v>1528.36028568093</v>
      </c>
      <c r="T153" s="412"/>
    </row>
    <row r="154" spans="2:20">
      <c r="B154" s="412"/>
      <c r="C154" s="412"/>
      <c r="D154" s="430">
        <f t="shared" ref="D154:S154" si="3">D153+D143-D129</f>
        <v>0</v>
      </c>
      <c r="E154" s="430">
        <f t="shared" si="3"/>
        <v>0</v>
      </c>
      <c r="F154" s="430">
        <f t="shared" si="3"/>
        <v>-1.6786572132332367E-13</v>
      </c>
      <c r="G154" s="430">
        <f t="shared" si="3"/>
        <v>0</v>
      </c>
      <c r="H154" s="430">
        <f t="shared" si="3"/>
        <v>0</v>
      </c>
      <c r="I154" s="430">
        <f t="shared" si="3"/>
        <v>0</v>
      </c>
      <c r="J154" s="430">
        <f t="shared" si="3"/>
        <v>3.1263880373444408E-13</v>
      </c>
      <c r="K154" s="430">
        <f t="shared" si="3"/>
        <v>4.2632564145606011E-14</v>
      </c>
      <c r="L154" s="430">
        <f t="shared" si="3"/>
        <v>2.6090241078691179E-14</v>
      </c>
      <c r="M154" s="430">
        <f t="shared" si="3"/>
        <v>0</v>
      </c>
      <c r="N154" s="430">
        <f t="shared" si="3"/>
        <v>0</v>
      </c>
      <c r="O154" s="430">
        <f t="shared" si="3"/>
        <v>0</v>
      </c>
      <c r="P154" s="430">
        <f t="shared" si="3"/>
        <v>3.765876499528531E-13</v>
      </c>
      <c r="Q154" s="430">
        <f t="shared" si="3"/>
        <v>0</v>
      </c>
      <c r="R154" s="430">
        <f t="shared" si="3"/>
        <v>0</v>
      </c>
      <c r="S154" s="430">
        <f t="shared" si="3"/>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362</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2.3260000000000001</v>
      </c>
      <c r="F160" s="421">
        <v>0</v>
      </c>
      <c r="G160" s="421">
        <v>3.7215999999999999E-2</v>
      </c>
      <c r="H160" s="422">
        <v>1005.45454545455</v>
      </c>
      <c r="I160" s="422">
        <v>246.08</v>
      </c>
      <c r="J160" s="422">
        <v>180.45818950373001</v>
      </c>
      <c r="K160" s="422">
        <v>23.324330540101599</v>
      </c>
      <c r="L160" s="421">
        <v>0</v>
      </c>
      <c r="M160" s="421">
        <v>0</v>
      </c>
      <c r="N160" s="422">
        <v>57.2465959754038</v>
      </c>
      <c r="O160" s="422">
        <v>4.06931439737036</v>
      </c>
      <c r="P160" s="421">
        <v>0</v>
      </c>
      <c r="Q160" s="421">
        <v>0</v>
      </c>
      <c r="R160" s="421">
        <v>0</v>
      </c>
      <c r="S160" s="423">
        <v>1518.9961918711499</v>
      </c>
      <c r="T160" s="412"/>
    </row>
    <row r="161" spans="2:20" ht="13.5">
      <c r="B161" s="412"/>
      <c r="C161" s="420" t="s">
        <v>60</v>
      </c>
      <c r="D161" s="421">
        <v>33.607567251657201</v>
      </c>
      <c r="E161" s="421">
        <v>509.74501402008298</v>
      </c>
      <c r="F161" s="421">
        <v>72.737164762837693</v>
      </c>
      <c r="G161" s="421">
        <v>374.55851469184501</v>
      </c>
      <c r="H161" s="421">
        <v>0</v>
      </c>
      <c r="I161" s="421">
        <v>0</v>
      </c>
      <c r="J161" s="421">
        <v>0</v>
      </c>
      <c r="K161" s="421">
        <v>0</v>
      </c>
      <c r="L161" s="421">
        <v>0</v>
      </c>
      <c r="M161" s="421">
        <v>0</v>
      </c>
      <c r="N161" s="421">
        <v>0</v>
      </c>
      <c r="O161" s="421">
        <v>0</v>
      </c>
      <c r="P161" s="421">
        <v>0</v>
      </c>
      <c r="Q161" s="421">
        <v>0</v>
      </c>
      <c r="R161" s="421">
        <v>0</v>
      </c>
      <c r="S161" s="423">
        <v>990.64826072642302</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-40.599613583103199</v>
      </c>
      <c r="Q162" s="421">
        <v>0</v>
      </c>
      <c r="R162" s="421">
        <v>0</v>
      </c>
      <c r="S162" s="423">
        <v>-40.599613583103199</v>
      </c>
      <c r="T162" s="412"/>
    </row>
    <row r="163" spans="2:20" ht="13.5">
      <c r="B163" s="412"/>
      <c r="C163" s="420" t="s">
        <v>62</v>
      </c>
      <c r="D163" s="421">
        <v>0</v>
      </c>
      <c r="E163" s="421">
        <v>0</v>
      </c>
      <c r="F163" s="421">
        <v>-16.016991189558802</v>
      </c>
      <c r="G163" s="421">
        <v>0</v>
      </c>
      <c r="H163" s="421">
        <v>0</v>
      </c>
      <c r="I163" s="421">
        <v>0</v>
      </c>
      <c r="J163" s="421">
        <v>0</v>
      </c>
      <c r="K163" s="421">
        <v>0</v>
      </c>
      <c r="L163" s="421">
        <v>0</v>
      </c>
      <c r="M163" s="421">
        <v>0</v>
      </c>
      <c r="N163" s="421">
        <v>0</v>
      </c>
      <c r="O163" s="421">
        <v>0</v>
      </c>
      <c r="P163" s="421">
        <v>0</v>
      </c>
      <c r="Q163" s="421">
        <v>0</v>
      </c>
      <c r="R163" s="421">
        <v>0</v>
      </c>
      <c r="S163" s="423">
        <v>-16.016991189558802</v>
      </c>
      <c r="T163" s="412"/>
    </row>
    <row r="164" spans="2:20" ht="13.5">
      <c r="B164" s="412"/>
      <c r="C164" s="420" t="s">
        <v>63</v>
      </c>
      <c r="D164" s="421">
        <v>0</v>
      </c>
      <c r="E164" s="421">
        <v>0</v>
      </c>
      <c r="F164" s="421">
        <v>-85.292767146842095</v>
      </c>
      <c r="G164" s="421">
        <v>0</v>
      </c>
      <c r="H164" s="421">
        <v>0</v>
      </c>
      <c r="I164" s="421">
        <v>0</v>
      </c>
      <c r="J164" s="421">
        <v>0</v>
      </c>
      <c r="K164" s="421">
        <v>0</v>
      </c>
      <c r="L164" s="421">
        <v>-0.88147124718821601</v>
      </c>
      <c r="M164" s="421">
        <v>0</v>
      </c>
      <c r="N164" s="421">
        <v>0</v>
      </c>
      <c r="O164" s="421">
        <v>0</v>
      </c>
      <c r="P164" s="421">
        <v>0</v>
      </c>
      <c r="Q164" s="421">
        <v>0</v>
      </c>
      <c r="R164" s="421">
        <v>0</v>
      </c>
      <c r="S164" s="423">
        <v>-86.174238394030297</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33.607567251657201</v>
      </c>
      <c r="E166" s="425">
        <v>512.071014020083</v>
      </c>
      <c r="F166" s="425">
        <v>-28.5725935735632</v>
      </c>
      <c r="G166" s="425">
        <v>374.59573069184501</v>
      </c>
      <c r="H166" s="425">
        <v>1005.45454545455</v>
      </c>
      <c r="I166" s="425">
        <v>246.08</v>
      </c>
      <c r="J166" s="425">
        <v>180.45818950373001</v>
      </c>
      <c r="K166" s="425">
        <v>23.324330540101599</v>
      </c>
      <c r="L166" s="425">
        <v>-0.88147124718821601</v>
      </c>
      <c r="M166" s="425">
        <v>0</v>
      </c>
      <c r="N166" s="425">
        <v>57.2465959754038</v>
      </c>
      <c r="O166" s="425">
        <v>4.06931439737036</v>
      </c>
      <c r="P166" s="425">
        <v>-40.599613583103199</v>
      </c>
      <c r="Q166" s="425">
        <v>0</v>
      </c>
      <c r="R166" s="425">
        <v>0</v>
      </c>
      <c r="S166" s="425">
        <v>2366.8536094308802</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17.955675135092299</v>
      </c>
      <c r="H169" s="421">
        <v>1005.45454545455</v>
      </c>
      <c r="I169" s="421">
        <v>246.08</v>
      </c>
      <c r="J169" s="421">
        <v>24.057674539507001</v>
      </c>
      <c r="K169" s="421">
        <v>6.4003284253933197</v>
      </c>
      <c r="L169" s="421">
        <v>0</v>
      </c>
      <c r="M169" s="421">
        <v>0.366442349695761</v>
      </c>
      <c r="N169" s="421">
        <v>0</v>
      </c>
      <c r="O169" s="421">
        <v>0</v>
      </c>
      <c r="P169" s="421">
        <v>-600.72360696632904</v>
      </c>
      <c r="Q169" s="421">
        <v>0</v>
      </c>
      <c r="R169" s="421">
        <v>0</v>
      </c>
      <c r="S169" s="429">
        <v>705.65516603710796</v>
      </c>
      <c r="T169" s="412"/>
    </row>
    <row r="170" spans="2:20" ht="13.5">
      <c r="B170" s="412"/>
      <c r="C170" s="428" t="s">
        <v>351</v>
      </c>
      <c r="D170" s="421">
        <v>0</v>
      </c>
      <c r="E170" s="421">
        <v>0</v>
      </c>
      <c r="F170" s="421">
        <v>0</v>
      </c>
      <c r="G170" s="421">
        <v>17.1879921419563</v>
      </c>
      <c r="H170" s="421">
        <v>0</v>
      </c>
      <c r="I170" s="421">
        <v>0</v>
      </c>
      <c r="J170" s="421">
        <v>12.682834988028199</v>
      </c>
      <c r="K170" s="421">
        <v>12.7191917514679</v>
      </c>
      <c r="L170" s="421">
        <v>0</v>
      </c>
      <c r="M170" s="421">
        <v>0.35077534983584302</v>
      </c>
      <c r="N170" s="421">
        <v>0</v>
      </c>
      <c r="O170" s="421">
        <v>2.2454573880541999</v>
      </c>
      <c r="P170" s="421">
        <v>0</v>
      </c>
      <c r="Q170" s="421">
        <v>-41.0285859229053</v>
      </c>
      <c r="R170" s="421">
        <v>0</v>
      </c>
      <c r="S170" s="429">
        <v>4.1576656964370899</v>
      </c>
      <c r="T170" s="412"/>
    </row>
    <row r="171" spans="2:20" ht="13.5">
      <c r="B171" s="412"/>
      <c r="C171" s="428" t="s">
        <v>352</v>
      </c>
      <c r="D171" s="421">
        <v>0</v>
      </c>
      <c r="E171" s="421">
        <v>0</v>
      </c>
      <c r="F171" s="421">
        <v>0</v>
      </c>
      <c r="G171" s="421">
        <v>0</v>
      </c>
      <c r="H171" s="421">
        <v>0</v>
      </c>
      <c r="I171" s="421">
        <v>0</v>
      </c>
      <c r="J171" s="421">
        <v>8.1791621467337805</v>
      </c>
      <c r="K171" s="421">
        <v>0</v>
      </c>
      <c r="L171" s="421">
        <v>0</v>
      </c>
      <c r="M171" s="421">
        <v>-7.3939625806473401</v>
      </c>
      <c r="N171" s="421">
        <v>0</v>
      </c>
      <c r="O171" s="421">
        <v>0</v>
      </c>
      <c r="P171" s="421">
        <v>0</v>
      </c>
      <c r="Q171" s="421">
        <v>0</v>
      </c>
      <c r="R171" s="421">
        <v>0</v>
      </c>
      <c r="S171" s="429">
        <v>0.78519956608644204</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530.45114623720201</v>
      </c>
      <c r="F173" s="421">
        <v>-525.14663477482998</v>
      </c>
      <c r="G173" s="421">
        <v>0</v>
      </c>
      <c r="H173" s="421">
        <v>0</v>
      </c>
      <c r="I173" s="421">
        <v>0</v>
      </c>
      <c r="J173" s="421">
        <v>0</v>
      </c>
      <c r="K173" s="421">
        <v>0</v>
      </c>
      <c r="L173" s="421">
        <v>0</v>
      </c>
      <c r="M173" s="421">
        <v>0</v>
      </c>
      <c r="N173" s="421">
        <v>0</v>
      </c>
      <c r="O173" s="421">
        <v>0</v>
      </c>
      <c r="P173" s="421">
        <v>0</v>
      </c>
      <c r="Q173" s="421">
        <v>0</v>
      </c>
      <c r="R173" s="421">
        <v>0</v>
      </c>
      <c r="S173" s="429">
        <v>5.3045114623720302</v>
      </c>
      <c r="T173" s="412"/>
    </row>
    <row r="174" spans="2:20" ht="13.5">
      <c r="B174" s="412"/>
      <c r="C174" s="428" t="s">
        <v>354</v>
      </c>
      <c r="D174" s="421">
        <v>0</v>
      </c>
      <c r="E174" s="421">
        <v>0</v>
      </c>
      <c r="F174" s="421">
        <v>0</v>
      </c>
      <c r="G174" s="421">
        <v>0</v>
      </c>
      <c r="H174" s="421">
        <v>0</v>
      </c>
      <c r="I174" s="421">
        <v>0</v>
      </c>
      <c r="J174" s="421">
        <v>39.445597700089998</v>
      </c>
      <c r="K174" s="421">
        <v>0</v>
      </c>
      <c r="L174" s="421">
        <v>-39.445597700089998</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-0.18005031965795901</v>
      </c>
      <c r="M175" s="421">
        <v>0</v>
      </c>
      <c r="N175" s="421">
        <v>0</v>
      </c>
      <c r="O175" s="421">
        <v>0</v>
      </c>
      <c r="P175" s="421">
        <v>0</v>
      </c>
      <c r="Q175" s="421">
        <v>0</v>
      </c>
      <c r="R175" s="421">
        <v>0.25721474236851299</v>
      </c>
      <c r="S175" s="429">
        <v>7.7164422710554001E-2</v>
      </c>
      <c r="T175" s="412"/>
    </row>
    <row r="176" spans="2:20" ht="13.5">
      <c r="B176" s="412"/>
      <c r="C176" s="428" t="s">
        <v>73</v>
      </c>
      <c r="D176" s="421">
        <v>0</v>
      </c>
      <c r="E176" s="421">
        <v>0</v>
      </c>
      <c r="F176" s="421">
        <v>0</v>
      </c>
      <c r="G176" s="421">
        <v>3.2927955650537002</v>
      </c>
      <c r="H176" s="421">
        <v>0</v>
      </c>
      <c r="I176" s="421">
        <v>0</v>
      </c>
      <c r="J176" s="421">
        <v>0</v>
      </c>
      <c r="K176" s="421">
        <v>3.7583841997143097E-2</v>
      </c>
      <c r="L176" s="421">
        <v>0</v>
      </c>
      <c r="M176" s="421">
        <v>6.7199909490891899E-2</v>
      </c>
      <c r="N176" s="421">
        <v>0</v>
      </c>
      <c r="O176" s="421">
        <v>0</v>
      </c>
      <c r="P176" s="421">
        <v>0.37251241625487003</v>
      </c>
      <c r="Q176" s="421">
        <v>0</v>
      </c>
      <c r="R176" s="421">
        <v>-2.63086893980002</v>
      </c>
      <c r="S176" s="429">
        <v>1.1392227929965899</v>
      </c>
      <c r="T176" s="412"/>
    </row>
    <row r="177" spans="2:20" ht="13.5">
      <c r="B177" s="412"/>
      <c r="C177" s="428" t="s">
        <v>356</v>
      </c>
      <c r="D177" s="421">
        <v>14.1944855957031</v>
      </c>
      <c r="E177" s="421">
        <v>-18.380132217119101</v>
      </c>
      <c r="F177" s="421">
        <v>24.040127313749402</v>
      </c>
      <c r="G177" s="421">
        <v>0</v>
      </c>
      <c r="H177" s="421">
        <v>0</v>
      </c>
      <c r="I177" s="421">
        <v>0</v>
      </c>
      <c r="J177" s="421">
        <v>0</v>
      </c>
      <c r="K177" s="421">
        <v>0</v>
      </c>
      <c r="L177" s="421">
        <v>0</v>
      </c>
      <c r="M177" s="421">
        <v>0</v>
      </c>
      <c r="N177" s="421">
        <v>0</v>
      </c>
      <c r="O177" s="421">
        <v>0</v>
      </c>
      <c r="P177" s="421">
        <v>0</v>
      </c>
      <c r="Q177" s="421">
        <v>0</v>
      </c>
      <c r="R177" s="421">
        <v>0</v>
      </c>
      <c r="S177" s="429">
        <v>19.8544806923335</v>
      </c>
      <c r="T177" s="412"/>
    </row>
    <row r="178" spans="2:20" ht="13.5">
      <c r="B178" s="412"/>
      <c r="C178" s="428" t="s">
        <v>75</v>
      </c>
      <c r="D178" s="421">
        <v>9.7861113281249992</v>
      </c>
      <c r="E178" s="421">
        <v>0</v>
      </c>
      <c r="F178" s="421">
        <v>18.035338972064899</v>
      </c>
      <c r="G178" s="421">
        <v>5.1464370207933401</v>
      </c>
      <c r="H178" s="421">
        <v>0</v>
      </c>
      <c r="I178" s="421">
        <v>0</v>
      </c>
      <c r="J178" s="421">
        <v>0</v>
      </c>
      <c r="K178" s="421">
        <v>0</v>
      </c>
      <c r="L178" s="421">
        <v>0</v>
      </c>
      <c r="M178" s="421">
        <v>0.105029326954966</v>
      </c>
      <c r="N178" s="421">
        <v>0</v>
      </c>
      <c r="O178" s="421">
        <v>0</v>
      </c>
      <c r="P178" s="421">
        <v>31.7730894392256</v>
      </c>
      <c r="Q178" s="421">
        <v>0</v>
      </c>
      <c r="R178" s="421">
        <v>0</v>
      </c>
      <c r="S178" s="429">
        <v>64.846006087163701</v>
      </c>
      <c r="T178" s="412"/>
    </row>
    <row r="179" spans="2:20" ht="13.5">
      <c r="B179" s="412"/>
      <c r="C179" s="428" t="s">
        <v>76</v>
      </c>
      <c r="D179" s="421">
        <v>0</v>
      </c>
      <c r="E179" s="421">
        <v>0</v>
      </c>
      <c r="F179" s="421">
        <v>0</v>
      </c>
      <c r="G179" s="421">
        <v>4.2960968353958799</v>
      </c>
      <c r="H179" s="421">
        <v>0</v>
      </c>
      <c r="I179" s="421">
        <v>0</v>
      </c>
      <c r="J179" s="421">
        <v>0</v>
      </c>
      <c r="K179" s="421">
        <v>0</v>
      </c>
      <c r="L179" s="421">
        <v>0</v>
      </c>
      <c r="M179" s="421">
        <v>8.7675445620324199E-2</v>
      </c>
      <c r="N179" s="421">
        <v>0</v>
      </c>
      <c r="O179" s="421">
        <v>0</v>
      </c>
      <c r="P179" s="421">
        <v>42.927323592620297</v>
      </c>
      <c r="Q179" s="421">
        <v>3.1793369165350902</v>
      </c>
      <c r="R179" s="421">
        <v>0</v>
      </c>
      <c r="S179" s="429">
        <v>50.490432790171603</v>
      </c>
      <c r="T179" s="412"/>
    </row>
    <row r="180" spans="2:20" ht="13.5">
      <c r="B180" s="412"/>
      <c r="C180" s="424" t="s">
        <v>77</v>
      </c>
      <c r="D180" s="425">
        <v>26.181067659394699</v>
      </c>
      <c r="E180" s="425">
        <v>512.071014020083</v>
      </c>
      <c r="F180" s="425">
        <v>-479.20753212538</v>
      </c>
      <c r="G180" s="425">
        <v>47.878996698291502</v>
      </c>
      <c r="H180" s="425">
        <v>1005.45454545455</v>
      </c>
      <c r="I180" s="425">
        <v>246.08</v>
      </c>
      <c r="J180" s="425">
        <v>84.365269374358903</v>
      </c>
      <c r="K180" s="425">
        <v>19.157104018858298</v>
      </c>
      <c r="L180" s="425">
        <v>-39.625648019747899</v>
      </c>
      <c r="M180" s="425">
        <v>-6.4168401990495498</v>
      </c>
      <c r="N180" s="425">
        <v>0</v>
      </c>
      <c r="O180" s="425">
        <v>2.2454573880541999</v>
      </c>
      <c r="P180" s="425">
        <v>-525.650681518228</v>
      </c>
      <c r="Q180" s="425">
        <v>-37.849249006370201</v>
      </c>
      <c r="R180" s="425">
        <v>-2.37365419743151</v>
      </c>
      <c r="S180" s="425">
        <v>852.30984954737903</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5.2125076489031201</v>
      </c>
      <c r="E182" s="421">
        <v>0</v>
      </c>
      <c r="F182" s="421">
        <v>21.727756673907599</v>
      </c>
      <c r="G182" s="421">
        <v>101.51924937784101</v>
      </c>
      <c r="H182" s="421">
        <v>0</v>
      </c>
      <c r="I182" s="421">
        <v>0</v>
      </c>
      <c r="J182" s="421">
        <v>17.0707077986517</v>
      </c>
      <c r="K182" s="421">
        <v>4.1672265212432702</v>
      </c>
      <c r="L182" s="421">
        <v>0.85564616601562504</v>
      </c>
      <c r="M182" s="421">
        <v>2.07182141587431</v>
      </c>
      <c r="N182" s="421">
        <v>0</v>
      </c>
      <c r="O182" s="421">
        <v>0</v>
      </c>
      <c r="P182" s="421">
        <v>108.651427718851</v>
      </c>
      <c r="Q182" s="421">
        <v>18.253539143187599</v>
      </c>
      <c r="R182" s="421">
        <v>0.245581359863281</v>
      </c>
      <c r="S182" s="429">
        <v>279.775463824339</v>
      </c>
      <c r="T182" s="412"/>
    </row>
    <row r="183" spans="2:20" ht="13.5">
      <c r="B183" s="412"/>
      <c r="C183" s="428" t="s">
        <v>79</v>
      </c>
      <c r="D183" s="421">
        <v>0</v>
      </c>
      <c r="E183" s="421">
        <v>0</v>
      </c>
      <c r="F183" s="421">
        <v>248.35405318252</v>
      </c>
      <c r="G183" s="421">
        <v>28.348372671164501</v>
      </c>
      <c r="H183" s="421">
        <v>0</v>
      </c>
      <c r="I183" s="421">
        <v>0</v>
      </c>
      <c r="J183" s="421">
        <v>0</v>
      </c>
      <c r="K183" s="421">
        <v>0</v>
      </c>
      <c r="L183" s="421">
        <v>25.168184235978501</v>
      </c>
      <c r="M183" s="421">
        <v>0.57853821777886805</v>
      </c>
      <c r="N183" s="421">
        <v>0</v>
      </c>
      <c r="O183" s="421">
        <v>0</v>
      </c>
      <c r="P183" s="421">
        <v>52.469592014343696</v>
      </c>
      <c r="Q183" s="421">
        <v>0</v>
      </c>
      <c r="R183" s="421">
        <v>1.65835229069323</v>
      </c>
      <c r="S183" s="429">
        <v>356.57709261247902</v>
      </c>
      <c r="T183" s="412"/>
    </row>
    <row r="184" spans="2:20" ht="13.5">
      <c r="B184" s="412"/>
      <c r="C184" s="428" t="s">
        <v>80</v>
      </c>
      <c r="D184" s="421">
        <v>0</v>
      </c>
      <c r="E184" s="421">
        <v>0</v>
      </c>
      <c r="F184" s="421">
        <v>20.256761512665399</v>
      </c>
      <c r="G184" s="421">
        <v>114.236246094908</v>
      </c>
      <c r="H184" s="421">
        <v>0</v>
      </c>
      <c r="I184" s="421">
        <v>0</v>
      </c>
      <c r="J184" s="421">
        <v>74.165421932581495</v>
      </c>
      <c r="K184" s="421">
        <v>0</v>
      </c>
      <c r="L184" s="421">
        <v>0</v>
      </c>
      <c r="M184" s="421">
        <v>2.3313519611205602</v>
      </c>
      <c r="N184" s="421">
        <v>50.603124329176602</v>
      </c>
      <c r="O184" s="421">
        <v>0.95734789320939595</v>
      </c>
      <c r="P184" s="421">
        <v>178.886337281088</v>
      </c>
      <c r="Q184" s="421">
        <v>15.5186626122163</v>
      </c>
      <c r="R184" s="421">
        <v>0</v>
      </c>
      <c r="S184" s="429">
        <v>456.95525361696502</v>
      </c>
      <c r="T184" s="412"/>
    </row>
    <row r="185" spans="2:20" ht="13.5">
      <c r="B185" s="412"/>
      <c r="C185" s="428" t="s">
        <v>81</v>
      </c>
      <c r="D185" s="421">
        <v>0</v>
      </c>
      <c r="E185" s="421">
        <v>0</v>
      </c>
      <c r="F185" s="421">
        <v>8.4821062063849304</v>
      </c>
      <c r="G185" s="421">
        <v>65.4970920681791</v>
      </c>
      <c r="H185" s="421">
        <v>0</v>
      </c>
      <c r="I185" s="421">
        <v>0</v>
      </c>
      <c r="J185" s="421">
        <v>3.4528006603112198</v>
      </c>
      <c r="K185" s="421">
        <v>0</v>
      </c>
      <c r="L185" s="421">
        <v>0</v>
      </c>
      <c r="M185" s="421">
        <v>1.3366753483301901</v>
      </c>
      <c r="N185" s="421">
        <v>6.6434716462271597</v>
      </c>
      <c r="O185" s="421">
        <v>0.79174204160808703</v>
      </c>
      <c r="P185" s="421">
        <v>137.26768731378999</v>
      </c>
      <c r="Q185" s="421">
        <v>4.0770472509662401</v>
      </c>
      <c r="R185" s="421">
        <v>0</v>
      </c>
      <c r="S185" s="429">
        <v>227.54862253579699</v>
      </c>
      <c r="T185" s="412"/>
    </row>
    <row r="186" spans="2:20" ht="13.5">
      <c r="B186" s="412"/>
      <c r="C186" s="428" t="s">
        <v>82</v>
      </c>
      <c r="D186" s="421">
        <v>0</v>
      </c>
      <c r="E186" s="421">
        <v>0</v>
      </c>
      <c r="F186" s="421">
        <v>13.750506376214</v>
      </c>
      <c r="G186" s="421">
        <v>4.8242095413356898</v>
      </c>
      <c r="H186" s="421">
        <v>0</v>
      </c>
      <c r="I186" s="421">
        <v>0</v>
      </c>
      <c r="J186" s="421">
        <v>1.4039897378261701</v>
      </c>
      <c r="K186" s="421">
        <v>0</v>
      </c>
      <c r="L186" s="421">
        <v>12.720346370565601</v>
      </c>
      <c r="M186" s="421">
        <v>9.8453255945626303E-2</v>
      </c>
      <c r="N186" s="421">
        <v>0</v>
      </c>
      <c r="O186" s="421">
        <v>7.4767074498679406E-2</v>
      </c>
      <c r="P186" s="421">
        <v>7.7760236070527604</v>
      </c>
      <c r="Q186" s="421">
        <v>0</v>
      </c>
      <c r="R186" s="421">
        <v>0</v>
      </c>
      <c r="S186" s="429">
        <v>40.648295963438599</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ht="13.5">
      <c r="B188" s="412"/>
      <c r="C188" s="424" t="s">
        <v>83</v>
      </c>
      <c r="D188" s="425">
        <v>5.2125076489031201</v>
      </c>
      <c r="E188" s="425">
        <v>0</v>
      </c>
      <c r="F188" s="425">
        <v>312.57118395169198</v>
      </c>
      <c r="G188" s="425">
        <v>314.42516975342801</v>
      </c>
      <c r="H188" s="425">
        <v>0</v>
      </c>
      <c r="I188" s="425">
        <v>0</v>
      </c>
      <c r="J188" s="425">
        <v>96.092920129370597</v>
      </c>
      <c r="K188" s="425">
        <v>4.1672265212432702</v>
      </c>
      <c r="L188" s="425">
        <v>38.744176772559697</v>
      </c>
      <c r="M188" s="425">
        <v>6.4168401990495498</v>
      </c>
      <c r="N188" s="425">
        <v>57.2465959754038</v>
      </c>
      <c r="O188" s="425">
        <v>1.8238570093161599</v>
      </c>
      <c r="P188" s="425">
        <v>485.05106793512499</v>
      </c>
      <c r="Q188" s="425">
        <v>37.849249006370201</v>
      </c>
      <c r="R188" s="425">
        <v>1.9039336505565101</v>
      </c>
      <c r="S188" s="425">
        <v>1361.50472855302</v>
      </c>
      <c r="T188" s="412"/>
    </row>
    <row r="189" spans="2:20" ht="13.5">
      <c r="B189" s="412"/>
      <c r="C189" s="420" t="s">
        <v>84</v>
      </c>
      <c r="D189" s="421">
        <v>2.2139919433593702</v>
      </c>
      <c r="E189" s="421">
        <v>0</v>
      </c>
      <c r="F189" s="421">
        <v>138.06375460012401</v>
      </c>
      <c r="G189" s="421">
        <v>12.2915642401253</v>
      </c>
      <c r="H189" s="421">
        <v>0</v>
      </c>
      <c r="I189" s="421">
        <v>0</v>
      </c>
      <c r="J189" s="421">
        <v>0</v>
      </c>
      <c r="K189" s="421">
        <v>0</v>
      </c>
      <c r="L189" s="421">
        <v>0</v>
      </c>
      <c r="M189" s="421">
        <v>0</v>
      </c>
      <c r="N189" s="421">
        <v>0</v>
      </c>
      <c r="O189" s="421">
        <v>0</v>
      </c>
      <c r="P189" s="421">
        <v>0</v>
      </c>
      <c r="Q189" s="421">
        <v>0</v>
      </c>
      <c r="R189" s="421">
        <v>0.46972054687499998</v>
      </c>
      <c r="S189" s="429">
        <v>153.03903133048399</v>
      </c>
      <c r="T189" s="412"/>
    </row>
    <row r="190" spans="2:20" ht="13.5">
      <c r="B190" s="412"/>
      <c r="C190" s="424" t="s">
        <v>85</v>
      </c>
      <c r="D190" s="425">
        <v>7.4264995922625001</v>
      </c>
      <c r="E190" s="425">
        <v>0</v>
      </c>
      <c r="F190" s="425">
        <v>450.63493855181599</v>
      </c>
      <c r="G190" s="425">
        <v>326.71673399355302</v>
      </c>
      <c r="H190" s="425">
        <v>0</v>
      </c>
      <c r="I190" s="425">
        <v>0</v>
      </c>
      <c r="J190" s="425">
        <v>96.092920129370597</v>
      </c>
      <c r="K190" s="425">
        <v>4.1672265212432702</v>
      </c>
      <c r="L190" s="425">
        <v>38.744176772559697</v>
      </c>
      <c r="M190" s="425">
        <v>6.4168401990495498</v>
      </c>
      <c r="N190" s="425">
        <v>57.2465959754038</v>
      </c>
      <c r="O190" s="425">
        <v>1.8238570093161599</v>
      </c>
      <c r="P190" s="425">
        <v>485.05106793512499</v>
      </c>
      <c r="Q190" s="425">
        <v>37.849249006370201</v>
      </c>
      <c r="R190" s="425">
        <v>2.37365419743151</v>
      </c>
      <c r="S190" s="425">
        <v>1514.5437598834999</v>
      </c>
      <c r="T190" s="412"/>
    </row>
    <row r="191" spans="2:20">
      <c r="B191" s="412"/>
      <c r="C191" s="412"/>
      <c r="D191" s="430">
        <f t="shared" ref="D191:S191" si="4">D190+D180-D166</f>
        <v>0</v>
      </c>
      <c r="E191" s="430">
        <f t="shared" si="4"/>
        <v>0</v>
      </c>
      <c r="F191" s="430">
        <f t="shared" si="4"/>
        <v>-8.0646600508771371E-13</v>
      </c>
      <c r="G191" s="430">
        <f t="shared" si="4"/>
        <v>-4.5474735088646412E-13</v>
      </c>
      <c r="H191" s="430">
        <f t="shared" si="4"/>
        <v>0</v>
      </c>
      <c r="I191" s="430">
        <f t="shared" si="4"/>
        <v>0</v>
      </c>
      <c r="J191" s="430">
        <f t="shared" si="4"/>
        <v>-5.1159076974727213E-13</v>
      </c>
      <c r="K191" s="430">
        <f t="shared" si="4"/>
        <v>-2.8421709430404007E-14</v>
      </c>
      <c r="L191" s="430">
        <f t="shared" si="4"/>
        <v>1.4210854715202004E-14</v>
      </c>
      <c r="M191" s="430">
        <f t="shared" si="4"/>
        <v>0</v>
      </c>
      <c r="N191" s="430">
        <f t="shared" si="4"/>
        <v>0</v>
      </c>
      <c r="O191" s="430">
        <f t="shared" si="4"/>
        <v>0</v>
      </c>
      <c r="P191" s="430">
        <f t="shared" si="4"/>
        <v>1.9184653865522705E-13</v>
      </c>
      <c r="Q191" s="430">
        <f t="shared" si="4"/>
        <v>0</v>
      </c>
      <c r="R191" s="430">
        <f t="shared" si="4"/>
        <v>0</v>
      </c>
      <c r="S191" s="430">
        <f t="shared" si="4"/>
        <v>0</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363</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0</v>
      </c>
      <c r="F197" s="421">
        <v>0</v>
      </c>
      <c r="G197" s="421">
        <v>0</v>
      </c>
      <c r="H197" s="422">
        <v>959.09090909090901</v>
      </c>
      <c r="I197" s="422">
        <v>262.58</v>
      </c>
      <c r="J197" s="422">
        <v>180.265617568263</v>
      </c>
      <c r="K197" s="422">
        <v>23.099472372796701</v>
      </c>
      <c r="L197" s="421">
        <v>0</v>
      </c>
      <c r="M197" s="421">
        <v>0</v>
      </c>
      <c r="N197" s="422">
        <v>59.577309191786703</v>
      </c>
      <c r="O197" s="422">
        <v>4.0524132365006302</v>
      </c>
      <c r="P197" s="421">
        <v>0</v>
      </c>
      <c r="Q197" s="421">
        <v>0</v>
      </c>
      <c r="R197" s="421">
        <v>0</v>
      </c>
      <c r="S197" s="423">
        <v>1488.6657214602601</v>
      </c>
      <c r="T197" s="412"/>
    </row>
    <row r="198" spans="2:20" ht="13.5">
      <c r="B198" s="412"/>
      <c r="C198" s="420" t="s">
        <v>60</v>
      </c>
      <c r="D198" s="421">
        <v>32.718430513686002</v>
      </c>
      <c r="E198" s="421">
        <v>504.19228646673599</v>
      </c>
      <c r="F198" s="421">
        <v>58.276607316060698</v>
      </c>
      <c r="G198" s="421">
        <v>375.54945868825399</v>
      </c>
      <c r="H198" s="421">
        <v>0</v>
      </c>
      <c r="I198" s="421">
        <v>0</v>
      </c>
      <c r="J198" s="421">
        <v>0</v>
      </c>
      <c r="K198" s="421">
        <v>0</v>
      </c>
      <c r="L198" s="421">
        <v>0</v>
      </c>
      <c r="M198" s="421">
        <v>0</v>
      </c>
      <c r="N198" s="421">
        <v>0</v>
      </c>
      <c r="O198" s="421">
        <v>0</v>
      </c>
      <c r="P198" s="421">
        <v>0</v>
      </c>
      <c r="Q198" s="421">
        <v>0</v>
      </c>
      <c r="R198" s="421">
        <v>0</v>
      </c>
      <c r="S198" s="423">
        <v>970.73678298473703</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-31.629492690064499</v>
      </c>
      <c r="Q199" s="421">
        <v>0</v>
      </c>
      <c r="R199" s="421">
        <v>0</v>
      </c>
      <c r="S199" s="423">
        <v>-31.629492690064499</v>
      </c>
      <c r="T199" s="412"/>
    </row>
    <row r="200" spans="2:20" ht="13.5">
      <c r="B200" s="412"/>
      <c r="C200" s="420" t="s">
        <v>62</v>
      </c>
      <c r="D200" s="421">
        <v>0</v>
      </c>
      <c r="E200" s="421">
        <v>0</v>
      </c>
      <c r="F200" s="421">
        <v>-15.8559052566209</v>
      </c>
      <c r="G200" s="421">
        <v>0</v>
      </c>
      <c r="H200" s="421">
        <v>0</v>
      </c>
      <c r="I200" s="421">
        <v>0</v>
      </c>
      <c r="J200" s="421">
        <v>0</v>
      </c>
      <c r="K200" s="421">
        <v>0</v>
      </c>
      <c r="L200" s="421">
        <v>0</v>
      </c>
      <c r="M200" s="421">
        <v>0</v>
      </c>
      <c r="N200" s="421">
        <v>0</v>
      </c>
      <c r="O200" s="421">
        <v>0</v>
      </c>
      <c r="P200" s="421">
        <v>0</v>
      </c>
      <c r="Q200" s="421">
        <v>0</v>
      </c>
      <c r="R200" s="421">
        <v>0</v>
      </c>
      <c r="S200" s="423">
        <v>-15.8559052566209</v>
      </c>
      <c r="T200" s="412"/>
    </row>
    <row r="201" spans="2:20" ht="13.5">
      <c r="B201" s="412"/>
      <c r="C201" s="420" t="s">
        <v>63</v>
      </c>
      <c r="D201" s="421">
        <v>0</v>
      </c>
      <c r="E201" s="421">
        <v>0</v>
      </c>
      <c r="F201" s="421">
        <v>-86.773262368245497</v>
      </c>
      <c r="G201" s="421">
        <v>0</v>
      </c>
      <c r="H201" s="421">
        <v>0</v>
      </c>
      <c r="I201" s="421">
        <v>0</v>
      </c>
      <c r="J201" s="421">
        <v>0</v>
      </c>
      <c r="K201" s="421">
        <v>0</v>
      </c>
      <c r="L201" s="421">
        <v>-0.89665432830126901</v>
      </c>
      <c r="M201" s="421">
        <v>0</v>
      </c>
      <c r="N201" s="421">
        <v>0</v>
      </c>
      <c r="O201" s="421">
        <v>0</v>
      </c>
      <c r="P201" s="421">
        <v>0</v>
      </c>
      <c r="Q201" s="421">
        <v>0</v>
      </c>
      <c r="R201" s="421">
        <v>0</v>
      </c>
      <c r="S201" s="423">
        <v>-87.669916696546807</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32.718430513686002</v>
      </c>
      <c r="E203" s="425">
        <v>504.19228646673599</v>
      </c>
      <c r="F203" s="425">
        <v>-44.3525603088057</v>
      </c>
      <c r="G203" s="425">
        <v>375.54945868825399</v>
      </c>
      <c r="H203" s="425">
        <v>959.09090909090901</v>
      </c>
      <c r="I203" s="425">
        <v>262.58</v>
      </c>
      <c r="J203" s="425">
        <v>180.265617568263</v>
      </c>
      <c r="K203" s="425">
        <v>23.099472372796701</v>
      </c>
      <c r="L203" s="425">
        <v>-0.89665432830126901</v>
      </c>
      <c r="M203" s="425">
        <v>0</v>
      </c>
      <c r="N203" s="425">
        <v>59.577309191786703</v>
      </c>
      <c r="O203" s="425">
        <v>4.0524132365006302</v>
      </c>
      <c r="P203" s="425">
        <v>-31.629492690064499</v>
      </c>
      <c r="Q203" s="425">
        <v>0</v>
      </c>
      <c r="R203" s="425">
        <v>0</v>
      </c>
      <c r="S203" s="425">
        <v>2324.2471898017602</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2.2004707355665598</v>
      </c>
      <c r="E206" s="421">
        <v>0</v>
      </c>
      <c r="F206" s="421">
        <v>3.8636363636363602</v>
      </c>
      <c r="G206" s="421">
        <v>17.735248612195999</v>
      </c>
      <c r="H206" s="421">
        <v>959.09090909090901</v>
      </c>
      <c r="I206" s="421">
        <v>262.58</v>
      </c>
      <c r="J206" s="421">
        <v>23.4611328004797</v>
      </c>
      <c r="K206" s="421">
        <v>6.2174163871509203</v>
      </c>
      <c r="L206" s="421">
        <v>0</v>
      </c>
      <c r="M206" s="421">
        <v>0.36194384922848999</v>
      </c>
      <c r="N206" s="421">
        <v>0</v>
      </c>
      <c r="O206" s="421">
        <v>0</v>
      </c>
      <c r="P206" s="421">
        <v>-601.88588566531905</v>
      </c>
      <c r="Q206" s="421">
        <v>0</v>
      </c>
      <c r="R206" s="421">
        <v>0</v>
      </c>
      <c r="S206" s="429">
        <v>673.62487217384796</v>
      </c>
      <c r="T206" s="412"/>
    </row>
    <row r="207" spans="2:20" ht="13.5">
      <c r="B207" s="412"/>
      <c r="C207" s="428" t="s">
        <v>351</v>
      </c>
      <c r="D207" s="421">
        <v>0</v>
      </c>
      <c r="E207" s="421">
        <v>0</v>
      </c>
      <c r="F207" s="421">
        <v>0</v>
      </c>
      <c r="G207" s="421">
        <v>17.183924372650001</v>
      </c>
      <c r="H207" s="421">
        <v>0</v>
      </c>
      <c r="I207" s="421">
        <v>0</v>
      </c>
      <c r="J207" s="421">
        <v>12.602550905863099</v>
      </c>
      <c r="K207" s="421">
        <v>12.7146561007388</v>
      </c>
      <c r="L207" s="421">
        <v>0</v>
      </c>
      <c r="M207" s="421">
        <v>0.35069233413571399</v>
      </c>
      <c r="N207" s="421">
        <v>0</v>
      </c>
      <c r="O207" s="421">
        <v>2.2448826639763899</v>
      </c>
      <c r="P207" s="421">
        <v>0</v>
      </c>
      <c r="Q207" s="421">
        <v>-41.019007188274998</v>
      </c>
      <c r="R207" s="421">
        <v>0</v>
      </c>
      <c r="S207" s="429">
        <v>4.0776991890889702</v>
      </c>
      <c r="T207" s="412"/>
    </row>
    <row r="208" spans="2:20" ht="13.5">
      <c r="B208" s="412"/>
      <c r="C208" s="428" t="s">
        <v>352</v>
      </c>
      <c r="D208" s="421">
        <v>0</v>
      </c>
      <c r="E208" s="421">
        <v>0</v>
      </c>
      <c r="F208" s="421">
        <v>0</v>
      </c>
      <c r="G208" s="421">
        <v>0</v>
      </c>
      <c r="H208" s="421">
        <v>0</v>
      </c>
      <c r="I208" s="421">
        <v>0</v>
      </c>
      <c r="J208" s="421">
        <v>8.1259394649786305</v>
      </c>
      <c r="K208" s="421">
        <v>0</v>
      </c>
      <c r="L208" s="421">
        <v>0</v>
      </c>
      <c r="M208" s="421">
        <v>-7.4149197617929996</v>
      </c>
      <c r="N208" s="421">
        <v>0</v>
      </c>
      <c r="O208" s="421">
        <v>0</v>
      </c>
      <c r="P208" s="421">
        <v>0</v>
      </c>
      <c r="Q208" s="421">
        <v>0</v>
      </c>
      <c r="R208" s="421">
        <v>0</v>
      </c>
      <c r="S208" s="429">
        <v>0.71101970318563101</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522.289621864335</v>
      </c>
      <c r="F210" s="421">
        <v>-517.06672564569203</v>
      </c>
      <c r="G210" s="421">
        <v>0</v>
      </c>
      <c r="H210" s="421">
        <v>0</v>
      </c>
      <c r="I210" s="421">
        <v>0</v>
      </c>
      <c r="J210" s="421">
        <v>0</v>
      </c>
      <c r="K210" s="421">
        <v>0</v>
      </c>
      <c r="L210" s="421">
        <v>0</v>
      </c>
      <c r="M210" s="421">
        <v>0</v>
      </c>
      <c r="N210" s="421">
        <v>0</v>
      </c>
      <c r="O210" s="421">
        <v>0</v>
      </c>
      <c r="P210" s="421">
        <v>0</v>
      </c>
      <c r="Q210" s="421">
        <v>0</v>
      </c>
      <c r="R210" s="421">
        <v>0</v>
      </c>
      <c r="S210" s="429">
        <v>5.2228962186433101</v>
      </c>
      <c r="T210" s="412"/>
    </row>
    <row r="211" spans="2:20" ht="13.5">
      <c r="B211" s="412"/>
      <c r="C211" s="428" t="s">
        <v>354</v>
      </c>
      <c r="D211" s="421">
        <v>0</v>
      </c>
      <c r="E211" s="421">
        <v>0</v>
      </c>
      <c r="F211" s="421">
        <v>0</v>
      </c>
      <c r="G211" s="421">
        <v>0</v>
      </c>
      <c r="H211" s="421">
        <v>0</v>
      </c>
      <c r="I211" s="421">
        <v>0</v>
      </c>
      <c r="J211" s="421">
        <v>39.636150809514099</v>
      </c>
      <c r="K211" s="421">
        <v>0</v>
      </c>
      <c r="L211" s="421">
        <v>-39.636150809514099</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-0.18158952535457601</v>
      </c>
      <c r="M212" s="421">
        <v>0</v>
      </c>
      <c r="N212" s="421">
        <v>0</v>
      </c>
      <c r="O212" s="421">
        <v>0</v>
      </c>
      <c r="P212" s="421">
        <v>0</v>
      </c>
      <c r="Q212" s="421">
        <v>0</v>
      </c>
      <c r="R212" s="421">
        <v>0.25941360764939397</v>
      </c>
      <c r="S212" s="429">
        <v>7.7824082294818103E-2</v>
      </c>
      <c r="T212" s="412"/>
    </row>
    <row r="213" spans="2:20" ht="13.5">
      <c r="B213" s="412"/>
      <c r="C213" s="428" t="s">
        <v>73</v>
      </c>
      <c r="D213" s="421">
        <v>0</v>
      </c>
      <c r="E213" s="421">
        <v>0</v>
      </c>
      <c r="F213" s="421">
        <v>0</v>
      </c>
      <c r="G213" s="421">
        <v>3.8743456372163201</v>
      </c>
      <c r="H213" s="421">
        <v>0</v>
      </c>
      <c r="I213" s="421">
        <v>0</v>
      </c>
      <c r="J213" s="421">
        <v>0</v>
      </c>
      <c r="K213" s="421">
        <v>4.4420381073335499E-2</v>
      </c>
      <c r="L213" s="421">
        <v>0</v>
      </c>
      <c r="M213" s="421">
        <v>7.9068278310537199E-2</v>
      </c>
      <c r="N213" s="421">
        <v>0</v>
      </c>
      <c r="O213" s="421">
        <v>0</v>
      </c>
      <c r="P213" s="421">
        <v>0.45393090147934101</v>
      </c>
      <c r="Q213" s="421">
        <v>0</v>
      </c>
      <c r="R213" s="421">
        <v>-3.10942667513349</v>
      </c>
      <c r="S213" s="429">
        <v>1.3423385229460501</v>
      </c>
      <c r="T213" s="412"/>
    </row>
    <row r="214" spans="2:20" ht="13.5">
      <c r="B214" s="412"/>
      <c r="C214" s="428" t="s">
        <v>356</v>
      </c>
      <c r="D214" s="421">
        <v>13.757025878906299</v>
      </c>
      <c r="E214" s="421">
        <v>-18.097335397599199</v>
      </c>
      <c r="F214" s="421">
        <v>23.670245777269098</v>
      </c>
      <c r="G214" s="421">
        <v>0</v>
      </c>
      <c r="H214" s="421">
        <v>0</v>
      </c>
      <c r="I214" s="421">
        <v>0</v>
      </c>
      <c r="J214" s="421">
        <v>0</v>
      </c>
      <c r="K214" s="421">
        <v>0</v>
      </c>
      <c r="L214" s="421">
        <v>0</v>
      </c>
      <c r="M214" s="421">
        <v>0</v>
      </c>
      <c r="N214" s="421">
        <v>0</v>
      </c>
      <c r="O214" s="421">
        <v>0</v>
      </c>
      <c r="P214" s="421">
        <v>0</v>
      </c>
      <c r="Q214" s="421">
        <v>0</v>
      </c>
      <c r="R214" s="421">
        <v>0</v>
      </c>
      <c r="S214" s="429">
        <v>19.329936258576101</v>
      </c>
      <c r="T214" s="412"/>
    </row>
    <row r="215" spans="2:20" ht="13.5">
      <c r="B215" s="412"/>
      <c r="C215" s="428" t="s">
        <v>75</v>
      </c>
      <c r="D215" s="421">
        <v>9.7066552734374998</v>
      </c>
      <c r="E215" s="421">
        <v>0</v>
      </c>
      <c r="F215" s="421">
        <v>17.757847143387401</v>
      </c>
      <c r="G215" s="421">
        <v>5.0672539113277804</v>
      </c>
      <c r="H215" s="421">
        <v>0</v>
      </c>
      <c r="I215" s="421">
        <v>0</v>
      </c>
      <c r="J215" s="421">
        <v>0</v>
      </c>
      <c r="K215" s="421">
        <v>0</v>
      </c>
      <c r="L215" s="421">
        <v>0</v>
      </c>
      <c r="M215" s="421">
        <v>0.103413345129138</v>
      </c>
      <c r="N215" s="421">
        <v>0</v>
      </c>
      <c r="O215" s="421">
        <v>0</v>
      </c>
      <c r="P215" s="421">
        <v>30.6584761014478</v>
      </c>
      <c r="Q215" s="421">
        <v>0</v>
      </c>
      <c r="R215" s="421">
        <v>0</v>
      </c>
      <c r="S215" s="429">
        <v>63.293645774729598</v>
      </c>
      <c r="T215" s="412"/>
    </row>
    <row r="216" spans="2:20" ht="13.5">
      <c r="B216" s="412"/>
      <c r="C216" s="428" t="s">
        <v>76</v>
      </c>
      <c r="D216" s="421">
        <v>0</v>
      </c>
      <c r="E216" s="421">
        <v>0</v>
      </c>
      <c r="F216" s="421">
        <v>0</v>
      </c>
      <c r="G216" s="421">
        <v>4.3082735374844701</v>
      </c>
      <c r="H216" s="421">
        <v>0</v>
      </c>
      <c r="I216" s="421">
        <v>0</v>
      </c>
      <c r="J216" s="421">
        <v>0</v>
      </c>
      <c r="K216" s="421">
        <v>0</v>
      </c>
      <c r="L216" s="421">
        <v>0</v>
      </c>
      <c r="M216" s="421">
        <v>8.7923949744581106E-2</v>
      </c>
      <c r="N216" s="421">
        <v>0</v>
      </c>
      <c r="O216" s="421">
        <v>0</v>
      </c>
      <c r="P216" s="421">
        <v>43.703860218786801</v>
      </c>
      <c r="Q216" s="421">
        <v>3.1785946529659599</v>
      </c>
      <c r="R216" s="421">
        <v>0</v>
      </c>
      <c r="S216" s="429">
        <v>51.278652358981802</v>
      </c>
      <c r="T216" s="412"/>
    </row>
    <row r="217" spans="2:20" ht="13.5">
      <c r="B217" s="412"/>
      <c r="C217" s="424" t="s">
        <v>77</v>
      </c>
      <c r="D217" s="425">
        <v>25.6641518879103</v>
      </c>
      <c r="E217" s="425">
        <v>504.19228646673599</v>
      </c>
      <c r="F217" s="425">
        <v>-471.77499636139902</v>
      </c>
      <c r="G217" s="425">
        <v>48.1690460708746</v>
      </c>
      <c r="H217" s="425">
        <v>959.09090909090901</v>
      </c>
      <c r="I217" s="425">
        <v>262.58</v>
      </c>
      <c r="J217" s="425">
        <v>83.825773980835606</v>
      </c>
      <c r="K217" s="425">
        <v>18.976492868963099</v>
      </c>
      <c r="L217" s="425">
        <v>-39.817740334868702</v>
      </c>
      <c r="M217" s="425">
        <v>-6.4318780052445401</v>
      </c>
      <c r="N217" s="425">
        <v>0</v>
      </c>
      <c r="O217" s="425">
        <v>2.2448826639763899</v>
      </c>
      <c r="P217" s="425">
        <v>-527.06961844360501</v>
      </c>
      <c r="Q217" s="425">
        <v>-37.840412535309099</v>
      </c>
      <c r="R217" s="425">
        <v>-2.85001306748409</v>
      </c>
      <c r="S217" s="425">
        <v>818.958884282295</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4.8707551882757301</v>
      </c>
      <c r="E219" s="421">
        <v>0</v>
      </c>
      <c r="F219" s="421">
        <v>20.993444165004</v>
      </c>
      <c r="G219" s="421">
        <v>101.297175428703</v>
      </c>
      <c r="H219" s="421">
        <v>0</v>
      </c>
      <c r="I219" s="421">
        <v>0</v>
      </c>
      <c r="J219" s="421">
        <v>17.0565927141357</v>
      </c>
      <c r="K219" s="421">
        <v>4.1229795038336201</v>
      </c>
      <c r="L219" s="421">
        <v>0.85536540625000002</v>
      </c>
      <c r="M219" s="421">
        <v>2.0672892944633201</v>
      </c>
      <c r="N219" s="421">
        <v>0</v>
      </c>
      <c r="O219" s="421">
        <v>0</v>
      </c>
      <c r="P219" s="421">
        <v>110.160518652362</v>
      </c>
      <c r="Q219" s="421">
        <v>18.409316628727701</v>
      </c>
      <c r="R219" s="421">
        <v>0.24532713317871099</v>
      </c>
      <c r="S219" s="429">
        <v>280.07876411493402</v>
      </c>
      <c r="T219" s="412"/>
    </row>
    <row r="220" spans="2:20" ht="13.5">
      <c r="B220" s="412"/>
      <c r="C220" s="428" t="s">
        <v>79</v>
      </c>
      <c r="D220" s="421">
        <v>0</v>
      </c>
      <c r="E220" s="421">
        <v>0</v>
      </c>
      <c r="F220" s="421">
        <v>232.66006634693801</v>
      </c>
      <c r="G220" s="421">
        <v>30.945196482305999</v>
      </c>
      <c r="H220" s="421">
        <v>0</v>
      </c>
      <c r="I220" s="421">
        <v>0</v>
      </c>
      <c r="J220" s="421">
        <v>0</v>
      </c>
      <c r="K220" s="421">
        <v>0</v>
      </c>
      <c r="L220" s="421">
        <v>23.571302525286502</v>
      </c>
      <c r="M220" s="421">
        <v>0.63153462208787803</v>
      </c>
      <c r="N220" s="421">
        <v>0</v>
      </c>
      <c r="O220" s="421">
        <v>0</v>
      </c>
      <c r="P220" s="421">
        <v>58.064871561766502</v>
      </c>
      <c r="Q220" s="421">
        <v>0</v>
      </c>
      <c r="R220" s="421">
        <v>2.0183635099889798</v>
      </c>
      <c r="S220" s="429">
        <v>347.891335048374</v>
      </c>
      <c r="T220" s="412"/>
    </row>
    <row r="221" spans="2:20" ht="13.5">
      <c r="B221" s="412"/>
      <c r="C221" s="428" t="s">
        <v>80</v>
      </c>
      <c r="D221" s="421">
        <v>0</v>
      </c>
      <c r="E221" s="421">
        <v>0</v>
      </c>
      <c r="F221" s="421">
        <v>17.5598675682925</v>
      </c>
      <c r="G221" s="421">
        <v>111.929219277919</v>
      </c>
      <c r="H221" s="421">
        <v>0</v>
      </c>
      <c r="I221" s="421">
        <v>0</v>
      </c>
      <c r="J221" s="421">
        <v>74.389853901213101</v>
      </c>
      <c r="K221" s="421">
        <v>0</v>
      </c>
      <c r="L221" s="421">
        <v>0</v>
      </c>
      <c r="M221" s="421">
        <v>2.2842697811820298</v>
      </c>
      <c r="N221" s="421">
        <v>53.007893982905898</v>
      </c>
      <c r="O221" s="421">
        <v>0.95506902656111503</v>
      </c>
      <c r="P221" s="421">
        <v>180.360799216462</v>
      </c>
      <c r="Q221" s="421">
        <v>15.433765533154</v>
      </c>
      <c r="R221" s="421">
        <v>0</v>
      </c>
      <c r="S221" s="429">
        <v>455.92073828769003</v>
      </c>
      <c r="T221" s="412"/>
    </row>
    <row r="222" spans="2:20" ht="13.5">
      <c r="B222" s="412"/>
      <c r="C222" s="428" t="s">
        <v>81</v>
      </c>
      <c r="D222" s="421">
        <v>0</v>
      </c>
      <c r="E222" s="421">
        <v>0</v>
      </c>
      <c r="F222" s="421">
        <v>7.3923055794682702</v>
      </c>
      <c r="G222" s="421">
        <v>65.894293417713897</v>
      </c>
      <c r="H222" s="421">
        <v>0</v>
      </c>
      <c r="I222" s="421">
        <v>0</v>
      </c>
      <c r="J222" s="421">
        <v>3.41214349769231</v>
      </c>
      <c r="K222" s="421">
        <v>0</v>
      </c>
      <c r="L222" s="421">
        <v>0</v>
      </c>
      <c r="M222" s="421">
        <v>1.34478149832069</v>
      </c>
      <c r="N222" s="421">
        <v>6.5694152088807796</v>
      </c>
      <c r="O222" s="421">
        <v>0.78006902491520902</v>
      </c>
      <c r="P222" s="421">
        <v>139.183172558515</v>
      </c>
      <c r="Q222" s="421">
        <v>3.99733037342736</v>
      </c>
      <c r="R222" s="421">
        <v>0</v>
      </c>
      <c r="S222" s="429">
        <v>228.573511158934</v>
      </c>
      <c r="T222" s="412"/>
    </row>
    <row r="223" spans="2:20" ht="13.5">
      <c r="B223" s="412"/>
      <c r="C223" s="428" t="s">
        <v>82</v>
      </c>
      <c r="D223" s="421">
        <v>0</v>
      </c>
      <c r="E223" s="421">
        <v>0</v>
      </c>
      <c r="F223" s="421">
        <v>10.671888604675701</v>
      </c>
      <c r="G223" s="421">
        <v>5.0961376503405704</v>
      </c>
      <c r="H223" s="421">
        <v>0</v>
      </c>
      <c r="I223" s="421">
        <v>0</v>
      </c>
      <c r="J223" s="421">
        <v>1.58125347438603</v>
      </c>
      <c r="K223" s="421">
        <v>0</v>
      </c>
      <c r="L223" s="421">
        <v>14.494418075031</v>
      </c>
      <c r="M223" s="421">
        <v>0.104002809190624</v>
      </c>
      <c r="N223" s="421">
        <v>0</v>
      </c>
      <c r="O223" s="421">
        <v>7.2392521047915395E-2</v>
      </c>
      <c r="P223" s="421">
        <v>7.67076376443437</v>
      </c>
      <c r="Q223" s="421">
        <v>0</v>
      </c>
      <c r="R223" s="421">
        <v>0</v>
      </c>
      <c r="S223" s="429">
        <v>39.690856899106201</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ht="13.5">
      <c r="B225" s="412"/>
      <c r="C225" s="424" t="s">
        <v>83</v>
      </c>
      <c r="D225" s="425">
        <v>4.8707551882757301</v>
      </c>
      <c r="E225" s="425">
        <v>0</v>
      </c>
      <c r="F225" s="425">
        <v>289.27757226437899</v>
      </c>
      <c r="G225" s="425">
        <v>315.16202225698203</v>
      </c>
      <c r="H225" s="425">
        <v>0</v>
      </c>
      <c r="I225" s="425">
        <v>0</v>
      </c>
      <c r="J225" s="425">
        <v>96.439843587427205</v>
      </c>
      <c r="K225" s="425">
        <v>4.1229795038336201</v>
      </c>
      <c r="L225" s="425">
        <v>38.9210860065674</v>
      </c>
      <c r="M225" s="425">
        <v>6.4318780052445401</v>
      </c>
      <c r="N225" s="425">
        <v>59.577309191786703</v>
      </c>
      <c r="O225" s="425">
        <v>1.8075305725242401</v>
      </c>
      <c r="P225" s="425">
        <v>495.440125753541</v>
      </c>
      <c r="Q225" s="425">
        <v>37.840412535309099</v>
      </c>
      <c r="R225" s="425">
        <v>2.2636906431676902</v>
      </c>
      <c r="S225" s="425">
        <v>1352.1552055090399</v>
      </c>
      <c r="T225" s="412"/>
    </row>
    <row r="226" spans="2:20" ht="13.5">
      <c r="B226" s="412"/>
      <c r="C226" s="420" t="s">
        <v>84</v>
      </c>
      <c r="D226" s="421">
        <v>2.1835234374999999</v>
      </c>
      <c r="E226" s="421">
        <v>0</v>
      </c>
      <c r="F226" s="421">
        <v>138.144863788214</v>
      </c>
      <c r="G226" s="421">
        <v>12.218390360397301</v>
      </c>
      <c r="H226" s="421">
        <v>0</v>
      </c>
      <c r="I226" s="421">
        <v>0</v>
      </c>
      <c r="J226" s="421">
        <v>0</v>
      </c>
      <c r="K226" s="421">
        <v>0</v>
      </c>
      <c r="L226" s="421">
        <v>0</v>
      </c>
      <c r="M226" s="421">
        <v>0</v>
      </c>
      <c r="N226" s="421">
        <v>0</v>
      </c>
      <c r="O226" s="421">
        <v>0</v>
      </c>
      <c r="P226" s="421">
        <v>0</v>
      </c>
      <c r="Q226" s="421">
        <v>0</v>
      </c>
      <c r="R226" s="421">
        <v>0.58632242431640602</v>
      </c>
      <c r="S226" s="429">
        <v>153.133100010428</v>
      </c>
      <c r="T226" s="412"/>
    </row>
    <row r="227" spans="2:20" ht="13.5">
      <c r="B227" s="412"/>
      <c r="C227" s="424" t="s">
        <v>85</v>
      </c>
      <c r="D227" s="425">
        <v>7.0542786257757299</v>
      </c>
      <c r="E227" s="425">
        <v>0</v>
      </c>
      <c r="F227" s="425">
        <v>427.42243605259301</v>
      </c>
      <c r="G227" s="425">
        <v>327.38041261737999</v>
      </c>
      <c r="H227" s="425">
        <v>0</v>
      </c>
      <c r="I227" s="425">
        <v>0</v>
      </c>
      <c r="J227" s="425">
        <v>96.439843587427205</v>
      </c>
      <c r="K227" s="425">
        <v>4.1229795038336201</v>
      </c>
      <c r="L227" s="425">
        <v>38.9210860065674</v>
      </c>
      <c r="M227" s="425">
        <v>6.4318780052445401</v>
      </c>
      <c r="N227" s="425">
        <v>59.577309191786703</v>
      </c>
      <c r="O227" s="425">
        <v>1.8075305725242401</v>
      </c>
      <c r="P227" s="425">
        <v>495.440125753541</v>
      </c>
      <c r="Q227" s="425">
        <v>37.840412535309099</v>
      </c>
      <c r="R227" s="425">
        <v>2.85001306748409</v>
      </c>
      <c r="S227" s="425">
        <v>1505.28830551947</v>
      </c>
      <c r="T227" s="412"/>
    </row>
    <row r="228" spans="2:20">
      <c r="B228" s="412"/>
      <c r="C228" s="412"/>
      <c r="D228" s="430">
        <f t="shared" ref="D228:S228" si="5">D227+D217-D203</f>
        <v>0</v>
      </c>
      <c r="E228" s="430">
        <f t="shared" si="5"/>
        <v>0</v>
      </c>
      <c r="F228" s="430">
        <f t="shared" si="5"/>
        <v>-3.0553337637684308E-13</v>
      </c>
      <c r="G228" s="430">
        <f t="shared" si="5"/>
        <v>6.2527760746888816E-13</v>
      </c>
      <c r="H228" s="430">
        <f t="shared" si="5"/>
        <v>0</v>
      </c>
      <c r="I228" s="430">
        <f t="shared" si="5"/>
        <v>0</v>
      </c>
      <c r="J228" s="430">
        <f t="shared" si="5"/>
        <v>0</v>
      </c>
      <c r="K228" s="430">
        <f t="shared" si="5"/>
        <v>0</v>
      </c>
      <c r="L228" s="430">
        <f t="shared" si="5"/>
        <v>-3.3417713041217212E-14</v>
      </c>
      <c r="M228" s="430">
        <f t="shared" si="5"/>
        <v>0</v>
      </c>
      <c r="N228" s="430">
        <f t="shared" si="5"/>
        <v>0</v>
      </c>
      <c r="O228" s="430">
        <f t="shared" si="5"/>
        <v>0</v>
      </c>
      <c r="P228" s="430">
        <f t="shared" si="5"/>
        <v>4.8672177399566863E-13</v>
      </c>
      <c r="Q228" s="430">
        <f t="shared" si="5"/>
        <v>0</v>
      </c>
      <c r="R228" s="430">
        <f t="shared" si="5"/>
        <v>0</v>
      </c>
      <c r="S228" s="430">
        <f t="shared" si="5"/>
        <v>4.5474735088646412E-12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364</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0</v>
      </c>
      <c r="F234" s="421">
        <v>0</v>
      </c>
      <c r="G234" s="421">
        <v>0</v>
      </c>
      <c r="H234" s="422">
        <v>843.18181818181802</v>
      </c>
      <c r="I234" s="422">
        <v>303.83</v>
      </c>
      <c r="J234" s="422">
        <v>180.58227082712199</v>
      </c>
      <c r="K234" s="422">
        <v>22.584752367457401</v>
      </c>
      <c r="L234" s="421">
        <v>0</v>
      </c>
      <c r="M234" s="421">
        <v>0</v>
      </c>
      <c r="N234" s="422">
        <v>64.228247119713899</v>
      </c>
      <c r="O234" s="422">
        <v>4.0154786653397201</v>
      </c>
      <c r="P234" s="421">
        <v>0</v>
      </c>
      <c r="Q234" s="421">
        <v>0</v>
      </c>
      <c r="R234" s="421">
        <v>0</v>
      </c>
      <c r="S234" s="423">
        <v>1418.4225671614499</v>
      </c>
      <c r="T234" s="412"/>
    </row>
    <row r="235" spans="2:20" ht="13.5">
      <c r="B235" s="412"/>
      <c r="C235" s="420" t="s">
        <v>60</v>
      </c>
      <c r="D235" s="421">
        <v>30.885603791058401</v>
      </c>
      <c r="E235" s="421">
        <v>484.495467583368</v>
      </c>
      <c r="F235" s="421">
        <v>42.659321237611302</v>
      </c>
      <c r="G235" s="421">
        <v>385.71207499197101</v>
      </c>
      <c r="H235" s="421">
        <v>0</v>
      </c>
      <c r="I235" s="421">
        <v>0</v>
      </c>
      <c r="J235" s="421">
        <v>0</v>
      </c>
      <c r="K235" s="421">
        <v>0</v>
      </c>
      <c r="L235" s="421">
        <v>0</v>
      </c>
      <c r="M235" s="421">
        <v>0</v>
      </c>
      <c r="N235" s="421">
        <v>0</v>
      </c>
      <c r="O235" s="421">
        <v>0</v>
      </c>
      <c r="P235" s="421">
        <v>0</v>
      </c>
      <c r="Q235" s="421">
        <v>0</v>
      </c>
      <c r="R235" s="421">
        <v>0</v>
      </c>
      <c r="S235" s="423">
        <v>943.75246760400796</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-18.341336792236799</v>
      </c>
      <c r="Q236" s="421">
        <v>0</v>
      </c>
      <c r="R236" s="421">
        <v>0</v>
      </c>
      <c r="S236" s="423">
        <v>-18.341336792236799</v>
      </c>
      <c r="T236" s="412"/>
    </row>
    <row r="237" spans="2:20" ht="13.5">
      <c r="B237" s="412"/>
      <c r="C237" s="420" t="s">
        <v>62</v>
      </c>
      <c r="D237" s="421">
        <v>0</v>
      </c>
      <c r="E237" s="421">
        <v>0</v>
      </c>
      <c r="F237" s="421">
        <v>-15.257294848391901</v>
      </c>
      <c r="G237" s="421">
        <v>0</v>
      </c>
      <c r="H237" s="421">
        <v>0</v>
      </c>
      <c r="I237" s="421">
        <v>0</v>
      </c>
      <c r="J237" s="421">
        <v>0</v>
      </c>
      <c r="K237" s="421">
        <v>0</v>
      </c>
      <c r="L237" s="421">
        <v>0</v>
      </c>
      <c r="M237" s="421">
        <v>0</v>
      </c>
      <c r="N237" s="421">
        <v>0</v>
      </c>
      <c r="O237" s="421">
        <v>0</v>
      </c>
      <c r="P237" s="421">
        <v>0</v>
      </c>
      <c r="Q237" s="421">
        <v>0</v>
      </c>
      <c r="R237" s="421">
        <v>0</v>
      </c>
      <c r="S237" s="423">
        <v>-15.257294848391901</v>
      </c>
      <c r="T237" s="412"/>
    </row>
    <row r="238" spans="2:20" ht="13.5">
      <c r="B238" s="412"/>
      <c r="C238" s="420" t="s">
        <v>63</v>
      </c>
      <c r="D238" s="421">
        <v>0</v>
      </c>
      <c r="E238" s="421">
        <v>0</v>
      </c>
      <c r="F238" s="421">
        <v>-90.626969920873506</v>
      </c>
      <c r="G238" s="421">
        <v>0</v>
      </c>
      <c r="H238" s="421">
        <v>0</v>
      </c>
      <c r="I238" s="421">
        <v>0</v>
      </c>
      <c r="J238" s="421">
        <v>0</v>
      </c>
      <c r="K238" s="421">
        <v>0</v>
      </c>
      <c r="L238" s="421">
        <v>-0.93615330165546395</v>
      </c>
      <c r="M238" s="421">
        <v>0</v>
      </c>
      <c r="N238" s="421">
        <v>0</v>
      </c>
      <c r="O238" s="421">
        <v>0</v>
      </c>
      <c r="P238" s="421">
        <v>0</v>
      </c>
      <c r="Q238" s="421">
        <v>0</v>
      </c>
      <c r="R238" s="421">
        <v>0</v>
      </c>
      <c r="S238" s="423">
        <v>-91.563123222528901</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30.885603791058401</v>
      </c>
      <c r="E240" s="425">
        <v>484.495467583368</v>
      </c>
      <c r="F240" s="425">
        <v>-63.224943531653999</v>
      </c>
      <c r="G240" s="425">
        <v>385.71207499197101</v>
      </c>
      <c r="H240" s="425">
        <v>843.18181818181802</v>
      </c>
      <c r="I240" s="425">
        <v>303.83</v>
      </c>
      <c r="J240" s="425">
        <v>180.58227082712199</v>
      </c>
      <c r="K240" s="425">
        <v>22.584752367457401</v>
      </c>
      <c r="L240" s="425">
        <v>-0.93615330165546395</v>
      </c>
      <c r="M240" s="425">
        <v>0</v>
      </c>
      <c r="N240" s="425">
        <v>64.228247119713899</v>
      </c>
      <c r="O240" s="425">
        <v>4.0154786653397201</v>
      </c>
      <c r="P240" s="425">
        <v>-18.341336792236799</v>
      </c>
      <c r="Q240" s="425">
        <v>0</v>
      </c>
      <c r="R240" s="425">
        <v>0</v>
      </c>
      <c r="S240" s="425">
        <v>2237.0132799022999</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2.2004707355665598</v>
      </c>
      <c r="E243" s="421">
        <v>0</v>
      </c>
      <c r="F243" s="421">
        <v>3.8636363636363602</v>
      </c>
      <c r="G243" s="421">
        <v>26.7514143940613</v>
      </c>
      <c r="H243" s="421">
        <v>843.18181818181802</v>
      </c>
      <c r="I243" s="421">
        <v>303.83</v>
      </c>
      <c r="J243" s="421">
        <v>22.093473329706701</v>
      </c>
      <c r="K243" s="421">
        <v>5.8025151206166701</v>
      </c>
      <c r="L243" s="421">
        <v>0</v>
      </c>
      <c r="M243" s="421">
        <v>0.54594723253186395</v>
      </c>
      <c r="N243" s="421">
        <v>0</v>
      </c>
      <c r="O243" s="421">
        <v>0</v>
      </c>
      <c r="P243" s="421">
        <v>-610.51719995562303</v>
      </c>
      <c r="Q243" s="421">
        <v>0</v>
      </c>
      <c r="R243" s="421">
        <v>0</v>
      </c>
      <c r="S243" s="429">
        <v>597.75207540231395</v>
      </c>
      <c r="T243" s="412"/>
    </row>
    <row r="244" spans="2:20" ht="13.5">
      <c r="B244" s="412"/>
      <c r="C244" s="428" t="s">
        <v>351</v>
      </c>
      <c r="D244" s="421">
        <v>0</v>
      </c>
      <c r="E244" s="421">
        <v>0</v>
      </c>
      <c r="F244" s="421">
        <v>0</v>
      </c>
      <c r="G244" s="421">
        <v>17.221669860310801</v>
      </c>
      <c r="H244" s="421">
        <v>0</v>
      </c>
      <c r="I244" s="421">
        <v>0</v>
      </c>
      <c r="J244" s="421">
        <v>12.443095766795199</v>
      </c>
      <c r="K244" s="421">
        <v>12.7366574955616</v>
      </c>
      <c r="L244" s="421">
        <v>0</v>
      </c>
      <c r="M244" s="421">
        <v>0.351462650210425</v>
      </c>
      <c r="N244" s="421">
        <v>0</v>
      </c>
      <c r="O244" s="421">
        <v>2.25021562141669</v>
      </c>
      <c r="P244" s="421">
        <v>0</v>
      </c>
      <c r="Q244" s="421">
        <v>-41.107889812280099</v>
      </c>
      <c r="R244" s="421">
        <v>0</v>
      </c>
      <c r="S244" s="429">
        <v>3.8952115820145798</v>
      </c>
      <c r="T244" s="412"/>
    </row>
    <row r="245" spans="2:20" ht="13.5">
      <c r="B245" s="412"/>
      <c r="C245" s="428" t="s">
        <v>352</v>
      </c>
      <c r="D245" s="421">
        <v>0</v>
      </c>
      <c r="E245" s="421">
        <v>0</v>
      </c>
      <c r="F245" s="421">
        <v>0</v>
      </c>
      <c r="G245" s="421">
        <v>0</v>
      </c>
      <c r="H245" s="421">
        <v>0</v>
      </c>
      <c r="I245" s="421">
        <v>0</v>
      </c>
      <c r="J245" s="421">
        <v>8.1664030992761294</v>
      </c>
      <c r="K245" s="421">
        <v>0</v>
      </c>
      <c r="L245" s="421">
        <v>0</v>
      </c>
      <c r="M245" s="421">
        <v>-7.6253788939490796</v>
      </c>
      <c r="N245" s="421">
        <v>0</v>
      </c>
      <c r="O245" s="421">
        <v>0</v>
      </c>
      <c r="P245" s="421">
        <v>0</v>
      </c>
      <c r="Q245" s="421">
        <v>0</v>
      </c>
      <c r="R245" s="421">
        <v>0</v>
      </c>
      <c r="S245" s="429">
        <v>0.54102420532704398</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501.885810932168</v>
      </c>
      <c r="F247" s="421">
        <v>-496.86695282284597</v>
      </c>
      <c r="G247" s="421">
        <v>0</v>
      </c>
      <c r="H247" s="421">
        <v>0</v>
      </c>
      <c r="I247" s="421">
        <v>0</v>
      </c>
      <c r="J247" s="421">
        <v>0</v>
      </c>
      <c r="K247" s="421">
        <v>0</v>
      </c>
      <c r="L247" s="421">
        <v>0</v>
      </c>
      <c r="M247" s="421">
        <v>0</v>
      </c>
      <c r="N247" s="421">
        <v>0</v>
      </c>
      <c r="O247" s="421">
        <v>0</v>
      </c>
      <c r="P247" s="421">
        <v>0</v>
      </c>
      <c r="Q247" s="421">
        <v>0</v>
      </c>
      <c r="R247" s="421">
        <v>0</v>
      </c>
      <c r="S247" s="429">
        <v>5.0188581093216804</v>
      </c>
      <c r="T247" s="412"/>
    </row>
    <row r="248" spans="2:20" ht="13.5">
      <c r="B248" s="412"/>
      <c r="C248" s="428" t="s">
        <v>354</v>
      </c>
      <c r="D248" s="421">
        <v>0</v>
      </c>
      <c r="E248" s="421">
        <v>0</v>
      </c>
      <c r="F248" s="421">
        <v>0</v>
      </c>
      <c r="G248" s="421">
        <v>0</v>
      </c>
      <c r="H248" s="421">
        <v>0</v>
      </c>
      <c r="I248" s="421">
        <v>0</v>
      </c>
      <c r="J248" s="421">
        <v>40.922578855232103</v>
      </c>
      <c r="K248" s="421">
        <v>0</v>
      </c>
      <c r="L248" s="421">
        <v>-40.922578855232103</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-0.185690681788441</v>
      </c>
      <c r="M249" s="421">
        <v>0</v>
      </c>
      <c r="N249" s="421">
        <v>0</v>
      </c>
      <c r="O249" s="421">
        <v>0</v>
      </c>
      <c r="P249" s="421">
        <v>0</v>
      </c>
      <c r="Q249" s="421">
        <v>0</v>
      </c>
      <c r="R249" s="421">
        <v>0.26527240255491602</v>
      </c>
      <c r="S249" s="429">
        <v>7.9581720766474906E-2</v>
      </c>
      <c r="T249" s="412"/>
    </row>
    <row r="250" spans="2:20" ht="13.5">
      <c r="B250" s="412"/>
      <c r="C250" s="428" t="s">
        <v>73</v>
      </c>
      <c r="D250" s="421">
        <v>0</v>
      </c>
      <c r="E250" s="421">
        <v>0</v>
      </c>
      <c r="F250" s="421">
        <v>0</v>
      </c>
      <c r="G250" s="421">
        <v>5.0830420654676596</v>
      </c>
      <c r="H250" s="421">
        <v>0</v>
      </c>
      <c r="I250" s="421">
        <v>0</v>
      </c>
      <c r="J250" s="421">
        <v>0</v>
      </c>
      <c r="K250" s="421">
        <v>5.89406547480016E-2</v>
      </c>
      <c r="L250" s="421">
        <v>0</v>
      </c>
      <c r="M250" s="421">
        <v>0.103735552356483</v>
      </c>
      <c r="N250" s="421">
        <v>0</v>
      </c>
      <c r="O250" s="421">
        <v>0</v>
      </c>
      <c r="P250" s="421">
        <v>0.64603991681083595</v>
      </c>
      <c r="Q250" s="421">
        <v>0</v>
      </c>
      <c r="R250" s="421">
        <v>-4.1258458323601097</v>
      </c>
      <c r="S250" s="429">
        <v>1.7659123570228701</v>
      </c>
      <c r="T250" s="412"/>
    </row>
    <row r="251" spans="2:20" ht="13.5">
      <c r="B251" s="412"/>
      <c r="C251" s="428" t="s">
        <v>356</v>
      </c>
      <c r="D251" s="421">
        <v>12.835820312499999</v>
      </c>
      <c r="E251" s="421">
        <v>-17.3903433487996</v>
      </c>
      <c r="F251" s="421">
        <v>22.745541936068101</v>
      </c>
      <c r="G251" s="421">
        <v>0</v>
      </c>
      <c r="H251" s="421">
        <v>0</v>
      </c>
      <c r="I251" s="421">
        <v>0</v>
      </c>
      <c r="J251" s="421">
        <v>0</v>
      </c>
      <c r="K251" s="421">
        <v>0</v>
      </c>
      <c r="L251" s="421">
        <v>0</v>
      </c>
      <c r="M251" s="421">
        <v>0</v>
      </c>
      <c r="N251" s="421">
        <v>0</v>
      </c>
      <c r="O251" s="421">
        <v>0</v>
      </c>
      <c r="P251" s="421">
        <v>0</v>
      </c>
      <c r="Q251" s="421">
        <v>0</v>
      </c>
      <c r="R251" s="421">
        <v>0</v>
      </c>
      <c r="S251" s="429">
        <v>18.191018899768501</v>
      </c>
      <c r="T251" s="412"/>
    </row>
    <row r="252" spans="2:20" ht="13.5">
      <c r="B252" s="412"/>
      <c r="C252" s="428" t="s">
        <v>75</v>
      </c>
      <c r="D252" s="421">
        <v>9.6016132812499997</v>
      </c>
      <c r="E252" s="421">
        <v>0</v>
      </c>
      <c r="F252" s="421">
        <v>17.0641175716937</v>
      </c>
      <c r="G252" s="421">
        <v>4.8692961376638904</v>
      </c>
      <c r="H252" s="421">
        <v>0</v>
      </c>
      <c r="I252" s="421">
        <v>0</v>
      </c>
      <c r="J252" s="421">
        <v>0</v>
      </c>
      <c r="K252" s="421">
        <v>0</v>
      </c>
      <c r="L252" s="421">
        <v>0</v>
      </c>
      <c r="M252" s="421">
        <v>9.9373390564569203E-2</v>
      </c>
      <c r="N252" s="421">
        <v>0</v>
      </c>
      <c r="O252" s="421">
        <v>0</v>
      </c>
      <c r="P252" s="421">
        <v>28.1582236341448</v>
      </c>
      <c r="Q252" s="421">
        <v>0</v>
      </c>
      <c r="R252" s="421">
        <v>0</v>
      </c>
      <c r="S252" s="429">
        <v>59.792624015317003</v>
      </c>
      <c r="T252" s="412"/>
    </row>
    <row r="253" spans="2:20" ht="13.5">
      <c r="B253" s="412"/>
      <c r="C253" s="428" t="s">
        <v>76</v>
      </c>
      <c r="D253" s="421">
        <v>0</v>
      </c>
      <c r="E253" s="421">
        <v>0</v>
      </c>
      <c r="F253" s="421">
        <v>0</v>
      </c>
      <c r="G253" s="421">
        <v>4.4305561162471001</v>
      </c>
      <c r="H253" s="421">
        <v>0</v>
      </c>
      <c r="I253" s="421">
        <v>0</v>
      </c>
      <c r="J253" s="421">
        <v>0</v>
      </c>
      <c r="K253" s="421">
        <v>0</v>
      </c>
      <c r="L253" s="421">
        <v>0</v>
      </c>
      <c r="M253" s="421">
        <v>9.0419512576471406E-2</v>
      </c>
      <c r="N253" s="421">
        <v>0</v>
      </c>
      <c r="O253" s="421">
        <v>0</v>
      </c>
      <c r="P253" s="421">
        <v>45.383745745670502</v>
      </c>
      <c r="Q253" s="421">
        <v>3.1854822363759498</v>
      </c>
      <c r="R253" s="421">
        <v>0</v>
      </c>
      <c r="S253" s="429">
        <v>53.090203610869999</v>
      </c>
      <c r="T253" s="412"/>
    </row>
    <row r="254" spans="2:20" ht="13.5">
      <c r="B254" s="412"/>
      <c r="C254" s="424" t="s">
        <v>77</v>
      </c>
      <c r="D254" s="425">
        <v>24.637904329316601</v>
      </c>
      <c r="E254" s="425">
        <v>484.495467583368</v>
      </c>
      <c r="F254" s="425">
        <v>-453.19365695144802</v>
      </c>
      <c r="G254" s="425">
        <v>58.355978573750797</v>
      </c>
      <c r="H254" s="425">
        <v>843.18181818181802</v>
      </c>
      <c r="I254" s="425">
        <v>303.83</v>
      </c>
      <c r="J254" s="425">
        <v>83.625551051010106</v>
      </c>
      <c r="K254" s="425">
        <v>18.598113270926302</v>
      </c>
      <c r="L254" s="425">
        <v>-41.108269537020597</v>
      </c>
      <c r="M254" s="425">
        <v>-6.4344405557092701</v>
      </c>
      <c r="N254" s="425">
        <v>0</v>
      </c>
      <c r="O254" s="425">
        <v>2.25021562141669</v>
      </c>
      <c r="P254" s="425">
        <v>-536.32919065899705</v>
      </c>
      <c r="Q254" s="425">
        <v>-37.922407575904202</v>
      </c>
      <c r="R254" s="425">
        <v>-3.8605734298051999</v>
      </c>
      <c r="S254" s="425">
        <v>740.12650990272198</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4.1175454090074304</v>
      </c>
      <c r="E256" s="421">
        <v>0</v>
      </c>
      <c r="F256" s="421">
        <v>19.277494882052501</v>
      </c>
      <c r="G256" s="421">
        <v>101.47453920726601</v>
      </c>
      <c r="H256" s="421">
        <v>0</v>
      </c>
      <c r="I256" s="421">
        <v>0</v>
      </c>
      <c r="J256" s="421">
        <v>17.1465838958113</v>
      </c>
      <c r="K256" s="421">
        <v>3.98663909653113</v>
      </c>
      <c r="L256" s="421">
        <v>0.86272697265624998</v>
      </c>
      <c r="M256" s="421">
        <v>2.0709089634136002</v>
      </c>
      <c r="N256" s="421">
        <v>0</v>
      </c>
      <c r="O256" s="421">
        <v>0</v>
      </c>
      <c r="P256" s="421">
        <v>115.02579662342799</v>
      </c>
      <c r="Q256" s="421">
        <v>18.9073764304365</v>
      </c>
      <c r="R256" s="421">
        <v>0.24469155883789101</v>
      </c>
      <c r="S256" s="429">
        <v>283.11430303944098</v>
      </c>
      <c r="T256" s="412"/>
    </row>
    <row r="257" spans="2:20" ht="13.5">
      <c r="B257" s="412"/>
      <c r="C257" s="428" t="s">
        <v>79</v>
      </c>
      <c r="D257" s="421">
        <v>0</v>
      </c>
      <c r="E257" s="421">
        <v>0</v>
      </c>
      <c r="F257" s="421">
        <v>211.515991693448</v>
      </c>
      <c r="G257" s="421">
        <v>33.673192204334903</v>
      </c>
      <c r="H257" s="421">
        <v>0</v>
      </c>
      <c r="I257" s="421">
        <v>0</v>
      </c>
      <c r="J257" s="421">
        <v>0</v>
      </c>
      <c r="K257" s="421">
        <v>0</v>
      </c>
      <c r="L257" s="421">
        <v>21.364475731578199</v>
      </c>
      <c r="M257" s="421">
        <v>0.68720800417009997</v>
      </c>
      <c r="N257" s="421">
        <v>0</v>
      </c>
      <c r="O257" s="421">
        <v>0</v>
      </c>
      <c r="P257" s="421">
        <v>67.538126653199896</v>
      </c>
      <c r="Q257" s="421">
        <v>0</v>
      </c>
      <c r="R257" s="421">
        <v>2.73358870080129</v>
      </c>
      <c r="S257" s="429">
        <v>337.51258298753203</v>
      </c>
      <c r="T257" s="412"/>
    </row>
    <row r="258" spans="2:20" ht="13.5">
      <c r="B258" s="412"/>
      <c r="C258" s="428" t="s">
        <v>80</v>
      </c>
      <c r="D258" s="421">
        <v>0</v>
      </c>
      <c r="E258" s="421">
        <v>0</v>
      </c>
      <c r="F258" s="421">
        <v>11.269398252747999</v>
      </c>
      <c r="G258" s="421">
        <v>107.66857440515901</v>
      </c>
      <c r="H258" s="421">
        <v>0</v>
      </c>
      <c r="I258" s="421">
        <v>0</v>
      </c>
      <c r="J258" s="421">
        <v>74.555024603306606</v>
      </c>
      <c r="K258" s="421">
        <v>0</v>
      </c>
      <c r="L258" s="421">
        <v>0</v>
      </c>
      <c r="M258" s="421">
        <v>2.19731784500325</v>
      </c>
      <c r="N258" s="421">
        <v>57.8439730041991</v>
      </c>
      <c r="O258" s="421">
        <v>0.94792042331900395</v>
      </c>
      <c r="P258" s="421">
        <v>182.60815084241301</v>
      </c>
      <c r="Q258" s="421">
        <v>15.2162816007431</v>
      </c>
      <c r="R258" s="421">
        <v>0</v>
      </c>
      <c r="S258" s="429">
        <v>452.306640976891</v>
      </c>
      <c r="T258" s="412"/>
    </row>
    <row r="259" spans="2:20" ht="13.5">
      <c r="B259" s="412"/>
      <c r="C259" s="428" t="s">
        <v>81</v>
      </c>
      <c r="D259" s="421">
        <v>0</v>
      </c>
      <c r="E259" s="421">
        <v>0</v>
      </c>
      <c r="F259" s="421">
        <v>4.6678370944484504</v>
      </c>
      <c r="G259" s="421">
        <v>66.895141856533499</v>
      </c>
      <c r="H259" s="421">
        <v>0</v>
      </c>
      <c r="I259" s="421">
        <v>0</v>
      </c>
      <c r="J259" s="421">
        <v>3.3107731809745702</v>
      </c>
      <c r="K259" s="421">
        <v>0</v>
      </c>
      <c r="L259" s="421">
        <v>0</v>
      </c>
      <c r="M259" s="421">
        <v>1.3652069766639501</v>
      </c>
      <c r="N259" s="421">
        <v>6.3842741155148302</v>
      </c>
      <c r="O259" s="421">
        <v>0.75088648318301499</v>
      </c>
      <c r="P259" s="421">
        <v>144.56234737622799</v>
      </c>
      <c r="Q259" s="421">
        <v>3.79874954472458</v>
      </c>
      <c r="R259" s="421">
        <v>0</v>
      </c>
      <c r="S259" s="429">
        <v>231.73521662827099</v>
      </c>
      <c r="T259" s="412"/>
    </row>
    <row r="260" spans="2:20" ht="13.5">
      <c r="B260" s="412"/>
      <c r="C260" s="428" t="s">
        <v>82</v>
      </c>
      <c r="D260" s="421">
        <v>0</v>
      </c>
      <c r="E260" s="421">
        <v>0</v>
      </c>
      <c r="F260" s="421">
        <v>4.5923360843350496</v>
      </c>
      <c r="G260" s="421">
        <v>5.5761395564600598</v>
      </c>
      <c r="H260" s="421">
        <v>0</v>
      </c>
      <c r="I260" s="421">
        <v>0</v>
      </c>
      <c r="J260" s="421">
        <v>1.9443380960196801</v>
      </c>
      <c r="K260" s="421">
        <v>0</v>
      </c>
      <c r="L260" s="421">
        <v>17.944913531130702</v>
      </c>
      <c r="M260" s="421">
        <v>0.11379876645836901</v>
      </c>
      <c r="N260" s="421">
        <v>0</v>
      </c>
      <c r="O260" s="421">
        <v>6.6456137421005299E-2</v>
      </c>
      <c r="P260" s="421">
        <v>7.4534323714914201</v>
      </c>
      <c r="Q260" s="421">
        <v>0</v>
      </c>
      <c r="R260" s="421">
        <v>0</v>
      </c>
      <c r="S260" s="429">
        <v>37.691414543316299</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0.8</v>
      </c>
      <c r="Q261" s="421">
        <v>0</v>
      </c>
      <c r="R261" s="421">
        <v>0</v>
      </c>
      <c r="S261" s="429">
        <v>0.8</v>
      </c>
      <c r="T261" s="412"/>
    </row>
    <row r="262" spans="2:20" ht="13.5">
      <c r="B262" s="412"/>
      <c r="C262" s="424" t="s">
        <v>83</v>
      </c>
      <c r="D262" s="425">
        <v>4.1175454090074304</v>
      </c>
      <c r="E262" s="425">
        <v>0</v>
      </c>
      <c r="F262" s="425">
        <v>251.32305800703199</v>
      </c>
      <c r="G262" s="425">
        <v>315.28758722975402</v>
      </c>
      <c r="H262" s="425">
        <v>0</v>
      </c>
      <c r="I262" s="425">
        <v>0</v>
      </c>
      <c r="J262" s="425">
        <v>96.956719776112095</v>
      </c>
      <c r="K262" s="425">
        <v>3.98663909653113</v>
      </c>
      <c r="L262" s="425">
        <v>40.172116235365102</v>
      </c>
      <c r="M262" s="425">
        <v>6.4344405557092701</v>
      </c>
      <c r="N262" s="425">
        <v>64.228247119713899</v>
      </c>
      <c r="O262" s="425">
        <v>1.7652630439230199</v>
      </c>
      <c r="P262" s="425">
        <v>517.98785386676104</v>
      </c>
      <c r="Q262" s="425">
        <v>37.922407575904103</v>
      </c>
      <c r="R262" s="425">
        <v>2.9782802596391802</v>
      </c>
      <c r="S262" s="425">
        <v>1343.1601581754501</v>
      </c>
      <c r="T262" s="412"/>
    </row>
    <row r="263" spans="2:20" ht="13.5">
      <c r="B263" s="412"/>
      <c r="C263" s="420" t="s">
        <v>84</v>
      </c>
      <c r="D263" s="421">
        <v>2.1301540527343801</v>
      </c>
      <c r="E263" s="421">
        <v>0</v>
      </c>
      <c r="F263" s="421">
        <v>138.64565541276201</v>
      </c>
      <c r="G263" s="421">
        <v>12.0685091884655</v>
      </c>
      <c r="H263" s="421">
        <v>0</v>
      </c>
      <c r="I263" s="421">
        <v>0</v>
      </c>
      <c r="J263" s="421">
        <v>0</v>
      </c>
      <c r="K263" s="421">
        <v>0</v>
      </c>
      <c r="L263" s="421">
        <v>0</v>
      </c>
      <c r="M263" s="421">
        <v>0</v>
      </c>
      <c r="N263" s="421">
        <v>0</v>
      </c>
      <c r="O263" s="421">
        <v>0</v>
      </c>
      <c r="P263" s="421">
        <v>0</v>
      </c>
      <c r="Q263" s="421">
        <v>0</v>
      </c>
      <c r="R263" s="421">
        <v>0.88229317016601605</v>
      </c>
      <c r="S263" s="429">
        <v>153.72661182412801</v>
      </c>
      <c r="T263" s="412"/>
    </row>
    <row r="264" spans="2:20" ht="13.5">
      <c r="B264" s="412"/>
      <c r="C264" s="424" t="s">
        <v>85</v>
      </c>
      <c r="D264" s="425">
        <v>6.2476994617418002</v>
      </c>
      <c r="E264" s="425">
        <v>0</v>
      </c>
      <c r="F264" s="425">
        <v>389.96871341979403</v>
      </c>
      <c r="G264" s="425">
        <v>327.35609641821998</v>
      </c>
      <c r="H264" s="425">
        <v>0</v>
      </c>
      <c r="I264" s="425">
        <v>0</v>
      </c>
      <c r="J264" s="425">
        <v>96.956719776112095</v>
      </c>
      <c r="K264" s="425">
        <v>3.98663909653113</v>
      </c>
      <c r="L264" s="425">
        <v>40.172116235365102</v>
      </c>
      <c r="M264" s="425">
        <v>6.4344405557092701</v>
      </c>
      <c r="N264" s="425">
        <v>64.228247119713899</v>
      </c>
      <c r="O264" s="425">
        <v>1.7652630439230199</v>
      </c>
      <c r="P264" s="425">
        <v>517.98785386676104</v>
      </c>
      <c r="Q264" s="425">
        <v>37.922407575904103</v>
      </c>
      <c r="R264" s="425">
        <v>3.8605734298051999</v>
      </c>
      <c r="S264" s="425">
        <v>1496.8867699995801</v>
      </c>
      <c r="T264" s="412"/>
    </row>
    <row r="265" spans="2:20">
      <c r="B265" s="412"/>
      <c r="C265" s="412"/>
      <c r="D265" s="430">
        <f t="shared" ref="D265:S265" si="6">D264+D254-D240</f>
        <v>0</v>
      </c>
      <c r="E265" s="430">
        <f t="shared" si="6"/>
        <v>0</v>
      </c>
      <c r="F265" s="430">
        <f t="shared" si="6"/>
        <v>0</v>
      </c>
      <c r="G265" s="430">
        <f t="shared" si="6"/>
        <v>0</v>
      </c>
      <c r="H265" s="430">
        <f t="shared" si="6"/>
        <v>0</v>
      </c>
      <c r="I265" s="430">
        <f t="shared" si="6"/>
        <v>0</v>
      </c>
      <c r="J265" s="430">
        <f t="shared" si="6"/>
        <v>2.2737367544323206E-13</v>
      </c>
      <c r="K265" s="430">
        <f t="shared" si="6"/>
        <v>3.1974423109204508E-14</v>
      </c>
      <c r="L265" s="430">
        <f t="shared" si="6"/>
        <v>-3.0420110874729289E-14</v>
      </c>
      <c r="M265" s="430">
        <f t="shared" si="6"/>
        <v>0</v>
      </c>
      <c r="N265" s="430">
        <f t="shared" si="6"/>
        <v>0</v>
      </c>
      <c r="O265" s="430">
        <f t="shared" si="6"/>
        <v>-9.7699626167013776E-15</v>
      </c>
      <c r="P265" s="430">
        <f t="shared" si="6"/>
        <v>7.9225515037251171E-13</v>
      </c>
      <c r="Q265" s="430">
        <f t="shared" si="6"/>
        <v>-9.9475983006414026E-14</v>
      </c>
      <c r="R265" s="430">
        <f t="shared" si="6"/>
        <v>0</v>
      </c>
      <c r="S265" s="430">
        <f t="shared" si="6"/>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89</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0</v>
      </c>
      <c r="F271" s="421">
        <v>0</v>
      </c>
      <c r="G271" s="421">
        <v>0</v>
      </c>
      <c r="H271" s="422">
        <v>727.27272727272702</v>
      </c>
      <c r="I271" s="422">
        <v>285.08</v>
      </c>
      <c r="J271" s="422">
        <v>179.02026508455899</v>
      </c>
      <c r="K271" s="422">
        <v>22.071430242595699</v>
      </c>
      <c r="L271" s="421">
        <v>0</v>
      </c>
      <c r="M271" s="421">
        <v>0</v>
      </c>
      <c r="N271" s="422">
        <v>69.124340714614704</v>
      </c>
      <c r="O271" s="422">
        <v>3.9743240940765601</v>
      </c>
      <c r="P271" s="421">
        <v>0</v>
      </c>
      <c r="Q271" s="421">
        <v>0</v>
      </c>
      <c r="R271" s="421">
        <v>0</v>
      </c>
      <c r="S271" s="423">
        <v>1286.54308740857</v>
      </c>
      <c r="T271" s="412"/>
    </row>
    <row r="272" spans="2:20" ht="13.5">
      <c r="B272" s="412"/>
      <c r="C272" s="420" t="s">
        <v>60</v>
      </c>
      <c r="D272" s="421">
        <v>29.137863782851301</v>
      </c>
      <c r="E272" s="421">
        <v>464.7986487</v>
      </c>
      <c r="F272" s="421">
        <v>43.026150332406097</v>
      </c>
      <c r="G272" s="421">
        <v>393.69712052116603</v>
      </c>
      <c r="H272" s="421">
        <v>0</v>
      </c>
      <c r="I272" s="421">
        <v>0</v>
      </c>
      <c r="J272" s="421">
        <v>0</v>
      </c>
      <c r="K272" s="421">
        <v>0</v>
      </c>
      <c r="L272" s="421">
        <v>0</v>
      </c>
      <c r="M272" s="421">
        <v>0</v>
      </c>
      <c r="N272" s="421">
        <v>0</v>
      </c>
      <c r="O272" s="421">
        <v>0</v>
      </c>
      <c r="P272" s="421">
        <v>52.272660894863201</v>
      </c>
      <c r="Q272" s="421">
        <v>0</v>
      </c>
      <c r="R272" s="421">
        <v>0</v>
      </c>
      <c r="S272" s="423">
        <v>982.93244423128704</v>
      </c>
      <c r="T272" s="412"/>
    </row>
    <row r="273" spans="2:20" ht="13.5">
      <c r="B273" s="412"/>
      <c r="C273" s="420" t="s">
        <v>61</v>
      </c>
      <c r="D273" s="421">
        <v>0</v>
      </c>
      <c r="E273" s="421">
        <v>0</v>
      </c>
      <c r="F273" s="421">
        <v>0</v>
      </c>
      <c r="G273" s="421">
        <v>0</v>
      </c>
      <c r="H273" s="421">
        <v>0</v>
      </c>
      <c r="I273" s="421">
        <v>0</v>
      </c>
      <c r="J273" s="421">
        <v>0</v>
      </c>
      <c r="K273" s="421">
        <v>0</v>
      </c>
      <c r="L273" s="421">
        <v>0</v>
      </c>
      <c r="M273" s="421">
        <v>0</v>
      </c>
      <c r="N273" s="421">
        <v>0</v>
      </c>
      <c r="O273" s="421">
        <v>0</v>
      </c>
      <c r="P273" s="421">
        <v>0</v>
      </c>
      <c r="Q273" s="421">
        <v>0</v>
      </c>
      <c r="R273" s="421">
        <v>0</v>
      </c>
      <c r="S273" s="423">
        <v>0</v>
      </c>
      <c r="T273" s="412"/>
    </row>
    <row r="274" spans="2:20" ht="13.5">
      <c r="B274" s="412"/>
      <c r="C274" s="420" t="s">
        <v>62</v>
      </c>
      <c r="D274" s="421">
        <v>0</v>
      </c>
      <c r="E274" s="421">
        <v>0</v>
      </c>
      <c r="F274" s="421">
        <v>-14.431507774067301</v>
      </c>
      <c r="G274" s="421">
        <v>0</v>
      </c>
      <c r="H274" s="421">
        <v>0</v>
      </c>
      <c r="I274" s="421">
        <v>0</v>
      </c>
      <c r="J274" s="421">
        <v>0</v>
      </c>
      <c r="K274" s="421">
        <v>0</v>
      </c>
      <c r="L274" s="421">
        <v>0</v>
      </c>
      <c r="M274" s="421">
        <v>0</v>
      </c>
      <c r="N274" s="421">
        <v>0</v>
      </c>
      <c r="O274" s="421">
        <v>0</v>
      </c>
      <c r="P274" s="421">
        <v>0</v>
      </c>
      <c r="Q274" s="421">
        <v>0</v>
      </c>
      <c r="R274" s="421">
        <v>0</v>
      </c>
      <c r="S274" s="423">
        <v>-14.431507774067301</v>
      </c>
      <c r="T274" s="412"/>
    </row>
    <row r="275" spans="2:20" ht="13.5">
      <c r="B275" s="412"/>
      <c r="C275" s="420" t="s">
        <v>63</v>
      </c>
      <c r="D275" s="421">
        <v>0</v>
      </c>
      <c r="E275" s="421">
        <v>0</v>
      </c>
      <c r="F275" s="421">
        <v>-93.073301321338505</v>
      </c>
      <c r="G275" s="421">
        <v>0</v>
      </c>
      <c r="H275" s="421">
        <v>0</v>
      </c>
      <c r="I275" s="421">
        <v>0</v>
      </c>
      <c r="J275" s="421">
        <v>0</v>
      </c>
      <c r="K275" s="421">
        <v>0</v>
      </c>
      <c r="L275" s="421">
        <v>-0.96113349486483901</v>
      </c>
      <c r="M275" s="421">
        <v>0</v>
      </c>
      <c r="N275" s="421">
        <v>0</v>
      </c>
      <c r="O275" s="421">
        <v>0</v>
      </c>
      <c r="P275" s="421">
        <v>0</v>
      </c>
      <c r="Q275" s="421">
        <v>0</v>
      </c>
      <c r="R275" s="421">
        <v>0</v>
      </c>
      <c r="S275" s="423">
        <v>-94.034434816203301</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29.137863782851301</v>
      </c>
      <c r="E277" s="425">
        <v>464.7986487</v>
      </c>
      <c r="F277" s="425">
        <v>-64.4786587629997</v>
      </c>
      <c r="G277" s="425">
        <v>393.69712052116603</v>
      </c>
      <c r="H277" s="425">
        <v>727.27272727272702</v>
      </c>
      <c r="I277" s="425">
        <v>285.08</v>
      </c>
      <c r="J277" s="425">
        <v>179.02026508455899</v>
      </c>
      <c r="K277" s="425">
        <v>22.071430242595699</v>
      </c>
      <c r="L277" s="425">
        <v>-0.96113349486483901</v>
      </c>
      <c r="M277" s="425">
        <v>0</v>
      </c>
      <c r="N277" s="425">
        <v>69.124340714614704</v>
      </c>
      <c r="O277" s="425">
        <v>3.9743240940765601</v>
      </c>
      <c r="P277" s="425">
        <v>52.272660894863201</v>
      </c>
      <c r="Q277" s="425">
        <v>0</v>
      </c>
      <c r="R277" s="425">
        <v>0</v>
      </c>
      <c r="S277" s="425">
        <v>2161.00958904959</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2.2004707355665598</v>
      </c>
      <c r="E280" s="421">
        <v>0</v>
      </c>
      <c r="F280" s="421">
        <v>3.8636363636363602</v>
      </c>
      <c r="G280" s="421">
        <v>35.960251906978201</v>
      </c>
      <c r="H280" s="421">
        <v>727.27272727272702</v>
      </c>
      <c r="I280" s="421">
        <v>285.08</v>
      </c>
      <c r="J280" s="421">
        <v>20.883347007614301</v>
      </c>
      <c r="K280" s="421">
        <v>5.4396340942741803</v>
      </c>
      <c r="L280" s="421">
        <v>0</v>
      </c>
      <c r="M280" s="421">
        <v>0.73388269197914702</v>
      </c>
      <c r="N280" s="421">
        <v>0</v>
      </c>
      <c r="O280" s="421">
        <v>0</v>
      </c>
      <c r="P280" s="421">
        <v>-559.49648075937398</v>
      </c>
      <c r="Q280" s="421">
        <v>0</v>
      </c>
      <c r="R280" s="421">
        <v>0</v>
      </c>
      <c r="S280" s="429">
        <v>521.93746931340195</v>
      </c>
      <c r="T280" s="412"/>
    </row>
    <row r="281" spans="2:20" ht="13.5">
      <c r="B281" s="412"/>
      <c r="C281" s="428" t="s">
        <v>351</v>
      </c>
      <c r="D281" s="421">
        <v>0</v>
      </c>
      <c r="E281" s="421">
        <v>0</v>
      </c>
      <c r="F281" s="421">
        <v>0</v>
      </c>
      <c r="G281" s="421">
        <v>17.249248608476702</v>
      </c>
      <c r="H281" s="421">
        <v>0</v>
      </c>
      <c r="I281" s="421">
        <v>0</v>
      </c>
      <c r="J281" s="421">
        <v>12.287356523997399</v>
      </c>
      <c r="K281" s="421">
        <v>12.751836063828801</v>
      </c>
      <c r="L281" s="421">
        <v>0</v>
      </c>
      <c r="M281" s="421">
        <v>0.35202548180564602</v>
      </c>
      <c r="N281" s="421">
        <v>0</v>
      </c>
      <c r="O281" s="421">
        <v>2.25411214784515</v>
      </c>
      <c r="P281" s="421">
        <v>0</v>
      </c>
      <c r="Q281" s="421">
        <v>-41.172831919421</v>
      </c>
      <c r="R281" s="421">
        <v>0</v>
      </c>
      <c r="S281" s="429">
        <v>3.7217469065325699</v>
      </c>
      <c r="T281" s="412"/>
    </row>
    <row r="282" spans="2:20" ht="13.5">
      <c r="B282" s="412"/>
      <c r="C282" s="428" t="s">
        <v>352</v>
      </c>
      <c r="D282" s="421">
        <v>0</v>
      </c>
      <c r="E282" s="421">
        <v>0</v>
      </c>
      <c r="F282" s="421">
        <v>0</v>
      </c>
      <c r="G282" s="421">
        <v>0</v>
      </c>
      <c r="H282" s="421">
        <v>0</v>
      </c>
      <c r="I282" s="421">
        <v>0</v>
      </c>
      <c r="J282" s="421">
        <v>8.1584068388578199</v>
      </c>
      <c r="K282" s="421">
        <v>0</v>
      </c>
      <c r="L282" s="421">
        <v>0</v>
      </c>
      <c r="M282" s="421">
        <v>-7.7912785311092199</v>
      </c>
      <c r="N282" s="421">
        <v>0</v>
      </c>
      <c r="O282" s="421">
        <v>0</v>
      </c>
      <c r="P282" s="421">
        <v>0</v>
      </c>
      <c r="Q282" s="421">
        <v>0</v>
      </c>
      <c r="R282" s="421">
        <v>0</v>
      </c>
      <c r="S282" s="429">
        <v>0.367128307748603</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481.48200000000003</v>
      </c>
      <c r="F284" s="421">
        <v>-476.66717999999997</v>
      </c>
      <c r="G284" s="421">
        <v>0</v>
      </c>
      <c r="H284" s="421">
        <v>0</v>
      </c>
      <c r="I284" s="421">
        <v>0</v>
      </c>
      <c r="J284" s="421">
        <v>0</v>
      </c>
      <c r="K284" s="421">
        <v>0</v>
      </c>
      <c r="L284" s="421">
        <v>0</v>
      </c>
      <c r="M284" s="421">
        <v>0</v>
      </c>
      <c r="N284" s="421">
        <v>0</v>
      </c>
      <c r="O284" s="421">
        <v>0</v>
      </c>
      <c r="P284" s="421">
        <v>0</v>
      </c>
      <c r="Q284" s="421">
        <v>0</v>
      </c>
      <c r="R284" s="421">
        <v>0</v>
      </c>
      <c r="S284" s="429">
        <v>4.8148200000000001</v>
      </c>
      <c r="T284" s="412"/>
    </row>
    <row r="285" spans="2:20" ht="13.5">
      <c r="B285" s="412"/>
      <c r="C285" s="428" t="s">
        <v>354</v>
      </c>
      <c r="D285" s="421">
        <v>0</v>
      </c>
      <c r="E285" s="421">
        <v>0</v>
      </c>
      <c r="F285" s="421">
        <v>0</v>
      </c>
      <c r="G285" s="421">
        <v>0</v>
      </c>
      <c r="H285" s="421">
        <v>0</v>
      </c>
      <c r="I285" s="421">
        <v>0</v>
      </c>
      <c r="J285" s="421">
        <v>41.474660133722303</v>
      </c>
      <c r="K285" s="421">
        <v>0</v>
      </c>
      <c r="L285" s="421">
        <v>-41.474660133722303</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-0.18779562104234199</v>
      </c>
      <c r="M286" s="421">
        <v>0</v>
      </c>
      <c r="N286" s="421">
        <v>0</v>
      </c>
      <c r="O286" s="421">
        <v>0</v>
      </c>
      <c r="P286" s="421">
        <v>0</v>
      </c>
      <c r="Q286" s="421">
        <v>0</v>
      </c>
      <c r="R286" s="421">
        <v>0.26827945863191799</v>
      </c>
      <c r="S286" s="429">
        <v>8.0483837589575294E-2</v>
      </c>
      <c r="T286" s="412"/>
    </row>
    <row r="287" spans="2:20" ht="13.5">
      <c r="B287" s="412"/>
      <c r="C287" s="428" t="s">
        <v>73</v>
      </c>
      <c r="D287" s="421">
        <v>0</v>
      </c>
      <c r="E287" s="421">
        <v>0</v>
      </c>
      <c r="F287" s="421">
        <v>0</v>
      </c>
      <c r="G287" s="421">
        <v>5.7699673283914903</v>
      </c>
      <c r="H287" s="421">
        <v>0</v>
      </c>
      <c r="I287" s="421">
        <v>0</v>
      </c>
      <c r="J287" s="421">
        <v>0</v>
      </c>
      <c r="K287" s="421">
        <v>6.7674962800744601E-2</v>
      </c>
      <c r="L287" s="421">
        <v>0</v>
      </c>
      <c r="M287" s="421">
        <v>0.117754435273296</v>
      </c>
      <c r="N287" s="421">
        <v>0</v>
      </c>
      <c r="O287" s="421">
        <v>0</v>
      </c>
      <c r="P287" s="421">
        <v>0.78954123267535403</v>
      </c>
      <c r="Q287" s="421">
        <v>0</v>
      </c>
      <c r="R287" s="421">
        <v>-4.73724739605212</v>
      </c>
      <c r="S287" s="429">
        <v>2.0076905630887598</v>
      </c>
      <c r="T287" s="412"/>
    </row>
    <row r="288" spans="2:20" ht="13.5">
      <c r="B288" s="412"/>
      <c r="C288" s="428" t="s">
        <v>356</v>
      </c>
      <c r="D288" s="421">
        <v>12.0380056152344</v>
      </c>
      <c r="E288" s="421">
        <v>-16.683351300000002</v>
      </c>
      <c r="F288" s="421">
        <v>21.820838094867199</v>
      </c>
      <c r="G288" s="421">
        <v>0</v>
      </c>
      <c r="H288" s="421">
        <v>0</v>
      </c>
      <c r="I288" s="421">
        <v>0</v>
      </c>
      <c r="J288" s="421">
        <v>0</v>
      </c>
      <c r="K288" s="421">
        <v>0</v>
      </c>
      <c r="L288" s="421">
        <v>0</v>
      </c>
      <c r="M288" s="421">
        <v>0</v>
      </c>
      <c r="N288" s="421">
        <v>0</v>
      </c>
      <c r="O288" s="421">
        <v>0</v>
      </c>
      <c r="P288" s="421">
        <v>0</v>
      </c>
      <c r="Q288" s="421">
        <v>0</v>
      </c>
      <c r="R288" s="421">
        <v>0</v>
      </c>
      <c r="S288" s="429">
        <v>17.175492410101601</v>
      </c>
      <c r="T288" s="412"/>
    </row>
    <row r="289" spans="2:20" ht="13.5">
      <c r="B289" s="412"/>
      <c r="C289" s="428" t="s">
        <v>75</v>
      </c>
      <c r="D289" s="421">
        <v>9.5550615234374998</v>
      </c>
      <c r="E289" s="421">
        <v>0</v>
      </c>
      <c r="F289" s="421">
        <v>16.370387999999998</v>
      </c>
      <c r="G289" s="421">
        <v>4.6713383640000004</v>
      </c>
      <c r="H289" s="421">
        <v>0</v>
      </c>
      <c r="I289" s="421">
        <v>0</v>
      </c>
      <c r="J289" s="421">
        <v>0</v>
      </c>
      <c r="K289" s="421">
        <v>0</v>
      </c>
      <c r="L289" s="421">
        <v>0</v>
      </c>
      <c r="M289" s="421">
        <v>9.5333435999999994E-2</v>
      </c>
      <c r="N289" s="421">
        <v>0</v>
      </c>
      <c r="O289" s="421">
        <v>0</v>
      </c>
      <c r="P289" s="421">
        <v>25.6753694925142</v>
      </c>
      <c r="Q289" s="421">
        <v>0</v>
      </c>
      <c r="R289" s="421">
        <v>0</v>
      </c>
      <c r="S289" s="429">
        <v>56.367490815951697</v>
      </c>
      <c r="T289" s="412"/>
    </row>
    <row r="290" spans="2:20" ht="13.5">
      <c r="B290" s="412"/>
      <c r="C290" s="428" t="s">
        <v>76</v>
      </c>
      <c r="D290" s="421">
        <v>0</v>
      </c>
      <c r="E290" s="421">
        <v>0</v>
      </c>
      <c r="F290" s="421">
        <v>0</v>
      </c>
      <c r="G290" s="421">
        <v>4.52694839554567</v>
      </c>
      <c r="H290" s="421">
        <v>0</v>
      </c>
      <c r="I290" s="421">
        <v>0</v>
      </c>
      <c r="J290" s="421">
        <v>0</v>
      </c>
      <c r="K290" s="421">
        <v>0</v>
      </c>
      <c r="L290" s="421">
        <v>0</v>
      </c>
      <c r="M290" s="421">
        <v>9.2386701949911706E-2</v>
      </c>
      <c r="N290" s="421">
        <v>0</v>
      </c>
      <c r="O290" s="421">
        <v>0</v>
      </c>
      <c r="P290" s="421">
        <v>46.885354346539003</v>
      </c>
      <c r="Q290" s="421">
        <v>3.1905146505824402</v>
      </c>
      <c r="R290" s="421">
        <v>0</v>
      </c>
      <c r="S290" s="429">
        <v>54.695204094616997</v>
      </c>
      <c r="T290" s="412"/>
    </row>
    <row r="291" spans="2:20" ht="13.5">
      <c r="B291" s="412"/>
      <c r="C291" s="424" t="s">
        <v>77</v>
      </c>
      <c r="D291" s="425">
        <v>23.7935378742384</v>
      </c>
      <c r="E291" s="425">
        <v>464.7986487</v>
      </c>
      <c r="F291" s="425">
        <v>-434.61231754149702</v>
      </c>
      <c r="G291" s="425">
        <v>68.177754603392003</v>
      </c>
      <c r="H291" s="425">
        <v>727.27272727272702</v>
      </c>
      <c r="I291" s="425">
        <v>285.08</v>
      </c>
      <c r="J291" s="425">
        <v>82.803770504191903</v>
      </c>
      <c r="K291" s="425">
        <v>18.2591451209037</v>
      </c>
      <c r="L291" s="425">
        <v>-41.6624557547647</v>
      </c>
      <c r="M291" s="425">
        <v>-6.3998957841012203</v>
      </c>
      <c r="N291" s="425">
        <v>0</v>
      </c>
      <c r="O291" s="425">
        <v>2.25411214784515</v>
      </c>
      <c r="P291" s="425">
        <v>-486.14621568764602</v>
      </c>
      <c r="Q291" s="425">
        <v>-37.982317268838599</v>
      </c>
      <c r="R291" s="425">
        <v>-4.46896793742021</v>
      </c>
      <c r="S291" s="425">
        <v>661.16752624903097</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3.2525348929878701</v>
      </c>
      <c r="E293" s="421">
        <v>0</v>
      </c>
      <c r="F293" s="421">
        <v>17.532199420942199</v>
      </c>
      <c r="G293" s="421">
        <v>101.536086736296</v>
      </c>
      <c r="H293" s="421">
        <v>0</v>
      </c>
      <c r="I293" s="421">
        <v>0</v>
      </c>
      <c r="J293" s="421">
        <v>17.243729128153799</v>
      </c>
      <c r="K293" s="421">
        <v>3.8122851216920202</v>
      </c>
      <c r="L293" s="421">
        <v>0.87021837890624998</v>
      </c>
      <c r="M293" s="421">
        <v>2.0721650354346099</v>
      </c>
      <c r="N293" s="421">
        <v>0</v>
      </c>
      <c r="O293" s="421">
        <v>0</v>
      </c>
      <c r="P293" s="421">
        <v>120.089551917563</v>
      </c>
      <c r="Q293" s="421">
        <v>19.4196670049601</v>
      </c>
      <c r="R293" s="421">
        <v>0.24405599975585901</v>
      </c>
      <c r="S293" s="429">
        <v>286.072493636692</v>
      </c>
      <c r="T293" s="412"/>
    </row>
    <row r="294" spans="2:20" ht="13.5">
      <c r="B294" s="412"/>
      <c r="C294" s="428" t="s">
        <v>79</v>
      </c>
      <c r="D294" s="421">
        <v>0</v>
      </c>
      <c r="E294" s="421">
        <v>0</v>
      </c>
      <c r="F294" s="421">
        <v>204.27744800701601</v>
      </c>
      <c r="G294" s="421">
        <v>35.056721936600702</v>
      </c>
      <c r="H294" s="421">
        <v>0</v>
      </c>
      <c r="I294" s="421">
        <v>0</v>
      </c>
      <c r="J294" s="421">
        <v>0</v>
      </c>
      <c r="K294" s="421">
        <v>0</v>
      </c>
      <c r="L294" s="421">
        <v>20.587238275227001</v>
      </c>
      <c r="M294" s="421">
        <v>0.71544330482858598</v>
      </c>
      <c r="N294" s="421">
        <v>0</v>
      </c>
      <c r="O294" s="421">
        <v>0</v>
      </c>
      <c r="P294" s="421">
        <v>74.338731935176895</v>
      </c>
      <c r="Q294" s="421">
        <v>0</v>
      </c>
      <c r="R294" s="421">
        <v>3.0427208487971602</v>
      </c>
      <c r="S294" s="429">
        <v>338.01830430764699</v>
      </c>
      <c r="T294" s="412"/>
    </row>
    <row r="295" spans="2:20" ht="13.5">
      <c r="B295" s="412"/>
      <c r="C295" s="428" t="s">
        <v>80</v>
      </c>
      <c r="D295" s="421">
        <v>0</v>
      </c>
      <c r="E295" s="421">
        <v>0</v>
      </c>
      <c r="F295" s="421">
        <v>5.0790798253364304</v>
      </c>
      <c r="G295" s="421">
        <v>103.36019560958501</v>
      </c>
      <c r="H295" s="421">
        <v>0</v>
      </c>
      <c r="I295" s="421">
        <v>0</v>
      </c>
      <c r="J295" s="421">
        <v>73.674863255740703</v>
      </c>
      <c r="K295" s="421">
        <v>0</v>
      </c>
      <c r="L295" s="421">
        <v>0</v>
      </c>
      <c r="M295" s="421">
        <v>2.1093917471343899</v>
      </c>
      <c r="N295" s="421">
        <v>62.925207692465797</v>
      </c>
      <c r="O295" s="421">
        <v>0.93798825098649496</v>
      </c>
      <c r="P295" s="421">
        <v>184.247095425738</v>
      </c>
      <c r="Q295" s="421">
        <v>14.961677987514401</v>
      </c>
      <c r="R295" s="421">
        <v>0</v>
      </c>
      <c r="S295" s="429">
        <v>447.29549979450098</v>
      </c>
      <c r="T295" s="412"/>
    </row>
    <row r="296" spans="2:20" ht="13.5">
      <c r="B296" s="412"/>
      <c r="C296" s="428" t="s">
        <v>81</v>
      </c>
      <c r="D296" s="421">
        <v>0</v>
      </c>
      <c r="E296" s="421">
        <v>0</v>
      </c>
      <c r="F296" s="421">
        <v>1.9431733632283299</v>
      </c>
      <c r="G296" s="421">
        <v>67.9041876215625</v>
      </c>
      <c r="H296" s="421">
        <v>0</v>
      </c>
      <c r="I296" s="421">
        <v>0</v>
      </c>
      <c r="J296" s="421">
        <v>3.20971056517973</v>
      </c>
      <c r="K296" s="421">
        <v>0</v>
      </c>
      <c r="L296" s="421">
        <v>0</v>
      </c>
      <c r="M296" s="421">
        <v>1.3857997473788299</v>
      </c>
      <c r="N296" s="421">
        <v>6.1991330221488896</v>
      </c>
      <c r="O296" s="421">
        <v>0.72170394145081995</v>
      </c>
      <c r="P296" s="421">
        <v>149.98195377916301</v>
      </c>
      <c r="Q296" s="421">
        <v>3.6009722763640601</v>
      </c>
      <c r="R296" s="421">
        <v>0</v>
      </c>
      <c r="S296" s="429">
        <v>234.94663431647601</v>
      </c>
      <c r="T296" s="412"/>
    </row>
    <row r="297" spans="2:20" ht="13.5">
      <c r="B297" s="412"/>
      <c r="C297" s="428" t="s">
        <v>82</v>
      </c>
      <c r="D297" s="421">
        <v>0</v>
      </c>
      <c r="E297" s="421">
        <v>0</v>
      </c>
      <c r="F297" s="421">
        <v>2.1543406684855499</v>
      </c>
      <c r="G297" s="421">
        <v>5.7377015169157897</v>
      </c>
      <c r="H297" s="421">
        <v>0</v>
      </c>
      <c r="I297" s="421">
        <v>0</v>
      </c>
      <c r="J297" s="421">
        <v>2.0881916312924198</v>
      </c>
      <c r="K297" s="421">
        <v>0</v>
      </c>
      <c r="L297" s="421">
        <v>19.243865605766601</v>
      </c>
      <c r="M297" s="421">
        <v>0.117095949324812</v>
      </c>
      <c r="N297" s="421">
        <v>0</v>
      </c>
      <c r="O297" s="421">
        <v>6.0519753794095202E-2</v>
      </c>
      <c r="P297" s="421">
        <v>7.3615435248684502</v>
      </c>
      <c r="Q297" s="421">
        <v>0</v>
      </c>
      <c r="R297" s="421">
        <v>0</v>
      </c>
      <c r="S297" s="429">
        <v>36.763258650447703</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2.4</v>
      </c>
      <c r="Q298" s="421">
        <v>0</v>
      </c>
      <c r="R298" s="421">
        <v>0</v>
      </c>
      <c r="S298" s="429">
        <v>2.4</v>
      </c>
      <c r="T298" s="412"/>
    </row>
    <row r="299" spans="2:20" ht="13.5">
      <c r="B299" s="412"/>
      <c r="C299" s="424" t="s">
        <v>83</v>
      </c>
      <c r="D299" s="425">
        <v>3.2525348929878701</v>
      </c>
      <c r="E299" s="425">
        <v>0</v>
      </c>
      <c r="F299" s="425">
        <v>230.98624128500899</v>
      </c>
      <c r="G299" s="425">
        <v>313.59489342095998</v>
      </c>
      <c r="H299" s="425">
        <v>0</v>
      </c>
      <c r="I299" s="425">
        <v>0</v>
      </c>
      <c r="J299" s="425">
        <v>96.2164945803667</v>
      </c>
      <c r="K299" s="425">
        <v>3.8122851216920202</v>
      </c>
      <c r="L299" s="425">
        <v>40.701322259899896</v>
      </c>
      <c r="M299" s="425">
        <v>6.3998957841012203</v>
      </c>
      <c r="N299" s="425">
        <v>69.124340714614704</v>
      </c>
      <c r="O299" s="425">
        <v>1.72021194623141</v>
      </c>
      <c r="P299" s="425">
        <v>538.41887658250903</v>
      </c>
      <c r="Q299" s="425">
        <v>37.982317268838599</v>
      </c>
      <c r="R299" s="425">
        <v>3.28677684855302</v>
      </c>
      <c r="S299" s="425">
        <v>1345.49619070576</v>
      </c>
      <c r="T299" s="412"/>
    </row>
    <row r="300" spans="2:20" ht="13.5">
      <c r="B300" s="412"/>
      <c r="C300" s="420" t="s">
        <v>84</v>
      </c>
      <c r="D300" s="421">
        <v>2.0917910156250001</v>
      </c>
      <c r="E300" s="421">
        <v>0</v>
      </c>
      <c r="F300" s="421">
        <v>139.14741749348801</v>
      </c>
      <c r="G300" s="421">
        <v>11.9244724968143</v>
      </c>
      <c r="H300" s="421">
        <v>0</v>
      </c>
      <c r="I300" s="421">
        <v>0</v>
      </c>
      <c r="J300" s="421">
        <v>0</v>
      </c>
      <c r="K300" s="421">
        <v>0</v>
      </c>
      <c r="L300" s="421">
        <v>0</v>
      </c>
      <c r="M300" s="421">
        <v>0</v>
      </c>
      <c r="N300" s="421">
        <v>0</v>
      </c>
      <c r="O300" s="421">
        <v>0</v>
      </c>
      <c r="P300" s="421">
        <v>0</v>
      </c>
      <c r="Q300" s="421">
        <v>0</v>
      </c>
      <c r="R300" s="421">
        <v>1.18219108886719</v>
      </c>
      <c r="S300" s="429">
        <v>154.345872094794</v>
      </c>
      <c r="T300" s="412"/>
    </row>
    <row r="301" spans="2:20" ht="13.5">
      <c r="B301" s="412"/>
      <c r="C301" s="424" t="s">
        <v>85</v>
      </c>
      <c r="D301" s="425">
        <v>5.3443259086128698</v>
      </c>
      <c r="E301" s="425">
        <v>0</v>
      </c>
      <c r="F301" s="425">
        <v>370.13365877849702</v>
      </c>
      <c r="G301" s="425">
        <v>325.519365917774</v>
      </c>
      <c r="H301" s="425">
        <v>0</v>
      </c>
      <c r="I301" s="425">
        <v>0</v>
      </c>
      <c r="J301" s="425">
        <v>96.2164945803667</v>
      </c>
      <c r="K301" s="425">
        <v>3.8122851216920202</v>
      </c>
      <c r="L301" s="425">
        <v>40.701322259899896</v>
      </c>
      <c r="M301" s="425">
        <v>6.3998957841012203</v>
      </c>
      <c r="N301" s="425">
        <v>69.124340714614704</v>
      </c>
      <c r="O301" s="425">
        <v>1.72021194623141</v>
      </c>
      <c r="P301" s="425">
        <v>538.41887658250903</v>
      </c>
      <c r="Q301" s="425">
        <v>37.982317268838599</v>
      </c>
      <c r="R301" s="425">
        <v>4.46896793742021</v>
      </c>
      <c r="S301" s="425">
        <v>1499.8420628005599</v>
      </c>
      <c r="T301" s="412"/>
    </row>
    <row r="302" spans="2:20">
      <c r="B302" s="412"/>
      <c r="C302" s="412"/>
      <c r="D302" s="430">
        <f t="shared" ref="D302:S302" si="7">D301+D291-D277</f>
        <v>-3.1974423109204508E-14</v>
      </c>
      <c r="E302" s="430">
        <f t="shared" si="7"/>
        <v>0</v>
      </c>
      <c r="F302" s="430">
        <f t="shared" si="7"/>
        <v>-2.9842794901924208E-13</v>
      </c>
      <c r="G302" s="430">
        <f t="shared" si="7"/>
        <v>0</v>
      </c>
      <c r="H302" s="430">
        <f t="shared" si="7"/>
        <v>0</v>
      </c>
      <c r="I302" s="430">
        <f t="shared" si="7"/>
        <v>0</v>
      </c>
      <c r="J302" s="430">
        <f t="shared" si="7"/>
        <v>-3.694822225952521E-13</v>
      </c>
      <c r="K302" s="430">
        <f t="shared" si="7"/>
        <v>0</v>
      </c>
      <c r="L302" s="430">
        <f t="shared" si="7"/>
        <v>3.5416114485542494E-14</v>
      </c>
      <c r="M302" s="430">
        <f t="shared" si="7"/>
        <v>0</v>
      </c>
      <c r="N302" s="430">
        <f t="shared" si="7"/>
        <v>0</v>
      </c>
      <c r="O302" s="430">
        <f t="shared" si="7"/>
        <v>0</v>
      </c>
      <c r="P302" s="430">
        <f t="shared" si="7"/>
        <v>-1.9184653865522705E-13</v>
      </c>
      <c r="Q302" s="430">
        <f t="shared" si="7"/>
        <v>0</v>
      </c>
      <c r="R302" s="430">
        <f t="shared" si="7"/>
        <v>0</v>
      </c>
      <c r="S302" s="430">
        <f t="shared" si="7"/>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sheetData>
  <mergeCells count="96">
    <mergeCell ref="S269:S270"/>
    <mergeCell ref="C269:C270"/>
    <mergeCell ref="D269:D270"/>
    <mergeCell ref="E269:E270"/>
    <mergeCell ref="F269:F270"/>
    <mergeCell ref="G269:G270"/>
    <mergeCell ref="H269:H270"/>
    <mergeCell ref="I269:I270"/>
    <mergeCell ref="J269:O269"/>
    <mergeCell ref="P269:P270"/>
    <mergeCell ref="Q269:Q270"/>
    <mergeCell ref="R269:R270"/>
    <mergeCell ref="S232:S233"/>
    <mergeCell ref="C232:C233"/>
    <mergeCell ref="D232:D233"/>
    <mergeCell ref="E232:E233"/>
    <mergeCell ref="F232:F233"/>
    <mergeCell ref="G232:G233"/>
    <mergeCell ref="H232:H233"/>
    <mergeCell ref="I232:I233"/>
    <mergeCell ref="J232:O232"/>
    <mergeCell ref="P232:P233"/>
    <mergeCell ref="Q232:Q233"/>
    <mergeCell ref="R232:R233"/>
    <mergeCell ref="S195:S196"/>
    <mergeCell ref="C195:C196"/>
    <mergeCell ref="D195:D196"/>
    <mergeCell ref="E195:E196"/>
    <mergeCell ref="F195:F196"/>
    <mergeCell ref="G195:G196"/>
    <mergeCell ref="H195:H196"/>
    <mergeCell ref="I195:I196"/>
    <mergeCell ref="J195:O195"/>
    <mergeCell ref="P195:P196"/>
    <mergeCell ref="Q195:Q196"/>
    <mergeCell ref="R195:R196"/>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271:O271">
    <cfRule type="expression" dxfId="10717" priority="357">
      <formula>LEN(TRIM(N271))=0</formula>
    </cfRule>
  </conditionalFormatting>
  <conditionalFormatting sqref="N271:O271">
    <cfRule type="cellIs" dxfId="10716" priority="356" operator="equal">
      <formula>0</formula>
    </cfRule>
  </conditionalFormatting>
  <conditionalFormatting sqref="N271:O271">
    <cfRule type="cellIs" dxfId="10715" priority="355" operator="equal">
      <formula>0</formula>
    </cfRule>
  </conditionalFormatting>
  <conditionalFormatting sqref="H271:K271">
    <cfRule type="expression" dxfId="10714" priority="354">
      <formula>LEN(TRIM(H271))=0</formula>
    </cfRule>
  </conditionalFormatting>
  <conditionalFormatting sqref="K271">
    <cfRule type="cellIs" dxfId="10713" priority="353" operator="equal">
      <formula>0</formula>
    </cfRule>
  </conditionalFormatting>
  <conditionalFormatting sqref="J271:K271">
    <cfRule type="cellIs" dxfId="10712" priority="352" operator="equal">
      <formula>0</formula>
    </cfRule>
  </conditionalFormatting>
  <conditionalFormatting sqref="I271">
    <cfRule type="cellIs" dxfId="10711" priority="351" operator="equal">
      <formula>0</formula>
    </cfRule>
  </conditionalFormatting>
  <conditionalFormatting sqref="H271">
    <cfRule type="cellIs" dxfId="10710" priority="350" operator="equal">
      <formula>0</formula>
    </cfRule>
  </conditionalFormatting>
  <conditionalFormatting sqref="D279:R290">
    <cfRule type="expression" dxfId="10709" priority="349">
      <formula>LEN(TRIM(D279))=0</formula>
    </cfRule>
  </conditionalFormatting>
  <conditionalFormatting sqref="D279:R290">
    <cfRule type="cellIs" dxfId="10708" priority="348" operator="equal">
      <formula>0</formula>
    </cfRule>
  </conditionalFormatting>
  <conditionalFormatting sqref="N275:O275">
    <cfRule type="cellIs" dxfId="10707" priority="347" operator="equal">
      <formula>0</formula>
    </cfRule>
  </conditionalFormatting>
  <conditionalFormatting sqref="N274:O274">
    <cfRule type="cellIs" dxfId="10706" priority="346" operator="equal">
      <formula>0</formula>
    </cfRule>
  </conditionalFormatting>
  <conditionalFormatting sqref="M274:M275">
    <cfRule type="cellIs" dxfId="10705" priority="345" operator="equal">
      <formula>0</formula>
    </cfRule>
  </conditionalFormatting>
  <conditionalFormatting sqref="L274:L275">
    <cfRule type="cellIs" dxfId="10704" priority="344" operator="equal">
      <formula>0</formula>
    </cfRule>
  </conditionalFormatting>
  <conditionalFormatting sqref="D300:R300">
    <cfRule type="cellIs" dxfId="10703" priority="343" operator="equal">
      <formula>0</formula>
    </cfRule>
  </conditionalFormatting>
  <conditionalFormatting sqref="D293:R301 D291:R291 D272:R277 D271:G271 L271:M271 P271:R271">
    <cfRule type="expression" dxfId="10702" priority="342">
      <formula>LEN(TRIM(D271))=0</formula>
    </cfRule>
  </conditionalFormatting>
  <conditionalFormatting sqref="D300:R300">
    <cfRule type="cellIs" dxfId="10701" priority="341" operator="equal">
      <formula>0</formula>
    </cfRule>
  </conditionalFormatting>
  <conditionalFormatting sqref="O272:O273">
    <cfRule type="cellIs" dxfId="10700" priority="340" operator="equal">
      <formula>0</formula>
    </cfRule>
  </conditionalFormatting>
  <conditionalFormatting sqref="O274:O276 O292">
    <cfRule type="cellIs" dxfId="10699" priority="339" operator="equal">
      <formula>0</formula>
    </cfRule>
  </conditionalFormatting>
  <conditionalFormatting sqref="N272:N273">
    <cfRule type="cellIs" dxfId="10698" priority="338" operator="equal">
      <formula>0</formula>
    </cfRule>
  </conditionalFormatting>
  <conditionalFormatting sqref="N274:N276 N292">
    <cfRule type="cellIs" dxfId="10697" priority="337" operator="equal">
      <formula>0</formula>
    </cfRule>
  </conditionalFormatting>
  <conditionalFormatting sqref="M271:M273">
    <cfRule type="cellIs" dxfId="10696" priority="336" operator="equal">
      <formula>0</formula>
    </cfRule>
  </conditionalFormatting>
  <conditionalFormatting sqref="M274:M276 M292">
    <cfRule type="cellIs" dxfId="10695" priority="335" operator="equal">
      <formula>0</formula>
    </cfRule>
  </conditionalFormatting>
  <conditionalFormatting sqref="L271:L273">
    <cfRule type="cellIs" dxfId="10694" priority="334" operator="equal">
      <formula>0</formula>
    </cfRule>
  </conditionalFormatting>
  <conditionalFormatting sqref="L274:L276 L292">
    <cfRule type="cellIs" dxfId="10693" priority="333" operator="equal">
      <formula>0</formula>
    </cfRule>
  </conditionalFormatting>
  <conditionalFormatting sqref="K272:K273">
    <cfRule type="cellIs" dxfId="10692" priority="332" operator="equal">
      <formula>0</formula>
    </cfRule>
  </conditionalFormatting>
  <conditionalFormatting sqref="K274:K276 K292">
    <cfRule type="cellIs" dxfId="10691" priority="331" operator="equal">
      <formula>0</formula>
    </cfRule>
  </conditionalFormatting>
  <conditionalFormatting sqref="J272:J273">
    <cfRule type="cellIs" dxfId="10690" priority="330" operator="equal">
      <formula>0</formula>
    </cfRule>
  </conditionalFormatting>
  <conditionalFormatting sqref="J274:J276 J292">
    <cfRule type="cellIs" dxfId="10689" priority="329" operator="equal">
      <formula>0</formula>
    </cfRule>
  </conditionalFormatting>
  <conditionalFormatting sqref="L271:M271">
    <cfRule type="cellIs" dxfId="10688" priority="328" operator="equal">
      <formula>0</formula>
    </cfRule>
  </conditionalFormatting>
  <conditionalFormatting sqref="F272:F273">
    <cfRule type="cellIs" dxfId="10687" priority="327" operator="equal">
      <formula>0</formula>
    </cfRule>
  </conditionalFormatting>
  <conditionalFormatting sqref="P271:R271 L271:M271 D272:R273">
    <cfRule type="cellIs" dxfId="10686" priority="326" operator="equal">
      <formula>0</formula>
    </cfRule>
  </conditionalFormatting>
  <conditionalFormatting sqref="P271:P273">
    <cfRule type="cellIs" dxfId="10685" priority="325" operator="equal">
      <formula>0</formula>
    </cfRule>
  </conditionalFormatting>
  <conditionalFormatting sqref="D301:R301 P292:R292 D292:I292 D293:R299 D291:R291 D272:R278 D271:G271 L271:M271 P271:R271">
    <cfRule type="cellIs" dxfId="10684" priority="324" operator="equal">
      <formula>0</formula>
    </cfRule>
  </conditionalFormatting>
  <conditionalFormatting sqref="N234:O234">
    <cfRule type="expression" dxfId="10683" priority="323">
      <formula>LEN(TRIM(N234))=0</formula>
    </cfRule>
  </conditionalFormatting>
  <conditionalFormatting sqref="N234:O234">
    <cfRule type="cellIs" dxfId="10682" priority="322" operator="equal">
      <formula>0</formula>
    </cfRule>
  </conditionalFormatting>
  <conditionalFormatting sqref="N234:O234">
    <cfRule type="cellIs" dxfId="10681" priority="321" operator="equal">
      <formula>0</formula>
    </cfRule>
  </conditionalFormatting>
  <conditionalFormatting sqref="H234:K234">
    <cfRule type="expression" dxfId="10680" priority="320">
      <formula>LEN(TRIM(H234))=0</formula>
    </cfRule>
  </conditionalFormatting>
  <conditionalFormatting sqref="K234">
    <cfRule type="cellIs" dxfId="10679" priority="319" operator="equal">
      <formula>0</formula>
    </cfRule>
  </conditionalFormatting>
  <conditionalFormatting sqref="J234:K234">
    <cfRule type="cellIs" dxfId="10678" priority="318" operator="equal">
      <formula>0</formula>
    </cfRule>
  </conditionalFormatting>
  <conditionalFormatting sqref="I234">
    <cfRule type="cellIs" dxfId="10677" priority="317" operator="equal">
      <formula>0</formula>
    </cfRule>
  </conditionalFormatting>
  <conditionalFormatting sqref="H234">
    <cfRule type="cellIs" dxfId="10676" priority="316" operator="equal">
      <formula>0</formula>
    </cfRule>
  </conditionalFormatting>
  <conditionalFormatting sqref="D242:R253">
    <cfRule type="expression" dxfId="10675" priority="315">
      <formula>LEN(TRIM(D242))=0</formula>
    </cfRule>
  </conditionalFormatting>
  <conditionalFormatting sqref="D242:R253">
    <cfRule type="cellIs" dxfId="10674" priority="314" operator="equal">
      <formula>0</formula>
    </cfRule>
  </conditionalFormatting>
  <conditionalFormatting sqref="N238:O238">
    <cfRule type="cellIs" dxfId="10673" priority="313" operator="equal">
      <formula>0</formula>
    </cfRule>
  </conditionalFormatting>
  <conditionalFormatting sqref="N237:O237">
    <cfRule type="cellIs" dxfId="10672" priority="312" operator="equal">
      <formula>0</formula>
    </cfRule>
  </conditionalFormatting>
  <conditionalFormatting sqref="M237:M238">
    <cfRule type="cellIs" dxfId="10671" priority="311" operator="equal">
      <formula>0</formula>
    </cfRule>
  </conditionalFormatting>
  <conditionalFormatting sqref="L237:L238">
    <cfRule type="cellIs" dxfId="10670" priority="310" operator="equal">
      <formula>0</formula>
    </cfRule>
  </conditionalFormatting>
  <conditionalFormatting sqref="D263:R263">
    <cfRule type="cellIs" dxfId="10669" priority="309" operator="equal">
      <formula>0</formula>
    </cfRule>
  </conditionalFormatting>
  <conditionalFormatting sqref="D256:R264 D254:R254 D235:R240 D234:G234 L234:M234 P234:R234">
    <cfRule type="expression" dxfId="10668" priority="308">
      <formula>LEN(TRIM(D234))=0</formula>
    </cfRule>
  </conditionalFormatting>
  <conditionalFormatting sqref="D263:R263">
    <cfRule type="cellIs" dxfId="10667" priority="307" operator="equal">
      <formula>0</formula>
    </cfRule>
  </conditionalFormatting>
  <conditionalFormatting sqref="O235:O236">
    <cfRule type="cellIs" dxfId="10666" priority="306" operator="equal">
      <formula>0</formula>
    </cfRule>
  </conditionalFormatting>
  <conditionalFormatting sqref="O237:O239 O255">
    <cfRule type="cellIs" dxfId="10665" priority="305" operator="equal">
      <formula>0</formula>
    </cfRule>
  </conditionalFormatting>
  <conditionalFormatting sqref="N235:N236">
    <cfRule type="cellIs" dxfId="10664" priority="304" operator="equal">
      <formula>0</formula>
    </cfRule>
  </conditionalFormatting>
  <conditionalFormatting sqref="N237:N239 N255">
    <cfRule type="cellIs" dxfId="10663" priority="303" operator="equal">
      <formula>0</formula>
    </cfRule>
  </conditionalFormatting>
  <conditionalFormatting sqref="M234:M236">
    <cfRule type="cellIs" dxfId="10662" priority="302" operator="equal">
      <formula>0</formula>
    </cfRule>
  </conditionalFormatting>
  <conditionalFormatting sqref="M237:M239 M255">
    <cfRule type="cellIs" dxfId="10661" priority="301" operator="equal">
      <formula>0</formula>
    </cfRule>
  </conditionalFormatting>
  <conditionalFormatting sqref="L234:L236">
    <cfRule type="cellIs" dxfId="10660" priority="300" operator="equal">
      <formula>0</formula>
    </cfRule>
  </conditionalFormatting>
  <conditionalFormatting sqref="L237:L239 L255">
    <cfRule type="cellIs" dxfId="10659" priority="299" operator="equal">
      <formula>0</formula>
    </cfRule>
  </conditionalFormatting>
  <conditionalFormatting sqref="K235:K236">
    <cfRule type="cellIs" dxfId="10658" priority="298" operator="equal">
      <formula>0</formula>
    </cfRule>
  </conditionalFormatting>
  <conditionalFormatting sqref="K237:K239 K255">
    <cfRule type="cellIs" dxfId="10657" priority="297" operator="equal">
      <formula>0</formula>
    </cfRule>
  </conditionalFormatting>
  <conditionalFormatting sqref="J235:J236">
    <cfRule type="cellIs" dxfId="10656" priority="296" operator="equal">
      <formula>0</formula>
    </cfRule>
  </conditionalFormatting>
  <conditionalFormatting sqref="J237:J239 J255">
    <cfRule type="cellIs" dxfId="10655" priority="295" operator="equal">
      <formula>0</formula>
    </cfRule>
  </conditionalFormatting>
  <conditionalFormatting sqref="L234:M234">
    <cfRule type="cellIs" dxfId="10654" priority="294" operator="equal">
      <formula>0</formula>
    </cfRule>
  </conditionalFormatting>
  <conditionalFormatting sqref="F235:F236">
    <cfRule type="cellIs" dxfId="10653" priority="293" operator="equal">
      <formula>0</formula>
    </cfRule>
  </conditionalFormatting>
  <conditionalFormatting sqref="P234:R234 L234:M234 D235:R236">
    <cfRule type="cellIs" dxfId="10652" priority="292" operator="equal">
      <formula>0</formula>
    </cfRule>
  </conditionalFormatting>
  <conditionalFormatting sqref="P234:P236">
    <cfRule type="cellIs" dxfId="10651" priority="291" operator="equal">
      <formula>0</formula>
    </cfRule>
  </conditionalFormatting>
  <conditionalFormatting sqref="D264:R264 P255:R255 D255:I255 D256:R262 D254:R254 D235:R241 D234:G234 L234:M234 P234:R234">
    <cfRule type="cellIs" dxfId="10650" priority="290" operator="equal">
      <formula>0</formula>
    </cfRule>
  </conditionalFormatting>
  <conditionalFormatting sqref="S256:S264 S234:S240 S242:S254">
    <cfRule type="expression" dxfId="10649" priority="289">
      <formula>LEN(TRIM(S234))=0</formula>
    </cfRule>
  </conditionalFormatting>
  <conditionalFormatting sqref="S263">
    <cfRule type="cellIs" dxfId="10648" priority="288" operator="equal">
      <formula>0</formula>
    </cfRule>
  </conditionalFormatting>
  <conditionalFormatting sqref="S264 S234:S262">
    <cfRule type="cellIs" dxfId="10647" priority="287" operator="equal">
      <formula>0</formula>
    </cfRule>
  </conditionalFormatting>
  <conditionalFormatting sqref="S279:S290">
    <cfRule type="expression" dxfId="10646" priority="286">
      <formula>LEN(TRIM(S279))=0</formula>
    </cfRule>
  </conditionalFormatting>
  <conditionalFormatting sqref="S279:S290">
    <cfRule type="cellIs" dxfId="10645" priority="285" operator="equal">
      <formula>0</formula>
    </cfRule>
  </conditionalFormatting>
  <conditionalFormatting sqref="S274:S275">
    <cfRule type="expression" dxfId="10644" priority="284">
      <formula>LEN(TRIM(S274))=0</formula>
    </cfRule>
  </conditionalFormatting>
  <conditionalFormatting sqref="S274:S275">
    <cfRule type="cellIs" dxfId="10643" priority="283" operator="equal">
      <formula>0</formula>
    </cfRule>
  </conditionalFormatting>
  <conditionalFormatting sqref="S293:S301 S271:S273 S276:S277">
    <cfRule type="expression" dxfId="10642" priority="282">
      <formula>LEN(TRIM(S271))=0</formula>
    </cfRule>
  </conditionalFormatting>
  <conditionalFormatting sqref="S300">
    <cfRule type="cellIs" dxfId="10641" priority="281" operator="equal">
      <formula>0</formula>
    </cfRule>
  </conditionalFormatting>
  <conditionalFormatting sqref="S301 S271:S273">
    <cfRule type="cellIs" dxfId="10640" priority="280" operator="equal">
      <formula>0</formula>
    </cfRule>
  </conditionalFormatting>
  <conditionalFormatting sqref="O270">
    <cfRule type="cellIs" dxfId="10639" priority="279" operator="equal">
      <formula>0</formula>
    </cfRule>
  </conditionalFormatting>
  <conditionalFormatting sqref="J270:N270">
    <cfRule type="cellIs" dxfId="10638" priority="278" operator="equal">
      <formula>0</formula>
    </cfRule>
  </conditionalFormatting>
  <conditionalFormatting sqref="O233">
    <cfRule type="cellIs" dxfId="10637" priority="277" operator="equal">
      <formula>0</formula>
    </cfRule>
  </conditionalFormatting>
  <conditionalFormatting sqref="J233:N233">
    <cfRule type="cellIs" dxfId="10636" priority="276" operator="equal">
      <formula>0</formula>
    </cfRule>
  </conditionalFormatting>
  <conditionalFormatting sqref="N197:O197">
    <cfRule type="expression" dxfId="10635" priority="275">
      <formula>LEN(TRIM(N197))=0</formula>
    </cfRule>
  </conditionalFormatting>
  <conditionalFormatting sqref="N197:O197">
    <cfRule type="cellIs" dxfId="10634" priority="274" operator="equal">
      <formula>0</formula>
    </cfRule>
  </conditionalFormatting>
  <conditionalFormatting sqref="N197:O197">
    <cfRule type="cellIs" dxfId="10633" priority="273" operator="equal">
      <formula>0</formula>
    </cfRule>
  </conditionalFormatting>
  <conditionalFormatting sqref="H197:K197">
    <cfRule type="expression" dxfId="10632" priority="272">
      <formula>LEN(TRIM(H197))=0</formula>
    </cfRule>
  </conditionalFormatting>
  <conditionalFormatting sqref="K197">
    <cfRule type="cellIs" dxfId="10631" priority="271" operator="equal">
      <formula>0</formula>
    </cfRule>
  </conditionalFormatting>
  <conditionalFormatting sqref="J197:K197">
    <cfRule type="cellIs" dxfId="10630" priority="270" operator="equal">
      <formula>0</formula>
    </cfRule>
  </conditionalFormatting>
  <conditionalFormatting sqref="I197">
    <cfRule type="cellIs" dxfId="10629" priority="269" operator="equal">
      <formula>0</formula>
    </cfRule>
  </conditionalFormatting>
  <conditionalFormatting sqref="H197">
    <cfRule type="cellIs" dxfId="10628" priority="268" operator="equal">
      <formula>0</formula>
    </cfRule>
  </conditionalFormatting>
  <conditionalFormatting sqref="D205:R216">
    <cfRule type="expression" dxfId="10627" priority="267">
      <formula>LEN(TRIM(D205))=0</formula>
    </cfRule>
  </conditionalFormatting>
  <conditionalFormatting sqref="D205:R216">
    <cfRule type="cellIs" dxfId="10626" priority="266" operator="equal">
      <formula>0</formula>
    </cfRule>
  </conditionalFormatting>
  <conditionalFormatting sqref="N201:O201">
    <cfRule type="cellIs" dxfId="10625" priority="265" operator="equal">
      <formula>0</formula>
    </cfRule>
  </conditionalFormatting>
  <conditionalFormatting sqref="N200:O200">
    <cfRule type="cellIs" dxfId="10624" priority="264" operator="equal">
      <formula>0</formula>
    </cfRule>
  </conditionalFormatting>
  <conditionalFormatting sqref="M200:M201">
    <cfRule type="cellIs" dxfId="10623" priority="263" operator="equal">
      <formula>0</formula>
    </cfRule>
  </conditionalFormatting>
  <conditionalFormatting sqref="L200:L201">
    <cfRule type="cellIs" dxfId="10622" priority="262" operator="equal">
      <formula>0</formula>
    </cfRule>
  </conditionalFormatting>
  <conditionalFormatting sqref="D226:R226">
    <cfRule type="cellIs" dxfId="10621" priority="261" operator="equal">
      <formula>0</formula>
    </cfRule>
  </conditionalFormatting>
  <conditionalFormatting sqref="D219:R227 D217:R217 D198:R203 D197:G197 L197:M197 P197:R197">
    <cfRule type="expression" dxfId="10620" priority="260">
      <formula>LEN(TRIM(D197))=0</formula>
    </cfRule>
  </conditionalFormatting>
  <conditionalFormatting sqref="D226:R226">
    <cfRule type="cellIs" dxfId="10619" priority="259" operator="equal">
      <formula>0</formula>
    </cfRule>
  </conditionalFormatting>
  <conditionalFormatting sqref="O198:O199">
    <cfRule type="cellIs" dxfId="10618" priority="258" operator="equal">
      <formula>0</formula>
    </cfRule>
  </conditionalFormatting>
  <conditionalFormatting sqref="O200:O202 O218">
    <cfRule type="cellIs" dxfId="10617" priority="257" operator="equal">
      <formula>0</formula>
    </cfRule>
  </conditionalFormatting>
  <conditionalFormatting sqref="N198:N199">
    <cfRule type="cellIs" dxfId="10616" priority="256" operator="equal">
      <formula>0</formula>
    </cfRule>
  </conditionalFormatting>
  <conditionalFormatting sqref="N200:N202 N218">
    <cfRule type="cellIs" dxfId="10615" priority="255" operator="equal">
      <formula>0</formula>
    </cfRule>
  </conditionalFormatting>
  <conditionalFormatting sqref="M197:M199">
    <cfRule type="cellIs" dxfId="10614" priority="254" operator="equal">
      <formula>0</formula>
    </cfRule>
  </conditionalFormatting>
  <conditionalFormatting sqref="M200:M202 M218">
    <cfRule type="cellIs" dxfId="10613" priority="253" operator="equal">
      <formula>0</formula>
    </cfRule>
  </conditionalFormatting>
  <conditionalFormatting sqref="L197:L199">
    <cfRule type="cellIs" dxfId="10612" priority="252" operator="equal">
      <formula>0</formula>
    </cfRule>
  </conditionalFormatting>
  <conditionalFormatting sqref="L200:L202 L218">
    <cfRule type="cellIs" dxfId="10611" priority="251" operator="equal">
      <formula>0</formula>
    </cfRule>
  </conditionalFormatting>
  <conditionalFormatting sqref="K198:K199">
    <cfRule type="cellIs" dxfId="10610" priority="250" operator="equal">
      <formula>0</formula>
    </cfRule>
  </conditionalFormatting>
  <conditionalFormatting sqref="K200:K202 K218">
    <cfRule type="cellIs" dxfId="10609" priority="249" operator="equal">
      <formula>0</formula>
    </cfRule>
  </conditionalFormatting>
  <conditionalFormatting sqref="J198:J199">
    <cfRule type="cellIs" dxfId="10608" priority="248" operator="equal">
      <formula>0</formula>
    </cfRule>
  </conditionalFormatting>
  <conditionalFormatting sqref="J200:J202 J218">
    <cfRule type="cellIs" dxfId="10607" priority="247" operator="equal">
      <formula>0</formula>
    </cfRule>
  </conditionalFormatting>
  <conditionalFormatting sqref="L197:M197">
    <cfRule type="cellIs" dxfId="10606" priority="246" operator="equal">
      <formula>0</formula>
    </cfRule>
  </conditionalFormatting>
  <conditionalFormatting sqref="F198:F199">
    <cfRule type="cellIs" dxfId="10605" priority="245" operator="equal">
      <formula>0</formula>
    </cfRule>
  </conditionalFormatting>
  <conditionalFormatting sqref="P197:R197 L197:M197 D198:R199">
    <cfRule type="cellIs" dxfId="10604" priority="244" operator="equal">
      <formula>0</formula>
    </cfRule>
  </conditionalFormatting>
  <conditionalFormatting sqref="P197:P199">
    <cfRule type="cellIs" dxfId="10603" priority="243" operator="equal">
      <formula>0</formula>
    </cfRule>
  </conditionalFormatting>
  <conditionalFormatting sqref="D227:R227 P218:R218 D218:I218 D219:R225 D217:R217 D198:R204 D197:G197 L197:M197 P197:R197">
    <cfRule type="cellIs" dxfId="10602" priority="242" operator="equal">
      <formula>0</formula>
    </cfRule>
  </conditionalFormatting>
  <conditionalFormatting sqref="N160:O160">
    <cfRule type="expression" dxfId="10601" priority="241">
      <formula>LEN(TRIM(N160))=0</formula>
    </cfRule>
  </conditionalFormatting>
  <conditionalFormatting sqref="N160:O160">
    <cfRule type="cellIs" dxfId="10600" priority="240" operator="equal">
      <formula>0</formula>
    </cfRule>
  </conditionalFormatting>
  <conditionalFormatting sqref="N160:O160">
    <cfRule type="cellIs" dxfId="10599" priority="239" operator="equal">
      <formula>0</formula>
    </cfRule>
  </conditionalFormatting>
  <conditionalFormatting sqref="H160:K160">
    <cfRule type="expression" dxfId="10598" priority="238">
      <formula>LEN(TRIM(H160))=0</formula>
    </cfRule>
  </conditionalFormatting>
  <conditionalFormatting sqref="K160">
    <cfRule type="cellIs" dxfId="10597" priority="237" operator="equal">
      <formula>0</formula>
    </cfRule>
  </conditionalFormatting>
  <conditionalFormatting sqref="J160:K160">
    <cfRule type="cellIs" dxfId="10596" priority="236" operator="equal">
      <formula>0</formula>
    </cfRule>
  </conditionalFormatting>
  <conditionalFormatting sqref="I160">
    <cfRule type="cellIs" dxfId="10595" priority="235" operator="equal">
      <formula>0</formula>
    </cfRule>
  </conditionalFormatting>
  <conditionalFormatting sqref="H160">
    <cfRule type="cellIs" dxfId="10594" priority="234" operator="equal">
      <formula>0</formula>
    </cfRule>
  </conditionalFormatting>
  <conditionalFormatting sqref="D168:R179">
    <cfRule type="expression" dxfId="10593" priority="233">
      <formula>LEN(TRIM(D168))=0</formula>
    </cfRule>
  </conditionalFormatting>
  <conditionalFormatting sqref="D168:R179">
    <cfRule type="cellIs" dxfId="10592" priority="232" operator="equal">
      <formula>0</formula>
    </cfRule>
  </conditionalFormatting>
  <conditionalFormatting sqref="N164:O164">
    <cfRule type="cellIs" dxfId="10591" priority="231" operator="equal">
      <formula>0</formula>
    </cfRule>
  </conditionalFormatting>
  <conditionalFormatting sqref="N163:O163">
    <cfRule type="cellIs" dxfId="10590" priority="230" operator="equal">
      <formula>0</formula>
    </cfRule>
  </conditionalFormatting>
  <conditionalFormatting sqref="M163:M164">
    <cfRule type="cellIs" dxfId="10589" priority="229" operator="equal">
      <formula>0</formula>
    </cfRule>
  </conditionalFormatting>
  <conditionalFormatting sqref="L163:L164">
    <cfRule type="cellIs" dxfId="10588" priority="228" operator="equal">
      <formula>0</formula>
    </cfRule>
  </conditionalFormatting>
  <conditionalFormatting sqref="D189:R189">
    <cfRule type="cellIs" dxfId="10587" priority="227" operator="equal">
      <formula>0</formula>
    </cfRule>
  </conditionalFormatting>
  <conditionalFormatting sqref="D182:R190 D180:R180 D161:R166 D160:G160 L160:M160 P160:R160">
    <cfRule type="expression" dxfId="10586" priority="226">
      <formula>LEN(TRIM(D160))=0</formula>
    </cfRule>
  </conditionalFormatting>
  <conditionalFormatting sqref="D189:R189">
    <cfRule type="cellIs" dxfId="10585" priority="225" operator="equal">
      <formula>0</formula>
    </cfRule>
  </conditionalFormatting>
  <conditionalFormatting sqref="O161:O162">
    <cfRule type="cellIs" dxfId="10584" priority="224" operator="equal">
      <formula>0</formula>
    </cfRule>
  </conditionalFormatting>
  <conditionalFormatting sqref="O163:O165 O181">
    <cfRule type="cellIs" dxfId="10583" priority="223" operator="equal">
      <formula>0</formula>
    </cfRule>
  </conditionalFormatting>
  <conditionalFormatting sqref="N161:N162">
    <cfRule type="cellIs" dxfId="10582" priority="222" operator="equal">
      <formula>0</formula>
    </cfRule>
  </conditionalFormatting>
  <conditionalFormatting sqref="N163:N165 N181">
    <cfRule type="cellIs" dxfId="10581" priority="221" operator="equal">
      <formula>0</formula>
    </cfRule>
  </conditionalFormatting>
  <conditionalFormatting sqref="M160:M162">
    <cfRule type="cellIs" dxfId="10580" priority="220" operator="equal">
      <formula>0</formula>
    </cfRule>
  </conditionalFormatting>
  <conditionalFormatting sqref="M163:M165 M181">
    <cfRule type="cellIs" dxfId="10579" priority="219" operator="equal">
      <formula>0</formula>
    </cfRule>
  </conditionalFormatting>
  <conditionalFormatting sqref="L160:L162">
    <cfRule type="cellIs" dxfId="10578" priority="218" operator="equal">
      <formula>0</formula>
    </cfRule>
  </conditionalFormatting>
  <conditionalFormatting sqref="L163:L165 L181">
    <cfRule type="cellIs" dxfId="10577" priority="217" operator="equal">
      <formula>0</formula>
    </cfRule>
  </conditionalFormatting>
  <conditionalFormatting sqref="K161:K162">
    <cfRule type="cellIs" dxfId="10576" priority="216" operator="equal">
      <formula>0</formula>
    </cfRule>
  </conditionalFormatting>
  <conditionalFormatting sqref="K163:K165 K181">
    <cfRule type="cellIs" dxfId="10575" priority="215" operator="equal">
      <formula>0</formula>
    </cfRule>
  </conditionalFormatting>
  <conditionalFormatting sqref="J161:J162">
    <cfRule type="cellIs" dxfId="10574" priority="214" operator="equal">
      <formula>0</formula>
    </cfRule>
  </conditionalFormatting>
  <conditionalFormatting sqref="J163:J165 J181">
    <cfRule type="cellIs" dxfId="10573" priority="213" operator="equal">
      <formula>0</formula>
    </cfRule>
  </conditionalFormatting>
  <conditionalFormatting sqref="L160:M160">
    <cfRule type="cellIs" dxfId="10572" priority="212" operator="equal">
      <formula>0</formula>
    </cfRule>
  </conditionalFormatting>
  <conditionalFormatting sqref="F161:F162">
    <cfRule type="cellIs" dxfId="10571" priority="211" operator="equal">
      <formula>0</formula>
    </cfRule>
  </conditionalFormatting>
  <conditionalFormatting sqref="P160:R160 L160:M160 D161:R162">
    <cfRule type="cellIs" dxfId="10570" priority="210" operator="equal">
      <formula>0</formula>
    </cfRule>
  </conditionalFormatting>
  <conditionalFormatting sqref="P160:P162">
    <cfRule type="cellIs" dxfId="10569" priority="209" operator="equal">
      <formula>0</formula>
    </cfRule>
  </conditionalFormatting>
  <conditionalFormatting sqref="D190:R190 P181:R181 D181:I181 D182:R188 D180:R180 D161:R167 D160:G160 L160:M160 P160:R160">
    <cfRule type="cellIs" dxfId="10568" priority="208" operator="equal">
      <formula>0</formula>
    </cfRule>
  </conditionalFormatting>
  <conditionalFormatting sqref="N123:O123">
    <cfRule type="expression" dxfId="10567" priority="207">
      <formula>LEN(TRIM(N123))=0</formula>
    </cfRule>
  </conditionalFormatting>
  <conditionalFormatting sqref="N123:O123">
    <cfRule type="cellIs" dxfId="10566" priority="206" operator="equal">
      <formula>0</formula>
    </cfRule>
  </conditionalFormatting>
  <conditionalFormatting sqref="N123:O123">
    <cfRule type="cellIs" dxfId="10565" priority="205" operator="equal">
      <formula>0</formula>
    </cfRule>
  </conditionalFormatting>
  <conditionalFormatting sqref="H123:K123">
    <cfRule type="expression" dxfId="10564" priority="204">
      <formula>LEN(TRIM(H123))=0</formula>
    </cfRule>
  </conditionalFormatting>
  <conditionalFormatting sqref="K123">
    <cfRule type="cellIs" dxfId="10563" priority="203" operator="equal">
      <formula>0</formula>
    </cfRule>
  </conditionalFormatting>
  <conditionalFormatting sqref="J123:K123">
    <cfRule type="cellIs" dxfId="10562" priority="202" operator="equal">
      <formula>0</formula>
    </cfRule>
  </conditionalFormatting>
  <conditionalFormatting sqref="I123">
    <cfRule type="cellIs" dxfId="10561" priority="201" operator="equal">
      <formula>0</formula>
    </cfRule>
  </conditionalFormatting>
  <conditionalFormatting sqref="H123">
    <cfRule type="cellIs" dxfId="10560" priority="200" operator="equal">
      <formula>0</formula>
    </cfRule>
  </conditionalFormatting>
  <conditionalFormatting sqref="D131:R142">
    <cfRule type="expression" dxfId="10559" priority="199">
      <formula>LEN(TRIM(D131))=0</formula>
    </cfRule>
  </conditionalFormatting>
  <conditionalFormatting sqref="D131:R142">
    <cfRule type="cellIs" dxfId="10558" priority="198" operator="equal">
      <formula>0</formula>
    </cfRule>
  </conditionalFormatting>
  <conditionalFormatting sqref="N127:O127">
    <cfRule type="cellIs" dxfId="10557" priority="197" operator="equal">
      <formula>0</formula>
    </cfRule>
  </conditionalFormatting>
  <conditionalFormatting sqref="N126:O126">
    <cfRule type="cellIs" dxfId="10556" priority="196" operator="equal">
      <formula>0</formula>
    </cfRule>
  </conditionalFormatting>
  <conditionalFormatting sqref="M126:M127">
    <cfRule type="cellIs" dxfId="10555" priority="195" operator="equal">
      <formula>0</formula>
    </cfRule>
  </conditionalFormatting>
  <conditionalFormatting sqref="L126:L127">
    <cfRule type="cellIs" dxfId="10554" priority="194" operator="equal">
      <formula>0</formula>
    </cfRule>
  </conditionalFormatting>
  <conditionalFormatting sqref="D152:R152">
    <cfRule type="cellIs" dxfId="10553" priority="193" operator="equal">
      <formula>0</formula>
    </cfRule>
  </conditionalFormatting>
  <conditionalFormatting sqref="D145:R153 D143:R143 D124:R129 D123:G123 L123:M123 P123:R123">
    <cfRule type="expression" dxfId="10552" priority="192">
      <formula>LEN(TRIM(D123))=0</formula>
    </cfRule>
  </conditionalFormatting>
  <conditionalFormatting sqref="D152:R152">
    <cfRule type="cellIs" dxfId="10551" priority="191" operator="equal">
      <formula>0</formula>
    </cfRule>
  </conditionalFormatting>
  <conditionalFormatting sqref="O124:O125">
    <cfRule type="cellIs" dxfId="10550" priority="190" operator="equal">
      <formula>0</formula>
    </cfRule>
  </conditionalFormatting>
  <conditionalFormatting sqref="O126:O128 O144">
    <cfRule type="cellIs" dxfId="10549" priority="189" operator="equal">
      <formula>0</formula>
    </cfRule>
  </conditionalFormatting>
  <conditionalFormatting sqref="N124:N125">
    <cfRule type="cellIs" dxfId="10548" priority="188" operator="equal">
      <formula>0</formula>
    </cfRule>
  </conditionalFormatting>
  <conditionalFormatting sqref="N126:N128 N144">
    <cfRule type="cellIs" dxfId="10547" priority="187" operator="equal">
      <formula>0</formula>
    </cfRule>
  </conditionalFormatting>
  <conditionalFormatting sqref="M123:M125">
    <cfRule type="cellIs" dxfId="10546" priority="186" operator="equal">
      <formula>0</formula>
    </cfRule>
  </conditionalFormatting>
  <conditionalFormatting sqref="M126:M128 M144">
    <cfRule type="cellIs" dxfId="10545" priority="185" operator="equal">
      <formula>0</formula>
    </cfRule>
  </conditionalFormatting>
  <conditionalFormatting sqref="L123:L125">
    <cfRule type="cellIs" dxfId="10544" priority="184" operator="equal">
      <formula>0</formula>
    </cfRule>
  </conditionalFormatting>
  <conditionalFormatting sqref="L126:L128 L144">
    <cfRule type="cellIs" dxfId="10543" priority="183" operator="equal">
      <formula>0</formula>
    </cfRule>
  </conditionalFormatting>
  <conditionalFormatting sqref="K124:K125">
    <cfRule type="cellIs" dxfId="10542" priority="182" operator="equal">
      <formula>0</formula>
    </cfRule>
  </conditionalFormatting>
  <conditionalFormatting sqref="K126:K128 K144">
    <cfRule type="cellIs" dxfId="10541" priority="181" operator="equal">
      <formula>0</formula>
    </cfRule>
  </conditionalFormatting>
  <conditionalFormatting sqref="J124:J125">
    <cfRule type="cellIs" dxfId="10540" priority="180" operator="equal">
      <formula>0</formula>
    </cfRule>
  </conditionalFormatting>
  <conditionalFormatting sqref="J126:J128 J144">
    <cfRule type="cellIs" dxfId="10539" priority="179" operator="equal">
      <formula>0</formula>
    </cfRule>
  </conditionalFormatting>
  <conditionalFormatting sqref="L123:M123">
    <cfRule type="cellIs" dxfId="10538" priority="178" operator="equal">
      <formula>0</formula>
    </cfRule>
  </conditionalFormatting>
  <conditionalFormatting sqref="F124:F125">
    <cfRule type="cellIs" dxfId="10537" priority="177" operator="equal">
      <formula>0</formula>
    </cfRule>
  </conditionalFormatting>
  <conditionalFormatting sqref="P123:R123 L123:M123 D124:R125">
    <cfRule type="cellIs" dxfId="10536" priority="176" operator="equal">
      <formula>0</formula>
    </cfRule>
  </conditionalFormatting>
  <conditionalFormatting sqref="P123:P125">
    <cfRule type="cellIs" dxfId="10535" priority="175" operator="equal">
      <formula>0</formula>
    </cfRule>
  </conditionalFormatting>
  <conditionalFormatting sqref="D153:R153 P144:R144 D144:I144 D145:R151 D143:R143 D124:R130 D123:G123 L123:M123 P123:R123">
    <cfRule type="cellIs" dxfId="10534" priority="174" operator="equal">
      <formula>0</formula>
    </cfRule>
  </conditionalFormatting>
  <conditionalFormatting sqref="S219:S227 S197:S203 S205:S217">
    <cfRule type="expression" dxfId="10533" priority="173">
      <formula>LEN(TRIM(S197))=0</formula>
    </cfRule>
  </conditionalFormatting>
  <conditionalFormatting sqref="S226">
    <cfRule type="cellIs" dxfId="10532" priority="172" operator="equal">
      <formula>0</formula>
    </cfRule>
  </conditionalFormatting>
  <conditionalFormatting sqref="S227 S197:S225">
    <cfRule type="cellIs" dxfId="10531" priority="171" operator="equal">
      <formula>0</formula>
    </cfRule>
  </conditionalFormatting>
  <conditionalFormatting sqref="S182:S190 S160:S166 S168:S180">
    <cfRule type="expression" dxfId="10530" priority="170">
      <formula>LEN(TRIM(S160))=0</formula>
    </cfRule>
  </conditionalFormatting>
  <conditionalFormatting sqref="S189">
    <cfRule type="cellIs" dxfId="10529" priority="169" operator="equal">
      <formula>0</formula>
    </cfRule>
  </conditionalFormatting>
  <conditionalFormatting sqref="S190 S160:S188">
    <cfRule type="cellIs" dxfId="10528" priority="168" operator="equal">
      <formula>0</formula>
    </cfRule>
  </conditionalFormatting>
  <conditionalFormatting sqref="S145:S153 S123:S129 S131:S143">
    <cfRule type="expression" dxfId="10527" priority="167">
      <formula>LEN(TRIM(S123))=0</formula>
    </cfRule>
  </conditionalFormatting>
  <conditionalFormatting sqref="S152">
    <cfRule type="cellIs" dxfId="10526" priority="166" operator="equal">
      <formula>0</formula>
    </cfRule>
  </conditionalFormatting>
  <conditionalFormatting sqref="S153 S123:S151">
    <cfRule type="cellIs" dxfId="10525" priority="165" operator="equal">
      <formula>0</formula>
    </cfRule>
  </conditionalFormatting>
  <conditionalFormatting sqref="O196">
    <cfRule type="cellIs" dxfId="10524" priority="164" operator="equal">
      <formula>0</formula>
    </cfRule>
  </conditionalFormatting>
  <conditionalFormatting sqref="J196:N196">
    <cfRule type="cellIs" dxfId="10523" priority="163" operator="equal">
      <formula>0</formula>
    </cfRule>
  </conditionalFormatting>
  <conditionalFormatting sqref="O159">
    <cfRule type="cellIs" dxfId="10522" priority="162" operator="equal">
      <formula>0</formula>
    </cfRule>
  </conditionalFormatting>
  <conditionalFormatting sqref="J159:N159">
    <cfRule type="cellIs" dxfId="10521" priority="161" operator="equal">
      <formula>0</formula>
    </cfRule>
  </conditionalFormatting>
  <conditionalFormatting sqref="O122">
    <cfRule type="cellIs" dxfId="10520" priority="160" operator="equal">
      <formula>0</formula>
    </cfRule>
  </conditionalFormatting>
  <conditionalFormatting sqref="J122:N122">
    <cfRule type="cellIs" dxfId="10519" priority="159" operator="equal">
      <formula>0</formula>
    </cfRule>
  </conditionalFormatting>
  <conditionalFormatting sqref="N86:O86">
    <cfRule type="expression" dxfId="10518" priority="158">
      <formula>LEN(TRIM(N86))=0</formula>
    </cfRule>
  </conditionalFormatting>
  <conditionalFormatting sqref="N86:O86">
    <cfRule type="cellIs" dxfId="10517" priority="157" operator="equal">
      <formula>0</formula>
    </cfRule>
  </conditionalFormatting>
  <conditionalFormatting sqref="N86:O86">
    <cfRule type="cellIs" dxfId="10516" priority="156" operator="equal">
      <formula>0</formula>
    </cfRule>
  </conditionalFormatting>
  <conditionalFormatting sqref="H86:K86">
    <cfRule type="expression" dxfId="10515" priority="155">
      <formula>LEN(TRIM(H86))=0</formula>
    </cfRule>
  </conditionalFormatting>
  <conditionalFormatting sqref="K86">
    <cfRule type="cellIs" dxfId="10514" priority="154" operator="equal">
      <formula>0</formula>
    </cfRule>
  </conditionalFormatting>
  <conditionalFormatting sqref="J86:K86">
    <cfRule type="cellIs" dxfId="10513" priority="153" operator="equal">
      <formula>0</formula>
    </cfRule>
  </conditionalFormatting>
  <conditionalFormatting sqref="I86">
    <cfRule type="cellIs" dxfId="10512" priority="152" operator="equal">
      <formula>0</formula>
    </cfRule>
  </conditionalFormatting>
  <conditionalFormatting sqref="H86">
    <cfRule type="cellIs" dxfId="10511" priority="151" operator="equal">
      <formula>0</formula>
    </cfRule>
  </conditionalFormatting>
  <conditionalFormatting sqref="D94:R105">
    <cfRule type="expression" dxfId="10510" priority="150">
      <formula>LEN(TRIM(D94))=0</formula>
    </cfRule>
  </conditionalFormatting>
  <conditionalFormatting sqref="D94:R105">
    <cfRule type="cellIs" dxfId="10509" priority="149" operator="equal">
      <formula>0</formula>
    </cfRule>
  </conditionalFormatting>
  <conditionalFormatting sqref="N90:O90">
    <cfRule type="cellIs" dxfId="10508" priority="148" operator="equal">
      <formula>0</formula>
    </cfRule>
  </conditionalFormatting>
  <conditionalFormatting sqref="N89:O89">
    <cfRule type="cellIs" dxfId="10507" priority="147" operator="equal">
      <formula>0</formula>
    </cfRule>
  </conditionalFormatting>
  <conditionalFormatting sqref="M89:M90">
    <cfRule type="cellIs" dxfId="10506" priority="146" operator="equal">
      <formula>0</formula>
    </cfRule>
  </conditionalFormatting>
  <conditionalFormatting sqref="L89:L90">
    <cfRule type="cellIs" dxfId="10505" priority="145" operator="equal">
      <formula>0</formula>
    </cfRule>
  </conditionalFormatting>
  <conditionalFormatting sqref="D115:R115">
    <cfRule type="cellIs" dxfId="10504" priority="144" operator="equal">
      <formula>0</formula>
    </cfRule>
  </conditionalFormatting>
  <conditionalFormatting sqref="D108:R116 D106:R106 D87:R92 D86:G86 L86:M86 P86:R86">
    <cfRule type="expression" dxfId="10503" priority="143">
      <formula>LEN(TRIM(D86))=0</formula>
    </cfRule>
  </conditionalFormatting>
  <conditionalFormatting sqref="D115:R115">
    <cfRule type="cellIs" dxfId="10502" priority="142" operator="equal">
      <formula>0</formula>
    </cfRule>
  </conditionalFormatting>
  <conditionalFormatting sqref="O87:O88">
    <cfRule type="cellIs" dxfId="10501" priority="141" operator="equal">
      <formula>0</formula>
    </cfRule>
  </conditionalFormatting>
  <conditionalFormatting sqref="O89:O91 O107">
    <cfRule type="cellIs" dxfId="10500" priority="140" operator="equal">
      <formula>0</formula>
    </cfRule>
  </conditionalFormatting>
  <conditionalFormatting sqref="N87:N88">
    <cfRule type="cellIs" dxfId="10499" priority="139" operator="equal">
      <formula>0</formula>
    </cfRule>
  </conditionalFormatting>
  <conditionalFormatting sqref="N89:N91 N107">
    <cfRule type="cellIs" dxfId="10498" priority="138" operator="equal">
      <formula>0</formula>
    </cfRule>
  </conditionalFormatting>
  <conditionalFormatting sqref="M86:M88">
    <cfRule type="cellIs" dxfId="10497" priority="137" operator="equal">
      <formula>0</formula>
    </cfRule>
  </conditionalFormatting>
  <conditionalFormatting sqref="M89:M91 M107">
    <cfRule type="cellIs" dxfId="10496" priority="136" operator="equal">
      <formula>0</formula>
    </cfRule>
  </conditionalFormatting>
  <conditionalFormatting sqref="L86:L88">
    <cfRule type="cellIs" dxfId="10495" priority="135" operator="equal">
      <formula>0</formula>
    </cfRule>
  </conditionalFormatting>
  <conditionalFormatting sqref="L89:L91 L107">
    <cfRule type="cellIs" dxfId="10494" priority="134" operator="equal">
      <formula>0</formula>
    </cfRule>
  </conditionalFormatting>
  <conditionalFormatting sqref="K87:K88">
    <cfRule type="cellIs" dxfId="10493" priority="133" operator="equal">
      <formula>0</formula>
    </cfRule>
  </conditionalFormatting>
  <conditionalFormatting sqref="K89:K91 K107">
    <cfRule type="cellIs" dxfId="10492" priority="132" operator="equal">
      <formula>0</formula>
    </cfRule>
  </conditionalFormatting>
  <conditionalFormatting sqref="J87:J88">
    <cfRule type="cellIs" dxfId="10491" priority="131" operator="equal">
      <formula>0</formula>
    </cfRule>
  </conditionalFormatting>
  <conditionalFormatting sqref="J89:J91 J107">
    <cfRule type="cellIs" dxfId="10490" priority="130" operator="equal">
      <formula>0</formula>
    </cfRule>
  </conditionalFormatting>
  <conditionalFormatting sqref="L86:M86">
    <cfRule type="cellIs" dxfId="10489" priority="129" operator="equal">
      <formula>0</formula>
    </cfRule>
  </conditionalFormatting>
  <conditionalFormatting sqref="F87:F88">
    <cfRule type="cellIs" dxfId="10488" priority="128" operator="equal">
      <formula>0</formula>
    </cfRule>
  </conditionalFormatting>
  <conditionalFormatting sqref="P86:R86 L86:M86 D87:R88">
    <cfRule type="cellIs" dxfId="10487" priority="127" operator="equal">
      <formula>0</formula>
    </cfRule>
  </conditionalFormatting>
  <conditionalFormatting sqref="P86:P88">
    <cfRule type="cellIs" dxfId="10486" priority="126" operator="equal">
      <formula>0</formula>
    </cfRule>
  </conditionalFormatting>
  <conditionalFormatting sqref="D116:R116 P107:R107 D107:I107 D108:R114 D106:R106 D87:R93 D86:G86 L86:M86 P86:R86">
    <cfRule type="cellIs" dxfId="10485" priority="125" operator="equal">
      <formula>0</formula>
    </cfRule>
  </conditionalFormatting>
  <conditionalFormatting sqref="S108:S116 S86:S92 S94:S106">
    <cfRule type="expression" dxfId="10484" priority="124">
      <formula>LEN(TRIM(S86))=0</formula>
    </cfRule>
  </conditionalFormatting>
  <conditionalFormatting sqref="S115">
    <cfRule type="cellIs" dxfId="10483" priority="123" operator="equal">
      <formula>0</formula>
    </cfRule>
  </conditionalFormatting>
  <conditionalFormatting sqref="S116 S86:S114">
    <cfRule type="cellIs" dxfId="10482" priority="122" operator="equal">
      <formula>0</formula>
    </cfRule>
  </conditionalFormatting>
  <conditionalFormatting sqref="O85">
    <cfRule type="cellIs" dxfId="10481" priority="121" operator="equal">
      <formula>0</formula>
    </cfRule>
  </conditionalFormatting>
  <conditionalFormatting sqref="J85:N85">
    <cfRule type="cellIs" dxfId="10480" priority="120" operator="equal">
      <formula>0</formula>
    </cfRule>
  </conditionalFormatting>
  <conditionalFormatting sqref="N49:O49">
    <cfRule type="expression" dxfId="10479" priority="119">
      <formula>LEN(TRIM(N49))=0</formula>
    </cfRule>
  </conditionalFormatting>
  <conditionalFormatting sqref="N49:O49">
    <cfRule type="cellIs" dxfId="10478" priority="118" operator="equal">
      <formula>0</formula>
    </cfRule>
  </conditionalFormatting>
  <conditionalFormatting sqref="N49:O49">
    <cfRule type="cellIs" dxfId="10477" priority="117" operator="equal">
      <formula>0</formula>
    </cfRule>
  </conditionalFormatting>
  <conditionalFormatting sqref="H49:K49">
    <cfRule type="expression" dxfId="10476" priority="116">
      <formula>LEN(TRIM(H49))=0</formula>
    </cfRule>
  </conditionalFormatting>
  <conditionalFormatting sqref="K49">
    <cfRule type="cellIs" dxfId="10475" priority="115" operator="equal">
      <formula>0</formula>
    </cfRule>
  </conditionalFormatting>
  <conditionalFormatting sqref="J49:K49">
    <cfRule type="cellIs" dxfId="10474" priority="114" operator="equal">
      <formula>0</formula>
    </cfRule>
  </conditionalFormatting>
  <conditionalFormatting sqref="I49">
    <cfRule type="cellIs" dxfId="10473" priority="113" operator="equal">
      <formula>0</formula>
    </cfRule>
  </conditionalFormatting>
  <conditionalFormatting sqref="H49">
    <cfRule type="cellIs" dxfId="10472" priority="112" operator="equal">
      <formula>0</formula>
    </cfRule>
  </conditionalFormatting>
  <conditionalFormatting sqref="D57:R68">
    <cfRule type="expression" dxfId="10471" priority="111">
      <formula>LEN(TRIM(D57))=0</formula>
    </cfRule>
  </conditionalFormatting>
  <conditionalFormatting sqref="D57:R68">
    <cfRule type="cellIs" dxfId="10470" priority="110" operator="equal">
      <formula>0</formula>
    </cfRule>
  </conditionalFormatting>
  <conditionalFormatting sqref="N53:O53">
    <cfRule type="cellIs" dxfId="10469" priority="109" operator="equal">
      <formula>0</formula>
    </cfRule>
  </conditionalFormatting>
  <conditionalFormatting sqref="N52:O52">
    <cfRule type="cellIs" dxfId="10468" priority="108" operator="equal">
      <formula>0</formula>
    </cfRule>
  </conditionalFormatting>
  <conditionalFormatting sqref="M52:M53">
    <cfRule type="cellIs" dxfId="10467" priority="107" operator="equal">
      <formula>0</formula>
    </cfRule>
  </conditionalFormatting>
  <conditionalFormatting sqref="L52:L53">
    <cfRule type="cellIs" dxfId="10466" priority="106" operator="equal">
      <formula>0</formula>
    </cfRule>
  </conditionalFormatting>
  <conditionalFormatting sqref="D78:R78">
    <cfRule type="cellIs" dxfId="10465" priority="105" operator="equal">
      <formula>0</formula>
    </cfRule>
  </conditionalFormatting>
  <conditionalFormatting sqref="D71:R79 D69:R69 D50:R55 D49:G49 L49:M49 P49:R49">
    <cfRule type="expression" dxfId="10464" priority="104">
      <formula>LEN(TRIM(D49))=0</formula>
    </cfRule>
  </conditionalFormatting>
  <conditionalFormatting sqref="D78:R78">
    <cfRule type="cellIs" dxfId="10463" priority="103" operator="equal">
      <formula>0</formula>
    </cfRule>
  </conditionalFormatting>
  <conditionalFormatting sqref="O50:O51">
    <cfRule type="cellIs" dxfId="10462" priority="102" operator="equal">
      <formula>0</formula>
    </cfRule>
  </conditionalFormatting>
  <conditionalFormatting sqref="O52:O54 O70">
    <cfRule type="cellIs" dxfId="10461" priority="101" operator="equal">
      <formula>0</formula>
    </cfRule>
  </conditionalFormatting>
  <conditionalFormatting sqref="N50:N51">
    <cfRule type="cellIs" dxfId="10460" priority="100" operator="equal">
      <formula>0</formula>
    </cfRule>
  </conditionalFormatting>
  <conditionalFormatting sqref="N52:N54 N70">
    <cfRule type="cellIs" dxfId="10459" priority="99" operator="equal">
      <formula>0</formula>
    </cfRule>
  </conditionalFormatting>
  <conditionalFormatting sqref="M49:M51">
    <cfRule type="cellIs" dxfId="10458" priority="98" operator="equal">
      <formula>0</formula>
    </cfRule>
  </conditionalFormatting>
  <conditionalFormatting sqref="M52:M54 M70">
    <cfRule type="cellIs" dxfId="10457" priority="97" operator="equal">
      <formula>0</formula>
    </cfRule>
  </conditionalFormatting>
  <conditionalFormatting sqref="L49:L51">
    <cfRule type="cellIs" dxfId="10456" priority="96" operator="equal">
      <formula>0</formula>
    </cfRule>
  </conditionalFormatting>
  <conditionalFormatting sqref="L52:L54 L70">
    <cfRule type="cellIs" dxfId="10455" priority="95" operator="equal">
      <formula>0</formula>
    </cfRule>
  </conditionalFormatting>
  <conditionalFormatting sqref="K50:K51">
    <cfRule type="cellIs" dxfId="10454" priority="94" operator="equal">
      <formula>0</formula>
    </cfRule>
  </conditionalFormatting>
  <conditionalFormatting sqref="K52:K54 K70">
    <cfRule type="cellIs" dxfId="10453" priority="93" operator="equal">
      <formula>0</formula>
    </cfRule>
  </conditionalFormatting>
  <conditionalFormatting sqref="J50:J51">
    <cfRule type="cellIs" dxfId="10452" priority="92" operator="equal">
      <formula>0</formula>
    </cfRule>
  </conditionalFormatting>
  <conditionalFormatting sqref="J52:J54 J70">
    <cfRule type="cellIs" dxfId="10451" priority="91" operator="equal">
      <formula>0</formula>
    </cfRule>
  </conditionalFormatting>
  <conditionalFormatting sqref="L49:M49">
    <cfRule type="cellIs" dxfId="10450" priority="90" operator="equal">
      <formula>0</formula>
    </cfRule>
  </conditionalFormatting>
  <conditionalFormatting sqref="F50:F51">
    <cfRule type="cellIs" dxfId="10449" priority="89" operator="equal">
      <formula>0</formula>
    </cfRule>
  </conditionalFormatting>
  <conditionalFormatting sqref="P49:R49 L49:M49 D50:R51">
    <cfRule type="cellIs" dxfId="10448" priority="88" operator="equal">
      <formula>0</formula>
    </cfRule>
  </conditionalFormatting>
  <conditionalFormatting sqref="P49:P51">
    <cfRule type="cellIs" dxfId="10447" priority="87" operator="equal">
      <formula>0</formula>
    </cfRule>
  </conditionalFormatting>
  <conditionalFormatting sqref="D79:R79 P70:R70 D70:I70 D71:R77 D69:R69 D50:R56 D49:G49 L49:M49 P49:R49">
    <cfRule type="cellIs" dxfId="10446" priority="86" operator="equal">
      <formula>0</formula>
    </cfRule>
  </conditionalFormatting>
  <conditionalFormatting sqref="N12:O12">
    <cfRule type="expression" dxfId="10445" priority="85">
      <formula>LEN(TRIM(N12))=0</formula>
    </cfRule>
  </conditionalFormatting>
  <conditionalFormatting sqref="N12:O12">
    <cfRule type="cellIs" dxfId="10444" priority="84" operator="equal">
      <formula>0</formula>
    </cfRule>
  </conditionalFormatting>
  <conditionalFormatting sqref="N12:O12">
    <cfRule type="cellIs" dxfId="10443" priority="83" operator="equal">
      <formula>0</formula>
    </cfRule>
  </conditionalFormatting>
  <conditionalFormatting sqref="H12:K12">
    <cfRule type="expression" dxfId="10442" priority="82">
      <formula>LEN(TRIM(H12))=0</formula>
    </cfRule>
  </conditionalFormatting>
  <conditionalFormatting sqref="K12">
    <cfRule type="cellIs" dxfId="10441" priority="81" operator="equal">
      <formula>0</formula>
    </cfRule>
  </conditionalFormatting>
  <conditionalFormatting sqref="J12:K12">
    <cfRule type="cellIs" dxfId="10440" priority="80" operator="equal">
      <formula>0</formula>
    </cfRule>
  </conditionalFormatting>
  <conditionalFormatting sqref="I12">
    <cfRule type="cellIs" dxfId="10439" priority="79" operator="equal">
      <formula>0</formula>
    </cfRule>
  </conditionalFormatting>
  <conditionalFormatting sqref="H12">
    <cfRule type="cellIs" dxfId="10438" priority="78" operator="equal">
      <formula>0</formula>
    </cfRule>
  </conditionalFormatting>
  <conditionalFormatting sqref="D20:R31">
    <cfRule type="expression" dxfId="10437" priority="77">
      <formula>LEN(TRIM(D20))=0</formula>
    </cfRule>
  </conditionalFormatting>
  <conditionalFormatting sqref="D20:R31">
    <cfRule type="cellIs" dxfId="10436" priority="76" operator="equal">
      <formula>0</formula>
    </cfRule>
  </conditionalFormatting>
  <conditionalFormatting sqref="N16:O16">
    <cfRule type="cellIs" dxfId="10435" priority="75" operator="equal">
      <formula>0</formula>
    </cfRule>
  </conditionalFormatting>
  <conditionalFormatting sqref="N15:O15">
    <cfRule type="cellIs" dxfId="10434" priority="74" operator="equal">
      <formula>0</formula>
    </cfRule>
  </conditionalFormatting>
  <conditionalFormatting sqref="M15:M16">
    <cfRule type="cellIs" dxfId="10433" priority="73" operator="equal">
      <formula>0</formula>
    </cfRule>
  </conditionalFormatting>
  <conditionalFormatting sqref="L15:L16">
    <cfRule type="cellIs" dxfId="10432" priority="72" operator="equal">
      <formula>0</formula>
    </cfRule>
  </conditionalFormatting>
  <conditionalFormatting sqref="D41:R41">
    <cfRule type="cellIs" dxfId="10431" priority="71" operator="equal">
      <formula>0</formula>
    </cfRule>
  </conditionalFormatting>
  <conditionalFormatting sqref="D34:R42 D32:R32 D13:R18 D12:G12 L12:M12 P12:R12">
    <cfRule type="expression" dxfId="10430" priority="70">
      <formula>LEN(TRIM(D12))=0</formula>
    </cfRule>
  </conditionalFormatting>
  <conditionalFormatting sqref="D41:R41">
    <cfRule type="cellIs" dxfId="10429" priority="69" operator="equal">
      <formula>0</formula>
    </cfRule>
  </conditionalFormatting>
  <conditionalFormatting sqref="O13:O14">
    <cfRule type="cellIs" dxfId="10428" priority="68" operator="equal">
      <formula>0</formula>
    </cfRule>
  </conditionalFormatting>
  <conditionalFormatting sqref="O15:O17 O33">
    <cfRule type="cellIs" dxfId="10427" priority="67" operator="equal">
      <formula>0</formula>
    </cfRule>
  </conditionalFormatting>
  <conditionalFormatting sqref="N13:N14">
    <cfRule type="cellIs" dxfId="10426" priority="66" operator="equal">
      <formula>0</formula>
    </cfRule>
  </conditionalFormatting>
  <conditionalFormatting sqref="N15:N17 N33">
    <cfRule type="cellIs" dxfId="10425" priority="65" operator="equal">
      <formula>0</formula>
    </cfRule>
  </conditionalFormatting>
  <conditionalFormatting sqref="M12:M14">
    <cfRule type="cellIs" dxfId="10424" priority="64" operator="equal">
      <formula>0</formula>
    </cfRule>
  </conditionalFormatting>
  <conditionalFormatting sqref="M15:M17 M33">
    <cfRule type="cellIs" dxfId="10423" priority="63" operator="equal">
      <formula>0</formula>
    </cfRule>
  </conditionalFormatting>
  <conditionalFormatting sqref="L12:L14">
    <cfRule type="cellIs" dxfId="10422" priority="62" operator="equal">
      <formula>0</formula>
    </cfRule>
  </conditionalFormatting>
  <conditionalFormatting sqref="L15:L17 L33">
    <cfRule type="cellIs" dxfId="10421" priority="61" operator="equal">
      <formula>0</formula>
    </cfRule>
  </conditionalFormatting>
  <conditionalFormatting sqref="K13:K14">
    <cfRule type="cellIs" dxfId="10420" priority="60" operator="equal">
      <formula>0</formula>
    </cfRule>
  </conditionalFormatting>
  <conditionalFormatting sqref="K15:K17 K33">
    <cfRule type="cellIs" dxfId="10419" priority="59" operator="equal">
      <formula>0</formula>
    </cfRule>
  </conditionalFormatting>
  <conditionalFormatting sqref="J13:J14">
    <cfRule type="cellIs" dxfId="10418" priority="58" operator="equal">
      <formula>0</formula>
    </cfRule>
  </conditionalFormatting>
  <conditionalFormatting sqref="J15:J17 J33">
    <cfRule type="cellIs" dxfId="10417" priority="57" operator="equal">
      <formula>0</formula>
    </cfRule>
  </conditionalFormatting>
  <conditionalFormatting sqref="L12:M12">
    <cfRule type="cellIs" dxfId="10416" priority="56" operator="equal">
      <formula>0</formula>
    </cfRule>
  </conditionalFormatting>
  <conditionalFormatting sqref="F13:F14">
    <cfRule type="cellIs" dxfId="10415" priority="55" operator="equal">
      <formula>0</formula>
    </cfRule>
  </conditionalFormatting>
  <conditionalFormatting sqref="P12:R12 L12:M12 D13:R14">
    <cfRule type="cellIs" dxfId="10414" priority="54" operator="equal">
      <formula>0</formula>
    </cfRule>
  </conditionalFormatting>
  <conditionalFormatting sqref="P12:P14">
    <cfRule type="cellIs" dxfId="10413" priority="53" operator="equal">
      <formula>0</formula>
    </cfRule>
  </conditionalFormatting>
  <conditionalFormatting sqref="D42:R42 P33:R33 D33:I33 D34:R40 D32:R32 D13:R19 D12:G12 L12:M12 P12:R12">
    <cfRule type="cellIs" dxfId="10412" priority="52" operator="equal">
      <formula>0</formula>
    </cfRule>
  </conditionalFormatting>
  <conditionalFormatting sqref="S71:S79 S49:S55 S57:S69">
    <cfRule type="expression" dxfId="10411" priority="17">
      <formula>LEN(TRIM(S49))=0</formula>
    </cfRule>
  </conditionalFormatting>
  <conditionalFormatting sqref="S78">
    <cfRule type="cellIs" dxfId="10410" priority="16" operator="equal">
      <formula>0</formula>
    </cfRule>
  </conditionalFormatting>
  <conditionalFormatting sqref="S79 S49:S77">
    <cfRule type="cellIs" dxfId="10409" priority="15" operator="equal">
      <formula>0</formula>
    </cfRule>
  </conditionalFormatting>
  <conditionalFormatting sqref="S34:S42 S12:S18 S20:S32">
    <cfRule type="expression" dxfId="10408" priority="14">
      <formula>LEN(TRIM(S12))=0</formula>
    </cfRule>
  </conditionalFormatting>
  <conditionalFormatting sqref="S41">
    <cfRule type="cellIs" dxfId="10407" priority="13" operator="equal">
      <formula>0</formula>
    </cfRule>
  </conditionalFormatting>
  <conditionalFormatting sqref="S42 S12:S40">
    <cfRule type="cellIs" dxfId="10406" priority="12" operator="equal">
      <formula>0</formula>
    </cfRule>
  </conditionalFormatting>
  <conditionalFormatting sqref="O48">
    <cfRule type="cellIs" dxfId="10405" priority="8" operator="equal">
      <formula>0</formula>
    </cfRule>
  </conditionalFormatting>
  <conditionalFormatting sqref="J48:N48">
    <cfRule type="cellIs" dxfId="10404" priority="7" operator="equal">
      <formula>0</formula>
    </cfRule>
  </conditionalFormatting>
  <conditionalFormatting sqref="O11">
    <cfRule type="cellIs" dxfId="10403" priority="6" operator="equal">
      <formula>0</formula>
    </cfRule>
  </conditionalFormatting>
  <conditionalFormatting sqref="J11:N11">
    <cfRule type="cellIs" dxfId="10402" priority="5" operator="equal">
      <formula>0</formula>
    </cfRule>
  </conditionalFormatting>
  <conditionalFormatting sqref="S291">
    <cfRule type="expression" dxfId="10401" priority="2">
      <formula>LEN(TRIM(S291))=0</formula>
    </cfRule>
  </conditionalFormatting>
  <conditionalFormatting sqref="S276:S278 S291:S299">
    <cfRule type="cellIs" dxfId="10400"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8EBA1-F7BA-462F-B0CB-BBE799F48939}">
  <dimension ref="B2:T266"/>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88</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1">
        <v>0</v>
      </c>
      <c r="G12" s="421">
        <v>0.18608</v>
      </c>
      <c r="H12" s="422">
        <v>1190.9090909090901</v>
      </c>
      <c r="I12" s="422">
        <v>180.08</v>
      </c>
      <c r="J12" s="422">
        <v>182.69909167509101</v>
      </c>
      <c r="K12" s="422">
        <v>24.336304255308299</v>
      </c>
      <c r="L12" s="421">
        <v>0</v>
      </c>
      <c r="M12" s="421">
        <v>0</v>
      </c>
      <c r="N12" s="422">
        <v>47.404940243004702</v>
      </c>
      <c r="O12" s="422">
        <v>4.1431468389453903</v>
      </c>
      <c r="P12" s="421">
        <v>0</v>
      </c>
      <c r="Q12" s="421">
        <v>0</v>
      </c>
      <c r="R12" s="421">
        <v>0</v>
      </c>
      <c r="S12" s="423">
        <v>1639.5278539214401</v>
      </c>
      <c r="T12" s="412"/>
    </row>
    <row r="13" spans="2:20" ht="13.5">
      <c r="B13" s="412"/>
      <c r="C13" s="420" t="s">
        <v>60</v>
      </c>
      <c r="D13" s="421">
        <v>37.339422707782298</v>
      </c>
      <c r="E13" s="421">
        <v>533.81672423347197</v>
      </c>
      <c r="F13" s="421">
        <v>143.39659601628199</v>
      </c>
      <c r="G13" s="421">
        <v>370.50350222542198</v>
      </c>
      <c r="H13" s="421">
        <v>0</v>
      </c>
      <c r="I13" s="421">
        <v>0</v>
      </c>
      <c r="J13" s="421">
        <v>0</v>
      </c>
      <c r="K13" s="421">
        <v>0</v>
      </c>
      <c r="L13" s="421">
        <v>0</v>
      </c>
      <c r="M13" s="421">
        <v>0</v>
      </c>
      <c r="N13" s="421">
        <v>0</v>
      </c>
      <c r="O13" s="421">
        <v>0</v>
      </c>
      <c r="P13" s="421">
        <v>0</v>
      </c>
      <c r="Q13" s="421">
        <v>0</v>
      </c>
      <c r="R13" s="421">
        <v>0</v>
      </c>
      <c r="S13" s="423">
        <v>1085.0562451829601</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-78.290170277584906</v>
      </c>
      <c r="Q14" s="421">
        <v>0</v>
      </c>
      <c r="R14" s="421">
        <v>0</v>
      </c>
      <c r="S14" s="423">
        <v>-78.290170277584906</v>
      </c>
      <c r="T14" s="412"/>
    </row>
    <row r="15" spans="2:20" ht="13.5">
      <c r="B15" s="412"/>
      <c r="C15" s="420" t="s">
        <v>62</v>
      </c>
      <c r="D15" s="421">
        <v>0</v>
      </c>
      <c r="E15" s="421">
        <v>0</v>
      </c>
      <c r="F15" s="421">
        <v>-16.493151741791198</v>
      </c>
      <c r="G15" s="421">
        <v>0</v>
      </c>
      <c r="H15" s="421">
        <v>0</v>
      </c>
      <c r="I15" s="421">
        <v>0</v>
      </c>
      <c r="J15" s="421">
        <v>0</v>
      </c>
      <c r="K15" s="421">
        <v>0</v>
      </c>
      <c r="L15" s="421">
        <v>0</v>
      </c>
      <c r="M15" s="421">
        <v>0</v>
      </c>
      <c r="N15" s="421">
        <v>0</v>
      </c>
      <c r="O15" s="421">
        <v>0</v>
      </c>
      <c r="P15" s="421">
        <v>0</v>
      </c>
      <c r="Q15" s="421">
        <v>0</v>
      </c>
      <c r="R15" s="421">
        <v>0</v>
      </c>
      <c r="S15" s="423">
        <v>-16.493151741791198</v>
      </c>
      <c r="T15" s="412"/>
    </row>
    <row r="16" spans="2:20" ht="13.5">
      <c r="B16" s="412"/>
      <c r="C16" s="420" t="s">
        <v>63</v>
      </c>
      <c r="D16" s="421">
        <v>0</v>
      </c>
      <c r="E16" s="421">
        <v>0</v>
      </c>
      <c r="F16" s="421">
        <v>-80.524753863298102</v>
      </c>
      <c r="G16" s="421">
        <v>0</v>
      </c>
      <c r="H16" s="421">
        <v>0</v>
      </c>
      <c r="I16" s="421">
        <v>0</v>
      </c>
      <c r="J16" s="421">
        <v>0</v>
      </c>
      <c r="K16" s="421">
        <v>0</v>
      </c>
      <c r="L16" s="421">
        <v>-0.83268754501228504</v>
      </c>
      <c r="M16" s="421">
        <v>0</v>
      </c>
      <c r="N16" s="421">
        <v>0</v>
      </c>
      <c r="O16" s="421">
        <v>0</v>
      </c>
      <c r="P16" s="421">
        <v>0</v>
      </c>
      <c r="Q16" s="421">
        <v>0</v>
      </c>
      <c r="R16" s="421">
        <v>0</v>
      </c>
      <c r="S16" s="423">
        <v>-81.357441408310294</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37.339422707782298</v>
      </c>
      <c r="E18" s="425">
        <v>543.58592423347204</v>
      </c>
      <c r="F18" s="425">
        <v>46.378690411192402</v>
      </c>
      <c r="G18" s="425">
        <v>370.68958222542199</v>
      </c>
      <c r="H18" s="425">
        <v>1190.9090909090901</v>
      </c>
      <c r="I18" s="425">
        <v>180.08</v>
      </c>
      <c r="J18" s="425">
        <v>182.69909167509101</v>
      </c>
      <c r="K18" s="425">
        <v>24.336304255308299</v>
      </c>
      <c r="L18" s="425">
        <v>-0.83268754501228504</v>
      </c>
      <c r="M18" s="425">
        <v>0</v>
      </c>
      <c r="N18" s="425">
        <v>47.404940243004702</v>
      </c>
      <c r="O18" s="425">
        <v>4.1431468389453903</v>
      </c>
      <c r="P18" s="425">
        <v>-78.290170277584906</v>
      </c>
      <c r="Q18" s="425">
        <v>0</v>
      </c>
      <c r="R18" s="425">
        <v>0</v>
      </c>
      <c r="S18" s="425">
        <v>2548.4433356767099</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21.057260399703999</v>
      </c>
      <c r="H21" s="421">
        <v>1190.9090909090901</v>
      </c>
      <c r="I21" s="421">
        <v>180.08</v>
      </c>
      <c r="J21" s="421">
        <v>26.7962649198797</v>
      </c>
      <c r="K21" s="421">
        <v>7.2535340783692002</v>
      </c>
      <c r="L21" s="421">
        <v>0</v>
      </c>
      <c r="M21" s="421">
        <v>0.42974000815722502</v>
      </c>
      <c r="N21" s="421">
        <v>0</v>
      </c>
      <c r="O21" s="421">
        <v>0</v>
      </c>
      <c r="P21" s="421">
        <v>-597.29785022432395</v>
      </c>
      <c r="Q21" s="421">
        <v>0</v>
      </c>
      <c r="R21" s="421">
        <v>0</v>
      </c>
      <c r="S21" s="429">
        <v>835.29214719007996</v>
      </c>
      <c r="T21" s="412"/>
    </row>
    <row r="22" spans="2:20" ht="13.5">
      <c r="B22" s="412"/>
      <c r="C22" s="428" t="s">
        <v>351</v>
      </c>
      <c r="D22" s="421">
        <v>0</v>
      </c>
      <c r="E22" s="421">
        <v>0</v>
      </c>
      <c r="F22" s="421">
        <v>0</v>
      </c>
      <c r="G22" s="421">
        <v>17.2690006533789</v>
      </c>
      <c r="H22" s="421">
        <v>0</v>
      </c>
      <c r="I22" s="421">
        <v>0</v>
      </c>
      <c r="J22" s="421">
        <v>13.0699665611328</v>
      </c>
      <c r="K22" s="421">
        <v>12.782704302523401</v>
      </c>
      <c r="L22" s="421">
        <v>0</v>
      </c>
      <c r="M22" s="421">
        <v>0.35242858476283501</v>
      </c>
      <c r="N22" s="421">
        <v>0</v>
      </c>
      <c r="O22" s="421">
        <v>2.2569028606256798</v>
      </c>
      <c r="P22" s="421">
        <v>0</v>
      </c>
      <c r="Q22" s="421">
        <v>-41.219343799096599</v>
      </c>
      <c r="R22" s="421">
        <v>0</v>
      </c>
      <c r="S22" s="429">
        <v>4.5116591633269501</v>
      </c>
      <c r="T22" s="412"/>
    </row>
    <row r="23" spans="2:20" ht="13.5">
      <c r="B23" s="412"/>
      <c r="C23" s="428" t="s">
        <v>352</v>
      </c>
      <c r="D23" s="421">
        <v>0</v>
      </c>
      <c r="E23" s="421">
        <v>0</v>
      </c>
      <c r="F23" s="421">
        <v>0</v>
      </c>
      <c r="G23" s="421">
        <v>0</v>
      </c>
      <c r="H23" s="421">
        <v>0</v>
      </c>
      <c r="I23" s="421">
        <v>0</v>
      </c>
      <c r="J23" s="421">
        <v>8.3993143440742202</v>
      </c>
      <c r="K23" s="421">
        <v>0</v>
      </c>
      <c r="L23" s="421">
        <v>0</v>
      </c>
      <c r="M23" s="421">
        <v>-7.3074034793445701</v>
      </c>
      <c r="N23" s="421">
        <v>0</v>
      </c>
      <c r="O23" s="421">
        <v>0</v>
      </c>
      <c r="P23" s="421">
        <v>0</v>
      </c>
      <c r="Q23" s="421">
        <v>0</v>
      </c>
      <c r="R23" s="421">
        <v>0</v>
      </c>
      <c r="S23" s="429">
        <v>1.09191086472965</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563.09724372867004</v>
      </c>
      <c r="F25" s="421">
        <v>-557.46627129138403</v>
      </c>
      <c r="G25" s="421">
        <v>0</v>
      </c>
      <c r="H25" s="421">
        <v>0</v>
      </c>
      <c r="I25" s="421">
        <v>0</v>
      </c>
      <c r="J25" s="421">
        <v>0</v>
      </c>
      <c r="K25" s="421">
        <v>0</v>
      </c>
      <c r="L25" s="421">
        <v>0</v>
      </c>
      <c r="M25" s="421">
        <v>0</v>
      </c>
      <c r="N25" s="421">
        <v>0</v>
      </c>
      <c r="O25" s="421">
        <v>0</v>
      </c>
      <c r="P25" s="421">
        <v>0</v>
      </c>
      <c r="Q25" s="421">
        <v>0</v>
      </c>
      <c r="R25" s="421">
        <v>0</v>
      </c>
      <c r="S25" s="429">
        <v>5.6309724372866903</v>
      </c>
      <c r="T25" s="412"/>
    </row>
    <row r="26" spans="2:20" ht="13.5">
      <c r="B26" s="412"/>
      <c r="C26" s="428" t="s">
        <v>354</v>
      </c>
      <c r="D26" s="421">
        <v>0</v>
      </c>
      <c r="E26" s="421">
        <v>0</v>
      </c>
      <c r="F26" s="421">
        <v>0</v>
      </c>
      <c r="G26" s="421">
        <v>0</v>
      </c>
      <c r="H26" s="421">
        <v>0</v>
      </c>
      <c r="I26" s="421">
        <v>0</v>
      </c>
      <c r="J26" s="421">
        <v>39.4678203667548</v>
      </c>
      <c r="K26" s="421">
        <v>0</v>
      </c>
      <c r="L26" s="421">
        <v>-39.4678203667548</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-0.17560464547893101</v>
      </c>
      <c r="M27" s="421">
        <v>0</v>
      </c>
      <c r="N27" s="421">
        <v>0</v>
      </c>
      <c r="O27" s="421">
        <v>0</v>
      </c>
      <c r="P27" s="421">
        <v>0</v>
      </c>
      <c r="Q27" s="421">
        <v>0</v>
      </c>
      <c r="R27" s="421">
        <v>0.25086377925561598</v>
      </c>
      <c r="S27" s="429">
        <v>7.5259133776684806E-2</v>
      </c>
      <c r="T27" s="412"/>
    </row>
    <row r="28" spans="2:20" ht="13.5">
      <c r="B28" s="412"/>
      <c r="C28" s="428" t="s">
        <v>73</v>
      </c>
      <c r="D28" s="421">
        <v>0</v>
      </c>
      <c r="E28" s="421">
        <v>0</v>
      </c>
      <c r="F28" s="421">
        <v>0</v>
      </c>
      <c r="G28" s="421">
        <v>1.08065426442295</v>
      </c>
      <c r="H28" s="421">
        <v>0</v>
      </c>
      <c r="I28" s="421">
        <v>0</v>
      </c>
      <c r="J28" s="421">
        <v>0</v>
      </c>
      <c r="K28" s="421">
        <v>1.2117675088842201E-2</v>
      </c>
      <c r="L28" s="421">
        <v>0</v>
      </c>
      <c r="M28" s="421">
        <v>2.2054168661692901E-2</v>
      </c>
      <c r="N28" s="421">
        <v>0</v>
      </c>
      <c r="O28" s="421">
        <v>0</v>
      </c>
      <c r="P28" s="421">
        <v>0.104398431534641</v>
      </c>
      <c r="Q28" s="421">
        <v>0</v>
      </c>
      <c r="R28" s="421">
        <v>-0.84823725621895596</v>
      </c>
      <c r="S28" s="429">
        <v>0.37098728348916998</v>
      </c>
      <c r="T28" s="412"/>
    </row>
    <row r="29" spans="2:20" ht="13.5">
      <c r="B29" s="412"/>
      <c r="C29" s="428" t="s">
        <v>356</v>
      </c>
      <c r="D29" s="421">
        <v>16.156125732421899</v>
      </c>
      <c r="E29" s="421">
        <v>-19.5113194951984</v>
      </c>
      <c r="F29" s="421">
        <v>25.519653459670899</v>
      </c>
      <c r="G29" s="421">
        <v>0</v>
      </c>
      <c r="H29" s="421">
        <v>0</v>
      </c>
      <c r="I29" s="421">
        <v>0</v>
      </c>
      <c r="J29" s="421">
        <v>0</v>
      </c>
      <c r="K29" s="421">
        <v>0</v>
      </c>
      <c r="L29" s="421">
        <v>0</v>
      </c>
      <c r="M29" s="421">
        <v>0</v>
      </c>
      <c r="N29" s="421">
        <v>0</v>
      </c>
      <c r="O29" s="421">
        <v>0</v>
      </c>
      <c r="P29" s="421">
        <v>0</v>
      </c>
      <c r="Q29" s="421">
        <v>0</v>
      </c>
      <c r="R29" s="421">
        <v>0</v>
      </c>
      <c r="S29" s="429">
        <v>22.164459696894401</v>
      </c>
      <c r="T29" s="412"/>
    </row>
    <row r="30" spans="2:20" ht="13.5">
      <c r="B30" s="412"/>
      <c r="C30" s="428" t="s">
        <v>75</v>
      </c>
      <c r="D30" s="421">
        <v>10.1643505859375</v>
      </c>
      <c r="E30" s="421">
        <v>0</v>
      </c>
      <c r="F30" s="421">
        <v>19.145306286774801</v>
      </c>
      <c r="G30" s="421">
        <v>5.4631694586555604</v>
      </c>
      <c r="H30" s="421">
        <v>0</v>
      </c>
      <c r="I30" s="421">
        <v>0</v>
      </c>
      <c r="J30" s="421">
        <v>0</v>
      </c>
      <c r="K30" s="421">
        <v>0</v>
      </c>
      <c r="L30" s="421">
        <v>0</v>
      </c>
      <c r="M30" s="421">
        <v>0.111493254258277</v>
      </c>
      <c r="N30" s="421">
        <v>0</v>
      </c>
      <c r="O30" s="421">
        <v>0</v>
      </c>
      <c r="P30" s="421">
        <v>36.292710693034401</v>
      </c>
      <c r="Q30" s="421">
        <v>0</v>
      </c>
      <c r="R30" s="421">
        <v>0</v>
      </c>
      <c r="S30" s="429">
        <v>71.177030278660496</v>
      </c>
      <c r="T30" s="412"/>
    </row>
    <row r="31" spans="2:20" ht="13.5">
      <c r="B31" s="412"/>
      <c r="C31" s="428" t="s">
        <v>76</v>
      </c>
      <c r="D31" s="421">
        <v>0</v>
      </c>
      <c r="E31" s="421">
        <v>0</v>
      </c>
      <c r="F31" s="421">
        <v>0</v>
      </c>
      <c r="G31" s="421">
        <v>4.2458036026231296</v>
      </c>
      <c r="H31" s="421">
        <v>0</v>
      </c>
      <c r="I31" s="421">
        <v>0</v>
      </c>
      <c r="J31" s="421">
        <v>0</v>
      </c>
      <c r="K31" s="421">
        <v>0</v>
      </c>
      <c r="L31" s="421">
        <v>0</v>
      </c>
      <c r="M31" s="421">
        <v>8.6649053114757804E-2</v>
      </c>
      <c r="N31" s="421">
        <v>0</v>
      </c>
      <c r="O31" s="421">
        <v>0</v>
      </c>
      <c r="P31" s="421">
        <v>39.776211851873803</v>
      </c>
      <c r="Q31" s="421">
        <v>3.1941188921809198</v>
      </c>
      <c r="R31" s="421">
        <v>0</v>
      </c>
      <c r="S31" s="429">
        <v>47.302783399792602</v>
      </c>
      <c r="T31" s="412"/>
    </row>
    <row r="32" spans="2:20" ht="13.5">
      <c r="B32" s="412"/>
      <c r="C32" s="424" t="s">
        <v>77</v>
      </c>
      <c r="D32" s="425">
        <v>28.520947053925902</v>
      </c>
      <c r="E32" s="425">
        <v>543.58592423347204</v>
      </c>
      <c r="F32" s="425">
        <v>-508.93767518130198</v>
      </c>
      <c r="G32" s="425">
        <v>49.115888378784597</v>
      </c>
      <c r="H32" s="425">
        <v>1190.9090909090901</v>
      </c>
      <c r="I32" s="425">
        <v>180.08</v>
      </c>
      <c r="J32" s="425">
        <v>87.733366191841498</v>
      </c>
      <c r="K32" s="425">
        <v>20.0483560559815</v>
      </c>
      <c r="L32" s="425">
        <v>-39.643425012233699</v>
      </c>
      <c r="M32" s="425">
        <v>-6.3050384103897796</v>
      </c>
      <c r="N32" s="425">
        <v>0</v>
      </c>
      <c r="O32" s="425">
        <v>2.2569028606256798</v>
      </c>
      <c r="P32" s="425">
        <v>-521.12452924788101</v>
      </c>
      <c r="Q32" s="425">
        <v>-38.025224906915703</v>
      </c>
      <c r="R32" s="425">
        <v>-0.59737347696334098</v>
      </c>
      <c r="S32" s="425">
        <v>987.61720944803699</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6.4636113960439099</v>
      </c>
      <c r="E34" s="421">
        <v>0</v>
      </c>
      <c r="F34" s="421">
        <v>24.862596272257498</v>
      </c>
      <c r="G34" s="421">
        <v>103.286678516522</v>
      </c>
      <c r="H34" s="421">
        <v>0</v>
      </c>
      <c r="I34" s="421">
        <v>0</v>
      </c>
      <c r="J34" s="421">
        <v>17.262400786113901</v>
      </c>
      <c r="K34" s="421">
        <v>4.2879481993268298</v>
      </c>
      <c r="L34" s="421">
        <v>0.86540506640625003</v>
      </c>
      <c r="M34" s="421">
        <v>2.1078913982963701</v>
      </c>
      <c r="N34" s="421">
        <v>0</v>
      </c>
      <c r="O34" s="421">
        <v>0</v>
      </c>
      <c r="P34" s="421">
        <v>104.034829447817</v>
      </c>
      <c r="Q34" s="421">
        <v>17.743069184880099</v>
      </c>
      <c r="R34" s="421">
        <v>0.24659825134277299</v>
      </c>
      <c r="S34" s="429">
        <v>281.161028519007</v>
      </c>
      <c r="T34" s="412"/>
    </row>
    <row r="35" spans="2:20" ht="13.5">
      <c r="B35" s="412"/>
      <c r="C35" s="428" t="s">
        <v>79</v>
      </c>
      <c r="D35" s="421">
        <v>0</v>
      </c>
      <c r="E35" s="421">
        <v>0</v>
      </c>
      <c r="F35" s="421">
        <v>321.54604576234499</v>
      </c>
      <c r="G35" s="421">
        <v>14.6585371734768</v>
      </c>
      <c r="H35" s="421">
        <v>0</v>
      </c>
      <c r="I35" s="421">
        <v>0</v>
      </c>
      <c r="J35" s="421">
        <v>0</v>
      </c>
      <c r="K35" s="421">
        <v>0</v>
      </c>
      <c r="L35" s="421">
        <v>32.583257192898799</v>
      </c>
      <c r="M35" s="421">
        <v>0.29915381986687301</v>
      </c>
      <c r="N35" s="421">
        <v>0</v>
      </c>
      <c r="O35" s="421">
        <v>0</v>
      </c>
      <c r="P35" s="421">
        <v>28.950215384778598</v>
      </c>
      <c r="Q35" s="421">
        <v>0</v>
      </c>
      <c r="R35" s="421">
        <v>0.35077522562056701</v>
      </c>
      <c r="S35" s="429">
        <v>398.38798455898598</v>
      </c>
      <c r="T35" s="412"/>
    </row>
    <row r="36" spans="2:20" ht="13.5">
      <c r="B36" s="412"/>
      <c r="C36" s="428" t="s">
        <v>80</v>
      </c>
      <c r="D36" s="421">
        <v>0</v>
      </c>
      <c r="E36" s="421">
        <v>0</v>
      </c>
      <c r="F36" s="421">
        <v>31.599343880465799</v>
      </c>
      <c r="G36" s="421">
        <v>123.533868616082</v>
      </c>
      <c r="H36" s="421">
        <v>0</v>
      </c>
      <c r="I36" s="421">
        <v>0</v>
      </c>
      <c r="J36" s="421">
        <v>73.364360274729606</v>
      </c>
      <c r="K36" s="421">
        <v>0</v>
      </c>
      <c r="L36" s="421">
        <v>0</v>
      </c>
      <c r="M36" s="421">
        <v>2.5210993595118798</v>
      </c>
      <c r="N36" s="421">
        <v>40.465242847391998</v>
      </c>
      <c r="O36" s="421">
        <v>0.96354458163837398</v>
      </c>
      <c r="P36" s="421">
        <v>172.02951616182</v>
      </c>
      <c r="Q36" s="421">
        <v>15.8854874881395</v>
      </c>
      <c r="R36" s="421">
        <v>0</v>
      </c>
      <c r="S36" s="429">
        <v>460.36246320978</v>
      </c>
      <c r="T36" s="412"/>
    </row>
    <row r="37" spans="2:20" ht="13.5">
      <c r="B37" s="412"/>
      <c r="C37" s="428" t="s">
        <v>81</v>
      </c>
      <c r="D37" s="421">
        <v>0</v>
      </c>
      <c r="E37" s="421">
        <v>0</v>
      </c>
      <c r="F37" s="421">
        <v>12.841746374836999</v>
      </c>
      <c r="G37" s="421">
        <v>63.9169870655954</v>
      </c>
      <c r="H37" s="421">
        <v>0</v>
      </c>
      <c r="I37" s="421">
        <v>0</v>
      </c>
      <c r="J37" s="421">
        <v>3.6156884784133001</v>
      </c>
      <c r="K37" s="421">
        <v>0</v>
      </c>
      <c r="L37" s="421">
        <v>0</v>
      </c>
      <c r="M37" s="421">
        <v>1.30442830746113</v>
      </c>
      <c r="N37" s="421">
        <v>6.9396973956126802</v>
      </c>
      <c r="O37" s="421">
        <v>0.83843410837959897</v>
      </c>
      <c r="P37" s="421">
        <v>129.63895161426501</v>
      </c>
      <c r="Q37" s="421">
        <v>4.3966682338961798</v>
      </c>
      <c r="R37" s="421">
        <v>0</v>
      </c>
      <c r="S37" s="429">
        <v>223.49260157846101</v>
      </c>
      <c r="T37" s="412"/>
    </row>
    <row r="38" spans="2:20" ht="13.5">
      <c r="B38" s="412"/>
      <c r="C38" s="428" t="s">
        <v>82</v>
      </c>
      <c r="D38" s="421">
        <v>0</v>
      </c>
      <c r="E38" s="421">
        <v>0</v>
      </c>
      <c r="F38" s="421">
        <v>26.373605719731</v>
      </c>
      <c r="G38" s="421">
        <v>3.55081073742303</v>
      </c>
      <c r="H38" s="421">
        <v>0</v>
      </c>
      <c r="I38" s="421">
        <v>0</v>
      </c>
      <c r="J38" s="421">
        <v>0.72327594399272899</v>
      </c>
      <c r="K38" s="421">
        <v>0</v>
      </c>
      <c r="L38" s="421">
        <v>5.3620752079163996</v>
      </c>
      <c r="M38" s="421">
        <v>7.2465525253531296E-2</v>
      </c>
      <c r="N38" s="421">
        <v>0</v>
      </c>
      <c r="O38" s="421">
        <v>8.4265288301735505E-2</v>
      </c>
      <c r="P38" s="421">
        <v>8.1808463616144707</v>
      </c>
      <c r="Q38" s="421">
        <v>0</v>
      </c>
      <c r="R38" s="421">
        <v>0</v>
      </c>
      <c r="S38" s="429">
        <v>44.347344784232902</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6.4636113960439099</v>
      </c>
      <c r="E40" s="425">
        <v>0</v>
      </c>
      <c r="F40" s="425">
        <v>417.223338009636</v>
      </c>
      <c r="G40" s="425">
        <v>308.94688210909902</v>
      </c>
      <c r="H40" s="425">
        <v>0</v>
      </c>
      <c r="I40" s="425">
        <v>0</v>
      </c>
      <c r="J40" s="425">
        <v>94.9657254832495</v>
      </c>
      <c r="K40" s="425">
        <v>4.2879481993268298</v>
      </c>
      <c r="L40" s="425">
        <v>38.810737467221401</v>
      </c>
      <c r="M40" s="425">
        <v>6.3050384103897796</v>
      </c>
      <c r="N40" s="425">
        <v>47.404940243004702</v>
      </c>
      <c r="O40" s="425">
        <v>1.88624397831971</v>
      </c>
      <c r="P40" s="425">
        <v>442.83435897029602</v>
      </c>
      <c r="Q40" s="425">
        <v>38.025224906915703</v>
      </c>
      <c r="R40" s="425">
        <v>0.59737347696334098</v>
      </c>
      <c r="S40" s="425">
        <v>1407.75142265047</v>
      </c>
      <c r="T40" s="412"/>
    </row>
    <row r="41" spans="2:20" ht="13.5">
      <c r="B41" s="412"/>
      <c r="C41" s="420" t="s">
        <v>84</v>
      </c>
      <c r="D41" s="421">
        <v>2.3548642578124999</v>
      </c>
      <c r="E41" s="421">
        <v>0</v>
      </c>
      <c r="F41" s="421">
        <v>138.09302758285801</v>
      </c>
      <c r="G41" s="421">
        <v>12.626811737538199</v>
      </c>
      <c r="H41" s="421">
        <v>0</v>
      </c>
      <c r="I41" s="421">
        <v>0</v>
      </c>
      <c r="J41" s="421">
        <v>0</v>
      </c>
      <c r="K41" s="421">
        <v>0</v>
      </c>
      <c r="L41" s="421">
        <v>0</v>
      </c>
      <c r="M41" s="421">
        <v>0</v>
      </c>
      <c r="N41" s="421">
        <v>0</v>
      </c>
      <c r="O41" s="421">
        <v>0</v>
      </c>
      <c r="P41" s="421">
        <v>0</v>
      </c>
      <c r="Q41" s="421">
        <v>0</v>
      </c>
      <c r="R41" s="421">
        <v>0</v>
      </c>
      <c r="S41" s="429">
        <v>153.07470357820799</v>
      </c>
      <c r="T41" s="412"/>
    </row>
    <row r="42" spans="2:20" ht="13.5">
      <c r="B42" s="412"/>
      <c r="C42" s="424" t="s">
        <v>85</v>
      </c>
      <c r="D42" s="425">
        <v>8.8184756538564102</v>
      </c>
      <c r="E42" s="425">
        <v>0</v>
      </c>
      <c r="F42" s="425">
        <v>555.31636559249398</v>
      </c>
      <c r="G42" s="425">
        <v>321.57369384663798</v>
      </c>
      <c r="H42" s="425">
        <v>0</v>
      </c>
      <c r="I42" s="425">
        <v>0</v>
      </c>
      <c r="J42" s="425">
        <v>94.9657254832495</v>
      </c>
      <c r="K42" s="425">
        <v>4.2879481993268298</v>
      </c>
      <c r="L42" s="425">
        <v>38.810737467221401</v>
      </c>
      <c r="M42" s="425">
        <v>6.3050384103897796</v>
      </c>
      <c r="N42" s="425">
        <v>47.404940243004702</v>
      </c>
      <c r="O42" s="425">
        <v>1.88624397831971</v>
      </c>
      <c r="P42" s="425">
        <v>442.83435897029602</v>
      </c>
      <c r="Q42" s="425">
        <v>38.025224906915703</v>
      </c>
      <c r="R42" s="425">
        <v>0.59737347696334098</v>
      </c>
      <c r="S42" s="425">
        <v>1560.8261262286801</v>
      </c>
      <c r="T42" s="412"/>
    </row>
    <row r="43" spans="2:20">
      <c r="B43" s="412"/>
      <c r="C43" s="412"/>
      <c r="D43" s="430">
        <f t="shared" ref="D43:S43" si="0">D42+D32-D18</f>
        <v>0</v>
      </c>
      <c r="E43" s="430">
        <f t="shared" si="0"/>
        <v>0</v>
      </c>
      <c r="F43" s="430">
        <f t="shared" si="0"/>
        <v>-4.0500935938325711E-13</v>
      </c>
      <c r="G43" s="430">
        <f t="shared" si="0"/>
        <v>5.6843418860808015E-13</v>
      </c>
      <c r="H43" s="430">
        <f t="shared" si="0"/>
        <v>0</v>
      </c>
      <c r="I43" s="430">
        <f t="shared" si="0"/>
        <v>0</v>
      </c>
      <c r="J43" s="430">
        <f t="shared" si="0"/>
        <v>0</v>
      </c>
      <c r="K43" s="430">
        <f t="shared" si="0"/>
        <v>3.1974423109204508E-14</v>
      </c>
      <c r="L43" s="430">
        <f t="shared" si="0"/>
        <v>-1.3322676295501878E-14</v>
      </c>
      <c r="M43" s="430">
        <f t="shared" si="0"/>
        <v>0</v>
      </c>
      <c r="N43" s="430">
        <f t="shared" si="0"/>
        <v>0</v>
      </c>
      <c r="O43" s="430">
        <f t="shared" si="0"/>
        <v>0</v>
      </c>
      <c r="P43" s="430">
        <f t="shared" si="0"/>
        <v>0</v>
      </c>
      <c r="Q43" s="430">
        <f t="shared" si="0"/>
        <v>0</v>
      </c>
      <c r="R43" s="430">
        <f t="shared" si="0"/>
        <v>0</v>
      </c>
      <c r="S43" s="430">
        <f t="shared" si="0"/>
        <v>7.2759576141834259E-12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360</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7.3966799999999999</v>
      </c>
      <c r="F49" s="421">
        <v>0</v>
      </c>
      <c r="G49" s="421">
        <v>0.13025600000000001</v>
      </c>
      <c r="H49" s="422">
        <v>1121.3636363636399</v>
      </c>
      <c r="I49" s="422">
        <v>204.83</v>
      </c>
      <c r="J49" s="422">
        <v>181.32702192976799</v>
      </c>
      <c r="K49" s="422">
        <v>23.929538630329802</v>
      </c>
      <c r="L49" s="421">
        <v>0</v>
      </c>
      <c r="M49" s="421">
        <v>0</v>
      </c>
      <c r="N49" s="422">
        <v>51.218112395264598</v>
      </c>
      <c r="O49" s="422">
        <v>4.1137123082446401</v>
      </c>
      <c r="P49" s="421">
        <v>0</v>
      </c>
      <c r="Q49" s="421">
        <v>0</v>
      </c>
      <c r="R49" s="421">
        <v>0</v>
      </c>
      <c r="S49" s="423">
        <v>1594.30895762724</v>
      </c>
      <c r="T49" s="412"/>
    </row>
    <row r="50" spans="2:20" ht="13.5">
      <c r="B50" s="412"/>
      <c r="C50" s="420" t="s">
        <v>60</v>
      </c>
      <c r="D50" s="421">
        <v>35.895169375746498</v>
      </c>
      <c r="E50" s="421">
        <v>524.37115290345105</v>
      </c>
      <c r="F50" s="421">
        <v>114.332913340551</v>
      </c>
      <c r="G50" s="421">
        <v>371.94967802814801</v>
      </c>
      <c r="H50" s="421">
        <v>0</v>
      </c>
      <c r="I50" s="421">
        <v>0</v>
      </c>
      <c r="J50" s="421">
        <v>0</v>
      </c>
      <c r="K50" s="421">
        <v>0</v>
      </c>
      <c r="L50" s="421">
        <v>0</v>
      </c>
      <c r="M50" s="421">
        <v>0</v>
      </c>
      <c r="N50" s="421">
        <v>0</v>
      </c>
      <c r="O50" s="421">
        <v>0</v>
      </c>
      <c r="P50" s="421">
        <v>0</v>
      </c>
      <c r="Q50" s="421">
        <v>0</v>
      </c>
      <c r="R50" s="421">
        <v>0</v>
      </c>
      <c r="S50" s="423">
        <v>1046.5489136479</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-63.764232482267403</v>
      </c>
      <c r="Q51" s="421">
        <v>0</v>
      </c>
      <c r="R51" s="421">
        <v>0</v>
      </c>
      <c r="S51" s="423">
        <v>-63.764232482267403</v>
      </c>
      <c r="T51" s="412"/>
    </row>
    <row r="52" spans="2:20" ht="13.5">
      <c r="B52" s="412"/>
      <c r="C52" s="420" t="s">
        <v>62</v>
      </c>
      <c r="D52" s="421">
        <v>0</v>
      </c>
      <c r="E52" s="421">
        <v>0</v>
      </c>
      <c r="F52" s="421">
        <v>-16.3524327500959</v>
      </c>
      <c r="G52" s="421">
        <v>0</v>
      </c>
      <c r="H52" s="421">
        <v>0</v>
      </c>
      <c r="I52" s="421">
        <v>0</v>
      </c>
      <c r="J52" s="421">
        <v>0</v>
      </c>
      <c r="K52" s="421">
        <v>0</v>
      </c>
      <c r="L52" s="421">
        <v>0</v>
      </c>
      <c r="M52" s="421">
        <v>0</v>
      </c>
      <c r="N52" s="421">
        <v>0</v>
      </c>
      <c r="O52" s="421">
        <v>0</v>
      </c>
      <c r="P52" s="421">
        <v>0</v>
      </c>
      <c r="Q52" s="421">
        <v>0</v>
      </c>
      <c r="R52" s="421">
        <v>0</v>
      </c>
      <c r="S52" s="423">
        <v>-16.3524327500959</v>
      </c>
      <c r="T52" s="412"/>
    </row>
    <row r="53" spans="2:20" ht="13.5">
      <c r="B53" s="412"/>
      <c r="C53" s="420" t="s">
        <v>63</v>
      </c>
      <c r="D53" s="421">
        <v>0</v>
      </c>
      <c r="E53" s="421">
        <v>0</v>
      </c>
      <c r="F53" s="421">
        <v>-82.072762113811194</v>
      </c>
      <c r="G53" s="421">
        <v>0</v>
      </c>
      <c r="H53" s="421">
        <v>0</v>
      </c>
      <c r="I53" s="421">
        <v>0</v>
      </c>
      <c r="J53" s="421">
        <v>0</v>
      </c>
      <c r="K53" s="421">
        <v>0</v>
      </c>
      <c r="L53" s="421">
        <v>-0.84850040331290999</v>
      </c>
      <c r="M53" s="421">
        <v>0</v>
      </c>
      <c r="N53" s="421">
        <v>0</v>
      </c>
      <c r="O53" s="421">
        <v>0</v>
      </c>
      <c r="P53" s="421">
        <v>0</v>
      </c>
      <c r="Q53" s="421">
        <v>0</v>
      </c>
      <c r="R53" s="421">
        <v>0</v>
      </c>
      <c r="S53" s="423">
        <v>-82.921262517124106</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35.895169375746498</v>
      </c>
      <c r="E55" s="425">
        <v>531.76783290345099</v>
      </c>
      <c r="F55" s="425">
        <v>15.907718476643501</v>
      </c>
      <c r="G55" s="425">
        <v>372.07993402814799</v>
      </c>
      <c r="H55" s="425">
        <v>1121.3636363636399</v>
      </c>
      <c r="I55" s="425">
        <v>204.83</v>
      </c>
      <c r="J55" s="425">
        <v>181.32702192976799</v>
      </c>
      <c r="K55" s="425">
        <v>23.929538630329802</v>
      </c>
      <c r="L55" s="425">
        <v>-0.84850040331290999</v>
      </c>
      <c r="M55" s="425">
        <v>0</v>
      </c>
      <c r="N55" s="425">
        <v>51.218112395264598</v>
      </c>
      <c r="O55" s="425">
        <v>4.1137123082446401</v>
      </c>
      <c r="P55" s="425">
        <v>-63.764232482267403</v>
      </c>
      <c r="Q55" s="425">
        <v>0</v>
      </c>
      <c r="R55" s="425">
        <v>0</v>
      </c>
      <c r="S55" s="425">
        <v>2477.8199435256502</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19.3842302630087</v>
      </c>
      <c r="H58" s="421">
        <v>1121.3636363636399</v>
      </c>
      <c r="I58" s="421">
        <v>204.83</v>
      </c>
      <c r="J58" s="421">
        <v>25.6968541009532</v>
      </c>
      <c r="K58" s="421">
        <v>6.9082981230435703</v>
      </c>
      <c r="L58" s="421">
        <v>0</v>
      </c>
      <c r="M58" s="421">
        <v>0.39559653597976902</v>
      </c>
      <c r="N58" s="421">
        <v>0</v>
      </c>
      <c r="O58" s="421">
        <v>0</v>
      </c>
      <c r="P58" s="421">
        <v>-598.30725344043606</v>
      </c>
      <c r="Q58" s="421">
        <v>0</v>
      </c>
      <c r="R58" s="421">
        <v>0</v>
      </c>
      <c r="S58" s="429">
        <v>786.335469045389</v>
      </c>
      <c r="T58" s="412"/>
    </row>
    <row r="59" spans="2:20" ht="13.5">
      <c r="B59" s="412"/>
      <c r="C59" s="428" t="s">
        <v>351</v>
      </c>
      <c r="D59" s="421">
        <v>0</v>
      </c>
      <c r="E59" s="421">
        <v>0</v>
      </c>
      <c r="F59" s="421">
        <v>0</v>
      </c>
      <c r="G59" s="421">
        <v>17.221606845423</v>
      </c>
      <c r="H59" s="421">
        <v>0</v>
      </c>
      <c r="I59" s="421">
        <v>0</v>
      </c>
      <c r="J59" s="421">
        <v>12.908782164778099</v>
      </c>
      <c r="K59" s="421">
        <v>12.746985757209</v>
      </c>
      <c r="L59" s="421">
        <v>0</v>
      </c>
      <c r="M59" s="421">
        <v>0.351461364192306</v>
      </c>
      <c r="N59" s="421">
        <v>0</v>
      </c>
      <c r="O59" s="421">
        <v>2.2502067182143302</v>
      </c>
      <c r="P59" s="421">
        <v>0</v>
      </c>
      <c r="Q59" s="421">
        <v>-41.107741425574098</v>
      </c>
      <c r="R59" s="421">
        <v>0</v>
      </c>
      <c r="S59" s="429">
        <v>4.3713014242427501</v>
      </c>
      <c r="T59" s="412"/>
    </row>
    <row r="60" spans="2:20" ht="13.5">
      <c r="B60" s="412"/>
      <c r="C60" s="428" t="s">
        <v>352</v>
      </c>
      <c r="D60" s="421">
        <v>0</v>
      </c>
      <c r="E60" s="421">
        <v>0</v>
      </c>
      <c r="F60" s="421">
        <v>0</v>
      </c>
      <c r="G60" s="421">
        <v>0</v>
      </c>
      <c r="H60" s="421">
        <v>0</v>
      </c>
      <c r="I60" s="421">
        <v>0</v>
      </c>
      <c r="J60" s="421">
        <v>8.3133555663813503</v>
      </c>
      <c r="K60" s="421">
        <v>0</v>
      </c>
      <c r="L60" s="421">
        <v>0</v>
      </c>
      <c r="M60" s="421">
        <v>-7.3386146262231398</v>
      </c>
      <c r="N60" s="421">
        <v>0</v>
      </c>
      <c r="O60" s="421">
        <v>0</v>
      </c>
      <c r="P60" s="421">
        <v>0</v>
      </c>
      <c r="Q60" s="421">
        <v>0</v>
      </c>
      <c r="R60" s="421">
        <v>0</v>
      </c>
      <c r="S60" s="429">
        <v>0.974740940158213</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550.85495716936998</v>
      </c>
      <c r="F62" s="421">
        <v>-545.34640759767603</v>
      </c>
      <c r="G62" s="421">
        <v>0</v>
      </c>
      <c r="H62" s="421">
        <v>0</v>
      </c>
      <c r="I62" s="421">
        <v>0</v>
      </c>
      <c r="J62" s="421">
        <v>0</v>
      </c>
      <c r="K62" s="421">
        <v>0</v>
      </c>
      <c r="L62" s="421">
        <v>0</v>
      </c>
      <c r="M62" s="421">
        <v>0</v>
      </c>
      <c r="N62" s="421">
        <v>0</v>
      </c>
      <c r="O62" s="421">
        <v>0</v>
      </c>
      <c r="P62" s="421">
        <v>0</v>
      </c>
      <c r="Q62" s="421">
        <v>0</v>
      </c>
      <c r="R62" s="421">
        <v>0</v>
      </c>
      <c r="S62" s="429">
        <v>5.5085495716937203</v>
      </c>
      <c r="T62" s="412"/>
    </row>
    <row r="63" spans="2:20" ht="13.5">
      <c r="B63" s="412"/>
      <c r="C63" s="428" t="s">
        <v>354</v>
      </c>
      <c r="D63" s="421">
        <v>0</v>
      </c>
      <c r="E63" s="421">
        <v>0</v>
      </c>
      <c r="F63" s="421">
        <v>0</v>
      </c>
      <c r="G63" s="421">
        <v>0</v>
      </c>
      <c r="H63" s="421">
        <v>0</v>
      </c>
      <c r="I63" s="421">
        <v>0</v>
      </c>
      <c r="J63" s="421">
        <v>39.093854884301599</v>
      </c>
      <c r="K63" s="421">
        <v>0</v>
      </c>
      <c r="L63" s="421">
        <v>-39.093854884301599</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-0.17691580225894701</v>
      </c>
      <c r="M64" s="421">
        <v>0</v>
      </c>
      <c r="N64" s="421">
        <v>0</v>
      </c>
      <c r="O64" s="421">
        <v>0</v>
      </c>
      <c r="P64" s="421">
        <v>0</v>
      </c>
      <c r="Q64" s="421">
        <v>0</v>
      </c>
      <c r="R64" s="421">
        <v>0.25273686036992499</v>
      </c>
      <c r="S64" s="429">
        <v>7.5821058110977502E-2</v>
      </c>
      <c r="T64" s="412"/>
    </row>
    <row r="65" spans="2:20" ht="13.5">
      <c r="B65" s="412"/>
      <c r="C65" s="428" t="s">
        <v>73</v>
      </c>
      <c r="D65" s="421">
        <v>0</v>
      </c>
      <c r="E65" s="421">
        <v>0</v>
      </c>
      <c r="F65" s="421">
        <v>0</v>
      </c>
      <c r="G65" s="421">
        <v>1.8824761736884601</v>
      </c>
      <c r="H65" s="421">
        <v>0</v>
      </c>
      <c r="I65" s="421">
        <v>0</v>
      </c>
      <c r="J65" s="421">
        <v>0</v>
      </c>
      <c r="K65" s="421">
        <v>2.1248828039647599E-2</v>
      </c>
      <c r="L65" s="421">
        <v>0</v>
      </c>
      <c r="M65" s="421">
        <v>3.8417881095682803E-2</v>
      </c>
      <c r="N65" s="421">
        <v>0</v>
      </c>
      <c r="O65" s="421">
        <v>0</v>
      </c>
      <c r="P65" s="421">
        <v>0.19366834943024799</v>
      </c>
      <c r="Q65" s="421">
        <v>0</v>
      </c>
      <c r="R65" s="421">
        <v>-1.4874179627753299</v>
      </c>
      <c r="S65" s="429">
        <v>0.64839326947870701</v>
      </c>
      <c r="T65" s="412"/>
    </row>
    <row r="66" spans="2:20" ht="13.5">
      <c r="B66" s="412"/>
      <c r="C66" s="428" t="s">
        <v>356</v>
      </c>
      <c r="D66" s="421">
        <v>15.374535156249999</v>
      </c>
      <c r="E66" s="421">
        <v>-19.0871242659187</v>
      </c>
      <c r="F66" s="421">
        <v>24.964831154950399</v>
      </c>
      <c r="G66" s="421">
        <v>0</v>
      </c>
      <c r="H66" s="421">
        <v>0</v>
      </c>
      <c r="I66" s="421">
        <v>0</v>
      </c>
      <c r="J66" s="421">
        <v>0</v>
      </c>
      <c r="K66" s="421">
        <v>0</v>
      </c>
      <c r="L66" s="421">
        <v>0</v>
      </c>
      <c r="M66" s="421">
        <v>0</v>
      </c>
      <c r="N66" s="421">
        <v>0</v>
      </c>
      <c r="O66" s="421">
        <v>0</v>
      </c>
      <c r="P66" s="421">
        <v>0</v>
      </c>
      <c r="Q66" s="421">
        <v>0</v>
      </c>
      <c r="R66" s="421">
        <v>0</v>
      </c>
      <c r="S66" s="429">
        <v>21.252242045281701</v>
      </c>
      <c r="T66" s="412"/>
    </row>
    <row r="67" spans="2:20" ht="13.5">
      <c r="B67" s="412"/>
      <c r="C67" s="428" t="s">
        <v>75</v>
      </c>
      <c r="D67" s="421">
        <v>10.0084814453125</v>
      </c>
      <c r="E67" s="421">
        <v>0</v>
      </c>
      <c r="F67" s="421">
        <v>18.729068543758601</v>
      </c>
      <c r="G67" s="421">
        <v>5.3443947944572301</v>
      </c>
      <c r="H67" s="421">
        <v>0</v>
      </c>
      <c r="I67" s="421">
        <v>0</v>
      </c>
      <c r="J67" s="421">
        <v>0</v>
      </c>
      <c r="K67" s="421">
        <v>0</v>
      </c>
      <c r="L67" s="421">
        <v>0</v>
      </c>
      <c r="M67" s="421">
        <v>0.109069281519535</v>
      </c>
      <c r="N67" s="421">
        <v>0</v>
      </c>
      <c r="O67" s="421">
        <v>0</v>
      </c>
      <c r="P67" s="421">
        <v>34.584089944749103</v>
      </c>
      <c r="Q67" s="421">
        <v>0</v>
      </c>
      <c r="R67" s="421">
        <v>0</v>
      </c>
      <c r="S67" s="429">
        <v>68.775104009796905</v>
      </c>
      <c r="T67" s="412"/>
    </row>
    <row r="68" spans="2:20" ht="13.5">
      <c r="B68" s="412"/>
      <c r="C68" s="428" t="s">
        <v>76</v>
      </c>
      <c r="D68" s="421">
        <v>0</v>
      </c>
      <c r="E68" s="421">
        <v>0</v>
      </c>
      <c r="F68" s="421">
        <v>0</v>
      </c>
      <c r="G68" s="421">
        <v>4.2639381425091001</v>
      </c>
      <c r="H68" s="421">
        <v>0</v>
      </c>
      <c r="I68" s="421">
        <v>0</v>
      </c>
      <c r="J68" s="421">
        <v>0</v>
      </c>
      <c r="K68" s="421">
        <v>0</v>
      </c>
      <c r="L68" s="421">
        <v>0</v>
      </c>
      <c r="M68" s="421">
        <v>8.7019145765491801E-2</v>
      </c>
      <c r="N68" s="421">
        <v>0</v>
      </c>
      <c r="O68" s="421">
        <v>0</v>
      </c>
      <c r="P68" s="421">
        <v>40.966824320893799</v>
      </c>
      <c r="Q68" s="421">
        <v>3.1854707377751099</v>
      </c>
      <c r="R68" s="421">
        <v>0</v>
      </c>
      <c r="S68" s="429">
        <v>48.503252346943498</v>
      </c>
      <c r="T68" s="412"/>
    </row>
    <row r="69" spans="2:20" ht="13.5">
      <c r="B69" s="412"/>
      <c r="C69" s="424" t="s">
        <v>77</v>
      </c>
      <c r="D69" s="425">
        <v>27.5834873371291</v>
      </c>
      <c r="E69" s="425">
        <v>531.76783290345099</v>
      </c>
      <c r="F69" s="425">
        <v>-497.788871535331</v>
      </c>
      <c r="G69" s="425">
        <v>48.096646219086502</v>
      </c>
      <c r="H69" s="425">
        <v>1121.3636363636399</v>
      </c>
      <c r="I69" s="425">
        <v>204.83</v>
      </c>
      <c r="J69" s="425">
        <v>86.012846716414401</v>
      </c>
      <c r="K69" s="425">
        <v>19.676532708292299</v>
      </c>
      <c r="L69" s="425">
        <v>-39.270770686560603</v>
      </c>
      <c r="M69" s="425">
        <v>-6.3570504176703597</v>
      </c>
      <c r="N69" s="425">
        <v>0</v>
      </c>
      <c r="O69" s="425">
        <v>2.2502067182143302</v>
      </c>
      <c r="P69" s="425">
        <v>-522.56267082536306</v>
      </c>
      <c r="Q69" s="425">
        <v>-37.9222706877989</v>
      </c>
      <c r="R69" s="425">
        <v>-1.2346811024054101</v>
      </c>
      <c r="S69" s="425">
        <v>936.44487371109506</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6.0139144604924599</v>
      </c>
      <c r="E71" s="421">
        <v>0</v>
      </c>
      <c r="F71" s="421">
        <v>23.633642469065599</v>
      </c>
      <c r="G71" s="421">
        <v>102.391084630545</v>
      </c>
      <c r="H71" s="421">
        <v>0</v>
      </c>
      <c r="I71" s="421">
        <v>0</v>
      </c>
      <c r="J71" s="421">
        <v>17.159172144595999</v>
      </c>
      <c r="K71" s="421">
        <v>4.25300592203756</v>
      </c>
      <c r="L71" s="421">
        <v>0.85978953515625001</v>
      </c>
      <c r="M71" s="421">
        <v>2.08961397205193</v>
      </c>
      <c r="N71" s="421">
        <v>0</v>
      </c>
      <c r="O71" s="421">
        <v>0</v>
      </c>
      <c r="P71" s="421">
        <v>105.422390190743</v>
      </c>
      <c r="Q71" s="421">
        <v>17.9038299201341</v>
      </c>
      <c r="R71" s="421">
        <v>0.246216918945312</v>
      </c>
      <c r="S71" s="429">
        <v>279.97266016376699</v>
      </c>
      <c r="T71" s="412"/>
    </row>
    <row r="72" spans="2:20" ht="13.5">
      <c r="B72" s="412"/>
      <c r="C72" s="428" t="s">
        <v>79</v>
      </c>
      <c r="D72" s="421">
        <v>0</v>
      </c>
      <c r="E72" s="421">
        <v>0</v>
      </c>
      <c r="F72" s="421">
        <v>291.75543836647398</v>
      </c>
      <c r="G72" s="421">
        <v>20.535297042062101</v>
      </c>
      <c r="H72" s="421">
        <v>0</v>
      </c>
      <c r="I72" s="421">
        <v>0</v>
      </c>
      <c r="J72" s="421">
        <v>0</v>
      </c>
      <c r="K72" s="421">
        <v>0</v>
      </c>
      <c r="L72" s="421">
        <v>29.571406958369401</v>
      </c>
      <c r="M72" s="421">
        <v>0.41908769473596202</v>
      </c>
      <c r="N72" s="421">
        <v>0</v>
      </c>
      <c r="O72" s="421">
        <v>0</v>
      </c>
      <c r="P72" s="421">
        <v>38.026089769837199</v>
      </c>
      <c r="Q72" s="421">
        <v>0</v>
      </c>
      <c r="R72" s="421">
        <v>0.81131136729798503</v>
      </c>
      <c r="S72" s="429">
        <v>381.118631198777</v>
      </c>
      <c r="T72" s="412"/>
    </row>
    <row r="73" spans="2:20" ht="13.5">
      <c r="B73" s="412"/>
      <c r="C73" s="428" t="s">
        <v>80</v>
      </c>
      <c r="D73" s="421">
        <v>0</v>
      </c>
      <c r="E73" s="421">
        <v>0</v>
      </c>
      <c r="F73" s="421">
        <v>27.220999009721101</v>
      </c>
      <c r="G73" s="421">
        <v>120.03161923866701</v>
      </c>
      <c r="H73" s="421">
        <v>0</v>
      </c>
      <c r="I73" s="421">
        <v>0</v>
      </c>
      <c r="J73" s="421">
        <v>73.643008497672298</v>
      </c>
      <c r="K73" s="421">
        <v>0</v>
      </c>
      <c r="L73" s="421">
        <v>0</v>
      </c>
      <c r="M73" s="421">
        <v>2.4496248824217699</v>
      </c>
      <c r="N73" s="421">
        <v>44.3894996556715</v>
      </c>
      <c r="O73" s="421">
        <v>0.96187754856444097</v>
      </c>
      <c r="P73" s="421">
        <v>174.81659309154401</v>
      </c>
      <c r="Q73" s="421">
        <v>15.741799933741699</v>
      </c>
      <c r="R73" s="421">
        <v>0</v>
      </c>
      <c r="S73" s="429">
        <v>459.255021858004</v>
      </c>
      <c r="T73" s="412"/>
    </row>
    <row r="74" spans="2:20" ht="13.5">
      <c r="B74" s="412"/>
      <c r="C74" s="428" t="s">
        <v>81</v>
      </c>
      <c r="D74" s="421">
        <v>0</v>
      </c>
      <c r="E74" s="421">
        <v>0</v>
      </c>
      <c r="F74" s="421">
        <v>11.206782837990801</v>
      </c>
      <c r="G74" s="421">
        <v>64.507568852564205</v>
      </c>
      <c r="H74" s="421">
        <v>0</v>
      </c>
      <c r="I74" s="421">
        <v>0</v>
      </c>
      <c r="J74" s="421">
        <v>3.55454723390908</v>
      </c>
      <c r="K74" s="421">
        <v>0</v>
      </c>
      <c r="L74" s="421">
        <v>0</v>
      </c>
      <c r="M74" s="421">
        <v>1.31648099699111</v>
      </c>
      <c r="N74" s="421">
        <v>6.82861273959311</v>
      </c>
      <c r="O74" s="421">
        <v>0.82092458334028295</v>
      </c>
      <c r="P74" s="421">
        <v>132.49225631372801</v>
      </c>
      <c r="Q74" s="421">
        <v>4.2766408339232003</v>
      </c>
      <c r="R74" s="421">
        <v>0</v>
      </c>
      <c r="S74" s="429">
        <v>225.00381439204</v>
      </c>
      <c r="T74" s="412"/>
    </row>
    <row r="75" spans="2:20" ht="13.5">
      <c r="B75" s="412"/>
      <c r="C75" s="428" t="s">
        <v>82</v>
      </c>
      <c r="D75" s="421">
        <v>0</v>
      </c>
      <c r="E75" s="421">
        <v>0</v>
      </c>
      <c r="F75" s="421">
        <v>21.8797075546779</v>
      </c>
      <c r="G75" s="421">
        <v>4.0299007020097699</v>
      </c>
      <c r="H75" s="421">
        <v>0</v>
      </c>
      <c r="I75" s="421">
        <v>0</v>
      </c>
      <c r="J75" s="421">
        <v>0.95744733717577402</v>
      </c>
      <c r="K75" s="421">
        <v>0</v>
      </c>
      <c r="L75" s="421">
        <v>7.9910737897220097</v>
      </c>
      <c r="M75" s="421">
        <v>8.2242871469587198E-2</v>
      </c>
      <c r="N75" s="421">
        <v>0</v>
      </c>
      <c r="O75" s="421">
        <v>8.0703458125589503E-2</v>
      </c>
      <c r="P75" s="421">
        <v>8.0411089772434305</v>
      </c>
      <c r="Q75" s="421">
        <v>0</v>
      </c>
      <c r="R75" s="421">
        <v>0</v>
      </c>
      <c r="S75" s="429">
        <v>43.062184690423997</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6.0139144604924599</v>
      </c>
      <c r="E77" s="425">
        <v>0</v>
      </c>
      <c r="F77" s="425">
        <v>375.696570237929</v>
      </c>
      <c r="G77" s="425">
        <v>311.49547046584701</v>
      </c>
      <c r="H77" s="425">
        <v>0</v>
      </c>
      <c r="I77" s="425">
        <v>0</v>
      </c>
      <c r="J77" s="425">
        <v>95.314175213353096</v>
      </c>
      <c r="K77" s="425">
        <v>4.25300592203756</v>
      </c>
      <c r="L77" s="425">
        <v>38.422270283247698</v>
      </c>
      <c r="M77" s="425">
        <v>6.3570504176703597</v>
      </c>
      <c r="N77" s="425">
        <v>51.218112395264598</v>
      </c>
      <c r="O77" s="425">
        <v>1.8635055900303099</v>
      </c>
      <c r="P77" s="425">
        <v>458.798438343096</v>
      </c>
      <c r="Q77" s="425">
        <v>37.9222706877989</v>
      </c>
      <c r="R77" s="425">
        <v>1.0575282862433</v>
      </c>
      <c r="S77" s="425">
        <v>1388.4123123030099</v>
      </c>
      <c r="T77" s="412"/>
    </row>
    <row r="78" spans="2:20" ht="13.5">
      <c r="B78" s="412"/>
      <c r="C78" s="420" t="s">
        <v>84</v>
      </c>
      <c r="D78" s="421">
        <v>2.2977675781250002</v>
      </c>
      <c r="E78" s="421">
        <v>0</v>
      </c>
      <c r="F78" s="421">
        <v>138.000019774045</v>
      </c>
      <c r="G78" s="421">
        <v>12.487817343213999</v>
      </c>
      <c r="H78" s="421">
        <v>0</v>
      </c>
      <c r="I78" s="421">
        <v>0</v>
      </c>
      <c r="J78" s="421">
        <v>0</v>
      </c>
      <c r="K78" s="421">
        <v>0</v>
      </c>
      <c r="L78" s="421">
        <v>0</v>
      </c>
      <c r="M78" s="421">
        <v>0</v>
      </c>
      <c r="N78" s="421">
        <v>0</v>
      </c>
      <c r="O78" s="421">
        <v>0</v>
      </c>
      <c r="P78" s="421">
        <v>0</v>
      </c>
      <c r="Q78" s="421">
        <v>0</v>
      </c>
      <c r="R78" s="421">
        <v>0.17715281616210901</v>
      </c>
      <c r="S78" s="429">
        <v>152.96275751154599</v>
      </c>
      <c r="T78" s="412"/>
    </row>
    <row r="79" spans="2:20" ht="13.5">
      <c r="B79" s="412"/>
      <c r="C79" s="424" t="s">
        <v>85</v>
      </c>
      <c r="D79" s="425">
        <v>8.3116820386174606</v>
      </c>
      <c r="E79" s="425">
        <v>0</v>
      </c>
      <c r="F79" s="425">
        <v>513.69659001197397</v>
      </c>
      <c r="G79" s="425">
        <v>323.98328780906098</v>
      </c>
      <c r="H79" s="425">
        <v>0</v>
      </c>
      <c r="I79" s="425">
        <v>0</v>
      </c>
      <c r="J79" s="425">
        <v>95.314175213353195</v>
      </c>
      <c r="K79" s="425">
        <v>4.25300592203756</v>
      </c>
      <c r="L79" s="425">
        <v>38.422270283247698</v>
      </c>
      <c r="M79" s="425">
        <v>6.3570504176703597</v>
      </c>
      <c r="N79" s="425">
        <v>51.218112395264598</v>
      </c>
      <c r="O79" s="425">
        <v>1.8635055900303099</v>
      </c>
      <c r="P79" s="425">
        <v>458.798438343096</v>
      </c>
      <c r="Q79" s="425">
        <v>37.9222706877989</v>
      </c>
      <c r="R79" s="425">
        <v>1.2346811024054101</v>
      </c>
      <c r="S79" s="425">
        <v>1541.37506981456</v>
      </c>
      <c r="T79" s="412"/>
    </row>
    <row r="80" spans="2:20">
      <c r="B80" s="412"/>
      <c r="C80" s="412"/>
      <c r="D80" s="430">
        <f t="shared" ref="D80:S80" si="1">D79+D69-D55</f>
        <v>6.3948846218409017E-14</v>
      </c>
      <c r="E80" s="430">
        <f t="shared" si="1"/>
        <v>0</v>
      </c>
      <c r="F80" s="430">
        <f t="shared" si="1"/>
        <v>-5.3113069498067489E-13</v>
      </c>
      <c r="G80" s="430">
        <f t="shared" si="1"/>
        <v>-5.1159076974727213E-13</v>
      </c>
      <c r="H80" s="430">
        <f t="shared" si="1"/>
        <v>0</v>
      </c>
      <c r="I80" s="430">
        <f t="shared" si="1"/>
        <v>0</v>
      </c>
      <c r="J80" s="430">
        <f t="shared" si="1"/>
        <v>-3.979039320256561E-13</v>
      </c>
      <c r="K80" s="430">
        <f t="shared" si="1"/>
        <v>5.6843418860808015E-14</v>
      </c>
      <c r="L80" s="430">
        <f t="shared" si="1"/>
        <v>5.5511151231257827E-15</v>
      </c>
      <c r="M80" s="430">
        <f t="shared" si="1"/>
        <v>0</v>
      </c>
      <c r="N80" s="430">
        <f t="shared" si="1"/>
        <v>0</v>
      </c>
      <c r="O80" s="430">
        <f t="shared" si="1"/>
        <v>0</v>
      </c>
      <c r="P80" s="430">
        <f t="shared" si="1"/>
        <v>3.4106051316484809E-13</v>
      </c>
      <c r="Q80" s="430">
        <f t="shared" si="1"/>
        <v>0</v>
      </c>
      <c r="R80" s="430">
        <f t="shared" si="1"/>
        <v>0</v>
      </c>
      <c r="S80" s="430">
        <f t="shared" si="1"/>
        <v>5.0022208597511053E-12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361</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5.8150000000000004</v>
      </c>
      <c r="F86" s="421">
        <v>0</v>
      </c>
      <c r="G86" s="421">
        <v>9.3039999999999998E-2</v>
      </c>
      <c r="H86" s="422">
        <v>1075</v>
      </c>
      <c r="I86" s="422">
        <v>221.33</v>
      </c>
      <c r="J86" s="422">
        <v>180.617309805269</v>
      </c>
      <c r="K86" s="422">
        <v>23.667602138393399</v>
      </c>
      <c r="L86" s="421">
        <v>0</v>
      </c>
      <c r="M86" s="421">
        <v>0</v>
      </c>
      <c r="N86" s="422">
        <v>53.883302871721199</v>
      </c>
      <c r="O86" s="422">
        <v>4.0937306138358602</v>
      </c>
      <c r="P86" s="421">
        <v>0</v>
      </c>
      <c r="Q86" s="421">
        <v>0</v>
      </c>
      <c r="R86" s="421">
        <v>0</v>
      </c>
      <c r="S86" s="423">
        <v>1564.49998542922</v>
      </c>
      <c r="T86" s="412"/>
    </row>
    <row r="87" spans="2:20" ht="13.5">
      <c r="B87" s="412"/>
      <c r="C87" s="420" t="s">
        <v>60</v>
      </c>
      <c r="D87" s="421">
        <v>34.929201732774303</v>
      </c>
      <c r="E87" s="421">
        <v>518.07410535010399</v>
      </c>
      <c r="F87" s="421">
        <v>94.899650530247001</v>
      </c>
      <c r="G87" s="421">
        <v>372.90309898365098</v>
      </c>
      <c r="H87" s="421">
        <v>0</v>
      </c>
      <c r="I87" s="421">
        <v>0</v>
      </c>
      <c r="J87" s="421">
        <v>0</v>
      </c>
      <c r="K87" s="421">
        <v>0</v>
      </c>
      <c r="L87" s="421">
        <v>0</v>
      </c>
      <c r="M87" s="421">
        <v>0</v>
      </c>
      <c r="N87" s="421">
        <v>0</v>
      </c>
      <c r="O87" s="421">
        <v>0</v>
      </c>
      <c r="P87" s="421">
        <v>0</v>
      </c>
      <c r="Q87" s="421">
        <v>0</v>
      </c>
      <c r="R87" s="421">
        <v>0</v>
      </c>
      <c r="S87" s="423">
        <v>1020.80605659678</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-54.0995610292184</v>
      </c>
      <c r="Q88" s="421">
        <v>0</v>
      </c>
      <c r="R88" s="421">
        <v>0</v>
      </c>
      <c r="S88" s="423">
        <v>-54.0995610292184</v>
      </c>
      <c r="T88" s="412"/>
    </row>
    <row r="89" spans="2:20" ht="13.5">
      <c r="B89" s="412"/>
      <c r="C89" s="420" t="s">
        <v>62</v>
      </c>
      <c r="D89" s="421">
        <v>0</v>
      </c>
      <c r="E89" s="421">
        <v>0</v>
      </c>
      <c r="F89" s="421">
        <v>-16.258620088965699</v>
      </c>
      <c r="G89" s="421">
        <v>0</v>
      </c>
      <c r="H89" s="421">
        <v>0</v>
      </c>
      <c r="I89" s="421">
        <v>0</v>
      </c>
      <c r="J89" s="421">
        <v>0</v>
      </c>
      <c r="K89" s="421">
        <v>0</v>
      </c>
      <c r="L89" s="421">
        <v>0</v>
      </c>
      <c r="M89" s="421">
        <v>0</v>
      </c>
      <c r="N89" s="421">
        <v>0</v>
      </c>
      <c r="O89" s="421">
        <v>0</v>
      </c>
      <c r="P89" s="421">
        <v>0</v>
      </c>
      <c r="Q89" s="421">
        <v>0</v>
      </c>
      <c r="R89" s="421">
        <v>0</v>
      </c>
      <c r="S89" s="423">
        <v>-16.258620088965699</v>
      </c>
      <c r="T89" s="412"/>
    </row>
    <row r="90" spans="2:20" ht="13.5">
      <c r="B90" s="412"/>
      <c r="C90" s="420" t="s">
        <v>63</v>
      </c>
      <c r="D90" s="421">
        <v>0</v>
      </c>
      <c r="E90" s="421">
        <v>0</v>
      </c>
      <c r="F90" s="421">
        <v>-83.288391654292198</v>
      </c>
      <c r="G90" s="421">
        <v>0</v>
      </c>
      <c r="H90" s="421">
        <v>0</v>
      </c>
      <c r="I90" s="421">
        <v>0</v>
      </c>
      <c r="J90" s="421">
        <v>0</v>
      </c>
      <c r="K90" s="421">
        <v>0</v>
      </c>
      <c r="L90" s="421">
        <v>-0.86093886612012704</v>
      </c>
      <c r="M90" s="421">
        <v>0</v>
      </c>
      <c r="N90" s="421">
        <v>0</v>
      </c>
      <c r="O90" s="421">
        <v>0</v>
      </c>
      <c r="P90" s="421">
        <v>0</v>
      </c>
      <c r="Q90" s="421">
        <v>0</v>
      </c>
      <c r="R90" s="421">
        <v>0</v>
      </c>
      <c r="S90" s="423">
        <v>-84.149330520412306</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34.929201732774303</v>
      </c>
      <c r="E92" s="425">
        <v>523.88910535010405</v>
      </c>
      <c r="F92" s="425">
        <v>-4.6473612130108704</v>
      </c>
      <c r="G92" s="425">
        <v>372.99613898365101</v>
      </c>
      <c r="H92" s="425">
        <v>1075</v>
      </c>
      <c r="I92" s="425">
        <v>221.33</v>
      </c>
      <c r="J92" s="425">
        <v>180.617309805269</v>
      </c>
      <c r="K92" s="425">
        <v>23.667602138393399</v>
      </c>
      <c r="L92" s="425">
        <v>-0.86093886612012704</v>
      </c>
      <c r="M92" s="425">
        <v>0</v>
      </c>
      <c r="N92" s="425">
        <v>53.883302871721199</v>
      </c>
      <c r="O92" s="425">
        <v>4.0937306138358602</v>
      </c>
      <c r="P92" s="425">
        <v>-54.0995610292184</v>
      </c>
      <c r="Q92" s="425">
        <v>0</v>
      </c>
      <c r="R92" s="425">
        <v>0</v>
      </c>
      <c r="S92" s="425">
        <v>2430.7985303874002</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18.293662470199799</v>
      </c>
      <c r="H95" s="421">
        <v>1075</v>
      </c>
      <c r="I95" s="421">
        <v>221.33</v>
      </c>
      <c r="J95" s="421">
        <v>25.015631200963998</v>
      </c>
      <c r="K95" s="421">
        <v>6.6958995171334896</v>
      </c>
      <c r="L95" s="421">
        <v>0</v>
      </c>
      <c r="M95" s="421">
        <v>0.373340050412242</v>
      </c>
      <c r="N95" s="421">
        <v>0</v>
      </c>
      <c r="O95" s="421">
        <v>0</v>
      </c>
      <c r="P95" s="421">
        <v>-598.98018891784398</v>
      </c>
      <c r="Q95" s="421">
        <v>0</v>
      </c>
      <c r="R95" s="421">
        <v>0</v>
      </c>
      <c r="S95" s="429">
        <v>753.79245142006801</v>
      </c>
      <c r="T95" s="412"/>
    </row>
    <row r="96" spans="2:20" ht="13.5">
      <c r="B96" s="412"/>
      <c r="C96" s="428" t="s">
        <v>351</v>
      </c>
      <c r="D96" s="421">
        <v>0</v>
      </c>
      <c r="E96" s="421">
        <v>0</v>
      </c>
      <c r="F96" s="421">
        <v>0</v>
      </c>
      <c r="G96" s="421">
        <v>17.187472358998999</v>
      </c>
      <c r="H96" s="421">
        <v>0</v>
      </c>
      <c r="I96" s="421">
        <v>0</v>
      </c>
      <c r="J96" s="421">
        <v>12.802427774494999</v>
      </c>
      <c r="K96" s="421">
        <v>12.7214936345308</v>
      </c>
      <c r="L96" s="421">
        <v>0</v>
      </c>
      <c r="M96" s="421">
        <v>0.35076474202038699</v>
      </c>
      <c r="N96" s="421">
        <v>0</v>
      </c>
      <c r="O96" s="421">
        <v>2.24538394933181</v>
      </c>
      <c r="P96" s="421">
        <v>0</v>
      </c>
      <c r="Q96" s="421">
        <v>-41.027361944198802</v>
      </c>
      <c r="R96" s="421">
        <v>0</v>
      </c>
      <c r="S96" s="429">
        <v>4.2801805151782197</v>
      </c>
      <c r="T96" s="412"/>
    </row>
    <row r="97" spans="2:20" ht="13.5">
      <c r="B97" s="412"/>
      <c r="C97" s="428" t="s">
        <v>352</v>
      </c>
      <c r="D97" s="421">
        <v>0</v>
      </c>
      <c r="E97" s="421">
        <v>0</v>
      </c>
      <c r="F97" s="421">
        <v>0</v>
      </c>
      <c r="G97" s="421">
        <v>0</v>
      </c>
      <c r="H97" s="421">
        <v>0</v>
      </c>
      <c r="I97" s="421">
        <v>0</v>
      </c>
      <c r="J97" s="421">
        <v>8.2571965997470702</v>
      </c>
      <c r="K97" s="421">
        <v>0</v>
      </c>
      <c r="L97" s="421">
        <v>0</v>
      </c>
      <c r="M97" s="421">
        <v>-7.3592264695245797</v>
      </c>
      <c r="N97" s="421">
        <v>0</v>
      </c>
      <c r="O97" s="421">
        <v>0</v>
      </c>
      <c r="P97" s="421">
        <v>0</v>
      </c>
      <c r="Q97" s="421">
        <v>0</v>
      </c>
      <c r="R97" s="421">
        <v>0</v>
      </c>
      <c r="S97" s="429">
        <v>0.89797013022249295</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542.69343279650298</v>
      </c>
      <c r="F99" s="421">
        <v>-537.26649846853797</v>
      </c>
      <c r="G99" s="421">
        <v>0</v>
      </c>
      <c r="H99" s="421">
        <v>0</v>
      </c>
      <c r="I99" s="421">
        <v>0</v>
      </c>
      <c r="J99" s="421">
        <v>0</v>
      </c>
      <c r="K99" s="421">
        <v>0</v>
      </c>
      <c r="L99" s="421">
        <v>0</v>
      </c>
      <c r="M99" s="421">
        <v>0</v>
      </c>
      <c r="N99" s="421">
        <v>0</v>
      </c>
      <c r="O99" s="421">
        <v>0</v>
      </c>
      <c r="P99" s="421">
        <v>0</v>
      </c>
      <c r="Q99" s="421">
        <v>0</v>
      </c>
      <c r="R99" s="421">
        <v>0</v>
      </c>
      <c r="S99" s="429">
        <v>5.4269343279650002</v>
      </c>
      <c r="T99" s="412"/>
    </row>
    <row r="100" spans="2:20" ht="13.5">
      <c r="B100" s="412"/>
      <c r="C100" s="428" t="s">
        <v>354</v>
      </c>
      <c r="D100" s="421">
        <v>0</v>
      </c>
      <c r="E100" s="421">
        <v>0</v>
      </c>
      <c r="F100" s="421">
        <v>0</v>
      </c>
      <c r="G100" s="421">
        <v>0</v>
      </c>
      <c r="H100" s="421">
        <v>0</v>
      </c>
      <c r="I100" s="421">
        <v>0</v>
      </c>
      <c r="J100" s="421">
        <v>38.982913287446898</v>
      </c>
      <c r="K100" s="421">
        <v>0</v>
      </c>
      <c r="L100" s="421">
        <v>-38.982913287446898</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-0.17805542479724401</v>
      </c>
      <c r="M101" s="421">
        <v>0</v>
      </c>
      <c r="N101" s="421">
        <v>0</v>
      </c>
      <c r="O101" s="421">
        <v>0</v>
      </c>
      <c r="P101" s="421">
        <v>0</v>
      </c>
      <c r="Q101" s="421">
        <v>0</v>
      </c>
      <c r="R101" s="421">
        <v>0.25436489256749101</v>
      </c>
      <c r="S101" s="429">
        <v>7.6309467770247302E-2</v>
      </c>
      <c r="T101" s="412"/>
    </row>
    <row r="102" spans="2:20" ht="13.5">
      <c r="B102" s="412"/>
      <c r="C102" s="428" t="s">
        <v>73</v>
      </c>
      <c r="D102" s="421">
        <v>0</v>
      </c>
      <c r="E102" s="421">
        <v>0</v>
      </c>
      <c r="F102" s="421">
        <v>0</v>
      </c>
      <c r="G102" s="421">
        <v>2.4096506208169699</v>
      </c>
      <c r="H102" s="421">
        <v>0</v>
      </c>
      <c r="I102" s="421">
        <v>0</v>
      </c>
      <c r="J102" s="421">
        <v>0</v>
      </c>
      <c r="K102" s="421">
        <v>2.7320301823321701E-2</v>
      </c>
      <c r="L102" s="421">
        <v>0</v>
      </c>
      <c r="M102" s="421">
        <v>4.9176543281978999E-2</v>
      </c>
      <c r="N102" s="421">
        <v>0</v>
      </c>
      <c r="O102" s="421">
        <v>0</v>
      </c>
      <c r="P102" s="421">
        <v>0.257854534062811</v>
      </c>
      <c r="Q102" s="421">
        <v>0</v>
      </c>
      <c r="R102" s="421">
        <v>-1.91242112763252</v>
      </c>
      <c r="S102" s="429">
        <v>0.83158087235256695</v>
      </c>
      <c r="T102" s="412"/>
    </row>
    <row r="103" spans="2:20" ht="13.5">
      <c r="B103" s="412"/>
      <c r="C103" s="428" t="s">
        <v>356</v>
      </c>
      <c r="D103" s="421">
        <v>14.8684370117188</v>
      </c>
      <c r="E103" s="421">
        <v>-18.804327446398801</v>
      </c>
      <c r="F103" s="421">
        <v>24.59494961847</v>
      </c>
      <c r="G103" s="421">
        <v>0</v>
      </c>
      <c r="H103" s="421">
        <v>0</v>
      </c>
      <c r="I103" s="421">
        <v>0</v>
      </c>
      <c r="J103" s="421">
        <v>0</v>
      </c>
      <c r="K103" s="421">
        <v>0</v>
      </c>
      <c r="L103" s="421">
        <v>0</v>
      </c>
      <c r="M103" s="421">
        <v>0</v>
      </c>
      <c r="N103" s="421">
        <v>0</v>
      </c>
      <c r="O103" s="421">
        <v>0</v>
      </c>
      <c r="P103" s="421">
        <v>0</v>
      </c>
      <c r="Q103" s="421">
        <v>0</v>
      </c>
      <c r="R103" s="421">
        <v>0</v>
      </c>
      <c r="S103" s="429">
        <v>20.6590591837899</v>
      </c>
      <c r="T103" s="412"/>
    </row>
    <row r="104" spans="2:20" ht="13.5">
      <c r="B104" s="412"/>
      <c r="C104" s="428" t="s">
        <v>75</v>
      </c>
      <c r="D104" s="421">
        <v>9.9030000000000005</v>
      </c>
      <c r="E104" s="421">
        <v>0</v>
      </c>
      <c r="F104" s="421">
        <v>18.451576715081099</v>
      </c>
      <c r="G104" s="421">
        <v>5.2652116849916704</v>
      </c>
      <c r="H104" s="421">
        <v>0</v>
      </c>
      <c r="I104" s="421">
        <v>0</v>
      </c>
      <c r="J104" s="421">
        <v>0</v>
      </c>
      <c r="K104" s="421">
        <v>0</v>
      </c>
      <c r="L104" s="421">
        <v>0</v>
      </c>
      <c r="M104" s="421">
        <v>0.107453299693708</v>
      </c>
      <c r="N104" s="421">
        <v>0</v>
      </c>
      <c r="O104" s="421">
        <v>0</v>
      </c>
      <c r="P104" s="421">
        <v>33.445009445892197</v>
      </c>
      <c r="Q104" s="421">
        <v>0</v>
      </c>
      <c r="R104" s="421">
        <v>0</v>
      </c>
      <c r="S104" s="429">
        <v>67.172251145658706</v>
      </c>
      <c r="T104" s="412"/>
    </row>
    <row r="105" spans="2:20" ht="13.5">
      <c r="B105" s="412"/>
      <c r="C105" s="428" t="s">
        <v>76</v>
      </c>
      <c r="D105" s="421">
        <v>0</v>
      </c>
      <c r="E105" s="421">
        <v>0</v>
      </c>
      <c r="F105" s="421">
        <v>0</v>
      </c>
      <c r="G105" s="421">
        <v>4.2759141937553897</v>
      </c>
      <c r="H105" s="421">
        <v>0</v>
      </c>
      <c r="I105" s="421">
        <v>0</v>
      </c>
      <c r="J105" s="421">
        <v>0</v>
      </c>
      <c r="K105" s="421">
        <v>0</v>
      </c>
      <c r="L105" s="421">
        <v>0</v>
      </c>
      <c r="M105" s="421">
        <v>8.72635549745997E-2</v>
      </c>
      <c r="N105" s="421">
        <v>0</v>
      </c>
      <c r="O105" s="421">
        <v>0</v>
      </c>
      <c r="P105" s="421">
        <v>41.7590878252594</v>
      </c>
      <c r="Q105" s="421">
        <v>3.1792420694766599</v>
      </c>
      <c r="R105" s="421">
        <v>0</v>
      </c>
      <c r="S105" s="429">
        <v>49.301507643466103</v>
      </c>
      <c r="T105" s="412"/>
    </row>
    <row r="106" spans="2:20" ht="13.5">
      <c r="B106" s="412"/>
      <c r="C106" s="424" t="s">
        <v>77</v>
      </c>
      <c r="D106" s="425">
        <v>26.9719077472853</v>
      </c>
      <c r="E106" s="425">
        <v>523.88910535010405</v>
      </c>
      <c r="F106" s="425">
        <v>-490.35633577135002</v>
      </c>
      <c r="G106" s="425">
        <v>47.431911328762801</v>
      </c>
      <c r="H106" s="425">
        <v>1075</v>
      </c>
      <c r="I106" s="425">
        <v>221.33</v>
      </c>
      <c r="J106" s="425">
        <v>85.058168862653105</v>
      </c>
      <c r="K106" s="425">
        <v>19.444713453487601</v>
      </c>
      <c r="L106" s="425">
        <v>-39.160968712244099</v>
      </c>
      <c r="M106" s="425">
        <v>-6.3912282791416599</v>
      </c>
      <c r="N106" s="425">
        <v>0</v>
      </c>
      <c r="O106" s="425">
        <v>2.24538394933181</v>
      </c>
      <c r="P106" s="425">
        <v>-523.51823711263</v>
      </c>
      <c r="Q106" s="425">
        <v>-37.848119874722101</v>
      </c>
      <c r="R106" s="425">
        <v>-1.6580562350650301</v>
      </c>
      <c r="S106" s="425">
        <v>902.43824470647201</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5.6972080479890099</v>
      </c>
      <c r="E108" s="421">
        <v>0</v>
      </c>
      <c r="F108" s="421">
        <v>22.817179327139399</v>
      </c>
      <c r="G108" s="421">
        <v>101.760565699211</v>
      </c>
      <c r="H108" s="421">
        <v>0</v>
      </c>
      <c r="I108" s="421">
        <v>0</v>
      </c>
      <c r="J108" s="421">
        <v>17.084919933372099</v>
      </c>
      <c r="K108" s="421">
        <v>4.2228886849058398</v>
      </c>
      <c r="L108" s="421">
        <v>0.85605592578125</v>
      </c>
      <c r="M108" s="421">
        <v>2.0767462387593998</v>
      </c>
      <c r="N108" s="421">
        <v>0</v>
      </c>
      <c r="O108" s="421">
        <v>0</v>
      </c>
      <c r="P108" s="421">
        <v>106.33530498490499</v>
      </c>
      <c r="Q108" s="421">
        <v>18.005489076637701</v>
      </c>
      <c r="R108" s="421">
        <v>0.24596269226074199</v>
      </c>
      <c r="S108" s="429">
        <v>279.10232061096099</v>
      </c>
      <c r="T108" s="412"/>
    </row>
    <row r="109" spans="2:20" ht="13.5">
      <c r="B109" s="412"/>
      <c r="C109" s="428" t="s">
        <v>79</v>
      </c>
      <c r="D109" s="421">
        <v>0</v>
      </c>
      <c r="E109" s="421">
        <v>0</v>
      </c>
      <c r="F109" s="421">
        <v>271.89503343589303</v>
      </c>
      <c r="G109" s="421">
        <v>24.4531369544524</v>
      </c>
      <c r="H109" s="421">
        <v>0</v>
      </c>
      <c r="I109" s="421">
        <v>0</v>
      </c>
      <c r="J109" s="421">
        <v>0</v>
      </c>
      <c r="K109" s="421">
        <v>0</v>
      </c>
      <c r="L109" s="421">
        <v>27.563506802016501</v>
      </c>
      <c r="M109" s="421">
        <v>0.49904361131535402</v>
      </c>
      <c r="N109" s="421">
        <v>0</v>
      </c>
      <c r="O109" s="421">
        <v>0</v>
      </c>
      <c r="P109" s="421">
        <v>44.076672693209503</v>
      </c>
      <c r="Q109" s="421">
        <v>0</v>
      </c>
      <c r="R109" s="421">
        <v>1.1183354617496</v>
      </c>
      <c r="S109" s="429">
        <v>369.60572895863697</v>
      </c>
      <c r="T109" s="412"/>
    </row>
    <row r="110" spans="2:20" ht="13.5">
      <c r="B110" s="412"/>
      <c r="C110" s="428" t="s">
        <v>80</v>
      </c>
      <c r="D110" s="421">
        <v>0</v>
      </c>
      <c r="E110" s="421">
        <v>0</v>
      </c>
      <c r="F110" s="421">
        <v>24.3021024292247</v>
      </c>
      <c r="G110" s="421">
        <v>117.69678632039</v>
      </c>
      <c r="H110" s="421">
        <v>0</v>
      </c>
      <c r="I110" s="421">
        <v>0</v>
      </c>
      <c r="J110" s="421">
        <v>73.828773979634093</v>
      </c>
      <c r="K110" s="421">
        <v>0</v>
      </c>
      <c r="L110" s="421">
        <v>0</v>
      </c>
      <c r="M110" s="421">
        <v>2.4019752310283602</v>
      </c>
      <c r="N110" s="421">
        <v>47.128746569474501</v>
      </c>
      <c r="O110" s="421">
        <v>0.960766193181818</v>
      </c>
      <c r="P110" s="421">
        <v>176.67464437802599</v>
      </c>
      <c r="Q110" s="421">
        <v>15.6460082308098</v>
      </c>
      <c r="R110" s="421">
        <v>0</v>
      </c>
      <c r="S110" s="429">
        <v>458.63980333176897</v>
      </c>
      <c r="T110" s="412"/>
    </row>
    <row r="111" spans="2:20" ht="13.5">
      <c r="B111" s="412"/>
      <c r="C111" s="428" t="s">
        <v>81</v>
      </c>
      <c r="D111" s="421">
        <v>0</v>
      </c>
      <c r="E111" s="421">
        <v>0</v>
      </c>
      <c r="F111" s="421">
        <v>10.1168071467599</v>
      </c>
      <c r="G111" s="421">
        <v>64.901290043876799</v>
      </c>
      <c r="H111" s="421">
        <v>0</v>
      </c>
      <c r="I111" s="421">
        <v>0</v>
      </c>
      <c r="J111" s="421">
        <v>3.5137864042396001</v>
      </c>
      <c r="K111" s="421">
        <v>0</v>
      </c>
      <c r="L111" s="421">
        <v>0</v>
      </c>
      <c r="M111" s="421">
        <v>1.32451612334442</v>
      </c>
      <c r="N111" s="421">
        <v>6.7545563022467299</v>
      </c>
      <c r="O111" s="421">
        <v>0.80925156664740405</v>
      </c>
      <c r="P111" s="421">
        <v>134.394459446703</v>
      </c>
      <c r="Q111" s="421">
        <v>4.1966225672745496</v>
      </c>
      <c r="R111" s="421">
        <v>0</v>
      </c>
      <c r="S111" s="429">
        <v>226.01128960109199</v>
      </c>
      <c r="T111" s="412"/>
    </row>
    <row r="112" spans="2:20" ht="13.5">
      <c r="B112" s="412"/>
      <c r="C112" s="428" t="s">
        <v>82</v>
      </c>
      <c r="D112" s="421">
        <v>0</v>
      </c>
      <c r="E112" s="421">
        <v>0</v>
      </c>
      <c r="F112" s="421">
        <v>18.642153643202501</v>
      </c>
      <c r="G112" s="421">
        <v>4.3584066600117204</v>
      </c>
      <c r="H112" s="421">
        <v>0</v>
      </c>
      <c r="I112" s="421">
        <v>0</v>
      </c>
      <c r="J112" s="421">
        <v>1.13166062537042</v>
      </c>
      <c r="K112" s="421">
        <v>0</v>
      </c>
      <c r="L112" s="421">
        <v>9.8804671183263206</v>
      </c>
      <c r="M112" s="421">
        <v>8.8947074694116696E-2</v>
      </c>
      <c r="N112" s="421">
        <v>0</v>
      </c>
      <c r="O112" s="421">
        <v>7.8328904674825395E-2</v>
      </c>
      <c r="P112" s="421">
        <v>7.9375945805684101</v>
      </c>
      <c r="Q112" s="421">
        <v>0</v>
      </c>
      <c r="R112" s="421">
        <v>0</v>
      </c>
      <c r="S112" s="429">
        <v>42.117558606848299</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5.6972080479890099</v>
      </c>
      <c r="E114" s="425">
        <v>0</v>
      </c>
      <c r="F114" s="425">
        <v>347.77327598222001</v>
      </c>
      <c r="G114" s="425">
        <v>313.17018567794099</v>
      </c>
      <c r="H114" s="425">
        <v>0</v>
      </c>
      <c r="I114" s="425">
        <v>0</v>
      </c>
      <c r="J114" s="425">
        <v>95.559140942616196</v>
      </c>
      <c r="K114" s="425">
        <v>4.2228886849058398</v>
      </c>
      <c r="L114" s="425">
        <v>38.300029846123998</v>
      </c>
      <c r="M114" s="425">
        <v>6.3912282791416599</v>
      </c>
      <c r="N114" s="425">
        <v>53.883302871721199</v>
      </c>
      <c r="O114" s="425">
        <v>1.8483466645040501</v>
      </c>
      <c r="P114" s="425">
        <v>469.41867608341198</v>
      </c>
      <c r="Q114" s="425">
        <v>37.848119874722101</v>
      </c>
      <c r="R114" s="425">
        <v>1.36429815401034</v>
      </c>
      <c r="S114" s="425">
        <v>1375.4767011093099</v>
      </c>
      <c r="T114" s="412"/>
    </row>
    <row r="115" spans="2:20" ht="13.5">
      <c r="B115" s="412"/>
      <c r="C115" s="420" t="s">
        <v>84</v>
      </c>
      <c r="D115" s="421">
        <v>2.2600859375</v>
      </c>
      <c r="E115" s="421">
        <v>0</v>
      </c>
      <c r="F115" s="421">
        <v>137.93569857611899</v>
      </c>
      <c r="G115" s="421">
        <v>12.394041976947101</v>
      </c>
      <c r="H115" s="421">
        <v>0</v>
      </c>
      <c r="I115" s="421">
        <v>0</v>
      </c>
      <c r="J115" s="421">
        <v>0</v>
      </c>
      <c r="K115" s="421">
        <v>0</v>
      </c>
      <c r="L115" s="421">
        <v>0</v>
      </c>
      <c r="M115" s="421">
        <v>0</v>
      </c>
      <c r="N115" s="421">
        <v>0</v>
      </c>
      <c r="O115" s="421">
        <v>0</v>
      </c>
      <c r="P115" s="421">
        <v>0</v>
      </c>
      <c r="Q115" s="421">
        <v>0</v>
      </c>
      <c r="R115" s="421">
        <v>0.29375808105468698</v>
      </c>
      <c r="S115" s="429">
        <v>152.88358457162099</v>
      </c>
      <c r="T115" s="412"/>
    </row>
    <row r="116" spans="2:20" ht="13.5">
      <c r="B116" s="412"/>
      <c r="C116" s="424" t="s">
        <v>85</v>
      </c>
      <c r="D116" s="425">
        <v>7.9572939854890103</v>
      </c>
      <c r="E116" s="425">
        <v>0</v>
      </c>
      <c r="F116" s="425">
        <v>485.70897455833898</v>
      </c>
      <c r="G116" s="425">
        <v>325.56422765488799</v>
      </c>
      <c r="H116" s="425">
        <v>0</v>
      </c>
      <c r="I116" s="425">
        <v>0</v>
      </c>
      <c r="J116" s="425">
        <v>95.559140942616196</v>
      </c>
      <c r="K116" s="425">
        <v>4.2228886849058398</v>
      </c>
      <c r="L116" s="425">
        <v>38.300029846123998</v>
      </c>
      <c r="M116" s="425">
        <v>6.3912282791416599</v>
      </c>
      <c r="N116" s="425">
        <v>53.883302871721199</v>
      </c>
      <c r="O116" s="425">
        <v>1.8483466645040501</v>
      </c>
      <c r="P116" s="425">
        <v>469.41867608341198</v>
      </c>
      <c r="Q116" s="425">
        <v>37.848119874722101</v>
      </c>
      <c r="R116" s="425">
        <v>1.6580562350650301</v>
      </c>
      <c r="S116" s="425">
        <v>1528.36028568093</v>
      </c>
      <c r="T116" s="412"/>
    </row>
    <row r="117" spans="2:20">
      <c r="B117" s="412"/>
      <c r="C117" s="412"/>
      <c r="D117" s="430">
        <f t="shared" ref="D117:S117" si="2">D116+D106-D92</f>
        <v>0</v>
      </c>
      <c r="E117" s="430">
        <f t="shared" si="2"/>
        <v>0</v>
      </c>
      <c r="F117" s="430">
        <f t="shared" si="2"/>
        <v>-1.6786572132332367E-13</v>
      </c>
      <c r="G117" s="430">
        <f t="shared" si="2"/>
        <v>0</v>
      </c>
      <c r="H117" s="430">
        <f t="shared" si="2"/>
        <v>0</v>
      </c>
      <c r="I117" s="430">
        <f t="shared" si="2"/>
        <v>0</v>
      </c>
      <c r="J117" s="430">
        <f t="shared" si="2"/>
        <v>3.1263880373444408E-13</v>
      </c>
      <c r="K117" s="430">
        <f t="shared" si="2"/>
        <v>4.2632564145606011E-14</v>
      </c>
      <c r="L117" s="430">
        <f t="shared" si="2"/>
        <v>2.6090241078691179E-14</v>
      </c>
      <c r="M117" s="430">
        <f t="shared" si="2"/>
        <v>0</v>
      </c>
      <c r="N117" s="430">
        <f t="shared" si="2"/>
        <v>0</v>
      </c>
      <c r="O117" s="430">
        <f t="shared" si="2"/>
        <v>0</v>
      </c>
      <c r="P117" s="430">
        <f t="shared" si="2"/>
        <v>3.765876499528531E-13</v>
      </c>
      <c r="Q117" s="430">
        <f t="shared" si="2"/>
        <v>0</v>
      </c>
      <c r="R117" s="430">
        <f t="shared" si="2"/>
        <v>0</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362</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2.3260000000000001</v>
      </c>
      <c r="F123" s="421">
        <v>0</v>
      </c>
      <c r="G123" s="421">
        <v>3.7215999999999999E-2</v>
      </c>
      <c r="H123" s="422">
        <v>1005.45454545455</v>
      </c>
      <c r="I123" s="422">
        <v>246.08</v>
      </c>
      <c r="J123" s="422">
        <v>180.45818950373001</v>
      </c>
      <c r="K123" s="422">
        <v>23.324330540101599</v>
      </c>
      <c r="L123" s="421">
        <v>0</v>
      </c>
      <c r="M123" s="421">
        <v>0</v>
      </c>
      <c r="N123" s="422">
        <v>57.2465959754038</v>
      </c>
      <c r="O123" s="422">
        <v>4.06931439737036</v>
      </c>
      <c r="P123" s="421">
        <v>0</v>
      </c>
      <c r="Q123" s="421">
        <v>0</v>
      </c>
      <c r="R123" s="421">
        <v>0</v>
      </c>
      <c r="S123" s="423">
        <v>1518.9961918711499</v>
      </c>
      <c r="T123" s="412"/>
    </row>
    <row r="124" spans="2:20" ht="13.5">
      <c r="B124" s="412"/>
      <c r="C124" s="420" t="s">
        <v>60</v>
      </c>
      <c r="D124" s="421">
        <v>33.607567251657201</v>
      </c>
      <c r="E124" s="421">
        <v>509.74501402008298</v>
      </c>
      <c r="F124" s="421">
        <v>72.737164762837693</v>
      </c>
      <c r="G124" s="421">
        <v>374.55851469184501</v>
      </c>
      <c r="H124" s="421">
        <v>0</v>
      </c>
      <c r="I124" s="421">
        <v>0</v>
      </c>
      <c r="J124" s="421">
        <v>0</v>
      </c>
      <c r="K124" s="421">
        <v>0</v>
      </c>
      <c r="L124" s="421">
        <v>0</v>
      </c>
      <c r="M124" s="421">
        <v>0</v>
      </c>
      <c r="N124" s="421">
        <v>0</v>
      </c>
      <c r="O124" s="421">
        <v>0</v>
      </c>
      <c r="P124" s="421">
        <v>0</v>
      </c>
      <c r="Q124" s="421">
        <v>0</v>
      </c>
      <c r="R124" s="421">
        <v>0</v>
      </c>
      <c r="S124" s="423">
        <v>990.64826072642302</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-40.599613583103199</v>
      </c>
      <c r="Q125" s="421">
        <v>0</v>
      </c>
      <c r="R125" s="421">
        <v>0</v>
      </c>
      <c r="S125" s="423">
        <v>-40.599613583103199</v>
      </c>
      <c r="T125" s="412"/>
    </row>
    <row r="126" spans="2:20" ht="13.5">
      <c r="B126" s="412"/>
      <c r="C126" s="420" t="s">
        <v>62</v>
      </c>
      <c r="D126" s="421">
        <v>0</v>
      </c>
      <c r="E126" s="421">
        <v>0</v>
      </c>
      <c r="F126" s="421">
        <v>-16.016991189558802</v>
      </c>
      <c r="G126" s="421">
        <v>0</v>
      </c>
      <c r="H126" s="421">
        <v>0</v>
      </c>
      <c r="I126" s="421">
        <v>0</v>
      </c>
      <c r="J126" s="421">
        <v>0</v>
      </c>
      <c r="K126" s="421">
        <v>0</v>
      </c>
      <c r="L126" s="421">
        <v>0</v>
      </c>
      <c r="M126" s="421">
        <v>0</v>
      </c>
      <c r="N126" s="421">
        <v>0</v>
      </c>
      <c r="O126" s="421">
        <v>0</v>
      </c>
      <c r="P126" s="421">
        <v>0</v>
      </c>
      <c r="Q126" s="421">
        <v>0</v>
      </c>
      <c r="R126" s="421">
        <v>0</v>
      </c>
      <c r="S126" s="423">
        <v>-16.016991189558802</v>
      </c>
      <c r="T126" s="412"/>
    </row>
    <row r="127" spans="2:20" ht="13.5">
      <c r="B127" s="412"/>
      <c r="C127" s="420" t="s">
        <v>63</v>
      </c>
      <c r="D127" s="421">
        <v>0</v>
      </c>
      <c r="E127" s="421">
        <v>0</v>
      </c>
      <c r="F127" s="421">
        <v>-85.292767146842095</v>
      </c>
      <c r="G127" s="421">
        <v>0</v>
      </c>
      <c r="H127" s="421">
        <v>0</v>
      </c>
      <c r="I127" s="421">
        <v>0</v>
      </c>
      <c r="J127" s="421">
        <v>0</v>
      </c>
      <c r="K127" s="421">
        <v>0</v>
      </c>
      <c r="L127" s="421">
        <v>-0.88147124718821601</v>
      </c>
      <c r="M127" s="421">
        <v>0</v>
      </c>
      <c r="N127" s="421">
        <v>0</v>
      </c>
      <c r="O127" s="421">
        <v>0</v>
      </c>
      <c r="P127" s="421">
        <v>0</v>
      </c>
      <c r="Q127" s="421">
        <v>0</v>
      </c>
      <c r="R127" s="421">
        <v>0</v>
      </c>
      <c r="S127" s="423">
        <v>-86.174238394030297</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33.607567251657201</v>
      </c>
      <c r="E129" s="425">
        <v>512.071014020083</v>
      </c>
      <c r="F129" s="425">
        <v>-28.5725935735632</v>
      </c>
      <c r="G129" s="425">
        <v>374.59573069184501</v>
      </c>
      <c r="H129" s="425">
        <v>1005.45454545455</v>
      </c>
      <c r="I129" s="425">
        <v>246.08</v>
      </c>
      <c r="J129" s="425">
        <v>180.45818950373001</v>
      </c>
      <c r="K129" s="425">
        <v>23.324330540101599</v>
      </c>
      <c r="L129" s="425">
        <v>-0.88147124718821601</v>
      </c>
      <c r="M129" s="425">
        <v>0</v>
      </c>
      <c r="N129" s="425">
        <v>57.2465959754038</v>
      </c>
      <c r="O129" s="425">
        <v>4.06931439737036</v>
      </c>
      <c r="P129" s="425">
        <v>-40.599613583103199</v>
      </c>
      <c r="Q129" s="425">
        <v>0</v>
      </c>
      <c r="R129" s="425">
        <v>0</v>
      </c>
      <c r="S129" s="425">
        <v>2366.8536094308802</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17.955675135092299</v>
      </c>
      <c r="H132" s="421">
        <v>1005.45454545455</v>
      </c>
      <c r="I132" s="421">
        <v>246.08</v>
      </c>
      <c r="J132" s="421">
        <v>24.057674539507001</v>
      </c>
      <c r="K132" s="421">
        <v>6.4003284253933197</v>
      </c>
      <c r="L132" s="421">
        <v>0</v>
      </c>
      <c r="M132" s="421">
        <v>0.366442349695761</v>
      </c>
      <c r="N132" s="421">
        <v>0</v>
      </c>
      <c r="O132" s="421">
        <v>0</v>
      </c>
      <c r="P132" s="421">
        <v>-600.72360696632904</v>
      </c>
      <c r="Q132" s="421">
        <v>0</v>
      </c>
      <c r="R132" s="421">
        <v>0</v>
      </c>
      <c r="S132" s="429">
        <v>705.65516603710796</v>
      </c>
      <c r="T132" s="412"/>
    </row>
    <row r="133" spans="2:20" ht="13.5">
      <c r="B133" s="412"/>
      <c r="C133" s="428" t="s">
        <v>351</v>
      </c>
      <c r="D133" s="421">
        <v>0</v>
      </c>
      <c r="E133" s="421">
        <v>0</v>
      </c>
      <c r="F133" s="421">
        <v>0</v>
      </c>
      <c r="G133" s="421">
        <v>17.1879921419563</v>
      </c>
      <c r="H133" s="421">
        <v>0</v>
      </c>
      <c r="I133" s="421">
        <v>0</v>
      </c>
      <c r="J133" s="421">
        <v>12.682834988028199</v>
      </c>
      <c r="K133" s="421">
        <v>12.7191917514679</v>
      </c>
      <c r="L133" s="421">
        <v>0</v>
      </c>
      <c r="M133" s="421">
        <v>0.35077534983584302</v>
      </c>
      <c r="N133" s="421">
        <v>0</v>
      </c>
      <c r="O133" s="421">
        <v>2.2454573880541999</v>
      </c>
      <c r="P133" s="421">
        <v>0</v>
      </c>
      <c r="Q133" s="421">
        <v>-41.0285859229053</v>
      </c>
      <c r="R133" s="421">
        <v>0</v>
      </c>
      <c r="S133" s="429">
        <v>4.1576656964370899</v>
      </c>
      <c r="T133" s="412"/>
    </row>
    <row r="134" spans="2:20" ht="13.5">
      <c r="B134" s="412"/>
      <c r="C134" s="428" t="s">
        <v>352</v>
      </c>
      <c r="D134" s="421">
        <v>0</v>
      </c>
      <c r="E134" s="421">
        <v>0</v>
      </c>
      <c r="F134" s="421">
        <v>0</v>
      </c>
      <c r="G134" s="421">
        <v>0</v>
      </c>
      <c r="H134" s="421">
        <v>0</v>
      </c>
      <c r="I134" s="421">
        <v>0</v>
      </c>
      <c r="J134" s="421">
        <v>8.1791621467337805</v>
      </c>
      <c r="K134" s="421">
        <v>0</v>
      </c>
      <c r="L134" s="421">
        <v>0</v>
      </c>
      <c r="M134" s="421">
        <v>-7.3939625806473401</v>
      </c>
      <c r="N134" s="421">
        <v>0</v>
      </c>
      <c r="O134" s="421">
        <v>0</v>
      </c>
      <c r="P134" s="421">
        <v>0</v>
      </c>
      <c r="Q134" s="421">
        <v>0</v>
      </c>
      <c r="R134" s="421">
        <v>0</v>
      </c>
      <c r="S134" s="429">
        <v>0.78519956608644204</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530.45114623720201</v>
      </c>
      <c r="F136" s="421">
        <v>-525.14663477482998</v>
      </c>
      <c r="G136" s="421">
        <v>0</v>
      </c>
      <c r="H136" s="421">
        <v>0</v>
      </c>
      <c r="I136" s="421">
        <v>0</v>
      </c>
      <c r="J136" s="421">
        <v>0</v>
      </c>
      <c r="K136" s="421">
        <v>0</v>
      </c>
      <c r="L136" s="421">
        <v>0</v>
      </c>
      <c r="M136" s="421">
        <v>0</v>
      </c>
      <c r="N136" s="421">
        <v>0</v>
      </c>
      <c r="O136" s="421">
        <v>0</v>
      </c>
      <c r="P136" s="421">
        <v>0</v>
      </c>
      <c r="Q136" s="421">
        <v>0</v>
      </c>
      <c r="R136" s="421">
        <v>0</v>
      </c>
      <c r="S136" s="429">
        <v>5.3045114623720302</v>
      </c>
      <c r="T136" s="412"/>
    </row>
    <row r="137" spans="2:20" ht="13.5">
      <c r="B137" s="412"/>
      <c r="C137" s="428" t="s">
        <v>354</v>
      </c>
      <c r="D137" s="421">
        <v>0</v>
      </c>
      <c r="E137" s="421">
        <v>0</v>
      </c>
      <c r="F137" s="421">
        <v>0</v>
      </c>
      <c r="G137" s="421">
        <v>0</v>
      </c>
      <c r="H137" s="421">
        <v>0</v>
      </c>
      <c r="I137" s="421">
        <v>0</v>
      </c>
      <c r="J137" s="421">
        <v>39.445597700089998</v>
      </c>
      <c r="K137" s="421">
        <v>0</v>
      </c>
      <c r="L137" s="421">
        <v>-39.445597700089998</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-0.18005031965795901</v>
      </c>
      <c r="M138" s="421">
        <v>0</v>
      </c>
      <c r="N138" s="421">
        <v>0</v>
      </c>
      <c r="O138" s="421">
        <v>0</v>
      </c>
      <c r="P138" s="421">
        <v>0</v>
      </c>
      <c r="Q138" s="421">
        <v>0</v>
      </c>
      <c r="R138" s="421">
        <v>0.25721474236851299</v>
      </c>
      <c r="S138" s="429">
        <v>7.7164422710554001E-2</v>
      </c>
      <c r="T138" s="412"/>
    </row>
    <row r="139" spans="2:20" ht="13.5">
      <c r="B139" s="412"/>
      <c r="C139" s="428" t="s">
        <v>73</v>
      </c>
      <c r="D139" s="421">
        <v>0</v>
      </c>
      <c r="E139" s="421">
        <v>0</v>
      </c>
      <c r="F139" s="421">
        <v>0</v>
      </c>
      <c r="G139" s="421">
        <v>3.2927955650537002</v>
      </c>
      <c r="H139" s="421">
        <v>0</v>
      </c>
      <c r="I139" s="421">
        <v>0</v>
      </c>
      <c r="J139" s="421">
        <v>0</v>
      </c>
      <c r="K139" s="421">
        <v>3.7583841997143097E-2</v>
      </c>
      <c r="L139" s="421">
        <v>0</v>
      </c>
      <c r="M139" s="421">
        <v>6.7199909490891899E-2</v>
      </c>
      <c r="N139" s="421">
        <v>0</v>
      </c>
      <c r="O139" s="421">
        <v>0</v>
      </c>
      <c r="P139" s="421">
        <v>0.37251241625487003</v>
      </c>
      <c r="Q139" s="421">
        <v>0</v>
      </c>
      <c r="R139" s="421">
        <v>-2.63086893980002</v>
      </c>
      <c r="S139" s="429">
        <v>1.1392227929965899</v>
      </c>
      <c r="T139" s="412"/>
    </row>
    <row r="140" spans="2:20" ht="13.5">
      <c r="B140" s="412"/>
      <c r="C140" s="428" t="s">
        <v>356</v>
      </c>
      <c r="D140" s="421">
        <v>14.1944855957031</v>
      </c>
      <c r="E140" s="421">
        <v>-18.380132217119101</v>
      </c>
      <c r="F140" s="421">
        <v>24.040127313749402</v>
      </c>
      <c r="G140" s="421">
        <v>0</v>
      </c>
      <c r="H140" s="421">
        <v>0</v>
      </c>
      <c r="I140" s="421">
        <v>0</v>
      </c>
      <c r="J140" s="421">
        <v>0</v>
      </c>
      <c r="K140" s="421">
        <v>0</v>
      </c>
      <c r="L140" s="421">
        <v>0</v>
      </c>
      <c r="M140" s="421">
        <v>0</v>
      </c>
      <c r="N140" s="421">
        <v>0</v>
      </c>
      <c r="O140" s="421">
        <v>0</v>
      </c>
      <c r="P140" s="421">
        <v>0</v>
      </c>
      <c r="Q140" s="421">
        <v>0</v>
      </c>
      <c r="R140" s="421">
        <v>0</v>
      </c>
      <c r="S140" s="429">
        <v>19.8544806923335</v>
      </c>
      <c r="T140" s="412"/>
    </row>
    <row r="141" spans="2:20" ht="13.5">
      <c r="B141" s="412"/>
      <c r="C141" s="428" t="s">
        <v>75</v>
      </c>
      <c r="D141" s="421">
        <v>9.7861113281249992</v>
      </c>
      <c r="E141" s="421">
        <v>0</v>
      </c>
      <c r="F141" s="421">
        <v>18.035338972064899</v>
      </c>
      <c r="G141" s="421">
        <v>5.1464370207933401</v>
      </c>
      <c r="H141" s="421">
        <v>0</v>
      </c>
      <c r="I141" s="421">
        <v>0</v>
      </c>
      <c r="J141" s="421">
        <v>0</v>
      </c>
      <c r="K141" s="421">
        <v>0</v>
      </c>
      <c r="L141" s="421">
        <v>0</v>
      </c>
      <c r="M141" s="421">
        <v>0.105029326954966</v>
      </c>
      <c r="N141" s="421">
        <v>0</v>
      </c>
      <c r="O141" s="421">
        <v>0</v>
      </c>
      <c r="P141" s="421">
        <v>31.7730894392256</v>
      </c>
      <c r="Q141" s="421">
        <v>0</v>
      </c>
      <c r="R141" s="421">
        <v>0</v>
      </c>
      <c r="S141" s="429">
        <v>64.846006087163701</v>
      </c>
      <c r="T141" s="412"/>
    </row>
    <row r="142" spans="2:20" ht="13.5">
      <c r="B142" s="412"/>
      <c r="C142" s="428" t="s">
        <v>76</v>
      </c>
      <c r="D142" s="421">
        <v>0</v>
      </c>
      <c r="E142" s="421">
        <v>0</v>
      </c>
      <c r="F142" s="421">
        <v>0</v>
      </c>
      <c r="G142" s="421">
        <v>4.2960968353958799</v>
      </c>
      <c r="H142" s="421">
        <v>0</v>
      </c>
      <c r="I142" s="421">
        <v>0</v>
      </c>
      <c r="J142" s="421">
        <v>0</v>
      </c>
      <c r="K142" s="421">
        <v>0</v>
      </c>
      <c r="L142" s="421">
        <v>0</v>
      </c>
      <c r="M142" s="421">
        <v>8.7675445620324199E-2</v>
      </c>
      <c r="N142" s="421">
        <v>0</v>
      </c>
      <c r="O142" s="421">
        <v>0</v>
      </c>
      <c r="P142" s="421">
        <v>42.927323592620297</v>
      </c>
      <c r="Q142" s="421">
        <v>3.1793369165350902</v>
      </c>
      <c r="R142" s="421">
        <v>0</v>
      </c>
      <c r="S142" s="429">
        <v>50.490432790171603</v>
      </c>
      <c r="T142" s="412"/>
    </row>
    <row r="143" spans="2:20" ht="13.5">
      <c r="B143" s="412"/>
      <c r="C143" s="424" t="s">
        <v>77</v>
      </c>
      <c r="D143" s="425">
        <v>26.181067659394699</v>
      </c>
      <c r="E143" s="425">
        <v>512.071014020083</v>
      </c>
      <c r="F143" s="425">
        <v>-479.20753212538</v>
      </c>
      <c r="G143" s="425">
        <v>47.878996698291502</v>
      </c>
      <c r="H143" s="425">
        <v>1005.45454545455</v>
      </c>
      <c r="I143" s="425">
        <v>246.08</v>
      </c>
      <c r="J143" s="425">
        <v>84.365269374358903</v>
      </c>
      <c r="K143" s="425">
        <v>19.157104018858298</v>
      </c>
      <c r="L143" s="425">
        <v>-39.625648019747899</v>
      </c>
      <c r="M143" s="425">
        <v>-6.4168401990495498</v>
      </c>
      <c r="N143" s="425">
        <v>0</v>
      </c>
      <c r="O143" s="425">
        <v>2.2454573880541999</v>
      </c>
      <c r="P143" s="425">
        <v>-525.650681518228</v>
      </c>
      <c r="Q143" s="425">
        <v>-37.849249006370201</v>
      </c>
      <c r="R143" s="425">
        <v>-2.37365419743151</v>
      </c>
      <c r="S143" s="425">
        <v>852.30984954737903</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5.2125076489031201</v>
      </c>
      <c r="E145" s="421">
        <v>0</v>
      </c>
      <c r="F145" s="421">
        <v>21.727756673907599</v>
      </c>
      <c r="G145" s="421">
        <v>101.51924937784101</v>
      </c>
      <c r="H145" s="421">
        <v>0</v>
      </c>
      <c r="I145" s="421">
        <v>0</v>
      </c>
      <c r="J145" s="421">
        <v>17.0707077986517</v>
      </c>
      <c r="K145" s="421">
        <v>4.1672265212432702</v>
      </c>
      <c r="L145" s="421">
        <v>0.85564616601562504</v>
      </c>
      <c r="M145" s="421">
        <v>2.07182141587431</v>
      </c>
      <c r="N145" s="421">
        <v>0</v>
      </c>
      <c r="O145" s="421">
        <v>0</v>
      </c>
      <c r="P145" s="421">
        <v>108.651427718851</v>
      </c>
      <c r="Q145" s="421">
        <v>18.253539143187599</v>
      </c>
      <c r="R145" s="421">
        <v>0.245581359863281</v>
      </c>
      <c r="S145" s="429">
        <v>279.775463824339</v>
      </c>
      <c r="T145" s="412"/>
    </row>
    <row r="146" spans="2:20" ht="13.5">
      <c r="B146" s="412"/>
      <c r="C146" s="428" t="s">
        <v>79</v>
      </c>
      <c r="D146" s="421">
        <v>0</v>
      </c>
      <c r="E146" s="421">
        <v>0</v>
      </c>
      <c r="F146" s="421">
        <v>248.35405318252</v>
      </c>
      <c r="G146" s="421">
        <v>28.348372671164501</v>
      </c>
      <c r="H146" s="421">
        <v>0</v>
      </c>
      <c r="I146" s="421">
        <v>0</v>
      </c>
      <c r="J146" s="421">
        <v>0</v>
      </c>
      <c r="K146" s="421">
        <v>0</v>
      </c>
      <c r="L146" s="421">
        <v>25.168184235978501</v>
      </c>
      <c r="M146" s="421">
        <v>0.57853821777886805</v>
      </c>
      <c r="N146" s="421">
        <v>0</v>
      </c>
      <c r="O146" s="421">
        <v>0</v>
      </c>
      <c r="P146" s="421">
        <v>52.469592014343696</v>
      </c>
      <c r="Q146" s="421">
        <v>0</v>
      </c>
      <c r="R146" s="421">
        <v>1.65835229069323</v>
      </c>
      <c r="S146" s="429">
        <v>356.57709261247902</v>
      </c>
      <c r="T146" s="412"/>
    </row>
    <row r="147" spans="2:20" ht="13.5">
      <c r="B147" s="412"/>
      <c r="C147" s="428" t="s">
        <v>80</v>
      </c>
      <c r="D147" s="421">
        <v>0</v>
      </c>
      <c r="E147" s="421">
        <v>0</v>
      </c>
      <c r="F147" s="421">
        <v>20.256761512665399</v>
      </c>
      <c r="G147" s="421">
        <v>114.236246094908</v>
      </c>
      <c r="H147" s="421">
        <v>0</v>
      </c>
      <c r="I147" s="421">
        <v>0</v>
      </c>
      <c r="J147" s="421">
        <v>74.165421932581495</v>
      </c>
      <c r="K147" s="421">
        <v>0</v>
      </c>
      <c r="L147" s="421">
        <v>0</v>
      </c>
      <c r="M147" s="421">
        <v>2.3313519611205602</v>
      </c>
      <c r="N147" s="421">
        <v>50.603124329176602</v>
      </c>
      <c r="O147" s="421">
        <v>0.95734789320939595</v>
      </c>
      <c r="P147" s="421">
        <v>178.886337281088</v>
      </c>
      <c r="Q147" s="421">
        <v>15.5186626122163</v>
      </c>
      <c r="R147" s="421">
        <v>0</v>
      </c>
      <c r="S147" s="429">
        <v>456.95525361696502</v>
      </c>
      <c r="T147" s="412"/>
    </row>
    <row r="148" spans="2:20" ht="13.5">
      <c r="B148" s="412"/>
      <c r="C148" s="428" t="s">
        <v>81</v>
      </c>
      <c r="D148" s="421">
        <v>0</v>
      </c>
      <c r="E148" s="421">
        <v>0</v>
      </c>
      <c r="F148" s="421">
        <v>8.4821062063849304</v>
      </c>
      <c r="G148" s="421">
        <v>65.4970920681791</v>
      </c>
      <c r="H148" s="421">
        <v>0</v>
      </c>
      <c r="I148" s="421">
        <v>0</v>
      </c>
      <c r="J148" s="421">
        <v>3.4528006603112198</v>
      </c>
      <c r="K148" s="421">
        <v>0</v>
      </c>
      <c r="L148" s="421">
        <v>0</v>
      </c>
      <c r="M148" s="421">
        <v>1.3366753483301901</v>
      </c>
      <c r="N148" s="421">
        <v>6.6434716462271597</v>
      </c>
      <c r="O148" s="421">
        <v>0.79174204160808703</v>
      </c>
      <c r="P148" s="421">
        <v>137.26768731378999</v>
      </c>
      <c r="Q148" s="421">
        <v>4.0770472509662401</v>
      </c>
      <c r="R148" s="421">
        <v>0</v>
      </c>
      <c r="S148" s="429">
        <v>227.54862253579699</v>
      </c>
      <c r="T148" s="412"/>
    </row>
    <row r="149" spans="2:20" ht="13.5">
      <c r="B149" s="412"/>
      <c r="C149" s="428" t="s">
        <v>82</v>
      </c>
      <c r="D149" s="421">
        <v>0</v>
      </c>
      <c r="E149" s="421">
        <v>0</v>
      </c>
      <c r="F149" s="421">
        <v>13.750506376214</v>
      </c>
      <c r="G149" s="421">
        <v>4.8242095413356898</v>
      </c>
      <c r="H149" s="421">
        <v>0</v>
      </c>
      <c r="I149" s="421">
        <v>0</v>
      </c>
      <c r="J149" s="421">
        <v>1.4039897378261701</v>
      </c>
      <c r="K149" s="421">
        <v>0</v>
      </c>
      <c r="L149" s="421">
        <v>12.720346370565601</v>
      </c>
      <c r="M149" s="421">
        <v>9.8453255945626303E-2</v>
      </c>
      <c r="N149" s="421">
        <v>0</v>
      </c>
      <c r="O149" s="421">
        <v>7.4767074498679406E-2</v>
      </c>
      <c r="P149" s="421">
        <v>7.7760236070527604</v>
      </c>
      <c r="Q149" s="421">
        <v>0</v>
      </c>
      <c r="R149" s="421">
        <v>0</v>
      </c>
      <c r="S149" s="429">
        <v>40.648295963438599</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5.2125076489031201</v>
      </c>
      <c r="E151" s="425">
        <v>0</v>
      </c>
      <c r="F151" s="425">
        <v>312.57118395169198</v>
      </c>
      <c r="G151" s="425">
        <v>314.42516975342801</v>
      </c>
      <c r="H151" s="425">
        <v>0</v>
      </c>
      <c r="I151" s="425">
        <v>0</v>
      </c>
      <c r="J151" s="425">
        <v>96.092920129370597</v>
      </c>
      <c r="K151" s="425">
        <v>4.1672265212432702</v>
      </c>
      <c r="L151" s="425">
        <v>38.744176772559697</v>
      </c>
      <c r="M151" s="425">
        <v>6.4168401990495498</v>
      </c>
      <c r="N151" s="425">
        <v>57.2465959754038</v>
      </c>
      <c r="O151" s="425">
        <v>1.8238570093161599</v>
      </c>
      <c r="P151" s="425">
        <v>485.05106793512499</v>
      </c>
      <c r="Q151" s="425">
        <v>37.849249006370201</v>
      </c>
      <c r="R151" s="425">
        <v>1.9039336505565101</v>
      </c>
      <c r="S151" s="425">
        <v>1361.50472855302</v>
      </c>
      <c r="T151" s="412"/>
    </row>
    <row r="152" spans="2:20" ht="13.5">
      <c r="B152" s="412"/>
      <c r="C152" s="420" t="s">
        <v>84</v>
      </c>
      <c r="D152" s="421">
        <v>2.2139919433593702</v>
      </c>
      <c r="E152" s="421">
        <v>0</v>
      </c>
      <c r="F152" s="421">
        <v>138.06375460012401</v>
      </c>
      <c r="G152" s="421">
        <v>12.2915642401253</v>
      </c>
      <c r="H152" s="421">
        <v>0</v>
      </c>
      <c r="I152" s="421">
        <v>0</v>
      </c>
      <c r="J152" s="421">
        <v>0</v>
      </c>
      <c r="K152" s="421">
        <v>0</v>
      </c>
      <c r="L152" s="421">
        <v>0</v>
      </c>
      <c r="M152" s="421">
        <v>0</v>
      </c>
      <c r="N152" s="421">
        <v>0</v>
      </c>
      <c r="O152" s="421">
        <v>0</v>
      </c>
      <c r="P152" s="421">
        <v>0</v>
      </c>
      <c r="Q152" s="421">
        <v>0</v>
      </c>
      <c r="R152" s="421">
        <v>0.46972054687499998</v>
      </c>
      <c r="S152" s="429">
        <v>153.03903133048399</v>
      </c>
      <c r="T152" s="412"/>
    </row>
    <row r="153" spans="2:20" ht="13.5">
      <c r="B153" s="412"/>
      <c r="C153" s="424" t="s">
        <v>85</v>
      </c>
      <c r="D153" s="425">
        <v>7.4264995922625001</v>
      </c>
      <c r="E153" s="425">
        <v>0</v>
      </c>
      <c r="F153" s="425">
        <v>450.63493855181599</v>
      </c>
      <c r="G153" s="425">
        <v>326.71673399355302</v>
      </c>
      <c r="H153" s="425">
        <v>0</v>
      </c>
      <c r="I153" s="425">
        <v>0</v>
      </c>
      <c r="J153" s="425">
        <v>96.092920129370597</v>
      </c>
      <c r="K153" s="425">
        <v>4.1672265212432702</v>
      </c>
      <c r="L153" s="425">
        <v>38.744176772559697</v>
      </c>
      <c r="M153" s="425">
        <v>6.4168401990495498</v>
      </c>
      <c r="N153" s="425">
        <v>57.2465959754038</v>
      </c>
      <c r="O153" s="425">
        <v>1.8238570093161599</v>
      </c>
      <c r="P153" s="425">
        <v>485.05106793512499</v>
      </c>
      <c r="Q153" s="425">
        <v>37.849249006370201</v>
      </c>
      <c r="R153" s="425">
        <v>2.37365419743151</v>
      </c>
      <c r="S153" s="425">
        <v>1514.5437598834999</v>
      </c>
      <c r="T153" s="412"/>
    </row>
    <row r="154" spans="2:20">
      <c r="B154" s="412"/>
      <c r="C154" s="412"/>
      <c r="D154" s="430">
        <f t="shared" ref="D154:S154" si="3">D153+D143-D129</f>
        <v>0</v>
      </c>
      <c r="E154" s="430">
        <f t="shared" si="3"/>
        <v>0</v>
      </c>
      <c r="F154" s="430">
        <f t="shared" si="3"/>
        <v>-8.0646600508771371E-13</v>
      </c>
      <c r="G154" s="430">
        <f t="shared" si="3"/>
        <v>-4.5474735088646412E-13</v>
      </c>
      <c r="H154" s="430">
        <f t="shared" si="3"/>
        <v>0</v>
      </c>
      <c r="I154" s="430">
        <f t="shared" si="3"/>
        <v>0</v>
      </c>
      <c r="J154" s="430">
        <f t="shared" si="3"/>
        <v>-5.1159076974727213E-13</v>
      </c>
      <c r="K154" s="430">
        <f t="shared" si="3"/>
        <v>-2.8421709430404007E-14</v>
      </c>
      <c r="L154" s="430">
        <f t="shared" si="3"/>
        <v>1.4210854715202004E-14</v>
      </c>
      <c r="M154" s="430">
        <f t="shared" si="3"/>
        <v>0</v>
      </c>
      <c r="N154" s="430">
        <f t="shared" si="3"/>
        <v>0</v>
      </c>
      <c r="O154" s="430">
        <f t="shared" si="3"/>
        <v>0</v>
      </c>
      <c r="P154" s="430">
        <f t="shared" si="3"/>
        <v>1.9184653865522705E-13</v>
      </c>
      <c r="Q154" s="430">
        <f t="shared" si="3"/>
        <v>0</v>
      </c>
      <c r="R154" s="430">
        <f t="shared" si="3"/>
        <v>0</v>
      </c>
      <c r="S154" s="430">
        <f t="shared" si="3"/>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363</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0</v>
      </c>
      <c r="F160" s="421">
        <v>0</v>
      </c>
      <c r="G160" s="421">
        <v>0</v>
      </c>
      <c r="H160" s="422">
        <v>959.09090909090901</v>
      </c>
      <c r="I160" s="422">
        <v>262.58</v>
      </c>
      <c r="J160" s="422">
        <v>180.265617568263</v>
      </c>
      <c r="K160" s="422">
        <v>23.099472372796701</v>
      </c>
      <c r="L160" s="421">
        <v>0</v>
      </c>
      <c r="M160" s="421">
        <v>0</v>
      </c>
      <c r="N160" s="422">
        <v>59.577309191786703</v>
      </c>
      <c r="O160" s="422">
        <v>4.0524132365006302</v>
      </c>
      <c r="P160" s="421">
        <v>0</v>
      </c>
      <c r="Q160" s="421">
        <v>0</v>
      </c>
      <c r="R160" s="421">
        <v>0</v>
      </c>
      <c r="S160" s="423">
        <v>1488.6657214602601</v>
      </c>
      <c r="T160" s="412"/>
    </row>
    <row r="161" spans="2:20" ht="13.5">
      <c r="B161" s="412"/>
      <c r="C161" s="420" t="s">
        <v>60</v>
      </c>
      <c r="D161" s="421">
        <v>32.718430513686002</v>
      </c>
      <c r="E161" s="421">
        <v>504.19228646673599</v>
      </c>
      <c r="F161" s="421">
        <v>58.276607316060698</v>
      </c>
      <c r="G161" s="421">
        <v>375.54945868825399</v>
      </c>
      <c r="H161" s="421">
        <v>0</v>
      </c>
      <c r="I161" s="421">
        <v>0</v>
      </c>
      <c r="J161" s="421">
        <v>0</v>
      </c>
      <c r="K161" s="421">
        <v>0</v>
      </c>
      <c r="L161" s="421">
        <v>0</v>
      </c>
      <c r="M161" s="421">
        <v>0</v>
      </c>
      <c r="N161" s="421">
        <v>0</v>
      </c>
      <c r="O161" s="421">
        <v>0</v>
      </c>
      <c r="P161" s="421">
        <v>0</v>
      </c>
      <c r="Q161" s="421">
        <v>0</v>
      </c>
      <c r="R161" s="421">
        <v>0</v>
      </c>
      <c r="S161" s="423">
        <v>970.73678298473703</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-31.629492690064499</v>
      </c>
      <c r="Q162" s="421">
        <v>0</v>
      </c>
      <c r="R162" s="421">
        <v>0</v>
      </c>
      <c r="S162" s="423">
        <v>-31.629492690064499</v>
      </c>
      <c r="T162" s="412"/>
    </row>
    <row r="163" spans="2:20" ht="13.5">
      <c r="B163" s="412"/>
      <c r="C163" s="420" t="s">
        <v>62</v>
      </c>
      <c r="D163" s="421">
        <v>0</v>
      </c>
      <c r="E163" s="421">
        <v>0</v>
      </c>
      <c r="F163" s="421">
        <v>-15.8559052566209</v>
      </c>
      <c r="G163" s="421">
        <v>0</v>
      </c>
      <c r="H163" s="421">
        <v>0</v>
      </c>
      <c r="I163" s="421">
        <v>0</v>
      </c>
      <c r="J163" s="421">
        <v>0</v>
      </c>
      <c r="K163" s="421">
        <v>0</v>
      </c>
      <c r="L163" s="421">
        <v>0</v>
      </c>
      <c r="M163" s="421">
        <v>0</v>
      </c>
      <c r="N163" s="421">
        <v>0</v>
      </c>
      <c r="O163" s="421">
        <v>0</v>
      </c>
      <c r="P163" s="421">
        <v>0</v>
      </c>
      <c r="Q163" s="421">
        <v>0</v>
      </c>
      <c r="R163" s="421">
        <v>0</v>
      </c>
      <c r="S163" s="423">
        <v>-15.8559052566209</v>
      </c>
      <c r="T163" s="412"/>
    </row>
    <row r="164" spans="2:20" ht="13.5">
      <c r="B164" s="412"/>
      <c r="C164" s="420" t="s">
        <v>63</v>
      </c>
      <c r="D164" s="421">
        <v>0</v>
      </c>
      <c r="E164" s="421">
        <v>0</v>
      </c>
      <c r="F164" s="421">
        <v>-86.773262368245497</v>
      </c>
      <c r="G164" s="421">
        <v>0</v>
      </c>
      <c r="H164" s="421">
        <v>0</v>
      </c>
      <c r="I164" s="421">
        <v>0</v>
      </c>
      <c r="J164" s="421">
        <v>0</v>
      </c>
      <c r="K164" s="421">
        <v>0</v>
      </c>
      <c r="L164" s="421">
        <v>-0.89665432830126901</v>
      </c>
      <c r="M164" s="421">
        <v>0</v>
      </c>
      <c r="N164" s="421">
        <v>0</v>
      </c>
      <c r="O164" s="421">
        <v>0</v>
      </c>
      <c r="P164" s="421">
        <v>0</v>
      </c>
      <c r="Q164" s="421">
        <v>0</v>
      </c>
      <c r="R164" s="421">
        <v>0</v>
      </c>
      <c r="S164" s="423">
        <v>-87.669916696546807</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32.718430513686002</v>
      </c>
      <c r="E166" s="425">
        <v>504.19228646673599</v>
      </c>
      <c r="F166" s="425">
        <v>-44.3525603088057</v>
      </c>
      <c r="G166" s="425">
        <v>375.54945868825399</v>
      </c>
      <c r="H166" s="425">
        <v>959.09090909090901</v>
      </c>
      <c r="I166" s="425">
        <v>262.58</v>
      </c>
      <c r="J166" s="425">
        <v>180.265617568263</v>
      </c>
      <c r="K166" s="425">
        <v>23.099472372796701</v>
      </c>
      <c r="L166" s="425">
        <v>-0.89665432830126901</v>
      </c>
      <c r="M166" s="425">
        <v>0</v>
      </c>
      <c r="N166" s="425">
        <v>59.577309191786703</v>
      </c>
      <c r="O166" s="425">
        <v>4.0524132365006302</v>
      </c>
      <c r="P166" s="425">
        <v>-31.629492690064499</v>
      </c>
      <c r="Q166" s="425">
        <v>0</v>
      </c>
      <c r="R166" s="425">
        <v>0</v>
      </c>
      <c r="S166" s="425">
        <v>2324.2471898017602</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17.735248612195999</v>
      </c>
      <c r="H169" s="421">
        <v>959.09090909090901</v>
      </c>
      <c r="I169" s="421">
        <v>262.58</v>
      </c>
      <c r="J169" s="421">
        <v>23.4611328004797</v>
      </c>
      <c r="K169" s="421">
        <v>6.2174163871509203</v>
      </c>
      <c r="L169" s="421">
        <v>0</v>
      </c>
      <c r="M169" s="421">
        <v>0.36194384922848999</v>
      </c>
      <c r="N169" s="421">
        <v>0</v>
      </c>
      <c r="O169" s="421">
        <v>0</v>
      </c>
      <c r="P169" s="421">
        <v>-601.88588566531905</v>
      </c>
      <c r="Q169" s="421">
        <v>0</v>
      </c>
      <c r="R169" s="421">
        <v>0</v>
      </c>
      <c r="S169" s="429">
        <v>673.62487217384796</v>
      </c>
      <c r="T169" s="412"/>
    </row>
    <row r="170" spans="2:20" ht="13.5">
      <c r="B170" s="412"/>
      <c r="C170" s="428" t="s">
        <v>351</v>
      </c>
      <c r="D170" s="421">
        <v>0</v>
      </c>
      <c r="E170" s="421">
        <v>0</v>
      </c>
      <c r="F170" s="421">
        <v>0</v>
      </c>
      <c r="G170" s="421">
        <v>17.183924372650001</v>
      </c>
      <c r="H170" s="421">
        <v>0</v>
      </c>
      <c r="I170" s="421">
        <v>0</v>
      </c>
      <c r="J170" s="421">
        <v>12.602550905863099</v>
      </c>
      <c r="K170" s="421">
        <v>12.7146561007388</v>
      </c>
      <c r="L170" s="421">
        <v>0</v>
      </c>
      <c r="M170" s="421">
        <v>0.35069233413571399</v>
      </c>
      <c r="N170" s="421">
        <v>0</v>
      </c>
      <c r="O170" s="421">
        <v>2.2448826639763899</v>
      </c>
      <c r="P170" s="421">
        <v>0</v>
      </c>
      <c r="Q170" s="421">
        <v>-41.019007188274998</v>
      </c>
      <c r="R170" s="421">
        <v>0</v>
      </c>
      <c r="S170" s="429">
        <v>4.0776991890889702</v>
      </c>
      <c r="T170" s="412"/>
    </row>
    <row r="171" spans="2:20" ht="13.5">
      <c r="B171" s="412"/>
      <c r="C171" s="428" t="s">
        <v>352</v>
      </c>
      <c r="D171" s="421">
        <v>0</v>
      </c>
      <c r="E171" s="421">
        <v>0</v>
      </c>
      <c r="F171" s="421">
        <v>0</v>
      </c>
      <c r="G171" s="421">
        <v>0</v>
      </c>
      <c r="H171" s="421">
        <v>0</v>
      </c>
      <c r="I171" s="421">
        <v>0</v>
      </c>
      <c r="J171" s="421">
        <v>8.1259394649786305</v>
      </c>
      <c r="K171" s="421">
        <v>0</v>
      </c>
      <c r="L171" s="421">
        <v>0</v>
      </c>
      <c r="M171" s="421">
        <v>-7.4149197617929996</v>
      </c>
      <c r="N171" s="421">
        <v>0</v>
      </c>
      <c r="O171" s="421">
        <v>0</v>
      </c>
      <c r="P171" s="421">
        <v>0</v>
      </c>
      <c r="Q171" s="421">
        <v>0</v>
      </c>
      <c r="R171" s="421">
        <v>0</v>
      </c>
      <c r="S171" s="429">
        <v>0.71101970318563101</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522.289621864335</v>
      </c>
      <c r="F173" s="421">
        <v>-517.06672564569203</v>
      </c>
      <c r="G173" s="421">
        <v>0</v>
      </c>
      <c r="H173" s="421">
        <v>0</v>
      </c>
      <c r="I173" s="421">
        <v>0</v>
      </c>
      <c r="J173" s="421">
        <v>0</v>
      </c>
      <c r="K173" s="421">
        <v>0</v>
      </c>
      <c r="L173" s="421">
        <v>0</v>
      </c>
      <c r="M173" s="421">
        <v>0</v>
      </c>
      <c r="N173" s="421">
        <v>0</v>
      </c>
      <c r="O173" s="421">
        <v>0</v>
      </c>
      <c r="P173" s="421">
        <v>0</v>
      </c>
      <c r="Q173" s="421">
        <v>0</v>
      </c>
      <c r="R173" s="421">
        <v>0</v>
      </c>
      <c r="S173" s="429">
        <v>5.2228962186433101</v>
      </c>
      <c r="T173" s="412"/>
    </row>
    <row r="174" spans="2:20" ht="13.5">
      <c r="B174" s="412"/>
      <c r="C174" s="428" t="s">
        <v>354</v>
      </c>
      <c r="D174" s="421">
        <v>0</v>
      </c>
      <c r="E174" s="421">
        <v>0</v>
      </c>
      <c r="F174" s="421">
        <v>0</v>
      </c>
      <c r="G174" s="421">
        <v>0</v>
      </c>
      <c r="H174" s="421">
        <v>0</v>
      </c>
      <c r="I174" s="421">
        <v>0</v>
      </c>
      <c r="J174" s="421">
        <v>39.636150809514099</v>
      </c>
      <c r="K174" s="421">
        <v>0</v>
      </c>
      <c r="L174" s="421">
        <v>-39.636150809514099</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-0.18158952535457601</v>
      </c>
      <c r="M175" s="421">
        <v>0</v>
      </c>
      <c r="N175" s="421">
        <v>0</v>
      </c>
      <c r="O175" s="421">
        <v>0</v>
      </c>
      <c r="P175" s="421">
        <v>0</v>
      </c>
      <c r="Q175" s="421">
        <v>0</v>
      </c>
      <c r="R175" s="421">
        <v>0.25941360764939397</v>
      </c>
      <c r="S175" s="429">
        <v>7.7824082294818103E-2</v>
      </c>
      <c r="T175" s="412"/>
    </row>
    <row r="176" spans="2:20" ht="13.5">
      <c r="B176" s="412"/>
      <c r="C176" s="428" t="s">
        <v>73</v>
      </c>
      <c r="D176" s="421">
        <v>0</v>
      </c>
      <c r="E176" s="421">
        <v>0</v>
      </c>
      <c r="F176" s="421">
        <v>0</v>
      </c>
      <c r="G176" s="421">
        <v>3.8743456372163201</v>
      </c>
      <c r="H176" s="421">
        <v>0</v>
      </c>
      <c r="I176" s="421">
        <v>0</v>
      </c>
      <c r="J176" s="421">
        <v>0</v>
      </c>
      <c r="K176" s="421">
        <v>4.4420381073335499E-2</v>
      </c>
      <c r="L176" s="421">
        <v>0</v>
      </c>
      <c r="M176" s="421">
        <v>7.9068278310537199E-2</v>
      </c>
      <c r="N176" s="421">
        <v>0</v>
      </c>
      <c r="O176" s="421">
        <v>0</v>
      </c>
      <c r="P176" s="421">
        <v>0.45393090147934101</v>
      </c>
      <c r="Q176" s="421">
        <v>0</v>
      </c>
      <c r="R176" s="421">
        <v>-3.10942667513349</v>
      </c>
      <c r="S176" s="429">
        <v>1.3423385229460501</v>
      </c>
      <c r="T176" s="412"/>
    </row>
    <row r="177" spans="2:20" ht="13.5">
      <c r="B177" s="412"/>
      <c r="C177" s="428" t="s">
        <v>356</v>
      </c>
      <c r="D177" s="421">
        <v>13.757025878906299</v>
      </c>
      <c r="E177" s="421">
        <v>-18.097335397599199</v>
      </c>
      <c r="F177" s="421">
        <v>23.670245777269098</v>
      </c>
      <c r="G177" s="421">
        <v>0</v>
      </c>
      <c r="H177" s="421">
        <v>0</v>
      </c>
      <c r="I177" s="421">
        <v>0</v>
      </c>
      <c r="J177" s="421">
        <v>0</v>
      </c>
      <c r="K177" s="421">
        <v>0</v>
      </c>
      <c r="L177" s="421">
        <v>0</v>
      </c>
      <c r="M177" s="421">
        <v>0</v>
      </c>
      <c r="N177" s="421">
        <v>0</v>
      </c>
      <c r="O177" s="421">
        <v>0</v>
      </c>
      <c r="P177" s="421">
        <v>0</v>
      </c>
      <c r="Q177" s="421">
        <v>0</v>
      </c>
      <c r="R177" s="421">
        <v>0</v>
      </c>
      <c r="S177" s="429">
        <v>19.329936258576101</v>
      </c>
      <c r="T177" s="412"/>
    </row>
    <row r="178" spans="2:20" ht="13.5">
      <c r="B178" s="412"/>
      <c r="C178" s="428" t="s">
        <v>75</v>
      </c>
      <c r="D178" s="421">
        <v>9.7066552734374998</v>
      </c>
      <c r="E178" s="421">
        <v>0</v>
      </c>
      <c r="F178" s="421">
        <v>17.757847143387401</v>
      </c>
      <c r="G178" s="421">
        <v>5.0672539113277804</v>
      </c>
      <c r="H178" s="421">
        <v>0</v>
      </c>
      <c r="I178" s="421">
        <v>0</v>
      </c>
      <c r="J178" s="421">
        <v>0</v>
      </c>
      <c r="K178" s="421">
        <v>0</v>
      </c>
      <c r="L178" s="421">
        <v>0</v>
      </c>
      <c r="M178" s="421">
        <v>0.103413345129138</v>
      </c>
      <c r="N178" s="421">
        <v>0</v>
      </c>
      <c r="O178" s="421">
        <v>0</v>
      </c>
      <c r="P178" s="421">
        <v>30.6584761014478</v>
      </c>
      <c r="Q178" s="421">
        <v>0</v>
      </c>
      <c r="R178" s="421">
        <v>0</v>
      </c>
      <c r="S178" s="429">
        <v>63.293645774729598</v>
      </c>
      <c r="T178" s="412"/>
    </row>
    <row r="179" spans="2:20" ht="13.5">
      <c r="B179" s="412"/>
      <c r="C179" s="428" t="s">
        <v>76</v>
      </c>
      <c r="D179" s="421">
        <v>0</v>
      </c>
      <c r="E179" s="421">
        <v>0</v>
      </c>
      <c r="F179" s="421">
        <v>0</v>
      </c>
      <c r="G179" s="421">
        <v>4.3082735374844701</v>
      </c>
      <c r="H179" s="421">
        <v>0</v>
      </c>
      <c r="I179" s="421">
        <v>0</v>
      </c>
      <c r="J179" s="421">
        <v>0</v>
      </c>
      <c r="K179" s="421">
        <v>0</v>
      </c>
      <c r="L179" s="421">
        <v>0</v>
      </c>
      <c r="M179" s="421">
        <v>8.7923949744581106E-2</v>
      </c>
      <c r="N179" s="421">
        <v>0</v>
      </c>
      <c r="O179" s="421">
        <v>0</v>
      </c>
      <c r="P179" s="421">
        <v>43.703860218786801</v>
      </c>
      <c r="Q179" s="421">
        <v>3.1785946529659599</v>
      </c>
      <c r="R179" s="421">
        <v>0</v>
      </c>
      <c r="S179" s="429">
        <v>51.278652358981802</v>
      </c>
      <c r="T179" s="412"/>
    </row>
    <row r="180" spans="2:20" ht="13.5">
      <c r="B180" s="412"/>
      <c r="C180" s="424" t="s">
        <v>77</v>
      </c>
      <c r="D180" s="425">
        <v>25.6641518879103</v>
      </c>
      <c r="E180" s="425">
        <v>504.19228646673599</v>
      </c>
      <c r="F180" s="425">
        <v>-471.77499636139902</v>
      </c>
      <c r="G180" s="425">
        <v>48.1690460708746</v>
      </c>
      <c r="H180" s="425">
        <v>959.09090909090901</v>
      </c>
      <c r="I180" s="425">
        <v>262.58</v>
      </c>
      <c r="J180" s="425">
        <v>83.825773980835606</v>
      </c>
      <c r="K180" s="425">
        <v>18.976492868963099</v>
      </c>
      <c r="L180" s="425">
        <v>-39.817740334868702</v>
      </c>
      <c r="M180" s="425">
        <v>-6.4318780052445401</v>
      </c>
      <c r="N180" s="425">
        <v>0</v>
      </c>
      <c r="O180" s="425">
        <v>2.2448826639763899</v>
      </c>
      <c r="P180" s="425">
        <v>-527.06961844360501</v>
      </c>
      <c r="Q180" s="425">
        <v>-37.840412535309099</v>
      </c>
      <c r="R180" s="425">
        <v>-2.85001306748409</v>
      </c>
      <c r="S180" s="425">
        <v>818.958884282295</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4.8707551882757301</v>
      </c>
      <c r="E182" s="421">
        <v>0</v>
      </c>
      <c r="F182" s="421">
        <v>20.993444165004</v>
      </c>
      <c r="G182" s="421">
        <v>101.297175428703</v>
      </c>
      <c r="H182" s="421">
        <v>0</v>
      </c>
      <c r="I182" s="421">
        <v>0</v>
      </c>
      <c r="J182" s="421">
        <v>17.0565927141357</v>
      </c>
      <c r="K182" s="421">
        <v>4.1229795038336201</v>
      </c>
      <c r="L182" s="421">
        <v>0.85536540625000002</v>
      </c>
      <c r="M182" s="421">
        <v>2.0672892944633201</v>
      </c>
      <c r="N182" s="421">
        <v>0</v>
      </c>
      <c r="O182" s="421">
        <v>0</v>
      </c>
      <c r="P182" s="421">
        <v>110.160518652362</v>
      </c>
      <c r="Q182" s="421">
        <v>18.409316628727701</v>
      </c>
      <c r="R182" s="421">
        <v>0.24532713317871099</v>
      </c>
      <c r="S182" s="429">
        <v>280.07876411493402</v>
      </c>
      <c r="T182" s="412"/>
    </row>
    <row r="183" spans="2:20" ht="13.5">
      <c r="B183" s="412"/>
      <c r="C183" s="428" t="s">
        <v>79</v>
      </c>
      <c r="D183" s="421">
        <v>0</v>
      </c>
      <c r="E183" s="421">
        <v>0</v>
      </c>
      <c r="F183" s="421">
        <v>232.66006634693801</v>
      </c>
      <c r="G183" s="421">
        <v>30.945196482305999</v>
      </c>
      <c r="H183" s="421">
        <v>0</v>
      </c>
      <c r="I183" s="421">
        <v>0</v>
      </c>
      <c r="J183" s="421">
        <v>0</v>
      </c>
      <c r="K183" s="421">
        <v>0</v>
      </c>
      <c r="L183" s="421">
        <v>23.571302525286502</v>
      </c>
      <c r="M183" s="421">
        <v>0.63153462208787803</v>
      </c>
      <c r="N183" s="421">
        <v>0</v>
      </c>
      <c r="O183" s="421">
        <v>0</v>
      </c>
      <c r="P183" s="421">
        <v>58.064871561766502</v>
      </c>
      <c r="Q183" s="421">
        <v>0</v>
      </c>
      <c r="R183" s="421">
        <v>2.0183635099889798</v>
      </c>
      <c r="S183" s="429">
        <v>347.891335048374</v>
      </c>
      <c r="T183" s="412"/>
    </row>
    <row r="184" spans="2:20" ht="13.5">
      <c r="B184" s="412"/>
      <c r="C184" s="428" t="s">
        <v>80</v>
      </c>
      <c r="D184" s="421">
        <v>0</v>
      </c>
      <c r="E184" s="421">
        <v>0</v>
      </c>
      <c r="F184" s="421">
        <v>17.5598675682925</v>
      </c>
      <c r="G184" s="421">
        <v>111.929219277919</v>
      </c>
      <c r="H184" s="421">
        <v>0</v>
      </c>
      <c r="I184" s="421">
        <v>0</v>
      </c>
      <c r="J184" s="421">
        <v>74.389853901213101</v>
      </c>
      <c r="K184" s="421">
        <v>0</v>
      </c>
      <c r="L184" s="421">
        <v>0</v>
      </c>
      <c r="M184" s="421">
        <v>2.2842697811820298</v>
      </c>
      <c r="N184" s="421">
        <v>53.007893982905898</v>
      </c>
      <c r="O184" s="421">
        <v>0.95506902656111503</v>
      </c>
      <c r="P184" s="421">
        <v>180.360799216462</v>
      </c>
      <c r="Q184" s="421">
        <v>15.433765533154</v>
      </c>
      <c r="R184" s="421">
        <v>0</v>
      </c>
      <c r="S184" s="429">
        <v>455.92073828769003</v>
      </c>
      <c r="T184" s="412"/>
    </row>
    <row r="185" spans="2:20" ht="13.5">
      <c r="B185" s="412"/>
      <c r="C185" s="428" t="s">
        <v>81</v>
      </c>
      <c r="D185" s="421">
        <v>0</v>
      </c>
      <c r="E185" s="421">
        <v>0</v>
      </c>
      <c r="F185" s="421">
        <v>7.3923055794682702</v>
      </c>
      <c r="G185" s="421">
        <v>65.894293417713897</v>
      </c>
      <c r="H185" s="421">
        <v>0</v>
      </c>
      <c r="I185" s="421">
        <v>0</v>
      </c>
      <c r="J185" s="421">
        <v>3.41214349769231</v>
      </c>
      <c r="K185" s="421">
        <v>0</v>
      </c>
      <c r="L185" s="421">
        <v>0</v>
      </c>
      <c r="M185" s="421">
        <v>1.34478149832069</v>
      </c>
      <c r="N185" s="421">
        <v>6.5694152088807796</v>
      </c>
      <c r="O185" s="421">
        <v>0.78006902491520902</v>
      </c>
      <c r="P185" s="421">
        <v>139.183172558515</v>
      </c>
      <c r="Q185" s="421">
        <v>3.99733037342736</v>
      </c>
      <c r="R185" s="421">
        <v>0</v>
      </c>
      <c r="S185" s="429">
        <v>228.573511158934</v>
      </c>
      <c r="T185" s="412"/>
    </row>
    <row r="186" spans="2:20" ht="13.5">
      <c r="B186" s="412"/>
      <c r="C186" s="428" t="s">
        <v>82</v>
      </c>
      <c r="D186" s="421">
        <v>0</v>
      </c>
      <c r="E186" s="421">
        <v>0</v>
      </c>
      <c r="F186" s="421">
        <v>10.671888604675701</v>
      </c>
      <c r="G186" s="421">
        <v>5.0961376503405704</v>
      </c>
      <c r="H186" s="421">
        <v>0</v>
      </c>
      <c r="I186" s="421">
        <v>0</v>
      </c>
      <c r="J186" s="421">
        <v>1.58125347438603</v>
      </c>
      <c r="K186" s="421">
        <v>0</v>
      </c>
      <c r="L186" s="421">
        <v>14.494418075031</v>
      </c>
      <c r="M186" s="421">
        <v>0.104002809190624</v>
      </c>
      <c r="N186" s="421">
        <v>0</v>
      </c>
      <c r="O186" s="421">
        <v>7.2392521047915395E-2</v>
      </c>
      <c r="P186" s="421">
        <v>7.67076376443437</v>
      </c>
      <c r="Q186" s="421">
        <v>0</v>
      </c>
      <c r="R186" s="421">
        <v>0</v>
      </c>
      <c r="S186" s="429">
        <v>39.690856899106201</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ht="13.5">
      <c r="B188" s="412"/>
      <c r="C188" s="424" t="s">
        <v>83</v>
      </c>
      <c r="D188" s="425">
        <v>4.8707551882757301</v>
      </c>
      <c r="E188" s="425">
        <v>0</v>
      </c>
      <c r="F188" s="425">
        <v>289.27757226437899</v>
      </c>
      <c r="G188" s="425">
        <v>315.16202225698203</v>
      </c>
      <c r="H188" s="425">
        <v>0</v>
      </c>
      <c r="I188" s="425">
        <v>0</v>
      </c>
      <c r="J188" s="425">
        <v>96.439843587427205</v>
      </c>
      <c r="K188" s="425">
        <v>4.1229795038336201</v>
      </c>
      <c r="L188" s="425">
        <v>38.9210860065674</v>
      </c>
      <c r="M188" s="425">
        <v>6.4318780052445401</v>
      </c>
      <c r="N188" s="425">
        <v>59.577309191786703</v>
      </c>
      <c r="O188" s="425">
        <v>1.8075305725242401</v>
      </c>
      <c r="P188" s="425">
        <v>495.440125753541</v>
      </c>
      <c r="Q188" s="425">
        <v>37.840412535309099</v>
      </c>
      <c r="R188" s="425">
        <v>2.2636906431676902</v>
      </c>
      <c r="S188" s="425">
        <v>1352.1552055090399</v>
      </c>
      <c r="T188" s="412"/>
    </row>
    <row r="189" spans="2:20" ht="13.5">
      <c r="B189" s="412"/>
      <c r="C189" s="420" t="s">
        <v>84</v>
      </c>
      <c r="D189" s="421">
        <v>2.1835234374999999</v>
      </c>
      <c r="E189" s="421">
        <v>0</v>
      </c>
      <c r="F189" s="421">
        <v>138.144863788214</v>
      </c>
      <c r="G189" s="421">
        <v>12.218390360397301</v>
      </c>
      <c r="H189" s="421">
        <v>0</v>
      </c>
      <c r="I189" s="421">
        <v>0</v>
      </c>
      <c r="J189" s="421">
        <v>0</v>
      </c>
      <c r="K189" s="421">
        <v>0</v>
      </c>
      <c r="L189" s="421">
        <v>0</v>
      </c>
      <c r="M189" s="421">
        <v>0</v>
      </c>
      <c r="N189" s="421">
        <v>0</v>
      </c>
      <c r="O189" s="421">
        <v>0</v>
      </c>
      <c r="P189" s="421">
        <v>0</v>
      </c>
      <c r="Q189" s="421">
        <v>0</v>
      </c>
      <c r="R189" s="421">
        <v>0.58632242431640602</v>
      </c>
      <c r="S189" s="429">
        <v>153.133100010428</v>
      </c>
      <c r="T189" s="412"/>
    </row>
    <row r="190" spans="2:20" ht="13.5">
      <c r="B190" s="412"/>
      <c r="C190" s="424" t="s">
        <v>85</v>
      </c>
      <c r="D190" s="425">
        <v>7.0542786257757299</v>
      </c>
      <c r="E190" s="425">
        <v>0</v>
      </c>
      <c r="F190" s="425">
        <v>427.42243605259301</v>
      </c>
      <c r="G190" s="425">
        <v>327.38041261737999</v>
      </c>
      <c r="H190" s="425">
        <v>0</v>
      </c>
      <c r="I190" s="425">
        <v>0</v>
      </c>
      <c r="J190" s="425">
        <v>96.439843587427205</v>
      </c>
      <c r="K190" s="425">
        <v>4.1229795038336201</v>
      </c>
      <c r="L190" s="425">
        <v>38.9210860065674</v>
      </c>
      <c r="M190" s="425">
        <v>6.4318780052445401</v>
      </c>
      <c r="N190" s="425">
        <v>59.577309191786703</v>
      </c>
      <c r="O190" s="425">
        <v>1.8075305725242401</v>
      </c>
      <c r="P190" s="425">
        <v>495.440125753541</v>
      </c>
      <c r="Q190" s="425">
        <v>37.840412535309099</v>
      </c>
      <c r="R190" s="425">
        <v>2.85001306748409</v>
      </c>
      <c r="S190" s="425">
        <v>1505.28830551947</v>
      </c>
      <c r="T190" s="412"/>
    </row>
    <row r="191" spans="2:20">
      <c r="B191" s="412"/>
      <c r="C191" s="412"/>
      <c r="D191" s="430">
        <f t="shared" ref="D191:S191" si="4">D190+D180-D166</f>
        <v>0</v>
      </c>
      <c r="E191" s="430">
        <f t="shared" si="4"/>
        <v>0</v>
      </c>
      <c r="F191" s="430">
        <f t="shared" si="4"/>
        <v>-3.0553337637684308E-13</v>
      </c>
      <c r="G191" s="430">
        <f t="shared" si="4"/>
        <v>6.2527760746888816E-13</v>
      </c>
      <c r="H191" s="430">
        <f t="shared" si="4"/>
        <v>0</v>
      </c>
      <c r="I191" s="430">
        <f t="shared" si="4"/>
        <v>0</v>
      </c>
      <c r="J191" s="430">
        <f t="shared" si="4"/>
        <v>0</v>
      </c>
      <c r="K191" s="430">
        <f t="shared" si="4"/>
        <v>0</v>
      </c>
      <c r="L191" s="430">
        <f t="shared" si="4"/>
        <v>-3.3417713041217212E-14</v>
      </c>
      <c r="M191" s="430">
        <f t="shared" si="4"/>
        <v>0</v>
      </c>
      <c r="N191" s="430">
        <f t="shared" si="4"/>
        <v>0</v>
      </c>
      <c r="O191" s="430">
        <f t="shared" si="4"/>
        <v>0</v>
      </c>
      <c r="P191" s="430">
        <f t="shared" si="4"/>
        <v>4.8672177399566863E-13</v>
      </c>
      <c r="Q191" s="430">
        <f t="shared" si="4"/>
        <v>0</v>
      </c>
      <c r="R191" s="430">
        <f t="shared" si="4"/>
        <v>0</v>
      </c>
      <c r="S191" s="430">
        <f t="shared" si="4"/>
        <v>4.5474735088646412E-12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364</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0</v>
      </c>
      <c r="F197" s="421">
        <v>0</v>
      </c>
      <c r="G197" s="421">
        <v>0</v>
      </c>
      <c r="H197" s="422">
        <v>843.18181818181802</v>
      </c>
      <c r="I197" s="422">
        <v>303.83</v>
      </c>
      <c r="J197" s="422">
        <v>180.58227082712199</v>
      </c>
      <c r="K197" s="422">
        <v>22.584752367457401</v>
      </c>
      <c r="L197" s="421">
        <v>0</v>
      </c>
      <c r="M197" s="421">
        <v>0</v>
      </c>
      <c r="N197" s="422">
        <v>64.228247119713899</v>
      </c>
      <c r="O197" s="422">
        <v>4.0154786653397201</v>
      </c>
      <c r="P197" s="421">
        <v>0</v>
      </c>
      <c r="Q197" s="421">
        <v>0</v>
      </c>
      <c r="R197" s="421">
        <v>0</v>
      </c>
      <c r="S197" s="423">
        <v>1418.4225671614499</v>
      </c>
      <c r="T197" s="412"/>
    </row>
    <row r="198" spans="2:20" ht="13.5">
      <c r="B198" s="412"/>
      <c r="C198" s="420" t="s">
        <v>60</v>
      </c>
      <c r="D198" s="421">
        <v>30.885603791058401</v>
      </c>
      <c r="E198" s="421">
        <v>484.495467583368</v>
      </c>
      <c r="F198" s="421">
        <v>42.659321237611302</v>
      </c>
      <c r="G198" s="421">
        <v>385.71207499197101</v>
      </c>
      <c r="H198" s="421">
        <v>0</v>
      </c>
      <c r="I198" s="421">
        <v>0</v>
      </c>
      <c r="J198" s="421">
        <v>0</v>
      </c>
      <c r="K198" s="421">
        <v>0</v>
      </c>
      <c r="L198" s="421">
        <v>0</v>
      </c>
      <c r="M198" s="421">
        <v>0</v>
      </c>
      <c r="N198" s="421">
        <v>0</v>
      </c>
      <c r="O198" s="421">
        <v>0</v>
      </c>
      <c r="P198" s="421">
        <v>0</v>
      </c>
      <c r="Q198" s="421">
        <v>0</v>
      </c>
      <c r="R198" s="421">
        <v>0</v>
      </c>
      <c r="S198" s="423">
        <v>943.75246760400796</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-18.341336792236799</v>
      </c>
      <c r="Q199" s="421">
        <v>0</v>
      </c>
      <c r="R199" s="421">
        <v>0</v>
      </c>
      <c r="S199" s="423">
        <v>-18.341336792236799</v>
      </c>
      <c r="T199" s="412"/>
    </row>
    <row r="200" spans="2:20" ht="13.5">
      <c r="B200" s="412"/>
      <c r="C200" s="420" t="s">
        <v>62</v>
      </c>
      <c r="D200" s="421">
        <v>0</v>
      </c>
      <c r="E200" s="421">
        <v>0</v>
      </c>
      <c r="F200" s="421">
        <v>-15.257294848391901</v>
      </c>
      <c r="G200" s="421">
        <v>0</v>
      </c>
      <c r="H200" s="421">
        <v>0</v>
      </c>
      <c r="I200" s="421">
        <v>0</v>
      </c>
      <c r="J200" s="421">
        <v>0</v>
      </c>
      <c r="K200" s="421">
        <v>0</v>
      </c>
      <c r="L200" s="421">
        <v>0</v>
      </c>
      <c r="M200" s="421">
        <v>0</v>
      </c>
      <c r="N200" s="421">
        <v>0</v>
      </c>
      <c r="O200" s="421">
        <v>0</v>
      </c>
      <c r="P200" s="421">
        <v>0</v>
      </c>
      <c r="Q200" s="421">
        <v>0</v>
      </c>
      <c r="R200" s="421">
        <v>0</v>
      </c>
      <c r="S200" s="423">
        <v>-15.257294848391901</v>
      </c>
      <c r="T200" s="412"/>
    </row>
    <row r="201" spans="2:20" ht="13.5">
      <c r="B201" s="412"/>
      <c r="C201" s="420" t="s">
        <v>63</v>
      </c>
      <c r="D201" s="421">
        <v>0</v>
      </c>
      <c r="E201" s="421">
        <v>0</v>
      </c>
      <c r="F201" s="421">
        <v>-90.626969920873506</v>
      </c>
      <c r="G201" s="421">
        <v>0</v>
      </c>
      <c r="H201" s="421">
        <v>0</v>
      </c>
      <c r="I201" s="421">
        <v>0</v>
      </c>
      <c r="J201" s="421">
        <v>0</v>
      </c>
      <c r="K201" s="421">
        <v>0</v>
      </c>
      <c r="L201" s="421">
        <v>-0.93615330165546395</v>
      </c>
      <c r="M201" s="421">
        <v>0</v>
      </c>
      <c r="N201" s="421">
        <v>0</v>
      </c>
      <c r="O201" s="421">
        <v>0</v>
      </c>
      <c r="P201" s="421">
        <v>0</v>
      </c>
      <c r="Q201" s="421">
        <v>0</v>
      </c>
      <c r="R201" s="421">
        <v>0</v>
      </c>
      <c r="S201" s="423">
        <v>-91.563123222528901</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30.885603791058401</v>
      </c>
      <c r="E203" s="425">
        <v>484.495467583368</v>
      </c>
      <c r="F203" s="425">
        <v>-63.224943531653999</v>
      </c>
      <c r="G203" s="425">
        <v>385.71207499197101</v>
      </c>
      <c r="H203" s="425">
        <v>843.18181818181802</v>
      </c>
      <c r="I203" s="425">
        <v>303.83</v>
      </c>
      <c r="J203" s="425">
        <v>180.58227082712199</v>
      </c>
      <c r="K203" s="425">
        <v>22.584752367457401</v>
      </c>
      <c r="L203" s="425">
        <v>-0.93615330165546395</v>
      </c>
      <c r="M203" s="425">
        <v>0</v>
      </c>
      <c r="N203" s="425">
        <v>64.228247119713899</v>
      </c>
      <c r="O203" s="425">
        <v>4.0154786653397201</v>
      </c>
      <c r="P203" s="425">
        <v>-18.341336792236799</v>
      </c>
      <c r="Q203" s="425">
        <v>0</v>
      </c>
      <c r="R203" s="425">
        <v>0</v>
      </c>
      <c r="S203" s="425">
        <v>2237.0132799022999</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2.2004707355665598</v>
      </c>
      <c r="E206" s="421">
        <v>0</v>
      </c>
      <c r="F206" s="421">
        <v>3.8636363636363602</v>
      </c>
      <c r="G206" s="421">
        <v>26.7514143940613</v>
      </c>
      <c r="H206" s="421">
        <v>843.18181818181802</v>
      </c>
      <c r="I206" s="421">
        <v>303.83</v>
      </c>
      <c r="J206" s="421">
        <v>22.093473329706701</v>
      </c>
      <c r="K206" s="421">
        <v>5.8025151206166701</v>
      </c>
      <c r="L206" s="421">
        <v>0</v>
      </c>
      <c r="M206" s="421">
        <v>0.54594723253186395</v>
      </c>
      <c r="N206" s="421">
        <v>0</v>
      </c>
      <c r="O206" s="421">
        <v>0</v>
      </c>
      <c r="P206" s="421">
        <v>-610.51719995562303</v>
      </c>
      <c r="Q206" s="421">
        <v>0</v>
      </c>
      <c r="R206" s="421">
        <v>0</v>
      </c>
      <c r="S206" s="429">
        <v>597.75207540231395</v>
      </c>
      <c r="T206" s="412"/>
    </row>
    <row r="207" spans="2:20" ht="13.5">
      <c r="B207" s="412"/>
      <c r="C207" s="428" t="s">
        <v>351</v>
      </c>
      <c r="D207" s="421">
        <v>0</v>
      </c>
      <c r="E207" s="421">
        <v>0</v>
      </c>
      <c r="F207" s="421">
        <v>0</v>
      </c>
      <c r="G207" s="421">
        <v>17.221669860310801</v>
      </c>
      <c r="H207" s="421">
        <v>0</v>
      </c>
      <c r="I207" s="421">
        <v>0</v>
      </c>
      <c r="J207" s="421">
        <v>12.443095766795199</v>
      </c>
      <c r="K207" s="421">
        <v>12.7366574955616</v>
      </c>
      <c r="L207" s="421">
        <v>0</v>
      </c>
      <c r="M207" s="421">
        <v>0.351462650210425</v>
      </c>
      <c r="N207" s="421">
        <v>0</v>
      </c>
      <c r="O207" s="421">
        <v>2.25021562141669</v>
      </c>
      <c r="P207" s="421">
        <v>0</v>
      </c>
      <c r="Q207" s="421">
        <v>-41.107889812280099</v>
      </c>
      <c r="R207" s="421">
        <v>0</v>
      </c>
      <c r="S207" s="429">
        <v>3.8952115820145798</v>
      </c>
      <c r="T207" s="412"/>
    </row>
    <row r="208" spans="2:20" ht="13.5">
      <c r="B208" s="412"/>
      <c r="C208" s="428" t="s">
        <v>352</v>
      </c>
      <c r="D208" s="421">
        <v>0</v>
      </c>
      <c r="E208" s="421">
        <v>0</v>
      </c>
      <c r="F208" s="421">
        <v>0</v>
      </c>
      <c r="G208" s="421">
        <v>0</v>
      </c>
      <c r="H208" s="421">
        <v>0</v>
      </c>
      <c r="I208" s="421">
        <v>0</v>
      </c>
      <c r="J208" s="421">
        <v>8.1664030992761294</v>
      </c>
      <c r="K208" s="421">
        <v>0</v>
      </c>
      <c r="L208" s="421">
        <v>0</v>
      </c>
      <c r="M208" s="421">
        <v>-7.6253788939490796</v>
      </c>
      <c r="N208" s="421">
        <v>0</v>
      </c>
      <c r="O208" s="421">
        <v>0</v>
      </c>
      <c r="P208" s="421">
        <v>0</v>
      </c>
      <c r="Q208" s="421">
        <v>0</v>
      </c>
      <c r="R208" s="421">
        <v>0</v>
      </c>
      <c r="S208" s="429">
        <v>0.54102420532704398</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501.885810932168</v>
      </c>
      <c r="F210" s="421">
        <v>-496.86695282284597</v>
      </c>
      <c r="G210" s="421">
        <v>0</v>
      </c>
      <c r="H210" s="421">
        <v>0</v>
      </c>
      <c r="I210" s="421">
        <v>0</v>
      </c>
      <c r="J210" s="421">
        <v>0</v>
      </c>
      <c r="K210" s="421">
        <v>0</v>
      </c>
      <c r="L210" s="421">
        <v>0</v>
      </c>
      <c r="M210" s="421">
        <v>0</v>
      </c>
      <c r="N210" s="421">
        <v>0</v>
      </c>
      <c r="O210" s="421">
        <v>0</v>
      </c>
      <c r="P210" s="421">
        <v>0</v>
      </c>
      <c r="Q210" s="421">
        <v>0</v>
      </c>
      <c r="R210" s="421">
        <v>0</v>
      </c>
      <c r="S210" s="429">
        <v>5.0188581093216804</v>
      </c>
      <c r="T210" s="412"/>
    </row>
    <row r="211" spans="2:20" ht="13.5">
      <c r="B211" s="412"/>
      <c r="C211" s="428" t="s">
        <v>354</v>
      </c>
      <c r="D211" s="421">
        <v>0</v>
      </c>
      <c r="E211" s="421">
        <v>0</v>
      </c>
      <c r="F211" s="421">
        <v>0</v>
      </c>
      <c r="G211" s="421">
        <v>0</v>
      </c>
      <c r="H211" s="421">
        <v>0</v>
      </c>
      <c r="I211" s="421">
        <v>0</v>
      </c>
      <c r="J211" s="421">
        <v>40.922578855232103</v>
      </c>
      <c r="K211" s="421">
        <v>0</v>
      </c>
      <c r="L211" s="421">
        <v>-40.922578855232103</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-0.185690681788441</v>
      </c>
      <c r="M212" s="421">
        <v>0</v>
      </c>
      <c r="N212" s="421">
        <v>0</v>
      </c>
      <c r="O212" s="421">
        <v>0</v>
      </c>
      <c r="P212" s="421">
        <v>0</v>
      </c>
      <c r="Q212" s="421">
        <v>0</v>
      </c>
      <c r="R212" s="421">
        <v>0.26527240255491602</v>
      </c>
      <c r="S212" s="429">
        <v>7.9581720766474906E-2</v>
      </c>
      <c r="T212" s="412"/>
    </row>
    <row r="213" spans="2:20" ht="13.5">
      <c r="B213" s="412"/>
      <c r="C213" s="428" t="s">
        <v>73</v>
      </c>
      <c r="D213" s="421">
        <v>0</v>
      </c>
      <c r="E213" s="421">
        <v>0</v>
      </c>
      <c r="F213" s="421">
        <v>0</v>
      </c>
      <c r="G213" s="421">
        <v>5.0830420654676596</v>
      </c>
      <c r="H213" s="421">
        <v>0</v>
      </c>
      <c r="I213" s="421">
        <v>0</v>
      </c>
      <c r="J213" s="421">
        <v>0</v>
      </c>
      <c r="K213" s="421">
        <v>5.89406547480016E-2</v>
      </c>
      <c r="L213" s="421">
        <v>0</v>
      </c>
      <c r="M213" s="421">
        <v>0.103735552356483</v>
      </c>
      <c r="N213" s="421">
        <v>0</v>
      </c>
      <c r="O213" s="421">
        <v>0</v>
      </c>
      <c r="P213" s="421">
        <v>0.64603991681083595</v>
      </c>
      <c r="Q213" s="421">
        <v>0</v>
      </c>
      <c r="R213" s="421">
        <v>-4.1258458323601097</v>
      </c>
      <c r="S213" s="429">
        <v>1.7659123570228701</v>
      </c>
      <c r="T213" s="412"/>
    </row>
    <row r="214" spans="2:20" ht="13.5">
      <c r="B214" s="412"/>
      <c r="C214" s="428" t="s">
        <v>356</v>
      </c>
      <c r="D214" s="421">
        <v>12.835820312499999</v>
      </c>
      <c r="E214" s="421">
        <v>-17.3903433487996</v>
      </c>
      <c r="F214" s="421">
        <v>22.745541936068101</v>
      </c>
      <c r="G214" s="421">
        <v>0</v>
      </c>
      <c r="H214" s="421">
        <v>0</v>
      </c>
      <c r="I214" s="421">
        <v>0</v>
      </c>
      <c r="J214" s="421">
        <v>0</v>
      </c>
      <c r="K214" s="421">
        <v>0</v>
      </c>
      <c r="L214" s="421">
        <v>0</v>
      </c>
      <c r="M214" s="421">
        <v>0</v>
      </c>
      <c r="N214" s="421">
        <v>0</v>
      </c>
      <c r="O214" s="421">
        <v>0</v>
      </c>
      <c r="P214" s="421">
        <v>0</v>
      </c>
      <c r="Q214" s="421">
        <v>0</v>
      </c>
      <c r="R214" s="421">
        <v>0</v>
      </c>
      <c r="S214" s="429">
        <v>18.191018899768501</v>
      </c>
      <c r="T214" s="412"/>
    </row>
    <row r="215" spans="2:20" ht="13.5">
      <c r="B215" s="412"/>
      <c r="C215" s="428" t="s">
        <v>75</v>
      </c>
      <c r="D215" s="421">
        <v>9.6016132812499997</v>
      </c>
      <c r="E215" s="421">
        <v>0</v>
      </c>
      <c r="F215" s="421">
        <v>17.0641175716937</v>
      </c>
      <c r="G215" s="421">
        <v>4.8692961376638904</v>
      </c>
      <c r="H215" s="421">
        <v>0</v>
      </c>
      <c r="I215" s="421">
        <v>0</v>
      </c>
      <c r="J215" s="421">
        <v>0</v>
      </c>
      <c r="K215" s="421">
        <v>0</v>
      </c>
      <c r="L215" s="421">
        <v>0</v>
      </c>
      <c r="M215" s="421">
        <v>9.9373390564569203E-2</v>
      </c>
      <c r="N215" s="421">
        <v>0</v>
      </c>
      <c r="O215" s="421">
        <v>0</v>
      </c>
      <c r="P215" s="421">
        <v>28.1582236341448</v>
      </c>
      <c r="Q215" s="421">
        <v>0</v>
      </c>
      <c r="R215" s="421">
        <v>0</v>
      </c>
      <c r="S215" s="429">
        <v>59.792624015317003</v>
      </c>
      <c r="T215" s="412"/>
    </row>
    <row r="216" spans="2:20" ht="13.5">
      <c r="B216" s="412"/>
      <c r="C216" s="428" t="s">
        <v>76</v>
      </c>
      <c r="D216" s="421">
        <v>0</v>
      </c>
      <c r="E216" s="421">
        <v>0</v>
      </c>
      <c r="F216" s="421">
        <v>0</v>
      </c>
      <c r="G216" s="421">
        <v>4.4305561162471001</v>
      </c>
      <c r="H216" s="421">
        <v>0</v>
      </c>
      <c r="I216" s="421">
        <v>0</v>
      </c>
      <c r="J216" s="421">
        <v>0</v>
      </c>
      <c r="K216" s="421">
        <v>0</v>
      </c>
      <c r="L216" s="421">
        <v>0</v>
      </c>
      <c r="M216" s="421">
        <v>9.0419512576471406E-2</v>
      </c>
      <c r="N216" s="421">
        <v>0</v>
      </c>
      <c r="O216" s="421">
        <v>0</v>
      </c>
      <c r="P216" s="421">
        <v>45.383745745670502</v>
      </c>
      <c r="Q216" s="421">
        <v>3.1854822363759498</v>
      </c>
      <c r="R216" s="421">
        <v>0</v>
      </c>
      <c r="S216" s="429">
        <v>53.090203610869999</v>
      </c>
      <c r="T216" s="412"/>
    </row>
    <row r="217" spans="2:20" ht="13.5">
      <c r="B217" s="412"/>
      <c r="C217" s="424" t="s">
        <v>77</v>
      </c>
      <c r="D217" s="425">
        <v>24.637904329316601</v>
      </c>
      <c r="E217" s="425">
        <v>484.495467583368</v>
      </c>
      <c r="F217" s="425">
        <v>-453.19365695144802</v>
      </c>
      <c r="G217" s="425">
        <v>58.355978573750797</v>
      </c>
      <c r="H217" s="425">
        <v>843.18181818181802</v>
      </c>
      <c r="I217" s="425">
        <v>303.83</v>
      </c>
      <c r="J217" s="425">
        <v>83.625551051010106</v>
      </c>
      <c r="K217" s="425">
        <v>18.598113270926302</v>
      </c>
      <c r="L217" s="425">
        <v>-41.108269537020597</v>
      </c>
      <c r="M217" s="425">
        <v>-6.4344405557092701</v>
      </c>
      <c r="N217" s="425">
        <v>0</v>
      </c>
      <c r="O217" s="425">
        <v>2.25021562141669</v>
      </c>
      <c r="P217" s="425">
        <v>-536.32919065899705</v>
      </c>
      <c r="Q217" s="425">
        <v>-37.922407575904202</v>
      </c>
      <c r="R217" s="425">
        <v>-3.8605734298051999</v>
      </c>
      <c r="S217" s="425">
        <v>740.12650990272198</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4.1175454090074304</v>
      </c>
      <c r="E219" s="421">
        <v>0</v>
      </c>
      <c r="F219" s="421">
        <v>19.277494882052501</v>
      </c>
      <c r="G219" s="421">
        <v>101.47453920726601</v>
      </c>
      <c r="H219" s="421">
        <v>0</v>
      </c>
      <c r="I219" s="421">
        <v>0</v>
      </c>
      <c r="J219" s="421">
        <v>17.1465838958113</v>
      </c>
      <c r="K219" s="421">
        <v>3.98663909653113</v>
      </c>
      <c r="L219" s="421">
        <v>0.86272697265624998</v>
      </c>
      <c r="M219" s="421">
        <v>2.0709089634136002</v>
      </c>
      <c r="N219" s="421">
        <v>0</v>
      </c>
      <c r="O219" s="421">
        <v>0</v>
      </c>
      <c r="P219" s="421">
        <v>115.02579662342799</v>
      </c>
      <c r="Q219" s="421">
        <v>18.9073764304365</v>
      </c>
      <c r="R219" s="421">
        <v>0.24469155883789101</v>
      </c>
      <c r="S219" s="429">
        <v>283.11430303944098</v>
      </c>
      <c r="T219" s="412"/>
    </row>
    <row r="220" spans="2:20" ht="13.5">
      <c r="B220" s="412"/>
      <c r="C220" s="428" t="s">
        <v>79</v>
      </c>
      <c r="D220" s="421">
        <v>0</v>
      </c>
      <c r="E220" s="421">
        <v>0</v>
      </c>
      <c r="F220" s="421">
        <v>211.515991693448</v>
      </c>
      <c r="G220" s="421">
        <v>33.673192204334903</v>
      </c>
      <c r="H220" s="421">
        <v>0</v>
      </c>
      <c r="I220" s="421">
        <v>0</v>
      </c>
      <c r="J220" s="421">
        <v>0</v>
      </c>
      <c r="K220" s="421">
        <v>0</v>
      </c>
      <c r="L220" s="421">
        <v>21.364475731578199</v>
      </c>
      <c r="M220" s="421">
        <v>0.68720800417009997</v>
      </c>
      <c r="N220" s="421">
        <v>0</v>
      </c>
      <c r="O220" s="421">
        <v>0</v>
      </c>
      <c r="P220" s="421">
        <v>67.538126653199896</v>
      </c>
      <c r="Q220" s="421">
        <v>0</v>
      </c>
      <c r="R220" s="421">
        <v>2.73358870080129</v>
      </c>
      <c r="S220" s="429">
        <v>337.51258298753203</v>
      </c>
      <c r="T220" s="412"/>
    </row>
    <row r="221" spans="2:20" ht="13.5">
      <c r="B221" s="412"/>
      <c r="C221" s="428" t="s">
        <v>80</v>
      </c>
      <c r="D221" s="421">
        <v>0</v>
      </c>
      <c r="E221" s="421">
        <v>0</v>
      </c>
      <c r="F221" s="421">
        <v>11.269398252747999</v>
      </c>
      <c r="G221" s="421">
        <v>107.66857440515901</v>
      </c>
      <c r="H221" s="421">
        <v>0</v>
      </c>
      <c r="I221" s="421">
        <v>0</v>
      </c>
      <c r="J221" s="421">
        <v>74.555024603306606</v>
      </c>
      <c r="K221" s="421">
        <v>0</v>
      </c>
      <c r="L221" s="421">
        <v>0</v>
      </c>
      <c r="M221" s="421">
        <v>2.19731784500325</v>
      </c>
      <c r="N221" s="421">
        <v>57.8439730041991</v>
      </c>
      <c r="O221" s="421">
        <v>0.94792042331900395</v>
      </c>
      <c r="P221" s="421">
        <v>182.60815084241301</v>
      </c>
      <c r="Q221" s="421">
        <v>15.2162816007431</v>
      </c>
      <c r="R221" s="421">
        <v>0</v>
      </c>
      <c r="S221" s="429">
        <v>452.306640976891</v>
      </c>
      <c r="T221" s="412"/>
    </row>
    <row r="222" spans="2:20" ht="13.5">
      <c r="B222" s="412"/>
      <c r="C222" s="428" t="s">
        <v>81</v>
      </c>
      <c r="D222" s="421">
        <v>0</v>
      </c>
      <c r="E222" s="421">
        <v>0</v>
      </c>
      <c r="F222" s="421">
        <v>4.6678370944484504</v>
      </c>
      <c r="G222" s="421">
        <v>66.895141856533499</v>
      </c>
      <c r="H222" s="421">
        <v>0</v>
      </c>
      <c r="I222" s="421">
        <v>0</v>
      </c>
      <c r="J222" s="421">
        <v>3.3107731809745702</v>
      </c>
      <c r="K222" s="421">
        <v>0</v>
      </c>
      <c r="L222" s="421">
        <v>0</v>
      </c>
      <c r="M222" s="421">
        <v>1.3652069766639501</v>
      </c>
      <c r="N222" s="421">
        <v>6.3842741155148302</v>
      </c>
      <c r="O222" s="421">
        <v>0.75088648318301499</v>
      </c>
      <c r="P222" s="421">
        <v>144.56234737622799</v>
      </c>
      <c r="Q222" s="421">
        <v>3.79874954472458</v>
      </c>
      <c r="R222" s="421">
        <v>0</v>
      </c>
      <c r="S222" s="429">
        <v>231.73521662827099</v>
      </c>
      <c r="T222" s="412"/>
    </row>
    <row r="223" spans="2:20" ht="13.5">
      <c r="B223" s="412"/>
      <c r="C223" s="428" t="s">
        <v>82</v>
      </c>
      <c r="D223" s="421">
        <v>0</v>
      </c>
      <c r="E223" s="421">
        <v>0</v>
      </c>
      <c r="F223" s="421">
        <v>4.5923360843350496</v>
      </c>
      <c r="G223" s="421">
        <v>5.5761395564600598</v>
      </c>
      <c r="H223" s="421">
        <v>0</v>
      </c>
      <c r="I223" s="421">
        <v>0</v>
      </c>
      <c r="J223" s="421">
        <v>1.9443380960196801</v>
      </c>
      <c r="K223" s="421">
        <v>0</v>
      </c>
      <c r="L223" s="421">
        <v>17.944913531130702</v>
      </c>
      <c r="M223" s="421">
        <v>0.11379876645836901</v>
      </c>
      <c r="N223" s="421">
        <v>0</v>
      </c>
      <c r="O223" s="421">
        <v>6.6456137421005299E-2</v>
      </c>
      <c r="P223" s="421">
        <v>7.4534323714914201</v>
      </c>
      <c r="Q223" s="421">
        <v>0</v>
      </c>
      <c r="R223" s="421">
        <v>0</v>
      </c>
      <c r="S223" s="429">
        <v>37.691414543316299</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0.8</v>
      </c>
      <c r="Q224" s="421">
        <v>0</v>
      </c>
      <c r="R224" s="421">
        <v>0</v>
      </c>
      <c r="S224" s="429">
        <v>0.8</v>
      </c>
      <c r="T224" s="412"/>
    </row>
    <row r="225" spans="2:20" ht="13.5">
      <c r="B225" s="412"/>
      <c r="C225" s="424" t="s">
        <v>83</v>
      </c>
      <c r="D225" s="425">
        <v>4.1175454090074304</v>
      </c>
      <c r="E225" s="425">
        <v>0</v>
      </c>
      <c r="F225" s="425">
        <v>251.32305800703199</v>
      </c>
      <c r="G225" s="425">
        <v>315.28758722975402</v>
      </c>
      <c r="H225" s="425">
        <v>0</v>
      </c>
      <c r="I225" s="425">
        <v>0</v>
      </c>
      <c r="J225" s="425">
        <v>96.956719776112095</v>
      </c>
      <c r="K225" s="425">
        <v>3.98663909653113</v>
      </c>
      <c r="L225" s="425">
        <v>40.172116235365102</v>
      </c>
      <c r="M225" s="425">
        <v>6.4344405557092701</v>
      </c>
      <c r="N225" s="425">
        <v>64.228247119713899</v>
      </c>
      <c r="O225" s="425">
        <v>1.7652630439230199</v>
      </c>
      <c r="P225" s="425">
        <v>517.98785386676104</v>
      </c>
      <c r="Q225" s="425">
        <v>37.922407575904103</v>
      </c>
      <c r="R225" s="425">
        <v>2.9782802596391802</v>
      </c>
      <c r="S225" s="425">
        <v>1343.1601581754501</v>
      </c>
      <c r="T225" s="412"/>
    </row>
    <row r="226" spans="2:20" ht="13.5">
      <c r="B226" s="412"/>
      <c r="C226" s="420" t="s">
        <v>84</v>
      </c>
      <c r="D226" s="421">
        <v>2.1301540527343801</v>
      </c>
      <c r="E226" s="421">
        <v>0</v>
      </c>
      <c r="F226" s="421">
        <v>138.64565541276201</v>
      </c>
      <c r="G226" s="421">
        <v>12.0685091884655</v>
      </c>
      <c r="H226" s="421">
        <v>0</v>
      </c>
      <c r="I226" s="421">
        <v>0</v>
      </c>
      <c r="J226" s="421">
        <v>0</v>
      </c>
      <c r="K226" s="421">
        <v>0</v>
      </c>
      <c r="L226" s="421">
        <v>0</v>
      </c>
      <c r="M226" s="421">
        <v>0</v>
      </c>
      <c r="N226" s="421">
        <v>0</v>
      </c>
      <c r="O226" s="421">
        <v>0</v>
      </c>
      <c r="P226" s="421">
        <v>0</v>
      </c>
      <c r="Q226" s="421">
        <v>0</v>
      </c>
      <c r="R226" s="421">
        <v>0.88229317016601605</v>
      </c>
      <c r="S226" s="429">
        <v>153.72661182412801</v>
      </c>
      <c r="T226" s="412"/>
    </row>
    <row r="227" spans="2:20" ht="13.5">
      <c r="B227" s="412"/>
      <c r="C227" s="424" t="s">
        <v>85</v>
      </c>
      <c r="D227" s="425">
        <v>6.2476994617418002</v>
      </c>
      <c r="E227" s="425">
        <v>0</v>
      </c>
      <c r="F227" s="425">
        <v>389.96871341979403</v>
      </c>
      <c r="G227" s="425">
        <v>327.35609641821998</v>
      </c>
      <c r="H227" s="425">
        <v>0</v>
      </c>
      <c r="I227" s="425">
        <v>0</v>
      </c>
      <c r="J227" s="425">
        <v>96.956719776112095</v>
      </c>
      <c r="K227" s="425">
        <v>3.98663909653113</v>
      </c>
      <c r="L227" s="425">
        <v>40.172116235365102</v>
      </c>
      <c r="M227" s="425">
        <v>6.4344405557092701</v>
      </c>
      <c r="N227" s="425">
        <v>64.228247119713899</v>
      </c>
      <c r="O227" s="425">
        <v>1.7652630439230199</v>
      </c>
      <c r="P227" s="425">
        <v>517.98785386676104</v>
      </c>
      <c r="Q227" s="425">
        <v>37.922407575904103</v>
      </c>
      <c r="R227" s="425">
        <v>3.8605734298051999</v>
      </c>
      <c r="S227" s="425">
        <v>1496.8867699995801</v>
      </c>
      <c r="T227" s="412"/>
    </row>
    <row r="228" spans="2:20">
      <c r="B228" s="412"/>
      <c r="C228" s="412"/>
      <c r="D228" s="430">
        <f t="shared" ref="D228:S228" si="5">D227+D217-D203</f>
        <v>0</v>
      </c>
      <c r="E228" s="430">
        <f t="shared" si="5"/>
        <v>0</v>
      </c>
      <c r="F228" s="430">
        <f t="shared" si="5"/>
        <v>0</v>
      </c>
      <c r="G228" s="430">
        <f t="shared" si="5"/>
        <v>0</v>
      </c>
      <c r="H228" s="430">
        <f t="shared" si="5"/>
        <v>0</v>
      </c>
      <c r="I228" s="430">
        <f t="shared" si="5"/>
        <v>0</v>
      </c>
      <c r="J228" s="430">
        <f t="shared" si="5"/>
        <v>2.2737367544323206E-13</v>
      </c>
      <c r="K228" s="430">
        <f t="shared" si="5"/>
        <v>3.1974423109204508E-14</v>
      </c>
      <c r="L228" s="430">
        <f t="shared" si="5"/>
        <v>-3.0420110874729289E-14</v>
      </c>
      <c r="M228" s="430">
        <f t="shared" si="5"/>
        <v>0</v>
      </c>
      <c r="N228" s="430">
        <f t="shared" si="5"/>
        <v>0</v>
      </c>
      <c r="O228" s="430">
        <f t="shared" si="5"/>
        <v>-9.7699626167013776E-15</v>
      </c>
      <c r="P228" s="430">
        <f t="shared" si="5"/>
        <v>7.9225515037251171E-13</v>
      </c>
      <c r="Q228" s="430">
        <f t="shared" si="5"/>
        <v>-9.9475983006414026E-14</v>
      </c>
      <c r="R228" s="430">
        <f t="shared" si="5"/>
        <v>0</v>
      </c>
      <c r="S228" s="430">
        <f t="shared" si="5"/>
        <v>0</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89</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0</v>
      </c>
      <c r="F234" s="421">
        <v>0</v>
      </c>
      <c r="G234" s="421">
        <v>0</v>
      </c>
      <c r="H234" s="422">
        <v>727.27272727272702</v>
      </c>
      <c r="I234" s="422">
        <v>285.08</v>
      </c>
      <c r="J234" s="422">
        <v>179.02026508455899</v>
      </c>
      <c r="K234" s="422">
        <v>22.071430242595699</v>
      </c>
      <c r="L234" s="421">
        <v>0</v>
      </c>
      <c r="M234" s="421">
        <v>0</v>
      </c>
      <c r="N234" s="422">
        <v>69.124340714614704</v>
      </c>
      <c r="O234" s="422">
        <v>3.9743240940765601</v>
      </c>
      <c r="P234" s="421">
        <v>0</v>
      </c>
      <c r="Q234" s="421">
        <v>0</v>
      </c>
      <c r="R234" s="421">
        <v>0</v>
      </c>
      <c r="S234" s="423">
        <v>1286.54308740857</v>
      </c>
      <c r="T234" s="412"/>
    </row>
    <row r="235" spans="2:20" ht="13.5">
      <c r="B235" s="412"/>
      <c r="C235" s="420" t="s">
        <v>60</v>
      </c>
      <c r="D235" s="421">
        <v>29.137863782851301</v>
      </c>
      <c r="E235" s="421">
        <v>464.7986487</v>
      </c>
      <c r="F235" s="421">
        <v>43.026150332406097</v>
      </c>
      <c r="G235" s="421">
        <v>393.69712052116603</v>
      </c>
      <c r="H235" s="421">
        <v>0</v>
      </c>
      <c r="I235" s="421">
        <v>0</v>
      </c>
      <c r="J235" s="421">
        <v>0</v>
      </c>
      <c r="K235" s="421">
        <v>0</v>
      </c>
      <c r="L235" s="421">
        <v>0</v>
      </c>
      <c r="M235" s="421">
        <v>0</v>
      </c>
      <c r="N235" s="421">
        <v>0</v>
      </c>
      <c r="O235" s="421">
        <v>0</v>
      </c>
      <c r="P235" s="421">
        <v>52.272660894863201</v>
      </c>
      <c r="Q235" s="421">
        <v>0</v>
      </c>
      <c r="R235" s="421">
        <v>0</v>
      </c>
      <c r="S235" s="423">
        <v>982.93244423128704</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0</v>
      </c>
      <c r="Q236" s="421">
        <v>0</v>
      </c>
      <c r="R236" s="421">
        <v>0</v>
      </c>
      <c r="S236" s="423">
        <v>0</v>
      </c>
      <c r="T236" s="412"/>
    </row>
    <row r="237" spans="2:20" ht="13.5">
      <c r="B237" s="412"/>
      <c r="C237" s="420" t="s">
        <v>62</v>
      </c>
      <c r="D237" s="421">
        <v>0</v>
      </c>
      <c r="E237" s="421">
        <v>0</v>
      </c>
      <c r="F237" s="421">
        <v>-14.431507774067301</v>
      </c>
      <c r="G237" s="421">
        <v>0</v>
      </c>
      <c r="H237" s="421">
        <v>0</v>
      </c>
      <c r="I237" s="421">
        <v>0</v>
      </c>
      <c r="J237" s="421">
        <v>0</v>
      </c>
      <c r="K237" s="421">
        <v>0</v>
      </c>
      <c r="L237" s="421">
        <v>0</v>
      </c>
      <c r="M237" s="421">
        <v>0</v>
      </c>
      <c r="N237" s="421">
        <v>0</v>
      </c>
      <c r="O237" s="421">
        <v>0</v>
      </c>
      <c r="P237" s="421">
        <v>0</v>
      </c>
      <c r="Q237" s="421">
        <v>0</v>
      </c>
      <c r="R237" s="421">
        <v>0</v>
      </c>
      <c r="S237" s="423">
        <v>-14.431507774067301</v>
      </c>
      <c r="T237" s="412"/>
    </row>
    <row r="238" spans="2:20" ht="13.5">
      <c r="B238" s="412"/>
      <c r="C238" s="420" t="s">
        <v>63</v>
      </c>
      <c r="D238" s="421">
        <v>0</v>
      </c>
      <c r="E238" s="421">
        <v>0</v>
      </c>
      <c r="F238" s="421">
        <v>-93.073301321338505</v>
      </c>
      <c r="G238" s="421">
        <v>0</v>
      </c>
      <c r="H238" s="421">
        <v>0</v>
      </c>
      <c r="I238" s="421">
        <v>0</v>
      </c>
      <c r="J238" s="421">
        <v>0</v>
      </c>
      <c r="K238" s="421">
        <v>0</v>
      </c>
      <c r="L238" s="421">
        <v>-0.96113349486483901</v>
      </c>
      <c r="M238" s="421">
        <v>0</v>
      </c>
      <c r="N238" s="421">
        <v>0</v>
      </c>
      <c r="O238" s="421">
        <v>0</v>
      </c>
      <c r="P238" s="421">
        <v>0</v>
      </c>
      <c r="Q238" s="421">
        <v>0</v>
      </c>
      <c r="R238" s="421">
        <v>0</v>
      </c>
      <c r="S238" s="423">
        <v>-94.034434816203301</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29.137863782851301</v>
      </c>
      <c r="E240" s="425">
        <v>464.7986487</v>
      </c>
      <c r="F240" s="425">
        <v>-64.4786587629997</v>
      </c>
      <c r="G240" s="425">
        <v>393.69712052116603</v>
      </c>
      <c r="H240" s="425">
        <v>727.27272727272702</v>
      </c>
      <c r="I240" s="425">
        <v>285.08</v>
      </c>
      <c r="J240" s="425">
        <v>179.02026508455899</v>
      </c>
      <c r="K240" s="425">
        <v>22.071430242595699</v>
      </c>
      <c r="L240" s="425">
        <v>-0.96113349486483901</v>
      </c>
      <c r="M240" s="425">
        <v>0</v>
      </c>
      <c r="N240" s="425">
        <v>69.124340714614704</v>
      </c>
      <c r="O240" s="425">
        <v>3.9743240940765601</v>
      </c>
      <c r="P240" s="425">
        <v>52.272660894863201</v>
      </c>
      <c r="Q240" s="425">
        <v>0</v>
      </c>
      <c r="R240" s="425">
        <v>0</v>
      </c>
      <c r="S240" s="425">
        <v>2161.00958904959</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2.2004707355665598</v>
      </c>
      <c r="E243" s="421">
        <v>0</v>
      </c>
      <c r="F243" s="421">
        <v>3.8636363636363602</v>
      </c>
      <c r="G243" s="421">
        <v>35.960251906978201</v>
      </c>
      <c r="H243" s="421">
        <v>727.27272727272702</v>
      </c>
      <c r="I243" s="421">
        <v>285.08</v>
      </c>
      <c r="J243" s="421">
        <v>20.883347007614301</v>
      </c>
      <c r="K243" s="421">
        <v>5.4396340942741803</v>
      </c>
      <c r="L243" s="421">
        <v>0</v>
      </c>
      <c r="M243" s="421">
        <v>0.73388269197914702</v>
      </c>
      <c r="N243" s="421">
        <v>0</v>
      </c>
      <c r="O243" s="421">
        <v>0</v>
      </c>
      <c r="P243" s="421">
        <v>-559.49648075937398</v>
      </c>
      <c r="Q243" s="421">
        <v>0</v>
      </c>
      <c r="R243" s="421">
        <v>0</v>
      </c>
      <c r="S243" s="429">
        <v>521.93746931340195</v>
      </c>
      <c r="T243" s="412"/>
    </row>
    <row r="244" spans="2:20" ht="13.5">
      <c r="B244" s="412"/>
      <c r="C244" s="428" t="s">
        <v>351</v>
      </c>
      <c r="D244" s="421">
        <v>0</v>
      </c>
      <c r="E244" s="421">
        <v>0</v>
      </c>
      <c r="F244" s="421">
        <v>0</v>
      </c>
      <c r="G244" s="421">
        <v>17.249248608476702</v>
      </c>
      <c r="H244" s="421">
        <v>0</v>
      </c>
      <c r="I244" s="421">
        <v>0</v>
      </c>
      <c r="J244" s="421">
        <v>12.287356523997399</v>
      </c>
      <c r="K244" s="421">
        <v>12.751836063828801</v>
      </c>
      <c r="L244" s="421">
        <v>0</v>
      </c>
      <c r="M244" s="421">
        <v>0.35202548180564602</v>
      </c>
      <c r="N244" s="421">
        <v>0</v>
      </c>
      <c r="O244" s="421">
        <v>2.25411214784515</v>
      </c>
      <c r="P244" s="421">
        <v>0</v>
      </c>
      <c r="Q244" s="421">
        <v>-41.172831919421</v>
      </c>
      <c r="R244" s="421">
        <v>0</v>
      </c>
      <c r="S244" s="429">
        <v>3.7217469065325699</v>
      </c>
      <c r="T244" s="412"/>
    </row>
    <row r="245" spans="2:20" ht="13.5">
      <c r="B245" s="412"/>
      <c r="C245" s="428" t="s">
        <v>352</v>
      </c>
      <c r="D245" s="421">
        <v>0</v>
      </c>
      <c r="E245" s="421">
        <v>0</v>
      </c>
      <c r="F245" s="421">
        <v>0</v>
      </c>
      <c r="G245" s="421">
        <v>0</v>
      </c>
      <c r="H245" s="421">
        <v>0</v>
      </c>
      <c r="I245" s="421">
        <v>0</v>
      </c>
      <c r="J245" s="421">
        <v>8.1584068388578199</v>
      </c>
      <c r="K245" s="421">
        <v>0</v>
      </c>
      <c r="L245" s="421">
        <v>0</v>
      </c>
      <c r="M245" s="421">
        <v>-7.7912785311092199</v>
      </c>
      <c r="N245" s="421">
        <v>0</v>
      </c>
      <c r="O245" s="421">
        <v>0</v>
      </c>
      <c r="P245" s="421">
        <v>0</v>
      </c>
      <c r="Q245" s="421">
        <v>0</v>
      </c>
      <c r="R245" s="421">
        <v>0</v>
      </c>
      <c r="S245" s="429">
        <v>0.367128307748603</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481.48200000000003</v>
      </c>
      <c r="F247" s="421">
        <v>-476.66717999999997</v>
      </c>
      <c r="G247" s="421">
        <v>0</v>
      </c>
      <c r="H247" s="421">
        <v>0</v>
      </c>
      <c r="I247" s="421">
        <v>0</v>
      </c>
      <c r="J247" s="421">
        <v>0</v>
      </c>
      <c r="K247" s="421">
        <v>0</v>
      </c>
      <c r="L247" s="421">
        <v>0</v>
      </c>
      <c r="M247" s="421">
        <v>0</v>
      </c>
      <c r="N247" s="421">
        <v>0</v>
      </c>
      <c r="O247" s="421">
        <v>0</v>
      </c>
      <c r="P247" s="421">
        <v>0</v>
      </c>
      <c r="Q247" s="421">
        <v>0</v>
      </c>
      <c r="R247" s="421">
        <v>0</v>
      </c>
      <c r="S247" s="429">
        <v>4.8148200000000001</v>
      </c>
      <c r="T247" s="412"/>
    </row>
    <row r="248" spans="2:20" ht="13.5">
      <c r="B248" s="412"/>
      <c r="C248" s="428" t="s">
        <v>354</v>
      </c>
      <c r="D248" s="421">
        <v>0</v>
      </c>
      <c r="E248" s="421">
        <v>0</v>
      </c>
      <c r="F248" s="421">
        <v>0</v>
      </c>
      <c r="G248" s="421">
        <v>0</v>
      </c>
      <c r="H248" s="421">
        <v>0</v>
      </c>
      <c r="I248" s="421">
        <v>0</v>
      </c>
      <c r="J248" s="421">
        <v>41.474660133722303</v>
      </c>
      <c r="K248" s="421">
        <v>0</v>
      </c>
      <c r="L248" s="421">
        <v>-41.474660133722303</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-0.18779562104234199</v>
      </c>
      <c r="M249" s="421">
        <v>0</v>
      </c>
      <c r="N249" s="421">
        <v>0</v>
      </c>
      <c r="O249" s="421">
        <v>0</v>
      </c>
      <c r="P249" s="421">
        <v>0</v>
      </c>
      <c r="Q249" s="421">
        <v>0</v>
      </c>
      <c r="R249" s="421">
        <v>0.26827945863191799</v>
      </c>
      <c r="S249" s="429">
        <v>8.0483837589575294E-2</v>
      </c>
      <c r="T249" s="412"/>
    </row>
    <row r="250" spans="2:20" ht="13.5">
      <c r="B250" s="412"/>
      <c r="C250" s="428" t="s">
        <v>73</v>
      </c>
      <c r="D250" s="421">
        <v>0</v>
      </c>
      <c r="E250" s="421">
        <v>0</v>
      </c>
      <c r="F250" s="421">
        <v>0</v>
      </c>
      <c r="G250" s="421">
        <v>5.7699673283914903</v>
      </c>
      <c r="H250" s="421">
        <v>0</v>
      </c>
      <c r="I250" s="421">
        <v>0</v>
      </c>
      <c r="J250" s="421">
        <v>0</v>
      </c>
      <c r="K250" s="421">
        <v>6.7674962800744601E-2</v>
      </c>
      <c r="L250" s="421">
        <v>0</v>
      </c>
      <c r="M250" s="421">
        <v>0.117754435273296</v>
      </c>
      <c r="N250" s="421">
        <v>0</v>
      </c>
      <c r="O250" s="421">
        <v>0</v>
      </c>
      <c r="P250" s="421">
        <v>0.78954123267535403</v>
      </c>
      <c r="Q250" s="421">
        <v>0</v>
      </c>
      <c r="R250" s="421">
        <v>-4.73724739605212</v>
      </c>
      <c r="S250" s="429">
        <v>2.0076905630887598</v>
      </c>
      <c r="T250" s="412"/>
    </row>
    <row r="251" spans="2:20" ht="13.5">
      <c r="B251" s="412"/>
      <c r="C251" s="428" t="s">
        <v>356</v>
      </c>
      <c r="D251" s="421">
        <v>12.0380056152344</v>
      </c>
      <c r="E251" s="421">
        <v>-16.683351300000002</v>
      </c>
      <c r="F251" s="421">
        <v>21.820838094867199</v>
      </c>
      <c r="G251" s="421">
        <v>0</v>
      </c>
      <c r="H251" s="421">
        <v>0</v>
      </c>
      <c r="I251" s="421">
        <v>0</v>
      </c>
      <c r="J251" s="421">
        <v>0</v>
      </c>
      <c r="K251" s="421">
        <v>0</v>
      </c>
      <c r="L251" s="421">
        <v>0</v>
      </c>
      <c r="M251" s="421">
        <v>0</v>
      </c>
      <c r="N251" s="421">
        <v>0</v>
      </c>
      <c r="O251" s="421">
        <v>0</v>
      </c>
      <c r="P251" s="421">
        <v>0</v>
      </c>
      <c r="Q251" s="421">
        <v>0</v>
      </c>
      <c r="R251" s="421">
        <v>0</v>
      </c>
      <c r="S251" s="429">
        <v>17.175492410101601</v>
      </c>
      <c r="T251" s="412"/>
    </row>
    <row r="252" spans="2:20" ht="13.5">
      <c r="B252" s="412"/>
      <c r="C252" s="428" t="s">
        <v>75</v>
      </c>
      <c r="D252" s="421">
        <v>9.5550615234374998</v>
      </c>
      <c r="E252" s="421">
        <v>0</v>
      </c>
      <c r="F252" s="421">
        <v>16.370387999999998</v>
      </c>
      <c r="G252" s="421">
        <v>4.6713383640000004</v>
      </c>
      <c r="H252" s="421">
        <v>0</v>
      </c>
      <c r="I252" s="421">
        <v>0</v>
      </c>
      <c r="J252" s="421">
        <v>0</v>
      </c>
      <c r="K252" s="421">
        <v>0</v>
      </c>
      <c r="L252" s="421">
        <v>0</v>
      </c>
      <c r="M252" s="421">
        <v>9.5333435999999994E-2</v>
      </c>
      <c r="N252" s="421">
        <v>0</v>
      </c>
      <c r="O252" s="421">
        <v>0</v>
      </c>
      <c r="P252" s="421">
        <v>25.6753694925142</v>
      </c>
      <c r="Q252" s="421">
        <v>0</v>
      </c>
      <c r="R252" s="421">
        <v>0</v>
      </c>
      <c r="S252" s="429">
        <v>56.367490815951697</v>
      </c>
      <c r="T252" s="412"/>
    </row>
    <row r="253" spans="2:20" ht="13.5">
      <c r="B253" s="412"/>
      <c r="C253" s="428" t="s">
        <v>76</v>
      </c>
      <c r="D253" s="421">
        <v>0</v>
      </c>
      <c r="E253" s="421">
        <v>0</v>
      </c>
      <c r="F253" s="421">
        <v>0</v>
      </c>
      <c r="G253" s="421">
        <v>4.52694839554567</v>
      </c>
      <c r="H253" s="421">
        <v>0</v>
      </c>
      <c r="I253" s="421">
        <v>0</v>
      </c>
      <c r="J253" s="421">
        <v>0</v>
      </c>
      <c r="K253" s="421">
        <v>0</v>
      </c>
      <c r="L253" s="421">
        <v>0</v>
      </c>
      <c r="M253" s="421">
        <v>9.2386701949911706E-2</v>
      </c>
      <c r="N253" s="421">
        <v>0</v>
      </c>
      <c r="O253" s="421">
        <v>0</v>
      </c>
      <c r="P253" s="421">
        <v>46.885354346539003</v>
      </c>
      <c r="Q253" s="421">
        <v>3.1905146505824402</v>
      </c>
      <c r="R253" s="421">
        <v>0</v>
      </c>
      <c r="S253" s="429">
        <v>54.695204094616997</v>
      </c>
      <c r="T253" s="412"/>
    </row>
    <row r="254" spans="2:20" ht="13.5">
      <c r="B254" s="412"/>
      <c r="C254" s="424" t="s">
        <v>77</v>
      </c>
      <c r="D254" s="425">
        <v>23.7935378742384</v>
      </c>
      <c r="E254" s="425">
        <v>464.7986487</v>
      </c>
      <c r="F254" s="425">
        <v>-434.61231754149702</v>
      </c>
      <c r="G254" s="425">
        <v>68.177754603392003</v>
      </c>
      <c r="H254" s="425">
        <v>727.27272727272702</v>
      </c>
      <c r="I254" s="425">
        <v>285.08</v>
      </c>
      <c r="J254" s="425">
        <v>82.803770504191903</v>
      </c>
      <c r="K254" s="425">
        <v>18.2591451209037</v>
      </c>
      <c r="L254" s="425">
        <v>-41.6624557547647</v>
      </c>
      <c r="M254" s="425">
        <v>-6.3998957841012203</v>
      </c>
      <c r="N254" s="425">
        <v>0</v>
      </c>
      <c r="O254" s="425">
        <v>2.25411214784515</v>
      </c>
      <c r="P254" s="425">
        <v>-486.14621568764602</v>
      </c>
      <c r="Q254" s="425">
        <v>-37.982317268838599</v>
      </c>
      <c r="R254" s="425">
        <v>-4.46896793742021</v>
      </c>
      <c r="S254" s="425">
        <v>661.16752624903097</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3.2525348929878701</v>
      </c>
      <c r="E256" s="421">
        <v>0</v>
      </c>
      <c r="F256" s="421">
        <v>17.532199420942199</v>
      </c>
      <c r="G256" s="421">
        <v>101.536086736296</v>
      </c>
      <c r="H256" s="421">
        <v>0</v>
      </c>
      <c r="I256" s="421">
        <v>0</v>
      </c>
      <c r="J256" s="421">
        <v>17.243729128153799</v>
      </c>
      <c r="K256" s="421">
        <v>3.8122851216920202</v>
      </c>
      <c r="L256" s="421">
        <v>0.87021837890624998</v>
      </c>
      <c r="M256" s="421">
        <v>2.0721650354346099</v>
      </c>
      <c r="N256" s="421">
        <v>0</v>
      </c>
      <c r="O256" s="421">
        <v>0</v>
      </c>
      <c r="P256" s="421">
        <v>120.089551917563</v>
      </c>
      <c r="Q256" s="421">
        <v>19.4196670049601</v>
      </c>
      <c r="R256" s="421">
        <v>0.24405599975585901</v>
      </c>
      <c r="S256" s="429">
        <v>286.072493636692</v>
      </c>
      <c r="T256" s="412"/>
    </row>
    <row r="257" spans="2:20" ht="13.5">
      <c r="B257" s="412"/>
      <c r="C257" s="428" t="s">
        <v>79</v>
      </c>
      <c r="D257" s="421">
        <v>0</v>
      </c>
      <c r="E257" s="421">
        <v>0</v>
      </c>
      <c r="F257" s="421">
        <v>204.27744800701601</v>
      </c>
      <c r="G257" s="421">
        <v>35.056721936600702</v>
      </c>
      <c r="H257" s="421">
        <v>0</v>
      </c>
      <c r="I257" s="421">
        <v>0</v>
      </c>
      <c r="J257" s="421">
        <v>0</v>
      </c>
      <c r="K257" s="421">
        <v>0</v>
      </c>
      <c r="L257" s="421">
        <v>20.587238275227001</v>
      </c>
      <c r="M257" s="421">
        <v>0.71544330482858598</v>
      </c>
      <c r="N257" s="421">
        <v>0</v>
      </c>
      <c r="O257" s="421">
        <v>0</v>
      </c>
      <c r="P257" s="421">
        <v>74.338731935176895</v>
      </c>
      <c r="Q257" s="421">
        <v>0</v>
      </c>
      <c r="R257" s="421">
        <v>3.0427208487971602</v>
      </c>
      <c r="S257" s="429">
        <v>338.01830430764699</v>
      </c>
      <c r="T257" s="412"/>
    </row>
    <row r="258" spans="2:20" ht="13.5">
      <c r="B258" s="412"/>
      <c r="C258" s="428" t="s">
        <v>80</v>
      </c>
      <c r="D258" s="421">
        <v>0</v>
      </c>
      <c r="E258" s="421">
        <v>0</v>
      </c>
      <c r="F258" s="421">
        <v>5.0790798253364304</v>
      </c>
      <c r="G258" s="421">
        <v>103.36019560958501</v>
      </c>
      <c r="H258" s="421">
        <v>0</v>
      </c>
      <c r="I258" s="421">
        <v>0</v>
      </c>
      <c r="J258" s="421">
        <v>73.674863255740703</v>
      </c>
      <c r="K258" s="421">
        <v>0</v>
      </c>
      <c r="L258" s="421">
        <v>0</v>
      </c>
      <c r="M258" s="421">
        <v>2.1093917471343899</v>
      </c>
      <c r="N258" s="421">
        <v>62.925207692465797</v>
      </c>
      <c r="O258" s="421">
        <v>0.93798825098649496</v>
      </c>
      <c r="P258" s="421">
        <v>184.247095425738</v>
      </c>
      <c r="Q258" s="421">
        <v>14.961677987514401</v>
      </c>
      <c r="R258" s="421">
        <v>0</v>
      </c>
      <c r="S258" s="429">
        <v>447.29549979450098</v>
      </c>
      <c r="T258" s="412"/>
    </row>
    <row r="259" spans="2:20" ht="13.5">
      <c r="B259" s="412"/>
      <c r="C259" s="428" t="s">
        <v>81</v>
      </c>
      <c r="D259" s="421">
        <v>0</v>
      </c>
      <c r="E259" s="421">
        <v>0</v>
      </c>
      <c r="F259" s="421">
        <v>1.9431733632283299</v>
      </c>
      <c r="G259" s="421">
        <v>67.9041876215625</v>
      </c>
      <c r="H259" s="421">
        <v>0</v>
      </c>
      <c r="I259" s="421">
        <v>0</v>
      </c>
      <c r="J259" s="421">
        <v>3.20971056517973</v>
      </c>
      <c r="K259" s="421">
        <v>0</v>
      </c>
      <c r="L259" s="421">
        <v>0</v>
      </c>
      <c r="M259" s="421">
        <v>1.3857997473788299</v>
      </c>
      <c r="N259" s="421">
        <v>6.1991330221488896</v>
      </c>
      <c r="O259" s="421">
        <v>0.72170394145081995</v>
      </c>
      <c r="P259" s="421">
        <v>149.98195377916301</v>
      </c>
      <c r="Q259" s="421">
        <v>3.6009722763640601</v>
      </c>
      <c r="R259" s="421">
        <v>0</v>
      </c>
      <c r="S259" s="429">
        <v>234.94663431647601</v>
      </c>
      <c r="T259" s="412"/>
    </row>
    <row r="260" spans="2:20" ht="13.5">
      <c r="B260" s="412"/>
      <c r="C260" s="428" t="s">
        <v>82</v>
      </c>
      <c r="D260" s="421">
        <v>0</v>
      </c>
      <c r="E260" s="421">
        <v>0</v>
      </c>
      <c r="F260" s="421">
        <v>2.1543406684855499</v>
      </c>
      <c r="G260" s="421">
        <v>5.7377015169157897</v>
      </c>
      <c r="H260" s="421">
        <v>0</v>
      </c>
      <c r="I260" s="421">
        <v>0</v>
      </c>
      <c r="J260" s="421">
        <v>2.0881916312924198</v>
      </c>
      <c r="K260" s="421">
        <v>0</v>
      </c>
      <c r="L260" s="421">
        <v>19.243865605766601</v>
      </c>
      <c r="M260" s="421">
        <v>0.117095949324812</v>
      </c>
      <c r="N260" s="421">
        <v>0</v>
      </c>
      <c r="O260" s="421">
        <v>6.0519753794095202E-2</v>
      </c>
      <c r="P260" s="421">
        <v>7.3615435248684502</v>
      </c>
      <c r="Q260" s="421">
        <v>0</v>
      </c>
      <c r="R260" s="421">
        <v>0</v>
      </c>
      <c r="S260" s="429">
        <v>36.763258650447703</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2.4</v>
      </c>
      <c r="Q261" s="421">
        <v>0</v>
      </c>
      <c r="R261" s="421">
        <v>0</v>
      </c>
      <c r="S261" s="429">
        <v>2.4</v>
      </c>
      <c r="T261" s="412"/>
    </row>
    <row r="262" spans="2:20" ht="13.5">
      <c r="B262" s="412"/>
      <c r="C262" s="424" t="s">
        <v>83</v>
      </c>
      <c r="D262" s="425">
        <v>3.2525348929878701</v>
      </c>
      <c r="E262" s="425">
        <v>0</v>
      </c>
      <c r="F262" s="425">
        <v>230.98624128500899</v>
      </c>
      <c r="G262" s="425">
        <v>313.59489342095998</v>
      </c>
      <c r="H262" s="425">
        <v>0</v>
      </c>
      <c r="I262" s="425">
        <v>0</v>
      </c>
      <c r="J262" s="425">
        <v>96.2164945803667</v>
      </c>
      <c r="K262" s="425">
        <v>3.8122851216920202</v>
      </c>
      <c r="L262" s="425">
        <v>40.701322259899896</v>
      </c>
      <c r="M262" s="425">
        <v>6.3998957841012203</v>
      </c>
      <c r="N262" s="425">
        <v>69.124340714614704</v>
      </c>
      <c r="O262" s="425">
        <v>1.72021194623141</v>
      </c>
      <c r="P262" s="425">
        <v>538.41887658250903</v>
      </c>
      <c r="Q262" s="425">
        <v>37.982317268838599</v>
      </c>
      <c r="R262" s="425">
        <v>3.28677684855302</v>
      </c>
      <c r="S262" s="425">
        <v>1345.49619070576</v>
      </c>
      <c r="T262" s="412"/>
    </row>
    <row r="263" spans="2:20" ht="13.5">
      <c r="B263" s="412"/>
      <c r="C263" s="420" t="s">
        <v>84</v>
      </c>
      <c r="D263" s="421">
        <v>2.0917910156250001</v>
      </c>
      <c r="E263" s="421">
        <v>0</v>
      </c>
      <c r="F263" s="421">
        <v>139.14741749348801</v>
      </c>
      <c r="G263" s="421">
        <v>11.9244724968143</v>
      </c>
      <c r="H263" s="421">
        <v>0</v>
      </c>
      <c r="I263" s="421">
        <v>0</v>
      </c>
      <c r="J263" s="421">
        <v>0</v>
      </c>
      <c r="K263" s="421">
        <v>0</v>
      </c>
      <c r="L263" s="421">
        <v>0</v>
      </c>
      <c r="M263" s="421">
        <v>0</v>
      </c>
      <c r="N263" s="421">
        <v>0</v>
      </c>
      <c r="O263" s="421">
        <v>0</v>
      </c>
      <c r="P263" s="421">
        <v>0</v>
      </c>
      <c r="Q263" s="421">
        <v>0</v>
      </c>
      <c r="R263" s="421">
        <v>1.18219108886719</v>
      </c>
      <c r="S263" s="429">
        <v>154.345872094794</v>
      </c>
      <c r="T263" s="412"/>
    </row>
    <row r="264" spans="2:20" ht="13.5">
      <c r="B264" s="412"/>
      <c r="C264" s="424" t="s">
        <v>85</v>
      </c>
      <c r="D264" s="425">
        <v>5.3443259086128698</v>
      </c>
      <c r="E264" s="425">
        <v>0</v>
      </c>
      <c r="F264" s="425">
        <v>370.13365877849702</v>
      </c>
      <c r="G264" s="425">
        <v>325.519365917774</v>
      </c>
      <c r="H264" s="425">
        <v>0</v>
      </c>
      <c r="I264" s="425">
        <v>0</v>
      </c>
      <c r="J264" s="425">
        <v>96.2164945803667</v>
      </c>
      <c r="K264" s="425">
        <v>3.8122851216920202</v>
      </c>
      <c r="L264" s="425">
        <v>40.701322259899896</v>
      </c>
      <c r="M264" s="425">
        <v>6.3998957841012203</v>
      </c>
      <c r="N264" s="425">
        <v>69.124340714614704</v>
      </c>
      <c r="O264" s="425">
        <v>1.72021194623141</v>
      </c>
      <c r="P264" s="425">
        <v>538.41887658250903</v>
      </c>
      <c r="Q264" s="425">
        <v>37.982317268838599</v>
      </c>
      <c r="R264" s="425">
        <v>4.46896793742021</v>
      </c>
      <c r="S264" s="425">
        <v>1499.8420628005599</v>
      </c>
      <c r="T264" s="412"/>
    </row>
    <row r="265" spans="2:20">
      <c r="B265" s="412"/>
      <c r="C265" s="412"/>
      <c r="D265" s="430">
        <f t="shared" ref="D265:S265" si="6">D264+D254-D240</f>
        <v>-3.1974423109204508E-14</v>
      </c>
      <c r="E265" s="430">
        <f t="shared" si="6"/>
        <v>0</v>
      </c>
      <c r="F265" s="430">
        <f t="shared" si="6"/>
        <v>-2.9842794901924208E-13</v>
      </c>
      <c r="G265" s="430">
        <f t="shared" si="6"/>
        <v>0</v>
      </c>
      <c r="H265" s="430">
        <f t="shared" si="6"/>
        <v>0</v>
      </c>
      <c r="I265" s="430">
        <f t="shared" si="6"/>
        <v>0</v>
      </c>
      <c r="J265" s="430">
        <f t="shared" si="6"/>
        <v>-3.694822225952521E-13</v>
      </c>
      <c r="K265" s="430">
        <f t="shared" si="6"/>
        <v>0</v>
      </c>
      <c r="L265" s="430">
        <f t="shared" si="6"/>
        <v>3.5416114485542494E-14</v>
      </c>
      <c r="M265" s="430">
        <f t="shared" si="6"/>
        <v>0</v>
      </c>
      <c r="N265" s="430">
        <f t="shared" si="6"/>
        <v>0</v>
      </c>
      <c r="O265" s="430">
        <f t="shared" si="6"/>
        <v>0</v>
      </c>
      <c r="P265" s="430">
        <f t="shared" si="6"/>
        <v>-1.9184653865522705E-13</v>
      </c>
      <c r="Q265" s="430">
        <f t="shared" si="6"/>
        <v>0</v>
      </c>
      <c r="R265" s="430">
        <f t="shared" si="6"/>
        <v>0</v>
      </c>
      <c r="S265" s="430">
        <f t="shared" si="6"/>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sheetData>
  <mergeCells count="84">
    <mergeCell ref="S232:S233"/>
    <mergeCell ref="C232:C233"/>
    <mergeCell ref="D232:D233"/>
    <mergeCell ref="E232:E233"/>
    <mergeCell ref="F232:F233"/>
    <mergeCell ref="G232:G233"/>
    <mergeCell ref="H232:H233"/>
    <mergeCell ref="I232:I233"/>
    <mergeCell ref="J232:O232"/>
    <mergeCell ref="P232:P233"/>
    <mergeCell ref="Q232:Q233"/>
    <mergeCell ref="R232:R233"/>
    <mergeCell ref="S195:S196"/>
    <mergeCell ref="C195:C196"/>
    <mergeCell ref="D195:D196"/>
    <mergeCell ref="E195:E196"/>
    <mergeCell ref="F195:F196"/>
    <mergeCell ref="G195:G196"/>
    <mergeCell ref="H195:H196"/>
    <mergeCell ref="I195:I196"/>
    <mergeCell ref="J195:O195"/>
    <mergeCell ref="P195:P196"/>
    <mergeCell ref="Q195:Q196"/>
    <mergeCell ref="R195:R196"/>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234:O234">
    <cfRule type="expression" dxfId="10399" priority="318">
      <formula>LEN(TRIM(N234))=0</formula>
    </cfRule>
  </conditionalFormatting>
  <conditionalFormatting sqref="N234:O234">
    <cfRule type="cellIs" dxfId="10398" priority="317" operator="equal">
      <formula>0</formula>
    </cfRule>
  </conditionalFormatting>
  <conditionalFormatting sqref="N234:O234">
    <cfRule type="cellIs" dxfId="10397" priority="316" operator="equal">
      <formula>0</formula>
    </cfRule>
  </conditionalFormatting>
  <conditionalFormatting sqref="H234:K234">
    <cfRule type="expression" dxfId="10396" priority="315">
      <formula>LEN(TRIM(H234))=0</formula>
    </cfRule>
  </conditionalFormatting>
  <conditionalFormatting sqref="K234">
    <cfRule type="cellIs" dxfId="10395" priority="314" operator="equal">
      <formula>0</formula>
    </cfRule>
  </conditionalFormatting>
  <conditionalFormatting sqref="J234:K234">
    <cfRule type="cellIs" dxfId="10394" priority="313" operator="equal">
      <formula>0</formula>
    </cfRule>
  </conditionalFormatting>
  <conditionalFormatting sqref="I234">
    <cfRule type="cellIs" dxfId="10393" priority="312" operator="equal">
      <formula>0</formula>
    </cfRule>
  </conditionalFormatting>
  <conditionalFormatting sqref="H234">
    <cfRule type="cellIs" dxfId="10392" priority="311" operator="equal">
      <formula>0</formula>
    </cfRule>
  </conditionalFormatting>
  <conditionalFormatting sqref="D242:R253">
    <cfRule type="expression" dxfId="10391" priority="310">
      <formula>LEN(TRIM(D242))=0</formula>
    </cfRule>
  </conditionalFormatting>
  <conditionalFormatting sqref="D242:R253">
    <cfRule type="cellIs" dxfId="10390" priority="309" operator="equal">
      <formula>0</formula>
    </cfRule>
  </conditionalFormatting>
  <conditionalFormatting sqref="N238:O238">
    <cfRule type="cellIs" dxfId="10389" priority="308" operator="equal">
      <formula>0</formula>
    </cfRule>
  </conditionalFormatting>
  <conditionalFormatting sqref="N237:O237">
    <cfRule type="cellIs" dxfId="10388" priority="307" operator="equal">
      <formula>0</formula>
    </cfRule>
  </conditionalFormatting>
  <conditionalFormatting sqref="M237:M238">
    <cfRule type="cellIs" dxfId="10387" priority="306" operator="equal">
      <formula>0</formula>
    </cfRule>
  </conditionalFormatting>
  <conditionalFormatting sqref="L237:L238">
    <cfRule type="cellIs" dxfId="10386" priority="305" operator="equal">
      <formula>0</formula>
    </cfRule>
  </conditionalFormatting>
  <conditionalFormatting sqref="D263:R263">
    <cfRule type="cellIs" dxfId="10385" priority="304" operator="equal">
      <formula>0</formula>
    </cfRule>
  </conditionalFormatting>
  <conditionalFormatting sqref="D256:R264 D254:R254 D235:R240 D234:G234 L234:M234 P234:R234">
    <cfRule type="expression" dxfId="10384" priority="303">
      <formula>LEN(TRIM(D234))=0</formula>
    </cfRule>
  </conditionalFormatting>
  <conditionalFormatting sqref="D263:R263">
    <cfRule type="cellIs" dxfId="10383" priority="302" operator="equal">
      <formula>0</formula>
    </cfRule>
  </conditionalFormatting>
  <conditionalFormatting sqref="O235:O236">
    <cfRule type="cellIs" dxfId="10382" priority="301" operator="equal">
      <formula>0</formula>
    </cfRule>
  </conditionalFormatting>
  <conditionalFormatting sqref="O237:O239 O255">
    <cfRule type="cellIs" dxfId="10381" priority="300" operator="equal">
      <formula>0</formula>
    </cfRule>
  </conditionalFormatting>
  <conditionalFormatting sqref="N235:N236">
    <cfRule type="cellIs" dxfId="10380" priority="299" operator="equal">
      <formula>0</formula>
    </cfRule>
  </conditionalFormatting>
  <conditionalFormatting sqref="N237:N239 N255">
    <cfRule type="cellIs" dxfId="10379" priority="298" operator="equal">
      <formula>0</formula>
    </cfRule>
  </conditionalFormatting>
  <conditionalFormatting sqref="M234:M236">
    <cfRule type="cellIs" dxfId="10378" priority="297" operator="equal">
      <formula>0</formula>
    </cfRule>
  </conditionalFormatting>
  <conditionalFormatting sqref="M237:M239 M255">
    <cfRule type="cellIs" dxfId="10377" priority="296" operator="equal">
      <formula>0</formula>
    </cfRule>
  </conditionalFormatting>
  <conditionalFormatting sqref="L234:L236">
    <cfRule type="cellIs" dxfId="10376" priority="295" operator="equal">
      <formula>0</formula>
    </cfRule>
  </conditionalFormatting>
  <conditionalFormatting sqref="L237:L239 L255">
    <cfRule type="cellIs" dxfId="10375" priority="294" operator="equal">
      <formula>0</formula>
    </cfRule>
  </conditionalFormatting>
  <conditionalFormatting sqref="K235:K236">
    <cfRule type="cellIs" dxfId="10374" priority="293" operator="equal">
      <formula>0</formula>
    </cfRule>
  </conditionalFormatting>
  <conditionalFormatting sqref="K237:K239 K255">
    <cfRule type="cellIs" dxfId="10373" priority="292" operator="equal">
      <formula>0</formula>
    </cfRule>
  </conditionalFormatting>
  <conditionalFormatting sqref="J235:J236">
    <cfRule type="cellIs" dxfId="10372" priority="291" operator="equal">
      <formula>0</formula>
    </cfRule>
  </conditionalFormatting>
  <conditionalFormatting sqref="J237:J239 J255">
    <cfRule type="cellIs" dxfId="10371" priority="290" operator="equal">
      <formula>0</formula>
    </cfRule>
  </conditionalFormatting>
  <conditionalFormatting sqref="L234:M234">
    <cfRule type="cellIs" dxfId="10370" priority="289" operator="equal">
      <formula>0</formula>
    </cfRule>
  </conditionalFormatting>
  <conditionalFormatting sqref="F235:F236">
    <cfRule type="cellIs" dxfId="10369" priority="288" operator="equal">
      <formula>0</formula>
    </cfRule>
  </conditionalFormatting>
  <conditionalFormatting sqref="P234:R234 L234:M234 D235:R236">
    <cfRule type="cellIs" dxfId="10368" priority="287" operator="equal">
      <formula>0</formula>
    </cfRule>
  </conditionalFormatting>
  <conditionalFormatting sqref="P234:P236">
    <cfRule type="cellIs" dxfId="10367" priority="286" operator="equal">
      <formula>0</formula>
    </cfRule>
  </conditionalFormatting>
  <conditionalFormatting sqref="D264:R264 P255:R255 D255:I255 D256:R262 D254:R254 D235:R241 D234:G234 L234:M234 P234:R234">
    <cfRule type="cellIs" dxfId="10366" priority="285" operator="equal">
      <formula>0</formula>
    </cfRule>
  </conditionalFormatting>
  <conditionalFormatting sqref="N197:O197">
    <cfRule type="expression" dxfId="10365" priority="284">
      <formula>LEN(TRIM(N197))=0</formula>
    </cfRule>
  </conditionalFormatting>
  <conditionalFormatting sqref="N197:O197">
    <cfRule type="cellIs" dxfId="10364" priority="283" operator="equal">
      <formula>0</formula>
    </cfRule>
  </conditionalFormatting>
  <conditionalFormatting sqref="N197:O197">
    <cfRule type="cellIs" dxfId="10363" priority="282" operator="equal">
      <formula>0</formula>
    </cfRule>
  </conditionalFormatting>
  <conditionalFormatting sqref="H197:K197">
    <cfRule type="expression" dxfId="10362" priority="281">
      <formula>LEN(TRIM(H197))=0</formula>
    </cfRule>
  </conditionalFormatting>
  <conditionalFormatting sqref="K197">
    <cfRule type="cellIs" dxfId="10361" priority="280" operator="equal">
      <formula>0</formula>
    </cfRule>
  </conditionalFormatting>
  <conditionalFormatting sqref="J197:K197">
    <cfRule type="cellIs" dxfId="10360" priority="279" operator="equal">
      <formula>0</formula>
    </cfRule>
  </conditionalFormatting>
  <conditionalFormatting sqref="I197">
    <cfRule type="cellIs" dxfId="10359" priority="278" operator="equal">
      <formula>0</formula>
    </cfRule>
  </conditionalFormatting>
  <conditionalFormatting sqref="H197">
    <cfRule type="cellIs" dxfId="10358" priority="277" operator="equal">
      <formula>0</formula>
    </cfRule>
  </conditionalFormatting>
  <conditionalFormatting sqref="D205:R216">
    <cfRule type="expression" dxfId="10357" priority="276">
      <formula>LEN(TRIM(D205))=0</formula>
    </cfRule>
  </conditionalFormatting>
  <conditionalFormatting sqref="D205:R216">
    <cfRule type="cellIs" dxfId="10356" priority="275" operator="equal">
      <formula>0</formula>
    </cfRule>
  </conditionalFormatting>
  <conditionalFormatting sqref="N201:O201">
    <cfRule type="cellIs" dxfId="10355" priority="274" operator="equal">
      <formula>0</formula>
    </cfRule>
  </conditionalFormatting>
  <conditionalFormatting sqref="N200:O200">
    <cfRule type="cellIs" dxfId="10354" priority="273" operator="equal">
      <formula>0</formula>
    </cfRule>
  </conditionalFormatting>
  <conditionalFormatting sqref="M200:M201">
    <cfRule type="cellIs" dxfId="10353" priority="272" operator="equal">
      <formula>0</formula>
    </cfRule>
  </conditionalFormatting>
  <conditionalFormatting sqref="L200:L201">
    <cfRule type="cellIs" dxfId="10352" priority="271" operator="equal">
      <formula>0</formula>
    </cfRule>
  </conditionalFormatting>
  <conditionalFormatting sqref="D226:R226">
    <cfRule type="cellIs" dxfId="10351" priority="270" operator="equal">
      <formula>0</formula>
    </cfRule>
  </conditionalFormatting>
  <conditionalFormatting sqref="D219:R227 D217:R217 D198:R203 D197:G197 L197:M197 P197:R197">
    <cfRule type="expression" dxfId="10350" priority="269">
      <formula>LEN(TRIM(D197))=0</formula>
    </cfRule>
  </conditionalFormatting>
  <conditionalFormatting sqref="D226:R226">
    <cfRule type="cellIs" dxfId="10349" priority="268" operator="equal">
      <formula>0</formula>
    </cfRule>
  </conditionalFormatting>
  <conditionalFormatting sqref="O198:O199">
    <cfRule type="cellIs" dxfId="10348" priority="267" operator="equal">
      <formula>0</formula>
    </cfRule>
  </conditionalFormatting>
  <conditionalFormatting sqref="O200:O202 O218">
    <cfRule type="cellIs" dxfId="10347" priority="266" operator="equal">
      <formula>0</formula>
    </cfRule>
  </conditionalFormatting>
  <conditionalFormatting sqref="N198:N199">
    <cfRule type="cellIs" dxfId="10346" priority="265" operator="equal">
      <formula>0</formula>
    </cfRule>
  </conditionalFormatting>
  <conditionalFormatting sqref="N200:N202 N218">
    <cfRule type="cellIs" dxfId="10345" priority="264" operator="equal">
      <formula>0</formula>
    </cfRule>
  </conditionalFormatting>
  <conditionalFormatting sqref="M197:M199">
    <cfRule type="cellIs" dxfId="10344" priority="263" operator="equal">
      <formula>0</formula>
    </cfRule>
  </conditionalFormatting>
  <conditionalFormatting sqref="M200:M202 M218">
    <cfRule type="cellIs" dxfId="10343" priority="262" operator="equal">
      <formula>0</formula>
    </cfRule>
  </conditionalFormatting>
  <conditionalFormatting sqref="L197:L199">
    <cfRule type="cellIs" dxfId="10342" priority="261" operator="equal">
      <formula>0</formula>
    </cfRule>
  </conditionalFormatting>
  <conditionalFormatting sqref="L200:L202 L218">
    <cfRule type="cellIs" dxfId="10341" priority="260" operator="equal">
      <formula>0</formula>
    </cfRule>
  </conditionalFormatting>
  <conditionalFormatting sqref="K198:K199">
    <cfRule type="cellIs" dxfId="10340" priority="259" operator="equal">
      <formula>0</formula>
    </cfRule>
  </conditionalFormatting>
  <conditionalFormatting sqref="K200:K202 K218">
    <cfRule type="cellIs" dxfId="10339" priority="258" operator="equal">
      <formula>0</formula>
    </cfRule>
  </conditionalFormatting>
  <conditionalFormatting sqref="J198:J199">
    <cfRule type="cellIs" dxfId="10338" priority="257" operator="equal">
      <formula>0</formula>
    </cfRule>
  </conditionalFormatting>
  <conditionalFormatting sqref="J200:J202 J218">
    <cfRule type="cellIs" dxfId="10337" priority="256" operator="equal">
      <formula>0</formula>
    </cfRule>
  </conditionalFormatting>
  <conditionalFormatting sqref="L197:M197">
    <cfRule type="cellIs" dxfId="10336" priority="255" operator="equal">
      <formula>0</formula>
    </cfRule>
  </conditionalFormatting>
  <conditionalFormatting sqref="F198:F199">
    <cfRule type="cellIs" dxfId="10335" priority="254" operator="equal">
      <formula>0</formula>
    </cfRule>
  </conditionalFormatting>
  <conditionalFormatting sqref="P197:R197 L197:M197 D198:R199">
    <cfRule type="cellIs" dxfId="10334" priority="253" operator="equal">
      <formula>0</formula>
    </cfRule>
  </conditionalFormatting>
  <conditionalFormatting sqref="P197:P199">
    <cfRule type="cellIs" dxfId="10333" priority="252" operator="equal">
      <formula>0</formula>
    </cfRule>
  </conditionalFormatting>
  <conditionalFormatting sqref="D227:R227 P218:R218 D218:I218 D219:R225 D217:R217 D198:R204 D197:G197 L197:M197 P197:R197">
    <cfRule type="cellIs" dxfId="10332" priority="251" operator="equal">
      <formula>0</formula>
    </cfRule>
  </conditionalFormatting>
  <conditionalFormatting sqref="S219:S227 S197:S203 S205:S217">
    <cfRule type="expression" dxfId="10331" priority="250">
      <formula>LEN(TRIM(S197))=0</formula>
    </cfRule>
  </conditionalFormatting>
  <conditionalFormatting sqref="S226">
    <cfRule type="cellIs" dxfId="10330" priority="249" operator="equal">
      <formula>0</formula>
    </cfRule>
  </conditionalFormatting>
  <conditionalFormatting sqref="S227 S197:S225">
    <cfRule type="cellIs" dxfId="10329" priority="248" operator="equal">
      <formula>0</formula>
    </cfRule>
  </conditionalFormatting>
  <conditionalFormatting sqref="S242:S253">
    <cfRule type="expression" dxfId="10328" priority="247">
      <formula>LEN(TRIM(S242))=0</formula>
    </cfRule>
  </conditionalFormatting>
  <conditionalFormatting sqref="S242:S253">
    <cfRule type="cellIs" dxfId="10327" priority="246" operator="equal">
      <formula>0</formula>
    </cfRule>
  </conditionalFormatting>
  <conditionalFormatting sqref="S237:S238">
    <cfRule type="expression" dxfId="10326" priority="245">
      <formula>LEN(TRIM(S237))=0</formula>
    </cfRule>
  </conditionalFormatting>
  <conditionalFormatting sqref="S237:S238">
    <cfRule type="cellIs" dxfId="10325" priority="244" operator="equal">
      <formula>0</formula>
    </cfRule>
  </conditionalFormatting>
  <conditionalFormatting sqref="S256:S264 S234:S236 S239:S240">
    <cfRule type="expression" dxfId="10324" priority="243">
      <formula>LEN(TRIM(S234))=0</formula>
    </cfRule>
  </conditionalFormatting>
  <conditionalFormatting sqref="S263">
    <cfRule type="cellIs" dxfId="10323" priority="242" operator="equal">
      <formula>0</formula>
    </cfRule>
  </conditionalFormatting>
  <conditionalFormatting sqref="S264 S234:S236">
    <cfRule type="cellIs" dxfId="10322" priority="241" operator="equal">
      <formula>0</formula>
    </cfRule>
  </conditionalFormatting>
  <conditionalFormatting sqref="O233">
    <cfRule type="cellIs" dxfId="10321" priority="240" operator="equal">
      <formula>0</formula>
    </cfRule>
  </conditionalFormatting>
  <conditionalFormatting sqref="J233:N233">
    <cfRule type="cellIs" dxfId="10320" priority="239" operator="equal">
      <formula>0</formula>
    </cfRule>
  </conditionalFormatting>
  <conditionalFormatting sqref="O196">
    <cfRule type="cellIs" dxfId="10319" priority="238" operator="equal">
      <formula>0</formula>
    </cfRule>
  </conditionalFormatting>
  <conditionalFormatting sqref="J196:N196">
    <cfRule type="cellIs" dxfId="10318" priority="237" operator="equal">
      <formula>0</formula>
    </cfRule>
  </conditionalFormatting>
  <conditionalFormatting sqref="N160:O160">
    <cfRule type="expression" dxfId="10317" priority="236">
      <formula>LEN(TRIM(N160))=0</formula>
    </cfRule>
  </conditionalFormatting>
  <conditionalFormatting sqref="N160:O160">
    <cfRule type="cellIs" dxfId="10316" priority="235" operator="equal">
      <formula>0</formula>
    </cfRule>
  </conditionalFormatting>
  <conditionalFormatting sqref="N160:O160">
    <cfRule type="cellIs" dxfId="10315" priority="234" operator="equal">
      <formula>0</formula>
    </cfRule>
  </conditionalFormatting>
  <conditionalFormatting sqref="H160:K160">
    <cfRule type="expression" dxfId="10314" priority="233">
      <formula>LEN(TRIM(H160))=0</formula>
    </cfRule>
  </conditionalFormatting>
  <conditionalFormatting sqref="K160">
    <cfRule type="cellIs" dxfId="10313" priority="232" operator="equal">
      <formula>0</formula>
    </cfRule>
  </conditionalFormatting>
  <conditionalFormatting sqref="J160:K160">
    <cfRule type="cellIs" dxfId="10312" priority="231" operator="equal">
      <formula>0</formula>
    </cfRule>
  </conditionalFormatting>
  <conditionalFormatting sqref="I160">
    <cfRule type="cellIs" dxfId="10311" priority="230" operator="equal">
      <formula>0</formula>
    </cfRule>
  </conditionalFormatting>
  <conditionalFormatting sqref="H160">
    <cfRule type="cellIs" dxfId="10310" priority="229" operator="equal">
      <formula>0</formula>
    </cfRule>
  </conditionalFormatting>
  <conditionalFormatting sqref="D168:R179">
    <cfRule type="expression" dxfId="10309" priority="228">
      <formula>LEN(TRIM(D168))=0</formula>
    </cfRule>
  </conditionalFormatting>
  <conditionalFormatting sqref="D168:R179">
    <cfRule type="cellIs" dxfId="10308" priority="227" operator="equal">
      <formula>0</formula>
    </cfRule>
  </conditionalFormatting>
  <conditionalFormatting sqref="N164:O164">
    <cfRule type="cellIs" dxfId="10307" priority="226" operator="equal">
      <formula>0</formula>
    </cfRule>
  </conditionalFormatting>
  <conditionalFormatting sqref="N163:O163">
    <cfRule type="cellIs" dxfId="10306" priority="225" operator="equal">
      <formula>0</formula>
    </cfRule>
  </conditionalFormatting>
  <conditionalFormatting sqref="M163:M164">
    <cfRule type="cellIs" dxfId="10305" priority="224" operator="equal">
      <formula>0</formula>
    </cfRule>
  </conditionalFormatting>
  <conditionalFormatting sqref="L163:L164">
    <cfRule type="cellIs" dxfId="10304" priority="223" operator="equal">
      <formula>0</formula>
    </cfRule>
  </conditionalFormatting>
  <conditionalFormatting sqref="D189:R189">
    <cfRule type="cellIs" dxfId="10303" priority="222" operator="equal">
      <formula>0</formula>
    </cfRule>
  </conditionalFormatting>
  <conditionalFormatting sqref="D182:R190 D180:R180 D161:R166 D160:G160 L160:M160 P160:R160">
    <cfRule type="expression" dxfId="10302" priority="221">
      <formula>LEN(TRIM(D160))=0</formula>
    </cfRule>
  </conditionalFormatting>
  <conditionalFormatting sqref="D189:R189">
    <cfRule type="cellIs" dxfId="10301" priority="220" operator="equal">
      <formula>0</formula>
    </cfRule>
  </conditionalFormatting>
  <conditionalFormatting sqref="O161:O162">
    <cfRule type="cellIs" dxfId="10300" priority="219" operator="equal">
      <formula>0</formula>
    </cfRule>
  </conditionalFormatting>
  <conditionalFormatting sqref="O163:O165 O181">
    <cfRule type="cellIs" dxfId="10299" priority="218" operator="equal">
      <formula>0</formula>
    </cfRule>
  </conditionalFormatting>
  <conditionalFormatting sqref="N161:N162">
    <cfRule type="cellIs" dxfId="10298" priority="217" operator="equal">
      <formula>0</formula>
    </cfRule>
  </conditionalFormatting>
  <conditionalFormatting sqref="N163:N165 N181">
    <cfRule type="cellIs" dxfId="10297" priority="216" operator="equal">
      <formula>0</formula>
    </cfRule>
  </conditionalFormatting>
  <conditionalFormatting sqref="M160:M162">
    <cfRule type="cellIs" dxfId="10296" priority="215" operator="equal">
      <formula>0</formula>
    </cfRule>
  </conditionalFormatting>
  <conditionalFormatting sqref="M163:M165 M181">
    <cfRule type="cellIs" dxfId="10295" priority="214" operator="equal">
      <formula>0</formula>
    </cfRule>
  </conditionalFormatting>
  <conditionalFormatting sqref="L160:L162">
    <cfRule type="cellIs" dxfId="10294" priority="213" operator="equal">
      <formula>0</formula>
    </cfRule>
  </conditionalFormatting>
  <conditionalFormatting sqref="L163:L165 L181">
    <cfRule type="cellIs" dxfId="10293" priority="212" operator="equal">
      <formula>0</formula>
    </cfRule>
  </conditionalFormatting>
  <conditionalFormatting sqref="K161:K162">
    <cfRule type="cellIs" dxfId="10292" priority="211" operator="equal">
      <formula>0</formula>
    </cfRule>
  </conditionalFormatting>
  <conditionalFormatting sqref="K163:K165 K181">
    <cfRule type="cellIs" dxfId="10291" priority="210" operator="equal">
      <formula>0</formula>
    </cfRule>
  </conditionalFormatting>
  <conditionalFormatting sqref="J161:J162">
    <cfRule type="cellIs" dxfId="10290" priority="209" operator="equal">
      <formula>0</formula>
    </cfRule>
  </conditionalFormatting>
  <conditionalFormatting sqref="J163:J165 J181">
    <cfRule type="cellIs" dxfId="10289" priority="208" operator="equal">
      <formula>0</formula>
    </cfRule>
  </conditionalFormatting>
  <conditionalFormatting sqref="L160:M160">
    <cfRule type="cellIs" dxfId="10288" priority="207" operator="equal">
      <formula>0</formula>
    </cfRule>
  </conditionalFormatting>
  <conditionalFormatting sqref="F161:F162">
    <cfRule type="cellIs" dxfId="10287" priority="206" operator="equal">
      <formula>0</formula>
    </cfRule>
  </conditionalFormatting>
  <conditionalFormatting sqref="P160:R160 L160:M160 D161:R162">
    <cfRule type="cellIs" dxfId="10286" priority="205" operator="equal">
      <formula>0</formula>
    </cfRule>
  </conditionalFormatting>
  <conditionalFormatting sqref="P160:P162">
    <cfRule type="cellIs" dxfId="10285" priority="204" operator="equal">
      <formula>0</formula>
    </cfRule>
  </conditionalFormatting>
  <conditionalFormatting sqref="D190:R190 P181:R181 D181:I181 D182:R188 D180:R180 D161:R167 D160:G160 L160:M160 P160:R160">
    <cfRule type="cellIs" dxfId="10284" priority="203" operator="equal">
      <formula>0</formula>
    </cfRule>
  </conditionalFormatting>
  <conditionalFormatting sqref="N123:O123">
    <cfRule type="expression" dxfId="10283" priority="202">
      <formula>LEN(TRIM(N123))=0</formula>
    </cfRule>
  </conditionalFormatting>
  <conditionalFormatting sqref="N123:O123">
    <cfRule type="cellIs" dxfId="10282" priority="201" operator="equal">
      <formula>0</formula>
    </cfRule>
  </conditionalFormatting>
  <conditionalFormatting sqref="N123:O123">
    <cfRule type="cellIs" dxfId="10281" priority="200" operator="equal">
      <formula>0</formula>
    </cfRule>
  </conditionalFormatting>
  <conditionalFormatting sqref="H123:K123">
    <cfRule type="expression" dxfId="10280" priority="199">
      <formula>LEN(TRIM(H123))=0</formula>
    </cfRule>
  </conditionalFormatting>
  <conditionalFormatting sqref="K123">
    <cfRule type="cellIs" dxfId="10279" priority="198" operator="equal">
      <formula>0</formula>
    </cfRule>
  </conditionalFormatting>
  <conditionalFormatting sqref="J123:K123">
    <cfRule type="cellIs" dxfId="10278" priority="197" operator="equal">
      <formula>0</formula>
    </cfRule>
  </conditionalFormatting>
  <conditionalFormatting sqref="I123">
    <cfRule type="cellIs" dxfId="10277" priority="196" operator="equal">
      <formula>0</formula>
    </cfRule>
  </conditionalFormatting>
  <conditionalFormatting sqref="H123">
    <cfRule type="cellIs" dxfId="10276" priority="195" operator="equal">
      <formula>0</formula>
    </cfRule>
  </conditionalFormatting>
  <conditionalFormatting sqref="D131:R142">
    <cfRule type="expression" dxfId="10275" priority="194">
      <formula>LEN(TRIM(D131))=0</formula>
    </cfRule>
  </conditionalFormatting>
  <conditionalFormatting sqref="D131:R142">
    <cfRule type="cellIs" dxfId="10274" priority="193" operator="equal">
      <formula>0</formula>
    </cfRule>
  </conditionalFormatting>
  <conditionalFormatting sqref="N127:O127">
    <cfRule type="cellIs" dxfId="10273" priority="192" operator="equal">
      <formula>0</formula>
    </cfRule>
  </conditionalFormatting>
  <conditionalFormatting sqref="N126:O126">
    <cfRule type="cellIs" dxfId="10272" priority="191" operator="equal">
      <formula>0</formula>
    </cfRule>
  </conditionalFormatting>
  <conditionalFormatting sqref="M126:M127">
    <cfRule type="cellIs" dxfId="10271" priority="190" operator="equal">
      <formula>0</formula>
    </cfRule>
  </conditionalFormatting>
  <conditionalFormatting sqref="L126:L127">
    <cfRule type="cellIs" dxfId="10270" priority="189" operator="equal">
      <formula>0</formula>
    </cfRule>
  </conditionalFormatting>
  <conditionalFormatting sqref="D152:R152">
    <cfRule type="cellIs" dxfId="10269" priority="188" operator="equal">
      <formula>0</formula>
    </cfRule>
  </conditionalFormatting>
  <conditionalFormatting sqref="D145:R153 D143:R143 D124:R129 D123:G123 L123:M123 P123:R123">
    <cfRule type="expression" dxfId="10268" priority="187">
      <formula>LEN(TRIM(D123))=0</formula>
    </cfRule>
  </conditionalFormatting>
  <conditionalFormatting sqref="D152:R152">
    <cfRule type="cellIs" dxfId="10267" priority="186" operator="equal">
      <formula>0</formula>
    </cfRule>
  </conditionalFormatting>
  <conditionalFormatting sqref="O124:O125">
    <cfRule type="cellIs" dxfId="10266" priority="185" operator="equal">
      <formula>0</formula>
    </cfRule>
  </conditionalFormatting>
  <conditionalFormatting sqref="O126:O128 O144">
    <cfRule type="cellIs" dxfId="10265" priority="184" operator="equal">
      <formula>0</formula>
    </cfRule>
  </conditionalFormatting>
  <conditionalFormatting sqref="N124:N125">
    <cfRule type="cellIs" dxfId="10264" priority="183" operator="equal">
      <formula>0</formula>
    </cfRule>
  </conditionalFormatting>
  <conditionalFormatting sqref="N126:N128 N144">
    <cfRule type="cellIs" dxfId="10263" priority="182" operator="equal">
      <formula>0</formula>
    </cfRule>
  </conditionalFormatting>
  <conditionalFormatting sqref="M123:M125">
    <cfRule type="cellIs" dxfId="10262" priority="181" operator="equal">
      <formula>0</formula>
    </cfRule>
  </conditionalFormatting>
  <conditionalFormatting sqref="M126:M128 M144">
    <cfRule type="cellIs" dxfId="10261" priority="180" operator="equal">
      <formula>0</formula>
    </cfRule>
  </conditionalFormatting>
  <conditionalFormatting sqref="L123:L125">
    <cfRule type="cellIs" dxfId="10260" priority="179" operator="equal">
      <formula>0</formula>
    </cfRule>
  </conditionalFormatting>
  <conditionalFormatting sqref="L126:L128 L144">
    <cfRule type="cellIs" dxfId="10259" priority="178" operator="equal">
      <formula>0</formula>
    </cfRule>
  </conditionalFormatting>
  <conditionalFormatting sqref="K124:K125">
    <cfRule type="cellIs" dxfId="10258" priority="177" operator="equal">
      <formula>0</formula>
    </cfRule>
  </conditionalFormatting>
  <conditionalFormatting sqref="K126:K128 K144">
    <cfRule type="cellIs" dxfId="10257" priority="176" operator="equal">
      <formula>0</formula>
    </cfRule>
  </conditionalFormatting>
  <conditionalFormatting sqref="J124:J125">
    <cfRule type="cellIs" dxfId="10256" priority="175" operator="equal">
      <formula>0</formula>
    </cfRule>
  </conditionalFormatting>
  <conditionalFormatting sqref="J126:J128 J144">
    <cfRule type="cellIs" dxfId="10255" priority="174" operator="equal">
      <formula>0</formula>
    </cfRule>
  </conditionalFormatting>
  <conditionalFormatting sqref="L123:M123">
    <cfRule type="cellIs" dxfId="10254" priority="173" operator="equal">
      <formula>0</formula>
    </cfRule>
  </conditionalFormatting>
  <conditionalFormatting sqref="F124:F125">
    <cfRule type="cellIs" dxfId="10253" priority="172" operator="equal">
      <formula>0</formula>
    </cfRule>
  </conditionalFormatting>
  <conditionalFormatting sqref="P123:R123 L123:M123 D124:R125">
    <cfRule type="cellIs" dxfId="10252" priority="171" operator="equal">
      <formula>0</formula>
    </cfRule>
  </conditionalFormatting>
  <conditionalFormatting sqref="P123:P125">
    <cfRule type="cellIs" dxfId="10251" priority="170" operator="equal">
      <formula>0</formula>
    </cfRule>
  </conditionalFormatting>
  <conditionalFormatting sqref="D153:R153 P144:R144 D144:I144 D145:R151 D143:R143 D124:R130 D123:G123 L123:M123 P123:R123">
    <cfRule type="cellIs" dxfId="10250" priority="169" operator="equal">
      <formula>0</formula>
    </cfRule>
  </conditionalFormatting>
  <conditionalFormatting sqref="N86:O86">
    <cfRule type="expression" dxfId="10249" priority="168">
      <formula>LEN(TRIM(N86))=0</formula>
    </cfRule>
  </conditionalFormatting>
  <conditionalFormatting sqref="N86:O86">
    <cfRule type="cellIs" dxfId="10248" priority="167" operator="equal">
      <formula>0</formula>
    </cfRule>
  </conditionalFormatting>
  <conditionalFormatting sqref="N86:O86">
    <cfRule type="cellIs" dxfId="10247" priority="166" operator="equal">
      <formula>0</formula>
    </cfRule>
  </conditionalFormatting>
  <conditionalFormatting sqref="H86:K86">
    <cfRule type="expression" dxfId="10246" priority="165">
      <formula>LEN(TRIM(H86))=0</formula>
    </cfRule>
  </conditionalFormatting>
  <conditionalFormatting sqref="K86">
    <cfRule type="cellIs" dxfId="10245" priority="164" operator="equal">
      <formula>0</formula>
    </cfRule>
  </conditionalFormatting>
  <conditionalFormatting sqref="J86:K86">
    <cfRule type="cellIs" dxfId="10244" priority="163" operator="equal">
      <formula>0</formula>
    </cfRule>
  </conditionalFormatting>
  <conditionalFormatting sqref="I86">
    <cfRule type="cellIs" dxfId="10243" priority="162" operator="equal">
      <formula>0</formula>
    </cfRule>
  </conditionalFormatting>
  <conditionalFormatting sqref="H86">
    <cfRule type="cellIs" dxfId="10242" priority="161" operator="equal">
      <formula>0</formula>
    </cfRule>
  </conditionalFormatting>
  <conditionalFormatting sqref="D94:R105">
    <cfRule type="expression" dxfId="10241" priority="160">
      <formula>LEN(TRIM(D94))=0</formula>
    </cfRule>
  </conditionalFormatting>
  <conditionalFormatting sqref="D94:R105">
    <cfRule type="cellIs" dxfId="10240" priority="159" operator="equal">
      <formula>0</formula>
    </cfRule>
  </conditionalFormatting>
  <conditionalFormatting sqref="N90:O90">
    <cfRule type="cellIs" dxfId="10239" priority="158" operator="equal">
      <formula>0</formula>
    </cfRule>
  </conditionalFormatting>
  <conditionalFormatting sqref="N89:O89">
    <cfRule type="cellIs" dxfId="10238" priority="157" operator="equal">
      <formula>0</formula>
    </cfRule>
  </conditionalFormatting>
  <conditionalFormatting sqref="M89:M90">
    <cfRule type="cellIs" dxfId="10237" priority="156" operator="equal">
      <formula>0</formula>
    </cfRule>
  </conditionalFormatting>
  <conditionalFormatting sqref="L89:L90">
    <cfRule type="cellIs" dxfId="10236" priority="155" operator="equal">
      <formula>0</formula>
    </cfRule>
  </conditionalFormatting>
  <conditionalFormatting sqref="D115:R115">
    <cfRule type="cellIs" dxfId="10235" priority="154" operator="equal">
      <formula>0</formula>
    </cfRule>
  </conditionalFormatting>
  <conditionalFormatting sqref="D108:R116 D106:R106 D87:R92 D86:G86 L86:M86 P86:R86">
    <cfRule type="expression" dxfId="10234" priority="153">
      <formula>LEN(TRIM(D86))=0</formula>
    </cfRule>
  </conditionalFormatting>
  <conditionalFormatting sqref="D115:R115">
    <cfRule type="cellIs" dxfId="10233" priority="152" operator="equal">
      <formula>0</formula>
    </cfRule>
  </conditionalFormatting>
  <conditionalFormatting sqref="O87:O88">
    <cfRule type="cellIs" dxfId="10232" priority="151" operator="equal">
      <formula>0</formula>
    </cfRule>
  </conditionalFormatting>
  <conditionalFormatting sqref="O89:O91 O107">
    <cfRule type="cellIs" dxfId="10231" priority="150" operator="equal">
      <formula>0</formula>
    </cfRule>
  </conditionalFormatting>
  <conditionalFormatting sqref="N87:N88">
    <cfRule type="cellIs" dxfId="10230" priority="149" operator="equal">
      <formula>0</formula>
    </cfRule>
  </conditionalFormatting>
  <conditionalFormatting sqref="N89:N91 N107">
    <cfRule type="cellIs" dxfId="10229" priority="148" operator="equal">
      <formula>0</formula>
    </cfRule>
  </conditionalFormatting>
  <conditionalFormatting sqref="M86:M88">
    <cfRule type="cellIs" dxfId="10228" priority="147" operator="equal">
      <formula>0</formula>
    </cfRule>
  </conditionalFormatting>
  <conditionalFormatting sqref="M89:M91 M107">
    <cfRule type="cellIs" dxfId="10227" priority="146" operator="equal">
      <formula>0</formula>
    </cfRule>
  </conditionalFormatting>
  <conditionalFormatting sqref="L86:L88">
    <cfRule type="cellIs" dxfId="10226" priority="145" operator="equal">
      <formula>0</formula>
    </cfRule>
  </conditionalFormatting>
  <conditionalFormatting sqref="L89:L91 L107">
    <cfRule type="cellIs" dxfId="10225" priority="144" operator="equal">
      <formula>0</formula>
    </cfRule>
  </conditionalFormatting>
  <conditionalFormatting sqref="K87:K88">
    <cfRule type="cellIs" dxfId="10224" priority="143" operator="equal">
      <formula>0</formula>
    </cfRule>
  </conditionalFormatting>
  <conditionalFormatting sqref="K89:K91 K107">
    <cfRule type="cellIs" dxfId="10223" priority="142" operator="equal">
      <formula>0</formula>
    </cfRule>
  </conditionalFormatting>
  <conditionalFormatting sqref="J87:J88">
    <cfRule type="cellIs" dxfId="10222" priority="141" operator="equal">
      <formula>0</formula>
    </cfRule>
  </conditionalFormatting>
  <conditionalFormatting sqref="J89:J91 J107">
    <cfRule type="cellIs" dxfId="10221" priority="140" operator="equal">
      <formula>0</formula>
    </cfRule>
  </conditionalFormatting>
  <conditionalFormatting sqref="L86:M86">
    <cfRule type="cellIs" dxfId="10220" priority="139" operator="equal">
      <formula>0</formula>
    </cfRule>
  </conditionalFormatting>
  <conditionalFormatting sqref="F87:F88">
    <cfRule type="cellIs" dxfId="10219" priority="138" operator="equal">
      <formula>0</formula>
    </cfRule>
  </conditionalFormatting>
  <conditionalFormatting sqref="P86:R86 L86:M86 D87:R88">
    <cfRule type="cellIs" dxfId="10218" priority="137" operator="equal">
      <formula>0</formula>
    </cfRule>
  </conditionalFormatting>
  <conditionalFormatting sqref="P86:P88">
    <cfRule type="cellIs" dxfId="10217" priority="136" operator="equal">
      <formula>0</formula>
    </cfRule>
  </conditionalFormatting>
  <conditionalFormatting sqref="D116:R116 P107:R107 D107:I107 D108:R114 D106:R106 D87:R93 D86:G86 L86:M86 P86:R86">
    <cfRule type="cellIs" dxfId="10216" priority="135" operator="equal">
      <formula>0</formula>
    </cfRule>
  </conditionalFormatting>
  <conditionalFormatting sqref="S182:S190 S160:S166 S168:S180">
    <cfRule type="expression" dxfId="10215" priority="134">
      <formula>LEN(TRIM(S160))=0</formula>
    </cfRule>
  </conditionalFormatting>
  <conditionalFormatting sqref="S189">
    <cfRule type="cellIs" dxfId="10214" priority="133" operator="equal">
      <formula>0</formula>
    </cfRule>
  </conditionalFormatting>
  <conditionalFormatting sqref="S190 S160:S188">
    <cfRule type="cellIs" dxfId="10213" priority="132" operator="equal">
      <formula>0</formula>
    </cfRule>
  </conditionalFormatting>
  <conditionalFormatting sqref="S145:S153 S123:S129 S131:S143">
    <cfRule type="expression" dxfId="10212" priority="131">
      <formula>LEN(TRIM(S123))=0</formula>
    </cfRule>
  </conditionalFormatting>
  <conditionalFormatting sqref="S152">
    <cfRule type="cellIs" dxfId="10211" priority="130" operator="equal">
      <formula>0</formula>
    </cfRule>
  </conditionalFormatting>
  <conditionalFormatting sqref="S153 S123:S151">
    <cfRule type="cellIs" dxfId="10210" priority="129" operator="equal">
      <formula>0</formula>
    </cfRule>
  </conditionalFormatting>
  <conditionalFormatting sqref="S108:S116 S86:S92 S94:S106">
    <cfRule type="expression" dxfId="10209" priority="128">
      <formula>LEN(TRIM(S86))=0</formula>
    </cfRule>
  </conditionalFormatting>
  <conditionalFormatting sqref="S115">
    <cfRule type="cellIs" dxfId="10208" priority="127" operator="equal">
      <formula>0</formula>
    </cfRule>
  </conditionalFormatting>
  <conditionalFormatting sqref="S116 S86:S114">
    <cfRule type="cellIs" dxfId="10207" priority="126" operator="equal">
      <formula>0</formula>
    </cfRule>
  </conditionalFormatting>
  <conditionalFormatting sqref="O159">
    <cfRule type="cellIs" dxfId="10206" priority="125" operator="equal">
      <formula>0</formula>
    </cfRule>
  </conditionalFormatting>
  <conditionalFormatting sqref="J159:N159">
    <cfRule type="cellIs" dxfId="10205" priority="124" operator="equal">
      <formula>0</formula>
    </cfRule>
  </conditionalFormatting>
  <conditionalFormatting sqref="O122">
    <cfRule type="cellIs" dxfId="10204" priority="123" operator="equal">
      <formula>0</formula>
    </cfRule>
  </conditionalFormatting>
  <conditionalFormatting sqref="J122:N122">
    <cfRule type="cellIs" dxfId="10203" priority="122" operator="equal">
      <formula>0</formula>
    </cfRule>
  </conditionalFormatting>
  <conditionalFormatting sqref="O85">
    <cfRule type="cellIs" dxfId="10202" priority="121" operator="equal">
      <formula>0</formula>
    </cfRule>
  </conditionalFormatting>
  <conditionalFormatting sqref="J85:N85">
    <cfRule type="cellIs" dxfId="10201" priority="120" operator="equal">
      <formula>0</formula>
    </cfRule>
  </conditionalFormatting>
  <conditionalFormatting sqref="N49:O49">
    <cfRule type="expression" dxfId="10200" priority="119">
      <formula>LEN(TRIM(N49))=0</formula>
    </cfRule>
  </conditionalFormatting>
  <conditionalFormatting sqref="N49:O49">
    <cfRule type="cellIs" dxfId="10199" priority="118" operator="equal">
      <formula>0</formula>
    </cfRule>
  </conditionalFormatting>
  <conditionalFormatting sqref="N49:O49">
    <cfRule type="cellIs" dxfId="10198" priority="117" operator="equal">
      <formula>0</formula>
    </cfRule>
  </conditionalFormatting>
  <conditionalFormatting sqref="H49:K49">
    <cfRule type="expression" dxfId="10197" priority="116">
      <formula>LEN(TRIM(H49))=0</formula>
    </cfRule>
  </conditionalFormatting>
  <conditionalFormatting sqref="K49">
    <cfRule type="cellIs" dxfId="10196" priority="115" operator="equal">
      <formula>0</formula>
    </cfRule>
  </conditionalFormatting>
  <conditionalFormatting sqref="J49:K49">
    <cfRule type="cellIs" dxfId="10195" priority="114" operator="equal">
      <formula>0</formula>
    </cfRule>
  </conditionalFormatting>
  <conditionalFormatting sqref="I49">
    <cfRule type="cellIs" dxfId="10194" priority="113" operator="equal">
      <formula>0</formula>
    </cfRule>
  </conditionalFormatting>
  <conditionalFormatting sqref="H49">
    <cfRule type="cellIs" dxfId="10193" priority="112" operator="equal">
      <formula>0</formula>
    </cfRule>
  </conditionalFormatting>
  <conditionalFormatting sqref="D57:R68">
    <cfRule type="expression" dxfId="10192" priority="111">
      <formula>LEN(TRIM(D57))=0</formula>
    </cfRule>
  </conditionalFormatting>
  <conditionalFormatting sqref="D57:R68">
    <cfRule type="cellIs" dxfId="10191" priority="110" operator="equal">
      <formula>0</formula>
    </cfRule>
  </conditionalFormatting>
  <conditionalFormatting sqref="N53:O53">
    <cfRule type="cellIs" dxfId="10190" priority="109" operator="equal">
      <formula>0</formula>
    </cfRule>
  </conditionalFormatting>
  <conditionalFormatting sqref="N52:O52">
    <cfRule type="cellIs" dxfId="10189" priority="108" operator="equal">
      <formula>0</formula>
    </cfRule>
  </conditionalFormatting>
  <conditionalFormatting sqref="M52:M53">
    <cfRule type="cellIs" dxfId="10188" priority="107" operator="equal">
      <formula>0</formula>
    </cfRule>
  </conditionalFormatting>
  <conditionalFormatting sqref="L52:L53">
    <cfRule type="cellIs" dxfId="10187" priority="106" operator="equal">
      <formula>0</formula>
    </cfRule>
  </conditionalFormatting>
  <conditionalFormatting sqref="D78:R78">
    <cfRule type="cellIs" dxfId="10186" priority="105" operator="equal">
      <formula>0</formula>
    </cfRule>
  </conditionalFormatting>
  <conditionalFormatting sqref="D71:R79 D69:R69 D50:R55 D49:G49 L49:M49 P49:R49">
    <cfRule type="expression" dxfId="10185" priority="104">
      <formula>LEN(TRIM(D49))=0</formula>
    </cfRule>
  </conditionalFormatting>
  <conditionalFormatting sqref="D78:R78">
    <cfRule type="cellIs" dxfId="10184" priority="103" operator="equal">
      <formula>0</formula>
    </cfRule>
  </conditionalFormatting>
  <conditionalFormatting sqref="O50:O51">
    <cfRule type="cellIs" dxfId="10183" priority="102" operator="equal">
      <formula>0</formula>
    </cfRule>
  </conditionalFormatting>
  <conditionalFormatting sqref="O52:O54 O70">
    <cfRule type="cellIs" dxfId="10182" priority="101" operator="equal">
      <formula>0</formula>
    </cfRule>
  </conditionalFormatting>
  <conditionalFormatting sqref="N50:N51">
    <cfRule type="cellIs" dxfId="10181" priority="100" operator="equal">
      <formula>0</formula>
    </cfRule>
  </conditionalFormatting>
  <conditionalFormatting sqref="N52:N54 N70">
    <cfRule type="cellIs" dxfId="10180" priority="99" operator="equal">
      <formula>0</formula>
    </cfRule>
  </conditionalFormatting>
  <conditionalFormatting sqref="M49:M51">
    <cfRule type="cellIs" dxfId="10179" priority="98" operator="equal">
      <formula>0</formula>
    </cfRule>
  </conditionalFormatting>
  <conditionalFormatting sqref="M52:M54 M70">
    <cfRule type="cellIs" dxfId="10178" priority="97" operator="equal">
      <formula>0</formula>
    </cfRule>
  </conditionalFormatting>
  <conditionalFormatting sqref="L49:L51">
    <cfRule type="cellIs" dxfId="10177" priority="96" operator="equal">
      <formula>0</formula>
    </cfRule>
  </conditionalFormatting>
  <conditionalFormatting sqref="L52:L54 L70">
    <cfRule type="cellIs" dxfId="10176" priority="95" operator="equal">
      <formula>0</formula>
    </cfRule>
  </conditionalFormatting>
  <conditionalFormatting sqref="K50:K51">
    <cfRule type="cellIs" dxfId="10175" priority="94" operator="equal">
      <formula>0</formula>
    </cfRule>
  </conditionalFormatting>
  <conditionalFormatting sqref="K52:K54 K70">
    <cfRule type="cellIs" dxfId="10174" priority="93" operator="equal">
      <formula>0</formula>
    </cfRule>
  </conditionalFormatting>
  <conditionalFormatting sqref="J50:J51">
    <cfRule type="cellIs" dxfId="10173" priority="92" operator="equal">
      <formula>0</formula>
    </cfRule>
  </conditionalFormatting>
  <conditionalFormatting sqref="J52:J54 J70">
    <cfRule type="cellIs" dxfId="10172" priority="91" operator="equal">
      <formula>0</formula>
    </cfRule>
  </conditionalFormatting>
  <conditionalFormatting sqref="L49:M49">
    <cfRule type="cellIs" dxfId="10171" priority="90" operator="equal">
      <formula>0</formula>
    </cfRule>
  </conditionalFormatting>
  <conditionalFormatting sqref="F50:F51">
    <cfRule type="cellIs" dxfId="10170" priority="89" operator="equal">
      <formula>0</formula>
    </cfRule>
  </conditionalFormatting>
  <conditionalFormatting sqref="P49:R49 L49:M49 D50:R51">
    <cfRule type="cellIs" dxfId="10169" priority="88" operator="equal">
      <formula>0</formula>
    </cfRule>
  </conditionalFormatting>
  <conditionalFormatting sqref="P49:P51">
    <cfRule type="cellIs" dxfId="10168" priority="87" operator="equal">
      <formula>0</formula>
    </cfRule>
  </conditionalFormatting>
  <conditionalFormatting sqref="D79:R79 P70:R70 D70:I70 D71:R77 D69:R69 D50:R56 D49:G49 L49:M49 P49:R49">
    <cfRule type="cellIs" dxfId="10167" priority="86" operator="equal">
      <formula>0</formula>
    </cfRule>
  </conditionalFormatting>
  <conditionalFormatting sqref="S71:S79 S49:S55 S57:S69">
    <cfRule type="expression" dxfId="10166" priority="85">
      <formula>LEN(TRIM(S49))=0</formula>
    </cfRule>
  </conditionalFormatting>
  <conditionalFormatting sqref="S78">
    <cfRule type="cellIs" dxfId="10165" priority="84" operator="equal">
      <formula>0</formula>
    </cfRule>
  </conditionalFormatting>
  <conditionalFormatting sqref="S79 S49:S77">
    <cfRule type="cellIs" dxfId="10164" priority="83" operator="equal">
      <formula>0</formula>
    </cfRule>
  </conditionalFormatting>
  <conditionalFormatting sqref="O48">
    <cfRule type="cellIs" dxfId="10163" priority="82" operator="equal">
      <formula>0</formula>
    </cfRule>
  </conditionalFormatting>
  <conditionalFormatting sqref="J48:N48">
    <cfRule type="cellIs" dxfId="10162" priority="81" operator="equal">
      <formula>0</formula>
    </cfRule>
  </conditionalFormatting>
  <conditionalFormatting sqref="N12:O12">
    <cfRule type="expression" dxfId="10161" priority="80">
      <formula>LEN(TRIM(N12))=0</formula>
    </cfRule>
  </conditionalFormatting>
  <conditionalFormatting sqref="N12:O12">
    <cfRule type="cellIs" dxfId="10160" priority="79" operator="equal">
      <formula>0</formula>
    </cfRule>
  </conditionalFormatting>
  <conditionalFormatting sqref="N12:O12">
    <cfRule type="cellIs" dxfId="10159" priority="78" operator="equal">
      <formula>0</formula>
    </cfRule>
  </conditionalFormatting>
  <conditionalFormatting sqref="H12:K12">
    <cfRule type="expression" dxfId="10158" priority="77">
      <formula>LEN(TRIM(H12))=0</formula>
    </cfRule>
  </conditionalFormatting>
  <conditionalFormatting sqref="K12">
    <cfRule type="cellIs" dxfId="10157" priority="76" operator="equal">
      <formula>0</formula>
    </cfRule>
  </conditionalFormatting>
  <conditionalFormatting sqref="J12:K12">
    <cfRule type="cellIs" dxfId="10156" priority="75" operator="equal">
      <formula>0</formula>
    </cfRule>
  </conditionalFormatting>
  <conditionalFormatting sqref="I12">
    <cfRule type="cellIs" dxfId="10155" priority="74" operator="equal">
      <formula>0</formula>
    </cfRule>
  </conditionalFormatting>
  <conditionalFormatting sqref="H12">
    <cfRule type="cellIs" dxfId="10154" priority="73" operator="equal">
      <formula>0</formula>
    </cfRule>
  </conditionalFormatting>
  <conditionalFormatting sqref="D20:R31">
    <cfRule type="expression" dxfId="10153" priority="72">
      <formula>LEN(TRIM(D20))=0</formula>
    </cfRule>
  </conditionalFormatting>
  <conditionalFormatting sqref="D20:R31">
    <cfRule type="cellIs" dxfId="10152" priority="71" operator="equal">
      <formula>0</formula>
    </cfRule>
  </conditionalFormatting>
  <conditionalFormatting sqref="N16:O16">
    <cfRule type="cellIs" dxfId="10151" priority="70" operator="equal">
      <formula>0</formula>
    </cfRule>
  </conditionalFormatting>
  <conditionalFormatting sqref="N15:O15">
    <cfRule type="cellIs" dxfId="10150" priority="69" operator="equal">
      <formula>0</formula>
    </cfRule>
  </conditionalFormatting>
  <conditionalFormatting sqref="M15:M16">
    <cfRule type="cellIs" dxfId="10149" priority="68" operator="equal">
      <formula>0</formula>
    </cfRule>
  </conditionalFormatting>
  <conditionalFormatting sqref="L15:L16">
    <cfRule type="cellIs" dxfId="10148" priority="67" operator="equal">
      <formula>0</formula>
    </cfRule>
  </conditionalFormatting>
  <conditionalFormatting sqref="D41:R41">
    <cfRule type="cellIs" dxfId="10147" priority="66" operator="equal">
      <formula>0</formula>
    </cfRule>
  </conditionalFormatting>
  <conditionalFormatting sqref="D34:R42 D32:R32 D13:R18 D12:G12 L12:M12 P12:R12">
    <cfRule type="expression" dxfId="10146" priority="65">
      <formula>LEN(TRIM(D12))=0</formula>
    </cfRule>
  </conditionalFormatting>
  <conditionalFormatting sqref="D41:R41">
    <cfRule type="cellIs" dxfId="10145" priority="64" operator="equal">
      <formula>0</formula>
    </cfRule>
  </conditionalFormatting>
  <conditionalFormatting sqref="O13:O14">
    <cfRule type="cellIs" dxfId="10144" priority="63" operator="equal">
      <formula>0</formula>
    </cfRule>
  </conditionalFormatting>
  <conditionalFormatting sqref="O15:O17 O33">
    <cfRule type="cellIs" dxfId="10143" priority="62" operator="equal">
      <formula>0</formula>
    </cfRule>
  </conditionalFormatting>
  <conditionalFormatting sqref="N13:N14">
    <cfRule type="cellIs" dxfId="10142" priority="61" operator="equal">
      <formula>0</formula>
    </cfRule>
  </conditionalFormatting>
  <conditionalFormatting sqref="N15:N17 N33">
    <cfRule type="cellIs" dxfId="10141" priority="60" operator="equal">
      <formula>0</formula>
    </cfRule>
  </conditionalFormatting>
  <conditionalFormatting sqref="M12:M14">
    <cfRule type="cellIs" dxfId="10140" priority="59" operator="equal">
      <formula>0</formula>
    </cfRule>
  </conditionalFormatting>
  <conditionalFormatting sqref="M15:M17 M33">
    <cfRule type="cellIs" dxfId="10139" priority="58" operator="equal">
      <formula>0</formula>
    </cfRule>
  </conditionalFormatting>
  <conditionalFormatting sqref="L12:L14">
    <cfRule type="cellIs" dxfId="10138" priority="57" operator="equal">
      <formula>0</formula>
    </cfRule>
  </conditionalFormatting>
  <conditionalFormatting sqref="L15:L17 L33">
    <cfRule type="cellIs" dxfId="10137" priority="56" operator="equal">
      <formula>0</formula>
    </cfRule>
  </conditionalFormatting>
  <conditionalFormatting sqref="K13:K14">
    <cfRule type="cellIs" dxfId="10136" priority="55" operator="equal">
      <formula>0</formula>
    </cfRule>
  </conditionalFormatting>
  <conditionalFormatting sqref="K15:K17 K33">
    <cfRule type="cellIs" dxfId="10135" priority="54" operator="equal">
      <formula>0</formula>
    </cfRule>
  </conditionalFormatting>
  <conditionalFormatting sqref="J13:J14">
    <cfRule type="cellIs" dxfId="10134" priority="53" operator="equal">
      <formula>0</formula>
    </cfRule>
  </conditionalFormatting>
  <conditionalFormatting sqref="J15:J17 J33">
    <cfRule type="cellIs" dxfId="10133" priority="52" operator="equal">
      <formula>0</formula>
    </cfRule>
  </conditionalFormatting>
  <conditionalFormatting sqref="L12:M12">
    <cfRule type="cellIs" dxfId="10132" priority="51" operator="equal">
      <formula>0</formula>
    </cfRule>
  </conditionalFormatting>
  <conditionalFormatting sqref="F13:F14">
    <cfRule type="cellIs" dxfId="10131" priority="50" operator="equal">
      <formula>0</formula>
    </cfRule>
  </conditionalFormatting>
  <conditionalFormatting sqref="P12:R12 L12:M12 D13:R14">
    <cfRule type="cellIs" dxfId="10130" priority="49" operator="equal">
      <formula>0</formula>
    </cfRule>
  </conditionalFormatting>
  <conditionalFormatting sqref="P12:P14">
    <cfRule type="cellIs" dxfId="10129" priority="48" operator="equal">
      <formula>0</formula>
    </cfRule>
  </conditionalFormatting>
  <conditionalFormatting sqref="D42:R42 P33:R33 D33:I33 D34:R40 D32:R32 D13:R19 D12:G12 L12:M12 P12:R12">
    <cfRule type="cellIs" dxfId="10128" priority="47" operator="equal">
      <formula>0</formula>
    </cfRule>
  </conditionalFormatting>
  <conditionalFormatting sqref="S34:S42 S12:S18 S20:S32">
    <cfRule type="expression" dxfId="10127" priority="12">
      <formula>LEN(TRIM(S12))=0</formula>
    </cfRule>
  </conditionalFormatting>
  <conditionalFormatting sqref="S41">
    <cfRule type="cellIs" dxfId="10126" priority="11" operator="equal">
      <formula>0</formula>
    </cfRule>
  </conditionalFormatting>
  <conditionalFormatting sqref="S42 S12:S40">
    <cfRule type="cellIs" dxfId="10125" priority="10" operator="equal">
      <formula>0</formula>
    </cfRule>
  </conditionalFormatting>
  <conditionalFormatting sqref="O11">
    <cfRule type="cellIs" dxfId="10124" priority="6" operator="equal">
      <formula>0</formula>
    </cfRule>
  </conditionalFormatting>
  <conditionalFormatting sqref="J11:N11">
    <cfRule type="cellIs" dxfId="10123" priority="5" operator="equal">
      <formula>0</formula>
    </cfRule>
  </conditionalFormatting>
  <conditionalFormatting sqref="S254">
    <cfRule type="expression" dxfId="10122" priority="2">
      <formula>LEN(TRIM(S254))=0</formula>
    </cfRule>
  </conditionalFormatting>
  <conditionalFormatting sqref="S239:S241 S254:S262">
    <cfRule type="cellIs" dxfId="10121"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9A20-C375-4247-8476-B0CF39517172}">
  <dimension ref="B2:T229"/>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360</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7.3966799999999999</v>
      </c>
      <c r="F12" s="421">
        <v>0</v>
      </c>
      <c r="G12" s="421">
        <v>0.13025600000000001</v>
      </c>
      <c r="H12" s="422">
        <v>1121.3636363636399</v>
      </c>
      <c r="I12" s="422">
        <v>204.83</v>
      </c>
      <c r="J12" s="422">
        <v>181.32702192976799</v>
      </c>
      <c r="K12" s="422">
        <v>23.929538630329802</v>
      </c>
      <c r="L12" s="421">
        <v>0</v>
      </c>
      <c r="M12" s="421">
        <v>0</v>
      </c>
      <c r="N12" s="422">
        <v>51.218112395264598</v>
      </c>
      <c r="O12" s="422">
        <v>4.1137123082446401</v>
      </c>
      <c r="P12" s="421">
        <v>0</v>
      </c>
      <c r="Q12" s="421">
        <v>0</v>
      </c>
      <c r="R12" s="421">
        <v>0</v>
      </c>
      <c r="S12" s="423">
        <v>1594.30895762724</v>
      </c>
      <c r="T12" s="412"/>
    </row>
    <row r="13" spans="2:20" ht="13.5">
      <c r="B13" s="412"/>
      <c r="C13" s="420" t="s">
        <v>60</v>
      </c>
      <c r="D13" s="421">
        <v>35.895169375746498</v>
      </c>
      <c r="E13" s="421">
        <v>524.37115290345105</v>
      </c>
      <c r="F13" s="421">
        <v>114.332913340551</v>
      </c>
      <c r="G13" s="421">
        <v>371.94967802814801</v>
      </c>
      <c r="H13" s="421">
        <v>0</v>
      </c>
      <c r="I13" s="421">
        <v>0</v>
      </c>
      <c r="J13" s="421">
        <v>0</v>
      </c>
      <c r="K13" s="421">
        <v>0</v>
      </c>
      <c r="L13" s="421">
        <v>0</v>
      </c>
      <c r="M13" s="421">
        <v>0</v>
      </c>
      <c r="N13" s="421">
        <v>0</v>
      </c>
      <c r="O13" s="421">
        <v>0</v>
      </c>
      <c r="P13" s="421">
        <v>0</v>
      </c>
      <c r="Q13" s="421">
        <v>0</v>
      </c>
      <c r="R13" s="421">
        <v>0</v>
      </c>
      <c r="S13" s="423">
        <v>1046.5489136479</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-63.764232482267403</v>
      </c>
      <c r="Q14" s="421">
        <v>0</v>
      </c>
      <c r="R14" s="421">
        <v>0</v>
      </c>
      <c r="S14" s="423">
        <v>-63.764232482267403</v>
      </c>
      <c r="T14" s="412"/>
    </row>
    <row r="15" spans="2:20" ht="13.5">
      <c r="B15" s="412"/>
      <c r="C15" s="420" t="s">
        <v>62</v>
      </c>
      <c r="D15" s="421">
        <v>0</v>
      </c>
      <c r="E15" s="421">
        <v>0</v>
      </c>
      <c r="F15" s="421">
        <v>-16.3524327500959</v>
      </c>
      <c r="G15" s="421">
        <v>0</v>
      </c>
      <c r="H15" s="421">
        <v>0</v>
      </c>
      <c r="I15" s="421">
        <v>0</v>
      </c>
      <c r="J15" s="421">
        <v>0</v>
      </c>
      <c r="K15" s="421">
        <v>0</v>
      </c>
      <c r="L15" s="421">
        <v>0</v>
      </c>
      <c r="M15" s="421">
        <v>0</v>
      </c>
      <c r="N15" s="421">
        <v>0</v>
      </c>
      <c r="O15" s="421">
        <v>0</v>
      </c>
      <c r="P15" s="421">
        <v>0</v>
      </c>
      <c r="Q15" s="421">
        <v>0</v>
      </c>
      <c r="R15" s="421">
        <v>0</v>
      </c>
      <c r="S15" s="423">
        <v>-16.3524327500959</v>
      </c>
      <c r="T15" s="412"/>
    </row>
    <row r="16" spans="2:20" ht="13.5">
      <c r="B16" s="412"/>
      <c r="C16" s="420" t="s">
        <v>63</v>
      </c>
      <c r="D16" s="421">
        <v>0</v>
      </c>
      <c r="E16" s="421">
        <v>0</v>
      </c>
      <c r="F16" s="421">
        <v>-82.072762113811194</v>
      </c>
      <c r="G16" s="421">
        <v>0</v>
      </c>
      <c r="H16" s="421">
        <v>0</v>
      </c>
      <c r="I16" s="421">
        <v>0</v>
      </c>
      <c r="J16" s="421">
        <v>0</v>
      </c>
      <c r="K16" s="421">
        <v>0</v>
      </c>
      <c r="L16" s="421">
        <v>-0.84850040331290999</v>
      </c>
      <c r="M16" s="421">
        <v>0</v>
      </c>
      <c r="N16" s="421">
        <v>0</v>
      </c>
      <c r="O16" s="421">
        <v>0</v>
      </c>
      <c r="P16" s="421">
        <v>0</v>
      </c>
      <c r="Q16" s="421">
        <v>0</v>
      </c>
      <c r="R16" s="421">
        <v>0</v>
      </c>
      <c r="S16" s="423">
        <v>-82.921262517124106</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35.895169375746498</v>
      </c>
      <c r="E18" s="425">
        <v>531.76783290345099</v>
      </c>
      <c r="F18" s="425">
        <v>15.907718476643501</v>
      </c>
      <c r="G18" s="425">
        <v>372.07993402814799</v>
      </c>
      <c r="H18" s="425">
        <v>1121.3636363636399</v>
      </c>
      <c r="I18" s="425">
        <v>204.83</v>
      </c>
      <c r="J18" s="425">
        <v>181.32702192976799</v>
      </c>
      <c r="K18" s="425">
        <v>23.929538630329802</v>
      </c>
      <c r="L18" s="425">
        <v>-0.84850040331290999</v>
      </c>
      <c r="M18" s="425">
        <v>0</v>
      </c>
      <c r="N18" s="425">
        <v>51.218112395264598</v>
      </c>
      <c r="O18" s="425">
        <v>4.1137123082446401</v>
      </c>
      <c r="P18" s="425">
        <v>-63.764232482267403</v>
      </c>
      <c r="Q18" s="425">
        <v>0</v>
      </c>
      <c r="R18" s="425">
        <v>0</v>
      </c>
      <c r="S18" s="425">
        <v>2477.8199435256502</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19.3842302630087</v>
      </c>
      <c r="H21" s="421">
        <v>1121.3636363636399</v>
      </c>
      <c r="I21" s="421">
        <v>204.83</v>
      </c>
      <c r="J21" s="421">
        <v>25.6968541009532</v>
      </c>
      <c r="K21" s="421">
        <v>6.9082981230435703</v>
      </c>
      <c r="L21" s="421">
        <v>0</v>
      </c>
      <c r="M21" s="421">
        <v>0.39559653597976902</v>
      </c>
      <c r="N21" s="421">
        <v>0</v>
      </c>
      <c r="O21" s="421">
        <v>0</v>
      </c>
      <c r="P21" s="421">
        <v>-598.30725344043606</v>
      </c>
      <c r="Q21" s="421">
        <v>0</v>
      </c>
      <c r="R21" s="421">
        <v>0</v>
      </c>
      <c r="S21" s="429">
        <v>786.335469045389</v>
      </c>
      <c r="T21" s="412"/>
    </row>
    <row r="22" spans="2:20" ht="13.5">
      <c r="B22" s="412"/>
      <c r="C22" s="428" t="s">
        <v>351</v>
      </c>
      <c r="D22" s="421">
        <v>0</v>
      </c>
      <c r="E22" s="421">
        <v>0</v>
      </c>
      <c r="F22" s="421">
        <v>0</v>
      </c>
      <c r="G22" s="421">
        <v>17.221606845423</v>
      </c>
      <c r="H22" s="421">
        <v>0</v>
      </c>
      <c r="I22" s="421">
        <v>0</v>
      </c>
      <c r="J22" s="421">
        <v>12.908782164778099</v>
      </c>
      <c r="K22" s="421">
        <v>12.746985757209</v>
      </c>
      <c r="L22" s="421">
        <v>0</v>
      </c>
      <c r="M22" s="421">
        <v>0.351461364192306</v>
      </c>
      <c r="N22" s="421">
        <v>0</v>
      </c>
      <c r="O22" s="421">
        <v>2.2502067182143302</v>
      </c>
      <c r="P22" s="421">
        <v>0</v>
      </c>
      <c r="Q22" s="421">
        <v>-41.107741425574098</v>
      </c>
      <c r="R22" s="421">
        <v>0</v>
      </c>
      <c r="S22" s="429">
        <v>4.3713014242427501</v>
      </c>
      <c r="T22" s="412"/>
    </row>
    <row r="23" spans="2:20" ht="13.5">
      <c r="B23" s="412"/>
      <c r="C23" s="428" t="s">
        <v>352</v>
      </c>
      <c r="D23" s="421">
        <v>0</v>
      </c>
      <c r="E23" s="421">
        <v>0</v>
      </c>
      <c r="F23" s="421">
        <v>0</v>
      </c>
      <c r="G23" s="421">
        <v>0</v>
      </c>
      <c r="H23" s="421">
        <v>0</v>
      </c>
      <c r="I23" s="421">
        <v>0</v>
      </c>
      <c r="J23" s="421">
        <v>8.3133555663813503</v>
      </c>
      <c r="K23" s="421">
        <v>0</v>
      </c>
      <c r="L23" s="421">
        <v>0</v>
      </c>
      <c r="M23" s="421">
        <v>-7.3386146262231398</v>
      </c>
      <c r="N23" s="421">
        <v>0</v>
      </c>
      <c r="O23" s="421">
        <v>0</v>
      </c>
      <c r="P23" s="421">
        <v>0</v>
      </c>
      <c r="Q23" s="421">
        <v>0</v>
      </c>
      <c r="R23" s="421">
        <v>0</v>
      </c>
      <c r="S23" s="429">
        <v>0.974740940158213</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550.85495716936998</v>
      </c>
      <c r="F25" s="421">
        <v>-545.34640759767603</v>
      </c>
      <c r="G25" s="421">
        <v>0</v>
      </c>
      <c r="H25" s="421">
        <v>0</v>
      </c>
      <c r="I25" s="421">
        <v>0</v>
      </c>
      <c r="J25" s="421">
        <v>0</v>
      </c>
      <c r="K25" s="421">
        <v>0</v>
      </c>
      <c r="L25" s="421">
        <v>0</v>
      </c>
      <c r="M25" s="421">
        <v>0</v>
      </c>
      <c r="N25" s="421">
        <v>0</v>
      </c>
      <c r="O25" s="421">
        <v>0</v>
      </c>
      <c r="P25" s="421">
        <v>0</v>
      </c>
      <c r="Q25" s="421">
        <v>0</v>
      </c>
      <c r="R25" s="421">
        <v>0</v>
      </c>
      <c r="S25" s="429">
        <v>5.5085495716937203</v>
      </c>
      <c r="T25" s="412"/>
    </row>
    <row r="26" spans="2:20" ht="13.5">
      <c r="B26" s="412"/>
      <c r="C26" s="428" t="s">
        <v>354</v>
      </c>
      <c r="D26" s="421">
        <v>0</v>
      </c>
      <c r="E26" s="421">
        <v>0</v>
      </c>
      <c r="F26" s="421">
        <v>0</v>
      </c>
      <c r="G26" s="421">
        <v>0</v>
      </c>
      <c r="H26" s="421">
        <v>0</v>
      </c>
      <c r="I26" s="421">
        <v>0</v>
      </c>
      <c r="J26" s="421">
        <v>39.093854884301599</v>
      </c>
      <c r="K26" s="421">
        <v>0</v>
      </c>
      <c r="L26" s="421">
        <v>-39.093854884301599</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-0.17691580225894701</v>
      </c>
      <c r="M27" s="421">
        <v>0</v>
      </c>
      <c r="N27" s="421">
        <v>0</v>
      </c>
      <c r="O27" s="421">
        <v>0</v>
      </c>
      <c r="P27" s="421">
        <v>0</v>
      </c>
      <c r="Q27" s="421">
        <v>0</v>
      </c>
      <c r="R27" s="421">
        <v>0.25273686036992499</v>
      </c>
      <c r="S27" s="429">
        <v>7.5821058110977502E-2</v>
      </c>
      <c r="T27" s="412"/>
    </row>
    <row r="28" spans="2:20" ht="13.5">
      <c r="B28" s="412"/>
      <c r="C28" s="428" t="s">
        <v>73</v>
      </c>
      <c r="D28" s="421">
        <v>0</v>
      </c>
      <c r="E28" s="421">
        <v>0</v>
      </c>
      <c r="F28" s="421">
        <v>0</v>
      </c>
      <c r="G28" s="421">
        <v>1.8824761736884601</v>
      </c>
      <c r="H28" s="421">
        <v>0</v>
      </c>
      <c r="I28" s="421">
        <v>0</v>
      </c>
      <c r="J28" s="421">
        <v>0</v>
      </c>
      <c r="K28" s="421">
        <v>2.1248828039647599E-2</v>
      </c>
      <c r="L28" s="421">
        <v>0</v>
      </c>
      <c r="M28" s="421">
        <v>3.8417881095682803E-2</v>
      </c>
      <c r="N28" s="421">
        <v>0</v>
      </c>
      <c r="O28" s="421">
        <v>0</v>
      </c>
      <c r="P28" s="421">
        <v>0.19366834943024799</v>
      </c>
      <c r="Q28" s="421">
        <v>0</v>
      </c>
      <c r="R28" s="421">
        <v>-1.4874179627753299</v>
      </c>
      <c r="S28" s="429">
        <v>0.64839326947870701</v>
      </c>
      <c r="T28" s="412"/>
    </row>
    <row r="29" spans="2:20" ht="13.5">
      <c r="B29" s="412"/>
      <c r="C29" s="428" t="s">
        <v>356</v>
      </c>
      <c r="D29" s="421">
        <v>15.374535156249999</v>
      </c>
      <c r="E29" s="421">
        <v>-19.0871242659187</v>
      </c>
      <c r="F29" s="421">
        <v>24.964831154950399</v>
      </c>
      <c r="G29" s="421">
        <v>0</v>
      </c>
      <c r="H29" s="421">
        <v>0</v>
      </c>
      <c r="I29" s="421">
        <v>0</v>
      </c>
      <c r="J29" s="421">
        <v>0</v>
      </c>
      <c r="K29" s="421">
        <v>0</v>
      </c>
      <c r="L29" s="421">
        <v>0</v>
      </c>
      <c r="M29" s="421">
        <v>0</v>
      </c>
      <c r="N29" s="421">
        <v>0</v>
      </c>
      <c r="O29" s="421">
        <v>0</v>
      </c>
      <c r="P29" s="421">
        <v>0</v>
      </c>
      <c r="Q29" s="421">
        <v>0</v>
      </c>
      <c r="R29" s="421">
        <v>0</v>
      </c>
      <c r="S29" s="429">
        <v>21.252242045281701</v>
      </c>
      <c r="T29" s="412"/>
    </row>
    <row r="30" spans="2:20" ht="13.5">
      <c r="B30" s="412"/>
      <c r="C30" s="428" t="s">
        <v>75</v>
      </c>
      <c r="D30" s="421">
        <v>10.0084814453125</v>
      </c>
      <c r="E30" s="421">
        <v>0</v>
      </c>
      <c r="F30" s="421">
        <v>18.729068543758601</v>
      </c>
      <c r="G30" s="421">
        <v>5.3443947944572301</v>
      </c>
      <c r="H30" s="421">
        <v>0</v>
      </c>
      <c r="I30" s="421">
        <v>0</v>
      </c>
      <c r="J30" s="421">
        <v>0</v>
      </c>
      <c r="K30" s="421">
        <v>0</v>
      </c>
      <c r="L30" s="421">
        <v>0</v>
      </c>
      <c r="M30" s="421">
        <v>0.109069281519535</v>
      </c>
      <c r="N30" s="421">
        <v>0</v>
      </c>
      <c r="O30" s="421">
        <v>0</v>
      </c>
      <c r="P30" s="421">
        <v>34.584089944749103</v>
      </c>
      <c r="Q30" s="421">
        <v>0</v>
      </c>
      <c r="R30" s="421">
        <v>0</v>
      </c>
      <c r="S30" s="429">
        <v>68.775104009796905</v>
      </c>
      <c r="T30" s="412"/>
    </row>
    <row r="31" spans="2:20" ht="13.5">
      <c r="B31" s="412"/>
      <c r="C31" s="428" t="s">
        <v>76</v>
      </c>
      <c r="D31" s="421">
        <v>0</v>
      </c>
      <c r="E31" s="421">
        <v>0</v>
      </c>
      <c r="F31" s="421">
        <v>0</v>
      </c>
      <c r="G31" s="421">
        <v>4.2639381425091001</v>
      </c>
      <c r="H31" s="421">
        <v>0</v>
      </c>
      <c r="I31" s="421">
        <v>0</v>
      </c>
      <c r="J31" s="421">
        <v>0</v>
      </c>
      <c r="K31" s="421">
        <v>0</v>
      </c>
      <c r="L31" s="421">
        <v>0</v>
      </c>
      <c r="M31" s="421">
        <v>8.7019145765491801E-2</v>
      </c>
      <c r="N31" s="421">
        <v>0</v>
      </c>
      <c r="O31" s="421">
        <v>0</v>
      </c>
      <c r="P31" s="421">
        <v>40.966824320893799</v>
      </c>
      <c r="Q31" s="421">
        <v>3.1854707377751099</v>
      </c>
      <c r="R31" s="421">
        <v>0</v>
      </c>
      <c r="S31" s="429">
        <v>48.503252346943498</v>
      </c>
      <c r="T31" s="412"/>
    </row>
    <row r="32" spans="2:20" ht="13.5">
      <c r="B32" s="412"/>
      <c r="C32" s="424" t="s">
        <v>77</v>
      </c>
      <c r="D32" s="425">
        <v>27.5834873371291</v>
      </c>
      <c r="E32" s="425">
        <v>531.76783290345099</v>
      </c>
      <c r="F32" s="425">
        <v>-497.788871535331</v>
      </c>
      <c r="G32" s="425">
        <v>48.096646219086502</v>
      </c>
      <c r="H32" s="425">
        <v>1121.3636363636399</v>
      </c>
      <c r="I32" s="425">
        <v>204.83</v>
      </c>
      <c r="J32" s="425">
        <v>86.012846716414401</v>
      </c>
      <c r="K32" s="425">
        <v>19.676532708292299</v>
      </c>
      <c r="L32" s="425">
        <v>-39.270770686560603</v>
      </c>
      <c r="M32" s="425">
        <v>-6.3570504176703597</v>
      </c>
      <c r="N32" s="425">
        <v>0</v>
      </c>
      <c r="O32" s="425">
        <v>2.2502067182143302</v>
      </c>
      <c r="P32" s="425">
        <v>-522.56267082536306</v>
      </c>
      <c r="Q32" s="425">
        <v>-37.9222706877989</v>
      </c>
      <c r="R32" s="425">
        <v>-1.2346811024054101</v>
      </c>
      <c r="S32" s="425">
        <v>936.44487371109506</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6.0139144604924599</v>
      </c>
      <c r="E34" s="421">
        <v>0</v>
      </c>
      <c r="F34" s="421">
        <v>23.633642469065599</v>
      </c>
      <c r="G34" s="421">
        <v>102.391084630545</v>
      </c>
      <c r="H34" s="421">
        <v>0</v>
      </c>
      <c r="I34" s="421">
        <v>0</v>
      </c>
      <c r="J34" s="421">
        <v>17.159172144595999</v>
      </c>
      <c r="K34" s="421">
        <v>4.25300592203756</v>
      </c>
      <c r="L34" s="421">
        <v>0.85978953515625001</v>
      </c>
      <c r="M34" s="421">
        <v>2.08961397205193</v>
      </c>
      <c r="N34" s="421">
        <v>0</v>
      </c>
      <c r="O34" s="421">
        <v>0</v>
      </c>
      <c r="P34" s="421">
        <v>105.422390190743</v>
      </c>
      <c r="Q34" s="421">
        <v>17.9038299201341</v>
      </c>
      <c r="R34" s="421">
        <v>0.246216918945312</v>
      </c>
      <c r="S34" s="429">
        <v>279.97266016376699</v>
      </c>
      <c r="T34" s="412"/>
    </row>
    <row r="35" spans="2:20" ht="13.5">
      <c r="B35" s="412"/>
      <c r="C35" s="428" t="s">
        <v>79</v>
      </c>
      <c r="D35" s="421">
        <v>0</v>
      </c>
      <c r="E35" s="421">
        <v>0</v>
      </c>
      <c r="F35" s="421">
        <v>291.75543836647398</v>
      </c>
      <c r="G35" s="421">
        <v>20.535297042062101</v>
      </c>
      <c r="H35" s="421">
        <v>0</v>
      </c>
      <c r="I35" s="421">
        <v>0</v>
      </c>
      <c r="J35" s="421">
        <v>0</v>
      </c>
      <c r="K35" s="421">
        <v>0</v>
      </c>
      <c r="L35" s="421">
        <v>29.571406958369401</v>
      </c>
      <c r="M35" s="421">
        <v>0.41908769473596202</v>
      </c>
      <c r="N35" s="421">
        <v>0</v>
      </c>
      <c r="O35" s="421">
        <v>0</v>
      </c>
      <c r="P35" s="421">
        <v>38.026089769837199</v>
      </c>
      <c r="Q35" s="421">
        <v>0</v>
      </c>
      <c r="R35" s="421">
        <v>0.81131136729798503</v>
      </c>
      <c r="S35" s="429">
        <v>381.118631198777</v>
      </c>
      <c r="T35" s="412"/>
    </row>
    <row r="36" spans="2:20" ht="13.5">
      <c r="B36" s="412"/>
      <c r="C36" s="428" t="s">
        <v>80</v>
      </c>
      <c r="D36" s="421">
        <v>0</v>
      </c>
      <c r="E36" s="421">
        <v>0</v>
      </c>
      <c r="F36" s="421">
        <v>27.220999009721101</v>
      </c>
      <c r="G36" s="421">
        <v>120.03161923866701</v>
      </c>
      <c r="H36" s="421">
        <v>0</v>
      </c>
      <c r="I36" s="421">
        <v>0</v>
      </c>
      <c r="J36" s="421">
        <v>73.643008497672298</v>
      </c>
      <c r="K36" s="421">
        <v>0</v>
      </c>
      <c r="L36" s="421">
        <v>0</v>
      </c>
      <c r="M36" s="421">
        <v>2.4496248824217699</v>
      </c>
      <c r="N36" s="421">
        <v>44.3894996556715</v>
      </c>
      <c r="O36" s="421">
        <v>0.96187754856444097</v>
      </c>
      <c r="P36" s="421">
        <v>174.81659309154401</v>
      </c>
      <c r="Q36" s="421">
        <v>15.741799933741699</v>
      </c>
      <c r="R36" s="421">
        <v>0</v>
      </c>
      <c r="S36" s="429">
        <v>459.255021858004</v>
      </c>
      <c r="T36" s="412"/>
    </row>
    <row r="37" spans="2:20" ht="13.5">
      <c r="B37" s="412"/>
      <c r="C37" s="428" t="s">
        <v>81</v>
      </c>
      <c r="D37" s="421">
        <v>0</v>
      </c>
      <c r="E37" s="421">
        <v>0</v>
      </c>
      <c r="F37" s="421">
        <v>11.206782837990801</v>
      </c>
      <c r="G37" s="421">
        <v>64.507568852564205</v>
      </c>
      <c r="H37" s="421">
        <v>0</v>
      </c>
      <c r="I37" s="421">
        <v>0</v>
      </c>
      <c r="J37" s="421">
        <v>3.55454723390908</v>
      </c>
      <c r="K37" s="421">
        <v>0</v>
      </c>
      <c r="L37" s="421">
        <v>0</v>
      </c>
      <c r="M37" s="421">
        <v>1.31648099699111</v>
      </c>
      <c r="N37" s="421">
        <v>6.82861273959311</v>
      </c>
      <c r="O37" s="421">
        <v>0.82092458334028295</v>
      </c>
      <c r="P37" s="421">
        <v>132.49225631372801</v>
      </c>
      <c r="Q37" s="421">
        <v>4.2766408339232003</v>
      </c>
      <c r="R37" s="421">
        <v>0</v>
      </c>
      <c r="S37" s="429">
        <v>225.00381439204</v>
      </c>
      <c r="T37" s="412"/>
    </row>
    <row r="38" spans="2:20" ht="13.5">
      <c r="B38" s="412"/>
      <c r="C38" s="428" t="s">
        <v>82</v>
      </c>
      <c r="D38" s="421">
        <v>0</v>
      </c>
      <c r="E38" s="421">
        <v>0</v>
      </c>
      <c r="F38" s="421">
        <v>21.8797075546779</v>
      </c>
      <c r="G38" s="421">
        <v>4.0299007020097699</v>
      </c>
      <c r="H38" s="421">
        <v>0</v>
      </c>
      <c r="I38" s="421">
        <v>0</v>
      </c>
      <c r="J38" s="421">
        <v>0.95744733717577402</v>
      </c>
      <c r="K38" s="421">
        <v>0</v>
      </c>
      <c r="L38" s="421">
        <v>7.9910737897220097</v>
      </c>
      <c r="M38" s="421">
        <v>8.2242871469587198E-2</v>
      </c>
      <c r="N38" s="421">
        <v>0</v>
      </c>
      <c r="O38" s="421">
        <v>8.0703458125589503E-2</v>
      </c>
      <c r="P38" s="421">
        <v>8.0411089772434305</v>
      </c>
      <c r="Q38" s="421">
        <v>0</v>
      </c>
      <c r="R38" s="421">
        <v>0</v>
      </c>
      <c r="S38" s="429">
        <v>43.062184690423997</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6.0139144604924599</v>
      </c>
      <c r="E40" s="425">
        <v>0</v>
      </c>
      <c r="F40" s="425">
        <v>375.696570237929</v>
      </c>
      <c r="G40" s="425">
        <v>311.49547046584701</v>
      </c>
      <c r="H40" s="425">
        <v>0</v>
      </c>
      <c r="I40" s="425">
        <v>0</v>
      </c>
      <c r="J40" s="425">
        <v>95.314175213353096</v>
      </c>
      <c r="K40" s="425">
        <v>4.25300592203756</v>
      </c>
      <c r="L40" s="425">
        <v>38.422270283247698</v>
      </c>
      <c r="M40" s="425">
        <v>6.3570504176703597</v>
      </c>
      <c r="N40" s="425">
        <v>51.218112395264598</v>
      </c>
      <c r="O40" s="425">
        <v>1.8635055900303099</v>
      </c>
      <c r="P40" s="425">
        <v>458.798438343096</v>
      </c>
      <c r="Q40" s="425">
        <v>37.9222706877989</v>
      </c>
      <c r="R40" s="425">
        <v>1.0575282862433</v>
      </c>
      <c r="S40" s="425">
        <v>1388.4123123030099</v>
      </c>
      <c r="T40" s="412"/>
    </row>
    <row r="41" spans="2:20" ht="13.5">
      <c r="B41" s="412"/>
      <c r="C41" s="420" t="s">
        <v>84</v>
      </c>
      <c r="D41" s="421">
        <v>2.2977675781250002</v>
      </c>
      <c r="E41" s="421">
        <v>0</v>
      </c>
      <c r="F41" s="421">
        <v>138.000019774045</v>
      </c>
      <c r="G41" s="421">
        <v>12.487817343213999</v>
      </c>
      <c r="H41" s="421">
        <v>0</v>
      </c>
      <c r="I41" s="421">
        <v>0</v>
      </c>
      <c r="J41" s="421">
        <v>0</v>
      </c>
      <c r="K41" s="421">
        <v>0</v>
      </c>
      <c r="L41" s="421">
        <v>0</v>
      </c>
      <c r="M41" s="421">
        <v>0</v>
      </c>
      <c r="N41" s="421">
        <v>0</v>
      </c>
      <c r="O41" s="421">
        <v>0</v>
      </c>
      <c r="P41" s="421">
        <v>0</v>
      </c>
      <c r="Q41" s="421">
        <v>0</v>
      </c>
      <c r="R41" s="421">
        <v>0.17715281616210901</v>
      </c>
      <c r="S41" s="429">
        <v>152.96275751154599</v>
      </c>
      <c r="T41" s="412"/>
    </row>
    <row r="42" spans="2:20" ht="13.5">
      <c r="B42" s="412"/>
      <c r="C42" s="424" t="s">
        <v>85</v>
      </c>
      <c r="D42" s="425">
        <v>8.3116820386174606</v>
      </c>
      <c r="E42" s="425">
        <v>0</v>
      </c>
      <c r="F42" s="425">
        <v>513.69659001197397</v>
      </c>
      <c r="G42" s="425">
        <v>323.98328780906098</v>
      </c>
      <c r="H42" s="425">
        <v>0</v>
      </c>
      <c r="I42" s="425">
        <v>0</v>
      </c>
      <c r="J42" s="425">
        <v>95.314175213353195</v>
      </c>
      <c r="K42" s="425">
        <v>4.25300592203756</v>
      </c>
      <c r="L42" s="425">
        <v>38.422270283247698</v>
      </c>
      <c r="M42" s="425">
        <v>6.3570504176703597</v>
      </c>
      <c r="N42" s="425">
        <v>51.218112395264598</v>
      </c>
      <c r="O42" s="425">
        <v>1.8635055900303099</v>
      </c>
      <c r="P42" s="425">
        <v>458.798438343096</v>
      </c>
      <c r="Q42" s="425">
        <v>37.9222706877989</v>
      </c>
      <c r="R42" s="425">
        <v>1.2346811024054101</v>
      </c>
      <c r="S42" s="425">
        <v>1541.37506981456</v>
      </c>
      <c r="T42" s="412"/>
    </row>
    <row r="43" spans="2:20">
      <c r="B43" s="412"/>
      <c r="C43" s="412"/>
      <c r="D43" s="430">
        <f t="shared" ref="D43:S43" si="0">D42+D32-D18</f>
        <v>6.3948846218409017E-14</v>
      </c>
      <c r="E43" s="430">
        <f t="shared" si="0"/>
        <v>0</v>
      </c>
      <c r="F43" s="430">
        <f t="shared" si="0"/>
        <v>-5.3113069498067489E-13</v>
      </c>
      <c r="G43" s="430">
        <f t="shared" si="0"/>
        <v>-5.1159076974727213E-13</v>
      </c>
      <c r="H43" s="430">
        <f t="shared" si="0"/>
        <v>0</v>
      </c>
      <c r="I43" s="430">
        <f t="shared" si="0"/>
        <v>0</v>
      </c>
      <c r="J43" s="430">
        <f t="shared" si="0"/>
        <v>-3.979039320256561E-13</v>
      </c>
      <c r="K43" s="430">
        <f t="shared" si="0"/>
        <v>5.6843418860808015E-14</v>
      </c>
      <c r="L43" s="430">
        <f t="shared" si="0"/>
        <v>5.5511151231257827E-15</v>
      </c>
      <c r="M43" s="430">
        <f t="shared" si="0"/>
        <v>0</v>
      </c>
      <c r="N43" s="430">
        <f t="shared" si="0"/>
        <v>0</v>
      </c>
      <c r="O43" s="430">
        <f t="shared" si="0"/>
        <v>0</v>
      </c>
      <c r="P43" s="430">
        <f t="shared" si="0"/>
        <v>3.4106051316484809E-13</v>
      </c>
      <c r="Q43" s="430">
        <f t="shared" si="0"/>
        <v>0</v>
      </c>
      <c r="R43" s="430">
        <f t="shared" si="0"/>
        <v>0</v>
      </c>
      <c r="S43" s="430">
        <f t="shared" si="0"/>
        <v>5.0022208597511053E-12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361</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5.8150000000000004</v>
      </c>
      <c r="F49" s="421">
        <v>0</v>
      </c>
      <c r="G49" s="421">
        <v>9.3039999999999998E-2</v>
      </c>
      <c r="H49" s="422">
        <v>1075</v>
      </c>
      <c r="I49" s="422">
        <v>221.33</v>
      </c>
      <c r="J49" s="422">
        <v>180.617309805269</v>
      </c>
      <c r="K49" s="422">
        <v>23.667602138393399</v>
      </c>
      <c r="L49" s="421">
        <v>0</v>
      </c>
      <c r="M49" s="421">
        <v>0</v>
      </c>
      <c r="N49" s="422">
        <v>53.883302871721199</v>
      </c>
      <c r="O49" s="422">
        <v>4.0937306138358602</v>
      </c>
      <c r="P49" s="421">
        <v>0</v>
      </c>
      <c r="Q49" s="421">
        <v>0</v>
      </c>
      <c r="R49" s="421">
        <v>0</v>
      </c>
      <c r="S49" s="423">
        <v>1564.49998542922</v>
      </c>
      <c r="T49" s="412"/>
    </row>
    <row r="50" spans="2:20" ht="13.5">
      <c r="B50" s="412"/>
      <c r="C50" s="420" t="s">
        <v>60</v>
      </c>
      <c r="D50" s="421">
        <v>34.929201732774303</v>
      </c>
      <c r="E50" s="421">
        <v>518.07410535010399</v>
      </c>
      <c r="F50" s="421">
        <v>94.899650530247001</v>
      </c>
      <c r="G50" s="421">
        <v>372.90309898365098</v>
      </c>
      <c r="H50" s="421">
        <v>0</v>
      </c>
      <c r="I50" s="421">
        <v>0</v>
      </c>
      <c r="J50" s="421">
        <v>0</v>
      </c>
      <c r="K50" s="421">
        <v>0</v>
      </c>
      <c r="L50" s="421">
        <v>0</v>
      </c>
      <c r="M50" s="421">
        <v>0</v>
      </c>
      <c r="N50" s="421">
        <v>0</v>
      </c>
      <c r="O50" s="421">
        <v>0</v>
      </c>
      <c r="P50" s="421">
        <v>0</v>
      </c>
      <c r="Q50" s="421">
        <v>0</v>
      </c>
      <c r="R50" s="421">
        <v>0</v>
      </c>
      <c r="S50" s="423">
        <v>1020.80605659678</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-54.0995610292184</v>
      </c>
      <c r="Q51" s="421">
        <v>0</v>
      </c>
      <c r="R51" s="421">
        <v>0</v>
      </c>
      <c r="S51" s="423">
        <v>-54.0995610292184</v>
      </c>
      <c r="T51" s="412"/>
    </row>
    <row r="52" spans="2:20" ht="13.5">
      <c r="B52" s="412"/>
      <c r="C52" s="420" t="s">
        <v>62</v>
      </c>
      <c r="D52" s="421">
        <v>0</v>
      </c>
      <c r="E52" s="421">
        <v>0</v>
      </c>
      <c r="F52" s="421">
        <v>-16.258620088965699</v>
      </c>
      <c r="G52" s="421">
        <v>0</v>
      </c>
      <c r="H52" s="421">
        <v>0</v>
      </c>
      <c r="I52" s="421">
        <v>0</v>
      </c>
      <c r="J52" s="421">
        <v>0</v>
      </c>
      <c r="K52" s="421">
        <v>0</v>
      </c>
      <c r="L52" s="421">
        <v>0</v>
      </c>
      <c r="M52" s="421">
        <v>0</v>
      </c>
      <c r="N52" s="421">
        <v>0</v>
      </c>
      <c r="O52" s="421">
        <v>0</v>
      </c>
      <c r="P52" s="421">
        <v>0</v>
      </c>
      <c r="Q52" s="421">
        <v>0</v>
      </c>
      <c r="R52" s="421">
        <v>0</v>
      </c>
      <c r="S52" s="423">
        <v>-16.258620088965699</v>
      </c>
      <c r="T52" s="412"/>
    </row>
    <row r="53" spans="2:20" ht="13.5">
      <c r="B53" s="412"/>
      <c r="C53" s="420" t="s">
        <v>63</v>
      </c>
      <c r="D53" s="421">
        <v>0</v>
      </c>
      <c r="E53" s="421">
        <v>0</v>
      </c>
      <c r="F53" s="421">
        <v>-83.288391654292198</v>
      </c>
      <c r="G53" s="421">
        <v>0</v>
      </c>
      <c r="H53" s="421">
        <v>0</v>
      </c>
      <c r="I53" s="421">
        <v>0</v>
      </c>
      <c r="J53" s="421">
        <v>0</v>
      </c>
      <c r="K53" s="421">
        <v>0</v>
      </c>
      <c r="L53" s="421">
        <v>-0.86093886612012704</v>
      </c>
      <c r="M53" s="421">
        <v>0</v>
      </c>
      <c r="N53" s="421">
        <v>0</v>
      </c>
      <c r="O53" s="421">
        <v>0</v>
      </c>
      <c r="P53" s="421">
        <v>0</v>
      </c>
      <c r="Q53" s="421">
        <v>0</v>
      </c>
      <c r="R53" s="421">
        <v>0</v>
      </c>
      <c r="S53" s="423">
        <v>-84.149330520412306</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34.929201732774303</v>
      </c>
      <c r="E55" s="425">
        <v>523.88910535010405</v>
      </c>
      <c r="F55" s="425">
        <v>-4.6473612130108704</v>
      </c>
      <c r="G55" s="425">
        <v>372.99613898365101</v>
      </c>
      <c r="H55" s="425">
        <v>1075</v>
      </c>
      <c r="I55" s="425">
        <v>221.33</v>
      </c>
      <c r="J55" s="425">
        <v>180.617309805269</v>
      </c>
      <c r="K55" s="425">
        <v>23.667602138393399</v>
      </c>
      <c r="L55" s="425">
        <v>-0.86093886612012704</v>
      </c>
      <c r="M55" s="425">
        <v>0</v>
      </c>
      <c r="N55" s="425">
        <v>53.883302871721199</v>
      </c>
      <c r="O55" s="425">
        <v>4.0937306138358602</v>
      </c>
      <c r="P55" s="425">
        <v>-54.0995610292184</v>
      </c>
      <c r="Q55" s="425">
        <v>0</v>
      </c>
      <c r="R55" s="425">
        <v>0</v>
      </c>
      <c r="S55" s="425">
        <v>2430.7985303874002</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18.293662470199799</v>
      </c>
      <c r="H58" s="421">
        <v>1075</v>
      </c>
      <c r="I58" s="421">
        <v>221.33</v>
      </c>
      <c r="J58" s="421">
        <v>25.015631200963998</v>
      </c>
      <c r="K58" s="421">
        <v>6.6958995171334896</v>
      </c>
      <c r="L58" s="421">
        <v>0</v>
      </c>
      <c r="M58" s="421">
        <v>0.373340050412242</v>
      </c>
      <c r="N58" s="421">
        <v>0</v>
      </c>
      <c r="O58" s="421">
        <v>0</v>
      </c>
      <c r="P58" s="421">
        <v>-598.98018891784398</v>
      </c>
      <c r="Q58" s="421">
        <v>0</v>
      </c>
      <c r="R58" s="421">
        <v>0</v>
      </c>
      <c r="S58" s="429">
        <v>753.79245142006801</v>
      </c>
      <c r="T58" s="412"/>
    </row>
    <row r="59" spans="2:20" ht="13.5">
      <c r="B59" s="412"/>
      <c r="C59" s="428" t="s">
        <v>351</v>
      </c>
      <c r="D59" s="421">
        <v>0</v>
      </c>
      <c r="E59" s="421">
        <v>0</v>
      </c>
      <c r="F59" s="421">
        <v>0</v>
      </c>
      <c r="G59" s="421">
        <v>17.187472358998999</v>
      </c>
      <c r="H59" s="421">
        <v>0</v>
      </c>
      <c r="I59" s="421">
        <v>0</v>
      </c>
      <c r="J59" s="421">
        <v>12.802427774494999</v>
      </c>
      <c r="K59" s="421">
        <v>12.7214936345308</v>
      </c>
      <c r="L59" s="421">
        <v>0</v>
      </c>
      <c r="M59" s="421">
        <v>0.35076474202038699</v>
      </c>
      <c r="N59" s="421">
        <v>0</v>
      </c>
      <c r="O59" s="421">
        <v>2.24538394933181</v>
      </c>
      <c r="P59" s="421">
        <v>0</v>
      </c>
      <c r="Q59" s="421">
        <v>-41.027361944198802</v>
      </c>
      <c r="R59" s="421">
        <v>0</v>
      </c>
      <c r="S59" s="429">
        <v>4.2801805151782197</v>
      </c>
      <c r="T59" s="412"/>
    </row>
    <row r="60" spans="2:20" ht="13.5">
      <c r="B60" s="412"/>
      <c r="C60" s="428" t="s">
        <v>352</v>
      </c>
      <c r="D60" s="421">
        <v>0</v>
      </c>
      <c r="E60" s="421">
        <v>0</v>
      </c>
      <c r="F60" s="421">
        <v>0</v>
      </c>
      <c r="G60" s="421">
        <v>0</v>
      </c>
      <c r="H60" s="421">
        <v>0</v>
      </c>
      <c r="I60" s="421">
        <v>0</v>
      </c>
      <c r="J60" s="421">
        <v>8.2571965997470702</v>
      </c>
      <c r="K60" s="421">
        <v>0</v>
      </c>
      <c r="L60" s="421">
        <v>0</v>
      </c>
      <c r="M60" s="421">
        <v>-7.3592264695245797</v>
      </c>
      <c r="N60" s="421">
        <v>0</v>
      </c>
      <c r="O60" s="421">
        <v>0</v>
      </c>
      <c r="P60" s="421">
        <v>0</v>
      </c>
      <c r="Q60" s="421">
        <v>0</v>
      </c>
      <c r="R60" s="421">
        <v>0</v>
      </c>
      <c r="S60" s="429">
        <v>0.89797013022249295</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542.69343279650298</v>
      </c>
      <c r="F62" s="421">
        <v>-537.26649846853797</v>
      </c>
      <c r="G62" s="421">
        <v>0</v>
      </c>
      <c r="H62" s="421">
        <v>0</v>
      </c>
      <c r="I62" s="421">
        <v>0</v>
      </c>
      <c r="J62" s="421">
        <v>0</v>
      </c>
      <c r="K62" s="421">
        <v>0</v>
      </c>
      <c r="L62" s="421">
        <v>0</v>
      </c>
      <c r="M62" s="421">
        <v>0</v>
      </c>
      <c r="N62" s="421">
        <v>0</v>
      </c>
      <c r="O62" s="421">
        <v>0</v>
      </c>
      <c r="P62" s="421">
        <v>0</v>
      </c>
      <c r="Q62" s="421">
        <v>0</v>
      </c>
      <c r="R62" s="421">
        <v>0</v>
      </c>
      <c r="S62" s="429">
        <v>5.4269343279650002</v>
      </c>
      <c r="T62" s="412"/>
    </row>
    <row r="63" spans="2:20" ht="13.5">
      <c r="B63" s="412"/>
      <c r="C63" s="428" t="s">
        <v>354</v>
      </c>
      <c r="D63" s="421">
        <v>0</v>
      </c>
      <c r="E63" s="421">
        <v>0</v>
      </c>
      <c r="F63" s="421">
        <v>0</v>
      </c>
      <c r="G63" s="421">
        <v>0</v>
      </c>
      <c r="H63" s="421">
        <v>0</v>
      </c>
      <c r="I63" s="421">
        <v>0</v>
      </c>
      <c r="J63" s="421">
        <v>38.982913287446898</v>
      </c>
      <c r="K63" s="421">
        <v>0</v>
      </c>
      <c r="L63" s="421">
        <v>-38.982913287446898</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-0.17805542479724401</v>
      </c>
      <c r="M64" s="421">
        <v>0</v>
      </c>
      <c r="N64" s="421">
        <v>0</v>
      </c>
      <c r="O64" s="421">
        <v>0</v>
      </c>
      <c r="P64" s="421">
        <v>0</v>
      </c>
      <c r="Q64" s="421">
        <v>0</v>
      </c>
      <c r="R64" s="421">
        <v>0.25436489256749101</v>
      </c>
      <c r="S64" s="429">
        <v>7.6309467770247302E-2</v>
      </c>
      <c r="T64" s="412"/>
    </row>
    <row r="65" spans="2:20" ht="13.5">
      <c r="B65" s="412"/>
      <c r="C65" s="428" t="s">
        <v>73</v>
      </c>
      <c r="D65" s="421">
        <v>0</v>
      </c>
      <c r="E65" s="421">
        <v>0</v>
      </c>
      <c r="F65" s="421">
        <v>0</v>
      </c>
      <c r="G65" s="421">
        <v>2.4096506208169699</v>
      </c>
      <c r="H65" s="421">
        <v>0</v>
      </c>
      <c r="I65" s="421">
        <v>0</v>
      </c>
      <c r="J65" s="421">
        <v>0</v>
      </c>
      <c r="K65" s="421">
        <v>2.7320301823321701E-2</v>
      </c>
      <c r="L65" s="421">
        <v>0</v>
      </c>
      <c r="M65" s="421">
        <v>4.9176543281978999E-2</v>
      </c>
      <c r="N65" s="421">
        <v>0</v>
      </c>
      <c r="O65" s="421">
        <v>0</v>
      </c>
      <c r="P65" s="421">
        <v>0.257854534062811</v>
      </c>
      <c r="Q65" s="421">
        <v>0</v>
      </c>
      <c r="R65" s="421">
        <v>-1.91242112763252</v>
      </c>
      <c r="S65" s="429">
        <v>0.83158087235256695</v>
      </c>
      <c r="T65" s="412"/>
    </row>
    <row r="66" spans="2:20" ht="13.5">
      <c r="B66" s="412"/>
      <c r="C66" s="428" t="s">
        <v>356</v>
      </c>
      <c r="D66" s="421">
        <v>14.8684370117188</v>
      </c>
      <c r="E66" s="421">
        <v>-18.804327446398801</v>
      </c>
      <c r="F66" s="421">
        <v>24.59494961847</v>
      </c>
      <c r="G66" s="421">
        <v>0</v>
      </c>
      <c r="H66" s="421">
        <v>0</v>
      </c>
      <c r="I66" s="421">
        <v>0</v>
      </c>
      <c r="J66" s="421">
        <v>0</v>
      </c>
      <c r="K66" s="421">
        <v>0</v>
      </c>
      <c r="L66" s="421">
        <v>0</v>
      </c>
      <c r="M66" s="421">
        <v>0</v>
      </c>
      <c r="N66" s="421">
        <v>0</v>
      </c>
      <c r="O66" s="421">
        <v>0</v>
      </c>
      <c r="P66" s="421">
        <v>0</v>
      </c>
      <c r="Q66" s="421">
        <v>0</v>
      </c>
      <c r="R66" s="421">
        <v>0</v>
      </c>
      <c r="S66" s="429">
        <v>20.6590591837899</v>
      </c>
      <c r="T66" s="412"/>
    </row>
    <row r="67" spans="2:20" ht="13.5">
      <c r="B67" s="412"/>
      <c r="C67" s="428" t="s">
        <v>75</v>
      </c>
      <c r="D67" s="421">
        <v>9.9030000000000005</v>
      </c>
      <c r="E67" s="421">
        <v>0</v>
      </c>
      <c r="F67" s="421">
        <v>18.451576715081099</v>
      </c>
      <c r="G67" s="421">
        <v>5.2652116849916704</v>
      </c>
      <c r="H67" s="421">
        <v>0</v>
      </c>
      <c r="I67" s="421">
        <v>0</v>
      </c>
      <c r="J67" s="421">
        <v>0</v>
      </c>
      <c r="K67" s="421">
        <v>0</v>
      </c>
      <c r="L67" s="421">
        <v>0</v>
      </c>
      <c r="M67" s="421">
        <v>0.107453299693708</v>
      </c>
      <c r="N67" s="421">
        <v>0</v>
      </c>
      <c r="O67" s="421">
        <v>0</v>
      </c>
      <c r="P67" s="421">
        <v>33.445009445892197</v>
      </c>
      <c r="Q67" s="421">
        <v>0</v>
      </c>
      <c r="R67" s="421">
        <v>0</v>
      </c>
      <c r="S67" s="429">
        <v>67.172251145658706</v>
      </c>
      <c r="T67" s="412"/>
    </row>
    <row r="68" spans="2:20" ht="13.5">
      <c r="B68" s="412"/>
      <c r="C68" s="428" t="s">
        <v>76</v>
      </c>
      <c r="D68" s="421">
        <v>0</v>
      </c>
      <c r="E68" s="421">
        <v>0</v>
      </c>
      <c r="F68" s="421">
        <v>0</v>
      </c>
      <c r="G68" s="421">
        <v>4.2759141937553897</v>
      </c>
      <c r="H68" s="421">
        <v>0</v>
      </c>
      <c r="I68" s="421">
        <v>0</v>
      </c>
      <c r="J68" s="421">
        <v>0</v>
      </c>
      <c r="K68" s="421">
        <v>0</v>
      </c>
      <c r="L68" s="421">
        <v>0</v>
      </c>
      <c r="M68" s="421">
        <v>8.72635549745997E-2</v>
      </c>
      <c r="N68" s="421">
        <v>0</v>
      </c>
      <c r="O68" s="421">
        <v>0</v>
      </c>
      <c r="P68" s="421">
        <v>41.7590878252594</v>
      </c>
      <c r="Q68" s="421">
        <v>3.1792420694766599</v>
      </c>
      <c r="R68" s="421">
        <v>0</v>
      </c>
      <c r="S68" s="429">
        <v>49.301507643466103</v>
      </c>
      <c r="T68" s="412"/>
    </row>
    <row r="69" spans="2:20" ht="13.5">
      <c r="B69" s="412"/>
      <c r="C69" s="424" t="s">
        <v>77</v>
      </c>
      <c r="D69" s="425">
        <v>26.9719077472853</v>
      </c>
      <c r="E69" s="425">
        <v>523.88910535010405</v>
      </c>
      <c r="F69" s="425">
        <v>-490.35633577135002</v>
      </c>
      <c r="G69" s="425">
        <v>47.431911328762801</v>
      </c>
      <c r="H69" s="425">
        <v>1075</v>
      </c>
      <c r="I69" s="425">
        <v>221.33</v>
      </c>
      <c r="J69" s="425">
        <v>85.058168862653105</v>
      </c>
      <c r="K69" s="425">
        <v>19.444713453487601</v>
      </c>
      <c r="L69" s="425">
        <v>-39.160968712244099</v>
      </c>
      <c r="M69" s="425">
        <v>-6.3912282791416599</v>
      </c>
      <c r="N69" s="425">
        <v>0</v>
      </c>
      <c r="O69" s="425">
        <v>2.24538394933181</v>
      </c>
      <c r="P69" s="425">
        <v>-523.51823711263</v>
      </c>
      <c r="Q69" s="425">
        <v>-37.848119874722101</v>
      </c>
      <c r="R69" s="425">
        <v>-1.6580562350650301</v>
      </c>
      <c r="S69" s="425">
        <v>902.43824470647201</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5.6972080479890099</v>
      </c>
      <c r="E71" s="421">
        <v>0</v>
      </c>
      <c r="F71" s="421">
        <v>22.817179327139399</v>
      </c>
      <c r="G71" s="421">
        <v>101.760565699211</v>
      </c>
      <c r="H71" s="421">
        <v>0</v>
      </c>
      <c r="I71" s="421">
        <v>0</v>
      </c>
      <c r="J71" s="421">
        <v>17.084919933372099</v>
      </c>
      <c r="K71" s="421">
        <v>4.2228886849058398</v>
      </c>
      <c r="L71" s="421">
        <v>0.85605592578125</v>
      </c>
      <c r="M71" s="421">
        <v>2.0767462387593998</v>
      </c>
      <c r="N71" s="421">
        <v>0</v>
      </c>
      <c r="O71" s="421">
        <v>0</v>
      </c>
      <c r="P71" s="421">
        <v>106.33530498490499</v>
      </c>
      <c r="Q71" s="421">
        <v>18.005489076637701</v>
      </c>
      <c r="R71" s="421">
        <v>0.24596269226074199</v>
      </c>
      <c r="S71" s="429">
        <v>279.10232061096099</v>
      </c>
      <c r="T71" s="412"/>
    </row>
    <row r="72" spans="2:20" ht="13.5">
      <c r="B72" s="412"/>
      <c r="C72" s="428" t="s">
        <v>79</v>
      </c>
      <c r="D72" s="421">
        <v>0</v>
      </c>
      <c r="E72" s="421">
        <v>0</v>
      </c>
      <c r="F72" s="421">
        <v>271.89503343589303</v>
      </c>
      <c r="G72" s="421">
        <v>24.4531369544524</v>
      </c>
      <c r="H72" s="421">
        <v>0</v>
      </c>
      <c r="I72" s="421">
        <v>0</v>
      </c>
      <c r="J72" s="421">
        <v>0</v>
      </c>
      <c r="K72" s="421">
        <v>0</v>
      </c>
      <c r="L72" s="421">
        <v>27.563506802016501</v>
      </c>
      <c r="M72" s="421">
        <v>0.49904361131535402</v>
      </c>
      <c r="N72" s="421">
        <v>0</v>
      </c>
      <c r="O72" s="421">
        <v>0</v>
      </c>
      <c r="P72" s="421">
        <v>44.076672693209503</v>
      </c>
      <c r="Q72" s="421">
        <v>0</v>
      </c>
      <c r="R72" s="421">
        <v>1.1183354617496</v>
      </c>
      <c r="S72" s="429">
        <v>369.60572895863697</v>
      </c>
      <c r="T72" s="412"/>
    </row>
    <row r="73" spans="2:20" ht="13.5">
      <c r="B73" s="412"/>
      <c r="C73" s="428" t="s">
        <v>80</v>
      </c>
      <c r="D73" s="421">
        <v>0</v>
      </c>
      <c r="E73" s="421">
        <v>0</v>
      </c>
      <c r="F73" s="421">
        <v>24.3021024292247</v>
      </c>
      <c r="G73" s="421">
        <v>117.69678632039</v>
      </c>
      <c r="H73" s="421">
        <v>0</v>
      </c>
      <c r="I73" s="421">
        <v>0</v>
      </c>
      <c r="J73" s="421">
        <v>73.828773979634093</v>
      </c>
      <c r="K73" s="421">
        <v>0</v>
      </c>
      <c r="L73" s="421">
        <v>0</v>
      </c>
      <c r="M73" s="421">
        <v>2.4019752310283602</v>
      </c>
      <c r="N73" s="421">
        <v>47.128746569474501</v>
      </c>
      <c r="O73" s="421">
        <v>0.960766193181818</v>
      </c>
      <c r="P73" s="421">
        <v>176.67464437802599</v>
      </c>
      <c r="Q73" s="421">
        <v>15.6460082308098</v>
      </c>
      <c r="R73" s="421">
        <v>0</v>
      </c>
      <c r="S73" s="429">
        <v>458.63980333176897</v>
      </c>
      <c r="T73" s="412"/>
    </row>
    <row r="74" spans="2:20" ht="13.5">
      <c r="B74" s="412"/>
      <c r="C74" s="428" t="s">
        <v>81</v>
      </c>
      <c r="D74" s="421">
        <v>0</v>
      </c>
      <c r="E74" s="421">
        <v>0</v>
      </c>
      <c r="F74" s="421">
        <v>10.1168071467599</v>
      </c>
      <c r="G74" s="421">
        <v>64.901290043876799</v>
      </c>
      <c r="H74" s="421">
        <v>0</v>
      </c>
      <c r="I74" s="421">
        <v>0</v>
      </c>
      <c r="J74" s="421">
        <v>3.5137864042396001</v>
      </c>
      <c r="K74" s="421">
        <v>0</v>
      </c>
      <c r="L74" s="421">
        <v>0</v>
      </c>
      <c r="M74" s="421">
        <v>1.32451612334442</v>
      </c>
      <c r="N74" s="421">
        <v>6.7545563022467299</v>
      </c>
      <c r="O74" s="421">
        <v>0.80925156664740405</v>
      </c>
      <c r="P74" s="421">
        <v>134.394459446703</v>
      </c>
      <c r="Q74" s="421">
        <v>4.1966225672745496</v>
      </c>
      <c r="R74" s="421">
        <v>0</v>
      </c>
      <c r="S74" s="429">
        <v>226.01128960109199</v>
      </c>
      <c r="T74" s="412"/>
    </row>
    <row r="75" spans="2:20" ht="13.5">
      <c r="B75" s="412"/>
      <c r="C75" s="428" t="s">
        <v>82</v>
      </c>
      <c r="D75" s="421">
        <v>0</v>
      </c>
      <c r="E75" s="421">
        <v>0</v>
      </c>
      <c r="F75" s="421">
        <v>18.642153643202501</v>
      </c>
      <c r="G75" s="421">
        <v>4.3584066600117204</v>
      </c>
      <c r="H75" s="421">
        <v>0</v>
      </c>
      <c r="I75" s="421">
        <v>0</v>
      </c>
      <c r="J75" s="421">
        <v>1.13166062537042</v>
      </c>
      <c r="K75" s="421">
        <v>0</v>
      </c>
      <c r="L75" s="421">
        <v>9.8804671183263206</v>
      </c>
      <c r="M75" s="421">
        <v>8.8947074694116696E-2</v>
      </c>
      <c r="N75" s="421">
        <v>0</v>
      </c>
      <c r="O75" s="421">
        <v>7.8328904674825395E-2</v>
      </c>
      <c r="P75" s="421">
        <v>7.9375945805684101</v>
      </c>
      <c r="Q75" s="421">
        <v>0</v>
      </c>
      <c r="R75" s="421">
        <v>0</v>
      </c>
      <c r="S75" s="429">
        <v>42.117558606848299</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5.6972080479890099</v>
      </c>
      <c r="E77" s="425">
        <v>0</v>
      </c>
      <c r="F77" s="425">
        <v>347.77327598222001</v>
      </c>
      <c r="G77" s="425">
        <v>313.17018567794099</v>
      </c>
      <c r="H77" s="425">
        <v>0</v>
      </c>
      <c r="I77" s="425">
        <v>0</v>
      </c>
      <c r="J77" s="425">
        <v>95.559140942616196</v>
      </c>
      <c r="K77" s="425">
        <v>4.2228886849058398</v>
      </c>
      <c r="L77" s="425">
        <v>38.300029846123998</v>
      </c>
      <c r="M77" s="425">
        <v>6.3912282791416599</v>
      </c>
      <c r="N77" s="425">
        <v>53.883302871721199</v>
      </c>
      <c r="O77" s="425">
        <v>1.8483466645040501</v>
      </c>
      <c r="P77" s="425">
        <v>469.41867608341198</v>
      </c>
      <c r="Q77" s="425">
        <v>37.848119874722101</v>
      </c>
      <c r="R77" s="425">
        <v>1.36429815401034</v>
      </c>
      <c r="S77" s="425">
        <v>1375.4767011093099</v>
      </c>
      <c r="T77" s="412"/>
    </row>
    <row r="78" spans="2:20" ht="13.5">
      <c r="B78" s="412"/>
      <c r="C78" s="420" t="s">
        <v>84</v>
      </c>
      <c r="D78" s="421">
        <v>2.2600859375</v>
      </c>
      <c r="E78" s="421">
        <v>0</v>
      </c>
      <c r="F78" s="421">
        <v>137.93569857611899</v>
      </c>
      <c r="G78" s="421">
        <v>12.394041976947101</v>
      </c>
      <c r="H78" s="421">
        <v>0</v>
      </c>
      <c r="I78" s="421">
        <v>0</v>
      </c>
      <c r="J78" s="421">
        <v>0</v>
      </c>
      <c r="K78" s="421">
        <v>0</v>
      </c>
      <c r="L78" s="421">
        <v>0</v>
      </c>
      <c r="M78" s="421">
        <v>0</v>
      </c>
      <c r="N78" s="421">
        <v>0</v>
      </c>
      <c r="O78" s="421">
        <v>0</v>
      </c>
      <c r="P78" s="421">
        <v>0</v>
      </c>
      <c r="Q78" s="421">
        <v>0</v>
      </c>
      <c r="R78" s="421">
        <v>0.29375808105468698</v>
      </c>
      <c r="S78" s="429">
        <v>152.88358457162099</v>
      </c>
      <c r="T78" s="412"/>
    </row>
    <row r="79" spans="2:20" ht="13.5">
      <c r="B79" s="412"/>
      <c r="C79" s="424" t="s">
        <v>85</v>
      </c>
      <c r="D79" s="425">
        <v>7.9572939854890103</v>
      </c>
      <c r="E79" s="425">
        <v>0</v>
      </c>
      <c r="F79" s="425">
        <v>485.70897455833898</v>
      </c>
      <c r="G79" s="425">
        <v>325.56422765488799</v>
      </c>
      <c r="H79" s="425">
        <v>0</v>
      </c>
      <c r="I79" s="425">
        <v>0</v>
      </c>
      <c r="J79" s="425">
        <v>95.559140942616196</v>
      </c>
      <c r="K79" s="425">
        <v>4.2228886849058398</v>
      </c>
      <c r="L79" s="425">
        <v>38.300029846123998</v>
      </c>
      <c r="M79" s="425">
        <v>6.3912282791416599</v>
      </c>
      <c r="N79" s="425">
        <v>53.883302871721199</v>
      </c>
      <c r="O79" s="425">
        <v>1.8483466645040501</v>
      </c>
      <c r="P79" s="425">
        <v>469.41867608341198</v>
      </c>
      <c r="Q79" s="425">
        <v>37.848119874722101</v>
      </c>
      <c r="R79" s="425">
        <v>1.6580562350650301</v>
      </c>
      <c r="S79" s="425">
        <v>1528.36028568093</v>
      </c>
      <c r="T79" s="412"/>
    </row>
    <row r="80" spans="2:20">
      <c r="B80" s="412"/>
      <c r="C80" s="412"/>
      <c r="D80" s="430">
        <f t="shared" ref="D80:S80" si="1">D79+D69-D55</f>
        <v>0</v>
      </c>
      <c r="E80" s="430">
        <f t="shared" si="1"/>
        <v>0</v>
      </c>
      <c r="F80" s="430">
        <f t="shared" si="1"/>
        <v>-1.6786572132332367E-13</v>
      </c>
      <c r="G80" s="430">
        <f t="shared" si="1"/>
        <v>0</v>
      </c>
      <c r="H80" s="430">
        <f t="shared" si="1"/>
        <v>0</v>
      </c>
      <c r="I80" s="430">
        <f t="shared" si="1"/>
        <v>0</v>
      </c>
      <c r="J80" s="430">
        <f t="shared" si="1"/>
        <v>3.1263880373444408E-13</v>
      </c>
      <c r="K80" s="430">
        <f t="shared" si="1"/>
        <v>4.2632564145606011E-14</v>
      </c>
      <c r="L80" s="430">
        <f t="shared" si="1"/>
        <v>2.6090241078691179E-14</v>
      </c>
      <c r="M80" s="430">
        <f t="shared" si="1"/>
        <v>0</v>
      </c>
      <c r="N80" s="430">
        <f t="shared" si="1"/>
        <v>0</v>
      </c>
      <c r="O80" s="430">
        <f t="shared" si="1"/>
        <v>0</v>
      </c>
      <c r="P80" s="430">
        <f t="shared" si="1"/>
        <v>3.765876499528531E-13</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362</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2.3260000000000001</v>
      </c>
      <c r="F86" s="421">
        <v>0</v>
      </c>
      <c r="G86" s="421">
        <v>3.7215999999999999E-2</v>
      </c>
      <c r="H86" s="422">
        <v>1005.45454545455</v>
      </c>
      <c r="I86" s="422">
        <v>246.08</v>
      </c>
      <c r="J86" s="422">
        <v>180.45818950373001</v>
      </c>
      <c r="K86" s="422">
        <v>23.324330540101599</v>
      </c>
      <c r="L86" s="421">
        <v>0</v>
      </c>
      <c r="M86" s="421">
        <v>0</v>
      </c>
      <c r="N86" s="422">
        <v>57.2465959754038</v>
      </c>
      <c r="O86" s="422">
        <v>4.06931439737036</v>
      </c>
      <c r="P86" s="421">
        <v>0</v>
      </c>
      <c r="Q86" s="421">
        <v>0</v>
      </c>
      <c r="R86" s="421">
        <v>0</v>
      </c>
      <c r="S86" s="423">
        <v>1518.9961918711499</v>
      </c>
      <c r="T86" s="412"/>
    </row>
    <row r="87" spans="2:20" ht="13.5">
      <c r="B87" s="412"/>
      <c r="C87" s="420" t="s">
        <v>60</v>
      </c>
      <c r="D87" s="421">
        <v>33.607567251657201</v>
      </c>
      <c r="E87" s="421">
        <v>509.74501402008298</v>
      </c>
      <c r="F87" s="421">
        <v>72.737164762837693</v>
      </c>
      <c r="G87" s="421">
        <v>374.55851469184501</v>
      </c>
      <c r="H87" s="421">
        <v>0</v>
      </c>
      <c r="I87" s="421">
        <v>0</v>
      </c>
      <c r="J87" s="421">
        <v>0</v>
      </c>
      <c r="K87" s="421">
        <v>0</v>
      </c>
      <c r="L87" s="421">
        <v>0</v>
      </c>
      <c r="M87" s="421">
        <v>0</v>
      </c>
      <c r="N87" s="421">
        <v>0</v>
      </c>
      <c r="O87" s="421">
        <v>0</v>
      </c>
      <c r="P87" s="421">
        <v>0</v>
      </c>
      <c r="Q87" s="421">
        <v>0</v>
      </c>
      <c r="R87" s="421">
        <v>0</v>
      </c>
      <c r="S87" s="423">
        <v>990.64826072642302</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-40.599613583103199</v>
      </c>
      <c r="Q88" s="421">
        <v>0</v>
      </c>
      <c r="R88" s="421">
        <v>0</v>
      </c>
      <c r="S88" s="423">
        <v>-40.599613583103199</v>
      </c>
      <c r="T88" s="412"/>
    </row>
    <row r="89" spans="2:20" ht="13.5">
      <c r="B89" s="412"/>
      <c r="C89" s="420" t="s">
        <v>62</v>
      </c>
      <c r="D89" s="421">
        <v>0</v>
      </c>
      <c r="E89" s="421">
        <v>0</v>
      </c>
      <c r="F89" s="421">
        <v>-16.016991189558802</v>
      </c>
      <c r="G89" s="421">
        <v>0</v>
      </c>
      <c r="H89" s="421">
        <v>0</v>
      </c>
      <c r="I89" s="421">
        <v>0</v>
      </c>
      <c r="J89" s="421">
        <v>0</v>
      </c>
      <c r="K89" s="421">
        <v>0</v>
      </c>
      <c r="L89" s="421">
        <v>0</v>
      </c>
      <c r="M89" s="421">
        <v>0</v>
      </c>
      <c r="N89" s="421">
        <v>0</v>
      </c>
      <c r="O89" s="421">
        <v>0</v>
      </c>
      <c r="P89" s="421">
        <v>0</v>
      </c>
      <c r="Q89" s="421">
        <v>0</v>
      </c>
      <c r="R89" s="421">
        <v>0</v>
      </c>
      <c r="S89" s="423">
        <v>-16.016991189558802</v>
      </c>
      <c r="T89" s="412"/>
    </row>
    <row r="90" spans="2:20" ht="13.5">
      <c r="B90" s="412"/>
      <c r="C90" s="420" t="s">
        <v>63</v>
      </c>
      <c r="D90" s="421">
        <v>0</v>
      </c>
      <c r="E90" s="421">
        <v>0</v>
      </c>
      <c r="F90" s="421">
        <v>-85.292767146842095</v>
      </c>
      <c r="G90" s="421">
        <v>0</v>
      </c>
      <c r="H90" s="421">
        <v>0</v>
      </c>
      <c r="I90" s="421">
        <v>0</v>
      </c>
      <c r="J90" s="421">
        <v>0</v>
      </c>
      <c r="K90" s="421">
        <v>0</v>
      </c>
      <c r="L90" s="421">
        <v>-0.88147124718821601</v>
      </c>
      <c r="M90" s="421">
        <v>0</v>
      </c>
      <c r="N90" s="421">
        <v>0</v>
      </c>
      <c r="O90" s="421">
        <v>0</v>
      </c>
      <c r="P90" s="421">
        <v>0</v>
      </c>
      <c r="Q90" s="421">
        <v>0</v>
      </c>
      <c r="R90" s="421">
        <v>0</v>
      </c>
      <c r="S90" s="423">
        <v>-86.174238394030297</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33.607567251657201</v>
      </c>
      <c r="E92" s="425">
        <v>512.071014020083</v>
      </c>
      <c r="F92" s="425">
        <v>-28.5725935735632</v>
      </c>
      <c r="G92" s="425">
        <v>374.59573069184501</v>
      </c>
      <c r="H92" s="425">
        <v>1005.45454545455</v>
      </c>
      <c r="I92" s="425">
        <v>246.08</v>
      </c>
      <c r="J92" s="425">
        <v>180.45818950373001</v>
      </c>
      <c r="K92" s="425">
        <v>23.324330540101599</v>
      </c>
      <c r="L92" s="425">
        <v>-0.88147124718821601</v>
      </c>
      <c r="M92" s="425">
        <v>0</v>
      </c>
      <c r="N92" s="425">
        <v>57.2465959754038</v>
      </c>
      <c r="O92" s="425">
        <v>4.06931439737036</v>
      </c>
      <c r="P92" s="425">
        <v>-40.599613583103199</v>
      </c>
      <c r="Q92" s="425">
        <v>0</v>
      </c>
      <c r="R92" s="425">
        <v>0</v>
      </c>
      <c r="S92" s="425">
        <v>2366.8536094308802</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17.955675135092299</v>
      </c>
      <c r="H95" s="421">
        <v>1005.45454545455</v>
      </c>
      <c r="I95" s="421">
        <v>246.08</v>
      </c>
      <c r="J95" s="421">
        <v>24.057674539507001</v>
      </c>
      <c r="K95" s="421">
        <v>6.4003284253933197</v>
      </c>
      <c r="L95" s="421">
        <v>0</v>
      </c>
      <c r="M95" s="421">
        <v>0.366442349695761</v>
      </c>
      <c r="N95" s="421">
        <v>0</v>
      </c>
      <c r="O95" s="421">
        <v>0</v>
      </c>
      <c r="P95" s="421">
        <v>-600.72360696632904</v>
      </c>
      <c r="Q95" s="421">
        <v>0</v>
      </c>
      <c r="R95" s="421">
        <v>0</v>
      </c>
      <c r="S95" s="429">
        <v>705.65516603710796</v>
      </c>
      <c r="T95" s="412"/>
    </row>
    <row r="96" spans="2:20" ht="13.5">
      <c r="B96" s="412"/>
      <c r="C96" s="428" t="s">
        <v>351</v>
      </c>
      <c r="D96" s="421">
        <v>0</v>
      </c>
      <c r="E96" s="421">
        <v>0</v>
      </c>
      <c r="F96" s="421">
        <v>0</v>
      </c>
      <c r="G96" s="421">
        <v>17.1879921419563</v>
      </c>
      <c r="H96" s="421">
        <v>0</v>
      </c>
      <c r="I96" s="421">
        <v>0</v>
      </c>
      <c r="J96" s="421">
        <v>12.682834988028199</v>
      </c>
      <c r="K96" s="421">
        <v>12.7191917514679</v>
      </c>
      <c r="L96" s="421">
        <v>0</v>
      </c>
      <c r="M96" s="421">
        <v>0.35077534983584302</v>
      </c>
      <c r="N96" s="421">
        <v>0</v>
      </c>
      <c r="O96" s="421">
        <v>2.2454573880541999</v>
      </c>
      <c r="P96" s="421">
        <v>0</v>
      </c>
      <c r="Q96" s="421">
        <v>-41.0285859229053</v>
      </c>
      <c r="R96" s="421">
        <v>0</v>
      </c>
      <c r="S96" s="429">
        <v>4.1576656964370899</v>
      </c>
      <c r="T96" s="412"/>
    </row>
    <row r="97" spans="2:20" ht="13.5">
      <c r="B97" s="412"/>
      <c r="C97" s="428" t="s">
        <v>352</v>
      </c>
      <c r="D97" s="421">
        <v>0</v>
      </c>
      <c r="E97" s="421">
        <v>0</v>
      </c>
      <c r="F97" s="421">
        <v>0</v>
      </c>
      <c r="G97" s="421">
        <v>0</v>
      </c>
      <c r="H97" s="421">
        <v>0</v>
      </c>
      <c r="I97" s="421">
        <v>0</v>
      </c>
      <c r="J97" s="421">
        <v>8.1791621467337805</v>
      </c>
      <c r="K97" s="421">
        <v>0</v>
      </c>
      <c r="L97" s="421">
        <v>0</v>
      </c>
      <c r="M97" s="421">
        <v>-7.3939625806473401</v>
      </c>
      <c r="N97" s="421">
        <v>0</v>
      </c>
      <c r="O97" s="421">
        <v>0</v>
      </c>
      <c r="P97" s="421">
        <v>0</v>
      </c>
      <c r="Q97" s="421">
        <v>0</v>
      </c>
      <c r="R97" s="421">
        <v>0</v>
      </c>
      <c r="S97" s="429">
        <v>0.78519956608644204</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530.45114623720201</v>
      </c>
      <c r="F99" s="421">
        <v>-525.14663477482998</v>
      </c>
      <c r="G99" s="421">
        <v>0</v>
      </c>
      <c r="H99" s="421">
        <v>0</v>
      </c>
      <c r="I99" s="421">
        <v>0</v>
      </c>
      <c r="J99" s="421">
        <v>0</v>
      </c>
      <c r="K99" s="421">
        <v>0</v>
      </c>
      <c r="L99" s="421">
        <v>0</v>
      </c>
      <c r="M99" s="421">
        <v>0</v>
      </c>
      <c r="N99" s="421">
        <v>0</v>
      </c>
      <c r="O99" s="421">
        <v>0</v>
      </c>
      <c r="P99" s="421">
        <v>0</v>
      </c>
      <c r="Q99" s="421">
        <v>0</v>
      </c>
      <c r="R99" s="421">
        <v>0</v>
      </c>
      <c r="S99" s="429">
        <v>5.3045114623720302</v>
      </c>
      <c r="T99" s="412"/>
    </row>
    <row r="100" spans="2:20" ht="13.5">
      <c r="B100" s="412"/>
      <c r="C100" s="428" t="s">
        <v>354</v>
      </c>
      <c r="D100" s="421">
        <v>0</v>
      </c>
      <c r="E100" s="421">
        <v>0</v>
      </c>
      <c r="F100" s="421">
        <v>0</v>
      </c>
      <c r="G100" s="421">
        <v>0</v>
      </c>
      <c r="H100" s="421">
        <v>0</v>
      </c>
      <c r="I100" s="421">
        <v>0</v>
      </c>
      <c r="J100" s="421">
        <v>39.445597700089998</v>
      </c>
      <c r="K100" s="421">
        <v>0</v>
      </c>
      <c r="L100" s="421">
        <v>-39.445597700089998</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-0.18005031965795901</v>
      </c>
      <c r="M101" s="421">
        <v>0</v>
      </c>
      <c r="N101" s="421">
        <v>0</v>
      </c>
      <c r="O101" s="421">
        <v>0</v>
      </c>
      <c r="P101" s="421">
        <v>0</v>
      </c>
      <c r="Q101" s="421">
        <v>0</v>
      </c>
      <c r="R101" s="421">
        <v>0.25721474236851299</v>
      </c>
      <c r="S101" s="429">
        <v>7.7164422710554001E-2</v>
      </c>
      <c r="T101" s="412"/>
    </row>
    <row r="102" spans="2:20" ht="13.5">
      <c r="B102" s="412"/>
      <c r="C102" s="428" t="s">
        <v>73</v>
      </c>
      <c r="D102" s="421">
        <v>0</v>
      </c>
      <c r="E102" s="421">
        <v>0</v>
      </c>
      <c r="F102" s="421">
        <v>0</v>
      </c>
      <c r="G102" s="421">
        <v>3.2927955650537002</v>
      </c>
      <c r="H102" s="421">
        <v>0</v>
      </c>
      <c r="I102" s="421">
        <v>0</v>
      </c>
      <c r="J102" s="421">
        <v>0</v>
      </c>
      <c r="K102" s="421">
        <v>3.7583841997143097E-2</v>
      </c>
      <c r="L102" s="421">
        <v>0</v>
      </c>
      <c r="M102" s="421">
        <v>6.7199909490891899E-2</v>
      </c>
      <c r="N102" s="421">
        <v>0</v>
      </c>
      <c r="O102" s="421">
        <v>0</v>
      </c>
      <c r="P102" s="421">
        <v>0.37251241625487003</v>
      </c>
      <c r="Q102" s="421">
        <v>0</v>
      </c>
      <c r="R102" s="421">
        <v>-2.63086893980002</v>
      </c>
      <c r="S102" s="429">
        <v>1.1392227929965899</v>
      </c>
      <c r="T102" s="412"/>
    </row>
    <row r="103" spans="2:20" ht="13.5">
      <c r="B103" s="412"/>
      <c r="C103" s="428" t="s">
        <v>356</v>
      </c>
      <c r="D103" s="421">
        <v>14.1944855957031</v>
      </c>
      <c r="E103" s="421">
        <v>-18.380132217119101</v>
      </c>
      <c r="F103" s="421">
        <v>24.040127313749402</v>
      </c>
      <c r="G103" s="421">
        <v>0</v>
      </c>
      <c r="H103" s="421">
        <v>0</v>
      </c>
      <c r="I103" s="421">
        <v>0</v>
      </c>
      <c r="J103" s="421">
        <v>0</v>
      </c>
      <c r="K103" s="421">
        <v>0</v>
      </c>
      <c r="L103" s="421">
        <v>0</v>
      </c>
      <c r="M103" s="421">
        <v>0</v>
      </c>
      <c r="N103" s="421">
        <v>0</v>
      </c>
      <c r="O103" s="421">
        <v>0</v>
      </c>
      <c r="P103" s="421">
        <v>0</v>
      </c>
      <c r="Q103" s="421">
        <v>0</v>
      </c>
      <c r="R103" s="421">
        <v>0</v>
      </c>
      <c r="S103" s="429">
        <v>19.8544806923335</v>
      </c>
      <c r="T103" s="412"/>
    </row>
    <row r="104" spans="2:20" ht="13.5">
      <c r="B104" s="412"/>
      <c r="C104" s="428" t="s">
        <v>75</v>
      </c>
      <c r="D104" s="421">
        <v>9.7861113281249992</v>
      </c>
      <c r="E104" s="421">
        <v>0</v>
      </c>
      <c r="F104" s="421">
        <v>18.035338972064899</v>
      </c>
      <c r="G104" s="421">
        <v>5.1464370207933401</v>
      </c>
      <c r="H104" s="421">
        <v>0</v>
      </c>
      <c r="I104" s="421">
        <v>0</v>
      </c>
      <c r="J104" s="421">
        <v>0</v>
      </c>
      <c r="K104" s="421">
        <v>0</v>
      </c>
      <c r="L104" s="421">
        <v>0</v>
      </c>
      <c r="M104" s="421">
        <v>0.105029326954966</v>
      </c>
      <c r="N104" s="421">
        <v>0</v>
      </c>
      <c r="O104" s="421">
        <v>0</v>
      </c>
      <c r="P104" s="421">
        <v>31.7730894392256</v>
      </c>
      <c r="Q104" s="421">
        <v>0</v>
      </c>
      <c r="R104" s="421">
        <v>0</v>
      </c>
      <c r="S104" s="429">
        <v>64.846006087163701</v>
      </c>
      <c r="T104" s="412"/>
    </row>
    <row r="105" spans="2:20" ht="13.5">
      <c r="B105" s="412"/>
      <c r="C105" s="428" t="s">
        <v>76</v>
      </c>
      <c r="D105" s="421">
        <v>0</v>
      </c>
      <c r="E105" s="421">
        <v>0</v>
      </c>
      <c r="F105" s="421">
        <v>0</v>
      </c>
      <c r="G105" s="421">
        <v>4.2960968353958799</v>
      </c>
      <c r="H105" s="421">
        <v>0</v>
      </c>
      <c r="I105" s="421">
        <v>0</v>
      </c>
      <c r="J105" s="421">
        <v>0</v>
      </c>
      <c r="K105" s="421">
        <v>0</v>
      </c>
      <c r="L105" s="421">
        <v>0</v>
      </c>
      <c r="M105" s="421">
        <v>8.7675445620324199E-2</v>
      </c>
      <c r="N105" s="421">
        <v>0</v>
      </c>
      <c r="O105" s="421">
        <v>0</v>
      </c>
      <c r="P105" s="421">
        <v>42.927323592620297</v>
      </c>
      <c r="Q105" s="421">
        <v>3.1793369165350902</v>
      </c>
      <c r="R105" s="421">
        <v>0</v>
      </c>
      <c r="S105" s="429">
        <v>50.490432790171603</v>
      </c>
      <c r="T105" s="412"/>
    </row>
    <row r="106" spans="2:20" ht="13.5">
      <c r="B106" s="412"/>
      <c r="C106" s="424" t="s">
        <v>77</v>
      </c>
      <c r="D106" s="425">
        <v>26.181067659394699</v>
      </c>
      <c r="E106" s="425">
        <v>512.071014020083</v>
      </c>
      <c r="F106" s="425">
        <v>-479.20753212538</v>
      </c>
      <c r="G106" s="425">
        <v>47.878996698291502</v>
      </c>
      <c r="H106" s="425">
        <v>1005.45454545455</v>
      </c>
      <c r="I106" s="425">
        <v>246.08</v>
      </c>
      <c r="J106" s="425">
        <v>84.365269374358903</v>
      </c>
      <c r="K106" s="425">
        <v>19.157104018858298</v>
      </c>
      <c r="L106" s="425">
        <v>-39.625648019747899</v>
      </c>
      <c r="M106" s="425">
        <v>-6.4168401990495498</v>
      </c>
      <c r="N106" s="425">
        <v>0</v>
      </c>
      <c r="O106" s="425">
        <v>2.2454573880541999</v>
      </c>
      <c r="P106" s="425">
        <v>-525.650681518228</v>
      </c>
      <c r="Q106" s="425">
        <v>-37.849249006370201</v>
      </c>
      <c r="R106" s="425">
        <v>-2.37365419743151</v>
      </c>
      <c r="S106" s="425">
        <v>852.30984954737903</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5.2125076489031201</v>
      </c>
      <c r="E108" s="421">
        <v>0</v>
      </c>
      <c r="F108" s="421">
        <v>21.727756673907599</v>
      </c>
      <c r="G108" s="421">
        <v>101.51924937784101</v>
      </c>
      <c r="H108" s="421">
        <v>0</v>
      </c>
      <c r="I108" s="421">
        <v>0</v>
      </c>
      <c r="J108" s="421">
        <v>17.0707077986517</v>
      </c>
      <c r="K108" s="421">
        <v>4.1672265212432702</v>
      </c>
      <c r="L108" s="421">
        <v>0.85564616601562504</v>
      </c>
      <c r="M108" s="421">
        <v>2.07182141587431</v>
      </c>
      <c r="N108" s="421">
        <v>0</v>
      </c>
      <c r="O108" s="421">
        <v>0</v>
      </c>
      <c r="P108" s="421">
        <v>108.651427718851</v>
      </c>
      <c r="Q108" s="421">
        <v>18.253539143187599</v>
      </c>
      <c r="R108" s="421">
        <v>0.245581359863281</v>
      </c>
      <c r="S108" s="429">
        <v>279.775463824339</v>
      </c>
      <c r="T108" s="412"/>
    </row>
    <row r="109" spans="2:20" ht="13.5">
      <c r="B109" s="412"/>
      <c r="C109" s="428" t="s">
        <v>79</v>
      </c>
      <c r="D109" s="421">
        <v>0</v>
      </c>
      <c r="E109" s="421">
        <v>0</v>
      </c>
      <c r="F109" s="421">
        <v>248.35405318252</v>
      </c>
      <c r="G109" s="421">
        <v>28.348372671164501</v>
      </c>
      <c r="H109" s="421">
        <v>0</v>
      </c>
      <c r="I109" s="421">
        <v>0</v>
      </c>
      <c r="J109" s="421">
        <v>0</v>
      </c>
      <c r="K109" s="421">
        <v>0</v>
      </c>
      <c r="L109" s="421">
        <v>25.168184235978501</v>
      </c>
      <c r="M109" s="421">
        <v>0.57853821777886805</v>
      </c>
      <c r="N109" s="421">
        <v>0</v>
      </c>
      <c r="O109" s="421">
        <v>0</v>
      </c>
      <c r="P109" s="421">
        <v>52.469592014343696</v>
      </c>
      <c r="Q109" s="421">
        <v>0</v>
      </c>
      <c r="R109" s="421">
        <v>1.65835229069323</v>
      </c>
      <c r="S109" s="429">
        <v>356.57709261247902</v>
      </c>
      <c r="T109" s="412"/>
    </row>
    <row r="110" spans="2:20" ht="13.5">
      <c r="B110" s="412"/>
      <c r="C110" s="428" t="s">
        <v>80</v>
      </c>
      <c r="D110" s="421">
        <v>0</v>
      </c>
      <c r="E110" s="421">
        <v>0</v>
      </c>
      <c r="F110" s="421">
        <v>20.256761512665399</v>
      </c>
      <c r="G110" s="421">
        <v>114.236246094908</v>
      </c>
      <c r="H110" s="421">
        <v>0</v>
      </c>
      <c r="I110" s="421">
        <v>0</v>
      </c>
      <c r="J110" s="421">
        <v>74.165421932581495</v>
      </c>
      <c r="K110" s="421">
        <v>0</v>
      </c>
      <c r="L110" s="421">
        <v>0</v>
      </c>
      <c r="M110" s="421">
        <v>2.3313519611205602</v>
      </c>
      <c r="N110" s="421">
        <v>50.603124329176602</v>
      </c>
      <c r="O110" s="421">
        <v>0.95734789320939595</v>
      </c>
      <c r="P110" s="421">
        <v>178.886337281088</v>
      </c>
      <c r="Q110" s="421">
        <v>15.5186626122163</v>
      </c>
      <c r="R110" s="421">
        <v>0</v>
      </c>
      <c r="S110" s="429">
        <v>456.95525361696502</v>
      </c>
      <c r="T110" s="412"/>
    </row>
    <row r="111" spans="2:20" ht="13.5">
      <c r="B111" s="412"/>
      <c r="C111" s="428" t="s">
        <v>81</v>
      </c>
      <c r="D111" s="421">
        <v>0</v>
      </c>
      <c r="E111" s="421">
        <v>0</v>
      </c>
      <c r="F111" s="421">
        <v>8.4821062063849304</v>
      </c>
      <c r="G111" s="421">
        <v>65.4970920681791</v>
      </c>
      <c r="H111" s="421">
        <v>0</v>
      </c>
      <c r="I111" s="421">
        <v>0</v>
      </c>
      <c r="J111" s="421">
        <v>3.4528006603112198</v>
      </c>
      <c r="K111" s="421">
        <v>0</v>
      </c>
      <c r="L111" s="421">
        <v>0</v>
      </c>
      <c r="M111" s="421">
        <v>1.3366753483301901</v>
      </c>
      <c r="N111" s="421">
        <v>6.6434716462271597</v>
      </c>
      <c r="O111" s="421">
        <v>0.79174204160808703</v>
      </c>
      <c r="P111" s="421">
        <v>137.26768731378999</v>
      </c>
      <c r="Q111" s="421">
        <v>4.0770472509662401</v>
      </c>
      <c r="R111" s="421">
        <v>0</v>
      </c>
      <c r="S111" s="429">
        <v>227.54862253579699</v>
      </c>
      <c r="T111" s="412"/>
    </row>
    <row r="112" spans="2:20" ht="13.5">
      <c r="B112" s="412"/>
      <c r="C112" s="428" t="s">
        <v>82</v>
      </c>
      <c r="D112" s="421">
        <v>0</v>
      </c>
      <c r="E112" s="421">
        <v>0</v>
      </c>
      <c r="F112" s="421">
        <v>13.750506376214</v>
      </c>
      <c r="G112" s="421">
        <v>4.8242095413356898</v>
      </c>
      <c r="H112" s="421">
        <v>0</v>
      </c>
      <c r="I112" s="421">
        <v>0</v>
      </c>
      <c r="J112" s="421">
        <v>1.4039897378261701</v>
      </c>
      <c r="K112" s="421">
        <v>0</v>
      </c>
      <c r="L112" s="421">
        <v>12.720346370565601</v>
      </c>
      <c r="M112" s="421">
        <v>9.8453255945626303E-2</v>
      </c>
      <c r="N112" s="421">
        <v>0</v>
      </c>
      <c r="O112" s="421">
        <v>7.4767074498679406E-2</v>
      </c>
      <c r="P112" s="421">
        <v>7.7760236070527604</v>
      </c>
      <c r="Q112" s="421">
        <v>0</v>
      </c>
      <c r="R112" s="421">
        <v>0</v>
      </c>
      <c r="S112" s="429">
        <v>40.648295963438599</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5.2125076489031201</v>
      </c>
      <c r="E114" s="425">
        <v>0</v>
      </c>
      <c r="F114" s="425">
        <v>312.57118395169198</v>
      </c>
      <c r="G114" s="425">
        <v>314.42516975342801</v>
      </c>
      <c r="H114" s="425">
        <v>0</v>
      </c>
      <c r="I114" s="425">
        <v>0</v>
      </c>
      <c r="J114" s="425">
        <v>96.092920129370597</v>
      </c>
      <c r="K114" s="425">
        <v>4.1672265212432702</v>
      </c>
      <c r="L114" s="425">
        <v>38.744176772559697</v>
      </c>
      <c r="M114" s="425">
        <v>6.4168401990495498</v>
      </c>
      <c r="N114" s="425">
        <v>57.2465959754038</v>
      </c>
      <c r="O114" s="425">
        <v>1.8238570093161599</v>
      </c>
      <c r="P114" s="425">
        <v>485.05106793512499</v>
      </c>
      <c r="Q114" s="425">
        <v>37.849249006370201</v>
      </c>
      <c r="R114" s="425">
        <v>1.9039336505565101</v>
      </c>
      <c r="S114" s="425">
        <v>1361.50472855302</v>
      </c>
      <c r="T114" s="412"/>
    </row>
    <row r="115" spans="2:20" ht="13.5">
      <c r="B115" s="412"/>
      <c r="C115" s="420" t="s">
        <v>84</v>
      </c>
      <c r="D115" s="421">
        <v>2.2139919433593702</v>
      </c>
      <c r="E115" s="421">
        <v>0</v>
      </c>
      <c r="F115" s="421">
        <v>138.06375460012401</v>
      </c>
      <c r="G115" s="421">
        <v>12.2915642401253</v>
      </c>
      <c r="H115" s="421">
        <v>0</v>
      </c>
      <c r="I115" s="421">
        <v>0</v>
      </c>
      <c r="J115" s="421">
        <v>0</v>
      </c>
      <c r="K115" s="421">
        <v>0</v>
      </c>
      <c r="L115" s="421">
        <v>0</v>
      </c>
      <c r="M115" s="421">
        <v>0</v>
      </c>
      <c r="N115" s="421">
        <v>0</v>
      </c>
      <c r="O115" s="421">
        <v>0</v>
      </c>
      <c r="P115" s="421">
        <v>0</v>
      </c>
      <c r="Q115" s="421">
        <v>0</v>
      </c>
      <c r="R115" s="421">
        <v>0.46972054687499998</v>
      </c>
      <c r="S115" s="429">
        <v>153.03903133048399</v>
      </c>
      <c r="T115" s="412"/>
    </row>
    <row r="116" spans="2:20" ht="13.5">
      <c r="B116" s="412"/>
      <c r="C116" s="424" t="s">
        <v>85</v>
      </c>
      <c r="D116" s="425">
        <v>7.4264995922625001</v>
      </c>
      <c r="E116" s="425">
        <v>0</v>
      </c>
      <c r="F116" s="425">
        <v>450.63493855181599</v>
      </c>
      <c r="G116" s="425">
        <v>326.71673399355302</v>
      </c>
      <c r="H116" s="425">
        <v>0</v>
      </c>
      <c r="I116" s="425">
        <v>0</v>
      </c>
      <c r="J116" s="425">
        <v>96.092920129370597</v>
      </c>
      <c r="K116" s="425">
        <v>4.1672265212432702</v>
      </c>
      <c r="L116" s="425">
        <v>38.744176772559697</v>
      </c>
      <c r="M116" s="425">
        <v>6.4168401990495498</v>
      </c>
      <c r="N116" s="425">
        <v>57.2465959754038</v>
      </c>
      <c r="O116" s="425">
        <v>1.8238570093161599</v>
      </c>
      <c r="P116" s="425">
        <v>485.05106793512499</v>
      </c>
      <c r="Q116" s="425">
        <v>37.849249006370201</v>
      </c>
      <c r="R116" s="425">
        <v>2.37365419743151</v>
      </c>
      <c r="S116" s="425">
        <v>1514.5437598834999</v>
      </c>
      <c r="T116" s="412"/>
    </row>
    <row r="117" spans="2:20">
      <c r="B117" s="412"/>
      <c r="C117" s="412"/>
      <c r="D117" s="430">
        <f t="shared" ref="D117:S117" si="2">D116+D106-D92</f>
        <v>0</v>
      </c>
      <c r="E117" s="430">
        <f t="shared" si="2"/>
        <v>0</v>
      </c>
      <c r="F117" s="430">
        <f t="shared" si="2"/>
        <v>-8.0646600508771371E-13</v>
      </c>
      <c r="G117" s="430">
        <f t="shared" si="2"/>
        <v>-4.5474735088646412E-13</v>
      </c>
      <c r="H117" s="430">
        <f t="shared" si="2"/>
        <v>0</v>
      </c>
      <c r="I117" s="430">
        <f t="shared" si="2"/>
        <v>0</v>
      </c>
      <c r="J117" s="430">
        <f t="shared" si="2"/>
        <v>-5.1159076974727213E-13</v>
      </c>
      <c r="K117" s="430">
        <f t="shared" si="2"/>
        <v>-2.8421709430404007E-14</v>
      </c>
      <c r="L117" s="430">
        <f t="shared" si="2"/>
        <v>1.4210854715202004E-14</v>
      </c>
      <c r="M117" s="430">
        <f t="shared" si="2"/>
        <v>0</v>
      </c>
      <c r="N117" s="430">
        <f t="shared" si="2"/>
        <v>0</v>
      </c>
      <c r="O117" s="430">
        <f t="shared" si="2"/>
        <v>0</v>
      </c>
      <c r="P117" s="430">
        <f t="shared" si="2"/>
        <v>1.9184653865522705E-13</v>
      </c>
      <c r="Q117" s="430">
        <f t="shared" si="2"/>
        <v>0</v>
      </c>
      <c r="R117" s="430">
        <f t="shared" si="2"/>
        <v>0</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363</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0</v>
      </c>
      <c r="F123" s="421">
        <v>0</v>
      </c>
      <c r="G123" s="421">
        <v>0</v>
      </c>
      <c r="H123" s="422">
        <v>959.09090909090901</v>
      </c>
      <c r="I123" s="422">
        <v>262.58</v>
      </c>
      <c r="J123" s="422">
        <v>180.265617568263</v>
      </c>
      <c r="K123" s="422">
        <v>23.099472372796701</v>
      </c>
      <c r="L123" s="421">
        <v>0</v>
      </c>
      <c r="M123" s="421">
        <v>0</v>
      </c>
      <c r="N123" s="422">
        <v>59.577309191786703</v>
      </c>
      <c r="O123" s="422">
        <v>4.0524132365006302</v>
      </c>
      <c r="P123" s="421">
        <v>0</v>
      </c>
      <c r="Q123" s="421">
        <v>0</v>
      </c>
      <c r="R123" s="421">
        <v>0</v>
      </c>
      <c r="S123" s="423">
        <v>1488.6657214602601</v>
      </c>
      <c r="T123" s="412"/>
    </row>
    <row r="124" spans="2:20" ht="13.5">
      <c r="B124" s="412"/>
      <c r="C124" s="420" t="s">
        <v>60</v>
      </c>
      <c r="D124" s="421">
        <v>32.718430513686002</v>
      </c>
      <c r="E124" s="421">
        <v>504.19228646673599</v>
      </c>
      <c r="F124" s="421">
        <v>58.276607316060698</v>
      </c>
      <c r="G124" s="421">
        <v>375.54945868825399</v>
      </c>
      <c r="H124" s="421">
        <v>0</v>
      </c>
      <c r="I124" s="421">
        <v>0</v>
      </c>
      <c r="J124" s="421">
        <v>0</v>
      </c>
      <c r="K124" s="421">
        <v>0</v>
      </c>
      <c r="L124" s="421">
        <v>0</v>
      </c>
      <c r="M124" s="421">
        <v>0</v>
      </c>
      <c r="N124" s="421">
        <v>0</v>
      </c>
      <c r="O124" s="421">
        <v>0</v>
      </c>
      <c r="P124" s="421">
        <v>0</v>
      </c>
      <c r="Q124" s="421">
        <v>0</v>
      </c>
      <c r="R124" s="421">
        <v>0</v>
      </c>
      <c r="S124" s="423">
        <v>970.73678298473703</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-31.629492690064499</v>
      </c>
      <c r="Q125" s="421">
        <v>0</v>
      </c>
      <c r="R125" s="421">
        <v>0</v>
      </c>
      <c r="S125" s="423">
        <v>-31.629492690064499</v>
      </c>
      <c r="T125" s="412"/>
    </row>
    <row r="126" spans="2:20" ht="13.5">
      <c r="B126" s="412"/>
      <c r="C126" s="420" t="s">
        <v>62</v>
      </c>
      <c r="D126" s="421">
        <v>0</v>
      </c>
      <c r="E126" s="421">
        <v>0</v>
      </c>
      <c r="F126" s="421">
        <v>-15.8559052566209</v>
      </c>
      <c r="G126" s="421">
        <v>0</v>
      </c>
      <c r="H126" s="421">
        <v>0</v>
      </c>
      <c r="I126" s="421">
        <v>0</v>
      </c>
      <c r="J126" s="421">
        <v>0</v>
      </c>
      <c r="K126" s="421">
        <v>0</v>
      </c>
      <c r="L126" s="421">
        <v>0</v>
      </c>
      <c r="M126" s="421">
        <v>0</v>
      </c>
      <c r="N126" s="421">
        <v>0</v>
      </c>
      <c r="O126" s="421">
        <v>0</v>
      </c>
      <c r="P126" s="421">
        <v>0</v>
      </c>
      <c r="Q126" s="421">
        <v>0</v>
      </c>
      <c r="R126" s="421">
        <v>0</v>
      </c>
      <c r="S126" s="423">
        <v>-15.8559052566209</v>
      </c>
      <c r="T126" s="412"/>
    </row>
    <row r="127" spans="2:20" ht="13.5">
      <c r="B127" s="412"/>
      <c r="C127" s="420" t="s">
        <v>63</v>
      </c>
      <c r="D127" s="421">
        <v>0</v>
      </c>
      <c r="E127" s="421">
        <v>0</v>
      </c>
      <c r="F127" s="421">
        <v>-86.773262368245497</v>
      </c>
      <c r="G127" s="421">
        <v>0</v>
      </c>
      <c r="H127" s="421">
        <v>0</v>
      </c>
      <c r="I127" s="421">
        <v>0</v>
      </c>
      <c r="J127" s="421">
        <v>0</v>
      </c>
      <c r="K127" s="421">
        <v>0</v>
      </c>
      <c r="L127" s="421">
        <v>-0.89665432830126901</v>
      </c>
      <c r="M127" s="421">
        <v>0</v>
      </c>
      <c r="N127" s="421">
        <v>0</v>
      </c>
      <c r="O127" s="421">
        <v>0</v>
      </c>
      <c r="P127" s="421">
        <v>0</v>
      </c>
      <c r="Q127" s="421">
        <v>0</v>
      </c>
      <c r="R127" s="421">
        <v>0</v>
      </c>
      <c r="S127" s="423">
        <v>-87.669916696546807</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32.718430513686002</v>
      </c>
      <c r="E129" s="425">
        <v>504.19228646673599</v>
      </c>
      <c r="F129" s="425">
        <v>-44.3525603088057</v>
      </c>
      <c r="G129" s="425">
        <v>375.54945868825399</v>
      </c>
      <c r="H129" s="425">
        <v>959.09090909090901</v>
      </c>
      <c r="I129" s="425">
        <v>262.58</v>
      </c>
      <c r="J129" s="425">
        <v>180.265617568263</v>
      </c>
      <c r="K129" s="425">
        <v>23.099472372796701</v>
      </c>
      <c r="L129" s="425">
        <v>-0.89665432830126901</v>
      </c>
      <c r="M129" s="425">
        <v>0</v>
      </c>
      <c r="N129" s="425">
        <v>59.577309191786703</v>
      </c>
      <c r="O129" s="425">
        <v>4.0524132365006302</v>
      </c>
      <c r="P129" s="425">
        <v>-31.629492690064499</v>
      </c>
      <c r="Q129" s="425">
        <v>0</v>
      </c>
      <c r="R129" s="425">
        <v>0</v>
      </c>
      <c r="S129" s="425">
        <v>2324.2471898017602</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17.735248612195999</v>
      </c>
      <c r="H132" s="421">
        <v>959.09090909090901</v>
      </c>
      <c r="I132" s="421">
        <v>262.58</v>
      </c>
      <c r="J132" s="421">
        <v>23.4611328004797</v>
      </c>
      <c r="K132" s="421">
        <v>6.2174163871509203</v>
      </c>
      <c r="L132" s="421">
        <v>0</v>
      </c>
      <c r="M132" s="421">
        <v>0.36194384922848999</v>
      </c>
      <c r="N132" s="421">
        <v>0</v>
      </c>
      <c r="O132" s="421">
        <v>0</v>
      </c>
      <c r="P132" s="421">
        <v>-601.88588566531905</v>
      </c>
      <c r="Q132" s="421">
        <v>0</v>
      </c>
      <c r="R132" s="421">
        <v>0</v>
      </c>
      <c r="S132" s="429">
        <v>673.62487217384796</v>
      </c>
      <c r="T132" s="412"/>
    </row>
    <row r="133" spans="2:20" ht="13.5">
      <c r="B133" s="412"/>
      <c r="C133" s="428" t="s">
        <v>351</v>
      </c>
      <c r="D133" s="421">
        <v>0</v>
      </c>
      <c r="E133" s="421">
        <v>0</v>
      </c>
      <c r="F133" s="421">
        <v>0</v>
      </c>
      <c r="G133" s="421">
        <v>17.183924372650001</v>
      </c>
      <c r="H133" s="421">
        <v>0</v>
      </c>
      <c r="I133" s="421">
        <v>0</v>
      </c>
      <c r="J133" s="421">
        <v>12.602550905863099</v>
      </c>
      <c r="K133" s="421">
        <v>12.7146561007388</v>
      </c>
      <c r="L133" s="421">
        <v>0</v>
      </c>
      <c r="M133" s="421">
        <v>0.35069233413571399</v>
      </c>
      <c r="N133" s="421">
        <v>0</v>
      </c>
      <c r="O133" s="421">
        <v>2.2448826639763899</v>
      </c>
      <c r="P133" s="421">
        <v>0</v>
      </c>
      <c r="Q133" s="421">
        <v>-41.019007188274998</v>
      </c>
      <c r="R133" s="421">
        <v>0</v>
      </c>
      <c r="S133" s="429">
        <v>4.0776991890889702</v>
      </c>
      <c r="T133" s="412"/>
    </row>
    <row r="134" spans="2:20" ht="13.5">
      <c r="B134" s="412"/>
      <c r="C134" s="428" t="s">
        <v>352</v>
      </c>
      <c r="D134" s="421">
        <v>0</v>
      </c>
      <c r="E134" s="421">
        <v>0</v>
      </c>
      <c r="F134" s="421">
        <v>0</v>
      </c>
      <c r="G134" s="421">
        <v>0</v>
      </c>
      <c r="H134" s="421">
        <v>0</v>
      </c>
      <c r="I134" s="421">
        <v>0</v>
      </c>
      <c r="J134" s="421">
        <v>8.1259394649786305</v>
      </c>
      <c r="K134" s="421">
        <v>0</v>
      </c>
      <c r="L134" s="421">
        <v>0</v>
      </c>
      <c r="M134" s="421">
        <v>-7.4149197617929996</v>
      </c>
      <c r="N134" s="421">
        <v>0</v>
      </c>
      <c r="O134" s="421">
        <v>0</v>
      </c>
      <c r="P134" s="421">
        <v>0</v>
      </c>
      <c r="Q134" s="421">
        <v>0</v>
      </c>
      <c r="R134" s="421">
        <v>0</v>
      </c>
      <c r="S134" s="429">
        <v>0.71101970318563101</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522.289621864335</v>
      </c>
      <c r="F136" s="421">
        <v>-517.06672564569203</v>
      </c>
      <c r="G136" s="421">
        <v>0</v>
      </c>
      <c r="H136" s="421">
        <v>0</v>
      </c>
      <c r="I136" s="421">
        <v>0</v>
      </c>
      <c r="J136" s="421">
        <v>0</v>
      </c>
      <c r="K136" s="421">
        <v>0</v>
      </c>
      <c r="L136" s="421">
        <v>0</v>
      </c>
      <c r="M136" s="421">
        <v>0</v>
      </c>
      <c r="N136" s="421">
        <v>0</v>
      </c>
      <c r="O136" s="421">
        <v>0</v>
      </c>
      <c r="P136" s="421">
        <v>0</v>
      </c>
      <c r="Q136" s="421">
        <v>0</v>
      </c>
      <c r="R136" s="421">
        <v>0</v>
      </c>
      <c r="S136" s="429">
        <v>5.2228962186433101</v>
      </c>
      <c r="T136" s="412"/>
    </row>
    <row r="137" spans="2:20" ht="13.5">
      <c r="B137" s="412"/>
      <c r="C137" s="428" t="s">
        <v>354</v>
      </c>
      <c r="D137" s="421">
        <v>0</v>
      </c>
      <c r="E137" s="421">
        <v>0</v>
      </c>
      <c r="F137" s="421">
        <v>0</v>
      </c>
      <c r="G137" s="421">
        <v>0</v>
      </c>
      <c r="H137" s="421">
        <v>0</v>
      </c>
      <c r="I137" s="421">
        <v>0</v>
      </c>
      <c r="J137" s="421">
        <v>39.636150809514099</v>
      </c>
      <c r="K137" s="421">
        <v>0</v>
      </c>
      <c r="L137" s="421">
        <v>-39.636150809514099</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-0.18158952535457601</v>
      </c>
      <c r="M138" s="421">
        <v>0</v>
      </c>
      <c r="N138" s="421">
        <v>0</v>
      </c>
      <c r="O138" s="421">
        <v>0</v>
      </c>
      <c r="P138" s="421">
        <v>0</v>
      </c>
      <c r="Q138" s="421">
        <v>0</v>
      </c>
      <c r="R138" s="421">
        <v>0.25941360764939397</v>
      </c>
      <c r="S138" s="429">
        <v>7.7824082294818103E-2</v>
      </c>
      <c r="T138" s="412"/>
    </row>
    <row r="139" spans="2:20" ht="13.5">
      <c r="B139" s="412"/>
      <c r="C139" s="428" t="s">
        <v>73</v>
      </c>
      <c r="D139" s="421">
        <v>0</v>
      </c>
      <c r="E139" s="421">
        <v>0</v>
      </c>
      <c r="F139" s="421">
        <v>0</v>
      </c>
      <c r="G139" s="421">
        <v>3.8743456372163201</v>
      </c>
      <c r="H139" s="421">
        <v>0</v>
      </c>
      <c r="I139" s="421">
        <v>0</v>
      </c>
      <c r="J139" s="421">
        <v>0</v>
      </c>
      <c r="K139" s="421">
        <v>4.4420381073335499E-2</v>
      </c>
      <c r="L139" s="421">
        <v>0</v>
      </c>
      <c r="M139" s="421">
        <v>7.9068278310537199E-2</v>
      </c>
      <c r="N139" s="421">
        <v>0</v>
      </c>
      <c r="O139" s="421">
        <v>0</v>
      </c>
      <c r="P139" s="421">
        <v>0.45393090147934101</v>
      </c>
      <c r="Q139" s="421">
        <v>0</v>
      </c>
      <c r="R139" s="421">
        <v>-3.10942667513349</v>
      </c>
      <c r="S139" s="429">
        <v>1.3423385229460501</v>
      </c>
      <c r="T139" s="412"/>
    </row>
    <row r="140" spans="2:20" ht="13.5">
      <c r="B140" s="412"/>
      <c r="C140" s="428" t="s">
        <v>356</v>
      </c>
      <c r="D140" s="421">
        <v>13.757025878906299</v>
      </c>
      <c r="E140" s="421">
        <v>-18.097335397599199</v>
      </c>
      <c r="F140" s="421">
        <v>23.670245777269098</v>
      </c>
      <c r="G140" s="421">
        <v>0</v>
      </c>
      <c r="H140" s="421">
        <v>0</v>
      </c>
      <c r="I140" s="421">
        <v>0</v>
      </c>
      <c r="J140" s="421">
        <v>0</v>
      </c>
      <c r="K140" s="421">
        <v>0</v>
      </c>
      <c r="L140" s="421">
        <v>0</v>
      </c>
      <c r="M140" s="421">
        <v>0</v>
      </c>
      <c r="N140" s="421">
        <v>0</v>
      </c>
      <c r="O140" s="421">
        <v>0</v>
      </c>
      <c r="P140" s="421">
        <v>0</v>
      </c>
      <c r="Q140" s="421">
        <v>0</v>
      </c>
      <c r="R140" s="421">
        <v>0</v>
      </c>
      <c r="S140" s="429">
        <v>19.329936258576101</v>
      </c>
      <c r="T140" s="412"/>
    </row>
    <row r="141" spans="2:20" ht="13.5">
      <c r="B141" s="412"/>
      <c r="C141" s="428" t="s">
        <v>75</v>
      </c>
      <c r="D141" s="421">
        <v>9.7066552734374998</v>
      </c>
      <c r="E141" s="421">
        <v>0</v>
      </c>
      <c r="F141" s="421">
        <v>17.757847143387401</v>
      </c>
      <c r="G141" s="421">
        <v>5.0672539113277804</v>
      </c>
      <c r="H141" s="421">
        <v>0</v>
      </c>
      <c r="I141" s="421">
        <v>0</v>
      </c>
      <c r="J141" s="421">
        <v>0</v>
      </c>
      <c r="K141" s="421">
        <v>0</v>
      </c>
      <c r="L141" s="421">
        <v>0</v>
      </c>
      <c r="M141" s="421">
        <v>0.103413345129138</v>
      </c>
      <c r="N141" s="421">
        <v>0</v>
      </c>
      <c r="O141" s="421">
        <v>0</v>
      </c>
      <c r="P141" s="421">
        <v>30.6584761014478</v>
      </c>
      <c r="Q141" s="421">
        <v>0</v>
      </c>
      <c r="R141" s="421">
        <v>0</v>
      </c>
      <c r="S141" s="429">
        <v>63.293645774729598</v>
      </c>
      <c r="T141" s="412"/>
    </row>
    <row r="142" spans="2:20" ht="13.5">
      <c r="B142" s="412"/>
      <c r="C142" s="428" t="s">
        <v>76</v>
      </c>
      <c r="D142" s="421">
        <v>0</v>
      </c>
      <c r="E142" s="421">
        <v>0</v>
      </c>
      <c r="F142" s="421">
        <v>0</v>
      </c>
      <c r="G142" s="421">
        <v>4.3082735374844701</v>
      </c>
      <c r="H142" s="421">
        <v>0</v>
      </c>
      <c r="I142" s="421">
        <v>0</v>
      </c>
      <c r="J142" s="421">
        <v>0</v>
      </c>
      <c r="K142" s="421">
        <v>0</v>
      </c>
      <c r="L142" s="421">
        <v>0</v>
      </c>
      <c r="M142" s="421">
        <v>8.7923949744581106E-2</v>
      </c>
      <c r="N142" s="421">
        <v>0</v>
      </c>
      <c r="O142" s="421">
        <v>0</v>
      </c>
      <c r="P142" s="421">
        <v>43.703860218786801</v>
      </c>
      <c r="Q142" s="421">
        <v>3.1785946529659599</v>
      </c>
      <c r="R142" s="421">
        <v>0</v>
      </c>
      <c r="S142" s="429">
        <v>51.278652358981802</v>
      </c>
      <c r="T142" s="412"/>
    </row>
    <row r="143" spans="2:20" ht="13.5">
      <c r="B143" s="412"/>
      <c r="C143" s="424" t="s">
        <v>77</v>
      </c>
      <c r="D143" s="425">
        <v>25.6641518879103</v>
      </c>
      <c r="E143" s="425">
        <v>504.19228646673599</v>
      </c>
      <c r="F143" s="425">
        <v>-471.77499636139902</v>
      </c>
      <c r="G143" s="425">
        <v>48.1690460708746</v>
      </c>
      <c r="H143" s="425">
        <v>959.09090909090901</v>
      </c>
      <c r="I143" s="425">
        <v>262.58</v>
      </c>
      <c r="J143" s="425">
        <v>83.825773980835606</v>
      </c>
      <c r="K143" s="425">
        <v>18.976492868963099</v>
      </c>
      <c r="L143" s="425">
        <v>-39.817740334868702</v>
      </c>
      <c r="M143" s="425">
        <v>-6.4318780052445401</v>
      </c>
      <c r="N143" s="425">
        <v>0</v>
      </c>
      <c r="O143" s="425">
        <v>2.2448826639763899</v>
      </c>
      <c r="P143" s="425">
        <v>-527.06961844360501</v>
      </c>
      <c r="Q143" s="425">
        <v>-37.840412535309099</v>
      </c>
      <c r="R143" s="425">
        <v>-2.85001306748409</v>
      </c>
      <c r="S143" s="425">
        <v>818.958884282295</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4.8707551882757301</v>
      </c>
      <c r="E145" s="421">
        <v>0</v>
      </c>
      <c r="F145" s="421">
        <v>20.993444165004</v>
      </c>
      <c r="G145" s="421">
        <v>101.297175428703</v>
      </c>
      <c r="H145" s="421">
        <v>0</v>
      </c>
      <c r="I145" s="421">
        <v>0</v>
      </c>
      <c r="J145" s="421">
        <v>17.0565927141357</v>
      </c>
      <c r="K145" s="421">
        <v>4.1229795038336201</v>
      </c>
      <c r="L145" s="421">
        <v>0.85536540625000002</v>
      </c>
      <c r="M145" s="421">
        <v>2.0672892944633201</v>
      </c>
      <c r="N145" s="421">
        <v>0</v>
      </c>
      <c r="O145" s="421">
        <v>0</v>
      </c>
      <c r="P145" s="421">
        <v>110.160518652362</v>
      </c>
      <c r="Q145" s="421">
        <v>18.409316628727701</v>
      </c>
      <c r="R145" s="421">
        <v>0.24532713317871099</v>
      </c>
      <c r="S145" s="429">
        <v>280.07876411493402</v>
      </c>
      <c r="T145" s="412"/>
    </row>
    <row r="146" spans="2:20" ht="13.5">
      <c r="B146" s="412"/>
      <c r="C146" s="428" t="s">
        <v>79</v>
      </c>
      <c r="D146" s="421">
        <v>0</v>
      </c>
      <c r="E146" s="421">
        <v>0</v>
      </c>
      <c r="F146" s="421">
        <v>232.66006634693801</v>
      </c>
      <c r="G146" s="421">
        <v>30.945196482305999</v>
      </c>
      <c r="H146" s="421">
        <v>0</v>
      </c>
      <c r="I146" s="421">
        <v>0</v>
      </c>
      <c r="J146" s="421">
        <v>0</v>
      </c>
      <c r="K146" s="421">
        <v>0</v>
      </c>
      <c r="L146" s="421">
        <v>23.571302525286502</v>
      </c>
      <c r="M146" s="421">
        <v>0.63153462208787803</v>
      </c>
      <c r="N146" s="421">
        <v>0</v>
      </c>
      <c r="O146" s="421">
        <v>0</v>
      </c>
      <c r="P146" s="421">
        <v>58.064871561766502</v>
      </c>
      <c r="Q146" s="421">
        <v>0</v>
      </c>
      <c r="R146" s="421">
        <v>2.0183635099889798</v>
      </c>
      <c r="S146" s="429">
        <v>347.891335048374</v>
      </c>
      <c r="T146" s="412"/>
    </row>
    <row r="147" spans="2:20" ht="13.5">
      <c r="B147" s="412"/>
      <c r="C147" s="428" t="s">
        <v>80</v>
      </c>
      <c r="D147" s="421">
        <v>0</v>
      </c>
      <c r="E147" s="421">
        <v>0</v>
      </c>
      <c r="F147" s="421">
        <v>17.5598675682925</v>
      </c>
      <c r="G147" s="421">
        <v>111.929219277919</v>
      </c>
      <c r="H147" s="421">
        <v>0</v>
      </c>
      <c r="I147" s="421">
        <v>0</v>
      </c>
      <c r="J147" s="421">
        <v>74.389853901213101</v>
      </c>
      <c r="K147" s="421">
        <v>0</v>
      </c>
      <c r="L147" s="421">
        <v>0</v>
      </c>
      <c r="M147" s="421">
        <v>2.2842697811820298</v>
      </c>
      <c r="N147" s="421">
        <v>53.007893982905898</v>
      </c>
      <c r="O147" s="421">
        <v>0.95506902656111503</v>
      </c>
      <c r="P147" s="421">
        <v>180.360799216462</v>
      </c>
      <c r="Q147" s="421">
        <v>15.433765533154</v>
      </c>
      <c r="R147" s="421">
        <v>0</v>
      </c>
      <c r="S147" s="429">
        <v>455.92073828769003</v>
      </c>
      <c r="T147" s="412"/>
    </row>
    <row r="148" spans="2:20" ht="13.5">
      <c r="B148" s="412"/>
      <c r="C148" s="428" t="s">
        <v>81</v>
      </c>
      <c r="D148" s="421">
        <v>0</v>
      </c>
      <c r="E148" s="421">
        <v>0</v>
      </c>
      <c r="F148" s="421">
        <v>7.3923055794682702</v>
      </c>
      <c r="G148" s="421">
        <v>65.894293417713897</v>
      </c>
      <c r="H148" s="421">
        <v>0</v>
      </c>
      <c r="I148" s="421">
        <v>0</v>
      </c>
      <c r="J148" s="421">
        <v>3.41214349769231</v>
      </c>
      <c r="K148" s="421">
        <v>0</v>
      </c>
      <c r="L148" s="421">
        <v>0</v>
      </c>
      <c r="M148" s="421">
        <v>1.34478149832069</v>
      </c>
      <c r="N148" s="421">
        <v>6.5694152088807796</v>
      </c>
      <c r="O148" s="421">
        <v>0.78006902491520902</v>
      </c>
      <c r="P148" s="421">
        <v>139.183172558515</v>
      </c>
      <c r="Q148" s="421">
        <v>3.99733037342736</v>
      </c>
      <c r="R148" s="421">
        <v>0</v>
      </c>
      <c r="S148" s="429">
        <v>228.573511158934</v>
      </c>
      <c r="T148" s="412"/>
    </row>
    <row r="149" spans="2:20" ht="13.5">
      <c r="B149" s="412"/>
      <c r="C149" s="428" t="s">
        <v>82</v>
      </c>
      <c r="D149" s="421">
        <v>0</v>
      </c>
      <c r="E149" s="421">
        <v>0</v>
      </c>
      <c r="F149" s="421">
        <v>10.671888604675701</v>
      </c>
      <c r="G149" s="421">
        <v>5.0961376503405704</v>
      </c>
      <c r="H149" s="421">
        <v>0</v>
      </c>
      <c r="I149" s="421">
        <v>0</v>
      </c>
      <c r="J149" s="421">
        <v>1.58125347438603</v>
      </c>
      <c r="K149" s="421">
        <v>0</v>
      </c>
      <c r="L149" s="421">
        <v>14.494418075031</v>
      </c>
      <c r="M149" s="421">
        <v>0.104002809190624</v>
      </c>
      <c r="N149" s="421">
        <v>0</v>
      </c>
      <c r="O149" s="421">
        <v>7.2392521047915395E-2</v>
      </c>
      <c r="P149" s="421">
        <v>7.67076376443437</v>
      </c>
      <c r="Q149" s="421">
        <v>0</v>
      </c>
      <c r="R149" s="421">
        <v>0</v>
      </c>
      <c r="S149" s="429">
        <v>39.690856899106201</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4.8707551882757301</v>
      </c>
      <c r="E151" s="425">
        <v>0</v>
      </c>
      <c r="F151" s="425">
        <v>289.27757226437899</v>
      </c>
      <c r="G151" s="425">
        <v>315.16202225698203</v>
      </c>
      <c r="H151" s="425">
        <v>0</v>
      </c>
      <c r="I151" s="425">
        <v>0</v>
      </c>
      <c r="J151" s="425">
        <v>96.439843587427205</v>
      </c>
      <c r="K151" s="425">
        <v>4.1229795038336201</v>
      </c>
      <c r="L151" s="425">
        <v>38.9210860065674</v>
      </c>
      <c r="M151" s="425">
        <v>6.4318780052445401</v>
      </c>
      <c r="N151" s="425">
        <v>59.577309191786703</v>
      </c>
      <c r="O151" s="425">
        <v>1.8075305725242401</v>
      </c>
      <c r="P151" s="425">
        <v>495.440125753541</v>
      </c>
      <c r="Q151" s="425">
        <v>37.840412535309099</v>
      </c>
      <c r="R151" s="425">
        <v>2.2636906431676902</v>
      </c>
      <c r="S151" s="425">
        <v>1352.1552055090399</v>
      </c>
      <c r="T151" s="412"/>
    </row>
    <row r="152" spans="2:20" ht="13.5">
      <c r="B152" s="412"/>
      <c r="C152" s="420" t="s">
        <v>84</v>
      </c>
      <c r="D152" s="421">
        <v>2.1835234374999999</v>
      </c>
      <c r="E152" s="421">
        <v>0</v>
      </c>
      <c r="F152" s="421">
        <v>138.144863788214</v>
      </c>
      <c r="G152" s="421">
        <v>12.218390360397301</v>
      </c>
      <c r="H152" s="421">
        <v>0</v>
      </c>
      <c r="I152" s="421">
        <v>0</v>
      </c>
      <c r="J152" s="421">
        <v>0</v>
      </c>
      <c r="K152" s="421">
        <v>0</v>
      </c>
      <c r="L152" s="421">
        <v>0</v>
      </c>
      <c r="M152" s="421">
        <v>0</v>
      </c>
      <c r="N152" s="421">
        <v>0</v>
      </c>
      <c r="O152" s="421">
        <v>0</v>
      </c>
      <c r="P152" s="421">
        <v>0</v>
      </c>
      <c r="Q152" s="421">
        <v>0</v>
      </c>
      <c r="R152" s="421">
        <v>0.58632242431640602</v>
      </c>
      <c r="S152" s="429">
        <v>153.133100010428</v>
      </c>
      <c r="T152" s="412"/>
    </row>
    <row r="153" spans="2:20" ht="13.5">
      <c r="B153" s="412"/>
      <c r="C153" s="424" t="s">
        <v>85</v>
      </c>
      <c r="D153" s="425">
        <v>7.0542786257757299</v>
      </c>
      <c r="E153" s="425">
        <v>0</v>
      </c>
      <c r="F153" s="425">
        <v>427.42243605259301</v>
      </c>
      <c r="G153" s="425">
        <v>327.38041261737999</v>
      </c>
      <c r="H153" s="425">
        <v>0</v>
      </c>
      <c r="I153" s="425">
        <v>0</v>
      </c>
      <c r="J153" s="425">
        <v>96.439843587427205</v>
      </c>
      <c r="K153" s="425">
        <v>4.1229795038336201</v>
      </c>
      <c r="L153" s="425">
        <v>38.9210860065674</v>
      </c>
      <c r="M153" s="425">
        <v>6.4318780052445401</v>
      </c>
      <c r="N153" s="425">
        <v>59.577309191786703</v>
      </c>
      <c r="O153" s="425">
        <v>1.8075305725242401</v>
      </c>
      <c r="P153" s="425">
        <v>495.440125753541</v>
      </c>
      <c r="Q153" s="425">
        <v>37.840412535309099</v>
      </c>
      <c r="R153" s="425">
        <v>2.85001306748409</v>
      </c>
      <c r="S153" s="425">
        <v>1505.28830551947</v>
      </c>
      <c r="T153" s="412"/>
    </row>
    <row r="154" spans="2:20">
      <c r="B154" s="412"/>
      <c r="C154" s="412"/>
      <c r="D154" s="430">
        <f t="shared" ref="D154:S154" si="3">D153+D143-D129</f>
        <v>0</v>
      </c>
      <c r="E154" s="430">
        <f t="shared" si="3"/>
        <v>0</v>
      </c>
      <c r="F154" s="430">
        <f t="shared" si="3"/>
        <v>-3.0553337637684308E-13</v>
      </c>
      <c r="G154" s="430">
        <f t="shared" si="3"/>
        <v>6.2527760746888816E-13</v>
      </c>
      <c r="H154" s="430">
        <f t="shared" si="3"/>
        <v>0</v>
      </c>
      <c r="I154" s="430">
        <f t="shared" si="3"/>
        <v>0</v>
      </c>
      <c r="J154" s="430">
        <f t="shared" si="3"/>
        <v>0</v>
      </c>
      <c r="K154" s="430">
        <f t="shared" si="3"/>
        <v>0</v>
      </c>
      <c r="L154" s="430">
        <f t="shared" si="3"/>
        <v>-3.3417713041217212E-14</v>
      </c>
      <c r="M154" s="430">
        <f t="shared" si="3"/>
        <v>0</v>
      </c>
      <c r="N154" s="430">
        <f t="shared" si="3"/>
        <v>0</v>
      </c>
      <c r="O154" s="430">
        <f t="shared" si="3"/>
        <v>0</v>
      </c>
      <c r="P154" s="430">
        <f t="shared" si="3"/>
        <v>4.8672177399566863E-13</v>
      </c>
      <c r="Q154" s="430">
        <f t="shared" si="3"/>
        <v>0</v>
      </c>
      <c r="R154" s="430">
        <f t="shared" si="3"/>
        <v>0</v>
      </c>
      <c r="S154" s="430">
        <f t="shared" si="3"/>
        <v>4.5474735088646412E-12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364</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0</v>
      </c>
      <c r="F160" s="421">
        <v>0</v>
      </c>
      <c r="G160" s="421">
        <v>0</v>
      </c>
      <c r="H160" s="422">
        <v>843.18181818181802</v>
      </c>
      <c r="I160" s="422">
        <v>303.83</v>
      </c>
      <c r="J160" s="422">
        <v>180.58227082712199</v>
      </c>
      <c r="K160" s="422">
        <v>22.584752367457401</v>
      </c>
      <c r="L160" s="421">
        <v>0</v>
      </c>
      <c r="M160" s="421">
        <v>0</v>
      </c>
      <c r="N160" s="422">
        <v>64.228247119713899</v>
      </c>
      <c r="O160" s="422">
        <v>4.0154786653397201</v>
      </c>
      <c r="P160" s="421">
        <v>0</v>
      </c>
      <c r="Q160" s="421">
        <v>0</v>
      </c>
      <c r="R160" s="421">
        <v>0</v>
      </c>
      <c r="S160" s="423">
        <v>1418.4225671614499</v>
      </c>
      <c r="T160" s="412"/>
    </row>
    <row r="161" spans="2:20" ht="13.5">
      <c r="B161" s="412"/>
      <c r="C161" s="420" t="s">
        <v>60</v>
      </c>
      <c r="D161" s="421">
        <v>30.885603791058401</v>
      </c>
      <c r="E161" s="421">
        <v>484.495467583368</v>
      </c>
      <c r="F161" s="421">
        <v>42.659321237611302</v>
      </c>
      <c r="G161" s="421">
        <v>385.71207499197101</v>
      </c>
      <c r="H161" s="421">
        <v>0</v>
      </c>
      <c r="I161" s="421">
        <v>0</v>
      </c>
      <c r="J161" s="421">
        <v>0</v>
      </c>
      <c r="K161" s="421">
        <v>0</v>
      </c>
      <c r="L161" s="421">
        <v>0</v>
      </c>
      <c r="M161" s="421">
        <v>0</v>
      </c>
      <c r="N161" s="421">
        <v>0</v>
      </c>
      <c r="O161" s="421">
        <v>0</v>
      </c>
      <c r="P161" s="421">
        <v>0</v>
      </c>
      <c r="Q161" s="421">
        <v>0</v>
      </c>
      <c r="R161" s="421">
        <v>0</v>
      </c>
      <c r="S161" s="423">
        <v>943.75246760400796</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-18.341336792236799</v>
      </c>
      <c r="Q162" s="421">
        <v>0</v>
      </c>
      <c r="R162" s="421">
        <v>0</v>
      </c>
      <c r="S162" s="423">
        <v>-18.341336792236799</v>
      </c>
      <c r="T162" s="412"/>
    </row>
    <row r="163" spans="2:20" ht="13.5">
      <c r="B163" s="412"/>
      <c r="C163" s="420" t="s">
        <v>62</v>
      </c>
      <c r="D163" s="421">
        <v>0</v>
      </c>
      <c r="E163" s="421">
        <v>0</v>
      </c>
      <c r="F163" s="421">
        <v>-15.257294848391901</v>
      </c>
      <c r="G163" s="421">
        <v>0</v>
      </c>
      <c r="H163" s="421">
        <v>0</v>
      </c>
      <c r="I163" s="421">
        <v>0</v>
      </c>
      <c r="J163" s="421">
        <v>0</v>
      </c>
      <c r="K163" s="421">
        <v>0</v>
      </c>
      <c r="L163" s="421">
        <v>0</v>
      </c>
      <c r="M163" s="421">
        <v>0</v>
      </c>
      <c r="N163" s="421">
        <v>0</v>
      </c>
      <c r="O163" s="421">
        <v>0</v>
      </c>
      <c r="P163" s="421">
        <v>0</v>
      </c>
      <c r="Q163" s="421">
        <v>0</v>
      </c>
      <c r="R163" s="421">
        <v>0</v>
      </c>
      <c r="S163" s="423">
        <v>-15.257294848391901</v>
      </c>
      <c r="T163" s="412"/>
    </row>
    <row r="164" spans="2:20" ht="13.5">
      <c r="B164" s="412"/>
      <c r="C164" s="420" t="s">
        <v>63</v>
      </c>
      <c r="D164" s="421">
        <v>0</v>
      </c>
      <c r="E164" s="421">
        <v>0</v>
      </c>
      <c r="F164" s="421">
        <v>-90.626969920873506</v>
      </c>
      <c r="G164" s="421">
        <v>0</v>
      </c>
      <c r="H164" s="421">
        <v>0</v>
      </c>
      <c r="I164" s="421">
        <v>0</v>
      </c>
      <c r="J164" s="421">
        <v>0</v>
      </c>
      <c r="K164" s="421">
        <v>0</v>
      </c>
      <c r="L164" s="421">
        <v>-0.93615330165546395</v>
      </c>
      <c r="M164" s="421">
        <v>0</v>
      </c>
      <c r="N164" s="421">
        <v>0</v>
      </c>
      <c r="O164" s="421">
        <v>0</v>
      </c>
      <c r="P164" s="421">
        <v>0</v>
      </c>
      <c r="Q164" s="421">
        <v>0</v>
      </c>
      <c r="R164" s="421">
        <v>0</v>
      </c>
      <c r="S164" s="423">
        <v>-91.563123222528901</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30.885603791058401</v>
      </c>
      <c r="E166" s="425">
        <v>484.495467583368</v>
      </c>
      <c r="F166" s="425">
        <v>-63.224943531653999</v>
      </c>
      <c r="G166" s="425">
        <v>385.71207499197101</v>
      </c>
      <c r="H166" s="425">
        <v>843.18181818181802</v>
      </c>
      <c r="I166" s="425">
        <v>303.83</v>
      </c>
      <c r="J166" s="425">
        <v>180.58227082712199</v>
      </c>
      <c r="K166" s="425">
        <v>22.584752367457401</v>
      </c>
      <c r="L166" s="425">
        <v>-0.93615330165546395</v>
      </c>
      <c r="M166" s="425">
        <v>0</v>
      </c>
      <c r="N166" s="425">
        <v>64.228247119713899</v>
      </c>
      <c r="O166" s="425">
        <v>4.0154786653397201</v>
      </c>
      <c r="P166" s="425">
        <v>-18.341336792236799</v>
      </c>
      <c r="Q166" s="425">
        <v>0</v>
      </c>
      <c r="R166" s="425">
        <v>0</v>
      </c>
      <c r="S166" s="425">
        <v>2237.0132799022999</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26.7514143940613</v>
      </c>
      <c r="H169" s="421">
        <v>843.18181818181802</v>
      </c>
      <c r="I169" s="421">
        <v>303.83</v>
      </c>
      <c r="J169" s="421">
        <v>22.093473329706701</v>
      </c>
      <c r="K169" s="421">
        <v>5.8025151206166701</v>
      </c>
      <c r="L169" s="421">
        <v>0</v>
      </c>
      <c r="M169" s="421">
        <v>0.54594723253186395</v>
      </c>
      <c r="N169" s="421">
        <v>0</v>
      </c>
      <c r="O169" s="421">
        <v>0</v>
      </c>
      <c r="P169" s="421">
        <v>-610.51719995562303</v>
      </c>
      <c r="Q169" s="421">
        <v>0</v>
      </c>
      <c r="R169" s="421">
        <v>0</v>
      </c>
      <c r="S169" s="429">
        <v>597.75207540231395</v>
      </c>
      <c r="T169" s="412"/>
    </row>
    <row r="170" spans="2:20" ht="13.5">
      <c r="B170" s="412"/>
      <c r="C170" s="428" t="s">
        <v>351</v>
      </c>
      <c r="D170" s="421">
        <v>0</v>
      </c>
      <c r="E170" s="421">
        <v>0</v>
      </c>
      <c r="F170" s="421">
        <v>0</v>
      </c>
      <c r="G170" s="421">
        <v>17.221669860310801</v>
      </c>
      <c r="H170" s="421">
        <v>0</v>
      </c>
      <c r="I170" s="421">
        <v>0</v>
      </c>
      <c r="J170" s="421">
        <v>12.443095766795199</v>
      </c>
      <c r="K170" s="421">
        <v>12.7366574955616</v>
      </c>
      <c r="L170" s="421">
        <v>0</v>
      </c>
      <c r="M170" s="421">
        <v>0.351462650210425</v>
      </c>
      <c r="N170" s="421">
        <v>0</v>
      </c>
      <c r="O170" s="421">
        <v>2.25021562141669</v>
      </c>
      <c r="P170" s="421">
        <v>0</v>
      </c>
      <c r="Q170" s="421">
        <v>-41.107889812280099</v>
      </c>
      <c r="R170" s="421">
        <v>0</v>
      </c>
      <c r="S170" s="429">
        <v>3.8952115820145798</v>
      </c>
      <c r="T170" s="412"/>
    </row>
    <row r="171" spans="2:20" ht="13.5">
      <c r="B171" s="412"/>
      <c r="C171" s="428" t="s">
        <v>352</v>
      </c>
      <c r="D171" s="421">
        <v>0</v>
      </c>
      <c r="E171" s="421">
        <v>0</v>
      </c>
      <c r="F171" s="421">
        <v>0</v>
      </c>
      <c r="G171" s="421">
        <v>0</v>
      </c>
      <c r="H171" s="421">
        <v>0</v>
      </c>
      <c r="I171" s="421">
        <v>0</v>
      </c>
      <c r="J171" s="421">
        <v>8.1664030992761294</v>
      </c>
      <c r="K171" s="421">
        <v>0</v>
      </c>
      <c r="L171" s="421">
        <v>0</v>
      </c>
      <c r="M171" s="421">
        <v>-7.6253788939490796</v>
      </c>
      <c r="N171" s="421">
        <v>0</v>
      </c>
      <c r="O171" s="421">
        <v>0</v>
      </c>
      <c r="P171" s="421">
        <v>0</v>
      </c>
      <c r="Q171" s="421">
        <v>0</v>
      </c>
      <c r="R171" s="421">
        <v>0</v>
      </c>
      <c r="S171" s="429">
        <v>0.54102420532704398</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501.885810932168</v>
      </c>
      <c r="F173" s="421">
        <v>-496.86695282284597</v>
      </c>
      <c r="G173" s="421">
        <v>0</v>
      </c>
      <c r="H173" s="421">
        <v>0</v>
      </c>
      <c r="I173" s="421">
        <v>0</v>
      </c>
      <c r="J173" s="421">
        <v>0</v>
      </c>
      <c r="K173" s="421">
        <v>0</v>
      </c>
      <c r="L173" s="421">
        <v>0</v>
      </c>
      <c r="M173" s="421">
        <v>0</v>
      </c>
      <c r="N173" s="421">
        <v>0</v>
      </c>
      <c r="O173" s="421">
        <v>0</v>
      </c>
      <c r="P173" s="421">
        <v>0</v>
      </c>
      <c r="Q173" s="421">
        <v>0</v>
      </c>
      <c r="R173" s="421">
        <v>0</v>
      </c>
      <c r="S173" s="429">
        <v>5.0188581093216804</v>
      </c>
      <c r="T173" s="412"/>
    </row>
    <row r="174" spans="2:20" ht="13.5">
      <c r="B174" s="412"/>
      <c r="C174" s="428" t="s">
        <v>354</v>
      </c>
      <c r="D174" s="421">
        <v>0</v>
      </c>
      <c r="E174" s="421">
        <v>0</v>
      </c>
      <c r="F174" s="421">
        <v>0</v>
      </c>
      <c r="G174" s="421">
        <v>0</v>
      </c>
      <c r="H174" s="421">
        <v>0</v>
      </c>
      <c r="I174" s="421">
        <v>0</v>
      </c>
      <c r="J174" s="421">
        <v>40.922578855232103</v>
      </c>
      <c r="K174" s="421">
        <v>0</v>
      </c>
      <c r="L174" s="421">
        <v>-40.922578855232103</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-0.185690681788441</v>
      </c>
      <c r="M175" s="421">
        <v>0</v>
      </c>
      <c r="N175" s="421">
        <v>0</v>
      </c>
      <c r="O175" s="421">
        <v>0</v>
      </c>
      <c r="P175" s="421">
        <v>0</v>
      </c>
      <c r="Q175" s="421">
        <v>0</v>
      </c>
      <c r="R175" s="421">
        <v>0.26527240255491602</v>
      </c>
      <c r="S175" s="429">
        <v>7.9581720766474906E-2</v>
      </c>
      <c r="T175" s="412"/>
    </row>
    <row r="176" spans="2:20" ht="13.5">
      <c r="B176" s="412"/>
      <c r="C176" s="428" t="s">
        <v>73</v>
      </c>
      <c r="D176" s="421">
        <v>0</v>
      </c>
      <c r="E176" s="421">
        <v>0</v>
      </c>
      <c r="F176" s="421">
        <v>0</v>
      </c>
      <c r="G176" s="421">
        <v>5.0830420654676596</v>
      </c>
      <c r="H176" s="421">
        <v>0</v>
      </c>
      <c r="I176" s="421">
        <v>0</v>
      </c>
      <c r="J176" s="421">
        <v>0</v>
      </c>
      <c r="K176" s="421">
        <v>5.89406547480016E-2</v>
      </c>
      <c r="L176" s="421">
        <v>0</v>
      </c>
      <c r="M176" s="421">
        <v>0.103735552356483</v>
      </c>
      <c r="N176" s="421">
        <v>0</v>
      </c>
      <c r="O176" s="421">
        <v>0</v>
      </c>
      <c r="P176" s="421">
        <v>0.64603991681083595</v>
      </c>
      <c r="Q176" s="421">
        <v>0</v>
      </c>
      <c r="R176" s="421">
        <v>-4.1258458323601097</v>
      </c>
      <c r="S176" s="429">
        <v>1.7659123570228701</v>
      </c>
      <c r="T176" s="412"/>
    </row>
    <row r="177" spans="2:20" ht="13.5">
      <c r="B177" s="412"/>
      <c r="C177" s="428" t="s">
        <v>356</v>
      </c>
      <c r="D177" s="421">
        <v>12.835820312499999</v>
      </c>
      <c r="E177" s="421">
        <v>-17.3903433487996</v>
      </c>
      <c r="F177" s="421">
        <v>22.745541936068101</v>
      </c>
      <c r="G177" s="421">
        <v>0</v>
      </c>
      <c r="H177" s="421">
        <v>0</v>
      </c>
      <c r="I177" s="421">
        <v>0</v>
      </c>
      <c r="J177" s="421">
        <v>0</v>
      </c>
      <c r="K177" s="421">
        <v>0</v>
      </c>
      <c r="L177" s="421">
        <v>0</v>
      </c>
      <c r="M177" s="421">
        <v>0</v>
      </c>
      <c r="N177" s="421">
        <v>0</v>
      </c>
      <c r="O177" s="421">
        <v>0</v>
      </c>
      <c r="P177" s="421">
        <v>0</v>
      </c>
      <c r="Q177" s="421">
        <v>0</v>
      </c>
      <c r="R177" s="421">
        <v>0</v>
      </c>
      <c r="S177" s="429">
        <v>18.191018899768501</v>
      </c>
      <c r="T177" s="412"/>
    </row>
    <row r="178" spans="2:20" ht="13.5">
      <c r="B178" s="412"/>
      <c r="C178" s="428" t="s">
        <v>75</v>
      </c>
      <c r="D178" s="421">
        <v>9.6016132812499997</v>
      </c>
      <c r="E178" s="421">
        <v>0</v>
      </c>
      <c r="F178" s="421">
        <v>17.0641175716937</v>
      </c>
      <c r="G178" s="421">
        <v>4.8692961376638904</v>
      </c>
      <c r="H178" s="421">
        <v>0</v>
      </c>
      <c r="I178" s="421">
        <v>0</v>
      </c>
      <c r="J178" s="421">
        <v>0</v>
      </c>
      <c r="K178" s="421">
        <v>0</v>
      </c>
      <c r="L178" s="421">
        <v>0</v>
      </c>
      <c r="M178" s="421">
        <v>9.9373390564569203E-2</v>
      </c>
      <c r="N178" s="421">
        <v>0</v>
      </c>
      <c r="O178" s="421">
        <v>0</v>
      </c>
      <c r="P178" s="421">
        <v>28.1582236341448</v>
      </c>
      <c r="Q178" s="421">
        <v>0</v>
      </c>
      <c r="R178" s="421">
        <v>0</v>
      </c>
      <c r="S178" s="429">
        <v>59.792624015317003</v>
      </c>
      <c r="T178" s="412"/>
    </row>
    <row r="179" spans="2:20" ht="13.5">
      <c r="B179" s="412"/>
      <c r="C179" s="428" t="s">
        <v>76</v>
      </c>
      <c r="D179" s="421">
        <v>0</v>
      </c>
      <c r="E179" s="421">
        <v>0</v>
      </c>
      <c r="F179" s="421">
        <v>0</v>
      </c>
      <c r="G179" s="421">
        <v>4.4305561162471001</v>
      </c>
      <c r="H179" s="421">
        <v>0</v>
      </c>
      <c r="I179" s="421">
        <v>0</v>
      </c>
      <c r="J179" s="421">
        <v>0</v>
      </c>
      <c r="K179" s="421">
        <v>0</v>
      </c>
      <c r="L179" s="421">
        <v>0</v>
      </c>
      <c r="M179" s="421">
        <v>9.0419512576471406E-2</v>
      </c>
      <c r="N179" s="421">
        <v>0</v>
      </c>
      <c r="O179" s="421">
        <v>0</v>
      </c>
      <c r="P179" s="421">
        <v>45.383745745670502</v>
      </c>
      <c r="Q179" s="421">
        <v>3.1854822363759498</v>
      </c>
      <c r="R179" s="421">
        <v>0</v>
      </c>
      <c r="S179" s="429">
        <v>53.090203610869999</v>
      </c>
      <c r="T179" s="412"/>
    </row>
    <row r="180" spans="2:20" ht="13.5">
      <c r="B180" s="412"/>
      <c r="C180" s="424" t="s">
        <v>77</v>
      </c>
      <c r="D180" s="425">
        <v>24.637904329316601</v>
      </c>
      <c r="E180" s="425">
        <v>484.495467583368</v>
      </c>
      <c r="F180" s="425">
        <v>-453.19365695144802</v>
      </c>
      <c r="G180" s="425">
        <v>58.355978573750797</v>
      </c>
      <c r="H180" s="425">
        <v>843.18181818181802</v>
      </c>
      <c r="I180" s="425">
        <v>303.83</v>
      </c>
      <c r="J180" s="425">
        <v>83.625551051010106</v>
      </c>
      <c r="K180" s="425">
        <v>18.598113270926302</v>
      </c>
      <c r="L180" s="425">
        <v>-41.108269537020597</v>
      </c>
      <c r="M180" s="425">
        <v>-6.4344405557092701</v>
      </c>
      <c r="N180" s="425">
        <v>0</v>
      </c>
      <c r="O180" s="425">
        <v>2.25021562141669</v>
      </c>
      <c r="P180" s="425">
        <v>-536.32919065899705</v>
      </c>
      <c r="Q180" s="425">
        <v>-37.922407575904202</v>
      </c>
      <c r="R180" s="425">
        <v>-3.8605734298051999</v>
      </c>
      <c r="S180" s="425">
        <v>740.12650990272198</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4.1175454090074304</v>
      </c>
      <c r="E182" s="421">
        <v>0</v>
      </c>
      <c r="F182" s="421">
        <v>19.277494882052501</v>
      </c>
      <c r="G182" s="421">
        <v>101.47453920726601</v>
      </c>
      <c r="H182" s="421">
        <v>0</v>
      </c>
      <c r="I182" s="421">
        <v>0</v>
      </c>
      <c r="J182" s="421">
        <v>17.1465838958113</v>
      </c>
      <c r="K182" s="421">
        <v>3.98663909653113</v>
      </c>
      <c r="L182" s="421">
        <v>0.86272697265624998</v>
      </c>
      <c r="M182" s="421">
        <v>2.0709089634136002</v>
      </c>
      <c r="N182" s="421">
        <v>0</v>
      </c>
      <c r="O182" s="421">
        <v>0</v>
      </c>
      <c r="P182" s="421">
        <v>115.02579662342799</v>
      </c>
      <c r="Q182" s="421">
        <v>18.9073764304365</v>
      </c>
      <c r="R182" s="421">
        <v>0.24469155883789101</v>
      </c>
      <c r="S182" s="429">
        <v>283.11430303944098</v>
      </c>
      <c r="T182" s="412"/>
    </row>
    <row r="183" spans="2:20" ht="13.5">
      <c r="B183" s="412"/>
      <c r="C183" s="428" t="s">
        <v>79</v>
      </c>
      <c r="D183" s="421">
        <v>0</v>
      </c>
      <c r="E183" s="421">
        <v>0</v>
      </c>
      <c r="F183" s="421">
        <v>211.515991693448</v>
      </c>
      <c r="G183" s="421">
        <v>33.673192204334903</v>
      </c>
      <c r="H183" s="421">
        <v>0</v>
      </c>
      <c r="I183" s="421">
        <v>0</v>
      </c>
      <c r="J183" s="421">
        <v>0</v>
      </c>
      <c r="K183" s="421">
        <v>0</v>
      </c>
      <c r="L183" s="421">
        <v>21.364475731578199</v>
      </c>
      <c r="M183" s="421">
        <v>0.68720800417009997</v>
      </c>
      <c r="N183" s="421">
        <v>0</v>
      </c>
      <c r="O183" s="421">
        <v>0</v>
      </c>
      <c r="P183" s="421">
        <v>67.538126653199896</v>
      </c>
      <c r="Q183" s="421">
        <v>0</v>
      </c>
      <c r="R183" s="421">
        <v>2.73358870080129</v>
      </c>
      <c r="S183" s="429">
        <v>337.51258298753203</v>
      </c>
      <c r="T183" s="412"/>
    </row>
    <row r="184" spans="2:20" ht="13.5">
      <c r="B184" s="412"/>
      <c r="C184" s="428" t="s">
        <v>80</v>
      </c>
      <c r="D184" s="421">
        <v>0</v>
      </c>
      <c r="E184" s="421">
        <v>0</v>
      </c>
      <c r="F184" s="421">
        <v>11.269398252747999</v>
      </c>
      <c r="G184" s="421">
        <v>107.66857440515901</v>
      </c>
      <c r="H184" s="421">
        <v>0</v>
      </c>
      <c r="I184" s="421">
        <v>0</v>
      </c>
      <c r="J184" s="421">
        <v>74.555024603306606</v>
      </c>
      <c r="K184" s="421">
        <v>0</v>
      </c>
      <c r="L184" s="421">
        <v>0</v>
      </c>
      <c r="M184" s="421">
        <v>2.19731784500325</v>
      </c>
      <c r="N184" s="421">
        <v>57.8439730041991</v>
      </c>
      <c r="O184" s="421">
        <v>0.94792042331900395</v>
      </c>
      <c r="P184" s="421">
        <v>182.60815084241301</v>
      </c>
      <c r="Q184" s="421">
        <v>15.2162816007431</v>
      </c>
      <c r="R184" s="421">
        <v>0</v>
      </c>
      <c r="S184" s="429">
        <v>452.306640976891</v>
      </c>
      <c r="T184" s="412"/>
    </row>
    <row r="185" spans="2:20" ht="13.5">
      <c r="B185" s="412"/>
      <c r="C185" s="428" t="s">
        <v>81</v>
      </c>
      <c r="D185" s="421">
        <v>0</v>
      </c>
      <c r="E185" s="421">
        <v>0</v>
      </c>
      <c r="F185" s="421">
        <v>4.6678370944484504</v>
      </c>
      <c r="G185" s="421">
        <v>66.895141856533499</v>
      </c>
      <c r="H185" s="421">
        <v>0</v>
      </c>
      <c r="I185" s="421">
        <v>0</v>
      </c>
      <c r="J185" s="421">
        <v>3.3107731809745702</v>
      </c>
      <c r="K185" s="421">
        <v>0</v>
      </c>
      <c r="L185" s="421">
        <v>0</v>
      </c>
      <c r="M185" s="421">
        <v>1.3652069766639501</v>
      </c>
      <c r="N185" s="421">
        <v>6.3842741155148302</v>
      </c>
      <c r="O185" s="421">
        <v>0.75088648318301499</v>
      </c>
      <c r="P185" s="421">
        <v>144.56234737622799</v>
      </c>
      <c r="Q185" s="421">
        <v>3.79874954472458</v>
      </c>
      <c r="R185" s="421">
        <v>0</v>
      </c>
      <c r="S185" s="429">
        <v>231.73521662827099</v>
      </c>
      <c r="T185" s="412"/>
    </row>
    <row r="186" spans="2:20" ht="13.5">
      <c r="B186" s="412"/>
      <c r="C186" s="428" t="s">
        <v>82</v>
      </c>
      <c r="D186" s="421">
        <v>0</v>
      </c>
      <c r="E186" s="421">
        <v>0</v>
      </c>
      <c r="F186" s="421">
        <v>4.5923360843350496</v>
      </c>
      <c r="G186" s="421">
        <v>5.5761395564600598</v>
      </c>
      <c r="H186" s="421">
        <v>0</v>
      </c>
      <c r="I186" s="421">
        <v>0</v>
      </c>
      <c r="J186" s="421">
        <v>1.9443380960196801</v>
      </c>
      <c r="K186" s="421">
        <v>0</v>
      </c>
      <c r="L186" s="421">
        <v>17.944913531130702</v>
      </c>
      <c r="M186" s="421">
        <v>0.11379876645836901</v>
      </c>
      <c r="N186" s="421">
        <v>0</v>
      </c>
      <c r="O186" s="421">
        <v>6.6456137421005299E-2</v>
      </c>
      <c r="P186" s="421">
        <v>7.4534323714914201</v>
      </c>
      <c r="Q186" s="421">
        <v>0</v>
      </c>
      <c r="R186" s="421">
        <v>0</v>
      </c>
      <c r="S186" s="429">
        <v>37.691414543316299</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0.8</v>
      </c>
      <c r="Q187" s="421">
        <v>0</v>
      </c>
      <c r="R187" s="421">
        <v>0</v>
      </c>
      <c r="S187" s="429">
        <v>0.8</v>
      </c>
      <c r="T187" s="412"/>
    </row>
    <row r="188" spans="2:20" ht="13.5">
      <c r="B188" s="412"/>
      <c r="C188" s="424" t="s">
        <v>83</v>
      </c>
      <c r="D188" s="425">
        <v>4.1175454090074304</v>
      </c>
      <c r="E188" s="425">
        <v>0</v>
      </c>
      <c r="F188" s="425">
        <v>251.32305800703199</v>
      </c>
      <c r="G188" s="425">
        <v>315.28758722975402</v>
      </c>
      <c r="H188" s="425">
        <v>0</v>
      </c>
      <c r="I188" s="425">
        <v>0</v>
      </c>
      <c r="J188" s="425">
        <v>96.956719776112095</v>
      </c>
      <c r="K188" s="425">
        <v>3.98663909653113</v>
      </c>
      <c r="L188" s="425">
        <v>40.172116235365102</v>
      </c>
      <c r="M188" s="425">
        <v>6.4344405557092701</v>
      </c>
      <c r="N188" s="425">
        <v>64.228247119713899</v>
      </c>
      <c r="O188" s="425">
        <v>1.7652630439230199</v>
      </c>
      <c r="P188" s="425">
        <v>517.98785386676104</v>
      </c>
      <c r="Q188" s="425">
        <v>37.922407575904103</v>
      </c>
      <c r="R188" s="425">
        <v>2.9782802596391802</v>
      </c>
      <c r="S188" s="425">
        <v>1343.1601581754501</v>
      </c>
      <c r="T188" s="412"/>
    </row>
    <row r="189" spans="2:20" ht="13.5">
      <c r="B189" s="412"/>
      <c r="C189" s="420" t="s">
        <v>84</v>
      </c>
      <c r="D189" s="421">
        <v>2.1301540527343801</v>
      </c>
      <c r="E189" s="421">
        <v>0</v>
      </c>
      <c r="F189" s="421">
        <v>138.64565541276201</v>
      </c>
      <c r="G189" s="421">
        <v>12.0685091884655</v>
      </c>
      <c r="H189" s="421">
        <v>0</v>
      </c>
      <c r="I189" s="421">
        <v>0</v>
      </c>
      <c r="J189" s="421">
        <v>0</v>
      </c>
      <c r="K189" s="421">
        <v>0</v>
      </c>
      <c r="L189" s="421">
        <v>0</v>
      </c>
      <c r="M189" s="421">
        <v>0</v>
      </c>
      <c r="N189" s="421">
        <v>0</v>
      </c>
      <c r="O189" s="421">
        <v>0</v>
      </c>
      <c r="P189" s="421">
        <v>0</v>
      </c>
      <c r="Q189" s="421">
        <v>0</v>
      </c>
      <c r="R189" s="421">
        <v>0.88229317016601605</v>
      </c>
      <c r="S189" s="429">
        <v>153.72661182412801</v>
      </c>
      <c r="T189" s="412"/>
    </row>
    <row r="190" spans="2:20" ht="13.5">
      <c r="B190" s="412"/>
      <c r="C190" s="424" t="s">
        <v>85</v>
      </c>
      <c r="D190" s="425">
        <v>6.2476994617418002</v>
      </c>
      <c r="E190" s="425">
        <v>0</v>
      </c>
      <c r="F190" s="425">
        <v>389.96871341979403</v>
      </c>
      <c r="G190" s="425">
        <v>327.35609641821998</v>
      </c>
      <c r="H190" s="425">
        <v>0</v>
      </c>
      <c r="I190" s="425">
        <v>0</v>
      </c>
      <c r="J190" s="425">
        <v>96.956719776112095</v>
      </c>
      <c r="K190" s="425">
        <v>3.98663909653113</v>
      </c>
      <c r="L190" s="425">
        <v>40.172116235365102</v>
      </c>
      <c r="M190" s="425">
        <v>6.4344405557092701</v>
      </c>
      <c r="N190" s="425">
        <v>64.228247119713899</v>
      </c>
      <c r="O190" s="425">
        <v>1.7652630439230199</v>
      </c>
      <c r="P190" s="425">
        <v>517.98785386676104</v>
      </c>
      <c r="Q190" s="425">
        <v>37.922407575904103</v>
      </c>
      <c r="R190" s="425">
        <v>3.8605734298051999</v>
      </c>
      <c r="S190" s="425">
        <v>1496.8867699995801</v>
      </c>
      <c r="T190" s="412"/>
    </row>
    <row r="191" spans="2:20">
      <c r="B191" s="412"/>
      <c r="C191" s="412"/>
      <c r="D191" s="430">
        <f t="shared" ref="D191:S191" si="4">D190+D180-D166</f>
        <v>0</v>
      </c>
      <c r="E191" s="430">
        <f t="shared" si="4"/>
        <v>0</v>
      </c>
      <c r="F191" s="430">
        <f t="shared" si="4"/>
        <v>0</v>
      </c>
      <c r="G191" s="430">
        <f t="shared" si="4"/>
        <v>0</v>
      </c>
      <c r="H191" s="430">
        <f t="shared" si="4"/>
        <v>0</v>
      </c>
      <c r="I191" s="430">
        <f t="shared" si="4"/>
        <v>0</v>
      </c>
      <c r="J191" s="430">
        <f t="shared" si="4"/>
        <v>2.2737367544323206E-13</v>
      </c>
      <c r="K191" s="430">
        <f t="shared" si="4"/>
        <v>3.1974423109204508E-14</v>
      </c>
      <c r="L191" s="430">
        <f t="shared" si="4"/>
        <v>-3.0420110874729289E-14</v>
      </c>
      <c r="M191" s="430">
        <f t="shared" si="4"/>
        <v>0</v>
      </c>
      <c r="N191" s="430">
        <f t="shared" si="4"/>
        <v>0</v>
      </c>
      <c r="O191" s="430">
        <f t="shared" si="4"/>
        <v>-9.7699626167013776E-15</v>
      </c>
      <c r="P191" s="430">
        <f t="shared" si="4"/>
        <v>7.9225515037251171E-13</v>
      </c>
      <c r="Q191" s="430">
        <f t="shared" si="4"/>
        <v>-9.9475983006414026E-14</v>
      </c>
      <c r="R191" s="430">
        <f t="shared" si="4"/>
        <v>0</v>
      </c>
      <c r="S191" s="430">
        <f t="shared" si="4"/>
        <v>0</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89</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0</v>
      </c>
      <c r="F197" s="421">
        <v>0</v>
      </c>
      <c r="G197" s="421">
        <v>0</v>
      </c>
      <c r="H197" s="422">
        <v>727.27272727272702</v>
      </c>
      <c r="I197" s="422">
        <v>285.08</v>
      </c>
      <c r="J197" s="422">
        <v>179.02026508455899</v>
      </c>
      <c r="K197" s="422">
        <v>22.071430242595699</v>
      </c>
      <c r="L197" s="421">
        <v>0</v>
      </c>
      <c r="M197" s="421">
        <v>0</v>
      </c>
      <c r="N197" s="422">
        <v>69.124340714614704</v>
      </c>
      <c r="O197" s="422">
        <v>3.9743240940765601</v>
      </c>
      <c r="P197" s="421">
        <v>0</v>
      </c>
      <c r="Q197" s="421">
        <v>0</v>
      </c>
      <c r="R197" s="421">
        <v>0</v>
      </c>
      <c r="S197" s="423">
        <v>1286.54308740857</v>
      </c>
      <c r="T197" s="412"/>
    </row>
    <row r="198" spans="2:20" ht="13.5">
      <c r="B198" s="412"/>
      <c r="C198" s="420" t="s">
        <v>60</v>
      </c>
      <c r="D198" s="421">
        <v>29.137863782851301</v>
      </c>
      <c r="E198" s="421">
        <v>464.7986487</v>
      </c>
      <c r="F198" s="421">
        <v>43.026150332406097</v>
      </c>
      <c r="G198" s="421">
        <v>393.69712052116603</v>
      </c>
      <c r="H198" s="421">
        <v>0</v>
      </c>
      <c r="I198" s="421">
        <v>0</v>
      </c>
      <c r="J198" s="421">
        <v>0</v>
      </c>
      <c r="K198" s="421">
        <v>0</v>
      </c>
      <c r="L198" s="421">
        <v>0</v>
      </c>
      <c r="M198" s="421">
        <v>0</v>
      </c>
      <c r="N198" s="421">
        <v>0</v>
      </c>
      <c r="O198" s="421">
        <v>0</v>
      </c>
      <c r="P198" s="421">
        <v>52.272660894863201</v>
      </c>
      <c r="Q198" s="421">
        <v>0</v>
      </c>
      <c r="R198" s="421">
        <v>0</v>
      </c>
      <c r="S198" s="423">
        <v>982.93244423128704</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0</v>
      </c>
      <c r="Q199" s="421">
        <v>0</v>
      </c>
      <c r="R199" s="421">
        <v>0</v>
      </c>
      <c r="S199" s="423">
        <v>0</v>
      </c>
      <c r="T199" s="412"/>
    </row>
    <row r="200" spans="2:20" ht="13.5">
      <c r="B200" s="412"/>
      <c r="C200" s="420" t="s">
        <v>62</v>
      </c>
      <c r="D200" s="421">
        <v>0</v>
      </c>
      <c r="E200" s="421">
        <v>0</v>
      </c>
      <c r="F200" s="421">
        <v>-14.431507774067301</v>
      </c>
      <c r="G200" s="421">
        <v>0</v>
      </c>
      <c r="H200" s="421">
        <v>0</v>
      </c>
      <c r="I200" s="421">
        <v>0</v>
      </c>
      <c r="J200" s="421">
        <v>0</v>
      </c>
      <c r="K200" s="421">
        <v>0</v>
      </c>
      <c r="L200" s="421">
        <v>0</v>
      </c>
      <c r="M200" s="421">
        <v>0</v>
      </c>
      <c r="N200" s="421">
        <v>0</v>
      </c>
      <c r="O200" s="421">
        <v>0</v>
      </c>
      <c r="P200" s="421">
        <v>0</v>
      </c>
      <c r="Q200" s="421">
        <v>0</v>
      </c>
      <c r="R200" s="421">
        <v>0</v>
      </c>
      <c r="S200" s="423">
        <v>-14.431507774067301</v>
      </c>
      <c r="T200" s="412"/>
    </row>
    <row r="201" spans="2:20" ht="13.5">
      <c r="B201" s="412"/>
      <c r="C201" s="420" t="s">
        <v>63</v>
      </c>
      <c r="D201" s="421">
        <v>0</v>
      </c>
      <c r="E201" s="421">
        <v>0</v>
      </c>
      <c r="F201" s="421">
        <v>-93.073301321338505</v>
      </c>
      <c r="G201" s="421">
        <v>0</v>
      </c>
      <c r="H201" s="421">
        <v>0</v>
      </c>
      <c r="I201" s="421">
        <v>0</v>
      </c>
      <c r="J201" s="421">
        <v>0</v>
      </c>
      <c r="K201" s="421">
        <v>0</v>
      </c>
      <c r="L201" s="421">
        <v>-0.96113349486483901</v>
      </c>
      <c r="M201" s="421">
        <v>0</v>
      </c>
      <c r="N201" s="421">
        <v>0</v>
      </c>
      <c r="O201" s="421">
        <v>0</v>
      </c>
      <c r="P201" s="421">
        <v>0</v>
      </c>
      <c r="Q201" s="421">
        <v>0</v>
      </c>
      <c r="R201" s="421">
        <v>0</v>
      </c>
      <c r="S201" s="423">
        <v>-94.034434816203301</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29.137863782851301</v>
      </c>
      <c r="E203" s="425">
        <v>464.7986487</v>
      </c>
      <c r="F203" s="425">
        <v>-64.4786587629997</v>
      </c>
      <c r="G203" s="425">
        <v>393.69712052116603</v>
      </c>
      <c r="H203" s="425">
        <v>727.27272727272702</v>
      </c>
      <c r="I203" s="425">
        <v>285.08</v>
      </c>
      <c r="J203" s="425">
        <v>179.02026508455899</v>
      </c>
      <c r="K203" s="425">
        <v>22.071430242595699</v>
      </c>
      <c r="L203" s="425">
        <v>-0.96113349486483901</v>
      </c>
      <c r="M203" s="425">
        <v>0</v>
      </c>
      <c r="N203" s="425">
        <v>69.124340714614704</v>
      </c>
      <c r="O203" s="425">
        <v>3.9743240940765601</v>
      </c>
      <c r="P203" s="425">
        <v>52.272660894863201</v>
      </c>
      <c r="Q203" s="425">
        <v>0</v>
      </c>
      <c r="R203" s="425">
        <v>0</v>
      </c>
      <c r="S203" s="425">
        <v>2161.00958904959</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2.2004707355665598</v>
      </c>
      <c r="E206" s="421">
        <v>0</v>
      </c>
      <c r="F206" s="421">
        <v>3.8636363636363602</v>
      </c>
      <c r="G206" s="421">
        <v>35.960251906978201</v>
      </c>
      <c r="H206" s="421">
        <v>727.27272727272702</v>
      </c>
      <c r="I206" s="421">
        <v>285.08</v>
      </c>
      <c r="J206" s="421">
        <v>20.883347007614301</v>
      </c>
      <c r="K206" s="421">
        <v>5.4396340942741803</v>
      </c>
      <c r="L206" s="421">
        <v>0</v>
      </c>
      <c r="M206" s="421">
        <v>0.73388269197914702</v>
      </c>
      <c r="N206" s="421">
        <v>0</v>
      </c>
      <c r="O206" s="421">
        <v>0</v>
      </c>
      <c r="P206" s="421">
        <v>-559.49648075937398</v>
      </c>
      <c r="Q206" s="421">
        <v>0</v>
      </c>
      <c r="R206" s="421">
        <v>0</v>
      </c>
      <c r="S206" s="429">
        <v>521.93746931340195</v>
      </c>
      <c r="T206" s="412"/>
    </row>
    <row r="207" spans="2:20" ht="13.5">
      <c r="B207" s="412"/>
      <c r="C207" s="428" t="s">
        <v>351</v>
      </c>
      <c r="D207" s="421">
        <v>0</v>
      </c>
      <c r="E207" s="421">
        <v>0</v>
      </c>
      <c r="F207" s="421">
        <v>0</v>
      </c>
      <c r="G207" s="421">
        <v>17.249248608476702</v>
      </c>
      <c r="H207" s="421">
        <v>0</v>
      </c>
      <c r="I207" s="421">
        <v>0</v>
      </c>
      <c r="J207" s="421">
        <v>12.287356523997399</v>
      </c>
      <c r="K207" s="421">
        <v>12.751836063828801</v>
      </c>
      <c r="L207" s="421">
        <v>0</v>
      </c>
      <c r="M207" s="421">
        <v>0.35202548180564602</v>
      </c>
      <c r="N207" s="421">
        <v>0</v>
      </c>
      <c r="O207" s="421">
        <v>2.25411214784515</v>
      </c>
      <c r="P207" s="421">
        <v>0</v>
      </c>
      <c r="Q207" s="421">
        <v>-41.172831919421</v>
      </c>
      <c r="R207" s="421">
        <v>0</v>
      </c>
      <c r="S207" s="429">
        <v>3.7217469065325699</v>
      </c>
      <c r="T207" s="412"/>
    </row>
    <row r="208" spans="2:20" ht="13.5">
      <c r="B208" s="412"/>
      <c r="C208" s="428" t="s">
        <v>352</v>
      </c>
      <c r="D208" s="421">
        <v>0</v>
      </c>
      <c r="E208" s="421">
        <v>0</v>
      </c>
      <c r="F208" s="421">
        <v>0</v>
      </c>
      <c r="G208" s="421">
        <v>0</v>
      </c>
      <c r="H208" s="421">
        <v>0</v>
      </c>
      <c r="I208" s="421">
        <v>0</v>
      </c>
      <c r="J208" s="421">
        <v>8.1584068388578199</v>
      </c>
      <c r="K208" s="421">
        <v>0</v>
      </c>
      <c r="L208" s="421">
        <v>0</v>
      </c>
      <c r="M208" s="421">
        <v>-7.7912785311092199</v>
      </c>
      <c r="N208" s="421">
        <v>0</v>
      </c>
      <c r="O208" s="421">
        <v>0</v>
      </c>
      <c r="P208" s="421">
        <v>0</v>
      </c>
      <c r="Q208" s="421">
        <v>0</v>
      </c>
      <c r="R208" s="421">
        <v>0</v>
      </c>
      <c r="S208" s="429">
        <v>0.367128307748603</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481.48200000000003</v>
      </c>
      <c r="F210" s="421">
        <v>-476.66717999999997</v>
      </c>
      <c r="G210" s="421">
        <v>0</v>
      </c>
      <c r="H210" s="421">
        <v>0</v>
      </c>
      <c r="I210" s="421">
        <v>0</v>
      </c>
      <c r="J210" s="421">
        <v>0</v>
      </c>
      <c r="K210" s="421">
        <v>0</v>
      </c>
      <c r="L210" s="421">
        <v>0</v>
      </c>
      <c r="M210" s="421">
        <v>0</v>
      </c>
      <c r="N210" s="421">
        <v>0</v>
      </c>
      <c r="O210" s="421">
        <v>0</v>
      </c>
      <c r="P210" s="421">
        <v>0</v>
      </c>
      <c r="Q210" s="421">
        <v>0</v>
      </c>
      <c r="R210" s="421">
        <v>0</v>
      </c>
      <c r="S210" s="429">
        <v>4.8148200000000001</v>
      </c>
      <c r="T210" s="412"/>
    </row>
    <row r="211" spans="2:20" ht="13.5">
      <c r="B211" s="412"/>
      <c r="C211" s="428" t="s">
        <v>354</v>
      </c>
      <c r="D211" s="421">
        <v>0</v>
      </c>
      <c r="E211" s="421">
        <v>0</v>
      </c>
      <c r="F211" s="421">
        <v>0</v>
      </c>
      <c r="G211" s="421">
        <v>0</v>
      </c>
      <c r="H211" s="421">
        <v>0</v>
      </c>
      <c r="I211" s="421">
        <v>0</v>
      </c>
      <c r="J211" s="421">
        <v>41.474660133722303</v>
      </c>
      <c r="K211" s="421">
        <v>0</v>
      </c>
      <c r="L211" s="421">
        <v>-41.474660133722303</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-0.18779562104234199</v>
      </c>
      <c r="M212" s="421">
        <v>0</v>
      </c>
      <c r="N212" s="421">
        <v>0</v>
      </c>
      <c r="O212" s="421">
        <v>0</v>
      </c>
      <c r="P212" s="421">
        <v>0</v>
      </c>
      <c r="Q212" s="421">
        <v>0</v>
      </c>
      <c r="R212" s="421">
        <v>0.26827945863191799</v>
      </c>
      <c r="S212" s="429">
        <v>8.0483837589575294E-2</v>
      </c>
      <c r="T212" s="412"/>
    </row>
    <row r="213" spans="2:20" ht="13.5">
      <c r="B213" s="412"/>
      <c r="C213" s="428" t="s">
        <v>73</v>
      </c>
      <c r="D213" s="421">
        <v>0</v>
      </c>
      <c r="E213" s="421">
        <v>0</v>
      </c>
      <c r="F213" s="421">
        <v>0</v>
      </c>
      <c r="G213" s="421">
        <v>5.7699673283914903</v>
      </c>
      <c r="H213" s="421">
        <v>0</v>
      </c>
      <c r="I213" s="421">
        <v>0</v>
      </c>
      <c r="J213" s="421">
        <v>0</v>
      </c>
      <c r="K213" s="421">
        <v>6.7674962800744601E-2</v>
      </c>
      <c r="L213" s="421">
        <v>0</v>
      </c>
      <c r="M213" s="421">
        <v>0.117754435273296</v>
      </c>
      <c r="N213" s="421">
        <v>0</v>
      </c>
      <c r="O213" s="421">
        <v>0</v>
      </c>
      <c r="P213" s="421">
        <v>0.78954123267535403</v>
      </c>
      <c r="Q213" s="421">
        <v>0</v>
      </c>
      <c r="R213" s="421">
        <v>-4.73724739605212</v>
      </c>
      <c r="S213" s="429">
        <v>2.0076905630887598</v>
      </c>
      <c r="T213" s="412"/>
    </row>
    <row r="214" spans="2:20" ht="13.5">
      <c r="B214" s="412"/>
      <c r="C214" s="428" t="s">
        <v>356</v>
      </c>
      <c r="D214" s="421">
        <v>12.0380056152344</v>
      </c>
      <c r="E214" s="421">
        <v>-16.683351300000002</v>
      </c>
      <c r="F214" s="421">
        <v>21.820838094867199</v>
      </c>
      <c r="G214" s="421">
        <v>0</v>
      </c>
      <c r="H214" s="421">
        <v>0</v>
      </c>
      <c r="I214" s="421">
        <v>0</v>
      </c>
      <c r="J214" s="421">
        <v>0</v>
      </c>
      <c r="K214" s="421">
        <v>0</v>
      </c>
      <c r="L214" s="421">
        <v>0</v>
      </c>
      <c r="M214" s="421">
        <v>0</v>
      </c>
      <c r="N214" s="421">
        <v>0</v>
      </c>
      <c r="O214" s="421">
        <v>0</v>
      </c>
      <c r="P214" s="421">
        <v>0</v>
      </c>
      <c r="Q214" s="421">
        <v>0</v>
      </c>
      <c r="R214" s="421">
        <v>0</v>
      </c>
      <c r="S214" s="429">
        <v>17.175492410101601</v>
      </c>
      <c r="T214" s="412"/>
    </row>
    <row r="215" spans="2:20" ht="13.5">
      <c r="B215" s="412"/>
      <c r="C215" s="428" t="s">
        <v>75</v>
      </c>
      <c r="D215" s="421">
        <v>9.5550615234374998</v>
      </c>
      <c r="E215" s="421">
        <v>0</v>
      </c>
      <c r="F215" s="421">
        <v>16.370387999999998</v>
      </c>
      <c r="G215" s="421">
        <v>4.6713383640000004</v>
      </c>
      <c r="H215" s="421">
        <v>0</v>
      </c>
      <c r="I215" s="421">
        <v>0</v>
      </c>
      <c r="J215" s="421">
        <v>0</v>
      </c>
      <c r="K215" s="421">
        <v>0</v>
      </c>
      <c r="L215" s="421">
        <v>0</v>
      </c>
      <c r="M215" s="421">
        <v>9.5333435999999994E-2</v>
      </c>
      <c r="N215" s="421">
        <v>0</v>
      </c>
      <c r="O215" s="421">
        <v>0</v>
      </c>
      <c r="P215" s="421">
        <v>25.6753694925142</v>
      </c>
      <c r="Q215" s="421">
        <v>0</v>
      </c>
      <c r="R215" s="421">
        <v>0</v>
      </c>
      <c r="S215" s="429">
        <v>56.367490815951697</v>
      </c>
      <c r="T215" s="412"/>
    </row>
    <row r="216" spans="2:20" ht="13.5">
      <c r="B216" s="412"/>
      <c r="C216" s="428" t="s">
        <v>76</v>
      </c>
      <c r="D216" s="421">
        <v>0</v>
      </c>
      <c r="E216" s="421">
        <v>0</v>
      </c>
      <c r="F216" s="421">
        <v>0</v>
      </c>
      <c r="G216" s="421">
        <v>4.52694839554567</v>
      </c>
      <c r="H216" s="421">
        <v>0</v>
      </c>
      <c r="I216" s="421">
        <v>0</v>
      </c>
      <c r="J216" s="421">
        <v>0</v>
      </c>
      <c r="K216" s="421">
        <v>0</v>
      </c>
      <c r="L216" s="421">
        <v>0</v>
      </c>
      <c r="M216" s="421">
        <v>9.2386701949911706E-2</v>
      </c>
      <c r="N216" s="421">
        <v>0</v>
      </c>
      <c r="O216" s="421">
        <v>0</v>
      </c>
      <c r="P216" s="421">
        <v>46.885354346539003</v>
      </c>
      <c r="Q216" s="421">
        <v>3.1905146505824402</v>
      </c>
      <c r="R216" s="421">
        <v>0</v>
      </c>
      <c r="S216" s="429">
        <v>54.695204094616997</v>
      </c>
      <c r="T216" s="412"/>
    </row>
    <row r="217" spans="2:20" ht="13.5">
      <c r="B217" s="412"/>
      <c r="C217" s="424" t="s">
        <v>77</v>
      </c>
      <c r="D217" s="425">
        <v>23.7935378742384</v>
      </c>
      <c r="E217" s="425">
        <v>464.7986487</v>
      </c>
      <c r="F217" s="425">
        <v>-434.61231754149702</v>
      </c>
      <c r="G217" s="425">
        <v>68.177754603392003</v>
      </c>
      <c r="H217" s="425">
        <v>727.27272727272702</v>
      </c>
      <c r="I217" s="425">
        <v>285.08</v>
      </c>
      <c r="J217" s="425">
        <v>82.803770504191903</v>
      </c>
      <c r="K217" s="425">
        <v>18.2591451209037</v>
      </c>
      <c r="L217" s="425">
        <v>-41.6624557547647</v>
      </c>
      <c r="M217" s="425">
        <v>-6.3998957841012203</v>
      </c>
      <c r="N217" s="425">
        <v>0</v>
      </c>
      <c r="O217" s="425">
        <v>2.25411214784515</v>
      </c>
      <c r="P217" s="425">
        <v>-486.14621568764602</v>
      </c>
      <c r="Q217" s="425">
        <v>-37.982317268838599</v>
      </c>
      <c r="R217" s="425">
        <v>-4.46896793742021</v>
      </c>
      <c r="S217" s="425">
        <v>661.16752624903097</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3.2525348929878701</v>
      </c>
      <c r="E219" s="421">
        <v>0</v>
      </c>
      <c r="F219" s="421">
        <v>17.532199420942199</v>
      </c>
      <c r="G219" s="421">
        <v>101.536086736296</v>
      </c>
      <c r="H219" s="421">
        <v>0</v>
      </c>
      <c r="I219" s="421">
        <v>0</v>
      </c>
      <c r="J219" s="421">
        <v>17.243729128153799</v>
      </c>
      <c r="K219" s="421">
        <v>3.8122851216920202</v>
      </c>
      <c r="L219" s="421">
        <v>0.87021837890624998</v>
      </c>
      <c r="M219" s="421">
        <v>2.0721650354346099</v>
      </c>
      <c r="N219" s="421">
        <v>0</v>
      </c>
      <c r="O219" s="421">
        <v>0</v>
      </c>
      <c r="P219" s="421">
        <v>120.089551917563</v>
      </c>
      <c r="Q219" s="421">
        <v>19.4196670049601</v>
      </c>
      <c r="R219" s="421">
        <v>0.24405599975585901</v>
      </c>
      <c r="S219" s="429">
        <v>286.072493636692</v>
      </c>
      <c r="T219" s="412"/>
    </row>
    <row r="220" spans="2:20" ht="13.5">
      <c r="B220" s="412"/>
      <c r="C220" s="428" t="s">
        <v>79</v>
      </c>
      <c r="D220" s="421">
        <v>0</v>
      </c>
      <c r="E220" s="421">
        <v>0</v>
      </c>
      <c r="F220" s="421">
        <v>204.27744800701601</v>
      </c>
      <c r="G220" s="421">
        <v>35.056721936600702</v>
      </c>
      <c r="H220" s="421">
        <v>0</v>
      </c>
      <c r="I220" s="421">
        <v>0</v>
      </c>
      <c r="J220" s="421">
        <v>0</v>
      </c>
      <c r="K220" s="421">
        <v>0</v>
      </c>
      <c r="L220" s="421">
        <v>20.587238275227001</v>
      </c>
      <c r="M220" s="421">
        <v>0.71544330482858598</v>
      </c>
      <c r="N220" s="421">
        <v>0</v>
      </c>
      <c r="O220" s="421">
        <v>0</v>
      </c>
      <c r="P220" s="421">
        <v>74.338731935176895</v>
      </c>
      <c r="Q220" s="421">
        <v>0</v>
      </c>
      <c r="R220" s="421">
        <v>3.0427208487971602</v>
      </c>
      <c r="S220" s="429">
        <v>338.01830430764699</v>
      </c>
      <c r="T220" s="412"/>
    </row>
    <row r="221" spans="2:20" ht="13.5">
      <c r="B221" s="412"/>
      <c r="C221" s="428" t="s">
        <v>80</v>
      </c>
      <c r="D221" s="421">
        <v>0</v>
      </c>
      <c r="E221" s="421">
        <v>0</v>
      </c>
      <c r="F221" s="421">
        <v>5.0790798253364304</v>
      </c>
      <c r="G221" s="421">
        <v>103.36019560958501</v>
      </c>
      <c r="H221" s="421">
        <v>0</v>
      </c>
      <c r="I221" s="421">
        <v>0</v>
      </c>
      <c r="J221" s="421">
        <v>73.674863255740703</v>
      </c>
      <c r="K221" s="421">
        <v>0</v>
      </c>
      <c r="L221" s="421">
        <v>0</v>
      </c>
      <c r="M221" s="421">
        <v>2.1093917471343899</v>
      </c>
      <c r="N221" s="421">
        <v>62.925207692465797</v>
      </c>
      <c r="O221" s="421">
        <v>0.93798825098649496</v>
      </c>
      <c r="P221" s="421">
        <v>184.247095425738</v>
      </c>
      <c r="Q221" s="421">
        <v>14.961677987514401</v>
      </c>
      <c r="R221" s="421">
        <v>0</v>
      </c>
      <c r="S221" s="429">
        <v>447.29549979450098</v>
      </c>
      <c r="T221" s="412"/>
    </row>
    <row r="222" spans="2:20" ht="13.5">
      <c r="B222" s="412"/>
      <c r="C222" s="428" t="s">
        <v>81</v>
      </c>
      <c r="D222" s="421">
        <v>0</v>
      </c>
      <c r="E222" s="421">
        <v>0</v>
      </c>
      <c r="F222" s="421">
        <v>1.9431733632283299</v>
      </c>
      <c r="G222" s="421">
        <v>67.9041876215625</v>
      </c>
      <c r="H222" s="421">
        <v>0</v>
      </c>
      <c r="I222" s="421">
        <v>0</v>
      </c>
      <c r="J222" s="421">
        <v>3.20971056517973</v>
      </c>
      <c r="K222" s="421">
        <v>0</v>
      </c>
      <c r="L222" s="421">
        <v>0</v>
      </c>
      <c r="M222" s="421">
        <v>1.3857997473788299</v>
      </c>
      <c r="N222" s="421">
        <v>6.1991330221488896</v>
      </c>
      <c r="O222" s="421">
        <v>0.72170394145081995</v>
      </c>
      <c r="P222" s="421">
        <v>149.98195377916301</v>
      </c>
      <c r="Q222" s="421">
        <v>3.6009722763640601</v>
      </c>
      <c r="R222" s="421">
        <v>0</v>
      </c>
      <c r="S222" s="429">
        <v>234.94663431647601</v>
      </c>
      <c r="T222" s="412"/>
    </row>
    <row r="223" spans="2:20" ht="13.5">
      <c r="B223" s="412"/>
      <c r="C223" s="428" t="s">
        <v>82</v>
      </c>
      <c r="D223" s="421">
        <v>0</v>
      </c>
      <c r="E223" s="421">
        <v>0</v>
      </c>
      <c r="F223" s="421">
        <v>2.1543406684855499</v>
      </c>
      <c r="G223" s="421">
        <v>5.7377015169157897</v>
      </c>
      <c r="H223" s="421">
        <v>0</v>
      </c>
      <c r="I223" s="421">
        <v>0</v>
      </c>
      <c r="J223" s="421">
        <v>2.0881916312924198</v>
      </c>
      <c r="K223" s="421">
        <v>0</v>
      </c>
      <c r="L223" s="421">
        <v>19.243865605766601</v>
      </c>
      <c r="M223" s="421">
        <v>0.117095949324812</v>
      </c>
      <c r="N223" s="421">
        <v>0</v>
      </c>
      <c r="O223" s="421">
        <v>6.0519753794095202E-2</v>
      </c>
      <c r="P223" s="421">
        <v>7.3615435248684502</v>
      </c>
      <c r="Q223" s="421">
        <v>0</v>
      </c>
      <c r="R223" s="421">
        <v>0</v>
      </c>
      <c r="S223" s="429">
        <v>36.763258650447703</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2.4</v>
      </c>
      <c r="Q224" s="421">
        <v>0</v>
      </c>
      <c r="R224" s="421">
        <v>0</v>
      </c>
      <c r="S224" s="429">
        <v>2.4</v>
      </c>
      <c r="T224" s="412"/>
    </row>
    <row r="225" spans="2:20" ht="13.5">
      <c r="B225" s="412"/>
      <c r="C225" s="424" t="s">
        <v>83</v>
      </c>
      <c r="D225" s="425">
        <v>3.2525348929878701</v>
      </c>
      <c r="E225" s="425">
        <v>0</v>
      </c>
      <c r="F225" s="425">
        <v>230.98624128500899</v>
      </c>
      <c r="G225" s="425">
        <v>313.59489342095998</v>
      </c>
      <c r="H225" s="425">
        <v>0</v>
      </c>
      <c r="I225" s="425">
        <v>0</v>
      </c>
      <c r="J225" s="425">
        <v>96.2164945803667</v>
      </c>
      <c r="K225" s="425">
        <v>3.8122851216920202</v>
      </c>
      <c r="L225" s="425">
        <v>40.701322259899896</v>
      </c>
      <c r="M225" s="425">
        <v>6.3998957841012203</v>
      </c>
      <c r="N225" s="425">
        <v>69.124340714614704</v>
      </c>
      <c r="O225" s="425">
        <v>1.72021194623141</v>
      </c>
      <c r="P225" s="425">
        <v>538.41887658250903</v>
      </c>
      <c r="Q225" s="425">
        <v>37.982317268838599</v>
      </c>
      <c r="R225" s="425">
        <v>3.28677684855302</v>
      </c>
      <c r="S225" s="425">
        <v>1345.49619070576</v>
      </c>
      <c r="T225" s="412"/>
    </row>
    <row r="226" spans="2:20" ht="13.5">
      <c r="B226" s="412"/>
      <c r="C226" s="420" t="s">
        <v>84</v>
      </c>
      <c r="D226" s="421">
        <v>2.0917910156250001</v>
      </c>
      <c r="E226" s="421">
        <v>0</v>
      </c>
      <c r="F226" s="421">
        <v>139.14741749348801</v>
      </c>
      <c r="G226" s="421">
        <v>11.9244724968143</v>
      </c>
      <c r="H226" s="421">
        <v>0</v>
      </c>
      <c r="I226" s="421">
        <v>0</v>
      </c>
      <c r="J226" s="421">
        <v>0</v>
      </c>
      <c r="K226" s="421">
        <v>0</v>
      </c>
      <c r="L226" s="421">
        <v>0</v>
      </c>
      <c r="M226" s="421">
        <v>0</v>
      </c>
      <c r="N226" s="421">
        <v>0</v>
      </c>
      <c r="O226" s="421">
        <v>0</v>
      </c>
      <c r="P226" s="421">
        <v>0</v>
      </c>
      <c r="Q226" s="421">
        <v>0</v>
      </c>
      <c r="R226" s="421">
        <v>1.18219108886719</v>
      </c>
      <c r="S226" s="429">
        <v>154.345872094794</v>
      </c>
      <c r="T226" s="412"/>
    </row>
    <row r="227" spans="2:20" ht="13.5">
      <c r="B227" s="412"/>
      <c r="C227" s="424" t="s">
        <v>85</v>
      </c>
      <c r="D227" s="425">
        <v>5.3443259086128698</v>
      </c>
      <c r="E227" s="425">
        <v>0</v>
      </c>
      <c r="F227" s="425">
        <v>370.13365877849702</v>
      </c>
      <c r="G227" s="425">
        <v>325.519365917774</v>
      </c>
      <c r="H227" s="425">
        <v>0</v>
      </c>
      <c r="I227" s="425">
        <v>0</v>
      </c>
      <c r="J227" s="425">
        <v>96.2164945803667</v>
      </c>
      <c r="K227" s="425">
        <v>3.8122851216920202</v>
      </c>
      <c r="L227" s="425">
        <v>40.701322259899896</v>
      </c>
      <c r="M227" s="425">
        <v>6.3998957841012203</v>
      </c>
      <c r="N227" s="425">
        <v>69.124340714614704</v>
      </c>
      <c r="O227" s="425">
        <v>1.72021194623141</v>
      </c>
      <c r="P227" s="425">
        <v>538.41887658250903</v>
      </c>
      <c r="Q227" s="425">
        <v>37.982317268838599</v>
      </c>
      <c r="R227" s="425">
        <v>4.46896793742021</v>
      </c>
      <c r="S227" s="425">
        <v>1499.8420628005599</v>
      </c>
      <c r="T227" s="412"/>
    </row>
    <row r="228" spans="2:20">
      <c r="B228" s="412"/>
      <c r="C228" s="412"/>
      <c r="D228" s="430">
        <f t="shared" ref="D228:S228" si="5">D227+D217-D203</f>
        <v>-3.1974423109204508E-14</v>
      </c>
      <c r="E228" s="430">
        <f t="shared" si="5"/>
        <v>0</v>
      </c>
      <c r="F228" s="430">
        <f t="shared" si="5"/>
        <v>-2.9842794901924208E-13</v>
      </c>
      <c r="G228" s="430">
        <f t="shared" si="5"/>
        <v>0</v>
      </c>
      <c r="H228" s="430">
        <f t="shared" si="5"/>
        <v>0</v>
      </c>
      <c r="I228" s="430">
        <f t="shared" si="5"/>
        <v>0</v>
      </c>
      <c r="J228" s="430">
        <f t="shared" si="5"/>
        <v>-3.694822225952521E-13</v>
      </c>
      <c r="K228" s="430">
        <f t="shared" si="5"/>
        <v>0</v>
      </c>
      <c r="L228" s="430">
        <f t="shared" si="5"/>
        <v>3.5416114485542494E-14</v>
      </c>
      <c r="M228" s="430">
        <f t="shared" si="5"/>
        <v>0</v>
      </c>
      <c r="N228" s="430">
        <f t="shared" si="5"/>
        <v>0</v>
      </c>
      <c r="O228" s="430">
        <f t="shared" si="5"/>
        <v>0</v>
      </c>
      <c r="P228" s="430">
        <f t="shared" si="5"/>
        <v>-1.9184653865522705E-13</v>
      </c>
      <c r="Q228" s="430">
        <f t="shared" si="5"/>
        <v>0</v>
      </c>
      <c r="R228" s="430">
        <f t="shared" si="5"/>
        <v>0</v>
      </c>
      <c r="S228" s="430">
        <f t="shared" si="5"/>
        <v>0</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sheetData>
  <mergeCells count="72">
    <mergeCell ref="S195:S196"/>
    <mergeCell ref="C195:C196"/>
    <mergeCell ref="D195:D196"/>
    <mergeCell ref="E195:E196"/>
    <mergeCell ref="F195:F196"/>
    <mergeCell ref="G195:G196"/>
    <mergeCell ref="H195:H196"/>
    <mergeCell ref="I195:I196"/>
    <mergeCell ref="J195:O195"/>
    <mergeCell ref="P195:P196"/>
    <mergeCell ref="Q195:Q196"/>
    <mergeCell ref="R195:R196"/>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197:O197">
    <cfRule type="expression" dxfId="10120" priority="279">
      <formula>LEN(TRIM(N197))=0</formula>
    </cfRule>
  </conditionalFormatting>
  <conditionalFormatting sqref="N197:O197">
    <cfRule type="cellIs" dxfId="10119" priority="278" operator="equal">
      <formula>0</formula>
    </cfRule>
  </conditionalFormatting>
  <conditionalFormatting sqref="N197:O197">
    <cfRule type="cellIs" dxfId="10118" priority="277" operator="equal">
      <formula>0</formula>
    </cfRule>
  </conditionalFormatting>
  <conditionalFormatting sqref="H197:K197">
    <cfRule type="expression" dxfId="10117" priority="276">
      <formula>LEN(TRIM(H197))=0</formula>
    </cfRule>
  </conditionalFormatting>
  <conditionalFormatting sqref="K197">
    <cfRule type="cellIs" dxfId="10116" priority="275" operator="equal">
      <formula>0</formula>
    </cfRule>
  </conditionalFormatting>
  <conditionalFormatting sqref="J197:K197">
    <cfRule type="cellIs" dxfId="10115" priority="274" operator="equal">
      <formula>0</formula>
    </cfRule>
  </conditionalFormatting>
  <conditionalFormatting sqref="I197">
    <cfRule type="cellIs" dxfId="10114" priority="273" operator="equal">
      <formula>0</formula>
    </cfRule>
  </conditionalFormatting>
  <conditionalFormatting sqref="H197">
    <cfRule type="cellIs" dxfId="10113" priority="272" operator="equal">
      <formula>0</formula>
    </cfRule>
  </conditionalFormatting>
  <conditionalFormatting sqref="D205:R216">
    <cfRule type="expression" dxfId="10112" priority="271">
      <formula>LEN(TRIM(D205))=0</formula>
    </cfRule>
  </conditionalFormatting>
  <conditionalFormatting sqref="D205:R216">
    <cfRule type="cellIs" dxfId="10111" priority="270" operator="equal">
      <formula>0</formula>
    </cfRule>
  </conditionalFormatting>
  <conditionalFormatting sqref="N201:O201">
    <cfRule type="cellIs" dxfId="10110" priority="269" operator="equal">
      <formula>0</formula>
    </cfRule>
  </conditionalFormatting>
  <conditionalFormatting sqref="N200:O200">
    <cfRule type="cellIs" dxfId="10109" priority="268" operator="equal">
      <formula>0</formula>
    </cfRule>
  </conditionalFormatting>
  <conditionalFormatting sqref="M200:M201">
    <cfRule type="cellIs" dxfId="10108" priority="267" operator="equal">
      <formula>0</formula>
    </cfRule>
  </conditionalFormatting>
  <conditionalFormatting sqref="L200:L201">
    <cfRule type="cellIs" dxfId="10107" priority="266" operator="equal">
      <formula>0</formula>
    </cfRule>
  </conditionalFormatting>
  <conditionalFormatting sqref="D226:R226">
    <cfRule type="cellIs" dxfId="10106" priority="265" operator="equal">
      <formula>0</formula>
    </cfRule>
  </conditionalFormatting>
  <conditionalFormatting sqref="D219:R227 D217:R217 D198:R203 D197:G197 L197:M197 P197:R197">
    <cfRule type="expression" dxfId="10105" priority="264">
      <formula>LEN(TRIM(D197))=0</formula>
    </cfRule>
  </conditionalFormatting>
  <conditionalFormatting sqref="D226:R226">
    <cfRule type="cellIs" dxfId="10104" priority="263" operator="equal">
      <formula>0</formula>
    </cfRule>
  </conditionalFormatting>
  <conditionalFormatting sqref="O198:O199">
    <cfRule type="cellIs" dxfId="10103" priority="262" operator="equal">
      <formula>0</formula>
    </cfRule>
  </conditionalFormatting>
  <conditionalFormatting sqref="O200:O202 O218">
    <cfRule type="cellIs" dxfId="10102" priority="261" operator="equal">
      <formula>0</formula>
    </cfRule>
  </conditionalFormatting>
  <conditionalFormatting sqref="N198:N199">
    <cfRule type="cellIs" dxfId="10101" priority="260" operator="equal">
      <formula>0</formula>
    </cfRule>
  </conditionalFormatting>
  <conditionalFormatting sqref="N200:N202 N218">
    <cfRule type="cellIs" dxfId="10100" priority="259" operator="equal">
      <formula>0</formula>
    </cfRule>
  </conditionalFormatting>
  <conditionalFormatting sqref="M197:M199">
    <cfRule type="cellIs" dxfId="10099" priority="258" operator="equal">
      <formula>0</formula>
    </cfRule>
  </conditionalFormatting>
  <conditionalFormatting sqref="M200:M202 M218">
    <cfRule type="cellIs" dxfId="10098" priority="257" operator="equal">
      <formula>0</formula>
    </cfRule>
  </conditionalFormatting>
  <conditionalFormatting sqref="L197:L199">
    <cfRule type="cellIs" dxfId="10097" priority="256" operator="equal">
      <formula>0</formula>
    </cfRule>
  </conditionalFormatting>
  <conditionalFormatting sqref="L200:L202 L218">
    <cfRule type="cellIs" dxfId="10096" priority="255" operator="equal">
      <formula>0</formula>
    </cfRule>
  </conditionalFormatting>
  <conditionalFormatting sqref="K198:K199">
    <cfRule type="cellIs" dxfId="10095" priority="254" operator="equal">
      <formula>0</formula>
    </cfRule>
  </conditionalFormatting>
  <conditionalFormatting sqref="K200:K202 K218">
    <cfRule type="cellIs" dxfId="10094" priority="253" operator="equal">
      <formula>0</formula>
    </cfRule>
  </conditionalFormatting>
  <conditionalFormatting sqref="J198:J199">
    <cfRule type="cellIs" dxfId="10093" priority="252" operator="equal">
      <formula>0</formula>
    </cfRule>
  </conditionalFormatting>
  <conditionalFormatting sqref="J200:J202 J218">
    <cfRule type="cellIs" dxfId="10092" priority="251" operator="equal">
      <formula>0</formula>
    </cfRule>
  </conditionalFormatting>
  <conditionalFormatting sqref="L197:M197">
    <cfRule type="cellIs" dxfId="10091" priority="250" operator="equal">
      <formula>0</formula>
    </cfRule>
  </conditionalFormatting>
  <conditionalFormatting sqref="F198:F199">
    <cfRule type="cellIs" dxfId="10090" priority="249" operator="equal">
      <formula>0</formula>
    </cfRule>
  </conditionalFormatting>
  <conditionalFormatting sqref="P197:R197 L197:M197 D198:R199">
    <cfRule type="cellIs" dxfId="10089" priority="248" operator="equal">
      <formula>0</formula>
    </cfRule>
  </conditionalFormatting>
  <conditionalFormatting sqref="P197:P199">
    <cfRule type="cellIs" dxfId="10088" priority="247" operator="equal">
      <formula>0</formula>
    </cfRule>
  </conditionalFormatting>
  <conditionalFormatting sqref="D227:R227 P218:R218 D218:I218 D219:R225 D217:R217 D198:R204 D197:G197 L197:M197 P197:R197">
    <cfRule type="cellIs" dxfId="10087" priority="246" operator="equal">
      <formula>0</formula>
    </cfRule>
  </conditionalFormatting>
  <conditionalFormatting sqref="N160:O160">
    <cfRule type="expression" dxfId="10086" priority="245">
      <formula>LEN(TRIM(N160))=0</formula>
    </cfRule>
  </conditionalFormatting>
  <conditionalFormatting sqref="N160:O160">
    <cfRule type="cellIs" dxfId="10085" priority="244" operator="equal">
      <formula>0</formula>
    </cfRule>
  </conditionalFormatting>
  <conditionalFormatting sqref="N160:O160">
    <cfRule type="cellIs" dxfId="10084" priority="243" operator="equal">
      <formula>0</formula>
    </cfRule>
  </conditionalFormatting>
  <conditionalFormatting sqref="H160:K160">
    <cfRule type="expression" dxfId="10083" priority="242">
      <formula>LEN(TRIM(H160))=0</formula>
    </cfRule>
  </conditionalFormatting>
  <conditionalFormatting sqref="K160">
    <cfRule type="cellIs" dxfId="10082" priority="241" operator="equal">
      <formula>0</formula>
    </cfRule>
  </conditionalFormatting>
  <conditionalFormatting sqref="J160:K160">
    <cfRule type="cellIs" dxfId="10081" priority="240" operator="equal">
      <formula>0</formula>
    </cfRule>
  </conditionalFormatting>
  <conditionalFormatting sqref="I160">
    <cfRule type="cellIs" dxfId="10080" priority="239" operator="equal">
      <formula>0</formula>
    </cfRule>
  </conditionalFormatting>
  <conditionalFormatting sqref="H160">
    <cfRule type="cellIs" dxfId="10079" priority="238" operator="equal">
      <formula>0</formula>
    </cfRule>
  </conditionalFormatting>
  <conditionalFormatting sqref="D168:R179">
    <cfRule type="expression" dxfId="10078" priority="237">
      <formula>LEN(TRIM(D168))=0</formula>
    </cfRule>
  </conditionalFormatting>
  <conditionalFormatting sqref="D168:R179">
    <cfRule type="cellIs" dxfId="10077" priority="236" operator="equal">
      <formula>0</formula>
    </cfRule>
  </conditionalFormatting>
  <conditionalFormatting sqref="N164:O164">
    <cfRule type="cellIs" dxfId="10076" priority="235" operator="equal">
      <formula>0</formula>
    </cfRule>
  </conditionalFormatting>
  <conditionalFormatting sqref="N163:O163">
    <cfRule type="cellIs" dxfId="10075" priority="234" operator="equal">
      <formula>0</formula>
    </cfRule>
  </conditionalFormatting>
  <conditionalFormatting sqref="M163:M164">
    <cfRule type="cellIs" dxfId="10074" priority="233" operator="equal">
      <formula>0</formula>
    </cfRule>
  </conditionalFormatting>
  <conditionalFormatting sqref="L163:L164">
    <cfRule type="cellIs" dxfId="10073" priority="232" operator="equal">
      <formula>0</formula>
    </cfRule>
  </conditionalFormatting>
  <conditionalFormatting sqref="D189:R189">
    <cfRule type="cellIs" dxfId="10072" priority="231" operator="equal">
      <formula>0</formula>
    </cfRule>
  </conditionalFormatting>
  <conditionalFormatting sqref="D182:R190 D180:R180 D161:R166 D160:G160 L160:M160 P160:R160">
    <cfRule type="expression" dxfId="10071" priority="230">
      <formula>LEN(TRIM(D160))=0</formula>
    </cfRule>
  </conditionalFormatting>
  <conditionalFormatting sqref="D189:R189">
    <cfRule type="cellIs" dxfId="10070" priority="229" operator="equal">
      <formula>0</formula>
    </cfRule>
  </conditionalFormatting>
  <conditionalFormatting sqref="O161:O162">
    <cfRule type="cellIs" dxfId="10069" priority="228" operator="equal">
      <formula>0</formula>
    </cfRule>
  </conditionalFormatting>
  <conditionalFormatting sqref="O163:O165 O181">
    <cfRule type="cellIs" dxfId="10068" priority="227" operator="equal">
      <formula>0</formula>
    </cfRule>
  </conditionalFormatting>
  <conditionalFormatting sqref="N161:N162">
    <cfRule type="cellIs" dxfId="10067" priority="226" operator="equal">
      <formula>0</formula>
    </cfRule>
  </conditionalFormatting>
  <conditionalFormatting sqref="N163:N165 N181">
    <cfRule type="cellIs" dxfId="10066" priority="225" operator="equal">
      <formula>0</formula>
    </cfRule>
  </conditionalFormatting>
  <conditionalFormatting sqref="M160:M162">
    <cfRule type="cellIs" dxfId="10065" priority="224" operator="equal">
      <formula>0</formula>
    </cfRule>
  </conditionalFormatting>
  <conditionalFormatting sqref="M163:M165 M181">
    <cfRule type="cellIs" dxfId="10064" priority="223" operator="equal">
      <formula>0</formula>
    </cfRule>
  </conditionalFormatting>
  <conditionalFormatting sqref="L160:L162">
    <cfRule type="cellIs" dxfId="10063" priority="222" operator="equal">
      <formula>0</formula>
    </cfRule>
  </conditionalFormatting>
  <conditionalFormatting sqref="L163:L165 L181">
    <cfRule type="cellIs" dxfId="10062" priority="221" operator="equal">
      <formula>0</formula>
    </cfRule>
  </conditionalFormatting>
  <conditionalFormatting sqref="K161:K162">
    <cfRule type="cellIs" dxfId="10061" priority="220" operator="equal">
      <formula>0</formula>
    </cfRule>
  </conditionalFormatting>
  <conditionalFormatting sqref="K163:K165 K181">
    <cfRule type="cellIs" dxfId="10060" priority="219" operator="equal">
      <formula>0</formula>
    </cfRule>
  </conditionalFormatting>
  <conditionalFormatting sqref="J161:J162">
    <cfRule type="cellIs" dxfId="10059" priority="218" operator="equal">
      <formula>0</formula>
    </cfRule>
  </conditionalFormatting>
  <conditionalFormatting sqref="J163:J165 J181">
    <cfRule type="cellIs" dxfId="10058" priority="217" operator="equal">
      <formula>0</formula>
    </cfRule>
  </conditionalFormatting>
  <conditionalFormatting sqref="L160:M160">
    <cfRule type="cellIs" dxfId="10057" priority="216" operator="equal">
      <formula>0</formula>
    </cfRule>
  </conditionalFormatting>
  <conditionalFormatting sqref="F161:F162">
    <cfRule type="cellIs" dxfId="10056" priority="215" operator="equal">
      <formula>0</formula>
    </cfRule>
  </conditionalFormatting>
  <conditionalFormatting sqref="P160:R160 L160:M160 D161:R162">
    <cfRule type="cellIs" dxfId="10055" priority="214" operator="equal">
      <formula>0</formula>
    </cfRule>
  </conditionalFormatting>
  <conditionalFormatting sqref="P160:P162">
    <cfRule type="cellIs" dxfId="10054" priority="213" operator="equal">
      <formula>0</formula>
    </cfRule>
  </conditionalFormatting>
  <conditionalFormatting sqref="D190:R190 P181:R181 D181:I181 D182:R188 D180:R180 D161:R167 D160:G160 L160:M160 P160:R160">
    <cfRule type="cellIs" dxfId="10053" priority="212" operator="equal">
      <formula>0</formula>
    </cfRule>
  </conditionalFormatting>
  <conditionalFormatting sqref="S182:S190 S160:S166 S168:S180">
    <cfRule type="expression" dxfId="10052" priority="211">
      <formula>LEN(TRIM(S160))=0</formula>
    </cfRule>
  </conditionalFormatting>
  <conditionalFormatting sqref="S189">
    <cfRule type="cellIs" dxfId="10051" priority="210" operator="equal">
      <formula>0</formula>
    </cfRule>
  </conditionalFormatting>
  <conditionalFormatting sqref="S190 S160:S188">
    <cfRule type="cellIs" dxfId="10050" priority="209" operator="equal">
      <formula>0</formula>
    </cfRule>
  </conditionalFormatting>
  <conditionalFormatting sqref="S205:S216">
    <cfRule type="expression" dxfId="10049" priority="208">
      <formula>LEN(TRIM(S205))=0</formula>
    </cfRule>
  </conditionalFormatting>
  <conditionalFormatting sqref="S205:S216">
    <cfRule type="cellIs" dxfId="10048" priority="207" operator="equal">
      <formula>0</formula>
    </cfRule>
  </conditionalFormatting>
  <conditionalFormatting sqref="S200:S201">
    <cfRule type="expression" dxfId="10047" priority="206">
      <formula>LEN(TRIM(S200))=0</formula>
    </cfRule>
  </conditionalFormatting>
  <conditionalFormatting sqref="S200:S201">
    <cfRule type="cellIs" dxfId="10046" priority="205" operator="equal">
      <formula>0</formula>
    </cfRule>
  </conditionalFormatting>
  <conditionalFormatting sqref="S219:S227 S197:S199 S202:S203">
    <cfRule type="expression" dxfId="10045" priority="204">
      <formula>LEN(TRIM(S197))=0</formula>
    </cfRule>
  </conditionalFormatting>
  <conditionalFormatting sqref="S226">
    <cfRule type="cellIs" dxfId="10044" priority="203" operator="equal">
      <formula>0</formula>
    </cfRule>
  </conditionalFormatting>
  <conditionalFormatting sqref="S227 S197:S199">
    <cfRule type="cellIs" dxfId="10043" priority="202" operator="equal">
      <formula>0</formula>
    </cfRule>
  </conditionalFormatting>
  <conditionalFormatting sqref="O196">
    <cfRule type="cellIs" dxfId="10042" priority="201" operator="equal">
      <formula>0</formula>
    </cfRule>
  </conditionalFormatting>
  <conditionalFormatting sqref="J196:N196">
    <cfRule type="cellIs" dxfId="10041" priority="200" operator="equal">
      <formula>0</formula>
    </cfRule>
  </conditionalFormatting>
  <conditionalFormatting sqref="O159">
    <cfRule type="cellIs" dxfId="10040" priority="199" operator="equal">
      <formula>0</formula>
    </cfRule>
  </conditionalFormatting>
  <conditionalFormatting sqref="J159:N159">
    <cfRule type="cellIs" dxfId="10039" priority="198" operator="equal">
      <formula>0</formula>
    </cfRule>
  </conditionalFormatting>
  <conditionalFormatting sqref="N123:O123">
    <cfRule type="expression" dxfId="10038" priority="197">
      <formula>LEN(TRIM(N123))=0</formula>
    </cfRule>
  </conditionalFormatting>
  <conditionalFormatting sqref="N123:O123">
    <cfRule type="cellIs" dxfId="10037" priority="196" operator="equal">
      <formula>0</formula>
    </cfRule>
  </conditionalFormatting>
  <conditionalFormatting sqref="N123:O123">
    <cfRule type="cellIs" dxfId="10036" priority="195" operator="equal">
      <formula>0</formula>
    </cfRule>
  </conditionalFormatting>
  <conditionalFormatting sqref="H123:K123">
    <cfRule type="expression" dxfId="10035" priority="194">
      <formula>LEN(TRIM(H123))=0</formula>
    </cfRule>
  </conditionalFormatting>
  <conditionalFormatting sqref="K123">
    <cfRule type="cellIs" dxfId="10034" priority="193" operator="equal">
      <formula>0</formula>
    </cfRule>
  </conditionalFormatting>
  <conditionalFormatting sqref="J123:K123">
    <cfRule type="cellIs" dxfId="10033" priority="192" operator="equal">
      <formula>0</formula>
    </cfRule>
  </conditionalFormatting>
  <conditionalFormatting sqref="I123">
    <cfRule type="cellIs" dxfId="10032" priority="191" operator="equal">
      <formula>0</formula>
    </cfRule>
  </conditionalFormatting>
  <conditionalFormatting sqref="H123">
    <cfRule type="cellIs" dxfId="10031" priority="190" operator="equal">
      <formula>0</formula>
    </cfRule>
  </conditionalFormatting>
  <conditionalFormatting sqref="D131:R142">
    <cfRule type="expression" dxfId="10030" priority="189">
      <formula>LEN(TRIM(D131))=0</formula>
    </cfRule>
  </conditionalFormatting>
  <conditionalFormatting sqref="D131:R142">
    <cfRule type="cellIs" dxfId="10029" priority="188" operator="equal">
      <formula>0</formula>
    </cfRule>
  </conditionalFormatting>
  <conditionalFormatting sqref="N127:O127">
    <cfRule type="cellIs" dxfId="10028" priority="187" operator="equal">
      <formula>0</formula>
    </cfRule>
  </conditionalFormatting>
  <conditionalFormatting sqref="N126:O126">
    <cfRule type="cellIs" dxfId="10027" priority="186" operator="equal">
      <formula>0</formula>
    </cfRule>
  </conditionalFormatting>
  <conditionalFormatting sqref="M126:M127">
    <cfRule type="cellIs" dxfId="10026" priority="185" operator="equal">
      <formula>0</formula>
    </cfRule>
  </conditionalFormatting>
  <conditionalFormatting sqref="L126:L127">
    <cfRule type="cellIs" dxfId="10025" priority="184" operator="equal">
      <formula>0</formula>
    </cfRule>
  </conditionalFormatting>
  <conditionalFormatting sqref="D152:R152">
    <cfRule type="cellIs" dxfId="10024" priority="183" operator="equal">
      <formula>0</formula>
    </cfRule>
  </conditionalFormatting>
  <conditionalFormatting sqref="D145:R153 D143:R143 D124:R129 D123:G123 L123:M123 P123:R123">
    <cfRule type="expression" dxfId="10023" priority="182">
      <formula>LEN(TRIM(D123))=0</formula>
    </cfRule>
  </conditionalFormatting>
  <conditionalFormatting sqref="D152:R152">
    <cfRule type="cellIs" dxfId="10022" priority="181" operator="equal">
      <formula>0</formula>
    </cfRule>
  </conditionalFormatting>
  <conditionalFormatting sqref="O124:O125">
    <cfRule type="cellIs" dxfId="10021" priority="180" operator="equal">
      <formula>0</formula>
    </cfRule>
  </conditionalFormatting>
  <conditionalFormatting sqref="O126:O128 O144">
    <cfRule type="cellIs" dxfId="10020" priority="179" operator="equal">
      <formula>0</formula>
    </cfRule>
  </conditionalFormatting>
  <conditionalFormatting sqref="N124:N125">
    <cfRule type="cellIs" dxfId="10019" priority="178" operator="equal">
      <formula>0</formula>
    </cfRule>
  </conditionalFormatting>
  <conditionalFormatting sqref="N126:N128 N144">
    <cfRule type="cellIs" dxfId="10018" priority="177" operator="equal">
      <formula>0</formula>
    </cfRule>
  </conditionalFormatting>
  <conditionalFormatting sqref="M123:M125">
    <cfRule type="cellIs" dxfId="10017" priority="176" operator="equal">
      <formula>0</formula>
    </cfRule>
  </conditionalFormatting>
  <conditionalFormatting sqref="M126:M128 M144">
    <cfRule type="cellIs" dxfId="10016" priority="175" operator="equal">
      <formula>0</formula>
    </cfRule>
  </conditionalFormatting>
  <conditionalFormatting sqref="L123:L125">
    <cfRule type="cellIs" dxfId="10015" priority="174" operator="equal">
      <formula>0</formula>
    </cfRule>
  </conditionalFormatting>
  <conditionalFormatting sqref="L126:L128 L144">
    <cfRule type="cellIs" dxfId="10014" priority="173" operator="equal">
      <formula>0</formula>
    </cfRule>
  </conditionalFormatting>
  <conditionalFormatting sqref="K124:K125">
    <cfRule type="cellIs" dxfId="10013" priority="172" operator="equal">
      <formula>0</formula>
    </cfRule>
  </conditionalFormatting>
  <conditionalFormatting sqref="K126:K128 K144">
    <cfRule type="cellIs" dxfId="10012" priority="171" operator="equal">
      <formula>0</formula>
    </cfRule>
  </conditionalFormatting>
  <conditionalFormatting sqref="J124:J125">
    <cfRule type="cellIs" dxfId="10011" priority="170" operator="equal">
      <formula>0</formula>
    </cfRule>
  </conditionalFormatting>
  <conditionalFormatting sqref="J126:J128 J144">
    <cfRule type="cellIs" dxfId="10010" priority="169" operator="equal">
      <formula>0</formula>
    </cfRule>
  </conditionalFormatting>
  <conditionalFormatting sqref="L123:M123">
    <cfRule type="cellIs" dxfId="10009" priority="168" operator="equal">
      <formula>0</formula>
    </cfRule>
  </conditionalFormatting>
  <conditionalFormatting sqref="F124:F125">
    <cfRule type="cellIs" dxfId="10008" priority="167" operator="equal">
      <formula>0</formula>
    </cfRule>
  </conditionalFormatting>
  <conditionalFormatting sqref="P123:R123 L123:M123 D124:R125">
    <cfRule type="cellIs" dxfId="10007" priority="166" operator="equal">
      <formula>0</formula>
    </cfRule>
  </conditionalFormatting>
  <conditionalFormatting sqref="P123:P125">
    <cfRule type="cellIs" dxfId="10006" priority="165" operator="equal">
      <formula>0</formula>
    </cfRule>
  </conditionalFormatting>
  <conditionalFormatting sqref="D153:R153 P144:R144 D144:I144 D145:R151 D143:R143 D124:R130 D123:G123 L123:M123 P123:R123">
    <cfRule type="cellIs" dxfId="10005" priority="164" operator="equal">
      <formula>0</formula>
    </cfRule>
  </conditionalFormatting>
  <conditionalFormatting sqref="N86:O86">
    <cfRule type="expression" dxfId="10004" priority="163">
      <formula>LEN(TRIM(N86))=0</formula>
    </cfRule>
  </conditionalFormatting>
  <conditionalFormatting sqref="N86:O86">
    <cfRule type="cellIs" dxfId="10003" priority="162" operator="equal">
      <formula>0</formula>
    </cfRule>
  </conditionalFormatting>
  <conditionalFormatting sqref="N86:O86">
    <cfRule type="cellIs" dxfId="10002" priority="161" operator="equal">
      <formula>0</formula>
    </cfRule>
  </conditionalFormatting>
  <conditionalFormatting sqref="H86:K86">
    <cfRule type="expression" dxfId="10001" priority="160">
      <formula>LEN(TRIM(H86))=0</formula>
    </cfRule>
  </conditionalFormatting>
  <conditionalFormatting sqref="K86">
    <cfRule type="cellIs" dxfId="10000" priority="159" operator="equal">
      <formula>0</formula>
    </cfRule>
  </conditionalFormatting>
  <conditionalFormatting sqref="J86:K86">
    <cfRule type="cellIs" dxfId="9999" priority="158" operator="equal">
      <formula>0</formula>
    </cfRule>
  </conditionalFormatting>
  <conditionalFormatting sqref="I86">
    <cfRule type="cellIs" dxfId="9998" priority="157" operator="equal">
      <formula>0</formula>
    </cfRule>
  </conditionalFormatting>
  <conditionalFormatting sqref="H86">
    <cfRule type="cellIs" dxfId="9997" priority="156" operator="equal">
      <formula>0</formula>
    </cfRule>
  </conditionalFormatting>
  <conditionalFormatting sqref="D94:R105">
    <cfRule type="expression" dxfId="9996" priority="155">
      <formula>LEN(TRIM(D94))=0</formula>
    </cfRule>
  </conditionalFormatting>
  <conditionalFormatting sqref="D94:R105">
    <cfRule type="cellIs" dxfId="9995" priority="154" operator="equal">
      <formula>0</formula>
    </cfRule>
  </conditionalFormatting>
  <conditionalFormatting sqref="N90:O90">
    <cfRule type="cellIs" dxfId="9994" priority="153" operator="equal">
      <formula>0</formula>
    </cfRule>
  </conditionalFormatting>
  <conditionalFormatting sqref="N89:O89">
    <cfRule type="cellIs" dxfId="9993" priority="152" operator="equal">
      <formula>0</formula>
    </cfRule>
  </conditionalFormatting>
  <conditionalFormatting sqref="M89:M90">
    <cfRule type="cellIs" dxfId="9992" priority="151" operator="equal">
      <formula>0</formula>
    </cfRule>
  </conditionalFormatting>
  <conditionalFormatting sqref="L89:L90">
    <cfRule type="cellIs" dxfId="9991" priority="150" operator="equal">
      <formula>0</formula>
    </cfRule>
  </conditionalFormatting>
  <conditionalFormatting sqref="D115:R115">
    <cfRule type="cellIs" dxfId="9990" priority="149" operator="equal">
      <formula>0</formula>
    </cfRule>
  </conditionalFormatting>
  <conditionalFormatting sqref="D108:R116 D106:R106 D87:R92 D86:G86 L86:M86 P86:R86">
    <cfRule type="expression" dxfId="9989" priority="148">
      <formula>LEN(TRIM(D86))=0</formula>
    </cfRule>
  </conditionalFormatting>
  <conditionalFormatting sqref="D115:R115">
    <cfRule type="cellIs" dxfId="9988" priority="147" operator="equal">
      <formula>0</formula>
    </cfRule>
  </conditionalFormatting>
  <conditionalFormatting sqref="O87:O88">
    <cfRule type="cellIs" dxfId="9987" priority="146" operator="equal">
      <formula>0</formula>
    </cfRule>
  </conditionalFormatting>
  <conditionalFormatting sqref="O89:O91 O107">
    <cfRule type="cellIs" dxfId="9986" priority="145" operator="equal">
      <formula>0</formula>
    </cfRule>
  </conditionalFormatting>
  <conditionalFormatting sqref="N87:N88">
    <cfRule type="cellIs" dxfId="9985" priority="144" operator="equal">
      <formula>0</formula>
    </cfRule>
  </conditionalFormatting>
  <conditionalFormatting sqref="N89:N91 N107">
    <cfRule type="cellIs" dxfId="9984" priority="143" operator="equal">
      <formula>0</formula>
    </cfRule>
  </conditionalFormatting>
  <conditionalFormatting sqref="M86:M88">
    <cfRule type="cellIs" dxfId="9983" priority="142" operator="equal">
      <formula>0</formula>
    </cfRule>
  </conditionalFormatting>
  <conditionalFormatting sqref="M89:M91 M107">
    <cfRule type="cellIs" dxfId="9982" priority="141" operator="equal">
      <formula>0</formula>
    </cfRule>
  </conditionalFormatting>
  <conditionalFormatting sqref="L86:L88">
    <cfRule type="cellIs" dxfId="9981" priority="140" operator="equal">
      <formula>0</formula>
    </cfRule>
  </conditionalFormatting>
  <conditionalFormatting sqref="L89:L91 L107">
    <cfRule type="cellIs" dxfId="9980" priority="139" operator="equal">
      <formula>0</formula>
    </cfRule>
  </conditionalFormatting>
  <conditionalFormatting sqref="K87:K88">
    <cfRule type="cellIs" dxfId="9979" priority="138" operator="equal">
      <formula>0</formula>
    </cfRule>
  </conditionalFormatting>
  <conditionalFormatting sqref="K89:K91 K107">
    <cfRule type="cellIs" dxfId="9978" priority="137" operator="equal">
      <formula>0</formula>
    </cfRule>
  </conditionalFormatting>
  <conditionalFormatting sqref="J87:J88">
    <cfRule type="cellIs" dxfId="9977" priority="136" operator="equal">
      <formula>0</formula>
    </cfRule>
  </conditionalFormatting>
  <conditionalFormatting sqref="J89:J91 J107">
    <cfRule type="cellIs" dxfId="9976" priority="135" operator="equal">
      <formula>0</formula>
    </cfRule>
  </conditionalFormatting>
  <conditionalFormatting sqref="L86:M86">
    <cfRule type="cellIs" dxfId="9975" priority="134" operator="equal">
      <formula>0</formula>
    </cfRule>
  </conditionalFormatting>
  <conditionalFormatting sqref="F87:F88">
    <cfRule type="cellIs" dxfId="9974" priority="133" operator="equal">
      <formula>0</formula>
    </cfRule>
  </conditionalFormatting>
  <conditionalFormatting sqref="P86:R86 L86:M86 D87:R88">
    <cfRule type="cellIs" dxfId="9973" priority="132" operator="equal">
      <formula>0</formula>
    </cfRule>
  </conditionalFormatting>
  <conditionalFormatting sqref="P86:P88">
    <cfRule type="cellIs" dxfId="9972" priority="131" operator="equal">
      <formula>0</formula>
    </cfRule>
  </conditionalFormatting>
  <conditionalFormatting sqref="D116:R116 P107:R107 D107:I107 D108:R114 D106:R106 D87:R93 D86:G86 L86:M86 P86:R86">
    <cfRule type="cellIs" dxfId="9971" priority="130" operator="equal">
      <formula>0</formula>
    </cfRule>
  </conditionalFormatting>
  <conditionalFormatting sqref="N49:O49">
    <cfRule type="expression" dxfId="9970" priority="129">
      <formula>LEN(TRIM(N49))=0</formula>
    </cfRule>
  </conditionalFormatting>
  <conditionalFormatting sqref="N49:O49">
    <cfRule type="cellIs" dxfId="9969" priority="128" operator="equal">
      <formula>0</formula>
    </cfRule>
  </conditionalFormatting>
  <conditionalFormatting sqref="N49:O49">
    <cfRule type="cellIs" dxfId="9968" priority="127" operator="equal">
      <formula>0</formula>
    </cfRule>
  </conditionalFormatting>
  <conditionalFormatting sqref="H49:K49">
    <cfRule type="expression" dxfId="9967" priority="126">
      <formula>LEN(TRIM(H49))=0</formula>
    </cfRule>
  </conditionalFormatting>
  <conditionalFormatting sqref="K49">
    <cfRule type="cellIs" dxfId="9966" priority="125" operator="equal">
      <formula>0</formula>
    </cfRule>
  </conditionalFormatting>
  <conditionalFormatting sqref="J49:K49">
    <cfRule type="cellIs" dxfId="9965" priority="124" operator="equal">
      <formula>0</formula>
    </cfRule>
  </conditionalFormatting>
  <conditionalFormatting sqref="I49">
    <cfRule type="cellIs" dxfId="9964" priority="123" operator="equal">
      <formula>0</formula>
    </cfRule>
  </conditionalFormatting>
  <conditionalFormatting sqref="H49">
    <cfRule type="cellIs" dxfId="9963" priority="122" operator="equal">
      <formula>0</formula>
    </cfRule>
  </conditionalFormatting>
  <conditionalFormatting sqref="D57:R68">
    <cfRule type="expression" dxfId="9962" priority="121">
      <formula>LEN(TRIM(D57))=0</formula>
    </cfRule>
  </conditionalFormatting>
  <conditionalFormatting sqref="D57:R68">
    <cfRule type="cellIs" dxfId="9961" priority="120" operator="equal">
      <formula>0</formula>
    </cfRule>
  </conditionalFormatting>
  <conditionalFormatting sqref="N53:O53">
    <cfRule type="cellIs" dxfId="9960" priority="119" operator="equal">
      <formula>0</formula>
    </cfRule>
  </conditionalFormatting>
  <conditionalFormatting sqref="N52:O52">
    <cfRule type="cellIs" dxfId="9959" priority="118" operator="equal">
      <formula>0</formula>
    </cfRule>
  </conditionalFormatting>
  <conditionalFormatting sqref="M52:M53">
    <cfRule type="cellIs" dxfId="9958" priority="117" operator="equal">
      <formula>0</formula>
    </cfRule>
  </conditionalFormatting>
  <conditionalFormatting sqref="L52:L53">
    <cfRule type="cellIs" dxfId="9957" priority="116" operator="equal">
      <formula>0</formula>
    </cfRule>
  </conditionalFormatting>
  <conditionalFormatting sqref="D78:R78">
    <cfRule type="cellIs" dxfId="9956" priority="115" operator="equal">
      <formula>0</formula>
    </cfRule>
  </conditionalFormatting>
  <conditionalFormatting sqref="D71:R79 D69:R69 D50:R55 D49:G49 L49:M49 P49:R49">
    <cfRule type="expression" dxfId="9955" priority="114">
      <formula>LEN(TRIM(D49))=0</formula>
    </cfRule>
  </conditionalFormatting>
  <conditionalFormatting sqref="D78:R78">
    <cfRule type="cellIs" dxfId="9954" priority="113" operator="equal">
      <formula>0</formula>
    </cfRule>
  </conditionalFormatting>
  <conditionalFormatting sqref="O50:O51">
    <cfRule type="cellIs" dxfId="9953" priority="112" operator="equal">
      <formula>0</formula>
    </cfRule>
  </conditionalFormatting>
  <conditionalFormatting sqref="O52:O54 O70">
    <cfRule type="cellIs" dxfId="9952" priority="111" operator="equal">
      <formula>0</formula>
    </cfRule>
  </conditionalFormatting>
  <conditionalFormatting sqref="N50:N51">
    <cfRule type="cellIs" dxfId="9951" priority="110" operator="equal">
      <formula>0</formula>
    </cfRule>
  </conditionalFormatting>
  <conditionalFormatting sqref="N52:N54 N70">
    <cfRule type="cellIs" dxfId="9950" priority="109" operator="equal">
      <formula>0</formula>
    </cfRule>
  </conditionalFormatting>
  <conditionalFormatting sqref="M49:M51">
    <cfRule type="cellIs" dxfId="9949" priority="108" operator="equal">
      <formula>0</formula>
    </cfRule>
  </conditionalFormatting>
  <conditionalFormatting sqref="M52:M54 M70">
    <cfRule type="cellIs" dxfId="9948" priority="107" operator="equal">
      <formula>0</formula>
    </cfRule>
  </conditionalFormatting>
  <conditionalFormatting sqref="L49:L51">
    <cfRule type="cellIs" dxfId="9947" priority="106" operator="equal">
      <formula>0</formula>
    </cfRule>
  </conditionalFormatting>
  <conditionalFormatting sqref="L52:L54 L70">
    <cfRule type="cellIs" dxfId="9946" priority="105" operator="equal">
      <formula>0</formula>
    </cfRule>
  </conditionalFormatting>
  <conditionalFormatting sqref="K50:K51">
    <cfRule type="cellIs" dxfId="9945" priority="104" operator="equal">
      <formula>0</formula>
    </cfRule>
  </conditionalFormatting>
  <conditionalFormatting sqref="K52:K54 K70">
    <cfRule type="cellIs" dxfId="9944" priority="103" operator="equal">
      <formula>0</formula>
    </cfRule>
  </conditionalFormatting>
  <conditionalFormatting sqref="J50:J51">
    <cfRule type="cellIs" dxfId="9943" priority="102" operator="equal">
      <formula>0</formula>
    </cfRule>
  </conditionalFormatting>
  <conditionalFormatting sqref="J52:J54 J70">
    <cfRule type="cellIs" dxfId="9942" priority="101" operator="equal">
      <formula>0</formula>
    </cfRule>
  </conditionalFormatting>
  <conditionalFormatting sqref="L49:M49">
    <cfRule type="cellIs" dxfId="9941" priority="100" operator="equal">
      <formula>0</formula>
    </cfRule>
  </conditionalFormatting>
  <conditionalFormatting sqref="F50:F51">
    <cfRule type="cellIs" dxfId="9940" priority="99" operator="equal">
      <formula>0</formula>
    </cfRule>
  </conditionalFormatting>
  <conditionalFormatting sqref="P49:R49 L49:M49 D50:R51">
    <cfRule type="cellIs" dxfId="9939" priority="98" operator="equal">
      <formula>0</formula>
    </cfRule>
  </conditionalFormatting>
  <conditionalFormatting sqref="P49:P51">
    <cfRule type="cellIs" dxfId="9938" priority="97" operator="equal">
      <formula>0</formula>
    </cfRule>
  </conditionalFormatting>
  <conditionalFormatting sqref="D79:R79 P70:R70 D70:I70 D71:R77 D69:R69 D50:R56 D49:G49 L49:M49 P49:R49">
    <cfRule type="cellIs" dxfId="9937" priority="96" operator="equal">
      <formula>0</formula>
    </cfRule>
  </conditionalFormatting>
  <conditionalFormatting sqref="S145:S153 S123:S129 S131:S143">
    <cfRule type="expression" dxfId="9936" priority="95">
      <formula>LEN(TRIM(S123))=0</formula>
    </cfRule>
  </conditionalFormatting>
  <conditionalFormatting sqref="S152">
    <cfRule type="cellIs" dxfId="9935" priority="94" operator="equal">
      <formula>0</formula>
    </cfRule>
  </conditionalFormatting>
  <conditionalFormatting sqref="S153 S123:S151">
    <cfRule type="cellIs" dxfId="9934" priority="93" operator="equal">
      <formula>0</formula>
    </cfRule>
  </conditionalFormatting>
  <conditionalFormatting sqref="S108:S116 S86:S92 S94:S106">
    <cfRule type="expression" dxfId="9933" priority="92">
      <formula>LEN(TRIM(S86))=0</formula>
    </cfRule>
  </conditionalFormatting>
  <conditionalFormatting sqref="S115">
    <cfRule type="cellIs" dxfId="9932" priority="91" operator="equal">
      <formula>0</formula>
    </cfRule>
  </conditionalFormatting>
  <conditionalFormatting sqref="S116 S86:S114">
    <cfRule type="cellIs" dxfId="9931" priority="90" operator="equal">
      <formula>0</formula>
    </cfRule>
  </conditionalFormatting>
  <conditionalFormatting sqref="S71:S79 S49:S55 S57:S69">
    <cfRule type="expression" dxfId="9930" priority="89">
      <formula>LEN(TRIM(S49))=0</formula>
    </cfRule>
  </conditionalFormatting>
  <conditionalFormatting sqref="S78">
    <cfRule type="cellIs" dxfId="9929" priority="88" operator="equal">
      <formula>0</formula>
    </cfRule>
  </conditionalFormatting>
  <conditionalFormatting sqref="S79 S49:S77">
    <cfRule type="cellIs" dxfId="9928" priority="87" operator="equal">
      <formula>0</formula>
    </cfRule>
  </conditionalFormatting>
  <conditionalFormatting sqref="O122">
    <cfRule type="cellIs" dxfId="9927" priority="86" operator="equal">
      <formula>0</formula>
    </cfRule>
  </conditionalFormatting>
  <conditionalFormatting sqref="J122:N122">
    <cfRule type="cellIs" dxfId="9926" priority="85" operator="equal">
      <formula>0</formula>
    </cfRule>
  </conditionalFormatting>
  <conditionalFormatting sqref="O85">
    <cfRule type="cellIs" dxfId="9925" priority="84" operator="equal">
      <formula>0</formula>
    </cfRule>
  </conditionalFormatting>
  <conditionalFormatting sqref="J85:N85">
    <cfRule type="cellIs" dxfId="9924" priority="83" operator="equal">
      <formula>0</formula>
    </cfRule>
  </conditionalFormatting>
  <conditionalFormatting sqref="O48">
    <cfRule type="cellIs" dxfId="9923" priority="82" operator="equal">
      <formula>0</formula>
    </cfRule>
  </conditionalFormatting>
  <conditionalFormatting sqref="J48:N48">
    <cfRule type="cellIs" dxfId="9922" priority="81" operator="equal">
      <formula>0</formula>
    </cfRule>
  </conditionalFormatting>
  <conditionalFormatting sqref="N12:O12">
    <cfRule type="expression" dxfId="9921" priority="80">
      <formula>LEN(TRIM(N12))=0</formula>
    </cfRule>
  </conditionalFormatting>
  <conditionalFormatting sqref="N12:O12">
    <cfRule type="cellIs" dxfId="9920" priority="79" operator="equal">
      <formula>0</formula>
    </cfRule>
  </conditionalFormatting>
  <conditionalFormatting sqref="N12:O12">
    <cfRule type="cellIs" dxfId="9919" priority="78" operator="equal">
      <formula>0</formula>
    </cfRule>
  </conditionalFormatting>
  <conditionalFormatting sqref="H12:K12">
    <cfRule type="expression" dxfId="9918" priority="77">
      <formula>LEN(TRIM(H12))=0</formula>
    </cfRule>
  </conditionalFormatting>
  <conditionalFormatting sqref="K12">
    <cfRule type="cellIs" dxfId="9917" priority="76" operator="equal">
      <formula>0</formula>
    </cfRule>
  </conditionalFormatting>
  <conditionalFormatting sqref="J12:K12">
    <cfRule type="cellIs" dxfId="9916" priority="75" operator="equal">
      <formula>0</formula>
    </cfRule>
  </conditionalFormatting>
  <conditionalFormatting sqref="I12">
    <cfRule type="cellIs" dxfId="9915" priority="74" operator="equal">
      <formula>0</formula>
    </cfRule>
  </conditionalFormatting>
  <conditionalFormatting sqref="H12">
    <cfRule type="cellIs" dxfId="9914" priority="73" operator="equal">
      <formula>0</formula>
    </cfRule>
  </conditionalFormatting>
  <conditionalFormatting sqref="D20:R31">
    <cfRule type="expression" dxfId="9913" priority="72">
      <formula>LEN(TRIM(D20))=0</formula>
    </cfRule>
  </conditionalFormatting>
  <conditionalFormatting sqref="D20:R31">
    <cfRule type="cellIs" dxfId="9912" priority="71" operator="equal">
      <formula>0</formula>
    </cfRule>
  </conditionalFormatting>
  <conditionalFormatting sqref="N16:O16">
    <cfRule type="cellIs" dxfId="9911" priority="70" operator="equal">
      <formula>0</formula>
    </cfRule>
  </conditionalFormatting>
  <conditionalFormatting sqref="N15:O15">
    <cfRule type="cellIs" dxfId="9910" priority="69" operator="equal">
      <formula>0</formula>
    </cfRule>
  </conditionalFormatting>
  <conditionalFormatting sqref="M15:M16">
    <cfRule type="cellIs" dxfId="9909" priority="68" operator="equal">
      <formula>0</formula>
    </cfRule>
  </conditionalFormatting>
  <conditionalFormatting sqref="L15:L16">
    <cfRule type="cellIs" dxfId="9908" priority="67" operator="equal">
      <formula>0</formula>
    </cfRule>
  </conditionalFormatting>
  <conditionalFormatting sqref="D41:R41">
    <cfRule type="cellIs" dxfId="9907" priority="66" operator="equal">
      <formula>0</formula>
    </cfRule>
  </conditionalFormatting>
  <conditionalFormatting sqref="D34:R42 D32:R32 D13:R18 D12:G12 L12:M12 P12:R12">
    <cfRule type="expression" dxfId="9906" priority="65">
      <formula>LEN(TRIM(D12))=0</formula>
    </cfRule>
  </conditionalFormatting>
  <conditionalFormatting sqref="D41:R41">
    <cfRule type="cellIs" dxfId="9905" priority="64" operator="equal">
      <formula>0</formula>
    </cfRule>
  </conditionalFormatting>
  <conditionalFormatting sqref="O13:O14">
    <cfRule type="cellIs" dxfId="9904" priority="63" operator="equal">
      <formula>0</formula>
    </cfRule>
  </conditionalFormatting>
  <conditionalFormatting sqref="O15:O17 O33">
    <cfRule type="cellIs" dxfId="9903" priority="62" operator="equal">
      <formula>0</formula>
    </cfRule>
  </conditionalFormatting>
  <conditionalFormatting sqref="N13:N14">
    <cfRule type="cellIs" dxfId="9902" priority="61" operator="equal">
      <formula>0</formula>
    </cfRule>
  </conditionalFormatting>
  <conditionalFormatting sqref="N15:N17 N33">
    <cfRule type="cellIs" dxfId="9901" priority="60" operator="equal">
      <formula>0</formula>
    </cfRule>
  </conditionalFormatting>
  <conditionalFormatting sqref="M12:M14">
    <cfRule type="cellIs" dxfId="9900" priority="59" operator="equal">
      <formula>0</formula>
    </cfRule>
  </conditionalFormatting>
  <conditionalFormatting sqref="M15:M17 M33">
    <cfRule type="cellIs" dxfId="9899" priority="58" operator="equal">
      <formula>0</formula>
    </cfRule>
  </conditionalFormatting>
  <conditionalFormatting sqref="L12:L14">
    <cfRule type="cellIs" dxfId="9898" priority="57" operator="equal">
      <formula>0</formula>
    </cfRule>
  </conditionalFormatting>
  <conditionalFormatting sqref="L15:L17 L33">
    <cfRule type="cellIs" dxfId="9897" priority="56" operator="equal">
      <formula>0</formula>
    </cfRule>
  </conditionalFormatting>
  <conditionalFormatting sqref="K13:K14">
    <cfRule type="cellIs" dxfId="9896" priority="55" operator="equal">
      <formula>0</formula>
    </cfRule>
  </conditionalFormatting>
  <conditionalFormatting sqref="K15:K17 K33">
    <cfRule type="cellIs" dxfId="9895" priority="54" operator="equal">
      <formula>0</formula>
    </cfRule>
  </conditionalFormatting>
  <conditionalFormatting sqref="J13:J14">
    <cfRule type="cellIs" dxfId="9894" priority="53" operator="equal">
      <formula>0</formula>
    </cfRule>
  </conditionalFormatting>
  <conditionalFormatting sqref="J15:J17 J33">
    <cfRule type="cellIs" dxfId="9893" priority="52" operator="equal">
      <formula>0</formula>
    </cfRule>
  </conditionalFormatting>
  <conditionalFormatting sqref="L12:M12">
    <cfRule type="cellIs" dxfId="9892" priority="51" operator="equal">
      <formula>0</formula>
    </cfRule>
  </conditionalFormatting>
  <conditionalFormatting sqref="F13:F14">
    <cfRule type="cellIs" dxfId="9891" priority="50" operator="equal">
      <formula>0</formula>
    </cfRule>
  </conditionalFormatting>
  <conditionalFormatting sqref="P12:R12 L12:M12 D13:R14">
    <cfRule type="cellIs" dxfId="9890" priority="49" operator="equal">
      <formula>0</formula>
    </cfRule>
  </conditionalFormatting>
  <conditionalFormatting sqref="P12:P14">
    <cfRule type="cellIs" dxfId="9889" priority="48" operator="equal">
      <formula>0</formula>
    </cfRule>
  </conditionalFormatting>
  <conditionalFormatting sqref="D42:R42 P33:R33 D33:I33 D34:R40 D32:R32 D13:R19 D12:G12 L12:M12 P12:R12">
    <cfRule type="cellIs" dxfId="9888" priority="47" operator="equal">
      <formula>0</formula>
    </cfRule>
  </conditionalFormatting>
  <conditionalFormatting sqref="S34:S42 S12:S18 S20:S32">
    <cfRule type="expression" dxfId="9887" priority="46">
      <formula>LEN(TRIM(S12))=0</formula>
    </cfRule>
  </conditionalFormatting>
  <conditionalFormatting sqref="S41">
    <cfRule type="cellIs" dxfId="9886" priority="45" operator="equal">
      <formula>0</formula>
    </cfRule>
  </conditionalFormatting>
  <conditionalFormatting sqref="S42 S12:S40">
    <cfRule type="cellIs" dxfId="9885" priority="44" operator="equal">
      <formula>0</formula>
    </cfRule>
  </conditionalFormatting>
  <conditionalFormatting sqref="O11">
    <cfRule type="cellIs" dxfId="9884" priority="43" operator="equal">
      <formula>0</formula>
    </cfRule>
  </conditionalFormatting>
  <conditionalFormatting sqref="J11:N11">
    <cfRule type="cellIs" dxfId="9883" priority="42" operator="equal">
      <formula>0</formula>
    </cfRule>
  </conditionalFormatting>
  <conditionalFormatting sqref="S217">
    <cfRule type="expression" dxfId="9882" priority="2">
      <formula>LEN(TRIM(S217))=0</formula>
    </cfRule>
  </conditionalFormatting>
  <conditionalFormatting sqref="S202:S204 S217:S225">
    <cfRule type="cellIs" dxfId="9881"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70D42-02C7-4DC0-903C-AD830BC54957}">
  <dimension ref="B2:T192"/>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361</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5.8150000000000004</v>
      </c>
      <c r="F12" s="421">
        <v>0</v>
      </c>
      <c r="G12" s="421">
        <v>9.3039999999999998E-2</v>
      </c>
      <c r="H12" s="422">
        <v>1075</v>
      </c>
      <c r="I12" s="422">
        <v>221.33</v>
      </c>
      <c r="J12" s="422">
        <v>180.617309805269</v>
      </c>
      <c r="K12" s="422">
        <v>23.667602138393399</v>
      </c>
      <c r="L12" s="421">
        <v>0</v>
      </c>
      <c r="M12" s="421">
        <v>0</v>
      </c>
      <c r="N12" s="422">
        <v>53.883302871721199</v>
      </c>
      <c r="O12" s="422">
        <v>4.0937306138358602</v>
      </c>
      <c r="P12" s="421">
        <v>0</v>
      </c>
      <c r="Q12" s="421">
        <v>0</v>
      </c>
      <c r="R12" s="421">
        <v>0</v>
      </c>
      <c r="S12" s="423">
        <v>1564.49998542922</v>
      </c>
      <c r="T12" s="412"/>
    </row>
    <row r="13" spans="2:20" ht="13.5">
      <c r="B13" s="412"/>
      <c r="C13" s="420" t="s">
        <v>60</v>
      </c>
      <c r="D13" s="421">
        <v>34.929201732774303</v>
      </c>
      <c r="E13" s="421">
        <v>518.07410535010399</v>
      </c>
      <c r="F13" s="421">
        <v>94.899650530247001</v>
      </c>
      <c r="G13" s="421">
        <v>372.90309898365098</v>
      </c>
      <c r="H13" s="421">
        <v>0</v>
      </c>
      <c r="I13" s="421">
        <v>0</v>
      </c>
      <c r="J13" s="421">
        <v>0</v>
      </c>
      <c r="K13" s="421">
        <v>0</v>
      </c>
      <c r="L13" s="421">
        <v>0</v>
      </c>
      <c r="M13" s="421">
        <v>0</v>
      </c>
      <c r="N13" s="421">
        <v>0</v>
      </c>
      <c r="O13" s="421">
        <v>0</v>
      </c>
      <c r="P13" s="421">
        <v>0</v>
      </c>
      <c r="Q13" s="421">
        <v>0</v>
      </c>
      <c r="R13" s="421">
        <v>0</v>
      </c>
      <c r="S13" s="423">
        <v>1020.80605659678</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-54.0995610292184</v>
      </c>
      <c r="Q14" s="421">
        <v>0</v>
      </c>
      <c r="R14" s="421">
        <v>0</v>
      </c>
      <c r="S14" s="423">
        <v>-54.0995610292184</v>
      </c>
      <c r="T14" s="412"/>
    </row>
    <row r="15" spans="2:20" ht="13.5">
      <c r="B15" s="412"/>
      <c r="C15" s="420" t="s">
        <v>62</v>
      </c>
      <c r="D15" s="421">
        <v>0</v>
      </c>
      <c r="E15" s="421">
        <v>0</v>
      </c>
      <c r="F15" s="421">
        <v>-16.258620088965699</v>
      </c>
      <c r="G15" s="421">
        <v>0</v>
      </c>
      <c r="H15" s="421">
        <v>0</v>
      </c>
      <c r="I15" s="421">
        <v>0</v>
      </c>
      <c r="J15" s="421">
        <v>0</v>
      </c>
      <c r="K15" s="421">
        <v>0</v>
      </c>
      <c r="L15" s="421">
        <v>0</v>
      </c>
      <c r="M15" s="421">
        <v>0</v>
      </c>
      <c r="N15" s="421">
        <v>0</v>
      </c>
      <c r="O15" s="421">
        <v>0</v>
      </c>
      <c r="P15" s="421">
        <v>0</v>
      </c>
      <c r="Q15" s="421">
        <v>0</v>
      </c>
      <c r="R15" s="421">
        <v>0</v>
      </c>
      <c r="S15" s="423">
        <v>-16.258620088965699</v>
      </c>
      <c r="T15" s="412"/>
    </row>
    <row r="16" spans="2:20" ht="13.5">
      <c r="B16" s="412"/>
      <c r="C16" s="420" t="s">
        <v>63</v>
      </c>
      <c r="D16" s="421">
        <v>0</v>
      </c>
      <c r="E16" s="421">
        <v>0</v>
      </c>
      <c r="F16" s="421">
        <v>-83.288391654292198</v>
      </c>
      <c r="G16" s="421">
        <v>0</v>
      </c>
      <c r="H16" s="421">
        <v>0</v>
      </c>
      <c r="I16" s="421">
        <v>0</v>
      </c>
      <c r="J16" s="421">
        <v>0</v>
      </c>
      <c r="K16" s="421">
        <v>0</v>
      </c>
      <c r="L16" s="421">
        <v>-0.86093886612012704</v>
      </c>
      <c r="M16" s="421">
        <v>0</v>
      </c>
      <c r="N16" s="421">
        <v>0</v>
      </c>
      <c r="O16" s="421">
        <v>0</v>
      </c>
      <c r="P16" s="421">
        <v>0</v>
      </c>
      <c r="Q16" s="421">
        <v>0</v>
      </c>
      <c r="R16" s="421">
        <v>0</v>
      </c>
      <c r="S16" s="423">
        <v>-84.149330520412306</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34.929201732774303</v>
      </c>
      <c r="E18" s="425">
        <v>523.88910535010405</v>
      </c>
      <c r="F18" s="425">
        <v>-4.6473612130108704</v>
      </c>
      <c r="G18" s="425">
        <v>372.99613898365101</v>
      </c>
      <c r="H18" s="425">
        <v>1075</v>
      </c>
      <c r="I18" s="425">
        <v>221.33</v>
      </c>
      <c r="J18" s="425">
        <v>180.617309805269</v>
      </c>
      <c r="K18" s="425">
        <v>23.667602138393399</v>
      </c>
      <c r="L18" s="425">
        <v>-0.86093886612012704</v>
      </c>
      <c r="M18" s="425">
        <v>0</v>
      </c>
      <c r="N18" s="425">
        <v>53.883302871721199</v>
      </c>
      <c r="O18" s="425">
        <v>4.0937306138358602</v>
      </c>
      <c r="P18" s="425">
        <v>-54.0995610292184</v>
      </c>
      <c r="Q18" s="425">
        <v>0</v>
      </c>
      <c r="R18" s="425">
        <v>0</v>
      </c>
      <c r="S18" s="425">
        <v>2430.7985303874002</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18.293662470199799</v>
      </c>
      <c r="H21" s="421">
        <v>1075</v>
      </c>
      <c r="I21" s="421">
        <v>221.33</v>
      </c>
      <c r="J21" s="421">
        <v>25.015631200963998</v>
      </c>
      <c r="K21" s="421">
        <v>6.6958995171334896</v>
      </c>
      <c r="L21" s="421">
        <v>0</v>
      </c>
      <c r="M21" s="421">
        <v>0.373340050412242</v>
      </c>
      <c r="N21" s="421">
        <v>0</v>
      </c>
      <c r="O21" s="421">
        <v>0</v>
      </c>
      <c r="P21" s="421">
        <v>-598.98018891784398</v>
      </c>
      <c r="Q21" s="421">
        <v>0</v>
      </c>
      <c r="R21" s="421">
        <v>0</v>
      </c>
      <c r="S21" s="429">
        <v>753.79245142006801</v>
      </c>
      <c r="T21" s="412"/>
    </row>
    <row r="22" spans="2:20" ht="13.5">
      <c r="B22" s="412"/>
      <c r="C22" s="428" t="s">
        <v>351</v>
      </c>
      <c r="D22" s="421">
        <v>0</v>
      </c>
      <c r="E22" s="421">
        <v>0</v>
      </c>
      <c r="F22" s="421">
        <v>0</v>
      </c>
      <c r="G22" s="421">
        <v>17.187472358998999</v>
      </c>
      <c r="H22" s="421">
        <v>0</v>
      </c>
      <c r="I22" s="421">
        <v>0</v>
      </c>
      <c r="J22" s="421">
        <v>12.802427774494999</v>
      </c>
      <c r="K22" s="421">
        <v>12.7214936345308</v>
      </c>
      <c r="L22" s="421">
        <v>0</v>
      </c>
      <c r="M22" s="421">
        <v>0.35076474202038699</v>
      </c>
      <c r="N22" s="421">
        <v>0</v>
      </c>
      <c r="O22" s="421">
        <v>2.24538394933181</v>
      </c>
      <c r="P22" s="421">
        <v>0</v>
      </c>
      <c r="Q22" s="421">
        <v>-41.027361944198802</v>
      </c>
      <c r="R22" s="421">
        <v>0</v>
      </c>
      <c r="S22" s="429">
        <v>4.2801805151782197</v>
      </c>
      <c r="T22" s="412"/>
    </row>
    <row r="23" spans="2:20" ht="13.5">
      <c r="B23" s="412"/>
      <c r="C23" s="428" t="s">
        <v>352</v>
      </c>
      <c r="D23" s="421">
        <v>0</v>
      </c>
      <c r="E23" s="421">
        <v>0</v>
      </c>
      <c r="F23" s="421">
        <v>0</v>
      </c>
      <c r="G23" s="421">
        <v>0</v>
      </c>
      <c r="H23" s="421">
        <v>0</v>
      </c>
      <c r="I23" s="421">
        <v>0</v>
      </c>
      <c r="J23" s="421">
        <v>8.2571965997470702</v>
      </c>
      <c r="K23" s="421">
        <v>0</v>
      </c>
      <c r="L23" s="421">
        <v>0</v>
      </c>
      <c r="M23" s="421">
        <v>-7.3592264695245797</v>
      </c>
      <c r="N23" s="421">
        <v>0</v>
      </c>
      <c r="O23" s="421">
        <v>0</v>
      </c>
      <c r="P23" s="421">
        <v>0</v>
      </c>
      <c r="Q23" s="421">
        <v>0</v>
      </c>
      <c r="R23" s="421">
        <v>0</v>
      </c>
      <c r="S23" s="429">
        <v>0.89797013022249295</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542.69343279650298</v>
      </c>
      <c r="F25" s="421">
        <v>-537.26649846853797</v>
      </c>
      <c r="G25" s="421">
        <v>0</v>
      </c>
      <c r="H25" s="421">
        <v>0</v>
      </c>
      <c r="I25" s="421">
        <v>0</v>
      </c>
      <c r="J25" s="421">
        <v>0</v>
      </c>
      <c r="K25" s="421">
        <v>0</v>
      </c>
      <c r="L25" s="421">
        <v>0</v>
      </c>
      <c r="M25" s="421">
        <v>0</v>
      </c>
      <c r="N25" s="421">
        <v>0</v>
      </c>
      <c r="O25" s="421">
        <v>0</v>
      </c>
      <c r="P25" s="421">
        <v>0</v>
      </c>
      <c r="Q25" s="421">
        <v>0</v>
      </c>
      <c r="R25" s="421">
        <v>0</v>
      </c>
      <c r="S25" s="429">
        <v>5.4269343279650002</v>
      </c>
      <c r="T25" s="412"/>
    </row>
    <row r="26" spans="2:20" ht="13.5">
      <c r="B26" s="412"/>
      <c r="C26" s="428" t="s">
        <v>354</v>
      </c>
      <c r="D26" s="421">
        <v>0</v>
      </c>
      <c r="E26" s="421">
        <v>0</v>
      </c>
      <c r="F26" s="421">
        <v>0</v>
      </c>
      <c r="G26" s="421">
        <v>0</v>
      </c>
      <c r="H26" s="421">
        <v>0</v>
      </c>
      <c r="I26" s="421">
        <v>0</v>
      </c>
      <c r="J26" s="421">
        <v>38.982913287446898</v>
      </c>
      <c r="K26" s="421">
        <v>0</v>
      </c>
      <c r="L26" s="421">
        <v>-38.982913287446898</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-0.17805542479724401</v>
      </c>
      <c r="M27" s="421">
        <v>0</v>
      </c>
      <c r="N27" s="421">
        <v>0</v>
      </c>
      <c r="O27" s="421">
        <v>0</v>
      </c>
      <c r="P27" s="421">
        <v>0</v>
      </c>
      <c r="Q27" s="421">
        <v>0</v>
      </c>
      <c r="R27" s="421">
        <v>0.25436489256749101</v>
      </c>
      <c r="S27" s="429">
        <v>7.6309467770247302E-2</v>
      </c>
      <c r="T27" s="412"/>
    </row>
    <row r="28" spans="2:20" ht="13.5">
      <c r="B28" s="412"/>
      <c r="C28" s="428" t="s">
        <v>73</v>
      </c>
      <c r="D28" s="421">
        <v>0</v>
      </c>
      <c r="E28" s="421">
        <v>0</v>
      </c>
      <c r="F28" s="421">
        <v>0</v>
      </c>
      <c r="G28" s="421">
        <v>2.4096506208169699</v>
      </c>
      <c r="H28" s="421">
        <v>0</v>
      </c>
      <c r="I28" s="421">
        <v>0</v>
      </c>
      <c r="J28" s="421">
        <v>0</v>
      </c>
      <c r="K28" s="421">
        <v>2.7320301823321701E-2</v>
      </c>
      <c r="L28" s="421">
        <v>0</v>
      </c>
      <c r="M28" s="421">
        <v>4.9176543281978999E-2</v>
      </c>
      <c r="N28" s="421">
        <v>0</v>
      </c>
      <c r="O28" s="421">
        <v>0</v>
      </c>
      <c r="P28" s="421">
        <v>0.257854534062811</v>
      </c>
      <c r="Q28" s="421">
        <v>0</v>
      </c>
      <c r="R28" s="421">
        <v>-1.91242112763252</v>
      </c>
      <c r="S28" s="429">
        <v>0.83158087235256695</v>
      </c>
      <c r="T28" s="412"/>
    </row>
    <row r="29" spans="2:20" ht="13.5">
      <c r="B29" s="412"/>
      <c r="C29" s="428" t="s">
        <v>356</v>
      </c>
      <c r="D29" s="421">
        <v>14.8684370117188</v>
      </c>
      <c r="E29" s="421">
        <v>-18.804327446398801</v>
      </c>
      <c r="F29" s="421">
        <v>24.59494961847</v>
      </c>
      <c r="G29" s="421">
        <v>0</v>
      </c>
      <c r="H29" s="421">
        <v>0</v>
      </c>
      <c r="I29" s="421">
        <v>0</v>
      </c>
      <c r="J29" s="421">
        <v>0</v>
      </c>
      <c r="K29" s="421">
        <v>0</v>
      </c>
      <c r="L29" s="421">
        <v>0</v>
      </c>
      <c r="M29" s="421">
        <v>0</v>
      </c>
      <c r="N29" s="421">
        <v>0</v>
      </c>
      <c r="O29" s="421">
        <v>0</v>
      </c>
      <c r="P29" s="421">
        <v>0</v>
      </c>
      <c r="Q29" s="421">
        <v>0</v>
      </c>
      <c r="R29" s="421">
        <v>0</v>
      </c>
      <c r="S29" s="429">
        <v>20.6590591837899</v>
      </c>
      <c r="T29" s="412"/>
    </row>
    <row r="30" spans="2:20" ht="13.5">
      <c r="B30" s="412"/>
      <c r="C30" s="428" t="s">
        <v>75</v>
      </c>
      <c r="D30" s="421">
        <v>9.9030000000000005</v>
      </c>
      <c r="E30" s="421">
        <v>0</v>
      </c>
      <c r="F30" s="421">
        <v>18.451576715081099</v>
      </c>
      <c r="G30" s="421">
        <v>5.2652116849916704</v>
      </c>
      <c r="H30" s="421">
        <v>0</v>
      </c>
      <c r="I30" s="421">
        <v>0</v>
      </c>
      <c r="J30" s="421">
        <v>0</v>
      </c>
      <c r="K30" s="421">
        <v>0</v>
      </c>
      <c r="L30" s="421">
        <v>0</v>
      </c>
      <c r="M30" s="421">
        <v>0.107453299693708</v>
      </c>
      <c r="N30" s="421">
        <v>0</v>
      </c>
      <c r="O30" s="421">
        <v>0</v>
      </c>
      <c r="P30" s="421">
        <v>33.445009445892197</v>
      </c>
      <c r="Q30" s="421">
        <v>0</v>
      </c>
      <c r="R30" s="421">
        <v>0</v>
      </c>
      <c r="S30" s="429">
        <v>67.172251145658706</v>
      </c>
      <c r="T30" s="412"/>
    </row>
    <row r="31" spans="2:20" ht="13.5">
      <c r="B31" s="412"/>
      <c r="C31" s="428" t="s">
        <v>76</v>
      </c>
      <c r="D31" s="421">
        <v>0</v>
      </c>
      <c r="E31" s="421">
        <v>0</v>
      </c>
      <c r="F31" s="421">
        <v>0</v>
      </c>
      <c r="G31" s="421">
        <v>4.2759141937553897</v>
      </c>
      <c r="H31" s="421">
        <v>0</v>
      </c>
      <c r="I31" s="421">
        <v>0</v>
      </c>
      <c r="J31" s="421">
        <v>0</v>
      </c>
      <c r="K31" s="421">
        <v>0</v>
      </c>
      <c r="L31" s="421">
        <v>0</v>
      </c>
      <c r="M31" s="421">
        <v>8.72635549745997E-2</v>
      </c>
      <c r="N31" s="421">
        <v>0</v>
      </c>
      <c r="O31" s="421">
        <v>0</v>
      </c>
      <c r="P31" s="421">
        <v>41.7590878252594</v>
      </c>
      <c r="Q31" s="421">
        <v>3.1792420694766599</v>
      </c>
      <c r="R31" s="421">
        <v>0</v>
      </c>
      <c r="S31" s="429">
        <v>49.301507643466103</v>
      </c>
      <c r="T31" s="412"/>
    </row>
    <row r="32" spans="2:20" ht="13.5">
      <c r="B32" s="412"/>
      <c r="C32" s="424" t="s">
        <v>77</v>
      </c>
      <c r="D32" s="425">
        <v>26.9719077472853</v>
      </c>
      <c r="E32" s="425">
        <v>523.88910535010405</v>
      </c>
      <c r="F32" s="425">
        <v>-490.35633577135002</v>
      </c>
      <c r="G32" s="425">
        <v>47.431911328762801</v>
      </c>
      <c r="H32" s="425">
        <v>1075</v>
      </c>
      <c r="I32" s="425">
        <v>221.33</v>
      </c>
      <c r="J32" s="425">
        <v>85.058168862653105</v>
      </c>
      <c r="K32" s="425">
        <v>19.444713453487601</v>
      </c>
      <c r="L32" s="425">
        <v>-39.160968712244099</v>
      </c>
      <c r="M32" s="425">
        <v>-6.3912282791416599</v>
      </c>
      <c r="N32" s="425">
        <v>0</v>
      </c>
      <c r="O32" s="425">
        <v>2.24538394933181</v>
      </c>
      <c r="P32" s="425">
        <v>-523.51823711263</v>
      </c>
      <c r="Q32" s="425">
        <v>-37.848119874722101</v>
      </c>
      <c r="R32" s="425">
        <v>-1.6580562350650301</v>
      </c>
      <c r="S32" s="425">
        <v>902.43824470647201</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5.6972080479890099</v>
      </c>
      <c r="E34" s="421">
        <v>0</v>
      </c>
      <c r="F34" s="421">
        <v>22.817179327139399</v>
      </c>
      <c r="G34" s="421">
        <v>101.760565699211</v>
      </c>
      <c r="H34" s="421">
        <v>0</v>
      </c>
      <c r="I34" s="421">
        <v>0</v>
      </c>
      <c r="J34" s="421">
        <v>17.084919933372099</v>
      </c>
      <c r="K34" s="421">
        <v>4.2228886849058398</v>
      </c>
      <c r="L34" s="421">
        <v>0.85605592578125</v>
      </c>
      <c r="M34" s="421">
        <v>2.0767462387593998</v>
      </c>
      <c r="N34" s="421">
        <v>0</v>
      </c>
      <c r="O34" s="421">
        <v>0</v>
      </c>
      <c r="P34" s="421">
        <v>106.33530498490499</v>
      </c>
      <c r="Q34" s="421">
        <v>18.005489076637701</v>
      </c>
      <c r="R34" s="421">
        <v>0.24596269226074199</v>
      </c>
      <c r="S34" s="429">
        <v>279.10232061096099</v>
      </c>
      <c r="T34" s="412"/>
    </row>
    <row r="35" spans="2:20" ht="13.5">
      <c r="B35" s="412"/>
      <c r="C35" s="428" t="s">
        <v>79</v>
      </c>
      <c r="D35" s="421">
        <v>0</v>
      </c>
      <c r="E35" s="421">
        <v>0</v>
      </c>
      <c r="F35" s="421">
        <v>271.89503343589303</v>
      </c>
      <c r="G35" s="421">
        <v>24.4531369544524</v>
      </c>
      <c r="H35" s="421">
        <v>0</v>
      </c>
      <c r="I35" s="421">
        <v>0</v>
      </c>
      <c r="J35" s="421">
        <v>0</v>
      </c>
      <c r="K35" s="421">
        <v>0</v>
      </c>
      <c r="L35" s="421">
        <v>27.563506802016501</v>
      </c>
      <c r="M35" s="421">
        <v>0.49904361131535402</v>
      </c>
      <c r="N35" s="421">
        <v>0</v>
      </c>
      <c r="O35" s="421">
        <v>0</v>
      </c>
      <c r="P35" s="421">
        <v>44.076672693209503</v>
      </c>
      <c r="Q35" s="421">
        <v>0</v>
      </c>
      <c r="R35" s="421">
        <v>1.1183354617496</v>
      </c>
      <c r="S35" s="429">
        <v>369.60572895863697</v>
      </c>
      <c r="T35" s="412"/>
    </row>
    <row r="36" spans="2:20" ht="13.5">
      <c r="B36" s="412"/>
      <c r="C36" s="428" t="s">
        <v>80</v>
      </c>
      <c r="D36" s="421">
        <v>0</v>
      </c>
      <c r="E36" s="421">
        <v>0</v>
      </c>
      <c r="F36" s="421">
        <v>24.3021024292247</v>
      </c>
      <c r="G36" s="421">
        <v>117.69678632039</v>
      </c>
      <c r="H36" s="421">
        <v>0</v>
      </c>
      <c r="I36" s="421">
        <v>0</v>
      </c>
      <c r="J36" s="421">
        <v>73.828773979634093</v>
      </c>
      <c r="K36" s="421">
        <v>0</v>
      </c>
      <c r="L36" s="421">
        <v>0</v>
      </c>
      <c r="M36" s="421">
        <v>2.4019752310283602</v>
      </c>
      <c r="N36" s="421">
        <v>47.128746569474501</v>
      </c>
      <c r="O36" s="421">
        <v>0.960766193181818</v>
      </c>
      <c r="P36" s="421">
        <v>176.67464437802599</v>
      </c>
      <c r="Q36" s="421">
        <v>15.6460082308098</v>
      </c>
      <c r="R36" s="421">
        <v>0</v>
      </c>
      <c r="S36" s="429">
        <v>458.63980333176897</v>
      </c>
      <c r="T36" s="412"/>
    </row>
    <row r="37" spans="2:20" ht="13.5">
      <c r="B37" s="412"/>
      <c r="C37" s="428" t="s">
        <v>81</v>
      </c>
      <c r="D37" s="421">
        <v>0</v>
      </c>
      <c r="E37" s="421">
        <v>0</v>
      </c>
      <c r="F37" s="421">
        <v>10.1168071467599</v>
      </c>
      <c r="G37" s="421">
        <v>64.901290043876799</v>
      </c>
      <c r="H37" s="421">
        <v>0</v>
      </c>
      <c r="I37" s="421">
        <v>0</v>
      </c>
      <c r="J37" s="421">
        <v>3.5137864042396001</v>
      </c>
      <c r="K37" s="421">
        <v>0</v>
      </c>
      <c r="L37" s="421">
        <v>0</v>
      </c>
      <c r="M37" s="421">
        <v>1.32451612334442</v>
      </c>
      <c r="N37" s="421">
        <v>6.7545563022467299</v>
      </c>
      <c r="O37" s="421">
        <v>0.80925156664740405</v>
      </c>
      <c r="P37" s="421">
        <v>134.394459446703</v>
      </c>
      <c r="Q37" s="421">
        <v>4.1966225672745496</v>
      </c>
      <c r="R37" s="421">
        <v>0</v>
      </c>
      <c r="S37" s="429">
        <v>226.01128960109199</v>
      </c>
      <c r="T37" s="412"/>
    </row>
    <row r="38" spans="2:20" ht="13.5">
      <c r="B38" s="412"/>
      <c r="C38" s="428" t="s">
        <v>82</v>
      </c>
      <c r="D38" s="421">
        <v>0</v>
      </c>
      <c r="E38" s="421">
        <v>0</v>
      </c>
      <c r="F38" s="421">
        <v>18.642153643202501</v>
      </c>
      <c r="G38" s="421">
        <v>4.3584066600117204</v>
      </c>
      <c r="H38" s="421">
        <v>0</v>
      </c>
      <c r="I38" s="421">
        <v>0</v>
      </c>
      <c r="J38" s="421">
        <v>1.13166062537042</v>
      </c>
      <c r="K38" s="421">
        <v>0</v>
      </c>
      <c r="L38" s="421">
        <v>9.8804671183263206</v>
      </c>
      <c r="M38" s="421">
        <v>8.8947074694116696E-2</v>
      </c>
      <c r="N38" s="421">
        <v>0</v>
      </c>
      <c r="O38" s="421">
        <v>7.8328904674825395E-2</v>
      </c>
      <c r="P38" s="421">
        <v>7.9375945805684101</v>
      </c>
      <c r="Q38" s="421">
        <v>0</v>
      </c>
      <c r="R38" s="421">
        <v>0</v>
      </c>
      <c r="S38" s="429">
        <v>42.117558606848299</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5.6972080479890099</v>
      </c>
      <c r="E40" s="425">
        <v>0</v>
      </c>
      <c r="F40" s="425">
        <v>347.77327598222001</v>
      </c>
      <c r="G40" s="425">
        <v>313.17018567794099</v>
      </c>
      <c r="H40" s="425">
        <v>0</v>
      </c>
      <c r="I40" s="425">
        <v>0</v>
      </c>
      <c r="J40" s="425">
        <v>95.559140942616196</v>
      </c>
      <c r="K40" s="425">
        <v>4.2228886849058398</v>
      </c>
      <c r="L40" s="425">
        <v>38.300029846123998</v>
      </c>
      <c r="M40" s="425">
        <v>6.3912282791416599</v>
      </c>
      <c r="N40" s="425">
        <v>53.883302871721199</v>
      </c>
      <c r="O40" s="425">
        <v>1.8483466645040501</v>
      </c>
      <c r="P40" s="425">
        <v>469.41867608341198</v>
      </c>
      <c r="Q40" s="425">
        <v>37.848119874722101</v>
      </c>
      <c r="R40" s="425">
        <v>1.36429815401034</v>
      </c>
      <c r="S40" s="425">
        <v>1375.4767011093099</v>
      </c>
      <c r="T40" s="412"/>
    </row>
    <row r="41" spans="2:20" ht="13.5">
      <c r="B41" s="412"/>
      <c r="C41" s="420" t="s">
        <v>84</v>
      </c>
      <c r="D41" s="421">
        <v>2.2600859375</v>
      </c>
      <c r="E41" s="421">
        <v>0</v>
      </c>
      <c r="F41" s="421">
        <v>137.93569857611899</v>
      </c>
      <c r="G41" s="421">
        <v>12.394041976947101</v>
      </c>
      <c r="H41" s="421">
        <v>0</v>
      </c>
      <c r="I41" s="421">
        <v>0</v>
      </c>
      <c r="J41" s="421">
        <v>0</v>
      </c>
      <c r="K41" s="421">
        <v>0</v>
      </c>
      <c r="L41" s="421">
        <v>0</v>
      </c>
      <c r="M41" s="421">
        <v>0</v>
      </c>
      <c r="N41" s="421">
        <v>0</v>
      </c>
      <c r="O41" s="421">
        <v>0</v>
      </c>
      <c r="P41" s="421">
        <v>0</v>
      </c>
      <c r="Q41" s="421">
        <v>0</v>
      </c>
      <c r="R41" s="421">
        <v>0.29375808105468698</v>
      </c>
      <c r="S41" s="429">
        <v>152.88358457162099</v>
      </c>
      <c r="T41" s="412"/>
    </row>
    <row r="42" spans="2:20" ht="13.5">
      <c r="B42" s="412"/>
      <c r="C42" s="424" t="s">
        <v>85</v>
      </c>
      <c r="D42" s="425">
        <v>7.9572939854890103</v>
      </c>
      <c r="E42" s="425">
        <v>0</v>
      </c>
      <c r="F42" s="425">
        <v>485.70897455833898</v>
      </c>
      <c r="G42" s="425">
        <v>325.56422765488799</v>
      </c>
      <c r="H42" s="425">
        <v>0</v>
      </c>
      <c r="I42" s="425">
        <v>0</v>
      </c>
      <c r="J42" s="425">
        <v>95.559140942616196</v>
      </c>
      <c r="K42" s="425">
        <v>4.2228886849058398</v>
      </c>
      <c r="L42" s="425">
        <v>38.300029846123998</v>
      </c>
      <c r="M42" s="425">
        <v>6.3912282791416599</v>
      </c>
      <c r="N42" s="425">
        <v>53.883302871721199</v>
      </c>
      <c r="O42" s="425">
        <v>1.8483466645040501</v>
      </c>
      <c r="P42" s="425">
        <v>469.41867608341198</v>
      </c>
      <c r="Q42" s="425">
        <v>37.848119874722101</v>
      </c>
      <c r="R42" s="425">
        <v>1.6580562350650301</v>
      </c>
      <c r="S42" s="425">
        <v>1528.36028568093</v>
      </c>
      <c r="T42" s="412"/>
    </row>
    <row r="43" spans="2:20">
      <c r="B43" s="412"/>
      <c r="C43" s="412"/>
      <c r="D43" s="430">
        <f t="shared" ref="D43:S43" si="0">D42+D32-D18</f>
        <v>0</v>
      </c>
      <c r="E43" s="430">
        <f t="shared" si="0"/>
        <v>0</v>
      </c>
      <c r="F43" s="430">
        <f t="shared" si="0"/>
        <v>-1.6786572132332367E-13</v>
      </c>
      <c r="G43" s="430">
        <f t="shared" si="0"/>
        <v>0</v>
      </c>
      <c r="H43" s="430">
        <f t="shared" si="0"/>
        <v>0</v>
      </c>
      <c r="I43" s="430">
        <f t="shared" si="0"/>
        <v>0</v>
      </c>
      <c r="J43" s="430">
        <f t="shared" si="0"/>
        <v>3.1263880373444408E-13</v>
      </c>
      <c r="K43" s="430">
        <f t="shared" si="0"/>
        <v>4.2632564145606011E-14</v>
      </c>
      <c r="L43" s="430">
        <f t="shared" si="0"/>
        <v>2.6090241078691179E-14</v>
      </c>
      <c r="M43" s="430">
        <f t="shared" si="0"/>
        <v>0</v>
      </c>
      <c r="N43" s="430">
        <f t="shared" si="0"/>
        <v>0</v>
      </c>
      <c r="O43" s="430">
        <f t="shared" si="0"/>
        <v>0</v>
      </c>
      <c r="P43" s="430">
        <f t="shared" si="0"/>
        <v>3.765876499528531E-13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362</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2.3260000000000001</v>
      </c>
      <c r="F49" s="421">
        <v>0</v>
      </c>
      <c r="G49" s="421">
        <v>3.7215999999999999E-2</v>
      </c>
      <c r="H49" s="422">
        <v>1005.45454545455</v>
      </c>
      <c r="I49" s="422">
        <v>246.08</v>
      </c>
      <c r="J49" s="422">
        <v>180.45818950373001</v>
      </c>
      <c r="K49" s="422">
        <v>23.324330540101599</v>
      </c>
      <c r="L49" s="421">
        <v>0</v>
      </c>
      <c r="M49" s="421">
        <v>0</v>
      </c>
      <c r="N49" s="422">
        <v>57.2465959754038</v>
      </c>
      <c r="O49" s="422">
        <v>4.06931439737036</v>
      </c>
      <c r="P49" s="421">
        <v>0</v>
      </c>
      <c r="Q49" s="421">
        <v>0</v>
      </c>
      <c r="R49" s="421">
        <v>0</v>
      </c>
      <c r="S49" s="423">
        <v>1518.9961918711499</v>
      </c>
      <c r="T49" s="412"/>
    </row>
    <row r="50" spans="2:20" ht="13.5">
      <c r="B50" s="412"/>
      <c r="C50" s="420" t="s">
        <v>60</v>
      </c>
      <c r="D50" s="421">
        <v>33.607567251657201</v>
      </c>
      <c r="E50" s="421">
        <v>509.74501402008298</v>
      </c>
      <c r="F50" s="421">
        <v>72.737164762837693</v>
      </c>
      <c r="G50" s="421">
        <v>374.55851469184501</v>
      </c>
      <c r="H50" s="421">
        <v>0</v>
      </c>
      <c r="I50" s="421">
        <v>0</v>
      </c>
      <c r="J50" s="421">
        <v>0</v>
      </c>
      <c r="K50" s="421">
        <v>0</v>
      </c>
      <c r="L50" s="421">
        <v>0</v>
      </c>
      <c r="M50" s="421">
        <v>0</v>
      </c>
      <c r="N50" s="421">
        <v>0</v>
      </c>
      <c r="O50" s="421">
        <v>0</v>
      </c>
      <c r="P50" s="421">
        <v>0</v>
      </c>
      <c r="Q50" s="421">
        <v>0</v>
      </c>
      <c r="R50" s="421">
        <v>0</v>
      </c>
      <c r="S50" s="423">
        <v>990.64826072642302</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-40.599613583103199</v>
      </c>
      <c r="Q51" s="421">
        <v>0</v>
      </c>
      <c r="R51" s="421">
        <v>0</v>
      </c>
      <c r="S51" s="423">
        <v>-40.599613583103199</v>
      </c>
      <c r="T51" s="412"/>
    </row>
    <row r="52" spans="2:20" ht="13.5">
      <c r="B52" s="412"/>
      <c r="C52" s="420" t="s">
        <v>62</v>
      </c>
      <c r="D52" s="421">
        <v>0</v>
      </c>
      <c r="E52" s="421">
        <v>0</v>
      </c>
      <c r="F52" s="421">
        <v>-16.016991189558802</v>
      </c>
      <c r="G52" s="421">
        <v>0</v>
      </c>
      <c r="H52" s="421">
        <v>0</v>
      </c>
      <c r="I52" s="421">
        <v>0</v>
      </c>
      <c r="J52" s="421">
        <v>0</v>
      </c>
      <c r="K52" s="421">
        <v>0</v>
      </c>
      <c r="L52" s="421">
        <v>0</v>
      </c>
      <c r="M52" s="421">
        <v>0</v>
      </c>
      <c r="N52" s="421">
        <v>0</v>
      </c>
      <c r="O52" s="421">
        <v>0</v>
      </c>
      <c r="P52" s="421">
        <v>0</v>
      </c>
      <c r="Q52" s="421">
        <v>0</v>
      </c>
      <c r="R52" s="421">
        <v>0</v>
      </c>
      <c r="S52" s="423">
        <v>-16.016991189558802</v>
      </c>
      <c r="T52" s="412"/>
    </row>
    <row r="53" spans="2:20" ht="13.5">
      <c r="B53" s="412"/>
      <c r="C53" s="420" t="s">
        <v>63</v>
      </c>
      <c r="D53" s="421">
        <v>0</v>
      </c>
      <c r="E53" s="421">
        <v>0</v>
      </c>
      <c r="F53" s="421">
        <v>-85.292767146842095</v>
      </c>
      <c r="G53" s="421">
        <v>0</v>
      </c>
      <c r="H53" s="421">
        <v>0</v>
      </c>
      <c r="I53" s="421">
        <v>0</v>
      </c>
      <c r="J53" s="421">
        <v>0</v>
      </c>
      <c r="K53" s="421">
        <v>0</v>
      </c>
      <c r="L53" s="421">
        <v>-0.88147124718821601</v>
      </c>
      <c r="M53" s="421">
        <v>0</v>
      </c>
      <c r="N53" s="421">
        <v>0</v>
      </c>
      <c r="O53" s="421">
        <v>0</v>
      </c>
      <c r="P53" s="421">
        <v>0</v>
      </c>
      <c r="Q53" s="421">
        <v>0</v>
      </c>
      <c r="R53" s="421">
        <v>0</v>
      </c>
      <c r="S53" s="423">
        <v>-86.174238394030297</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33.607567251657201</v>
      </c>
      <c r="E55" s="425">
        <v>512.071014020083</v>
      </c>
      <c r="F55" s="425">
        <v>-28.5725935735632</v>
      </c>
      <c r="G55" s="425">
        <v>374.59573069184501</v>
      </c>
      <c r="H55" s="425">
        <v>1005.45454545455</v>
      </c>
      <c r="I55" s="425">
        <v>246.08</v>
      </c>
      <c r="J55" s="425">
        <v>180.45818950373001</v>
      </c>
      <c r="K55" s="425">
        <v>23.324330540101599</v>
      </c>
      <c r="L55" s="425">
        <v>-0.88147124718821601</v>
      </c>
      <c r="M55" s="425">
        <v>0</v>
      </c>
      <c r="N55" s="425">
        <v>57.2465959754038</v>
      </c>
      <c r="O55" s="425">
        <v>4.06931439737036</v>
      </c>
      <c r="P55" s="425">
        <v>-40.599613583103199</v>
      </c>
      <c r="Q55" s="425">
        <v>0</v>
      </c>
      <c r="R55" s="425">
        <v>0</v>
      </c>
      <c r="S55" s="425">
        <v>2366.8536094308802</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17.955675135092299</v>
      </c>
      <c r="H58" s="421">
        <v>1005.45454545455</v>
      </c>
      <c r="I58" s="421">
        <v>246.08</v>
      </c>
      <c r="J58" s="421">
        <v>24.057674539507001</v>
      </c>
      <c r="K58" s="421">
        <v>6.4003284253933197</v>
      </c>
      <c r="L58" s="421">
        <v>0</v>
      </c>
      <c r="M58" s="421">
        <v>0.366442349695761</v>
      </c>
      <c r="N58" s="421">
        <v>0</v>
      </c>
      <c r="O58" s="421">
        <v>0</v>
      </c>
      <c r="P58" s="421">
        <v>-600.72360696632904</v>
      </c>
      <c r="Q58" s="421">
        <v>0</v>
      </c>
      <c r="R58" s="421">
        <v>0</v>
      </c>
      <c r="S58" s="429">
        <v>705.65516603710796</v>
      </c>
      <c r="T58" s="412"/>
    </row>
    <row r="59" spans="2:20" ht="13.5">
      <c r="B59" s="412"/>
      <c r="C59" s="428" t="s">
        <v>351</v>
      </c>
      <c r="D59" s="421">
        <v>0</v>
      </c>
      <c r="E59" s="421">
        <v>0</v>
      </c>
      <c r="F59" s="421">
        <v>0</v>
      </c>
      <c r="G59" s="421">
        <v>17.1879921419563</v>
      </c>
      <c r="H59" s="421">
        <v>0</v>
      </c>
      <c r="I59" s="421">
        <v>0</v>
      </c>
      <c r="J59" s="421">
        <v>12.682834988028199</v>
      </c>
      <c r="K59" s="421">
        <v>12.7191917514679</v>
      </c>
      <c r="L59" s="421">
        <v>0</v>
      </c>
      <c r="M59" s="421">
        <v>0.35077534983584302</v>
      </c>
      <c r="N59" s="421">
        <v>0</v>
      </c>
      <c r="O59" s="421">
        <v>2.2454573880541999</v>
      </c>
      <c r="P59" s="421">
        <v>0</v>
      </c>
      <c r="Q59" s="421">
        <v>-41.0285859229053</v>
      </c>
      <c r="R59" s="421">
        <v>0</v>
      </c>
      <c r="S59" s="429">
        <v>4.1576656964370899</v>
      </c>
      <c r="T59" s="412"/>
    </row>
    <row r="60" spans="2:20" ht="13.5">
      <c r="B60" s="412"/>
      <c r="C60" s="428" t="s">
        <v>352</v>
      </c>
      <c r="D60" s="421">
        <v>0</v>
      </c>
      <c r="E60" s="421">
        <v>0</v>
      </c>
      <c r="F60" s="421">
        <v>0</v>
      </c>
      <c r="G60" s="421">
        <v>0</v>
      </c>
      <c r="H60" s="421">
        <v>0</v>
      </c>
      <c r="I60" s="421">
        <v>0</v>
      </c>
      <c r="J60" s="421">
        <v>8.1791621467337805</v>
      </c>
      <c r="K60" s="421">
        <v>0</v>
      </c>
      <c r="L60" s="421">
        <v>0</v>
      </c>
      <c r="M60" s="421">
        <v>-7.3939625806473401</v>
      </c>
      <c r="N60" s="421">
        <v>0</v>
      </c>
      <c r="O60" s="421">
        <v>0</v>
      </c>
      <c r="P60" s="421">
        <v>0</v>
      </c>
      <c r="Q60" s="421">
        <v>0</v>
      </c>
      <c r="R60" s="421">
        <v>0</v>
      </c>
      <c r="S60" s="429">
        <v>0.78519956608644204</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530.45114623720201</v>
      </c>
      <c r="F62" s="421">
        <v>-525.14663477482998</v>
      </c>
      <c r="G62" s="421">
        <v>0</v>
      </c>
      <c r="H62" s="421">
        <v>0</v>
      </c>
      <c r="I62" s="421">
        <v>0</v>
      </c>
      <c r="J62" s="421">
        <v>0</v>
      </c>
      <c r="K62" s="421">
        <v>0</v>
      </c>
      <c r="L62" s="421">
        <v>0</v>
      </c>
      <c r="M62" s="421">
        <v>0</v>
      </c>
      <c r="N62" s="421">
        <v>0</v>
      </c>
      <c r="O62" s="421">
        <v>0</v>
      </c>
      <c r="P62" s="421">
        <v>0</v>
      </c>
      <c r="Q62" s="421">
        <v>0</v>
      </c>
      <c r="R62" s="421">
        <v>0</v>
      </c>
      <c r="S62" s="429">
        <v>5.3045114623720302</v>
      </c>
      <c r="T62" s="412"/>
    </row>
    <row r="63" spans="2:20" ht="13.5">
      <c r="B63" s="412"/>
      <c r="C63" s="428" t="s">
        <v>354</v>
      </c>
      <c r="D63" s="421">
        <v>0</v>
      </c>
      <c r="E63" s="421">
        <v>0</v>
      </c>
      <c r="F63" s="421">
        <v>0</v>
      </c>
      <c r="G63" s="421">
        <v>0</v>
      </c>
      <c r="H63" s="421">
        <v>0</v>
      </c>
      <c r="I63" s="421">
        <v>0</v>
      </c>
      <c r="J63" s="421">
        <v>39.445597700089998</v>
      </c>
      <c r="K63" s="421">
        <v>0</v>
      </c>
      <c r="L63" s="421">
        <v>-39.445597700089998</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-0.18005031965795901</v>
      </c>
      <c r="M64" s="421">
        <v>0</v>
      </c>
      <c r="N64" s="421">
        <v>0</v>
      </c>
      <c r="O64" s="421">
        <v>0</v>
      </c>
      <c r="P64" s="421">
        <v>0</v>
      </c>
      <c r="Q64" s="421">
        <v>0</v>
      </c>
      <c r="R64" s="421">
        <v>0.25721474236851299</v>
      </c>
      <c r="S64" s="429">
        <v>7.7164422710554001E-2</v>
      </c>
      <c r="T64" s="412"/>
    </row>
    <row r="65" spans="2:20" ht="13.5">
      <c r="B65" s="412"/>
      <c r="C65" s="428" t="s">
        <v>73</v>
      </c>
      <c r="D65" s="421">
        <v>0</v>
      </c>
      <c r="E65" s="421">
        <v>0</v>
      </c>
      <c r="F65" s="421">
        <v>0</v>
      </c>
      <c r="G65" s="421">
        <v>3.2927955650537002</v>
      </c>
      <c r="H65" s="421">
        <v>0</v>
      </c>
      <c r="I65" s="421">
        <v>0</v>
      </c>
      <c r="J65" s="421">
        <v>0</v>
      </c>
      <c r="K65" s="421">
        <v>3.7583841997143097E-2</v>
      </c>
      <c r="L65" s="421">
        <v>0</v>
      </c>
      <c r="M65" s="421">
        <v>6.7199909490891899E-2</v>
      </c>
      <c r="N65" s="421">
        <v>0</v>
      </c>
      <c r="O65" s="421">
        <v>0</v>
      </c>
      <c r="P65" s="421">
        <v>0.37251241625487003</v>
      </c>
      <c r="Q65" s="421">
        <v>0</v>
      </c>
      <c r="R65" s="421">
        <v>-2.63086893980002</v>
      </c>
      <c r="S65" s="429">
        <v>1.1392227929965899</v>
      </c>
      <c r="T65" s="412"/>
    </row>
    <row r="66" spans="2:20" ht="13.5">
      <c r="B66" s="412"/>
      <c r="C66" s="428" t="s">
        <v>356</v>
      </c>
      <c r="D66" s="421">
        <v>14.1944855957031</v>
      </c>
      <c r="E66" s="421">
        <v>-18.380132217119101</v>
      </c>
      <c r="F66" s="421">
        <v>24.040127313749402</v>
      </c>
      <c r="G66" s="421">
        <v>0</v>
      </c>
      <c r="H66" s="421">
        <v>0</v>
      </c>
      <c r="I66" s="421">
        <v>0</v>
      </c>
      <c r="J66" s="421">
        <v>0</v>
      </c>
      <c r="K66" s="421">
        <v>0</v>
      </c>
      <c r="L66" s="421">
        <v>0</v>
      </c>
      <c r="M66" s="421">
        <v>0</v>
      </c>
      <c r="N66" s="421">
        <v>0</v>
      </c>
      <c r="O66" s="421">
        <v>0</v>
      </c>
      <c r="P66" s="421">
        <v>0</v>
      </c>
      <c r="Q66" s="421">
        <v>0</v>
      </c>
      <c r="R66" s="421">
        <v>0</v>
      </c>
      <c r="S66" s="429">
        <v>19.8544806923335</v>
      </c>
      <c r="T66" s="412"/>
    </row>
    <row r="67" spans="2:20" ht="13.5">
      <c r="B67" s="412"/>
      <c r="C67" s="428" t="s">
        <v>75</v>
      </c>
      <c r="D67" s="421">
        <v>9.7861113281249992</v>
      </c>
      <c r="E67" s="421">
        <v>0</v>
      </c>
      <c r="F67" s="421">
        <v>18.035338972064899</v>
      </c>
      <c r="G67" s="421">
        <v>5.1464370207933401</v>
      </c>
      <c r="H67" s="421">
        <v>0</v>
      </c>
      <c r="I67" s="421">
        <v>0</v>
      </c>
      <c r="J67" s="421">
        <v>0</v>
      </c>
      <c r="K67" s="421">
        <v>0</v>
      </c>
      <c r="L67" s="421">
        <v>0</v>
      </c>
      <c r="M67" s="421">
        <v>0.105029326954966</v>
      </c>
      <c r="N67" s="421">
        <v>0</v>
      </c>
      <c r="O67" s="421">
        <v>0</v>
      </c>
      <c r="P67" s="421">
        <v>31.7730894392256</v>
      </c>
      <c r="Q67" s="421">
        <v>0</v>
      </c>
      <c r="R67" s="421">
        <v>0</v>
      </c>
      <c r="S67" s="429">
        <v>64.846006087163701</v>
      </c>
      <c r="T67" s="412"/>
    </row>
    <row r="68" spans="2:20" ht="13.5">
      <c r="B68" s="412"/>
      <c r="C68" s="428" t="s">
        <v>76</v>
      </c>
      <c r="D68" s="421">
        <v>0</v>
      </c>
      <c r="E68" s="421">
        <v>0</v>
      </c>
      <c r="F68" s="421">
        <v>0</v>
      </c>
      <c r="G68" s="421">
        <v>4.2960968353958799</v>
      </c>
      <c r="H68" s="421">
        <v>0</v>
      </c>
      <c r="I68" s="421">
        <v>0</v>
      </c>
      <c r="J68" s="421">
        <v>0</v>
      </c>
      <c r="K68" s="421">
        <v>0</v>
      </c>
      <c r="L68" s="421">
        <v>0</v>
      </c>
      <c r="M68" s="421">
        <v>8.7675445620324199E-2</v>
      </c>
      <c r="N68" s="421">
        <v>0</v>
      </c>
      <c r="O68" s="421">
        <v>0</v>
      </c>
      <c r="P68" s="421">
        <v>42.927323592620297</v>
      </c>
      <c r="Q68" s="421">
        <v>3.1793369165350902</v>
      </c>
      <c r="R68" s="421">
        <v>0</v>
      </c>
      <c r="S68" s="429">
        <v>50.490432790171603</v>
      </c>
      <c r="T68" s="412"/>
    </row>
    <row r="69" spans="2:20" ht="13.5">
      <c r="B69" s="412"/>
      <c r="C69" s="424" t="s">
        <v>77</v>
      </c>
      <c r="D69" s="425">
        <v>26.181067659394699</v>
      </c>
      <c r="E69" s="425">
        <v>512.071014020083</v>
      </c>
      <c r="F69" s="425">
        <v>-479.20753212538</v>
      </c>
      <c r="G69" s="425">
        <v>47.878996698291502</v>
      </c>
      <c r="H69" s="425">
        <v>1005.45454545455</v>
      </c>
      <c r="I69" s="425">
        <v>246.08</v>
      </c>
      <c r="J69" s="425">
        <v>84.365269374358903</v>
      </c>
      <c r="K69" s="425">
        <v>19.157104018858298</v>
      </c>
      <c r="L69" s="425">
        <v>-39.625648019747899</v>
      </c>
      <c r="M69" s="425">
        <v>-6.4168401990495498</v>
      </c>
      <c r="N69" s="425">
        <v>0</v>
      </c>
      <c r="O69" s="425">
        <v>2.2454573880541999</v>
      </c>
      <c r="P69" s="425">
        <v>-525.650681518228</v>
      </c>
      <c r="Q69" s="425">
        <v>-37.849249006370201</v>
      </c>
      <c r="R69" s="425">
        <v>-2.37365419743151</v>
      </c>
      <c r="S69" s="425">
        <v>852.30984954737903</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5.2125076489031201</v>
      </c>
      <c r="E71" s="421">
        <v>0</v>
      </c>
      <c r="F71" s="421">
        <v>21.727756673907599</v>
      </c>
      <c r="G71" s="421">
        <v>101.51924937784101</v>
      </c>
      <c r="H71" s="421">
        <v>0</v>
      </c>
      <c r="I71" s="421">
        <v>0</v>
      </c>
      <c r="J71" s="421">
        <v>17.0707077986517</v>
      </c>
      <c r="K71" s="421">
        <v>4.1672265212432702</v>
      </c>
      <c r="L71" s="421">
        <v>0.85564616601562504</v>
      </c>
      <c r="M71" s="421">
        <v>2.07182141587431</v>
      </c>
      <c r="N71" s="421">
        <v>0</v>
      </c>
      <c r="O71" s="421">
        <v>0</v>
      </c>
      <c r="P71" s="421">
        <v>108.651427718851</v>
      </c>
      <c r="Q71" s="421">
        <v>18.253539143187599</v>
      </c>
      <c r="R71" s="421">
        <v>0.245581359863281</v>
      </c>
      <c r="S71" s="429">
        <v>279.775463824339</v>
      </c>
      <c r="T71" s="412"/>
    </row>
    <row r="72" spans="2:20" ht="13.5">
      <c r="B72" s="412"/>
      <c r="C72" s="428" t="s">
        <v>79</v>
      </c>
      <c r="D72" s="421">
        <v>0</v>
      </c>
      <c r="E72" s="421">
        <v>0</v>
      </c>
      <c r="F72" s="421">
        <v>248.35405318252</v>
      </c>
      <c r="G72" s="421">
        <v>28.348372671164501</v>
      </c>
      <c r="H72" s="421">
        <v>0</v>
      </c>
      <c r="I72" s="421">
        <v>0</v>
      </c>
      <c r="J72" s="421">
        <v>0</v>
      </c>
      <c r="K72" s="421">
        <v>0</v>
      </c>
      <c r="L72" s="421">
        <v>25.168184235978501</v>
      </c>
      <c r="M72" s="421">
        <v>0.57853821777886805</v>
      </c>
      <c r="N72" s="421">
        <v>0</v>
      </c>
      <c r="O72" s="421">
        <v>0</v>
      </c>
      <c r="P72" s="421">
        <v>52.469592014343696</v>
      </c>
      <c r="Q72" s="421">
        <v>0</v>
      </c>
      <c r="R72" s="421">
        <v>1.65835229069323</v>
      </c>
      <c r="S72" s="429">
        <v>356.57709261247902</v>
      </c>
      <c r="T72" s="412"/>
    </row>
    <row r="73" spans="2:20" ht="13.5">
      <c r="B73" s="412"/>
      <c r="C73" s="428" t="s">
        <v>80</v>
      </c>
      <c r="D73" s="421">
        <v>0</v>
      </c>
      <c r="E73" s="421">
        <v>0</v>
      </c>
      <c r="F73" s="421">
        <v>20.256761512665399</v>
      </c>
      <c r="G73" s="421">
        <v>114.236246094908</v>
      </c>
      <c r="H73" s="421">
        <v>0</v>
      </c>
      <c r="I73" s="421">
        <v>0</v>
      </c>
      <c r="J73" s="421">
        <v>74.165421932581495</v>
      </c>
      <c r="K73" s="421">
        <v>0</v>
      </c>
      <c r="L73" s="421">
        <v>0</v>
      </c>
      <c r="M73" s="421">
        <v>2.3313519611205602</v>
      </c>
      <c r="N73" s="421">
        <v>50.603124329176602</v>
      </c>
      <c r="O73" s="421">
        <v>0.95734789320939595</v>
      </c>
      <c r="P73" s="421">
        <v>178.886337281088</v>
      </c>
      <c r="Q73" s="421">
        <v>15.5186626122163</v>
      </c>
      <c r="R73" s="421">
        <v>0</v>
      </c>
      <c r="S73" s="429">
        <v>456.95525361696502</v>
      </c>
      <c r="T73" s="412"/>
    </row>
    <row r="74" spans="2:20" ht="13.5">
      <c r="B74" s="412"/>
      <c r="C74" s="428" t="s">
        <v>81</v>
      </c>
      <c r="D74" s="421">
        <v>0</v>
      </c>
      <c r="E74" s="421">
        <v>0</v>
      </c>
      <c r="F74" s="421">
        <v>8.4821062063849304</v>
      </c>
      <c r="G74" s="421">
        <v>65.4970920681791</v>
      </c>
      <c r="H74" s="421">
        <v>0</v>
      </c>
      <c r="I74" s="421">
        <v>0</v>
      </c>
      <c r="J74" s="421">
        <v>3.4528006603112198</v>
      </c>
      <c r="K74" s="421">
        <v>0</v>
      </c>
      <c r="L74" s="421">
        <v>0</v>
      </c>
      <c r="M74" s="421">
        <v>1.3366753483301901</v>
      </c>
      <c r="N74" s="421">
        <v>6.6434716462271597</v>
      </c>
      <c r="O74" s="421">
        <v>0.79174204160808703</v>
      </c>
      <c r="P74" s="421">
        <v>137.26768731378999</v>
      </c>
      <c r="Q74" s="421">
        <v>4.0770472509662401</v>
      </c>
      <c r="R74" s="421">
        <v>0</v>
      </c>
      <c r="S74" s="429">
        <v>227.54862253579699</v>
      </c>
      <c r="T74" s="412"/>
    </row>
    <row r="75" spans="2:20" ht="13.5">
      <c r="B75" s="412"/>
      <c r="C75" s="428" t="s">
        <v>82</v>
      </c>
      <c r="D75" s="421">
        <v>0</v>
      </c>
      <c r="E75" s="421">
        <v>0</v>
      </c>
      <c r="F75" s="421">
        <v>13.750506376214</v>
      </c>
      <c r="G75" s="421">
        <v>4.8242095413356898</v>
      </c>
      <c r="H75" s="421">
        <v>0</v>
      </c>
      <c r="I75" s="421">
        <v>0</v>
      </c>
      <c r="J75" s="421">
        <v>1.4039897378261701</v>
      </c>
      <c r="K75" s="421">
        <v>0</v>
      </c>
      <c r="L75" s="421">
        <v>12.720346370565601</v>
      </c>
      <c r="M75" s="421">
        <v>9.8453255945626303E-2</v>
      </c>
      <c r="N75" s="421">
        <v>0</v>
      </c>
      <c r="O75" s="421">
        <v>7.4767074498679406E-2</v>
      </c>
      <c r="P75" s="421">
        <v>7.7760236070527604</v>
      </c>
      <c r="Q75" s="421">
        <v>0</v>
      </c>
      <c r="R75" s="421">
        <v>0</v>
      </c>
      <c r="S75" s="429">
        <v>40.648295963438599</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5.2125076489031201</v>
      </c>
      <c r="E77" s="425">
        <v>0</v>
      </c>
      <c r="F77" s="425">
        <v>312.57118395169198</v>
      </c>
      <c r="G77" s="425">
        <v>314.42516975342801</v>
      </c>
      <c r="H77" s="425">
        <v>0</v>
      </c>
      <c r="I77" s="425">
        <v>0</v>
      </c>
      <c r="J77" s="425">
        <v>96.092920129370597</v>
      </c>
      <c r="K77" s="425">
        <v>4.1672265212432702</v>
      </c>
      <c r="L77" s="425">
        <v>38.744176772559697</v>
      </c>
      <c r="M77" s="425">
        <v>6.4168401990495498</v>
      </c>
      <c r="N77" s="425">
        <v>57.2465959754038</v>
      </c>
      <c r="O77" s="425">
        <v>1.8238570093161599</v>
      </c>
      <c r="P77" s="425">
        <v>485.05106793512499</v>
      </c>
      <c r="Q77" s="425">
        <v>37.849249006370201</v>
      </c>
      <c r="R77" s="425">
        <v>1.9039336505565101</v>
      </c>
      <c r="S77" s="425">
        <v>1361.50472855302</v>
      </c>
      <c r="T77" s="412"/>
    </row>
    <row r="78" spans="2:20" ht="13.5">
      <c r="B78" s="412"/>
      <c r="C78" s="420" t="s">
        <v>84</v>
      </c>
      <c r="D78" s="421">
        <v>2.2139919433593702</v>
      </c>
      <c r="E78" s="421">
        <v>0</v>
      </c>
      <c r="F78" s="421">
        <v>138.06375460012401</v>
      </c>
      <c r="G78" s="421">
        <v>12.2915642401253</v>
      </c>
      <c r="H78" s="421">
        <v>0</v>
      </c>
      <c r="I78" s="421">
        <v>0</v>
      </c>
      <c r="J78" s="421">
        <v>0</v>
      </c>
      <c r="K78" s="421">
        <v>0</v>
      </c>
      <c r="L78" s="421">
        <v>0</v>
      </c>
      <c r="M78" s="421">
        <v>0</v>
      </c>
      <c r="N78" s="421">
        <v>0</v>
      </c>
      <c r="O78" s="421">
        <v>0</v>
      </c>
      <c r="P78" s="421">
        <v>0</v>
      </c>
      <c r="Q78" s="421">
        <v>0</v>
      </c>
      <c r="R78" s="421">
        <v>0.46972054687499998</v>
      </c>
      <c r="S78" s="429">
        <v>153.03903133048399</v>
      </c>
      <c r="T78" s="412"/>
    </row>
    <row r="79" spans="2:20" ht="13.5">
      <c r="B79" s="412"/>
      <c r="C79" s="424" t="s">
        <v>85</v>
      </c>
      <c r="D79" s="425">
        <v>7.4264995922625001</v>
      </c>
      <c r="E79" s="425">
        <v>0</v>
      </c>
      <c r="F79" s="425">
        <v>450.63493855181599</v>
      </c>
      <c r="G79" s="425">
        <v>326.71673399355302</v>
      </c>
      <c r="H79" s="425">
        <v>0</v>
      </c>
      <c r="I79" s="425">
        <v>0</v>
      </c>
      <c r="J79" s="425">
        <v>96.092920129370597</v>
      </c>
      <c r="K79" s="425">
        <v>4.1672265212432702</v>
      </c>
      <c r="L79" s="425">
        <v>38.744176772559697</v>
      </c>
      <c r="M79" s="425">
        <v>6.4168401990495498</v>
      </c>
      <c r="N79" s="425">
        <v>57.2465959754038</v>
      </c>
      <c r="O79" s="425">
        <v>1.8238570093161599</v>
      </c>
      <c r="P79" s="425">
        <v>485.05106793512499</v>
      </c>
      <c r="Q79" s="425">
        <v>37.849249006370201</v>
      </c>
      <c r="R79" s="425">
        <v>2.37365419743151</v>
      </c>
      <c r="S79" s="425">
        <v>1514.5437598834999</v>
      </c>
      <c r="T79" s="412"/>
    </row>
    <row r="80" spans="2:20">
      <c r="B80" s="412"/>
      <c r="C80" s="412"/>
      <c r="D80" s="430">
        <f t="shared" ref="D80:S80" si="1">D79+D69-D55</f>
        <v>0</v>
      </c>
      <c r="E80" s="430">
        <f t="shared" si="1"/>
        <v>0</v>
      </c>
      <c r="F80" s="430">
        <f t="shared" si="1"/>
        <v>-8.0646600508771371E-13</v>
      </c>
      <c r="G80" s="430">
        <f t="shared" si="1"/>
        <v>-4.5474735088646412E-13</v>
      </c>
      <c r="H80" s="430">
        <f t="shared" si="1"/>
        <v>0</v>
      </c>
      <c r="I80" s="430">
        <f t="shared" si="1"/>
        <v>0</v>
      </c>
      <c r="J80" s="430">
        <f t="shared" si="1"/>
        <v>-5.1159076974727213E-13</v>
      </c>
      <c r="K80" s="430">
        <f t="shared" si="1"/>
        <v>-2.8421709430404007E-14</v>
      </c>
      <c r="L80" s="430">
        <f t="shared" si="1"/>
        <v>1.4210854715202004E-14</v>
      </c>
      <c r="M80" s="430">
        <f t="shared" si="1"/>
        <v>0</v>
      </c>
      <c r="N80" s="430">
        <f t="shared" si="1"/>
        <v>0</v>
      </c>
      <c r="O80" s="430">
        <f t="shared" si="1"/>
        <v>0</v>
      </c>
      <c r="P80" s="430">
        <f t="shared" si="1"/>
        <v>1.9184653865522705E-13</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363</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0</v>
      </c>
      <c r="F86" s="421">
        <v>0</v>
      </c>
      <c r="G86" s="421">
        <v>0</v>
      </c>
      <c r="H86" s="422">
        <v>959.09090909090901</v>
      </c>
      <c r="I86" s="422">
        <v>262.58</v>
      </c>
      <c r="J86" s="422">
        <v>180.265617568263</v>
      </c>
      <c r="K86" s="422">
        <v>23.099472372796701</v>
      </c>
      <c r="L86" s="421">
        <v>0</v>
      </c>
      <c r="M86" s="421">
        <v>0</v>
      </c>
      <c r="N86" s="422">
        <v>59.577309191786703</v>
      </c>
      <c r="O86" s="422">
        <v>4.0524132365006302</v>
      </c>
      <c r="P86" s="421">
        <v>0</v>
      </c>
      <c r="Q86" s="421">
        <v>0</v>
      </c>
      <c r="R86" s="421">
        <v>0</v>
      </c>
      <c r="S86" s="423">
        <v>1488.6657214602601</v>
      </c>
      <c r="T86" s="412"/>
    </row>
    <row r="87" spans="2:20" ht="13.5">
      <c r="B87" s="412"/>
      <c r="C87" s="420" t="s">
        <v>60</v>
      </c>
      <c r="D87" s="421">
        <v>32.718430513686002</v>
      </c>
      <c r="E87" s="421">
        <v>504.19228646673599</v>
      </c>
      <c r="F87" s="421">
        <v>58.276607316060698</v>
      </c>
      <c r="G87" s="421">
        <v>375.54945868825399</v>
      </c>
      <c r="H87" s="421">
        <v>0</v>
      </c>
      <c r="I87" s="421">
        <v>0</v>
      </c>
      <c r="J87" s="421">
        <v>0</v>
      </c>
      <c r="K87" s="421">
        <v>0</v>
      </c>
      <c r="L87" s="421">
        <v>0</v>
      </c>
      <c r="M87" s="421">
        <v>0</v>
      </c>
      <c r="N87" s="421">
        <v>0</v>
      </c>
      <c r="O87" s="421">
        <v>0</v>
      </c>
      <c r="P87" s="421">
        <v>0</v>
      </c>
      <c r="Q87" s="421">
        <v>0</v>
      </c>
      <c r="R87" s="421">
        <v>0</v>
      </c>
      <c r="S87" s="423">
        <v>970.73678298473703</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-31.629492690064499</v>
      </c>
      <c r="Q88" s="421">
        <v>0</v>
      </c>
      <c r="R88" s="421">
        <v>0</v>
      </c>
      <c r="S88" s="423">
        <v>-31.629492690064499</v>
      </c>
      <c r="T88" s="412"/>
    </row>
    <row r="89" spans="2:20" ht="13.5">
      <c r="B89" s="412"/>
      <c r="C89" s="420" t="s">
        <v>62</v>
      </c>
      <c r="D89" s="421">
        <v>0</v>
      </c>
      <c r="E89" s="421">
        <v>0</v>
      </c>
      <c r="F89" s="421">
        <v>-15.8559052566209</v>
      </c>
      <c r="G89" s="421">
        <v>0</v>
      </c>
      <c r="H89" s="421">
        <v>0</v>
      </c>
      <c r="I89" s="421">
        <v>0</v>
      </c>
      <c r="J89" s="421">
        <v>0</v>
      </c>
      <c r="K89" s="421">
        <v>0</v>
      </c>
      <c r="L89" s="421">
        <v>0</v>
      </c>
      <c r="M89" s="421">
        <v>0</v>
      </c>
      <c r="N89" s="421">
        <v>0</v>
      </c>
      <c r="O89" s="421">
        <v>0</v>
      </c>
      <c r="P89" s="421">
        <v>0</v>
      </c>
      <c r="Q89" s="421">
        <v>0</v>
      </c>
      <c r="R89" s="421">
        <v>0</v>
      </c>
      <c r="S89" s="423">
        <v>-15.8559052566209</v>
      </c>
      <c r="T89" s="412"/>
    </row>
    <row r="90" spans="2:20" ht="13.5">
      <c r="B90" s="412"/>
      <c r="C90" s="420" t="s">
        <v>63</v>
      </c>
      <c r="D90" s="421">
        <v>0</v>
      </c>
      <c r="E90" s="421">
        <v>0</v>
      </c>
      <c r="F90" s="421">
        <v>-86.773262368245497</v>
      </c>
      <c r="G90" s="421">
        <v>0</v>
      </c>
      <c r="H90" s="421">
        <v>0</v>
      </c>
      <c r="I90" s="421">
        <v>0</v>
      </c>
      <c r="J90" s="421">
        <v>0</v>
      </c>
      <c r="K90" s="421">
        <v>0</v>
      </c>
      <c r="L90" s="421">
        <v>-0.89665432830126901</v>
      </c>
      <c r="M90" s="421">
        <v>0</v>
      </c>
      <c r="N90" s="421">
        <v>0</v>
      </c>
      <c r="O90" s="421">
        <v>0</v>
      </c>
      <c r="P90" s="421">
        <v>0</v>
      </c>
      <c r="Q90" s="421">
        <v>0</v>
      </c>
      <c r="R90" s="421">
        <v>0</v>
      </c>
      <c r="S90" s="423">
        <v>-87.669916696546807</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32.718430513686002</v>
      </c>
      <c r="E92" s="425">
        <v>504.19228646673599</v>
      </c>
      <c r="F92" s="425">
        <v>-44.3525603088057</v>
      </c>
      <c r="G92" s="425">
        <v>375.54945868825399</v>
      </c>
      <c r="H92" s="425">
        <v>959.09090909090901</v>
      </c>
      <c r="I92" s="425">
        <v>262.58</v>
      </c>
      <c r="J92" s="425">
        <v>180.265617568263</v>
      </c>
      <c r="K92" s="425">
        <v>23.099472372796701</v>
      </c>
      <c r="L92" s="425">
        <v>-0.89665432830126901</v>
      </c>
      <c r="M92" s="425">
        <v>0</v>
      </c>
      <c r="N92" s="425">
        <v>59.577309191786703</v>
      </c>
      <c r="O92" s="425">
        <v>4.0524132365006302</v>
      </c>
      <c r="P92" s="425">
        <v>-31.629492690064499</v>
      </c>
      <c r="Q92" s="425">
        <v>0</v>
      </c>
      <c r="R92" s="425">
        <v>0</v>
      </c>
      <c r="S92" s="425">
        <v>2324.2471898017602</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17.735248612195999</v>
      </c>
      <c r="H95" s="421">
        <v>959.09090909090901</v>
      </c>
      <c r="I95" s="421">
        <v>262.58</v>
      </c>
      <c r="J95" s="421">
        <v>23.4611328004797</v>
      </c>
      <c r="K95" s="421">
        <v>6.2174163871509203</v>
      </c>
      <c r="L95" s="421">
        <v>0</v>
      </c>
      <c r="M95" s="421">
        <v>0.36194384922848999</v>
      </c>
      <c r="N95" s="421">
        <v>0</v>
      </c>
      <c r="O95" s="421">
        <v>0</v>
      </c>
      <c r="P95" s="421">
        <v>-601.88588566531905</v>
      </c>
      <c r="Q95" s="421">
        <v>0</v>
      </c>
      <c r="R95" s="421">
        <v>0</v>
      </c>
      <c r="S95" s="429">
        <v>673.62487217384796</v>
      </c>
      <c r="T95" s="412"/>
    </row>
    <row r="96" spans="2:20" ht="13.5">
      <c r="B96" s="412"/>
      <c r="C96" s="428" t="s">
        <v>351</v>
      </c>
      <c r="D96" s="421">
        <v>0</v>
      </c>
      <c r="E96" s="421">
        <v>0</v>
      </c>
      <c r="F96" s="421">
        <v>0</v>
      </c>
      <c r="G96" s="421">
        <v>17.183924372650001</v>
      </c>
      <c r="H96" s="421">
        <v>0</v>
      </c>
      <c r="I96" s="421">
        <v>0</v>
      </c>
      <c r="J96" s="421">
        <v>12.602550905863099</v>
      </c>
      <c r="K96" s="421">
        <v>12.7146561007388</v>
      </c>
      <c r="L96" s="421">
        <v>0</v>
      </c>
      <c r="M96" s="421">
        <v>0.35069233413571399</v>
      </c>
      <c r="N96" s="421">
        <v>0</v>
      </c>
      <c r="O96" s="421">
        <v>2.2448826639763899</v>
      </c>
      <c r="P96" s="421">
        <v>0</v>
      </c>
      <c r="Q96" s="421">
        <v>-41.019007188274998</v>
      </c>
      <c r="R96" s="421">
        <v>0</v>
      </c>
      <c r="S96" s="429">
        <v>4.0776991890889702</v>
      </c>
      <c r="T96" s="412"/>
    </row>
    <row r="97" spans="2:20" ht="13.5">
      <c r="B97" s="412"/>
      <c r="C97" s="428" t="s">
        <v>352</v>
      </c>
      <c r="D97" s="421">
        <v>0</v>
      </c>
      <c r="E97" s="421">
        <v>0</v>
      </c>
      <c r="F97" s="421">
        <v>0</v>
      </c>
      <c r="G97" s="421">
        <v>0</v>
      </c>
      <c r="H97" s="421">
        <v>0</v>
      </c>
      <c r="I97" s="421">
        <v>0</v>
      </c>
      <c r="J97" s="421">
        <v>8.1259394649786305</v>
      </c>
      <c r="K97" s="421">
        <v>0</v>
      </c>
      <c r="L97" s="421">
        <v>0</v>
      </c>
      <c r="M97" s="421">
        <v>-7.4149197617929996</v>
      </c>
      <c r="N97" s="421">
        <v>0</v>
      </c>
      <c r="O97" s="421">
        <v>0</v>
      </c>
      <c r="P97" s="421">
        <v>0</v>
      </c>
      <c r="Q97" s="421">
        <v>0</v>
      </c>
      <c r="R97" s="421">
        <v>0</v>
      </c>
      <c r="S97" s="429">
        <v>0.71101970318563101</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522.289621864335</v>
      </c>
      <c r="F99" s="421">
        <v>-517.06672564569203</v>
      </c>
      <c r="G99" s="421">
        <v>0</v>
      </c>
      <c r="H99" s="421">
        <v>0</v>
      </c>
      <c r="I99" s="421">
        <v>0</v>
      </c>
      <c r="J99" s="421">
        <v>0</v>
      </c>
      <c r="K99" s="421">
        <v>0</v>
      </c>
      <c r="L99" s="421">
        <v>0</v>
      </c>
      <c r="M99" s="421">
        <v>0</v>
      </c>
      <c r="N99" s="421">
        <v>0</v>
      </c>
      <c r="O99" s="421">
        <v>0</v>
      </c>
      <c r="P99" s="421">
        <v>0</v>
      </c>
      <c r="Q99" s="421">
        <v>0</v>
      </c>
      <c r="R99" s="421">
        <v>0</v>
      </c>
      <c r="S99" s="429">
        <v>5.2228962186433101</v>
      </c>
      <c r="T99" s="412"/>
    </row>
    <row r="100" spans="2:20" ht="13.5">
      <c r="B100" s="412"/>
      <c r="C100" s="428" t="s">
        <v>354</v>
      </c>
      <c r="D100" s="421">
        <v>0</v>
      </c>
      <c r="E100" s="421">
        <v>0</v>
      </c>
      <c r="F100" s="421">
        <v>0</v>
      </c>
      <c r="G100" s="421">
        <v>0</v>
      </c>
      <c r="H100" s="421">
        <v>0</v>
      </c>
      <c r="I100" s="421">
        <v>0</v>
      </c>
      <c r="J100" s="421">
        <v>39.636150809514099</v>
      </c>
      <c r="K100" s="421">
        <v>0</v>
      </c>
      <c r="L100" s="421">
        <v>-39.636150809514099</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-0.18158952535457601</v>
      </c>
      <c r="M101" s="421">
        <v>0</v>
      </c>
      <c r="N101" s="421">
        <v>0</v>
      </c>
      <c r="O101" s="421">
        <v>0</v>
      </c>
      <c r="P101" s="421">
        <v>0</v>
      </c>
      <c r="Q101" s="421">
        <v>0</v>
      </c>
      <c r="R101" s="421">
        <v>0.25941360764939397</v>
      </c>
      <c r="S101" s="429">
        <v>7.7824082294818103E-2</v>
      </c>
      <c r="T101" s="412"/>
    </row>
    <row r="102" spans="2:20" ht="13.5">
      <c r="B102" s="412"/>
      <c r="C102" s="428" t="s">
        <v>73</v>
      </c>
      <c r="D102" s="421">
        <v>0</v>
      </c>
      <c r="E102" s="421">
        <v>0</v>
      </c>
      <c r="F102" s="421">
        <v>0</v>
      </c>
      <c r="G102" s="421">
        <v>3.8743456372163201</v>
      </c>
      <c r="H102" s="421">
        <v>0</v>
      </c>
      <c r="I102" s="421">
        <v>0</v>
      </c>
      <c r="J102" s="421">
        <v>0</v>
      </c>
      <c r="K102" s="421">
        <v>4.4420381073335499E-2</v>
      </c>
      <c r="L102" s="421">
        <v>0</v>
      </c>
      <c r="M102" s="421">
        <v>7.9068278310537199E-2</v>
      </c>
      <c r="N102" s="421">
        <v>0</v>
      </c>
      <c r="O102" s="421">
        <v>0</v>
      </c>
      <c r="P102" s="421">
        <v>0.45393090147934101</v>
      </c>
      <c r="Q102" s="421">
        <v>0</v>
      </c>
      <c r="R102" s="421">
        <v>-3.10942667513349</v>
      </c>
      <c r="S102" s="429">
        <v>1.3423385229460501</v>
      </c>
      <c r="T102" s="412"/>
    </row>
    <row r="103" spans="2:20" ht="13.5">
      <c r="B103" s="412"/>
      <c r="C103" s="428" t="s">
        <v>356</v>
      </c>
      <c r="D103" s="421">
        <v>13.757025878906299</v>
      </c>
      <c r="E103" s="421">
        <v>-18.097335397599199</v>
      </c>
      <c r="F103" s="421">
        <v>23.670245777269098</v>
      </c>
      <c r="G103" s="421">
        <v>0</v>
      </c>
      <c r="H103" s="421">
        <v>0</v>
      </c>
      <c r="I103" s="421">
        <v>0</v>
      </c>
      <c r="J103" s="421">
        <v>0</v>
      </c>
      <c r="K103" s="421">
        <v>0</v>
      </c>
      <c r="L103" s="421">
        <v>0</v>
      </c>
      <c r="M103" s="421">
        <v>0</v>
      </c>
      <c r="N103" s="421">
        <v>0</v>
      </c>
      <c r="O103" s="421">
        <v>0</v>
      </c>
      <c r="P103" s="421">
        <v>0</v>
      </c>
      <c r="Q103" s="421">
        <v>0</v>
      </c>
      <c r="R103" s="421">
        <v>0</v>
      </c>
      <c r="S103" s="429">
        <v>19.329936258576101</v>
      </c>
      <c r="T103" s="412"/>
    </row>
    <row r="104" spans="2:20" ht="13.5">
      <c r="B104" s="412"/>
      <c r="C104" s="428" t="s">
        <v>75</v>
      </c>
      <c r="D104" s="421">
        <v>9.7066552734374998</v>
      </c>
      <c r="E104" s="421">
        <v>0</v>
      </c>
      <c r="F104" s="421">
        <v>17.757847143387401</v>
      </c>
      <c r="G104" s="421">
        <v>5.0672539113277804</v>
      </c>
      <c r="H104" s="421">
        <v>0</v>
      </c>
      <c r="I104" s="421">
        <v>0</v>
      </c>
      <c r="J104" s="421">
        <v>0</v>
      </c>
      <c r="K104" s="421">
        <v>0</v>
      </c>
      <c r="L104" s="421">
        <v>0</v>
      </c>
      <c r="M104" s="421">
        <v>0.103413345129138</v>
      </c>
      <c r="N104" s="421">
        <v>0</v>
      </c>
      <c r="O104" s="421">
        <v>0</v>
      </c>
      <c r="P104" s="421">
        <v>30.6584761014478</v>
      </c>
      <c r="Q104" s="421">
        <v>0</v>
      </c>
      <c r="R104" s="421">
        <v>0</v>
      </c>
      <c r="S104" s="429">
        <v>63.293645774729598</v>
      </c>
      <c r="T104" s="412"/>
    </row>
    <row r="105" spans="2:20" ht="13.5">
      <c r="B105" s="412"/>
      <c r="C105" s="428" t="s">
        <v>76</v>
      </c>
      <c r="D105" s="421">
        <v>0</v>
      </c>
      <c r="E105" s="421">
        <v>0</v>
      </c>
      <c r="F105" s="421">
        <v>0</v>
      </c>
      <c r="G105" s="421">
        <v>4.3082735374844701</v>
      </c>
      <c r="H105" s="421">
        <v>0</v>
      </c>
      <c r="I105" s="421">
        <v>0</v>
      </c>
      <c r="J105" s="421">
        <v>0</v>
      </c>
      <c r="K105" s="421">
        <v>0</v>
      </c>
      <c r="L105" s="421">
        <v>0</v>
      </c>
      <c r="M105" s="421">
        <v>8.7923949744581106E-2</v>
      </c>
      <c r="N105" s="421">
        <v>0</v>
      </c>
      <c r="O105" s="421">
        <v>0</v>
      </c>
      <c r="P105" s="421">
        <v>43.703860218786801</v>
      </c>
      <c r="Q105" s="421">
        <v>3.1785946529659599</v>
      </c>
      <c r="R105" s="421">
        <v>0</v>
      </c>
      <c r="S105" s="429">
        <v>51.278652358981802</v>
      </c>
      <c r="T105" s="412"/>
    </row>
    <row r="106" spans="2:20" ht="13.5">
      <c r="B106" s="412"/>
      <c r="C106" s="424" t="s">
        <v>77</v>
      </c>
      <c r="D106" s="425">
        <v>25.6641518879103</v>
      </c>
      <c r="E106" s="425">
        <v>504.19228646673599</v>
      </c>
      <c r="F106" s="425">
        <v>-471.77499636139902</v>
      </c>
      <c r="G106" s="425">
        <v>48.1690460708746</v>
      </c>
      <c r="H106" s="425">
        <v>959.09090909090901</v>
      </c>
      <c r="I106" s="425">
        <v>262.58</v>
      </c>
      <c r="J106" s="425">
        <v>83.825773980835606</v>
      </c>
      <c r="K106" s="425">
        <v>18.976492868963099</v>
      </c>
      <c r="L106" s="425">
        <v>-39.817740334868702</v>
      </c>
      <c r="M106" s="425">
        <v>-6.4318780052445401</v>
      </c>
      <c r="N106" s="425">
        <v>0</v>
      </c>
      <c r="O106" s="425">
        <v>2.2448826639763899</v>
      </c>
      <c r="P106" s="425">
        <v>-527.06961844360501</v>
      </c>
      <c r="Q106" s="425">
        <v>-37.840412535309099</v>
      </c>
      <c r="R106" s="425">
        <v>-2.85001306748409</v>
      </c>
      <c r="S106" s="425">
        <v>818.958884282295</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4.8707551882757301</v>
      </c>
      <c r="E108" s="421">
        <v>0</v>
      </c>
      <c r="F108" s="421">
        <v>20.993444165004</v>
      </c>
      <c r="G108" s="421">
        <v>101.297175428703</v>
      </c>
      <c r="H108" s="421">
        <v>0</v>
      </c>
      <c r="I108" s="421">
        <v>0</v>
      </c>
      <c r="J108" s="421">
        <v>17.0565927141357</v>
      </c>
      <c r="K108" s="421">
        <v>4.1229795038336201</v>
      </c>
      <c r="L108" s="421">
        <v>0.85536540625000002</v>
      </c>
      <c r="M108" s="421">
        <v>2.0672892944633201</v>
      </c>
      <c r="N108" s="421">
        <v>0</v>
      </c>
      <c r="O108" s="421">
        <v>0</v>
      </c>
      <c r="P108" s="421">
        <v>110.160518652362</v>
      </c>
      <c r="Q108" s="421">
        <v>18.409316628727701</v>
      </c>
      <c r="R108" s="421">
        <v>0.24532713317871099</v>
      </c>
      <c r="S108" s="429">
        <v>280.07876411493402</v>
      </c>
      <c r="T108" s="412"/>
    </row>
    <row r="109" spans="2:20" ht="13.5">
      <c r="B109" s="412"/>
      <c r="C109" s="428" t="s">
        <v>79</v>
      </c>
      <c r="D109" s="421">
        <v>0</v>
      </c>
      <c r="E109" s="421">
        <v>0</v>
      </c>
      <c r="F109" s="421">
        <v>232.66006634693801</v>
      </c>
      <c r="G109" s="421">
        <v>30.945196482305999</v>
      </c>
      <c r="H109" s="421">
        <v>0</v>
      </c>
      <c r="I109" s="421">
        <v>0</v>
      </c>
      <c r="J109" s="421">
        <v>0</v>
      </c>
      <c r="K109" s="421">
        <v>0</v>
      </c>
      <c r="L109" s="421">
        <v>23.571302525286502</v>
      </c>
      <c r="M109" s="421">
        <v>0.63153462208787803</v>
      </c>
      <c r="N109" s="421">
        <v>0</v>
      </c>
      <c r="O109" s="421">
        <v>0</v>
      </c>
      <c r="P109" s="421">
        <v>58.064871561766502</v>
      </c>
      <c r="Q109" s="421">
        <v>0</v>
      </c>
      <c r="R109" s="421">
        <v>2.0183635099889798</v>
      </c>
      <c r="S109" s="429">
        <v>347.891335048374</v>
      </c>
      <c r="T109" s="412"/>
    </row>
    <row r="110" spans="2:20" ht="13.5">
      <c r="B110" s="412"/>
      <c r="C110" s="428" t="s">
        <v>80</v>
      </c>
      <c r="D110" s="421">
        <v>0</v>
      </c>
      <c r="E110" s="421">
        <v>0</v>
      </c>
      <c r="F110" s="421">
        <v>17.5598675682925</v>
      </c>
      <c r="G110" s="421">
        <v>111.929219277919</v>
      </c>
      <c r="H110" s="421">
        <v>0</v>
      </c>
      <c r="I110" s="421">
        <v>0</v>
      </c>
      <c r="J110" s="421">
        <v>74.389853901213101</v>
      </c>
      <c r="K110" s="421">
        <v>0</v>
      </c>
      <c r="L110" s="421">
        <v>0</v>
      </c>
      <c r="M110" s="421">
        <v>2.2842697811820298</v>
      </c>
      <c r="N110" s="421">
        <v>53.007893982905898</v>
      </c>
      <c r="O110" s="421">
        <v>0.95506902656111503</v>
      </c>
      <c r="P110" s="421">
        <v>180.360799216462</v>
      </c>
      <c r="Q110" s="421">
        <v>15.433765533154</v>
      </c>
      <c r="R110" s="421">
        <v>0</v>
      </c>
      <c r="S110" s="429">
        <v>455.92073828769003</v>
      </c>
      <c r="T110" s="412"/>
    </row>
    <row r="111" spans="2:20" ht="13.5">
      <c r="B111" s="412"/>
      <c r="C111" s="428" t="s">
        <v>81</v>
      </c>
      <c r="D111" s="421">
        <v>0</v>
      </c>
      <c r="E111" s="421">
        <v>0</v>
      </c>
      <c r="F111" s="421">
        <v>7.3923055794682702</v>
      </c>
      <c r="G111" s="421">
        <v>65.894293417713897</v>
      </c>
      <c r="H111" s="421">
        <v>0</v>
      </c>
      <c r="I111" s="421">
        <v>0</v>
      </c>
      <c r="J111" s="421">
        <v>3.41214349769231</v>
      </c>
      <c r="K111" s="421">
        <v>0</v>
      </c>
      <c r="L111" s="421">
        <v>0</v>
      </c>
      <c r="M111" s="421">
        <v>1.34478149832069</v>
      </c>
      <c r="N111" s="421">
        <v>6.5694152088807796</v>
      </c>
      <c r="O111" s="421">
        <v>0.78006902491520902</v>
      </c>
      <c r="P111" s="421">
        <v>139.183172558515</v>
      </c>
      <c r="Q111" s="421">
        <v>3.99733037342736</v>
      </c>
      <c r="R111" s="421">
        <v>0</v>
      </c>
      <c r="S111" s="429">
        <v>228.573511158934</v>
      </c>
      <c r="T111" s="412"/>
    </row>
    <row r="112" spans="2:20" ht="13.5">
      <c r="B112" s="412"/>
      <c r="C112" s="428" t="s">
        <v>82</v>
      </c>
      <c r="D112" s="421">
        <v>0</v>
      </c>
      <c r="E112" s="421">
        <v>0</v>
      </c>
      <c r="F112" s="421">
        <v>10.671888604675701</v>
      </c>
      <c r="G112" s="421">
        <v>5.0961376503405704</v>
      </c>
      <c r="H112" s="421">
        <v>0</v>
      </c>
      <c r="I112" s="421">
        <v>0</v>
      </c>
      <c r="J112" s="421">
        <v>1.58125347438603</v>
      </c>
      <c r="K112" s="421">
        <v>0</v>
      </c>
      <c r="L112" s="421">
        <v>14.494418075031</v>
      </c>
      <c r="M112" s="421">
        <v>0.104002809190624</v>
      </c>
      <c r="N112" s="421">
        <v>0</v>
      </c>
      <c r="O112" s="421">
        <v>7.2392521047915395E-2</v>
      </c>
      <c r="P112" s="421">
        <v>7.67076376443437</v>
      </c>
      <c r="Q112" s="421">
        <v>0</v>
      </c>
      <c r="R112" s="421">
        <v>0</v>
      </c>
      <c r="S112" s="429">
        <v>39.690856899106201</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4.8707551882757301</v>
      </c>
      <c r="E114" s="425">
        <v>0</v>
      </c>
      <c r="F114" s="425">
        <v>289.27757226437899</v>
      </c>
      <c r="G114" s="425">
        <v>315.16202225698203</v>
      </c>
      <c r="H114" s="425">
        <v>0</v>
      </c>
      <c r="I114" s="425">
        <v>0</v>
      </c>
      <c r="J114" s="425">
        <v>96.439843587427205</v>
      </c>
      <c r="K114" s="425">
        <v>4.1229795038336201</v>
      </c>
      <c r="L114" s="425">
        <v>38.9210860065674</v>
      </c>
      <c r="M114" s="425">
        <v>6.4318780052445401</v>
      </c>
      <c r="N114" s="425">
        <v>59.577309191786703</v>
      </c>
      <c r="O114" s="425">
        <v>1.8075305725242401</v>
      </c>
      <c r="P114" s="425">
        <v>495.440125753541</v>
      </c>
      <c r="Q114" s="425">
        <v>37.840412535309099</v>
      </c>
      <c r="R114" s="425">
        <v>2.2636906431676902</v>
      </c>
      <c r="S114" s="425">
        <v>1352.1552055090399</v>
      </c>
      <c r="T114" s="412"/>
    </row>
    <row r="115" spans="2:20" ht="13.5">
      <c r="B115" s="412"/>
      <c r="C115" s="420" t="s">
        <v>84</v>
      </c>
      <c r="D115" s="421">
        <v>2.1835234374999999</v>
      </c>
      <c r="E115" s="421">
        <v>0</v>
      </c>
      <c r="F115" s="421">
        <v>138.144863788214</v>
      </c>
      <c r="G115" s="421">
        <v>12.218390360397301</v>
      </c>
      <c r="H115" s="421">
        <v>0</v>
      </c>
      <c r="I115" s="421">
        <v>0</v>
      </c>
      <c r="J115" s="421">
        <v>0</v>
      </c>
      <c r="K115" s="421">
        <v>0</v>
      </c>
      <c r="L115" s="421">
        <v>0</v>
      </c>
      <c r="M115" s="421">
        <v>0</v>
      </c>
      <c r="N115" s="421">
        <v>0</v>
      </c>
      <c r="O115" s="421">
        <v>0</v>
      </c>
      <c r="P115" s="421">
        <v>0</v>
      </c>
      <c r="Q115" s="421">
        <v>0</v>
      </c>
      <c r="R115" s="421">
        <v>0.58632242431640602</v>
      </c>
      <c r="S115" s="429">
        <v>153.133100010428</v>
      </c>
      <c r="T115" s="412"/>
    </row>
    <row r="116" spans="2:20" ht="13.5">
      <c r="B116" s="412"/>
      <c r="C116" s="424" t="s">
        <v>85</v>
      </c>
      <c r="D116" s="425">
        <v>7.0542786257757299</v>
      </c>
      <c r="E116" s="425">
        <v>0</v>
      </c>
      <c r="F116" s="425">
        <v>427.42243605259301</v>
      </c>
      <c r="G116" s="425">
        <v>327.38041261737999</v>
      </c>
      <c r="H116" s="425">
        <v>0</v>
      </c>
      <c r="I116" s="425">
        <v>0</v>
      </c>
      <c r="J116" s="425">
        <v>96.439843587427205</v>
      </c>
      <c r="K116" s="425">
        <v>4.1229795038336201</v>
      </c>
      <c r="L116" s="425">
        <v>38.9210860065674</v>
      </c>
      <c r="M116" s="425">
        <v>6.4318780052445401</v>
      </c>
      <c r="N116" s="425">
        <v>59.577309191786703</v>
      </c>
      <c r="O116" s="425">
        <v>1.8075305725242401</v>
      </c>
      <c r="P116" s="425">
        <v>495.440125753541</v>
      </c>
      <c r="Q116" s="425">
        <v>37.840412535309099</v>
      </c>
      <c r="R116" s="425">
        <v>2.85001306748409</v>
      </c>
      <c r="S116" s="425">
        <v>1505.28830551947</v>
      </c>
      <c r="T116" s="412"/>
    </row>
    <row r="117" spans="2:20">
      <c r="B117" s="412"/>
      <c r="C117" s="412"/>
      <c r="D117" s="430">
        <f t="shared" ref="D117:S117" si="2">D116+D106-D92</f>
        <v>0</v>
      </c>
      <c r="E117" s="430">
        <f t="shared" si="2"/>
        <v>0</v>
      </c>
      <c r="F117" s="430">
        <f t="shared" si="2"/>
        <v>-3.0553337637684308E-13</v>
      </c>
      <c r="G117" s="430">
        <f t="shared" si="2"/>
        <v>6.2527760746888816E-13</v>
      </c>
      <c r="H117" s="430">
        <f t="shared" si="2"/>
        <v>0</v>
      </c>
      <c r="I117" s="430">
        <f t="shared" si="2"/>
        <v>0</v>
      </c>
      <c r="J117" s="430">
        <f t="shared" si="2"/>
        <v>0</v>
      </c>
      <c r="K117" s="430">
        <f t="shared" si="2"/>
        <v>0</v>
      </c>
      <c r="L117" s="430">
        <f t="shared" si="2"/>
        <v>-3.3417713041217212E-14</v>
      </c>
      <c r="M117" s="430">
        <f t="shared" si="2"/>
        <v>0</v>
      </c>
      <c r="N117" s="430">
        <f t="shared" si="2"/>
        <v>0</v>
      </c>
      <c r="O117" s="430">
        <f t="shared" si="2"/>
        <v>0</v>
      </c>
      <c r="P117" s="430">
        <f t="shared" si="2"/>
        <v>4.8672177399566863E-13</v>
      </c>
      <c r="Q117" s="430">
        <f t="shared" si="2"/>
        <v>0</v>
      </c>
      <c r="R117" s="430">
        <f t="shared" si="2"/>
        <v>0</v>
      </c>
      <c r="S117" s="430">
        <f t="shared" si="2"/>
        <v>4.5474735088646412E-12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364</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0</v>
      </c>
      <c r="F123" s="421">
        <v>0</v>
      </c>
      <c r="G123" s="421">
        <v>0</v>
      </c>
      <c r="H123" s="422">
        <v>843.18181818181802</v>
      </c>
      <c r="I123" s="422">
        <v>303.83</v>
      </c>
      <c r="J123" s="422">
        <v>180.58227082712199</v>
      </c>
      <c r="K123" s="422">
        <v>22.584752367457401</v>
      </c>
      <c r="L123" s="421">
        <v>0</v>
      </c>
      <c r="M123" s="421">
        <v>0</v>
      </c>
      <c r="N123" s="422">
        <v>64.228247119713899</v>
      </c>
      <c r="O123" s="422">
        <v>4.0154786653397201</v>
      </c>
      <c r="P123" s="421">
        <v>0</v>
      </c>
      <c r="Q123" s="421">
        <v>0</v>
      </c>
      <c r="R123" s="421">
        <v>0</v>
      </c>
      <c r="S123" s="423">
        <v>1418.4225671614499</v>
      </c>
      <c r="T123" s="412"/>
    </row>
    <row r="124" spans="2:20" ht="13.5">
      <c r="B124" s="412"/>
      <c r="C124" s="420" t="s">
        <v>60</v>
      </c>
      <c r="D124" s="421">
        <v>30.885603791058401</v>
      </c>
      <c r="E124" s="421">
        <v>484.495467583368</v>
      </c>
      <c r="F124" s="421">
        <v>42.659321237611302</v>
      </c>
      <c r="G124" s="421">
        <v>385.71207499197101</v>
      </c>
      <c r="H124" s="421">
        <v>0</v>
      </c>
      <c r="I124" s="421">
        <v>0</v>
      </c>
      <c r="J124" s="421">
        <v>0</v>
      </c>
      <c r="K124" s="421">
        <v>0</v>
      </c>
      <c r="L124" s="421">
        <v>0</v>
      </c>
      <c r="M124" s="421">
        <v>0</v>
      </c>
      <c r="N124" s="421">
        <v>0</v>
      </c>
      <c r="O124" s="421">
        <v>0</v>
      </c>
      <c r="P124" s="421">
        <v>0</v>
      </c>
      <c r="Q124" s="421">
        <v>0</v>
      </c>
      <c r="R124" s="421">
        <v>0</v>
      </c>
      <c r="S124" s="423">
        <v>943.75246760400796</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-18.341336792236799</v>
      </c>
      <c r="Q125" s="421">
        <v>0</v>
      </c>
      <c r="R125" s="421">
        <v>0</v>
      </c>
      <c r="S125" s="423">
        <v>-18.341336792236799</v>
      </c>
      <c r="T125" s="412"/>
    </row>
    <row r="126" spans="2:20" ht="13.5">
      <c r="B126" s="412"/>
      <c r="C126" s="420" t="s">
        <v>62</v>
      </c>
      <c r="D126" s="421">
        <v>0</v>
      </c>
      <c r="E126" s="421">
        <v>0</v>
      </c>
      <c r="F126" s="421">
        <v>-15.257294848391901</v>
      </c>
      <c r="G126" s="421">
        <v>0</v>
      </c>
      <c r="H126" s="421">
        <v>0</v>
      </c>
      <c r="I126" s="421">
        <v>0</v>
      </c>
      <c r="J126" s="421">
        <v>0</v>
      </c>
      <c r="K126" s="421">
        <v>0</v>
      </c>
      <c r="L126" s="421">
        <v>0</v>
      </c>
      <c r="M126" s="421">
        <v>0</v>
      </c>
      <c r="N126" s="421">
        <v>0</v>
      </c>
      <c r="O126" s="421">
        <v>0</v>
      </c>
      <c r="P126" s="421">
        <v>0</v>
      </c>
      <c r="Q126" s="421">
        <v>0</v>
      </c>
      <c r="R126" s="421">
        <v>0</v>
      </c>
      <c r="S126" s="423">
        <v>-15.257294848391901</v>
      </c>
      <c r="T126" s="412"/>
    </row>
    <row r="127" spans="2:20" ht="13.5">
      <c r="B127" s="412"/>
      <c r="C127" s="420" t="s">
        <v>63</v>
      </c>
      <c r="D127" s="421">
        <v>0</v>
      </c>
      <c r="E127" s="421">
        <v>0</v>
      </c>
      <c r="F127" s="421">
        <v>-90.626969920873506</v>
      </c>
      <c r="G127" s="421">
        <v>0</v>
      </c>
      <c r="H127" s="421">
        <v>0</v>
      </c>
      <c r="I127" s="421">
        <v>0</v>
      </c>
      <c r="J127" s="421">
        <v>0</v>
      </c>
      <c r="K127" s="421">
        <v>0</v>
      </c>
      <c r="L127" s="421">
        <v>-0.93615330165546395</v>
      </c>
      <c r="M127" s="421">
        <v>0</v>
      </c>
      <c r="N127" s="421">
        <v>0</v>
      </c>
      <c r="O127" s="421">
        <v>0</v>
      </c>
      <c r="P127" s="421">
        <v>0</v>
      </c>
      <c r="Q127" s="421">
        <v>0</v>
      </c>
      <c r="R127" s="421">
        <v>0</v>
      </c>
      <c r="S127" s="423">
        <v>-91.563123222528901</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30.885603791058401</v>
      </c>
      <c r="E129" s="425">
        <v>484.495467583368</v>
      </c>
      <c r="F129" s="425">
        <v>-63.224943531653999</v>
      </c>
      <c r="G129" s="425">
        <v>385.71207499197101</v>
      </c>
      <c r="H129" s="425">
        <v>843.18181818181802</v>
      </c>
      <c r="I129" s="425">
        <v>303.83</v>
      </c>
      <c r="J129" s="425">
        <v>180.58227082712199</v>
      </c>
      <c r="K129" s="425">
        <v>22.584752367457401</v>
      </c>
      <c r="L129" s="425">
        <v>-0.93615330165546395</v>
      </c>
      <c r="M129" s="425">
        <v>0</v>
      </c>
      <c r="N129" s="425">
        <v>64.228247119713899</v>
      </c>
      <c r="O129" s="425">
        <v>4.0154786653397201</v>
      </c>
      <c r="P129" s="425">
        <v>-18.341336792236799</v>
      </c>
      <c r="Q129" s="425">
        <v>0</v>
      </c>
      <c r="R129" s="425">
        <v>0</v>
      </c>
      <c r="S129" s="425">
        <v>2237.0132799022999</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26.7514143940613</v>
      </c>
      <c r="H132" s="421">
        <v>843.18181818181802</v>
      </c>
      <c r="I132" s="421">
        <v>303.83</v>
      </c>
      <c r="J132" s="421">
        <v>22.093473329706701</v>
      </c>
      <c r="K132" s="421">
        <v>5.8025151206166701</v>
      </c>
      <c r="L132" s="421">
        <v>0</v>
      </c>
      <c r="M132" s="421">
        <v>0.54594723253186395</v>
      </c>
      <c r="N132" s="421">
        <v>0</v>
      </c>
      <c r="O132" s="421">
        <v>0</v>
      </c>
      <c r="P132" s="421">
        <v>-610.51719995562303</v>
      </c>
      <c r="Q132" s="421">
        <v>0</v>
      </c>
      <c r="R132" s="421">
        <v>0</v>
      </c>
      <c r="S132" s="429">
        <v>597.75207540231395</v>
      </c>
      <c r="T132" s="412"/>
    </row>
    <row r="133" spans="2:20" ht="13.5">
      <c r="B133" s="412"/>
      <c r="C133" s="428" t="s">
        <v>351</v>
      </c>
      <c r="D133" s="421">
        <v>0</v>
      </c>
      <c r="E133" s="421">
        <v>0</v>
      </c>
      <c r="F133" s="421">
        <v>0</v>
      </c>
      <c r="G133" s="421">
        <v>17.221669860310801</v>
      </c>
      <c r="H133" s="421">
        <v>0</v>
      </c>
      <c r="I133" s="421">
        <v>0</v>
      </c>
      <c r="J133" s="421">
        <v>12.443095766795199</v>
      </c>
      <c r="K133" s="421">
        <v>12.7366574955616</v>
      </c>
      <c r="L133" s="421">
        <v>0</v>
      </c>
      <c r="M133" s="421">
        <v>0.351462650210425</v>
      </c>
      <c r="N133" s="421">
        <v>0</v>
      </c>
      <c r="O133" s="421">
        <v>2.25021562141669</v>
      </c>
      <c r="P133" s="421">
        <v>0</v>
      </c>
      <c r="Q133" s="421">
        <v>-41.107889812280099</v>
      </c>
      <c r="R133" s="421">
        <v>0</v>
      </c>
      <c r="S133" s="429">
        <v>3.8952115820145798</v>
      </c>
      <c r="T133" s="412"/>
    </row>
    <row r="134" spans="2:20" ht="13.5">
      <c r="B134" s="412"/>
      <c r="C134" s="428" t="s">
        <v>352</v>
      </c>
      <c r="D134" s="421">
        <v>0</v>
      </c>
      <c r="E134" s="421">
        <v>0</v>
      </c>
      <c r="F134" s="421">
        <v>0</v>
      </c>
      <c r="G134" s="421">
        <v>0</v>
      </c>
      <c r="H134" s="421">
        <v>0</v>
      </c>
      <c r="I134" s="421">
        <v>0</v>
      </c>
      <c r="J134" s="421">
        <v>8.1664030992761294</v>
      </c>
      <c r="K134" s="421">
        <v>0</v>
      </c>
      <c r="L134" s="421">
        <v>0</v>
      </c>
      <c r="M134" s="421">
        <v>-7.6253788939490796</v>
      </c>
      <c r="N134" s="421">
        <v>0</v>
      </c>
      <c r="O134" s="421">
        <v>0</v>
      </c>
      <c r="P134" s="421">
        <v>0</v>
      </c>
      <c r="Q134" s="421">
        <v>0</v>
      </c>
      <c r="R134" s="421">
        <v>0</v>
      </c>
      <c r="S134" s="429">
        <v>0.54102420532704398</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501.885810932168</v>
      </c>
      <c r="F136" s="421">
        <v>-496.86695282284597</v>
      </c>
      <c r="G136" s="421">
        <v>0</v>
      </c>
      <c r="H136" s="421">
        <v>0</v>
      </c>
      <c r="I136" s="421">
        <v>0</v>
      </c>
      <c r="J136" s="421">
        <v>0</v>
      </c>
      <c r="K136" s="421">
        <v>0</v>
      </c>
      <c r="L136" s="421">
        <v>0</v>
      </c>
      <c r="M136" s="421">
        <v>0</v>
      </c>
      <c r="N136" s="421">
        <v>0</v>
      </c>
      <c r="O136" s="421">
        <v>0</v>
      </c>
      <c r="P136" s="421">
        <v>0</v>
      </c>
      <c r="Q136" s="421">
        <v>0</v>
      </c>
      <c r="R136" s="421">
        <v>0</v>
      </c>
      <c r="S136" s="429">
        <v>5.0188581093216804</v>
      </c>
      <c r="T136" s="412"/>
    </row>
    <row r="137" spans="2:20" ht="13.5">
      <c r="B137" s="412"/>
      <c r="C137" s="428" t="s">
        <v>354</v>
      </c>
      <c r="D137" s="421">
        <v>0</v>
      </c>
      <c r="E137" s="421">
        <v>0</v>
      </c>
      <c r="F137" s="421">
        <v>0</v>
      </c>
      <c r="G137" s="421">
        <v>0</v>
      </c>
      <c r="H137" s="421">
        <v>0</v>
      </c>
      <c r="I137" s="421">
        <v>0</v>
      </c>
      <c r="J137" s="421">
        <v>40.922578855232103</v>
      </c>
      <c r="K137" s="421">
        <v>0</v>
      </c>
      <c r="L137" s="421">
        <v>-40.922578855232103</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-0.185690681788441</v>
      </c>
      <c r="M138" s="421">
        <v>0</v>
      </c>
      <c r="N138" s="421">
        <v>0</v>
      </c>
      <c r="O138" s="421">
        <v>0</v>
      </c>
      <c r="P138" s="421">
        <v>0</v>
      </c>
      <c r="Q138" s="421">
        <v>0</v>
      </c>
      <c r="R138" s="421">
        <v>0.26527240255491602</v>
      </c>
      <c r="S138" s="429">
        <v>7.9581720766474906E-2</v>
      </c>
      <c r="T138" s="412"/>
    </row>
    <row r="139" spans="2:20" ht="13.5">
      <c r="B139" s="412"/>
      <c r="C139" s="428" t="s">
        <v>73</v>
      </c>
      <c r="D139" s="421">
        <v>0</v>
      </c>
      <c r="E139" s="421">
        <v>0</v>
      </c>
      <c r="F139" s="421">
        <v>0</v>
      </c>
      <c r="G139" s="421">
        <v>5.0830420654676596</v>
      </c>
      <c r="H139" s="421">
        <v>0</v>
      </c>
      <c r="I139" s="421">
        <v>0</v>
      </c>
      <c r="J139" s="421">
        <v>0</v>
      </c>
      <c r="K139" s="421">
        <v>5.89406547480016E-2</v>
      </c>
      <c r="L139" s="421">
        <v>0</v>
      </c>
      <c r="M139" s="421">
        <v>0.103735552356483</v>
      </c>
      <c r="N139" s="421">
        <v>0</v>
      </c>
      <c r="O139" s="421">
        <v>0</v>
      </c>
      <c r="P139" s="421">
        <v>0.64603991681083595</v>
      </c>
      <c r="Q139" s="421">
        <v>0</v>
      </c>
      <c r="R139" s="421">
        <v>-4.1258458323601097</v>
      </c>
      <c r="S139" s="429">
        <v>1.7659123570228701</v>
      </c>
      <c r="T139" s="412"/>
    </row>
    <row r="140" spans="2:20" ht="13.5">
      <c r="B140" s="412"/>
      <c r="C140" s="428" t="s">
        <v>356</v>
      </c>
      <c r="D140" s="421">
        <v>12.835820312499999</v>
      </c>
      <c r="E140" s="421">
        <v>-17.3903433487996</v>
      </c>
      <c r="F140" s="421">
        <v>22.745541936068101</v>
      </c>
      <c r="G140" s="421">
        <v>0</v>
      </c>
      <c r="H140" s="421">
        <v>0</v>
      </c>
      <c r="I140" s="421">
        <v>0</v>
      </c>
      <c r="J140" s="421">
        <v>0</v>
      </c>
      <c r="K140" s="421">
        <v>0</v>
      </c>
      <c r="L140" s="421">
        <v>0</v>
      </c>
      <c r="M140" s="421">
        <v>0</v>
      </c>
      <c r="N140" s="421">
        <v>0</v>
      </c>
      <c r="O140" s="421">
        <v>0</v>
      </c>
      <c r="P140" s="421">
        <v>0</v>
      </c>
      <c r="Q140" s="421">
        <v>0</v>
      </c>
      <c r="R140" s="421">
        <v>0</v>
      </c>
      <c r="S140" s="429">
        <v>18.191018899768501</v>
      </c>
      <c r="T140" s="412"/>
    </row>
    <row r="141" spans="2:20" ht="13.5">
      <c r="B141" s="412"/>
      <c r="C141" s="428" t="s">
        <v>75</v>
      </c>
      <c r="D141" s="421">
        <v>9.6016132812499997</v>
      </c>
      <c r="E141" s="421">
        <v>0</v>
      </c>
      <c r="F141" s="421">
        <v>17.0641175716937</v>
      </c>
      <c r="G141" s="421">
        <v>4.8692961376638904</v>
      </c>
      <c r="H141" s="421">
        <v>0</v>
      </c>
      <c r="I141" s="421">
        <v>0</v>
      </c>
      <c r="J141" s="421">
        <v>0</v>
      </c>
      <c r="K141" s="421">
        <v>0</v>
      </c>
      <c r="L141" s="421">
        <v>0</v>
      </c>
      <c r="M141" s="421">
        <v>9.9373390564569203E-2</v>
      </c>
      <c r="N141" s="421">
        <v>0</v>
      </c>
      <c r="O141" s="421">
        <v>0</v>
      </c>
      <c r="P141" s="421">
        <v>28.1582236341448</v>
      </c>
      <c r="Q141" s="421">
        <v>0</v>
      </c>
      <c r="R141" s="421">
        <v>0</v>
      </c>
      <c r="S141" s="429">
        <v>59.792624015317003</v>
      </c>
      <c r="T141" s="412"/>
    </row>
    <row r="142" spans="2:20" ht="13.5">
      <c r="B142" s="412"/>
      <c r="C142" s="428" t="s">
        <v>76</v>
      </c>
      <c r="D142" s="421">
        <v>0</v>
      </c>
      <c r="E142" s="421">
        <v>0</v>
      </c>
      <c r="F142" s="421">
        <v>0</v>
      </c>
      <c r="G142" s="421">
        <v>4.4305561162471001</v>
      </c>
      <c r="H142" s="421">
        <v>0</v>
      </c>
      <c r="I142" s="421">
        <v>0</v>
      </c>
      <c r="J142" s="421">
        <v>0</v>
      </c>
      <c r="K142" s="421">
        <v>0</v>
      </c>
      <c r="L142" s="421">
        <v>0</v>
      </c>
      <c r="M142" s="421">
        <v>9.0419512576471406E-2</v>
      </c>
      <c r="N142" s="421">
        <v>0</v>
      </c>
      <c r="O142" s="421">
        <v>0</v>
      </c>
      <c r="P142" s="421">
        <v>45.383745745670502</v>
      </c>
      <c r="Q142" s="421">
        <v>3.1854822363759498</v>
      </c>
      <c r="R142" s="421">
        <v>0</v>
      </c>
      <c r="S142" s="429">
        <v>53.090203610869999</v>
      </c>
      <c r="T142" s="412"/>
    </row>
    <row r="143" spans="2:20" ht="13.5">
      <c r="B143" s="412"/>
      <c r="C143" s="424" t="s">
        <v>77</v>
      </c>
      <c r="D143" s="425">
        <v>24.637904329316601</v>
      </c>
      <c r="E143" s="425">
        <v>484.495467583368</v>
      </c>
      <c r="F143" s="425">
        <v>-453.19365695144802</v>
      </c>
      <c r="G143" s="425">
        <v>58.355978573750797</v>
      </c>
      <c r="H143" s="425">
        <v>843.18181818181802</v>
      </c>
      <c r="I143" s="425">
        <v>303.83</v>
      </c>
      <c r="J143" s="425">
        <v>83.625551051010106</v>
      </c>
      <c r="K143" s="425">
        <v>18.598113270926302</v>
      </c>
      <c r="L143" s="425">
        <v>-41.108269537020597</v>
      </c>
      <c r="M143" s="425">
        <v>-6.4344405557092701</v>
      </c>
      <c r="N143" s="425">
        <v>0</v>
      </c>
      <c r="O143" s="425">
        <v>2.25021562141669</v>
      </c>
      <c r="P143" s="425">
        <v>-536.32919065899705</v>
      </c>
      <c r="Q143" s="425">
        <v>-37.922407575904202</v>
      </c>
      <c r="R143" s="425">
        <v>-3.8605734298051999</v>
      </c>
      <c r="S143" s="425">
        <v>740.12650990272198</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4.1175454090074304</v>
      </c>
      <c r="E145" s="421">
        <v>0</v>
      </c>
      <c r="F145" s="421">
        <v>19.277494882052501</v>
      </c>
      <c r="G145" s="421">
        <v>101.47453920726601</v>
      </c>
      <c r="H145" s="421">
        <v>0</v>
      </c>
      <c r="I145" s="421">
        <v>0</v>
      </c>
      <c r="J145" s="421">
        <v>17.1465838958113</v>
      </c>
      <c r="K145" s="421">
        <v>3.98663909653113</v>
      </c>
      <c r="L145" s="421">
        <v>0.86272697265624998</v>
      </c>
      <c r="M145" s="421">
        <v>2.0709089634136002</v>
      </c>
      <c r="N145" s="421">
        <v>0</v>
      </c>
      <c r="O145" s="421">
        <v>0</v>
      </c>
      <c r="P145" s="421">
        <v>115.02579662342799</v>
      </c>
      <c r="Q145" s="421">
        <v>18.9073764304365</v>
      </c>
      <c r="R145" s="421">
        <v>0.24469155883789101</v>
      </c>
      <c r="S145" s="429">
        <v>283.11430303944098</v>
      </c>
      <c r="T145" s="412"/>
    </row>
    <row r="146" spans="2:20" ht="13.5">
      <c r="B146" s="412"/>
      <c r="C146" s="428" t="s">
        <v>79</v>
      </c>
      <c r="D146" s="421">
        <v>0</v>
      </c>
      <c r="E146" s="421">
        <v>0</v>
      </c>
      <c r="F146" s="421">
        <v>211.515991693448</v>
      </c>
      <c r="G146" s="421">
        <v>33.673192204334903</v>
      </c>
      <c r="H146" s="421">
        <v>0</v>
      </c>
      <c r="I146" s="421">
        <v>0</v>
      </c>
      <c r="J146" s="421">
        <v>0</v>
      </c>
      <c r="K146" s="421">
        <v>0</v>
      </c>
      <c r="L146" s="421">
        <v>21.364475731578199</v>
      </c>
      <c r="M146" s="421">
        <v>0.68720800417009997</v>
      </c>
      <c r="N146" s="421">
        <v>0</v>
      </c>
      <c r="O146" s="421">
        <v>0</v>
      </c>
      <c r="P146" s="421">
        <v>67.538126653199896</v>
      </c>
      <c r="Q146" s="421">
        <v>0</v>
      </c>
      <c r="R146" s="421">
        <v>2.73358870080129</v>
      </c>
      <c r="S146" s="429">
        <v>337.51258298753203</v>
      </c>
      <c r="T146" s="412"/>
    </row>
    <row r="147" spans="2:20" ht="13.5">
      <c r="B147" s="412"/>
      <c r="C147" s="428" t="s">
        <v>80</v>
      </c>
      <c r="D147" s="421">
        <v>0</v>
      </c>
      <c r="E147" s="421">
        <v>0</v>
      </c>
      <c r="F147" s="421">
        <v>11.269398252747999</v>
      </c>
      <c r="G147" s="421">
        <v>107.66857440515901</v>
      </c>
      <c r="H147" s="421">
        <v>0</v>
      </c>
      <c r="I147" s="421">
        <v>0</v>
      </c>
      <c r="J147" s="421">
        <v>74.555024603306606</v>
      </c>
      <c r="K147" s="421">
        <v>0</v>
      </c>
      <c r="L147" s="421">
        <v>0</v>
      </c>
      <c r="M147" s="421">
        <v>2.19731784500325</v>
      </c>
      <c r="N147" s="421">
        <v>57.8439730041991</v>
      </c>
      <c r="O147" s="421">
        <v>0.94792042331900395</v>
      </c>
      <c r="P147" s="421">
        <v>182.60815084241301</v>
      </c>
      <c r="Q147" s="421">
        <v>15.2162816007431</v>
      </c>
      <c r="R147" s="421">
        <v>0</v>
      </c>
      <c r="S147" s="429">
        <v>452.306640976891</v>
      </c>
      <c r="T147" s="412"/>
    </row>
    <row r="148" spans="2:20" ht="13.5">
      <c r="B148" s="412"/>
      <c r="C148" s="428" t="s">
        <v>81</v>
      </c>
      <c r="D148" s="421">
        <v>0</v>
      </c>
      <c r="E148" s="421">
        <v>0</v>
      </c>
      <c r="F148" s="421">
        <v>4.6678370944484504</v>
      </c>
      <c r="G148" s="421">
        <v>66.895141856533499</v>
      </c>
      <c r="H148" s="421">
        <v>0</v>
      </c>
      <c r="I148" s="421">
        <v>0</v>
      </c>
      <c r="J148" s="421">
        <v>3.3107731809745702</v>
      </c>
      <c r="K148" s="421">
        <v>0</v>
      </c>
      <c r="L148" s="421">
        <v>0</v>
      </c>
      <c r="M148" s="421">
        <v>1.3652069766639501</v>
      </c>
      <c r="N148" s="421">
        <v>6.3842741155148302</v>
      </c>
      <c r="O148" s="421">
        <v>0.75088648318301499</v>
      </c>
      <c r="P148" s="421">
        <v>144.56234737622799</v>
      </c>
      <c r="Q148" s="421">
        <v>3.79874954472458</v>
      </c>
      <c r="R148" s="421">
        <v>0</v>
      </c>
      <c r="S148" s="429">
        <v>231.73521662827099</v>
      </c>
      <c r="T148" s="412"/>
    </row>
    <row r="149" spans="2:20" ht="13.5">
      <c r="B149" s="412"/>
      <c r="C149" s="428" t="s">
        <v>82</v>
      </c>
      <c r="D149" s="421">
        <v>0</v>
      </c>
      <c r="E149" s="421">
        <v>0</v>
      </c>
      <c r="F149" s="421">
        <v>4.5923360843350496</v>
      </c>
      <c r="G149" s="421">
        <v>5.5761395564600598</v>
      </c>
      <c r="H149" s="421">
        <v>0</v>
      </c>
      <c r="I149" s="421">
        <v>0</v>
      </c>
      <c r="J149" s="421">
        <v>1.9443380960196801</v>
      </c>
      <c r="K149" s="421">
        <v>0</v>
      </c>
      <c r="L149" s="421">
        <v>17.944913531130702</v>
      </c>
      <c r="M149" s="421">
        <v>0.11379876645836901</v>
      </c>
      <c r="N149" s="421">
        <v>0</v>
      </c>
      <c r="O149" s="421">
        <v>6.6456137421005299E-2</v>
      </c>
      <c r="P149" s="421">
        <v>7.4534323714914201</v>
      </c>
      <c r="Q149" s="421">
        <v>0</v>
      </c>
      <c r="R149" s="421">
        <v>0</v>
      </c>
      <c r="S149" s="429">
        <v>37.691414543316299</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0.8</v>
      </c>
      <c r="Q150" s="421">
        <v>0</v>
      </c>
      <c r="R150" s="421">
        <v>0</v>
      </c>
      <c r="S150" s="429">
        <v>0.8</v>
      </c>
      <c r="T150" s="412"/>
    </row>
    <row r="151" spans="2:20" ht="13.5">
      <c r="B151" s="412"/>
      <c r="C151" s="424" t="s">
        <v>83</v>
      </c>
      <c r="D151" s="425">
        <v>4.1175454090074304</v>
      </c>
      <c r="E151" s="425">
        <v>0</v>
      </c>
      <c r="F151" s="425">
        <v>251.32305800703199</v>
      </c>
      <c r="G151" s="425">
        <v>315.28758722975402</v>
      </c>
      <c r="H151" s="425">
        <v>0</v>
      </c>
      <c r="I151" s="425">
        <v>0</v>
      </c>
      <c r="J151" s="425">
        <v>96.956719776112095</v>
      </c>
      <c r="K151" s="425">
        <v>3.98663909653113</v>
      </c>
      <c r="L151" s="425">
        <v>40.172116235365102</v>
      </c>
      <c r="M151" s="425">
        <v>6.4344405557092701</v>
      </c>
      <c r="N151" s="425">
        <v>64.228247119713899</v>
      </c>
      <c r="O151" s="425">
        <v>1.7652630439230199</v>
      </c>
      <c r="P151" s="425">
        <v>517.98785386676104</v>
      </c>
      <c r="Q151" s="425">
        <v>37.922407575904103</v>
      </c>
      <c r="R151" s="425">
        <v>2.9782802596391802</v>
      </c>
      <c r="S151" s="425">
        <v>1343.1601581754501</v>
      </c>
      <c r="T151" s="412"/>
    </row>
    <row r="152" spans="2:20" ht="13.5">
      <c r="B152" s="412"/>
      <c r="C152" s="420" t="s">
        <v>84</v>
      </c>
      <c r="D152" s="421">
        <v>2.1301540527343801</v>
      </c>
      <c r="E152" s="421">
        <v>0</v>
      </c>
      <c r="F152" s="421">
        <v>138.64565541276201</v>
      </c>
      <c r="G152" s="421">
        <v>12.0685091884655</v>
      </c>
      <c r="H152" s="421">
        <v>0</v>
      </c>
      <c r="I152" s="421">
        <v>0</v>
      </c>
      <c r="J152" s="421">
        <v>0</v>
      </c>
      <c r="K152" s="421">
        <v>0</v>
      </c>
      <c r="L152" s="421">
        <v>0</v>
      </c>
      <c r="M152" s="421">
        <v>0</v>
      </c>
      <c r="N152" s="421">
        <v>0</v>
      </c>
      <c r="O152" s="421">
        <v>0</v>
      </c>
      <c r="P152" s="421">
        <v>0</v>
      </c>
      <c r="Q152" s="421">
        <v>0</v>
      </c>
      <c r="R152" s="421">
        <v>0.88229317016601605</v>
      </c>
      <c r="S152" s="429">
        <v>153.72661182412801</v>
      </c>
      <c r="T152" s="412"/>
    </row>
    <row r="153" spans="2:20" ht="13.5">
      <c r="B153" s="412"/>
      <c r="C153" s="424" t="s">
        <v>85</v>
      </c>
      <c r="D153" s="425">
        <v>6.2476994617418002</v>
      </c>
      <c r="E153" s="425">
        <v>0</v>
      </c>
      <c r="F153" s="425">
        <v>389.96871341979403</v>
      </c>
      <c r="G153" s="425">
        <v>327.35609641821998</v>
      </c>
      <c r="H153" s="425">
        <v>0</v>
      </c>
      <c r="I153" s="425">
        <v>0</v>
      </c>
      <c r="J153" s="425">
        <v>96.956719776112095</v>
      </c>
      <c r="K153" s="425">
        <v>3.98663909653113</v>
      </c>
      <c r="L153" s="425">
        <v>40.172116235365102</v>
      </c>
      <c r="M153" s="425">
        <v>6.4344405557092701</v>
      </c>
      <c r="N153" s="425">
        <v>64.228247119713899</v>
      </c>
      <c r="O153" s="425">
        <v>1.7652630439230199</v>
      </c>
      <c r="P153" s="425">
        <v>517.98785386676104</v>
      </c>
      <c r="Q153" s="425">
        <v>37.922407575904103</v>
      </c>
      <c r="R153" s="425">
        <v>3.8605734298051999</v>
      </c>
      <c r="S153" s="425">
        <v>1496.8867699995801</v>
      </c>
      <c r="T153" s="412"/>
    </row>
    <row r="154" spans="2:20">
      <c r="B154" s="412"/>
      <c r="C154" s="412"/>
      <c r="D154" s="430">
        <f t="shared" ref="D154:S154" si="3">D153+D143-D129</f>
        <v>0</v>
      </c>
      <c r="E154" s="430">
        <f t="shared" si="3"/>
        <v>0</v>
      </c>
      <c r="F154" s="430">
        <f t="shared" si="3"/>
        <v>0</v>
      </c>
      <c r="G154" s="430">
        <f t="shared" si="3"/>
        <v>0</v>
      </c>
      <c r="H154" s="430">
        <f t="shared" si="3"/>
        <v>0</v>
      </c>
      <c r="I154" s="430">
        <f t="shared" si="3"/>
        <v>0</v>
      </c>
      <c r="J154" s="430">
        <f t="shared" si="3"/>
        <v>2.2737367544323206E-13</v>
      </c>
      <c r="K154" s="430">
        <f t="shared" si="3"/>
        <v>3.1974423109204508E-14</v>
      </c>
      <c r="L154" s="430">
        <f t="shared" si="3"/>
        <v>-3.0420110874729289E-14</v>
      </c>
      <c r="M154" s="430">
        <f t="shared" si="3"/>
        <v>0</v>
      </c>
      <c r="N154" s="430">
        <f t="shared" si="3"/>
        <v>0</v>
      </c>
      <c r="O154" s="430">
        <f t="shared" si="3"/>
        <v>-9.7699626167013776E-15</v>
      </c>
      <c r="P154" s="430">
        <f t="shared" si="3"/>
        <v>7.9225515037251171E-13</v>
      </c>
      <c r="Q154" s="430">
        <f t="shared" si="3"/>
        <v>-9.9475983006414026E-14</v>
      </c>
      <c r="R154" s="430">
        <f t="shared" si="3"/>
        <v>0</v>
      </c>
      <c r="S154" s="430">
        <f t="shared" si="3"/>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89</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0</v>
      </c>
      <c r="F160" s="421">
        <v>0</v>
      </c>
      <c r="G160" s="421">
        <v>0</v>
      </c>
      <c r="H160" s="422">
        <v>727.27272727272702</v>
      </c>
      <c r="I160" s="422">
        <v>285.08</v>
      </c>
      <c r="J160" s="422">
        <v>179.02026508455899</v>
      </c>
      <c r="K160" s="422">
        <v>22.071430242595699</v>
      </c>
      <c r="L160" s="421">
        <v>0</v>
      </c>
      <c r="M160" s="421">
        <v>0</v>
      </c>
      <c r="N160" s="422">
        <v>69.124340714614704</v>
      </c>
      <c r="O160" s="422">
        <v>3.9743240940765601</v>
      </c>
      <c r="P160" s="421">
        <v>0</v>
      </c>
      <c r="Q160" s="421">
        <v>0</v>
      </c>
      <c r="R160" s="421">
        <v>0</v>
      </c>
      <c r="S160" s="423">
        <v>1286.54308740857</v>
      </c>
      <c r="T160" s="412"/>
    </row>
    <row r="161" spans="2:20" ht="13.5">
      <c r="B161" s="412"/>
      <c r="C161" s="420" t="s">
        <v>60</v>
      </c>
      <c r="D161" s="421">
        <v>29.137863782851301</v>
      </c>
      <c r="E161" s="421">
        <v>464.7986487</v>
      </c>
      <c r="F161" s="421">
        <v>43.026150332406097</v>
      </c>
      <c r="G161" s="421">
        <v>393.69712052116603</v>
      </c>
      <c r="H161" s="421">
        <v>0</v>
      </c>
      <c r="I161" s="421">
        <v>0</v>
      </c>
      <c r="J161" s="421">
        <v>0</v>
      </c>
      <c r="K161" s="421">
        <v>0</v>
      </c>
      <c r="L161" s="421">
        <v>0</v>
      </c>
      <c r="M161" s="421">
        <v>0</v>
      </c>
      <c r="N161" s="421">
        <v>0</v>
      </c>
      <c r="O161" s="421">
        <v>0</v>
      </c>
      <c r="P161" s="421">
        <v>52.272660894863201</v>
      </c>
      <c r="Q161" s="421">
        <v>0</v>
      </c>
      <c r="R161" s="421">
        <v>0</v>
      </c>
      <c r="S161" s="423">
        <v>982.93244423128704</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0</v>
      </c>
      <c r="Q162" s="421">
        <v>0</v>
      </c>
      <c r="R162" s="421">
        <v>0</v>
      </c>
      <c r="S162" s="423">
        <v>0</v>
      </c>
      <c r="T162" s="412"/>
    </row>
    <row r="163" spans="2:20" ht="13.5">
      <c r="B163" s="412"/>
      <c r="C163" s="420" t="s">
        <v>62</v>
      </c>
      <c r="D163" s="421">
        <v>0</v>
      </c>
      <c r="E163" s="421">
        <v>0</v>
      </c>
      <c r="F163" s="421">
        <v>-14.431507774067301</v>
      </c>
      <c r="G163" s="421">
        <v>0</v>
      </c>
      <c r="H163" s="421">
        <v>0</v>
      </c>
      <c r="I163" s="421">
        <v>0</v>
      </c>
      <c r="J163" s="421">
        <v>0</v>
      </c>
      <c r="K163" s="421">
        <v>0</v>
      </c>
      <c r="L163" s="421">
        <v>0</v>
      </c>
      <c r="M163" s="421">
        <v>0</v>
      </c>
      <c r="N163" s="421">
        <v>0</v>
      </c>
      <c r="O163" s="421">
        <v>0</v>
      </c>
      <c r="P163" s="421">
        <v>0</v>
      </c>
      <c r="Q163" s="421">
        <v>0</v>
      </c>
      <c r="R163" s="421">
        <v>0</v>
      </c>
      <c r="S163" s="423">
        <v>-14.431507774067301</v>
      </c>
      <c r="T163" s="412"/>
    </row>
    <row r="164" spans="2:20" ht="13.5">
      <c r="B164" s="412"/>
      <c r="C164" s="420" t="s">
        <v>63</v>
      </c>
      <c r="D164" s="421">
        <v>0</v>
      </c>
      <c r="E164" s="421">
        <v>0</v>
      </c>
      <c r="F164" s="421">
        <v>-93.073301321338505</v>
      </c>
      <c r="G164" s="421">
        <v>0</v>
      </c>
      <c r="H164" s="421">
        <v>0</v>
      </c>
      <c r="I164" s="421">
        <v>0</v>
      </c>
      <c r="J164" s="421">
        <v>0</v>
      </c>
      <c r="K164" s="421">
        <v>0</v>
      </c>
      <c r="L164" s="421">
        <v>-0.96113349486483901</v>
      </c>
      <c r="M164" s="421">
        <v>0</v>
      </c>
      <c r="N164" s="421">
        <v>0</v>
      </c>
      <c r="O164" s="421">
        <v>0</v>
      </c>
      <c r="P164" s="421">
        <v>0</v>
      </c>
      <c r="Q164" s="421">
        <v>0</v>
      </c>
      <c r="R164" s="421">
        <v>0</v>
      </c>
      <c r="S164" s="423">
        <v>-94.034434816203301</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29.137863782851301</v>
      </c>
      <c r="E166" s="425">
        <v>464.7986487</v>
      </c>
      <c r="F166" s="425">
        <v>-64.4786587629997</v>
      </c>
      <c r="G166" s="425">
        <v>393.69712052116603</v>
      </c>
      <c r="H166" s="425">
        <v>727.27272727272702</v>
      </c>
      <c r="I166" s="425">
        <v>285.08</v>
      </c>
      <c r="J166" s="425">
        <v>179.02026508455899</v>
      </c>
      <c r="K166" s="425">
        <v>22.071430242595699</v>
      </c>
      <c r="L166" s="425">
        <v>-0.96113349486483901</v>
      </c>
      <c r="M166" s="425">
        <v>0</v>
      </c>
      <c r="N166" s="425">
        <v>69.124340714614704</v>
      </c>
      <c r="O166" s="425">
        <v>3.9743240940765601</v>
      </c>
      <c r="P166" s="425">
        <v>52.272660894863201</v>
      </c>
      <c r="Q166" s="425">
        <v>0</v>
      </c>
      <c r="R166" s="425">
        <v>0</v>
      </c>
      <c r="S166" s="425">
        <v>2161.00958904959</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2.2004707355665598</v>
      </c>
      <c r="E169" s="421">
        <v>0</v>
      </c>
      <c r="F169" s="421">
        <v>3.8636363636363602</v>
      </c>
      <c r="G169" s="421">
        <v>35.960251906978201</v>
      </c>
      <c r="H169" s="421">
        <v>727.27272727272702</v>
      </c>
      <c r="I169" s="421">
        <v>285.08</v>
      </c>
      <c r="J169" s="421">
        <v>20.883347007614301</v>
      </c>
      <c r="K169" s="421">
        <v>5.4396340942741803</v>
      </c>
      <c r="L169" s="421">
        <v>0</v>
      </c>
      <c r="M169" s="421">
        <v>0.73388269197914702</v>
      </c>
      <c r="N169" s="421">
        <v>0</v>
      </c>
      <c r="O169" s="421">
        <v>0</v>
      </c>
      <c r="P169" s="421">
        <v>-559.49648075937398</v>
      </c>
      <c r="Q169" s="421">
        <v>0</v>
      </c>
      <c r="R169" s="421">
        <v>0</v>
      </c>
      <c r="S169" s="429">
        <v>521.93746931340195</v>
      </c>
      <c r="T169" s="412"/>
    </row>
    <row r="170" spans="2:20" ht="13.5">
      <c r="B170" s="412"/>
      <c r="C170" s="428" t="s">
        <v>351</v>
      </c>
      <c r="D170" s="421">
        <v>0</v>
      </c>
      <c r="E170" s="421">
        <v>0</v>
      </c>
      <c r="F170" s="421">
        <v>0</v>
      </c>
      <c r="G170" s="421">
        <v>17.249248608476702</v>
      </c>
      <c r="H170" s="421">
        <v>0</v>
      </c>
      <c r="I170" s="421">
        <v>0</v>
      </c>
      <c r="J170" s="421">
        <v>12.287356523997399</v>
      </c>
      <c r="K170" s="421">
        <v>12.751836063828801</v>
      </c>
      <c r="L170" s="421">
        <v>0</v>
      </c>
      <c r="M170" s="421">
        <v>0.35202548180564602</v>
      </c>
      <c r="N170" s="421">
        <v>0</v>
      </c>
      <c r="O170" s="421">
        <v>2.25411214784515</v>
      </c>
      <c r="P170" s="421">
        <v>0</v>
      </c>
      <c r="Q170" s="421">
        <v>-41.172831919421</v>
      </c>
      <c r="R170" s="421">
        <v>0</v>
      </c>
      <c r="S170" s="429">
        <v>3.7217469065325699</v>
      </c>
      <c r="T170" s="412"/>
    </row>
    <row r="171" spans="2:20" ht="13.5">
      <c r="B171" s="412"/>
      <c r="C171" s="428" t="s">
        <v>352</v>
      </c>
      <c r="D171" s="421">
        <v>0</v>
      </c>
      <c r="E171" s="421">
        <v>0</v>
      </c>
      <c r="F171" s="421">
        <v>0</v>
      </c>
      <c r="G171" s="421">
        <v>0</v>
      </c>
      <c r="H171" s="421">
        <v>0</v>
      </c>
      <c r="I171" s="421">
        <v>0</v>
      </c>
      <c r="J171" s="421">
        <v>8.1584068388578199</v>
      </c>
      <c r="K171" s="421">
        <v>0</v>
      </c>
      <c r="L171" s="421">
        <v>0</v>
      </c>
      <c r="M171" s="421">
        <v>-7.7912785311092199</v>
      </c>
      <c r="N171" s="421">
        <v>0</v>
      </c>
      <c r="O171" s="421">
        <v>0</v>
      </c>
      <c r="P171" s="421">
        <v>0</v>
      </c>
      <c r="Q171" s="421">
        <v>0</v>
      </c>
      <c r="R171" s="421">
        <v>0</v>
      </c>
      <c r="S171" s="429">
        <v>0.367128307748603</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481.48200000000003</v>
      </c>
      <c r="F173" s="421">
        <v>-476.66717999999997</v>
      </c>
      <c r="G173" s="421">
        <v>0</v>
      </c>
      <c r="H173" s="421">
        <v>0</v>
      </c>
      <c r="I173" s="421">
        <v>0</v>
      </c>
      <c r="J173" s="421">
        <v>0</v>
      </c>
      <c r="K173" s="421">
        <v>0</v>
      </c>
      <c r="L173" s="421">
        <v>0</v>
      </c>
      <c r="M173" s="421">
        <v>0</v>
      </c>
      <c r="N173" s="421">
        <v>0</v>
      </c>
      <c r="O173" s="421">
        <v>0</v>
      </c>
      <c r="P173" s="421">
        <v>0</v>
      </c>
      <c r="Q173" s="421">
        <v>0</v>
      </c>
      <c r="R173" s="421">
        <v>0</v>
      </c>
      <c r="S173" s="429">
        <v>4.8148200000000001</v>
      </c>
      <c r="T173" s="412"/>
    </row>
    <row r="174" spans="2:20" ht="13.5">
      <c r="B174" s="412"/>
      <c r="C174" s="428" t="s">
        <v>354</v>
      </c>
      <c r="D174" s="421">
        <v>0</v>
      </c>
      <c r="E174" s="421">
        <v>0</v>
      </c>
      <c r="F174" s="421">
        <v>0</v>
      </c>
      <c r="G174" s="421">
        <v>0</v>
      </c>
      <c r="H174" s="421">
        <v>0</v>
      </c>
      <c r="I174" s="421">
        <v>0</v>
      </c>
      <c r="J174" s="421">
        <v>41.474660133722303</v>
      </c>
      <c r="K174" s="421">
        <v>0</v>
      </c>
      <c r="L174" s="421">
        <v>-41.474660133722303</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-0.18779562104234199</v>
      </c>
      <c r="M175" s="421">
        <v>0</v>
      </c>
      <c r="N175" s="421">
        <v>0</v>
      </c>
      <c r="O175" s="421">
        <v>0</v>
      </c>
      <c r="P175" s="421">
        <v>0</v>
      </c>
      <c r="Q175" s="421">
        <v>0</v>
      </c>
      <c r="R175" s="421">
        <v>0.26827945863191799</v>
      </c>
      <c r="S175" s="429">
        <v>8.0483837589575294E-2</v>
      </c>
      <c r="T175" s="412"/>
    </row>
    <row r="176" spans="2:20" ht="13.5">
      <c r="B176" s="412"/>
      <c r="C176" s="428" t="s">
        <v>73</v>
      </c>
      <c r="D176" s="421">
        <v>0</v>
      </c>
      <c r="E176" s="421">
        <v>0</v>
      </c>
      <c r="F176" s="421">
        <v>0</v>
      </c>
      <c r="G176" s="421">
        <v>5.7699673283914903</v>
      </c>
      <c r="H176" s="421">
        <v>0</v>
      </c>
      <c r="I176" s="421">
        <v>0</v>
      </c>
      <c r="J176" s="421">
        <v>0</v>
      </c>
      <c r="K176" s="421">
        <v>6.7674962800744601E-2</v>
      </c>
      <c r="L176" s="421">
        <v>0</v>
      </c>
      <c r="M176" s="421">
        <v>0.117754435273296</v>
      </c>
      <c r="N176" s="421">
        <v>0</v>
      </c>
      <c r="O176" s="421">
        <v>0</v>
      </c>
      <c r="P176" s="421">
        <v>0.78954123267535403</v>
      </c>
      <c r="Q176" s="421">
        <v>0</v>
      </c>
      <c r="R176" s="421">
        <v>-4.73724739605212</v>
      </c>
      <c r="S176" s="429">
        <v>2.0076905630887598</v>
      </c>
      <c r="T176" s="412"/>
    </row>
    <row r="177" spans="2:20" ht="13.5">
      <c r="B177" s="412"/>
      <c r="C177" s="428" t="s">
        <v>356</v>
      </c>
      <c r="D177" s="421">
        <v>12.0380056152344</v>
      </c>
      <c r="E177" s="421">
        <v>-16.683351300000002</v>
      </c>
      <c r="F177" s="421">
        <v>21.820838094867199</v>
      </c>
      <c r="G177" s="421">
        <v>0</v>
      </c>
      <c r="H177" s="421">
        <v>0</v>
      </c>
      <c r="I177" s="421">
        <v>0</v>
      </c>
      <c r="J177" s="421">
        <v>0</v>
      </c>
      <c r="K177" s="421">
        <v>0</v>
      </c>
      <c r="L177" s="421">
        <v>0</v>
      </c>
      <c r="M177" s="421">
        <v>0</v>
      </c>
      <c r="N177" s="421">
        <v>0</v>
      </c>
      <c r="O177" s="421">
        <v>0</v>
      </c>
      <c r="P177" s="421">
        <v>0</v>
      </c>
      <c r="Q177" s="421">
        <v>0</v>
      </c>
      <c r="R177" s="421">
        <v>0</v>
      </c>
      <c r="S177" s="429">
        <v>17.175492410101601</v>
      </c>
      <c r="T177" s="412"/>
    </row>
    <row r="178" spans="2:20" ht="13.5">
      <c r="B178" s="412"/>
      <c r="C178" s="428" t="s">
        <v>75</v>
      </c>
      <c r="D178" s="421">
        <v>9.5550615234374998</v>
      </c>
      <c r="E178" s="421">
        <v>0</v>
      </c>
      <c r="F178" s="421">
        <v>16.370387999999998</v>
      </c>
      <c r="G178" s="421">
        <v>4.6713383640000004</v>
      </c>
      <c r="H178" s="421">
        <v>0</v>
      </c>
      <c r="I178" s="421">
        <v>0</v>
      </c>
      <c r="J178" s="421">
        <v>0</v>
      </c>
      <c r="K178" s="421">
        <v>0</v>
      </c>
      <c r="L178" s="421">
        <v>0</v>
      </c>
      <c r="M178" s="421">
        <v>9.5333435999999994E-2</v>
      </c>
      <c r="N178" s="421">
        <v>0</v>
      </c>
      <c r="O178" s="421">
        <v>0</v>
      </c>
      <c r="P178" s="421">
        <v>25.6753694925142</v>
      </c>
      <c r="Q178" s="421">
        <v>0</v>
      </c>
      <c r="R178" s="421">
        <v>0</v>
      </c>
      <c r="S178" s="429">
        <v>56.367490815951697</v>
      </c>
      <c r="T178" s="412"/>
    </row>
    <row r="179" spans="2:20" ht="13.5">
      <c r="B179" s="412"/>
      <c r="C179" s="428" t="s">
        <v>76</v>
      </c>
      <c r="D179" s="421">
        <v>0</v>
      </c>
      <c r="E179" s="421">
        <v>0</v>
      </c>
      <c r="F179" s="421">
        <v>0</v>
      </c>
      <c r="G179" s="421">
        <v>4.52694839554567</v>
      </c>
      <c r="H179" s="421">
        <v>0</v>
      </c>
      <c r="I179" s="421">
        <v>0</v>
      </c>
      <c r="J179" s="421">
        <v>0</v>
      </c>
      <c r="K179" s="421">
        <v>0</v>
      </c>
      <c r="L179" s="421">
        <v>0</v>
      </c>
      <c r="M179" s="421">
        <v>9.2386701949911706E-2</v>
      </c>
      <c r="N179" s="421">
        <v>0</v>
      </c>
      <c r="O179" s="421">
        <v>0</v>
      </c>
      <c r="P179" s="421">
        <v>46.885354346539003</v>
      </c>
      <c r="Q179" s="421">
        <v>3.1905146505824402</v>
      </c>
      <c r="R179" s="421">
        <v>0</v>
      </c>
      <c r="S179" s="429">
        <v>54.695204094616997</v>
      </c>
      <c r="T179" s="412"/>
    </row>
    <row r="180" spans="2:20" ht="13.5">
      <c r="B180" s="412"/>
      <c r="C180" s="424" t="s">
        <v>77</v>
      </c>
      <c r="D180" s="425">
        <v>23.7935378742384</v>
      </c>
      <c r="E180" s="425">
        <v>464.7986487</v>
      </c>
      <c r="F180" s="425">
        <v>-434.61231754149702</v>
      </c>
      <c r="G180" s="425">
        <v>68.177754603392003</v>
      </c>
      <c r="H180" s="425">
        <v>727.27272727272702</v>
      </c>
      <c r="I180" s="425">
        <v>285.08</v>
      </c>
      <c r="J180" s="425">
        <v>82.803770504191903</v>
      </c>
      <c r="K180" s="425">
        <v>18.2591451209037</v>
      </c>
      <c r="L180" s="425">
        <v>-41.6624557547647</v>
      </c>
      <c r="M180" s="425">
        <v>-6.3998957841012203</v>
      </c>
      <c r="N180" s="425">
        <v>0</v>
      </c>
      <c r="O180" s="425">
        <v>2.25411214784515</v>
      </c>
      <c r="P180" s="425">
        <v>-486.14621568764602</v>
      </c>
      <c r="Q180" s="425">
        <v>-37.982317268838599</v>
      </c>
      <c r="R180" s="425">
        <v>-4.46896793742021</v>
      </c>
      <c r="S180" s="425">
        <v>661.16752624903097</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3.2525348929878701</v>
      </c>
      <c r="E182" s="421">
        <v>0</v>
      </c>
      <c r="F182" s="421">
        <v>17.532199420942199</v>
      </c>
      <c r="G182" s="421">
        <v>101.536086736296</v>
      </c>
      <c r="H182" s="421">
        <v>0</v>
      </c>
      <c r="I182" s="421">
        <v>0</v>
      </c>
      <c r="J182" s="421">
        <v>17.243729128153799</v>
      </c>
      <c r="K182" s="421">
        <v>3.8122851216920202</v>
      </c>
      <c r="L182" s="421">
        <v>0.87021837890624998</v>
      </c>
      <c r="M182" s="421">
        <v>2.0721650354346099</v>
      </c>
      <c r="N182" s="421">
        <v>0</v>
      </c>
      <c r="O182" s="421">
        <v>0</v>
      </c>
      <c r="P182" s="421">
        <v>120.089551917563</v>
      </c>
      <c r="Q182" s="421">
        <v>19.4196670049601</v>
      </c>
      <c r="R182" s="421">
        <v>0.24405599975585901</v>
      </c>
      <c r="S182" s="429">
        <v>286.072493636692</v>
      </c>
      <c r="T182" s="412"/>
    </row>
    <row r="183" spans="2:20" ht="13.5">
      <c r="B183" s="412"/>
      <c r="C183" s="428" t="s">
        <v>79</v>
      </c>
      <c r="D183" s="421">
        <v>0</v>
      </c>
      <c r="E183" s="421">
        <v>0</v>
      </c>
      <c r="F183" s="421">
        <v>204.27744800701601</v>
      </c>
      <c r="G183" s="421">
        <v>35.056721936600702</v>
      </c>
      <c r="H183" s="421">
        <v>0</v>
      </c>
      <c r="I183" s="421">
        <v>0</v>
      </c>
      <c r="J183" s="421">
        <v>0</v>
      </c>
      <c r="K183" s="421">
        <v>0</v>
      </c>
      <c r="L183" s="421">
        <v>20.587238275227001</v>
      </c>
      <c r="M183" s="421">
        <v>0.71544330482858598</v>
      </c>
      <c r="N183" s="421">
        <v>0</v>
      </c>
      <c r="O183" s="421">
        <v>0</v>
      </c>
      <c r="P183" s="421">
        <v>74.338731935176895</v>
      </c>
      <c r="Q183" s="421">
        <v>0</v>
      </c>
      <c r="R183" s="421">
        <v>3.0427208487971602</v>
      </c>
      <c r="S183" s="429">
        <v>338.01830430764699</v>
      </c>
      <c r="T183" s="412"/>
    </row>
    <row r="184" spans="2:20" ht="13.5">
      <c r="B184" s="412"/>
      <c r="C184" s="428" t="s">
        <v>80</v>
      </c>
      <c r="D184" s="421">
        <v>0</v>
      </c>
      <c r="E184" s="421">
        <v>0</v>
      </c>
      <c r="F184" s="421">
        <v>5.0790798253364304</v>
      </c>
      <c r="G184" s="421">
        <v>103.36019560958501</v>
      </c>
      <c r="H184" s="421">
        <v>0</v>
      </c>
      <c r="I184" s="421">
        <v>0</v>
      </c>
      <c r="J184" s="421">
        <v>73.674863255740703</v>
      </c>
      <c r="K184" s="421">
        <v>0</v>
      </c>
      <c r="L184" s="421">
        <v>0</v>
      </c>
      <c r="M184" s="421">
        <v>2.1093917471343899</v>
      </c>
      <c r="N184" s="421">
        <v>62.925207692465797</v>
      </c>
      <c r="O184" s="421">
        <v>0.93798825098649496</v>
      </c>
      <c r="P184" s="421">
        <v>184.247095425738</v>
      </c>
      <c r="Q184" s="421">
        <v>14.961677987514401</v>
      </c>
      <c r="R184" s="421">
        <v>0</v>
      </c>
      <c r="S184" s="429">
        <v>447.29549979450098</v>
      </c>
      <c r="T184" s="412"/>
    </row>
    <row r="185" spans="2:20" ht="13.5">
      <c r="B185" s="412"/>
      <c r="C185" s="428" t="s">
        <v>81</v>
      </c>
      <c r="D185" s="421">
        <v>0</v>
      </c>
      <c r="E185" s="421">
        <v>0</v>
      </c>
      <c r="F185" s="421">
        <v>1.9431733632283299</v>
      </c>
      <c r="G185" s="421">
        <v>67.9041876215625</v>
      </c>
      <c r="H185" s="421">
        <v>0</v>
      </c>
      <c r="I185" s="421">
        <v>0</v>
      </c>
      <c r="J185" s="421">
        <v>3.20971056517973</v>
      </c>
      <c r="K185" s="421">
        <v>0</v>
      </c>
      <c r="L185" s="421">
        <v>0</v>
      </c>
      <c r="M185" s="421">
        <v>1.3857997473788299</v>
      </c>
      <c r="N185" s="421">
        <v>6.1991330221488896</v>
      </c>
      <c r="O185" s="421">
        <v>0.72170394145081995</v>
      </c>
      <c r="P185" s="421">
        <v>149.98195377916301</v>
      </c>
      <c r="Q185" s="421">
        <v>3.6009722763640601</v>
      </c>
      <c r="R185" s="421">
        <v>0</v>
      </c>
      <c r="S185" s="429">
        <v>234.94663431647601</v>
      </c>
      <c r="T185" s="412"/>
    </row>
    <row r="186" spans="2:20" ht="13.5">
      <c r="B186" s="412"/>
      <c r="C186" s="428" t="s">
        <v>82</v>
      </c>
      <c r="D186" s="421">
        <v>0</v>
      </c>
      <c r="E186" s="421">
        <v>0</v>
      </c>
      <c r="F186" s="421">
        <v>2.1543406684855499</v>
      </c>
      <c r="G186" s="421">
        <v>5.7377015169157897</v>
      </c>
      <c r="H186" s="421">
        <v>0</v>
      </c>
      <c r="I186" s="421">
        <v>0</v>
      </c>
      <c r="J186" s="421">
        <v>2.0881916312924198</v>
      </c>
      <c r="K186" s="421">
        <v>0</v>
      </c>
      <c r="L186" s="421">
        <v>19.243865605766601</v>
      </c>
      <c r="M186" s="421">
        <v>0.117095949324812</v>
      </c>
      <c r="N186" s="421">
        <v>0</v>
      </c>
      <c r="O186" s="421">
        <v>6.0519753794095202E-2</v>
      </c>
      <c r="P186" s="421">
        <v>7.3615435248684502</v>
      </c>
      <c r="Q186" s="421">
        <v>0</v>
      </c>
      <c r="R186" s="421">
        <v>0</v>
      </c>
      <c r="S186" s="429">
        <v>36.763258650447703</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2.4</v>
      </c>
      <c r="Q187" s="421">
        <v>0</v>
      </c>
      <c r="R187" s="421">
        <v>0</v>
      </c>
      <c r="S187" s="429">
        <v>2.4</v>
      </c>
      <c r="T187" s="412"/>
    </row>
    <row r="188" spans="2:20" ht="13.5">
      <c r="B188" s="412"/>
      <c r="C188" s="424" t="s">
        <v>83</v>
      </c>
      <c r="D188" s="425">
        <v>3.2525348929878701</v>
      </c>
      <c r="E188" s="425">
        <v>0</v>
      </c>
      <c r="F188" s="425">
        <v>230.98624128500899</v>
      </c>
      <c r="G188" s="425">
        <v>313.59489342095998</v>
      </c>
      <c r="H188" s="425">
        <v>0</v>
      </c>
      <c r="I188" s="425">
        <v>0</v>
      </c>
      <c r="J188" s="425">
        <v>96.2164945803667</v>
      </c>
      <c r="K188" s="425">
        <v>3.8122851216920202</v>
      </c>
      <c r="L188" s="425">
        <v>40.701322259899896</v>
      </c>
      <c r="M188" s="425">
        <v>6.3998957841012203</v>
      </c>
      <c r="N188" s="425">
        <v>69.124340714614704</v>
      </c>
      <c r="O188" s="425">
        <v>1.72021194623141</v>
      </c>
      <c r="P188" s="425">
        <v>538.41887658250903</v>
      </c>
      <c r="Q188" s="425">
        <v>37.982317268838599</v>
      </c>
      <c r="R188" s="425">
        <v>3.28677684855302</v>
      </c>
      <c r="S188" s="425">
        <v>1345.49619070576</v>
      </c>
      <c r="T188" s="412"/>
    </row>
    <row r="189" spans="2:20" ht="13.5">
      <c r="B189" s="412"/>
      <c r="C189" s="420" t="s">
        <v>84</v>
      </c>
      <c r="D189" s="421">
        <v>2.0917910156250001</v>
      </c>
      <c r="E189" s="421">
        <v>0</v>
      </c>
      <c r="F189" s="421">
        <v>139.14741749348801</v>
      </c>
      <c r="G189" s="421">
        <v>11.9244724968143</v>
      </c>
      <c r="H189" s="421">
        <v>0</v>
      </c>
      <c r="I189" s="421">
        <v>0</v>
      </c>
      <c r="J189" s="421">
        <v>0</v>
      </c>
      <c r="K189" s="421">
        <v>0</v>
      </c>
      <c r="L189" s="421">
        <v>0</v>
      </c>
      <c r="M189" s="421">
        <v>0</v>
      </c>
      <c r="N189" s="421">
        <v>0</v>
      </c>
      <c r="O189" s="421">
        <v>0</v>
      </c>
      <c r="P189" s="421">
        <v>0</v>
      </c>
      <c r="Q189" s="421">
        <v>0</v>
      </c>
      <c r="R189" s="421">
        <v>1.18219108886719</v>
      </c>
      <c r="S189" s="429">
        <v>154.345872094794</v>
      </c>
      <c r="T189" s="412"/>
    </row>
    <row r="190" spans="2:20" ht="13.5">
      <c r="B190" s="412"/>
      <c r="C190" s="424" t="s">
        <v>85</v>
      </c>
      <c r="D190" s="425">
        <v>5.3443259086128698</v>
      </c>
      <c r="E190" s="425">
        <v>0</v>
      </c>
      <c r="F190" s="425">
        <v>370.13365877849702</v>
      </c>
      <c r="G190" s="425">
        <v>325.519365917774</v>
      </c>
      <c r="H190" s="425">
        <v>0</v>
      </c>
      <c r="I190" s="425">
        <v>0</v>
      </c>
      <c r="J190" s="425">
        <v>96.2164945803667</v>
      </c>
      <c r="K190" s="425">
        <v>3.8122851216920202</v>
      </c>
      <c r="L190" s="425">
        <v>40.701322259899896</v>
      </c>
      <c r="M190" s="425">
        <v>6.3998957841012203</v>
      </c>
      <c r="N190" s="425">
        <v>69.124340714614704</v>
      </c>
      <c r="O190" s="425">
        <v>1.72021194623141</v>
      </c>
      <c r="P190" s="425">
        <v>538.41887658250903</v>
      </c>
      <c r="Q190" s="425">
        <v>37.982317268838599</v>
      </c>
      <c r="R190" s="425">
        <v>4.46896793742021</v>
      </c>
      <c r="S190" s="425">
        <v>1499.8420628005599</v>
      </c>
      <c r="T190" s="412"/>
    </row>
    <row r="191" spans="2:20">
      <c r="B191" s="412"/>
      <c r="C191" s="412"/>
      <c r="D191" s="430">
        <f t="shared" ref="D191:S191" si="4">D190+D180-D166</f>
        <v>-3.1974423109204508E-14</v>
      </c>
      <c r="E191" s="430">
        <f t="shared" si="4"/>
        <v>0</v>
      </c>
      <c r="F191" s="430">
        <f t="shared" si="4"/>
        <v>-2.9842794901924208E-13</v>
      </c>
      <c r="G191" s="430">
        <f t="shared" si="4"/>
        <v>0</v>
      </c>
      <c r="H191" s="430">
        <f t="shared" si="4"/>
        <v>0</v>
      </c>
      <c r="I191" s="430">
        <f t="shared" si="4"/>
        <v>0</v>
      </c>
      <c r="J191" s="430">
        <f t="shared" si="4"/>
        <v>-3.694822225952521E-13</v>
      </c>
      <c r="K191" s="430">
        <f t="shared" si="4"/>
        <v>0</v>
      </c>
      <c r="L191" s="430">
        <f t="shared" si="4"/>
        <v>3.5416114485542494E-14</v>
      </c>
      <c r="M191" s="430">
        <f t="shared" si="4"/>
        <v>0</v>
      </c>
      <c r="N191" s="430">
        <f t="shared" si="4"/>
        <v>0</v>
      </c>
      <c r="O191" s="430">
        <f t="shared" si="4"/>
        <v>0</v>
      </c>
      <c r="P191" s="430">
        <f t="shared" si="4"/>
        <v>-1.9184653865522705E-13</v>
      </c>
      <c r="Q191" s="430">
        <f t="shared" si="4"/>
        <v>0</v>
      </c>
      <c r="R191" s="430">
        <f t="shared" si="4"/>
        <v>0</v>
      </c>
      <c r="S191" s="430">
        <f t="shared" si="4"/>
        <v>0</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sheetData>
  <mergeCells count="60">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160:O160">
    <cfRule type="expression" dxfId="9880" priority="240">
      <formula>LEN(TRIM(N160))=0</formula>
    </cfRule>
  </conditionalFormatting>
  <conditionalFormatting sqref="N160:O160">
    <cfRule type="cellIs" dxfId="9879" priority="239" operator="equal">
      <formula>0</formula>
    </cfRule>
  </conditionalFormatting>
  <conditionalFormatting sqref="N160:O160">
    <cfRule type="cellIs" dxfId="9878" priority="238" operator="equal">
      <formula>0</formula>
    </cfRule>
  </conditionalFormatting>
  <conditionalFormatting sqref="H160:K160">
    <cfRule type="expression" dxfId="9877" priority="237">
      <formula>LEN(TRIM(H160))=0</formula>
    </cfRule>
  </conditionalFormatting>
  <conditionalFormatting sqref="K160">
    <cfRule type="cellIs" dxfId="9876" priority="236" operator="equal">
      <formula>0</formula>
    </cfRule>
  </conditionalFormatting>
  <conditionalFormatting sqref="J160:K160">
    <cfRule type="cellIs" dxfId="9875" priority="235" operator="equal">
      <formula>0</formula>
    </cfRule>
  </conditionalFormatting>
  <conditionalFormatting sqref="I160">
    <cfRule type="cellIs" dxfId="9874" priority="234" operator="equal">
      <formula>0</formula>
    </cfRule>
  </conditionalFormatting>
  <conditionalFormatting sqref="H160">
    <cfRule type="cellIs" dxfId="9873" priority="233" operator="equal">
      <formula>0</formula>
    </cfRule>
  </conditionalFormatting>
  <conditionalFormatting sqref="D168:R179">
    <cfRule type="expression" dxfId="9872" priority="232">
      <formula>LEN(TRIM(D168))=0</formula>
    </cfRule>
  </conditionalFormatting>
  <conditionalFormatting sqref="D168:R179">
    <cfRule type="cellIs" dxfId="9871" priority="231" operator="equal">
      <formula>0</formula>
    </cfRule>
  </conditionalFormatting>
  <conditionalFormatting sqref="N164:O164">
    <cfRule type="cellIs" dxfId="9870" priority="230" operator="equal">
      <formula>0</formula>
    </cfRule>
  </conditionalFormatting>
  <conditionalFormatting sqref="N163:O163">
    <cfRule type="cellIs" dxfId="9869" priority="229" operator="equal">
      <formula>0</formula>
    </cfRule>
  </conditionalFormatting>
  <conditionalFormatting sqref="M163:M164">
    <cfRule type="cellIs" dxfId="9868" priority="228" operator="equal">
      <formula>0</formula>
    </cfRule>
  </conditionalFormatting>
  <conditionalFormatting sqref="L163:L164">
    <cfRule type="cellIs" dxfId="9867" priority="227" operator="equal">
      <formula>0</formula>
    </cfRule>
  </conditionalFormatting>
  <conditionalFormatting sqref="D189:R189">
    <cfRule type="cellIs" dxfId="9866" priority="226" operator="equal">
      <formula>0</formula>
    </cfRule>
  </conditionalFormatting>
  <conditionalFormatting sqref="D182:R190 D180:R180 D161:R166 D160:G160 L160:M160 P160:R160">
    <cfRule type="expression" dxfId="9865" priority="225">
      <formula>LEN(TRIM(D160))=0</formula>
    </cfRule>
  </conditionalFormatting>
  <conditionalFormatting sqref="D189:R189">
    <cfRule type="cellIs" dxfId="9864" priority="224" operator="equal">
      <formula>0</formula>
    </cfRule>
  </conditionalFormatting>
  <conditionalFormatting sqref="O161:O162">
    <cfRule type="cellIs" dxfId="9863" priority="223" operator="equal">
      <formula>0</formula>
    </cfRule>
  </conditionalFormatting>
  <conditionalFormatting sqref="O163:O165 O181">
    <cfRule type="cellIs" dxfId="9862" priority="222" operator="equal">
      <formula>0</formula>
    </cfRule>
  </conditionalFormatting>
  <conditionalFormatting sqref="N161:N162">
    <cfRule type="cellIs" dxfId="9861" priority="221" operator="equal">
      <formula>0</formula>
    </cfRule>
  </conditionalFormatting>
  <conditionalFormatting sqref="N163:N165 N181">
    <cfRule type="cellIs" dxfId="9860" priority="220" operator="equal">
      <formula>0</formula>
    </cfRule>
  </conditionalFormatting>
  <conditionalFormatting sqref="M160:M162">
    <cfRule type="cellIs" dxfId="9859" priority="219" operator="equal">
      <formula>0</formula>
    </cfRule>
  </conditionalFormatting>
  <conditionalFormatting sqref="M163:M165 M181">
    <cfRule type="cellIs" dxfId="9858" priority="218" operator="equal">
      <formula>0</formula>
    </cfRule>
  </conditionalFormatting>
  <conditionalFormatting sqref="L160:L162">
    <cfRule type="cellIs" dxfId="9857" priority="217" operator="equal">
      <formula>0</formula>
    </cfRule>
  </conditionalFormatting>
  <conditionalFormatting sqref="L163:L165 L181">
    <cfRule type="cellIs" dxfId="9856" priority="216" operator="equal">
      <formula>0</formula>
    </cfRule>
  </conditionalFormatting>
  <conditionalFormatting sqref="K161:K162">
    <cfRule type="cellIs" dxfId="9855" priority="215" operator="equal">
      <formula>0</formula>
    </cfRule>
  </conditionalFormatting>
  <conditionalFormatting sqref="K163:K165 K181">
    <cfRule type="cellIs" dxfId="9854" priority="214" operator="equal">
      <formula>0</formula>
    </cfRule>
  </conditionalFormatting>
  <conditionalFormatting sqref="J161:J162">
    <cfRule type="cellIs" dxfId="9853" priority="213" operator="equal">
      <formula>0</formula>
    </cfRule>
  </conditionalFormatting>
  <conditionalFormatting sqref="J163:J165 J181">
    <cfRule type="cellIs" dxfId="9852" priority="212" operator="equal">
      <formula>0</formula>
    </cfRule>
  </conditionalFormatting>
  <conditionalFormatting sqref="L160:M160">
    <cfRule type="cellIs" dxfId="9851" priority="211" operator="equal">
      <formula>0</formula>
    </cfRule>
  </conditionalFormatting>
  <conditionalFormatting sqref="F161:F162">
    <cfRule type="cellIs" dxfId="9850" priority="210" operator="equal">
      <formula>0</formula>
    </cfRule>
  </conditionalFormatting>
  <conditionalFormatting sqref="P160:R160 L160:M160 D161:R162">
    <cfRule type="cellIs" dxfId="9849" priority="209" operator="equal">
      <formula>0</formula>
    </cfRule>
  </conditionalFormatting>
  <conditionalFormatting sqref="P160:P162">
    <cfRule type="cellIs" dxfId="9848" priority="208" operator="equal">
      <formula>0</formula>
    </cfRule>
  </conditionalFormatting>
  <conditionalFormatting sqref="D190:R190 P181:R181 D181:I181 D182:R188 D180:R180 D161:R167 D160:G160 L160:M160 P160:R160">
    <cfRule type="cellIs" dxfId="9847" priority="207" operator="equal">
      <formula>0</formula>
    </cfRule>
  </conditionalFormatting>
  <conditionalFormatting sqref="N123:O123">
    <cfRule type="expression" dxfId="9846" priority="206">
      <formula>LEN(TRIM(N123))=0</formula>
    </cfRule>
  </conditionalFormatting>
  <conditionalFormatting sqref="N123:O123">
    <cfRule type="cellIs" dxfId="9845" priority="205" operator="equal">
      <formula>0</formula>
    </cfRule>
  </conditionalFormatting>
  <conditionalFormatting sqref="N123:O123">
    <cfRule type="cellIs" dxfId="9844" priority="204" operator="equal">
      <formula>0</formula>
    </cfRule>
  </conditionalFormatting>
  <conditionalFormatting sqref="H123:K123">
    <cfRule type="expression" dxfId="9843" priority="203">
      <formula>LEN(TRIM(H123))=0</formula>
    </cfRule>
  </conditionalFormatting>
  <conditionalFormatting sqref="K123">
    <cfRule type="cellIs" dxfId="9842" priority="202" operator="equal">
      <formula>0</formula>
    </cfRule>
  </conditionalFormatting>
  <conditionalFormatting sqref="J123:K123">
    <cfRule type="cellIs" dxfId="9841" priority="201" operator="equal">
      <formula>0</formula>
    </cfRule>
  </conditionalFormatting>
  <conditionalFormatting sqref="I123">
    <cfRule type="cellIs" dxfId="9840" priority="200" operator="equal">
      <formula>0</formula>
    </cfRule>
  </conditionalFormatting>
  <conditionalFormatting sqref="H123">
    <cfRule type="cellIs" dxfId="9839" priority="199" operator="equal">
      <formula>0</formula>
    </cfRule>
  </conditionalFormatting>
  <conditionalFormatting sqref="D131:R142">
    <cfRule type="expression" dxfId="9838" priority="198">
      <formula>LEN(TRIM(D131))=0</formula>
    </cfRule>
  </conditionalFormatting>
  <conditionalFormatting sqref="D131:R142">
    <cfRule type="cellIs" dxfId="9837" priority="197" operator="equal">
      <formula>0</formula>
    </cfRule>
  </conditionalFormatting>
  <conditionalFormatting sqref="N127:O127">
    <cfRule type="cellIs" dxfId="9836" priority="196" operator="equal">
      <formula>0</formula>
    </cfRule>
  </conditionalFormatting>
  <conditionalFormatting sqref="N126:O126">
    <cfRule type="cellIs" dxfId="9835" priority="195" operator="equal">
      <formula>0</formula>
    </cfRule>
  </conditionalFormatting>
  <conditionalFormatting sqref="M126:M127">
    <cfRule type="cellIs" dxfId="9834" priority="194" operator="equal">
      <formula>0</formula>
    </cfRule>
  </conditionalFormatting>
  <conditionalFormatting sqref="L126:L127">
    <cfRule type="cellIs" dxfId="9833" priority="193" operator="equal">
      <formula>0</formula>
    </cfRule>
  </conditionalFormatting>
  <conditionalFormatting sqref="D152:R152">
    <cfRule type="cellIs" dxfId="9832" priority="192" operator="equal">
      <formula>0</formula>
    </cfRule>
  </conditionalFormatting>
  <conditionalFormatting sqref="D145:R153 D143:R143 D124:R129 D123:G123 L123:M123 P123:R123">
    <cfRule type="expression" dxfId="9831" priority="191">
      <formula>LEN(TRIM(D123))=0</formula>
    </cfRule>
  </conditionalFormatting>
  <conditionalFormatting sqref="D152:R152">
    <cfRule type="cellIs" dxfId="9830" priority="190" operator="equal">
      <formula>0</formula>
    </cfRule>
  </conditionalFormatting>
  <conditionalFormatting sqref="O124:O125">
    <cfRule type="cellIs" dxfId="9829" priority="189" operator="equal">
      <formula>0</formula>
    </cfRule>
  </conditionalFormatting>
  <conditionalFormatting sqref="O126:O128 O144">
    <cfRule type="cellIs" dxfId="9828" priority="188" operator="equal">
      <formula>0</formula>
    </cfRule>
  </conditionalFormatting>
  <conditionalFormatting sqref="N124:N125">
    <cfRule type="cellIs" dxfId="9827" priority="187" operator="equal">
      <formula>0</formula>
    </cfRule>
  </conditionalFormatting>
  <conditionalFormatting sqref="N126:N128 N144">
    <cfRule type="cellIs" dxfId="9826" priority="186" operator="equal">
      <formula>0</formula>
    </cfRule>
  </conditionalFormatting>
  <conditionalFormatting sqref="M123:M125">
    <cfRule type="cellIs" dxfId="9825" priority="185" operator="equal">
      <formula>0</formula>
    </cfRule>
  </conditionalFormatting>
  <conditionalFormatting sqref="M126:M128 M144">
    <cfRule type="cellIs" dxfId="9824" priority="184" operator="equal">
      <formula>0</formula>
    </cfRule>
  </conditionalFormatting>
  <conditionalFormatting sqref="L123:L125">
    <cfRule type="cellIs" dxfId="9823" priority="183" operator="equal">
      <formula>0</formula>
    </cfRule>
  </conditionalFormatting>
  <conditionalFormatting sqref="L126:L128 L144">
    <cfRule type="cellIs" dxfId="9822" priority="182" operator="equal">
      <formula>0</formula>
    </cfRule>
  </conditionalFormatting>
  <conditionalFormatting sqref="K124:K125">
    <cfRule type="cellIs" dxfId="9821" priority="181" operator="equal">
      <formula>0</formula>
    </cfRule>
  </conditionalFormatting>
  <conditionalFormatting sqref="K126:K128 K144">
    <cfRule type="cellIs" dxfId="9820" priority="180" operator="equal">
      <formula>0</formula>
    </cfRule>
  </conditionalFormatting>
  <conditionalFormatting sqref="J124:J125">
    <cfRule type="cellIs" dxfId="9819" priority="179" operator="equal">
      <formula>0</formula>
    </cfRule>
  </conditionalFormatting>
  <conditionalFormatting sqref="J126:J128 J144">
    <cfRule type="cellIs" dxfId="9818" priority="178" operator="equal">
      <formula>0</formula>
    </cfRule>
  </conditionalFormatting>
  <conditionalFormatting sqref="L123:M123">
    <cfRule type="cellIs" dxfId="9817" priority="177" operator="equal">
      <formula>0</formula>
    </cfRule>
  </conditionalFormatting>
  <conditionalFormatting sqref="F124:F125">
    <cfRule type="cellIs" dxfId="9816" priority="176" operator="equal">
      <formula>0</formula>
    </cfRule>
  </conditionalFormatting>
  <conditionalFormatting sqref="P123:R123 L123:M123 D124:R125">
    <cfRule type="cellIs" dxfId="9815" priority="175" operator="equal">
      <formula>0</formula>
    </cfRule>
  </conditionalFormatting>
  <conditionalFormatting sqref="P123:P125">
    <cfRule type="cellIs" dxfId="9814" priority="174" operator="equal">
      <formula>0</formula>
    </cfRule>
  </conditionalFormatting>
  <conditionalFormatting sqref="D153:R153 P144:R144 D144:I144 D145:R151 D143:R143 D124:R130 D123:G123 L123:M123 P123:R123">
    <cfRule type="cellIs" dxfId="9813" priority="173" operator="equal">
      <formula>0</formula>
    </cfRule>
  </conditionalFormatting>
  <conditionalFormatting sqref="S145:S153 S123:S129 S131:S143">
    <cfRule type="expression" dxfId="9812" priority="172">
      <formula>LEN(TRIM(S123))=0</formula>
    </cfRule>
  </conditionalFormatting>
  <conditionalFormatting sqref="S152">
    <cfRule type="cellIs" dxfId="9811" priority="171" operator="equal">
      <formula>0</formula>
    </cfRule>
  </conditionalFormatting>
  <conditionalFormatting sqref="S153 S123:S151">
    <cfRule type="cellIs" dxfId="9810" priority="170" operator="equal">
      <formula>0</formula>
    </cfRule>
  </conditionalFormatting>
  <conditionalFormatting sqref="S168:S179">
    <cfRule type="expression" dxfId="9809" priority="169">
      <formula>LEN(TRIM(S168))=0</formula>
    </cfRule>
  </conditionalFormatting>
  <conditionalFormatting sqref="S168:S179">
    <cfRule type="cellIs" dxfId="9808" priority="168" operator="equal">
      <formula>0</formula>
    </cfRule>
  </conditionalFormatting>
  <conditionalFormatting sqref="S163:S164">
    <cfRule type="expression" dxfId="9807" priority="167">
      <formula>LEN(TRIM(S163))=0</formula>
    </cfRule>
  </conditionalFormatting>
  <conditionalFormatting sqref="S163:S164">
    <cfRule type="cellIs" dxfId="9806" priority="166" operator="equal">
      <formula>0</formula>
    </cfRule>
  </conditionalFormatting>
  <conditionalFormatting sqref="S182:S190 S160:S162 S165:S166">
    <cfRule type="expression" dxfId="9805" priority="165">
      <formula>LEN(TRIM(S160))=0</formula>
    </cfRule>
  </conditionalFormatting>
  <conditionalFormatting sqref="S189">
    <cfRule type="cellIs" dxfId="9804" priority="164" operator="equal">
      <formula>0</formula>
    </cfRule>
  </conditionalFormatting>
  <conditionalFormatting sqref="S190 S160:S162">
    <cfRule type="cellIs" dxfId="9803" priority="163" operator="equal">
      <formula>0</formula>
    </cfRule>
  </conditionalFormatting>
  <conditionalFormatting sqref="O159">
    <cfRule type="cellIs" dxfId="9802" priority="162" operator="equal">
      <formula>0</formula>
    </cfRule>
  </conditionalFormatting>
  <conditionalFormatting sqref="J159:N159">
    <cfRule type="cellIs" dxfId="9801" priority="161" operator="equal">
      <formula>0</formula>
    </cfRule>
  </conditionalFormatting>
  <conditionalFormatting sqref="O122">
    <cfRule type="cellIs" dxfId="9800" priority="160" operator="equal">
      <formula>0</formula>
    </cfRule>
  </conditionalFormatting>
  <conditionalFormatting sqref="J122:N122">
    <cfRule type="cellIs" dxfId="9799" priority="159" operator="equal">
      <formula>0</formula>
    </cfRule>
  </conditionalFormatting>
  <conditionalFormatting sqref="N86:O86">
    <cfRule type="expression" dxfId="9798" priority="158">
      <formula>LEN(TRIM(N86))=0</formula>
    </cfRule>
  </conditionalFormatting>
  <conditionalFormatting sqref="N86:O86">
    <cfRule type="cellIs" dxfId="9797" priority="157" operator="equal">
      <formula>0</formula>
    </cfRule>
  </conditionalFormatting>
  <conditionalFormatting sqref="N86:O86">
    <cfRule type="cellIs" dxfId="9796" priority="156" operator="equal">
      <formula>0</formula>
    </cfRule>
  </conditionalFormatting>
  <conditionalFormatting sqref="H86:K86">
    <cfRule type="expression" dxfId="9795" priority="155">
      <formula>LEN(TRIM(H86))=0</formula>
    </cfRule>
  </conditionalFormatting>
  <conditionalFormatting sqref="K86">
    <cfRule type="cellIs" dxfId="9794" priority="154" operator="equal">
      <formula>0</formula>
    </cfRule>
  </conditionalFormatting>
  <conditionalFormatting sqref="J86:K86">
    <cfRule type="cellIs" dxfId="9793" priority="153" operator="equal">
      <formula>0</formula>
    </cfRule>
  </conditionalFormatting>
  <conditionalFormatting sqref="I86">
    <cfRule type="cellIs" dxfId="9792" priority="152" operator="equal">
      <formula>0</formula>
    </cfRule>
  </conditionalFormatting>
  <conditionalFormatting sqref="H86">
    <cfRule type="cellIs" dxfId="9791" priority="151" operator="equal">
      <formula>0</formula>
    </cfRule>
  </conditionalFormatting>
  <conditionalFormatting sqref="D94:R105">
    <cfRule type="expression" dxfId="9790" priority="150">
      <formula>LEN(TRIM(D94))=0</formula>
    </cfRule>
  </conditionalFormatting>
  <conditionalFormatting sqref="D94:R105">
    <cfRule type="cellIs" dxfId="9789" priority="149" operator="equal">
      <formula>0</formula>
    </cfRule>
  </conditionalFormatting>
  <conditionalFormatting sqref="N90:O90">
    <cfRule type="cellIs" dxfId="9788" priority="148" operator="equal">
      <formula>0</formula>
    </cfRule>
  </conditionalFormatting>
  <conditionalFormatting sqref="N89:O89">
    <cfRule type="cellIs" dxfId="9787" priority="147" operator="equal">
      <formula>0</formula>
    </cfRule>
  </conditionalFormatting>
  <conditionalFormatting sqref="M89:M90">
    <cfRule type="cellIs" dxfId="9786" priority="146" operator="equal">
      <formula>0</formula>
    </cfRule>
  </conditionalFormatting>
  <conditionalFormatting sqref="L89:L90">
    <cfRule type="cellIs" dxfId="9785" priority="145" operator="equal">
      <formula>0</formula>
    </cfRule>
  </conditionalFormatting>
  <conditionalFormatting sqref="D115:R115">
    <cfRule type="cellIs" dxfId="9784" priority="144" operator="equal">
      <formula>0</formula>
    </cfRule>
  </conditionalFormatting>
  <conditionalFormatting sqref="D108:R116 D106:R106 D87:R92 D86:G86 L86:M86 P86:R86">
    <cfRule type="expression" dxfId="9783" priority="143">
      <formula>LEN(TRIM(D86))=0</formula>
    </cfRule>
  </conditionalFormatting>
  <conditionalFormatting sqref="D115:R115">
    <cfRule type="cellIs" dxfId="9782" priority="142" operator="equal">
      <formula>0</formula>
    </cfRule>
  </conditionalFormatting>
  <conditionalFormatting sqref="O87:O88">
    <cfRule type="cellIs" dxfId="9781" priority="141" operator="equal">
      <formula>0</formula>
    </cfRule>
  </conditionalFormatting>
  <conditionalFormatting sqref="O89:O91 O107">
    <cfRule type="cellIs" dxfId="9780" priority="140" operator="equal">
      <formula>0</formula>
    </cfRule>
  </conditionalFormatting>
  <conditionalFormatting sqref="N87:N88">
    <cfRule type="cellIs" dxfId="9779" priority="139" operator="equal">
      <formula>0</formula>
    </cfRule>
  </conditionalFormatting>
  <conditionalFormatting sqref="N89:N91 N107">
    <cfRule type="cellIs" dxfId="9778" priority="138" operator="equal">
      <formula>0</formula>
    </cfRule>
  </conditionalFormatting>
  <conditionalFormatting sqref="M86:M88">
    <cfRule type="cellIs" dxfId="9777" priority="137" operator="equal">
      <formula>0</formula>
    </cfRule>
  </conditionalFormatting>
  <conditionalFormatting sqref="M89:M91 M107">
    <cfRule type="cellIs" dxfId="9776" priority="136" operator="equal">
      <formula>0</formula>
    </cfRule>
  </conditionalFormatting>
  <conditionalFormatting sqref="L86:L88">
    <cfRule type="cellIs" dxfId="9775" priority="135" operator="equal">
      <formula>0</formula>
    </cfRule>
  </conditionalFormatting>
  <conditionalFormatting sqref="L89:L91 L107">
    <cfRule type="cellIs" dxfId="9774" priority="134" operator="equal">
      <formula>0</formula>
    </cfRule>
  </conditionalFormatting>
  <conditionalFormatting sqref="K87:K88">
    <cfRule type="cellIs" dxfId="9773" priority="133" operator="equal">
      <formula>0</formula>
    </cfRule>
  </conditionalFormatting>
  <conditionalFormatting sqref="K89:K91 K107">
    <cfRule type="cellIs" dxfId="9772" priority="132" operator="equal">
      <formula>0</formula>
    </cfRule>
  </conditionalFormatting>
  <conditionalFormatting sqref="J87:J88">
    <cfRule type="cellIs" dxfId="9771" priority="131" operator="equal">
      <formula>0</formula>
    </cfRule>
  </conditionalFormatting>
  <conditionalFormatting sqref="J89:J91 J107">
    <cfRule type="cellIs" dxfId="9770" priority="130" operator="equal">
      <formula>0</formula>
    </cfRule>
  </conditionalFormatting>
  <conditionalFormatting sqref="L86:M86">
    <cfRule type="cellIs" dxfId="9769" priority="129" operator="equal">
      <formula>0</formula>
    </cfRule>
  </conditionalFormatting>
  <conditionalFormatting sqref="F87:F88">
    <cfRule type="cellIs" dxfId="9768" priority="128" operator="equal">
      <formula>0</formula>
    </cfRule>
  </conditionalFormatting>
  <conditionalFormatting sqref="P86:R86 L86:M86 D87:R88">
    <cfRule type="cellIs" dxfId="9767" priority="127" operator="equal">
      <formula>0</formula>
    </cfRule>
  </conditionalFormatting>
  <conditionalFormatting sqref="P86:P88">
    <cfRule type="cellIs" dxfId="9766" priority="126" operator="equal">
      <formula>0</formula>
    </cfRule>
  </conditionalFormatting>
  <conditionalFormatting sqref="D116:R116 P107:R107 D107:I107 D108:R114 D106:R106 D87:R93 D86:G86 L86:M86 P86:R86">
    <cfRule type="cellIs" dxfId="9765" priority="125" operator="equal">
      <formula>0</formula>
    </cfRule>
  </conditionalFormatting>
  <conditionalFormatting sqref="N49:O49">
    <cfRule type="expression" dxfId="9764" priority="124">
      <formula>LEN(TRIM(N49))=0</formula>
    </cfRule>
  </conditionalFormatting>
  <conditionalFormatting sqref="N49:O49">
    <cfRule type="cellIs" dxfId="9763" priority="123" operator="equal">
      <formula>0</formula>
    </cfRule>
  </conditionalFormatting>
  <conditionalFormatting sqref="N49:O49">
    <cfRule type="cellIs" dxfId="9762" priority="122" operator="equal">
      <formula>0</formula>
    </cfRule>
  </conditionalFormatting>
  <conditionalFormatting sqref="H49:K49">
    <cfRule type="expression" dxfId="9761" priority="121">
      <formula>LEN(TRIM(H49))=0</formula>
    </cfRule>
  </conditionalFormatting>
  <conditionalFormatting sqref="K49">
    <cfRule type="cellIs" dxfId="9760" priority="120" operator="equal">
      <formula>0</formula>
    </cfRule>
  </conditionalFormatting>
  <conditionalFormatting sqref="J49:K49">
    <cfRule type="cellIs" dxfId="9759" priority="119" operator="equal">
      <formula>0</formula>
    </cfRule>
  </conditionalFormatting>
  <conditionalFormatting sqref="I49">
    <cfRule type="cellIs" dxfId="9758" priority="118" operator="equal">
      <formula>0</formula>
    </cfRule>
  </conditionalFormatting>
  <conditionalFormatting sqref="H49">
    <cfRule type="cellIs" dxfId="9757" priority="117" operator="equal">
      <formula>0</formula>
    </cfRule>
  </conditionalFormatting>
  <conditionalFormatting sqref="D57:R68">
    <cfRule type="expression" dxfId="9756" priority="116">
      <formula>LEN(TRIM(D57))=0</formula>
    </cfRule>
  </conditionalFormatting>
  <conditionalFormatting sqref="D57:R68">
    <cfRule type="cellIs" dxfId="9755" priority="115" operator="equal">
      <formula>0</formula>
    </cfRule>
  </conditionalFormatting>
  <conditionalFormatting sqref="N53:O53">
    <cfRule type="cellIs" dxfId="9754" priority="114" operator="equal">
      <formula>0</formula>
    </cfRule>
  </conditionalFormatting>
  <conditionalFormatting sqref="N52:O52">
    <cfRule type="cellIs" dxfId="9753" priority="113" operator="equal">
      <formula>0</formula>
    </cfRule>
  </conditionalFormatting>
  <conditionalFormatting sqref="M52:M53">
    <cfRule type="cellIs" dxfId="9752" priority="112" operator="equal">
      <formula>0</formula>
    </cfRule>
  </conditionalFormatting>
  <conditionalFormatting sqref="L52:L53">
    <cfRule type="cellIs" dxfId="9751" priority="111" operator="equal">
      <formula>0</formula>
    </cfRule>
  </conditionalFormatting>
  <conditionalFormatting sqref="D78:R78">
    <cfRule type="cellIs" dxfId="9750" priority="110" operator="equal">
      <formula>0</formula>
    </cfRule>
  </conditionalFormatting>
  <conditionalFormatting sqref="D71:R79 D69:R69 D50:R55 D49:G49 L49:M49 P49:R49">
    <cfRule type="expression" dxfId="9749" priority="109">
      <formula>LEN(TRIM(D49))=0</formula>
    </cfRule>
  </conditionalFormatting>
  <conditionalFormatting sqref="D78:R78">
    <cfRule type="cellIs" dxfId="9748" priority="108" operator="equal">
      <formula>0</formula>
    </cfRule>
  </conditionalFormatting>
  <conditionalFormatting sqref="O50:O51">
    <cfRule type="cellIs" dxfId="9747" priority="107" operator="equal">
      <formula>0</formula>
    </cfRule>
  </conditionalFormatting>
  <conditionalFormatting sqref="O52:O54 O70">
    <cfRule type="cellIs" dxfId="9746" priority="106" operator="equal">
      <formula>0</formula>
    </cfRule>
  </conditionalFormatting>
  <conditionalFormatting sqref="N50:N51">
    <cfRule type="cellIs" dxfId="9745" priority="105" operator="equal">
      <formula>0</formula>
    </cfRule>
  </conditionalFormatting>
  <conditionalFormatting sqref="N52:N54 N70">
    <cfRule type="cellIs" dxfId="9744" priority="104" operator="equal">
      <formula>0</formula>
    </cfRule>
  </conditionalFormatting>
  <conditionalFormatting sqref="M49:M51">
    <cfRule type="cellIs" dxfId="9743" priority="103" operator="equal">
      <formula>0</formula>
    </cfRule>
  </conditionalFormatting>
  <conditionalFormatting sqref="M52:M54 M70">
    <cfRule type="cellIs" dxfId="9742" priority="102" operator="equal">
      <formula>0</formula>
    </cfRule>
  </conditionalFormatting>
  <conditionalFormatting sqref="L49:L51">
    <cfRule type="cellIs" dxfId="9741" priority="101" operator="equal">
      <formula>0</formula>
    </cfRule>
  </conditionalFormatting>
  <conditionalFormatting sqref="L52:L54 L70">
    <cfRule type="cellIs" dxfId="9740" priority="100" operator="equal">
      <formula>0</formula>
    </cfRule>
  </conditionalFormatting>
  <conditionalFormatting sqref="K50:K51">
    <cfRule type="cellIs" dxfId="9739" priority="99" operator="equal">
      <formula>0</formula>
    </cfRule>
  </conditionalFormatting>
  <conditionalFormatting sqref="K52:K54 K70">
    <cfRule type="cellIs" dxfId="9738" priority="98" operator="equal">
      <formula>0</formula>
    </cfRule>
  </conditionalFormatting>
  <conditionalFormatting sqref="J50:J51">
    <cfRule type="cellIs" dxfId="9737" priority="97" operator="equal">
      <formula>0</formula>
    </cfRule>
  </conditionalFormatting>
  <conditionalFormatting sqref="J52:J54 J70">
    <cfRule type="cellIs" dxfId="9736" priority="96" operator="equal">
      <formula>0</formula>
    </cfRule>
  </conditionalFormatting>
  <conditionalFormatting sqref="L49:M49">
    <cfRule type="cellIs" dxfId="9735" priority="95" operator="equal">
      <formula>0</formula>
    </cfRule>
  </conditionalFormatting>
  <conditionalFormatting sqref="F50:F51">
    <cfRule type="cellIs" dxfId="9734" priority="94" operator="equal">
      <formula>0</formula>
    </cfRule>
  </conditionalFormatting>
  <conditionalFormatting sqref="P49:R49 L49:M49 D50:R51">
    <cfRule type="cellIs" dxfId="9733" priority="93" operator="equal">
      <formula>0</formula>
    </cfRule>
  </conditionalFormatting>
  <conditionalFormatting sqref="P49:P51">
    <cfRule type="cellIs" dxfId="9732" priority="92" operator="equal">
      <formula>0</formula>
    </cfRule>
  </conditionalFormatting>
  <conditionalFormatting sqref="D79:R79 P70:R70 D70:I70 D71:R77 D69:R69 D50:R56 D49:G49 L49:M49 P49:R49">
    <cfRule type="cellIs" dxfId="9731" priority="91" operator="equal">
      <formula>0</formula>
    </cfRule>
  </conditionalFormatting>
  <conditionalFormatting sqref="N12:O12">
    <cfRule type="expression" dxfId="9730" priority="90">
      <formula>LEN(TRIM(N12))=0</formula>
    </cfRule>
  </conditionalFormatting>
  <conditionalFormatting sqref="N12:O12">
    <cfRule type="cellIs" dxfId="9729" priority="89" operator="equal">
      <formula>0</formula>
    </cfRule>
  </conditionalFormatting>
  <conditionalFormatting sqref="N12:O12">
    <cfRule type="cellIs" dxfId="9728" priority="88" operator="equal">
      <formula>0</formula>
    </cfRule>
  </conditionalFormatting>
  <conditionalFormatting sqref="H12:K12">
    <cfRule type="expression" dxfId="9727" priority="87">
      <formula>LEN(TRIM(H12))=0</formula>
    </cfRule>
  </conditionalFormatting>
  <conditionalFormatting sqref="K12">
    <cfRule type="cellIs" dxfId="9726" priority="86" operator="equal">
      <formula>0</formula>
    </cfRule>
  </conditionalFormatting>
  <conditionalFormatting sqref="J12:K12">
    <cfRule type="cellIs" dxfId="9725" priority="85" operator="equal">
      <formula>0</formula>
    </cfRule>
  </conditionalFormatting>
  <conditionalFormatting sqref="I12">
    <cfRule type="cellIs" dxfId="9724" priority="84" operator="equal">
      <formula>0</formula>
    </cfRule>
  </conditionalFormatting>
  <conditionalFormatting sqref="H12">
    <cfRule type="cellIs" dxfId="9723" priority="83" operator="equal">
      <formula>0</formula>
    </cfRule>
  </conditionalFormatting>
  <conditionalFormatting sqref="D20:R31">
    <cfRule type="expression" dxfId="9722" priority="82">
      <formula>LEN(TRIM(D20))=0</formula>
    </cfRule>
  </conditionalFormatting>
  <conditionalFormatting sqref="D20:R31">
    <cfRule type="cellIs" dxfId="9721" priority="81" operator="equal">
      <formula>0</formula>
    </cfRule>
  </conditionalFormatting>
  <conditionalFormatting sqref="N16:O16">
    <cfRule type="cellIs" dxfId="9720" priority="80" operator="equal">
      <formula>0</formula>
    </cfRule>
  </conditionalFormatting>
  <conditionalFormatting sqref="N15:O15">
    <cfRule type="cellIs" dxfId="9719" priority="79" operator="equal">
      <formula>0</formula>
    </cfRule>
  </conditionalFormatting>
  <conditionalFormatting sqref="M15:M16">
    <cfRule type="cellIs" dxfId="9718" priority="78" operator="equal">
      <formula>0</formula>
    </cfRule>
  </conditionalFormatting>
  <conditionalFormatting sqref="L15:L16">
    <cfRule type="cellIs" dxfId="9717" priority="77" operator="equal">
      <formula>0</formula>
    </cfRule>
  </conditionalFormatting>
  <conditionalFormatting sqref="D41:R41">
    <cfRule type="cellIs" dxfId="9716" priority="76" operator="equal">
      <formula>0</formula>
    </cfRule>
  </conditionalFormatting>
  <conditionalFormatting sqref="D34:R42 D32:R32 D13:R18 D12:G12 L12:M12 P12:R12">
    <cfRule type="expression" dxfId="9715" priority="75">
      <formula>LEN(TRIM(D12))=0</formula>
    </cfRule>
  </conditionalFormatting>
  <conditionalFormatting sqref="D41:R41">
    <cfRule type="cellIs" dxfId="9714" priority="74" operator="equal">
      <formula>0</formula>
    </cfRule>
  </conditionalFormatting>
  <conditionalFormatting sqref="O13:O14">
    <cfRule type="cellIs" dxfId="9713" priority="73" operator="equal">
      <formula>0</formula>
    </cfRule>
  </conditionalFormatting>
  <conditionalFormatting sqref="O15:O17 O33">
    <cfRule type="cellIs" dxfId="9712" priority="72" operator="equal">
      <formula>0</formula>
    </cfRule>
  </conditionalFormatting>
  <conditionalFormatting sqref="N13:N14">
    <cfRule type="cellIs" dxfId="9711" priority="71" operator="equal">
      <formula>0</formula>
    </cfRule>
  </conditionalFormatting>
  <conditionalFormatting sqref="N15:N17 N33">
    <cfRule type="cellIs" dxfId="9710" priority="70" operator="equal">
      <formula>0</formula>
    </cfRule>
  </conditionalFormatting>
  <conditionalFormatting sqref="M12:M14">
    <cfRule type="cellIs" dxfId="9709" priority="69" operator="equal">
      <formula>0</formula>
    </cfRule>
  </conditionalFormatting>
  <conditionalFormatting sqref="M15:M17 M33">
    <cfRule type="cellIs" dxfId="9708" priority="68" operator="equal">
      <formula>0</formula>
    </cfRule>
  </conditionalFormatting>
  <conditionalFormatting sqref="L12:L14">
    <cfRule type="cellIs" dxfId="9707" priority="67" operator="equal">
      <formula>0</formula>
    </cfRule>
  </conditionalFormatting>
  <conditionalFormatting sqref="L15:L17 L33">
    <cfRule type="cellIs" dxfId="9706" priority="66" operator="equal">
      <formula>0</formula>
    </cfRule>
  </conditionalFormatting>
  <conditionalFormatting sqref="K13:K14">
    <cfRule type="cellIs" dxfId="9705" priority="65" operator="equal">
      <formula>0</formula>
    </cfRule>
  </conditionalFormatting>
  <conditionalFormatting sqref="K15:K17 K33">
    <cfRule type="cellIs" dxfId="9704" priority="64" operator="equal">
      <formula>0</formula>
    </cfRule>
  </conditionalFormatting>
  <conditionalFormatting sqref="J13:J14">
    <cfRule type="cellIs" dxfId="9703" priority="63" operator="equal">
      <formula>0</formula>
    </cfRule>
  </conditionalFormatting>
  <conditionalFormatting sqref="J15:J17 J33">
    <cfRule type="cellIs" dxfId="9702" priority="62" operator="equal">
      <formula>0</formula>
    </cfRule>
  </conditionalFormatting>
  <conditionalFormatting sqref="L12:M12">
    <cfRule type="cellIs" dxfId="9701" priority="61" operator="equal">
      <formula>0</formula>
    </cfRule>
  </conditionalFormatting>
  <conditionalFormatting sqref="F13:F14">
    <cfRule type="cellIs" dxfId="9700" priority="60" operator="equal">
      <formula>0</formula>
    </cfRule>
  </conditionalFormatting>
  <conditionalFormatting sqref="P12:R12 L12:M12 D13:R14">
    <cfRule type="cellIs" dxfId="9699" priority="59" operator="equal">
      <formula>0</formula>
    </cfRule>
  </conditionalFormatting>
  <conditionalFormatting sqref="P12:P14">
    <cfRule type="cellIs" dxfId="9698" priority="58" operator="equal">
      <formula>0</formula>
    </cfRule>
  </conditionalFormatting>
  <conditionalFormatting sqref="D42:R42 P33:R33 D33:I33 D34:R40 D32:R32 D13:R19 D12:G12 L12:M12 P12:R12">
    <cfRule type="cellIs" dxfId="9697" priority="57" operator="equal">
      <formula>0</formula>
    </cfRule>
  </conditionalFormatting>
  <conditionalFormatting sqref="S108:S116 S86:S92 S94:S106">
    <cfRule type="expression" dxfId="9696" priority="56">
      <formula>LEN(TRIM(S86))=0</formula>
    </cfRule>
  </conditionalFormatting>
  <conditionalFormatting sqref="S115">
    <cfRule type="cellIs" dxfId="9695" priority="55" operator="equal">
      <formula>0</formula>
    </cfRule>
  </conditionalFormatting>
  <conditionalFormatting sqref="S116 S86:S114">
    <cfRule type="cellIs" dxfId="9694" priority="54" operator="equal">
      <formula>0</formula>
    </cfRule>
  </conditionalFormatting>
  <conditionalFormatting sqref="S71:S79 S49:S55 S57:S69">
    <cfRule type="expression" dxfId="9693" priority="53">
      <formula>LEN(TRIM(S49))=0</formula>
    </cfRule>
  </conditionalFormatting>
  <conditionalFormatting sqref="S78">
    <cfRule type="cellIs" dxfId="9692" priority="52" operator="equal">
      <formula>0</formula>
    </cfRule>
  </conditionalFormatting>
  <conditionalFormatting sqref="S79 S49:S77">
    <cfRule type="cellIs" dxfId="9691" priority="51" operator="equal">
      <formula>0</formula>
    </cfRule>
  </conditionalFormatting>
  <conditionalFormatting sqref="S34:S42 S12:S18 S20:S32">
    <cfRule type="expression" dxfId="9690" priority="50">
      <formula>LEN(TRIM(S12))=0</formula>
    </cfRule>
  </conditionalFormatting>
  <conditionalFormatting sqref="S41">
    <cfRule type="cellIs" dxfId="9689" priority="49" operator="equal">
      <formula>0</formula>
    </cfRule>
  </conditionalFormatting>
  <conditionalFormatting sqref="S42 S12:S40">
    <cfRule type="cellIs" dxfId="9688" priority="48" operator="equal">
      <formula>0</formula>
    </cfRule>
  </conditionalFormatting>
  <conditionalFormatting sqref="O85">
    <cfRule type="cellIs" dxfId="9687" priority="47" operator="equal">
      <formula>0</formula>
    </cfRule>
  </conditionalFormatting>
  <conditionalFormatting sqref="J85:N85">
    <cfRule type="cellIs" dxfId="9686" priority="46" operator="equal">
      <formula>0</formula>
    </cfRule>
  </conditionalFormatting>
  <conditionalFormatting sqref="O48">
    <cfRule type="cellIs" dxfId="9685" priority="45" operator="equal">
      <formula>0</formula>
    </cfRule>
  </conditionalFormatting>
  <conditionalFormatting sqref="J48:N48">
    <cfRule type="cellIs" dxfId="9684" priority="44" operator="equal">
      <formula>0</formula>
    </cfRule>
  </conditionalFormatting>
  <conditionalFormatting sqref="O11">
    <cfRule type="cellIs" dxfId="9683" priority="43" operator="equal">
      <formula>0</formula>
    </cfRule>
  </conditionalFormatting>
  <conditionalFormatting sqref="J11:N11">
    <cfRule type="cellIs" dxfId="9682" priority="42" operator="equal">
      <formula>0</formula>
    </cfRule>
  </conditionalFormatting>
  <conditionalFormatting sqref="S180">
    <cfRule type="expression" dxfId="9681" priority="2">
      <formula>LEN(TRIM(S180))=0</formula>
    </cfRule>
  </conditionalFormatting>
  <conditionalFormatting sqref="S165:S167 S180:S188">
    <cfRule type="cellIs" dxfId="9680"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74C07-C2E5-41F9-9F62-16D7660A0980}">
  <dimension ref="B2:T155"/>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362</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2.3260000000000001</v>
      </c>
      <c r="F12" s="421">
        <v>0</v>
      </c>
      <c r="G12" s="421">
        <v>3.7215999999999999E-2</v>
      </c>
      <c r="H12" s="422">
        <v>1005.45454545455</v>
      </c>
      <c r="I12" s="422">
        <v>246.08</v>
      </c>
      <c r="J12" s="422">
        <v>180.45818950373001</v>
      </c>
      <c r="K12" s="422">
        <v>23.324330540101599</v>
      </c>
      <c r="L12" s="421">
        <v>0</v>
      </c>
      <c r="M12" s="421">
        <v>0</v>
      </c>
      <c r="N12" s="422">
        <v>57.2465959754038</v>
      </c>
      <c r="O12" s="422">
        <v>4.06931439737036</v>
      </c>
      <c r="P12" s="421">
        <v>0</v>
      </c>
      <c r="Q12" s="421">
        <v>0</v>
      </c>
      <c r="R12" s="421">
        <v>0</v>
      </c>
      <c r="S12" s="423">
        <v>1518.9961918711499</v>
      </c>
      <c r="T12" s="412"/>
    </row>
    <row r="13" spans="2:20" ht="13.5">
      <c r="B13" s="412"/>
      <c r="C13" s="420" t="s">
        <v>60</v>
      </c>
      <c r="D13" s="421">
        <v>33.607567251657201</v>
      </c>
      <c r="E13" s="421">
        <v>509.74501402008298</v>
      </c>
      <c r="F13" s="421">
        <v>72.737164762837693</v>
      </c>
      <c r="G13" s="421">
        <v>374.55851469184501</v>
      </c>
      <c r="H13" s="421">
        <v>0</v>
      </c>
      <c r="I13" s="421">
        <v>0</v>
      </c>
      <c r="J13" s="421">
        <v>0</v>
      </c>
      <c r="K13" s="421">
        <v>0</v>
      </c>
      <c r="L13" s="421">
        <v>0</v>
      </c>
      <c r="M13" s="421">
        <v>0</v>
      </c>
      <c r="N13" s="421">
        <v>0</v>
      </c>
      <c r="O13" s="421">
        <v>0</v>
      </c>
      <c r="P13" s="421">
        <v>0</v>
      </c>
      <c r="Q13" s="421">
        <v>0</v>
      </c>
      <c r="R13" s="421">
        <v>0</v>
      </c>
      <c r="S13" s="423">
        <v>990.64826072642302</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-40.599613583103199</v>
      </c>
      <c r="Q14" s="421">
        <v>0</v>
      </c>
      <c r="R14" s="421">
        <v>0</v>
      </c>
      <c r="S14" s="423">
        <v>-40.599613583103199</v>
      </c>
      <c r="T14" s="412"/>
    </row>
    <row r="15" spans="2:20" ht="13.5">
      <c r="B15" s="412"/>
      <c r="C15" s="420" t="s">
        <v>62</v>
      </c>
      <c r="D15" s="421">
        <v>0</v>
      </c>
      <c r="E15" s="421">
        <v>0</v>
      </c>
      <c r="F15" s="421">
        <v>-16.016991189558802</v>
      </c>
      <c r="G15" s="421">
        <v>0</v>
      </c>
      <c r="H15" s="421">
        <v>0</v>
      </c>
      <c r="I15" s="421">
        <v>0</v>
      </c>
      <c r="J15" s="421">
        <v>0</v>
      </c>
      <c r="K15" s="421">
        <v>0</v>
      </c>
      <c r="L15" s="421">
        <v>0</v>
      </c>
      <c r="M15" s="421">
        <v>0</v>
      </c>
      <c r="N15" s="421">
        <v>0</v>
      </c>
      <c r="O15" s="421">
        <v>0</v>
      </c>
      <c r="P15" s="421">
        <v>0</v>
      </c>
      <c r="Q15" s="421">
        <v>0</v>
      </c>
      <c r="R15" s="421">
        <v>0</v>
      </c>
      <c r="S15" s="423">
        <v>-16.016991189558802</v>
      </c>
      <c r="T15" s="412"/>
    </row>
    <row r="16" spans="2:20" ht="13.5">
      <c r="B16" s="412"/>
      <c r="C16" s="420" t="s">
        <v>63</v>
      </c>
      <c r="D16" s="421">
        <v>0</v>
      </c>
      <c r="E16" s="421">
        <v>0</v>
      </c>
      <c r="F16" s="421">
        <v>-85.292767146842095</v>
      </c>
      <c r="G16" s="421">
        <v>0</v>
      </c>
      <c r="H16" s="421">
        <v>0</v>
      </c>
      <c r="I16" s="421">
        <v>0</v>
      </c>
      <c r="J16" s="421">
        <v>0</v>
      </c>
      <c r="K16" s="421">
        <v>0</v>
      </c>
      <c r="L16" s="421">
        <v>-0.88147124718821601</v>
      </c>
      <c r="M16" s="421">
        <v>0</v>
      </c>
      <c r="N16" s="421">
        <v>0</v>
      </c>
      <c r="O16" s="421">
        <v>0</v>
      </c>
      <c r="P16" s="421">
        <v>0</v>
      </c>
      <c r="Q16" s="421">
        <v>0</v>
      </c>
      <c r="R16" s="421">
        <v>0</v>
      </c>
      <c r="S16" s="423">
        <v>-86.174238394030297</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33.607567251657201</v>
      </c>
      <c r="E18" s="425">
        <v>512.071014020083</v>
      </c>
      <c r="F18" s="425">
        <v>-28.5725935735632</v>
      </c>
      <c r="G18" s="425">
        <v>374.59573069184501</v>
      </c>
      <c r="H18" s="425">
        <v>1005.45454545455</v>
      </c>
      <c r="I18" s="425">
        <v>246.08</v>
      </c>
      <c r="J18" s="425">
        <v>180.45818950373001</v>
      </c>
      <c r="K18" s="425">
        <v>23.324330540101599</v>
      </c>
      <c r="L18" s="425">
        <v>-0.88147124718821601</v>
      </c>
      <c r="M18" s="425">
        <v>0</v>
      </c>
      <c r="N18" s="425">
        <v>57.2465959754038</v>
      </c>
      <c r="O18" s="425">
        <v>4.06931439737036</v>
      </c>
      <c r="P18" s="425">
        <v>-40.599613583103199</v>
      </c>
      <c r="Q18" s="425">
        <v>0</v>
      </c>
      <c r="R18" s="425">
        <v>0</v>
      </c>
      <c r="S18" s="425">
        <v>2366.8536094308802</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17.955675135092299</v>
      </c>
      <c r="H21" s="421">
        <v>1005.45454545455</v>
      </c>
      <c r="I21" s="421">
        <v>246.08</v>
      </c>
      <c r="J21" s="421">
        <v>24.057674539507001</v>
      </c>
      <c r="K21" s="421">
        <v>6.4003284253933197</v>
      </c>
      <c r="L21" s="421">
        <v>0</v>
      </c>
      <c r="M21" s="421">
        <v>0.366442349695761</v>
      </c>
      <c r="N21" s="421">
        <v>0</v>
      </c>
      <c r="O21" s="421">
        <v>0</v>
      </c>
      <c r="P21" s="421">
        <v>-600.72360696632904</v>
      </c>
      <c r="Q21" s="421">
        <v>0</v>
      </c>
      <c r="R21" s="421">
        <v>0</v>
      </c>
      <c r="S21" s="429">
        <v>705.65516603710796</v>
      </c>
      <c r="T21" s="412"/>
    </row>
    <row r="22" spans="2:20" ht="13.5">
      <c r="B22" s="412"/>
      <c r="C22" s="428" t="s">
        <v>351</v>
      </c>
      <c r="D22" s="421">
        <v>0</v>
      </c>
      <c r="E22" s="421">
        <v>0</v>
      </c>
      <c r="F22" s="421">
        <v>0</v>
      </c>
      <c r="G22" s="421">
        <v>17.1879921419563</v>
      </c>
      <c r="H22" s="421">
        <v>0</v>
      </c>
      <c r="I22" s="421">
        <v>0</v>
      </c>
      <c r="J22" s="421">
        <v>12.682834988028199</v>
      </c>
      <c r="K22" s="421">
        <v>12.7191917514679</v>
      </c>
      <c r="L22" s="421">
        <v>0</v>
      </c>
      <c r="M22" s="421">
        <v>0.35077534983584302</v>
      </c>
      <c r="N22" s="421">
        <v>0</v>
      </c>
      <c r="O22" s="421">
        <v>2.2454573880541999</v>
      </c>
      <c r="P22" s="421">
        <v>0</v>
      </c>
      <c r="Q22" s="421">
        <v>-41.0285859229053</v>
      </c>
      <c r="R22" s="421">
        <v>0</v>
      </c>
      <c r="S22" s="429">
        <v>4.1576656964370899</v>
      </c>
      <c r="T22" s="412"/>
    </row>
    <row r="23" spans="2:20" ht="13.5">
      <c r="B23" s="412"/>
      <c r="C23" s="428" t="s">
        <v>352</v>
      </c>
      <c r="D23" s="421">
        <v>0</v>
      </c>
      <c r="E23" s="421">
        <v>0</v>
      </c>
      <c r="F23" s="421">
        <v>0</v>
      </c>
      <c r="G23" s="421">
        <v>0</v>
      </c>
      <c r="H23" s="421">
        <v>0</v>
      </c>
      <c r="I23" s="421">
        <v>0</v>
      </c>
      <c r="J23" s="421">
        <v>8.1791621467337805</v>
      </c>
      <c r="K23" s="421">
        <v>0</v>
      </c>
      <c r="L23" s="421">
        <v>0</v>
      </c>
      <c r="M23" s="421">
        <v>-7.3939625806473401</v>
      </c>
      <c r="N23" s="421">
        <v>0</v>
      </c>
      <c r="O23" s="421">
        <v>0</v>
      </c>
      <c r="P23" s="421">
        <v>0</v>
      </c>
      <c r="Q23" s="421">
        <v>0</v>
      </c>
      <c r="R23" s="421">
        <v>0</v>
      </c>
      <c r="S23" s="429">
        <v>0.78519956608644204</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530.45114623720201</v>
      </c>
      <c r="F25" s="421">
        <v>-525.14663477482998</v>
      </c>
      <c r="G25" s="421">
        <v>0</v>
      </c>
      <c r="H25" s="421">
        <v>0</v>
      </c>
      <c r="I25" s="421">
        <v>0</v>
      </c>
      <c r="J25" s="421">
        <v>0</v>
      </c>
      <c r="K25" s="421">
        <v>0</v>
      </c>
      <c r="L25" s="421">
        <v>0</v>
      </c>
      <c r="M25" s="421">
        <v>0</v>
      </c>
      <c r="N25" s="421">
        <v>0</v>
      </c>
      <c r="O25" s="421">
        <v>0</v>
      </c>
      <c r="P25" s="421">
        <v>0</v>
      </c>
      <c r="Q25" s="421">
        <v>0</v>
      </c>
      <c r="R25" s="421">
        <v>0</v>
      </c>
      <c r="S25" s="429">
        <v>5.3045114623720302</v>
      </c>
      <c r="T25" s="412"/>
    </row>
    <row r="26" spans="2:20" ht="13.5">
      <c r="B26" s="412"/>
      <c r="C26" s="428" t="s">
        <v>354</v>
      </c>
      <c r="D26" s="421">
        <v>0</v>
      </c>
      <c r="E26" s="421">
        <v>0</v>
      </c>
      <c r="F26" s="421">
        <v>0</v>
      </c>
      <c r="G26" s="421">
        <v>0</v>
      </c>
      <c r="H26" s="421">
        <v>0</v>
      </c>
      <c r="I26" s="421">
        <v>0</v>
      </c>
      <c r="J26" s="421">
        <v>39.445597700089998</v>
      </c>
      <c r="K26" s="421">
        <v>0</v>
      </c>
      <c r="L26" s="421">
        <v>-39.445597700089998</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-0.18005031965795901</v>
      </c>
      <c r="M27" s="421">
        <v>0</v>
      </c>
      <c r="N27" s="421">
        <v>0</v>
      </c>
      <c r="O27" s="421">
        <v>0</v>
      </c>
      <c r="P27" s="421">
        <v>0</v>
      </c>
      <c r="Q27" s="421">
        <v>0</v>
      </c>
      <c r="R27" s="421">
        <v>0.25721474236851299</v>
      </c>
      <c r="S27" s="429">
        <v>7.7164422710554001E-2</v>
      </c>
      <c r="T27" s="412"/>
    </row>
    <row r="28" spans="2:20" ht="13.5">
      <c r="B28" s="412"/>
      <c r="C28" s="428" t="s">
        <v>73</v>
      </c>
      <c r="D28" s="421">
        <v>0</v>
      </c>
      <c r="E28" s="421">
        <v>0</v>
      </c>
      <c r="F28" s="421">
        <v>0</v>
      </c>
      <c r="G28" s="421">
        <v>3.2927955650537002</v>
      </c>
      <c r="H28" s="421">
        <v>0</v>
      </c>
      <c r="I28" s="421">
        <v>0</v>
      </c>
      <c r="J28" s="421">
        <v>0</v>
      </c>
      <c r="K28" s="421">
        <v>3.7583841997143097E-2</v>
      </c>
      <c r="L28" s="421">
        <v>0</v>
      </c>
      <c r="M28" s="421">
        <v>6.7199909490891899E-2</v>
      </c>
      <c r="N28" s="421">
        <v>0</v>
      </c>
      <c r="O28" s="421">
        <v>0</v>
      </c>
      <c r="P28" s="421">
        <v>0.37251241625487003</v>
      </c>
      <c r="Q28" s="421">
        <v>0</v>
      </c>
      <c r="R28" s="421">
        <v>-2.63086893980002</v>
      </c>
      <c r="S28" s="429">
        <v>1.1392227929965899</v>
      </c>
      <c r="T28" s="412"/>
    </row>
    <row r="29" spans="2:20" ht="13.5">
      <c r="B29" s="412"/>
      <c r="C29" s="428" t="s">
        <v>356</v>
      </c>
      <c r="D29" s="421">
        <v>14.1944855957031</v>
      </c>
      <c r="E29" s="421">
        <v>-18.380132217119101</v>
      </c>
      <c r="F29" s="421">
        <v>24.040127313749402</v>
      </c>
      <c r="G29" s="421">
        <v>0</v>
      </c>
      <c r="H29" s="421">
        <v>0</v>
      </c>
      <c r="I29" s="421">
        <v>0</v>
      </c>
      <c r="J29" s="421">
        <v>0</v>
      </c>
      <c r="K29" s="421">
        <v>0</v>
      </c>
      <c r="L29" s="421">
        <v>0</v>
      </c>
      <c r="M29" s="421">
        <v>0</v>
      </c>
      <c r="N29" s="421">
        <v>0</v>
      </c>
      <c r="O29" s="421">
        <v>0</v>
      </c>
      <c r="P29" s="421">
        <v>0</v>
      </c>
      <c r="Q29" s="421">
        <v>0</v>
      </c>
      <c r="R29" s="421">
        <v>0</v>
      </c>
      <c r="S29" s="429">
        <v>19.8544806923335</v>
      </c>
      <c r="T29" s="412"/>
    </row>
    <row r="30" spans="2:20" ht="13.5">
      <c r="B30" s="412"/>
      <c r="C30" s="428" t="s">
        <v>75</v>
      </c>
      <c r="D30" s="421">
        <v>9.7861113281249992</v>
      </c>
      <c r="E30" s="421">
        <v>0</v>
      </c>
      <c r="F30" s="421">
        <v>18.035338972064899</v>
      </c>
      <c r="G30" s="421">
        <v>5.1464370207933401</v>
      </c>
      <c r="H30" s="421">
        <v>0</v>
      </c>
      <c r="I30" s="421">
        <v>0</v>
      </c>
      <c r="J30" s="421">
        <v>0</v>
      </c>
      <c r="K30" s="421">
        <v>0</v>
      </c>
      <c r="L30" s="421">
        <v>0</v>
      </c>
      <c r="M30" s="421">
        <v>0.105029326954966</v>
      </c>
      <c r="N30" s="421">
        <v>0</v>
      </c>
      <c r="O30" s="421">
        <v>0</v>
      </c>
      <c r="P30" s="421">
        <v>31.7730894392256</v>
      </c>
      <c r="Q30" s="421">
        <v>0</v>
      </c>
      <c r="R30" s="421">
        <v>0</v>
      </c>
      <c r="S30" s="429">
        <v>64.846006087163701</v>
      </c>
      <c r="T30" s="412"/>
    </row>
    <row r="31" spans="2:20" ht="13.5">
      <c r="B31" s="412"/>
      <c r="C31" s="428" t="s">
        <v>76</v>
      </c>
      <c r="D31" s="421">
        <v>0</v>
      </c>
      <c r="E31" s="421">
        <v>0</v>
      </c>
      <c r="F31" s="421">
        <v>0</v>
      </c>
      <c r="G31" s="421">
        <v>4.2960968353958799</v>
      </c>
      <c r="H31" s="421">
        <v>0</v>
      </c>
      <c r="I31" s="421">
        <v>0</v>
      </c>
      <c r="J31" s="421">
        <v>0</v>
      </c>
      <c r="K31" s="421">
        <v>0</v>
      </c>
      <c r="L31" s="421">
        <v>0</v>
      </c>
      <c r="M31" s="421">
        <v>8.7675445620324199E-2</v>
      </c>
      <c r="N31" s="421">
        <v>0</v>
      </c>
      <c r="O31" s="421">
        <v>0</v>
      </c>
      <c r="P31" s="421">
        <v>42.927323592620297</v>
      </c>
      <c r="Q31" s="421">
        <v>3.1793369165350902</v>
      </c>
      <c r="R31" s="421">
        <v>0</v>
      </c>
      <c r="S31" s="429">
        <v>50.490432790171603</v>
      </c>
      <c r="T31" s="412"/>
    </row>
    <row r="32" spans="2:20" ht="13.5">
      <c r="B32" s="412"/>
      <c r="C32" s="424" t="s">
        <v>77</v>
      </c>
      <c r="D32" s="425">
        <v>26.181067659394699</v>
      </c>
      <c r="E32" s="425">
        <v>512.071014020083</v>
      </c>
      <c r="F32" s="425">
        <v>-479.20753212538</v>
      </c>
      <c r="G32" s="425">
        <v>47.878996698291502</v>
      </c>
      <c r="H32" s="425">
        <v>1005.45454545455</v>
      </c>
      <c r="I32" s="425">
        <v>246.08</v>
      </c>
      <c r="J32" s="425">
        <v>84.365269374358903</v>
      </c>
      <c r="K32" s="425">
        <v>19.157104018858298</v>
      </c>
      <c r="L32" s="425">
        <v>-39.625648019747899</v>
      </c>
      <c r="M32" s="425">
        <v>-6.4168401990495498</v>
      </c>
      <c r="N32" s="425">
        <v>0</v>
      </c>
      <c r="O32" s="425">
        <v>2.2454573880541999</v>
      </c>
      <c r="P32" s="425">
        <v>-525.650681518228</v>
      </c>
      <c r="Q32" s="425">
        <v>-37.849249006370201</v>
      </c>
      <c r="R32" s="425">
        <v>-2.37365419743151</v>
      </c>
      <c r="S32" s="425">
        <v>852.30984954737903</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5.2125076489031201</v>
      </c>
      <c r="E34" s="421">
        <v>0</v>
      </c>
      <c r="F34" s="421">
        <v>21.727756673907599</v>
      </c>
      <c r="G34" s="421">
        <v>101.51924937784101</v>
      </c>
      <c r="H34" s="421">
        <v>0</v>
      </c>
      <c r="I34" s="421">
        <v>0</v>
      </c>
      <c r="J34" s="421">
        <v>17.0707077986517</v>
      </c>
      <c r="K34" s="421">
        <v>4.1672265212432702</v>
      </c>
      <c r="L34" s="421">
        <v>0.85564616601562504</v>
      </c>
      <c r="M34" s="421">
        <v>2.07182141587431</v>
      </c>
      <c r="N34" s="421">
        <v>0</v>
      </c>
      <c r="O34" s="421">
        <v>0</v>
      </c>
      <c r="P34" s="421">
        <v>108.651427718851</v>
      </c>
      <c r="Q34" s="421">
        <v>18.253539143187599</v>
      </c>
      <c r="R34" s="421">
        <v>0.245581359863281</v>
      </c>
      <c r="S34" s="429">
        <v>279.775463824339</v>
      </c>
      <c r="T34" s="412"/>
    </row>
    <row r="35" spans="2:20" ht="13.5">
      <c r="B35" s="412"/>
      <c r="C35" s="428" t="s">
        <v>79</v>
      </c>
      <c r="D35" s="421">
        <v>0</v>
      </c>
      <c r="E35" s="421">
        <v>0</v>
      </c>
      <c r="F35" s="421">
        <v>248.35405318252</v>
      </c>
      <c r="G35" s="421">
        <v>28.348372671164501</v>
      </c>
      <c r="H35" s="421">
        <v>0</v>
      </c>
      <c r="I35" s="421">
        <v>0</v>
      </c>
      <c r="J35" s="421">
        <v>0</v>
      </c>
      <c r="K35" s="421">
        <v>0</v>
      </c>
      <c r="L35" s="421">
        <v>25.168184235978501</v>
      </c>
      <c r="M35" s="421">
        <v>0.57853821777886805</v>
      </c>
      <c r="N35" s="421">
        <v>0</v>
      </c>
      <c r="O35" s="421">
        <v>0</v>
      </c>
      <c r="P35" s="421">
        <v>52.469592014343696</v>
      </c>
      <c r="Q35" s="421">
        <v>0</v>
      </c>
      <c r="R35" s="421">
        <v>1.65835229069323</v>
      </c>
      <c r="S35" s="429">
        <v>356.57709261247902</v>
      </c>
      <c r="T35" s="412"/>
    </row>
    <row r="36" spans="2:20" ht="13.5">
      <c r="B36" s="412"/>
      <c r="C36" s="428" t="s">
        <v>80</v>
      </c>
      <c r="D36" s="421">
        <v>0</v>
      </c>
      <c r="E36" s="421">
        <v>0</v>
      </c>
      <c r="F36" s="421">
        <v>20.256761512665399</v>
      </c>
      <c r="G36" s="421">
        <v>114.236246094908</v>
      </c>
      <c r="H36" s="421">
        <v>0</v>
      </c>
      <c r="I36" s="421">
        <v>0</v>
      </c>
      <c r="J36" s="421">
        <v>74.165421932581495</v>
      </c>
      <c r="K36" s="421">
        <v>0</v>
      </c>
      <c r="L36" s="421">
        <v>0</v>
      </c>
      <c r="M36" s="421">
        <v>2.3313519611205602</v>
      </c>
      <c r="N36" s="421">
        <v>50.603124329176602</v>
      </c>
      <c r="O36" s="421">
        <v>0.95734789320939595</v>
      </c>
      <c r="P36" s="421">
        <v>178.886337281088</v>
      </c>
      <c r="Q36" s="421">
        <v>15.5186626122163</v>
      </c>
      <c r="R36" s="421">
        <v>0</v>
      </c>
      <c r="S36" s="429">
        <v>456.95525361696502</v>
      </c>
      <c r="T36" s="412"/>
    </row>
    <row r="37" spans="2:20" ht="13.5">
      <c r="B37" s="412"/>
      <c r="C37" s="428" t="s">
        <v>81</v>
      </c>
      <c r="D37" s="421">
        <v>0</v>
      </c>
      <c r="E37" s="421">
        <v>0</v>
      </c>
      <c r="F37" s="421">
        <v>8.4821062063849304</v>
      </c>
      <c r="G37" s="421">
        <v>65.4970920681791</v>
      </c>
      <c r="H37" s="421">
        <v>0</v>
      </c>
      <c r="I37" s="421">
        <v>0</v>
      </c>
      <c r="J37" s="421">
        <v>3.4528006603112198</v>
      </c>
      <c r="K37" s="421">
        <v>0</v>
      </c>
      <c r="L37" s="421">
        <v>0</v>
      </c>
      <c r="M37" s="421">
        <v>1.3366753483301901</v>
      </c>
      <c r="N37" s="421">
        <v>6.6434716462271597</v>
      </c>
      <c r="O37" s="421">
        <v>0.79174204160808703</v>
      </c>
      <c r="P37" s="421">
        <v>137.26768731378999</v>
      </c>
      <c r="Q37" s="421">
        <v>4.0770472509662401</v>
      </c>
      <c r="R37" s="421">
        <v>0</v>
      </c>
      <c r="S37" s="429">
        <v>227.54862253579699</v>
      </c>
      <c r="T37" s="412"/>
    </row>
    <row r="38" spans="2:20" ht="13.5">
      <c r="B38" s="412"/>
      <c r="C38" s="428" t="s">
        <v>82</v>
      </c>
      <c r="D38" s="421">
        <v>0</v>
      </c>
      <c r="E38" s="421">
        <v>0</v>
      </c>
      <c r="F38" s="421">
        <v>13.750506376214</v>
      </c>
      <c r="G38" s="421">
        <v>4.8242095413356898</v>
      </c>
      <c r="H38" s="421">
        <v>0</v>
      </c>
      <c r="I38" s="421">
        <v>0</v>
      </c>
      <c r="J38" s="421">
        <v>1.4039897378261701</v>
      </c>
      <c r="K38" s="421">
        <v>0</v>
      </c>
      <c r="L38" s="421">
        <v>12.720346370565601</v>
      </c>
      <c r="M38" s="421">
        <v>9.8453255945626303E-2</v>
      </c>
      <c r="N38" s="421">
        <v>0</v>
      </c>
      <c r="O38" s="421">
        <v>7.4767074498679406E-2</v>
      </c>
      <c r="P38" s="421">
        <v>7.7760236070527604</v>
      </c>
      <c r="Q38" s="421">
        <v>0</v>
      </c>
      <c r="R38" s="421">
        <v>0</v>
      </c>
      <c r="S38" s="429">
        <v>40.648295963438599</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5.2125076489031201</v>
      </c>
      <c r="E40" s="425">
        <v>0</v>
      </c>
      <c r="F40" s="425">
        <v>312.57118395169198</v>
      </c>
      <c r="G40" s="425">
        <v>314.42516975342801</v>
      </c>
      <c r="H40" s="425">
        <v>0</v>
      </c>
      <c r="I40" s="425">
        <v>0</v>
      </c>
      <c r="J40" s="425">
        <v>96.092920129370597</v>
      </c>
      <c r="K40" s="425">
        <v>4.1672265212432702</v>
      </c>
      <c r="L40" s="425">
        <v>38.744176772559697</v>
      </c>
      <c r="M40" s="425">
        <v>6.4168401990495498</v>
      </c>
      <c r="N40" s="425">
        <v>57.2465959754038</v>
      </c>
      <c r="O40" s="425">
        <v>1.8238570093161599</v>
      </c>
      <c r="P40" s="425">
        <v>485.05106793512499</v>
      </c>
      <c r="Q40" s="425">
        <v>37.849249006370201</v>
      </c>
      <c r="R40" s="425">
        <v>1.9039336505565101</v>
      </c>
      <c r="S40" s="425">
        <v>1361.50472855302</v>
      </c>
      <c r="T40" s="412"/>
    </row>
    <row r="41" spans="2:20" ht="13.5">
      <c r="B41" s="412"/>
      <c r="C41" s="420" t="s">
        <v>84</v>
      </c>
      <c r="D41" s="421">
        <v>2.2139919433593702</v>
      </c>
      <c r="E41" s="421">
        <v>0</v>
      </c>
      <c r="F41" s="421">
        <v>138.06375460012401</v>
      </c>
      <c r="G41" s="421">
        <v>12.2915642401253</v>
      </c>
      <c r="H41" s="421">
        <v>0</v>
      </c>
      <c r="I41" s="421">
        <v>0</v>
      </c>
      <c r="J41" s="421">
        <v>0</v>
      </c>
      <c r="K41" s="421">
        <v>0</v>
      </c>
      <c r="L41" s="421">
        <v>0</v>
      </c>
      <c r="M41" s="421">
        <v>0</v>
      </c>
      <c r="N41" s="421">
        <v>0</v>
      </c>
      <c r="O41" s="421">
        <v>0</v>
      </c>
      <c r="P41" s="421">
        <v>0</v>
      </c>
      <c r="Q41" s="421">
        <v>0</v>
      </c>
      <c r="R41" s="421">
        <v>0.46972054687499998</v>
      </c>
      <c r="S41" s="429">
        <v>153.03903133048399</v>
      </c>
      <c r="T41" s="412"/>
    </row>
    <row r="42" spans="2:20" ht="13.5">
      <c r="B42" s="412"/>
      <c r="C42" s="424" t="s">
        <v>85</v>
      </c>
      <c r="D42" s="425">
        <v>7.4264995922625001</v>
      </c>
      <c r="E42" s="425">
        <v>0</v>
      </c>
      <c r="F42" s="425">
        <v>450.63493855181599</v>
      </c>
      <c r="G42" s="425">
        <v>326.71673399355302</v>
      </c>
      <c r="H42" s="425">
        <v>0</v>
      </c>
      <c r="I42" s="425">
        <v>0</v>
      </c>
      <c r="J42" s="425">
        <v>96.092920129370597</v>
      </c>
      <c r="K42" s="425">
        <v>4.1672265212432702</v>
      </c>
      <c r="L42" s="425">
        <v>38.744176772559697</v>
      </c>
      <c r="M42" s="425">
        <v>6.4168401990495498</v>
      </c>
      <c r="N42" s="425">
        <v>57.2465959754038</v>
      </c>
      <c r="O42" s="425">
        <v>1.8238570093161599</v>
      </c>
      <c r="P42" s="425">
        <v>485.05106793512499</v>
      </c>
      <c r="Q42" s="425">
        <v>37.849249006370201</v>
      </c>
      <c r="R42" s="425">
        <v>2.37365419743151</v>
      </c>
      <c r="S42" s="425">
        <v>1514.5437598834999</v>
      </c>
      <c r="T42" s="412"/>
    </row>
    <row r="43" spans="2:20">
      <c r="B43" s="412"/>
      <c r="C43" s="412"/>
      <c r="D43" s="430">
        <f t="shared" ref="D43:S43" si="0">D42+D32-D18</f>
        <v>0</v>
      </c>
      <c r="E43" s="430">
        <f t="shared" si="0"/>
        <v>0</v>
      </c>
      <c r="F43" s="430">
        <f t="shared" si="0"/>
        <v>-8.0646600508771371E-13</v>
      </c>
      <c r="G43" s="430">
        <f t="shared" si="0"/>
        <v>-4.5474735088646412E-13</v>
      </c>
      <c r="H43" s="430">
        <f t="shared" si="0"/>
        <v>0</v>
      </c>
      <c r="I43" s="430">
        <f t="shared" si="0"/>
        <v>0</v>
      </c>
      <c r="J43" s="430">
        <f t="shared" si="0"/>
        <v>-5.1159076974727213E-13</v>
      </c>
      <c r="K43" s="430">
        <f t="shared" si="0"/>
        <v>-2.8421709430404007E-14</v>
      </c>
      <c r="L43" s="430">
        <f t="shared" si="0"/>
        <v>1.4210854715202004E-14</v>
      </c>
      <c r="M43" s="430">
        <f t="shared" si="0"/>
        <v>0</v>
      </c>
      <c r="N43" s="430">
        <f t="shared" si="0"/>
        <v>0</v>
      </c>
      <c r="O43" s="430">
        <f t="shared" si="0"/>
        <v>0</v>
      </c>
      <c r="P43" s="430">
        <f t="shared" si="0"/>
        <v>1.9184653865522705E-13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363</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0</v>
      </c>
      <c r="F49" s="421">
        <v>0</v>
      </c>
      <c r="G49" s="421">
        <v>0</v>
      </c>
      <c r="H49" s="422">
        <v>959.09090909090901</v>
      </c>
      <c r="I49" s="422">
        <v>262.58</v>
      </c>
      <c r="J49" s="422">
        <v>180.265617568263</v>
      </c>
      <c r="K49" s="422">
        <v>23.099472372796701</v>
      </c>
      <c r="L49" s="421">
        <v>0</v>
      </c>
      <c r="M49" s="421">
        <v>0</v>
      </c>
      <c r="N49" s="422">
        <v>59.577309191786703</v>
      </c>
      <c r="O49" s="422">
        <v>4.0524132365006302</v>
      </c>
      <c r="P49" s="421">
        <v>0</v>
      </c>
      <c r="Q49" s="421">
        <v>0</v>
      </c>
      <c r="R49" s="421">
        <v>0</v>
      </c>
      <c r="S49" s="423">
        <v>1488.6657214602601</v>
      </c>
      <c r="T49" s="412"/>
    </row>
    <row r="50" spans="2:20" ht="13.5">
      <c r="B50" s="412"/>
      <c r="C50" s="420" t="s">
        <v>60</v>
      </c>
      <c r="D50" s="421">
        <v>32.718430513686002</v>
      </c>
      <c r="E50" s="421">
        <v>504.19228646673599</v>
      </c>
      <c r="F50" s="421">
        <v>58.276607316060698</v>
      </c>
      <c r="G50" s="421">
        <v>375.54945868825399</v>
      </c>
      <c r="H50" s="421">
        <v>0</v>
      </c>
      <c r="I50" s="421">
        <v>0</v>
      </c>
      <c r="J50" s="421">
        <v>0</v>
      </c>
      <c r="K50" s="421">
        <v>0</v>
      </c>
      <c r="L50" s="421">
        <v>0</v>
      </c>
      <c r="M50" s="421">
        <v>0</v>
      </c>
      <c r="N50" s="421">
        <v>0</v>
      </c>
      <c r="O50" s="421">
        <v>0</v>
      </c>
      <c r="P50" s="421">
        <v>0</v>
      </c>
      <c r="Q50" s="421">
        <v>0</v>
      </c>
      <c r="R50" s="421">
        <v>0</v>
      </c>
      <c r="S50" s="423">
        <v>970.73678298473703</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-31.629492690064499</v>
      </c>
      <c r="Q51" s="421">
        <v>0</v>
      </c>
      <c r="R51" s="421">
        <v>0</v>
      </c>
      <c r="S51" s="423">
        <v>-31.629492690064499</v>
      </c>
      <c r="T51" s="412"/>
    </row>
    <row r="52" spans="2:20" ht="13.5">
      <c r="B52" s="412"/>
      <c r="C52" s="420" t="s">
        <v>62</v>
      </c>
      <c r="D52" s="421">
        <v>0</v>
      </c>
      <c r="E52" s="421">
        <v>0</v>
      </c>
      <c r="F52" s="421">
        <v>-15.8559052566209</v>
      </c>
      <c r="G52" s="421">
        <v>0</v>
      </c>
      <c r="H52" s="421">
        <v>0</v>
      </c>
      <c r="I52" s="421">
        <v>0</v>
      </c>
      <c r="J52" s="421">
        <v>0</v>
      </c>
      <c r="K52" s="421">
        <v>0</v>
      </c>
      <c r="L52" s="421">
        <v>0</v>
      </c>
      <c r="M52" s="421">
        <v>0</v>
      </c>
      <c r="N52" s="421">
        <v>0</v>
      </c>
      <c r="O52" s="421">
        <v>0</v>
      </c>
      <c r="P52" s="421">
        <v>0</v>
      </c>
      <c r="Q52" s="421">
        <v>0</v>
      </c>
      <c r="R52" s="421">
        <v>0</v>
      </c>
      <c r="S52" s="423">
        <v>-15.8559052566209</v>
      </c>
      <c r="T52" s="412"/>
    </row>
    <row r="53" spans="2:20" ht="13.5">
      <c r="B53" s="412"/>
      <c r="C53" s="420" t="s">
        <v>63</v>
      </c>
      <c r="D53" s="421">
        <v>0</v>
      </c>
      <c r="E53" s="421">
        <v>0</v>
      </c>
      <c r="F53" s="421">
        <v>-86.773262368245497</v>
      </c>
      <c r="G53" s="421">
        <v>0</v>
      </c>
      <c r="H53" s="421">
        <v>0</v>
      </c>
      <c r="I53" s="421">
        <v>0</v>
      </c>
      <c r="J53" s="421">
        <v>0</v>
      </c>
      <c r="K53" s="421">
        <v>0</v>
      </c>
      <c r="L53" s="421">
        <v>-0.89665432830126901</v>
      </c>
      <c r="M53" s="421">
        <v>0</v>
      </c>
      <c r="N53" s="421">
        <v>0</v>
      </c>
      <c r="O53" s="421">
        <v>0</v>
      </c>
      <c r="P53" s="421">
        <v>0</v>
      </c>
      <c r="Q53" s="421">
        <v>0</v>
      </c>
      <c r="R53" s="421">
        <v>0</v>
      </c>
      <c r="S53" s="423">
        <v>-87.669916696546807</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32.718430513686002</v>
      </c>
      <c r="E55" s="425">
        <v>504.19228646673599</v>
      </c>
      <c r="F55" s="425">
        <v>-44.3525603088057</v>
      </c>
      <c r="G55" s="425">
        <v>375.54945868825399</v>
      </c>
      <c r="H55" s="425">
        <v>959.09090909090901</v>
      </c>
      <c r="I55" s="425">
        <v>262.58</v>
      </c>
      <c r="J55" s="425">
        <v>180.265617568263</v>
      </c>
      <c r="K55" s="425">
        <v>23.099472372796701</v>
      </c>
      <c r="L55" s="425">
        <v>-0.89665432830126901</v>
      </c>
      <c r="M55" s="425">
        <v>0</v>
      </c>
      <c r="N55" s="425">
        <v>59.577309191786703</v>
      </c>
      <c r="O55" s="425">
        <v>4.0524132365006302</v>
      </c>
      <c r="P55" s="425">
        <v>-31.629492690064499</v>
      </c>
      <c r="Q55" s="425">
        <v>0</v>
      </c>
      <c r="R55" s="425">
        <v>0</v>
      </c>
      <c r="S55" s="425">
        <v>2324.2471898017602</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17.735248612195999</v>
      </c>
      <c r="H58" s="421">
        <v>959.09090909090901</v>
      </c>
      <c r="I58" s="421">
        <v>262.58</v>
      </c>
      <c r="J58" s="421">
        <v>23.4611328004797</v>
      </c>
      <c r="K58" s="421">
        <v>6.2174163871509203</v>
      </c>
      <c r="L58" s="421">
        <v>0</v>
      </c>
      <c r="M58" s="421">
        <v>0.36194384922848999</v>
      </c>
      <c r="N58" s="421">
        <v>0</v>
      </c>
      <c r="O58" s="421">
        <v>0</v>
      </c>
      <c r="P58" s="421">
        <v>-601.88588566531905</v>
      </c>
      <c r="Q58" s="421">
        <v>0</v>
      </c>
      <c r="R58" s="421">
        <v>0</v>
      </c>
      <c r="S58" s="429">
        <v>673.62487217384796</v>
      </c>
      <c r="T58" s="412"/>
    </row>
    <row r="59" spans="2:20" ht="13.5">
      <c r="B59" s="412"/>
      <c r="C59" s="428" t="s">
        <v>351</v>
      </c>
      <c r="D59" s="421">
        <v>0</v>
      </c>
      <c r="E59" s="421">
        <v>0</v>
      </c>
      <c r="F59" s="421">
        <v>0</v>
      </c>
      <c r="G59" s="421">
        <v>17.183924372650001</v>
      </c>
      <c r="H59" s="421">
        <v>0</v>
      </c>
      <c r="I59" s="421">
        <v>0</v>
      </c>
      <c r="J59" s="421">
        <v>12.602550905863099</v>
      </c>
      <c r="K59" s="421">
        <v>12.7146561007388</v>
      </c>
      <c r="L59" s="421">
        <v>0</v>
      </c>
      <c r="M59" s="421">
        <v>0.35069233413571399</v>
      </c>
      <c r="N59" s="421">
        <v>0</v>
      </c>
      <c r="O59" s="421">
        <v>2.2448826639763899</v>
      </c>
      <c r="P59" s="421">
        <v>0</v>
      </c>
      <c r="Q59" s="421">
        <v>-41.019007188274998</v>
      </c>
      <c r="R59" s="421">
        <v>0</v>
      </c>
      <c r="S59" s="429">
        <v>4.0776991890889702</v>
      </c>
      <c r="T59" s="412"/>
    </row>
    <row r="60" spans="2:20" ht="13.5">
      <c r="B60" s="412"/>
      <c r="C60" s="428" t="s">
        <v>352</v>
      </c>
      <c r="D60" s="421">
        <v>0</v>
      </c>
      <c r="E60" s="421">
        <v>0</v>
      </c>
      <c r="F60" s="421">
        <v>0</v>
      </c>
      <c r="G60" s="421">
        <v>0</v>
      </c>
      <c r="H60" s="421">
        <v>0</v>
      </c>
      <c r="I60" s="421">
        <v>0</v>
      </c>
      <c r="J60" s="421">
        <v>8.1259394649786305</v>
      </c>
      <c r="K60" s="421">
        <v>0</v>
      </c>
      <c r="L60" s="421">
        <v>0</v>
      </c>
      <c r="M60" s="421">
        <v>-7.4149197617929996</v>
      </c>
      <c r="N60" s="421">
        <v>0</v>
      </c>
      <c r="O60" s="421">
        <v>0</v>
      </c>
      <c r="P60" s="421">
        <v>0</v>
      </c>
      <c r="Q60" s="421">
        <v>0</v>
      </c>
      <c r="R60" s="421">
        <v>0</v>
      </c>
      <c r="S60" s="429">
        <v>0.71101970318563101</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522.289621864335</v>
      </c>
      <c r="F62" s="421">
        <v>-517.06672564569203</v>
      </c>
      <c r="G62" s="421">
        <v>0</v>
      </c>
      <c r="H62" s="421">
        <v>0</v>
      </c>
      <c r="I62" s="421">
        <v>0</v>
      </c>
      <c r="J62" s="421">
        <v>0</v>
      </c>
      <c r="K62" s="421">
        <v>0</v>
      </c>
      <c r="L62" s="421">
        <v>0</v>
      </c>
      <c r="M62" s="421">
        <v>0</v>
      </c>
      <c r="N62" s="421">
        <v>0</v>
      </c>
      <c r="O62" s="421">
        <v>0</v>
      </c>
      <c r="P62" s="421">
        <v>0</v>
      </c>
      <c r="Q62" s="421">
        <v>0</v>
      </c>
      <c r="R62" s="421">
        <v>0</v>
      </c>
      <c r="S62" s="429">
        <v>5.2228962186433101</v>
      </c>
      <c r="T62" s="412"/>
    </row>
    <row r="63" spans="2:20" ht="13.5">
      <c r="B63" s="412"/>
      <c r="C63" s="428" t="s">
        <v>354</v>
      </c>
      <c r="D63" s="421">
        <v>0</v>
      </c>
      <c r="E63" s="421">
        <v>0</v>
      </c>
      <c r="F63" s="421">
        <v>0</v>
      </c>
      <c r="G63" s="421">
        <v>0</v>
      </c>
      <c r="H63" s="421">
        <v>0</v>
      </c>
      <c r="I63" s="421">
        <v>0</v>
      </c>
      <c r="J63" s="421">
        <v>39.636150809514099</v>
      </c>
      <c r="K63" s="421">
        <v>0</v>
      </c>
      <c r="L63" s="421">
        <v>-39.636150809514099</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-0.18158952535457601</v>
      </c>
      <c r="M64" s="421">
        <v>0</v>
      </c>
      <c r="N64" s="421">
        <v>0</v>
      </c>
      <c r="O64" s="421">
        <v>0</v>
      </c>
      <c r="P64" s="421">
        <v>0</v>
      </c>
      <c r="Q64" s="421">
        <v>0</v>
      </c>
      <c r="R64" s="421">
        <v>0.25941360764939397</v>
      </c>
      <c r="S64" s="429">
        <v>7.7824082294818103E-2</v>
      </c>
      <c r="T64" s="412"/>
    </row>
    <row r="65" spans="2:20" ht="13.5">
      <c r="B65" s="412"/>
      <c r="C65" s="428" t="s">
        <v>73</v>
      </c>
      <c r="D65" s="421">
        <v>0</v>
      </c>
      <c r="E65" s="421">
        <v>0</v>
      </c>
      <c r="F65" s="421">
        <v>0</v>
      </c>
      <c r="G65" s="421">
        <v>3.8743456372163201</v>
      </c>
      <c r="H65" s="421">
        <v>0</v>
      </c>
      <c r="I65" s="421">
        <v>0</v>
      </c>
      <c r="J65" s="421">
        <v>0</v>
      </c>
      <c r="K65" s="421">
        <v>4.4420381073335499E-2</v>
      </c>
      <c r="L65" s="421">
        <v>0</v>
      </c>
      <c r="M65" s="421">
        <v>7.9068278310537199E-2</v>
      </c>
      <c r="N65" s="421">
        <v>0</v>
      </c>
      <c r="O65" s="421">
        <v>0</v>
      </c>
      <c r="P65" s="421">
        <v>0.45393090147934101</v>
      </c>
      <c r="Q65" s="421">
        <v>0</v>
      </c>
      <c r="R65" s="421">
        <v>-3.10942667513349</v>
      </c>
      <c r="S65" s="429">
        <v>1.3423385229460501</v>
      </c>
      <c r="T65" s="412"/>
    </row>
    <row r="66" spans="2:20" ht="13.5">
      <c r="B66" s="412"/>
      <c r="C66" s="428" t="s">
        <v>356</v>
      </c>
      <c r="D66" s="421">
        <v>13.757025878906299</v>
      </c>
      <c r="E66" s="421">
        <v>-18.097335397599199</v>
      </c>
      <c r="F66" s="421">
        <v>23.670245777269098</v>
      </c>
      <c r="G66" s="421">
        <v>0</v>
      </c>
      <c r="H66" s="421">
        <v>0</v>
      </c>
      <c r="I66" s="421">
        <v>0</v>
      </c>
      <c r="J66" s="421">
        <v>0</v>
      </c>
      <c r="K66" s="421">
        <v>0</v>
      </c>
      <c r="L66" s="421">
        <v>0</v>
      </c>
      <c r="M66" s="421">
        <v>0</v>
      </c>
      <c r="N66" s="421">
        <v>0</v>
      </c>
      <c r="O66" s="421">
        <v>0</v>
      </c>
      <c r="P66" s="421">
        <v>0</v>
      </c>
      <c r="Q66" s="421">
        <v>0</v>
      </c>
      <c r="R66" s="421">
        <v>0</v>
      </c>
      <c r="S66" s="429">
        <v>19.329936258576101</v>
      </c>
      <c r="T66" s="412"/>
    </row>
    <row r="67" spans="2:20" ht="13.5">
      <c r="B67" s="412"/>
      <c r="C67" s="428" t="s">
        <v>75</v>
      </c>
      <c r="D67" s="421">
        <v>9.7066552734374998</v>
      </c>
      <c r="E67" s="421">
        <v>0</v>
      </c>
      <c r="F67" s="421">
        <v>17.757847143387401</v>
      </c>
      <c r="G67" s="421">
        <v>5.0672539113277804</v>
      </c>
      <c r="H67" s="421">
        <v>0</v>
      </c>
      <c r="I67" s="421">
        <v>0</v>
      </c>
      <c r="J67" s="421">
        <v>0</v>
      </c>
      <c r="K67" s="421">
        <v>0</v>
      </c>
      <c r="L67" s="421">
        <v>0</v>
      </c>
      <c r="M67" s="421">
        <v>0.103413345129138</v>
      </c>
      <c r="N67" s="421">
        <v>0</v>
      </c>
      <c r="O67" s="421">
        <v>0</v>
      </c>
      <c r="P67" s="421">
        <v>30.6584761014478</v>
      </c>
      <c r="Q67" s="421">
        <v>0</v>
      </c>
      <c r="R67" s="421">
        <v>0</v>
      </c>
      <c r="S67" s="429">
        <v>63.293645774729598</v>
      </c>
      <c r="T67" s="412"/>
    </row>
    <row r="68" spans="2:20" ht="13.5">
      <c r="B68" s="412"/>
      <c r="C68" s="428" t="s">
        <v>76</v>
      </c>
      <c r="D68" s="421">
        <v>0</v>
      </c>
      <c r="E68" s="421">
        <v>0</v>
      </c>
      <c r="F68" s="421">
        <v>0</v>
      </c>
      <c r="G68" s="421">
        <v>4.3082735374844701</v>
      </c>
      <c r="H68" s="421">
        <v>0</v>
      </c>
      <c r="I68" s="421">
        <v>0</v>
      </c>
      <c r="J68" s="421">
        <v>0</v>
      </c>
      <c r="K68" s="421">
        <v>0</v>
      </c>
      <c r="L68" s="421">
        <v>0</v>
      </c>
      <c r="M68" s="421">
        <v>8.7923949744581106E-2</v>
      </c>
      <c r="N68" s="421">
        <v>0</v>
      </c>
      <c r="O68" s="421">
        <v>0</v>
      </c>
      <c r="P68" s="421">
        <v>43.703860218786801</v>
      </c>
      <c r="Q68" s="421">
        <v>3.1785946529659599</v>
      </c>
      <c r="R68" s="421">
        <v>0</v>
      </c>
      <c r="S68" s="429">
        <v>51.278652358981802</v>
      </c>
      <c r="T68" s="412"/>
    </row>
    <row r="69" spans="2:20" ht="13.5">
      <c r="B69" s="412"/>
      <c r="C69" s="424" t="s">
        <v>77</v>
      </c>
      <c r="D69" s="425">
        <v>25.6641518879103</v>
      </c>
      <c r="E69" s="425">
        <v>504.19228646673599</v>
      </c>
      <c r="F69" s="425">
        <v>-471.77499636139902</v>
      </c>
      <c r="G69" s="425">
        <v>48.1690460708746</v>
      </c>
      <c r="H69" s="425">
        <v>959.09090909090901</v>
      </c>
      <c r="I69" s="425">
        <v>262.58</v>
      </c>
      <c r="J69" s="425">
        <v>83.825773980835606</v>
      </c>
      <c r="K69" s="425">
        <v>18.976492868963099</v>
      </c>
      <c r="L69" s="425">
        <v>-39.817740334868702</v>
      </c>
      <c r="M69" s="425">
        <v>-6.4318780052445401</v>
      </c>
      <c r="N69" s="425">
        <v>0</v>
      </c>
      <c r="O69" s="425">
        <v>2.2448826639763899</v>
      </c>
      <c r="P69" s="425">
        <v>-527.06961844360501</v>
      </c>
      <c r="Q69" s="425">
        <v>-37.840412535309099</v>
      </c>
      <c r="R69" s="425">
        <v>-2.85001306748409</v>
      </c>
      <c r="S69" s="425">
        <v>818.958884282295</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4.8707551882757301</v>
      </c>
      <c r="E71" s="421">
        <v>0</v>
      </c>
      <c r="F71" s="421">
        <v>20.993444165004</v>
      </c>
      <c r="G71" s="421">
        <v>101.297175428703</v>
      </c>
      <c r="H71" s="421">
        <v>0</v>
      </c>
      <c r="I71" s="421">
        <v>0</v>
      </c>
      <c r="J71" s="421">
        <v>17.0565927141357</v>
      </c>
      <c r="K71" s="421">
        <v>4.1229795038336201</v>
      </c>
      <c r="L71" s="421">
        <v>0.85536540625000002</v>
      </c>
      <c r="M71" s="421">
        <v>2.0672892944633201</v>
      </c>
      <c r="N71" s="421">
        <v>0</v>
      </c>
      <c r="O71" s="421">
        <v>0</v>
      </c>
      <c r="P71" s="421">
        <v>110.160518652362</v>
      </c>
      <c r="Q71" s="421">
        <v>18.409316628727701</v>
      </c>
      <c r="R71" s="421">
        <v>0.24532713317871099</v>
      </c>
      <c r="S71" s="429">
        <v>280.07876411493402</v>
      </c>
      <c r="T71" s="412"/>
    </row>
    <row r="72" spans="2:20" ht="13.5">
      <c r="B72" s="412"/>
      <c r="C72" s="428" t="s">
        <v>79</v>
      </c>
      <c r="D72" s="421">
        <v>0</v>
      </c>
      <c r="E72" s="421">
        <v>0</v>
      </c>
      <c r="F72" s="421">
        <v>232.66006634693801</v>
      </c>
      <c r="G72" s="421">
        <v>30.945196482305999</v>
      </c>
      <c r="H72" s="421">
        <v>0</v>
      </c>
      <c r="I72" s="421">
        <v>0</v>
      </c>
      <c r="J72" s="421">
        <v>0</v>
      </c>
      <c r="K72" s="421">
        <v>0</v>
      </c>
      <c r="L72" s="421">
        <v>23.571302525286502</v>
      </c>
      <c r="M72" s="421">
        <v>0.63153462208787803</v>
      </c>
      <c r="N72" s="421">
        <v>0</v>
      </c>
      <c r="O72" s="421">
        <v>0</v>
      </c>
      <c r="P72" s="421">
        <v>58.064871561766502</v>
      </c>
      <c r="Q72" s="421">
        <v>0</v>
      </c>
      <c r="R72" s="421">
        <v>2.0183635099889798</v>
      </c>
      <c r="S72" s="429">
        <v>347.891335048374</v>
      </c>
      <c r="T72" s="412"/>
    </row>
    <row r="73" spans="2:20" ht="13.5">
      <c r="B73" s="412"/>
      <c r="C73" s="428" t="s">
        <v>80</v>
      </c>
      <c r="D73" s="421">
        <v>0</v>
      </c>
      <c r="E73" s="421">
        <v>0</v>
      </c>
      <c r="F73" s="421">
        <v>17.5598675682925</v>
      </c>
      <c r="G73" s="421">
        <v>111.929219277919</v>
      </c>
      <c r="H73" s="421">
        <v>0</v>
      </c>
      <c r="I73" s="421">
        <v>0</v>
      </c>
      <c r="J73" s="421">
        <v>74.389853901213101</v>
      </c>
      <c r="K73" s="421">
        <v>0</v>
      </c>
      <c r="L73" s="421">
        <v>0</v>
      </c>
      <c r="M73" s="421">
        <v>2.2842697811820298</v>
      </c>
      <c r="N73" s="421">
        <v>53.007893982905898</v>
      </c>
      <c r="O73" s="421">
        <v>0.95506902656111503</v>
      </c>
      <c r="P73" s="421">
        <v>180.360799216462</v>
      </c>
      <c r="Q73" s="421">
        <v>15.433765533154</v>
      </c>
      <c r="R73" s="421">
        <v>0</v>
      </c>
      <c r="S73" s="429">
        <v>455.92073828769003</v>
      </c>
      <c r="T73" s="412"/>
    </row>
    <row r="74" spans="2:20" ht="13.5">
      <c r="B74" s="412"/>
      <c r="C74" s="428" t="s">
        <v>81</v>
      </c>
      <c r="D74" s="421">
        <v>0</v>
      </c>
      <c r="E74" s="421">
        <v>0</v>
      </c>
      <c r="F74" s="421">
        <v>7.3923055794682702</v>
      </c>
      <c r="G74" s="421">
        <v>65.894293417713897</v>
      </c>
      <c r="H74" s="421">
        <v>0</v>
      </c>
      <c r="I74" s="421">
        <v>0</v>
      </c>
      <c r="J74" s="421">
        <v>3.41214349769231</v>
      </c>
      <c r="K74" s="421">
        <v>0</v>
      </c>
      <c r="L74" s="421">
        <v>0</v>
      </c>
      <c r="M74" s="421">
        <v>1.34478149832069</v>
      </c>
      <c r="N74" s="421">
        <v>6.5694152088807796</v>
      </c>
      <c r="O74" s="421">
        <v>0.78006902491520902</v>
      </c>
      <c r="P74" s="421">
        <v>139.183172558515</v>
      </c>
      <c r="Q74" s="421">
        <v>3.99733037342736</v>
      </c>
      <c r="R74" s="421">
        <v>0</v>
      </c>
      <c r="S74" s="429">
        <v>228.573511158934</v>
      </c>
      <c r="T74" s="412"/>
    </row>
    <row r="75" spans="2:20" ht="13.5">
      <c r="B75" s="412"/>
      <c r="C75" s="428" t="s">
        <v>82</v>
      </c>
      <c r="D75" s="421">
        <v>0</v>
      </c>
      <c r="E75" s="421">
        <v>0</v>
      </c>
      <c r="F75" s="421">
        <v>10.671888604675701</v>
      </c>
      <c r="G75" s="421">
        <v>5.0961376503405704</v>
      </c>
      <c r="H75" s="421">
        <v>0</v>
      </c>
      <c r="I75" s="421">
        <v>0</v>
      </c>
      <c r="J75" s="421">
        <v>1.58125347438603</v>
      </c>
      <c r="K75" s="421">
        <v>0</v>
      </c>
      <c r="L75" s="421">
        <v>14.494418075031</v>
      </c>
      <c r="M75" s="421">
        <v>0.104002809190624</v>
      </c>
      <c r="N75" s="421">
        <v>0</v>
      </c>
      <c r="O75" s="421">
        <v>7.2392521047915395E-2</v>
      </c>
      <c r="P75" s="421">
        <v>7.67076376443437</v>
      </c>
      <c r="Q75" s="421">
        <v>0</v>
      </c>
      <c r="R75" s="421">
        <v>0</v>
      </c>
      <c r="S75" s="429">
        <v>39.690856899106201</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4.8707551882757301</v>
      </c>
      <c r="E77" s="425">
        <v>0</v>
      </c>
      <c r="F77" s="425">
        <v>289.27757226437899</v>
      </c>
      <c r="G77" s="425">
        <v>315.16202225698203</v>
      </c>
      <c r="H77" s="425">
        <v>0</v>
      </c>
      <c r="I77" s="425">
        <v>0</v>
      </c>
      <c r="J77" s="425">
        <v>96.439843587427205</v>
      </c>
      <c r="K77" s="425">
        <v>4.1229795038336201</v>
      </c>
      <c r="L77" s="425">
        <v>38.9210860065674</v>
      </c>
      <c r="M77" s="425">
        <v>6.4318780052445401</v>
      </c>
      <c r="N77" s="425">
        <v>59.577309191786703</v>
      </c>
      <c r="O77" s="425">
        <v>1.8075305725242401</v>
      </c>
      <c r="P77" s="425">
        <v>495.440125753541</v>
      </c>
      <c r="Q77" s="425">
        <v>37.840412535309099</v>
      </c>
      <c r="R77" s="425">
        <v>2.2636906431676902</v>
      </c>
      <c r="S77" s="425">
        <v>1352.1552055090399</v>
      </c>
      <c r="T77" s="412"/>
    </row>
    <row r="78" spans="2:20" ht="13.5">
      <c r="B78" s="412"/>
      <c r="C78" s="420" t="s">
        <v>84</v>
      </c>
      <c r="D78" s="421">
        <v>2.1835234374999999</v>
      </c>
      <c r="E78" s="421">
        <v>0</v>
      </c>
      <c r="F78" s="421">
        <v>138.144863788214</v>
      </c>
      <c r="G78" s="421">
        <v>12.218390360397301</v>
      </c>
      <c r="H78" s="421">
        <v>0</v>
      </c>
      <c r="I78" s="421">
        <v>0</v>
      </c>
      <c r="J78" s="421">
        <v>0</v>
      </c>
      <c r="K78" s="421">
        <v>0</v>
      </c>
      <c r="L78" s="421">
        <v>0</v>
      </c>
      <c r="M78" s="421">
        <v>0</v>
      </c>
      <c r="N78" s="421">
        <v>0</v>
      </c>
      <c r="O78" s="421">
        <v>0</v>
      </c>
      <c r="P78" s="421">
        <v>0</v>
      </c>
      <c r="Q78" s="421">
        <v>0</v>
      </c>
      <c r="R78" s="421">
        <v>0.58632242431640602</v>
      </c>
      <c r="S78" s="429">
        <v>153.133100010428</v>
      </c>
      <c r="T78" s="412"/>
    </row>
    <row r="79" spans="2:20" ht="13.5">
      <c r="B79" s="412"/>
      <c r="C79" s="424" t="s">
        <v>85</v>
      </c>
      <c r="D79" s="425">
        <v>7.0542786257757299</v>
      </c>
      <c r="E79" s="425">
        <v>0</v>
      </c>
      <c r="F79" s="425">
        <v>427.42243605259301</v>
      </c>
      <c r="G79" s="425">
        <v>327.38041261737999</v>
      </c>
      <c r="H79" s="425">
        <v>0</v>
      </c>
      <c r="I79" s="425">
        <v>0</v>
      </c>
      <c r="J79" s="425">
        <v>96.439843587427205</v>
      </c>
      <c r="K79" s="425">
        <v>4.1229795038336201</v>
      </c>
      <c r="L79" s="425">
        <v>38.9210860065674</v>
      </c>
      <c r="M79" s="425">
        <v>6.4318780052445401</v>
      </c>
      <c r="N79" s="425">
        <v>59.577309191786703</v>
      </c>
      <c r="O79" s="425">
        <v>1.8075305725242401</v>
      </c>
      <c r="P79" s="425">
        <v>495.440125753541</v>
      </c>
      <c r="Q79" s="425">
        <v>37.840412535309099</v>
      </c>
      <c r="R79" s="425">
        <v>2.85001306748409</v>
      </c>
      <c r="S79" s="425">
        <v>1505.28830551947</v>
      </c>
      <c r="T79" s="412"/>
    </row>
    <row r="80" spans="2:20">
      <c r="B80" s="412"/>
      <c r="C80" s="412"/>
      <c r="D80" s="430">
        <f t="shared" ref="D80:S80" si="1">D79+D69-D55</f>
        <v>0</v>
      </c>
      <c r="E80" s="430">
        <f t="shared" si="1"/>
        <v>0</v>
      </c>
      <c r="F80" s="430">
        <f t="shared" si="1"/>
        <v>-3.0553337637684308E-13</v>
      </c>
      <c r="G80" s="430">
        <f t="shared" si="1"/>
        <v>6.2527760746888816E-13</v>
      </c>
      <c r="H80" s="430">
        <f t="shared" si="1"/>
        <v>0</v>
      </c>
      <c r="I80" s="430">
        <f t="shared" si="1"/>
        <v>0</v>
      </c>
      <c r="J80" s="430">
        <f t="shared" si="1"/>
        <v>0</v>
      </c>
      <c r="K80" s="430">
        <f t="shared" si="1"/>
        <v>0</v>
      </c>
      <c r="L80" s="430">
        <f t="shared" si="1"/>
        <v>-3.3417713041217212E-14</v>
      </c>
      <c r="M80" s="430">
        <f t="shared" si="1"/>
        <v>0</v>
      </c>
      <c r="N80" s="430">
        <f t="shared" si="1"/>
        <v>0</v>
      </c>
      <c r="O80" s="430">
        <f t="shared" si="1"/>
        <v>0</v>
      </c>
      <c r="P80" s="430">
        <f t="shared" si="1"/>
        <v>4.8672177399566863E-13</v>
      </c>
      <c r="Q80" s="430">
        <f t="shared" si="1"/>
        <v>0</v>
      </c>
      <c r="R80" s="430">
        <f t="shared" si="1"/>
        <v>0</v>
      </c>
      <c r="S80" s="430">
        <f t="shared" si="1"/>
        <v>4.5474735088646412E-12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364</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0</v>
      </c>
      <c r="F86" s="421">
        <v>0</v>
      </c>
      <c r="G86" s="421">
        <v>0</v>
      </c>
      <c r="H86" s="422">
        <v>843.18181818181802</v>
      </c>
      <c r="I86" s="422">
        <v>303.83</v>
      </c>
      <c r="J86" s="422">
        <v>180.58227082712199</v>
      </c>
      <c r="K86" s="422">
        <v>22.584752367457401</v>
      </c>
      <c r="L86" s="421">
        <v>0</v>
      </c>
      <c r="M86" s="421">
        <v>0</v>
      </c>
      <c r="N86" s="422">
        <v>64.228247119713899</v>
      </c>
      <c r="O86" s="422">
        <v>4.0154786653397201</v>
      </c>
      <c r="P86" s="421">
        <v>0</v>
      </c>
      <c r="Q86" s="421">
        <v>0</v>
      </c>
      <c r="R86" s="421">
        <v>0</v>
      </c>
      <c r="S86" s="423">
        <v>1418.4225671614499</v>
      </c>
      <c r="T86" s="412"/>
    </row>
    <row r="87" spans="2:20" ht="13.5">
      <c r="B87" s="412"/>
      <c r="C87" s="420" t="s">
        <v>60</v>
      </c>
      <c r="D87" s="421">
        <v>30.885603791058401</v>
      </c>
      <c r="E87" s="421">
        <v>484.495467583368</v>
      </c>
      <c r="F87" s="421">
        <v>42.659321237611302</v>
      </c>
      <c r="G87" s="421">
        <v>385.71207499197101</v>
      </c>
      <c r="H87" s="421">
        <v>0</v>
      </c>
      <c r="I87" s="421">
        <v>0</v>
      </c>
      <c r="J87" s="421">
        <v>0</v>
      </c>
      <c r="K87" s="421">
        <v>0</v>
      </c>
      <c r="L87" s="421">
        <v>0</v>
      </c>
      <c r="M87" s="421">
        <v>0</v>
      </c>
      <c r="N87" s="421">
        <v>0</v>
      </c>
      <c r="O87" s="421">
        <v>0</v>
      </c>
      <c r="P87" s="421">
        <v>0</v>
      </c>
      <c r="Q87" s="421">
        <v>0</v>
      </c>
      <c r="R87" s="421">
        <v>0</v>
      </c>
      <c r="S87" s="423">
        <v>943.75246760400796</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-18.341336792236799</v>
      </c>
      <c r="Q88" s="421">
        <v>0</v>
      </c>
      <c r="R88" s="421">
        <v>0</v>
      </c>
      <c r="S88" s="423">
        <v>-18.341336792236799</v>
      </c>
      <c r="T88" s="412"/>
    </row>
    <row r="89" spans="2:20" ht="13.5">
      <c r="B89" s="412"/>
      <c r="C89" s="420" t="s">
        <v>62</v>
      </c>
      <c r="D89" s="421">
        <v>0</v>
      </c>
      <c r="E89" s="421">
        <v>0</v>
      </c>
      <c r="F89" s="421">
        <v>-15.257294848391901</v>
      </c>
      <c r="G89" s="421">
        <v>0</v>
      </c>
      <c r="H89" s="421">
        <v>0</v>
      </c>
      <c r="I89" s="421">
        <v>0</v>
      </c>
      <c r="J89" s="421">
        <v>0</v>
      </c>
      <c r="K89" s="421">
        <v>0</v>
      </c>
      <c r="L89" s="421">
        <v>0</v>
      </c>
      <c r="M89" s="421">
        <v>0</v>
      </c>
      <c r="N89" s="421">
        <v>0</v>
      </c>
      <c r="O89" s="421">
        <v>0</v>
      </c>
      <c r="P89" s="421">
        <v>0</v>
      </c>
      <c r="Q89" s="421">
        <v>0</v>
      </c>
      <c r="R89" s="421">
        <v>0</v>
      </c>
      <c r="S89" s="423">
        <v>-15.257294848391901</v>
      </c>
      <c r="T89" s="412"/>
    </row>
    <row r="90" spans="2:20" ht="13.5">
      <c r="B90" s="412"/>
      <c r="C90" s="420" t="s">
        <v>63</v>
      </c>
      <c r="D90" s="421">
        <v>0</v>
      </c>
      <c r="E90" s="421">
        <v>0</v>
      </c>
      <c r="F90" s="421">
        <v>-90.626969920873506</v>
      </c>
      <c r="G90" s="421">
        <v>0</v>
      </c>
      <c r="H90" s="421">
        <v>0</v>
      </c>
      <c r="I90" s="421">
        <v>0</v>
      </c>
      <c r="J90" s="421">
        <v>0</v>
      </c>
      <c r="K90" s="421">
        <v>0</v>
      </c>
      <c r="L90" s="421">
        <v>-0.93615330165546395</v>
      </c>
      <c r="M90" s="421">
        <v>0</v>
      </c>
      <c r="N90" s="421">
        <v>0</v>
      </c>
      <c r="O90" s="421">
        <v>0</v>
      </c>
      <c r="P90" s="421">
        <v>0</v>
      </c>
      <c r="Q90" s="421">
        <v>0</v>
      </c>
      <c r="R90" s="421">
        <v>0</v>
      </c>
      <c r="S90" s="423">
        <v>-91.563123222528901</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30.885603791058401</v>
      </c>
      <c r="E92" s="425">
        <v>484.495467583368</v>
      </c>
      <c r="F92" s="425">
        <v>-63.224943531653999</v>
      </c>
      <c r="G92" s="425">
        <v>385.71207499197101</v>
      </c>
      <c r="H92" s="425">
        <v>843.18181818181802</v>
      </c>
      <c r="I92" s="425">
        <v>303.83</v>
      </c>
      <c r="J92" s="425">
        <v>180.58227082712199</v>
      </c>
      <c r="K92" s="425">
        <v>22.584752367457401</v>
      </c>
      <c r="L92" s="425">
        <v>-0.93615330165546395</v>
      </c>
      <c r="M92" s="425">
        <v>0</v>
      </c>
      <c r="N92" s="425">
        <v>64.228247119713899</v>
      </c>
      <c r="O92" s="425">
        <v>4.0154786653397201</v>
      </c>
      <c r="P92" s="425">
        <v>-18.341336792236799</v>
      </c>
      <c r="Q92" s="425">
        <v>0</v>
      </c>
      <c r="R92" s="425">
        <v>0</v>
      </c>
      <c r="S92" s="425">
        <v>2237.0132799022999</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26.7514143940613</v>
      </c>
      <c r="H95" s="421">
        <v>843.18181818181802</v>
      </c>
      <c r="I95" s="421">
        <v>303.83</v>
      </c>
      <c r="J95" s="421">
        <v>22.093473329706701</v>
      </c>
      <c r="K95" s="421">
        <v>5.8025151206166701</v>
      </c>
      <c r="L95" s="421">
        <v>0</v>
      </c>
      <c r="M95" s="421">
        <v>0.54594723253186395</v>
      </c>
      <c r="N95" s="421">
        <v>0</v>
      </c>
      <c r="O95" s="421">
        <v>0</v>
      </c>
      <c r="P95" s="421">
        <v>-610.51719995562303</v>
      </c>
      <c r="Q95" s="421">
        <v>0</v>
      </c>
      <c r="R95" s="421">
        <v>0</v>
      </c>
      <c r="S95" s="429">
        <v>597.75207540231395</v>
      </c>
      <c r="T95" s="412"/>
    </row>
    <row r="96" spans="2:20" ht="13.5">
      <c r="B96" s="412"/>
      <c r="C96" s="428" t="s">
        <v>351</v>
      </c>
      <c r="D96" s="421">
        <v>0</v>
      </c>
      <c r="E96" s="421">
        <v>0</v>
      </c>
      <c r="F96" s="421">
        <v>0</v>
      </c>
      <c r="G96" s="421">
        <v>17.221669860310801</v>
      </c>
      <c r="H96" s="421">
        <v>0</v>
      </c>
      <c r="I96" s="421">
        <v>0</v>
      </c>
      <c r="J96" s="421">
        <v>12.443095766795199</v>
      </c>
      <c r="K96" s="421">
        <v>12.7366574955616</v>
      </c>
      <c r="L96" s="421">
        <v>0</v>
      </c>
      <c r="M96" s="421">
        <v>0.351462650210425</v>
      </c>
      <c r="N96" s="421">
        <v>0</v>
      </c>
      <c r="O96" s="421">
        <v>2.25021562141669</v>
      </c>
      <c r="P96" s="421">
        <v>0</v>
      </c>
      <c r="Q96" s="421">
        <v>-41.107889812280099</v>
      </c>
      <c r="R96" s="421">
        <v>0</v>
      </c>
      <c r="S96" s="429">
        <v>3.8952115820145798</v>
      </c>
      <c r="T96" s="412"/>
    </row>
    <row r="97" spans="2:20" ht="13.5">
      <c r="B97" s="412"/>
      <c r="C97" s="428" t="s">
        <v>352</v>
      </c>
      <c r="D97" s="421">
        <v>0</v>
      </c>
      <c r="E97" s="421">
        <v>0</v>
      </c>
      <c r="F97" s="421">
        <v>0</v>
      </c>
      <c r="G97" s="421">
        <v>0</v>
      </c>
      <c r="H97" s="421">
        <v>0</v>
      </c>
      <c r="I97" s="421">
        <v>0</v>
      </c>
      <c r="J97" s="421">
        <v>8.1664030992761294</v>
      </c>
      <c r="K97" s="421">
        <v>0</v>
      </c>
      <c r="L97" s="421">
        <v>0</v>
      </c>
      <c r="M97" s="421">
        <v>-7.6253788939490796</v>
      </c>
      <c r="N97" s="421">
        <v>0</v>
      </c>
      <c r="O97" s="421">
        <v>0</v>
      </c>
      <c r="P97" s="421">
        <v>0</v>
      </c>
      <c r="Q97" s="421">
        <v>0</v>
      </c>
      <c r="R97" s="421">
        <v>0</v>
      </c>
      <c r="S97" s="429">
        <v>0.54102420532704398</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501.885810932168</v>
      </c>
      <c r="F99" s="421">
        <v>-496.86695282284597</v>
      </c>
      <c r="G99" s="421">
        <v>0</v>
      </c>
      <c r="H99" s="421">
        <v>0</v>
      </c>
      <c r="I99" s="421">
        <v>0</v>
      </c>
      <c r="J99" s="421">
        <v>0</v>
      </c>
      <c r="K99" s="421">
        <v>0</v>
      </c>
      <c r="L99" s="421">
        <v>0</v>
      </c>
      <c r="M99" s="421">
        <v>0</v>
      </c>
      <c r="N99" s="421">
        <v>0</v>
      </c>
      <c r="O99" s="421">
        <v>0</v>
      </c>
      <c r="P99" s="421">
        <v>0</v>
      </c>
      <c r="Q99" s="421">
        <v>0</v>
      </c>
      <c r="R99" s="421">
        <v>0</v>
      </c>
      <c r="S99" s="429">
        <v>5.0188581093216804</v>
      </c>
      <c r="T99" s="412"/>
    </row>
    <row r="100" spans="2:20" ht="13.5">
      <c r="B100" s="412"/>
      <c r="C100" s="428" t="s">
        <v>354</v>
      </c>
      <c r="D100" s="421">
        <v>0</v>
      </c>
      <c r="E100" s="421">
        <v>0</v>
      </c>
      <c r="F100" s="421">
        <v>0</v>
      </c>
      <c r="G100" s="421">
        <v>0</v>
      </c>
      <c r="H100" s="421">
        <v>0</v>
      </c>
      <c r="I100" s="421">
        <v>0</v>
      </c>
      <c r="J100" s="421">
        <v>40.922578855232103</v>
      </c>
      <c r="K100" s="421">
        <v>0</v>
      </c>
      <c r="L100" s="421">
        <v>-40.922578855232103</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-0.185690681788441</v>
      </c>
      <c r="M101" s="421">
        <v>0</v>
      </c>
      <c r="N101" s="421">
        <v>0</v>
      </c>
      <c r="O101" s="421">
        <v>0</v>
      </c>
      <c r="P101" s="421">
        <v>0</v>
      </c>
      <c r="Q101" s="421">
        <v>0</v>
      </c>
      <c r="R101" s="421">
        <v>0.26527240255491602</v>
      </c>
      <c r="S101" s="429">
        <v>7.9581720766474906E-2</v>
      </c>
      <c r="T101" s="412"/>
    </row>
    <row r="102" spans="2:20" ht="13.5">
      <c r="B102" s="412"/>
      <c r="C102" s="428" t="s">
        <v>73</v>
      </c>
      <c r="D102" s="421">
        <v>0</v>
      </c>
      <c r="E102" s="421">
        <v>0</v>
      </c>
      <c r="F102" s="421">
        <v>0</v>
      </c>
      <c r="G102" s="421">
        <v>5.0830420654676596</v>
      </c>
      <c r="H102" s="421">
        <v>0</v>
      </c>
      <c r="I102" s="421">
        <v>0</v>
      </c>
      <c r="J102" s="421">
        <v>0</v>
      </c>
      <c r="K102" s="421">
        <v>5.89406547480016E-2</v>
      </c>
      <c r="L102" s="421">
        <v>0</v>
      </c>
      <c r="M102" s="421">
        <v>0.103735552356483</v>
      </c>
      <c r="N102" s="421">
        <v>0</v>
      </c>
      <c r="O102" s="421">
        <v>0</v>
      </c>
      <c r="P102" s="421">
        <v>0.64603991681083595</v>
      </c>
      <c r="Q102" s="421">
        <v>0</v>
      </c>
      <c r="R102" s="421">
        <v>-4.1258458323601097</v>
      </c>
      <c r="S102" s="429">
        <v>1.7659123570228701</v>
      </c>
      <c r="T102" s="412"/>
    </row>
    <row r="103" spans="2:20" ht="13.5">
      <c r="B103" s="412"/>
      <c r="C103" s="428" t="s">
        <v>356</v>
      </c>
      <c r="D103" s="421">
        <v>12.835820312499999</v>
      </c>
      <c r="E103" s="421">
        <v>-17.3903433487996</v>
      </c>
      <c r="F103" s="421">
        <v>22.745541936068101</v>
      </c>
      <c r="G103" s="421">
        <v>0</v>
      </c>
      <c r="H103" s="421">
        <v>0</v>
      </c>
      <c r="I103" s="421">
        <v>0</v>
      </c>
      <c r="J103" s="421">
        <v>0</v>
      </c>
      <c r="K103" s="421">
        <v>0</v>
      </c>
      <c r="L103" s="421">
        <v>0</v>
      </c>
      <c r="M103" s="421">
        <v>0</v>
      </c>
      <c r="N103" s="421">
        <v>0</v>
      </c>
      <c r="O103" s="421">
        <v>0</v>
      </c>
      <c r="P103" s="421">
        <v>0</v>
      </c>
      <c r="Q103" s="421">
        <v>0</v>
      </c>
      <c r="R103" s="421">
        <v>0</v>
      </c>
      <c r="S103" s="429">
        <v>18.191018899768501</v>
      </c>
      <c r="T103" s="412"/>
    </row>
    <row r="104" spans="2:20" ht="13.5">
      <c r="B104" s="412"/>
      <c r="C104" s="428" t="s">
        <v>75</v>
      </c>
      <c r="D104" s="421">
        <v>9.6016132812499997</v>
      </c>
      <c r="E104" s="421">
        <v>0</v>
      </c>
      <c r="F104" s="421">
        <v>17.0641175716937</v>
      </c>
      <c r="G104" s="421">
        <v>4.8692961376638904</v>
      </c>
      <c r="H104" s="421">
        <v>0</v>
      </c>
      <c r="I104" s="421">
        <v>0</v>
      </c>
      <c r="J104" s="421">
        <v>0</v>
      </c>
      <c r="K104" s="421">
        <v>0</v>
      </c>
      <c r="L104" s="421">
        <v>0</v>
      </c>
      <c r="M104" s="421">
        <v>9.9373390564569203E-2</v>
      </c>
      <c r="N104" s="421">
        <v>0</v>
      </c>
      <c r="O104" s="421">
        <v>0</v>
      </c>
      <c r="P104" s="421">
        <v>28.1582236341448</v>
      </c>
      <c r="Q104" s="421">
        <v>0</v>
      </c>
      <c r="R104" s="421">
        <v>0</v>
      </c>
      <c r="S104" s="429">
        <v>59.792624015317003</v>
      </c>
      <c r="T104" s="412"/>
    </row>
    <row r="105" spans="2:20" ht="13.5">
      <c r="B105" s="412"/>
      <c r="C105" s="428" t="s">
        <v>76</v>
      </c>
      <c r="D105" s="421">
        <v>0</v>
      </c>
      <c r="E105" s="421">
        <v>0</v>
      </c>
      <c r="F105" s="421">
        <v>0</v>
      </c>
      <c r="G105" s="421">
        <v>4.4305561162471001</v>
      </c>
      <c r="H105" s="421">
        <v>0</v>
      </c>
      <c r="I105" s="421">
        <v>0</v>
      </c>
      <c r="J105" s="421">
        <v>0</v>
      </c>
      <c r="K105" s="421">
        <v>0</v>
      </c>
      <c r="L105" s="421">
        <v>0</v>
      </c>
      <c r="M105" s="421">
        <v>9.0419512576471406E-2</v>
      </c>
      <c r="N105" s="421">
        <v>0</v>
      </c>
      <c r="O105" s="421">
        <v>0</v>
      </c>
      <c r="P105" s="421">
        <v>45.383745745670502</v>
      </c>
      <c r="Q105" s="421">
        <v>3.1854822363759498</v>
      </c>
      <c r="R105" s="421">
        <v>0</v>
      </c>
      <c r="S105" s="429">
        <v>53.090203610869999</v>
      </c>
      <c r="T105" s="412"/>
    </row>
    <row r="106" spans="2:20" ht="13.5">
      <c r="B106" s="412"/>
      <c r="C106" s="424" t="s">
        <v>77</v>
      </c>
      <c r="D106" s="425">
        <v>24.637904329316601</v>
      </c>
      <c r="E106" s="425">
        <v>484.495467583368</v>
      </c>
      <c r="F106" s="425">
        <v>-453.19365695144802</v>
      </c>
      <c r="G106" s="425">
        <v>58.355978573750797</v>
      </c>
      <c r="H106" s="425">
        <v>843.18181818181802</v>
      </c>
      <c r="I106" s="425">
        <v>303.83</v>
      </c>
      <c r="J106" s="425">
        <v>83.625551051010106</v>
      </c>
      <c r="K106" s="425">
        <v>18.598113270926302</v>
      </c>
      <c r="L106" s="425">
        <v>-41.108269537020597</v>
      </c>
      <c r="M106" s="425">
        <v>-6.4344405557092701</v>
      </c>
      <c r="N106" s="425">
        <v>0</v>
      </c>
      <c r="O106" s="425">
        <v>2.25021562141669</v>
      </c>
      <c r="P106" s="425">
        <v>-536.32919065899705</v>
      </c>
      <c r="Q106" s="425">
        <v>-37.922407575904202</v>
      </c>
      <c r="R106" s="425">
        <v>-3.8605734298051999</v>
      </c>
      <c r="S106" s="425">
        <v>740.12650990272198</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4.1175454090074304</v>
      </c>
      <c r="E108" s="421">
        <v>0</v>
      </c>
      <c r="F108" s="421">
        <v>19.277494882052501</v>
      </c>
      <c r="G108" s="421">
        <v>101.47453920726601</v>
      </c>
      <c r="H108" s="421">
        <v>0</v>
      </c>
      <c r="I108" s="421">
        <v>0</v>
      </c>
      <c r="J108" s="421">
        <v>17.1465838958113</v>
      </c>
      <c r="K108" s="421">
        <v>3.98663909653113</v>
      </c>
      <c r="L108" s="421">
        <v>0.86272697265624998</v>
      </c>
      <c r="M108" s="421">
        <v>2.0709089634136002</v>
      </c>
      <c r="N108" s="421">
        <v>0</v>
      </c>
      <c r="O108" s="421">
        <v>0</v>
      </c>
      <c r="P108" s="421">
        <v>115.02579662342799</v>
      </c>
      <c r="Q108" s="421">
        <v>18.9073764304365</v>
      </c>
      <c r="R108" s="421">
        <v>0.24469155883789101</v>
      </c>
      <c r="S108" s="429">
        <v>283.11430303944098</v>
      </c>
      <c r="T108" s="412"/>
    </row>
    <row r="109" spans="2:20" ht="13.5">
      <c r="B109" s="412"/>
      <c r="C109" s="428" t="s">
        <v>79</v>
      </c>
      <c r="D109" s="421">
        <v>0</v>
      </c>
      <c r="E109" s="421">
        <v>0</v>
      </c>
      <c r="F109" s="421">
        <v>211.515991693448</v>
      </c>
      <c r="G109" s="421">
        <v>33.673192204334903</v>
      </c>
      <c r="H109" s="421">
        <v>0</v>
      </c>
      <c r="I109" s="421">
        <v>0</v>
      </c>
      <c r="J109" s="421">
        <v>0</v>
      </c>
      <c r="K109" s="421">
        <v>0</v>
      </c>
      <c r="L109" s="421">
        <v>21.364475731578199</v>
      </c>
      <c r="M109" s="421">
        <v>0.68720800417009997</v>
      </c>
      <c r="N109" s="421">
        <v>0</v>
      </c>
      <c r="O109" s="421">
        <v>0</v>
      </c>
      <c r="P109" s="421">
        <v>67.538126653199896</v>
      </c>
      <c r="Q109" s="421">
        <v>0</v>
      </c>
      <c r="R109" s="421">
        <v>2.73358870080129</v>
      </c>
      <c r="S109" s="429">
        <v>337.51258298753203</v>
      </c>
      <c r="T109" s="412"/>
    </row>
    <row r="110" spans="2:20" ht="13.5">
      <c r="B110" s="412"/>
      <c r="C110" s="428" t="s">
        <v>80</v>
      </c>
      <c r="D110" s="421">
        <v>0</v>
      </c>
      <c r="E110" s="421">
        <v>0</v>
      </c>
      <c r="F110" s="421">
        <v>11.269398252747999</v>
      </c>
      <c r="G110" s="421">
        <v>107.66857440515901</v>
      </c>
      <c r="H110" s="421">
        <v>0</v>
      </c>
      <c r="I110" s="421">
        <v>0</v>
      </c>
      <c r="J110" s="421">
        <v>74.555024603306606</v>
      </c>
      <c r="K110" s="421">
        <v>0</v>
      </c>
      <c r="L110" s="421">
        <v>0</v>
      </c>
      <c r="M110" s="421">
        <v>2.19731784500325</v>
      </c>
      <c r="N110" s="421">
        <v>57.8439730041991</v>
      </c>
      <c r="O110" s="421">
        <v>0.94792042331900395</v>
      </c>
      <c r="P110" s="421">
        <v>182.60815084241301</v>
      </c>
      <c r="Q110" s="421">
        <v>15.2162816007431</v>
      </c>
      <c r="R110" s="421">
        <v>0</v>
      </c>
      <c r="S110" s="429">
        <v>452.306640976891</v>
      </c>
      <c r="T110" s="412"/>
    </row>
    <row r="111" spans="2:20" ht="13.5">
      <c r="B111" s="412"/>
      <c r="C111" s="428" t="s">
        <v>81</v>
      </c>
      <c r="D111" s="421">
        <v>0</v>
      </c>
      <c r="E111" s="421">
        <v>0</v>
      </c>
      <c r="F111" s="421">
        <v>4.6678370944484504</v>
      </c>
      <c r="G111" s="421">
        <v>66.895141856533499</v>
      </c>
      <c r="H111" s="421">
        <v>0</v>
      </c>
      <c r="I111" s="421">
        <v>0</v>
      </c>
      <c r="J111" s="421">
        <v>3.3107731809745702</v>
      </c>
      <c r="K111" s="421">
        <v>0</v>
      </c>
      <c r="L111" s="421">
        <v>0</v>
      </c>
      <c r="M111" s="421">
        <v>1.3652069766639501</v>
      </c>
      <c r="N111" s="421">
        <v>6.3842741155148302</v>
      </c>
      <c r="O111" s="421">
        <v>0.75088648318301499</v>
      </c>
      <c r="P111" s="421">
        <v>144.56234737622799</v>
      </c>
      <c r="Q111" s="421">
        <v>3.79874954472458</v>
      </c>
      <c r="R111" s="421">
        <v>0</v>
      </c>
      <c r="S111" s="429">
        <v>231.73521662827099</v>
      </c>
      <c r="T111" s="412"/>
    </row>
    <row r="112" spans="2:20" ht="13.5">
      <c r="B112" s="412"/>
      <c r="C112" s="428" t="s">
        <v>82</v>
      </c>
      <c r="D112" s="421">
        <v>0</v>
      </c>
      <c r="E112" s="421">
        <v>0</v>
      </c>
      <c r="F112" s="421">
        <v>4.5923360843350496</v>
      </c>
      <c r="G112" s="421">
        <v>5.5761395564600598</v>
      </c>
      <c r="H112" s="421">
        <v>0</v>
      </c>
      <c r="I112" s="421">
        <v>0</v>
      </c>
      <c r="J112" s="421">
        <v>1.9443380960196801</v>
      </c>
      <c r="K112" s="421">
        <v>0</v>
      </c>
      <c r="L112" s="421">
        <v>17.944913531130702</v>
      </c>
      <c r="M112" s="421">
        <v>0.11379876645836901</v>
      </c>
      <c r="N112" s="421">
        <v>0</v>
      </c>
      <c r="O112" s="421">
        <v>6.6456137421005299E-2</v>
      </c>
      <c r="P112" s="421">
        <v>7.4534323714914201</v>
      </c>
      <c r="Q112" s="421">
        <v>0</v>
      </c>
      <c r="R112" s="421">
        <v>0</v>
      </c>
      <c r="S112" s="429">
        <v>37.691414543316299</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0.8</v>
      </c>
      <c r="Q113" s="421">
        <v>0</v>
      </c>
      <c r="R113" s="421">
        <v>0</v>
      </c>
      <c r="S113" s="429">
        <v>0.8</v>
      </c>
      <c r="T113" s="412"/>
    </row>
    <row r="114" spans="2:20" ht="13.5">
      <c r="B114" s="412"/>
      <c r="C114" s="424" t="s">
        <v>83</v>
      </c>
      <c r="D114" s="425">
        <v>4.1175454090074304</v>
      </c>
      <c r="E114" s="425">
        <v>0</v>
      </c>
      <c r="F114" s="425">
        <v>251.32305800703199</v>
      </c>
      <c r="G114" s="425">
        <v>315.28758722975402</v>
      </c>
      <c r="H114" s="425">
        <v>0</v>
      </c>
      <c r="I114" s="425">
        <v>0</v>
      </c>
      <c r="J114" s="425">
        <v>96.956719776112095</v>
      </c>
      <c r="K114" s="425">
        <v>3.98663909653113</v>
      </c>
      <c r="L114" s="425">
        <v>40.172116235365102</v>
      </c>
      <c r="M114" s="425">
        <v>6.4344405557092701</v>
      </c>
      <c r="N114" s="425">
        <v>64.228247119713899</v>
      </c>
      <c r="O114" s="425">
        <v>1.7652630439230199</v>
      </c>
      <c r="P114" s="425">
        <v>517.98785386676104</v>
      </c>
      <c r="Q114" s="425">
        <v>37.922407575904103</v>
      </c>
      <c r="R114" s="425">
        <v>2.9782802596391802</v>
      </c>
      <c r="S114" s="425">
        <v>1343.1601581754501</v>
      </c>
      <c r="T114" s="412"/>
    </row>
    <row r="115" spans="2:20" ht="13.5">
      <c r="B115" s="412"/>
      <c r="C115" s="420" t="s">
        <v>84</v>
      </c>
      <c r="D115" s="421">
        <v>2.1301540527343801</v>
      </c>
      <c r="E115" s="421">
        <v>0</v>
      </c>
      <c r="F115" s="421">
        <v>138.64565541276201</v>
      </c>
      <c r="G115" s="421">
        <v>12.0685091884655</v>
      </c>
      <c r="H115" s="421">
        <v>0</v>
      </c>
      <c r="I115" s="421">
        <v>0</v>
      </c>
      <c r="J115" s="421">
        <v>0</v>
      </c>
      <c r="K115" s="421">
        <v>0</v>
      </c>
      <c r="L115" s="421">
        <v>0</v>
      </c>
      <c r="M115" s="421">
        <v>0</v>
      </c>
      <c r="N115" s="421">
        <v>0</v>
      </c>
      <c r="O115" s="421">
        <v>0</v>
      </c>
      <c r="P115" s="421">
        <v>0</v>
      </c>
      <c r="Q115" s="421">
        <v>0</v>
      </c>
      <c r="R115" s="421">
        <v>0.88229317016601605</v>
      </c>
      <c r="S115" s="429">
        <v>153.72661182412801</v>
      </c>
      <c r="T115" s="412"/>
    </row>
    <row r="116" spans="2:20" ht="13.5">
      <c r="B116" s="412"/>
      <c r="C116" s="424" t="s">
        <v>85</v>
      </c>
      <c r="D116" s="425">
        <v>6.2476994617418002</v>
      </c>
      <c r="E116" s="425">
        <v>0</v>
      </c>
      <c r="F116" s="425">
        <v>389.96871341979403</v>
      </c>
      <c r="G116" s="425">
        <v>327.35609641821998</v>
      </c>
      <c r="H116" s="425">
        <v>0</v>
      </c>
      <c r="I116" s="425">
        <v>0</v>
      </c>
      <c r="J116" s="425">
        <v>96.956719776112095</v>
      </c>
      <c r="K116" s="425">
        <v>3.98663909653113</v>
      </c>
      <c r="L116" s="425">
        <v>40.172116235365102</v>
      </c>
      <c r="M116" s="425">
        <v>6.4344405557092701</v>
      </c>
      <c r="N116" s="425">
        <v>64.228247119713899</v>
      </c>
      <c r="O116" s="425">
        <v>1.7652630439230199</v>
      </c>
      <c r="P116" s="425">
        <v>517.98785386676104</v>
      </c>
      <c r="Q116" s="425">
        <v>37.922407575904103</v>
      </c>
      <c r="R116" s="425">
        <v>3.8605734298051999</v>
      </c>
      <c r="S116" s="425">
        <v>1496.8867699995801</v>
      </c>
      <c r="T116" s="412"/>
    </row>
    <row r="117" spans="2:20">
      <c r="B117" s="412"/>
      <c r="C117" s="412"/>
      <c r="D117" s="430">
        <f t="shared" ref="D117:S117" si="2">D116+D106-D92</f>
        <v>0</v>
      </c>
      <c r="E117" s="430">
        <f t="shared" si="2"/>
        <v>0</v>
      </c>
      <c r="F117" s="430">
        <f t="shared" si="2"/>
        <v>0</v>
      </c>
      <c r="G117" s="430">
        <f t="shared" si="2"/>
        <v>0</v>
      </c>
      <c r="H117" s="430">
        <f t="shared" si="2"/>
        <v>0</v>
      </c>
      <c r="I117" s="430">
        <f t="shared" si="2"/>
        <v>0</v>
      </c>
      <c r="J117" s="430">
        <f t="shared" si="2"/>
        <v>2.2737367544323206E-13</v>
      </c>
      <c r="K117" s="430">
        <f t="shared" si="2"/>
        <v>3.1974423109204508E-14</v>
      </c>
      <c r="L117" s="430">
        <f t="shared" si="2"/>
        <v>-3.0420110874729289E-14</v>
      </c>
      <c r="M117" s="430">
        <f t="shared" si="2"/>
        <v>0</v>
      </c>
      <c r="N117" s="430">
        <f t="shared" si="2"/>
        <v>0</v>
      </c>
      <c r="O117" s="430">
        <f t="shared" si="2"/>
        <v>-9.7699626167013776E-15</v>
      </c>
      <c r="P117" s="430">
        <f t="shared" si="2"/>
        <v>7.9225515037251171E-13</v>
      </c>
      <c r="Q117" s="430">
        <f t="shared" si="2"/>
        <v>-9.9475983006414026E-14</v>
      </c>
      <c r="R117" s="430">
        <f t="shared" si="2"/>
        <v>0</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89</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0</v>
      </c>
      <c r="F123" s="421">
        <v>0</v>
      </c>
      <c r="G123" s="421">
        <v>0</v>
      </c>
      <c r="H123" s="422">
        <v>727.27272727272702</v>
      </c>
      <c r="I123" s="422">
        <v>285.08</v>
      </c>
      <c r="J123" s="422">
        <v>179.02026508455899</v>
      </c>
      <c r="K123" s="422">
        <v>22.071430242595699</v>
      </c>
      <c r="L123" s="421">
        <v>0</v>
      </c>
      <c r="M123" s="421">
        <v>0</v>
      </c>
      <c r="N123" s="422">
        <v>69.124340714614704</v>
      </c>
      <c r="O123" s="422">
        <v>3.9743240940765601</v>
      </c>
      <c r="P123" s="421">
        <v>0</v>
      </c>
      <c r="Q123" s="421">
        <v>0</v>
      </c>
      <c r="R123" s="421">
        <v>0</v>
      </c>
      <c r="S123" s="423">
        <v>1286.54308740857</v>
      </c>
      <c r="T123" s="412"/>
    </row>
    <row r="124" spans="2:20" ht="13.5">
      <c r="B124" s="412"/>
      <c r="C124" s="420" t="s">
        <v>60</v>
      </c>
      <c r="D124" s="421">
        <v>29.137863782851301</v>
      </c>
      <c r="E124" s="421">
        <v>464.7986487</v>
      </c>
      <c r="F124" s="421">
        <v>43.026150332406097</v>
      </c>
      <c r="G124" s="421">
        <v>393.69712052116603</v>
      </c>
      <c r="H124" s="421">
        <v>0</v>
      </c>
      <c r="I124" s="421">
        <v>0</v>
      </c>
      <c r="J124" s="421">
        <v>0</v>
      </c>
      <c r="K124" s="421">
        <v>0</v>
      </c>
      <c r="L124" s="421">
        <v>0</v>
      </c>
      <c r="M124" s="421">
        <v>0</v>
      </c>
      <c r="N124" s="421">
        <v>0</v>
      </c>
      <c r="O124" s="421">
        <v>0</v>
      </c>
      <c r="P124" s="421">
        <v>52.272660894863201</v>
      </c>
      <c r="Q124" s="421">
        <v>0</v>
      </c>
      <c r="R124" s="421">
        <v>0</v>
      </c>
      <c r="S124" s="423">
        <v>982.93244423128704</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0</v>
      </c>
      <c r="Q125" s="421">
        <v>0</v>
      </c>
      <c r="R125" s="421">
        <v>0</v>
      </c>
      <c r="S125" s="423">
        <v>0</v>
      </c>
      <c r="T125" s="412"/>
    </row>
    <row r="126" spans="2:20" ht="13.5">
      <c r="B126" s="412"/>
      <c r="C126" s="420" t="s">
        <v>62</v>
      </c>
      <c r="D126" s="421">
        <v>0</v>
      </c>
      <c r="E126" s="421">
        <v>0</v>
      </c>
      <c r="F126" s="421">
        <v>-14.431507774067301</v>
      </c>
      <c r="G126" s="421">
        <v>0</v>
      </c>
      <c r="H126" s="421">
        <v>0</v>
      </c>
      <c r="I126" s="421">
        <v>0</v>
      </c>
      <c r="J126" s="421">
        <v>0</v>
      </c>
      <c r="K126" s="421">
        <v>0</v>
      </c>
      <c r="L126" s="421">
        <v>0</v>
      </c>
      <c r="M126" s="421">
        <v>0</v>
      </c>
      <c r="N126" s="421">
        <v>0</v>
      </c>
      <c r="O126" s="421">
        <v>0</v>
      </c>
      <c r="P126" s="421">
        <v>0</v>
      </c>
      <c r="Q126" s="421">
        <v>0</v>
      </c>
      <c r="R126" s="421">
        <v>0</v>
      </c>
      <c r="S126" s="423">
        <v>-14.431507774067301</v>
      </c>
      <c r="T126" s="412"/>
    </row>
    <row r="127" spans="2:20" ht="13.5">
      <c r="B127" s="412"/>
      <c r="C127" s="420" t="s">
        <v>63</v>
      </c>
      <c r="D127" s="421">
        <v>0</v>
      </c>
      <c r="E127" s="421">
        <v>0</v>
      </c>
      <c r="F127" s="421">
        <v>-93.073301321338505</v>
      </c>
      <c r="G127" s="421">
        <v>0</v>
      </c>
      <c r="H127" s="421">
        <v>0</v>
      </c>
      <c r="I127" s="421">
        <v>0</v>
      </c>
      <c r="J127" s="421">
        <v>0</v>
      </c>
      <c r="K127" s="421">
        <v>0</v>
      </c>
      <c r="L127" s="421">
        <v>-0.96113349486483901</v>
      </c>
      <c r="M127" s="421">
        <v>0</v>
      </c>
      <c r="N127" s="421">
        <v>0</v>
      </c>
      <c r="O127" s="421">
        <v>0</v>
      </c>
      <c r="P127" s="421">
        <v>0</v>
      </c>
      <c r="Q127" s="421">
        <v>0</v>
      </c>
      <c r="R127" s="421">
        <v>0</v>
      </c>
      <c r="S127" s="423">
        <v>-94.034434816203301</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29.137863782851301</v>
      </c>
      <c r="E129" s="425">
        <v>464.7986487</v>
      </c>
      <c r="F129" s="425">
        <v>-64.4786587629997</v>
      </c>
      <c r="G129" s="425">
        <v>393.69712052116603</v>
      </c>
      <c r="H129" s="425">
        <v>727.27272727272702</v>
      </c>
      <c r="I129" s="425">
        <v>285.08</v>
      </c>
      <c r="J129" s="425">
        <v>179.02026508455899</v>
      </c>
      <c r="K129" s="425">
        <v>22.071430242595699</v>
      </c>
      <c r="L129" s="425">
        <v>-0.96113349486483901</v>
      </c>
      <c r="M129" s="425">
        <v>0</v>
      </c>
      <c r="N129" s="425">
        <v>69.124340714614704</v>
      </c>
      <c r="O129" s="425">
        <v>3.9743240940765601</v>
      </c>
      <c r="P129" s="425">
        <v>52.272660894863201</v>
      </c>
      <c r="Q129" s="425">
        <v>0</v>
      </c>
      <c r="R129" s="425">
        <v>0</v>
      </c>
      <c r="S129" s="425">
        <v>2161.00958904959</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2.2004707355665598</v>
      </c>
      <c r="E132" s="421">
        <v>0</v>
      </c>
      <c r="F132" s="421">
        <v>3.8636363636363602</v>
      </c>
      <c r="G132" s="421">
        <v>35.960251906978201</v>
      </c>
      <c r="H132" s="421">
        <v>727.27272727272702</v>
      </c>
      <c r="I132" s="421">
        <v>285.08</v>
      </c>
      <c r="J132" s="421">
        <v>20.883347007614301</v>
      </c>
      <c r="K132" s="421">
        <v>5.4396340942741803</v>
      </c>
      <c r="L132" s="421">
        <v>0</v>
      </c>
      <c r="M132" s="421">
        <v>0.73388269197914702</v>
      </c>
      <c r="N132" s="421">
        <v>0</v>
      </c>
      <c r="O132" s="421">
        <v>0</v>
      </c>
      <c r="P132" s="421">
        <v>-559.49648075937398</v>
      </c>
      <c r="Q132" s="421">
        <v>0</v>
      </c>
      <c r="R132" s="421">
        <v>0</v>
      </c>
      <c r="S132" s="429">
        <v>521.93746931340195</v>
      </c>
      <c r="T132" s="412"/>
    </row>
    <row r="133" spans="2:20" ht="13.5">
      <c r="B133" s="412"/>
      <c r="C133" s="428" t="s">
        <v>351</v>
      </c>
      <c r="D133" s="421">
        <v>0</v>
      </c>
      <c r="E133" s="421">
        <v>0</v>
      </c>
      <c r="F133" s="421">
        <v>0</v>
      </c>
      <c r="G133" s="421">
        <v>17.249248608476702</v>
      </c>
      <c r="H133" s="421">
        <v>0</v>
      </c>
      <c r="I133" s="421">
        <v>0</v>
      </c>
      <c r="J133" s="421">
        <v>12.287356523997399</v>
      </c>
      <c r="K133" s="421">
        <v>12.751836063828801</v>
      </c>
      <c r="L133" s="421">
        <v>0</v>
      </c>
      <c r="M133" s="421">
        <v>0.35202548180564602</v>
      </c>
      <c r="N133" s="421">
        <v>0</v>
      </c>
      <c r="O133" s="421">
        <v>2.25411214784515</v>
      </c>
      <c r="P133" s="421">
        <v>0</v>
      </c>
      <c r="Q133" s="421">
        <v>-41.172831919421</v>
      </c>
      <c r="R133" s="421">
        <v>0</v>
      </c>
      <c r="S133" s="429">
        <v>3.7217469065325699</v>
      </c>
      <c r="T133" s="412"/>
    </row>
    <row r="134" spans="2:20" ht="13.5">
      <c r="B134" s="412"/>
      <c r="C134" s="428" t="s">
        <v>352</v>
      </c>
      <c r="D134" s="421">
        <v>0</v>
      </c>
      <c r="E134" s="421">
        <v>0</v>
      </c>
      <c r="F134" s="421">
        <v>0</v>
      </c>
      <c r="G134" s="421">
        <v>0</v>
      </c>
      <c r="H134" s="421">
        <v>0</v>
      </c>
      <c r="I134" s="421">
        <v>0</v>
      </c>
      <c r="J134" s="421">
        <v>8.1584068388578199</v>
      </c>
      <c r="K134" s="421">
        <v>0</v>
      </c>
      <c r="L134" s="421">
        <v>0</v>
      </c>
      <c r="M134" s="421">
        <v>-7.7912785311092199</v>
      </c>
      <c r="N134" s="421">
        <v>0</v>
      </c>
      <c r="O134" s="421">
        <v>0</v>
      </c>
      <c r="P134" s="421">
        <v>0</v>
      </c>
      <c r="Q134" s="421">
        <v>0</v>
      </c>
      <c r="R134" s="421">
        <v>0</v>
      </c>
      <c r="S134" s="429">
        <v>0.367128307748603</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481.48200000000003</v>
      </c>
      <c r="F136" s="421">
        <v>-476.66717999999997</v>
      </c>
      <c r="G136" s="421">
        <v>0</v>
      </c>
      <c r="H136" s="421">
        <v>0</v>
      </c>
      <c r="I136" s="421">
        <v>0</v>
      </c>
      <c r="J136" s="421">
        <v>0</v>
      </c>
      <c r="K136" s="421">
        <v>0</v>
      </c>
      <c r="L136" s="421">
        <v>0</v>
      </c>
      <c r="M136" s="421">
        <v>0</v>
      </c>
      <c r="N136" s="421">
        <v>0</v>
      </c>
      <c r="O136" s="421">
        <v>0</v>
      </c>
      <c r="P136" s="421">
        <v>0</v>
      </c>
      <c r="Q136" s="421">
        <v>0</v>
      </c>
      <c r="R136" s="421">
        <v>0</v>
      </c>
      <c r="S136" s="429">
        <v>4.8148200000000001</v>
      </c>
      <c r="T136" s="412"/>
    </row>
    <row r="137" spans="2:20" ht="13.5">
      <c r="B137" s="412"/>
      <c r="C137" s="428" t="s">
        <v>354</v>
      </c>
      <c r="D137" s="421">
        <v>0</v>
      </c>
      <c r="E137" s="421">
        <v>0</v>
      </c>
      <c r="F137" s="421">
        <v>0</v>
      </c>
      <c r="G137" s="421">
        <v>0</v>
      </c>
      <c r="H137" s="421">
        <v>0</v>
      </c>
      <c r="I137" s="421">
        <v>0</v>
      </c>
      <c r="J137" s="421">
        <v>41.474660133722303</v>
      </c>
      <c r="K137" s="421">
        <v>0</v>
      </c>
      <c r="L137" s="421">
        <v>-41.474660133722303</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-0.18779562104234199</v>
      </c>
      <c r="M138" s="421">
        <v>0</v>
      </c>
      <c r="N138" s="421">
        <v>0</v>
      </c>
      <c r="O138" s="421">
        <v>0</v>
      </c>
      <c r="P138" s="421">
        <v>0</v>
      </c>
      <c r="Q138" s="421">
        <v>0</v>
      </c>
      <c r="R138" s="421">
        <v>0.26827945863191799</v>
      </c>
      <c r="S138" s="429">
        <v>8.0483837589575294E-2</v>
      </c>
      <c r="T138" s="412"/>
    </row>
    <row r="139" spans="2:20" ht="13.5">
      <c r="B139" s="412"/>
      <c r="C139" s="428" t="s">
        <v>73</v>
      </c>
      <c r="D139" s="421">
        <v>0</v>
      </c>
      <c r="E139" s="421">
        <v>0</v>
      </c>
      <c r="F139" s="421">
        <v>0</v>
      </c>
      <c r="G139" s="421">
        <v>5.7699673283914903</v>
      </c>
      <c r="H139" s="421">
        <v>0</v>
      </c>
      <c r="I139" s="421">
        <v>0</v>
      </c>
      <c r="J139" s="421">
        <v>0</v>
      </c>
      <c r="K139" s="421">
        <v>6.7674962800744601E-2</v>
      </c>
      <c r="L139" s="421">
        <v>0</v>
      </c>
      <c r="M139" s="421">
        <v>0.117754435273296</v>
      </c>
      <c r="N139" s="421">
        <v>0</v>
      </c>
      <c r="O139" s="421">
        <v>0</v>
      </c>
      <c r="P139" s="421">
        <v>0.78954123267535403</v>
      </c>
      <c r="Q139" s="421">
        <v>0</v>
      </c>
      <c r="R139" s="421">
        <v>-4.73724739605212</v>
      </c>
      <c r="S139" s="429">
        <v>2.0076905630887598</v>
      </c>
      <c r="T139" s="412"/>
    </row>
    <row r="140" spans="2:20" ht="13.5">
      <c r="B140" s="412"/>
      <c r="C140" s="428" t="s">
        <v>356</v>
      </c>
      <c r="D140" s="421">
        <v>12.0380056152344</v>
      </c>
      <c r="E140" s="421">
        <v>-16.683351300000002</v>
      </c>
      <c r="F140" s="421">
        <v>21.820838094867199</v>
      </c>
      <c r="G140" s="421">
        <v>0</v>
      </c>
      <c r="H140" s="421">
        <v>0</v>
      </c>
      <c r="I140" s="421">
        <v>0</v>
      </c>
      <c r="J140" s="421">
        <v>0</v>
      </c>
      <c r="K140" s="421">
        <v>0</v>
      </c>
      <c r="L140" s="421">
        <v>0</v>
      </c>
      <c r="M140" s="421">
        <v>0</v>
      </c>
      <c r="N140" s="421">
        <v>0</v>
      </c>
      <c r="O140" s="421">
        <v>0</v>
      </c>
      <c r="P140" s="421">
        <v>0</v>
      </c>
      <c r="Q140" s="421">
        <v>0</v>
      </c>
      <c r="R140" s="421">
        <v>0</v>
      </c>
      <c r="S140" s="429">
        <v>17.175492410101601</v>
      </c>
      <c r="T140" s="412"/>
    </row>
    <row r="141" spans="2:20" ht="13.5">
      <c r="B141" s="412"/>
      <c r="C141" s="428" t="s">
        <v>75</v>
      </c>
      <c r="D141" s="421">
        <v>9.5550615234374998</v>
      </c>
      <c r="E141" s="421">
        <v>0</v>
      </c>
      <c r="F141" s="421">
        <v>16.370387999999998</v>
      </c>
      <c r="G141" s="421">
        <v>4.6713383640000004</v>
      </c>
      <c r="H141" s="421">
        <v>0</v>
      </c>
      <c r="I141" s="421">
        <v>0</v>
      </c>
      <c r="J141" s="421">
        <v>0</v>
      </c>
      <c r="K141" s="421">
        <v>0</v>
      </c>
      <c r="L141" s="421">
        <v>0</v>
      </c>
      <c r="M141" s="421">
        <v>9.5333435999999994E-2</v>
      </c>
      <c r="N141" s="421">
        <v>0</v>
      </c>
      <c r="O141" s="421">
        <v>0</v>
      </c>
      <c r="P141" s="421">
        <v>25.6753694925142</v>
      </c>
      <c r="Q141" s="421">
        <v>0</v>
      </c>
      <c r="R141" s="421">
        <v>0</v>
      </c>
      <c r="S141" s="429">
        <v>56.367490815951697</v>
      </c>
      <c r="T141" s="412"/>
    </row>
    <row r="142" spans="2:20" ht="13.5">
      <c r="B142" s="412"/>
      <c r="C142" s="428" t="s">
        <v>76</v>
      </c>
      <c r="D142" s="421">
        <v>0</v>
      </c>
      <c r="E142" s="421">
        <v>0</v>
      </c>
      <c r="F142" s="421">
        <v>0</v>
      </c>
      <c r="G142" s="421">
        <v>4.52694839554567</v>
      </c>
      <c r="H142" s="421">
        <v>0</v>
      </c>
      <c r="I142" s="421">
        <v>0</v>
      </c>
      <c r="J142" s="421">
        <v>0</v>
      </c>
      <c r="K142" s="421">
        <v>0</v>
      </c>
      <c r="L142" s="421">
        <v>0</v>
      </c>
      <c r="M142" s="421">
        <v>9.2386701949911706E-2</v>
      </c>
      <c r="N142" s="421">
        <v>0</v>
      </c>
      <c r="O142" s="421">
        <v>0</v>
      </c>
      <c r="P142" s="421">
        <v>46.885354346539003</v>
      </c>
      <c r="Q142" s="421">
        <v>3.1905146505824402</v>
      </c>
      <c r="R142" s="421">
        <v>0</v>
      </c>
      <c r="S142" s="429">
        <v>54.695204094616997</v>
      </c>
      <c r="T142" s="412"/>
    </row>
    <row r="143" spans="2:20" ht="13.5">
      <c r="B143" s="412"/>
      <c r="C143" s="424" t="s">
        <v>77</v>
      </c>
      <c r="D143" s="425">
        <v>23.7935378742384</v>
      </c>
      <c r="E143" s="425">
        <v>464.7986487</v>
      </c>
      <c r="F143" s="425">
        <v>-434.61231754149702</v>
      </c>
      <c r="G143" s="425">
        <v>68.177754603392003</v>
      </c>
      <c r="H143" s="425">
        <v>727.27272727272702</v>
      </c>
      <c r="I143" s="425">
        <v>285.08</v>
      </c>
      <c r="J143" s="425">
        <v>82.803770504191903</v>
      </c>
      <c r="K143" s="425">
        <v>18.2591451209037</v>
      </c>
      <c r="L143" s="425">
        <v>-41.6624557547647</v>
      </c>
      <c r="M143" s="425">
        <v>-6.3998957841012203</v>
      </c>
      <c r="N143" s="425">
        <v>0</v>
      </c>
      <c r="O143" s="425">
        <v>2.25411214784515</v>
      </c>
      <c r="P143" s="425">
        <v>-486.14621568764602</v>
      </c>
      <c r="Q143" s="425">
        <v>-37.982317268838599</v>
      </c>
      <c r="R143" s="425">
        <v>-4.46896793742021</v>
      </c>
      <c r="S143" s="425">
        <v>661.16752624903097</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3.2525348929878701</v>
      </c>
      <c r="E145" s="421">
        <v>0</v>
      </c>
      <c r="F145" s="421">
        <v>17.532199420942199</v>
      </c>
      <c r="G145" s="421">
        <v>101.536086736296</v>
      </c>
      <c r="H145" s="421">
        <v>0</v>
      </c>
      <c r="I145" s="421">
        <v>0</v>
      </c>
      <c r="J145" s="421">
        <v>17.243729128153799</v>
      </c>
      <c r="K145" s="421">
        <v>3.8122851216920202</v>
      </c>
      <c r="L145" s="421">
        <v>0.87021837890624998</v>
      </c>
      <c r="M145" s="421">
        <v>2.0721650354346099</v>
      </c>
      <c r="N145" s="421">
        <v>0</v>
      </c>
      <c r="O145" s="421">
        <v>0</v>
      </c>
      <c r="P145" s="421">
        <v>120.089551917563</v>
      </c>
      <c r="Q145" s="421">
        <v>19.4196670049601</v>
      </c>
      <c r="R145" s="421">
        <v>0.24405599975585901</v>
      </c>
      <c r="S145" s="429">
        <v>286.072493636692</v>
      </c>
      <c r="T145" s="412"/>
    </row>
    <row r="146" spans="2:20" ht="13.5">
      <c r="B146" s="412"/>
      <c r="C146" s="428" t="s">
        <v>79</v>
      </c>
      <c r="D146" s="421">
        <v>0</v>
      </c>
      <c r="E146" s="421">
        <v>0</v>
      </c>
      <c r="F146" s="421">
        <v>204.27744800701601</v>
      </c>
      <c r="G146" s="421">
        <v>35.056721936600702</v>
      </c>
      <c r="H146" s="421">
        <v>0</v>
      </c>
      <c r="I146" s="421">
        <v>0</v>
      </c>
      <c r="J146" s="421">
        <v>0</v>
      </c>
      <c r="K146" s="421">
        <v>0</v>
      </c>
      <c r="L146" s="421">
        <v>20.587238275227001</v>
      </c>
      <c r="M146" s="421">
        <v>0.71544330482858598</v>
      </c>
      <c r="N146" s="421">
        <v>0</v>
      </c>
      <c r="O146" s="421">
        <v>0</v>
      </c>
      <c r="P146" s="421">
        <v>74.338731935176895</v>
      </c>
      <c r="Q146" s="421">
        <v>0</v>
      </c>
      <c r="R146" s="421">
        <v>3.0427208487971602</v>
      </c>
      <c r="S146" s="429">
        <v>338.01830430764699</v>
      </c>
      <c r="T146" s="412"/>
    </row>
    <row r="147" spans="2:20" ht="13.5">
      <c r="B147" s="412"/>
      <c r="C147" s="428" t="s">
        <v>80</v>
      </c>
      <c r="D147" s="421">
        <v>0</v>
      </c>
      <c r="E147" s="421">
        <v>0</v>
      </c>
      <c r="F147" s="421">
        <v>5.0790798253364304</v>
      </c>
      <c r="G147" s="421">
        <v>103.36019560958501</v>
      </c>
      <c r="H147" s="421">
        <v>0</v>
      </c>
      <c r="I147" s="421">
        <v>0</v>
      </c>
      <c r="J147" s="421">
        <v>73.674863255740703</v>
      </c>
      <c r="K147" s="421">
        <v>0</v>
      </c>
      <c r="L147" s="421">
        <v>0</v>
      </c>
      <c r="M147" s="421">
        <v>2.1093917471343899</v>
      </c>
      <c r="N147" s="421">
        <v>62.925207692465797</v>
      </c>
      <c r="O147" s="421">
        <v>0.93798825098649496</v>
      </c>
      <c r="P147" s="421">
        <v>184.247095425738</v>
      </c>
      <c r="Q147" s="421">
        <v>14.961677987514401</v>
      </c>
      <c r="R147" s="421">
        <v>0</v>
      </c>
      <c r="S147" s="429">
        <v>447.29549979450098</v>
      </c>
      <c r="T147" s="412"/>
    </row>
    <row r="148" spans="2:20" ht="13.5">
      <c r="B148" s="412"/>
      <c r="C148" s="428" t="s">
        <v>81</v>
      </c>
      <c r="D148" s="421">
        <v>0</v>
      </c>
      <c r="E148" s="421">
        <v>0</v>
      </c>
      <c r="F148" s="421">
        <v>1.9431733632283299</v>
      </c>
      <c r="G148" s="421">
        <v>67.9041876215625</v>
      </c>
      <c r="H148" s="421">
        <v>0</v>
      </c>
      <c r="I148" s="421">
        <v>0</v>
      </c>
      <c r="J148" s="421">
        <v>3.20971056517973</v>
      </c>
      <c r="K148" s="421">
        <v>0</v>
      </c>
      <c r="L148" s="421">
        <v>0</v>
      </c>
      <c r="M148" s="421">
        <v>1.3857997473788299</v>
      </c>
      <c r="N148" s="421">
        <v>6.1991330221488896</v>
      </c>
      <c r="O148" s="421">
        <v>0.72170394145081995</v>
      </c>
      <c r="P148" s="421">
        <v>149.98195377916301</v>
      </c>
      <c r="Q148" s="421">
        <v>3.6009722763640601</v>
      </c>
      <c r="R148" s="421">
        <v>0</v>
      </c>
      <c r="S148" s="429">
        <v>234.94663431647601</v>
      </c>
      <c r="T148" s="412"/>
    </row>
    <row r="149" spans="2:20" ht="13.5">
      <c r="B149" s="412"/>
      <c r="C149" s="428" t="s">
        <v>82</v>
      </c>
      <c r="D149" s="421">
        <v>0</v>
      </c>
      <c r="E149" s="421">
        <v>0</v>
      </c>
      <c r="F149" s="421">
        <v>2.1543406684855499</v>
      </c>
      <c r="G149" s="421">
        <v>5.7377015169157897</v>
      </c>
      <c r="H149" s="421">
        <v>0</v>
      </c>
      <c r="I149" s="421">
        <v>0</v>
      </c>
      <c r="J149" s="421">
        <v>2.0881916312924198</v>
      </c>
      <c r="K149" s="421">
        <v>0</v>
      </c>
      <c r="L149" s="421">
        <v>19.243865605766601</v>
      </c>
      <c r="M149" s="421">
        <v>0.117095949324812</v>
      </c>
      <c r="N149" s="421">
        <v>0</v>
      </c>
      <c r="O149" s="421">
        <v>6.0519753794095202E-2</v>
      </c>
      <c r="P149" s="421">
        <v>7.3615435248684502</v>
      </c>
      <c r="Q149" s="421">
        <v>0</v>
      </c>
      <c r="R149" s="421">
        <v>0</v>
      </c>
      <c r="S149" s="429">
        <v>36.763258650447703</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2.4</v>
      </c>
      <c r="Q150" s="421">
        <v>0</v>
      </c>
      <c r="R150" s="421">
        <v>0</v>
      </c>
      <c r="S150" s="429">
        <v>2.4</v>
      </c>
      <c r="T150" s="412"/>
    </row>
    <row r="151" spans="2:20" ht="13.5">
      <c r="B151" s="412"/>
      <c r="C151" s="424" t="s">
        <v>83</v>
      </c>
      <c r="D151" s="425">
        <v>3.2525348929878701</v>
      </c>
      <c r="E151" s="425">
        <v>0</v>
      </c>
      <c r="F151" s="425">
        <v>230.98624128500899</v>
      </c>
      <c r="G151" s="425">
        <v>313.59489342095998</v>
      </c>
      <c r="H151" s="425">
        <v>0</v>
      </c>
      <c r="I151" s="425">
        <v>0</v>
      </c>
      <c r="J151" s="425">
        <v>96.2164945803667</v>
      </c>
      <c r="K151" s="425">
        <v>3.8122851216920202</v>
      </c>
      <c r="L151" s="425">
        <v>40.701322259899896</v>
      </c>
      <c r="M151" s="425">
        <v>6.3998957841012203</v>
      </c>
      <c r="N151" s="425">
        <v>69.124340714614704</v>
      </c>
      <c r="O151" s="425">
        <v>1.72021194623141</v>
      </c>
      <c r="P151" s="425">
        <v>538.41887658250903</v>
      </c>
      <c r="Q151" s="425">
        <v>37.982317268838599</v>
      </c>
      <c r="R151" s="425">
        <v>3.28677684855302</v>
      </c>
      <c r="S151" s="425">
        <v>1345.49619070576</v>
      </c>
      <c r="T151" s="412"/>
    </row>
    <row r="152" spans="2:20" ht="13.5">
      <c r="B152" s="412"/>
      <c r="C152" s="420" t="s">
        <v>84</v>
      </c>
      <c r="D152" s="421">
        <v>2.0917910156250001</v>
      </c>
      <c r="E152" s="421">
        <v>0</v>
      </c>
      <c r="F152" s="421">
        <v>139.14741749348801</v>
      </c>
      <c r="G152" s="421">
        <v>11.9244724968143</v>
      </c>
      <c r="H152" s="421">
        <v>0</v>
      </c>
      <c r="I152" s="421">
        <v>0</v>
      </c>
      <c r="J152" s="421">
        <v>0</v>
      </c>
      <c r="K152" s="421">
        <v>0</v>
      </c>
      <c r="L152" s="421">
        <v>0</v>
      </c>
      <c r="M152" s="421">
        <v>0</v>
      </c>
      <c r="N152" s="421">
        <v>0</v>
      </c>
      <c r="O152" s="421">
        <v>0</v>
      </c>
      <c r="P152" s="421">
        <v>0</v>
      </c>
      <c r="Q152" s="421">
        <v>0</v>
      </c>
      <c r="R152" s="421">
        <v>1.18219108886719</v>
      </c>
      <c r="S152" s="429">
        <v>154.345872094794</v>
      </c>
      <c r="T152" s="412"/>
    </row>
    <row r="153" spans="2:20" ht="13.5">
      <c r="B153" s="412"/>
      <c r="C153" s="424" t="s">
        <v>85</v>
      </c>
      <c r="D153" s="425">
        <v>5.3443259086128698</v>
      </c>
      <c r="E153" s="425">
        <v>0</v>
      </c>
      <c r="F153" s="425">
        <v>370.13365877849702</v>
      </c>
      <c r="G153" s="425">
        <v>325.519365917774</v>
      </c>
      <c r="H153" s="425">
        <v>0</v>
      </c>
      <c r="I153" s="425">
        <v>0</v>
      </c>
      <c r="J153" s="425">
        <v>96.2164945803667</v>
      </c>
      <c r="K153" s="425">
        <v>3.8122851216920202</v>
      </c>
      <c r="L153" s="425">
        <v>40.701322259899896</v>
      </c>
      <c r="M153" s="425">
        <v>6.3998957841012203</v>
      </c>
      <c r="N153" s="425">
        <v>69.124340714614704</v>
      </c>
      <c r="O153" s="425">
        <v>1.72021194623141</v>
      </c>
      <c r="P153" s="425">
        <v>538.41887658250903</v>
      </c>
      <c r="Q153" s="425">
        <v>37.982317268838599</v>
      </c>
      <c r="R153" s="425">
        <v>4.46896793742021</v>
      </c>
      <c r="S153" s="425">
        <v>1499.8420628005599</v>
      </c>
      <c r="T153" s="412"/>
    </row>
    <row r="154" spans="2:20">
      <c r="B154" s="412"/>
      <c r="C154" s="412"/>
      <c r="D154" s="430">
        <f t="shared" ref="D154:S154" si="3">D153+D143-D129</f>
        <v>-3.1974423109204508E-14</v>
      </c>
      <c r="E154" s="430">
        <f t="shared" si="3"/>
        <v>0</v>
      </c>
      <c r="F154" s="430">
        <f t="shared" si="3"/>
        <v>-2.9842794901924208E-13</v>
      </c>
      <c r="G154" s="430">
        <f t="shared" si="3"/>
        <v>0</v>
      </c>
      <c r="H154" s="430">
        <f t="shared" si="3"/>
        <v>0</v>
      </c>
      <c r="I154" s="430">
        <f t="shared" si="3"/>
        <v>0</v>
      </c>
      <c r="J154" s="430">
        <f t="shared" si="3"/>
        <v>-3.694822225952521E-13</v>
      </c>
      <c r="K154" s="430">
        <f t="shared" si="3"/>
        <v>0</v>
      </c>
      <c r="L154" s="430">
        <f t="shared" si="3"/>
        <v>3.5416114485542494E-14</v>
      </c>
      <c r="M154" s="430">
        <f t="shared" si="3"/>
        <v>0</v>
      </c>
      <c r="N154" s="430">
        <f t="shared" si="3"/>
        <v>0</v>
      </c>
      <c r="O154" s="430">
        <f t="shared" si="3"/>
        <v>0</v>
      </c>
      <c r="P154" s="430">
        <f t="shared" si="3"/>
        <v>-1.9184653865522705E-13</v>
      </c>
      <c r="Q154" s="430">
        <f t="shared" si="3"/>
        <v>0</v>
      </c>
      <c r="R154" s="430">
        <f t="shared" si="3"/>
        <v>0</v>
      </c>
      <c r="S154" s="430">
        <f t="shared" si="3"/>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sheetData>
  <mergeCells count="48">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123:O123">
    <cfRule type="expression" dxfId="9679" priority="201">
      <formula>LEN(TRIM(N123))=0</formula>
    </cfRule>
  </conditionalFormatting>
  <conditionalFormatting sqref="N123:O123">
    <cfRule type="cellIs" dxfId="9678" priority="200" operator="equal">
      <formula>0</formula>
    </cfRule>
  </conditionalFormatting>
  <conditionalFormatting sqref="N123:O123">
    <cfRule type="cellIs" dxfId="9677" priority="199" operator="equal">
      <formula>0</formula>
    </cfRule>
  </conditionalFormatting>
  <conditionalFormatting sqref="H123:K123">
    <cfRule type="expression" dxfId="9676" priority="198">
      <formula>LEN(TRIM(H123))=0</formula>
    </cfRule>
  </conditionalFormatting>
  <conditionalFormatting sqref="K123">
    <cfRule type="cellIs" dxfId="9675" priority="197" operator="equal">
      <formula>0</formula>
    </cfRule>
  </conditionalFormatting>
  <conditionalFormatting sqref="J123:K123">
    <cfRule type="cellIs" dxfId="9674" priority="196" operator="equal">
      <formula>0</formula>
    </cfRule>
  </conditionalFormatting>
  <conditionalFormatting sqref="I123">
    <cfRule type="cellIs" dxfId="9673" priority="195" operator="equal">
      <formula>0</formula>
    </cfRule>
  </conditionalFormatting>
  <conditionalFormatting sqref="H123">
    <cfRule type="cellIs" dxfId="9672" priority="194" operator="equal">
      <formula>0</formula>
    </cfRule>
  </conditionalFormatting>
  <conditionalFormatting sqref="D131:R142">
    <cfRule type="expression" dxfId="9671" priority="193">
      <formula>LEN(TRIM(D131))=0</formula>
    </cfRule>
  </conditionalFormatting>
  <conditionalFormatting sqref="D131:R142">
    <cfRule type="cellIs" dxfId="9670" priority="192" operator="equal">
      <formula>0</formula>
    </cfRule>
  </conditionalFormatting>
  <conditionalFormatting sqref="N127:O127">
    <cfRule type="cellIs" dxfId="9669" priority="191" operator="equal">
      <formula>0</formula>
    </cfRule>
  </conditionalFormatting>
  <conditionalFormatting sqref="N126:O126">
    <cfRule type="cellIs" dxfId="9668" priority="190" operator="equal">
      <formula>0</formula>
    </cfRule>
  </conditionalFormatting>
  <conditionalFormatting sqref="M126:M127">
    <cfRule type="cellIs" dxfId="9667" priority="189" operator="equal">
      <formula>0</formula>
    </cfRule>
  </conditionalFormatting>
  <conditionalFormatting sqref="L126:L127">
    <cfRule type="cellIs" dxfId="9666" priority="188" operator="equal">
      <formula>0</formula>
    </cfRule>
  </conditionalFormatting>
  <conditionalFormatting sqref="D152:R152">
    <cfRule type="cellIs" dxfId="9665" priority="187" operator="equal">
      <formula>0</formula>
    </cfRule>
  </conditionalFormatting>
  <conditionalFormatting sqref="D145:R153 D143:R143 D124:R129 D123:G123 L123:M123 P123:R123">
    <cfRule type="expression" dxfId="9664" priority="186">
      <formula>LEN(TRIM(D123))=0</formula>
    </cfRule>
  </conditionalFormatting>
  <conditionalFormatting sqref="D152:R152">
    <cfRule type="cellIs" dxfId="9663" priority="185" operator="equal">
      <formula>0</formula>
    </cfRule>
  </conditionalFormatting>
  <conditionalFormatting sqref="O124:O125">
    <cfRule type="cellIs" dxfId="9662" priority="184" operator="equal">
      <formula>0</formula>
    </cfRule>
  </conditionalFormatting>
  <conditionalFormatting sqref="O126:O128 O144">
    <cfRule type="cellIs" dxfId="9661" priority="183" operator="equal">
      <formula>0</formula>
    </cfRule>
  </conditionalFormatting>
  <conditionalFormatting sqref="N124:N125">
    <cfRule type="cellIs" dxfId="9660" priority="182" operator="equal">
      <formula>0</formula>
    </cfRule>
  </conditionalFormatting>
  <conditionalFormatting sqref="N126:N128 N144">
    <cfRule type="cellIs" dxfId="9659" priority="181" operator="equal">
      <formula>0</formula>
    </cfRule>
  </conditionalFormatting>
  <conditionalFormatting sqref="M123:M125">
    <cfRule type="cellIs" dxfId="9658" priority="180" operator="equal">
      <formula>0</formula>
    </cfRule>
  </conditionalFormatting>
  <conditionalFormatting sqref="M126:M128 M144">
    <cfRule type="cellIs" dxfId="9657" priority="179" operator="equal">
      <formula>0</formula>
    </cfRule>
  </conditionalFormatting>
  <conditionalFormatting sqref="L123:L125">
    <cfRule type="cellIs" dxfId="9656" priority="178" operator="equal">
      <formula>0</formula>
    </cfRule>
  </conditionalFormatting>
  <conditionalFormatting sqref="L126:L128 L144">
    <cfRule type="cellIs" dxfId="9655" priority="177" operator="equal">
      <formula>0</formula>
    </cfRule>
  </conditionalFormatting>
  <conditionalFormatting sqref="K124:K125">
    <cfRule type="cellIs" dxfId="9654" priority="176" operator="equal">
      <formula>0</formula>
    </cfRule>
  </conditionalFormatting>
  <conditionalFormatting sqref="K126:K128 K144">
    <cfRule type="cellIs" dxfId="9653" priority="175" operator="equal">
      <formula>0</formula>
    </cfRule>
  </conditionalFormatting>
  <conditionalFormatting sqref="J124:J125">
    <cfRule type="cellIs" dxfId="9652" priority="174" operator="equal">
      <formula>0</formula>
    </cfRule>
  </conditionalFormatting>
  <conditionalFormatting sqref="J126:J128 J144">
    <cfRule type="cellIs" dxfId="9651" priority="173" operator="equal">
      <formula>0</formula>
    </cfRule>
  </conditionalFormatting>
  <conditionalFormatting sqref="L123:M123">
    <cfRule type="cellIs" dxfId="9650" priority="172" operator="equal">
      <formula>0</formula>
    </cfRule>
  </conditionalFormatting>
  <conditionalFormatting sqref="F124:F125">
    <cfRule type="cellIs" dxfId="9649" priority="171" operator="equal">
      <formula>0</formula>
    </cfRule>
  </conditionalFormatting>
  <conditionalFormatting sqref="P123:R123 L123:M123 D124:R125">
    <cfRule type="cellIs" dxfId="9648" priority="170" operator="equal">
      <formula>0</formula>
    </cfRule>
  </conditionalFormatting>
  <conditionalFormatting sqref="P123:P125">
    <cfRule type="cellIs" dxfId="9647" priority="169" operator="equal">
      <formula>0</formula>
    </cfRule>
  </conditionalFormatting>
  <conditionalFormatting sqref="D153:R153 P144:R144 D144:I144 D145:R151 D143:R143 D124:R130 D123:G123 L123:M123 P123:R123">
    <cfRule type="cellIs" dxfId="9646" priority="168" operator="equal">
      <formula>0</formula>
    </cfRule>
  </conditionalFormatting>
  <conditionalFormatting sqref="N86:O86">
    <cfRule type="expression" dxfId="9645" priority="167">
      <formula>LEN(TRIM(N86))=0</formula>
    </cfRule>
  </conditionalFormatting>
  <conditionalFormatting sqref="N86:O86">
    <cfRule type="cellIs" dxfId="9644" priority="166" operator="equal">
      <formula>0</formula>
    </cfRule>
  </conditionalFormatting>
  <conditionalFormatting sqref="N86:O86">
    <cfRule type="cellIs" dxfId="9643" priority="165" operator="equal">
      <formula>0</formula>
    </cfRule>
  </conditionalFormatting>
  <conditionalFormatting sqref="H86:K86">
    <cfRule type="expression" dxfId="9642" priority="164">
      <formula>LEN(TRIM(H86))=0</formula>
    </cfRule>
  </conditionalFormatting>
  <conditionalFormatting sqref="K86">
    <cfRule type="cellIs" dxfId="9641" priority="163" operator="equal">
      <formula>0</formula>
    </cfRule>
  </conditionalFormatting>
  <conditionalFormatting sqref="J86:K86">
    <cfRule type="cellIs" dxfId="9640" priority="162" operator="equal">
      <formula>0</formula>
    </cfRule>
  </conditionalFormatting>
  <conditionalFormatting sqref="I86">
    <cfRule type="cellIs" dxfId="9639" priority="161" operator="equal">
      <formula>0</formula>
    </cfRule>
  </conditionalFormatting>
  <conditionalFormatting sqref="H86">
    <cfRule type="cellIs" dxfId="9638" priority="160" operator="equal">
      <formula>0</formula>
    </cfRule>
  </conditionalFormatting>
  <conditionalFormatting sqref="D94:R105">
    <cfRule type="expression" dxfId="9637" priority="159">
      <formula>LEN(TRIM(D94))=0</formula>
    </cfRule>
  </conditionalFormatting>
  <conditionalFormatting sqref="D94:R105">
    <cfRule type="cellIs" dxfId="9636" priority="158" operator="equal">
      <formula>0</formula>
    </cfRule>
  </conditionalFormatting>
  <conditionalFormatting sqref="N90:O90">
    <cfRule type="cellIs" dxfId="9635" priority="157" operator="equal">
      <formula>0</formula>
    </cfRule>
  </conditionalFormatting>
  <conditionalFormatting sqref="N89:O89">
    <cfRule type="cellIs" dxfId="9634" priority="156" operator="equal">
      <formula>0</formula>
    </cfRule>
  </conditionalFormatting>
  <conditionalFormatting sqref="M89:M90">
    <cfRule type="cellIs" dxfId="9633" priority="155" operator="equal">
      <formula>0</formula>
    </cfRule>
  </conditionalFormatting>
  <conditionalFormatting sqref="L89:L90">
    <cfRule type="cellIs" dxfId="9632" priority="154" operator="equal">
      <formula>0</formula>
    </cfRule>
  </conditionalFormatting>
  <conditionalFormatting sqref="D115:R115">
    <cfRule type="cellIs" dxfId="9631" priority="153" operator="equal">
      <formula>0</formula>
    </cfRule>
  </conditionalFormatting>
  <conditionalFormatting sqref="D108:R116 D106:R106 D87:R92 D86:G86 L86:M86 P86:R86">
    <cfRule type="expression" dxfId="9630" priority="152">
      <formula>LEN(TRIM(D86))=0</formula>
    </cfRule>
  </conditionalFormatting>
  <conditionalFormatting sqref="D115:R115">
    <cfRule type="cellIs" dxfId="9629" priority="151" operator="equal">
      <formula>0</formula>
    </cfRule>
  </conditionalFormatting>
  <conditionalFormatting sqref="O87:O88">
    <cfRule type="cellIs" dxfId="9628" priority="150" operator="equal">
      <formula>0</formula>
    </cfRule>
  </conditionalFormatting>
  <conditionalFormatting sqref="O89:O91 O107">
    <cfRule type="cellIs" dxfId="9627" priority="149" operator="equal">
      <formula>0</formula>
    </cfRule>
  </conditionalFormatting>
  <conditionalFormatting sqref="N87:N88">
    <cfRule type="cellIs" dxfId="9626" priority="148" operator="equal">
      <formula>0</formula>
    </cfRule>
  </conditionalFormatting>
  <conditionalFormatting sqref="N89:N91 N107">
    <cfRule type="cellIs" dxfId="9625" priority="147" operator="equal">
      <formula>0</formula>
    </cfRule>
  </conditionalFormatting>
  <conditionalFormatting sqref="M86:M88">
    <cfRule type="cellIs" dxfId="9624" priority="146" operator="equal">
      <formula>0</formula>
    </cfRule>
  </conditionalFormatting>
  <conditionalFormatting sqref="M89:M91 M107">
    <cfRule type="cellIs" dxfId="9623" priority="145" operator="equal">
      <formula>0</formula>
    </cfRule>
  </conditionalFormatting>
  <conditionalFormatting sqref="L86:L88">
    <cfRule type="cellIs" dxfId="9622" priority="144" operator="equal">
      <formula>0</formula>
    </cfRule>
  </conditionalFormatting>
  <conditionalFormatting sqref="L89:L91 L107">
    <cfRule type="cellIs" dxfId="9621" priority="143" operator="equal">
      <formula>0</formula>
    </cfRule>
  </conditionalFormatting>
  <conditionalFormatting sqref="K87:K88">
    <cfRule type="cellIs" dxfId="9620" priority="142" operator="equal">
      <formula>0</formula>
    </cfRule>
  </conditionalFormatting>
  <conditionalFormatting sqref="K89:K91 K107">
    <cfRule type="cellIs" dxfId="9619" priority="141" operator="equal">
      <formula>0</formula>
    </cfRule>
  </conditionalFormatting>
  <conditionalFormatting sqref="J87:J88">
    <cfRule type="cellIs" dxfId="9618" priority="140" operator="equal">
      <formula>0</formula>
    </cfRule>
  </conditionalFormatting>
  <conditionalFormatting sqref="J89:J91 J107">
    <cfRule type="cellIs" dxfId="9617" priority="139" operator="equal">
      <formula>0</formula>
    </cfRule>
  </conditionalFormatting>
  <conditionalFormatting sqref="L86:M86">
    <cfRule type="cellIs" dxfId="9616" priority="138" operator="equal">
      <formula>0</formula>
    </cfRule>
  </conditionalFormatting>
  <conditionalFormatting sqref="F87:F88">
    <cfRule type="cellIs" dxfId="9615" priority="137" operator="equal">
      <formula>0</formula>
    </cfRule>
  </conditionalFormatting>
  <conditionalFormatting sqref="P86:R86 L86:M86 D87:R88">
    <cfRule type="cellIs" dxfId="9614" priority="136" operator="equal">
      <formula>0</formula>
    </cfRule>
  </conditionalFormatting>
  <conditionalFormatting sqref="P86:P88">
    <cfRule type="cellIs" dxfId="9613" priority="135" operator="equal">
      <formula>0</formula>
    </cfRule>
  </conditionalFormatting>
  <conditionalFormatting sqref="D116:R116 P107:R107 D107:I107 D108:R114 D106:R106 D87:R93 D86:G86 L86:M86 P86:R86">
    <cfRule type="cellIs" dxfId="9612" priority="134" operator="equal">
      <formula>0</formula>
    </cfRule>
  </conditionalFormatting>
  <conditionalFormatting sqref="S108:S116 S86:S92 S94:S106">
    <cfRule type="expression" dxfId="9611" priority="133">
      <formula>LEN(TRIM(S86))=0</formula>
    </cfRule>
  </conditionalFormatting>
  <conditionalFormatting sqref="S115">
    <cfRule type="cellIs" dxfId="9610" priority="132" operator="equal">
      <formula>0</formula>
    </cfRule>
  </conditionalFormatting>
  <conditionalFormatting sqref="S116 S86:S114">
    <cfRule type="cellIs" dxfId="9609" priority="131" operator="equal">
      <formula>0</formula>
    </cfRule>
  </conditionalFormatting>
  <conditionalFormatting sqref="S131:S142">
    <cfRule type="expression" dxfId="9608" priority="130">
      <formula>LEN(TRIM(S131))=0</formula>
    </cfRule>
  </conditionalFormatting>
  <conditionalFormatting sqref="S131:S142">
    <cfRule type="cellIs" dxfId="9607" priority="129" operator="equal">
      <formula>0</formula>
    </cfRule>
  </conditionalFormatting>
  <conditionalFormatting sqref="S126:S127">
    <cfRule type="expression" dxfId="9606" priority="128">
      <formula>LEN(TRIM(S126))=0</formula>
    </cfRule>
  </conditionalFormatting>
  <conditionalFormatting sqref="S126:S127">
    <cfRule type="cellIs" dxfId="9605" priority="127" operator="equal">
      <formula>0</formula>
    </cfRule>
  </conditionalFormatting>
  <conditionalFormatting sqref="S145:S153 S123:S125 S128:S129">
    <cfRule type="expression" dxfId="9604" priority="126">
      <formula>LEN(TRIM(S123))=0</formula>
    </cfRule>
  </conditionalFormatting>
  <conditionalFormatting sqref="S152">
    <cfRule type="cellIs" dxfId="9603" priority="125" operator="equal">
      <formula>0</formula>
    </cfRule>
  </conditionalFormatting>
  <conditionalFormatting sqref="S153 S123:S125">
    <cfRule type="cellIs" dxfId="9602" priority="124" operator="equal">
      <formula>0</formula>
    </cfRule>
  </conditionalFormatting>
  <conditionalFormatting sqref="O122">
    <cfRule type="cellIs" dxfId="9601" priority="123" operator="equal">
      <formula>0</formula>
    </cfRule>
  </conditionalFormatting>
  <conditionalFormatting sqref="J122:N122">
    <cfRule type="cellIs" dxfId="9600" priority="122" operator="equal">
      <formula>0</formula>
    </cfRule>
  </conditionalFormatting>
  <conditionalFormatting sqref="O85">
    <cfRule type="cellIs" dxfId="9599" priority="121" operator="equal">
      <formula>0</formula>
    </cfRule>
  </conditionalFormatting>
  <conditionalFormatting sqref="J85:N85">
    <cfRule type="cellIs" dxfId="9598" priority="120" operator="equal">
      <formula>0</formula>
    </cfRule>
  </conditionalFormatting>
  <conditionalFormatting sqref="N49:O49">
    <cfRule type="expression" dxfId="9597" priority="119">
      <formula>LEN(TRIM(N49))=0</formula>
    </cfRule>
  </conditionalFormatting>
  <conditionalFormatting sqref="N49:O49">
    <cfRule type="cellIs" dxfId="9596" priority="118" operator="equal">
      <formula>0</formula>
    </cfRule>
  </conditionalFormatting>
  <conditionalFormatting sqref="N49:O49">
    <cfRule type="cellIs" dxfId="9595" priority="117" operator="equal">
      <formula>0</formula>
    </cfRule>
  </conditionalFormatting>
  <conditionalFormatting sqref="H49:K49">
    <cfRule type="expression" dxfId="9594" priority="116">
      <formula>LEN(TRIM(H49))=0</formula>
    </cfRule>
  </conditionalFormatting>
  <conditionalFormatting sqref="K49">
    <cfRule type="cellIs" dxfId="9593" priority="115" operator="equal">
      <formula>0</formula>
    </cfRule>
  </conditionalFormatting>
  <conditionalFormatting sqref="J49:K49">
    <cfRule type="cellIs" dxfId="9592" priority="114" operator="equal">
      <formula>0</formula>
    </cfRule>
  </conditionalFormatting>
  <conditionalFormatting sqref="I49">
    <cfRule type="cellIs" dxfId="9591" priority="113" operator="equal">
      <formula>0</formula>
    </cfRule>
  </conditionalFormatting>
  <conditionalFormatting sqref="H49">
    <cfRule type="cellIs" dxfId="9590" priority="112" operator="equal">
      <formula>0</formula>
    </cfRule>
  </conditionalFormatting>
  <conditionalFormatting sqref="D57:R68">
    <cfRule type="expression" dxfId="9589" priority="111">
      <formula>LEN(TRIM(D57))=0</formula>
    </cfRule>
  </conditionalFormatting>
  <conditionalFormatting sqref="D57:R68">
    <cfRule type="cellIs" dxfId="9588" priority="110" operator="equal">
      <formula>0</formula>
    </cfRule>
  </conditionalFormatting>
  <conditionalFormatting sqref="N53:O53">
    <cfRule type="cellIs" dxfId="9587" priority="109" operator="equal">
      <formula>0</formula>
    </cfRule>
  </conditionalFormatting>
  <conditionalFormatting sqref="N52:O52">
    <cfRule type="cellIs" dxfId="9586" priority="108" operator="equal">
      <formula>0</formula>
    </cfRule>
  </conditionalFormatting>
  <conditionalFormatting sqref="M52:M53">
    <cfRule type="cellIs" dxfId="9585" priority="107" operator="equal">
      <formula>0</formula>
    </cfRule>
  </conditionalFormatting>
  <conditionalFormatting sqref="L52:L53">
    <cfRule type="cellIs" dxfId="9584" priority="106" operator="equal">
      <formula>0</formula>
    </cfRule>
  </conditionalFormatting>
  <conditionalFormatting sqref="D78:R78">
    <cfRule type="cellIs" dxfId="9583" priority="105" operator="equal">
      <formula>0</formula>
    </cfRule>
  </conditionalFormatting>
  <conditionalFormatting sqref="D71:R79 D69:R69 D50:R55 D49:G49 L49:M49 P49:R49">
    <cfRule type="expression" dxfId="9582" priority="104">
      <formula>LEN(TRIM(D49))=0</formula>
    </cfRule>
  </conditionalFormatting>
  <conditionalFormatting sqref="D78:R78">
    <cfRule type="cellIs" dxfId="9581" priority="103" operator="equal">
      <formula>0</formula>
    </cfRule>
  </conditionalFormatting>
  <conditionalFormatting sqref="O50:O51">
    <cfRule type="cellIs" dxfId="9580" priority="102" operator="equal">
      <formula>0</formula>
    </cfRule>
  </conditionalFormatting>
  <conditionalFormatting sqref="O52:O54 O70">
    <cfRule type="cellIs" dxfId="9579" priority="101" operator="equal">
      <formula>0</formula>
    </cfRule>
  </conditionalFormatting>
  <conditionalFormatting sqref="N50:N51">
    <cfRule type="cellIs" dxfId="9578" priority="100" operator="equal">
      <formula>0</formula>
    </cfRule>
  </conditionalFormatting>
  <conditionalFormatting sqref="N52:N54 N70">
    <cfRule type="cellIs" dxfId="9577" priority="99" operator="equal">
      <formula>0</formula>
    </cfRule>
  </conditionalFormatting>
  <conditionalFormatting sqref="M49:M51">
    <cfRule type="cellIs" dxfId="9576" priority="98" operator="equal">
      <formula>0</formula>
    </cfRule>
  </conditionalFormatting>
  <conditionalFormatting sqref="M52:M54 M70">
    <cfRule type="cellIs" dxfId="9575" priority="97" operator="equal">
      <formula>0</formula>
    </cfRule>
  </conditionalFormatting>
  <conditionalFormatting sqref="L49:L51">
    <cfRule type="cellIs" dxfId="9574" priority="96" operator="equal">
      <formula>0</formula>
    </cfRule>
  </conditionalFormatting>
  <conditionalFormatting sqref="L52:L54 L70">
    <cfRule type="cellIs" dxfId="9573" priority="95" operator="equal">
      <formula>0</formula>
    </cfRule>
  </conditionalFormatting>
  <conditionalFormatting sqref="K50:K51">
    <cfRule type="cellIs" dxfId="9572" priority="94" operator="equal">
      <formula>0</formula>
    </cfRule>
  </conditionalFormatting>
  <conditionalFormatting sqref="K52:K54 K70">
    <cfRule type="cellIs" dxfId="9571" priority="93" operator="equal">
      <formula>0</formula>
    </cfRule>
  </conditionalFormatting>
  <conditionalFormatting sqref="J50:J51">
    <cfRule type="cellIs" dxfId="9570" priority="92" operator="equal">
      <formula>0</formula>
    </cfRule>
  </conditionalFormatting>
  <conditionalFormatting sqref="J52:J54 J70">
    <cfRule type="cellIs" dxfId="9569" priority="91" operator="equal">
      <formula>0</formula>
    </cfRule>
  </conditionalFormatting>
  <conditionalFormatting sqref="L49:M49">
    <cfRule type="cellIs" dxfId="9568" priority="90" operator="equal">
      <formula>0</formula>
    </cfRule>
  </conditionalFormatting>
  <conditionalFormatting sqref="F50:F51">
    <cfRule type="cellIs" dxfId="9567" priority="89" operator="equal">
      <formula>0</formula>
    </cfRule>
  </conditionalFormatting>
  <conditionalFormatting sqref="P49:R49 L49:M49 D50:R51">
    <cfRule type="cellIs" dxfId="9566" priority="88" operator="equal">
      <formula>0</formula>
    </cfRule>
  </conditionalFormatting>
  <conditionalFormatting sqref="P49:P51">
    <cfRule type="cellIs" dxfId="9565" priority="87" operator="equal">
      <formula>0</formula>
    </cfRule>
  </conditionalFormatting>
  <conditionalFormatting sqref="D79:R79 P70:R70 D70:I70 D71:R77 D69:R69 D50:R56 D49:G49 L49:M49 P49:R49">
    <cfRule type="cellIs" dxfId="9564" priority="86" operator="equal">
      <formula>0</formula>
    </cfRule>
  </conditionalFormatting>
  <conditionalFormatting sqref="N12:O12">
    <cfRule type="expression" dxfId="9563" priority="85">
      <formula>LEN(TRIM(N12))=0</formula>
    </cfRule>
  </conditionalFormatting>
  <conditionalFormatting sqref="N12:O12">
    <cfRule type="cellIs" dxfId="9562" priority="84" operator="equal">
      <formula>0</formula>
    </cfRule>
  </conditionalFormatting>
  <conditionalFormatting sqref="N12:O12">
    <cfRule type="cellIs" dxfId="9561" priority="83" operator="equal">
      <formula>0</formula>
    </cfRule>
  </conditionalFormatting>
  <conditionalFormatting sqref="H12:K12">
    <cfRule type="expression" dxfId="9560" priority="82">
      <formula>LEN(TRIM(H12))=0</formula>
    </cfRule>
  </conditionalFormatting>
  <conditionalFormatting sqref="K12">
    <cfRule type="cellIs" dxfId="9559" priority="81" operator="equal">
      <formula>0</formula>
    </cfRule>
  </conditionalFormatting>
  <conditionalFormatting sqref="J12:K12">
    <cfRule type="cellIs" dxfId="9558" priority="80" operator="equal">
      <formula>0</formula>
    </cfRule>
  </conditionalFormatting>
  <conditionalFormatting sqref="I12">
    <cfRule type="cellIs" dxfId="9557" priority="79" operator="equal">
      <formula>0</formula>
    </cfRule>
  </conditionalFormatting>
  <conditionalFormatting sqref="H12">
    <cfRule type="cellIs" dxfId="9556" priority="78" operator="equal">
      <formula>0</formula>
    </cfRule>
  </conditionalFormatting>
  <conditionalFormatting sqref="D20:R31">
    <cfRule type="expression" dxfId="9555" priority="77">
      <formula>LEN(TRIM(D20))=0</formula>
    </cfRule>
  </conditionalFormatting>
  <conditionalFormatting sqref="D20:R31">
    <cfRule type="cellIs" dxfId="9554" priority="76" operator="equal">
      <formula>0</formula>
    </cfRule>
  </conditionalFormatting>
  <conditionalFormatting sqref="N16:O16">
    <cfRule type="cellIs" dxfId="9553" priority="75" operator="equal">
      <formula>0</formula>
    </cfRule>
  </conditionalFormatting>
  <conditionalFormatting sqref="N15:O15">
    <cfRule type="cellIs" dxfId="9552" priority="74" operator="equal">
      <formula>0</formula>
    </cfRule>
  </conditionalFormatting>
  <conditionalFormatting sqref="M15:M16">
    <cfRule type="cellIs" dxfId="9551" priority="73" operator="equal">
      <formula>0</formula>
    </cfRule>
  </conditionalFormatting>
  <conditionalFormatting sqref="L15:L16">
    <cfRule type="cellIs" dxfId="9550" priority="72" operator="equal">
      <formula>0</formula>
    </cfRule>
  </conditionalFormatting>
  <conditionalFormatting sqref="D41:R41">
    <cfRule type="cellIs" dxfId="9549" priority="71" operator="equal">
      <formula>0</formula>
    </cfRule>
  </conditionalFormatting>
  <conditionalFormatting sqref="D34:R42 D32:R32 D13:R18 D12:G12 L12:M12 P12:R12">
    <cfRule type="expression" dxfId="9548" priority="70">
      <formula>LEN(TRIM(D12))=0</formula>
    </cfRule>
  </conditionalFormatting>
  <conditionalFormatting sqref="D41:R41">
    <cfRule type="cellIs" dxfId="9547" priority="69" operator="equal">
      <formula>0</formula>
    </cfRule>
  </conditionalFormatting>
  <conditionalFormatting sqref="O13:O14">
    <cfRule type="cellIs" dxfId="9546" priority="68" operator="equal">
      <formula>0</formula>
    </cfRule>
  </conditionalFormatting>
  <conditionalFormatting sqref="O15:O17 O33">
    <cfRule type="cellIs" dxfId="9545" priority="67" operator="equal">
      <formula>0</formula>
    </cfRule>
  </conditionalFormatting>
  <conditionalFormatting sqref="N13:N14">
    <cfRule type="cellIs" dxfId="9544" priority="66" operator="equal">
      <formula>0</formula>
    </cfRule>
  </conditionalFormatting>
  <conditionalFormatting sqref="N15:N17 N33">
    <cfRule type="cellIs" dxfId="9543" priority="65" operator="equal">
      <formula>0</formula>
    </cfRule>
  </conditionalFormatting>
  <conditionalFormatting sqref="M12:M14">
    <cfRule type="cellIs" dxfId="9542" priority="64" operator="equal">
      <formula>0</formula>
    </cfRule>
  </conditionalFormatting>
  <conditionalFormatting sqref="M15:M17 M33">
    <cfRule type="cellIs" dxfId="9541" priority="63" operator="equal">
      <formula>0</formula>
    </cfRule>
  </conditionalFormatting>
  <conditionalFormatting sqref="L12:L14">
    <cfRule type="cellIs" dxfId="9540" priority="62" operator="equal">
      <formula>0</formula>
    </cfRule>
  </conditionalFormatting>
  <conditionalFormatting sqref="L15:L17 L33">
    <cfRule type="cellIs" dxfId="9539" priority="61" operator="equal">
      <formula>0</formula>
    </cfRule>
  </conditionalFormatting>
  <conditionalFormatting sqref="K13:K14">
    <cfRule type="cellIs" dxfId="9538" priority="60" operator="equal">
      <formula>0</formula>
    </cfRule>
  </conditionalFormatting>
  <conditionalFormatting sqref="K15:K17 K33">
    <cfRule type="cellIs" dxfId="9537" priority="59" operator="equal">
      <formula>0</formula>
    </cfRule>
  </conditionalFormatting>
  <conditionalFormatting sqref="J13:J14">
    <cfRule type="cellIs" dxfId="9536" priority="58" operator="equal">
      <formula>0</formula>
    </cfRule>
  </conditionalFormatting>
  <conditionalFormatting sqref="J15:J17 J33">
    <cfRule type="cellIs" dxfId="9535" priority="57" operator="equal">
      <formula>0</formula>
    </cfRule>
  </conditionalFormatting>
  <conditionalFormatting sqref="L12:M12">
    <cfRule type="cellIs" dxfId="9534" priority="56" operator="equal">
      <formula>0</formula>
    </cfRule>
  </conditionalFormatting>
  <conditionalFormatting sqref="F13:F14">
    <cfRule type="cellIs" dxfId="9533" priority="55" operator="equal">
      <formula>0</formula>
    </cfRule>
  </conditionalFormatting>
  <conditionalFormatting sqref="P12:R12 L12:M12 D13:R14">
    <cfRule type="cellIs" dxfId="9532" priority="54" operator="equal">
      <formula>0</formula>
    </cfRule>
  </conditionalFormatting>
  <conditionalFormatting sqref="P12:P14">
    <cfRule type="cellIs" dxfId="9531" priority="53" operator="equal">
      <formula>0</formula>
    </cfRule>
  </conditionalFormatting>
  <conditionalFormatting sqref="D42:R42 P33:R33 D33:I33 D34:R40 D32:R32 D13:R19 D12:G12 L12:M12 P12:R12">
    <cfRule type="cellIs" dxfId="9530" priority="52" operator="equal">
      <formula>0</formula>
    </cfRule>
  </conditionalFormatting>
  <conditionalFormatting sqref="S71:S79 S49:S55 S57:S69">
    <cfRule type="expression" dxfId="9529" priority="17">
      <formula>LEN(TRIM(S49))=0</formula>
    </cfRule>
  </conditionalFormatting>
  <conditionalFormatting sqref="S78">
    <cfRule type="cellIs" dxfId="9528" priority="16" operator="equal">
      <formula>0</formula>
    </cfRule>
  </conditionalFormatting>
  <conditionalFormatting sqref="S79 S49:S77">
    <cfRule type="cellIs" dxfId="9527" priority="15" operator="equal">
      <formula>0</formula>
    </cfRule>
  </conditionalFormatting>
  <conditionalFormatting sqref="S34:S42 S12:S18 S20:S32">
    <cfRule type="expression" dxfId="9526" priority="14">
      <formula>LEN(TRIM(S12))=0</formula>
    </cfRule>
  </conditionalFormatting>
  <conditionalFormatting sqref="S41">
    <cfRule type="cellIs" dxfId="9525" priority="13" operator="equal">
      <formula>0</formula>
    </cfRule>
  </conditionalFormatting>
  <conditionalFormatting sqref="S42 S12:S40">
    <cfRule type="cellIs" dxfId="9524" priority="12" operator="equal">
      <formula>0</formula>
    </cfRule>
  </conditionalFormatting>
  <conditionalFormatting sqref="O48">
    <cfRule type="cellIs" dxfId="9523" priority="8" operator="equal">
      <formula>0</formula>
    </cfRule>
  </conditionalFormatting>
  <conditionalFormatting sqref="J48:N48">
    <cfRule type="cellIs" dxfId="9522" priority="7" operator="equal">
      <formula>0</formula>
    </cfRule>
  </conditionalFormatting>
  <conditionalFormatting sqref="O11">
    <cfRule type="cellIs" dxfId="9521" priority="6" operator="equal">
      <formula>0</formula>
    </cfRule>
  </conditionalFormatting>
  <conditionalFormatting sqref="J11:N11">
    <cfRule type="cellIs" dxfId="9520" priority="5" operator="equal">
      <formula>0</formula>
    </cfRule>
  </conditionalFormatting>
  <conditionalFormatting sqref="S143">
    <cfRule type="expression" dxfId="9519" priority="2">
      <formula>LEN(TRIM(S143))=0</formula>
    </cfRule>
  </conditionalFormatting>
  <conditionalFormatting sqref="S128:S130 S143:S151">
    <cfRule type="cellIs" dxfId="9518"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6D84B-2F4E-4BAB-A237-783DD535E79E}">
  <dimension ref="B2:T118"/>
  <sheetViews>
    <sheetView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363</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0</v>
      </c>
      <c r="F12" s="421">
        <v>0</v>
      </c>
      <c r="G12" s="421">
        <v>0</v>
      </c>
      <c r="H12" s="422">
        <v>959.09090909090901</v>
      </c>
      <c r="I12" s="422">
        <v>262.58</v>
      </c>
      <c r="J12" s="422">
        <v>180.265617568263</v>
      </c>
      <c r="K12" s="422">
        <v>23.099472372796701</v>
      </c>
      <c r="L12" s="421">
        <v>0</v>
      </c>
      <c r="M12" s="421">
        <v>0</v>
      </c>
      <c r="N12" s="422">
        <v>59.577309191786703</v>
      </c>
      <c r="O12" s="422">
        <v>4.0524132365006302</v>
      </c>
      <c r="P12" s="421">
        <v>0</v>
      </c>
      <c r="Q12" s="421">
        <v>0</v>
      </c>
      <c r="R12" s="421">
        <v>0</v>
      </c>
      <c r="S12" s="423">
        <v>1488.6657214602601</v>
      </c>
      <c r="T12" s="412"/>
    </row>
    <row r="13" spans="2:20" ht="13.5">
      <c r="B13" s="412"/>
      <c r="C13" s="420" t="s">
        <v>60</v>
      </c>
      <c r="D13" s="421">
        <v>32.718430513686002</v>
      </c>
      <c r="E13" s="421">
        <v>504.19228646673599</v>
      </c>
      <c r="F13" s="421">
        <v>58.276607316060698</v>
      </c>
      <c r="G13" s="421">
        <v>375.54945868825399</v>
      </c>
      <c r="H13" s="421">
        <v>0</v>
      </c>
      <c r="I13" s="421">
        <v>0</v>
      </c>
      <c r="J13" s="421">
        <v>0</v>
      </c>
      <c r="K13" s="421">
        <v>0</v>
      </c>
      <c r="L13" s="421">
        <v>0</v>
      </c>
      <c r="M13" s="421">
        <v>0</v>
      </c>
      <c r="N13" s="421">
        <v>0</v>
      </c>
      <c r="O13" s="421">
        <v>0</v>
      </c>
      <c r="P13" s="421">
        <v>0</v>
      </c>
      <c r="Q13" s="421">
        <v>0</v>
      </c>
      <c r="R13" s="421">
        <v>0</v>
      </c>
      <c r="S13" s="423">
        <v>970.73678298473703</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-31.629492690064499</v>
      </c>
      <c r="Q14" s="421">
        <v>0</v>
      </c>
      <c r="R14" s="421">
        <v>0</v>
      </c>
      <c r="S14" s="423">
        <v>-31.629492690064499</v>
      </c>
      <c r="T14" s="412"/>
    </row>
    <row r="15" spans="2:20" ht="13.5">
      <c r="B15" s="412"/>
      <c r="C15" s="420" t="s">
        <v>62</v>
      </c>
      <c r="D15" s="421">
        <v>0</v>
      </c>
      <c r="E15" s="421">
        <v>0</v>
      </c>
      <c r="F15" s="421">
        <v>-15.8559052566209</v>
      </c>
      <c r="G15" s="421">
        <v>0</v>
      </c>
      <c r="H15" s="421">
        <v>0</v>
      </c>
      <c r="I15" s="421">
        <v>0</v>
      </c>
      <c r="J15" s="421">
        <v>0</v>
      </c>
      <c r="K15" s="421">
        <v>0</v>
      </c>
      <c r="L15" s="421">
        <v>0</v>
      </c>
      <c r="M15" s="421">
        <v>0</v>
      </c>
      <c r="N15" s="421">
        <v>0</v>
      </c>
      <c r="O15" s="421">
        <v>0</v>
      </c>
      <c r="P15" s="421">
        <v>0</v>
      </c>
      <c r="Q15" s="421">
        <v>0</v>
      </c>
      <c r="R15" s="421">
        <v>0</v>
      </c>
      <c r="S15" s="423">
        <v>-15.8559052566209</v>
      </c>
      <c r="T15" s="412"/>
    </row>
    <row r="16" spans="2:20" ht="13.5">
      <c r="B16" s="412"/>
      <c r="C16" s="420" t="s">
        <v>63</v>
      </c>
      <c r="D16" s="421">
        <v>0</v>
      </c>
      <c r="E16" s="421">
        <v>0</v>
      </c>
      <c r="F16" s="421">
        <v>-86.773262368245497</v>
      </c>
      <c r="G16" s="421">
        <v>0</v>
      </c>
      <c r="H16" s="421">
        <v>0</v>
      </c>
      <c r="I16" s="421">
        <v>0</v>
      </c>
      <c r="J16" s="421">
        <v>0</v>
      </c>
      <c r="K16" s="421">
        <v>0</v>
      </c>
      <c r="L16" s="421">
        <v>-0.89665432830126901</v>
      </c>
      <c r="M16" s="421">
        <v>0</v>
      </c>
      <c r="N16" s="421">
        <v>0</v>
      </c>
      <c r="O16" s="421">
        <v>0</v>
      </c>
      <c r="P16" s="421">
        <v>0</v>
      </c>
      <c r="Q16" s="421">
        <v>0</v>
      </c>
      <c r="R16" s="421">
        <v>0</v>
      </c>
      <c r="S16" s="423">
        <v>-87.669916696546807</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32.718430513686002</v>
      </c>
      <c r="E18" s="425">
        <v>504.19228646673599</v>
      </c>
      <c r="F18" s="425">
        <v>-44.3525603088057</v>
      </c>
      <c r="G18" s="425">
        <v>375.54945868825399</v>
      </c>
      <c r="H18" s="425">
        <v>959.09090909090901</v>
      </c>
      <c r="I18" s="425">
        <v>262.58</v>
      </c>
      <c r="J18" s="425">
        <v>180.265617568263</v>
      </c>
      <c r="K18" s="425">
        <v>23.099472372796701</v>
      </c>
      <c r="L18" s="425">
        <v>-0.89665432830126901</v>
      </c>
      <c r="M18" s="425">
        <v>0</v>
      </c>
      <c r="N18" s="425">
        <v>59.577309191786703</v>
      </c>
      <c r="O18" s="425">
        <v>4.0524132365006302</v>
      </c>
      <c r="P18" s="425">
        <v>-31.629492690064499</v>
      </c>
      <c r="Q18" s="425">
        <v>0</v>
      </c>
      <c r="R18" s="425">
        <v>0</v>
      </c>
      <c r="S18" s="425">
        <v>2324.2471898017602</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17.735248612195999</v>
      </c>
      <c r="H21" s="421">
        <v>959.09090909090901</v>
      </c>
      <c r="I21" s="421">
        <v>262.58</v>
      </c>
      <c r="J21" s="421">
        <v>23.4611328004797</v>
      </c>
      <c r="K21" s="421">
        <v>6.2174163871509203</v>
      </c>
      <c r="L21" s="421">
        <v>0</v>
      </c>
      <c r="M21" s="421">
        <v>0.36194384922848999</v>
      </c>
      <c r="N21" s="421">
        <v>0</v>
      </c>
      <c r="O21" s="421">
        <v>0</v>
      </c>
      <c r="P21" s="421">
        <v>-601.88588566531905</v>
      </c>
      <c r="Q21" s="421">
        <v>0</v>
      </c>
      <c r="R21" s="421">
        <v>0</v>
      </c>
      <c r="S21" s="429">
        <v>673.62487217384796</v>
      </c>
      <c r="T21" s="412"/>
    </row>
    <row r="22" spans="2:20" ht="13.5">
      <c r="B22" s="412"/>
      <c r="C22" s="428" t="s">
        <v>351</v>
      </c>
      <c r="D22" s="421">
        <v>0</v>
      </c>
      <c r="E22" s="421">
        <v>0</v>
      </c>
      <c r="F22" s="421">
        <v>0</v>
      </c>
      <c r="G22" s="421">
        <v>17.183924372650001</v>
      </c>
      <c r="H22" s="421">
        <v>0</v>
      </c>
      <c r="I22" s="421">
        <v>0</v>
      </c>
      <c r="J22" s="421">
        <v>12.602550905863099</v>
      </c>
      <c r="K22" s="421">
        <v>12.7146561007388</v>
      </c>
      <c r="L22" s="421">
        <v>0</v>
      </c>
      <c r="M22" s="421">
        <v>0.35069233413571399</v>
      </c>
      <c r="N22" s="421">
        <v>0</v>
      </c>
      <c r="O22" s="421">
        <v>2.2448826639763899</v>
      </c>
      <c r="P22" s="421">
        <v>0</v>
      </c>
      <c r="Q22" s="421">
        <v>-41.019007188274998</v>
      </c>
      <c r="R22" s="421">
        <v>0</v>
      </c>
      <c r="S22" s="429">
        <v>4.0776991890889702</v>
      </c>
      <c r="T22" s="412"/>
    </row>
    <row r="23" spans="2:20" ht="13.5">
      <c r="B23" s="412"/>
      <c r="C23" s="428" t="s">
        <v>352</v>
      </c>
      <c r="D23" s="421">
        <v>0</v>
      </c>
      <c r="E23" s="421">
        <v>0</v>
      </c>
      <c r="F23" s="421">
        <v>0</v>
      </c>
      <c r="G23" s="421">
        <v>0</v>
      </c>
      <c r="H23" s="421">
        <v>0</v>
      </c>
      <c r="I23" s="421">
        <v>0</v>
      </c>
      <c r="J23" s="421">
        <v>8.1259394649786305</v>
      </c>
      <c r="K23" s="421">
        <v>0</v>
      </c>
      <c r="L23" s="421">
        <v>0</v>
      </c>
      <c r="M23" s="421">
        <v>-7.4149197617929996</v>
      </c>
      <c r="N23" s="421">
        <v>0</v>
      </c>
      <c r="O23" s="421">
        <v>0</v>
      </c>
      <c r="P23" s="421">
        <v>0</v>
      </c>
      <c r="Q23" s="421">
        <v>0</v>
      </c>
      <c r="R23" s="421">
        <v>0</v>
      </c>
      <c r="S23" s="429">
        <v>0.71101970318563101</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522.289621864335</v>
      </c>
      <c r="F25" s="421">
        <v>-517.06672564569203</v>
      </c>
      <c r="G25" s="421">
        <v>0</v>
      </c>
      <c r="H25" s="421">
        <v>0</v>
      </c>
      <c r="I25" s="421">
        <v>0</v>
      </c>
      <c r="J25" s="421">
        <v>0</v>
      </c>
      <c r="K25" s="421">
        <v>0</v>
      </c>
      <c r="L25" s="421">
        <v>0</v>
      </c>
      <c r="M25" s="421">
        <v>0</v>
      </c>
      <c r="N25" s="421">
        <v>0</v>
      </c>
      <c r="O25" s="421">
        <v>0</v>
      </c>
      <c r="P25" s="421">
        <v>0</v>
      </c>
      <c r="Q25" s="421">
        <v>0</v>
      </c>
      <c r="R25" s="421">
        <v>0</v>
      </c>
      <c r="S25" s="429">
        <v>5.2228962186433101</v>
      </c>
      <c r="T25" s="412"/>
    </row>
    <row r="26" spans="2:20" ht="13.5">
      <c r="B26" s="412"/>
      <c r="C26" s="428" t="s">
        <v>354</v>
      </c>
      <c r="D26" s="421">
        <v>0</v>
      </c>
      <c r="E26" s="421">
        <v>0</v>
      </c>
      <c r="F26" s="421">
        <v>0</v>
      </c>
      <c r="G26" s="421">
        <v>0</v>
      </c>
      <c r="H26" s="421">
        <v>0</v>
      </c>
      <c r="I26" s="421">
        <v>0</v>
      </c>
      <c r="J26" s="421">
        <v>39.636150809514099</v>
      </c>
      <c r="K26" s="421">
        <v>0</v>
      </c>
      <c r="L26" s="421">
        <v>-39.636150809514099</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-0.18158952535457601</v>
      </c>
      <c r="M27" s="421">
        <v>0</v>
      </c>
      <c r="N27" s="421">
        <v>0</v>
      </c>
      <c r="O27" s="421">
        <v>0</v>
      </c>
      <c r="P27" s="421">
        <v>0</v>
      </c>
      <c r="Q27" s="421">
        <v>0</v>
      </c>
      <c r="R27" s="421">
        <v>0.25941360764939397</v>
      </c>
      <c r="S27" s="429">
        <v>7.7824082294818103E-2</v>
      </c>
      <c r="T27" s="412"/>
    </row>
    <row r="28" spans="2:20" ht="13.5">
      <c r="B28" s="412"/>
      <c r="C28" s="428" t="s">
        <v>73</v>
      </c>
      <c r="D28" s="421">
        <v>0</v>
      </c>
      <c r="E28" s="421">
        <v>0</v>
      </c>
      <c r="F28" s="421">
        <v>0</v>
      </c>
      <c r="G28" s="421">
        <v>3.8743456372163201</v>
      </c>
      <c r="H28" s="421">
        <v>0</v>
      </c>
      <c r="I28" s="421">
        <v>0</v>
      </c>
      <c r="J28" s="421">
        <v>0</v>
      </c>
      <c r="K28" s="421">
        <v>4.4420381073335499E-2</v>
      </c>
      <c r="L28" s="421">
        <v>0</v>
      </c>
      <c r="M28" s="421">
        <v>7.9068278310537199E-2</v>
      </c>
      <c r="N28" s="421">
        <v>0</v>
      </c>
      <c r="O28" s="421">
        <v>0</v>
      </c>
      <c r="P28" s="421">
        <v>0.45393090147934101</v>
      </c>
      <c r="Q28" s="421">
        <v>0</v>
      </c>
      <c r="R28" s="421">
        <v>-3.10942667513349</v>
      </c>
      <c r="S28" s="429">
        <v>1.3423385229460501</v>
      </c>
      <c r="T28" s="412"/>
    </row>
    <row r="29" spans="2:20" ht="13.5">
      <c r="B29" s="412"/>
      <c r="C29" s="428" t="s">
        <v>356</v>
      </c>
      <c r="D29" s="421">
        <v>13.757025878906299</v>
      </c>
      <c r="E29" s="421">
        <v>-18.097335397599199</v>
      </c>
      <c r="F29" s="421">
        <v>23.670245777269098</v>
      </c>
      <c r="G29" s="421">
        <v>0</v>
      </c>
      <c r="H29" s="421">
        <v>0</v>
      </c>
      <c r="I29" s="421">
        <v>0</v>
      </c>
      <c r="J29" s="421">
        <v>0</v>
      </c>
      <c r="K29" s="421">
        <v>0</v>
      </c>
      <c r="L29" s="421">
        <v>0</v>
      </c>
      <c r="M29" s="421">
        <v>0</v>
      </c>
      <c r="N29" s="421">
        <v>0</v>
      </c>
      <c r="O29" s="421">
        <v>0</v>
      </c>
      <c r="P29" s="421">
        <v>0</v>
      </c>
      <c r="Q29" s="421">
        <v>0</v>
      </c>
      <c r="R29" s="421">
        <v>0</v>
      </c>
      <c r="S29" s="429">
        <v>19.329936258576101</v>
      </c>
      <c r="T29" s="412"/>
    </row>
    <row r="30" spans="2:20" ht="13.5">
      <c r="B30" s="412"/>
      <c r="C30" s="428" t="s">
        <v>75</v>
      </c>
      <c r="D30" s="421">
        <v>9.7066552734374998</v>
      </c>
      <c r="E30" s="421">
        <v>0</v>
      </c>
      <c r="F30" s="421">
        <v>17.757847143387401</v>
      </c>
      <c r="G30" s="421">
        <v>5.0672539113277804</v>
      </c>
      <c r="H30" s="421">
        <v>0</v>
      </c>
      <c r="I30" s="421">
        <v>0</v>
      </c>
      <c r="J30" s="421">
        <v>0</v>
      </c>
      <c r="K30" s="421">
        <v>0</v>
      </c>
      <c r="L30" s="421">
        <v>0</v>
      </c>
      <c r="M30" s="421">
        <v>0.103413345129138</v>
      </c>
      <c r="N30" s="421">
        <v>0</v>
      </c>
      <c r="O30" s="421">
        <v>0</v>
      </c>
      <c r="P30" s="421">
        <v>30.6584761014478</v>
      </c>
      <c r="Q30" s="421">
        <v>0</v>
      </c>
      <c r="R30" s="421">
        <v>0</v>
      </c>
      <c r="S30" s="429">
        <v>63.293645774729598</v>
      </c>
      <c r="T30" s="412"/>
    </row>
    <row r="31" spans="2:20" ht="13.5">
      <c r="B31" s="412"/>
      <c r="C31" s="428" t="s">
        <v>76</v>
      </c>
      <c r="D31" s="421">
        <v>0</v>
      </c>
      <c r="E31" s="421">
        <v>0</v>
      </c>
      <c r="F31" s="421">
        <v>0</v>
      </c>
      <c r="G31" s="421">
        <v>4.3082735374844701</v>
      </c>
      <c r="H31" s="421">
        <v>0</v>
      </c>
      <c r="I31" s="421">
        <v>0</v>
      </c>
      <c r="J31" s="421">
        <v>0</v>
      </c>
      <c r="K31" s="421">
        <v>0</v>
      </c>
      <c r="L31" s="421">
        <v>0</v>
      </c>
      <c r="M31" s="421">
        <v>8.7923949744581106E-2</v>
      </c>
      <c r="N31" s="421">
        <v>0</v>
      </c>
      <c r="O31" s="421">
        <v>0</v>
      </c>
      <c r="P31" s="421">
        <v>43.703860218786801</v>
      </c>
      <c r="Q31" s="421">
        <v>3.1785946529659599</v>
      </c>
      <c r="R31" s="421">
        <v>0</v>
      </c>
      <c r="S31" s="429">
        <v>51.278652358981802</v>
      </c>
      <c r="T31" s="412"/>
    </row>
    <row r="32" spans="2:20" ht="13.5">
      <c r="B32" s="412"/>
      <c r="C32" s="424" t="s">
        <v>77</v>
      </c>
      <c r="D32" s="425">
        <v>25.6641518879103</v>
      </c>
      <c r="E32" s="425">
        <v>504.19228646673599</v>
      </c>
      <c r="F32" s="425">
        <v>-471.77499636139902</v>
      </c>
      <c r="G32" s="425">
        <v>48.1690460708746</v>
      </c>
      <c r="H32" s="425">
        <v>959.09090909090901</v>
      </c>
      <c r="I32" s="425">
        <v>262.58</v>
      </c>
      <c r="J32" s="425">
        <v>83.825773980835606</v>
      </c>
      <c r="K32" s="425">
        <v>18.976492868963099</v>
      </c>
      <c r="L32" s="425">
        <v>-39.817740334868702</v>
      </c>
      <c r="M32" s="425">
        <v>-6.4318780052445401</v>
      </c>
      <c r="N32" s="425">
        <v>0</v>
      </c>
      <c r="O32" s="425">
        <v>2.2448826639763899</v>
      </c>
      <c r="P32" s="425">
        <v>-527.06961844360501</v>
      </c>
      <c r="Q32" s="425">
        <v>-37.840412535309099</v>
      </c>
      <c r="R32" s="425">
        <v>-2.85001306748409</v>
      </c>
      <c r="S32" s="425">
        <v>818.958884282295</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4.8707551882757301</v>
      </c>
      <c r="E34" s="421">
        <v>0</v>
      </c>
      <c r="F34" s="421">
        <v>20.993444165004</v>
      </c>
      <c r="G34" s="421">
        <v>101.297175428703</v>
      </c>
      <c r="H34" s="421">
        <v>0</v>
      </c>
      <c r="I34" s="421">
        <v>0</v>
      </c>
      <c r="J34" s="421">
        <v>17.0565927141357</v>
      </c>
      <c r="K34" s="421">
        <v>4.1229795038336201</v>
      </c>
      <c r="L34" s="421">
        <v>0.85536540625000002</v>
      </c>
      <c r="M34" s="421">
        <v>2.0672892944633201</v>
      </c>
      <c r="N34" s="421">
        <v>0</v>
      </c>
      <c r="O34" s="421">
        <v>0</v>
      </c>
      <c r="P34" s="421">
        <v>110.160518652362</v>
      </c>
      <c r="Q34" s="421">
        <v>18.409316628727701</v>
      </c>
      <c r="R34" s="421">
        <v>0.24532713317871099</v>
      </c>
      <c r="S34" s="429">
        <v>280.07876411493402</v>
      </c>
      <c r="T34" s="412"/>
    </row>
    <row r="35" spans="2:20" ht="13.5">
      <c r="B35" s="412"/>
      <c r="C35" s="428" t="s">
        <v>79</v>
      </c>
      <c r="D35" s="421">
        <v>0</v>
      </c>
      <c r="E35" s="421">
        <v>0</v>
      </c>
      <c r="F35" s="421">
        <v>232.66006634693801</v>
      </c>
      <c r="G35" s="421">
        <v>30.945196482305999</v>
      </c>
      <c r="H35" s="421">
        <v>0</v>
      </c>
      <c r="I35" s="421">
        <v>0</v>
      </c>
      <c r="J35" s="421">
        <v>0</v>
      </c>
      <c r="K35" s="421">
        <v>0</v>
      </c>
      <c r="L35" s="421">
        <v>23.571302525286502</v>
      </c>
      <c r="M35" s="421">
        <v>0.63153462208787803</v>
      </c>
      <c r="N35" s="421">
        <v>0</v>
      </c>
      <c r="O35" s="421">
        <v>0</v>
      </c>
      <c r="P35" s="421">
        <v>58.064871561766502</v>
      </c>
      <c r="Q35" s="421">
        <v>0</v>
      </c>
      <c r="R35" s="421">
        <v>2.0183635099889798</v>
      </c>
      <c r="S35" s="429">
        <v>347.891335048374</v>
      </c>
      <c r="T35" s="412"/>
    </row>
    <row r="36" spans="2:20" ht="13.5">
      <c r="B36" s="412"/>
      <c r="C36" s="428" t="s">
        <v>80</v>
      </c>
      <c r="D36" s="421">
        <v>0</v>
      </c>
      <c r="E36" s="421">
        <v>0</v>
      </c>
      <c r="F36" s="421">
        <v>17.5598675682925</v>
      </c>
      <c r="G36" s="421">
        <v>111.929219277919</v>
      </c>
      <c r="H36" s="421">
        <v>0</v>
      </c>
      <c r="I36" s="421">
        <v>0</v>
      </c>
      <c r="J36" s="421">
        <v>74.389853901213101</v>
      </c>
      <c r="K36" s="421">
        <v>0</v>
      </c>
      <c r="L36" s="421">
        <v>0</v>
      </c>
      <c r="M36" s="421">
        <v>2.2842697811820298</v>
      </c>
      <c r="N36" s="421">
        <v>53.007893982905898</v>
      </c>
      <c r="O36" s="421">
        <v>0.95506902656111503</v>
      </c>
      <c r="P36" s="421">
        <v>180.360799216462</v>
      </c>
      <c r="Q36" s="421">
        <v>15.433765533154</v>
      </c>
      <c r="R36" s="421">
        <v>0</v>
      </c>
      <c r="S36" s="429">
        <v>455.92073828769003</v>
      </c>
      <c r="T36" s="412"/>
    </row>
    <row r="37" spans="2:20" ht="13.5">
      <c r="B37" s="412"/>
      <c r="C37" s="428" t="s">
        <v>81</v>
      </c>
      <c r="D37" s="421">
        <v>0</v>
      </c>
      <c r="E37" s="421">
        <v>0</v>
      </c>
      <c r="F37" s="421">
        <v>7.3923055794682702</v>
      </c>
      <c r="G37" s="421">
        <v>65.894293417713897</v>
      </c>
      <c r="H37" s="421">
        <v>0</v>
      </c>
      <c r="I37" s="421">
        <v>0</v>
      </c>
      <c r="J37" s="421">
        <v>3.41214349769231</v>
      </c>
      <c r="K37" s="421">
        <v>0</v>
      </c>
      <c r="L37" s="421">
        <v>0</v>
      </c>
      <c r="M37" s="421">
        <v>1.34478149832069</v>
      </c>
      <c r="N37" s="421">
        <v>6.5694152088807796</v>
      </c>
      <c r="O37" s="421">
        <v>0.78006902491520902</v>
      </c>
      <c r="P37" s="421">
        <v>139.183172558515</v>
      </c>
      <c r="Q37" s="421">
        <v>3.99733037342736</v>
      </c>
      <c r="R37" s="421">
        <v>0</v>
      </c>
      <c r="S37" s="429">
        <v>228.573511158934</v>
      </c>
      <c r="T37" s="412"/>
    </row>
    <row r="38" spans="2:20" ht="13.5">
      <c r="B38" s="412"/>
      <c r="C38" s="428" t="s">
        <v>82</v>
      </c>
      <c r="D38" s="421">
        <v>0</v>
      </c>
      <c r="E38" s="421">
        <v>0</v>
      </c>
      <c r="F38" s="421">
        <v>10.671888604675701</v>
      </c>
      <c r="G38" s="421">
        <v>5.0961376503405704</v>
      </c>
      <c r="H38" s="421">
        <v>0</v>
      </c>
      <c r="I38" s="421">
        <v>0</v>
      </c>
      <c r="J38" s="421">
        <v>1.58125347438603</v>
      </c>
      <c r="K38" s="421">
        <v>0</v>
      </c>
      <c r="L38" s="421">
        <v>14.494418075031</v>
      </c>
      <c r="M38" s="421">
        <v>0.104002809190624</v>
      </c>
      <c r="N38" s="421">
        <v>0</v>
      </c>
      <c r="O38" s="421">
        <v>7.2392521047915395E-2</v>
      </c>
      <c r="P38" s="421">
        <v>7.67076376443437</v>
      </c>
      <c r="Q38" s="421">
        <v>0</v>
      </c>
      <c r="R38" s="421">
        <v>0</v>
      </c>
      <c r="S38" s="429">
        <v>39.690856899106201</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4.8707551882757301</v>
      </c>
      <c r="E40" s="425">
        <v>0</v>
      </c>
      <c r="F40" s="425">
        <v>289.27757226437899</v>
      </c>
      <c r="G40" s="425">
        <v>315.16202225698203</v>
      </c>
      <c r="H40" s="425">
        <v>0</v>
      </c>
      <c r="I40" s="425">
        <v>0</v>
      </c>
      <c r="J40" s="425">
        <v>96.439843587427205</v>
      </c>
      <c r="K40" s="425">
        <v>4.1229795038336201</v>
      </c>
      <c r="L40" s="425">
        <v>38.9210860065674</v>
      </c>
      <c r="M40" s="425">
        <v>6.4318780052445401</v>
      </c>
      <c r="N40" s="425">
        <v>59.577309191786703</v>
      </c>
      <c r="O40" s="425">
        <v>1.8075305725242401</v>
      </c>
      <c r="P40" s="425">
        <v>495.440125753541</v>
      </c>
      <c r="Q40" s="425">
        <v>37.840412535309099</v>
      </c>
      <c r="R40" s="425">
        <v>2.2636906431676902</v>
      </c>
      <c r="S40" s="425">
        <v>1352.1552055090399</v>
      </c>
      <c r="T40" s="412"/>
    </row>
    <row r="41" spans="2:20" ht="13.5">
      <c r="B41" s="412"/>
      <c r="C41" s="420" t="s">
        <v>84</v>
      </c>
      <c r="D41" s="421">
        <v>2.1835234374999999</v>
      </c>
      <c r="E41" s="421">
        <v>0</v>
      </c>
      <c r="F41" s="421">
        <v>138.144863788214</v>
      </c>
      <c r="G41" s="421">
        <v>12.218390360397301</v>
      </c>
      <c r="H41" s="421">
        <v>0</v>
      </c>
      <c r="I41" s="421">
        <v>0</v>
      </c>
      <c r="J41" s="421">
        <v>0</v>
      </c>
      <c r="K41" s="421">
        <v>0</v>
      </c>
      <c r="L41" s="421">
        <v>0</v>
      </c>
      <c r="M41" s="421">
        <v>0</v>
      </c>
      <c r="N41" s="421">
        <v>0</v>
      </c>
      <c r="O41" s="421">
        <v>0</v>
      </c>
      <c r="P41" s="421">
        <v>0</v>
      </c>
      <c r="Q41" s="421">
        <v>0</v>
      </c>
      <c r="R41" s="421">
        <v>0.58632242431640602</v>
      </c>
      <c r="S41" s="429">
        <v>153.133100010428</v>
      </c>
      <c r="T41" s="412"/>
    </row>
    <row r="42" spans="2:20" ht="13.5">
      <c r="B42" s="412"/>
      <c r="C42" s="424" t="s">
        <v>85</v>
      </c>
      <c r="D42" s="425">
        <v>7.0542786257757299</v>
      </c>
      <c r="E42" s="425">
        <v>0</v>
      </c>
      <c r="F42" s="425">
        <v>427.42243605259301</v>
      </c>
      <c r="G42" s="425">
        <v>327.38041261737999</v>
      </c>
      <c r="H42" s="425">
        <v>0</v>
      </c>
      <c r="I42" s="425">
        <v>0</v>
      </c>
      <c r="J42" s="425">
        <v>96.439843587427205</v>
      </c>
      <c r="K42" s="425">
        <v>4.1229795038336201</v>
      </c>
      <c r="L42" s="425">
        <v>38.9210860065674</v>
      </c>
      <c r="M42" s="425">
        <v>6.4318780052445401</v>
      </c>
      <c r="N42" s="425">
        <v>59.577309191786703</v>
      </c>
      <c r="O42" s="425">
        <v>1.8075305725242401</v>
      </c>
      <c r="P42" s="425">
        <v>495.440125753541</v>
      </c>
      <c r="Q42" s="425">
        <v>37.840412535309099</v>
      </c>
      <c r="R42" s="425">
        <v>2.85001306748409</v>
      </c>
      <c r="S42" s="425">
        <v>1505.28830551947</v>
      </c>
      <c r="T42" s="412"/>
    </row>
    <row r="43" spans="2:20">
      <c r="B43" s="412"/>
      <c r="C43" s="412"/>
      <c r="D43" s="430">
        <f t="shared" ref="D43:S43" si="0">D42+D32-D18</f>
        <v>0</v>
      </c>
      <c r="E43" s="430">
        <f t="shared" si="0"/>
        <v>0</v>
      </c>
      <c r="F43" s="430">
        <f t="shared" si="0"/>
        <v>-3.0553337637684308E-13</v>
      </c>
      <c r="G43" s="430">
        <f t="shared" si="0"/>
        <v>6.2527760746888816E-13</v>
      </c>
      <c r="H43" s="430">
        <f t="shared" si="0"/>
        <v>0</v>
      </c>
      <c r="I43" s="430">
        <f t="shared" si="0"/>
        <v>0</v>
      </c>
      <c r="J43" s="430">
        <f t="shared" si="0"/>
        <v>0</v>
      </c>
      <c r="K43" s="430">
        <f t="shared" si="0"/>
        <v>0</v>
      </c>
      <c r="L43" s="430">
        <f t="shared" si="0"/>
        <v>-3.3417713041217212E-14</v>
      </c>
      <c r="M43" s="430">
        <f t="shared" si="0"/>
        <v>0</v>
      </c>
      <c r="N43" s="430">
        <f t="shared" si="0"/>
        <v>0</v>
      </c>
      <c r="O43" s="430">
        <f t="shared" si="0"/>
        <v>0</v>
      </c>
      <c r="P43" s="430">
        <f t="shared" si="0"/>
        <v>4.8672177399566863E-13</v>
      </c>
      <c r="Q43" s="430">
        <f t="shared" si="0"/>
        <v>0</v>
      </c>
      <c r="R43" s="430">
        <f t="shared" si="0"/>
        <v>0</v>
      </c>
      <c r="S43" s="430">
        <f t="shared" si="0"/>
        <v>4.5474735088646412E-12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364</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0</v>
      </c>
      <c r="F49" s="421">
        <v>0</v>
      </c>
      <c r="G49" s="421">
        <v>0</v>
      </c>
      <c r="H49" s="422">
        <v>843.18181818181802</v>
      </c>
      <c r="I49" s="422">
        <v>303.83</v>
      </c>
      <c r="J49" s="422">
        <v>180.58227082712199</v>
      </c>
      <c r="K49" s="422">
        <v>22.584752367457401</v>
      </c>
      <c r="L49" s="421">
        <v>0</v>
      </c>
      <c r="M49" s="421">
        <v>0</v>
      </c>
      <c r="N49" s="422">
        <v>64.228247119713899</v>
      </c>
      <c r="O49" s="422">
        <v>4.0154786653397201</v>
      </c>
      <c r="P49" s="421">
        <v>0</v>
      </c>
      <c r="Q49" s="421">
        <v>0</v>
      </c>
      <c r="R49" s="421">
        <v>0</v>
      </c>
      <c r="S49" s="423">
        <v>1418.4225671614499</v>
      </c>
      <c r="T49" s="412"/>
    </row>
    <row r="50" spans="2:20" ht="13.5">
      <c r="B50" s="412"/>
      <c r="C50" s="420" t="s">
        <v>60</v>
      </c>
      <c r="D50" s="421">
        <v>30.885603791058401</v>
      </c>
      <c r="E50" s="421">
        <v>484.495467583368</v>
      </c>
      <c r="F50" s="421">
        <v>42.659321237611302</v>
      </c>
      <c r="G50" s="421">
        <v>385.71207499197101</v>
      </c>
      <c r="H50" s="421">
        <v>0</v>
      </c>
      <c r="I50" s="421">
        <v>0</v>
      </c>
      <c r="J50" s="421">
        <v>0</v>
      </c>
      <c r="K50" s="421">
        <v>0</v>
      </c>
      <c r="L50" s="421">
        <v>0</v>
      </c>
      <c r="M50" s="421">
        <v>0</v>
      </c>
      <c r="N50" s="421">
        <v>0</v>
      </c>
      <c r="O50" s="421">
        <v>0</v>
      </c>
      <c r="P50" s="421">
        <v>0</v>
      </c>
      <c r="Q50" s="421">
        <v>0</v>
      </c>
      <c r="R50" s="421">
        <v>0</v>
      </c>
      <c r="S50" s="423">
        <v>943.75246760400796</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-18.341336792236799</v>
      </c>
      <c r="Q51" s="421">
        <v>0</v>
      </c>
      <c r="R51" s="421">
        <v>0</v>
      </c>
      <c r="S51" s="423">
        <v>-18.341336792236799</v>
      </c>
      <c r="T51" s="412"/>
    </row>
    <row r="52" spans="2:20" ht="13.5">
      <c r="B52" s="412"/>
      <c r="C52" s="420" t="s">
        <v>62</v>
      </c>
      <c r="D52" s="421">
        <v>0</v>
      </c>
      <c r="E52" s="421">
        <v>0</v>
      </c>
      <c r="F52" s="421">
        <v>-15.257294848391901</v>
      </c>
      <c r="G52" s="421">
        <v>0</v>
      </c>
      <c r="H52" s="421">
        <v>0</v>
      </c>
      <c r="I52" s="421">
        <v>0</v>
      </c>
      <c r="J52" s="421">
        <v>0</v>
      </c>
      <c r="K52" s="421">
        <v>0</v>
      </c>
      <c r="L52" s="421">
        <v>0</v>
      </c>
      <c r="M52" s="421">
        <v>0</v>
      </c>
      <c r="N52" s="421">
        <v>0</v>
      </c>
      <c r="O52" s="421">
        <v>0</v>
      </c>
      <c r="P52" s="421">
        <v>0</v>
      </c>
      <c r="Q52" s="421">
        <v>0</v>
      </c>
      <c r="R52" s="421">
        <v>0</v>
      </c>
      <c r="S52" s="423">
        <v>-15.257294848391901</v>
      </c>
      <c r="T52" s="412"/>
    </row>
    <row r="53" spans="2:20" ht="13.5">
      <c r="B53" s="412"/>
      <c r="C53" s="420" t="s">
        <v>63</v>
      </c>
      <c r="D53" s="421">
        <v>0</v>
      </c>
      <c r="E53" s="421">
        <v>0</v>
      </c>
      <c r="F53" s="421">
        <v>-90.626969920873506</v>
      </c>
      <c r="G53" s="421">
        <v>0</v>
      </c>
      <c r="H53" s="421">
        <v>0</v>
      </c>
      <c r="I53" s="421">
        <v>0</v>
      </c>
      <c r="J53" s="421">
        <v>0</v>
      </c>
      <c r="K53" s="421">
        <v>0</v>
      </c>
      <c r="L53" s="421">
        <v>-0.93615330165546395</v>
      </c>
      <c r="M53" s="421">
        <v>0</v>
      </c>
      <c r="N53" s="421">
        <v>0</v>
      </c>
      <c r="O53" s="421">
        <v>0</v>
      </c>
      <c r="P53" s="421">
        <v>0</v>
      </c>
      <c r="Q53" s="421">
        <v>0</v>
      </c>
      <c r="R53" s="421">
        <v>0</v>
      </c>
      <c r="S53" s="423">
        <v>-91.563123222528901</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30.885603791058401</v>
      </c>
      <c r="E55" s="425">
        <v>484.495467583368</v>
      </c>
      <c r="F55" s="425">
        <v>-63.224943531653999</v>
      </c>
      <c r="G55" s="425">
        <v>385.71207499197101</v>
      </c>
      <c r="H55" s="425">
        <v>843.18181818181802</v>
      </c>
      <c r="I55" s="425">
        <v>303.83</v>
      </c>
      <c r="J55" s="425">
        <v>180.58227082712199</v>
      </c>
      <c r="K55" s="425">
        <v>22.584752367457401</v>
      </c>
      <c r="L55" s="425">
        <v>-0.93615330165546395</v>
      </c>
      <c r="M55" s="425">
        <v>0</v>
      </c>
      <c r="N55" s="425">
        <v>64.228247119713899</v>
      </c>
      <c r="O55" s="425">
        <v>4.0154786653397201</v>
      </c>
      <c r="P55" s="425">
        <v>-18.341336792236799</v>
      </c>
      <c r="Q55" s="425">
        <v>0</v>
      </c>
      <c r="R55" s="425">
        <v>0</v>
      </c>
      <c r="S55" s="425">
        <v>2237.0132799022999</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26.7514143940613</v>
      </c>
      <c r="H58" s="421">
        <v>843.18181818181802</v>
      </c>
      <c r="I58" s="421">
        <v>303.83</v>
      </c>
      <c r="J58" s="421">
        <v>22.093473329706701</v>
      </c>
      <c r="K58" s="421">
        <v>5.8025151206166701</v>
      </c>
      <c r="L58" s="421">
        <v>0</v>
      </c>
      <c r="M58" s="421">
        <v>0.54594723253186395</v>
      </c>
      <c r="N58" s="421">
        <v>0</v>
      </c>
      <c r="O58" s="421">
        <v>0</v>
      </c>
      <c r="P58" s="421">
        <v>-610.51719995562303</v>
      </c>
      <c r="Q58" s="421">
        <v>0</v>
      </c>
      <c r="R58" s="421">
        <v>0</v>
      </c>
      <c r="S58" s="429">
        <v>597.75207540231395</v>
      </c>
      <c r="T58" s="412"/>
    </row>
    <row r="59" spans="2:20" ht="13.5">
      <c r="B59" s="412"/>
      <c r="C59" s="428" t="s">
        <v>351</v>
      </c>
      <c r="D59" s="421">
        <v>0</v>
      </c>
      <c r="E59" s="421">
        <v>0</v>
      </c>
      <c r="F59" s="421">
        <v>0</v>
      </c>
      <c r="G59" s="421">
        <v>17.221669860310801</v>
      </c>
      <c r="H59" s="421">
        <v>0</v>
      </c>
      <c r="I59" s="421">
        <v>0</v>
      </c>
      <c r="J59" s="421">
        <v>12.443095766795199</v>
      </c>
      <c r="K59" s="421">
        <v>12.7366574955616</v>
      </c>
      <c r="L59" s="421">
        <v>0</v>
      </c>
      <c r="M59" s="421">
        <v>0.351462650210425</v>
      </c>
      <c r="N59" s="421">
        <v>0</v>
      </c>
      <c r="O59" s="421">
        <v>2.25021562141669</v>
      </c>
      <c r="P59" s="421">
        <v>0</v>
      </c>
      <c r="Q59" s="421">
        <v>-41.107889812280099</v>
      </c>
      <c r="R59" s="421">
        <v>0</v>
      </c>
      <c r="S59" s="429">
        <v>3.8952115820145798</v>
      </c>
      <c r="T59" s="412"/>
    </row>
    <row r="60" spans="2:20" ht="13.5">
      <c r="B60" s="412"/>
      <c r="C60" s="428" t="s">
        <v>352</v>
      </c>
      <c r="D60" s="421">
        <v>0</v>
      </c>
      <c r="E60" s="421">
        <v>0</v>
      </c>
      <c r="F60" s="421">
        <v>0</v>
      </c>
      <c r="G60" s="421">
        <v>0</v>
      </c>
      <c r="H60" s="421">
        <v>0</v>
      </c>
      <c r="I60" s="421">
        <v>0</v>
      </c>
      <c r="J60" s="421">
        <v>8.1664030992761294</v>
      </c>
      <c r="K60" s="421">
        <v>0</v>
      </c>
      <c r="L60" s="421">
        <v>0</v>
      </c>
      <c r="M60" s="421">
        <v>-7.6253788939490796</v>
      </c>
      <c r="N60" s="421">
        <v>0</v>
      </c>
      <c r="O60" s="421">
        <v>0</v>
      </c>
      <c r="P60" s="421">
        <v>0</v>
      </c>
      <c r="Q60" s="421">
        <v>0</v>
      </c>
      <c r="R60" s="421">
        <v>0</v>
      </c>
      <c r="S60" s="429">
        <v>0.54102420532704398</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501.885810932168</v>
      </c>
      <c r="F62" s="421">
        <v>-496.86695282284597</v>
      </c>
      <c r="G62" s="421">
        <v>0</v>
      </c>
      <c r="H62" s="421">
        <v>0</v>
      </c>
      <c r="I62" s="421">
        <v>0</v>
      </c>
      <c r="J62" s="421">
        <v>0</v>
      </c>
      <c r="K62" s="421">
        <v>0</v>
      </c>
      <c r="L62" s="421">
        <v>0</v>
      </c>
      <c r="M62" s="421">
        <v>0</v>
      </c>
      <c r="N62" s="421">
        <v>0</v>
      </c>
      <c r="O62" s="421">
        <v>0</v>
      </c>
      <c r="P62" s="421">
        <v>0</v>
      </c>
      <c r="Q62" s="421">
        <v>0</v>
      </c>
      <c r="R62" s="421">
        <v>0</v>
      </c>
      <c r="S62" s="429">
        <v>5.0188581093216804</v>
      </c>
      <c r="T62" s="412"/>
    </row>
    <row r="63" spans="2:20" ht="13.5">
      <c r="B63" s="412"/>
      <c r="C63" s="428" t="s">
        <v>354</v>
      </c>
      <c r="D63" s="421">
        <v>0</v>
      </c>
      <c r="E63" s="421">
        <v>0</v>
      </c>
      <c r="F63" s="421">
        <v>0</v>
      </c>
      <c r="G63" s="421">
        <v>0</v>
      </c>
      <c r="H63" s="421">
        <v>0</v>
      </c>
      <c r="I63" s="421">
        <v>0</v>
      </c>
      <c r="J63" s="421">
        <v>40.922578855232103</v>
      </c>
      <c r="K63" s="421">
        <v>0</v>
      </c>
      <c r="L63" s="421">
        <v>-40.922578855232103</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-0.185690681788441</v>
      </c>
      <c r="M64" s="421">
        <v>0</v>
      </c>
      <c r="N64" s="421">
        <v>0</v>
      </c>
      <c r="O64" s="421">
        <v>0</v>
      </c>
      <c r="P64" s="421">
        <v>0</v>
      </c>
      <c r="Q64" s="421">
        <v>0</v>
      </c>
      <c r="R64" s="421">
        <v>0.26527240255491602</v>
      </c>
      <c r="S64" s="429">
        <v>7.9581720766474906E-2</v>
      </c>
      <c r="T64" s="412"/>
    </row>
    <row r="65" spans="2:20" ht="13.5">
      <c r="B65" s="412"/>
      <c r="C65" s="428" t="s">
        <v>73</v>
      </c>
      <c r="D65" s="421">
        <v>0</v>
      </c>
      <c r="E65" s="421">
        <v>0</v>
      </c>
      <c r="F65" s="421">
        <v>0</v>
      </c>
      <c r="G65" s="421">
        <v>5.0830420654676596</v>
      </c>
      <c r="H65" s="421">
        <v>0</v>
      </c>
      <c r="I65" s="421">
        <v>0</v>
      </c>
      <c r="J65" s="421">
        <v>0</v>
      </c>
      <c r="K65" s="421">
        <v>5.89406547480016E-2</v>
      </c>
      <c r="L65" s="421">
        <v>0</v>
      </c>
      <c r="M65" s="421">
        <v>0.103735552356483</v>
      </c>
      <c r="N65" s="421">
        <v>0</v>
      </c>
      <c r="O65" s="421">
        <v>0</v>
      </c>
      <c r="P65" s="421">
        <v>0.64603991681083595</v>
      </c>
      <c r="Q65" s="421">
        <v>0</v>
      </c>
      <c r="R65" s="421">
        <v>-4.1258458323601097</v>
      </c>
      <c r="S65" s="429">
        <v>1.7659123570228701</v>
      </c>
      <c r="T65" s="412"/>
    </row>
    <row r="66" spans="2:20" ht="13.5">
      <c r="B66" s="412"/>
      <c r="C66" s="428" t="s">
        <v>356</v>
      </c>
      <c r="D66" s="421">
        <v>12.835820312499999</v>
      </c>
      <c r="E66" s="421">
        <v>-17.3903433487996</v>
      </c>
      <c r="F66" s="421">
        <v>22.745541936068101</v>
      </c>
      <c r="G66" s="421">
        <v>0</v>
      </c>
      <c r="H66" s="421">
        <v>0</v>
      </c>
      <c r="I66" s="421">
        <v>0</v>
      </c>
      <c r="J66" s="421">
        <v>0</v>
      </c>
      <c r="K66" s="421">
        <v>0</v>
      </c>
      <c r="L66" s="421">
        <v>0</v>
      </c>
      <c r="M66" s="421">
        <v>0</v>
      </c>
      <c r="N66" s="421">
        <v>0</v>
      </c>
      <c r="O66" s="421">
        <v>0</v>
      </c>
      <c r="P66" s="421">
        <v>0</v>
      </c>
      <c r="Q66" s="421">
        <v>0</v>
      </c>
      <c r="R66" s="421">
        <v>0</v>
      </c>
      <c r="S66" s="429">
        <v>18.191018899768501</v>
      </c>
      <c r="T66" s="412"/>
    </row>
    <row r="67" spans="2:20" ht="13.5">
      <c r="B67" s="412"/>
      <c r="C67" s="428" t="s">
        <v>75</v>
      </c>
      <c r="D67" s="421">
        <v>9.6016132812499997</v>
      </c>
      <c r="E67" s="421">
        <v>0</v>
      </c>
      <c r="F67" s="421">
        <v>17.0641175716937</v>
      </c>
      <c r="G67" s="421">
        <v>4.8692961376638904</v>
      </c>
      <c r="H67" s="421">
        <v>0</v>
      </c>
      <c r="I67" s="421">
        <v>0</v>
      </c>
      <c r="J67" s="421">
        <v>0</v>
      </c>
      <c r="K67" s="421">
        <v>0</v>
      </c>
      <c r="L67" s="421">
        <v>0</v>
      </c>
      <c r="M67" s="421">
        <v>9.9373390564569203E-2</v>
      </c>
      <c r="N67" s="421">
        <v>0</v>
      </c>
      <c r="O67" s="421">
        <v>0</v>
      </c>
      <c r="P67" s="421">
        <v>28.1582236341448</v>
      </c>
      <c r="Q67" s="421">
        <v>0</v>
      </c>
      <c r="R67" s="421">
        <v>0</v>
      </c>
      <c r="S67" s="429">
        <v>59.792624015317003</v>
      </c>
      <c r="T67" s="412"/>
    </row>
    <row r="68" spans="2:20" ht="13.5">
      <c r="B68" s="412"/>
      <c r="C68" s="428" t="s">
        <v>76</v>
      </c>
      <c r="D68" s="421">
        <v>0</v>
      </c>
      <c r="E68" s="421">
        <v>0</v>
      </c>
      <c r="F68" s="421">
        <v>0</v>
      </c>
      <c r="G68" s="421">
        <v>4.4305561162471001</v>
      </c>
      <c r="H68" s="421">
        <v>0</v>
      </c>
      <c r="I68" s="421">
        <v>0</v>
      </c>
      <c r="J68" s="421">
        <v>0</v>
      </c>
      <c r="K68" s="421">
        <v>0</v>
      </c>
      <c r="L68" s="421">
        <v>0</v>
      </c>
      <c r="M68" s="421">
        <v>9.0419512576471406E-2</v>
      </c>
      <c r="N68" s="421">
        <v>0</v>
      </c>
      <c r="O68" s="421">
        <v>0</v>
      </c>
      <c r="P68" s="421">
        <v>45.383745745670502</v>
      </c>
      <c r="Q68" s="421">
        <v>3.1854822363759498</v>
      </c>
      <c r="R68" s="421">
        <v>0</v>
      </c>
      <c r="S68" s="429">
        <v>53.090203610869999</v>
      </c>
      <c r="T68" s="412"/>
    </row>
    <row r="69" spans="2:20" ht="13.5">
      <c r="B69" s="412"/>
      <c r="C69" s="424" t="s">
        <v>77</v>
      </c>
      <c r="D69" s="425">
        <v>24.637904329316601</v>
      </c>
      <c r="E69" s="425">
        <v>484.495467583368</v>
      </c>
      <c r="F69" s="425">
        <v>-453.19365695144802</v>
      </c>
      <c r="G69" s="425">
        <v>58.355978573750797</v>
      </c>
      <c r="H69" s="425">
        <v>843.18181818181802</v>
      </c>
      <c r="I69" s="425">
        <v>303.83</v>
      </c>
      <c r="J69" s="425">
        <v>83.625551051010106</v>
      </c>
      <c r="K69" s="425">
        <v>18.598113270926302</v>
      </c>
      <c r="L69" s="425">
        <v>-41.108269537020597</v>
      </c>
      <c r="M69" s="425">
        <v>-6.4344405557092701</v>
      </c>
      <c r="N69" s="425">
        <v>0</v>
      </c>
      <c r="O69" s="425">
        <v>2.25021562141669</v>
      </c>
      <c r="P69" s="425">
        <v>-536.32919065899705</v>
      </c>
      <c r="Q69" s="425">
        <v>-37.922407575904202</v>
      </c>
      <c r="R69" s="425">
        <v>-3.8605734298051999</v>
      </c>
      <c r="S69" s="425">
        <v>740.12650990272198</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4.1175454090074304</v>
      </c>
      <c r="E71" s="421">
        <v>0</v>
      </c>
      <c r="F71" s="421">
        <v>19.277494882052501</v>
      </c>
      <c r="G71" s="421">
        <v>101.47453920726601</v>
      </c>
      <c r="H71" s="421">
        <v>0</v>
      </c>
      <c r="I71" s="421">
        <v>0</v>
      </c>
      <c r="J71" s="421">
        <v>17.1465838958113</v>
      </c>
      <c r="K71" s="421">
        <v>3.98663909653113</v>
      </c>
      <c r="L71" s="421">
        <v>0.86272697265624998</v>
      </c>
      <c r="M71" s="421">
        <v>2.0709089634136002</v>
      </c>
      <c r="N71" s="421">
        <v>0</v>
      </c>
      <c r="O71" s="421">
        <v>0</v>
      </c>
      <c r="P71" s="421">
        <v>115.02579662342799</v>
      </c>
      <c r="Q71" s="421">
        <v>18.9073764304365</v>
      </c>
      <c r="R71" s="421">
        <v>0.24469155883789101</v>
      </c>
      <c r="S71" s="429">
        <v>283.11430303944098</v>
      </c>
      <c r="T71" s="412"/>
    </row>
    <row r="72" spans="2:20" ht="13.5">
      <c r="B72" s="412"/>
      <c r="C72" s="428" t="s">
        <v>79</v>
      </c>
      <c r="D72" s="421">
        <v>0</v>
      </c>
      <c r="E72" s="421">
        <v>0</v>
      </c>
      <c r="F72" s="421">
        <v>211.515991693448</v>
      </c>
      <c r="G72" s="421">
        <v>33.673192204334903</v>
      </c>
      <c r="H72" s="421">
        <v>0</v>
      </c>
      <c r="I72" s="421">
        <v>0</v>
      </c>
      <c r="J72" s="421">
        <v>0</v>
      </c>
      <c r="K72" s="421">
        <v>0</v>
      </c>
      <c r="L72" s="421">
        <v>21.364475731578199</v>
      </c>
      <c r="M72" s="421">
        <v>0.68720800417009997</v>
      </c>
      <c r="N72" s="421">
        <v>0</v>
      </c>
      <c r="O72" s="421">
        <v>0</v>
      </c>
      <c r="P72" s="421">
        <v>67.538126653199896</v>
      </c>
      <c r="Q72" s="421">
        <v>0</v>
      </c>
      <c r="R72" s="421">
        <v>2.73358870080129</v>
      </c>
      <c r="S72" s="429">
        <v>337.51258298753203</v>
      </c>
      <c r="T72" s="412"/>
    </row>
    <row r="73" spans="2:20" ht="13.5">
      <c r="B73" s="412"/>
      <c r="C73" s="428" t="s">
        <v>80</v>
      </c>
      <c r="D73" s="421">
        <v>0</v>
      </c>
      <c r="E73" s="421">
        <v>0</v>
      </c>
      <c r="F73" s="421">
        <v>11.269398252747999</v>
      </c>
      <c r="G73" s="421">
        <v>107.66857440515901</v>
      </c>
      <c r="H73" s="421">
        <v>0</v>
      </c>
      <c r="I73" s="421">
        <v>0</v>
      </c>
      <c r="J73" s="421">
        <v>74.555024603306606</v>
      </c>
      <c r="K73" s="421">
        <v>0</v>
      </c>
      <c r="L73" s="421">
        <v>0</v>
      </c>
      <c r="M73" s="421">
        <v>2.19731784500325</v>
      </c>
      <c r="N73" s="421">
        <v>57.8439730041991</v>
      </c>
      <c r="O73" s="421">
        <v>0.94792042331900395</v>
      </c>
      <c r="P73" s="421">
        <v>182.60815084241301</v>
      </c>
      <c r="Q73" s="421">
        <v>15.2162816007431</v>
      </c>
      <c r="R73" s="421">
        <v>0</v>
      </c>
      <c r="S73" s="429">
        <v>452.306640976891</v>
      </c>
      <c r="T73" s="412"/>
    </row>
    <row r="74" spans="2:20" ht="13.5">
      <c r="B74" s="412"/>
      <c r="C74" s="428" t="s">
        <v>81</v>
      </c>
      <c r="D74" s="421">
        <v>0</v>
      </c>
      <c r="E74" s="421">
        <v>0</v>
      </c>
      <c r="F74" s="421">
        <v>4.6678370944484504</v>
      </c>
      <c r="G74" s="421">
        <v>66.895141856533499</v>
      </c>
      <c r="H74" s="421">
        <v>0</v>
      </c>
      <c r="I74" s="421">
        <v>0</v>
      </c>
      <c r="J74" s="421">
        <v>3.3107731809745702</v>
      </c>
      <c r="K74" s="421">
        <v>0</v>
      </c>
      <c r="L74" s="421">
        <v>0</v>
      </c>
      <c r="M74" s="421">
        <v>1.3652069766639501</v>
      </c>
      <c r="N74" s="421">
        <v>6.3842741155148302</v>
      </c>
      <c r="O74" s="421">
        <v>0.75088648318301499</v>
      </c>
      <c r="P74" s="421">
        <v>144.56234737622799</v>
      </c>
      <c r="Q74" s="421">
        <v>3.79874954472458</v>
      </c>
      <c r="R74" s="421">
        <v>0</v>
      </c>
      <c r="S74" s="429">
        <v>231.73521662827099</v>
      </c>
      <c r="T74" s="412"/>
    </row>
    <row r="75" spans="2:20" ht="13.5">
      <c r="B75" s="412"/>
      <c r="C75" s="428" t="s">
        <v>82</v>
      </c>
      <c r="D75" s="421">
        <v>0</v>
      </c>
      <c r="E75" s="421">
        <v>0</v>
      </c>
      <c r="F75" s="421">
        <v>4.5923360843350496</v>
      </c>
      <c r="G75" s="421">
        <v>5.5761395564600598</v>
      </c>
      <c r="H75" s="421">
        <v>0</v>
      </c>
      <c r="I75" s="421">
        <v>0</v>
      </c>
      <c r="J75" s="421">
        <v>1.9443380960196801</v>
      </c>
      <c r="K75" s="421">
        <v>0</v>
      </c>
      <c r="L75" s="421">
        <v>17.944913531130702</v>
      </c>
      <c r="M75" s="421">
        <v>0.11379876645836901</v>
      </c>
      <c r="N75" s="421">
        <v>0</v>
      </c>
      <c r="O75" s="421">
        <v>6.6456137421005299E-2</v>
      </c>
      <c r="P75" s="421">
        <v>7.4534323714914201</v>
      </c>
      <c r="Q75" s="421">
        <v>0</v>
      </c>
      <c r="R75" s="421">
        <v>0</v>
      </c>
      <c r="S75" s="429">
        <v>37.691414543316299</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0.8</v>
      </c>
      <c r="Q76" s="421">
        <v>0</v>
      </c>
      <c r="R76" s="421">
        <v>0</v>
      </c>
      <c r="S76" s="429">
        <v>0.8</v>
      </c>
      <c r="T76" s="412"/>
    </row>
    <row r="77" spans="2:20" ht="13.5">
      <c r="B77" s="412"/>
      <c r="C77" s="424" t="s">
        <v>83</v>
      </c>
      <c r="D77" s="425">
        <v>4.1175454090074304</v>
      </c>
      <c r="E77" s="425">
        <v>0</v>
      </c>
      <c r="F77" s="425">
        <v>251.32305800703199</v>
      </c>
      <c r="G77" s="425">
        <v>315.28758722975402</v>
      </c>
      <c r="H77" s="425">
        <v>0</v>
      </c>
      <c r="I77" s="425">
        <v>0</v>
      </c>
      <c r="J77" s="425">
        <v>96.956719776112095</v>
      </c>
      <c r="K77" s="425">
        <v>3.98663909653113</v>
      </c>
      <c r="L77" s="425">
        <v>40.172116235365102</v>
      </c>
      <c r="M77" s="425">
        <v>6.4344405557092701</v>
      </c>
      <c r="N77" s="425">
        <v>64.228247119713899</v>
      </c>
      <c r="O77" s="425">
        <v>1.7652630439230199</v>
      </c>
      <c r="P77" s="425">
        <v>517.98785386676104</v>
      </c>
      <c r="Q77" s="425">
        <v>37.922407575904103</v>
      </c>
      <c r="R77" s="425">
        <v>2.9782802596391802</v>
      </c>
      <c r="S77" s="425">
        <v>1343.1601581754501</v>
      </c>
      <c r="T77" s="412"/>
    </row>
    <row r="78" spans="2:20" ht="13.5">
      <c r="B78" s="412"/>
      <c r="C78" s="420" t="s">
        <v>84</v>
      </c>
      <c r="D78" s="421">
        <v>2.1301540527343801</v>
      </c>
      <c r="E78" s="421">
        <v>0</v>
      </c>
      <c r="F78" s="421">
        <v>138.64565541276201</v>
      </c>
      <c r="G78" s="421">
        <v>12.0685091884655</v>
      </c>
      <c r="H78" s="421">
        <v>0</v>
      </c>
      <c r="I78" s="421">
        <v>0</v>
      </c>
      <c r="J78" s="421">
        <v>0</v>
      </c>
      <c r="K78" s="421">
        <v>0</v>
      </c>
      <c r="L78" s="421">
        <v>0</v>
      </c>
      <c r="M78" s="421">
        <v>0</v>
      </c>
      <c r="N78" s="421">
        <v>0</v>
      </c>
      <c r="O78" s="421">
        <v>0</v>
      </c>
      <c r="P78" s="421">
        <v>0</v>
      </c>
      <c r="Q78" s="421">
        <v>0</v>
      </c>
      <c r="R78" s="421">
        <v>0.88229317016601605</v>
      </c>
      <c r="S78" s="429">
        <v>153.72661182412801</v>
      </c>
      <c r="T78" s="412"/>
    </row>
    <row r="79" spans="2:20" ht="13.5">
      <c r="B79" s="412"/>
      <c r="C79" s="424" t="s">
        <v>85</v>
      </c>
      <c r="D79" s="425">
        <v>6.2476994617418002</v>
      </c>
      <c r="E79" s="425">
        <v>0</v>
      </c>
      <c r="F79" s="425">
        <v>389.96871341979403</v>
      </c>
      <c r="G79" s="425">
        <v>327.35609641821998</v>
      </c>
      <c r="H79" s="425">
        <v>0</v>
      </c>
      <c r="I79" s="425">
        <v>0</v>
      </c>
      <c r="J79" s="425">
        <v>96.956719776112095</v>
      </c>
      <c r="K79" s="425">
        <v>3.98663909653113</v>
      </c>
      <c r="L79" s="425">
        <v>40.172116235365102</v>
      </c>
      <c r="M79" s="425">
        <v>6.4344405557092701</v>
      </c>
      <c r="N79" s="425">
        <v>64.228247119713899</v>
      </c>
      <c r="O79" s="425">
        <v>1.7652630439230199</v>
      </c>
      <c r="P79" s="425">
        <v>517.98785386676104</v>
      </c>
      <c r="Q79" s="425">
        <v>37.922407575904103</v>
      </c>
      <c r="R79" s="425">
        <v>3.8605734298051999</v>
      </c>
      <c r="S79" s="425">
        <v>1496.8867699995801</v>
      </c>
      <c r="T79" s="412"/>
    </row>
    <row r="80" spans="2:20">
      <c r="B80" s="412"/>
      <c r="C80" s="412"/>
      <c r="D80" s="430">
        <f t="shared" ref="D80:S80" si="1">D79+D69-D55</f>
        <v>0</v>
      </c>
      <c r="E80" s="430">
        <f t="shared" si="1"/>
        <v>0</v>
      </c>
      <c r="F80" s="430">
        <f t="shared" si="1"/>
        <v>0</v>
      </c>
      <c r="G80" s="430">
        <f t="shared" si="1"/>
        <v>0</v>
      </c>
      <c r="H80" s="430">
        <f t="shared" si="1"/>
        <v>0</v>
      </c>
      <c r="I80" s="430">
        <f t="shared" si="1"/>
        <v>0</v>
      </c>
      <c r="J80" s="430">
        <f t="shared" si="1"/>
        <v>2.2737367544323206E-13</v>
      </c>
      <c r="K80" s="430">
        <f t="shared" si="1"/>
        <v>3.1974423109204508E-14</v>
      </c>
      <c r="L80" s="430">
        <f t="shared" si="1"/>
        <v>-3.0420110874729289E-14</v>
      </c>
      <c r="M80" s="430">
        <f t="shared" si="1"/>
        <v>0</v>
      </c>
      <c r="N80" s="430">
        <f t="shared" si="1"/>
        <v>0</v>
      </c>
      <c r="O80" s="430">
        <f t="shared" si="1"/>
        <v>-9.7699626167013776E-15</v>
      </c>
      <c r="P80" s="430">
        <f t="shared" si="1"/>
        <v>7.9225515037251171E-13</v>
      </c>
      <c r="Q80" s="430">
        <f t="shared" si="1"/>
        <v>-9.9475983006414026E-14</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89</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0</v>
      </c>
      <c r="F86" s="421">
        <v>0</v>
      </c>
      <c r="G86" s="421">
        <v>0</v>
      </c>
      <c r="H86" s="422">
        <v>727.27272727272702</v>
      </c>
      <c r="I86" s="422">
        <v>285.08</v>
      </c>
      <c r="J86" s="422">
        <v>179.02026508455899</v>
      </c>
      <c r="K86" s="422">
        <v>22.071430242595699</v>
      </c>
      <c r="L86" s="421">
        <v>0</v>
      </c>
      <c r="M86" s="421">
        <v>0</v>
      </c>
      <c r="N86" s="422">
        <v>69.124340714614704</v>
      </c>
      <c r="O86" s="422">
        <v>3.9743240940765601</v>
      </c>
      <c r="P86" s="421">
        <v>0</v>
      </c>
      <c r="Q86" s="421">
        <v>0</v>
      </c>
      <c r="R86" s="421">
        <v>0</v>
      </c>
      <c r="S86" s="423">
        <v>1286.54308740857</v>
      </c>
      <c r="T86" s="412"/>
    </row>
    <row r="87" spans="2:20" ht="13.5">
      <c r="B87" s="412"/>
      <c r="C87" s="420" t="s">
        <v>60</v>
      </c>
      <c r="D87" s="421">
        <v>29.137863782851301</v>
      </c>
      <c r="E87" s="421">
        <v>464.7986487</v>
      </c>
      <c r="F87" s="421">
        <v>43.026150332406097</v>
      </c>
      <c r="G87" s="421">
        <v>393.69712052116603</v>
      </c>
      <c r="H87" s="421">
        <v>0</v>
      </c>
      <c r="I87" s="421">
        <v>0</v>
      </c>
      <c r="J87" s="421">
        <v>0</v>
      </c>
      <c r="K87" s="421">
        <v>0</v>
      </c>
      <c r="L87" s="421">
        <v>0</v>
      </c>
      <c r="M87" s="421">
        <v>0</v>
      </c>
      <c r="N87" s="421">
        <v>0</v>
      </c>
      <c r="O87" s="421">
        <v>0</v>
      </c>
      <c r="P87" s="421">
        <v>52.272660894863201</v>
      </c>
      <c r="Q87" s="421">
        <v>0</v>
      </c>
      <c r="R87" s="421">
        <v>0</v>
      </c>
      <c r="S87" s="423">
        <v>982.93244423128704</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0</v>
      </c>
      <c r="Q88" s="421">
        <v>0</v>
      </c>
      <c r="R88" s="421">
        <v>0</v>
      </c>
      <c r="S88" s="423">
        <v>0</v>
      </c>
      <c r="T88" s="412"/>
    </row>
    <row r="89" spans="2:20" ht="13.5">
      <c r="B89" s="412"/>
      <c r="C89" s="420" t="s">
        <v>62</v>
      </c>
      <c r="D89" s="421">
        <v>0</v>
      </c>
      <c r="E89" s="421">
        <v>0</v>
      </c>
      <c r="F89" s="421">
        <v>-14.431507774067301</v>
      </c>
      <c r="G89" s="421">
        <v>0</v>
      </c>
      <c r="H89" s="421">
        <v>0</v>
      </c>
      <c r="I89" s="421">
        <v>0</v>
      </c>
      <c r="J89" s="421">
        <v>0</v>
      </c>
      <c r="K89" s="421">
        <v>0</v>
      </c>
      <c r="L89" s="421">
        <v>0</v>
      </c>
      <c r="M89" s="421">
        <v>0</v>
      </c>
      <c r="N89" s="421">
        <v>0</v>
      </c>
      <c r="O89" s="421">
        <v>0</v>
      </c>
      <c r="P89" s="421">
        <v>0</v>
      </c>
      <c r="Q89" s="421">
        <v>0</v>
      </c>
      <c r="R89" s="421">
        <v>0</v>
      </c>
      <c r="S89" s="423">
        <v>-14.431507774067301</v>
      </c>
      <c r="T89" s="412"/>
    </row>
    <row r="90" spans="2:20" ht="13.5">
      <c r="B90" s="412"/>
      <c r="C90" s="420" t="s">
        <v>63</v>
      </c>
      <c r="D90" s="421">
        <v>0</v>
      </c>
      <c r="E90" s="421">
        <v>0</v>
      </c>
      <c r="F90" s="421">
        <v>-93.073301321338505</v>
      </c>
      <c r="G90" s="421">
        <v>0</v>
      </c>
      <c r="H90" s="421">
        <v>0</v>
      </c>
      <c r="I90" s="421">
        <v>0</v>
      </c>
      <c r="J90" s="421">
        <v>0</v>
      </c>
      <c r="K90" s="421">
        <v>0</v>
      </c>
      <c r="L90" s="421">
        <v>-0.96113349486483901</v>
      </c>
      <c r="M90" s="421">
        <v>0</v>
      </c>
      <c r="N90" s="421">
        <v>0</v>
      </c>
      <c r="O90" s="421">
        <v>0</v>
      </c>
      <c r="P90" s="421">
        <v>0</v>
      </c>
      <c r="Q90" s="421">
        <v>0</v>
      </c>
      <c r="R90" s="421">
        <v>0</v>
      </c>
      <c r="S90" s="423">
        <v>-94.034434816203301</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29.137863782851301</v>
      </c>
      <c r="E92" s="425">
        <v>464.7986487</v>
      </c>
      <c r="F92" s="425">
        <v>-64.4786587629997</v>
      </c>
      <c r="G92" s="425">
        <v>393.69712052116603</v>
      </c>
      <c r="H92" s="425">
        <v>727.27272727272702</v>
      </c>
      <c r="I92" s="425">
        <v>285.08</v>
      </c>
      <c r="J92" s="425">
        <v>179.02026508455899</v>
      </c>
      <c r="K92" s="425">
        <v>22.071430242595699</v>
      </c>
      <c r="L92" s="425">
        <v>-0.96113349486483901</v>
      </c>
      <c r="M92" s="425">
        <v>0</v>
      </c>
      <c r="N92" s="425">
        <v>69.124340714614704</v>
      </c>
      <c r="O92" s="425">
        <v>3.9743240940765601</v>
      </c>
      <c r="P92" s="425">
        <v>52.272660894863201</v>
      </c>
      <c r="Q92" s="425">
        <v>0</v>
      </c>
      <c r="R92" s="425">
        <v>0</v>
      </c>
      <c r="S92" s="425">
        <v>2161.00958904959</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2.2004707355665598</v>
      </c>
      <c r="E95" s="421">
        <v>0</v>
      </c>
      <c r="F95" s="421">
        <v>3.8636363636363602</v>
      </c>
      <c r="G95" s="421">
        <v>35.960251906978201</v>
      </c>
      <c r="H95" s="421">
        <v>727.27272727272702</v>
      </c>
      <c r="I95" s="421">
        <v>285.08</v>
      </c>
      <c r="J95" s="421">
        <v>20.883347007614301</v>
      </c>
      <c r="K95" s="421">
        <v>5.4396340942741803</v>
      </c>
      <c r="L95" s="421">
        <v>0</v>
      </c>
      <c r="M95" s="421">
        <v>0.73388269197914702</v>
      </c>
      <c r="N95" s="421">
        <v>0</v>
      </c>
      <c r="O95" s="421">
        <v>0</v>
      </c>
      <c r="P95" s="421">
        <v>-559.49648075937398</v>
      </c>
      <c r="Q95" s="421">
        <v>0</v>
      </c>
      <c r="R95" s="421">
        <v>0</v>
      </c>
      <c r="S95" s="429">
        <v>521.93746931340195</v>
      </c>
      <c r="T95" s="412"/>
    </row>
    <row r="96" spans="2:20" ht="13.5">
      <c r="B96" s="412"/>
      <c r="C96" s="428" t="s">
        <v>351</v>
      </c>
      <c r="D96" s="421">
        <v>0</v>
      </c>
      <c r="E96" s="421">
        <v>0</v>
      </c>
      <c r="F96" s="421">
        <v>0</v>
      </c>
      <c r="G96" s="421">
        <v>17.249248608476702</v>
      </c>
      <c r="H96" s="421">
        <v>0</v>
      </c>
      <c r="I96" s="421">
        <v>0</v>
      </c>
      <c r="J96" s="421">
        <v>12.287356523997399</v>
      </c>
      <c r="K96" s="421">
        <v>12.751836063828801</v>
      </c>
      <c r="L96" s="421">
        <v>0</v>
      </c>
      <c r="M96" s="421">
        <v>0.35202548180564602</v>
      </c>
      <c r="N96" s="421">
        <v>0</v>
      </c>
      <c r="O96" s="421">
        <v>2.25411214784515</v>
      </c>
      <c r="P96" s="421">
        <v>0</v>
      </c>
      <c r="Q96" s="421">
        <v>-41.172831919421</v>
      </c>
      <c r="R96" s="421">
        <v>0</v>
      </c>
      <c r="S96" s="429">
        <v>3.7217469065325699</v>
      </c>
      <c r="T96" s="412"/>
    </row>
    <row r="97" spans="2:20" ht="13.5">
      <c r="B97" s="412"/>
      <c r="C97" s="428" t="s">
        <v>352</v>
      </c>
      <c r="D97" s="421">
        <v>0</v>
      </c>
      <c r="E97" s="421">
        <v>0</v>
      </c>
      <c r="F97" s="421">
        <v>0</v>
      </c>
      <c r="G97" s="421">
        <v>0</v>
      </c>
      <c r="H97" s="421">
        <v>0</v>
      </c>
      <c r="I97" s="421">
        <v>0</v>
      </c>
      <c r="J97" s="421">
        <v>8.1584068388578199</v>
      </c>
      <c r="K97" s="421">
        <v>0</v>
      </c>
      <c r="L97" s="421">
        <v>0</v>
      </c>
      <c r="M97" s="421">
        <v>-7.7912785311092199</v>
      </c>
      <c r="N97" s="421">
        <v>0</v>
      </c>
      <c r="O97" s="421">
        <v>0</v>
      </c>
      <c r="P97" s="421">
        <v>0</v>
      </c>
      <c r="Q97" s="421">
        <v>0</v>
      </c>
      <c r="R97" s="421">
        <v>0</v>
      </c>
      <c r="S97" s="429">
        <v>0.367128307748603</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481.48200000000003</v>
      </c>
      <c r="F99" s="421">
        <v>-476.66717999999997</v>
      </c>
      <c r="G99" s="421">
        <v>0</v>
      </c>
      <c r="H99" s="421">
        <v>0</v>
      </c>
      <c r="I99" s="421">
        <v>0</v>
      </c>
      <c r="J99" s="421">
        <v>0</v>
      </c>
      <c r="K99" s="421">
        <v>0</v>
      </c>
      <c r="L99" s="421">
        <v>0</v>
      </c>
      <c r="M99" s="421">
        <v>0</v>
      </c>
      <c r="N99" s="421">
        <v>0</v>
      </c>
      <c r="O99" s="421">
        <v>0</v>
      </c>
      <c r="P99" s="421">
        <v>0</v>
      </c>
      <c r="Q99" s="421">
        <v>0</v>
      </c>
      <c r="R99" s="421">
        <v>0</v>
      </c>
      <c r="S99" s="429">
        <v>4.8148200000000001</v>
      </c>
      <c r="T99" s="412"/>
    </row>
    <row r="100" spans="2:20" ht="13.5">
      <c r="B100" s="412"/>
      <c r="C100" s="428" t="s">
        <v>354</v>
      </c>
      <c r="D100" s="421">
        <v>0</v>
      </c>
      <c r="E100" s="421">
        <v>0</v>
      </c>
      <c r="F100" s="421">
        <v>0</v>
      </c>
      <c r="G100" s="421">
        <v>0</v>
      </c>
      <c r="H100" s="421">
        <v>0</v>
      </c>
      <c r="I100" s="421">
        <v>0</v>
      </c>
      <c r="J100" s="421">
        <v>41.474660133722303</v>
      </c>
      <c r="K100" s="421">
        <v>0</v>
      </c>
      <c r="L100" s="421">
        <v>-41.474660133722303</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-0.18779562104234199</v>
      </c>
      <c r="M101" s="421">
        <v>0</v>
      </c>
      <c r="N101" s="421">
        <v>0</v>
      </c>
      <c r="O101" s="421">
        <v>0</v>
      </c>
      <c r="P101" s="421">
        <v>0</v>
      </c>
      <c r="Q101" s="421">
        <v>0</v>
      </c>
      <c r="R101" s="421">
        <v>0.26827945863191799</v>
      </c>
      <c r="S101" s="429">
        <v>8.0483837589575294E-2</v>
      </c>
      <c r="T101" s="412"/>
    </row>
    <row r="102" spans="2:20" ht="13.5">
      <c r="B102" s="412"/>
      <c r="C102" s="428" t="s">
        <v>73</v>
      </c>
      <c r="D102" s="421">
        <v>0</v>
      </c>
      <c r="E102" s="421">
        <v>0</v>
      </c>
      <c r="F102" s="421">
        <v>0</v>
      </c>
      <c r="G102" s="421">
        <v>5.7699673283914903</v>
      </c>
      <c r="H102" s="421">
        <v>0</v>
      </c>
      <c r="I102" s="421">
        <v>0</v>
      </c>
      <c r="J102" s="421">
        <v>0</v>
      </c>
      <c r="K102" s="421">
        <v>6.7674962800744601E-2</v>
      </c>
      <c r="L102" s="421">
        <v>0</v>
      </c>
      <c r="M102" s="421">
        <v>0.117754435273296</v>
      </c>
      <c r="N102" s="421">
        <v>0</v>
      </c>
      <c r="O102" s="421">
        <v>0</v>
      </c>
      <c r="P102" s="421">
        <v>0.78954123267535403</v>
      </c>
      <c r="Q102" s="421">
        <v>0</v>
      </c>
      <c r="R102" s="421">
        <v>-4.73724739605212</v>
      </c>
      <c r="S102" s="429">
        <v>2.0076905630887598</v>
      </c>
      <c r="T102" s="412"/>
    </row>
    <row r="103" spans="2:20" ht="13.5">
      <c r="B103" s="412"/>
      <c r="C103" s="428" t="s">
        <v>356</v>
      </c>
      <c r="D103" s="421">
        <v>12.0380056152344</v>
      </c>
      <c r="E103" s="421">
        <v>-16.683351300000002</v>
      </c>
      <c r="F103" s="421">
        <v>21.820838094867199</v>
      </c>
      <c r="G103" s="421">
        <v>0</v>
      </c>
      <c r="H103" s="421">
        <v>0</v>
      </c>
      <c r="I103" s="421">
        <v>0</v>
      </c>
      <c r="J103" s="421">
        <v>0</v>
      </c>
      <c r="K103" s="421">
        <v>0</v>
      </c>
      <c r="L103" s="421">
        <v>0</v>
      </c>
      <c r="M103" s="421">
        <v>0</v>
      </c>
      <c r="N103" s="421">
        <v>0</v>
      </c>
      <c r="O103" s="421">
        <v>0</v>
      </c>
      <c r="P103" s="421">
        <v>0</v>
      </c>
      <c r="Q103" s="421">
        <v>0</v>
      </c>
      <c r="R103" s="421">
        <v>0</v>
      </c>
      <c r="S103" s="429">
        <v>17.175492410101601</v>
      </c>
      <c r="T103" s="412"/>
    </row>
    <row r="104" spans="2:20" ht="13.5">
      <c r="B104" s="412"/>
      <c r="C104" s="428" t="s">
        <v>75</v>
      </c>
      <c r="D104" s="421">
        <v>9.5550615234374998</v>
      </c>
      <c r="E104" s="421">
        <v>0</v>
      </c>
      <c r="F104" s="421">
        <v>16.370387999999998</v>
      </c>
      <c r="G104" s="421">
        <v>4.6713383640000004</v>
      </c>
      <c r="H104" s="421">
        <v>0</v>
      </c>
      <c r="I104" s="421">
        <v>0</v>
      </c>
      <c r="J104" s="421">
        <v>0</v>
      </c>
      <c r="K104" s="421">
        <v>0</v>
      </c>
      <c r="L104" s="421">
        <v>0</v>
      </c>
      <c r="M104" s="421">
        <v>9.5333435999999994E-2</v>
      </c>
      <c r="N104" s="421">
        <v>0</v>
      </c>
      <c r="O104" s="421">
        <v>0</v>
      </c>
      <c r="P104" s="421">
        <v>25.6753694925142</v>
      </c>
      <c r="Q104" s="421">
        <v>0</v>
      </c>
      <c r="R104" s="421">
        <v>0</v>
      </c>
      <c r="S104" s="429">
        <v>56.367490815951697</v>
      </c>
      <c r="T104" s="412"/>
    </row>
    <row r="105" spans="2:20" ht="13.5">
      <c r="B105" s="412"/>
      <c r="C105" s="428" t="s">
        <v>76</v>
      </c>
      <c r="D105" s="421">
        <v>0</v>
      </c>
      <c r="E105" s="421">
        <v>0</v>
      </c>
      <c r="F105" s="421">
        <v>0</v>
      </c>
      <c r="G105" s="421">
        <v>4.52694839554567</v>
      </c>
      <c r="H105" s="421">
        <v>0</v>
      </c>
      <c r="I105" s="421">
        <v>0</v>
      </c>
      <c r="J105" s="421">
        <v>0</v>
      </c>
      <c r="K105" s="421">
        <v>0</v>
      </c>
      <c r="L105" s="421">
        <v>0</v>
      </c>
      <c r="M105" s="421">
        <v>9.2386701949911706E-2</v>
      </c>
      <c r="N105" s="421">
        <v>0</v>
      </c>
      <c r="O105" s="421">
        <v>0</v>
      </c>
      <c r="P105" s="421">
        <v>46.885354346539003</v>
      </c>
      <c r="Q105" s="421">
        <v>3.1905146505824402</v>
      </c>
      <c r="R105" s="421">
        <v>0</v>
      </c>
      <c r="S105" s="429">
        <v>54.695204094616997</v>
      </c>
      <c r="T105" s="412"/>
    </row>
    <row r="106" spans="2:20" ht="13.5">
      <c r="B106" s="412"/>
      <c r="C106" s="424" t="s">
        <v>77</v>
      </c>
      <c r="D106" s="425">
        <v>23.7935378742384</v>
      </c>
      <c r="E106" s="425">
        <v>464.7986487</v>
      </c>
      <c r="F106" s="425">
        <v>-434.61231754149702</v>
      </c>
      <c r="G106" s="425">
        <v>68.177754603392003</v>
      </c>
      <c r="H106" s="425">
        <v>727.27272727272702</v>
      </c>
      <c r="I106" s="425">
        <v>285.08</v>
      </c>
      <c r="J106" s="425">
        <v>82.803770504191903</v>
      </c>
      <c r="K106" s="425">
        <v>18.2591451209037</v>
      </c>
      <c r="L106" s="425">
        <v>-41.6624557547647</v>
      </c>
      <c r="M106" s="425">
        <v>-6.3998957841012203</v>
      </c>
      <c r="N106" s="425">
        <v>0</v>
      </c>
      <c r="O106" s="425">
        <v>2.25411214784515</v>
      </c>
      <c r="P106" s="425">
        <v>-486.14621568764602</v>
      </c>
      <c r="Q106" s="425">
        <v>-37.982317268838599</v>
      </c>
      <c r="R106" s="425">
        <v>-4.46896793742021</v>
      </c>
      <c r="S106" s="425">
        <v>661.16752624903097</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3.2525348929878701</v>
      </c>
      <c r="E108" s="421">
        <v>0</v>
      </c>
      <c r="F108" s="421">
        <v>17.532199420942199</v>
      </c>
      <c r="G108" s="421">
        <v>101.536086736296</v>
      </c>
      <c r="H108" s="421">
        <v>0</v>
      </c>
      <c r="I108" s="421">
        <v>0</v>
      </c>
      <c r="J108" s="421">
        <v>17.243729128153799</v>
      </c>
      <c r="K108" s="421">
        <v>3.8122851216920202</v>
      </c>
      <c r="L108" s="421">
        <v>0.87021837890624998</v>
      </c>
      <c r="M108" s="421">
        <v>2.0721650354346099</v>
      </c>
      <c r="N108" s="421">
        <v>0</v>
      </c>
      <c r="O108" s="421">
        <v>0</v>
      </c>
      <c r="P108" s="421">
        <v>120.089551917563</v>
      </c>
      <c r="Q108" s="421">
        <v>19.4196670049601</v>
      </c>
      <c r="R108" s="421">
        <v>0.24405599975585901</v>
      </c>
      <c r="S108" s="429">
        <v>286.072493636692</v>
      </c>
      <c r="T108" s="412"/>
    </row>
    <row r="109" spans="2:20" ht="13.5">
      <c r="B109" s="412"/>
      <c r="C109" s="428" t="s">
        <v>79</v>
      </c>
      <c r="D109" s="421">
        <v>0</v>
      </c>
      <c r="E109" s="421">
        <v>0</v>
      </c>
      <c r="F109" s="421">
        <v>204.27744800701601</v>
      </c>
      <c r="G109" s="421">
        <v>35.056721936600702</v>
      </c>
      <c r="H109" s="421">
        <v>0</v>
      </c>
      <c r="I109" s="421">
        <v>0</v>
      </c>
      <c r="J109" s="421">
        <v>0</v>
      </c>
      <c r="K109" s="421">
        <v>0</v>
      </c>
      <c r="L109" s="421">
        <v>20.587238275227001</v>
      </c>
      <c r="M109" s="421">
        <v>0.71544330482858598</v>
      </c>
      <c r="N109" s="421">
        <v>0</v>
      </c>
      <c r="O109" s="421">
        <v>0</v>
      </c>
      <c r="P109" s="421">
        <v>74.338731935176895</v>
      </c>
      <c r="Q109" s="421">
        <v>0</v>
      </c>
      <c r="R109" s="421">
        <v>3.0427208487971602</v>
      </c>
      <c r="S109" s="429">
        <v>338.01830430764699</v>
      </c>
      <c r="T109" s="412"/>
    </row>
    <row r="110" spans="2:20" ht="13.5">
      <c r="B110" s="412"/>
      <c r="C110" s="428" t="s">
        <v>80</v>
      </c>
      <c r="D110" s="421">
        <v>0</v>
      </c>
      <c r="E110" s="421">
        <v>0</v>
      </c>
      <c r="F110" s="421">
        <v>5.0790798253364304</v>
      </c>
      <c r="G110" s="421">
        <v>103.36019560958501</v>
      </c>
      <c r="H110" s="421">
        <v>0</v>
      </c>
      <c r="I110" s="421">
        <v>0</v>
      </c>
      <c r="J110" s="421">
        <v>73.674863255740703</v>
      </c>
      <c r="K110" s="421">
        <v>0</v>
      </c>
      <c r="L110" s="421">
        <v>0</v>
      </c>
      <c r="M110" s="421">
        <v>2.1093917471343899</v>
      </c>
      <c r="N110" s="421">
        <v>62.925207692465797</v>
      </c>
      <c r="O110" s="421">
        <v>0.93798825098649496</v>
      </c>
      <c r="P110" s="421">
        <v>184.247095425738</v>
      </c>
      <c r="Q110" s="421">
        <v>14.961677987514401</v>
      </c>
      <c r="R110" s="421">
        <v>0</v>
      </c>
      <c r="S110" s="429">
        <v>447.29549979450098</v>
      </c>
      <c r="T110" s="412"/>
    </row>
    <row r="111" spans="2:20" ht="13.5">
      <c r="B111" s="412"/>
      <c r="C111" s="428" t="s">
        <v>81</v>
      </c>
      <c r="D111" s="421">
        <v>0</v>
      </c>
      <c r="E111" s="421">
        <v>0</v>
      </c>
      <c r="F111" s="421">
        <v>1.9431733632283299</v>
      </c>
      <c r="G111" s="421">
        <v>67.9041876215625</v>
      </c>
      <c r="H111" s="421">
        <v>0</v>
      </c>
      <c r="I111" s="421">
        <v>0</v>
      </c>
      <c r="J111" s="421">
        <v>3.20971056517973</v>
      </c>
      <c r="K111" s="421">
        <v>0</v>
      </c>
      <c r="L111" s="421">
        <v>0</v>
      </c>
      <c r="M111" s="421">
        <v>1.3857997473788299</v>
      </c>
      <c r="N111" s="421">
        <v>6.1991330221488896</v>
      </c>
      <c r="O111" s="421">
        <v>0.72170394145081995</v>
      </c>
      <c r="P111" s="421">
        <v>149.98195377916301</v>
      </c>
      <c r="Q111" s="421">
        <v>3.6009722763640601</v>
      </c>
      <c r="R111" s="421">
        <v>0</v>
      </c>
      <c r="S111" s="429">
        <v>234.94663431647601</v>
      </c>
      <c r="T111" s="412"/>
    </row>
    <row r="112" spans="2:20" ht="13.5">
      <c r="B112" s="412"/>
      <c r="C112" s="428" t="s">
        <v>82</v>
      </c>
      <c r="D112" s="421">
        <v>0</v>
      </c>
      <c r="E112" s="421">
        <v>0</v>
      </c>
      <c r="F112" s="421">
        <v>2.1543406684855499</v>
      </c>
      <c r="G112" s="421">
        <v>5.7377015169157897</v>
      </c>
      <c r="H112" s="421">
        <v>0</v>
      </c>
      <c r="I112" s="421">
        <v>0</v>
      </c>
      <c r="J112" s="421">
        <v>2.0881916312924198</v>
      </c>
      <c r="K112" s="421">
        <v>0</v>
      </c>
      <c r="L112" s="421">
        <v>19.243865605766601</v>
      </c>
      <c r="M112" s="421">
        <v>0.117095949324812</v>
      </c>
      <c r="N112" s="421">
        <v>0</v>
      </c>
      <c r="O112" s="421">
        <v>6.0519753794095202E-2</v>
      </c>
      <c r="P112" s="421">
        <v>7.3615435248684502</v>
      </c>
      <c r="Q112" s="421">
        <v>0</v>
      </c>
      <c r="R112" s="421">
        <v>0</v>
      </c>
      <c r="S112" s="429">
        <v>36.763258650447703</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2.4</v>
      </c>
      <c r="Q113" s="421">
        <v>0</v>
      </c>
      <c r="R113" s="421">
        <v>0</v>
      </c>
      <c r="S113" s="429">
        <v>2.4</v>
      </c>
      <c r="T113" s="412"/>
    </row>
    <row r="114" spans="2:20" ht="13.5">
      <c r="B114" s="412"/>
      <c r="C114" s="424" t="s">
        <v>83</v>
      </c>
      <c r="D114" s="425">
        <v>3.2525348929878701</v>
      </c>
      <c r="E114" s="425">
        <v>0</v>
      </c>
      <c r="F114" s="425">
        <v>230.98624128500899</v>
      </c>
      <c r="G114" s="425">
        <v>313.59489342095998</v>
      </c>
      <c r="H114" s="425">
        <v>0</v>
      </c>
      <c r="I114" s="425">
        <v>0</v>
      </c>
      <c r="J114" s="425">
        <v>96.2164945803667</v>
      </c>
      <c r="K114" s="425">
        <v>3.8122851216920202</v>
      </c>
      <c r="L114" s="425">
        <v>40.701322259899896</v>
      </c>
      <c r="M114" s="425">
        <v>6.3998957841012203</v>
      </c>
      <c r="N114" s="425">
        <v>69.124340714614704</v>
      </c>
      <c r="O114" s="425">
        <v>1.72021194623141</v>
      </c>
      <c r="P114" s="425">
        <v>538.41887658250903</v>
      </c>
      <c r="Q114" s="425">
        <v>37.982317268838599</v>
      </c>
      <c r="R114" s="425">
        <v>3.28677684855302</v>
      </c>
      <c r="S114" s="425">
        <v>1345.49619070576</v>
      </c>
      <c r="T114" s="412"/>
    </row>
    <row r="115" spans="2:20" ht="13.5">
      <c r="B115" s="412"/>
      <c r="C115" s="420" t="s">
        <v>84</v>
      </c>
      <c r="D115" s="421">
        <v>2.0917910156250001</v>
      </c>
      <c r="E115" s="421">
        <v>0</v>
      </c>
      <c r="F115" s="421">
        <v>139.14741749348801</v>
      </c>
      <c r="G115" s="421">
        <v>11.9244724968143</v>
      </c>
      <c r="H115" s="421">
        <v>0</v>
      </c>
      <c r="I115" s="421">
        <v>0</v>
      </c>
      <c r="J115" s="421">
        <v>0</v>
      </c>
      <c r="K115" s="421">
        <v>0</v>
      </c>
      <c r="L115" s="421">
        <v>0</v>
      </c>
      <c r="M115" s="421">
        <v>0</v>
      </c>
      <c r="N115" s="421">
        <v>0</v>
      </c>
      <c r="O115" s="421">
        <v>0</v>
      </c>
      <c r="P115" s="421">
        <v>0</v>
      </c>
      <c r="Q115" s="421">
        <v>0</v>
      </c>
      <c r="R115" s="421">
        <v>1.18219108886719</v>
      </c>
      <c r="S115" s="429">
        <v>154.345872094794</v>
      </c>
      <c r="T115" s="412"/>
    </row>
    <row r="116" spans="2:20" ht="13.5">
      <c r="B116" s="412"/>
      <c r="C116" s="424" t="s">
        <v>85</v>
      </c>
      <c r="D116" s="425">
        <v>5.3443259086128698</v>
      </c>
      <c r="E116" s="425">
        <v>0</v>
      </c>
      <c r="F116" s="425">
        <v>370.13365877849702</v>
      </c>
      <c r="G116" s="425">
        <v>325.519365917774</v>
      </c>
      <c r="H116" s="425">
        <v>0</v>
      </c>
      <c r="I116" s="425">
        <v>0</v>
      </c>
      <c r="J116" s="425">
        <v>96.2164945803667</v>
      </c>
      <c r="K116" s="425">
        <v>3.8122851216920202</v>
      </c>
      <c r="L116" s="425">
        <v>40.701322259899896</v>
      </c>
      <c r="M116" s="425">
        <v>6.3998957841012203</v>
      </c>
      <c r="N116" s="425">
        <v>69.124340714614704</v>
      </c>
      <c r="O116" s="425">
        <v>1.72021194623141</v>
      </c>
      <c r="P116" s="425">
        <v>538.41887658250903</v>
      </c>
      <c r="Q116" s="425">
        <v>37.982317268838599</v>
      </c>
      <c r="R116" s="425">
        <v>4.46896793742021</v>
      </c>
      <c r="S116" s="425">
        <v>1499.8420628005599</v>
      </c>
      <c r="T116" s="412"/>
    </row>
    <row r="117" spans="2:20">
      <c r="B117" s="412"/>
      <c r="C117" s="412"/>
      <c r="D117" s="430">
        <f t="shared" ref="D117:S117" si="2">D116+D106-D92</f>
        <v>-3.1974423109204508E-14</v>
      </c>
      <c r="E117" s="430">
        <f t="shared" si="2"/>
        <v>0</v>
      </c>
      <c r="F117" s="430">
        <f t="shared" si="2"/>
        <v>-2.9842794901924208E-13</v>
      </c>
      <c r="G117" s="430">
        <f t="shared" si="2"/>
        <v>0</v>
      </c>
      <c r="H117" s="430">
        <f t="shared" si="2"/>
        <v>0</v>
      </c>
      <c r="I117" s="430">
        <f t="shared" si="2"/>
        <v>0</v>
      </c>
      <c r="J117" s="430">
        <f t="shared" si="2"/>
        <v>-3.694822225952521E-13</v>
      </c>
      <c r="K117" s="430">
        <f t="shared" si="2"/>
        <v>0</v>
      </c>
      <c r="L117" s="430">
        <f t="shared" si="2"/>
        <v>3.5416114485542494E-14</v>
      </c>
      <c r="M117" s="430">
        <f t="shared" si="2"/>
        <v>0</v>
      </c>
      <c r="N117" s="430">
        <f t="shared" si="2"/>
        <v>0</v>
      </c>
      <c r="O117" s="430">
        <f t="shared" si="2"/>
        <v>0</v>
      </c>
      <c r="P117" s="430">
        <f t="shared" si="2"/>
        <v>-1.9184653865522705E-13</v>
      </c>
      <c r="Q117" s="430">
        <f t="shared" si="2"/>
        <v>0</v>
      </c>
      <c r="R117" s="430">
        <f t="shared" si="2"/>
        <v>0</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sheetData>
  <mergeCells count="36">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86:O86">
    <cfRule type="expression" dxfId="9517" priority="162">
      <formula>LEN(TRIM(N86))=0</formula>
    </cfRule>
  </conditionalFormatting>
  <conditionalFormatting sqref="N86:O86">
    <cfRule type="cellIs" dxfId="9516" priority="161" operator="equal">
      <formula>0</formula>
    </cfRule>
  </conditionalFormatting>
  <conditionalFormatting sqref="N86:O86">
    <cfRule type="cellIs" dxfId="9515" priority="160" operator="equal">
      <formula>0</formula>
    </cfRule>
  </conditionalFormatting>
  <conditionalFormatting sqref="H86:K86">
    <cfRule type="expression" dxfId="9514" priority="159">
      <formula>LEN(TRIM(H86))=0</formula>
    </cfRule>
  </conditionalFormatting>
  <conditionalFormatting sqref="K86">
    <cfRule type="cellIs" dxfId="9513" priority="158" operator="equal">
      <formula>0</formula>
    </cfRule>
  </conditionalFormatting>
  <conditionalFormatting sqref="J86:K86">
    <cfRule type="cellIs" dxfId="9512" priority="157" operator="equal">
      <formula>0</formula>
    </cfRule>
  </conditionalFormatting>
  <conditionalFormatting sqref="I86">
    <cfRule type="cellIs" dxfId="9511" priority="156" operator="equal">
      <formula>0</formula>
    </cfRule>
  </conditionalFormatting>
  <conditionalFormatting sqref="H86">
    <cfRule type="cellIs" dxfId="9510" priority="155" operator="equal">
      <formula>0</formula>
    </cfRule>
  </conditionalFormatting>
  <conditionalFormatting sqref="D94:R105">
    <cfRule type="expression" dxfId="9509" priority="154">
      <formula>LEN(TRIM(D94))=0</formula>
    </cfRule>
  </conditionalFormatting>
  <conditionalFormatting sqref="D94:R105">
    <cfRule type="cellIs" dxfId="9508" priority="153" operator="equal">
      <formula>0</formula>
    </cfRule>
  </conditionalFormatting>
  <conditionalFormatting sqref="N90:O90">
    <cfRule type="cellIs" dxfId="9507" priority="152" operator="equal">
      <formula>0</formula>
    </cfRule>
  </conditionalFormatting>
  <conditionalFormatting sqref="N89:O89">
    <cfRule type="cellIs" dxfId="9506" priority="151" operator="equal">
      <formula>0</formula>
    </cfRule>
  </conditionalFormatting>
  <conditionalFormatting sqref="M89:M90">
    <cfRule type="cellIs" dxfId="9505" priority="150" operator="equal">
      <formula>0</formula>
    </cfRule>
  </conditionalFormatting>
  <conditionalFormatting sqref="L89:L90">
    <cfRule type="cellIs" dxfId="9504" priority="149" operator="equal">
      <formula>0</formula>
    </cfRule>
  </conditionalFormatting>
  <conditionalFormatting sqref="D115:R115">
    <cfRule type="cellIs" dxfId="9503" priority="148" operator="equal">
      <formula>0</formula>
    </cfRule>
  </conditionalFormatting>
  <conditionalFormatting sqref="D108:R116 D106:R106 D87:R92 D86:G86 L86:M86 P86:R86">
    <cfRule type="expression" dxfId="9502" priority="147">
      <formula>LEN(TRIM(D86))=0</formula>
    </cfRule>
  </conditionalFormatting>
  <conditionalFormatting sqref="D115:R115">
    <cfRule type="cellIs" dxfId="9501" priority="146" operator="equal">
      <formula>0</formula>
    </cfRule>
  </conditionalFormatting>
  <conditionalFormatting sqref="O87:O88">
    <cfRule type="cellIs" dxfId="9500" priority="145" operator="equal">
      <formula>0</formula>
    </cfRule>
  </conditionalFormatting>
  <conditionalFormatting sqref="O89:O91 O107">
    <cfRule type="cellIs" dxfId="9499" priority="144" operator="equal">
      <formula>0</formula>
    </cfRule>
  </conditionalFormatting>
  <conditionalFormatting sqref="N87:N88">
    <cfRule type="cellIs" dxfId="9498" priority="143" operator="equal">
      <formula>0</formula>
    </cfRule>
  </conditionalFormatting>
  <conditionalFormatting sqref="N89:N91 N107">
    <cfRule type="cellIs" dxfId="9497" priority="142" operator="equal">
      <formula>0</formula>
    </cfRule>
  </conditionalFormatting>
  <conditionalFormatting sqref="M86:M88">
    <cfRule type="cellIs" dxfId="9496" priority="141" operator="equal">
      <formula>0</formula>
    </cfRule>
  </conditionalFormatting>
  <conditionalFormatting sqref="M89:M91 M107">
    <cfRule type="cellIs" dxfId="9495" priority="140" operator="equal">
      <formula>0</formula>
    </cfRule>
  </conditionalFormatting>
  <conditionalFormatting sqref="L86:L88">
    <cfRule type="cellIs" dxfId="9494" priority="139" operator="equal">
      <formula>0</formula>
    </cfRule>
  </conditionalFormatting>
  <conditionalFormatting sqref="L89:L91 L107">
    <cfRule type="cellIs" dxfId="9493" priority="138" operator="equal">
      <formula>0</formula>
    </cfRule>
  </conditionalFormatting>
  <conditionalFormatting sqref="K87:K88">
    <cfRule type="cellIs" dxfId="9492" priority="137" operator="equal">
      <formula>0</formula>
    </cfRule>
  </conditionalFormatting>
  <conditionalFormatting sqref="K89:K91 K107">
    <cfRule type="cellIs" dxfId="9491" priority="136" operator="equal">
      <formula>0</formula>
    </cfRule>
  </conditionalFormatting>
  <conditionalFormatting sqref="J87:J88">
    <cfRule type="cellIs" dxfId="9490" priority="135" operator="equal">
      <formula>0</formula>
    </cfRule>
  </conditionalFormatting>
  <conditionalFormatting sqref="J89:J91 J107">
    <cfRule type="cellIs" dxfId="9489" priority="134" operator="equal">
      <formula>0</formula>
    </cfRule>
  </conditionalFormatting>
  <conditionalFormatting sqref="L86:M86">
    <cfRule type="cellIs" dxfId="9488" priority="133" operator="equal">
      <formula>0</formula>
    </cfRule>
  </conditionalFormatting>
  <conditionalFormatting sqref="F87:F88">
    <cfRule type="cellIs" dxfId="9487" priority="132" operator="equal">
      <formula>0</formula>
    </cfRule>
  </conditionalFormatting>
  <conditionalFormatting sqref="P86:R86 L86:M86 D87:R88">
    <cfRule type="cellIs" dxfId="9486" priority="131" operator="equal">
      <formula>0</formula>
    </cfRule>
  </conditionalFormatting>
  <conditionalFormatting sqref="P86:P88">
    <cfRule type="cellIs" dxfId="9485" priority="130" operator="equal">
      <formula>0</formula>
    </cfRule>
  </conditionalFormatting>
  <conditionalFormatting sqref="D116:R116 P107:R107 D107:I107 D108:R114 D106:R106 D87:R93 D86:G86 L86:M86 P86:R86">
    <cfRule type="cellIs" dxfId="9484" priority="129" operator="equal">
      <formula>0</formula>
    </cfRule>
  </conditionalFormatting>
  <conditionalFormatting sqref="N49:O49">
    <cfRule type="expression" dxfId="9483" priority="128">
      <formula>LEN(TRIM(N49))=0</formula>
    </cfRule>
  </conditionalFormatting>
  <conditionalFormatting sqref="N49:O49">
    <cfRule type="cellIs" dxfId="9482" priority="127" operator="equal">
      <formula>0</formula>
    </cfRule>
  </conditionalFormatting>
  <conditionalFormatting sqref="N49:O49">
    <cfRule type="cellIs" dxfId="9481" priority="126" operator="equal">
      <formula>0</formula>
    </cfRule>
  </conditionalFormatting>
  <conditionalFormatting sqref="H49:K49">
    <cfRule type="expression" dxfId="9480" priority="125">
      <formula>LEN(TRIM(H49))=0</formula>
    </cfRule>
  </conditionalFormatting>
  <conditionalFormatting sqref="K49">
    <cfRule type="cellIs" dxfId="9479" priority="124" operator="equal">
      <formula>0</formula>
    </cfRule>
  </conditionalFormatting>
  <conditionalFormatting sqref="J49:K49">
    <cfRule type="cellIs" dxfId="9478" priority="123" operator="equal">
      <formula>0</formula>
    </cfRule>
  </conditionalFormatting>
  <conditionalFormatting sqref="I49">
    <cfRule type="cellIs" dxfId="9477" priority="122" operator="equal">
      <formula>0</formula>
    </cfRule>
  </conditionalFormatting>
  <conditionalFormatting sqref="H49">
    <cfRule type="cellIs" dxfId="9476" priority="121" operator="equal">
      <formula>0</formula>
    </cfRule>
  </conditionalFormatting>
  <conditionalFormatting sqref="D57:R68">
    <cfRule type="expression" dxfId="9475" priority="120">
      <formula>LEN(TRIM(D57))=0</formula>
    </cfRule>
  </conditionalFormatting>
  <conditionalFormatting sqref="D57:R68">
    <cfRule type="cellIs" dxfId="9474" priority="119" operator="equal">
      <formula>0</formula>
    </cfRule>
  </conditionalFormatting>
  <conditionalFormatting sqref="N53:O53">
    <cfRule type="cellIs" dxfId="9473" priority="118" operator="equal">
      <formula>0</formula>
    </cfRule>
  </conditionalFormatting>
  <conditionalFormatting sqref="N52:O52">
    <cfRule type="cellIs" dxfId="9472" priority="117" operator="equal">
      <formula>0</formula>
    </cfRule>
  </conditionalFormatting>
  <conditionalFormatting sqref="M52:M53">
    <cfRule type="cellIs" dxfId="9471" priority="116" operator="equal">
      <formula>0</formula>
    </cfRule>
  </conditionalFormatting>
  <conditionalFormatting sqref="L52:L53">
    <cfRule type="cellIs" dxfId="9470" priority="115" operator="equal">
      <formula>0</formula>
    </cfRule>
  </conditionalFormatting>
  <conditionalFormatting sqref="D78:R78">
    <cfRule type="cellIs" dxfId="9469" priority="114" operator="equal">
      <formula>0</formula>
    </cfRule>
  </conditionalFormatting>
  <conditionalFormatting sqref="D71:R79 D69:R69 D50:R55 D49:G49 L49:M49 P49:R49">
    <cfRule type="expression" dxfId="9468" priority="113">
      <formula>LEN(TRIM(D49))=0</formula>
    </cfRule>
  </conditionalFormatting>
  <conditionalFormatting sqref="D78:R78">
    <cfRule type="cellIs" dxfId="9467" priority="112" operator="equal">
      <formula>0</formula>
    </cfRule>
  </conditionalFormatting>
  <conditionalFormatting sqref="O50:O51">
    <cfRule type="cellIs" dxfId="9466" priority="111" operator="equal">
      <formula>0</formula>
    </cfRule>
  </conditionalFormatting>
  <conditionalFormatting sqref="O52:O54 O70">
    <cfRule type="cellIs" dxfId="9465" priority="110" operator="equal">
      <formula>0</formula>
    </cfRule>
  </conditionalFormatting>
  <conditionalFormatting sqref="N50:N51">
    <cfRule type="cellIs" dxfId="9464" priority="109" operator="equal">
      <formula>0</formula>
    </cfRule>
  </conditionalFormatting>
  <conditionalFormatting sqref="N52:N54 N70">
    <cfRule type="cellIs" dxfId="9463" priority="108" operator="equal">
      <formula>0</formula>
    </cfRule>
  </conditionalFormatting>
  <conditionalFormatting sqref="M49:M51">
    <cfRule type="cellIs" dxfId="9462" priority="107" operator="equal">
      <formula>0</formula>
    </cfRule>
  </conditionalFormatting>
  <conditionalFormatting sqref="M52:M54 M70">
    <cfRule type="cellIs" dxfId="9461" priority="106" operator="equal">
      <formula>0</formula>
    </cfRule>
  </conditionalFormatting>
  <conditionalFormatting sqref="L49:L51">
    <cfRule type="cellIs" dxfId="9460" priority="105" operator="equal">
      <formula>0</formula>
    </cfRule>
  </conditionalFormatting>
  <conditionalFormatting sqref="L52:L54 L70">
    <cfRule type="cellIs" dxfId="9459" priority="104" operator="equal">
      <formula>0</formula>
    </cfRule>
  </conditionalFormatting>
  <conditionalFormatting sqref="K50:K51">
    <cfRule type="cellIs" dxfId="9458" priority="103" operator="equal">
      <formula>0</formula>
    </cfRule>
  </conditionalFormatting>
  <conditionalFormatting sqref="K52:K54 K70">
    <cfRule type="cellIs" dxfId="9457" priority="102" operator="equal">
      <formula>0</formula>
    </cfRule>
  </conditionalFormatting>
  <conditionalFormatting sqref="J50:J51">
    <cfRule type="cellIs" dxfId="9456" priority="101" operator="equal">
      <formula>0</formula>
    </cfRule>
  </conditionalFormatting>
  <conditionalFormatting sqref="J52:J54 J70">
    <cfRule type="cellIs" dxfId="9455" priority="100" operator="equal">
      <formula>0</formula>
    </cfRule>
  </conditionalFormatting>
  <conditionalFormatting sqref="L49:M49">
    <cfRule type="cellIs" dxfId="9454" priority="99" operator="equal">
      <formula>0</formula>
    </cfRule>
  </conditionalFormatting>
  <conditionalFormatting sqref="F50:F51">
    <cfRule type="cellIs" dxfId="9453" priority="98" operator="equal">
      <formula>0</formula>
    </cfRule>
  </conditionalFormatting>
  <conditionalFormatting sqref="P49:R49 L49:M49 D50:R51">
    <cfRule type="cellIs" dxfId="9452" priority="97" operator="equal">
      <formula>0</formula>
    </cfRule>
  </conditionalFormatting>
  <conditionalFormatting sqref="P49:P51">
    <cfRule type="cellIs" dxfId="9451" priority="96" operator="equal">
      <formula>0</formula>
    </cfRule>
  </conditionalFormatting>
  <conditionalFormatting sqref="D79:R79 P70:R70 D70:I70 D71:R77 D69:R69 D50:R56 D49:G49 L49:M49 P49:R49">
    <cfRule type="cellIs" dxfId="9450" priority="95" operator="equal">
      <formula>0</formula>
    </cfRule>
  </conditionalFormatting>
  <conditionalFormatting sqref="S71:S79 S49:S55 S57:S69">
    <cfRule type="expression" dxfId="9449" priority="94">
      <formula>LEN(TRIM(S49))=0</formula>
    </cfRule>
  </conditionalFormatting>
  <conditionalFormatting sqref="S78">
    <cfRule type="cellIs" dxfId="9448" priority="93" operator="equal">
      <formula>0</formula>
    </cfRule>
  </conditionalFormatting>
  <conditionalFormatting sqref="S79 S49:S77">
    <cfRule type="cellIs" dxfId="9447" priority="92" operator="equal">
      <formula>0</formula>
    </cfRule>
  </conditionalFormatting>
  <conditionalFormatting sqref="S94:S105">
    <cfRule type="expression" dxfId="9446" priority="91">
      <formula>LEN(TRIM(S94))=0</formula>
    </cfRule>
  </conditionalFormatting>
  <conditionalFormatting sqref="S94:S105">
    <cfRule type="cellIs" dxfId="9445" priority="90" operator="equal">
      <formula>0</formula>
    </cfRule>
  </conditionalFormatting>
  <conditionalFormatting sqref="S89:S90">
    <cfRule type="expression" dxfId="9444" priority="89">
      <formula>LEN(TRIM(S89))=0</formula>
    </cfRule>
  </conditionalFormatting>
  <conditionalFormatting sqref="S89:S90">
    <cfRule type="cellIs" dxfId="9443" priority="88" operator="equal">
      <formula>0</formula>
    </cfRule>
  </conditionalFormatting>
  <conditionalFormatting sqref="S108:S116 S86:S88 S91:S92">
    <cfRule type="expression" dxfId="9442" priority="87">
      <formula>LEN(TRIM(S86))=0</formula>
    </cfRule>
  </conditionalFormatting>
  <conditionalFormatting sqref="S115">
    <cfRule type="cellIs" dxfId="9441" priority="86" operator="equal">
      <formula>0</formula>
    </cfRule>
  </conditionalFormatting>
  <conditionalFormatting sqref="S116 S86:S88">
    <cfRule type="cellIs" dxfId="9440" priority="85" operator="equal">
      <formula>0</formula>
    </cfRule>
  </conditionalFormatting>
  <conditionalFormatting sqref="O85">
    <cfRule type="cellIs" dxfId="9439" priority="84" operator="equal">
      <formula>0</formula>
    </cfRule>
  </conditionalFormatting>
  <conditionalFormatting sqref="J85:N85">
    <cfRule type="cellIs" dxfId="9438" priority="83" operator="equal">
      <formula>0</formula>
    </cfRule>
  </conditionalFormatting>
  <conditionalFormatting sqref="O48">
    <cfRule type="cellIs" dxfId="9437" priority="82" operator="equal">
      <formula>0</formula>
    </cfRule>
  </conditionalFormatting>
  <conditionalFormatting sqref="J48:N48">
    <cfRule type="cellIs" dxfId="9436" priority="81" operator="equal">
      <formula>0</formula>
    </cfRule>
  </conditionalFormatting>
  <conditionalFormatting sqref="N12:O12">
    <cfRule type="expression" dxfId="9435" priority="80">
      <formula>LEN(TRIM(N12))=0</formula>
    </cfRule>
  </conditionalFormatting>
  <conditionalFormatting sqref="N12:O12">
    <cfRule type="cellIs" dxfId="9434" priority="79" operator="equal">
      <formula>0</formula>
    </cfRule>
  </conditionalFormatting>
  <conditionalFormatting sqref="N12:O12">
    <cfRule type="cellIs" dxfId="9433" priority="78" operator="equal">
      <formula>0</formula>
    </cfRule>
  </conditionalFormatting>
  <conditionalFormatting sqref="H12:K12">
    <cfRule type="expression" dxfId="9432" priority="77">
      <formula>LEN(TRIM(H12))=0</formula>
    </cfRule>
  </conditionalFormatting>
  <conditionalFormatting sqref="K12">
    <cfRule type="cellIs" dxfId="9431" priority="76" operator="equal">
      <formula>0</formula>
    </cfRule>
  </conditionalFormatting>
  <conditionalFormatting sqref="J12:K12">
    <cfRule type="cellIs" dxfId="9430" priority="75" operator="equal">
      <formula>0</formula>
    </cfRule>
  </conditionalFormatting>
  <conditionalFormatting sqref="I12">
    <cfRule type="cellIs" dxfId="9429" priority="74" operator="equal">
      <formula>0</formula>
    </cfRule>
  </conditionalFormatting>
  <conditionalFormatting sqref="H12">
    <cfRule type="cellIs" dxfId="9428" priority="73" operator="equal">
      <formula>0</formula>
    </cfRule>
  </conditionalFormatting>
  <conditionalFormatting sqref="D20:R31">
    <cfRule type="expression" dxfId="9427" priority="72">
      <formula>LEN(TRIM(D20))=0</formula>
    </cfRule>
  </conditionalFormatting>
  <conditionalFormatting sqref="D20:R31">
    <cfRule type="cellIs" dxfId="9426" priority="71" operator="equal">
      <formula>0</formula>
    </cfRule>
  </conditionalFormatting>
  <conditionalFormatting sqref="N16:O16">
    <cfRule type="cellIs" dxfId="9425" priority="70" operator="equal">
      <formula>0</formula>
    </cfRule>
  </conditionalFormatting>
  <conditionalFormatting sqref="N15:O15">
    <cfRule type="cellIs" dxfId="9424" priority="69" operator="equal">
      <formula>0</formula>
    </cfRule>
  </conditionalFormatting>
  <conditionalFormatting sqref="M15:M16">
    <cfRule type="cellIs" dxfId="9423" priority="68" operator="equal">
      <formula>0</formula>
    </cfRule>
  </conditionalFormatting>
  <conditionalFormatting sqref="L15:L16">
    <cfRule type="cellIs" dxfId="9422" priority="67" operator="equal">
      <formula>0</formula>
    </cfRule>
  </conditionalFormatting>
  <conditionalFormatting sqref="D41:R41">
    <cfRule type="cellIs" dxfId="9421" priority="66" operator="equal">
      <formula>0</formula>
    </cfRule>
  </conditionalFormatting>
  <conditionalFormatting sqref="D34:R42 D32:R32 D13:R18 D12:G12 L12:M12 P12:R12">
    <cfRule type="expression" dxfId="9420" priority="65">
      <formula>LEN(TRIM(D12))=0</formula>
    </cfRule>
  </conditionalFormatting>
  <conditionalFormatting sqref="D41:R41">
    <cfRule type="cellIs" dxfId="9419" priority="64" operator="equal">
      <formula>0</formula>
    </cfRule>
  </conditionalFormatting>
  <conditionalFormatting sqref="O13:O14">
    <cfRule type="cellIs" dxfId="9418" priority="63" operator="equal">
      <formula>0</formula>
    </cfRule>
  </conditionalFormatting>
  <conditionalFormatting sqref="O15:O17 O33">
    <cfRule type="cellIs" dxfId="9417" priority="62" operator="equal">
      <formula>0</formula>
    </cfRule>
  </conditionalFormatting>
  <conditionalFormatting sqref="N13:N14">
    <cfRule type="cellIs" dxfId="9416" priority="61" operator="equal">
      <formula>0</formula>
    </cfRule>
  </conditionalFormatting>
  <conditionalFormatting sqref="N15:N17 N33">
    <cfRule type="cellIs" dxfId="9415" priority="60" operator="equal">
      <formula>0</formula>
    </cfRule>
  </conditionalFormatting>
  <conditionalFormatting sqref="M12:M14">
    <cfRule type="cellIs" dxfId="9414" priority="59" operator="equal">
      <formula>0</formula>
    </cfRule>
  </conditionalFormatting>
  <conditionalFormatting sqref="M15:M17 M33">
    <cfRule type="cellIs" dxfId="9413" priority="58" operator="equal">
      <formula>0</formula>
    </cfRule>
  </conditionalFormatting>
  <conditionalFormatting sqref="L12:L14">
    <cfRule type="cellIs" dxfId="9412" priority="57" operator="equal">
      <formula>0</formula>
    </cfRule>
  </conditionalFormatting>
  <conditionalFormatting sqref="L15:L17 L33">
    <cfRule type="cellIs" dxfId="9411" priority="56" operator="equal">
      <formula>0</formula>
    </cfRule>
  </conditionalFormatting>
  <conditionalFormatting sqref="K13:K14">
    <cfRule type="cellIs" dxfId="9410" priority="55" operator="equal">
      <formula>0</formula>
    </cfRule>
  </conditionalFormatting>
  <conditionalFormatting sqref="K15:K17 K33">
    <cfRule type="cellIs" dxfId="9409" priority="54" operator="equal">
      <formula>0</formula>
    </cfRule>
  </conditionalFormatting>
  <conditionalFormatting sqref="J13:J14">
    <cfRule type="cellIs" dxfId="9408" priority="53" operator="equal">
      <formula>0</formula>
    </cfRule>
  </conditionalFormatting>
  <conditionalFormatting sqref="J15:J17 J33">
    <cfRule type="cellIs" dxfId="9407" priority="52" operator="equal">
      <formula>0</formula>
    </cfRule>
  </conditionalFormatting>
  <conditionalFormatting sqref="L12:M12">
    <cfRule type="cellIs" dxfId="9406" priority="51" operator="equal">
      <formula>0</formula>
    </cfRule>
  </conditionalFormatting>
  <conditionalFormatting sqref="F13:F14">
    <cfRule type="cellIs" dxfId="9405" priority="50" operator="equal">
      <formula>0</formula>
    </cfRule>
  </conditionalFormatting>
  <conditionalFormatting sqref="P12:R12 L12:M12 D13:R14">
    <cfRule type="cellIs" dxfId="9404" priority="49" operator="equal">
      <formula>0</formula>
    </cfRule>
  </conditionalFormatting>
  <conditionalFormatting sqref="P12:P14">
    <cfRule type="cellIs" dxfId="9403" priority="48" operator="equal">
      <formula>0</formula>
    </cfRule>
  </conditionalFormatting>
  <conditionalFormatting sqref="D42:R42 P33:R33 D33:I33 D34:R40 D32:R32 D13:R19 D12:G12 L12:M12 P12:R12">
    <cfRule type="cellIs" dxfId="9402" priority="47" operator="equal">
      <formula>0</formula>
    </cfRule>
  </conditionalFormatting>
  <conditionalFormatting sqref="S34:S42 S12:S18 S20:S32">
    <cfRule type="expression" dxfId="9401" priority="12">
      <formula>LEN(TRIM(S12))=0</formula>
    </cfRule>
  </conditionalFormatting>
  <conditionalFormatting sqref="S41">
    <cfRule type="cellIs" dxfId="9400" priority="11" operator="equal">
      <formula>0</formula>
    </cfRule>
  </conditionalFormatting>
  <conditionalFormatting sqref="S42 S12:S40">
    <cfRule type="cellIs" dxfId="9399" priority="10" operator="equal">
      <formula>0</formula>
    </cfRule>
  </conditionalFormatting>
  <conditionalFormatting sqref="O11">
    <cfRule type="cellIs" dxfId="9398" priority="6" operator="equal">
      <formula>0</formula>
    </cfRule>
  </conditionalFormatting>
  <conditionalFormatting sqref="J11:N11">
    <cfRule type="cellIs" dxfId="9397" priority="5" operator="equal">
      <formula>0</formula>
    </cfRule>
  </conditionalFormatting>
  <conditionalFormatting sqref="S106">
    <cfRule type="expression" dxfId="9396" priority="2">
      <formula>LEN(TRIM(S106))=0</formula>
    </cfRule>
  </conditionalFormatting>
  <conditionalFormatting sqref="S91:S93 S106:S114">
    <cfRule type="cellIs" dxfId="9395"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CE2F-D21D-4F8B-A088-41FBE0B4B35E}">
  <dimension ref="B2:T81"/>
  <sheetViews>
    <sheetView zoomScale="70" zoomScaleNormal="70" workbookViewId="0"/>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364</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0</v>
      </c>
      <c r="F12" s="421">
        <v>0</v>
      </c>
      <c r="G12" s="421">
        <v>0</v>
      </c>
      <c r="H12" s="422">
        <v>843.18181818181802</v>
      </c>
      <c r="I12" s="422">
        <v>303.83</v>
      </c>
      <c r="J12" s="422">
        <v>180.58227082712199</v>
      </c>
      <c r="K12" s="422">
        <v>22.584752367457401</v>
      </c>
      <c r="L12" s="421">
        <v>0</v>
      </c>
      <c r="M12" s="421">
        <v>0</v>
      </c>
      <c r="N12" s="422">
        <v>64.228247119713899</v>
      </c>
      <c r="O12" s="422">
        <v>4.0154786653397201</v>
      </c>
      <c r="P12" s="421">
        <v>0</v>
      </c>
      <c r="Q12" s="421">
        <v>0</v>
      </c>
      <c r="R12" s="421">
        <v>0</v>
      </c>
      <c r="S12" s="423">
        <v>1418.4225671614499</v>
      </c>
      <c r="T12" s="412"/>
    </row>
    <row r="13" spans="2:20" ht="13.5">
      <c r="B13" s="412"/>
      <c r="C13" s="420" t="s">
        <v>60</v>
      </c>
      <c r="D13" s="421">
        <v>30.885603791058401</v>
      </c>
      <c r="E13" s="421">
        <v>484.495467583368</v>
      </c>
      <c r="F13" s="421">
        <v>42.659321237611302</v>
      </c>
      <c r="G13" s="421">
        <v>385.71207499197101</v>
      </c>
      <c r="H13" s="421">
        <v>0</v>
      </c>
      <c r="I13" s="421">
        <v>0</v>
      </c>
      <c r="J13" s="421">
        <v>0</v>
      </c>
      <c r="K13" s="421">
        <v>0</v>
      </c>
      <c r="L13" s="421">
        <v>0</v>
      </c>
      <c r="M13" s="421">
        <v>0</v>
      </c>
      <c r="N13" s="421">
        <v>0</v>
      </c>
      <c r="O13" s="421">
        <v>0</v>
      </c>
      <c r="P13" s="421">
        <v>0</v>
      </c>
      <c r="Q13" s="421">
        <v>0</v>
      </c>
      <c r="R13" s="421">
        <v>0</v>
      </c>
      <c r="S13" s="423">
        <v>943.75246760400796</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-18.341336792236799</v>
      </c>
      <c r="Q14" s="421">
        <v>0</v>
      </c>
      <c r="R14" s="421">
        <v>0</v>
      </c>
      <c r="S14" s="423">
        <v>-18.341336792236799</v>
      </c>
      <c r="T14" s="412"/>
    </row>
    <row r="15" spans="2:20" ht="13.5">
      <c r="B15" s="412"/>
      <c r="C15" s="420" t="s">
        <v>62</v>
      </c>
      <c r="D15" s="421">
        <v>0</v>
      </c>
      <c r="E15" s="421">
        <v>0</v>
      </c>
      <c r="F15" s="421">
        <v>-15.257294848391901</v>
      </c>
      <c r="G15" s="421">
        <v>0</v>
      </c>
      <c r="H15" s="421">
        <v>0</v>
      </c>
      <c r="I15" s="421">
        <v>0</v>
      </c>
      <c r="J15" s="421">
        <v>0</v>
      </c>
      <c r="K15" s="421">
        <v>0</v>
      </c>
      <c r="L15" s="421">
        <v>0</v>
      </c>
      <c r="M15" s="421">
        <v>0</v>
      </c>
      <c r="N15" s="421">
        <v>0</v>
      </c>
      <c r="O15" s="421">
        <v>0</v>
      </c>
      <c r="P15" s="421">
        <v>0</v>
      </c>
      <c r="Q15" s="421">
        <v>0</v>
      </c>
      <c r="R15" s="421">
        <v>0</v>
      </c>
      <c r="S15" s="423">
        <v>-15.257294848391901</v>
      </c>
      <c r="T15" s="412"/>
    </row>
    <row r="16" spans="2:20" ht="13.5">
      <c r="B16" s="412"/>
      <c r="C16" s="420" t="s">
        <v>63</v>
      </c>
      <c r="D16" s="421">
        <v>0</v>
      </c>
      <c r="E16" s="421">
        <v>0</v>
      </c>
      <c r="F16" s="421">
        <v>-90.626969920873506</v>
      </c>
      <c r="G16" s="421">
        <v>0</v>
      </c>
      <c r="H16" s="421">
        <v>0</v>
      </c>
      <c r="I16" s="421">
        <v>0</v>
      </c>
      <c r="J16" s="421">
        <v>0</v>
      </c>
      <c r="K16" s="421">
        <v>0</v>
      </c>
      <c r="L16" s="421">
        <v>-0.93615330165546395</v>
      </c>
      <c r="M16" s="421">
        <v>0</v>
      </c>
      <c r="N16" s="421">
        <v>0</v>
      </c>
      <c r="O16" s="421">
        <v>0</v>
      </c>
      <c r="P16" s="421">
        <v>0</v>
      </c>
      <c r="Q16" s="421">
        <v>0</v>
      </c>
      <c r="R16" s="421">
        <v>0</v>
      </c>
      <c r="S16" s="423">
        <v>-91.563123222528901</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30.885603791058401</v>
      </c>
      <c r="E18" s="425">
        <v>484.495467583368</v>
      </c>
      <c r="F18" s="425">
        <v>-63.224943531653999</v>
      </c>
      <c r="G18" s="425">
        <v>385.71207499197101</v>
      </c>
      <c r="H18" s="425">
        <v>843.18181818181802</v>
      </c>
      <c r="I18" s="425">
        <v>303.83</v>
      </c>
      <c r="J18" s="425">
        <v>180.58227082712199</v>
      </c>
      <c r="K18" s="425">
        <v>22.584752367457401</v>
      </c>
      <c r="L18" s="425">
        <v>-0.93615330165546395</v>
      </c>
      <c r="M18" s="425">
        <v>0</v>
      </c>
      <c r="N18" s="425">
        <v>64.228247119713899</v>
      </c>
      <c r="O18" s="425">
        <v>4.0154786653397201</v>
      </c>
      <c r="P18" s="425">
        <v>-18.341336792236799</v>
      </c>
      <c r="Q18" s="425">
        <v>0</v>
      </c>
      <c r="R18" s="425">
        <v>0</v>
      </c>
      <c r="S18" s="425">
        <v>2237.0132799022999</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2.2004707355665598</v>
      </c>
      <c r="E21" s="421">
        <v>0</v>
      </c>
      <c r="F21" s="421">
        <v>3.8636363636363602</v>
      </c>
      <c r="G21" s="421">
        <v>26.7514143940613</v>
      </c>
      <c r="H21" s="421">
        <v>843.18181818181802</v>
      </c>
      <c r="I21" s="421">
        <v>303.83</v>
      </c>
      <c r="J21" s="421">
        <v>22.093473329706701</v>
      </c>
      <c r="K21" s="421">
        <v>5.8025151206166701</v>
      </c>
      <c r="L21" s="421">
        <v>0</v>
      </c>
      <c r="M21" s="421">
        <v>0.54594723253186395</v>
      </c>
      <c r="N21" s="421">
        <v>0</v>
      </c>
      <c r="O21" s="421">
        <v>0</v>
      </c>
      <c r="P21" s="421">
        <v>-610.51719995562303</v>
      </c>
      <c r="Q21" s="421">
        <v>0</v>
      </c>
      <c r="R21" s="421">
        <v>0</v>
      </c>
      <c r="S21" s="429">
        <v>597.75207540231395</v>
      </c>
      <c r="T21" s="412"/>
    </row>
    <row r="22" spans="2:20" ht="13.5">
      <c r="B22" s="412"/>
      <c r="C22" s="428" t="s">
        <v>351</v>
      </c>
      <c r="D22" s="421">
        <v>0</v>
      </c>
      <c r="E22" s="421">
        <v>0</v>
      </c>
      <c r="F22" s="421">
        <v>0</v>
      </c>
      <c r="G22" s="421">
        <v>17.221669860310801</v>
      </c>
      <c r="H22" s="421">
        <v>0</v>
      </c>
      <c r="I22" s="421">
        <v>0</v>
      </c>
      <c r="J22" s="421">
        <v>12.443095766795199</v>
      </c>
      <c r="K22" s="421">
        <v>12.7366574955616</v>
      </c>
      <c r="L22" s="421">
        <v>0</v>
      </c>
      <c r="M22" s="421">
        <v>0.351462650210425</v>
      </c>
      <c r="N22" s="421">
        <v>0</v>
      </c>
      <c r="O22" s="421">
        <v>2.25021562141669</v>
      </c>
      <c r="P22" s="421">
        <v>0</v>
      </c>
      <c r="Q22" s="421">
        <v>-41.107889812280099</v>
      </c>
      <c r="R22" s="421">
        <v>0</v>
      </c>
      <c r="S22" s="429">
        <v>3.8952115820145798</v>
      </c>
      <c r="T22" s="412"/>
    </row>
    <row r="23" spans="2:20" ht="13.5">
      <c r="B23" s="412"/>
      <c r="C23" s="428" t="s">
        <v>352</v>
      </c>
      <c r="D23" s="421">
        <v>0</v>
      </c>
      <c r="E23" s="421">
        <v>0</v>
      </c>
      <c r="F23" s="421">
        <v>0</v>
      </c>
      <c r="G23" s="421">
        <v>0</v>
      </c>
      <c r="H23" s="421">
        <v>0</v>
      </c>
      <c r="I23" s="421">
        <v>0</v>
      </c>
      <c r="J23" s="421">
        <v>8.1664030992761294</v>
      </c>
      <c r="K23" s="421">
        <v>0</v>
      </c>
      <c r="L23" s="421">
        <v>0</v>
      </c>
      <c r="M23" s="421">
        <v>-7.6253788939490796</v>
      </c>
      <c r="N23" s="421">
        <v>0</v>
      </c>
      <c r="O23" s="421">
        <v>0</v>
      </c>
      <c r="P23" s="421">
        <v>0</v>
      </c>
      <c r="Q23" s="421">
        <v>0</v>
      </c>
      <c r="R23" s="421">
        <v>0</v>
      </c>
      <c r="S23" s="429">
        <v>0.54102420532704398</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501.885810932168</v>
      </c>
      <c r="F25" s="421">
        <v>-496.86695282284597</v>
      </c>
      <c r="G25" s="421">
        <v>0</v>
      </c>
      <c r="H25" s="421">
        <v>0</v>
      </c>
      <c r="I25" s="421">
        <v>0</v>
      </c>
      <c r="J25" s="421">
        <v>0</v>
      </c>
      <c r="K25" s="421">
        <v>0</v>
      </c>
      <c r="L25" s="421">
        <v>0</v>
      </c>
      <c r="M25" s="421">
        <v>0</v>
      </c>
      <c r="N25" s="421">
        <v>0</v>
      </c>
      <c r="O25" s="421">
        <v>0</v>
      </c>
      <c r="P25" s="421">
        <v>0</v>
      </c>
      <c r="Q25" s="421">
        <v>0</v>
      </c>
      <c r="R25" s="421">
        <v>0</v>
      </c>
      <c r="S25" s="429">
        <v>5.0188581093216804</v>
      </c>
      <c r="T25" s="412"/>
    </row>
    <row r="26" spans="2:20" ht="13.5">
      <c r="B26" s="412"/>
      <c r="C26" s="428" t="s">
        <v>354</v>
      </c>
      <c r="D26" s="421">
        <v>0</v>
      </c>
      <c r="E26" s="421">
        <v>0</v>
      </c>
      <c r="F26" s="421">
        <v>0</v>
      </c>
      <c r="G26" s="421">
        <v>0</v>
      </c>
      <c r="H26" s="421">
        <v>0</v>
      </c>
      <c r="I26" s="421">
        <v>0</v>
      </c>
      <c r="J26" s="421">
        <v>40.922578855232103</v>
      </c>
      <c r="K26" s="421">
        <v>0</v>
      </c>
      <c r="L26" s="421">
        <v>-40.922578855232103</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-0.185690681788441</v>
      </c>
      <c r="M27" s="421">
        <v>0</v>
      </c>
      <c r="N27" s="421">
        <v>0</v>
      </c>
      <c r="O27" s="421">
        <v>0</v>
      </c>
      <c r="P27" s="421">
        <v>0</v>
      </c>
      <c r="Q27" s="421">
        <v>0</v>
      </c>
      <c r="R27" s="421">
        <v>0.26527240255491602</v>
      </c>
      <c r="S27" s="429">
        <v>7.9581720766474906E-2</v>
      </c>
      <c r="T27" s="412"/>
    </row>
    <row r="28" spans="2:20" ht="13.5">
      <c r="B28" s="412"/>
      <c r="C28" s="428" t="s">
        <v>73</v>
      </c>
      <c r="D28" s="421">
        <v>0</v>
      </c>
      <c r="E28" s="421">
        <v>0</v>
      </c>
      <c r="F28" s="421">
        <v>0</v>
      </c>
      <c r="G28" s="421">
        <v>5.0830420654676596</v>
      </c>
      <c r="H28" s="421">
        <v>0</v>
      </c>
      <c r="I28" s="421">
        <v>0</v>
      </c>
      <c r="J28" s="421">
        <v>0</v>
      </c>
      <c r="K28" s="421">
        <v>5.89406547480016E-2</v>
      </c>
      <c r="L28" s="421">
        <v>0</v>
      </c>
      <c r="M28" s="421">
        <v>0.103735552356483</v>
      </c>
      <c r="N28" s="421">
        <v>0</v>
      </c>
      <c r="O28" s="421">
        <v>0</v>
      </c>
      <c r="P28" s="421">
        <v>0.64603991681083595</v>
      </c>
      <c r="Q28" s="421">
        <v>0</v>
      </c>
      <c r="R28" s="421">
        <v>-4.1258458323601097</v>
      </c>
      <c r="S28" s="429">
        <v>1.7659123570228701</v>
      </c>
      <c r="T28" s="412"/>
    </row>
    <row r="29" spans="2:20" ht="13.5">
      <c r="B29" s="412"/>
      <c r="C29" s="428" t="s">
        <v>356</v>
      </c>
      <c r="D29" s="421">
        <v>12.835820312499999</v>
      </c>
      <c r="E29" s="421">
        <v>-17.3903433487996</v>
      </c>
      <c r="F29" s="421">
        <v>22.745541936068101</v>
      </c>
      <c r="G29" s="421">
        <v>0</v>
      </c>
      <c r="H29" s="421">
        <v>0</v>
      </c>
      <c r="I29" s="421">
        <v>0</v>
      </c>
      <c r="J29" s="421">
        <v>0</v>
      </c>
      <c r="K29" s="421">
        <v>0</v>
      </c>
      <c r="L29" s="421">
        <v>0</v>
      </c>
      <c r="M29" s="421">
        <v>0</v>
      </c>
      <c r="N29" s="421">
        <v>0</v>
      </c>
      <c r="O29" s="421">
        <v>0</v>
      </c>
      <c r="P29" s="421">
        <v>0</v>
      </c>
      <c r="Q29" s="421">
        <v>0</v>
      </c>
      <c r="R29" s="421">
        <v>0</v>
      </c>
      <c r="S29" s="429">
        <v>18.191018899768501</v>
      </c>
      <c r="T29" s="412"/>
    </row>
    <row r="30" spans="2:20" ht="13.5">
      <c r="B30" s="412"/>
      <c r="C30" s="428" t="s">
        <v>75</v>
      </c>
      <c r="D30" s="421">
        <v>9.6016132812499997</v>
      </c>
      <c r="E30" s="421">
        <v>0</v>
      </c>
      <c r="F30" s="421">
        <v>17.0641175716937</v>
      </c>
      <c r="G30" s="421">
        <v>4.8692961376638904</v>
      </c>
      <c r="H30" s="421">
        <v>0</v>
      </c>
      <c r="I30" s="421">
        <v>0</v>
      </c>
      <c r="J30" s="421">
        <v>0</v>
      </c>
      <c r="K30" s="421">
        <v>0</v>
      </c>
      <c r="L30" s="421">
        <v>0</v>
      </c>
      <c r="M30" s="421">
        <v>9.9373390564569203E-2</v>
      </c>
      <c r="N30" s="421">
        <v>0</v>
      </c>
      <c r="O30" s="421">
        <v>0</v>
      </c>
      <c r="P30" s="421">
        <v>28.1582236341448</v>
      </c>
      <c r="Q30" s="421">
        <v>0</v>
      </c>
      <c r="R30" s="421">
        <v>0</v>
      </c>
      <c r="S30" s="429">
        <v>59.792624015317003</v>
      </c>
      <c r="T30" s="412"/>
    </row>
    <row r="31" spans="2:20" ht="13.5">
      <c r="B31" s="412"/>
      <c r="C31" s="428" t="s">
        <v>76</v>
      </c>
      <c r="D31" s="421">
        <v>0</v>
      </c>
      <c r="E31" s="421">
        <v>0</v>
      </c>
      <c r="F31" s="421">
        <v>0</v>
      </c>
      <c r="G31" s="421">
        <v>4.4305561162471001</v>
      </c>
      <c r="H31" s="421">
        <v>0</v>
      </c>
      <c r="I31" s="421">
        <v>0</v>
      </c>
      <c r="J31" s="421">
        <v>0</v>
      </c>
      <c r="K31" s="421">
        <v>0</v>
      </c>
      <c r="L31" s="421">
        <v>0</v>
      </c>
      <c r="M31" s="421">
        <v>9.0419512576471406E-2</v>
      </c>
      <c r="N31" s="421">
        <v>0</v>
      </c>
      <c r="O31" s="421">
        <v>0</v>
      </c>
      <c r="P31" s="421">
        <v>45.383745745670502</v>
      </c>
      <c r="Q31" s="421">
        <v>3.1854822363759498</v>
      </c>
      <c r="R31" s="421">
        <v>0</v>
      </c>
      <c r="S31" s="429">
        <v>53.090203610869999</v>
      </c>
      <c r="T31" s="412"/>
    </row>
    <row r="32" spans="2:20" ht="13.5">
      <c r="B32" s="412"/>
      <c r="C32" s="424" t="s">
        <v>77</v>
      </c>
      <c r="D32" s="425">
        <v>24.637904329316601</v>
      </c>
      <c r="E32" s="425">
        <v>484.495467583368</v>
      </c>
      <c r="F32" s="425">
        <v>-453.19365695144802</v>
      </c>
      <c r="G32" s="425">
        <v>58.355978573750797</v>
      </c>
      <c r="H32" s="425">
        <v>843.18181818181802</v>
      </c>
      <c r="I32" s="425">
        <v>303.83</v>
      </c>
      <c r="J32" s="425">
        <v>83.625551051010106</v>
      </c>
      <c r="K32" s="425">
        <v>18.598113270926302</v>
      </c>
      <c r="L32" s="425">
        <v>-41.108269537020597</v>
      </c>
      <c r="M32" s="425">
        <v>-6.4344405557092701</v>
      </c>
      <c r="N32" s="425">
        <v>0</v>
      </c>
      <c r="O32" s="425">
        <v>2.25021562141669</v>
      </c>
      <c r="P32" s="425">
        <v>-536.32919065899705</v>
      </c>
      <c r="Q32" s="425">
        <v>-37.922407575904202</v>
      </c>
      <c r="R32" s="425">
        <v>-3.8605734298051999</v>
      </c>
      <c r="S32" s="425">
        <v>740.12650990272198</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4.1175454090074304</v>
      </c>
      <c r="E34" s="421">
        <v>0</v>
      </c>
      <c r="F34" s="421">
        <v>19.277494882052501</v>
      </c>
      <c r="G34" s="421">
        <v>101.47453920726601</v>
      </c>
      <c r="H34" s="421">
        <v>0</v>
      </c>
      <c r="I34" s="421">
        <v>0</v>
      </c>
      <c r="J34" s="421">
        <v>17.1465838958113</v>
      </c>
      <c r="K34" s="421">
        <v>3.98663909653113</v>
      </c>
      <c r="L34" s="421">
        <v>0.86272697265624998</v>
      </c>
      <c r="M34" s="421">
        <v>2.0709089634136002</v>
      </c>
      <c r="N34" s="421">
        <v>0</v>
      </c>
      <c r="O34" s="421">
        <v>0</v>
      </c>
      <c r="P34" s="421">
        <v>115.02579662342799</v>
      </c>
      <c r="Q34" s="421">
        <v>18.9073764304365</v>
      </c>
      <c r="R34" s="421">
        <v>0.24469155883789101</v>
      </c>
      <c r="S34" s="429">
        <v>283.11430303944098</v>
      </c>
      <c r="T34" s="412"/>
    </row>
    <row r="35" spans="2:20" ht="13.5">
      <c r="B35" s="412"/>
      <c r="C35" s="428" t="s">
        <v>79</v>
      </c>
      <c r="D35" s="421">
        <v>0</v>
      </c>
      <c r="E35" s="421">
        <v>0</v>
      </c>
      <c r="F35" s="421">
        <v>211.515991693448</v>
      </c>
      <c r="G35" s="421">
        <v>33.673192204334903</v>
      </c>
      <c r="H35" s="421">
        <v>0</v>
      </c>
      <c r="I35" s="421">
        <v>0</v>
      </c>
      <c r="J35" s="421">
        <v>0</v>
      </c>
      <c r="K35" s="421">
        <v>0</v>
      </c>
      <c r="L35" s="421">
        <v>21.364475731578199</v>
      </c>
      <c r="M35" s="421">
        <v>0.68720800417009997</v>
      </c>
      <c r="N35" s="421">
        <v>0</v>
      </c>
      <c r="O35" s="421">
        <v>0</v>
      </c>
      <c r="P35" s="421">
        <v>67.538126653199896</v>
      </c>
      <c r="Q35" s="421">
        <v>0</v>
      </c>
      <c r="R35" s="421">
        <v>2.73358870080129</v>
      </c>
      <c r="S35" s="429">
        <v>337.51258298753203</v>
      </c>
      <c r="T35" s="412"/>
    </row>
    <row r="36" spans="2:20" ht="13.5">
      <c r="B36" s="412"/>
      <c r="C36" s="428" t="s">
        <v>80</v>
      </c>
      <c r="D36" s="421">
        <v>0</v>
      </c>
      <c r="E36" s="421">
        <v>0</v>
      </c>
      <c r="F36" s="421">
        <v>11.269398252747999</v>
      </c>
      <c r="G36" s="421">
        <v>107.66857440515901</v>
      </c>
      <c r="H36" s="421">
        <v>0</v>
      </c>
      <c r="I36" s="421">
        <v>0</v>
      </c>
      <c r="J36" s="421">
        <v>74.555024603306606</v>
      </c>
      <c r="K36" s="421">
        <v>0</v>
      </c>
      <c r="L36" s="421">
        <v>0</v>
      </c>
      <c r="M36" s="421">
        <v>2.19731784500325</v>
      </c>
      <c r="N36" s="421">
        <v>57.8439730041991</v>
      </c>
      <c r="O36" s="421">
        <v>0.94792042331900395</v>
      </c>
      <c r="P36" s="421">
        <v>182.60815084241301</v>
      </c>
      <c r="Q36" s="421">
        <v>15.2162816007431</v>
      </c>
      <c r="R36" s="421">
        <v>0</v>
      </c>
      <c r="S36" s="429">
        <v>452.306640976891</v>
      </c>
      <c r="T36" s="412"/>
    </row>
    <row r="37" spans="2:20" ht="13.5">
      <c r="B37" s="412"/>
      <c r="C37" s="428" t="s">
        <v>81</v>
      </c>
      <c r="D37" s="421">
        <v>0</v>
      </c>
      <c r="E37" s="421">
        <v>0</v>
      </c>
      <c r="F37" s="421">
        <v>4.6678370944484504</v>
      </c>
      <c r="G37" s="421">
        <v>66.895141856533499</v>
      </c>
      <c r="H37" s="421">
        <v>0</v>
      </c>
      <c r="I37" s="421">
        <v>0</v>
      </c>
      <c r="J37" s="421">
        <v>3.3107731809745702</v>
      </c>
      <c r="K37" s="421">
        <v>0</v>
      </c>
      <c r="L37" s="421">
        <v>0</v>
      </c>
      <c r="M37" s="421">
        <v>1.3652069766639501</v>
      </c>
      <c r="N37" s="421">
        <v>6.3842741155148302</v>
      </c>
      <c r="O37" s="421">
        <v>0.75088648318301499</v>
      </c>
      <c r="P37" s="421">
        <v>144.56234737622799</v>
      </c>
      <c r="Q37" s="421">
        <v>3.79874954472458</v>
      </c>
      <c r="R37" s="421">
        <v>0</v>
      </c>
      <c r="S37" s="429">
        <v>231.73521662827099</v>
      </c>
      <c r="T37" s="412"/>
    </row>
    <row r="38" spans="2:20" ht="13.5">
      <c r="B38" s="412"/>
      <c r="C38" s="428" t="s">
        <v>82</v>
      </c>
      <c r="D38" s="421">
        <v>0</v>
      </c>
      <c r="E38" s="421">
        <v>0</v>
      </c>
      <c r="F38" s="421">
        <v>4.5923360843350496</v>
      </c>
      <c r="G38" s="421">
        <v>5.5761395564600598</v>
      </c>
      <c r="H38" s="421">
        <v>0</v>
      </c>
      <c r="I38" s="421">
        <v>0</v>
      </c>
      <c r="J38" s="421">
        <v>1.9443380960196801</v>
      </c>
      <c r="K38" s="421">
        <v>0</v>
      </c>
      <c r="L38" s="421">
        <v>17.944913531130702</v>
      </c>
      <c r="M38" s="421">
        <v>0.11379876645836901</v>
      </c>
      <c r="N38" s="421">
        <v>0</v>
      </c>
      <c r="O38" s="421">
        <v>6.6456137421005299E-2</v>
      </c>
      <c r="P38" s="421">
        <v>7.4534323714914201</v>
      </c>
      <c r="Q38" s="421">
        <v>0</v>
      </c>
      <c r="R38" s="421">
        <v>0</v>
      </c>
      <c r="S38" s="429">
        <v>37.691414543316299</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0.8</v>
      </c>
      <c r="Q39" s="421">
        <v>0</v>
      </c>
      <c r="R39" s="421">
        <v>0</v>
      </c>
      <c r="S39" s="429">
        <v>0.8</v>
      </c>
      <c r="T39" s="412"/>
    </row>
    <row r="40" spans="2:20" ht="13.5">
      <c r="B40" s="412"/>
      <c r="C40" s="424" t="s">
        <v>83</v>
      </c>
      <c r="D40" s="425">
        <v>4.1175454090074304</v>
      </c>
      <c r="E40" s="425">
        <v>0</v>
      </c>
      <c r="F40" s="425">
        <v>251.32305800703199</v>
      </c>
      <c r="G40" s="425">
        <v>315.28758722975402</v>
      </c>
      <c r="H40" s="425">
        <v>0</v>
      </c>
      <c r="I40" s="425">
        <v>0</v>
      </c>
      <c r="J40" s="425">
        <v>96.956719776112095</v>
      </c>
      <c r="K40" s="425">
        <v>3.98663909653113</v>
      </c>
      <c r="L40" s="425">
        <v>40.172116235365102</v>
      </c>
      <c r="M40" s="425">
        <v>6.4344405557092701</v>
      </c>
      <c r="N40" s="425">
        <v>64.228247119713899</v>
      </c>
      <c r="O40" s="425">
        <v>1.7652630439230199</v>
      </c>
      <c r="P40" s="425">
        <v>517.98785386676104</v>
      </c>
      <c r="Q40" s="425">
        <v>37.922407575904103</v>
      </c>
      <c r="R40" s="425">
        <v>2.9782802596391802</v>
      </c>
      <c r="S40" s="425">
        <v>1343.1601581754501</v>
      </c>
      <c r="T40" s="412"/>
    </row>
    <row r="41" spans="2:20" ht="13.5">
      <c r="B41" s="412"/>
      <c r="C41" s="420" t="s">
        <v>84</v>
      </c>
      <c r="D41" s="421">
        <v>2.1301540527343801</v>
      </c>
      <c r="E41" s="421">
        <v>0</v>
      </c>
      <c r="F41" s="421">
        <v>138.64565541276201</v>
      </c>
      <c r="G41" s="421">
        <v>12.0685091884655</v>
      </c>
      <c r="H41" s="421">
        <v>0</v>
      </c>
      <c r="I41" s="421">
        <v>0</v>
      </c>
      <c r="J41" s="421">
        <v>0</v>
      </c>
      <c r="K41" s="421">
        <v>0</v>
      </c>
      <c r="L41" s="421">
        <v>0</v>
      </c>
      <c r="M41" s="421">
        <v>0</v>
      </c>
      <c r="N41" s="421">
        <v>0</v>
      </c>
      <c r="O41" s="421">
        <v>0</v>
      </c>
      <c r="P41" s="421">
        <v>0</v>
      </c>
      <c r="Q41" s="421">
        <v>0</v>
      </c>
      <c r="R41" s="421">
        <v>0.88229317016601605</v>
      </c>
      <c r="S41" s="429">
        <v>153.72661182412801</v>
      </c>
      <c r="T41" s="412"/>
    </row>
    <row r="42" spans="2:20" ht="13.5">
      <c r="B42" s="412"/>
      <c r="C42" s="424" t="s">
        <v>85</v>
      </c>
      <c r="D42" s="425">
        <v>6.2476994617418002</v>
      </c>
      <c r="E42" s="425">
        <v>0</v>
      </c>
      <c r="F42" s="425">
        <v>389.96871341979403</v>
      </c>
      <c r="G42" s="425">
        <v>327.35609641821998</v>
      </c>
      <c r="H42" s="425">
        <v>0</v>
      </c>
      <c r="I42" s="425">
        <v>0</v>
      </c>
      <c r="J42" s="425">
        <v>96.956719776112095</v>
      </c>
      <c r="K42" s="425">
        <v>3.98663909653113</v>
      </c>
      <c r="L42" s="425">
        <v>40.172116235365102</v>
      </c>
      <c r="M42" s="425">
        <v>6.4344405557092701</v>
      </c>
      <c r="N42" s="425">
        <v>64.228247119713899</v>
      </c>
      <c r="O42" s="425">
        <v>1.7652630439230199</v>
      </c>
      <c r="P42" s="425">
        <v>517.98785386676104</v>
      </c>
      <c r="Q42" s="425">
        <v>37.922407575904103</v>
      </c>
      <c r="R42" s="425">
        <v>3.8605734298051999</v>
      </c>
      <c r="S42" s="425">
        <v>1496.8867699995801</v>
      </c>
      <c r="T42" s="412"/>
    </row>
    <row r="43" spans="2:20">
      <c r="B43" s="412"/>
      <c r="C43" s="412"/>
      <c r="D43" s="430">
        <f t="shared" ref="D43:S43" si="0">D42+D32-D18</f>
        <v>0</v>
      </c>
      <c r="E43" s="430">
        <f t="shared" si="0"/>
        <v>0</v>
      </c>
      <c r="F43" s="430">
        <f t="shared" si="0"/>
        <v>0</v>
      </c>
      <c r="G43" s="430">
        <f t="shared" si="0"/>
        <v>0</v>
      </c>
      <c r="H43" s="430">
        <f t="shared" si="0"/>
        <v>0</v>
      </c>
      <c r="I43" s="430">
        <f t="shared" si="0"/>
        <v>0</v>
      </c>
      <c r="J43" s="430">
        <f t="shared" si="0"/>
        <v>2.2737367544323206E-13</v>
      </c>
      <c r="K43" s="430">
        <f t="shared" si="0"/>
        <v>3.1974423109204508E-14</v>
      </c>
      <c r="L43" s="430">
        <f t="shared" si="0"/>
        <v>-3.0420110874729289E-14</v>
      </c>
      <c r="M43" s="430">
        <f t="shared" si="0"/>
        <v>0</v>
      </c>
      <c r="N43" s="430">
        <f t="shared" si="0"/>
        <v>0</v>
      </c>
      <c r="O43" s="430">
        <f t="shared" si="0"/>
        <v>-9.7699626167013776E-15</v>
      </c>
      <c r="P43" s="430">
        <f t="shared" si="0"/>
        <v>7.9225515037251171E-13</v>
      </c>
      <c r="Q43" s="430">
        <f t="shared" si="0"/>
        <v>-9.9475983006414026E-14</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89</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0</v>
      </c>
      <c r="F49" s="421">
        <v>0</v>
      </c>
      <c r="G49" s="421">
        <v>0</v>
      </c>
      <c r="H49" s="422">
        <v>727.27272727272702</v>
      </c>
      <c r="I49" s="422">
        <v>285.08</v>
      </c>
      <c r="J49" s="422">
        <v>179.02026508455899</v>
      </c>
      <c r="K49" s="422">
        <v>22.071430242595699</v>
      </c>
      <c r="L49" s="421">
        <v>0</v>
      </c>
      <c r="M49" s="421">
        <v>0</v>
      </c>
      <c r="N49" s="422">
        <v>69.124340714614704</v>
      </c>
      <c r="O49" s="422">
        <v>3.9743240940765601</v>
      </c>
      <c r="P49" s="421">
        <v>0</v>
      </c>
      <c r="Q49" s="421">
        <v>0</v>
      </c>
      <c r="R49" s="421">
        <v>0</v>
      </c>
      <c r="S49" s="423">
        <v>1286.54308740857</v>
      </c>
      <c r="T49" s="412"/>
    </row>
    <row r="50" spans="2:20" ht="13.5">
      <c r="B50" s="412"/>
      <c r="C50" s="420" t="s">
        <v>60</v>
      </c>
      <c r="D50" s="421">
        <v>29.137863782851301</v>
      </c>
      <c r="E50" s="421">
        <v>464.7986487</v>
      </c>
      <c r="F50" s="421">
        <v>43.026150332406097</v>
      </c>
      <c r="G50" s="421">
        <v>393.69712052116603</v>
      </c>
      <c r="H50" s="421">
        <v>0</v>
      </c>
      <c r="I50" s="421">
        <v>0</v>
      </c>
      <c r="J50" s="421">
        <v>0</v>
      </c>
      <c r="K50" s="421">
        <v>0</v>
      </c>
      <c r="L50" s="421">
        <v>0</v>
      </c>
      <c r="M50" s="421">
        <v>0</v>
      </c>
      <c r="N50" s="421">
        <v>0</v>
      </c>
      <c r="O50" s="421">
        <v>0</v>
      </c>
      <c r="P50" s="421">
        <v>52.272660894863201</v>
      </c>
      <c r="Q50" s="421">
        <v>0</v>
      </c>
      <c r="R50" s="421">
        <v>0</v>
      </c>
      <c r="S50" s="423">
        <v>982.93244423128704</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0</v>
      </c>
      <c r="Q51" s="421">
        <v>0</v>
      </c>
      <c r="R51" s="421">
        <v>0</v>
      </c>
      <c r="S51" s="423">
        <v>0</v>
      </c>
      <c r="T51" s="412"/>
    </row>
    <row r="52" spans="2:20" ht="13.5">
      <c r="B52" s="412"/>
      <c r="C52" s="420" t="s">
        <v>62</v>
      </c>
      <c r="D52" s="421">
        <v>0</v>
      </c>
      <c r="E52" s="421">
        <v>0</v>
      </c>
      <c r="F52" s="421">
        <v>-14.431507774067301</v>
      </c>
      <c r="G52" s="421">
        <v>0</v>
      </c>
      <c r="H52" s="421">
        <v>0</v>
      </c>
      <c r="I52" s="421">
        <v>0</v>
      </c>
      <c r="J52" s="421">
        <v>0</v>
      </c>
      <c r="K52" s="421">
        <v>0</v>
      </c>
      <c r="L52" s="421">
        <v>0</v>
      </c>
      <c r="M52" s="421">
        <v>0</v>
      </c>
      <c r="N52" s="421">
        <v>0</v>
      </c>
      <c r="O52" s="421">
        <v>0</v>
      </c>
      <c r="P52" s="421">
        <v>0</v>
      </c>
      <c r="Q52" s="421">
        <v>0</v>
      </c>
      <c r="R52" s="421">
        <v>0</v>
      </c>
      <c r="S52" s="423">
        <v>-14.431507774067301</v>
      </c>
      <c r="T52" s="412"/>
    </row>
    <row r="53" spans="2:20" ht="13.5">
      <c r="B53" s="412"/>
      <c r="C53" s="420" t="s">
        <v>63</v>
      </c>
      <c r="D53" s="421">
        <v>0</v>
      </c>
      <c r="E53" s="421">
        <v>0</v>
      </c>
      <c r="F53" s="421">
        <v>-93.073301321338505</v>
      </c>
      <c r="G53" s="421">
        <v>0</v>
      </c>
      <c r="H53" s="421">
        <v>0</v>
      </c>
      <c r="I53" s="421">
        <v>0</v>
      </c>
      <c r="J53" s="421">
        <v>0</v>
      </c>
      <c r="K53" s="421">
        <v>0</v>
      </c>
      <c r="L53" s="421">
        <v>-0.96113349486483901</v>
      </c>
      <c r="M53" s="421">
        <v>0</v>
      </c>
      <c r="N53" s="421">
        <v>0</v>
      </c>
      <c r="O53" s="421">
        <v>0</v>
      </c>
      <c r="P53" s="421">
        <v>0</v>
      </c>
      <c r="Q53" s="421">
        <v>0</v>
      </c>
      <c r="R53" s="421">
        <v>0</v>
      </c>
      <c r="S53" s="423">
        <v>-94.034434816203301</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29.137863782851301</v>
      </c>
      <c r="E55" s="425">
        <v>464.7986487</v>
      </c>
      <c r="F55" s="425">
        <v>-64.4786587629997</v>
      </c>
      <c r="G55" s="425">
        <v>393.69712052116603</v>
      </c>
      <c r="H55" s="425">
        <v>727.27272727272702</v>
      </c>
      <c r="I55" s="425">
        <v>285.08</v>
      </c>
      <c r="J55" s="425">
        <v>179.02026508455899</v>
      </c>
      <c r="K55" s="425">
        <v>22.071430242595699</v>
      </c>
      <c r="L55" s="425">
        <v>-0.96113349486483901</v>
      </c>
      <c r="M55" s="425">
        <v>0</v>
      </c>
      <c r="N55" s="425">
        <v>69.124340714614704</v>
      </c>
      <c r="O55" s="425">
        <v>3.9743240940765601</v>
      </c>
      <c r="P55" s="425">
        <v>52.272660894863201</v>
      </c>
      <c r="Q55" s="425">
        <v>0</v>
      </c>
      <c r="R55" s="425">
        <v>0</v>
      </c>
      <c r="S55" s="425">
        <v>2161.00958904959</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2.2004707355665598</v>
      </c>
      <c r="E58" s="421">
        <v>0</v>
      </c>
      <c r="F58" s="421">
        <v>3.8636363636363602</v>
      </c>
      <c r="G58" s="421">
        <v>35.960251906978201</v>
      </c>
      <c r="H58" s="421">
        <v>727.27272727272702</v>
      </c>
      <c r="I58" s="421">
        <v>285.08</v>
      </c>
      <c r="J58" s="421">
        <v>20.883347007614301</v>
      </c>
      <c r="K58" s="421">
        <v>5.4396340942741803</v>
      </c>
      <c r="L58" s="421">
        <v>0</v>
      </c>
      <c r="M58" s="421">
        <v>0.73388269197914702</v>
      </c>
      <c r="N58" s="421">
        <v>0</v>
      </c>
      <c r="O58" s="421">
        <v>0</v>
      </c>
      <c r="P58" s="421">
        <v>-559.49648075937398</v>
      </c>
      <c r="Q58" s="421">
        <v>0</v>
      </c>
      <c r="R58" s="421">
        <v>0</v>
      </c>
      <c r="S58" s="429">
        <v>521.93746931340195</v>
      </c>
      <c r="T58" s="412"/>
    </row>
    <row r="59" spans="2:20" ht="13.5">
      <c r="B59" s="412"/>
      <c r="C59" s="428" t="s">
        <v>351</v>
      </c>
      <c r="D59" s="421">
        <v>0</v>
      </c>
      <c r="E59" s="421">
        <v>0</v>
      </c>
      <c r="F59" s="421">
        <v>0</v>
      </c>
      <c r="G59" s="421">
        <v>17.249248608476702</v>
      </c>
      <c r="H59" s="421">
        <v>0</v>
      </c>
      <c r="I59" s="421">
        <v>0</v>
      </c>
      <c r="J59" s="421">
        <v>12.287356523997399</v>
      </c>
      <c r="K59" s="421">
        <v>12.751836063828801</v>
      </c>
      <c r="L59" s="421">
        <v>0</v>
      </c>
      <c r="M59" s="421">
        <v>0.35202548180564602</v>
      </c>
      <c r="N59" s="421">
        <v>0</v>
      </c>
      <c r="O59" s="421">
        <v>2.25411214784515</v>
      </c>
      <c r="P59" s="421">
        <v>0</v>
      </c>
      <c r="Q59" s="421">
        <v>-41.172831919421</v>
      </c>
      <c r="R59" s="421">
        <v>0</v>
      </c>
      <c r="S59" s="429">
        <v>3.7217469065325699</v>
      </c>
      <c r="T59" s="412"/>
    </row>
    <row r="60" spans="2:20" ht="13.5">
      <c r="B60" s="412"/>
      <c r="C60" s="428" t="s">
        <v>352</v>
      </c>
      <c r="D60" s="421">
        <v>0</v>
      </c>
      <c r="E60" s="421">
        <v>0</v>
      </c>
      <c r="F60" s="421">
        <v>0</v>
      </c>
      <c r="G60" s="421">
        <v>0</v>
      </c>
      <c r="H60" s="421">
        <v>0</v>
      </c>
      <c r="I60" s="421">
        <v>0</v>
      </c>
      <c r="J60" s="421">
        <v>8.1584068388578199</v>
      </c>
      <c r="K60" s="421">
        <v>0</v>
      </c>
      <c r="L60" s="421">
        <v>0</v>
      </c>
      <c r="M60" s="421">
        <v>-7.7912785311092199</v>
      </c>
      <c r="N60" s="421">
        <v>0</v>
      </c>
      <c r="O60" s="421">
        <v>0</v>
      </c>
      <c r="P60" s="421">
        <v>0</v>
      </c>
      <c r="Q60" s="421">
        <v>0</v>
      </c>
      <c r="R60" s="421">
        <v>0</v>
      </c>
      <c r="S60" s="429">
        <v>0.367128307748603</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481.48200000000003</v>
      </c>
      <c r="F62" s="421">
        <v>-476.66717999999997</v>
      </c>
      <c r="G62" s="421">
        <v>0</v>
      </c>
      <c r="H62" s="421">
        <v>0</v>
      </c>
      <c r="I62" s="421">
        <v>0</v>
      </c>
      <c r="J62" s="421">
        <v>0</v>
      </c>
      <c r="K62" s="421">
        <v>0</v>
      </c>
      <c r="L62" s="421">
        <v>0</v>
      </c>
      <c r="M62" s="421">
        <v>0</v>
      </c>
      <c r="N62" s="421">
        <v>0</v>
      </c>
      <c r="O62" s="421">
        <v>0</v>
      </c>
      <c r="P62" s="421">
        <v>0</v>
      </c>
      <c r="Q62" s="421">
        <v>0</v>
      </c>
      <c r="R62" s="421">
        <v>0</v>
      </c>
      <c r="S62" s="429">
        <v>4.8148200000000001</v>
      </c>
      <c r="T62" s="412"/>
    </row>
    <row r="63" spans="2:20" ht="13.5">
      <c r="B63" s="412"/>
      <c r="C63" s="428" t="s">
        <v>354</v>
      </c>
      <c r="D63" s="421">
        <v>0</v>
      </c>
      <c r="E63" s="421">
        <v>0</v>
      </c>
      <c r="F63" s="421">
        <v>0</v>
      </c>
      <c r="G63" s="421">
        <v>0</v>
      </c>
      <c r="H63" s="421">
        <v>0</v>
      </c>
      <c r="I63" s="421">
        <v>0</v>
      </c>
      <c r="J63" s="421">
        <v>41.474660133722303</v>
      </c>
      <c r="K63" s="421">
        <v>0</v>
      </c>
      <c r="L63" s="421">
        <v>-41.474660133722303</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-0.18779562104234199</v>
      </c>
      <c r="M64" s="421">
        <v>0</v>
      </c>
      <c r="N64" s="421">
        <v>0</v>
      </c>
      <c r="O64" s="421">
        <v>0</v>
      </c>
      <c r="P64" s="421">
        <v>0</v>
      </c>
      <c r="Q64" s="421">
        <v>0</v>
      </c>
      <c r="R64" s="421">
        <v>0.26827945863191799</v>
      </c>
      <c r="S64" s="429">
        <v>8.0483837589575294E-2</v>
      </c>
      <c r="T64" s="412"/>
    </row>
    <row r="65" spans="2:20" ht="13.5">
      <c r="B65" s="412"/>
      <c r="C65" s="428" t="s">
        <v>73</v>
      </c>
      <c r="D65" s="421">
        <v>0</v>
      </c>
      <c r="E65" s="421">
        <v>0</v>
      </c>
      <c r="F65" s="421">
        <v>0</v>
      </c>
      <c r="G65" s="421">
        <v>5.7699673283914903</v>
      </c>
      <c r="H65" s="421">
        <v>0</v>
      </c>
      <c r="I65" s="421">
        <v>0</v>
      </c>
      <c r="J65" s="421">
        <v>0</v>
      </c>
      <c r="K65" s="421">
        <v>6.7674962800744601E-2</v>
      </c>
      <c r="L65" s="421">
        <v>0</v>
      </c>
      <c r="M65" s="421">
        <v>0.117754435273296</v>
      </c>
      <c r="N65" s="421">
        <v>0</v>
      </c>
      <c r="O65" s="421">
        <v>0</v>
      </c>
      <c r="P65" s="421">
        <v>0.78954123267535403</v>
      </c>
      <c r="Q65" s="421">
        <v>0</v>
      </c>
      <c r="R65" s="421">
        <v>-4.73724739605212</v>
      </c>
      <c r="S65" s="429">
        <v>2.0076905630887598</v>
      </c>
      <c r="T65" s="412"/>
    </row>
    <row r="66" spans="2:20" ht="13.5">
      <c r="B66" s="412"/>
      <c r="C66" s="428" t="s">
        <v>356</v>
      </c>
      <c r="D66" s="421">
        <v>12.0380056152344</v>
      </c>
      <c r="E66" s="421">
        <v>-16.683351300000002</v>
      </c>
      <c r="F66" s="421">
        <v>21.820838094867199</v>
      </c>
      <c r="G66" s="421">
        <v>0</v>
      </c>
      <c r="H66" s="421">
        <v>0</v>
      </c>
      <c r="I66" s="421">
        <v>0</v>
      </c>
      <c r="J66" s="421">
        <v>0</v>
      </c>
      <c r="K66" s="421">
        <v>0</v>
      </c>
      <c r="L66" s="421">
        <v>0</v>
      </c>
      <c r="M66" s="421">
        <v>0</v>
      </c>
      <c r="N66" s="421">
        <v>0</v>
      </c>
      <c r="O66" s="421">
        <v>0</v>
      </c>
      <c r="P66" s="421">
        <v>0</v>
      </c>
      <c r="Q66" s="421">
        <v>0</v>
      </c>
      <c r="R66" s="421">
        <v>0</v>
      </c>
      <c r="S66" s="429">
        <v>17.175492410101601</v>
      </c>
      <c r="T66" s="412"/>
    </row>
    <row r="67" spans="2:20" ht="13.5">
      <c r="B67" s="412"/>
      <c r="C67" s="428" t="s">
        <v>75</v>
      </c>
      <c r="D67" s="421">
        <v>9.5550615234374998</v>
      </c>
      <c r="E67" s="421">
        <v>0</v>
      </c>
      <c r="F67" s="421">
        <v>16.370387999999998</v>
      </c>
      <c r="G67" s="421">
        <v>4.6713383640000004</v>
      </c>
      <c r="H67" s="421">
        <v>0</v>
      </c>
      <c r="I67" s="421">
        <v>0</v>
      </c>
      <c r="J67" s="421">
        <v>0</v>
      </c>
      <c r="K67" s="421">
        <v>0</v>
      </c>
      <c r="L67" s="421">
        <v>0</v>
      </c>
      <c r="M67" s="421">
        <v>9.5333435999999994E-2</v>
      </c>
      <c r="N67" s="421">
        <v>0</v>
      </c>
      <c r="O67" s="421">
        <v>0</v>
      </c>
      <c r="P67" s="421">
        <v>25.6753694925142</v>
      </c>
      <c r="Q67" s="421">
        <v>0</v>
      </c>
      <c r="R67" s="421">
        <v>0</v>
      </c>
      <c r="S67" s="429">
        <v>56.367490815951697</v>
      </c>
      <c r="T67" s="412"/>
    </row>
    <row r="68" spans="2:20" ht="13.5">
      <c r="B68" s="412"/>
      <c r="C68" s="428" t="s">
        <v>76</v>
      </c>
      <c r="D68" s="421">
        <v>0</v>
      </c>
      <c r="E68" s="421">
        <v>0</v>
      </c>
      <c r="F68" s="421">
        <v>0</v>
      </c>
      <c r="G68" s="421">
        <v>4.52694839554567</v>
      </c>
      <c r="H68" s="421">
        <v>0</v>
      </c>
      <c r="I68" s="421">
        <v>0</v>
      </c>
      <c r="J68" s="421">
        <v>0</v>
      </c>
      <c r="K68" s="421">
        <v>0</v>
      </c>
      <c r="L68" s="421">
        <v>0</v>
      </c>
      <c r="M68" s="421">
        <v>9.2386701949911706E-2</v>
      </c>
      <c r="N68" s="421">
        <v>0</v>
      </c>
      <c r="O68" s="421">
        <v>0</v>
      </c>
      <c r="P68" s="421">
        <v>46.885354346539003</v>
      </c>
      <c r="Q68" s="421">
        <v>3.1905146505824402</v>
      </c>
      <c r="R68" s="421">
        <v>0</v>
      </c>
      <c r="S68" s="429">
        <v>54.695204094616997</v>
      </c>
      <c r="T68" s="412"/>
    </row>
    <row r="69" spans="2:20" ht="13.5">
      <c r="B69" s="412"/>
      <c r="C69" s="424" t="s">
        <v>77</v>
      </c>
      <c r="D69" s="425">
        <v>23.7935378742384</v>
      </c>
      <c r="E69" s="425">
        <v>464.7986487</v>
      </c>
      <c r="F69" s="425">
        <v>-434.61231754149702</v>
      </c>
      <c r="G69" s="425">
        <v>68.177754603392003</v>
      </c>
      <c r="H69" s="425">
        <v>727.27272727272702</v>
      </c>
      <c r="I69" s="425">
        <v>285.08</v>
      </c>
      <c r="J69" s="425">
        <v>82.803770504191903</v>
      </c>
      <c r="K69" s="425">
        <v>18.2591451209037</v>
      </c>
      <c r="L69" s="425">
        <v>-41.6624557547647</v>
      </c>
      <c r="M69" s="425">
        <v>-6.3998957841012203</v>
      </c>
      <c r="N69" s="425">
        <v>0</v>
      </c>
      <c r="O69" s="425">
        <v>2.25411214784515</v>
      </c>
      <c r="P69" s="425">
        <v>-486.14621568764602</v>
      </c>
      <c r="Q69" s="425">
        <v>-37.982317268838599</v>
      </c>
      <c r="R69" s="425">
        <v>-4.46896793742021</v>
      </c>
      <c r="S69" s="425">
        <v>661.16752624903097</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3.2525348929878701</v>
      </c>
      <c r="E71" s="421">
        <v>0</v>
      </c>
      <c r="F71" s="421">
        <v>17.532199420942199</v>
      </c>
      <c r="G71" s="421">
        <v>101.536086736296</v>
      </c>
      <c r="H71" s="421">
        <v>0</v>
      </c>
      <c r="I71" s="421">
        <v>0</v>
      </c>
      <c r="J71" s="421">
        <v>17.243729128153799</v>
      </c>
      <c r="K71" s="421">
        <v>3.8122851216920202</v>
      </c>
      <c r="L71" s="421">
        <v>0.87021837890624998</v>
      </c>
      <c r="M71" s="421">
        <v>2.0721650354346099</v>
      </c>
      <c r="N71" s="421">
        <v>0</v>
      </c>
      <c r="O71" s="421">
        <v>0</v>
      </c>
      <c r="P71" s="421">
        <v>120.089551917563</v>
      </c>
      <c r="Q71" s="421">
        <v>19.4196670049601</v>
      </c>
      <c r="R71" s="421">
        <v>0.24405599975585901</v>
      </c>
      <c r="S71" s="429">
        <v>286.072493636692</v>
      </c>
      <c r="T71" s="412"/>
    </row>
    <row r="72" spans="2:20" ht="13.5">
      <c r="B72" s="412"/>
      <c r="C72" s="428" t="s">
        <v>79</v>
      </c>
      <c r="D72" s="421">
        <v>0</v>
      </c>
      <c r="E72" s="421">
        <v>0</v>
      </c>
      <c r="F72" s="421">
        <v>204.27744800701601</v>
      </c>
      <c r="G72" s="421">
        <v>35.056721936600702</v>
      </c>
      <c r="H72" s="421">
        <v>0</v>
      </c>
      <c r="I72" s="421">
        <v>0</v>
      </c>
      <c r="J72" s="421">
        <v>0</v>
      </c>
      <c r="K72" s="421">
        <v>0</v>
      </c>
      <c r="L72" s="421">
        <v>20.587238275227001</v>
      </c>
      <c r="M72" s="421">
        <v>0.71544330482858598</v>
      </c>
      <c r="N72" s="421">
        <v>0</v>
      </c>
      <c r="O72" s="421">
        <v>0</v>
      </c>
      <c r="P72" s="421">
        <v>74.338731935176895</v>
      </c>
      <c r="Q72" s="421">
        <v>0</v>
      </c>
      <c r="R72" s="421">
        <v>3.0427208487971602</v>
      </c>
      <c r="S72" s="429">
        <v>338.01830430764699</v>
      </c>
      <c r="T72" s="412"/>
    </row>
    <row r="73" spans="2:20" ht="13.5">
      <c r="B73" s="412"/>
      <c r="C73" s="428" t="s">
        <v>80</v>
      </c>
      <c r="D73" s="421">
        <v>0</v>
      </c>
      <c r="E73" s="421">
        <v>0</v>
      </c>
      <c r="F73" s="421">
        <v>5.0790798253364304</v>
      </c>
      <c r="G73" s="421">
        <v>103.36019560958501</v>
      </c>
      <c r="H73" s="421">
        <v>0</v>
      </c>
      <c r="I73" s="421">
        <v>0</v>
      </c>
      <c r="J73" s="421">
        <v>73.674863255740703</v>
      </c>
      <c r="K73" s="421">
        <v>0</v>
      </c>
      <c r="L73" s="421">
        <v>0</v>
      </c>
      <c r="M73" s="421">
        <v>2.1093917471343899</v>
      </c>
      <c r="N73" s="421">
        <v>62.925207692465797</v>
      </c>
      <c r="O73" s="421">
        <v>0.93798825098649496</v>
      </c>
      <c r="P73" s="421">
        <v>184.247095425738</v>
      </c>
      <c r="Q73" s="421">
        <v>14.961677987514401</v>
      </c>
      <c r="R73" s="421">
        <v>0</v>
      </c>
      <c r="S73" s="429">
        <v>447.29549979450098</v>
      </c>
      <c r="T73" s="412"/>
    </row>
    <row r="74" spans="2:20" ht="13.5">
      <c r="B74" s="412"/>
      <c r="C74" s="428" t="s">
        <v>81</v>
      </c>
      <c r="D74" s="421">
        <v>0</v>
      </c>
      <c r="E74" s="421">
        <v>0</v>
      </c>
      <c r="F74" s="421">
        <v>1.9431733632283299</v>
      </c>
      <c r="G74" s="421">
        <v>67.9041876215625</v>
      </c>
      <c r="H74" s="421">
        <v>0</v>
      </c>
      <c r="I74" s="421">
        <v>0</v>
      </c>
      <c r="J74" s="421">
        <v>3.20971056517973</v>
      </c>
      <c r="K74" s="421">
        <v>0</v>
      </c>
      <c r="L74" s="421">
        <v>0</v>
      </c>
      <c r="M74" s="421">
        <v>1.3857997473788299</v>
      </c>
      <c r="N74" s="421">
        <v>6.1991330221488896</v>
      </c>
      <c r="O74" s="421">
        <v>0.72170394145081995</v>
      </c>
      <c r="P74" s="421">
        <v>149.98195377916301</v>
      </c>
      <c r="Q74" s="421">
        <v>3.6009722763640601</v>
      </c>
      <c r="R74" s="421">
        <v>0</v>
      </c>
      <c r="S74" s="429">
        <v>234.94663431647601</v>
      </c>
      <c r="T74" s="412"/>
    </row>
    <row r="75" spans="2:20" ht="13.5">
      <c r="B75" s="412"/>
      <c r="C75" s="428" t="s">
        <v>82</v>
      </c>
      <c r="D75" s="421">
        <v>0</v>
      </c>
      <c r="E75" s="421">
        <v>0</v>
      </c>
      <c r="F75" s="421">
        <v>2.1543406684855499</v>
      </c>
      <c r="G75" s="421">
        <v>5.7377015169157897</v>
      </c>
      <c r="H75" s="421">
        <v>0</v>
      </c>
      <c r="I75" s="421">
        <v>0</v>
      </c>
      <c r="J75" s="421">
        <v>2.0881916312924198</v>
      </c>
      <c r="K75" s="421">
        <v>0</v>
      </c>
      <c r="L75" s="421">
        <v>19.243865605766601</v>
      </c>
      <c r="M75" s="421">
        <v>0.117095949324812</v>
      </c>
      <c r="N75" s="421">
        <v>0</v>
      </c>
      <c r="O75" s="421">
        <v>6.0519753794095202E-2</v>
      </c>
      <c r="P75" s="421">
        <v>7.3615435248684502</v>
      </c>
      <c r="Q75" s="421">
        <v>0</v>
      </c>
      <c r="R75" s="421">
        <v>0</v>
      </c>
      <c r="S75" s="429">
        <v>36.763258650447703</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2.4</v>
      </c>
      <c r="Q76" s="421">
        <v>0</v>
      </c>
      <c r="R76" s="421">
        <v>0</v>
      </c>
      <c r="S76" s="429">
        <v>2.4</v>
      </c>
      <c r="T76" s="412"/>
    </row>
    <row r="77" spans="2:20" ht="13.5">
      <c r="B77" s="412"/>
      <c r="C77" s="424" t="s">
        <v>83</v>
      </c>
      <c r="D77" s="425">
        <v>3.2525348929878701</v>
      </c>
      <c r="E77" s="425">
        <v>0</v>
      </c>
      <c r="F77" s="425">
        <v>230.98624128500899</v>
      </c>
      <c r="G77" s="425">
        <v>313.59489342095998</v>
      </c>
      <c r="H77" s="425">
        <v>0</v>
      </c>
      <c r="I77" s="425">
        <v>0</v>
      </c>
      <c r="J77" s="425">
        <v>96.2164945803667</v>
      </c>
      <c r="K77" s="425">
        <v>3.8122851216920202</v>
      </c>
      <c r="L77" s="425">
        <v>40.701322259899896</v>
      </c>
      <c r="M77" s="425">
        <v>6.3998957841012203</v>
      </c>
      <c r="N77" s="425">
        <v>69.124340714614704</v>
      </c>
      <c r="O77" s="425">
        <v>1.72021194623141</v>
      </c>
      <c r="P77" s="425">
        <v>538.41887658250903</v>
      </c>
      <c r="Q77" s="425">
        <v>37.982317268838599</v>
      </c>
      <c r="R77" s="425">
        <v>3.28677684855302</v>
      </c>
      <c r="S77" s="425">
        <v>1345.49619070576</v>
      </c>
      <c r="T77" s="412"/>
    </row>
    <row r="78" spans="2:20" ht="13.5">
      <c r="B78" s="412"/>
      <c r="C78" s="420" t="s">
        <v>84</v>
      </c>
      <c r="D78" s="421">
        <v>2.0917910156250001</v>
      </c>
      <c r="E78" s="421">
        <v>0</v>
      </c>
      <c r="F78" s="421">
        <v>139.14741749348801</v>
      </c>
      <c r="G78" s="421">
        <v>11.9244724968143</v>
      </c>
      <c r="H78" s="421">
        <v>0</v>
      </c>
      <c r="I78" s="421">
        <v>0</v>
      </c>
      <c r="J78" s="421">
        <v>0</v>
      </c>
      <c r="K78" s="421">
        <v>0</v>
      </c>
      <c r="L78" s="421">
        <v>0</v>
      </c>
      <c r="M78" s="421">
        <v>0</v>
      </c>
      <c r="N78" s="421">
        <v>0</v>
      </c>
      <c r="O78" s="421">
        <v>0</v>
      </c>
      <c r="P78" s="421">
        <v>0</v>
      </c>
      <c r="Q78" s="421">
        <v>0</v>
      </c>
      <c r="R78" s="421">
        <v>1.18219108886719</v>
      </c>
      <c r="S78" s="429">
        <v>154.345872094794</v>
      </c>
      <c r="T78" s="412"/>
    </row>
    <row r="79" spans="2:20" ht="13.5">
      <c r="B79" s="412"/>
      <c r="C79" s="424" t="s">
        <v>85</v>
      </c>
      <c r="D79" s="425">
        <v>5.3443259086128698</v>
      </c>
      <c r="E79" s="425">
        <v>0</v>
      </c>
      <c r="F79" s="425">
        <v>370.13365877849702</v>
      </c>
      <c r="G79" s="425">
        <v>325.519365917774</v>
      </c>
      <c r="H79" s="425">
        <v>0</v>
      </c>
      <c r="I79" s="425">
        <v>0</v>
      </c>
      <c r="J79" s="425">
        <v>96.2164945803667</v>
      </c>
      <c r="K79" s="425">
        <v>3.8122851216920202</v>
      </c>
      <c r="L79" s="425">
        <v>40.701322259899896</v>
      </c>
      <c r="M79" s="425">
        <v>6.3998957841012203</v>
      </c>
      <c r="N79" s="425">
        <v>69.124340714614704</v>
      </c>
      <c r="O79" s="425">
        <v>1.72021194623141</v>
      </c>
      <c r="P79" s="425">
        <v>538.41887658250903</v>
      </c>
      <c r="Q79" s="425">
        <v>37.982317268838599</v>
      </c>
      <c r="R79" s="425">
        <v>4.46896793742021</v>
      </c>
      <c r="S79" s="425">
        <v>1499.8420628005599</v>
      </c>
      <c r="T79" s="412"/>
    </row>
    <row r="80" spans="2:20">
      <c r="B80" s="412"/>
      <c r="C80" s="412"/>
      <c r="D80" s="430">
        <f t="shared" ref="D80:S80" si="1">D79+D69-D55</f>
        <v>-3.1974423109204508E-14</v>
      </c>
      <c r="E80" s="430">
        <f t="shared" si="1"/>
        <v>0</v>
      </c>
      <c r="F80" s="430">
        <f t="shared" si="1"/>
        <v>-2.9842794901924208E-13</v>
      </c>
      <c r="G80" s="430">
        <f t="shared" si="1"/>
        <v>0</v>
      </c>
      <c r="H80" s="430">
        <f t="shared" si="1"/>
        <v>0</v>
      </c>
      <c r="I80" s="430">
        <f t="shared" si="1"/>
        <v>0</v>
      </c>
      <c r="J80" s="430">
        <f t="shared" si="1"/>
        <v>-3.694822225952521E-13</v>
      </c>
      <c r="K80" s="430">
        <f t="shared" si="1"/>
        <v>0</v>
      </c>
      <c r="L80" s="430">
        <f t="shared" si="1"/>
        <v>3.5416114485542494E-14</v>
      </c>
      <c r="M80" s="430">
        <f t="shared" si="1"/>
        <v>0</v>
      </c>
      <c r="N80" s="430">
        <f t="shared" si="1"/>
        <v>0</v>
      </c>
      <c r="O80" s="430">
        <f t="shared" si="1"/>
        <v>0</v>
      </c>
      <c r="P80" s="430">
        <f t="shared" si="1"/>
        <v>-1.9184653865522705E-13</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sheetData>
  <mergeCells count="24">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N49:O49">
    <cfRule type="expression" dxfId="9394" priority="357">
      <formula>LEN(TRIM(N49))=0</formula>
    </cfRule>
  </conditionalFormatting>
  <conditionalFormatting sqref="N49:O49">
    <cfRule type="cellIs" dxfId="9393" priority="356" operator="equal">
      <formula>0</formula>
    </cfRule>
  </conditionalFormatting>
  <conditionalFormatting sqref="N49:O49">
    <cfRule type="cellIs" dxfId="9392" priority="355" operator="equal">
      <formula>0</formula>
    </cfRule>
  </conditionalFormatting>
  <conditionalFormatting sqref="H49:K49">
    <cfRule type="expression" dxfId="9391" priority="354">
      <formula>LEN(TRIM(H49))=0</formula>
    </cfRule>
  </conditionalFormatting>
  <conditionalFormatting sqref="K49">
    <cfRule type="cellIs" dxfId="9390" priority="353" operator="equal">
      <formula>0</formula>
    </cfRule>
  </conditionalFormatting>
  <conditionalFormatting sqref="J49:K49">
    <cfRule type="cellIs" dxfId="9389" priority="352" operator="equal">
      <formula>0</formula>
    </cfRule>
  </conditionalFormatting>
  <conditionalFormatting sqref="I49">
    <cfRule type="cellIs" dxfId="9388" priority="351" operator="equal">
      <formula>0</formula>
    </cfRule>
  </conditionalFormatting>
  <conditionalFormatting sqref="H49">
    <cfRule type="cellIs" dxfId="9387" priority="350" operator="equal">
      <formula>0</formula>
    </cfRule>
  </conditionalFormatting>
  <conditionalFormatting sqref="D57:R68">
    <cfRule type="expression" dxfId="9386" priority="349">
      <formula>LEN(TRIM(D57))=0</formula>
    </cfRule>
  </conditionalFormatting>
  <conditionalFormatting sqref="D57:R68">
    <cfRule type="cellIs" dxfId="9385" priority="348" operator="equal">
      <formula>0</formula>
    </cfRule>
  </conditionalFormatting>
  <conditionalFormatting sqref="N53:O53">
    <cfRule type="cellIs" dxfId="9384" priority="347" operator="equal">
      <formula>0</formula>
    </cfRule>
  </conditionalFormatting>
  <conditionalFormatting sqref="N52:O52">
    <cfRule type="cellIs" dxfId="9383" priority="346" operator="equal">
      <formula>0</formula>
    </cfRule>
  </conditionalFormatting>
  <conditionalFormatting sqref="M52:M53">
    <cfRule type="cellIs" dxfId="9382" priority="345" operator="equal">
      <formula>0</formula>
    </cfRule>
  </conditionalFormatting>
  <conditionalFormatting sqref="L52:L53">
    <cfRule type="cellIs" dxfId="9381" priority="344" operator="equal">
      <formula>0</formula>
    </cfRule>
  </conditionalFormatting>
  <conditionalFormatting sqref="D78:R78">
    <cfRule type="cellIs" dxfId="9380" priority="343" operator="equal">
      <formula>0</formula>
    </cfRule>
  </conditionalFormatting>
  <conditionalFormatting sqref="D71:R79 D69:R69 D50:R55 D49:G49 L49:M49 P49:R49">
    <cfRule type="expression" dxfId="9379" priority="342">
      <formula>LEN(TRIM(D49))=0</formula>
    </cfRule>
  </conditionalFormatting>
  <conditionalFormatting sqref="D78:R78">
    <cfRule type="cellIs" dxfId="9378" priority="341" operator="equal">
      <formula>0</formula>
    </cfRule>
  </conditionalFormatting>
  <conditionalFormatting sqref="O50:O51">
    <cfRule type="cellIs" dxfId="9377" priority="340" operator="equal">
      <formula>0</formula>
    </cfRule>
  </conditionalFormatting>
  <conditionalFormatting sqref="O52:O54 O70">
    <cfRule type="cellIs" dxfId="9376" priority="339" operator="equal">
      <formula>0</formula>
    </cfRule>
  </conditionalFormatting>
  <conditionalFormatting sqref="N50:N51">
    <cfRule type="cellIs" dxfId="9375" priority="338" operator="equal">
      <formula>0</formula>
    </cfRule>
  </conditionalFormatting>
  <conditionalFormatting sqref="N52:N54 N70">
    <cfRule type="cellIs" dxfId="9374" priority="337" operator="equal">
      <formula>0</formula>
    </cfRule>
  </conditionalFormatting>
  <conditionalFormatting sqref="M49:M51">
    <cfRule type="cellIs" dxfId="9373" priority="336" operator="equal">
      <formula>0</formula>
    </cfRule>
  </conditionalFormatting>
  <conditionalFormatting sqref="M52:M54 M70">
    <cfRule type="cellIs" dxfId="9372" priority="335" operator="equal">
      <formula>0</formula>
    </cfRule>
  </conditionalFormatting>
  <conditionalFormatting sqref="L49:L51">
    <cfRule type="cellIs" dxfId="9371" priority="334" operator="equal">
      <formula>0</formula>
    </cfRule>
  </conditionalFormatting>
  <conditionalFormatting sqref="L52:L54 L70">
    <cfRule type="cellIs" dxfId="9370" priority="333" operator="equal">
      <formula>0</formula>
    </cfRule>
  </conditionalFormatting>
  <conditionalFormatting sqref="K50:K51">
    <cfRule type="cellIs" dxfId="9369" priority="332" operator="equal">
      <formula>0</formula>
    </cfRule>
  </conditionalFormatting>
  <conditionalFormatting sqref="K52:K54 K70">
    <cfRule type="cellIs" dxfId="9368" priority="331" operator="equal">
      <formula>0</formula>
    </cfRule>
  </conditionalFormatting>
  <conditionalFormatting sqref="J50:J51">
    <cfRule type="cellIs" dxfId="9367" priority="330" operator="equal">
      <formula>0</formula>
    </cfRule>
  </conditionalFormatting>
  <conditionalFormatting sqref="J52:J54 J70">
    <cfRule type="cellIs" dxfId="9366" priority="329" operator="equal">
      <formula>0</formula>
    </cfRule>
  </conditionalFormatting>
  <conditionalFormatting sqref="L49:M49">
    <cfRule type="cellIs" dxfId="9365" priority="328" operator="equal">
      <formula>0</formula>
    </cfRule>
  </conditionalFormatting>
  <conditionalFormatting sqref="F50:F51">
    <cfRule type="cellIs" dxfId="9364" priority="327" operator="equal">
      <formula>0</formula>
    </cfRule>
  </conditionalFormatting>
  <conditionalFormatting sqref="P49:R49 L49:M49 D50:R51">
    <cfRule type="cellIs" dxfId="9363" priority="326" operator="equal">
      <formula>0</formula>
    </cfRule>
  </conditionalFormatting>
  <conditionalFormatting sqref="P49:P51">
    <cfRule type="cellIs" dxfId="9362" priority="325" operator="equal">
      <formula>0</formula>
    </cfRule>
  </conditionalFormatting>
  <conditionalFormatting sqref="D79:R79 P70:R70 D70:I70 D71:R77 D69:R69 D50:R56 D49:G49 L49:M49 P49:R49">
    <cfRule type="cellIs" dxfId="9361" priority="324" operator="equal">
      <formula>0</formula>
    </cfRule>
  </conditionalFormatting>
  <conditionalFormatting sqref="N12:O12">
    <cfRule type="expression" dxfId="9360" priority="323">
      <formula>LEN(TRIM(N12))=0</formula>
    </cfRule>
  </conditionalFormatting>
  <conditionalFormatting sqref="N12:O12">
    <cfRule type="cellIs" dxfId="9359" priority="322" operator="equal">
      <formula>0</formula>
    </cfRule>
  </conditionalFormatting>
  <conditionalFormatting sqref="N12:O12">
    <cfRule type="cellIs" dxfId="9358" priority="321" operator="equal">
      <formula>0</formula>
    </cfRule>
  </conditionalFormatting>
  <conditionalFormatting sqref="H12:K12">
    <cfRule type="expression" dxfId="9357" priority="320">
      <formula>LEN(TRIM(H12))=0</formula>
    </cfRule>
  </conditionalFormatting>
  <conditionalFormatting sqref="K12">
    <cfRule type="cellIs" dxfId="9356" priority="319" operator="equal">
      <formula>0</formula>
    </cfRule>
  </conditionalFormatting>
  <conditionalFormatting sqref="J12:K12">
    <cfRule type="cellIs" dxfId="9355" priority="318" operator="equal">
      <formula>0</formula>
    </cfRule>
  </conditionalFormatting>
  <conditionalFormatting sqref="I12">
    <cfRule type="cellIs" dxfId="9354" priority="317" operator="equal">
      <formula>0</formula>
    </cfRule>
  </conditionalFormatting>
  <conditionalFormatting sqref="H12">
    <cfRule type="cellIs" dxfId="9353" priority="316" operator="equal">
      <formula>0</formula>
    </cfRule>
  </conditionalFormatting>
  <conditionalFormatting sqref="D20:R31">
    <cfRule type="expression" dxfId="9352" priority="315">
      <formula>LEN(TRIM(D20))=0</formula>
    </cfRule>
  </conditionalFormatting>
  <conditionalFormatting sqref="D20:R31">
    <cfRule type="cellIs" dxfId="9351" priority="314" operator="equal">
      <formula>0</formula>
    </cfRule>
  </conditionalFormatting>
  <conditionalFormatting sqref="N16:O16">
    <cfRule type="cellIs" dxfId="9350" priority="313" operator="equal">
      <formula>0</formula>
    </cfRule>
  </conditionalFormatting>
  <conditionalFormatting sqref="N15:O15">
    <cfRule type="cellIs" dxfId="9349" priority="312" operator="equal">
      <formula>0</formula>
    </cfRule>
  </conditionalFormatting>
  <conditionalFormatting sqref="M15:M16">
    <cfRule type="cellIs" dxfId="9348" priority="311" operator="equal">
      <formula>0</formula>
    </cfRule>
  </conditionalFormatting>
  <conditionalFormatting sqref="L15:L16">
    <cfRule type="cellIs" dxfId="9347" priority="310" operator="equal">
      <formula>0</formula>
    </cfRule>
  </conditionalFormatting>
  <conditionalFormatting sqref="D41:R41">
    <cfRule type="cellIs" dxfId="9346" priority="309" operator="equal">
      <formula>0</formula>
    </cfRule>
  </conditionalFormatting>
  <conditionalFormatting sqref="D34:R42 D32:R32 D13:R18 D12:G12 L12:M12 P12:R12">
    <cfRule type="expression" dxfId="9345" priority="308">
      <formula>LEN(TRIM(D12))=0</formula>
    </cfRule>
  </conditionalFormatting>
  <conditionalFormatting sqref="D41:R41">
    <cfRule type="cellIs" dxfId="9344" priority="307" operator="equal">
      <formula>0</formula>
    </cfRule>
  </conditionalFormatting>
  <conditionalFormatting sqref="O13:O14">
    <cfRule type="cellIs" dxfId="9343" priority="306" operator="equal">
      <formula>0</formula>
    </cfRule>
  </conditionalFormatting>
  <conditionalFormatting sqref="O15:O17 O33">
    <cfRule type="cellIs" dxfId="9342" priority="305" operator="equal">
      <formula>0</formula>
    </cfRule>
  </conditionalFormatting>
  <conditionalFormatting sqref="N13:N14">
    <cfRule type="cellIs" dxfId="9341" priority="304" operator="equal">
      <formula>0</formula>
    </cfRule>
  </conditionalFormatting>
  <conditionalFormatting sqref="N15:N17 N33">
    <cfRule type="cellIs" dxfId="9340" priority="303" operator="equal">
      <formula>0</formula>
    </cfRule>
  </conditionalFormatting>
  <conditionalFormatting sqref="M12:M14">
    <cfRule type="cellIs" dxfId="9339" priority="302" operator="equal">
      <formula>0</formula>
    </cfRule>
  </conditionalFormatting>
  <conditionalFormatting sqref="M15:M17 M33">
    <cfRule type="cellIs" dxfId="9338" priority="301" operator="equal">
      <formula>0</formula>
    </cfRule>
  </conditionalFormatting>
  <conditionalFormatting sqref="L12:L14">
    <cfRule type="cellIs" dxfId="9337" priority="300" operator="equal">
      <formula>0</formula>
    </cfRule>
  </conditionalFormatting>
  <conditionalFormatting sqref="L15:L17 L33">
    <cfRule type="cellIs" dxfId="9336" priority="299" operator="equal">
      <formula>0</formula>
    </cfRule>
  </conditionalFormatting>
  <conditionalFormatting sqref="K13:K14">
    <cfRule type="cellIs" dxfId="9335" priority="298" operator="equal">
      <formula>0</formula>
    </cfRule>
  </conditionalFormatting>
  <conditionalFormatting sqref="K15:K17 K33">
    <cfRule type="cellIs" dxfId="9334" priority="297" operator="equal">
      <formula>0</formula>
    </cfRule>
  </conditionalFormatting>
  <conditionalFormatting sqref="J13:J14">
    <cfRule type="cellIs" dxfId="9333" priority="296" operator="equal">
      <formula>0</formula>
    </cfRule>
  </conditionalFormatting>
  <conditionalFormatting sqref="J15:J17 J33">
    <cfRule type="cellIs" dxfId="9332" priority="295" operator="equal">
      <formula>0</formula>
    </cfRule>
  </conditionalFormatting>
  <conditionalFormatting sqref="L12:M12">
    <cfRule type="cellIs" dxfId="9331" priority="294" operator="equal">
      <formula>0</formula>
    </cfRule>
  </conditionalFormatting>
  <conditionalFormatting sqref="F13:F14">
    <cfRule type="cellIs" dxfId="9330" priority="293" operator="equal">
      <formula>0</formula>
    </cfRule>
  </conditionalFormatting>
  <conditionalFormatting sqref="P12:R12 L12:M12 D13:R14">
    <cfRule type="cellIs" dxfId="9329" priority="292" operator="equal">
      <formula>0</formula>
    </cfRule>
  </conditionalFormatting>
  <conditionalFormatting sqref="P12:P14">
    <cfRule type="cellIs" dxfId="9328" priority="291" operator="equal">
      <formula>0</formula>
    </cfRule>
  </conditionalFormatting>
  <conditionalFormatting sqref="D42:R42 P33:R33 D33:I33 D34:R40 D32:R32 D13:R19 D12:G12 L12:M12 P12:R12">
    <cfRule type="cellIs" dxfId="9327" priority="290" operator="equal">
      <formula>0</formula>
    </cfRule>
  </conditionalFormatting>
  <conditionalFormatting sqref="S34:S42 S12:S18 S20:S32">
    <cfRule type="expression" dxfId="9326" priority="289">
      <formula>LEN(TRIM(S12))=0</formula>
    </cfRule>
  </conditionalFormatting>
  <conditionalFormatting sqref="S41">
    <cfRule type="cellIs" dxfId="9325" priority="288" operator="equal">
      <formula>0</formula>
    </cfRule>
  </conditionalFormatting>
  <conditionalFormatting sqref="S42 S12:S40">
    <cfRule type="cellIs" dxfId="9324" priority="287" operator="equal">
      <formula>0</formula>
    </cfRule>
  </conditionalFormatting>
  <conditionalFormatting sqref="S57:S68">
    <cfRule type="expression" dxfId="9323" priority="286">
      <formula>LEN(TRIM(S57))=0</formula>
    </cfRule>
  </conditionalFormatting>
  <conditionalFormatting sqref="S57:S68">
    <cfRule type="cellIs" dxfId="9322" priority="285" operator="equal">
      <formula>0</formula>
    </cfRule>
  </conditionalFormatting>
  <conditionalFormatting sqref="S52:S53">
    <cfRule type="expression" dxfId="9321" priority="284">
      <formula>LEN(TRIM(S52))=0</formula>
    </cfRule>
  </conditionalFormatting>
  <conditionalFormatting sqref="S52:S53">
    <cfRule type="cellIs" dxfId="9320" priority="283" operator="equal">
      <formula>0</formula>
    </cfRule>
  </conditionalFormatting>
  <conditionalFormatting sqref="S71:S79 S49:S51 S54:S55">
    <cfRule type="expression" dxfId="9319" priority="282">
      <formula>LEN(TRIM(S49))=0</formula>
    </cfRule>
  </conditionalFormatting>
  <conditionalFormatting sqref="S78">
    <cfRule type="cellIs" dxfId="9318" priority="281" operator="equal">
      <formula>0</formula>
    </cfRule>
  </conditionalFormatting>
  <conditionalFormatting sqref="S79 S49:S51">
    <cfRule type="cellIs" dxfId="9317" priority="280" operator="equal">
      <formula>0</formula>
    </cfRule>
  </conditionalFormatting>
  <conditionalFormatting sqref="O48">
    <cfRule type="cellIs" dxfId="9316" priority="279" operator="equal">
      <formula>0</formula>
    </cfRule>
  </conditionalFormatting>
  <conditionalFormatting sqref="J48:N48">
    <cfRule type="cellIs" dxfId="9315" priority="278" operator="equal">
      <formula>0</formula>
    </cfRule>
  </conditionalFormatting>
  <conditionalFormatting sqref="O11">
    <cfRule type="cellIs" dxfId="9314" priority="277" operator="equal">
      <formula>0</formula>
    </cfRule>
  </conditionalFormatting>
  <conditionalFormatting sqref="J11:N11">
    <cfRule type="cellIs" dxfId="9313" priority="276" operator="equal">
      <formula>0</formula>
    </cfRule>
  </conditionalFormatting>
  <conditionalFormatting sqref="S69">
    <cfRule type="expression" dxfId="9312" priority="2">
      <formula>LEN(TRIM(S69))=0</formula>
    </cfRule>
  </conditionalFormatting>
  <conditionalFormatting sqref="S54:S56 S69:S77">
    <cfRule type="cellIs" dxfId="9311"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BC65A-800A-4E60-90AB-1535EB5582AA}">
  <dimension ref="B2:T44"/>
  <sheetViews>
    <sheetView topLeftCell="A6" zoomScale="55" zoomScaleNormal="55" workbookViewId="0">
      <selection activeCell="C10" sqref="C10:S43"/>
    </sheetView>
  </sheetViews>
  <sheetFormatPr baseColWidth="10" defaultColWidth="8.7265625" defaultRowHeight="12.5"/>
  <cols>
    <col min="1" max="2" width="8.7265625" style="411"/>
    <col min="3" max="3" width="34.90625" style="411" customWidth="1"/>
    <col min="4" max="23" width="8.7265625" style="411"/>
    <col min="24" max="24" width="9.54296875" style="411" bestFit="1" customWidth="1"/>
    <col min="25" max="16384" width="8.7265625" style="411"/>
  </cols>
  <sheetData>
    <row r="2" spans="2:20" ht="17.5">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89</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0</v>
      </c>
      <c r="F12" s="422">
        <v>0</v>
      </c>
      <c r="G12" s="421">
        <v>0</v>
      </c>
      <c r="H12" s="422">
        <v>727.27272727272702</v>
      </c>
      <c r="I12" s="422">
        <v>285.08</v>
      </c>
      <c r="J12" s="422">
        <v>179.02026508455899</v>
      </c>
      <c r="K12" s="422">
        <v>22.071430242595699</v>
      </c>
      <c r="L12" s="422">
        <v>0</v>
      </c>
      <c r="M12" s="422">
        <v>0</v>
      </c>
      <c r="N12" s="432">
        <v>69.124340714614704</v>
      </c>
      <c r="O12" s="509">
        <v>3.9743240940765601</v>
      </c>
      <c r="P12" s="422">
        <v>0</v>
      </c>
      <c r="Q12" s="422">
        <v>0</v>
      </c>
      <c r="R12" s="422">
        <v>0</v>
      </c>
      <c r="S12" s="423">
        <v>1286.54308740857</v>
      </c>
      <c r="T12" s="412"/>
    </row>
    <row r="13" spans="2:20" ht="13.5">
      <c r="B13" s="412"/>
      <c r="C13" s="420" t="s">
        <v>60</v>
      </c>
      <c r="D13" s="422">
        <v>29.137863782851301</v>
      </c>
      <c r="E13" s="422">
        <v>464.7986487</v>
      </c>
      <c r="F13" s="422">
        <v>43.026150332406097</v>
      </c>
      <c r="G13" s="422">
        <v>393.69712052116603</v>
      </c>
      <c r="H13" s="422">
        <v>0</v>
      </c>
      <c r="I13" s="422">
        <v>0</v>
      </c>
      <c r="J13" s="422">
        <v>0</v>
      </c>
      <c r="K13" s="422">
        <v>0</v>
      </c>
      <c r="L13" s="422">
        <v>0</v>
      </c>
      <c r="M13" s="432">
        <v>0</v>
      </c>
      <c r="N13" s="422">
        <v>0</v>
      </c>
      <c r="O13" s="422">
        <v>0</v>
      </c>
      <c r="P13" s="432">
        <v>52.272660894863201</v>
      </c>
      <c r="Q13" s="422">
        <v>0</v>
      </c>
      <c r="R13" s="432">
        <v>0</v>
      </c>
      <c r="S13" s="423">
        <v>982.93244423128704</v>
      </c>
      <c r="T13" s="412"/>
    </row>
    <row r="14" spans="2:20" ht="13.5">
      <c r="B14" s="412"/>
      <c r="C14" s="420" t="s">
        <v>61</v>
      </c>
      <c r="D14" s="422">
        <v>0</v>
      </c>
      <c r="E14" s="422">
        <v>0</v>
      </c>
      <c r="F14" s="422">
        <v>0</v>
      </c>
      <c r="G14" s="422">
        <v>0</v>
      </c>
      <c r="H14" s="422">
        <v>0</v>
      </c>
      <c r="I14" s="422">
        <v>0</v>
      </c>
      <c r="J14" s="422">
        <v>0</v>
      </c>
      <c r="K14" s="422">
        <v>0</v>
      </c>
      <c r="L14" s="422">
        <v>0</v>
      </c>
      <c r="M14" s="432">
        <v>0</v>
      </c>
      <c r="N14" s="422">
        <v>0</v>
      </c>
      <c r="O14" s="422">
        <v>0</v>
      </c>
      <c r="P14" s="432">
        <v>0</v>
      </c>
      <c r="Q14" s="422">
        <v>0</v>
      </c>
      <c r="R14" s="432">
        <v>0</v>
      </c>
      <c r="S14" s="423">
        <v>0</v>
      </c>
      <c r="T14" s="412"/>
    </row>
    <row r="15" spans="2:20" ht="13.5">
      <c r="B15" s="412"/>
      <c r="C15" s="420" t="s">
        <v>62</v>
      </c>
      <c r="D15" s="421">
        <v>0</v>
      </c>
      <c r="E15" s="421">
        <v>0</v>
      </c>
      <c r="F15" s="421">
        <v>-14.431507774067301</v>
      </c>
      <c r="G15" s="421">
        <v>0</v>
      </c>
      <c r="H15" s="421">
        <v>0</v>
      </c>
      <c r="I15" s="421">
        <v>0</v>
      </c>
      <c r="J15" s="421">
        <v>0</v>
      </c>
      <c r="K15" s="421">
        <v>0</v>
      </c>
      <c r="L15" s="431">
        <v>0</v>
      </c>
      <c r="M15" s="431">
        <v>0</v>
      </c>
      <c r="N15" s="421">
        <v>0</v>
      </c>
      <c r="O15" s="421">
        <v>0</v>
      </c>
      <c r="P15" s="422">
        <v>0</v>
      </c>
      <c r="Q15" s="422">
        <v>0</v>
      </c>
      <c r="R15" s="431">
        <v>0</v>
      </c>
      <c r="S15" s="423">
        <v>-14.431507774067301</v>
      </c>
      <c r="T15" s="412"/>
    </row>
    <row r="16" spans="2:20" ht="13.5">
      <c r="B16" s="412"/>
      <c r="C16" s="420" t="s">
        <v>63</v>
      </c>
      <c r="D16" s="421">
        <v>0</v>
      </c>
      <c r="E16" s="421">
        <v>0</v>
      </c>
      <c r="F16" s="421">
        <v>-93.073301321338505</v>
      </c>
      <c r="G16" s="421">
        <v>0</v>
      </c>
      <c r="H16" s="421">
        <v>0</v>
      </c>
      <c r="I16" s="421">
        <v>0</v>
      </c>
      <c r="J16" s="421">
        <v>0</v>
      </c>
      <c r="K16" s="421">
        <v>0</v>
      </c>
      <c r="L16" s="431">
        <v>-0.96113349486483901</v>
      </c>
      <c r="M16" s="431">
        <v>0</v>
      </c>
      <c r="N16" s="421">
        <v>0</v>
      </c>
      <c r="O16" s="421">
        <v>0</v>
      </c>
      <c r="P16" s="422">
        <v>0</v>
      </c>
      <c r="Q16" s="422">
        <v>0</v>
      </c>
      <c r="R16" s="431">
        <v>0</v>
      </c>
      <c r="S16" s="423">
        <v>-94.034434816203301</v>
      </c>
      <c r="T16" s="412"/>
    </row>
    <row r="17" spans="2:20" ht="13.5">
      <c r="B17" s="412"/>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T17" s="412"/>
    </row>
    <row r="18" spans="2:20" ht="13.5">
      <c r="B18" s="412"/>
      <c r="C18" s="424" t="s">
        <v>65</v>
      </c>
      <c r="D18" s="510">
        <v>29.137863782851301</v>
      </c>
      <c r="E18" s="510">
        <v>464.7986487</v>
      </c>
      <c r="F18" s="510">
        <v>-64.4786587629997</v>
      </c>
      <c r="G18" s="510">
        <v>393.69712052116603</v>
      </c>
      <c r="H18" s="425">
        <v>727.27272727272702</v>
      </c>
      <c r="I18" s="425">
        <v>285.08</v>
      </c>
      <c r="J18" s="425">
        <v>179.02026508455899</v>
      </c>
      <c r="K18" s="510">
        <v>22.071430242595699</v>
      </c>
      <c r="L18" s="425">
        <v>-0.96113349486483901</v>
      </c>
      <c r="M18" s="425">
        <v>0</v>
      </c>
      <c r="N18" s="425">
        <v>69.124340714614704</v>
      </c>
      <c r="O18" s="425">
        <v>3.9743240940765601</v>
      </c>
      <c r="P18" s="425">
        <v>52.272660894863201</v>
      </c>
      <c r="Q18" s="425">
        <v>0</v>
      </c>
      <c r="R18" s="425">
        <v>0</v>
      </c>
      <c r="S18" s="425">
        <v>2161.00958904959</v>
      </c>
      <c r="T18" s="412"/>
    </row>
    <row r="19" spans="2:20" ht="13.5">
      <c r="B19" s="412"/>
      <c r="C19" s="426"/>
      <c r="D19" s="427"/>
      <c r="E19" s="492"/>
      <c r="F19" s="492"/>
      <c r="G19" s="492"/>
      <c r="H19" s="427"/>
      <c r="I19" s="427"/>
      <c r="J19" s="427"/>
      <c r="K19" s="492"/>
      <c r="L19" s="427"/>
      <c r="M19" s="427"/>
      <c r="N19" s="427"/>
      <c r="O19" s="427"/>
      <c r="P19" s="492"/>
      <c r="Q19" s="492"/>
      <c r="R19" s="427"/>
      <c r="S19" s="427"/>
      <c r="T19" s="412"/>
    </row>
    <row r="20" spans="2:20" ht="13.5">
      <c r="B20" s="412"/>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T20" s="412"/>
    </row>
    <row r="21" spans="2:20" ht="13.5">
      <c r="B21" s="412"/>
      <c r="C21" s="428" t="s">
        <v>350</v>
      </c>
      <c r="D21" s="431">
        <v>2.2004707355665598</v>
      </c>
      <c r="E21" s="421">
        <v>0</v>
      </c>
      <c r="F21" s="431">
        <v>3.8636363636363602</v>
      </c>
      <c r="G21" s="431">
        <v>35.960251906978201</v>
      </c>
      <c r="H21" s="431">
        <v>727.27272727272702</v>
      </c>
      <c r="I21" s="431">
        <v>285.08</v>
      </c>
      <c r="J21" s="431">
        <v>20.883347007614301</v>
      </c>
      <c r="K21" s="431">
        <v>5.4396340942741803</v>
      </c>
      <c r="L21" s="421">
        <v>0</v>
      </c>
      <c r="M21" s="431">
        <v>0.73388269197914702</v>
      </c>
      <c r="N21" s="421">
        <v>0</v>
      </c>
      <c r="O21" s="421">
        <v>0</v>
      </c>
      <c r="P21" s="421">
        <v>-559.49648075937398</v>
      </c>
      <c r="Q21" s="421">
        <v>0</v>
      </c>
      <c r="R21" s="432">
        <v>0</v>
      </c>
      <c r="S21" s="491">
        <v>521.93746931340195</v>
      </c>
      <c r="T21" s="412"/>
    </row>
    <row r="22" spans="2:20" ht="13.5">
      <c r="B22" s="412"/>
      <c r="C22" s="428" t="s">
        <v>351</v>
      </c>
      <c r="D22" s="431">
        <v>0</v>
      </c>
      <c r="E22" s="421">
        <v>0</v>
      </c>
      <c r="F22" s="431">
        <v>0</v>
      </c>
      <c r="G22" s="431">
        <v>17.249248608476702</v>
      </c>
      <c r="H22" s="421">
        <v>0</v>
      </c>
      <c r="I22" s="421">
        <v>0</v>
      </c>
      <c r="J22" s="431">
        <v>12.287356523997399</v>
      </c>
      <c r="K22" s="431">
        <v>12.751836063828801</v>
      </c>
      <c r="L22" s="421">
        <v>0</v>
      </c>
      <c r="M22" s="431">
        <v>0.35202548180564602</v>
      </c>
      <c r="N22" s="421">
        <v>0</v>
      </c>
      <c r="O22" s="431">
        <v>2.25411214784515</v>
      </c>
      <c r="P22" s="421">
        <v>0</v>
      </c>
      <c r="Q22" s="421">
        <v>-41.172831919421</v>
      </c>
      <c r="R22" s="432">
        <v>0</v>
      </c>
      <c r="S22" s="491">
        <v>3.7217469065325699</v>
      </c>
      <c r="T22" s="412"/>
    </row>
    <row r="23" spans="2:20" ht="13.5">
      <c r="B23" s="412"/>
      <c r="C23" s="428" t="s">
        <v>352</v>
      </c>
      <c r="D23" s="421">
        <v>0</v>
      </c>
      <c r="E23" s="421">
        <v>0</v>
      </c>
      <c r="F23" s="421">
        <v>0</v>
      </c>
      <c r="G23" s="421">
        <v>0</v>
      </c>
      <c r="H23" s="421">
        <v>0</v>
      </c>
      <c r="I23" s="421">
        <v>0</v>
      </c>
      <c r="J23" s="431">
        <v>8.1584068388578199</v>
      </c>
      <c r="K23" s="421">
        <v>0</v>
      </c>
      <c r="L23" s="421">
        <v>0</v>
      </c>
      <c r="M23" s="421">
        <v>-7.7912785311092199</v>
      </c>
      <c r="N23" s="421">
        <v>0</v>
      </c>
      <c r="O23" s="421">
        <v>0</v>
      </c>
      <c r="P23" s="421">
        <v>0</v>
      </c>
      <c r="Q23" s="421">
        <v>0</v>
      </c>
      <c r="R23" s="422">
        <v>0</v>
      </c>
      <c r="S23" s="491">
        <v>0.367128307748603</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T24" s="412"/>
    </row>
    <row r="25" spans="2:20" ht="13.5">
      <c r="B25" s="412"/>
      <c r="C25" s="428" t="s">
        <v>72</v>
      </c>
      <c r="D25" s="421">
        <v>0</v>
      </c>
      <c r="E25" s="431">
        <v>481.48200000000003</v>
      </c>
      <c r="F25" s="421">
        <v>-476.66717999999997</v>
      </c>
      <c r="G25" s="431">
        <v>0</v>
      </c>
      <c r="H25" s="421">
        <v>0</v>
      </c>
      <c r="I25" s="421">
        <v>0</v>
      </c>
      <c r="J25" s="421">
        <v>0</v>
      </c>
      <c r="K25" s="421">
        <v>0</v>
      </c>
      <c r="L25" s="421">
        <v>0</v>
      </c>
      <c r="M25" s="421">
        <v>0</v>
      </c>
      <c r="N25" s="421">
        <v>0</v>
      </c>
      <c r="O25" s="421">
        <v>0</v>
      </c>
      <c r="P25" s="421">
        <v>0</v>
      </c>
      <c r="Q25" s="421">
        <v>0</v>
      </c>
      <c r="R25" s="422">
        <v>0</v>
      </c>
      <c r="S25" s="491">
        <v>4.8148200000000001</v>
      </c>
      <c r="T25" s="412"/>
    </row>
    <row r="26" spans="2:20" ht="13.5">
      <c r="B26" s="412"/>
      <c r="C26" s="428" t="s">
        <v>354</v>
      </c>
      <c r="D26" s="421">
        <v>0</v>
      </c>
      <c r="E26" s="421">
        <v>0</v>
      </c>
      <c r="F26" s="421">
        <v>0</v>
      </c>
      <c r="G26" s="421">
        <v>0</v>
      </c>
      <c r="H26" s="421">
        <v>0</v>
      </c>
      <c r="I26" s="421">
        <v>0</v>
      </c>
      <c r="J26" s="421">
        <v>41.474660133722303</v>
      </c>
      <c r="K26" s="421">
        <v>0</v>
      </c>
      <c r="L26" s="431">
        <v>-41.474660133722303</v>
      </c>
      <c r="M26" s="421">
        <v>0</v>
      </c>
      <c r="N26" s="421">
        <v>0</v>
      </c>
      <c r="O26" s="421">
        <v>0</v>
      </c>
      <c r="P26" s="421">
        <v>0</v>
      </c>
      <c r="Q26" s="421">
        <v>0</v>
      </c>
      <c r="R26" s="422">
        <v>0</v>
      </c>
      <c r="S26" s="423">
        <v>0</v>
      </c>
      <c r="T26" s="412"/>
    </row>
    <row r="27" spans="2:20" ht="13.5">
      <c r="B27" s="412"/>
      <c r="C27" s="428" t="s">
        <v>355</v>
      </c>
      <c r="D27" s="421">
        <v>0</v>
      </c>
      <c r="E27" s="421">
        <v>0</v>
      </c>
      <c r="F27" s="421">
        <v>0</v>
      </c>
      <c r="G27" s="421">
        <v>0</v>
      </c>
      <c r="H27" s="421">
        <v>0</v>
      </c>
      <c r="I27" s="421">
        <v>0</v>
      </c>
      <c r="J27" s="421">
        <v>0</v>
      </c>
      <c r="K27" s="421">
        <v>0</v>
      </c>
      <c r="L27" s="431">
        <v>-0.18779562104234199</v>
      </c>
      <c r="M27" s="421">
        <v>0</v>
      </c>
      <c r="N27" s="421">
        <v>0</v>
      </c>
      <c r="O27" s="421">
        <v>0</v>
      </c>
      <c r="P27" s="421">
        <v>0</v>
      </c>
      <c r="Q27" s="421">
        <v>0</v>
      </c>
      <c r="R27" s="432">
        <v>0.26827945863191799</v>
      </c>
      <c r="S27" s="491">
        <v>8.0483837589575294E-2</v>
      </c>
      <c r="T27" s="412"/>
    </row>
    <row r="28" spans="2:20" ht="13.5">
      <c r="B28" s="412"/>
      <c r="C28" s="428" t="s">
        <v>73</v>
      </c>
      <c r="D28" s="421">
        <v>0</v>
      </c>
      <c r="E28" s="421">
        <v>0</v>
      </c>
      <c r="F28" s="421">
        <v>0</v>
      </c>
      <c r="G28" s="431">
        <v>5.7699673283914903</v>
      </c>
      <c r="H28" s="421">
        <v>0</v>
      </c>
      <c r="I28" s="421">
        <v>0</v>
      </c>
      <c r="J28" s="421">
        <v>0</v>
      </c>
      <c r="K28" s="431">
        <v>6.7674962800744601E-2</v>
      </c>
      <c r="L28" s="421">
        <v>0</v>
      </c>
      <c r="M28" s="431">
        <v>0.117754435273296</v>
      </c>
      <c r="N28" s="421">
        <v>0</v>
      </c>
      <c r="O28" s="421">
        <v>0</v>
      </c>
      <c r="P28" s="431">
        <v>0.78954123267535403</v>
      </c>
      <c r="Q28" s="421">
        <v>0</v>
      </c>
      <c r="R28" s="509">
        <v>-4.73724739605212</v>
      </c>
      <c r="S28" s="491">
        <v>2.0076905630887598</v>
      </c>
      <c r="T28" s="412"/>
    </row>
    <row r="29" spans="2:20" ht="13.5">
      <c r="B29" s="412"/>
      <c r="C29" s="428" t="s">
        <v>356</v>
      </c>
      <c r="D29" s="431">
        <v>12.0380056152344</v>
      </c>
      <c r="E29" s="431">
        <v>-16.683351300000002</v>
      </c>
      <c r="F29" s="431">
        <v>21.820838094867199</v>
      </c>
      <c r="G29" s="431">
        <v>0</v>
      </c>
      <c r="H29" s="421">
        <v>0</v>
      </c>
      <c r="I29" s="421">
        <v>0</v>
      </c>
      <c r="J29" s="421">
        <v>0</v>
      </c>
      <c r="K29" s="421">
        <v>0</v>
      </c>
      <c r="L29" s="431">
        <v>0</v>
      </c>
      <c r="M29" s="431">
        <v>0</v>
      </c>
      <c r="N29" s="421">
        <v>0</v>
      </c>
      <c r="O29" s="421">
        <v>0</v>
      </c>
      <c r="P29" s="421">
        <v>0</v>
      </c>
      <c r="Q29" s="421">
        <v>0</v>
      </c>
      <c r="R29" s="422">
        <v>0</v>
      </c>
      <c r="S29" s="423">
        <v>17.175492410101601</v>
      </c>
      <c r="T29" s="412"/>
    </row>
    <row r="30" spans="2:20" ht="13.5">
      <c r="B30" s="412"/>
      <c r="C30" s="428" t="s">
        <v>75</v>
      </c>
      <c r="D30" s="431">
        <v>9.5550615234374998</v>
      </c>
      <c r="E30" s="421">
        <v>0</v>
      </c>
      <c r="F30" s="431">
        <v>16.370387999999998</v>
      </c>
      <c r="G30" s="431">
        <v>4.6713383640000004</v>
      </c>
      <c r="H30" s="421">
        <v>0</v>
      </c>
      <c r="I30" s="421">
        <v>0</v>
      </c>
      <c r="J30" s="421">
        <v>0</v>
      </c>
      <c r="K30" s="421">
        <v>0</v>
      </c>
      <c r="L30" s="421">
        <v>0</v>
      </c>
      <c r="M30" s="431">
        <v>9.5333435999999994E-2</v>
      </c>
      <c r="N30" s="421">
        <v>0</v>
      </c>
      <c r="O30" s="421">
        <v>0</v>
      </c>
      <c r="P30" s="431">
        <v>25.6753694925142</v>
      </c>
      <c r="Q30" s="421">
        <v>0</v>
      </c>
      <c r="R30" s="422">
        <v>0</v>
      </c>
      <c r="S30" s="423">
        <v>56.367490815951697</v>
      </c>
      <c r="T30" s="412"/>
    </row>
    <row r="31" spans="2:20" ht="13.5">
      <c r="B31" s="412"/>
      <c r="C31" s="428" t="s">
        <v>76</v>
      </c>
      <c r="D31" s="421">
        <v>0</v>
      </c>
      <c r="E31" s="421">
        <v>0</v>
      </c>
      <c r="F31" s="421">
        <v>0</v>
      </c>
      <c r="G31" s="431">
        <v>4.52694839554567</v>
      </c>
      <c r="H31" s="421">
        <v>0</v>
      </c>
      <c r="I31" s="421">
        <v>0</v>
      </c>
      <c r="J31" s="421">
        <v>0</v>
      </c>
      <c r="K31" s="421">
        <v>0</v>
      </c>
      <c r="L31" s="421">
        <v>0</v>
      </c>
      <c r="M31" s="431">
        <v>9.2386701949911706E-2</v>
      </c>
      <c r="N31" s="421">
        <v>0</v>
      </c>
      <c r="O31" s="421">
        <v>0</v>
      </c>
      <c r="P31" s="431">
        <v>46.885354346539003</v>
      </c>
      <c r="Q31" s="431">
        <v>3.1905146505824402</v>
      </c>
      <c r="R31" s="432">
        <v>0</v>
      </c>
      <c r="S31" s="423">
        <v>54.695204094616997</v>
      </c>
      <c r="T31" s="412"/>
    </row>
    <row r="32" spans="2:20" ht="13.5">
      <c r="B32" s="412"/>
      <c r="C32" s="424" t="s">
        <v>77</v>
      </c>
      <c r="D32" s="425">
        <v>23.7935378742384</v>
      </c>
      <c r="E32" s="425">
        <v>464.7986487</v>
      </c>
      <c r="F32" s="425">
        <v>-434.61231754149702</v>
      </c>
      <c r="G32" s="425">
        <v>68.177754603392003</v>
      </c>
      <c r="H32" s="425">
        <v>727.27272727272702</v>
      </c>
      <c r="I32" s="425">
        <v>285.08</v>
      </c>
      <c r="J32" s="425">
        <v>82.803770504191903</v>
      </c>
      <c r="K32" s="425">
        <v>18.2591451209037</v>
      </c>
      <c r="L32" s="425">
        <v>-41.6624557547647</v>
      </c>
      <c r="M32" s="425">
        <v>-6.3998957841012203</v>
      </c>
      <c r="N32" s="425">
        <v>0</v>
      </c>
      <c r="O32" s="425">
        <v>2.25411214784515</v>
      </c>
      <c r="P32" s="425">
        <v>-486.14621568764602</v>
      </c>
      <c r="Q32" s="425">
        <v>-37.982317268838599</v>
      </c>
      <c r="R32" s="425">
        <v>-4.46896793742021</v>
      </c>
      <c r="S32" s="425">
        <v>661.16752624903097</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31">
        <v>3.2525348929878701</v>
      </c>
      <c r="E34" s="421">
        <v>0</v>
      </c>
      <c r="F34" s="431">
        <v>17.532199420942199</v>
      </c>
      <c r="G34" s="431">
        <v>101.536086736296</v>
      </c>
      <c r="H34" s="421">
        <v>0</v>
      </c>
      <c r="I34" s="421">
        <v>0</v>
      </c>
      <c r="J34" s="431">
        <v>17.243729128153799</v>
      </c>
      <c r="K34" s="431">
        <v>3.8122851216920202</v>
      </c>
      <c r="L34" s="431">
        <v>0.87021837890624998</v>
      </c>
      <c r="M34" s="431">
        <v>2.0721650354346099</v>
      </c>
      <c r="N34" s="431">
        <v>0</v>
      </c>
      <c r="O34" s="431">
        <v>0</v>
      </c>
      <c r="P34" s="431">
        <v>120.089551917563</v>
      </c>
      <c r="Q34" s="431">
        <v>19.4196670049601</v>
      </c>
      <c r="R34" s="431">
        <v>0.24405599975585901</v>
      </c>
      <c r="S34" s="429">
        <v>286.072493636692</v>
      </c>
      <c r="T34" s="412"/>
    </row>
    <row r="35" spans="2:20" ht="13.5">
      <c r="B35" s="412"/>
      <c r="C35" s="428" t="s">
        <v>79</v>
      </c>
      <c r="D35" s="431">
        <v>0</v>
      </c>
      <c r="E35" s="421">
        <v>0</v>
      </c>
      <c r="F35" s="431">
        <v>204.27744800701601</v>
      </c>
      <c r="G35" s="431">
        <v>35.056721936600702</v>
      </c>
      <c r="H35" s="421">
        <v>0</v>
      </c>
      <c r="I35" s="421">
        <v>0</v>
      </c>
      <c r="J35" s="431">
        <v>0</v>
      </c>
      <c r="K35" s="431">
        <v>0</v>
      </c>
      <c r="L35" s="431">
        <v>20.587238275227001</v>
      </c>
      <c r="M35" s="431">
        <v>0.71544330482858598</v>
      </c>
      <c r="N35" s="431">
        <v>0</v>
      </c>
      <c r="O35" s="431">
        <v>0</v>
      </c>
      <c r="P35" s="431">
        <v>74.338731935176895</v>
      </c>
      <c r="Q35" s="431">
        <v>0</v>
      </c>
      <c r="R35" s="431">
        <v>3.0427208487971602</v>
      </c>
      <c r="S35" s="429">
        <v>338.01830430764699</v>
      </c>
      <c r="T35" s="412"/>
    </row>
    <row r="36" spans="2:20" ht="13.5">
      <c r="B36" s="412"/>
      <c r="C36" s="428" t="s">
        <v>80</v>
      </c>
      <c r="D36" s="431">
        <v>0</v>
      </c>
      <c r="E36" s="421">
        <v>0</v>
      </c>
      <c r="F36" s="431">
        <v>5.0790798253364304</v>
      </c>
      <c r="G36" s="431">
        <v>103.36019560958501</v>
      </c>
      <c r="H36" s="421">
        <v>0</v>
      </c>
      <c r="I36" s="421">
        <v>0</v>
      </c>
      <c r="J36" s="431">
        <v>73.674863255740703</v>
      </c>
      <c r="K36" s="431">
        <v>0</v>
      </c>
      <c r="L36" s="431">
        <v>0</v>
      </c>
      <c r="M36" s="431">
        <v>2.1093917471343899</v>
      </c>
      <c r="N36" s="431">
        <v>62.925207692465797</v>
      </c>
      <c r="O36" s="431">
        <v>0.93798825098649496</v>
      </c>
      <c r="P36" s="431">
        <v>184.247095425738</v>
      </c>
      <c r="Q36" s="431">
        <v>14.961677987514401</v>
      </c>
      <c r="R36" s="431">
        <v>0</v>
      </c>
      <c r="S36" s="429">
        <v>447.29549979450098</v>
      </c>
      <c r="T36" s="412"/>
    </row>
    <row r="37" spans="2:20" ht="13.5">
      <c r="B37" s="412"/>
      <c r="C37" s="428" t="s">
        <v>81</v>
      </c>
      <c r="D37" s="431">
        <v>0</v>
      </c>
      <c r="E37" s="421">
        <v>0</v>
      </c>
      <c r="F37" s="431">
        <v>1.9431733632283299</v>
      </c>
      <c r="G37" s="431">
        <v>67.9041876215625</v>
      </c>
      <c r="H37" s="421">
        <v>0</v>
      </c>
      <c r="I37" s="421">
        <v>0</v>
      </c>
      <c r="J37" s="431">
        <v>3.20971056517973</v>
      </c>
      <c r="K37" s="431">
        <v>0</v>
      </c>
      <c r="L37" s="431">
        <v>0</v>
      </c>
      <c r="M37" s="431">
        <v>1.3857997473788299</v>
      </c>
      <c r="N37" s="431">
        <v>6.1991330221488896</v>
      </c>
      <c r="O37" s="431">
        <v>0.72170394145081995</v>
      </c>
      <c r="P37" s="431">
        <v>149.98195377916301</v>
      </c>
      <c r="Q37" s="431">
        <v>3.6009722763640601</v>
      </c>
      <c r="R37" s="431">
        <v>0</v>
      </c>
      <c r="S37" s="429">
        <v>234.94663431647601</v>
      </c>
      <c r="T37" s="412"/>
    </row>
    <row r="38" spans="2:20" ht="13.5">
      <c r="B38" s="412"/>
      <c r="C38" s="428" t="s">
        <v>82</v>
      </c>
      <c r="D38" s="431">
        <v>0</v>
      </c>
      <c r="E38" s="421">
        <v>0</v>
      </c>
      <c r="F38" s="431">
        <v>2.1543406684855499</v>
      </c>
      <c r="G38" s="431">
        <v>5.7377015169157897</v>
      </c>
      <c r="H38" s="421">
        <v>0</v>
      </c>
      <c r="I38" s="421">
        <v>0</v>
      </c>
      <c r="J38" s="431">
        <v>2.0881916312924198</v>
      </c>
      <c r="K38" s="431">
        <v>0</v>
      </c>
      <c r="L38" s="431">
        <v>19.243865605766601</v>
      </c>
      <c r="M38" s="431">
        <v>0.117095949324812</v>
      </c>
      <c r="N38" s="431">
        <v>0</v>
      </c>
      <c r="O38" s="431">
        <v>6.0519753794095202E-2</v>
      </c>
      <c r="P38" s="431">
        <v>7.3615435248684502</v>
      </c>
      <c r="Q38" s="431">
        <v>0</v>
      </c>
      <c r="R38" s="431">
        <v>0</v>
      </c>
      <c r="S38" s="429">
        <v>36.763258650447703</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31">
        <v>2.4</v>
      </c>
      <c r="Q39" s="421">
        <v>0</v>
      </c>
      <c r="R39" s="421">
        <v>0</v>
      </c>
      <c r="S39" s="429">
        <v>2.4</v>
      </c>
      <c r="T39" s="412"/>
    </row>
    <row r="40" spans="2:20" ht="13.5">
      <c r="B40" s="412"/>
      <c r="C40" s="424" t="s">
        <v>83</v>
      </c>
      <c r="D40" s="425">
        <v>3.2525348929878701</v>
      </c>
      <c r="E40" s="425">
        <v>0</v>
      </c>
      <c r="F40" s="425">
        <v>230.98624128500899</v>
      </c>
      <c r="G40" s="425">
        <v>313.59489342095998</v>
      </c>
      <c r="H40" s="425">
        <v>0</v>
      </c>
      <c r="I40" s="425">
        <v>0</v>
      </c>
      <c r="J40" s="425">
        <v>96.2164945803667</v>
      </c>
      <c r="K40" s="425">
        <v>3.8122851216920202</v>
      </c>
      <c r="L40" s="425">
        <v>40.701322259899896</v>
      </c>
      <c r="M40" s="425">
        <v>6.3998957841012203</v>
      </c>
      <c r="N40" s="425">
        <v>69.124340714614704</v>
      </c>
      <c r="O40" s="425">
        <v>1.72021194623141</v>
      </c>
      <c r="P40" s="425">
        <v>538.41887658250903</v>
      </c>
      <c r="Q40" s="425">
        <v>37.982317268838599</v>
      </c>
      <c r="R40" s="425">
        <v>3.28677684855302</v>
      </c>
      <c r="S40" s="425">
        <v>1345.49619070576</v>
      </c>
      <c r="T40" s="412"/>
    </row>
    <row r="41" spans="2:20" ht="13.5">
      <c r="B41" s="412"/>
      <c r="C41" s="420" t="s">
        <v>84</v>
      </c>
      <c r="D41" s="431">
        <v>2.0917910156250001</v>
      </c>
      <c r="E41" s="421">
        <v>0</v>
      </c>
      <c r="F41" s="431">
        <v>139.14741749348801</v>
      </c>
      <c r="G41" s="431">
        <v>11.9244724968143</v>
      </c>
      <c r="H41" s="421">
        <v>0</v>
      </c>
      <c r="I41" s="421">
        <v>0</v>
      </c>
      <c r="J41" s="421">
        <v>0</v>
      </c>
      <c r="K41" s="421">
        <v>0</v>
      </c>
      <c r="L41" s="431">
        <v>0</v>
      </c>
      <c r="M41" s="431">
        <v>0</v>
      </c>
      <c r="N41" s="421">
        <v>0</v>
      </c>
      <c r="O41" s="421">
        <v>0</v>
      </c>
      <c r="P41" s="421">
        <v>0</v>
      </c>
      <c r="Q41" s="421">
        <v>0</v>
      </c>
      <c r="R41" s="431">
        <v>1.18219108886719</v>
      </c>
      <c r="S41" s="429">
        <v>154.345872094794</v>
      </c>
      <c r="T41" s="412"/>
    </row>
    <row r="42" spans="2:20" ht="13.5">
      <c r="B42" s="412"/>
      <c r="C42" s="424" t="s">
        <v>85</v>
      </c>
      <c r="D42" s="425">
        <v>5.3443259086128698</v>
      </c>
      <c r="E42" s="425">
        <v>0</v>
      </c>
      <c r="F42" s="425">
        <v>370.13365877849702</v>
      </c>
      <c r="G42" s="425">
        <v>325.519365917774</v>
      </c>
      <c r="H42" s="425">
        <v>0</v>
      </c>
      <c r="I42" s="425">
        <v>0</v>
      </c>
      <c r="J42" s="425">
        <v>96.2164945803667</v>
      </c>
      <c r="K42" s="425">
        <v>3.8122851216920202</v>
      </c>
      <c r="L42" s="425">
        <v>40.701322259899896</v>
      </c>
      <c r="M42" s="425">
        <v>6.3998957841012203</v>
      </c>
      <c r="N42" s="425">
        <v>69.124340714614704</v>
      </c>
      <c r="O42" s="425">
        <v>1.72021194623141</v>
      </c>
      <c r="P42" s="425">
        <v>538.41887658250903</v>
      </c>
      <c r="Q42" s="425">
        <v>37.982317268838599</v>
      </c>
      <c r="R42" s="425">
        <v>4.46896793742021</v>
      </c>
      <c r="S42" s="425">
        <v>1499.8420628005599</v>
      </c>
      <c r="T42" s="412"/>
    </row>
    <row r="43" spans="2:20">
      <c r="B43" s="412"/>
      <c r="C43" s="412"/>
      <c r="D43" s="430">
        <f t="shared" ref="D43:S43" si="0">D42+D32-D18</f>
        <v>-3.1974423109204508E-14</v>
      </c>
      <c r="E43" s="430">
        <f t="shared" si="0"/>
        <v>0</v>
      </c>
      <c r="F43" s="430">
        <f t="shared" si="0"/>
        <v>-2.9842794901924208E-13</v>
      </c>
      <c r="G43" s="430">
        <f t="shared" si="0"/>
        <v>0</v>
      </c>
      <c r="H43" s="430">
        <f t="shared" si="0"/>
        <v>0</v>
      </c>
      <c r="I43" s="430">
        <f t="shared" si="0"/>
        <v>0</v>
      </c>
      <c r="J43" s="430">
        <f t="shared" si="0"/>
        <v>-3.694822225952521E-13</v>
      </c>
      <c r="K43" s="430">
        <f t="shared" si="0"/>
        <v>0</v>
      </c>
      <c r="L43" s="430">
        <f t="shared" si="0"/>
        <v>3.5416114485542494E-14</v>
      </c>
      <c r="M43" s="430">
        <f t="shared" si="0"/>
        <v>0</v>
      </c>
      <c r="N43" s="430">
        <f t="shared" si="0"/>
        <v>0</v>
      </c>
      <c r="O43" s="430">
        <f t="shared" si="0"/>
        <v>0</v>
      </c>
      <c r="P43" s="430">
        <f t="shared" si="0"/>
        <v>-1.9184653865522705E-13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sheetData>
  <mergeCells count="12">
    <mergeCell ref="S10:S11"/>
    <mergeCell ref="C10:C11"/>
    <mergeCell ref="D10:D11"/>
    <mergeCell ref="E10:E11"/>
    <mergeCell ref="F10:F11"/>
    <mergeCell ref="G10:G11"/>
    <mergeCell ref="H10:H11"/>
    <mergeCell ref="I10:I11"/>
    <mergeCell ref="J10:O10"/>
    <mergeCell ref="P10:P11"/>
    <mergeCell ref="Q10:Q11"/>
    <mergeCell ref="R10:R11"/>
  </mergeCells>
  <conditionalFormatting sqref="M23">
    <cfRule type="expression" dxfId="9310" priority="63">
      <formula>LEN(TRIM(M23))=0</formula>
    </cfRule>
  </conditionalFormatting>
  <conditionalFormatting sqref="M23">
    <cfRule type="cellIs" dxfId="9309" priority="62" operator="equal">
      <formula>0</formula>
    </cfRule>
  </conditionalFormatting>
  <conditionalFormatting sqref="R27:R28">
    <cfRule type="expression" dxfId="9308" priority="61">
      <formula>LEN(TRIM(R27))=0</formula>
    </cfRule>
  </conditionalFormatting>
  <conditionalFormatting sqref="R27:R28">
    <cfRule type="cellIs" dxfId="9307" priority="60" operator="equal">
      <formula>0</formula>
    </cfRule>
  </conditionalFormatting>
  <conditionalFormatting sqref="D27:Q28">
    <cfRule type="expression" dxfId="9306" priority="59">
      <formula>LEN(TRIM(D27))=0</formula>
    </cfRule>
  </conditionalFormatting>
  <conditionalFormatting sqref="D27:Q28">
    <cfRule type="cellIs" dxfId="9305" priority="58" operator="equal">
      <formula>0</formula>
    </cfRule>
  </conditionalFormatting>
  <conditionalFormatting sqref="S20:S31">
    <cfRule type="expression" dxfId="9304" priority="57">
      <formula>LEN(TRIM(S20))=0</formula>
    </cfRule>
  </conditionalFormatting>
  <conditionalFormatting sqref="S20:S31">
    <cfRule type="cellIs" dxfId="9303" priority="56" operator="equal">
      <formula>0</formula>
    </cfRule>
  </conditionalFormatting>
  <conditionalFormatting sqref="R20:R26 R29:R31">
    <cfRule type="expression" dxfId="9302" priority="55">
      <formula>LEN(TRIM(R20))=0</formula>
    </cfRule>
  </conditionalFormatting>
  <conditionalFormatting sqref="R20:R26 R29:R31">
    <cfRule type="cellIs" dxfId="9301" priority="54" operator="equal">
      <formula>0</formula>
    </cfRule>
  </conditionalFormatting>
  <conditionalFormatting sqref="D42:S42">
    <cfRule type="expression" dxfId="9300" priority="53">
      <formula>LEN(TRIM(D42))=0</formula>
    </cfRule>
  </conditionalFormatting>
  <conditionalFormatting sqref="D42:S42">
    <cfRule type="cellIs" dxfId="9299" priority="52" operator="equal">
      <formula>0</formula>
    </cfRule>
  </conditionalFormatting>
  <conditionalFormatting sqref="D41:R41">
    <cfRule type="cellIs" dxfId="9298" priority="51" operator="equal">
      <formula>0</formula>
    </cfRule>
  </conditionalFormatting>
  <conditionalFormatting sqref="D34:S41">
    <cfRule type="expression" dxfId="9297" priority="50">
      <formula>LEN(TRIM(D34))=0</formula>
    </cfRule>
  </conditionalFormatting>
  <conditionalFormatting sqref="D41:S41">
    <cfRule type="cellIs" dxfId="9296" priority="49" operator="equal">
      <formula>0</formula>
    </cfRule>
  </conditionalFormatting>
  <conditionalFormatting sqref="S34:S41 D34:R40">
    <cfRule type="cellIs" dxfId="9295" priority="48" operator="equal">
      <formula>0</formula>
    </cfRule>
  </conditionalFormatting>
  <conditionalFormatting sqref="D32:S32">
    <cfRule type="expression" dxfId="9294" priority="47">
      <formula>LEN(TRIM(D32))=0</formula>
    </cfRule>
  </conditionalFormatting>
  <conditionalFormatting sqref="D32:S32">
    <cfRule type="cellIs" dxfId="9293" priority="46" operator="equal">
      <formula>0</formula>
    </cfRule>
  </conditionalFormatting>
  <conditionalFormatting sqref="D18:S18">
    <cfRule type="expression" dxfId="9292" priority="45">
      <formula>LEN(TRIM(D18))=0</formula>
    </cfRule>
  </conditionalFormatting>
  <conditionalFormatting sqref="D18:S18">
    <cfRule type="cellIs" dxfId="9291" priority="44" operator="equal">
      <formula>0</formula>
    </cfRule>
  </conditionalFormatting>
  <conditionalFormatting sqref="N16:O16">
    <cfRule type="cellIs" dxfId="9290" priority="43" operator="equal">
      <formula>0</formula>
    </cfRule>
  </conditionalFormatting>
  <conditionalFormatting sqref="N15:O15">
    <cfRule type="cellIs" dxfId="9289" priority="42" operator="equal">
      <formula>0</formula>
    </cfRule>
  </conditionalFormatting>
  <conditionalFormatting sqref="M15:M16">
    <cfRule type="cellIs" dxfId="9288" priority="41" operator="equal">
      <formula>0</formula>
    </cfRule>
  </conditionalFormatting>
  <conditionalFormatting sqref="L15:L16">
    <cfRule type="cellIs" dxfId="9287" priority="40" operator="equal">
      <formula>0</formula>
    </cfRule>
  </conditionalFormatting>
  <conditionalFormatting sqref="D15:O16 R15:R16">
    <cfRule type="expression" dxfId="9286" priority="39">
      <formula>LEN(TRIM(D15))=0</formula>
    </cfRule>
  </conditionalFormatting>
  <conditionalFormatting sqref="O15:O16">
    <cfRule type="cellIs" dxfId="9285" priority="38" operator="equal">
      <formula>0</formula>
    </cfRule>
  </conditionalFormatting>
  <conditionalFormatting sqref="N15:N16">
    <cfRule type="cellIs" dxfId="9284" priority="37" operator="equal">
      <formula>0</formula>
    </cfRule>
  </conditionalFormatting>
  <conditionalFormatting sqref="M15:M16">
    <cfRule type="cellIs" dxfId="9283" priority="36" operator="equal">
      <formula>0</formula>
    </cfRule>
  </conditionalFormatting>
  <conditionalFormatting sqref="L15:L16">
    <cfRule type="cellIs" dxfId="9282" priority="35" operator="equal">
      <formula>0</formula>
    </cfRule>
  </conditionalFormatting>
  <conditionalFormatting sqref="K15:K16">
    <cfRule type="cellIs" dxfId="9281" priority="34" operator="equal">
      <formula>0</formula>
    </cfRule>
  </conditionalFormatting>
  <conditionalFormatting sqref="J15:J16">
    <cfRule type="cellIs" dxfId="9280" priority="33" operator="equal">
      <formula>0</formula>
    </cfRule>
  </conditionalFormatting>
  <conditionalFormatting sqref="D15:O16 R15:R16">
    <cfRule type="cellIs" dxfId="9279" priority="32" operator="equal">
      <formula>0</formula>
    </cfRule>
  </conditionalFormatting>
  <conditionalFormatting sqref="D24:Q24 D23:L23 N23:Q23">
    <cfRule type="expression" dxfId="9278" priority="31">
      <formula>LEN(TRIM(D23))=0</formula>
    </cfRule>
  </conditionalFormatting>
  <conditionalFormatting sqref="D24:Q24 D23:L23 N23:Q23">
    <cfRule type="cellIs" dxfId="9277" priority="30" operator="equal">
      <formula>0</formula>
    </cfRule>
  </conditionalFormatting>
  <conditionalFormatting sqref="S12:S17">
    <cfRule type="expression" dxfId="9276" priority="29">
      <formula>LEN(TRIM(S12))=0</formula>
    </cfRule>
  </conditionalFormatting>
  <conditionalFormatting sqref="S12:S17">
    <cfRule type="cellIs" dxfId="9275" priority="28" operator="equal">
      <formula>0</formula>
    </cfRule>
  </conditionalFormatting>
  <conditionalFormatting sqref="D12:P12 P13:P17 R12 Q12:Q17">
    <cfRule type="expression" dxfId="9274" priority="27">
      <formula>LEN(TRIM(D12))=0</formula>
    </cfRule>
  </conditionalFormatting>
  <conditionalFormatting sqref="K12">
    <cfRule type="cellIs" dxfId="9273" priority="26" operator="equal">
      <formula>0</formula>
    </cfRule>
  </conditionalFormatting>
  <conditionalFormatting sqref="J12">
    <cfRule type="cellIs" dxfId="9272" priority="25" operator="equal">
      <formula>0</formula>
    </cfRule>
  </conditionalFormatting>
  <conditionalFormatting sqref="L12:O12">
    <cfRule type="cellIs" dxfId="9271" priority="24" operator="equal">
      <formula>0</formula>
    </cfRule>
  </conditionalFormatting>
  <conditionalFormatting sqref="I12">
    <cfRule type="cellIs" dxfId="9270" priority="23" operator="equal">
      <formula>0</formula>
    </cfRule>
  </conditionalFormatting>
  <conditionalFormatting sqref="H12">
    <cfRule type="cellIs" dxfId="9269" priority="22" operator="equal">
      <formula>0</formula>
    </cfRule>
  </conditionalFormatting>
  <conditionalFormatting sqref="D12:G12 R12 P12:Q17">
    <cfRule type="cellIs" dxfId="9268" priority="21" operator="equal">
      <formula>0</formula>
    </cfRule>
  </conditionalFormatting>
  <conditionalFormatting sqref="D13:O14 D17:O17 R17 R13:R14 D25:Q26 D29:Q31">
    <cfRule type="expression" dxfId="9267" priority="20">
      <formula>LEN(TRIM(D13))=0</formula>
    </cfRule>
  </conditionalFormatting>
  <conditionalFormatting sqref="O13:O14">
    <cfRule type="cellIs" dxfId="9266" priority="19" operator="equal">
      <formula>0</formula>
    </cfRule>
  </conditionalFormatting>
  <conditionalFormatting sqref="O17 O33">
    <cfRule type="cellIs" dxfId="9265" priority="18" operator="equal">
      <formula>0</formula>
    </cfRule>
  </conditionalFormatting>
  <conditionalFormatting sqref="N13:N14">
    <cfRule type="cellIs" dxfId="9264" priority="17" operator="equal">
      <formula>0</formula>
    </cfRule>
  </conditionalFormatting>
  <conditionalFormatting sqref="N17 N33">
    <cfRule type="cellIs" dxfId="9263" priority="16" operator="equal">
      <formula>0</formula>
    </cfRule>
  </conditionalFormatting>
  <conditionalFormatting sqref="M13:M14">
    <cfRule type="cellIs" dxfId="9262" priority="15" operator="equal">
      <formula>0</formula>
    </cfRule>
  </conditionalFormatting>
  <conditionalFormatting sqref="M17 M33">
    <cfRule type="cellIs" dxfId="9261" priority="14" operator="equal">
      <formula>0</formula>
    </cfRule>
  </conditionalFormatting>
  <conditionalFormatting sqref="L13:L14">
    <cfRule type="cellIs" dxfId="9260" priority="13" operator="equal">
      <formula>0</formula>
    </cfRule>
  </conditionalFormatting>
  <conditionalFormatting sqref="L17 L33">
    <cfRule type="cellIs" dxfId="9259" priority="12" operator="equal">
      <formula>0</formula>
    </cfRule>
  </conditionalFormatting>
  <conditionalFormatting sqref="K13:K14">
    <cfRule type="cellIs" dxfId="9258" priority="11" operator="equal">
      <formula>0</formula>
    </cfRule>
  </conditionalFormatting>
  <conditionalFormatting sqref="K17 K33">
    <cfRule type="cellIs" dxfId="9257" priority="10" operator="equal">
      <formula>0</formula>
    </cfRule>
  </conditionalFormatting>
  <conditionalFormatting sqref="J13:J14">
    <cfRule type="cellIs" dxfId="9256" priority="9" operator="equal">
      <formula>0</formula>
    </cfRule>
  </conditionalFormatting>
  <conditionalFormatting sqref="J17 J33">
    <cfRule type="cellIs" dxfId="9255" priority="8" operator="equal">
      <formula>0</formula>
    </cfRule>
  </conditionalFormatting>
  <conditionalFormatting sqref="O11">
    <cfRule type="cellIs" dxfId="9254" priority="7" operator="equal">
      <formula>0</formula>
    </cfRule>
  </conditionalFormatting>
  <conditionalFormatting sqref="D29:Q31">
    <cfRule type="cellIs" dxfId="9253" priority="6" operator="equal">
      <formula>0</formula>
    </cfRule>
  </conditionalFormatting>
  <conditionalFormatting sqref="F13:F14">
    <cfRule type="cellIs" dxfId="9252" priority="5" operator="equal">
      <formula>0</formula>
    </cfRule>
  </conditionalFormatting>
  <conditionalFormatting sqref="D13:E14 H13:I14">
    <cfRule type="cellIs" dxfId="9251" priority="4" operator="equal">
      <formula>0</formula>
    </cfRule>
  </conditionalFormatting>
  <conditionalFormatting sqref="R13:R14 R17 G13:G14 D17:I17 J11:N11 P33:R33 D33:I33 D30:Q31 D25:Q26">
    <cfRule type="cellIs" dxfId="9250" priority="3" operator="equal">
      <formula>0</formula>
    </cfRule>
  </conditionalFormatting>
  <conditionalFormatting sqref="D20:Q22">
    <cfRule type="expression" dxfId="9249" priority="2">
      <formula>LEN(TRIM(D20))=0</formula>
    </cfRule>
  </conditionalFormatting>
  <conditionalFormatting sqref="S33 D20:Q22 D19:S19">
    <cfRule type="cellIs" dxfId="9248" priority="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48D03-AADF-4381-B534-33E56188C71B}">
  <dimension ref="C3:U488"/>
  <sheetViews>
    <sheetView topLeftCell="A108" zoomScale="70" zoomScaleNormal="70" workbookViewId="0">
      <selection activeCell="B30" sqref="B30"/>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410</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11.595553697293001</v>
      </c>
      <c r="F12" s="664">
        <v>0</v>
      </c>
      <c r="G12" s="663">
        <v>0</v>
      </c>
      <c r="H12" s="663">
        <v>0.16688824999999999</v>
      </c>
      <c r="I12" s="663">
        <v>0</v>
      </c>
      <c r="J12" s="664">
        <v>1209.1260212121213</v>
      </c>
      <c r="K12" s="664">
        <v>104.3311966741735</v>
      </c>
      <c r="L12" s="664">
        <v>120.67293388888889</v>
      </c>
      <c r="M12" s="664">
        <v>34.900820833333334</v>
      </c>
      <c r="N12" s="664">
        <v>0</v>
      </c>
      <c r="O12" s="664">
        <v>9.0983058888888646</v>
      </c>
      <c r="P12" s="664">
        <v>31.698274999999999</v>
      </c>
      <c r="Q12" s="664">
        <v>7.5310224999999988</v>
      </c>
      <c r="R12" s="664">
        <v>0</v>
      </c>
      <c r="S12" s="664">
        <v>0</v>
      </c>
      <c r="T12" s="664">
        <v>0</v>
      </c>
      <c r="U12" s="665">
        <v>1529.1210179446989</v>
      </c>
    </row>
    <row r="13" spans="3:21" ht="13">
      <c r="C13" s="662" t="s">
        <v>60</v>
      </c>
      <c r="D13" s="664">
        <v>84.727843146635564</v>
      </c>
      <c r="E13" s="664">
        <v>578.28949050727442</v>
      </c>
      <c r="F13" s="664">
        <v>535.06419481988212</v>
      </c>
      <c r="G13" s="663">
        <v>0</v>
      </c>
      <c r="H13" s="664">
        <v>568.75187100000016</v>
      </c>
      <c r="I13" s="663">
        <v>0</v>
      </c>
      <c r="J13" s="664">
        <v>0</v>
      </c>
      <c r="K13" s="664">
        <v>0</v>
      </c>
      <c r="L13" s="664">
        <v>2.7591261111111107</v>
      </c>
      <c r="M13" s="664">
        <v>0</v>
      </c>
      <c r="N13" s="664">
        <v>19.183841687689483</v>
      </c>
      <c r="O13" s="664">
        <v>0</v>
      </c>
      <c r="P13" s="664">
        <v>0</v>
      </c>
      <c r="Q13" s="664">
        <v>0</v>
      </c>
      <c r="R13" s="664">
        <v>15.63175</v>
      </c>
      <c r="S13" s="664">
        <v>0</v>
      </c>
      <c r="T13" s="664">
        <v>0</v>
      </c>
      <c r="U13" s="665">
        <v>1804.4081172725928</v>
      </c>
    </row>
    <row r="14" spans="3:21" ht="13">
      <c r="C14" s="662" t="s">
        <v>61</v>
      </c>
      <c r="D14" s="664">
        <v>-4.7877500119999999E-2</v>
      </c>
      <c r="E14" s="664">
        <v>-1.599063909936</v>
      </c>
      <c r="F14" s="664">
        <v>-205.43265045753787</v>
      </c>
      <c r="G14" s="663">
        <v>0</v>
      </c>
      <c r="H14" s="664">
        <v>-112.63352224999998</v>
      </c>
      <c r="I14" s="663">
        <v>0</v>
      </c>
      <c r="J14" s="664">
        <v>0</v>
      </c>
      <c r="K14" s="664">
        <v>0</v>
      </c>
      <c r="L14" s="664">
        <v>-2.3667455555555552</v>
      </c>
      <c r="M14" s="664">
        <v>0</v>
      </c>
      <c r="N14" s="664">
        <v>-8.0445142984108866</v>
      </c>
      <c r="O14" s="664">
        <v>0</v>
      </c>
      <c r="P14" s="664">
        <v>0</v>
      </c>
      <c r="Q14" s="664">
        <v>0</v>
      </c>
      <c r="R14" s="664">
        <v>-73.298799000000002</v>
      </c>
      <c r="S14" s="664">
        <v>0</v>
      </c>
      <c r="T14" s="664">
        <v>0</v>
      </c>
      <c r="U14" s="665">
        <v>-403.42317297156029</v>
      </c>
    </row>
    <row r="15" spans="3:21" ht="13">
      <c r="C15" s="662" t="s">
        <v>62</v>
      </c>
      <c r="D15" s="663">
        <v>0</v>
      </c>
      <c r="E15" s="663">
        <v>0</v>
      </c>
      <c r="F15" s="663">
        <v>-19.747038815182684</v>
      </c>
      <c r="G15" s="663">
        <v>0</v>
      </c>
      <c r="H15" s="663">
        <v>0</v>
      </c>
      <c r="I15" s="663">
        <v>0</v>
      </c>
      <c r="J15" s="663">
        <v>0</v>
      </c>
      <c r="K15" s="663">
        <v>0</v>
      </c>
      <c r="L15" s="663">
        <v>0</v>
      </c>
      <c r="M15" s="663">
        <v>0</v>
      </c>
      <c r="N15" s="663">
        <v>0</v>
      </c>
      <c r="O15" s="663">
        <v>0</v>
      </c>
      <c r="P15" s="663">
        <v>0</v>
      </c>
      <c r="Q15" s="663">
        <v>0</v>
      </c>
      <c r="R15" s="664">
        <v>0</v>
      </c>
      <c r="S15" s="664">
        <v>0</v>
      </c>
      <c r="T15" s="663">
        <v>0</v>
      </c>
      <c r="U15" s="665">
        <v>-19.747038815182684</v>
      </c>
    </row>
    <row r="16" spans="3:21" ht="13">
      <c r="C16" s="662" t="s">
        <v>63</v>
      </c>
      <c r="D16" s="663">
        <v>0</v>
      </c>
      <c r="E16" s="663">
        <v>0</v>
      </c>
      <c r="F16" s="663">
        <v>-82.452981163797972</v>
      </c>
      <c r="G16" s="663">
        <v>0</v>
      </c>
      <c r="H16" s="663">
        <v>0</v>
      </c>
      <c r="I16" s="663">
        <v>0</v>
      </c>
      <c r="J16" s="663">
        <v>0</v>
      </c>
      <c r="K16" s="663">
        <v>0</v>
      </c>
      <c r="L16" s="663">
        <v>0</v>
      </c>
      <c r="M16" s="663">
        <v>0</v>
      </c>
      <c r="N16" s="663">
        <v>0</v>
      </c>
      <c r="O16" s="663">
        <v>0</v>
      </c>
      <c r="P16" s="663">
        <v>0</v>
      </c>
      <c r="Q16" s="663">
        <v>0</v>
      </c>
      <c r="R16" s="664">
        <v>0</v>
      </c>
      <c r="S16" s="664">
        <v>0</v>
      </c>
      <c r="T16" s="663">
        <v>0</v>
      </c>
      <c r="U16" s="665">
        <v>-82.452981163797972</v>
      </c>
    </row>
    <row r="17" spans="3:21" ht="13">
      <c r="C17" s="662" t="s">
        <v>64</v>
      </c>
      <c r="D17" s="664">
        <v>0.41223964042222283</v>
      </c>
      <c r="E17" s="664">
        <v>1.3710702337312513</v>
      </c>
      <c r="F17" s="664">
        <v>1.3272538188370329</v>
      </c>
      <c r="G17" s="663">
        <v>0</v>
      </c>
      <c r="H17" s="664">
        <v>-19.664768250000005</v>
      </c>
      <c r="I17" s="663">
        <v>0</v>
      </c>
      <c r="J17" s="664">
        <v>0</v>
      </c>
      <c r="K17" s="664">
        <v>0</v>
      </c>
      <c r="L17" s="664">
        <v>0</v>
      </c>
      <c r="M17" s="664">
        <v>0</v>
      </c>
      <c r="N17" s="664">
        <v>0</v>
      </c>
      <c r="O17" s="664">
        <v>0</v>
      </c>
      <c r="P17" s="664">
        <v>0</v>
      </c>
      <c r="Q17" s="664">
        <v>0</v>
      </c>
      <c r="R17" s="664">
        <v>0</v>
      </c>
      <c r="S17" s="664">
        <v>0</v>
      </c>
      <c r="T17" s="664">
        <v>0</v>
      </c>
      <c r="U17" s="665">
        <v>-16.554204557009498</v>
      </c>
    </row>
    <row r="18" spans="3:21" ht="13">
      <c r="C18" s="666" t="s">
        <v>65</v>
      </c>
      <c r="D18" s="667">
        <v>85.092205286937784</v>
      </c>
      <c r="E18" s="667">
        <v>589.65705052836267</v>
      </c>
      <c r="F18" s="667">
        <v>228.75877820220057</v>
      </c>
      <c r="G18" s="667">
        <v>0</v>
      </c>
      <c r="H18" s="667">
        <v>436.62046875000021</v>
      </c>
      <c r="I18" s="667">
        <v>0</v>
      </c>
      <c r="J18" s="667">
        <v>1209.1260212121213</v>
      </c>
      <c r="K18" s="667">
        <v>104.3311966741735</v>
      </c>
      <c r="L18" s="667">
        <v>121.06531444444445</v>
      </c>
      <c r="M18" s="667">
        <v>34.900820833333334</v>
      </c>
      <c r="N18" s="667">
        <v>11.139327389278597</v>
      </c>
      <c r="O18" s="667">
        <v>9.0983058888888646</v>
      </c>
      <c r="P18" s="667">
        <v>31.698274999999999</v>
      </c>
      <c r="Q18" s="667">
        <v>7.5310224999999988</v>
      </c>
      <c r="R18" s="667">
        <v>-57.667049000000006</v>
      </c>
      <c r="S18" s="667">
        <v>0</v>
      </c>
      <c r="T18" s="667">
        <v>0</v>
      </c>
      <c r="U18" s="667">
        <v>2811.351737709741</v>
      </c>
    </row>
    <row r="19" spans="3:21" ht="13">
      <c r="C19" s="668"/>
      <c r="D19" s="669"/>
      <c r="E19" s="669"/>
      <c r="F19" s="669"/>
      <c r="G19" s="669"/>
      <c r="H19" s="669"/>
      <c r="I19" s="669"/>
      <c r="J19" s="669"/>
      <c r="K19" s="669"/>
      <c r="L19" s="669"/>
      <c r="M19" s="669"/>
      <c r="N19" s="669"/>
      <c r="O19" s="669"/>
      <c r="P19" s="669"/>
      <c r="Q19" s="669"/>
      <c r="R19" s="669"/>
      <c r="S19" s="669"/>
      <c r="T19" s="669"/>
      <c r="U19" s="669"/>
    </row>
    <row r="20" spans="3:21" ht="13">
      <c r="C20" s="670" t="s">
        <v>67</v>
      </c>
      <c r="D20" s="663">
        <v>3.6318872869800032</v>
      </c>
      <c r="E20" s="663">
        <v>10.787016352492323</v>
      </c>
      <c r="F20" s="663">
        <v>16.441628886851458</v>
      </c>
      <c r="G20" s="663">
        <v>0</v>
      </c>
      <c r="H20" s="663">
        <v>-1.2134132500000001</v>
      </c>
      <c r="I20" s="663">
        <v>0</v>
      </c>
      <c r="J20" s="663">
        <v>0</v>
      </c>
      <c r="K20" s="663">
        <v>0</v>
      </c>
      <c r="L20" s="663">
        <v>0</v>
      </c>
      <c r="M20" s="663">
        <v>-0.39035819434438856</v>
      </c>
      <c r="N20" s="663">
        <v>0.39056626803326822</v>
      </c>
      <c r="O20" s="663">
        <v>0</v>
      </c>
      <c r="P20" s="663">
        <v>0</v>
      </c>
      <c r="Q20" s="663">
        <v>0</v>
      </c>
      <c r="R20" s="663">
        <v>4.6315588193812136</v>
      </c>
      <c r="S20" s="663">
        <v>0</v>
      </c>
      <c r="T20" s="664">
        <v>0</v>
      </c>
      <c r="U20" s="665">
        <v>34.278886169393878</v>
      </c>
    </row>
    <row r="21" spans="3:21" ht="13">
      <c r="C21" s="670" t="s">
        <v>350</v>
      </c>
      <c r="D21" s="663">
        <v>17.443753714840586</v>
      </c>
      <c r="E21" s="663">
        <v>0</v>
      </c>
      <c r="F21" s="663">
        <v>13.62708829242459</v>
      </c>
      <c r="G21" s="663">
        <v>0</v>
      </c>
      <c r="H21" s="663">
        <v>62.931904980327779</v>
      </c>
      <c r="I21" s="663">
        <v>0</v>
      </c>
      <c r="J21" s="663">
        <v>1209.1260212121213</v>
      </c>
      <c r="K21" s="663">
        <v>104.3311966741735</v>
      </c>
      <c r="L21" s="663">
        <v>17.794147670554988</v>
      </c>
      <c r="M21" s="663">
        <v>12.388866225144911</v>
      </c>
      <c r="N21" s="663">
        <v>0</v>
      </c>
      <c r="O21" s="663">
        <v>4.8474406033333333</v>
      </c>
      <c r="P21" s="663">
        <v>0</v>
      </c>
      <c r="Q21" s="663">
        <v>1.1825205542668356</v>
      </c>
      <c r="R21" s="663">
        <v>-566.17178776794128</v>
      </c>
      <c r="S21" s="663">
        <v>0</v>
      </c>
      <c r="T21" s="664">
        <v>0</v>
      </c>
      <c r="U21" s="665">
        <v>877.50115215924666</v>
      </c>
    </row>
    <row r="22" spans="3:21" ht="13">
      <c r="C22" s="670" t="s">
        <v>351</v>
      </c>
      <c r="D22" s="663">
        <v>1.9109444951460814</v>
      </c>
      <c r="E22" s="663">
        <v>0</v>
      </c>
      <c r="F22" s="663">
        <v>0.26671791988070115</v>
      </c>
      <c r="G22" s="663">
        <v>0</v>
      </c>
      <c r="H22" s="663">
        <v>20.764778769672215</v>
      </c>
      <c r="I22" s="663">
        <v>0</v>
      </c>
      <c r="J22" s="663">
        <v>0</v>
      </c>
      <c r="K22" s="663">
        <v>0</v>
      </c>
      <c r="L22" s="663">
        <v>8.5293872999380707</v>
      </c>
      <c r="M22" s="663">
        <v>16.588146755013483</v>
      </c>
      <c r="N22" s="663">
        <v>0</v>
      </c>
      <c r="O22" s="663">
        <v>2.852532452222222</v>
      </c>
      <c r="P22" s="663">
        <v>0.25919055555555554</v>
      </c>
      <c r="Q22" s="663">
        <v>3.5768259901376065</v>
      </c>
      <c r="R22" s="663">
        <v>0</v>
      </c>
      <c r="S22" s="663">
        <v>-46.772072780777776</v>
      </c>
      <c r="T22" s="664">
        <v>0</v>
      </c>
      <c r="U22" s="665">
        <v>7.9764514567881601</v>
      </c>
    </row>
    <row r="23" spans="3:21" ht="13">
      <c r="C23" s="670" t="s">
        <v>352</v>
      </c>
      <c r="D23" s="663">
        <v>0</v>
      </c>
      <c r="E23" s="663">
        <v>0</v>
      </c>
      <c r="F23" s="663">
        <v>0</v>
      </c>
      <c r="G23" s="663">
        <v>0</v>
      </c>
      <c r="H23" s="663">
        <v>0</v>
      </c>
      <c r="I23" s="663">
        <v>0</v>
      </c>
      <c r="J23" s="663">
        <v>0</v>
      </c>
      <c r="K23" s="663">
        <v>0</v>
      </c>
      <c r="L23" s="663">
        <v>0</v>
      </c>
      <c r="M23" s="663">
        <v>0</v>
      </c>
      <c r="N23" s="663">
        <v>0</v>
      </c>
      <c r="O23" s="663">
        <v>-1.1106240000000001</v>
      </c>
      <c r="P23" s="663">
        <v>0</v>
      </c>
      <c r="Q23" s="663">
        <v>0</v>
      </c>
      <c r="R23" s="663">
        <v>0</v>
      </c>
      <c r="S23" s="663">
        <v>0</v>
      </c>
      <c r="T23" s="664">
        <v>0</v>
      </c>
      <c r="U23" s="665">
        <v>-1.1106240000000001</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4">
        <v>0</v>
      </c>
      <c r="U24" s="665">
        <v>0</v>
      </c>
    </row>
    <row r="25" spans="3:21" ht="13">
      <c r="C25" s="670" t="s">
        <v>72</v>
      </c>
      <c r="D25" s="663">
        <v>0</v>
      </c>
      <c r="E25" s="663">
        <v>607.94319903666315</v>
      </c>
      <c r="F25" s="663">
        <v>-602.93238189654937</v>
      </c>
      <c r="G25" s="663">
        <v>0</v>
      </c>
      <c r="H25" s="663">
        <v>0</v>
      </c>
      <c r="I25" s="663">
        <v>0</v>
      </c>
      <c r="J25" s="663">
        <v>0</v>
      </c>
      <c r="K25" s="663">
        <v>0</v>
      </c>
      <c r="L25" s="663">
        <v>0</v>
      </c>
      <c r="M25" s="663">
        <v>0</v>
      </c>
      <c r="N25" s="663">
        <v>0</v>
      </c>
      <c r="O25" s="663">
        <v>0</v>
      </c>
      <c r="P25" s="663">
        <v>0</v>
      </c>
      <c r="Q25" s="663">
        <v>0</v>
      </c>
      <c r="R25" s="663">
        <v>0</v>
      </c>
      <c r="S25" s="663">
        <v>0</v>
      </c>
      <c r="T25" s="664">
        <v>0</v>
      </c>
      <c r="U25" s="665">
        <v>5.0108171401137289</v>
      </c>
    </row>
    <row r="26" spans="3:21" ht="13">
      <c r="C26" s="670" t="s">
        <v>354</v>
      </c>
      <c r="D26" s="663">
        <v>0</v>
      </c>
      <c r="E26" s="663">
        <v>0</v>
      </c>
      <c r="F26" s="663">
        <v>0</v>
      </c>
      <c r="G26" s="663">
        <v>0</v>
      </c>
      <c r="H26" s="663">
        <v>0</v>
      </c>
      <c r="I26" s="663">
        <v>0</v>
      </c>
      <c r="J26" s="663">
        <v>0</v>
      </c>
      <c r="K26" s="663">
        <v>0</v>
      </c>
      <c r="L26" s="663">
        <v>0</v>
      </c>
      <c r="M26" s="663">
        <v>0</v>
      </c>
      <c r="N26" s="663">
        <v>-29.34529096854553</v>
      </c>
      <c r="O26" s="663">
        <v>0</v>
      </c>
      <c r="P26" s="663">
        <v>0</v>
      </c>
      <c r="Q26" s="663">
        <v>0</v>
      </c>
      <c r="R26" s="663">
        <v>0</v>
      </c>
      <c r="S26" s="663">
        <v>0</v>
      </c>
      <c r="T26" s="664">
        <v>0</v>
      </c>
      <c r="U26" s="665">
        <v>-29.34529096854553</v>
      </c>
    </row>
    <row r="27" spans="3:21" ht="13">
      <c r="C27" s="670" t="s">
        <v>355</v>
      </c>
      <c r="D27" s="663">
        <v>0</v>
      </c>
      <c r="E27" s="663">
        <v>0</v>
      </c>
      <c r="F27" s="663">
        <v>0</v>
      </c>
      <c r="G27" s="663">
        <v>0</v>
      </c>
      <c r="H27" s="663">
        <v>0</v>
      </c>
      <c r="I27" s="663">
        <v>0</v>
      </c>
      <c r="J27" s="663">
        <v>0</v>
      </c>
      <c r="K27" s="663">
        <v>0</v>
      </c>
      <c r="L27" s="663">
        <v>0</v>
      </c>
      <c r="M27" s="663">
        <v>0</v>
      </c>
      <c r="N27" s="663">
        <v>0</v>
      </c>
      <c r="O27" s="663">
        <v>0</v>
      </c>
      <c r="P27" s="663">
        <v>0</v>
      </c>
      <c r="Q27" s="663">
        <v>0</v>
      </c>
      <c r="R27" s="663">
        <v>0</v>
      </c>
      <c r="S27" s="663">
        <v>0</v>
      </c>
      <c r="T27" s="664">
        <v>0</v>
      </c>
      <c r="U27" s="665">
        <v>0</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0</v>
      </c>
      <c r="S28" s="663">
        <v>0</v>
      </c>
      <c r="T28" s="664">
        <v>0</v>
      </c>
      <c r="U28" s="665">
        <v>0</v>
      </c>
    </row>
    <row r="29" spans="3:21" ht="13">
      <c r="C29" s="670" t="s">
        <v>356</v>
      </c>
      <c r="D29" s="663">
        <v>32.750811529533344</v>
      </c>
      <c r="E29" s="663">
        <v>-29.152970396099011</v>
      </c>
      <c r="F29" s="663">
        <v>28.064488458099014</v>
      </c>
      <c r="G29" s="663">
        <v>0</v>
      </c>
      <c r="H29" s="663">
        <v>0</v>
      </c>
      <c r="I29" s="663">
        <v>0</v>
      </c>
      <c r="J29" s="663">
        <v>0</v>
      </c>
      <c r="K29" s="663">
        <v>0</v>
      </c>
      <c r="L29" s="663">
        <v>0</v>
      </c>
      <c r="M29" s="663">
        <v>0</v>
      </c>
      <c r="N29" s="663">
        <v>0</v>
      </c>
      <c r="O29" s="663">
        <v>0</v>
      </c>
      <c r="P29" s="663">
        <v>0</v>
      </c>
      <c r="Q29" s="663">
        <v>0</v>
      </c>
      <c r="R29" s="663">
        <v>0</v>
      </c>
      <c r="S29" s="663">
        <v>0</v>
      </c>
      <c r="T29" s="664">
        <v>0</v>
      </c>
      <c r="U29" s="665">
        <v>31.662329591533346</v>
      </c>
    </row>
    <row r="30" spans="3:21" ht="13">
      <c r="C30" s="670" t="s">
        <v>75</v>
      </c>
      <c r="D30" s="663">
        <v>15.211467777777777</v>
      </c>
      <c r="E30" s="663">
        <v>0</v>
      </c>
      <c r="F30" s="663">
        <v>17.163531653267256</v>
      </c>
      <c r="G30" s="663">
        <v>0</v>
      </c>
      <c r="H30" s="663">
        <v>6.4721602499999999</v>
      </c>
      <c r="I30" s="663">
        <v>0</v>
      </c>
      <c r="J30" s="663">
        <v>0</v>
      </c>
      <c r="K30" s="663">
        <v>0</v>
      </c>
      <c r="L30" s="663">
        <v>0</v>
      </c>
      <c r="M30" s="663">
        <v>0</v>
      </c>
      <c r="N30" s="663">
        <v>0</v>
      </c>
      <c r="O30" s="663">
        <v>0</v>
      </c>
      <c r="P30" s="663">
        <v>0</v>
      </c>
      <c r="Q30" s="663">
        <v>0</v>
      </c>
      <c r="R30" s="663">
        <v>34.075655948560012</v>
      </c>
      <c r="S30" s="663">
        <v>0</v>
      </c>
      <c r="T30" s="664">
        <v>0</v>
      </c>
      <c r="U30" s="665">
        <v>72.922815629605054</v>
      </c>
    </row>
    <row r="31" spans="3:21" ht="13">
      <c r="C31" s="670" t="s">
        <v>76</v>
      </c>
      <c r="D31" s="663">
        <v>0</v>
      </c>
      <c r="E31" s="663">
        <v>0</v>
      </c>
      <c r="F31" s="663">
        <v>0</v>
      </c>
      <c r="G31" s="663">
        <v>0</v>
      </c>
      <c r="H31" s="663">
        <v>4.9770604999999994</v>
      </c>
      <c r="I31" s="663">
        <v>0</v>
      </c>
      <c r="J31" s="663">
        <v>0</v>
      </c>
      <c r="K31" s="663">
        <v>0</v>
      </c>
      <c r="L31" s="663">
        <v>0</v>
      </c>
      <c r="M31" s="663">
        <v>0</v>
      </c>
      <c r="N31" s="663">
        <v>0</v>
      </c>
      <c r="O31" s="663">
        <v>0</v>
      </c>
      <c r="P31" s="663">
        <v>0</v>
      </c>
      <c r="Q31" s="663">
        <v>0</v>
      </c>
      <c r="R31" s="663">
        <v>38.092724000000004</v>
      </c>
      <c r="S31" s="663">
        <v>3.667636947251947</v>
      </c>
      <c r="T31" s="664">
        <v>0</v>
      </c>
      <c r="U31" s="665">
        <v>46.737421447251954</v>
      </c>
    </row>
    <row r="32" spans="3:21" ht="13">
      <c r="C32" s="666" t="s">
        <v>77</v>
      </c>
      <c r="D32" s="667">
        <v>70.94886480427779</v>
      </c>
      <c r="E32" s="667">
        <v>589.57724499305652</v>
      </c>
      <c r="F32" s="667">
        <v>-527.3689266860265</v>
      </c>
      <c r="G32" s="667">
        <v>0</v>
      </c>
      <c r="H32" s="667">
        <v>93.932491249999984</v>
      </c>
      <c r="I32" s="667">
        <v>0</v>
      </c>
      <c r="J32" s="667">
        <v>1209.1260212121213</v>
      </c>
      <c r="K32" s="667">
        <v>104.3311966741735</v>
      </c>
      <c r="L32" s="667">
        <v>26.323534970493061</v>
      </c>
      <c r="M32" s="667">
        <v>28.586654785814009</v>
      </c>
      <c r="N32" s="667">
        <v>-28.954724700512262</v>
      </c>
      <c r="O32" s="667">
        <v>6.5893490555555561</v>
      </c>
      <c r="P32" s="667">
        <v>0.25919055555555554</v>
      </c>
      <c r="Q32" s="667">
        <v>4.7593465444044423</v>
      </c>
      <c r="R32" s="667">
        <v>-489.37184900000005</v>
      </c>
      <c r="S32" s="667">
        <v>-43.104435833525834</v>
      </c>
      <c r="T32" s="667">
        <v>0</v>
      </c>
      <c r="U32" s="667">
        <v>1045.6339586253871</v>
      </c>
    </row>
    <row r="33" spans="3:21" ht="13">
      <c r="C33" s="668"/>
      <c r="D33" s="669">
        <v>0</v>
      </c>
      <c r="E33" s="669">
        <v>0</v>
      </c>
      <c r="F33" s="669">
        <v>0</v>
      </c>
      <c r="G33" s="669"/>
      <c r="H33" s="669">
        <v>0</v>
      </c>
      <c r="I33" s="669"/>
      <c r="J33" s="669">
        <v>0</v>
      </c>
      <c r="K33" s="669">
        <v>0</v>
      </c>
      <c r="L33" s="669">
        <v>0</v>
      </c>
      <c r="M33" s="669">
        <v>0</v>
      </c>
      <c r="N33" s="669">
        <v>0</v>
      </c>
      <c r="O33" s="669">
        <v>0</v>
      </c>
      <c r="P33" s="669">
        <v>0</v>
      </c>
      <c r="Q33" s="669">
        <v>0</v>
      </c>
      <c r="R33" s="669">
        <v>0</v>
      </c>
      <c r="S33" s="669">
        <v>0</v>
      </c>
      <c r="T33" s="669">
        <v>0</v>
      </c>
      <c r="U33" s="669">
        <v>0</v>
      </c>
    </row>
    <row r="34" spans="3:21" ht="13">
      <c r="C34" s="670" t="s">
        <v>78</v>
      </c>
      <c r="D34" s="663">
        <v>10.318644626420003</v>
      </c>
      <c r="E34" s="663">
        <v>0</v>
      </c>
      <c r="F34" s="663">
        <v>31.798889573736361</v>
      </c>
      <c r="G34" s="663">
        <v>0</v>
      </c>
      <c r="H34" s="663">
        <v>122.13725650000002</v>
      </c>
      <c r="I34" s="663">
        <v>0</v>
      </c>
      <c r="J34" s="663">
        <v>0</v>
      </c>
      <c r="K34" s="663">
        <v>0</v>
      </c>
      <c r="L34" s="663">
        <v>15.07633527777778</v>
      </c>
      <c r="M34" s="663">
        <v>4.5361330555555552</v>
      </c>
      <c r="N34" s="663">
        <v>1.0714586421915442</v>
      </c>
      <c r="O34" s="663">
        <v>0.59537055555555551</v>
      </c>
      <c r="P34" s="663">
        <v>0</v>
      </c>
      <c r="Q34" s="663">
        <v>1.4743611111111112E-2</v>
      </c>
      <c r="R34" s="663">
        <v>115.65608999999999</v>
      </c>
      <c r="S34" s="663">
        <v>18.599047500192498</v>
      </c>
      <c r="T34" s="663">
        <v>0</v>
      </c>
      <c r="U34" s="671">
        <v>319.80396934254043</v>
      </c>
    </row>
    <row r="35" spans="3:21" ht="13">
      <c r="C35" s="670" t="s">
        <v>79</v>
      </c>
      <c r="D35" s="663">
        <v>0</v>
      </c>
      <c r="E35" s="663">
        <v>0</v>
      </c>
      <c r="F35" s="663">
        <v>465.47698922226442</v>
      </c>
      <c r="G35" s="663">
        <v>0</v>
      </c>
      <c r="H35" s="663">
        <v>1.8942870000000003</v>
      </c>
      <c r="I35" s="663">
        <v>0</v>
      </c>
      <c r="J35" s="663">
        <v>0</v>
      </c>
      <c r="K35" s="663">
        <v>0</v>
      </c>
      <c r="L35" s="663">
        <v>0</v>
      </c>
      <c r="M35" s="663">
        <v>0</v>
      </c>
      <c r="N35" s="663">
        <v>37.188256545358975</v>
      </c>
      <c r="O35" s="663">
        <v>0</v>
      </c>
      <c r="P35" s="663">
        <v>0</v>
      </c>
      <c r="Q35" s="663">
        <v>0</v>
      </c>
      <c r="R35" s="663">
        <v>10.07993007</v>
      </c>
      <c r="S35" s="663">
        <v>0</v>
      </c>
      <c r="T35" s="663">
        <v>0</v>
      </c>
      <c r="U35" s="671">
        <v>514.63946283762346</v>
      </c>
    </row>
    <row r="36" spans="3:21" ht="13">
      <c r="C36" s="670" t="s">
        <v>80</v>
      </c>
      <c r="D36" s="663">
        <v>0.28361423905000005</v>
      </c>
      <c r="E36" s="663">
        <v>0</v>
      </c>
      <c r="F36" s="663">
        <v>50.740146891881786</v>
      </c>
      <c r="G36" s="663">
        <v>0</v>
      </c>
      <c r="H36" s="663">
        <v>132.15121725</v>
      </c>
      <c r="I36" s="663">
        <v>0</v>
      </c>
      <c r="J36" s="663">
        <v>0</v>
      </c>
      <c r="K36" s="663">
        <v>0</v>
      </c>
      <c r="L36" s="663">
        <v>74.953719722222218</v>
      </c>
      <c r="M36" s="663">
        <v>0</v>
      </c>
      <c r="N36" s="663">
        <v>0</v>
      </c>
      <c r="O36" s="663">
        <v>0</v>
      </c>
      <c r="P36" s="663">
        <v>26.665051666666663</v>
      </c>
      <c r="Q36" s="663">
        <v>1.98639250004</v>
      </c>
      <c r="R36" s="663">
        <v>159.72207699999998</v>
      </c>
      <c r="S36" s="663">
        <v>14.980747222222222</v>
      </c>
      <c r="T36" s="663">
        <v>0</v>
      </c>
      <c r="U36" s="671">
        <v>461.48296649208288</v>
      </c>
    </row>
    <row r="37" spans="3:21" ht="13">
      <c r="C37" s="670" t="s">
        <v>81</v>
      </c>
      <c r="D37" s="663">
        <v>0.40432760307999993</v>
      </c>
      <c r="E37" s="663">
        <v>0</v>
      </c>
      <c r="F37" s="663">
        <v>33.030604242320379</v>
      </c>
      <c r="G37" s="663">
        <v>0</v>
      </c>
      <c r="H37" s="663">
        <v>70.504948999999996</v>
      </c>
      <c r="I37" s="663">
        <v>0</v>
      </c>
      <c r="J37" s="663">
        <v>0</v>
      </c>
      <c r="K37" s="663">
        <v>0</v>
      </c>
      <c r="L37" s="663">
        <v>3.0152302777777784</v>
      </c>
      <c r="M37" s="663">
        <v>1.7780329919637734</v>
      </c>
      <c r="N37" s="663">
        <v>0</v>
      </c>
      <c r="O37" s="663">
        <v>1.4820169444444444</v>
      </c>
      <c r="P37" s="663">
        <v>4.7740327777777782</v>
      </c>
      <c r="Q37" s="663">
        <v>0.35231138888888891</v>
      </c>
      <c r="R37" s="663">
        <v>137.76728493000002</v>
      </c>
      <c r="S37" s="663">
        <v>9.3080608333333341</v>
      </c>
      <c r="T37" s="663">
        <v>0</v>
      </c>
      <c r="U37" s="671">
        <v>262.41685098958635</v>
      </c>
    </row>
    <row r="38" spans="3:21" ht="13">
      <c r="C38" s="670" t="s">
        <v>82</v>
      </c>
      <c r="D38" s="663">
        <v>1.6738093710000002E-2</v>
      </c>
      <c r="E38" s="663">
        <v>0</v>
      </c>
      <c r="F38" s="663">
        <v>35.508479849329859</v>
      </c>
      <c r="G38" s="663">
        <v>0</v>
      </c>
      <c r="H38" s="663">
        <v>2.1960534999999997</v>
      </c>
      <c r="I38" s="663">
        <v>0</v>
      </c>
      <c r="J38" s="663">
        <v>0</v>
      </c>
      <c r="K38" s="663">
        <v>0</v>
      </c>
      <c r="L38" s="663">
        <v>1.6964935406677779</v>
      </c>
      <c r="M38" s="663">
        <v>0</v>
      </c>
      <c r="N38" s="663">
        <v>1.834336902240338</v>
      </c>
      <c r="O38" s="663">
        <v>0.43157000000000006</v>
      </c>
      <c r="P38" s="663">
        <v>0</v>
      </c>
      <c r="Q38" s="663">
        <v>0.29222750000000003</v>
      </c>
      <c r="R38" s="663">
        <v>8.4794180000000026</v>
      </c>
      <c r="S38" s="663">
        <v>0.21658055555555558</v>
      </c>
      <c r="T38" s="663">
        <v>0</v>
      </c>
      <c r="U38" s="671">
        <v>50.671897941503538</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v>
      </c>
      <c r="S39" s="663">
        <v>0</v>
      </c>
      <c r="T39" s="663">
        <v>0</v>
      </c>
      <c r="U39" s="671">
        <v>0</v>
      </c>
    </row>
    <row r="40" spans="3:21" ht="13">
      <c r="C40" s="666" t="s">
        <v>83</v>
      </c>
      <c r="D40" s="667">
        <v>11.023324562260003</v>
      </c>
      <c r="E40" s="667">
        <v>0</v>
      </c>
      <c r="F40" s="667">
        <v>616.5551097795327</v>
      </c>
      <c r="G40" s="667">
        <v>0</v>
      </c>
      <c r="H40" s="667">
        <v>328.88376325000007</v>
      </c>
      <c r="I40" s="667">
        <v>0</v>
      </c>
      <c r="J40" s="667">
        <v>0</v>
      </c>
      <c r="K40" s="667">
        <v>0</v>
      </c>
      <c r="L40" s="667">
        <v>94.741778818445539</v>
      </c>
      <c r="M40" s="667">
        <v>6.3141660475193291</v>
      </c>
      <c r="N40" s="667">
        <v>40.094052089790857</v>
      </c>
      <c r="O40" s="667">
        <v>2.5089575000000002</v>
      </c>
      <c r="P40" s="667">
        <v>31.43908444444444</v>
      </c>
      <c r="Q40" s="667">
        <v>2.6456750000400002</v>
      </c>
      <c r="R40" s="667">
        <v>431.70479999999998</v>
      </c>
      <c r="S40" s="667">
        <v>43.104436111303606</v>
      </c>
      <c r="T40" s="667">
        <v>0</v>
      </c>
      <c r="U40" s="667">
        <v>1609.0151476033366</v>
      </c>
    </row>
    <row r="41" spans="3:21" ht="13">
      <c r="C41" s="662" t="s">
        <v>84</v>
      </c>
      <c r="D41" s="663">
        <v>3.1200159203999993</v>
      </c>
      <c r="E41" s="663">
        <v>0</v>
      </c>
      <c r="F41" s="663">
        <v>139.5725242203051</v>
      </c>
      <c r="G41" s="663">
        <v>0</v>
      </c>
      <c r="H41" s="663">
        <v>13.804214250000001</v>
      </c>
      <c r="I41" s="663">
        <v>0</v>
      </c>
      <c r="J41" s="663">
        <v>0</v>
      </c>
      <c r="K41" s="663">
        <v>0</v>
      </c>
      <c r="L41" s="663">
        <v>0</v>
      </c>
      <c r="M41" s="663">
        <v>0</v>
      </c>
      <c r="N41" s="663">
        <v>0</v>
      </c>
      <c r="O41" s="663">
        <v>0</v>
      </c>
      <c r="P41" s="663">
        <v>0</v>
      </c>
      <c r="Q41" s="663">
        <v>0</v>
      </c>
      <c r="R41" s="663">
        <v>0</v>
      </c>
      <c r="S41" s="663">
        <v>0</v>
      </c>
      <c r="T41" s="663">
        <v>0</v>
      </c>
      <c r="U41" s="671">
        <v>156.49675439070509</v>
      </c>
    </row>
    <row r="42" spans="3:21" ht="13">
      <c r="C42" s="666" t="s">
        <v>85</v>
      </c>
      <c r="D42" s="667">
        <v>14.143340482660001</v>
      </c>
      <c r="E42" s="667">
        <v>0</v>
      </c>
      <c r="F42" s="667">
        <v>756.12763399983783</v>
      </c>
      <c r="G42" s="667">
        <v>0</v>
      </c>
      <c r="H42" s="667">
        <v>342.6879775000001</v>
      </c>
      <c r="I42" s="667">
        <v>0</v>
      </c>
      <c r="J42" s="667">
        <v>0</v>
      </c>
      <c r="K42" s="667">
        <v>0</v>
      </c>
      <c r="L42" s="667">
        <v>94.741778818445539</v>
      </c>
      <c r="M42" s="667">
        <v>6.3141660475193291</v>
      </c>
      <c r="N42" s="667">
        <v>40.094052089790857</v>
      </c>
      <c r="O42" s="667">
        <v>2.5089575000000002</v>
      </c>
      <c r="P42" s="667">
        <v>31.43908444444444</v>
      </c>
      <c r="Q42" s="667">
        <v>2.6456750000400002</v>
      </c>
      <c r="R42" s="667">
        <v>431.70479999999998</v>
      </c>
      <c r="S42" s="667">
        <v>43.104436111303606</v>
      </c>
      <c r="T42" s="667">
        <v>0</v>
      </c>
      <c r="U42" s="667">
        <v>1765.5119019940419</v>
      </c>
    </row>
    <row r="43" spans="3:21">
      <c r="C43" s="654"/>
      <c r="D43" s="672">
        <v>0</v>
      </c>
      <c r="E43" s="672">
        <v>-7.9805535306149977E-2</v>
      </c>
      <c r="F43" s="672">
        <v>-7.0888389245737926E-5</v>
      </c>
      <c r="G43" s="672">
        <v>0</v>
      </c>
      <c r="H43" s="672">
        <v>0</v>
      </c>
      <c r="I43" s="654"/>
      <c r="J43" s="672">
        <v>0</v>
      </c>
      <c r="K43" s="672">
        <v>0</v>
      </c>
      <c r="L43" s="672">
        <v>-6.5550585759410751E-7</v>
      </c>
      <c r="M43" s="672">
        <v>0</v>
      </c>
      <c r="N43" s="672">
        <v>0</v>
      </c>
      <c r="O43" s="672">
        <v>6.6666669162884773E-7</v>
      </c>
      <c r="P43" s="672">
        <v>0</v>
      </c>
      <c r="Q43" s="672">
        <v>-0.1260009555555559</v>
      </c>
      <c r="R43" s="672">
        <v>-7.1054273576010019E-14</v>
      </c>
      <c r="S43" s="672">
        <v>2.7777777233950474E-7</v>
      </c>
      <c r="T43" s="672">
        <v>0</v>
      </c>
      <c r="U43" s="672">
        <v>-0.20587709031178747</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86</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9.7977867342210008</v>
      </c>
      <c r="F49" s="673">
        <v>0</v>
      </c>
      <c r="G49" s="663">
        <v>0</v>
      </c>
      <c r="H49" s="663">
        <v>0.18111850000000002</v>
      </c>
      <c r="I49" s="663">
        <v>0</v>
      </c>
      <c r="J49" s="673">
        <v>1072.2208090909091</v>
      </c>
      <c r="K49" s="673">
        <v>115.72304451809002</v>
      </c>
      <c r="L49" s="673">
        <v>114.24305924309452</v>
      </c>
      <c r="M49" s="673">
        <v>33.631608055405756</v>
      </c>
      <c r="N49" s="673">
        <v>0</v>
      </c>
      <c r="O49" s="673">
        <v>9.2815441223735728</v>
      </c>
      <c r="P49" s="673">
        <v>32.908596666666668</v>
      </c>
      <c r="Q49" s="673">
        <v>8.1133079726239394</v>
      </c>
      <c r="R49" s="673">
        <v>0</v>
      </c>
      <c r="S49" s="673">
        <v>0</v>
      </c>
      <c r="T49" s="673">
        <v>0</v>
      </c>
      <c r="U49" s="674">
        <v>1396.1008749033845</v>
      </c>
    </row>
    <row r="50" spans="3:21" ht="13">
      <c r="C50" s="662" t="s">
        <v>60</v>
      </c>
      <c r="D50" s="673">
        <v>59.346560356893349</v>
      </c>
      <c r="E50" s="673">
        <v>394.73997109464659</v>
      </c>
      <c r="F50" s="673">
        <v>515.26337584814883</v>
      </c>
      <c r="G50" s="663">
        <v>0</v>
      </c>
      <c r="H50" s="673">
        <v>479.42224425000006</v>
      </c>
      <c r="I50" s="663">
        <v>0</v>
      </c>
      <c r="J50" s="673">
        <v>0</v>
      </c>
      <c r="K50" s="673">
        <v>0</v>
      </c>
      <c r="L50" s="673">
        <v>2.6631252777777781</v>
      </c>
      <c r="M50" s="673">
        <v>0</v>
      </c>
      <c r="N50" s="673">
        <v>13.962014778928699</v>
      </c>
      <c r="O50" s="673">
        <v>0</v>
      </c>
      <c r="P50" s="673">
        <v>0</v>
      </c>
      <c r="Q50" s="673">
        <v>0</v>
      </c>
      <c r="R50" s="673">
        <v>19.536102</v>
      </c>
      <c r="S50" s="673">
        <v>0</v>
      </c>
      <c r="T50" s="673">
        <v>0</v>
      </c>
      <c r="U50" s="674">
        <v>1484.9333936063952</v>
      </c>
    </row>
    <row r="51" spans="3:21" ht="13">
      <c r="C51" s="662" t="s">
        <v>61</v>
      </c>
      <c r="D51" s="673">
        <v>-9.6972882210000014E-2</v>
      </c>
      <c r="E51" s="673">
        <v>-1.4488664385590002</v>
      </c>
      <c r="F51" s="673">
        <v>-154.00833143808623</v>
      </c>
      <c r="G51" s="663">
        <v>0</v>
      </c>
      <c r="H51" s="673">
        <v>-95.022441999999998</v>
      </c>
      <c r="I51" s="663">
        <v>0</v>
      </c>
      <c r="J51" s="673">
        <v>0</v>
      </c>
      <c r="K51" s="673">
        <v>0</v>
      </c>
      <c r="L51" s="673">
        <v>-2.0287163888888888</v>
      </c>
      <c r="M51" s="673">
        <v>0</v>
      </c>
      <c r="N51" s="673">
        <v>-7.1333416709442901</v>
      </c>
      <c r="O51" s="673">
        <v>0</v>
      </c>
      <c r="P51" s="673">
        <v>0</v>
      </c>
      <c r="Q51" s="673">
        <v>0</v>
      </c>
      <c r="R51" s="673">
        <v>-64.575296000000009</v>
      </c>
      <c r="S51" s="673">
        <v>0</v>
      </c>
      <c r="T51" s="673">
        <v>0</v>
      </c>
      <c r="U51" s="674">
        <v>-324.31396681868836</v>
      </c>
    </row>
    <row r="52" spans="3:21" ht="13">
      <c r="C52" s="662" t="s">
        <v>62</v>
      </c>
      <c r="D52" s="663">
        <v>0</v>
      </c>
      <c r="E52" s="663">
        <v>0</v>
      </c>
      <c r="F52" s="663">
        <v>-11.254966292131096</v>
      </c>
      <c r="G52" s="663">
        <v>0</v>
      </c>
      <c r="H52" s="663">
        <v>0</v>
      </c>
      <c r="I52" s="663">
        <v>0</v>
      </c>
      <c r="J52" s="663">
        <v>0</v>
      </c>
      <c r="K52" s="663">
        <v>0</v>
      </c>
      <c r="L52" s="663">
        <v>0</v>
      </c>
      <c r="M52" s="663">
        <v>0</v>
      </c>
      <c r="N52" s="663">
        <v>0</v>
      </c>
      <c r="O52" s="663">
        <v>0</v>
      </c>
      <c r="P52" s="663">
        <v>0</v>
      </c>
      <c r="Q52" s="663">
        <v>0</v>
      </c>
      <c r="R52" s="673">
        <v>0</v>
      </c>
      <c r="S52" s="673">
        <v>0</v>
      </c>
      <c r="T52" s="663">
        <v>0</v>
      </c>
      <c r="U52" s="674">
        <v>-11.254966292131096</v>
      </c>
    </row>
    <row r="53" spans="3:21" ht="13">
      <c r="C53" s="662" t="s">
        <v>63</v>
      </c>
      <c r="D53" s="663">
        <v>0</v>
      </c>
      <c r="E53" s="663">
        <v>0</v>
      </c>
      <c r="F53" s="663">
        <v>-37.45524104092592</v>
      </c>
      <c r="G53" s="663">
        <v>0</v>
      </c>
      <c r="H53" s="663">
        <v>0</v>
      </c>
      <c r="I53" s="663">
        <v>0</v>
      </c>
      <c r="J53" s="663">
        <v>0</v>
      </c>
      <c r="K53" s="663">
        <v>0</v>
      </c>
      <c r="L53" s="663">
        <v>0</v>
      </c>
      <c r="M53" s="663">
        <v>0</v>
      </c>
      <c r="N53" s="663">
        <v>0</v>
      </c>
      <c r="O53" s="663">
        <v>0</v>
      </c>
      <c r="P53" s="663">
        <v>0</v>
      </c>
      <c r="Q53" s="663">
        <v>0</v>
      </c>
      <c r="R53" s="673">
        <v>0</v>
      </c>
      <c r="S53" s="673">
        <v>0</v>
      </c>
      <c r="T53" s="663">
        <v>0</v>
      </c>
      <c r="U53" s="674">
        <v>-37.45524104092592</v>
      </c>
    </row>
    <row r="54" spans="3:21" ht="13">
      <c r="C54" s="662" t="s">
        <v>64</v>
      </c>
      <c r="D54" s="673">
        <v>2.2754338241033341</v>
      </c>
      <c r="E54" s="673">
        <v>1.7895047303380001</v>
      </c>
      <c r="F54" s="673">
        <v>-1.4741451662241043</v>
      </c>
      <c r="G54" s="663">
        <v>0</v>
      </c>
      <c r="H54" s="673">
        <v>21.247482000000002</v>
      </c>
      <c r="I54" s="663">
        <v>0</v>
      </c>
      <c r="J54" s="673">
        <v>0</v>
      </c>
      <c r="K54" s="673">
        <v>0</v>
      </c>
      <c r="L54" s="673">
        <v>0</v>
      </c>
      <c r="M54" s="673">
        <v>0</v>
      </c>
      <c r="N54" s="673">
        <v>0</v>
      </c>
      <c r="O54" s="673">
        <v>0</v>
      </c>
      <c r="P54" s="673">
        <v>0</v>
      </c>
      <c r="Q54" s="673">
        <v>0</v>
      </c>
      <c r="R54" s="673">
        <v>0</v>
      </c>
      <c r="S54" s="673">
        <v>0</v>
      </c>
      <c r="T54" s="673">
        <v>0</v>
      </c>
      <c r="U54" s="674">
        <v>23.838275388217234</v>
      </c>
    </row>
    <row r="55" spans="3:21" ht="13">
      <c r="C55" s="666" t="s">
        <v>65</v>
      </c>
      <c r="D55" s="675">
        <v>61.52502129878669</v>
      </c>
      <c r="E55" s="675">
        <v>404.87839612064664</v>
      </c>
      <c r="F55" s="675">
        <v>311.07069191078136</v>
      </c>
      <c r="G55" s="667">
        <v>0</v>
      </c>
      <c r="H55" s="675">
        <v>405.82840275000007</v>
      </c>
      <c r="I55" s="667">
        <v>0</v>
      </c>
      <c r="J55" s="675">
        <v>1072.2208090909091</v>
      </c>
      <c r="K55" s="675">
        <v>115.72304451809002</v>
      </c>
      <c r="L55" s="675">
        <v>114.87746813198341</v>
      </c>
      <c r="M55" s="675">
        <v>33.631608055405756</v>
      </c>
      <c r="N55" s="675">
        <v>6.8286731079844092</v>
      </c>
      <c r="O55" s="675">
        <v>9.2815441223735728</v>
      </c>
      <c r="P55" s="675">
        <v>32.908596666666668</v>
      </c>
      <c r="Q55" s="675">
        <v>8.1133079726239394</v>
      </c>
      <c r="R55" s="675">
        <v>-45.039194000000009</v>
      </c>
      <c r="S55" s="675">
        <v>0</v>
      </c>
      <c r="T55" s="675">
        <v>0</v>
      </c>
      <c r="U55" s="675">
        <v>2531.8483697462511</v>
      </c>
    </row>
    <row r="56" spans="3:21" ht="13">
      <c r="C56" s="668"/>
      <c r="D56" s="676"/>
      <c r="E56" s="676"/>
      <c r="F56" s="676"/>
      <c r="G56" s="669"/>
      <c r="H56" s="676"/>
      <c r="I56" s="669"/>
      <c r="J56" s="676"/>
      <c r="K56" s="676"/>
      <c r="L56" s="676"/>
      <c r="M56" s="676"/>
      <c r="N56" s="676"/>
      <c r="O56" s="676"/>
      <c r="P56" s="676"/>
      <c r="Q56" s="676"/>
      <c r="R56" s="676"/>
      <c r="S56" s="676"/>
      <c r="T56" s="676"/>
      <c r="U56" s="676"/>
    </row>
    <row r="57" spans="3:21" ht="13">
      <c r="C57" s="670" t="s">
        <v>67</v>
      </c>
      <c r="D57" s="663">
        <v>-3.1696853392377875</v>
      </c>
      <c r="E57" s="663">
        <v>7.594656734105321</v>
      </c>
      <c r="F57" s="663">
        <v>3.8234994290490683</v>
      </c>
      <c r="G57" s="663">
        <v>0</v>
      </c>
      <c r="H57" s="663">
        <v>-0.68950250000000013</v>
      </c>
      <c r="I57" s="663">
        <v>0</v>
      </c>
      <c r="J57" s="663">
        <v>0</v>
      </c>
      <c r="K57" s="663">
        <v>0</v>
      </c>
      <c r="L57" s="663">
        <v>0</v>
      </c>
      <c r="M57" s="663">
        <v>0</v>
      </c>
      <c r="N57" s="663">
        <v>0</v>
      </c>
      <c r="O57" s="663">
        <v>0</v>
      </c>
      <c r="P57" s="663">
        <v>0</v>
      </c>
      <c r="Q57" s="663">
        <v>0</v>
      </c>
      <c r="R57" s="663">
        <v>2.0843062301020092</v>
      </c>
      <c r="S57" s="663">
        <v>0</v>
      </c>
      <c r="T57" s="673">
        <v>0</v>
      </c>
      <c r="U57" s="674">
        <v>9.6432745540186122</v>
      </c>
    </row>
    <row r="58" spans="3:21" ht="13">
      <c r="C58" s="670" t="s">
        <v>350</v>
      </c>
      <c r="D58" s="663">
        <v>14.864431241687887</v>
      </c>
      <c r="E58" s="663">
        <v>0</v>
      </c>
      <c r="F58" s="663">
        <v>13.418152502737103</v>
      </c>
      <c r="G58" s="663">
        <v>0</v>
      </c>
      <c r="H58" s="663">
        <v>55.436136268601025</v>
      </c>
      <c r="I58" s="663">
        <v>0</v>
      </c>
      <c r="J58" s="663">
        <v>1072.2208090909091</v>
      </c>
      <c r="K58" s="663">
        <v>115.67142051809002</v>
      </c>
      <c r="L58" s="663">
        <v>17.347825951117827</v>
      </c>
      <c r="M58" s="663">
        <v>11.678824122543197</v>
      </c>
      <c r="N58" s="663">
        <v>0</v>
      </c>
      <c r="O58" s="663">
        <v>5.2886919634287652</v>
      </c>
      <c r="P58" s="663">
        <v>0</v>
      </c>
      <c r="Q58" s="663">
        <v>1.3922112325408571</v>
      </c>
      <c r="R58" s="663">
        <v>-527.28039181222232</v>
      </c>
      <c r="S58" s="663">
        <v>0</v>
      </c>
      <c r="T58" s="673">
        <v>0</v>
      </c>
      <c r="U58" s="674">
        <v>780.03811107943307</v>
      </c>
    </row>
    <row r="59" spans="3:21" ht="13">
      <c r="C59" s="670" t="s">
        <v>351</v>
      </c>
      <c r="D59" s="663">
        <v>1.5729367626898902</v>
      </c>
      <c r="E59" s="663">
        <v>0</v>
      </c>
      <c r="F59" s="663">
        <v>0.20358189452574635</v>
      </c>
      <c r="G59" s="663">
        <v>0</v>
      </c>
      <c r="H59" s="663">
        <v>21.08911448139898</v>
      </c>
      <c r="I59" s="663">
        <v>0</v>
      </c>
      <c r="J59" s="663">
        <v>0</v>
      </c>
      <c r="K59" s="663">
        <v>0</v>
      </c>
      <c r="L59" s="663">
        <v>7.8982729217883261</v>
      </c>
      <c r="M59" s="663">
        <v>16.49482411485047</v>
      </c>
      <c r="N59" s="663">
        <v>0</v>
      </c>
      <c r="O59" s="663">
        <v>3.0673174902469076</v>
      </c>
      <c r="P59" s="663">
        <v>0.25705111111111106</v>
      </c>
      <c r="Q59" s="663">
        <v>3.9939867016268904</v>
      </c>
      <c r="R59" s="663">
        <v>0</v>
      </c>
      <c r="S59" s="663">
        <v>-45.831488617908406</v>
      </c>
      <c r="T59" s="673">
        <v>0</v>
      </c>
      <c r="U59" s="674">
        <v>8.7455968603299254</v>
      </c>
    </row>
    <row r="60" spans="3:21" ht="13">
      <c r="C60" s="670" t="s">
        <v>352</v>
      </c>
      <c r="D60" s="663">
        <v>0</v>
      </c>
      <c r="E60" s="663">
        <v>0</v>
      </c>
      <c r="F60" s="663">
        <v>0</v>
      </c>
      <c r="G60" s="663">
        <v>0</v>
      </c>
      <c r="H60" s="663">
        <v>0</v>
      </c>
      <c r="I60" s="663">
        <v>0</v>
      </c>
      <c r="J60" s="663">
        <v>0</v>
      </c>
      <c r="K60" s="663">
        <v>0</v>
      </c>
      <c r="L60" s="663">
        <v>0</v>
      </c>
      <c r="M60" s="663">
        <v>0</v>
      </c>
      <c r="N60" s="663">
        <v>0</v>
      </c>
      <c r="O60" s="663">
        <v>-1.9873640000000001</v>
      </c>
      <c r="P60" s="663">
        <v>0</v>
      </c>
      <c r="Q60" s="663">
        <v>0</v>
      </c>
      <c r="R60" s="663">
        <v>0</v>
      </c>
      <c r="S60" s="663">
        <v>0</v>
      </c>
      <c r="T60" s="673">
        <v>0</v>
      </c>
      <c r="U60" s="674">
        <v>-1.9873640000000001</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73">
        <v>0</v>
      </c>
      <c r="U61" s="674">
        <v>0</v>
      </c>
    </row>
    <row r="62" spans="3:21" ht="13">
      <c r="C62" s="670" t="s">
        <v>72</v>
      </c>
      <c r="D62" s="663">
        <v>0</v>
      </c>
      <c r="E62" s="663">
        <v>440.59076600316865</v>
      </c>
      <c r="F62" s="663">
        <v>-437.66600779015403</v>
      </c>
      <c r="G62" s="663">
        <v>0</v>
      </c>
      <c r="H62" s="663">
        <v>0</v>
      </c>
      <c r="I62" s="663">
        <v>0</v>
      </c>
      <c r="J62" s="663">
        <v>0</v>
      </c>
      <c r="K62" s="663">
        <v>0</v>
      </c>
      <c r="L62" s="663">
        <v>0</v>
      </c>
      <c r="M62" s="663">
        <v>0</v>
      </c>
      <c r="N62" s="663">
        <v>0</v>
      </c>
      <c r="O62" s="663">
        <v>0</v>
      </c>
      <c r="P62" s="663">
        <v>0</v>
      </c>
      <c r="Q62" s="663">
        <v>0</v>
      </c>
      <c r="R62" s="663">
        <v>0</v>
      </c>
      <c r="S62" s="663">
        <v>0</v>
      </c>
      <c r="T62" s="673">
        <v>0</v>
      </c>
      <c r="U62" s="674">
        <v>2.9247582130146133</v>
      </c>
    </row>
    <row r="63" spans="3:21" ht="13">
      <c r="C63" s="670" t="s">
        <v>354</v>
      </c>
      <c r="D63" s="663">
        <v>0</v>
      </c>
      <c r="E63" s="663">
        <v>0</v>
      </c>
      <c r="F63" s="663">
        <v>0</v>
      </c>
      <c r="G63" s="663">
        <v>0</v>
      </c>
      <c r="H63" s="663">
        <v>0</v>
      </c>
      <c r="I63" s="663">
        <v>0</v>
      </c>
      <c r="J63" s="663">
        <v>0</v>
      </c>
      <c r="K63" s="663">
        <v>0</v>
      </c>
      <c r="L63" s="663">
        <v>0</v>
      </c>
      <c r="M63" s="663">
        <v>0</v>
      </c>
      <c r="N63" s="663">
        <v>-27.31624937979873</v>
      </c>
      <c r="O63" s="663">
        <v>0</v>
      </c>
      <c r="P63" s="663">
        <v>0</v>
      </c>
      <c r="Q63" s="663">
        <v>0</v>
      </c>
      <c r="R63" s="663">
        <v>0</v>
      </c>
      <c r="S63" s="663">
        <v>0</v>
      </c>
      <c r="T63" s="673">
        <v>0</v>
      </c>
      <c r="U63" s="674">
        <v>-27.31624937979873</v>
      </c>
    </row>
    <row r="64" spans="3:21" ht="13">
      <c r="C64" s="670" t="s">
        <v>355</v>
      </c>
      <c r="D64" s="663">
        <v>0</v>
      </c>
      <c r="E64" s="663">
        <v>0</v>
      </c>
      <c r="F64" s="663">
        <v>0</v>
      </c>
      <c r="G64" s="663">
        <v>0</v>
      </c>
      <c r="H64" s="663">
        <v>0</v>
      </c>
      <c r="I64" s="663">
        <v>0</v>
      </c>
      <c r="J64" s="663">
        <v>0</v>
      </c>
      <c r="K64" s="663">
        <v>0</v>
      </c>
      <c r="L64" s="663">
        <v>0</v>
      </c>
      <c r="M64" s="663">
        <v>0</v>
      </c>
      <c r="N64" s="663">
        <v>0</v>
      </c>
      <c r="O64" s="663">
        <v>0</v>
      </c>
      <c r="P64" s="663">
        <v>0</v>
      </c>
      <c r="Q64" s="663">
        <v>0</v>
      </c>
      <c r="R64" s="663">
        <v>0</v>
      </c>
      <c r="S64" s="663">
        <v>0</v>
      </c>
      <c r="T64" s="673">
        <v>0</v>
      </c>
      <c r="U64" s="674">
        <v>0</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0</v>
      </c>
      <c r="S65" s="663">
        <v>0</v>
      </c>
      <c r="T65" s="673">
        <v>0</v>
      </c>
      <c r="U65" s="674">
        <v>0</v>
      </c>
    </row>
    <row r="66" spans="3:21" ht="13">
      <c r="C66" s="670" t="s">
        <v>356</v>
      </c>
      <c r="D66" s="663">
        <v>24.856875540426671</v>
      </c>
      <c r="E66" s="663">
        <v>-42.586921310488997</v>
      </c>
      <c r="F66" s="663">
        <v>41.670112128488995</v>
      </c>
      <c r="G66" s="663">
        <v>0</v>
      </c>
      <c r="H66" s="663">
        <v>0</v>
      </c>
      <c r="I66" s="663">
        <v>0</v>
      </c>
      <c r="J66" s="663">
        <v>0</v>
      </c>
      <c r="K66" s="663">
        <v>0</v>
      </c>
      <c r="L66" s="663">
        <v>0</v>
      </c>
      <c r="M66" s="663">
        <v>0</v>
      </c>
      <c r="N66" s="663">
        <v>0</v>
      </c>
      <c r="O66" s="663">
        <v>0</v>
      </c>
      <c r="P66" s="663">
        <v>0</v>
      </c>
      <c r="Q66" s="663">
        <v>0</v>
      </c>
      <c r="R66" s="663">
        <v>0</v>
      </c>
      <c r="S66" s="663">
        <v>0</v>
      </c>
      <c r="T66" s="673">
        <v>0</v>
      </c>
      <c r="U66" s="674">
        <v>23.94006635842667</v>
      </c>
    </row>
    <row r="67" spans="3:21" ht="13">
      <c r="C67" s="670" t="s">
        <v>75</v>
      </c>
      <c r="D67" s="663">
        <v>10.864485000000002</v>
      </c>
      <c r="E67" s="663">
        <v>0</v>
      </c>
      <c r="F67" s="663">
        <v>12.156002809978</v>
      </c>
      <c r="G67" s="663">
        <v>0</v>
      </c>
      <c r="H67" s="663">
        <v>6.2612449999999988</v>
      </c>
      <c r="I67" s="663">
        <v>0</v>
      </c>
      <c r="J67" s="663">
        <v>0</v>
      </c>
      <c r="K67" s="663">
        <v>0</v>
      </c>
      <c r="L67" s="663">
        <v>0</v>
      </c>
      <c r="M67" s="663">
        <v>0</v>
      </c>
      <c r="N67" s="663">
        <v>0</v>
      </c>
      <c r="O67" s="663">
        <v>0</v>
      </c>
      <c r="P67" s="663">
        <v>0</v>
      </c>
      <c r="Q67" s="663">
        <v>0</v>
      </c>
      <c r="R67" s="663">
        <v>32.903944582120353</v>
      </c>
      <c r="S67" s="663">
        <v>0</v>
      </c>
      <c r="T67" s="673">
        <v>0</v>
      </c>
      <c r="U67" s="674">
        <v>62.185677392098349</v>
      </c>
    </row>
    <row r="68" spans="3:21" ht="13">
      <c r="C68" s="670" t="s">
        <v>76</v>
      </c>
      <c r="D68" s="663">
        <v>0</v>
      </c>
      <c r="E68" s="663">
        <v>0</v>
      </c>
      <c r="F68" s="663">
        <v>0</v>
      </c>
      <c r="G68" s="663">
        <v>0</v>
      </c>
      <c r="H68" s="663">
        <v>3.9080132499999998</v>
      </c>
      <c r="I68" s="663">
        <v>0</v>
      </c>
      <c r="J68" s="663">
        <v>0</v>
      </c>
      <c r="K68" s="663">
        <v>0</v>
      </c>
      <c r="L68" s="663">
        <v>0</v>
      </c>
      <c r="M68" s="663">
        <v>0</v>
      </c>
      <c r="N68" s="663">
        <v>0</v>
      </c>
      <c r="O68" s="663">
        <v>0</v>
      </c>
      <c r="P68" s="663">
        <v>0</v>
      </c>
      <c r="Q68" s="663">
        <v>0</v>
      </c>
      <c r="R68" s="663">
        <v>35.893531999999993</v>
      </c>
      <c r="S68" s="663">
        <v>4.1669160064579911</v>
      </c>
      <c r="T68" s="673">
        <v>0</v>
      </c>
      <c r="U68" s="674">
        <v>43.968461256457985</v>
      </c>
    </row>
    <row r="69" spans="3:21" ht="13">
      <c r="C69" s="666" t="s">
        <v>77</v>
      </c>
      <c r="D69" s="675">
        <v>48.989043205566666</v>
      </c>
      <c r="E69" s="675">
        <v>405.59850142678499</v>
      </c>
      <c r="F69" s="675">
        <v>-366.39465902537506</v>
      </c>
      <c r="G69" s="667">
        <v>0</v>
      </c>
      <c r="H69" s="675">
        <v>86.005006499999993</v>
      </c>
      <c r="I69" s="667">
        <v>0</v>
      </c>
      <c r="J69" s="675">
        <v>1072.2208090909091</v>
      </c>
      <c r="K69" s="675">
        <v>115.67142051809002</v>
      </c>
      <c r="L69" s="675">
        <v>25.246098872906153</v>
      </c>
      <c r="M69" s="675">
        <v>28.173648237393667</v>
      </c>
      <c r="N69" s="675">
        <v>-27.31624937979873</v>
      </c>
      <c r="O69" s="675">
        <v>6.3686454536756729</v>
      </c>
      <c r="P69" s="675">
        <v>0.25705111111111106</v>
      </c>
      <c r="Q69" s="675">
        <v>5.3861979341677468</v>
      </c>
      <c r="R69" s="675">
        <v>-456.39860899999991</v>
      </c>
      <c r="S69" s="675">
        <v>-41.66457261145041</v>
      </c>
      <c r="T69" s="675">
        <v>0</v>
      </c>
      <c r="U69" s="675">
        <v>902.14233233398068</v>
      </c>
    </row>
    <row r="70" spans="3:21" ht="13">
      <c r="C70" s="668"/>
      <c r="D70" s="676">
        <v>0</v>
      </c>
      <c r="E70" s="676">
        <v>0</v>
      </c>
      <c r="F70" s="676">
        <v>0</v>
      </c>
      <c r="G70" s="669"/>
      <c r="H70" s="676">
        <v>0</v>
      </c>
      <c r="I70" s="669"/>
      <c r="J70" s="676">
        <v>0</v>
      </c>
      <c r="K70" s="676">
        <v>0</v>
      </c>
      <c r="L70" s="676">
        <v>0</v>
      </c>
      <c r="M70" s="676">
        <v>0</v>
      </c>
      <c r="N70" s="676">
        <v>0</v>
      </c>
      <c r="O70" s="676">
        <v>0</v>
      </c>
      <c r="P70" s="676">
        <v>0</v>
      </c>
      <c r="Q70" s="676">
        <v>0</v>
      </c>
      <c r="R70" s="676">
        <v>0</v>
      </c>
      <c r="S70" s="676">
        <v>0</v>
      </c>
      <c r="T70" s="676">
        <v>0</v>
      </c>
      <c r="U70" s="676">
        <v>0</v>
      </c>
    </row>
    <row r="71" spans="3:21" ht="13">
      <c r="C71" s="670" t="s">
        <v>78</v>
      </c>
      <c r="D71" s="663">
        <v>9.103168484740003</v>
      </c>
      <c r="E71" s="663">
        <v>0</v>
      </c>
      <c r="F71" s="663">
        <v>30.742620872292591</v>
      </c>
      <c r="G71" s="663">
        <v>0</v>
      </c>
      <c r="H71" s="663">
        <v>115.67477925</v>
      </c>
      <c r="I71" s="663">
        <v>0</v>
      </c>
      <c r="J71" s="663">
        <v>0</v>
      </c>
      <c r="K71" s="663">
        <v>0</v>
      </c>
      <c r="L71" s="663">
        <v>15.652087601653344</v>
      </c>
      <c r="M71" s="663">
        <v>3.5686448746488644</v>
      </c>
      <c r="N71" s="663">
        <v>1.0751813257923004</v>
      </c>
      <c r="O71" s="663">
        <v>0.92719655758676645</v>
      </c>
      <c r="P71" s="663">
        <v>0</v>
      </c>
      <c r="Q71" s="663">
        <v>1.540935583552362E-2</v>
      </c>
      <c r="R71" s="663">
        <v>105.80333299999998</v>
      </c>
      <c r="S71" s="663">
        <v>17.474535389228187</v>
      </c>
      <c r="T71" s="663">
        <v>0</v>
      </c>
      <c r="U71" s="671">
        <v>300.03695671177758</v>
      </c>
    </row>
    <row r="72" spans="3:21" ht="13">
      <c r="C72" s="670" t="s">
        <v>79</v>
      </c>
      <c r="D72" s="663">
        <v>0</v>
      </c>
      <c r="E72" s="663">
        <v>0</v>
      </c>
      <c r="F72" s="663">
        <v>396.20072754031048</v>
      </c>
      <c r="G72" s="663">
        <v>0</v>
      </c>
      <c r="H72" s="663">
        <v>2.2477145000000003</v>
      </c>
      <c r="I72" s="663">
        <v>0</v>
      </c>
      <c r="J72" s="663">
        <v>0</v>
      </c>
      <c r="K72" s="663">
        <v>0</v>
      </c>
      <c r="L72" s="663">
        <v>0</v>
      </c>
      <c r="M72" s="663">
        <v>0</v>
      </c>
      <c r="N72" s="663">
        <v>30.751352031352695</v>
      </c>
      <c r="O72" s="663">
        <v>0</v>
      </c>
      <c r="P72" s="663">
        <v>0</v>
      </c>
      <c r="Q72" s="663">
        <v>0</v>
      </c>
      <c r="R72" s="663">
        <v>8.3371990700000005</v>
      </c>
      <c r="S72" s="663">
        <v>0</v>
      </c>
      <c r="T72" s="663">
        <v>0</v>
      </c>
      <c r="U72" s="671">
        <v>437.53699314166312</v>
      </c>
    </row>
    <row r="73" spans="3:21" ht="13">
      <c r="C73" s="670" t="s">
        <v>80</v>
      </c>
      <c r="D73" s="663">
        <v>0.24074954804999998</v>
      </c>
      <c r="E73" s="663">
        <v>0</v>
      </c>
      <c r="F73" s="663">
        <v>50.312051197940285</v>
      </c>
      <c r="G73" s="663">
        <v>0</v>
      </c>
      <c r="H73" s="663">
        <v>125.05981225000002</v>
      </c>
      <c r="I73" s="663">
        <v>0</v>
      </c>
      <c r="J73" s="663">
        <v>0</v>
      </c>
      <c r="K73" s="663">
        <v>0</v>
      </c>
      <c r="L73" s="663">
        <v>69.406708888888886</v>
      </c>
      <c r="M73" s="663">
        <v>0</v>
      </c>
      <c r="N73" s="663">
        <v>0</v>
      </c>
      <c r="O73" s="663">
        <v>0</v>
      </c>
      <c r="P73" s="663">
        <v>28.099863055555552</v>
      </c>
      <c r="Q73" s="663">
        <v>2.0645206826866662</v>
      </c>
      <c r="R73" s="663">
        <v>161.49853200000001</v>
      </c>
      <c r="S73" s="663">
        <v>14.411899999999999</v>
      </c>
      <c r="T73" s="663">
        <v>0</v>
      </c>
      <c r="U73" s="671">
        <v>451.09413762312141</v>
      </c>
    </row>
    <row r="74" spans="3:21" ht="13">
      <c r="C74" s="670" t="s">
        <v>81</v>
      </c>
      <c r="D74" s="663">
        <v>0.35525487623000002</v>
      </c>
      <c r="E74" s="663">
        <v>0</v>
      </c>
      <c r="F74" s="663">
        <v>31.907501208676987</v>
      </c>
      <c r="G74" s="663">
        <v>0</v>
      </c>
      <c r="H74" s="663">
        <v>62.61667825</v>
      </c>
      <c r="I74" s="663">
        <v>0</v>
      </c>
      <c r="J74" s="663">
        <v>0</v>
      </c>
      <c r="K74" s="663">
        <v>0</v>
      </c>
      <c r="L74" s="663">
        <v>2.8232277777777779</v>
      </c>
      <c r="M74" s="663">
        <v>2.2859468815788357</v>
      </c>
      <c r="N74" s="663">
        <v>0</v>
      </c>
      <c r="O74" s="663">
        <v>1.4745088888888889</v>
      </c>
      <c r="P74" s="663">
        <v>4.5516825000000001</v>
      </c>
      <c r="Q74" s="663">
        <v>0.35485889253622721</v>
      </c>
      <c r="R74" s="663">
        <v>127.64086592999999</v>
      </c>
      <c r="S74" s="663">
        <v>9.5887644444444451</v>
      </c>
      <c r="T74" s="663">
        <v>0</v>
      </c>
      <c r="U74" s="671">
        <v>243.59928965013316</v>
      </c>
    </row>
    <row r="75" spans="3:21" ht="13">
      <c r="C75" s="670" t="s">
        <v>82</v>
      </c>
      <c r="D75" s="663">
        <v>1.5371382629999998E-2</v>
      </c>
      <c r="E75" s="663">
        <v>0</v>
      </c>
      <c r="F75" s="663">
        <v>37.352212663167997</v>
      </c>
      <c r="G75" s="663">
        <v>0</v>
      </c>
      <c r="H75" s="663">
        <v>2.1964755</v>
      </c>
      <c r="I75" s="663">
        <v>0</v>
      </c>
      <c r="J75" s="663">
        <v>0</v>
      </c>
      <c r="K75" s="663">
        <v>0</v>
      </c>
      <c r="L75" s="663">
        <v>1.7493453935920653</v>
      </c>
      <c r="M75" s="663">
        <v>0</v>
      </c>
      <c r="N75" s="663">
        <v>1.9048961095281811</v>
      </c>
      <c r="O75" s="663">
        <v>0.51119305555555561</v>
      </c>
      <c r="P75" s="663">
        <v>0</v>
      </c>
      <c r="Q75" s="663">
        <v>0.29232166666666665</v>
      </c>
      <c r="R75" s="663">
        <v>8.079485</v>
      </c>
      <c r="S75" s="663">
        <v>0.18937333333333334</v>
      </c>
      <c r="T75" s="663">
        <v>0</v>
      </c>
      <c r="U75" s="671">
        <v>52.290674104473801</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0</v>
      </c>
      <c r="S76" s="663">
        <v>0</v>
      </c>
      <c r="T76" s="663">
        <v>0</v>
      </c>
      <c r="U76" s="671">
        <v>0</v>
      </c>
    </row>
    <row r="77" spans="3:21" ht="13">
      <c r="C77" s="666" t="s">
        <v>83</v>
      </c>
      <c r="D77" s="675">
        <v>9.714544291650002</v>
      </c>
      <c r="E77" s="675">
        <v>0</v>
      </c>
      <c r="F77" s="675">
        <v>546.5151134823883</v>
      </c>
      <c r="G77" s="667">
        <v>0</v>
      </c>
      <c r="H77" s="675">
        <v>307.79545975000002</v>
      </c>
      <c r="I77" s="667">
        <v>0</v>
      </c>
      <c r="J77" s="675">
        <v>0</v>
      </c>
      <c r="K77" s="675">
        <v>0</v>
      </c>
      <c r="L77" s="675">
        <v>89.631369661912075</v>
      </c>
      <c r="M77" s="675">
        <v>5.8545917562277001</v>
      </c>
      <c r="N77" s="675">
        <v>33.731429466673177</v>
      </c>
      <c r="O77" s="675">
        <v>2.9128985020312106</v>
      </c>
      <c r="P77" s="675">
        <v>32.65154555555555</v>
      </c>
      <c r="Q77" s="675">
        <v>2.7271105977250834</v>
      </c>
      <c r="R77" s="675">
        <v>411.35941499999996</v>
      </c>
      <c r="S77" s="675">
        <v>41.664573167005962</v>
      </c>
      <c r="T77" s="675">
        <v>0</v>
      </c>
      <c r="U77" s="675">
        <v>1484.5580512311692</v>
      </c>
    </row>
    <row r="78" spans="3:21" ht="13">
      <c r="C78" s="662" t="s">
        <v>84</v>
      </c>
      <c r="D78" s="663">
        <v>2.8214338015700005</v>
      </c>
      <c r="E78" s="663">
        <v>0</v>
      </c>
      <c r="F78" s="663">
        <v>130.9502374537683</v>
      </c>
      <c r="G78" s="663">
        <v>0</v>
      </c>
      <c r="H78" s="663">
        <v>12.027936500000001</v>
      </c>
      <c r="I78" s="663">
        <v>0</v>
      </c>
      <c r="J78" s="663">
        <v>0</v>
      </c>
      <c r="K78" s="663">
        <v>0</v>
      </c>
      <c r="L78" s="663">
        <v>0</v>
      </c>
      <c r="M78" s="663">
        <v>0</v>
      </c>
      <c r="N78" s="663">
        <v>0</v>
      </c>
      <c r="O78" s="663">
        <v>0</v>
      </c>
      <c r="P78" s="663">
        <v>0</v>
      </c>
      <c r="Q78" s="663">
        <v>0</v>
      </c>
      <c r="R78" s="663">
        <v>0</v>
      </c>
      <c r="S78" s="663">
        <v>0</v>
      </c>
      <c r="T78" s="663">
        <v>0</v>
      </c>
      <c r="U78" s="671">
        <v>145.79960775533831</v>
      </c>
    </row>
    <row r="79" spans="3:21" ht="13">
      <c r="C79" s="666" t="s">
        <v>85</v>
      </c>
      <c r="D79" s="675">
        <v>12.535978093220002</v>
      </c>
      <c r="E79" s="675">
        <v>0</v>
      </c>
      <c r="F79" s="675">
        <v>677.4653509361566</v>
      </c>
      <c r="G79" s="667">
        <v>0</v>
      </c>
      <c r="H79" s="675">
        <v>319.82339625000003</v>
      </c>
      <c r="I79" s="667">
        <v>0</v>
      </c>
      <c r="J79" s="675">
        <v>0</v>
      </c>
      <c r="K79" s="675">
        <v>0</v>
      </c>
      <c r="L79" s="675">
        <v>89.631369661912075</v>
      </c>
      <c r="M79" s="675">
        <v>5.8545917562277001</v>
      </c>
      <c r="N79" s="675">
        <v>33.731429466673177</v>
      </c>
      <c r="O79" s="675">
        <v>2.9128985020312106</v>
      </c>
      <c r="P79" s="675">
        <v>32.65154555555555</v>
      </c>
      <c r="Q79" s="675">
        <v>2.7271105977250834</v>
      </c>
      <c r="R79" s="675">
        <v>411.35941499999996</v>
      </c>
      <c r="S79" s="675">
        <v>41.664573167005962</v>
      </c>
      <c r="T79" s="675">
        <v>0</v>
      </c>
      <c r="U79" s="675">
        <v>1630.3576589865074</v>
      </c>
    </row>
    <row r="80" spans="3:21">
      <c r="C80" s="654"/>
      <c r="D80" s="654"/>
      <c r="E80" s="654"/>
      <c r="F80" s="654"/>
      <c r="G80" s="672">
        <v>0</v>
      </c>
      <c r="H80" s="654"/>
      <c r="I80" s="654"/>
      <c r="J80" s="654"/>
      <c r="K80" s="654"/>
      <c r="L80" s="654"/>
      <c r="M80" s="654"/>
      <c r="N80" s="654"/>
      <c r="O80" s="654"/>
      <c r="P80" s="654"/>
      <c r="Q80" s="654"/>
      <c r="R80" s="654"/>
      <c r="S80" s="654"/>
      <c r="T80" s="654"/>
      <c r="U80" s="654"/>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358</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9.7691999999999997</v>
      </c>
      <c r="F86" s="663">
        <v>0</v>
      </c>
      <c r="G86" s="663">
        <v>0</v>
      </c>
      <c r="H86" s="663">
        <v>0.18608000000000002</v>
      </c>
      <c r="I86" s="663">
        <v>0</v>
      </c>
      <c r="J86" s="673">
        <v>1043.3129387318213</v>
      </c>
      <c r="K86" s="673">
        <v>139.46802163523503</v>
      </c>
      <c r="L86" s="673">
        <v>211.06866225537212</v>
      </c>
      <c r="M86" s="673">
        <v>28.736127787765195</v>
      </c>
      <c r="N86" s="663">
        <v>1.2541050018668516</v>
      </c>
      <c r="O86" s="663">
        <v>0.16066538698047411</v>
      </c>
      <c r="P86" s="673">
        <v>51.691578550496644</v>
      </c>
      <c r="Q86" s="673">
        <v>7.2966333603269149</v>
      </c>
      <c r="R86" s="663">
        <v>0</v>
      </c>
      <c r="S86" s="663">
        <v>0</v>
      </c>
      <c r="T86" s="663">
        <v>0</v>
      </c>
      <c r="U86" s="674">
        <v>1492.9440127098642</v>
      </c>
    </row>
    <row r="87" spans="3:21" ht="13">
      <c r="C87" s="662" t="s">
        <v>60</v>
      </c>
      <c r="D87" s="663">
        <v>55.333246493755105</v>
      </c>
      <c r="E87" s="663">
        <v>462.05884439413359</v>
      </c>
      <c r="F87" s="663">
        <v>258.72843400634088</v>
      </c>
      <c r="G87" s="663">
        <v>0.4821984357974316</v>
      </c>
      <c r="H87" s="663">
        <v>373.06013444321923</v>
      </c>
      <c r="I87" s="663">
        <v>0</v>
      </c>
      <c r="J87" s="663">
        <v>0</v>
      </c>
      <c r="K87" s="663">
        <v>0</v>
      </c>
      <c r="L87" s="663">
        <v>1.7064184013992112</v>
      </c>
      <c r="M87" s="663">
        <v>0</v>
      </c>
      <c r="N87" s="663">
        <v>2.499440757084872</v>
      </c>
      <c r="O87" s="663">
        <v>0</v>
      </c>
      <c r="P87" s="663">
        <v>0</v>
      </c>
      <c r="Q87" s="663">
        <v>0</v>
      </c>
      <c r="R87" s="663">
        <v>0</v>
      </c>
      <c r="S87" s="663">
        <v>0</v>
      </c>
      <c r="T87" s="663">
        <v>0</v>
      </c>
      <c r="U87" s="674">
        <v>1153.8687169317302</v>
      </c>
    </row>
    <row r="88" spans="3:21" ht="13">
      <c r="C88" s="662" t="s">
        <v>61</v>
      </c>
      <c r="D88" s="663">
        <v>0</v>
      </c>
      <c r="E88" s="663">
        <v>0</v>
      </c>
      <c r="F88" s="663">
        <v>-1.2209185925395749</v>
      </c>
      <c r="G88" s="663">
        <v>0</v>
      </c>
      <c r="H88" s="663">
        <v>0</v>
      </c>
      <c r="I88" s="663">
        <v>0</v>
      </c>
      <c r="J88" s="663">
        <v>0</v>
      </c>
      <c r="K88" s="663">
        <v>0</v>
      </c>
      <c r="L88" s="663">
        <v>0</v>
      </c>
      <c r="M88" s="663">
        <v>0</v>
      </c>
      <c r="N88" s="663">
        <v>0</v>
      </c>
      <c r="O88" s="663">
        <v>0</v>
      </c>
      <c r="P88" s="663">
        <v>0</v>
      </c>
      <c r="Q88" s="663">
        <v>0</v>
      </c>
      <c r="R88" s="663">
        <v>-40.000047900912989</v>
      </c>
      <c r="S88" s="663">
        <v>0</v>
      </c>
      <c r="T88" s="663">
        <v>0</v>
      </c>
      <c r="U88" s="674">
        <v>-41.220966493452565</v>
      </c>
    </row>
    <row r="89" spans="3:21" ht="13">
      <c r="C89" s="662" t="s">
        <v>62</v>
      </c>
      <c r="D89" s="663">
        <v>0</v>
      </c>
      <c r="E89" s="663">
        <v>0</v>
      </c>
      <c r="F89" s="663">
        <v>-18.690118059591438</v>
      </c>
      <c r="G89" s="663">
        <v>0</v>
      </c>
      <c r="H89" s="663">
        <v>-0.63746853416095417</v>
      </c>
      <c r="I89" s="663">
        <v>0</v>
      </c>
      <c r="J89" s="663">
        <v>0</v>
      </c>
      <c r="K89" s="663">
        <v>0</v>
      </c>
      <c r="L89" s="663">
        <v>0</v>
      </c>
      <c r="M89" s="663">
        <v>0</v>
      </c>
      <c r="N89" s="663">
        <v>-0.21915172379020703</v>
      </c>
      <c r="O89" s="663">
        <v>-1.9986637209666883E-2</v>
      </c>
      <c r="P89" s="663">
        <v>0</v>
      </c>
      <c r="Q89" s="663">
        <v>0</v>
      </c>
      <c r="R89" s="663">
        <v>0</v>
      </c>
      <c r="S89" s="663">
        <v>0</v>
      </c>
      <c r="T89" s="663">
        <v>0</v>
      </c>
      <c r="U89" s="674">
        <v>-19.566724954752267</v>
      </c>
    </row>
    <row r="90" spans="3:21" ht="13">
      <c r="C90" s="662" t="s">
        <v>63</v>
      </c>
      <c r="D90" s="663">
        <v>0</v>
      </c>
      <c r="E90" s="663">
        <v>0</v>
      </c>
      <c r="F90" s="663">
        <v>-61.207306845856941</v>
      </c>
      <c r="G90" s="663">
        <v>-2.3572892961241775E-2</v>
      </c>
      <c r="H90" s="663">
        <v>0</v>
      </c>
      <c r="I90" s="663">
        <v>0</v>
      </c>
      <c r="J90" s="663">
        <v>0</v>
      </c>
      <c r="K90" s="663">
        <v>0</v>
      </c>
      <c r="L90" s="663">
        <v>0</v>
      </c>
      <c r="M90" s="663">
        <v>0</v>
      </c>
      <c r="N90" s="663">
        <v>-0.99044454483745525</v>
      </c>
      <c r="O90" s="663">
        <v>0</v>
      </c>
      <c r="P90" s="663">
        <v>0</v>
      </c>
      <c r="Q90" s="663">
        <v>0</v>
      </c>
      <c r="R90" s="663">
        <v>0</v>
      </c>
      <c r="S90" s="663">
        <v>0</v>
      </c>
      <c r="T90" s="663">
        <v>0</v>
      </c>
      <c r="U90" s="674">
        <v>-62.221324283655633</v>
      </c>
    </row>
    <row r="91" spans="3:21" ht="13">
      <c r="C91" s="662" t="s">
        <v>64</v>
      </c>
      <c r="D91" s="663">
        <v>9.7684723496666986E-2</v>
      </c>
      <c r="E91" s="663">
        <v>-5.9567697000000003E-2</v>
      </c>
      <c r="F91" s="663">
        <v>3.8766666666666671E-2</v>
      </c>
      <c r="G91" s="663">
        <v>0</v>
      </c>
      <c r="H91" s="663">
        <v>0</v>
      </c>
      <c r="I91" s="663">
        <v>0</v>
      </c>
      <c r="J91" s="663">
        <v>0</v>
      </c>
      <c r="K91" s="663">
        <v>0</v>
      </c>
      <c r="L91" s="663">
        <v>0</v>
      </c>
      <c r="M91" s="663">
        <v>0</v>
      </c>
      <c r="N91" s="663">
        <v>0</v>
      </c>
      <c r="O91" s="663">
        <v>0</v>
      </c>
      <c r="P91" s="663">
        <v>0</v>
      </c>
      <c r="Q91" s="663">
        <v>0</v>
      </c>
      <c r="R91" s="663">
        <v>0</v>
      </c>
      <c r="S91" s="663">
        <v>0</v>
      </c>
      <c r="T91" s="663">
        <v>0</v>
      </c>
      <c r="U91" s="674">
        <v>7.6883693163333655E-2</v>
      </c>
    </row>
    <row r="92" spans="3:21" ht="13">
      <c r="C92" s="666" t="s">
        <v>65</v>
      </c>
      <c r="D92" s="675">
        <v>55.430931217251775</v>
      </c>
      <c r="E92" s="675">
        <v>471.76847669713356</v>
      </c>
      <c r="F92" s="675">
        <v>177.64885717501963</v>
      </c>
      <c r="G92" s="667">
        <v>0.45862554283618984</v>
      </c>
      <c r="H92" s="675">
        <v>372.60874590905826</v>
      </c>
      <c r="I92" s="667">
        <v>0</v>
      </c>
      <c r="J92" s="675">
        <v>1043.3129387318213</v>
      </c>
      <c r="K92" s="675">
        <v>139.46802163523503</v>
      </c>
      <c r="L92" s="675">
        <v>212.77508065677134</v>
      </c>
      <c r="M92" s="675">
        <v>28.736127787765195</v>
      </c>
      <c r="N92" s="675">
        <v>2.5439494903240614</v>
      </c>
      <c r="O92" s="675">
        <v>0.14067874977080724</v>
      </c>
      <c r="P92" s="675">
        <v>51.691578550496644</v>
      </c>
      <c r="Q92" s="675">
        <v>7.2966333603269149</v>
      </c>
      <c r="R92" s="675">
        <v>-40.000047900912989</v>
      </c>
      <c r="S92" s="675">
        <v>0</v>
      </c>
      <c r="T92" s="675">
        <v>0</v>
      </c>
      <c r="U92" s="675">
        <v>2523.8805976028971</v>
      </c>
    </row>
    <row r="93" spans="3:21" ht="13">
      <c r="C93" s="668"/>
      <c r="D93" s="676">
        <v>0</v>
      </c>
      <c r="E93" s="676">
        <v>0</v>
      </c>
      <c r="F93" s="676">
        <v>0</v>
      </c>
      <c r="G93" s="669">
        <v>0</v>
      </c>
      <c r="H93" s="676">
        <v>0</v>
      </c>
      <c r="I93" s="669">
        <v>0</v>
      </c>
      <c r="J93" s="676">
        <v>0</v>
      </c>
      <c r="K93" s="676">
        <v>0</v>
      </c>
      <c r="L93" s="676">
        <v>0</v>
      </c>
      <c r="M93" s="676">
        <v>0</v>
      </c>
      <c r="N93" s="676">
        <v>0</v>
      </c>
      <c r="O93" s="676">
        <v>0</v>
      </c>
      <c r="P93" s="676">
        <v>0</v>
      </c>
      <c r="Q93" s="676">
        <v>0</v>
      </c>
      <c r="R93" s="676">
        <v>0</v>
      </c>
      <c r="S93" s="676">
        <v>0</v>
      </c>
      <c r="T93" s="676">
        <v>0</v>
      </c>
      <c r="U93" s="676">
        <v>0</v>
      </c>
    </row>
    <row r="94" spans="3:21" ht="13">
      <c r="C94" s="670" t="s">
        <v>67</v>
      </c>
      <c r="D94" s="663">
        <v>0</v>
      </c>
      <c r="E94" s="663">
        <v>4.3623690669338813E-2</v>
      </c>
      <c r="F94" s="663">
        <v>-0.43976848620269193</v>
      </c>
      <c r="G94" s="663">
        <v>0</v>
      </c>
      <c r="H94" s="663">
        <v>0</v>
      </c>
      <c r="I94" s="663">
        <v>0</v>
      </c>
      <c r="J94" s="663">
        <v>0</v>
      </c>
      <c r="K94" s="663">
        <v>0</v>
      </c>
      <c r="L94" s="663">
        <v>0</v>
      </c>
      <c r="M94" s="663">
        <v>0</v>
      </c>
      <c r="N94" s="663">
        <v>0</v>
      </c>
      <c r="O94" s="663">
        <v>0</v>
      </c>
      <c r="P94" s="663">
        <v>0</v>
      </c>
      <c r="Q94" s="663">
        <v>0</v>
      </c>
      <c r="R94" s="663">
        <v>0.19176325930063415</v>
      </c>
      <c r="S94" s="663">
        <v>0</v>
      </c>
      <c r="T94" s="663">
        <v>0</v>
      </c>
      <c r="U94" s="671">
        <v>-0.20438153623271899</v>
      </c>
    </row>
    <row r="95" spans="3:21" ht="13">
      <c r="C95" s="670" t="s">
        <v>350</v>
      </c>
      <c r="D95" s="663">
        <v>6.8358128316613413</v>
      </c>
      <c r="E95" s="663">
        <v>0</v>
      </c>
      <c r="F95" s="663">
        <v>8.9139035435547633</v>
      </c>
      <c r="G95" s="663">
        <v>0</v>
      </c>
      <c r="H95" s="663">
        <v>46.194007450119869</v>
      </c>
      <c r="I95" s="663">
        <v>0</v>
      </c>
      <c r="J95" s="663">
        <v>1043.3129387318213</v>
      </c>
      <c r="K95" s="663">
        <v>139.46802163523503</v>
      </c>
      <c r="L95" s="663">
        <v>35.526476644989941</v>
      </c>
      <c r="M95" s="663">
        <v>11.593699313859108</v>
      </c>
      <c r="N95" s="663">
        <v>3.7008210788065874</v>
      </c>
      <c r="O95" s="663">
        <v>5.9385856639344583</v>
      </c>
      <c r="P95" s="663">
        <v>0</v>
      </c>
      <c r="Q95" s="663">
        <v>0.58332819125492874</v>
      </c>
      <c r="R95" s="663">
        <v>-531.7873108565858</v>
      </c>
      <c r="S95" s="663">
        <v>0</v>
      </c>
      <c r="T95" s="663">
        <v>0</v>
      </c>
      <c r="U95" s="671">
        <v>770.28028422865157</v>
      </c>
    </row>
    <row r="96" spans="3:21" ht="13">
      <c r="C96" s="670" t="s">
        <v>351</v>
      </c>
      <c r="D96" s="663">
        <v>0.51386910718324508</v>
      </c>
      <c r="E96" s="663">
        <v>0</v>
      </c>
      <c r="F96" s="663">
        <v>7.6404494382022473E-2</v>
      </c>
      <c r="G96" s="663">
        <v>0</v>
      </c>
      <c r="H96" s="663">
        <v>18.437939298309416</v>
      </c>
      <c r="I96" s="663">
        <v>0</v>
      </c>
      <c r="J96" s="663">
        <v>0</v>
      </c>
      <c r="K96" s="663">
        <v>0</v>
      </c>
      <c r="L96" s="663">
        <v>21.79805888469869</v>
      </c>
      <c r="M96" s="663">
        <v>14.969732959042592</v>
      </c>
      <c r="N96" s="663">
        <v>0</v>
      </c>
      <c r="O96" s="663">
        <v>3.0216984697001137</v>
      </c>
      <c r="P96" s="663">
        <v>0</v>
      </c>
      <c r="Q96" s="663">
        <v>4.3023879699163166</v>
      </c>
      <c r="R96" s="663">
        <v>0</v>
      </c>
      <c r="S96" s="663">
        <v>-56.500241406713869</v>
      </c>
      <c r="T96" s="663">
        <v>0</v>
      </c>
      <c r="U96" s="671">
        <v>6.61984977651852</v>
      </c>
    </row>
    <row r="97" spans="3:21" ht="13">
      <c r="C97" s="670" t="s">
        <v>352</v>
      </c>
      <c r="D97" s="663">
        <v>0</v>
      </c>
      <c r="E97" s="663">
        <v>0</v>
      </c>
      <c r="F97" s="663">
        <v>0</v>
      </c>
      <c r="G97" s="663">
        <v>0</v>
      </c>
      <c r="H97" s="663">
        <v>0</v>
      </c>
      <c r="I97" s="663">
        <v>0</v>
      </c>
      <c r="J97" s="663">
        <v>0</v>
      </c>
      <c r="K97" s="663">
        <v>0</v>
      </c>
      <c r="L97" s="663">
        <v>19.833176023115492</v>
      </c>
      <c r="M97" s="663">
        <v>0</v>
      </c>
      <c r="N97" s="663">
        <v>0</v>
      </c>
      <c r="O97" s="663">
        <v>-18.442786110782258</v>
      </c>
      <c r="P97" s="663">
        <v>0</v>
      </c>
      <c r="Q97" s="663">
        <v>0</v>
      </c>
      <c r="R97" s="663">
        <v>0</v>
      </c>
      <c r="S97" s="663">
        <v>0</v>
      </c>
      <c r="T97" s="663">
        <v>0</v>
      </c>
      <c r="U97" s="671">
        <v>1.3903899123332337</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488.94348991796431</v>
      </c>
      <c r="F99" s="663">
        <v>-484.0817118369651</v>
      </c>
      <c r="G99" s="663">
        <v>0</v>
      </c>
      <c r="H99" s="663">
        <v>0</v>
      </c>
      <c r="I99" s="663">
        <v>0</v>
      </c>
      <c r="J99" s="663">
        <v>0</v>
      </c>
      <c r="K99" s="663">
        <v>0</v>
      </c>
      <c r="L99" s="663">
        <v>0</v>
      </c>
      <c r="M99" s="663">
        <v>0</v>
      </c>
      <c r="N99" s="663">
        <v>0</v>
      </c>
      <c r="O99" s="663">
        <v>0</v>
      </c>
      <c r="P99" s="663">
        <v>0</v>
      </c>
      <c r="Q99" s="663">
        <v>0</v>
      </c>
      <c r="R99" s="663">
        <v>0</v>
      </c>
      <c r="S99" s="663">
        <v>0</v>
      </c>
      <c r="T99" s="663">
        <v>0</v>
      </c>
      <c r="U99" s="671">
        <v>4.8617780809992377</v>
      </c>
    </row>
    <row r="100" spans="3:21" ht="13">
      <c r="C100" s="670" t="s">
        <v>354</v>
      </c>
      <c r="D100" s="663">
        <v>0</v>
      </c>
      <c r="E100" s="663">
        <v>0</v>
      </c>
      <c r="F100" s="663">
        <v>0</v>
      </c>
      <c r="G100" s="663">
        <v>0</v>
      </c>
      <c r="H100" s="663">
        <v>0</v>
      </c>
      <c r="I100" s="663">
        <v>0</v>
      </c>
      <c r="J100" s="663">
        <v>0</v>
      </c>
      <c r="K100" s="663">
        <v>0</v>
      </c>
      <c r="L100" s="663">
        <v>46.704417237442101</v>
      </c>
      <c r="M100" s="663">
        <v>0</v>
      </c>
      <c r="N100" s="663">
        <v>-46.704417237442101</v>
      </c>
      <c r="O100" s="663">
        <v>0</v>
      </c>
      <c r="P100" s="663">
        <v>0</v>
      </c>
      <c r="Q100" s="663">
        <v>0</v>
      </c>
      <c r="R100" s="663">
        <v>0</v>
      </c>
      <c r="S100" s="663">
        <v>0</v>
      </c>
      <c r="T100" s="663">
        <v>0</v>
      </c>
      <c r="U100" s="671">
        <v>0</v>
      </c>
    </row>
    <row r="101" spans="3:21" ht="13">
      <c r="C101" s="670" t="s">
        <v>355</v>
      </c>
      <c r="D101" s="663">
        <v>0</v>
      </c>
      <c r="E101" s="663">
        <v>0</v>
      </c>
      <c r="F101" s="663">
        <v>0</v>
      </c>
      <c r="G101" s="663">
        <v>-4.2859805384075952E-2</v>
      </c>
      <c r="H101" s="663">
        <v>0</v>
      </c>
      <c r="I101" s="663">
        <v>0</v>
      </c>
      <c r="J101" s="663">
        <v>0</v>
      </c>
      <c r="K101" s="663">
        <v>0</v>
      </c>
      <c r="L101" s="663">
        <v>0</v>
      </c>
      <c r="M101" s="663">
        <v>0</v>
      </c>
      <c r="N101" s="663">
        <v>0</v>
      </c>
      <c r="O101" s="663">
        <v>0</v>
      </c>
      <c r="P101" s="663">
        <v>0</v>
      </c>
      <c r="Q101" s="663">
        <v>0</v>
      </c>
      <c r="R101" s="663">
        <v>0</v>
      </c>
      <c r="S101" s="663">
        <v>0</v>
      </c>
      <c r="T101" s="663">
        <v>5.969332226194423E-2</v>
      </c>
      <c r="U101" s="671">
        <v>1.6833516877868278E-2</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3.2419807733491699</v>
      </c>
      <c r="S102" s="663">
        <v>0</v>
      </c>
      <c r="T102" s="663">
        <v>-2.1072875026769604</v>
      </c>
      <c r="U102" s="671">
        <v>1.1346932706722095</v>
      </c>
    </row>
    <row r="103" spans="3:21" ht="13">
      <c r="C103" s="670" t="s">
        <v>356</v>
      </c>
      <c r="D103" s="663">
        <v>29.6567859375</v>
      </c>
      <c r="E103" s="663">
        <v>-17.218594005820741</v>
      </c>
      <c r="F103" s="663">
        <v>22.383724171942411</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34.821916103621675</v>
      </c>
    </row>
    <row r="104" spans="3:21" ht="13">
      <c r="C104" s="670" t="s">
        <v>75</v>
      </c>
      <c r="D104" s="663">
        <v>11.533194531250002</v>
      </c>
      <c r="E104" s="663">
        <v>0</v>
      </c>
      <c r="F104" s="663">
        <v>18.315545038272333</v>
      </c>
      <c r="G104" s="663">
        <v>0</v>
      </c>
      <c r="H104" s="663">
        <v>5.0521769918695103</v>
      </c>
      <c r="I104" s="663">
        <v>0</v>
      </c>
      <c r="J104" s="663">
        <v>0</v>
      </c>
      <c r="K104" s="663">
        <v>0</v>
      </c>
      <c r="L104" s="663">
        <v>0</v>
      </c>
      <c r="M104" s="663">
        <v>0</v>
      </c>
      <c r="N104" s="663">
        <v>0</v>
      </c>
      <c r="O104" s="663">
        <v>0.15840158885399455</v>
      </c>
      <c r="P104" s="663">
        <v>0</v>
      </c>
      <c r="Q104" s="663">
        <v>0</v>
      </c>
      <c r="R104" s="663">
        <v>27.195483907152681</v>
      </c>
      <c r="S104" s="663">
        <v>0</v>
      </c>
      <c r="T104" s="663">
        <v>0</v>
      </c>
      <c r="U104" s="671">
        <v>62.254802057398521</v>
      </c>
    </row>
    <row r="105" spans="3:21" ht="13">
      <c r="C105" s="670" t="s">
        <v>76</v>
      </c>
      <c r="D105" s="663">
        <v>0</v>
      </c>
      <c r="E105" s="663">
        <v>0</v>
      </c>
      <c r="F105" s="663">
        <v>0</v>
      </c>
      <c r="G105" s="663">
        <v>0</v>
      </c>
      <c r="H105" s="663">
        <v>4.3636192718547369</v>
      </c>
      <c r="I105" s="663">
        <v>0</v>
      </c>
      <c r="J105" s="663">
        <v>0</v>
      </c>
      <c r="K105" s="663">
        <v>0</v>
      </c>
      <c r="L105" s="663">
        <v>0</v>
      </c>
      <c r="M105" s="663">
        <v>0</v>
      </c>
      <c r="N105" s="663">
        <v>0</v>
      </c>
      <c r="O105" s="663">
        <v>0.13681314548719473</v>
      </c>
      <c r="P105" s="663">
        <v>0</v>
      </c>
      <c r="Q105" s="663">
        <v>0</v>
      </c>
      <c r="R105" s="663">
        <v>37.672439817680754</v>
      </c>
      <c r="S105" s="663">
        <v>4.3810396487584971</v>
      </c>
      <c r="T105" s="663">
        <v>0</v>
      </c>
      <c r="U105" s="671">
        <v>46.553911883781183</v>
      </c>
    </row>
    <row r="106" spans="3:21" ht="13">
      <c r="C106" s="666" t="s">
        <v>77</v>
      </c>
      <c r="D106" s="675">
        <v>48.539662407594591</v>
      </c>
      <c r="E106" s="675">
        <v>471.76851960281289</v>
      </c>
      <c r="F106" s="675">
        <v>-434.83190307501627</v>
      </c>
      <c r="G106" s="667">
        <v>-4.2859805384075952E-2</v>
      </c>
      <c r="H106" s="675">
        <v>74.047743012153532</v>
      </c>
      <c r="I106" s="667">
        <v>0</v>
      </c>
      <c r="J106" s="675">
        <v>1043.3129387318213</v>
      </c>
      <c r="K106" s="675">
        <v>139.46802163523503</v>
      </c>
      <c r="L106" s="675">
        <v>123.86212879024622</v>
      </c>
      <c r="M106" s="675">
        <v>26.5634322729017</v>
      </c>
      <c r="N106" s="675">
        <v>-43.003596158635517</v>
      </c>
      <c r="O106" s="675">
        <v>-9.187287242806498</v>
      </c>
      <c r="P106" s="675">
        <v>0</v>
      </c>
      <c r="Q106" s="675">
        <v>4.8857161611712456</v>
      </c>
      <c r="R106" s="675">
        <v>-463.48564309910262</v>
      </c>
      <c r="S106" s="675">
        <v>-52.119201757955373</v>
      </c>
      <c r="T106" s="675">
        <v>-2.0475941804150164</v>
      </c>
      <c r="U106" s="675">
        <v>927.7300772946212</v>
      </c>
    </row>
    <row r="107" spans="3:21" ht="13">
      <c r="C107" s="668"/>
      <c r="D107" s="676">
        <v>0</v>
      </c>
      <c r="E107" s="676">
        <v>0</v>
      </c>
      <c r="F107" s="676">
        <v>0</v>
      </c>
      <c r="G107" s="669">
        <v>0</v>
      </c>
      <c r="H107" s="676">
        <v>0</v>
      </c>
      <c r="I107" s="669">
        <v>0</v>
      </c>
      <c r="J107" s="676">
        <v>0</v>
      </c>
      <c r="K107" s="676">
        <v>0</v>
      </c>
      <c r="L107" s="676">
        <v>0</v>
      </c>
      <c r="M107" s="676">
        <v>0</v>
      </c>
      <c r="N107" s="676">
        <v>0</v>
      </c>
      <c r="O107" s="676">
        <v>0</v>
      </c>
      <c r="P107" s="676">
        <v>0</v>
      </c>
      <c r="Q107" s="676">
        <v>0</v>
      </c>
      <c r="R107" s="676">
        <v>0</v>
      </c>
      <c r="S107" s="676">
        <v>0</v>
      </c>
      <c r="T107" s="676">
        <v>0</v>
      </c>
      <c r="U107" s="676">
        <v>0</v>
      </c>
    </row>
    <row r="108" spans="3:21" ht="13">
      <c r="C108" s="670" t="s">
        <v>78</v>
      </c>
      <c r="D108" s="663">
        <v>6.8912688096571859</v>
      </c>
      <c r="E108" s="663">
        <v>0</v>
      </c>
      <c r="F108" s="663">
        <v>23.50730673118812</v>
      </c>
      <c r="G108" s="663">
        <v>0</v>
      </c>
      <c r="H108" s="663">
        <v>103.6322985075271</v>
      </c>
      <c r="I108" s="663">
        <v>0</v>
      </c>
      <c r="J108" s="663">
        <v>0</v>
      </c>
      <c r="K108" s="663">
        <v>0</v>
      </c>
      <c r="L108" s="663">
        <v>17.934528794531492</v>
      </c>
      <c r="M108" s="663">
        <v>2.162623383313536</v>
      </c>
      <c r="N108" s="663">
        <v>0.76389416015625011</v>
      </c>
      <c r="O108" s="663">
        <v>3.2712996519108821</v>
      </c>
      <c r="P108" s="663">
        <v>1.2785699462890625</v>
      </c>
      <c r="Q108" s="663">
        <v>4.5058902280570805E-4</v>
      </c>
      <c r="R108" s="663">
        <v>115.58056111877757</v>
      </c>
      <c r="S108" s="663">
        <v>17.85711360509158</v>
      </c>
      <c r="T108" s="663">
        <v>0.15803289794921874</v>
      </c>
      <c r="U108" s="671">
        <v>293.03794819541474</v>
      </c>
    </row>
    <row r="109" spans="3:21" ht="13">
      <c r="C109" s="670" t="s">
        <v>79</v>
      </c>
      <c r="D109" s="663">
        <v>0</v>
      </c>
      <c r="E109" s="663">
        <v>0</v>
      </c>
      <c r="F109" s="663">
        <v>390.39286283251352</v>
      </c>
      <c r="G109" s="663">
        <v>0</v>
      </c>
      <c r="H109" s="663">
        <v>3.1281168846544798</v>
      </c>
      <c r="I109" s="663">
        <v>0</v>
      </c>
      <c r="J109" s="663">
        <v>0</v>
      </c>
      <c r="K109" s="663">
        <v>0</v>
      </c>
      <c r="L109" s="663">
        <v>0</v>
      </c>
      <c r="M109" s="663">
        <v>0</v>
      </c>
      <c r="N109" s="663">
        <v>38.392031856976942</v>
      </c>
      <c r="O109" s="663">
        <v>9.8076271961114056E-2</v>
      </c>
      <c r="P109" s="663">
        <v>0</v>
      </c>
      <c r="Q109" s="663">
        <v>0</v>
      </c>
      <c r="R109" s="663">
        <v>12.839790522362275</v>
      </c>
      <c r="S109" s="663">
        <v>0</v>
      </c>
      <c r="T109" s="663">
        <v>1.404547929789267E-5</v>
      </c>
      <c r="U109" s="671">
        <v>444.85089241394763</v>
      </c>
    </row>
    <row r="110" spans="3:21" ht="13">
      <c r="C110" s="670" t="s">
        <v>80</v>
      </c>
      <c r="D110" s="663">
        <v>0</v>
      </c>
      <c r="E110" s="663">
        <v>0</v>
      </c>
      <c r="F110" s="663">
        <v>18.209722356615</v>
      </c>
      <c r="G110" s="663">
        <v>0</v>
      </c>
      <c r="H110" s="663">
        <v>121.89469525503438</v>
      </c>
      <c r="I110" s="663">
        <v>0</v>
      </c>
      <c r="J110" s="663">
        <v>0</v>
      </c>
      <c r="K110" s="663">
        <v>0</v>
      </c>
      <c r="L110" s="663">
        <v>69.673112957297619</v>
      </c>
      <c r="M110" s="663">
        <v>0</v>
      </c>
      <c r="N110" s="663">
        <v>0</v>
      </c>
      <c r="O110" s="663">
        <v>3.8217808743327613</v>
      </c>
      <c r="P110" s="663">
        <v>41.524804077007047</v>
      </c>
      <c r="Q110" s="663">
        <v>1.3186709338752973</v>
      </c>
      <c r="R110" s="663">
        <v>166.70645822540385</v>
      </c>
      <c r="S110" s="663">
        <v>23.041532520535192</v>
      </c>
      <c r="T110" s="663">
        <v>0</v>
      </c>
      <c r="U110" s="671">
        <v>446.19077720010119</v>
      </c>
    </row>
    <row r="111" spans="3:21" ht="13">
      <c r="C111" s="670" t="s">
        <v>81</v>
      </c>
      <c r="D111" s="663">
        <v>0</v>
      </c>
      <c r="E111" s="663">
        <v>0</v>
      </c>
      <c r="F111" s="663">
        <v>22.047417711617395</v>
      </c>
      <c r="G111" s="663">
        <v>0</v>
      </c>
      <c r="H111" s="663">
        <v>55.474573851605541</v>
      </c>
      <c r="I111" s="663">
        <v>0</v>
      </c>
      <c r="J111" s="663">
        <v>0</v>
      </c>
      <c r="K111" s="663">
        <v>0</v>
      </c>
      <c r="L111" s="663">
        <v>0.2600018184764662</v>
      </c>
      <c r="M111" s="663">
        <v>1.0072131549959035E-2</v>
      </c>
      <c r="N111" s="663">
        <v>0</v>
      </c>
      <c r="O111" s="663">
        <v>1.7393018204298767</v>
      </c>
      <c r="P111" s="663">
        <v>8.7382045272005371</v>
      </c>
      <c r="Q111" s="663">
        <v>0.83694366645922857</v>
      </c>
      <c r="R111" s="663">
        <v>120.24688741623336</v>
      </c>
      <c r="S111" s="663">
        <v>11.220555632328594</v>
      </c>
      <c r="T111" s="663">
        <v>0</v>
      </c>
      <c r="U111" s="671">
        <v>220.57395857590095</v>
      </c>
    </row>
    <row r="112" spans="3:21" ht="13">
      <c r="C112" s="670" t="s">
        <v>82</v>
      </c>
      <c r="D112" s="663">
        <v>0</v>
      </c>
      <c r="E112" s="663">
        <v>0</v>
      </c>
      <c r="F112" s="663">
        <v>32.350878858910924</v>
      </c>
      <c r="G112" s="663">
        <v>0</v>
      </c>
      <c r="H112" s="663">
        <v>2.5949331244793301</v>
      </c>
      <c r="I112" s="663">
        <v>0</v>
      </c>
      <c r="J112" s="663">
        <v>0</v>
      </c>
      <c r="K112" s="663">
        <v>0</v>
      </c>
      <c r="L112" s="663">
        <v>1.0052852655560149</v>
      </c>
      <c r="M112" s="663">
        <v>0</v>
      </c>
      <c r="N112" s="663">
        <v>2.4838975032538144</v>
      </c>
      <c r="O112" s="663">
        <v>8.1359289381365135E-2</v>
      </c>
      <c r="P112" s="663">
        <v>0.15</v>
      </c>
      <c r="Q112" s="663">
        <v>0.25485200979833694</v>
      </c>
      <c r="R112" s="663">
        <v>8.1118979154125785</v>
      </c>
      <c r="S112" s="663">
        <v>0</v>
      </c>
      <c r="T112" s="663">
        <v>5.2098714141513347E-2</v>
      </c>
      <c r="U112" s="671">
        <v>47.085202680933875</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0</v>
      </c>
      <c r="S113" s="663">
        <v>0</v>
      </c>
      <c r="T113" s="663">
        <v>0</v>
      </c>
      <c r="U113" s="671">
        <v>0</v>
      </c>
    </row>
    <row r="114" spans="3:21" ht="13">
      <c r="C114" s="666" t="s">
        <v>83</v>
      </c>
      <c r="D114" s="675">
        <v>6.8912688096571859</v>
      </c>
      <c r="E114" s="675">
        <v>0</v>
      </c>
      <c r="F114" s="675">
        <v>486.50818849084493</v>
      </c>
      <c r="G114" s="667">
        <v>0</v>
      </c>
      <c r="H114" s="675">
        <v>286.72461762330084</v>
      </c>
      <c r="I114" s="667">
        <v>0</v>
      </c>
      <c r="J114" s="675">
        <v>0</v>
      </c>
      <c r="K114" s="675">
        <v>0</v>
      </c>
      <c r="L114" s="675">
        <v>88.872928835861586</v>
      </c>
      <c r="M114" s="675">
        <v>2.172695514863495</v>
      </c>
      <c r="N114" s="675">
        <v>41.639823520387004</v>
      </c>
      <c r="O114" s="675">
        <v>9.0118179080160008</v>
      </c>
      <c r="P114" s="675">
        <v>51.691578550496644</v>
      </c>
      <c r="Q114" s="675">
        <v>2.4109171991556684</v>
      </c>
      <c r="R114" s="675">
        <v>423.48559519818957</v>
      </c>
      <c r="S114" s="675">
        <v>52.119201757955373</v>
      </c>
      <c r="T114" s="675">
        <v>0.21014565757002998</v>
      </c>
      <c r="U114" s="675">
        <v>1451.7387790662985</v>
      </c>
    </row>
    <row r="115" spans="3:21" ht="13">
      <c r="C115" s="662" t="s">
        <v>84</v>
      </c>
      <c r="D115" s="663">
        <v>0</v>
      </c>
      <c r="E115" s="663">
        <v>0</v>
      </c>
      <c r="F115" s="663">
        <v>125.97254812972785</v>
      </c>
      <c r="G115" s="663">
        <v>0.5014853482202658</v>
      </c>
      <c r="H115" s="663">
        <v>11.836385273603906</v>
      </c>
      <c r="I115" s="663">
        <v>0</v>
      </c>
      <c r="J115" s="663">
        <v>0</v>
      </c>
      <c r="K115" s="663">
        <v>0</v>
      </c>
      <c r="L115" s="663">
        <v>4.0023030663522148E-2</v>
      </c>
      <c r="M115" s="663">
        <v>0</v>
      </c>
      <c r="N115" s="663">
        <v>3.907722128572543</v>
      </c>
      <c r="O115" s="663">
        <v>0.3161480845613035</v>
      </c>
      <c r="P115" s="663">
        <v>0</v>
      </c>
      <c r="Q115" s="663">
        <v>0</v>
      </c>
      <c r="R115" s="663">
        <v>0</v>
      </c>
      <c r="S115" s="663">
        <v>0</v>
      </c>
      <c r="T115" s="663">
        <v>1.8374485228449866</v>
      </c>
      <c r="U115" s="671">
        <v>144.41176051819437</v>
      </c>
    </row>
    <row r="116" spans="3:21" ht="13">
      <c r="C116" s="666" t="s">
        <v>85</v>
      </c>
      <c r="D116" s="675">
        <v>6.8912688096571859</v>
      </c>
      <c r="E116" s="675">
        <v>0</v>
      </c>
      <c r="F116" s="675">
        <v>612.48073662057277</v>
      </c>
      <c r="G116" s="667">
        <v>0.5014853482202658</v>
      </c>
      <c r="H116" s="675">
        <v>298.56100289690477</v>
      </c>
      <c r="I116" s="667">
        <v>0</v>
      </c>
      <c r="J116" s="675">
        <v>0</v>
      </c>
      <c r="K116" s="675">
        <v>0</v>
      </c>
      <c r="L116" s="675">
        <v>88.912951866525106</v>
      </c>
      <c r="M116" s="675">
        <v>2.172695514863495</v>
      </c>
      <c r="N116" s="675">
        <v>45.547545648959549</v>
      </c>
      <c r="O116" s="675">
        <v>9.3279659925773046</v>
      </c>
      <c r="P116" s="675">
        <v>51.691578550496644</v>
      </c>
      <c r="Q116" s="675">
        <v>2.4109171991556684</v>
      </c>
      <c r="R116" s="675">
        <v>423.48559519818957</v>
      </c>
      <c r="S116" s="675">
        <v>52.119201757955373</v>
      </c>
      <c r="T116" s="675">
        <v>2.0475941804150164</v>
      </c>
      <c r="U116" s="675">
        <v>1596.1505395844929</v>
      </c>
    </row>
    <row r="117" spans="3:21">
      <c r="C117" s="654"/>
      <c r="D117" s="672">
        <v>0</v>
      </c>
      <c r="E117" s="672">
        <v>4.2905679322302603E-5</v>
      </c>
      <c r="F117" s="672">
        <v>-2.3629463129282158E-5</v>
      </c>
      <c r="G117" s="672">
        <v>0</v>
      </c>
      <c r="H117" s="672">
        <v>0</v>
      </c>
      <c r="I117" s="672">
        <v>0</v>
      </c>
      <c r="J117" s="672">
        <v>0</v>
      </c>
      <c r="K117" s="672">
        <v>0</v>
      </c>
      <c r="L117" s="672">
        <v>0</v>
      </c>
      <c r="M117" s="672">
        <v>0</v>
      </c>
      <c r="N117" s="672">
        <v>-2.9753977059954195E-14</v>
      </c>
      <c r="O117" s="672">
        <v>-6.106226635438361E-16</v>
      </c>
      <c r="P117" s="672">
        <v>0</v>
      </c>
      <c r="Q117" s="672">
        <v>0</v>
      </c>
      <c r="R117" s="672">
        <v>-5.6843418860808015E-14</v>
      </c>
      <c r="S117" s="672">
        <v>0</v>
      </c>
      <c r="T117" s="672">
        <v>0</v>
      </c>
      <c r="U117" s="672">
        <v>1.9276217244623695E-5</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87</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9.7691999999999997</v>
      </c>
      <c r="F123" s="663">
        <v>0</v>
      </c>
      <c r="G123" s="663">
        <v>0</v>
      </c>
      <c r="H123" s="663">
        <v>0.18608000000000002</v>
      </c>
      <c r="I123" s="663">
        <v>0</v>
      </c>
      <c r="J123" s="664">
        <v>1045.9432149078937</v>
      </c>
      <c r="K123" s="664">
        <v>154.12496669137167</v>
      </c>
      <c r="L123" s="664">
        <v>214.5568610857004</v>
      </c>
      <c r="M123" s="664">
        <v>29.323685862819339</v>
      </c>
      <c r="N123" s="663">
        <v>1.8811575028002774</v>
      </c>
      <c r="O123" s="663">
        <v>0.15242099713737783</v>
      </c>
      <c r="P123" s="664">
        <v>63.09733962798451</v>
      </c>
      <c r="Q123" s="664">
        <v>8.6306065878365068</v>
      </c>
      <c r="R123" s="663">
        <v>0</v>
      </c>
      <c r="S123" s="663">
        <v>0</v>
      </c>
      <c r="T123" s="663">
        <v>0</v>
      </c>
      <c r="U123" s="665">
        <v>1527.6655332635435</v>
      </c>
    </row>
    <row r="124" spans="3:21" ht="13">
      <c r="C124" s="662" t="s">
        <v>60</v>
      </c>
      <c r="D124" s="663">
        <v>41.794821737140659</v>
      </c>
      <c r="E124" s="663">
        <v>489.64185318884552</v>
      </c>
      <c r="F124" s="663">
        <v>215.33790751920756</v>
      </c>
      <c r="G124" s="663">
        <v>0.69497003447287165</v>
      </c>
      <c r="H124" s="663">
        <v>334.03152596143553</v>
      </c>
      <c r="I124" s="663">
        <v>0</v>
      </c>
      <c r="J124" s="663">
        <v>0</v>
      </c>
      <c r="K124" s="663">
        <v>0</v>
      </c>
      <c r="L124" s="663">
        <v>2.5596276020988169</v>
      </c>
      <c r="M124" s="663">
        <v>0</v>
      </c>
      <c r="N124" s="663">
        <v>3.749161135627308</v>
      </c>
      <c r="O124" s="663">
        <v>0</v>
      </c>
      <c r="P124" s="663">
        <v>0</v>
      </c>
      <c r="Q124" s="663">
        <v>0</v>
      </c>
      <c r="R124" s="663">
        <v>0</v>
      </c>
      <c r="S124" s="663">
        <v>0</v>
      </c>
      <c r="T124" s="663">
        <v>0</v>
      </c>
      <c r="U124" s="665">
        <v>1087.8098671788284</v>
      </c>
    </row>
    <row r="125" spans="3:21" ht="13">
      <c r="C125" s="662" t="s">
        <v>61</v>
      </c>
      <c r="D125" s="663">
        <v>0</v>
      </c>
      <c r="E125" s="663">
        <v>0</v>
      </c>
      <c r="F125" s="663">
        <v>-8.3753888093619933E-3</v>
      </c>
      <c r="G125" s="663">
        <v>0</v>
      </c>
      <c r="H125" s="663">
        <v>0</v>
      </c>
      <c r="I125" s="663">
        <v>0</v>
      </c>
      <c r="J125" s="663">
        <v>0</v>
      </c>
      <c r="K125" s="663">
        <v>0</v>
      </c>
      <c r="L125" s="663">
        <v>0</v>
      </c>
      <c r="M125" s="663">
        <v>0</v>
      </c>
      <c r="N125" s="663">
        <v>0</v>
      </c>
      <c r="O125" s="663">
        <v>0</v>
      </c>
      <c r="P125" s="663">
        <v>0</v>
      </c>
      <c r="Q125" s="663">
        <v>0</v>
      </c>
      <c r="R125" s="663">
        <v>-40.000032758951647</v>
      </c>
      <c r="S125" s="663">
        <v>0</v>
      </c>
      <c r="T125" s="663">
        <v>0</v>
      </c>
      <c r="U125" s="665">
        <v>-40.00840814776101</v>
      </c>
    </row>
    <row r="126" spans="3:21" ht="13">
      <c r="C126" s="662" t="s">
        <v>62</v>
      </c>
      <c r="D126" s="663">
        <v>0</v>
      </c>
      <c r="E126" s="663">
        <v>0</v>
      </c>
      <c r="F126" s="663">
        <v>-17.986125581751292</v>
      </c>
      <c r="G126" s="663">
        <v>0</v>
      </c>
      <c r="H126" s="663">
        <v>-0.52048534400174162</v>
      </c>
      <c r="I126" s="663">
        <v>0</v>
      </c>
      <c r="J126" s="663">
        <v>0</v>
      </c>
      <c r="K126" s="663">
        <v>0</v>
      </c>
      <c r="L126" s="663">
        <v>0</v>
      </c>
      <c r="M126" s="663">
        <v>0</v>
      </c>
      <c r="N126" s="663">
        <v>-0.36525287298367837</v>
      </c>
      <c r="O126" s="663">
        <v>-2.7393965473775879E-2</v>
      </c>
      <c r="P126" s="663">
        <v>0</v>
      </c>
      <c r="Q126" s="663">
        <v>0</v>
      </c>
      <c r="R126" s="663">
        <v>0</v>
      </c>
      <c r="S126" s="663">
        <v>0</v>
      </c>
      <c r="T126" s="663">
        <v>0</v>
      </c>
      <c r="U126" s="665">
        <v>-18.899257764210489</v>
      </c>
    </row>
    <row r="127" spans="3:21" ht="13">
      <c r="C127" s="662" t="s">
        <v>63</v>
      </c>
      <c r="D127" s="663">
        <v>0</v>
      </c>
      <c r="E127" s="663">
        <v>0</v>
      </c>
      <c r="F127" s="663">
        <v>-76.912420126613313</v>
      </c>
      <c r="G127" s="663">
        <v>-3.9288154935402962E-2</v>
      </c>
      <c r="H127" s="663">
        <v>0</v>
      </c>
      <c r="I127" s="663">
        <v>0</v>
      </c>
      <c r="J127" s="663">
        <v>0</v>
      </c>
      <c r="K127" s="663">
        <v>0</v>
      </c>
      <c r="L127" s="663">
        <v>0</v>
      </c>
      <c r="M127" s="663">
        <v>0</v>
      </c>
      <c r="N127" s="663">
        <v>-1.6507409080624253</v>
      </c>
      <c r="O127" s="663">
        <v>0</v>
      </c>
      <c r="P127" s="663">
        <v>0</v>
      </c>
      <c r="Q127" s="663">
        <v>0</v>
      </c>
      <c r="R127" s="663">
        <v>0</v>
      </c>
      <c r="S127" s="663">
        <v>0</v>
      </c>
      <c r="T127" s="663">
        <v>0</v>
      </c>
      <c r="U127" s="665">
        <v>-78.60244918961115</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41.794821737140659</v>
      </c>
      <c r="E129" s="667">
        <v>499.41105318884553</v>
      </c>
      <c r="F129" s="667">
        <v>120.43098642203361</v>
      </c>
      <c r="G129" s="667">
        <v>0.6556818795374687</v>
      </c>
      <c r="H129" s="675">
        <v>333.69712061743382</v>
      </c>
      <c r="I129" s="667">
        <v>0</v>
      </c>
      <c r="J129" s="667">
        <v>1045.9432149078937</v>
      </c>
      <c r="K129" s="667">
        <v>154.12496669137167</v>
      </c>
      <c r="L129" s="667">
        <v>217.11648868779923</v>
      </c>
      <c r="M129" s="667">
        <v>29.323685862819339</v>
      </c>
      <c r="N129" s="667">
        <v>3.6143248573814817</v>
      </c>
      <c r="O129" s="667">
        <v>0.12502703166360196</v>
      </c>
      <c r="P129" s="667">
        <v>63.09733962798451</v>
      </c>
      <c r="Q129" s="667">
        <v>8.6306065878365068</v>
      </c>
      <c r="R129" s="667">
        <v>-40.000032758951647</v>
      </c>
      <c r="S129" s="667">
        <v>0</v>
      </c>
      <c r="T129" s="667">
        <v>0</v>
      </c>
      <c r="U129" s="667">
        <v>2477.9652853407893</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5.0316185079798812</v>
      </c>
      <c r="E132" s="663">
        <v>0</v>
      </c>
      <c r="F132" s="663">
        <v>4.8858805193656316</v>
      </c>
      <c r="G132" s="663">
        <v>0</v>
      </c>
      <c r="H132" s="663">
        <v>36.507135945544903</v>
      </c>
      <c r="I132" s="663">
        <v>0</v>
      </c>
      <c r="J132" s="663">
        <v>1045.9432149078937</v>
      </c>
      <c r="K132" s="663">
        <v>154.12496669137167</v>
      </c>
      <c r="L132" s="663">
        <v>33.862945169490679</v>
      </c>
      <c r="M132" s="663">
        <v>11.203844266499178</v>
      </c>
      <c r="N132" s="663">
        <v>5.5512316182098811</v>
      </c>
      <c r="O132" s="663">
        <v>5.5714952585660997</v>
      </c>
      <c r="P132" s="663">
        <v>0</v>
      </c>
      <c r="Q132" s="663">
        <v>0.31861460974897526</v>
      </c>
      <c r="R132" s="663">
        <v>-540.51911883021592</v>
      </c>
      <c r="S132" s="663">
        <v>0</v>
      </c>
      <c r="T132" s="663">
        <v>0</v>
      </c>
      <c r="U132" s="671">
        <v>762.48182866445461</v>
      </c>
    </row>
    <row r="133" spans="3:21" ht="13">
      <c r="C133" s="670" t="s">
        <v>351</v>
      </c>
      <c r="D133" s="663">
        <v>0.1931818181818182</v>
      </c>
      <c r="E133" s="663">
        <v>0</v>
      </c>
      <c r="F133" s="663">
        <v>0</v>
      </c>
      <c r="G133" s="663">
        <v>0</v>
      </c>
      <c r="H133" s="663">
        <v>18.699747563200777</v>
      </c>
      <c r="I133" s="663">
        <v>0</v>
      </c>
      <c r="J133" s="663">
        <v>0</v>
      </c>
      <c r="K133" s="663">
        <v>0</v>
      </c>
      <c r="L133" s="663">
        <v>26.355115374306525</v>
      </c>
      <c r="M133" s="663">
        <v>15.857266887266444</v>
      </c>
      <c r="N133" s="663">
        <v>0</v>
      </c>
      <c r="O133" s="663">
        <v>3.312429986969792</v>
      </c>
      <c r="P133" s="663">
        <v>0</v>
      </c>
      <c r="Q133" s="663">
        <v>5.6407627218251397</v>
      </c>
      <c r="R133" s="663">
        <v>0</v>
      </c>
      <c r="S133" s="663">
        <v>-63.097173845556554</v>
      </c>
      <c r="T133" s="663">
        <v>0</v>
      </c>
      <c r="U133" s="671">
        <v>6.961330506193935</v>
      </c>
    </row>
    <row r="134" spans="3:21" ht="13">
      <c r="C134" s="670" t="s">
        <v>352</v>
      </c>
      <c r="D134" s="663">
        <v>0</v>
      </c>
      <c r="E134" s="663">
        <v>0</v>
      </c>
      <c r="F134" s="663">
        <v>0</v>
      </c>
      <c r="G134" s="663">
        <v>0</v>
      </c>
      <c r="H134" s="663">
        <v>0</v>
      </c>
      <c r="I134" s="663">
        <v>0</v>
      </c>
      <c r="J134" s="663">
        <v>0</v>
      </c>
      <c r="K134" s="663">
        <v>0</v>
      </c>
      <c r="L134" s="663">
        <v>25.173696816351729</v>
      </c>
      <c r="M134" s="663">
        <v>0</v>
      </c>
      <c r="N134" s="663">
        <v>0</v>
      </c>
      <c r="O134" s="663">
        <v>-23.311148277971796</v>
      </c>
      <c r="P134" s="663">
        <v>0</v>
      </c>
      <c r="Q134" s="663">
        <v>0</v>
      </c>
      <c r="R134" s="663">
        <v>0</v>
      </c>
      <c r="S134" s="663">
        <v>0</v>
      </c>
      <c r="T134" s="663">
        <v>0</v>
      </c>
      <c r="U134" s="671">
        <v>1.8625485383799329</v>
      </c>
    </row>
    <row r="135" spans="3:21" ht="13">
      <c r="C135" s="670" t="s">
        <v>353</v>
      </c>
      <c r="D135" s="663">
        <v>0</v>
      </c>
      <c r="E135" s="663">
        <v>0</v>
      </c>
      <c r="F135" s="663">
        <v>0</v>
      </c>
      <c r="G135" s="663">
        <v>0</v>
      </c>
      <c r="H135" s="663">
        <v>0</v>
      </c>
      <c r="I135" s="663">
        <v>0</v>
      </c>
      <c r="J135" s="663">
        <v>0</v>
      </c>
      <c r="K135" s="663">
        <v>0</v>
      </c>
      <c r="L135" s="663">
        <v>0</v>
      </c>
      <c r="M135" s="663">
        <v>0</v>
      </c>
      <c r="N135" s="663">
        <v>0</v>
      </c>
      <c r="O135" s="663">
        <v>0</v>
      </c>
      <c r="P135" s="663">
        <v>0</v>
      </c>
      <c r="Q135" s="663">
        <v>0</v>
      </c>
      <c r="R135" s="663">
        <v>0</v>
      </c>
      <c r="S135" s="663">
        <v>0</v>
      </c>
      <c r="T135" s="663">
        <v>0</v>
      </c>
      <c r="U135" s="671">
        <v>0</v>
      </c>
    </row>
    <row r="136" spans="3:21" ht="13">
      <c r="C136" s="670" t="s">
        <v>72</v>
      </c>
      <c r="D136" s="663">
        <v>0</v>
      </c>
      <c r="E136" s="663">
        <v>517.60249070017358</v>
      </c>
      <c r="F136" s="663">
        <v>-512.45210450124512</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5.1503861989284561</v>
      </c>
    </row>
    <row r="137" spans="3:21" ht="13">
      <c r="C137" s="670" t="s">
        <v>354</v>
      </c>
      <c r="D137" s="663">
        <v>0</v>
      </c>
      <c r="E137" s="663">
        <v>0</v>
      </c>
      <c r="F137" s="663">
        <v>0</v>
      </c>
      <c r="G137" s="663">
        <v>0</v>
      </c>
      <c r="H137" s="663">
        <v>0</v>
      </c>
      <c r="I137" s="663">
        <v>0</v>
      </c>
      <c r="J137" s="663">
        <v>0</v>
      </c>
      <c r="K137" s="663">
        <v>0</v>
      </c>
      <c r="L137" s="663">
        <v>52.070159971858487</v>
      </c>
      <c r="M137" s="663">
        <v>0</v>
      </c>
      <c r="N137" s="663">
        <v>-52.070159971858487</v>
      </c>
      <c r="O137" s="663">
        <v>0</v>
      </c>
      <c r="P137" s="663">
        <v>0</v>
      </c>
      <c r="Q137" s="663">
        <v>0</v>
      </c>
      <c r="R137" s="663">
        <v>0</v>
      </c>
      <c r="S137" s="663">
        <v>0</v>
      </c>
      <c r="T137" s="663">
        <v>0</v>
      </c>
      <c r="U137" s="671">
        <v>0</v>
      </c>
    </row>
    <row r="138" spans="3:21" ht="13">
      <c r="C138" s="670" t="s">
        <v>355</v>
      </c>
      <c r="D138" s="663">
        <v>0</v>
      </c>
      <c r="E138" s="663">
        <v>0</v>
      </c>
      <c r="F138" s="663">
        <v>0</v>
      </c>
      <c r="G138" s="663">
        <v>-7.143300897345993E-2</v>
      </c>
      <c r="H138" s="663">
        <v>0</v>
      </c>
      <c r="I138" s="663">
        <v>0</v>
      </c>
      <c r="J138" s="663">
        <v>0</v>
      </c>
      <c r="K138" s="663">
        <v>0</v>
      </c>
      <c r="L138" s="663">
        <v>0</v>
      </c>
      <c r="M138" s="663">
        <v>0</v>
      </c>
      <c r="N138" s="663">
        <v>0</v>
      </c>
      <c r="O138" s="663">
        <v>0</v>
      </c>
      <c r="P138" s="663">
        <v>0</v>
      </c>
      <c r="Q138" s="663">
        <v>0</v>
      </c>
      <c r="R138" s="663">
        <v>0</v>
      </c>
      <c r="S138" s="663">
        <v>0</v>
      </c>
      <c r="T138" s="663">
        <v>9.9488870436573729E-2</v>
      </c>
      <c r="U138" s="671">
        <v>2.8055861463113799E-2</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7.9634516882678241</v>
      </c>
      <c r="S139" s="663">
        <v>0</v>
      </c>
      <c r="T139" s="663">
        <v>-5.1762435973740857</v>
      </c>
      <c r="U139" s="671">
        <v>2.7872080908937384</v>
      </c>
    </row>
    <row r="140" spans="3:21" ht="13">
      <c r="C140" s="670" t="s">
        <v>356</v>
      </c>
      <c r="D140" s="663">
        <v>22.178927109375</v>
      </c>
      <c r="E140" s="663">
        <v>-18.191437511328061</v>
      </c>
      <c r="F140" s="663">
        <v>23.666155984350404</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27.653645582397342</v>
      </c>
    </row>
    <row r="141" spans="3:21" ht="13">
      <c r="C141" s="670" t="s">
        <v>75</v>
      </c>
      <c r="D141" s="663">
        <v>8.6251383203125016</v>
      </c>
      <c r="E141" s="663">
        <v>0</v>
      </c>
      <c r="F141" s="663">
        <v>20.228971403017535</v>
      </c>
      <c r="G141" s="663">
        <v>0</v>
      </c>
      <c r="H141" s="663">
        <v>5.487827419085181</v>
      </c>
      <c r="I141" s="663">
        <v>0</v>
      </c>
      <c r="J141" s="663">
        <v>0</v>
      </c>
      <c r="K141" s="663">
        <v>0</v>
      </c>
      <c r="L141" s="663">
        <v>0</v>
      </c>
      <c r="M141" s="663">
        <v>0</v>
      </c>
      <c r="N141" s="663">
        <v>0</v>
      </c>
      <c r="O141" s="663">
        <v>0.28883302205711481</v>
      </c>
      <c r="P141" s="663">
        <v>0</v>
      </c>
      <c r="Q141" s="663">
        <v>0</v>
      </c>
      <c r="R141" s="663">
        <v>26.979234587968005</v>
      </c>
      <c r="S141" s="663">
        <v>0</v>
      </c>
      <c r="T141" s="663">
        <v>0</v>
      </c>
      <c r="U141" s="671">
        <v>61.610004752440332</v>
      </c>
    </row>
    <row r="142" spans="3:21" ht="13">
      <c r="C142" s="670" t="s">
        <v>76</v>
      </c>
      <c r="D142" s="663">
        <v>0</v>
      </c>
      <c r="E142" s="663">
        <v>0</v>
      </c>
      <c r="F142" s="663">
        <v>0</v>
      </c>
      <c r="G142" s="663">
        <v>0</v>
      </c>
      <c r="H142" s="663">
        <v>3.8797902193423388</v>
      </c>
      <c r="I142" s="663">
        <v>0</v>
      </c>
      <c r="J142" s="663">
        <v>0</v>
      </c>
      <c r="K142" s="663">
        <v>0</v>
      </c>
      <c r="L142" s="663">
        <v>0</v>
      </c>
      <c r="M142" s="663">
        <v>0</v>
      </c>
      <c r="N142" s="663">
        <v>0</v>
      </c>
      <c r="O142" s="663">
        <v>0.20419948522854417</v>
      </c>
      <c r="P142" s="663">
        <v>0</v>
      </c>
      <c r="Q142" s="663">
        <v>0</v>
      </c>
      <c r="R142" s="663">
        <v>38.339806710254912</v>
      </c>
      <c r="S142" s="663">
        <v>4.8935866171781743</v>
      </c>
      <c r="T142" s="663">
        <v>0</v>
      </c>
      <c r="U142" s="671">
        <v>47.317383032003967</v>
      </c>
    </row>
    <row r="143" spans="3:21" ht="13">
      <c r="C143" s="666" t="s">
        <v>77</v>
      </c>
      <c r="D143" s="667">
        <v>36.028865755849196</v>
      </c>
      <c r="E143" s="667">
        <v>499.41105318884553</v>
      </c>
      <c r="F143" s="667">
        <v>-463.6710965945116</v>
      </c>
      <c r="G143" s="667">
        <v>-7.143300897345993E-2</v>
      </c>
      <c r="H143" s="675">
        <v>64.574501147173194</v>
      </c>
      <c r="I143" s="667">
        <v>0</v>
      </c>
      <c r="J143" s="667">
        <v>1045.9432149078937</v>
      </c>
      <c r="K143" s="667">
        <v>154.12496669137167</v>
      </c>
      <c r="L143" s="667">
        <v>137.46191733200743</v>
      </c>
      <c r="M143" s="667">
        <v>27.061111153765623</v>
      </c>
      <c r="N143" s="667">
        <v>-46.518928353648604</v>
      </c>
      <c r="O143" s="667">
        <v>-13.934190525150244</v>
      </c>
      <c r="P143" s="667">
        <v>0</v>
      </c>
      <c r="Q143" s="667">
        <v>5.9593773315741148</v>
      </c>
      <c r="R143" s="667">
        <v>-467.23662584372522</v>
      </c>
      <c r="S143" s="667">
        <v>-58.203587228378382</v>
      </c>
      <c r="T143" s="667">
        <v>-5.0767547269375122</v>
      </c>
      <c r="U143" s="667">
        <v>915.85239122715518</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5.7659559812914596</v>
      </c>
      <c r="E145" s="663">
        <v>0</v>
      </c>
      <c r="F145" s="663">
        <v>20.140625662246215</v>
      </c>
      <c r="G145" s="663">
        <v>0</v>
      </c>
      <c r="H145" s="663">
        <v>96.219207826214614</v>
      </c>
      <c r="I145" s="663">
        <v>0</v>
      </c>
      <c r="J145" s="663">
        <v>0</v>
      </c>
      <c r="K145" s="663">
        <v>0</v>
      </c>
      <c r="L145" s="663">
        <v>18.774389983885822</v>
      </c>
      <c r="M145" s="663">
        <v>2.2619594529052449</v>
      </c>
      <c r="N145" s="663">
        <v>0.75934024169921888</v>
      </c>
      <c r="O145" s="663">
        <v>5.087709316109053</v>
      </c>
      <c r="P145" s="663">
        <v>1.955318115234375</v>
      </c>
      <c r="Q145" s="663">
        <v>4.7991131198633983E-4</v>
      </c>
      <c r="R145" s="663">
        <v>121.32585979507003</v>
      </c>
      <c r="S145" s="663">
        <v>18.196197954086337</v>
      </c>
      <c r="T145" s="663">
        <v>0.58506469726562504</v>
      </c>
      <c r="U145" s="671">
        <v>291.07210893731997</v>
      </c>
    </row>
    <row r="146" spans="3:21" ht="13">
      <c r="C146" s="670" t="s">
        <v>79</v>
      </c>
      <c r="D146" s="663">
        <v>0</v>
      </c>
      <c r="E146" s="663">
        <v>0</v>
      </c>
      <c r="F146" s="663">
        <v>390.32849052575307</v>
      </c>
      <c r="G146" s="663">
        <v>0</v>
      </c>
      <c r="H146" s="663">
        <v>3.80545856067917</v>
      </c>
      <c r="I146" s="663">
        <v>0</v>
      </c>
      <c r="J146" s="663">
        <v>0</v>
      </c>
      <c r="K146" s="663">
        <v>0</v>
      </c>
      <c r="L146" s="663">
        <v>0</v>
      </c>
      <c r="M146" s="663">
        <v>0</v>
      </c>
      <c r="N146" s="663">
        <v>41.205948968253495</v>
      </c>
      <c r="O146" s="663">
        <v>0.20028729266732476</v>
      </c>
      <c r="P146" s="663">
        <v>0</v>
      </c>
      <c r="Q146" s="663">
        <v>0</v>
      </c>
      <c r="R146" s="663">
        <v>15.644073294761139</v>
      </c>
      <c r="S146" s="663">
        <v>0</v>
      </c>
      <c r="T146" s="663">
        <v>0</v>
      </c>
      <c r="U146" s="671">
        <v>451.18425864211417</v>
      </c>
    </row>
    <row r="147" spans="3:21" ht="13">
      <c r="C147" s="670" t="s">
        <v>80</v>
      </c>
      <c r="D147" s="663">
        <v>0</v>
      </c>
      <c r="E147" s="663">
        <v>0</v>
      </c>
      <c r="F147" s="663">
        <v>12.124097766198929</v>
      </c>
      <c r="G147" s="663">
        <v>0</v>
      </c>
      <c r="H147" s="663">
        <v>106.96046467685454</v>
      </c>
      <c r="I147" s="663">
        <v>0</v>
      </c>
      <c r="J147" s="663">
        <v>0</v>
      </c>
      <c r="K147" s="663">
        <v>0</v>
      </c>
      <c r="L147" s="663">
        <v>59.150287479050967</v>
      </c>
      <c r="M147" s="663">
        <v>0</v>
      </c>
      <c r="N147" s="663">
        <v>0</v>
      </c>
      <c r="O147" s="663">
        <v>5.6294981408870823</v>
      </c>
      <c r="P147" s="663">
        <v>50.263804232391934</v>
      </c>
      <c r="Q147" s="663">
        <v>1.4653773673998376</v>
      </c>
      <c r="R147" s="663">
        <v>167.05352361968622</v>
      </c>
      <c r="S147" s="663">
        <v>26.615725966388851</v>
      </c>
      <c r="T147" s="663">
        <v>0</v>
      </c>
      <c r="U147" s="671">
        <v>429.26277924885835</v>
      </c>
    </row>
    <row r="148" spans="3:21" ht="13">
      <c r="C148" s="670" t="s">
        <v>81</v>
      </c>
      <c r="D148" s="663">
        <v>0</v>
      </c>
      <c r="E148" s="663">
        <v>0</v>
      </c>
      <c r="F148" s="663">
        <v>17.266825593867647</v>
      </c>
      <c r="G148" s="663">
        <v>0</v>
      </c>
      <c r="H148" s="663">
        <v>47.207135385758583</v>
      </c>
      <c r="I148" s="663">
        <v>0</v>
      </c>
      <c r="J148" s="663">
        <v>0</v>
      </c>
      <c r="K148" s="663">
        <v>0</v>
      </c>
      <c r="L148" s="663">
        <v>0.34286013585192066</v>
      </c>
      <c r="M148" s="663">
        <v>6.152561484679505E-4</v>
      </c>
      <c r="N148" s="663">
        <v>0</v>
      </c>
      <c r="O148" s="663">
        <v>2.4845860729346625</v>
      </c>
      <c r="P148" s="663">
        <v>10.628217280358204</v>
      </c>
      <c r="Q148" s="663">
        <v>0.84471066492371039</v>
      </c>
      <c r="R148" s="663">
        <v>115.22915089485383</v>
      </c>
      <c r="S148" s="663">
        <v>13.391663307903183</v>
      </c>
      <c r="T148" s="663">
        <v>0</v>
      </c>
      <c r="U148" s="671">
        <v>207.39576459260022</v>
      </c>
    </row>
    <row r="149" spans="3:21" ht="13">
      <c r="C149" s="670" t="s">
        <v>82</v>
      </c>
      <c r="D149" s="663">
        <v>0</v>
      </c>
      <c r="E149" s="663">
        <v>0</v>
      </c>
      <c r="F149" s="663">
        <v>31.022615677081973</v>
      </c>
      <c r="G149" s="663">
        <v>0</v>
      </c>
      <c r="H149" s="663">
        <v>2.3514405709880259</v>
      </c>
      <c r="I149" s="663">
        <v>0</v>
      </c>
      <c r="J149" s="663">
        <v>0</v>
      </c>
      <c r="K149" s="663">
        <v>0</v>
      </c>
      <c r="L149" s="663">
        <v>1.325152202471839</v>
      </c>
      <c r="M149" s="663">
        <v>0</v>
      </c>
      <c r="N149" s="663">
        <v>2.8798420607810633</v>
      </c>
      <c r="O149" s="663">
        <v>0.12376003005200138</v>
      </c>
      <c r="P149" s="663">
        <v>0.25</v>
      </c>
      <c r="Q149" s="663">
        <v>0.36066131262685786</v>
      </c>
      <c r="R149" s="663">
        <v>7.9839854804023167</v>
      </c>
      <c r="S149" s="663">
        <v>0</v>
      </c>
      <c r="T149" s="663">
        <v>8.6831190235855574E-2</v>
      </c>
      <c r="U149" s="671">
        <v>46.384288524639942</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0</v>
      </c>
      <c r="S150" s="663">
        <v>0</v>
      </c>
      <c r="T150" s="663">
        <v>0</v>
      </c>
      <c r="U150" s="671">
        <v>0</v>
      </c>
    </row>
    <row r="151" spans="3:21" ht="13">
      <c r="C151" s="666" t="s">
        <v>83</v>
      </c>
      <c r="D151" s="667">
        <v>5.7659559812914596</v>
      </c>
      <c r="E151" s="667">
        <v>0</v>
      </c>
      <c r="F151" s="667">
        <v>470.88265522514774</v>
      </c>
      <c r="G151" s="667">
        <v>0</v>
      </c>
      <c r="H151" s="675">
        <v>256.54370702049494</v>
      </c>
      <c r="I151" s="667">
        <v>0</v>
      </c>
      <c r="J151" s="667">
        <v>0</v>
      </c>
      <c r="K151" s="667">
        <v>0</v>
      </c>
      <c r="L151" s="667">
        <v>79.592689801260548</v>
      </c>
      <c r="M151" s="667">
        <v>2.2625747090537129</v>
      </c>
      <c r="N151" s="667">
        <v>44.845131270733781</v>
      </c>
      <c r="O151" s="667">
        <v>13.525840852650123</v>
      </c>
      <c r="P151" s="667">
        <v>63.09733962798451</v>
      </c>
      <c r="Q151" s="667">
        <v>2.671229256262392</v>
      </c>
      <c r="R151" s="667">
        <v>427.23659308477357</v>
      </c>
      <c r="S151" s="667">
        <v>58.203587228378382</v>
      </c>
      <c r="T151" s="667">
        <v>0.67189588750148066</v>
      </c>
      <c r="U151" s="667">
        <v>1425.2991999455328</v>
      </c>
    </row>
    <row r="152" spans="3:21" ht="13">
      <c r="C152" s="662" t="s">
        <v>84</v>
      </c>
      <c r="D152" s="663">
        <v>0</v>
      </c>
      <c r="E152" s="663">
        <v>0</v>
      </c>
      <c r="F152" s="663">
        <v>113.21942779139728</v>
      </c>
      <c r="G152" s="663">
        <v>0.72711488851092865</v>
      </c>
      <c r="H152" s="663">
        <v>12.578912449765744</v>
      </c>
      <c r="I152" s="663">
        <v>0</v>
      </c>
      <c r="J152" s="663">
        <v>0</v>
      </c>
      <c r="K152" s="663">
        <v>0</v>
      </c>
      <c r="L152" s="663">
        <v>6.1881554531238177E-2</v>
      </c>
      <c r="M152" s="663">
        <v>0</v>
      </c>
      <c r="N152" s="663">
        <v>5.2881219402962731</v>
      </c>
      <c r="O152" s="663">
        <v>0.53337670416372851</v>
      </c>
      <c r="P152" s="663">
        <v>0</v>
      </c>
      <c r="Q152" s="663">
        <v>0</v>
      </c>
      <c r="R152" s="663">
        <v>0</v>
      </c>
      <c r="S152" s="663">
        <v>0</v>
      </c>
      <c r="T152" s="663">
        <v>4.4048588394360317</v>
      </c>
      <c r="U152" s="671">
        <v>136.81369416810119</v>
      </c>
    </row>
    <row r="153" spans="3:21" ht="13">
      <c r="C153" s="666" t="s">
        <v>85</v>
      </c>
      <c r="D153" s="667">
        <v>5.7659559812914596</v>
      </c>
      <c r="E153" s="667">
        <v>0</v>
      </c>
      <c r="F153" s="667">
        <v>584.10208301654495</v>
      </c>
      <c r="G153" s="667">
        <v>0.72711488851092865</v>
      </c>
      <c r="H153" s="675">
        <v>269.1226194702607</v>
      </c>
      <c r="I153" s="667">
        <v>0</v>
      </c>
      <c r="J153" s="667">
        <v>0</v>
      </c>
      <c r="K153" s="667">
        <v>0</v>
      </c>
      <c r="L153" s="667">
        <v>79.654571355791788</v>
      </c>
      <c r="M153" s="667">
        <v>2.2625747090537129</v>
      </c>
      <c r="N153" s="667">
        <v>50.133253211030052</v>
      </c>
      <c r="O153" s="667">
        <v>14.059217556813852</v>
      </c>
      <c r="P153" s="667">
        <v>63.09733962798451</v>
      </c>
      <c r="Q153" s="667">
        <v>2.671229256262392</v>
      </c>
      <c r="R153" s="667">
        <v>427.23659308477357</v>
      </c>
      <c r="S153" s="667">
        <v>58.203587228378382</v>
      </c>
      <c r="T153" s="667">
        <v>5.0767547269375122</v>
      </c>
      <c r="U153" s="667">
        <v>1562.1128941136342</v>
      </c>
    </row>
    <row r="154" spans="3:21">
      <c r="C154" s="654"/>
      <c r="D154" s="672">
        <v>0</v>
      </c>
      <c r="E154" s="672">
        <v>0</v>
      </c>
      <c r="F154" s="672">
        <v>-2.5579538487363607E-13</v>
      </c>
      <c r="G154" s="672">
        <v>0</v>
      </c>
      <c r="H154" s="672">
        <v>0</v>
      </c>
      <c r="I154" s="672">
        <v>0</v>
      </c>
      <c r="J154" s="672">
        <v>0</v>
      </c>
      <c r="K154" s="672">
        <v>0</v>
      </c>
      <c r="L154" s="672">
        <v>0</v>
      </c>
      <c r="M154" s="672">
        <v>0</v>
      </c>
      <c r="N154" s="672">
        <v>-3.4194869158454821E-14</v>
      </c>
      <c r="O154" s="672">
        <v>5.9952043329758453E-15</v>
      </c>
      <c r="P154" s="672">
        <v>0</v>
      </c>
      <c r="Q154" s="672">
        <v>0</v>
      </c>
      <c r="R154" s="672">
        <v>0</v>
      </c>
      <c r="S154" s="672">
        <v>0</v>
      </c>
      <c r="T154" s="672">
        <v>0</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359</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9.7691999999999997</v>
      </c>
      <c r="F160" s="663">
        <v>0</v>
      </c>
      <c r="G160" s="663">
        <v>0</v>
      </c>
      <c r="H160" s="663">
        <v>0.18608000000000002</v>
      </c>
      <c r="I160" s="663">
        <v>0</v>
      </c>
      <c r="J160" s="664">
        <v>1009.7815647558707</v>
      </c>
      <c r="K160" s="664">
        <v>178.80025978042428</v>
      </c>
      <c r="L160" s="664">
        <v>222.2578455105637</v>
      </c>
      <c r="M160" s="664">
        <v>28.55331569033283</v>
      </c>
      <c r="N160" s="663">
        <v>1.6018700034195554</v>
      </c>
      <c r="O160" s="663">
        <v>0.1425306035599459</v>
      </c>
      <c r="P160" s="664">
        <v>79.93802880459161</v>
      </c>
      <c r="Q160" s="664">
        <v>9.9179265849836327</v>
      </c>
      <c r="R160" s="663">
        <v>0</v>
      </c>
      <c r="S160" s="663">
        <v>0</v>
      </c>
      <c r="T160" s="663">
        <v>0</v>
      </c>
      <c r="U160" s="665">
        <v>1540.9486217337462</v>
      </c>
    </row>
    <row r="161" spans="3:21" ht="13">
      <c r="C161" s="662" t="s">
        <v>60</v>
      </c>
      <c r="D161" s="663">
        <v>27.889416993257086</v>
      </c>
      <c r="E161" s="663">
        <v>443.26764285453919</v>
      </c>
      <c r="F161" s="663">
        <v>170.80725067581974</v>
      </c>
      <c r="G161" s="663">
        <v>0.96874110820809101</v>
      </c>
      <c r="H161" s="663">
        <v>278.87550827932449</v>
      </c>
      <c r="I161" s="663">
        <v>0</v>
      </c>
      <c r="J161" s="663">
        <v>0</v>
      </c>
      <c r="K161" s="663">
        <v>0</v>
      </c>
      <c r="L161" s="663">
        <v>2.543202703318971</v>
      </c>
      <c r="M161" s="663">
        <v>0</v>
      </c>
      <c r="N161" s="663">
        <v>3.3840076567254442</v>
      </c>
      <c r="O161" s="663">
        <v>0</v>
      </c>
      <c r="P161" s="663">
        <v>0</v>
      </c>
      <c r="Q161" s="663">
        <v>0</v>
      </c>
      <c r="R161" s="663">
        <v>0</v>
      </c>
      <c r="S161" s="663">
        <v>0</v>
      </c>
      <c r="T161" s="663">
        <v>0</v>
      </c>
      <c r="U161" s="665">
        <v>927.73577027119291</v>
      </c>
    </row>
    <row r="162" spans="3:21" ht="13">
      <c r="C162" s="662" t="s">
        <v>61</v>
      </c>
      <c r="D162" s="663">
        <v>0</v>
      </c>
      <c r="E162" s="663">
        <v>0</v>
      </c>
      <c r="F162" s="663">
        <v>-8.238229290577169E-2</v>
      </c>
      <c r="G162" s="663">
        <v>0</v>
      </c>
      <c r="H162" s="663">
        <v>0</v>
      </c>
      <c r="I162" s="663">
        <v>0</v>
      </c>
      <c r="J162" s="663">
        <v>0</v>
      </c>
      <c r="K162" s="663">
        <v>0</v>
      </c>
      <c r="L162" s="663">
        <v>0</v>
      </c>
      <c r="M162" s="663">
        <v>0</v>
      </c>
      <c r="N162" s="663">
        <v>0</v>
      </c>
      <c r="O162" s="663">
        <v>0</v>
      </c>
      <c r="P162" s="663">
        <v>0</v>
      </c>
      <c r="Q162" s="663">
        <v>0</v>
      </c>
      <c r="R162" s="663">
        <v>-39.63136742270666</v>
      </c>
      <c r="S162" s="663">
        <v>0</v>
      </c>
      <c r="T162" s="663">
        <v>0</v>
      </c>
      <c r="U162" s="665">
        <v>-39.71374971561243</v>
      </c>
    </row>
    <row r="163" spans="3:21" ht="13">
      <c r="C163" s="662" t="s">
        <v>62</v>
      </c>
      <c r="D163" s="663">
        <v>0</v>
      </c>
      <c r="E163" s="663">
        <v>0</v>
      </c>
      <c r="F163" s="663">
        <v>-16.913982362364816</v>
      </c>
      <c r="G163" s="663">
        <v>-0.21068566030958977</v>
      </c>
      <c r="H163" s="663">
        <v>-1.5457950077696609</v>
      </c>
      <c r="I163" s="663">
        <v>0</v>
      </c>
      <c r="J163" s="663">
        <v>0</v>
      </c>
      <c r="K163" s="663">
        <v>0</v>
      </c>
      <c r="L163" s="663">
        <v>0</v>
      </c>
      <c r="M163" s="663">
        <v>0</v>
      </c>
      <c r="N163" s="663">
        <v>-0.46212963965785603</v>
      </c>
      <c r="O163" s="663">
        <v>-0.15662240166829164</v>
      </c>
      <c r="P163" s="663">
        <v>0</v>
      </c>
      <c r="Q163" s="663">
        <v>0</v>
      </c>
      <c r="R163" s="663">
        <v>0</v>
      </c>
      <c r="S163" s="663">
        <v>0</v>
      </c>
      <c r="T163" s="663">
        <v>0</v>
      </c>
      <c r="U163" s="665">
        <v>-19.289215071770215</v>
      </c>
    </row>
    <row r="164" spans="3:21" ht="13">
      <c r="C164" s="662" t="s">
        <v>63</v>
      </c>
      <c r="D164" s="663">
        <v>0</v>
      </c>
      <c r="E164" s="663">
        <v>0</v>
      </c>
      <c r="F164" s="663">
        <v>-74.821470237515427</v>
      </c>
      <c r="G164" s="663">
        <v>-0.43381751781743938</v>
      </c>
      <c r="H164" s="663">
        <v>0</v>
      </c>
      <c r="I164" s="663">
        <v>0</v>
      </c>
      <c r="J164" s="663">
        <v>0</v>
      </c>
      <c r="K164" s="663">
        <v>0</v>
      </c>
      <c r="L164" s="663">
        <v>0</v>
      </c>
      <c r="M164" s="663">
        <v>0</v>
      </c>
      <c r="N164" s="663">
        <v>-2.9848679697644429</v>
      </c>
      <c r="O164" s="663">
        <v>0</v>
      </c>
      <c r="P164" s="663">
        <v>0</v>
      </c>
      <c r="Q164" s="663">
        <v>0</v>
      </c>
      <c r="R164" s="663">
        <v>0</v>
      </c>
      <c r="S164" s="663">
        <v>0</v>
      </c>
      <c r="T164" s="663">
        <v>0</v>
      </c>
      <c r="U164" s="665">
        <v>-78.24015572509731</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27.889416993257086</v>
      </c>
      <c r="E166" s="667">
        <v>453.03684285453915</v>
      </c>
      <c r="F166" s="667">
        <v>78.989415783033735</v>
      </c>
      <c r="G166" s="667">
        <v>0.32423793008106183</v>
      </c>
      <c r="H166" s="675">
        <v>277.51579327155486</v>
      </c>
      <c r="I166" s="667">
        <v>0</v>
      </c>
      <c r="J166" s="667">
        <v>1009.7815647558707</v>
      </c>
      <c r="K166" s="667">
        <v>178.80025978042428</v>
      </c>
      <c r="L166" s="667">
        <v>224.80104821388267</v>
      </c>
      <c r="M166" s="667">
        <v>28.55331569033283</v>
      </c>
      <c r="N166" s="667">
        <v>1.5388800507227005</v>
      </c>
      <c r="O166" s="667">
        <v>-1.4091798108345738E-2</v>
      </c>
      <c r="P166" s="667">
        <v>79.93802880459161</v>
      </c>
      <c r="Q166" s="667">
        <v>9.9179265849836327</v>
      </c>
      <c r="R166" s="667">
        <v>-39.63136742270666</v>
      </c>
      <c r="S166" s="667">
        <v>0</v>
      </c>
      <c r="T166" s="667">
        <v>0</v>
      </c>
      <c r="U166" s="667">
        <v>2331.4412714924588</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2.0126474031919526</v>
      </c>
      <c r="E169" s="663">
        <v>0</v>
      </c>
      <c r="F169" s="663">
        <v>2.4215350266049294</v>
      </c>
      <c r="G169" s="663">
        <v>0</v>
      </c>
      <c r="H169" s="663">
        <v>35.249779280676243</v>
      </c>
      <c r="I169" s="663">
        <v>0</v>
      </c>
      <c r="J169" s="663">
        <v>1009.7815647558707</v>
      </c>
      <c r="K169" s="663">
        <v>178.80025978042428</v>
      </c>
      <c r="L169" s="663">
        <v>29.565327526851199</v>
      </c>
      <c r="M169" s="663">
        <v>10.280381489535124</v>
      </c>
      <c r="N169" s="663">
        <v>4.867247129818443</v>
      </c>
      <c r="O169" s="663">
        <v>5.9376906009360688</v>
      </c>
      <c r="P169" s="663">
        <v>0</v>
      </c>
      <c r="Q169" s="663">
        <v>0.1274458438995901</v>
      </c>
      <c r="R169" s="663">
        <v>-552.22120311009314</v>
      </c>
      <c r="S169" s="663">
        <v>0</v>
      </c>
      <c r="T169" s="663">
        <v>0</v>
      </c>
      <c r="U169" s="671">
        <v>726.82267572771525</v>
      </c>
    </row>
    <row r="170" spans="3:21" ht="13">
      <c r="C170" s="670" t="s">
        <v>351</v>
      </c>
      <c r="D170" s="663">
        <v>7.7272727272727285E-2</v>
      </c>
      <c r="E170" s="663">
        <v>0</v>
      </c>
      <c r="F170" s="663">
        <v>0</v>
      </c>
      <c r="G170" s="663">
        <v>0</v>
      </c>
      <c r="H170" s="663">
        <v>17.872657477712522</v>
      </c>
      <c r="I170" s="663">
        <v>0</v>
      </c>
      <c r="J170" s="663">
        <v>0</v>
      </c>
      <c r="K170" s="663">
        <v>0</v>
      </c>
      <c r="L170" s="663">
        <v>30.795424710415574</v>
      </c>
      <c r="M170" s="663">
        <v>15.788091398661473</v>
      </c>
      <c r="N170" s="663">
        <v>0</v>
      </c>
      <c r="O170" s="663">
        <v>3.9361494776423425</v>
      </c>
      <c r="P170" s="663">
        <v>0</v>
      </c>
      <c r="Q170" s="663">
        <v>6.7289973607209745</v>
      </c>
      <c r="R170" s="663">
        <v>0</v>
      </c>
      <c r="S170" s="663">
        <v>-68.166941269573059</v>
      </c>
      <c r="T170" s="663">
        <v>0</v>
      </c>
      <c r="U170" s="671">
        <v>7.0316518828525636</v>
      </c>
    </row>
    <row r="171" spans="3:21" ht="13">
      <c r="C171" s="670" t="s">
        <v>352</v>
      </c>
      <c r="D171" s="663">
        <v>0</v>
      </c>
      <c r="E171" s="663">
        <v>0</v>
      </c>
      <c r="F171" s="663">
        <v>0</v>
      </c>
      <c r="G171" s="663">
        <v>0</v>
      </c>
      <c r="H171" s="663">
        <v>0</v>
      </c>
      <c r="I171" s="663">
        <v>0</v>
      </c>
      <c r="J171" s="663">
        <v>0</v>
      </c>
      <c r="K171" s="663">
        <v>0</v>
      </c>
      <c r="L171" s="663">
        <v>34.96891347313359</v>
      </c>
      <c r="M171" s="663">
        <v>0</v>
      </c>
      <c r="N171" s="663">
        <v>0</v>
      </c>
      <c r="O171" s="663">
        <v>-32.314513431056241</v>
      </c>
      <c r="P171" s="663">
        <v>0</v>
      </c>
      <c r="Q171" s="663">
        <v>0</v>
      </c>
      <c r="R171" s="663">
        <v>0</v>
      </c>
      <c r="S171" s="663">
        <v>0</v>
      </c>
      <c r="T171" s="663">
        <v>0</v>
      </c>
      <c r="U171" s="671">
        <v>2.6544000420773486</v>
      </c>
    </row>
    <row r="172" spans="3:21" ht="13">
      <c r="C172" s="670" t="s">
        <v>353</v>
      </c>
      <c r="D172" s="663">
        <v>0</v>
      </c>
      <c r="E172" s="663">
        <v>0</v>
      </c>
      <c r="F172" s="663">
        <v>0</v>
      </c>
      <c r="G172" s="663">
        <v>0</v>
      </c>
      <c r="H172" s="663">
        <v>0</v>
      </c>
      <c r="I172" s="663">
        <v>0</v>
      </c>
      <c r="J172" s="663">
        <v>0</v>
      </c>
      <c r="K172" s="663">
        <v>0</v>
      </c>
      <c r="L172" s="663">
        <v>0</v>
      </c>
      <c r="M172" s="663">
        <v>0</v>
      </c>
      <c r="N172" s="663">
        <v>0</v>
      </c>
      <c r="O172" s="663">
        <v>0</v>
      </c>
      <c r="P172" s="663">
        <v>0</v>
      </c>
      <c r="Q172" s="663">
        <v>0</v>
      </c>
      <c r="R172" s="663">
        <v>0</v>
      </c>
      <c r="S172" s="663">
        <v>0</v>
      </c>
      <c r="T172" s="663">
        <v>0</v>
      </c>
      <c r="U172" s="671">
        <v>0</v>
      </c>
    </row>
    <row r="173" spans="3:21" ht="13">
      <c r="C173" s="670" t="s">
        <v>72</v>
      </c>
      <c r="D173" s="663">
        <v>0</v>
      </c>
      <c r="E173" s="663">
        <v>469.52687715624688</v>
      </c>
      <c r="F173" s="663">
        <v>-464.85369049462497</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4.6731866616218856</v>
      </c>
    </row>
    <row r="174" spans="3:21" ht="13">
      <c r="C174" s="670" t="s">
        <v>354</v>
      </c>
      <c r="D174" s="663">
        <v>0</v>
      </c>
      <c r="E174" s="663">
        <v>0</v>
      </c>
      <c r="F174" s="663">
        <v>0</v>
      </c>
      <c r="G174" s="663">
        <v>0</v>
      </c>
      <c r="H174" s="663">
        <v>0</v>
      </c>
      <c r="I174" s="663">
        <v>0</v>
      </c>
      <c r="J174" s="663">
        <v>0</v>
      </c>
      <c r="K174" s="663">
        <v>0</v>
      </c>
      <c r="L174" s="663">
        <v>56.146757475987663</v>
      </c>
      <c r="M174" s="663">
        <v>0</v>
      </c>
      <c r="N174" s="663">
        <v>-56.146757475987663</v>
      </c>
      <c r="O174" s="663">
        <v>0</v>
      </c>
      <c r="P174" s="663">
        <v>0</v>
      </c>
      <c r="Q174" s="663">
        <v>0</v>
      </c>
      <c r="R174" s="663">
        <v>0</v>
      </c>
      <c r="S174" s="663">
        <v>0</v>
      </c>
      <c r="T174" s="663">
        <v>0</v>
      </c>
      <c r="U174" s="671">
        <v>0</v>
      </c>
    </row>
    <row r="175" spans="3:21" ht="13">
      <c r="C175" s="670" t="s">
        <v>355</v>
      </c>
      <c r="D175" s="663">
        <v>0</v>
      </c>
      <c r="E175" s="663">
        <v>0</v>
      </c>
      <c r="F175" s="663">
        <v>0</v>
      </c>
      <c r="G175" s="663">
        <v>-0.9610704740785061</v>
      </c>
      <c r="H175" s="663">
        <v>0</v>
      </c>
      <c r="I175" s="663">
        <v>0</v>
      </c>
      <c r="J175" s="663">
        <v>0</v>
      </c>
      <c r="K175" s="663">
        <v>0</v>
      </c>
      <c r="L175" s="663">
        <v>0</v>
      </c>
      <c r="M175" s="663">
        <v>0</v>
      </c>
      <c r="N175" s="663">
        <v>0</v>
      </c>
      <c r="O175" s="663">
        <v>0</v>
      </c>
      <c r="P175" s="663">
        <v>0</v>
      </c>
      <c r="Q175" s="663">
        <v>0</v>
      </c>
      <c r="R175" s="663">
        <v>0</v>
      </c>
      <c r="S175" s="663">
        <v>0</v>
      </c>
      <c r="T175" s="663">
        <v>1.3385382647332955</v>
      </c>
      <c r="U175" s="671">
        <v>0.37746779065478941</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16.613212092757209</v>
      </c>
      <c r="S176" s="663">
        <v>0</v>
      </c>
      <c r="T176" s="663">
        <v>-10.798587860292187</v>
      </c>
      <c r="U176" s="671">
        <v>5.8146242324650217</v>
      </c>
    </row>
    <row r="177" spans="3:21" ht="13">
      <c r="C177" s="670" t="s">
        <v>356</v>
      </c>
      <c r="D177" s="663">
        <v>15.474789843749999</v>
      </c>
      <c r="E177" s="663">
        <v>-16.490034301707698</v>
      </c>
      <c r="F177" s="663">
        <v>21.458462057363484</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20.443217599405784</v>
      </c>
    </row>
    <row r="178" spans="3:21" ht="13">
      <c r="C178" s="670" t="s">
        <v>75</v>
      </c>
      <c r="D178" s="663">
        <v>6.017973828125001</v>
      </c>
      <c r="E178" s="663">
        <v>0</v>
      </c>
      <c r="F178" s="663">
        <v>19.75864185375092</v>
      </c>
      <c r="G178" s="663">
        <v>0</v>
      </c>
      <c r="H178" s="663">
        <v>5.1351593182183395</v>
      </c>
      <c r="I178" s="663">
        <v>0</v>
      </c>
      <c r="J178" s="663">
        <v>0</v>
      </c>
      <c r="K178" s="663">
        <v>0</v>
      </c>
      <c r="L178" s="663">
        <v>0</v>
      </c>
      <c r="M178" s="663">
        <v>0</v>
      </c>
      <c r="N178" s="663">
        <v>0</v>
      </c>
      <c r="O178" s="663">
        <v>0.52030248598688023</v>
      </c>
      <c r="P178" s="663">
        <v>0</v>
      </c>
      <c r="Q178" s="663">
        <v>0</v>
      </c>
      <c r="R178" s="663">
        <v>26.004010207915542</v>
      </c>
      <c r="S178" s="663">
        <v>0</v>
      </c>
      <c r="T178" s="663">
        <v>0</v>
      </c>
      <c r="U178" s="671">
        <v>57.436087693996683</v>
      </c>
    </row>
    <row r="179" spans="3:21" ht="13">
      <c r="C179" s="670" t="s">
        <v>76</v>
      </c>
      <c r="D179" s="663">
        <v>0</v>
      </c>
      <c r="E179" s="663">
        <v>0</v>
      </c>
      <c r="F179" s="663">
        <v>0</v>
      </c>
      <c r="G179" s="663">
        <v>0</v>
      </c>
      <c r="H179" s="663">
        <v>3.2228770072600459</v>
      </c>
      <c r="I179" s="663">
        <v>0</v>
      </c>
      <c r="J179" s="663">
        <v>0</v>
      </c>
      <c r="K179" s="663">
        <v>0</v>
      </c>
      <c r="L179" s="663">
        <v>0</v>
      </c>
      <c r="M179" s="663">
        <v>0</v>
      </c>
      <c r="N179" s="663">
        <v>0</v>
      </c>
      <c r="O179" s="663">
        <v>0.32654700954617205</v>
      </c>
      <c r="P179" s="663">
        <v>0</v>
      </c>
      <c r="Q179" s="663">
        <v>0</v>
      </c>
      <c r="R179" s="663">
        <v>39.257968517902221</v>
      </c>
      <c r="S179" s="663">
        <v>5.2865527205622431</v>
      </c>
      <c r="T179" s="663">
        <v>0</v>
      </c>
      <c r="U179" s="671">
        <v>48.093945255270683</v>
      </c>
    </row>
    <row r="180" spans="3:21" ht="13">
      <c r="C180" s="666" t="s">
        <v>77</v>
      </c>
      <c r="D180" s="667">
        <v>23.58268380233968</v>
      </c>
      <c r="E180" s="667">
        <v>453.03684285453915</v>
      </c>
      <c r="F180" s="667">
        <v>-421.21505155690562</v>
      </c>
      <c r="G180" s="667">
        <v>-0.9610704740785061</v>
      </c>
      <c r="H180" s="675">
        <v>61.480473083867153</v>
      </c>
      <c r="I180" s="667">
        <v>0</v>
      </c>
      <c r="J180" s="667">
        <v>1009.7815647558707</v>
      </c>
      <c r="K180" s="667">
        <v>178.80025978042428</v>
      </c>
      <c r="L180" s="667">
        <v>151.47642318638805</v>
      </c>
      <c r="M180" s="667">
        <v>26.068472888196599</v>
      </c>
      <c r="N180" s="667">
        <v>-51.279510346169218</v>
      </c>
      <c r="O180" s="667">
        <v>-21.593823856944777</v>
      </c>
      <c r="P180" s="667">
        <v>0</v>
      </c>
      <c r="Q180" s="667">
        <v>6.8564432046205646</v>
      </c>
      <c r="R180" s="667">
        <v>-470.34601229151815</v>
      </c>
      <c r="S180" s="667">
        <v>-62.88038854901081</v>
      </c>
      <c r="T180" s="667">
        <v>-9.4600495955588926</v>
      </c>
      <c r="U180" s="667">
        <v>873.34725688605999</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4.3067331909174058</v>
      </c>
      <c r="E182" s="663">
        <v>0</v>
      </c>
      <c r="F182" s="663">
        <v>15.285550941396558</v>
      </c>
      <c r="G182" s="663">
        <v>0</v>
      </c>
      <c r="H182" s="663">
        <v>81.99673295835025</v>
      </c>
      <c r="I182" s="663">
        <v>0</v>
      </c>
      <c r="J182" s="663">
        <v>0</v>
      </c>
      <c r="K182" s="663">
        <v>0</v>
      </c>
      <c r="L182" s="663">
        <v>19.904086757615648</v>
      </c>
      <c r="M182" s="663">
        <v>2.4842759722515511</v>
      </c>
      <c r="N182" s="663">
        <v>0.94250728115234383</v>
      </c>
      <c r="O182" s="663">
        <v>8.3338753773994174</v>
      </c>
      <c r="P182" s="663">
        <v>2.8483193359375001</v>
      </c>
      <c r="Q182" s="663">
        <v>5.2671642446208732E-4</v>
      </c>
      <c r="R182" s="663">
        <v>124.0609713055903</v>
      </c>
      <c r="S182" s="663">
        <v>18.086756081914288</v>
      </c>
      <c r="T182" s="663">
        <v>1.3772960205078124</v>
      </c>
      <c r="U182" s="671">
        <v>279.62763193945756</v>
      </c>
    </row>
    <row r="183" spans="3:21" ht="13">
      <c r="C183" s="670" t="s">
        <v>79</v>
      </c>
      <c r="D183" s="663">
        <v>0</v>
      </c>
      <c r="E183" s="663">
        <v>0</v>
      </c>
      <c r="F183" s="663">
        <v>335.93998919996596</v>
      </c>
      <c r="G183" s="663">
        <v>9.4771242925738991E-2</v>
      </c>
      <c r="H183" s="663">
        <v>4.5339029695199544</v>
      </c>
      <c r="I183" s="663">
        <v>0</v>
      </c>
      <c r="J183" s="663">
        <v>0</v>
      </c>
      <c r="K183" s="663">
        <v>0</v>
      </c>
      <c r="L183" s="663">
        <v>0</v>
      </c>
      <c r="M183" s="663">
        <v>0</v>
      </c>
      <c r="N183" s="663">
        <v>38.371773390829333</v>
      </c>
      <c r="O183" s="663">
        <v>0.45938223920246229</v>
      </c>
      <c r="P183" s="663">
        <v>0</v>
      </c>
      <c r="Q183" s="663">
        <v>0</v>
      </c>
      <c r="R183" s="663">
        <v>24.830612613321723</v>
      </c>
      <c r="S183" s="663">
        <v>0</v>
      </c>
      <c r="T183" s="663">
        <v>0.39090580497267069</v>
      </c>
      <c r="U183" s="671">
        <v>404.62133746073778</v>
      </c>
    </row>
    <row r="184" spans="3:21" ht="13">
      <c r="C184" s="670" t="s">
        <v>80</v>
      </c>
      <c r="D184" s="663">
        <v>0</v>
      </c>
      <c r="E184" s="663">
        <v>0</v>
      </c>
      <c r="F184" s="663">
        <v>7.6204805429044127</v>
      </c>
      <c r="G184" s="663">
        <v>0</v>
      </c>
      <c r="H184" s="663">
        <v>80.929799495030636</v>
      </c>
      <c r="I184" s="663">
        <v>0</v>
      </c>
      <c r="J184" s="663">
        <v>0</v>
      </c>
      <c r="K184" s="663">
        <v>0</v>
      </c>
      <c r="L184" s="663">
        <v>51.076854442173044</v>
      </c>
      <c r="M184" s="663">
        <v>0</v>
      </c>
      <c r="N184" s="663">
        <v>0</v>
      </c>
      <c r="O184" s="663">
        <v>8.1999356316550855</v>
      </c>
      <c r="P184" s="663">
        <v>62.835725387811195</v>
      </c>
      <c r="Q184" s="663">
        <v>1.6849133946274748</v>
      </c>
      <c r="R184" s="663">
        <v>167.36963395676293</v>
      </c>
      <c r="S184" s="663">
        <v>28.222608960163477</v>
      </c>
      <c r="T184" s="663">
        <v>0</v>
      </c>
      <c r="U184" s="671">
        <v>407.93995181112825</v>
      </c>
    </row>
    <row r="185" spans="3:21" ht="13">
      <c r="C185" s="670" t="s">
        <v>81</v>
      </c>
      <c r="D185" s="663">
        <v>0</v>
      </c>
      <c r="E185" s="663">
        <v>0</v>
      </c>
      <c r="F185" s="663">
        <v>10.491369546862531</v>
      </c>
      <c r="G185" s="663">
        <v>0</v>
      </c>
      <c r="H185" s="663">
        <v>35.36343810232146</v>
      </c>
      <c r="I185" s="663">
        <v>0</v>
      </c>
      <c r="J185" s="663">
        <v>0</v>
      </c>
      <c r="K185" s="663">
        <v>0</v>
      </c>
      <c r="L185" s="663">
        <v>0.41502991649093068</v>
      </c>
      <c r="M185" s="663">
        <v>5.6682988468104167E-4</v>
      </c>
      <c r="N185" s="663">
        <v>0</v>
      </c>
      <c r="O185" s="663">
        <v>3.5830796315127467</v>
      </c>
      <c r="P185" s="663">
        <v>13.853984080842906</v>
      </c>
      <c r="Q185" s="663">
        <v>0.85666800244149366</v>
      </c>
      <c r="R185" s="663">
        <v>106.66141597563889</v>
      </c>
      <c r="S185" s="663">
        <v>16.571023506933056</v>
      </c>
      <c r="T185" s="663">
        <v>0</v>
      </c>
      <c r="U185" s="671">
        <v>187.79657559292866</v>
      </c>
    </row>
    <row r="186" spans="3:21" ht="13">
      <c r="C186" s="670" t="s">
        <v>82</v>
      </c>
      <c r="D186" s="663">
        <v>0</v>
      </c>
      <c r="E186" s="663">
        <v>0</v>
      </c>
      <c r="F186" s="663">
        <v>28.598972580821304</v>
      </c>
      <c r="G186" s="663">
        <v>0</v>
      </c>
      <c r="H186" s="663">
        <v>1.9735950966825975</v>
      </c>
      <c r="I186" s="663">
        <v>0</v>
      </c>
      <c r="J186" s="663">
        <v>0</v>
      </c>
      <c r="K186" s="663">
        <v>0</v>
      </c>
      <c r="L186" s="663">
        <v>1.8335004892905753</v>
      </c>
      <c r="M186" s="663">
        <v>0</v>
      </c>
      <c r="N186" s="663">
        <v>3.9645164071396528</v>
      </c>
      <c r="O186" s="663">
        <v>0.19996778512643057</v>
      </c>
      <c r="P186" s="663">
        <v>0.4</v>
      </c>
      <c r="Q186" s="663">
        <v>0.5193752668696392</v>
      </c>
      <c r="R186" s="663">
        <v>7.7920110174976385</v>
      </c>
      <c r="S186" s="663">
        <v>0</v>
      </c>
      <c r="T186" s="663">
        <v>0.13892990437736891</v>
      </c>
      <c r="U186" s="671">
        <v>45.420868547805206</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0</v>
      </c>
      <c r="S187" s="663">
        <v>0</v>
      </c>
      <c r="T187" s="663">
        <v>0</v>
      </c>
      <c r="U187" s="671">
        <v>0</v>
      </c>
    </row>
    <row r="188" spans="3:21" ht="13">
      <c r="C188" s="666" t="s">
        <v>83</v>
      </c>
      <c r="D188" s="667">
        <v>4.3067331909174058</v>
      </c>
      <c r="E188" s="667">
        <v>0</v>
      </c>
      <c r="F188" s="667">
        <v>397.93636281195074</v>
      </c>
      <c r="G188" s="667">
        <v>9.4771242925738991E-2</v>
      </c>
      <c r="H188" s="675">
        <v>204.7974686219049</v>
      </c>
      <c r="I188" s="667">
        <v>0</v>
      </c>
      <c r="J188" s="667">
        <v>0</v>
      </c>
      <c r="K188" s="667">
        <v>0</v>
      </c>
      <c r="L188" s="667">
        <v>73.229471605570197</v>
      </c>
      <c r="M188" s="667">
        <v>2.4848428021362321</v>
      </c>
      <c r="N188" s="667">
        <v>43.278797079121333</v>
      </c>
      <c r="O188" s="667">
        <v>20.776240664896143</v>
      </c>
      <c r="P188" s="667">
        <v>79.93802880459161</v>
      </c>
      <c r="Q188" s="667">
        <v>3.0614833803630699</v>
      </c>
      <c r="R188" s="667">
        <v>430.71464486881149</v>
      </c>
      <c r="S188" s="667">
        <v>62.880388549010817</v>
      </c>
      <c r="T188" s="667">
        <v>1.9071317298578518</v>
      </c>
      <c r="U188" s="667">
        <v>1325.4063653520575</v>
      </c>
    </row>
    <row r="189" spans="3:21" ht="13">
      <c r="C189" s="662" t="s">
        <v>84</v>
      </c>
      <c r="D189" s="663">
        <v>0</v>
      </c>
      <c r="E189" s="663">
        <v>0</v>
      </c>
      <c r="F189" s="663">
        <v>102.26810452798878</v>
      </c>
      <c r="G189" s="663">
        <v>1.1905371612338289</v>
      </c>
      <c r="H189" s="663">
        <v>11.237851565782758</v>
      </c>
      <c r="I189" s="663">
        <v>0</v>
      </c>
      <c r="J189" s="663">
        <v>0</v>
      </c>
      <c r="K189" s="663">
        <v>0</v>
      </c>
      <c r="L189" s="663">
        <v>9.5153421924450407E-2</v>
      </c>
      <c r="M189" s="663">
        <v>0</v>
      </c>
      <c r="N189" s="663">
        <v>7.1193346713498897</v>
      </c>
      <c r="O189" s="663">
        <v>0.80349139394028601</v>
      </c>
      <c r="P189" s="663">
        <v>0</v>
      </c>
      <c r="Q189" s="663">
        <v>0</v>
      </c>
      <c r="R189" s="663">
        <v>0</v>
      </c>
      <c r="S189" s="663">
        <v>0</v>
      </c>
      <c r="T189" s="663">
        <v>7.5529178657010396</v>
      </c>
      <c r="U189" s="671">
        <v>130.26739060792104</v>
      </c>
    </row>
    <row r="190" spans="3:21" ht="13">
      <c r="C190" s="666" t="s">
        <v>85</v>
      </c>
      <c r="D190" s="667">
        <v>4.3067331909174058</v>
      </c>
      <c r="E190" s="667">
        <v>0</v>
      </c>
      <c r="F190" s="667">
        <v>500.20446733993958</v>
      </c>
      <c r="G190" s="667">
        <v>1.2853084041595679</v>
      </c>
      <c r="H190" s="675">
        <v>216.03532018768766</v>
      </c>
      <c r="I190" s="667">
        <v>0</v>
      </c>
      <c r="J190" s="667">
        <v>0</v>
      </c>
      <c r="K190" s="667">
        <v>0</v>
      </c>
      <c r="L190" s="667">
        <v>73.324625027494648</v>
      </c>
      <c r="M190" s="667">
        <v>2.4848428021362321</v>
      </c>
      <c r="N190" s="667">
        <v>50.398131750471222</v>
      </c>
      <c r="O190" s="667">
        <v>21.579732058836431</v>
      </c>
      <c r="P190" s="667">
        <v>79.93802880459161</v>
      </c>
      <c r="Q190" s="667">
        <v>3.0614833803630699</v>
      </c>
      <c r="R190" s="667">
        <v>430.71464486881149</v>
      </c>
      <c r="S190" s="667">
        <v>62.880388549010817</v>
      </c>
      <c r="T190" s="667">
        <v>9.4600495955588908</v>
      </c>
      <c r="U190" s="667">
        <v>1455.6737559599785</v>
      </c>
    </row>
    <row r="191" spans="3:21">
      <c r="C191" s="654"/>
      <c r="D191" s="672">
        <v>0</v>
      </c>
      <c r="E191" s="672">
        <v>0</v>
      </c>
      <c r="F191" s="672">
        <v>2.2737367544323206E-13</v>
      </c>
      <c r="G191" s="672">
        <v>0</v>
      </c>
      <c r="H191" s="672">
        <v>0</v>
      </c>
      <c r="I191" s="672">
        <v>0</v>
      </c>
      <c r="J191" s="672">
        <v>0</v>
      </c>
      <c r="K191" s="672">
        <v>0</v>
      </c>
      <c r="L191" s="672">
        <v>0</v>
      </c>
      <c r="M191" s="672">
        <v>0</v>
      </c>
      <c r="N191" s="672">
        <v>-2.4202586464206961</v>
      </c>
      <c r="O191" s="672">
        <v>-4.163336342344337E-16</v>
      </c>
      <c r="P191" s="672">
        <v>0</v>
      </c>
      <c r="Q191" s="672">
        <v>0</v>
      </c>
      <c r="R191" s="672">
        <v>0</v>
      </c>
      <c r="S191" s="672">
        <v>7.1054273576010019E-15</v>
      </c>
      <c r="T191" s="672">
        <v>-1.7763568394002505E-15</v>
      </c>
      <c r="U191" s="672">
        <v>-2.4202586464202795</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88</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9.7691999999999997</v>
      </c>
      <c r="F197" s="663">
        <v>0</v>
      </c>
      <c r="G197" s="663">
        <v>0</v>
      </c>
      <c r="H197" s="663">
        <v>0.18608000000000002</v>
      </c>
      <c r="I197" s="663">
        <v>0</v>
      </c>
      <c r="J197" s="664">
        <v>985.67379798785544</v>
      </c>
      <c r="K197" s="664">
        <v>195.250455173126</v>
      </c>
      <c r="L197" s="664">
        <v>225.73082873869848</v>
      </c>
      <c r="M197" s="664">
        <v>27.969740685177928</v>
      </c>
      <c r="N197" s="663">
        <v>1.4156783371657409</v>
      </c>
      <c r="O197" s="663">
        <v>0.13593700784165794</v>
      </c>
      <c r="P197" s="664">
        <v>91.581907146552624</v>
      </c>
      <c r="Q197" s="664">
        <v>10.82319895117076</v>
      </c>
      <c r="R197" s="663">
        <v>0</v>
      </c>
      <c r="S197" s="663">
        <v>0</v>
      </c>
      <c r="T197" s="663">
        <v>0</v>
      </c>
      <c r="U197" s="665">
        <v>1548.5368240275886</v>
      </c>
    </row>
    <row r="198" spans="3:21" ht="13">
      <c r="C198" s="662" t="s">
        <v>60</v>
      </c>
      <c r="D198" s="663">
        <v>19.500894978355525</v>
      </c>
      <c r="E198" s="663">
        <v>412.35150263166827</v>
      </c>
      <c r="F198" s="663">
        <v>141.77751506797006</v>
      </c>
      <c r="G198" s="663">
        <v>1.1566580598777236</v>
      </c>
      <c r="H198" s="663">
        <v>243.17374959353992</v>
      </c>
      <c r="I198" s="663">
        <v>0</v>
      </c>
      <c r="J198" s="663">
        <v>0</v>
      </c>
      <c r="K198" s="663">
        <v>0</v>
      </c>
      <c r="L198" s="663">
        <v>2.5322527707990741</v>
      </c>
      <c r="M198" s="663">
        <v>0</v>
      </c>
      <c r="N198" s="663">
        <v>3.140572004124202</v>
      </c>
      <c r="O198" s="663">
        <v>0</v>
      </c>
      <c r="P198" s="663">
        <v>0</v>
      </c>
      <c r="Q198" s="663">
        <v>0</v>
      </c>
      <c r="R198" s="663">
        <v>0</v>
      </c>
      <c r="S198" s="663">
        <v>0</v>
      </c>
      <c r="T198" s="663">
        <v>0</v>
      </c>
      <c r="U198" s="665">
        <v>823.63314510633472</v>
      </c>
    </row>
    <row r="199" spans="3:21" ht="13">
      <c r="C199" s="662" t="s">
        <v>61</v>
      </c>
      <c r="D199" s="663">
        <v>0</v>
      </c>
      <c r="E199" s="663">
        <v>0</v>
      </c>
      <c r="F199" s="663">
        <v>-0.13172022897004482</v>
      </c>
      <c r="G199" s="663">
        <v>0</v>
      </c>
      <c r="H199" s="663">
        <v>0</v>
      </c>
      <c r="I199" s="663">
        <v>0</v>
      </c>
      <c r="J199" s="663">
        <v>0</v>
      </c>
      <c r="K199" s="663">
        <v>0</v>
      </c>
      <c r="L199" s="663">
        <v>0</v>
      </c>
      <c r="M199" s="663">
        <v>0</v>
      </c>
      <c r="N199" s="663">
        <v>0</v>
      </c>
      <c r="O199" s="663">
        <v>0</v>
      </c>
      <c r="P199" s="663">
        <v>0</v>
      </c>
      <c r="Q199" s="663">
        <v>0</v>
      </c>
      <c r="R199" s="663">
        <v>-40.000168370113556</v>
      </c>
      <c r="S199" s="663">
        <v>0</v>
      </c>
      <c r="T199" s="663">
        <v>0</v>
      </c>
      <c r="U199" s="665">
        <v>-40.131888599083602</v>
      </c>
    </row>
    <row r="200" spans="3:21" ht="13">
      <c r="C200" s="662" t="s">
        <v>62</v>
      </c>
      <c r="D200" s="663">
        <v>0</v>
      </c>
      <c r="E200" s="663">
        <v>0</v>
      </c>
      <c r="F200" s="663">
        <v>-16.199220216107165</v>
      </c>
      <c r="G200" s="663">
        <v>-0.35114276718264964</v>
      </c>
      <c r="H200" s="663">
        <v>-0.92701690536219505</v>
      </c>
      <c r="I200" s="663">
        <v>0</v>
      </c>
      <c r="J200" s="663">
        <v>0</v>
      </c>
      <c r="K200" s="663">
        <v>0</v>
      </c>
      <c r="L200" s="663">
        <v>0</v>
      </c>
      <c r="M200" s="663">
        <v>0</v>
      </c>
      <c r="N200" s="663">
        <v>-0.52671415077397443</v>
      </c>
      <c r="O200" s="663">
        <v>-0.12641139618575387</v>
      </c>
      <c r="P200" s="663">
        <v>0</v>
      </c>
      <c r="Q200" s="663">
        <v>0</v>
      </c>
      <c r="R200" s="663">
        <v>0</v>
      </c>
      <c r="S200" s="663">
        <v>0</v>
      </c>
      <c r="T200" s="663">
        <v>0</v>
      </c>
      <c r="U200" s="665">
        <v>-18.130505435611738</v>
      </c>
    </row>
    <row r="201" spans="3:21" ht="13">
      <c r="C201" s="662" t="s">
        <v>63</v>
      </c>
      <c r="D201" s="663">
        <v>0</v>
      </c>
      <c r="E201" s="663">
        <v>0</v>
      </c>
      <c r="F201" s="663">
        <v>-73.427503644783499</v>
      </c>
      <c r="G201" s="663">
        <v>-0.69683709307213026</v>
      </c>
      <c r="H201" s="663">
        <v>0</v>
      </c>
      <c r="I201" s="663">
        <v>0</v>
      </c>
      <c r="J201" s="663">
        <v>0</v>
      </c>
      <c r="K201" s="663">
        <v>0</v>
      </c>
      <c r="L201" s="663">
        <v>0</v>
      </c>
      <c r="M201" s="663">
        <v>0</v>
      </c>
      <c r="N201" s="663">
        <v>-3.8742860108991213</v>
      </c>
      <c r="O201" s="663">
        <v>0</v>
      </c>
      <c r="P201" s="663">
        <v>0</v>
      </c>
      <c r="Q201" s="663">
        <v>0</v>
      </c>
      <c r="R201" s="663">
        <v>0</v>
      </c>
      <c r="S201" s="663">
        <v>0</v>
      </c>
      <c r="T201" s="663">
        <v>0</v>
      </c>
      <c r="U201" s="665">
        <v>-77.998626748754759</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19.500894978355525</v>
      </c>
      <c r="E203" s="667">
        <v>422.12070263166828</v>
      </c>
      <c r="F203" s="667">
        <v>52.019070978109362</v>
      </c>
      <c r="G203" s="667">
        <v>0.10867819962294367</v>
      </c>
      <c r="H203" s="675">
        <v>242.43281268817773</v>
      </c>
      <c r="I203" s="667">
        <v>0</v>
      </c>
      <c r="J203" s="667">
        <v>985.67379798785544</v>
      </c>
      <c r="K203" s="667">
        <v>195.250455173126</v>
      </c>
      <c r="L203" s="667">
        <v>228.26308150949754</v>
      </c>
      <c r="M203" s="667">
        <v>27.969740685177928</v>
      </c>
      <c r="N203" s="667">
        <v>0.15525017961684728</v>
      </c>
      <c r="O203" s="667">
        <v>9.5256116559040704E-3</v>
      </c>
      <c r="P203" s="667">
        <v>91.581907146552624</v>
      </c>
      <c r="Q203" s="667">
        <v>10.82319895117076</v>
      </c>
      <c r="R203" s="667">
        <v>-40.000168370113556</v>
      </c>
      <c r="S203" s="667">
        <v>0</v>
      </c>
      <c r="T203" s="667">
        <v>0</v>
      </c>
      <c r="U203" s="667">
        <v>2235.9089483504736</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0.77863803143112786</v>
      </c>
      <c r="G206" s="663">
        <v>0</v>
      </c>
      <c r="H206" s="663">
        <v>34.441359514891516</v>
      </c>
      <c r="I206" s="663">
        <v>0</v>
      </c>
      <c r="J206" s="663">
        <v>985.67379798785544</v>
      </c>
      <c r="K206" s="663">
        <v>195.250455173126</v>
      </c>
      <c r="L206" s="663">
        <v>27.099203250664136</v>
      </c>
      <c r="M206" s="663">
        <v>9.7713809684984927</v>
      </c>
      <c r="N206" s="663">
        <v>4.4112574708908179</v>
      </c>
      <c r="O206" s="663">
        <v>6.1733013975271804</v>
      </c>
      <c r="P206" s="663">
        <v>0</v>
      </c>
      <c r="Q206" s="663">
        <v>0</v>
      </c>
      <c r="R206" s="663">
        <v>-560.02259263001122</v>
      </c>
      <c r="S206" s="663">
        <v>0</v>
      </c>
      <c r="T206" s="663">
        <v>0</v>
      </c>
      <c r="U206" s="671">
        <v>703.57680116487347</v>
      </c>
    </row>
    <row r="207" spans="3:21" ht="13">
      <c r="C207" s="670" t="s">
        <v>351</v>
      </c>
      <c r="D207" s="663">
        <v>0</v>
      </c>
      <c r="E207" s="663">
        <v>0</v>
      </c>
      <c r="F207" s="663">
        <v>0</v>
      </c>
      <c r="G207" s="663">
        <v>0</v>
      </c>
      <c r="H207" s="663">
        <v>17.169661952341983</v>
      </c>
      <c r="I207" s="663">
        <v>0</v>
      </c>
      <c r="J207" s="663">
        <v>0</v>
      </c>
      <c r="K207" s="663">
        <v>0</v>
      </c>
      <c r="L207" s="663">
        <v>33.995499480106155</v>
      </c>
      <c r="M207" s="663">
        <v>15.594965202678805</v>
      </c>
      <c r="N207" s="663">
        <v>0</v>
      </c>
      <c r="O207" s="663">
        <v>4.3055711350701857</v>
      </c>
      <c r="P207" s="663">
        <v>0</v>
      </c>
      <c r="Q207" s="663">
        <v>7.5015461547405717</v>
      </c>
      <c r="R207" s="663">
        <v>0</v>
      </c>
      <c r="S207" s="663">
        <v>-71.517574001012974</v>
      </c>
      <c r="T207" s="663">
        <v>0</v>
      </c>
      <c r="U207" s="671">
        <v>7.0496699239247187</v>
      </c>
    </row>
    <row r="208" spans="3:21" ht="13">
      <c r="C208" s="670" t="s">
        <v>352</v>
      </c>
      <c r="D208" s="663">
        <v>0</v>
      </c>
      <c r="E208" s="663">
        <v>0</v>
      </c>
      <c r="F208" s="663">
        <v>0</v>
      </c>
      <c r="G208" s="663">
        <v>0</v>
      </c>
      <c r="H208" s="663">
        <v>0</v>
      </c>
      <c r="I208" s="663">
        <v>0</v>
      </c>
      <c r="J208" s="663">
        <v>0</v>
      </c>
      <c r="K208" s="663">
        <v>0</v>
      </c>
      <c r="L208" s="663">
        <v>39.786073128569313</v>
      </c>
      <c r="M208" s="663">
        <v>0</v>
      </c>
      <c r="N208" s="663">
        <v>0</v>
      </c>
      <c r="O208" s="663">
        <v>-36.089986767130839</v>
      </c>
      <c r="P208" s="663">
        <v>0</v>
      </c>
      <c r="Q208" s="663">
        <v>0</v>
      </c>
      <c r="R208" s="663">
        <v>0</v>
      </c>
      <c r="S208" s="663">
        <v>0</v>
      </c>
      <c r="T208" s="663">
        <v>0</v>
      </c>
      <c r="U208" s="671">
        <v>3.6960863614384749</v>
      </c>
    </row>
    <row r="209" spans="3:21" ht="13">
      <c r="C209" s="670" t="s">
        <v>353</v>
      </c>
      <c r="D209" s="663">
        <v>0</v>
      </c>
      <c r="E209" s="663">
        <v>0</v>
      </c>
      <c r="F209" s="663">
        <v>0</v>
      </c>
      <c r="G209" s="663">
        <v>0</v>
      </c>
      <c r="H209" s="663">
        <v>0</v>
      </c>
      <c r="I209" s="663">
        <v>0</v>
      </c>
      <c r="J209" s="663">
        <v>0</v>
      </c>
      <c r="K209" s="663">
        <v>0</v>
      </c>
      <c r="L209" s="663">
        <v>0</v>
      </c>
      <c r="M209" s="663">
        <v>0</v>
      </c>
      <c r="N209" s="663">
        <v>0</v>
      </c>
      <c r="O209" s="663">
        <v>0</v>
      </c>
      <c r="P209" s="663">
        <v>0</v>
      </c>
      <c r="Q209" s="663">
        <v>0</v>
      </c>
      <c r="R209" s="663">
        <v>0</v>
      </c>
      <c r="S209" s="663">
        <v>0</v>
      </c>
      <c r="T209" s="663">
        <v>0</v>
      </c>
      <c r="U209" s="671">
        <v>0</v>
      </c>
    </row>
    <row r="210" spans="3:21" ht="13">
      <c r="C210" s="670" t="s">
        <v>72</v>
      </c>
      <c r="D210" s="663">
        <v>0</v>
      </c>
      <c r="E210" s="663">
        <v>437.4764681269624</v>
      </c>
      <c r="F210" s="663">
        <v>-433.12141449021158</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4.3550536367508395</v>
      </c>
    </row>
    <row r="211" spans="3:21" ht="13">
      <c r="C211" s="670" t="s">
        <v>354</v>
      </c>
      <c r="D211" s="663">
        <v>0</v>
      </c>
      <c r="E211" s="663">
        <v>0</v>
      </c>
      <c r="F211" s="663">
        <v>0</v>
      </c>
      <c r="G211" s="663">
        <v>0</v>
      </c>
      <c r="H211" s="663">
        <v>0</v>
      </c>
      <c r="I211" s="663">
        <v>0</v>
      </c>
      <c r="J211" s="663">
        <v>0</v>
      </c>
      <c r="K211" s="663">
        <v>0</v>
      </c>
      <c r="L211" s="663">
        <v>58.51202627390122</v>
      </c>
      <c r="M211" s="663">
        <v>0</v>
      </c>
      <c r="N211" s="663">
        <v>-58.51202627390122</v>
      </c>
      <c r="O211" s="663">
        <v>0</v>
      </c>
      <c r="P211" s="663">
        <v>0</v>
      </c>
      <c r="Q211" s="663">
        <v>0</v>
      </c>
      <c r="R211" s="663">
        <v>0</v>
      </c>
      <c r="S211" s="663">
        <v>0</v>
      </c>
      <c r="T211" s="663">
        <v>0</v>
      </c>
      <c r="U211" s="671">
        <v>0</v>
      </c>
    </row>
    <row r="212" spans="3:21" ht="13">
      <c r="C212" s="670" t="s">
        <v>355</v>
      </c>
      <c r="D212" s="663">
        <v>0</v>
      </c>
      <c r="E212" s="663">
        <v>0</v>
      </c>
      <c r="F212" s="663">
        <v>0</v>
      </c>
      <c r="G212" s="663">
        <v>-1.5541621174818701</v>
      </c>
      <c r="H212" s="663">
        <v>0</v>
      </c>
      <c r="I212" s="663">
        <v>0</v>
      </c>
      <c r="J212" s="663">
        <v>0</v>
      </c>
      <c r="K212" s="663">
        <v>0</v>
      </c>
      <c r="L212" s="663">
        <v>0</v>
      </c>
      <c r="M212" s="663">
        <v>0</v>
      </c>
      <c r="N212" s="663">
        <v>0</v>
      </c>
      <c r="O212" s="663">
        <v>0</v>
      </c>
      <c r="P212" s="663">
        <v>0</v>
      </c>
      <c r="Q212" s="663">
        <v>0</v>
      </c>
      <c r="R212" s="663">
        <v>0</v>
      </c>
      <c r="S212" s="663">
        <v>0</v>
      </c>
      <c r="T212" s="663">
        <v>2.1645711942644428</v>
      </c>
      <c r="U212" s="671">
        <v>0.61040907678257272</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22.347786362655235</v>
      </c>
      <c r="S213" s="663">
        <v>0</v>
      </c>
      <c r="T213" s="663">
        <v>-14.526061135725904</v>
      </c>
      <c r="U213" s="671">
        <v>7.8217252269293311</v>
      </c>
    </row>
    <row r="214" spans="3:21" ht="13">
      <c r="C214" s="670" t="s">
        <v>356</v>
      </c>
      <c r="D214" s="663">
        <v>11.574443320312499</v>
      </c>
      <c r="E214" s="663">
        <v>-15.355765495294122</v>
      </c>
      <c r="F214" s="663">
        <v>19.986666106038875</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16.20534393105725</v>
      </c>
    </row>
    <row r="215" spans="3:21" ht="13">
      <c r="C215" s="670" t="s">
        <v>75</v>
      </c>
      <c r="D215" s="663">
        <v>4.5011724023437498</v>
      </c>
      <c r="E215" s="663">
        <v>0</v>
      </c>
      <c r="F215" s="663">
        <v>19.445088820906506</v>
      </c>
      <c r="G215" s="663">
        <v>0</v>
      </c>
      <c r="H215" s="663">
        <v>4.9057031873641765</v>
      </c>
      <c r="I215" s="663">
        <v>0</v>
      </c>
      <c r="J215" s="663">
        <v>0</v>
      </c>
      <c r="K215" s="663">
        <v>0</v>
      </c>
      <c r="L215" s="663">
        <v>0</v>
      </c>
      <c r="M215" s="663">
        <v>0</v>
      </c>
      <c r="N215" s="663">
        <v>0</v>
      </c>
      <c r="O215" s="663">
        <v>0.66895952554966043</v>
      </c>
      <c r="P215" s="663">
        <v>0</v>
      </c>
      <c r="Q215" s="663">
        <v>0</v>
      </c>
      <c r="R215" s="663">
        <v>25.353860621213894</v>
      </c>
      <c r="S215" s="663">
        <v>0</v>
      </c>
      <c r="T215" s="663">
        <v>0</v>
      </c>
      <c r="U215" s="671">
        <v>54.874784557377978</v>
      </c>
    </row>
    <row r="216" spans="3:21" ht="13">
      <c r="C216" s="670" t="s">
        <v>76</v>
      </c>
      <c r="D216" s="663">
        <v>0</v>
      </c>
      <c r="E216" s="663">
        <v>0</v>
      </c>
      <c r="F216" s="663">
        <v>0</v>
      </c>
      <c r="G216" s="663">
        <v>0</v>
      </c>
      <c r="H216" s="663">
        <v>2.7976613964793451</v>
      </c>
      <c r="I216" s="663">
        <v>0</v>
      </c>
      <c r="J216" s="663">
        <v>0</v>
      </c>
      <c r="K216" s="663">
        <v>0</v>
      </c>
      <c r="L216" s="663">
        <v>0</v>
      </c>
      <c r="M216" s="663">
        <v>0</v>
      </c>
      <c r="N216" s="663">
        <v>0</v>
      </c>
      <c r="O216" s="663">
        <v>0.38149928133809252</v>
      </c>
      <c r="P216" s="663">
        <v>0</v>
      </c>
      <c r="Q216" s="663">
        <v>0</v>
      </c>
      <c r="R216" s="663">
        <v>39.822975779719108</v>
      </c>
      <c r="S216" s="663">
        <v>5.5462664454161024</v>
      </c>
      <c r="T216" s="663">
        <v>0</v>
      </c>
      <c r="U216" s="671">
        <v>48.548402902952645</v>
      </c>
    </row>
    <row r="217" spans="3:21" ht="13">
      <c r="C217" s="666" t="s">
        <v>77</v>
      </c>
      <c r="D217" s="667">
        <v>16.075615722656249</v>
      </c>
      <c r="E217" s="667">
        <v>422.12070263166828</v>
      </c>
      <c r="F217" s="667">
        <v>-392.9110215318351</v>
      </c>
      <c r="G217" s="667">
        <v>-1.5541621174818701</v>
      </c>
      <c r="H217" s="675">
        <v>59.314386051077022</v>
      </c>
      <c r="I217" s="667">
        <v>0</v>
      </c>
      <c r="J217" s="667">
        <v>985.67379798785544</v>
      </c>
      <c r="K217" s="667">
        <v>195.250455173126</v>
      </c>
      <c r="L217" s="667">
        <v>159.39280213324082</v>
      </c>
      <c r="M217" s="667">
        <v>25.366346171177295</v>
      </c>
      <c r="N217" s="667">
        <v>-54.100768803010403</v>
      </c>
      <c r="O217" s="667">
        <v>-24.56065542764572</v>
      </c>
      <c r="P217" s="667">
        <v>0</v>
      </c>
      <c r="Q217" s="667">
        <v>7.5015461547405717</v>
      </c>
      <c r="R217" s="667">
        <v>-472.49796986642292</v>
      </c>
      <c r="S217" s="667">
        <v>-65.971307555596866</v>
      </c>
      <c r="T217" s="667">
        <v>-12.361489941461461</v>
      </c>
      <c r="U217" s="667">
        <v>846.73827678208715</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3.4252792556992748</v>
      </c>
      <c r="E219" s="663">
        <v>0</v>
      </c>
      <c r="F219" s="663">
        <v>12.308271650577865</v>
      </c>
      <c r="G219" s="663">
        <v>0</v>
      </c>
      <c r="H219" s="663">
        <v>73.413026523981316</v>
      </c>
      <c r="I219" s="663">
        <v>0</v>
      </c>
      <c r="J219" s="663">
        <v>0</v>
      </c>
      <c r="K219" s="663">
        <v>0</v>
      </c>
      <c r="L219" s="663">
        <v>20.422417009283894</v>
      </c>
      <c r="M219" s="663">
        <v>2.602859968291809</v>
      </c>
      <c r="N219" s="663">
        <v>1.0285361411132812</v>
      </c>
      <c r="O219" s="663">
        <v>10.038234189816116</v>
      </c>
      <c r="P219" s="663">
        <v>3.4088933105468748</v>
      </c>
      <c r="Q219" s="663">
        <v>5.5791983277925228E-4</v>
      </c>
      <c r="R219" s="663">
        <v>125.34883441740973</v>
      </c>
      <c r="S219" s="663">
        <v>17.986846293297361</v>
      </c>
      <c r="T219" s="663">
        <v>2.0558867187500001</v>
      </c>
      <c r="U219" s="671">
        <v>272.03964339860033</v>
      </c>
    </row>
    <row r="220" spans="3:21" ht="13">
      <c r="C220" s="670" t="s">
        <v>79</v>
      </c>
      <c r="D220" s="663">
        <v>0</v>
      </c>
      <c r="E220" s="663">
        <v>0</v>
      </c>
      <c r="F220" s="663">
        <v>299.68098831610791</v>
      </c>
      <c r="G220" s="663">
        <v>0.15795207154289831</v>
      </c>
      <c r="H220" s="663">
        <v>4.9734474054962678</v>
      </c>
      <c r="I220" s="663">
        <v>0</v>
      </c>
      <c r="J220" s="663">
        <v>0</v>
      </c>
      <c r="K220" s="663">
        <v>0</v>
      </c>
      <c r="L220" s="663">
        <v>0</v>
      </c>
      <c r="M220" s="663">
        <v>0</v>
      </c>
      <c r="N220" s="663">
        <v>36.482323005879891</v>
      </c>
      <c r="O220" s="663">
        <v>0.67819737347676379</v>
      </c>
      <c r="P220" s="663">
        <v>0</v>
      </c>
      <c r="Q220" s="663">
        <v>0</v>
      </c>
      <c r="R220" s="663">
        <v>30.954972159028785</v>
      </c>
      <c r="S220" s="663">
        <v>0</v>
      </c>
      <c r="T220" s="663">
        <v>0.65150967495445122</v>
      </c>
      <c r="U220" s="671">
        <v>373.57939000648707</v>
      </c>
    </row>
    <row r="221" spans="3:21" ht="13">
      <c r="C221" s="670" t="s">
        <v>80</v>
      </c>
      <c r="D221" s="663">
        <v>0</v>
      </c>
      <c r="E221" s="663">
        <v>0</v>
      </c>
      <c r="F221" s="663">
        <v>4.6180690607080663</v>
      </c>
      <c r="G221" s="663">
        <v>0</v>
      </c>
      <c r="H221" s="663">
        <v>64.670833332730624</v>
      </c>
      <c r="I221" s="663">
        <v>0</v>
      </c>
      <c r="J221" s="663">
        <v>0</v>
      </c>
      <c r="K221" s="663">
        <v>0</v>
      </c>
      <c r="L221" s="663">
        <v>45.694565750921086</v>
      </c>
      <c r="M221" s="663">
        <v>0</v>
      </c>
      <c r="N221" s="663">
        <v>0</v>
      </c>
      <c r="O221" s="663">
        <v>8.8187499999178112</v>
      </c>
      <c r="P221" s="663">
        <v>71.668518554839707</v>
      </c>
      <c r="Q221" s="663">
        <v>1.8312707461125663</v>
      </c>
      <c r="R221" s="663">
        <v>167.58037418148072</v>
      </c>
      <c r="S221" s="663">
        <v>29.293864289346555</v>
      </c>
      <c r="T221" s="663">
        <v>0</v>
      </c>
      <c r="U221" s="671">
        <v>394.17624591605716</v>
      </c>
    </row>
    <row r="222" spans="3:21" ht="13">
      <c r="C222" s="670" t="s">
        <v>81</v>
      </c>
      <c r="D222" s="663">
        <v>0</v>
      </c>
      <c r="E222" s="663">
        <v>0</v>
      </c>
      <c r="F222" s="663">
        <v>5.9743988488591224</v>
      </c>
      <c r="G222" s="663">
        <v>0</v>
      </c>
      <c r="H222" s="663">
        <v>27.969082753856803</v>
      </c>
      <c r="I222" s="663">
        <v>0</v>
      </c>
      <c r="J222" s="663">
        <v>0</v>
      </c>
      <c r="K222" s="663">
        <v>0</v>
      </c>
      <c r="L222" s="663">
        <v>0.46314310358360405</v>
      </c>
      <c r="M222" s="663">
        <v>5.3454570882310241E-4</v>
      </c>
      <c r="N222" s="663">
        <v>0</v>
      </c>
      <c r="O222" s="663">
        <v>3.8139658300713819</v>
      </c>
      <c r="P222" s="663">
        <v>16.00449528116604</v>
      </c>
      <c r="Q222" s="663">
        <v>0.86463956078668247</v>
      </c>
      <c r="R222" s="663">
        <v>100.94959269616226</v>
      </c>
      <c r="S222" s="663">
        <v>18.690596972952971</v>
      </c>
      <c r="T222" s="663">
        <v>0</v>
      </c>
      <c r="U222" s="671">
        <v>174.73044959314768</v>
      </c>
    </row>
    <row r="223" spans="3:21" ht="13">
      <c r="C223" s="670" t="s">
        <v>82</v>
      </c>
      <c r="D223" s="663">
        <v>0</v>
      </c>
      <c r="E223" s="663">
        <v>0</v>
      </c>
      <c r="F223" s="663">
        <v>27.024104246708042</v>
      </c>
      <c r="G223" s="663">
        <v>0</v>
      </c>
      <c r="H223" s="663">
        <v>1.735774540709758</v>
      </c>
      <c r="I223" s="663">
        <v>0</v>
      </c>
      <c r="J223" s="663">
        <v>0</v>
      </c>
      <c r="K223" s="663">
        <v>0</v>
      </c>
      <c r="L223" s="663">
        <v>2.1723993471697325</v>
      </c>
      <c r="M223" s="663">
        <v>0</v>
      </c>
      <c r="N223" s="663">
        <v>4.6410977021219679</v>
      </c>
      <c r="O223" s="663">
        <v>0.23669652827860335</v>
      </c>
      <c r="P223" s="663">
        <v>0.5</v>
      </c>
      <c r="Q223" s="663">
        <v>0.62518456969816016</v>
      </c>
      <c r="R223" s="663">
        <v>7.6640280422278524</v>
      </c>
      <c r="S223" s="663">
        <v>0</v>
      </c>
      <c r="T223" s="663">
        <v>0.17366238047171115</v>
      </c>
      <c r="U223" s="671">
        <v>44.772947357385839</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0</v>
      </c>
      <c r="S224" s="663">
        <v>0</v>
      </c>
      <c r="T224" s="663">
        <v>0</v>
      </c>
      <c r="U224" s="671">
        <v>0</v>
      </c>
    </row>
    <row r="225" spans="3:21" ht="13">
      <c r="C225" s="666" t="s">
        <v>83</v>
      </c>
      <c r="D225" s="667">
        <v>3.4252792556992748</v>
      </c>
      <c r="E225" s="667">
        <v>0</v>
      </c>
      <c r="F225" s="667">
        <v>349.60583212296103</v>
      </c>
      <c r="G225" s="667">
        <v>0.15795207154289831</v>
      </c>
      <c r="H225" s="675">
        <v>172.76216455677479</v>
      </c>
      <c r="I225" s="667">
        <v>0</v>
      </c>
      <c r="J225" s="667">
        <v>0</v>
      </c>
      <c r="K225" s="667">
        <v>0</v>
      </c>
      <c r="L225" s="667">
        <v>68.752525210958311</v>
      </c>
      <c r="M225" s="667">
        <v>2.603394514000632</v>
      </c>
      <c r="N225" s="667">
        <v>42.151956849115138</v>
      </c>
      <c r="O225" s="667">
        <v>23.585843921560677</v>
      </c>
      <c r="P225" s="667">
        <v>91.581907146552624</v>
      </c>
      <c r="Q225" s="667">
        <v>3.3216527964301883</v>
      </c>
      <c r="R225" s="667">
        <v>432.49780149630931</v>
      </c>
      <c r="S225" s="667">
        <v>65.97130755559688</v>
      </c>
      <c r="T225" s="667">
        <v>2.8810587741761626</v>
      </c>
      <c r="U225" s="667">
        <v>1259.2986762716782</v>
      </c>
    </row>
    <row r="226" spans="3:21" ht="13">
      <c r="C226" s="662" t="s">
        <v>84</v>
      </c>
      <c r="D226" s="663">
        <v>0</v>
      </c>
      <c r="E226" s="663">
        <v>0</v>
      </c>
      <c r="F226" s="663">
        <v>95.324260386983326</v>
      </c>
      <c r="G226" s="663">
        <v>1.5048882455619152</v>
      </c>
      <c r="H226" s="663">
        <v>10.356262080325934</v>
      </c>
      <c r="I226" s="663">
        <v>0</v>
      </c>
      <c r="J226" s="663">
        <v>0</v>
      </c>
      <c r="K226" s="663">
        <v>0</v>
      </c>
      <c r="L226" s="663">
        <v>0.11775416529838639</v>
      </c>
      <c r="M226" s="663">
        <v>0</v>
      </c>
      <c r="N226" s="663">
        <v>8.0702977228109543</v>
      </c>
      <c r="O226" s="663">
        <v>0.98433711774094745</v>
      </c>
      <c r="P226" s="663">
        <v>0</v>
      </c>
      <c r="Q226" s="663">
        <v>0</v>
      </c>
      <c r="R226" s="663">
        <v>0</v>
      </c>
      <c r="S226" s="663">
        <v>0</v>
      </c>
      <c r="T226" s="663">
        <v>9.4804311672852979</v>
      </c>
      <c r="U226" s="671">
        <v>125.83823088600677</v>
      </c>
    </row>
    <row r="227" spans="3:21" ht="13">
      <c r="C227" s="666" t="s">
        <v>85</v>
      </c>
      <c r="D227" s="667">
        <v>3.4252792556992748</v>
      </c>
      <c r="E227" s="667">
        <v>0</v>
      </c>
      <c r="F227" s="667">
        <v>444.9300925099443</v>
      </c>
      <c r="G227" s="667">
        <v>1.6628403171048136</v>
      </c>
      <c r="H227" s="675">
        <v>183.11842663710073</v>
      </c>
      <c r="I227" s="667">
        <v>0</v>
      </c>
      <c r="J227" s="667">
        <v>0</v>
      </c>
      <c r="K227" s="667">
        <v>0</v>
      </c>
      <c r="L227" s="667">
        <v>68.870279376256704</v>
      </c>
      <c r="M227" s="667">
        <v>2.603394514000632</v>
      </c>
      <c r="N227" s="667">
        <v>50.222254571926094</v>
      </c>
      <c r="O227" s="667">
        <v>24.570181039301623</v>
      </c>
      <c r="P227" s="667">
        <v>91.581907146552624</v>
      </c>
      <c r="Q227" s="667">
        <v>3.3216527964301883</v>
      </c>
      <c r="R227" s="667">
        <v>432.49780149630931</v>
      </c>
      <c r="S227" s="667">
        <v>65.97130755559688</v>
      </c>
      <c r="T227" s="667">
        <v>12.361489941461461</v>
      </c>
      <c r="U227" s="667">
        <v>1385.1369071576848</v>
      </c>
    </row>
    <row r="228" spans="3:21">
      <c r="C228" s="654"/>
      <c r="D228" s="672">
        <v>0</v>
      </c>
      <c r="E228" s="672">
        <v>0</v>
      </c>
      <c r="F228" s="672">
        <v>-1.6342482922482304E-13</v>
      </c>
      <c r="G228" s="672">
        <v>-1.1102230246251565E-16</v>
      </c>
      <c r="H228" s="672">
        <v>0</v>
      </c>
      <c r="I228" s="672">
        <v>0</v>
      </c>
      <c r="J228" s="672">
        <v>0</v>
      </c>
      <c r="K228" s="672">
        <v>0</v>
      </c>
      <c r="L228" s="672">
        <v>0</v>
      </c>
      <c r="M228" s="672">
        <v>0</v>
      </c>
      <c r="N228" s="672">
        <v>-4.0337644107011572</v>
      </c>
      <c r="O228" s="672">
        <v>-1.2490009027033011E-15</v>
      </c>
      <c r="P228" s="672">
        <v>0</v>
      </c>
      <c r="Q228" s="672">
        <v>0</v>
      </c>
      <c r="R228" s="672">
        <v>-5.6843418860808015E-14</v>
      </c>
      <c r="S228" s="672">
        <v>1.4210854715202004E-14</v>
      </c>
      <c r="T228" s="672">
        <v>0</v>
      </c>
      <c r="U228" s="672">
        <v>-4.0337644107016786</v>
      </c>
    </row>
    <row r="229" spans="3:21">
      <c r="C229" s="654"/>
      <c r="D229" s="654"/>
      <c r="E229" s="654"/>
      <c r="F229" s="654"/>
      <c r="G229" s="654"/>
      <c r="H229" s="654"/>
      <c r="I229" s="654"/>
      <c r="J229" s="654"/>
      <c r="K229" s="654"/>
      <c r="L229" s="654"/>
      <c r="M229" s="654"/>
      <c r="N229" s="654"/>
      <c r="O229" s="654"/>
      <c r="P229" s="654"/>
      <c r="Q229" s="654"/>
      <c r="R229" s="654"/>
      <c r="S229" s="654"/>
      <c r="T229" s="654"/>
      <c r="U229" s="654"/>
    </row>
    <row r="230" spans="3:21" ht="14.5">
      <c r="C230" s="658" t="s">
        <v>360</v>
      </c>
      <c r="D230" s="659"/>
      <c r="E230" s="659"/>
      <c r="F230" s="659"/>
      <c r="G230" s="659"/>
      <c r="H230" s="659"/>
      <c r="I230" s="659"/>
      <c r="J230" s="659"/>
      <c r="K230" s="659"/>
      <c r="L230" s="659"/>
      <c r="M230" s="659"/>
      <c r="N230" s="659"/>
      <c r="O230" s="659"/>
      <c r="P230" s="659"/>
      <c r="Q230" s="659"/>
      <c r="R230" s="659"/>
      <c r="S230" s="659"/>
      <c r="T230" s="659"/>
      <c r="U230" s="659"/>
    </row>
    <row r="231" spans="3:21">
      <c r="C231" s="654"/>
      <c r="D231" s="654"/>
      <c r="E231" s="654"/>
      <c r="F231" s="654"/>
      <c r="G231" s="654"/>
      <c r="H231" s="654"/>
      <c r="I231" s="654"/>
      <c r="J231" s="654"/>
      <c r="K231" s="654"/>
      <c r="L231" s="654"/>
      <c r="M231" s="654"/>
      <c r="N231" s="654"/>
      <c r="O231" s="654"/>
      <c r="P231" s="654"/>
      <c r="Q231" s="654"/>
      <c r="R231" s="654"/>
      <c r="S231" s="654"/>
      <c r="T231" s="654"/>
      <c r="U231" s="654"/>
    </row>
    <row r="232" spans="3:21" ht="13">
      <c r="C232" s="706" t="s">
        <v>128</v>
      </c>
      <c r="D232" s="704" t="s">
        <v>42</v>
      </c>
      <c r="E232" s="704" t="s">
        <v>52</v>
      </c>
      <c r="F232" s="704" t="s">
        <v>53</v>
      </c>
      <c r="G232" s="704" t="s">
        <v>487</v>
      </c>
      <c r="H232" s="704" t="s">
        <v>32</v>
      </c>
      <c r="I232" s="704" t="s">
        <v>488</v>
      </c>
      <c r="J232" s="704" t="s">
        <v>20</v>
      </c>
      <c r="K232" s="704" t="s">
        <v>55</v>
      </c>
      <c r="L232" s="708" t="s">
        <v>56</v>
      </c>
      <c r="M232" s="709"/>
      <c r="N232" s="709"/>
      <c r="O232" s="709"/>
      <c r="P232" s="709"/>
      <c r="Q232" s="710"/>
      <c r="R232" s="704" t="s">
        <v>57</v>
      </c>
      <c r="S232" s="704" t="s">
        <v>58</v>
      </c>
      <c r="T232" s="704" t="s">
        <v>31</v>
      </c>
      <c r="U232" s="704" t="s">
        <v>10</v>
      </c>
    </row>
    <row r="233" spans="3:21" ht="36">
      <c r="C233" s="707"/>
      <c r="D233" s="705"/>
      <c r="E233" s="705"/>
      <c r="F233" s="705"/>
      <c r="G233" s="705"/>
      <c r="H233" s="705"/>
      <c r="I233" s="705"/>
      <c r="J233" s="705"/>
      <c r="K233" s="705"/>
      <c r="L233" s="660" t="s">
        <v>338</v>
      </c>
      <c r="M233" s="660" t="s">
        <v>40</v>
      </c>
      <c r="N233" s="660" t="s">
        <v>346</v>
      </c>
      <c r="O233" s="660" t="s">
        <v>347</v>
      </c>
      <c r="P233" s="661" t="s">
        <v>348</v>
      </c>
      <c r="Q233" s="660" t="s">
        <v>349</v>
      </c>
      <c r="R233" s="705"/>
      <c r="S233" s="705"/>
      <c r="T233" s="705"/>
      <c r="U233" s="705"/>
    </row>
    <row r="234" spans="3:21" ht="13">
      <c r="C234" s="662" t="s">
        <v>59</v>
      </c>
      <c r="D234" s="663">
        <v>0</v>
      </c>
      <c r="E234" s="663">
        <v>7.3966799999999999</v>
      </c>
      <c r="F234" s="663">
        <v>0</v>
      </c>
      <c r="G234" s="663">
        <v>0</v>
      </c>
      <c r="H234" s="663">
        <v>0.13025600000000001</v>
      </c>
      <c r="I234" s="663">
        <v>0</v>
      </c>
      <c r="J234" s="664">
        <v>971.7407012865051</v>
      </c>
      <c r="K234" s="664">
        <v>238.60019675974834</v>
      </c>
      <c r="L234" s="664">
        <v>253.57041800278802</v>
      </c>
      <c r="M234" s="664">
        <v>27.222029344024044</v>
      </c>
      <c r="N234" s="663">
        <v>1.4753548538560814</v>
      </c>
      <c r="O234" s="663">
        <v>0.15089220372740705</v>
      </c>
      <c r="P234" s="664">
        <v>105.39487042391544</v>
      </c>
      <c r="Q234" s="664">
        <v>15.052128201204939</v>
      </c>
      <c r="R234" s="663">
        <v>0</v>
      </c>
      <c r="S234" s="663">
        <v>0</v>
      </c>
      <c r="T234" s="663">
        <v>0</v>
      </c>
      <c r="U234" s="665">
        <v>1620.7335270757692</v>
      </c>
    </row>
    <row r="235" spans="3:21" ht="13">
      <c r="C235" s="662" t="s">
        <v>60</v>
      </c>
      <c r="D235" s="663">
        <v>17.481730816264069</v>
      </c>
      <c r="E235" s="663">
        <v>368.30859161745235</v>
      </c>
      <c r="F235" s="663">
        <v>88.290951016716463</v>
      </c>
      <c r="G235" s="663">
        <v>0.96271456308499825</v>
      </c>
      <c r="H235" s="663">
        <v>189.89235302255372</v>
      </c>
      <c r="I235" s="663">
        <v>0</v>
      </c>
      <c r="J235" s="663">
        <v>0</v>
      </c>
      <c r="K235" s="663">
        <v>0</v>
      </c>
      <c r="L235" s="663">
        <v>3.0227324829465219</v>
      </c>
      <c r="M235" s="663">
        <v>0</v>
      </c>
      <c r="N235" s="663">
        <v>3.4911647532197585</v>
      </c>
      <c r="O235" s="663">
        <v>0</v>
      </c>
      <c r="P235" s="663">
        <v>0</v>
      </c>
      <c r="Q235" s="663">
        <v>0</v>
      </c>
      <c r="R235" s="663">
        <v>0</v>
      </c>
      <c r="S235" s="663">
        <v>0</v>
      </c>
      <c r="T235" s="663">
        <v>0</v>
      </c>
      <c r="U235" s="665">
        <v>671.45023827223793</v>
      </c>
    </row>
    <row r="236" spans="3:21" ht="13">
      <c r="C236" s="662" t="s">
        <v>61</v>
      </c>
      <c r="D236" s="663">
        <v>0</v>
      </c>
      <c r="E236" s="663">
        <v>0</v>
      </c>
      <c r="F236" s="663">
        <v>-0.25412033446216642</v>
      </c>
      <c r="G236" s="663">
        <v>0</v>
      </c>
      <c r="H236" s="663">
        <v>0</v>
      </c>
      <c r="I236" s="663">
        <v>0</v>
      </c>
      <c r="J236" s="663">
        <v>0</v>
      </c>
      <c r="K236" s="663">
        <v>0</v>
      </c>
      <c r="L236" s="663">
        <v>0</v>
      </c>
      <c r="M236" s="663">
        <v>0</v>
      </c>
      <c r="N236" s="663">
        <v>0</v>
      </c>
      <c r="O236" s="663">
        <v>0</v>
      </c>
      <c r="P236" s="663">
        <v>0</v>
      </c>
      <c r="Q236" s="663">
        <v>0</v>
      </c>
      <c r="R236" s="663">
        <v>-39.430412100204194</v>
      </c>
      <c r="S236" s="663">
        <v>0</v>
      </c>
      <c r="T236" s="663">
        <v>0</v>
      </c>
      <c r="U236" s="665">
        <v>-39.684532434666359</v>
      </c>
    </row>
    <row r="237" spans="3:21" ht="13">
      <c r="C237" s="662" t="s">
        <v>62</v>
      </c>
      <c r="D237" s="663">
        <v>0</v>
      </c>
      <c r="E237" s="663">
        <v>0</v>
      </c>
      <c r="F237" s="663">
        <v>-14.25530176013427</v>
      </c>
      <c r="G237" s="663">
        <v>-0.84519248028876315</v>
      </c>
      <c r="H237" s="663">
        <v>-3.1313337287141003</v>
      </c>
      <c r="I237" s="663">
        <v>0</v>
      </c>
      <c r="J237" s="663">
        <v>0</v>
      </c>
      <c r="K237" s="663">
        <v>0</v>
      </c>
      <c r="L237" s="663">
        <v>0</v>
      </c>
      <c r="M237" s="663">
        <v>0</v>
      </c>
      <c r="N237" s="663">
        <v>-0.51271510605917692</v>
      </c>
      <c r="O237" s="663">
        <v>-0.83237985193665964</v>
      </c>
      <c r="P237" s="663">
        <v>0</v>
      </c>
      <c r="Q237" s="663">
        <v>0</v>
      </c>
      <c r="R237" s="663">
        <v>0</v>
      </c>
      <c r="S237" s="663">
        <v>0</v>
      </c>
      <c r="T237" s="663">
        <v>0</v>
      </c>
      <c r="U237" s="665">
        <v>-19.576922927132969</v>
      </c>
    </row>
    <row r="238" spans="3:21" ht="13">
      <c r="C238" s="662" t="s">
        <v>63</v>
      </c>
      <c r="D238" s="663">
        <v>0</v>
      </c>
      <c r="E238" s="663">
        <v>0</v>
      </c>
      <c r="F238" s="663">
        <v>-65.50346802559632</v>
      </c>
      <c r="G238" s="663">
        <v>-2.6636790811189917</v>
      </c>
      <c r="H238" s="663">
        <v>0</v>
      </c>
      <c r="I238" s="663">
        <v>0</v>
      </c>
      <c r="J238" s="663">
        <v>0</v>
      </c>
      <c r="K238" s="663">
        <v>0</v>
      </c>
      <c r="L238" s="663">
        <v>0</v>
      </c>
      <c r="M238" s="663">
        <v>0</v>
      </c>
      <c r="N238" s="663">
        <v>-8.704547136030067</v>
      </c>
      <c r="O238" s="663">
        <v>0</v>
      </c>
      <c r="P238" s="663">
        <v>0</v>
      </c>
      <c r="Q238" s="663">
        <v>0</v>
      </c>
      <c r="R238" s="663">
        <v>0</v>
      </c>
      <c r="S238" s="663">
        <v>0</v>
      </c>
      <c r="T238" s="663">
        <v>-8.5933245803094055E-2</v>
      </c>
      <c r="U238" s="665">
        <v>-76.957627488548468</v>
      </c>
    </row>
    <row r="239" spans="3:21" ht="13">
      <c r="C239" s="662" t="s">
        <v>64</v>
      </c>
      <c r="D239" s="663">
        <v>0</v>
      </c>
      <c r="E239" s="663">
        <v>0</v>
      </c>
      <c r="F239" s="663">
        <v>0</v>
      </c>
      <c r="G239" s="663">
        <v>0</v>
      </c>
      <c r="H239" s="663">
        <v>0</v>
      </c>
      <c r="I239" s="663">
        <v>0</v>
      </c>
      <c r="J239" s="663">
        <v>0</v>
      </c>
      <c r="K239" s="663">
        <v>0</v>
      </c>
      <c r="L239" s="663">
        <v>0</v>
      </c>
      <c r="M239" s="663">
        <v>0</v>
      </c>
      <c r="N239" s="663">
        <v>0</v>
      </c>
      <c r="O239" s="663">
        <v>0</v>
      </c>
      <c r="P239" s="663">
        <v>0</v>
      </c>
      <c r="Q239" s="663">
        <v>0</v>
      </c>
      <c r="R239" s="663">
        <v>0</v>
      </c>
      <c r="S239" s="663">
        <v>0</v>
      </c>
      <c r="T239" s="663">
        <v>0</v>
      </c>
      <c r="U239" s="665">
        <v>0</v>
      </c>
    </row>
    <row r="240" spans="3:21" ht="13">
      <c r="C240" s="666" t="s">
        <v>65</v>
      </c>
      <c r="D240" s="667">
        <v>17.481730816264069</v>
      </c>
      <c r="E240" s="667">
        <v>375.70527161745235</v>
      </c>
      <c r="F240" s="667">
        <v>8.2780608965236979</v>
      </c>
      <c r="G240" s="667">
        <v>-2.5461569983227568</v>
      </c>
      <c r="H240" s="675">
        <v>186.89127529383961</v>
      </c>
      <c r="I240" s="667">
        <v>0</v>
      </c>
      <c r="J240" s="667">
        <v>971.7407012865051</v>
      </c>
      <c r="K240" s="667">
        <v>238.60019675974834</v>
      </c>
      <c r="L240" s="667">
        <v>256.59315048573455</v>
      </c>
      <c r="M240" s="667">
        <v>27.222029344024044</v>
      </c>
      <c r="N240" s="667">
        <v>-4.2507426350134043</v>
      </c>
      <c r="O240" s="667">
        <v>-0.68148764820925256</v>
      </c>
      <c r="P240" s="667">
        <v>105.39487042391544</v>
      </c>
      <c r="Q240" s="667">
        <v>15.052128201204939</v>
      </c>
      <c r="R240" s="667">
        <v>-39.430412100204194</v>
      </c>
      <c r="S240" s="667">
        <v>0</v>
      </c>
      <c r="T240" s="667">
        <v>-8.5933245803094055E-2</v>
      </c>
      <c r="U240" s="667">
        <v>2155.9646824976594</v>
      </c>
    </row>
    <row r="241" spans="3:21" ht="13">
      <c r="C241" s="668"/>
      <c r="D241" s="669">
        <v>0</v>
      </c>
      <c r="E241" s="669">
        <v>0</v>
      </c>
      <c r="F241" s="669">
        <v>0</v>
      </c>
      <c r="G241" s="669">
        <v>0</v>
      </c>
      <c r="H241" s="676">
        <v>0</v>
      </c>
      <c r="I241" s="669">
        <v>0</v>
      </c>
      <c r="J241" s="669">
        <v>0</v>
      </c>
      <c r="K241" s="669">
        <v>0</v>
      </c>
      <c r="L241" s="669">
        <v>0</v>
      </c>
      <c r="M241" s="669">
        <v>0</v>
      </c>
      <c r="N241" s="669">
        <v>0</v>
      </c>
      <c r="O241" s="669">
        <v>0</v>
      </c>
      <c r="P241" s="669">
        <v>0</v>
      </c>
      <c r="Q241" s="669">
        <v>0</v>
      </c>
      <c r="R241" s="669">
        <v>0</v>
      </c>
      <c r="S241" s="669">
        <v>0</v>
      </c>
      <c r="T241" s="669">
        <v>0</v>
      </c>
      <c r="U241" s="669">
        <v>0</v>
      </c>
    </row>
    <row r="242" spans="3:21" ht="13">
      <c r="C242" s="670" t="s">
        <v>67</v>
      </c>
      <c r="D242" s="663">
        <v>0</v>
      </c>
      <c r="E242" s="663">
        <v>0</v>
      </c>
      <c r="F242" s="663">
        <v>0</v>
      </c>
      <c r="G242" s="663">
        <v>0</v>
      </c>
      <c r="H242" s="663">
        <v>0</v>
      </c>
      <c r="I242" s="663">
        <v>0</v>
      </c>
      <c r="J242" s="663">
        <v>0</v>
      </c>
      <c r="K242" s="663">
        <v>0</v>
      </c>
      <c r="L242" s="663">
        <v>0</v>
      </c>
      <c r="M242" s="663">
        <v>0</v>
      </c>
      <c r="N242" s="663">
        <v>0</v>
      </c>
      <c r="O242" s="663">
        <v>0</v>
      </c>
      <c r="P242" s="663">
        <v>0</v>
      </c>
      <c r="Q242" s="663">
        <v>0</v>
      </c>
      <c r="R242" s="663">
        <v>0</v>
      </c>
      <c r="S242" s="663">
        <v>0</v>
      </c>
      <c r="T242" s="663">
        <v>0</v>
      </c>
      <c r="U242" s="671">
        <v>0</v>
      </c>
    </row>
    <row r="243" spans="3:21" ht="13">
      <c r="C243" s="670" t="s">
        <v>350</v>
      </c>
      <c r="D243" s="663">
        <v>0</v>
      </c>
      <c r="E243" s="663">
        <v>0</v>
      </c>
      <c r="F243" s="663">
        <v>0.79278558393774012</v>
      </c>
      <c r="G243" s="663">
        <v>0</v>
      </c>
      <c r="H243" s="663">
        <v>19.865967473344622</v>
      </c>
      <c r="I243" s="663">
        <v>0</v>
      </c>
      <c r="J243" s="663">
        <v>971.7407012865051</v>
      </c>
      <c r="K243" s="663">
        <v>238.60019675974834</v>
      </c>
      <c r="L243" s="663">
        <v>26.063195396520957</v>
      </c>
      <c r="M243" s="663">
        <v>9.83092180533645</v>
      </c>
      <c r="N243" s="663">
        <v>4.7819832265678626</v>
      </c>
      <c r="O243" s="663">
        <v>4.4668310287108053</v>
      </c>
      <c r="P243" s="663">
        <v>0</v>
      </c>
      <c r="Q243" s="663">
        <v>1.6766395861963883</v>
      </c>
      <c r="R243" s="663">
        <v>-590.46816243021931</v>
      </c>
      <c r="S243" s="663">
        <v>0</v>
      </c>
      <c r="T243" s="663">
        <v>0</v>
      </c>
      <c r="U243" s="671">
        <v>687.35105971664882</v>
      </c>
    </row>
    <row r="244" spans="3:21" ht="13">
      <c r="C244" s="670" t="s">
        <v>351</v>
      </c>
      <c r="D244" s="663">
        <v>0</v>
      </c>
      <c r="E244" s="663">
        <v>0</v>
      </c>
      <c r="F244" s="663">
        <v>0</v>
      </c>
      <c r="G244" s="663">
        <v>0</v>
      </c>
      <c r="H244" s="663">
        <v>14.235464329282825</v>
      </c>
      <c r="I244" s="663">
        <v>0</v>
      </c>
      <c r="J244" s="663">
        <v>0</v>
      </c>
      <c r="K244" s="663">
        <v>0</v>
      </c>
      <c r="L244" s="663">
        <v>35.236777417757288</v>
      </c>
      <c r="M244" s="663">
        <v>14.842062220534972</v>
      </c>
      <c r="N244" s="663">
        <v>0</v>
      </c>
      <c r="O244" s="663">
        <v>4.2657087375224645</v>
      </c>
      <c r="P244" s="663">
        <v>0</v>
      </c>
      <c r="Q244" s="663">
        <v>9.4996550719303219</v>
      </c>
      <c r="R244" s="663">
        <v>0</v>
      </c>
      <c r="S244" s="663">
        <v>-71.457959708478597</v>
      </c>
      <c r="T244" s="663">
        <v>0</v>
      </c>
      <c r="U244" s="671">
        <v>6.6217080685492906</v>
      </c>
    </row>
    <row r="245" spans="3:21" ht="13">
      <c r="C245" s="670" t="s">
        <v>352</v>
      </c>
      <c r="D245" s="663">
        <v>0</v>
      </c>
      <c r="E245" s="663">
        <v>0</v>
      </c>
      <c r="F245" s="663">
        <v>0</v>
      </c>
      <c r="G245" s="663">
        <v>0</v>
      </c>
      <c r="H245" s="663">
        <v>0</v>
      </c>
      <c r="I245" s="663">
        <v>0</v>
      </c>
      <c r="J245" s="663">
        <v>0</v>
      </c>
      <c r="K245" s="663">
        <v>0</v>
      </c>
      <c r="L245" s="663">
        <v>54.240393023043787</v>
      </c>
      <c r="M245" s="663">
        <v>0</v>
      </c>
      <c r="N245" s="663">
        <v>0</v>
      </c>
      <c r="O245" s="663">
        <v>-49.062756106209015</v>
      </c>
      <c r="P245" s="663">
        <v>0</v>
      </c>
      <c r="Q245" s="663">
        <v>0</v>
      </c>
      <c r="R245" s="663">
        <v>0</v>
      </c>
      <c r="S245" s="663">
        <v>0</v>
      </c>
      <c r="T245" s="663">
        <v>0</v>
      </c>
      <c r="U245" s="671">
        <v>5.1776369168347713</v>
      </c>
    </row>
    <row r="246" spans="3:21" ht="13">
      <c r="C246" s="670" t="s">
        <v>353</v>
      </c>
      <c r="D246" s="663">
        <v>0</v>
      </c>
      <c r="E246" s="663">
        <v>0</v>
      </c>
      <c r="F246" s="663">
        <v>0</v>
      </c>
      <c r="G246" s="663">
        <v>0</v>
      </c>
      <c r="H246" s="663">
        <v>0</v>
      </c>
      <c r="I246" s="663">
        <v>0</v>
      </c>
      <c r="J246" s="663">
        <v>0</v>
      </c>
      <c r="K246" s="663">
        <v>0</v>
      </c>
      <c r="L246" s="663">
        <v>0</v>
      </c>
      <c r="M246" s="663">
        <v>0</v>
      </c>
      <c r="N246" s="663">
        <v>0</v>
      </c>
      <c r="O246" s="663">
        <v>0</v>
      </c>
      <c r="P246" s="663">
        <v>0</v>
      </c>
      <c r="Q246" s="663">
        <v>0</v>
      </c>
      <c r="R246" s="663">
        <v>0</v>
      </c>
      <c r="S246" s="663">
        <v>0</v>
      </c>
      <c r="T246" s="663">
        <v>0</v>
      </c>
      <c r="U246" s="671">
        <v>0</v>
      </c>
    </row>
    <row r="247" spans="3:21" ht="13">
      <c r="C247" s="670" t="s">
        <v>72</v>
      </c>
      <c r="D247" s="663">
        <v>0</v>
      </c>
      <c r="E247" s="663">
        <v>389.35548440642862</v>
      </c>
      <c r="F247" s="663">
        <v>-385.47782639146612</v>
      </c>
      <c r="G247" s="663">
        <v>0</v>
      </c>
      <c r="H247" s="663">
        <v>0</v>
      </c>
      <c r="I247" s="663">
        <v>0</v>
      </c>
      <c r="J247" s="663">
        <v>0</v>
      </c>
      <c r="K247" s="663">
        <v>0</v>
      </c>
      <c r="L247" s="663">
        <v>0</v>
      </c>
      <c r="M247" s="663">
        <v>0</v>
      </c>
      <c r="N247" s="663">
        <v>0</v>
      </c>
      <c r="O247" s="663">
        <v>0</v>
      </c>
      <c r="P247" s="663">
        <v>0</v>
      </c>
      <c r="Q247" s="663">
        <v>0</v>
      </c>
      <c r="R247" s="663">
        <v>0</v>
      </c>
      <c r="S247" s="663">
        <v>0</v>
      </c>
      <c r="T247" s="663">
        <v>0</v>
      </c>
      <c r="U247" s="671">
        <v>3.8776580149625208</v>
      </c>
    </row>
    <row r="248" spans="3:21" ht="13">
      <c r="C248" s="670" t="s">
        <v>354</v>
      </c>
      <c r="D248" s="663">
        <v>0</v>
      </c>
      <c r="E248" s="663">
        <v>0</v>
      </c>
      <c r="F248" s="663">
        <v>0</v>
      </c>
      <c r="G248" s="663">
        <v>0</v>
      </c>
      <c r="H248" s="663">
        <v>0</v>
      </c>
      <c r="I248" s="663">
        <v>0</v>
      </c>
      <c r="J248" s="663">
        <v>0</v>
      </c>
      <c r="K248" s="663">
        <v>0</v>
      </c>
      <c r="L248" s="663">
        <v>76.110674115305528</v>
      </c>
      <c r="M248" s="663">
        <v>0</v>
      </c>
      <c r="N248" s="663">
        <v>-76.110674115305528</v>
      </c>
      <c r="O248" s="663">
        <v>0</v>
      </c>
      <c r="P248" s="663">
        <v>0</v>
      </c>
      <c r="Q248" s="663">
        <v>0</v>
      </c>
      <c r="R248" s="663">
        <v>0</v>
      </c>
      <c r="S248" s="663">
        <v>0</v>
      </c>
      <c r="T248" s="663">
        <v>0</v>
      </c>
      <c r="U248" s="671">
        <v>0</v>
      </c>
    </row>
    <row r="249" spans="3:21" ht="13">
      <c r="C249" s="670" t="s">
        <v>355</v>
      </c>
      <c r="D249" s="663">
        <v>0</v>
      </c>
      <c r="E249" s="663">
        <v>0</v>
      </c>
      <c r="F249" s="663">
        <v>0</v>
      </c>
      <c r="G249" s="663">
        <v>-5.3679652793818873</v>
      </c>
      <c r="H249" s="663">
        <v>0</v>
      </c>
      <c r="I249" s="663">
        <v>0</v>
      </c>
      <c r="J249" s="663">
        <v>0</v>
      </c>
      <c r="K249" s="663">
        <v>0</v>
      </c>
      <c r="L249" s="663">
        <v>0</v>
      </c>
      <c r="M249" s="663">
        <v>0</v>
      </c>
      <c r="N249" s="663">
        <v>0</v>
      </c>
      <c r="O249" s="663">
        <v>0</v>
      </c>
      <c r="P249" s="663">
        <v>0</v>
      </c>
      <c r="Q249" s="663">
        <v>0</v>
      </c>
      <c r="R249" s="663">
        <v>0</v>
      </c>
      <c r="S249" s="663">
        <v>0</v>
      </c>
      <c r="T249" s="663">
        <v>7.4762747623703172</v>
      </c>
      <c r="U249" s="671">
        <v>2.1083094829884299</v>
      </c>
    </row>
    <row r="250" spans="3:21" ht="13">
      <c r="C250" s="670" t="s">
        <v>73</v>
      </c>
      <c r="D250" s="663">
        <v>0</v>
      </c>
      <c r="E250" s="663">
        <v>0</v>
      </c>
      <c r="F250" s="663">
        <v>0</v>
      </c>
      <c r="G250" s="663">
        <v>0</v>
      </c>
      <c r="H250" s="663">
        <v>0</v>
      </c>
      <c r="I250" s="663">
        <v>0</v>
      </c>
      <c r="J250" s="663">
        <v>0</v>
      </c>
      <c r="K250" s="663">
        <v>0</v>
      </c>
      <c r="L250" s="663">
        <v>0</v>
      </c>
      <c r="M250" s="663">
        <v>0</v>
      </c>
      <c r="N250" s="663">
        <v>0</v>
      </c>
      <c r="O250" s="663">
        <v>0</v>
      </c>
      <c r="P250" s="663">
        <v>0</v>
      </c>
      <c r="Q250" s="663">
        <v>0</v>
      </c>
      <c r="R250" s="663">
        <v>40.318919655124205</v>
      </c>
      <c r="S250" s="663">
        <v>0</v>
      </c>
      <c r="T250" s="663">
        <v>-26.630646432209534</v>
      </c>
      <c r="U250" s="671">
        <v>13.68827322291467</v>
      </c>
    </row>
    <row r="251" spans="3:21" ht="13">
      <c r="C251" s="670" t="s">
        <v>356</v>
      </c>
      <c r="D251" s="663">
        <v>10.05823125</v>
      </c>
      <c r="E251" s="663">
        <v>-13.65021278897626</v>
      </c>
      <c r="F251" s="663">
        <v>17.774822682354454</v>
      </c>
      <c r="G251" s="663">
        <v>0</v>
      </c>
      <c r="H251" s="663">
        <v>0</v>
      </c>
      <c r="I251" s="663">
        <v>0</v>
      </c>
      <c r="J251" s="663">
        <v>0</v>
      </c>
      <c r="K251" s="663">
        <v>0</v>
      </c>
      <c r="L251" s="663">
        <v>0</v>
      </c>
      <c r="M251" s="663">
        <v>0</v>
      </c>
      <c r="N251" s="663">
        <v>0</v>
      </c>
      <c r="O251" s="663">
        <v>0</v>
      </c>
      <c r="P251" s="663">
        <v>0</v>
      </c>
      <c r="Q251" s="663">
        <v>0</v>
      </c>
      <c r="R251" s="663">
        <v>0</v>
      </c>
      <c r="S251" s="663">
        <v>0</v>
      </c>
      <c r="T251" s="663">
        <v>0</v>
      </c>
      <c r="U251" s="671">
        <v>14.182841143378196</v>
      </c>
    </row>
    <row r="252" spans="3:21" ht="13">
      <c r="C252" s="670" t="s">
        <v>75</v>
      </c>
      <c r="D252" s="663">
        <v>3.9115343750000005</v>
      </c>
      <c r="E252" s="663">
        <v>0</v>
      </c>
      <c r="F252" s="663">
        <v>18.970841206198273</v>
      </c>
      <c r="G252" s="663">
        <v>0</v>
      </c>
      <c r="H252" s="663">
        <v>4.3082366200216411</v>
      </c>
      <c r="I252" s="663">
        <v>0</v>
      </c>
      <c r="J252" s="663">
        <v>0</v>
      </c>
      <c r="K252" s="663">
        <v>0</v>
      </c>
      <c r="L252" s="663">
        <v>0</v>
      </c>
      <c r="M252" s="663">
        <v>0</v>
      </c>
      <c r="N252" s="663">
        <v>0</v>
      </c>
      <c r="O252" s="663">
        <v>1.1452274559551199</v>
      </c>
      <c r="P252" s="663">
        <v>0</v>
      </c>
      <c r="Q252" s="663">
        <v>0</v>
      </c>
      <c r="R252" s="663">
        <v>24.58367294682958</v>
      </c>
      <c r="S252" s="663">
        <v>0</v>
      </c>
      <c r="T252" s="663">
        <v>0</v>
      </c>
      <c r="U252" s="671">
        <v>52.919512604004616</v>
      </c>
    </row>
    <row r="253" spans="3:21" ht="13">
      <c r="C253" s="670" t="s">
        <v>76</v>
      </c>
      <c r="D253" s="663">
        <v>0</v>
      </c>
      <c r="E253" s="663">
        <v>0</v>
      </c>
      <c r="F253" s="663">
        <v>0</v>
      </c>
      <c r="G253" s="663">
        <v>0</v>
      </c>
      <c r="H253" s="663">
        <v>2.138992514097271</v>
      </c>
      <c r="I253" s="663">
        <v>0</v>
      </c>
      <c r="J253" s="663">
        <v>0</v>
      </c>
      <c r="K253" s="663">
        <v>0</v>
      </c>
      <c r="L253" s="663">
        <v>0</v>
      </c>
      <c r="M253" s="663">
        <v>0</v>
      </c>
      <c r="N253" s="663">
        <v>0</v>
      </c>
      <c r="O253" s="663">
        <v>0.56859294678535055</v>
      </c>
      <c r="P253" s="663">
        <v>0</v>
      </c>
      <c r="Q253" s="663">
        <v>0</v>
      </c>
      <c r="R253" s="663">
        <v>42.191455549105193</v>
      </c>
      <c r="S253" s="663">
        <v>5.5417484036628721</v>
      </c>
      <c r="T253" s="663">
        <v>0</v>
      </c>
      <c r="U253" s="671">
        <v>50.440789413650684</v>
      </c>
    </row>
    <row r="254" spans="3:21" ht="13">
      <c r="C254" s="666" t="s">
        <v>77</v>
      </c>
      <c r="D254" s="667">
        <v>13.969765625000001</v>
      </c>
      <c r="E254" s="667">
        <v>375.70527161745235</v>
      </c>
      <c r="F254" s="667">
        <v>-347.93937691897565</v>
      </c>
      <c r="G254" s="667">
        <v>-5.3679652793818873</v>
      </c>
      <c r="H254" s="675">
        <v>40.548660936746352</v>
      </c>
      <c r="I254" s="667">
        <v>0</v>
      </c>
      <c r="J254" s="667">
        <v>971.7407012865051</v>
      </c>
      <c r="K254" s="667">
        <v>238.60019675974834</v>
      </c>
      <c r="L254" s="667">
        <v>191.65103995262757</v>
      </c>
      <c r="M254" s="667">
        <v>24.672984025871422</v>
      </c>
      <c r="N254" s="667">
        <v>-71.328690888737668</v>
      </c>
      <c r="O254" s="667">
        <v>-38.616395937235275</v>
      </c>
      <c r="P254" s="667">
        <v>0</v>
      </c>
      <c r="Q254" s="667">
        <v>11.176294658126709</v>
      </c>
      <c r="R254" s="667">
        <v>-483.37411427916032</v>
      </c>
      <c r="S254" s="667">
        <v>-65.916211304815732</v>
      </c>
      <c r="T254" s="667">
        <v>-19.154371669839218</v>
      </c>
      <c r="U254" s="667">
        <v>836.36778858393188</v>
      </c>
    </row>
    <row r="255" spans="3:21" ht="13">
      <c r="C255" s="668"/>
      <c r="D255" s="669">
        <v>0</v>
      </c>
      <c r="E255" s="669">
        <v>0</v>
      </c>
      <c r="F255" s="669">
        <v>0</v>
      </c>
      <c r="G255" s="669">
        <v>0</v>
      </c>
      <c r="H255" s="676">
        <v>0</v>
      </c>
      <c r="I255" s="669">
        <v>0</v>
      </c>
      <c r="J255" s="669">
        <v>0</v>
      </c>
      <c r="K255" s="669">
        <v>0</v>
      </c>
      <c r="L255" s="669">
        <v>0</v>
      </c>
      <c r="M255" s="669">
        <v>0</v>
      </c>
      <c r="N255" s="669">
        <v>0</v>
      </c>
      <c r="O255" s="669">
        <v>0</v>
      </c>
      <c r="P255" s="669">
        <v>0</v>
      </c>
      <c r="Q255" s="669">
        <v>0</v>
      </c>
      <c r="R255" s="669">
        <v>0</v>
      </c>
      <c r="S255" s="669">
        <v>0</v>
      </c>
      <c r="T255" s="669">
        <v>0</v>
      </c>
      <c r="U255" s="669">
        <v>0</v>
      </c>
    </row>
    <row r="256" spans="3:21" ht="13">
      <c r="C256" s="670" t="s">
        <v>78</v>
      </c>
      <c r="D256" s="663">
        <v>3.5119651912640659</v>
      </c>
      <c r="E256" s="663">
        <v>0</v>
      </c>
      <c r="F256" s="663">
        <v>10.329791866978772</v>
      </c>
      <c r="G256" s="663">
        <v>0</v>
      </c>
      <c r="H256" s="663">
        <v>59.22498419444846</v>
      </c>
      <c r="I256" s="663">
        <v>0</v>
      </c>
      <c r="J256" s="663">
        <v>0</v>
      </c>
      <c r="K256" s="663">
        <v>0</v>
      </c>
      <c r="L256" s="663">
        <v>20.32032070760291</v>
      </c>
      <c r="M256" s="663">
        <v>2.5485507721439489</v>
      </c>
      <c r="N256" s="663">
        <v>1.1054608081054689</v>
      </c>
      <c r="O256" s="663">
        <v>15.774676477466111</v>
      </c>
      <c r="P256" s="663">
        <v>4.7115375976562497</v>
      </c>
      <c r="Q256" s="663">
        <v>6.3863689419622622E-4</v>
      </c>
      <c r="R256" s="663">
        <v>128.13338929673023</v>
      </c>
      <c r="S256" s="663">
        <v>18.044740545750674</v>
      </c>
      <c r="T256" s="663">
        <v>2.7711535644531251</v>
      </c>
      <c r="U256" s="671">
        <v>266.47720965949424</v>
      </c>
    </row>
    <row r="257" spans="3:21" ht="13">
      <c r="C257" s="670" t="s">
        <v>79</v>
      </c>
      <c r="D257" s="663">
        <v>0</v>
      </c>
      <c r="E257" s="663">
        <v>0</v>
      </c>
      <c r="F257" s="663">
        <v>230.06398718142972</v>
      </c>
      <c r="G257" s="663">
        <v>0.28870182254104659</v>
      </c>
      <c r="H257" s="663">
        <v>4.7638546223905314</v>
      </c>
      <c r="I257" s="663">
        <v>0</v>
      </c>
      <c r="J257" s="663">
        <v>0</v>
      </c>
      <c r="K257" s="663">
        <v>0</v>
      </c>
      <c r="L257" s="663">
        <v>0</v>
      </c>
      <c r="M257" s="663">
        <v>0</v>
      </c>
      <c r="N257" s="663">
        <v>46.305302929407816</v>
      </c>
      <c r="O257" s="663">
        <v>1.2663411021544451</v>
      </c>
      <c r="P257" s="663">
        <v>0</v>
      </c>
      <c r="Q257" s="663">
        <v>0</v>
      </c>
      <c r="R257" s="663">
        <v>46.787013172975605</v>
      </c>
      <c r="S257" s="663">
        <v>0</v>
      </c>
      <c r="T257" s="663">
        <v>1.4725342358360081</v>
      </c>
      <c r="U257" s="671">
        <v>330.94773506673516</v>
      </c>
    </row>
    <row r="258" spans="3:21" ht="13">
      <c r="C258" s="670" t="s">
        <v>80</v>
      </c>
      <c r="D258" s="663">
        <v>0</v>
      </c>
      <c r="E258" s="663">
        <v>0</v>
      </c>
      <c r="F258" s="663">
        <v>3.8037297943831954</v>
      </c>
      <c r="G258" s="663">
        <v>0</v>
      </c>
      <c r="H258" s="663">
        <v>48.749434252341672</v>
      </c>
      <c r="I258" s="663">
        <v>0</v>
      </c>
      <c r="J258" s="663">
        <v>0</v>
      </c>
      <c r="K258" s="663">
        <v>0</v>
      </c>
      <c r="L258" s="663">
        <v>41.434907608340509</v>
      </c>
      <c r="M258" s="663">
        <v>0</v>
      </c>
      <c r="N258" s="663">
        <v>0</v>
      </c>
      <c r="O258" s="663">
        <v>12.958710370875634</v>
      </c>
      <c r="P258" s="663">
        <v>81.342309221763003</v>
      </c>
      <c r="Q258" s="663">
        <v>2.1381357466702497</v>
      </c>
      <c r="R258" s="663">
        <v>162.42127689265124</v>
      </c>
      <c r="S258" s="663">
        <v>29.067896346898497</v>
      </c>
      <c r="T258" s="663">
        <v>0</v>
      </c>
      <c r="U258" s="671">
        <v>381.91640023392404</v>
      </c>
    </row>
    <row r="259" spans="3:21" ht="13">
      <c r="C259" s="670" t="s">
        <v>81</v>
      </c>
      <c r="D259" s="663">
        <v>0</v>
      </c>
      <c r="E259" s="663">
        <v>0</v>
      </c>
      <c r="F259" s="663">
        <v>4.4549193893901853</v>
      </c>
      <c r="G259" s="663">
        <v>0</v>
      </c>
      <c r="H259" s="663">
        <v>22.809891612288435</v>
      </c>
      <c r="I259" s="663">
        <v>0</v>
      </c>
      <c r="J259" s="663">
        <v>0</v>
      </c>
      <c r="K259" s="663">
        <v>0</v>
      </c>
      <c r="L259" s="663">
        <v>0.44569918061681485</v>
      </c>
      <c r="M259" s="663">
        <v>4.9454600867274027E-4</v>
      </c>
      <c r="N259" s="663">
        <v>0</v>
      </c>
      <c r="O259" s="663">
        <v>6.0633889095956608</v>
      </c>
      <c r="P259" s="663">
        <v>18.691023604496184</v>
      </c>
      <c r="Q259" s="663">
        <v>0.90924384630352406</v>
      </c>
      <c r="R259" s="663">
        <v>98.49757027134045</v>
      </c>
      <c r="S259" s="663">
        <v>18.80357441216654</v>
      </c>
      <c r="T259" s="663">
        <v>0</v>
      </c>
      <c r="U259" s="671">
        <v>170.67580577220647</v>
      </c>
    </row>
    <row r="260" spans="3:21" ht="13">
      <c r="C260" s="670" t="s">
        <v>82</v>
      </c>
      <c r="D260" s="663">
        <v>0</v>
      </c>
      <c r="E260" s="663">
        <v>0</v>
      </c>
      <c r="F260" s="663">
        <v>22.663704600568668</v>
      </c>
      <c r="G260" s="663">
        <v>0</v>
      </c>
      <c r="H260" s="663">
        <v>1.5172607097483775</v>
      </c>
      <c r="I260" s="663">
        <v>0</v>
      </c>
      <c r="J260" s="663">
        <v>0</v>
      </c>
      <c r="K260" s="663">
        <v>0</v>
      </c>
      <c r="L260" s="663">
        <v>2.5327781893790755</v>
      </c>
      <c r="M260" s="663">
        <v>0</v>
      </c>
      <c r="N260" s="663">
        <v>6.9172702223723741</v>
      </c>
      <c r="O260" s="663">
        <v>0.40332246714830289</v>
      </c>
      <c r="P260" s="663">
        <v>0.65</v>
      </c>
      <c r="Q260" s="663">
        <v>0.82781531321025892</v>
      </c>
      <c r="R260" s="663">
        <v>7.6931885452586402</v>
      </c>
      <c r="S260" s="663">
        <v>0</v>
      </c>
      <c r="T260" s="663">
        <v>0.21911019493558448</v>
      </c>
      <c r="U260" s="671">
        <v>43.424450242621276</v>
      </c>
    </row>
    <row r="261" spans="3:21" ht="13">
      <c r="C261" s="670" t="s">
        <v>357</v>
      </c>
      <c r="D261" s="663">
        <v>0</v>
      </c>
      <c r="E261" s="663">
        <v>0</v>
      </c>
      <c r="F261" s="663">
        <v>0</v>
      </c>
      <c r="G261" s="663">
        <v>0</v>
      </c>
      <c r="H261" s="663">
        <v>0</v>
      </c>
      <c r="I261" s="663">
        <v>0</v>
      </c>
      <c r="J261" s="663">
        <v>0</v>
      </c>
      <c r="K261" s="663">
        <v>0</v>
      </c>
      <c r="L261" s="663">
        <v>0</v>
      </c>
      <c r="M261" s="663">
        <v>0</v>
      </c>
      <c r="N261" s="663">
        <v>0</v>
      </c>
      <c r="O261" s="663">
        <v>0</v>
      </c>
      <c r="P261" s="663">
        <v>0</v>
      </c>
      <c r="Q261" s="663">
        <v>0</v>
      </c>
      <c r="R261" s="663">
        <v>0.41126400000000007</v>
      </c>
      <c r="S261" s="663">
        <v>0</v>
      </c>
      <c r="T261" s="663">
        <v>0</v>
      </c>
      <c r="U261" s="671">
        <v>0.41126400000000007</v>
      </c>
    </row>
    <row r="262" spans="3:21" ht="13">
      <c r="C262" s="666" t="s">
        <v>83</v>
      </c>
      <c r="D262" s="667">
        <v>3.5119651912640659</v>
      </c>
      <c r="E262" s="667">
        <v>0</v>
      </c>
      <c r="F262" s="667">
        <v>271.3161328327505</v>
      </c>
      <c r="G262" s="667">
        <v>0.28870182254104659</v>
      </c>
      <c r="H262" s="675">
        <v>137.06542539121747</v>
      </c>
      <c r="I262" s="667">
        <v>0</v>
      </c>
      <c r="J262" s="667">
        <v>0</v>
      </c>
      <c r="K262" s="667">
        <v>0</v>
      </c>
      <c r="L262" s="667">
        <v>64.733705685939313</v>
      </c>
      <c r="M262" s="667">
        <v>2.5490453181526216</v>
      </c>
      <c r="N262" s="667">
        <v>54.328033959885659</v>
      </c>
      <c r="O262" s="667">
        <v>36.466439327240145</v>
      </c>
      <c r="P262" s="667">
        <v>105.39487042391544</v>
      </c>
      <c r="Q262" s="667">
        <v>3.8758335430782287</v>
      </c>
      <c r="R262" s="667">
        <v>443.94370217895619</v>
      </c>
      <c r="S262" s="667">
        <v>65.916211304815718</v>
      </c>
      <c r="T262" s="667">
        <v>4.4627979952247179</v>
      </c>
      <c r="U262" s="667">
        <v>1193.8528649749812</v>
      </c>
    </row>
    <row r="263" spans="3:21" ht="13">
      <c r="C263" s="662" t="s">
        <v>84</v>
      </c>
      <c r="D263" s="663">
        <v>0</v>
      </c>
      <c r="E263" s="663">
        <v>0</v>
      </c>
      <c r="F263" s="663">
        <v>84.901304982748769</v>
      </c>
      <c r="G263" s="663">
        <v>2.533106458518084</v>
      </c>
      <c r="H263" s="663">
        <v>9.2771889658758084</v>
      </c>
      <c r="I263" s="663">
        <v>0</v>
      </c>
      <c r="J263" s="663">
        <v>0</v>
      </c>
      <c r="K263" s="663">
        <v>0</v>
      </c>
      <c r="L263" s="663">
        <v>0.20840484716769062</v>
      </c>
      <c r="M263" s="663">
        <v>0</v>
      </c>
      <c r="N263" s="663">
        <v>11.136408529558132</v>
      </c>
      <c r="O263" s="663">
        <v>1.4684689617858735</v>
      </c>
      <c r="P263" s="663">
        <v>0</v>
      </c>
      <c r="Q263" s="663">
        <v>0</v>
      </c>
      <c r="R263" s="663">
        <v>0</v>
      </c>
      <c r="S263" s="663">
        <v>0</v>
      </c>
      <c r="T263" s="663">
        <v>14.605640428811407</v>
      </c>
      <c r="U263" s="671">
        <v>124.13052317446576</v>
      </c>
    </row>
    <row r="264" spans="3:21" ht="13">
      <c r="C264" s="666" t="s">
        <v>85</v>
      </c>
      <c r="D264" s="667">
        <v>3.5119651912640659</v>
      </c>
      <c r="E264" s="667">
        <v>0</v>
      </c>
      <c r="F264" s="667">
        <v>356.2174378154993</v>
      </c>
      <c r="G264" s="667">
        <v>2.8218082810591305</v>
      </c>
      <c r="H264" s="675">
        <v>146.34261435709328</v>
      </c>
      <c r="I264" s="667">
        <v>0</v>
      </c>
      <c r="J264" s="667">
        <v>0</v>
      </c>
      <c r="K264" s="667">
        <v>0</v>
      </c>
      <c r="L264" s="667">
        <v>64.942110533106998</v>
      </c>
      <c r="M264" s="667">
        <v>2.5490453181526216</v>
      </c>
      <c r="N264" s="667">
        <v>65.464442489443798</v>
      </c>
      <c r="O264" s="667">
        <v>37.934908289026019</v>
      </c>
      <c r="P264" s="667">
        <v>105.39487042391544</v>
      </c>
      <c r="Q264" s="667">
        <v>3.8758335430782287</v>
      </c>
      <c r="R264" s="667">
        <v>443.94370217895619</v>
      </c>
      <c r="S264" s="667">
        <v>65.916211304815718</v>
      </c>
      <c r="T264" s="667">
        <v>19.068438424036124</v>
      </c>
      <c r="U264" s="667">
        <v>1317.9833881494469</v>
      </c>
    </row>
    <row r="265" spans="3:21">
      <c r="C265" s="654"/>
      <c r="D265" s="672">
        <v>0</v>
      </c>
      <c r="E265" s="672">
        <v>0</v>
      </c>
      <c r="F265" s="672">
        <v>-5.6843418860808015E-14</v>
      </c>
      <c r="G265" s="672">
        <v>0</v>
      </c>
      <c r="H265" s="672">
        <v>0</v>
      </c>
      <c r="I265" s="672">
        <v>0</v>
      </c>
      <c r="J265" s="672">
        <v>0</v>
      </c>
      <c r="K265" s="672">
        <v>0</v>
      </c>
      <c r="L265" s="672">
        <v>0</v>
      </c>
      <c r="M265" s="672">
        <v>0</v>
      </c>
      <c r="N265" s="672">
        <v>-1.6135057642804664</v>
      </c>
      <c r="O265" s="672">
        <v>-3.219646771412954E-15</v>
      </c>
      <c r="P265" s="672">
        <v>0</v>
      </c>
      <c r="Q265" s="672">
        <v>0</v>
      </c>
      <c r="R265" s="672">
        <v>5.6843418860808015E-14</v>
      </c>
      <c r="S265" s="672">
        <v>-1.4210854715202004E-14</v>
      </c>
      <c r="T265" s="672">
        <v>0</v>
      </c>
      <c r="U265" s="672">
        <v>-1.6135057642804895</v>
      </c>
    </row>
    <row r="266" spans="3:21">
      <c r="C266" s="654"/>
      <c r="D266" s="654"/>
      <c r="E266" s="654"/>
      <c r="F266" s="654"/>
      <c r="G266" s="654"/>
      <c r="H266" s="654"/>
      <c r="I266" s="654"/>
      <c r="J266" s="654"/>
      <c r="K266" s="654"/>
      <c r="L266" s="654"/>
      <c r="M266" s="654"/>
      <c r="N266" s="654"/>
      <c r="O266" s="654"/>
      <c r="P266" s="654"/>
      <c r="Q266" s="654"/>
      <c r="R266" s="654"/>
      <c r="S266" s="654"/>
      <c r="T266" s="654"/>
      <c r="U266" s="654"/>
    </row>
    <row r="267" spans="3:21" ht="14.5">
      <c r="C267" s="658" t="s">
        <v>361</v>
      </c>
      <c r="D267" s="659"/>
      <c r="E267" s="659"/>
      <c r="F267" s="659"/>
      <c r="G267" s="659"/>
      <c r="H267" s="659"/>
      <c r="I267" s="659"/>
      <c r="J267" s="659"/>
      <c r="K267" s="659"/>
      <c r="L267" s="659"/>
      <c r="M267" s="659"/>
      <c r="N267" s="659"/>
      <c r="O267" s="659"/>
      <c r="P267" s="659"/>
      <c r="Q267" s="659"/>
      <c r="R267" s="659"/>
      <c r="S267" s="659"/>
      <c r="T267" s="659"/>
      <c r="U267" s="659"/>
    </row>
    <row r="268" spans="3:21">
      <c r="C268" s="654"/>
      <c r="D268" s="654"/>
      <c r="E268" s="654"/>
      <c r="F268" s="654"/>
      <c r="G268" s="654"/>
      <c r="H268" s="654"/>
      <c r="I268" s="654"/>
      <c r="J268" s="654"/>
      <c r="K268" s="654"/>
      <c r="L268" s="654"/>
      <c r="M268" s="654"/>
      <c r="N268" s="654"/>
      <c r="O268" s="654"/>
      <c r="P268" s="654"/>
      <c r="Q268" s="654"/>
      <c r="R268" s="654"/>
      <c r="S268" s="654"/>
      <c r="T268" s="654"/>
      <c r="U268" s="654"/>
    </row>
    <row r="269" spans="3:21" ht="13">
      <c r="C269" s="706" t="s">
        <v>128</v>
      </c>
      <c r="D269" s="704" t="s">
        <v>42</v>
      </c>
      <c r="E269" s="704" t="s">
        <v>52</v>
      </c>
      <c r="F269" s="704" t="s">
        <v>53</v>
      </c>
      <c r="G269" s="704" t="s">
        <v>487</v>
      </c>
      <c r="H269" s="704" t="s">
        <v>32</v>
      </c>
      <c r="I269" s="704" t="s">
        <v>488</v>
      </c>
      <c r="J269" s="704" t="s">
        <v>20</v>
      </c>
      <c r="K269" s="704" t="s">
        <v>55</v>
      </c>
      <c r="L269" s="708" t="s">
        <v>56</v>
      </c>
      <c r="M269" s="709"/>
      <c r="N269" s="709"/>
      <c r="O269" s="709"/>
      <c r="P269" s="709"/>
      <c r="Q269" s="710"/>
      <c r="R269" s="704" t="s">
        <v>57</v>
      </c>
      <c r="S269" s="704" t="s">
        <v>58</v>
      </c>
      <c r="T269" s="704" t="s">
        <v>31</v>
      </c>
      <c r="U269" s="704" t="s">
        <v>10</v>
      </c>
    </row>
    <row r="270" spans="3:21" ht="36">
      <c r="C270" s="707"/>
      <c r="D270" s="705"/>
      <c r="E270" s="705"/>
      <c r="F270" s="705"/>
      <c r="G270" s="705"/>
      <c r="H270" s="705"/>
      <c r="I270" s="705"/>
      <c r="J270" s="705"/>
      <c r="K270" s="705"/>
      <c r="L270" s="660" t="s">
        <v>338</v>
      </c>
      <c r="M270" s="660" t="s">
        <v>40</v>
      </c>
      <c r="N270" s="660" t="s">
        <v>346</v>
      </c>
      <c r="O270" s="660" t="s">
        <v>347</v>
      </c>
      <c r="P270" s="661" t="s">
        <v>348</v>
      </c>
      <c r="Q270" s="660" t="s">
        <v>349</v>
      </c>
      <c r="R270" s="705"/>
      <c r="S270" s="705"/>
      <c r="T270" s="705"/>
      <c r="U270" s="705"/>
    </row>
    <row r="271" spans="3:21" ht="13">
      <c r="C271" s="662" t="s">
        <v>59</v>
      </c>
      <c r="D271" s="663">
        <v>0</v>
      </c>
      <c r="E271" s="663">
        <v>5.8150000000000004</v>
      </c>
      <c r="F271" s="663">
        <v>0</v>
      </c>
      <c r="G271" s="663">
        <v>0</v>
      </c>
      <c r="H271" s="663">
        <v>9.3040000000000012E-2</v>
      </c>
      <c r="I271" s="663">
        <v>0</v>
      </c>
      <c r="J271" s="664">
        <v>962.45197015227166</v>
      </c>
      <c r="K271" s="664">
        <v>267.5000244841633</v>
      </c>
      <c r="L271" s="664">
        <v>267.72778932192256</v>
      </c>
      <c r="M271" s="664">
        <v>26.714360415666448</v>
      </c>
      <c r="N271" s="663">
        <v>1.5151391983163085</v>
      </c>
      <c r="O271" s="663">
        <v>0.16086233431790645</v>
      </c>
      <c r="P271" s="664">
        <v>114.79412791174752</v>
      </c>
      <c r="Q271" s="664">
        <v>17.865639972874789</v>
      </c>
      <c r="R271" s="663">
        <v>0</v>
      </c>
      <c r="S271" s="663">
        <v>0</v>
      </c>
      <c r="T271" s="663">
        <v>0</v>
      </c>
      <c r="U271" s="665">
        <v>1664.6379537912806</v>
      </c>
    </row>
    <row r="272" spans="3:21" ht="13">
      <c r="C272" s="662" t="s">
        <v>60</v>
      </c>
      <c r="D272" s="663">
        <v>16.178882267256224</v>
      </c>
      <c r="E272" s="663">
        <v>338.94665094130841</v>
      </c>
      <c r="F272" s="663">
        <v>53.154703213153105</v>
      </c>
      <c r="G272" s="663">
        <v>0.84709048921241781</v>
      </c>
      <c r="H272" s="663">
        <v>154.95460842815714</v>
      </c>
      <c r="I272" s="663">
        <v>0</v>
      </c>
      <c r="J272" s="663">
        <v>0</v>
      </c>
      <c r="K272" s="663">
        <v>0</v>
      </c>
      <c r="L272" s="663">
        <v>3.3497189577114872</v>
      </c>
      <c r="M272" s="663">
        <v>0</v>
      </c>
      <c r="N272" s="663">
        <v>3.7248932526167962</v>
      </c>
      <c r="O272" s="663">
        <v>0</v>
      </c>
      <c r="P272" s="663">
        <v>0</v>
      </c>
      <c r="Q272" s="663">
        <v>0</v>
      </c>
      <c r="R272" s="663">
        <v>0</v>
      </c>
      <c r="S272" s="663">
        <v>0</v>
      </c>
      <c r="T272" s="663">
        <v>0</v>
      </c>
      <c r="U272" s="665">
        <v>571.15654754941545</v>
      </c>
    </row>
    <row r="273" spans="3:21" ht="13">
      <c r="C273" s="662" t="s">
        <v>61</v>
      </c>
      <c r="D273" s="663">
        <v>0</v>
      </c>
      <c r="E273" s="663">
        <v>0</v>
      </c>
      <c r="F273" s="663">
        <v>-0.33572040479024756</v>
      </c>
      <c r="G273" s="663">
        <v>0</v>
      </c>
      <c r="H273" s="663">
        <v>0</v>
      </c>
      <c r="I273" s="663">
        <v>0</v>
      </c>
      <c r="J273" s="663">
        <v>0</v>
      </c>
      <c r="K273" s="663">
        <v>0</v>
      </c>
      <c r="L273" s="663">
        <v>0</v>
      </c>
      <c r="M273" s="663">
        <v>0</v>
      </c>
      <c r="N273" s="663">
        <v>0</v>
      </c>
      <c r="O273" s="663">
        <v>0</v>
      </c>
      <c r="P273" s="663">
        <v>0</v>
      </c>
      <c r="Q273" s="663">
        <v>0</v>
      </c>
      <c r="R273" s="663">
        <v>-40.000125067890167</v>
      </c>
      <c r="S273" s="663">
        <v>0</v>
      </c>
      <c r="T273" s="663">
        <v>0</v>
      </c>
      <c r="U273" s="665">
        <v>-40.335845472680411</v>
      </c>
    </row>
    <row r="274" spans="3:21" ht="13">
      <c r="C274" s="662" t="s">
        <v>62</v>
      </c>
      <c r="D274" s="663">
        <v>0</v>
      </c>
      <c r="E274" s="663">
        <v>0</v>
      </c>
      <c r="F274" s="663">
        <v>-12.959356122819004</v>
      </c>
      <c r="G274" s="663">
        <v>-1.1745589556928391</v>
      </c>
      <c r="H274" s="663">
        <v>-1.8985906548092106</v>
      </c>
      <c r="I274" s="663">
        <v>0</v>
      </c>
      <c r="J274" s="663">
        <v>0</v>
      </c>
      <c r="K274" s="663">
        <v>0</v>
      </c>
      <c r="L274" s="663">
        <v>0</v>
      </c>
      <c r="M274" s="663">
        <v>0</v>
      </c>
      <c r="N274" s="663">
        <v>-0.50338240958264524</v>
      </c>
      <c r="O274" s="663">
        <v>-0.70221846136779031</v>
      </c>
      <c r="P274" s="663">
        <v>0</v>
      </c>
      <c r="Q274" s="663">
        <v>0</v>
      </c>
      <c r="R274" s="663">
        <v>0</v>
      </c>
      <c r="S274" s="663">
        <v>0</v>
      </c>
      <c r="T274" s="663">
        <v>0</v>
      </c>
      <c r="U274" s="665">
        <v>-17.23810660427149</v>
      </c>
    </row>
    <row r="275" spans="3:21" ht="13">
      <c r="C275" s="662" t="s">
        <v>63</v>
      </c>
      <c r="D275" s="663">
        <v>0</v>
      </c>
      <c r="E275" s="663">
        <v>0</v>
      </c>
      <c r="F275" s="663">
        <v>-60.220777612804881</v>
      </c>
      <c r="G275" s="663">
        <v>-3.9749070731502325</v>
      </c>
      <c r="H275" s="663">
        <v>0</v>
      </c>
      <c r="I275" s="663">
        <v>0</v>
      </c>
      <c r="J275" s="663">
        <v>0</v>
      </c>
      <c r="K275" s="663">
        <v>0</v>
      </c>
      <c r="L275" s="663">
        <v>0</v>
      </c>
      <c r="M275" s="663">
        <v>0</v>
      </c>
      <c r="N275" s="663">
        <v>-11.924721219450698</v>
      </c>
      <c r="O275" s="663">
        <v>0</v>
      </c>
      <c r="P275" s="663">
        <v>0</v>
      </c>
      <c r="Q275" s="663">
        <v>0</v>
      </c>
      <c r="R275" s="663">
        <v>0</v>
      </c>
      <c r="S275" s="663">
        <v>0</v>
      </c>
      <c r="T275" s="663">
        <v>-0.14322207633849007</v>
      </c>
      <c r="U275" s="665">
        <v>-76.263627981744307</v>
      </c>
    </row>
    <row r="276" spans="3:21" ht="13">
      <c r="C276" s="662" t="s">
        <v>64</v>
      </c>
      <c r="D276" s="663">
        <v>0</v>
      </c>
      <c r="E276" s="663">
        <v>0</v>
      </c>
      <c r="F276" s="663">
        <v>0</v>
      </c>
      <c r="G276" s="663">
        <v>0</v>
      </c>
      <c r="H276" s="663">
        <v>0</v>
      </c>
      <c r="I276" s="663">
        <v>0</v>
      </c>
      <c r="J276" s="663">
        <v>0</v>
      </c>
      <c r="K276" s="663">
        <v>0</v>
      </c>
      <c r="L276" s="663">
        <v>0</v>
      </c>
      <c r="M276" s="663">
        <v>0</v>
      </c>
      <c r="N276" s="663">
        <v>0</v>
      </c>
      <c r="O276" s="663">
        <v>0</v>
      </c>
      <c r="P276" s="663">
        <v>0</v>
      </c>
      <c r="Q276" s="663">
        <v>0</v>
      </c>
      <c r="R276" s="663">
        <v>0</v>
      </c>
      <c r="S276" s="663">
        <v>0</v>
      </c>
      <c r="T276" s="663">
        <v>0</v>
      </c>
      <c r="U276" s="665">
        <v>0</v>
      </c>
    </row>
    <row r="277" spans="3:21" ht="13">
      <c r="C277" s="666" t="s">
        <v>65</v>
      </c>
      <c r="D277" s="667">
        <v>16.178882267256224</v>
      </c>
      <c r="E277" s="667">
        <v>344.7616509413084</v>
      </c>
      <c r="F277" s="667">
        <v>-20.361150927261026</v>
      </c>
      <c r="G277" s="667">
        <v>-4.3023755396306536</v>
      </c>
      <c r="H277" s="675">
        <v>153.14905777334795</v>
      </c>
      <c r="I277" s="667">
        <v>0</v>
      </c>
      <c r="J277" s="667">
        <v>962.45197015227166</v>
      </c>
      <c r="K277" s="667">
        <v>267.5000244841633</v>
      </c>
      <c r="L277" s="667">
        <v>271.07750827963406</v>
      </c>
      <c r="M277" s="667">
        <v>26.714360415666448</v>
      </c>
      <c r="N277" s="667">
        <v>-7.1880711781002375</v>
      </c>
      <c r="O277" s="667">
        <v>-0.5413561270498839</v>
      </c>
      <c r="P277" s="667">
        <v>114.79412791174752</v>
      </c>
      <c r="Q277" s="667">
        <v>17.865639972874789</v>
      </c>
      <c r="R277" s="667">
        <v>-40.000125067890167</v>
      </c>
      <c r="S277" s="667">
        <v>0</v>
      </c>
      <c r="T277" s="667">
        <v>-0.14322207633849007</v>
      </c>
      <c r="U277" s="667">
        <v>2101.9569212819993</v>
      </c>
    </row>
    <row r="278" spans="3:21" ht="13">
      <c r="C278" s="668"/>
      <c r="D278" s="669">
        <v>0</v>
      </c>
      <c r="E278" s="669">
        <v>0</v>
      </c>
      <c r="F278" s="669">
        <v>0</v>
      </c>
      <c r="G278" s="669">
        <v>0</v>
      </c>
      <c r="H278" s="676">
        <v>0</v>
      </c>
      <c r="I278" s="669">
        <v>0</v>
      </c>
      <c r="J278" s="669">
        <v>0</v>
      </c>
      <c r="K278" s="669">
        <v>0</v>
      </c>
      <c r="L278" s="669">
        <v>0</v>
      </c>
      <c r="M278" s="669">
        <v>0</v>
      </c>
      <c r="N278" s="669">
        <v>0</v>
      </c>
      <c r="O278" s="669">
        <v>0</v>
      </c>
      <c r="P278" s="669">
        <v>0</v>
      </c>
      <c r="Q278" s="669">
        <v>0</v>
      </c>
      <c r="R278" s="669">
        <v>0</v>
      </c>
      <c r="S278" s="669">
        <v>0</v>
      </c>
      <c r="T278" s="669">
        <v>0</v>
      </c>
      <c r="U278" s="669">
        <v>0</v>
      </c>
    </row>
    <row r="279" spans="3:21" ht="13">
      <c r="C279" s="670" t="s">
        <v>67</v>
      </c>
      <c r="D279" s="663">
        <v>0</v>
      </c>
      <c r="E279" s="663">
        <v>0</v>
      </c>
      <c r="F279" s="663">
        <v>0</v>
      </c>
      <c r="G279" s="663">
        <v>0</v>
      </c>
      <c r="H279" s="663">
        <v>0</v>
      </c>
      <c r="I279" s="663">
        <v>0</v>
      </c>
      <c r="J279" s="663">
        <v>0</v>
      </c>
      <c r="K279" s="663">
        <v>0</v>
      </c>
      <c r="L279" s="663">
        <v>0</v>
      </c>
      <c r="M279" s="663">
        <v>0</v>
      </c>
      <c r="N279" s="663">
        <v>0</v>
      </c>
      <c r="O279" s="663">
        <v>0</v>
      </c>
      <c r="P279" s="663">
        <v>0</v>
      </c>
      <c r="Q279" s="663">
        <v>0</v>
      </c>
      <c r="R279" s="663">
        <v>0</v>
      </c>
      <c r="S279" s="663">
        <v>0</v>
      </c>
      <c r="T279" s="663">
        <v>0</v>
      </c>
      <c r="U279" s="671">
        <v>0</v>
      </c>
    </row>
    <row r="280" spans="3:21" ht="13">
      <c r="C280" s="670" t="s">
        <v>350</v>
      </c>
      <c r="D280" s="663">
        <v>0</v>
      </c>
      <c r="E280" s="663">
        <v>0</v>
      </c>
      <c r="F280" s="663">
        <v>0.802217285608815</v>
      </c>
      <c r="G280" s="663">
        <v>0</v>
      </c>
      <c r="H280" s="663">
        <v>10.885217127183394</v>
      </c>
      <c r="I280" s="663">
        <v>0</v>
      </c>
      <c r="J280" s="663">
        <v>962.45197015227166</v>
      </c>
      <c r="K280" s="663">
        <v>267.5000244841633</v>
      </c>
      <c r="L280" s="663">
        <v>25.455194099059376</v>
      </c>
      <c r="M280" s="663">
        <v>9.8679572117025351</v>
      </c>
      <c r="N280" s="663">
        <v>5.0291337303525587</v>
      </c>
      <c r="O280" s="663">
        <v>2.8343761662812361</v>
      </c>
      <c r="P280" s="663">
        <v>0</v>
      </c>
      <c r="Q280" s="663">
        <v>2.7943993103273139</v>
      </c>
      <c r="R280" s="663">
        <v>-610.76520896369152</v>
      </c>
      <c r="S280" s="663">
        <v>0</v>
      </c>
      <c r="T280" s="663">
        <v>0</v>
      </c>
      <c r="U280" s="671">
        <v>676.85528060325873</v>
      </c>
    </row>
    <row r="281" spans="3:21" ht="13">
      <c r="C281" s="670" t="s">
        <v>351</v>
      </c>
      <c r="D281" s="663">
        <v>0</v>
      </c>
      <c r="E281" s="663">
        <v>0</v>
      </c>
      <c r="F281" s="663">
        <v>0</v>
      </c>
      <c r="G281" s="663">
        <v>0</v>
      </c>
      <c r="H281" s="663">
        <v>12.378684044888715</v>
      </c>
      <c r="I281" s="663">
        <v>0</v>
      </c>
      <c r="J281" s="663">
        <v>0</v>
      </c>
      <c r="K281" s="663">
        <v>0</v>
      </c>
      <c r="L281" s="663">
        <v>36.0447949504767</v>
      </c>
      <c r="M281" s="663">
        <v>14.339300216640275</v>
      </c>
      <c r="N281" s="663">
        <v>0</v>
      </c>
      <c r="O281" s="663">
        <v>4.1400526748892315</v>
      </c>
      <c r="P281" s="663">
        <v>0</v>
      </c>
      <c r="Q281" s="663">
        <v>10.825953288370551</v>
      </c>
      <c r="R281" s="663">
        <v>0</v>
      </c>
      <c r="S281" s="663">
        <v>-71.400838762535344</v>
      </c>
      <c r="T281" s="663">
        <v>0</v>
      </c>
      <c r="U281" s="671">
        <v>6.3279464127301193</v>
      </c>
    </row>
    <row r="282" spans="3:21" ht="13">
      <c r="C282" s="670" t="s">
        <v>352</v>
      </c>
      <c r="D282" s="663">
        <v>0</v>
      </c>
      <c r="E282" s="663">
        <v>0</v>
      </c>
      <c r="F282" s="663">
        <v>0</v>
      </c>
      <c r="G282" s="663">
        <v>0</v>
      </c>
      <c r="H282" s="663">
        <v>0</v>
      </c>
      <c r="I282" s="663">
        <v>0</v>
      </c>
      <c r="J282" s="663">
        <v>0</v>
      </c>
      <c r="K282" s="663">
        <v>0</v>
      </c>
      <c r="L282" s="663">
        <v>59.794350125101182</v>
      </c>
      <c r="M282" s="663">
        <v>0</v>
      </c>
      <c r="N282" s="663">
        <v>0</v>
      </c>
      <c r="O282" s="663">
        <v>-54.232182762859196</v>
      </c>
      <c r="P282" s="663">
        <v>0</v>
      </c>
      <c r="Q282" s="663">
        <v>0</v>
      </c>
      <c r="R282" s="663">
        <v>0</v>
      </c>
      <c r="S282" s="663">
        <v>0</v>
      </c>
      <c r="T282" s="663">
        <v>0</v>
      </c>
      <c r="U282" s="671">
        <v>5.5621673622419863</v>
      </c>
    </row>
    <row r="283" spans="3:21" ht="13">
      <c r="C283" s="670" t="s">
        <v>353</v>
      </c>
      <c r="D283" s="663">
        <v>0</v>
      </c>
      <c r="E283" s="663">
        <v>0</v>
      </c>
      <c r="F283" s="663">
        <v>0</v>
      </c>
      <c r="G283" s="663">
        <v>0</v>
      </c>
      <c r="H283" s="663">
        <v>0</v>
      </c>
      <c r="I283" s="663">
        <v>0</v>
      </c>
      <c r="J283" s="663">
        <v>0</v>
      </c>
      <c r="K283" s="663">
        <v>0</v>
      </c>
      <c r="L283" s="663">
        <v>0</v>
      </c>
      <c r="M283" s="663">
        <v>0</v>
      </c>
      <c r="N283" s="663">
        <v>0</v>
      </c>
      <c r="O283" s="663">
        <v>0</v>
      </c>
      <c r="P283" s="663">
        <v>0</v>
      </c>
      <c r="Q283" s="663">
        <v>0</v>
      </c>
      <c r="R283" s="663">
        <v>0</v>
      </c>
      <c r="S283" s="663">
        <v>0</v>
      </c>
      <c r="T283" s="663">
        <v>0</v>
      </c>
      <c r="U283" s="671">
        <v>0</v>
      </c>
    </row>
    <row r="284" spans="3:21" ht="13">
      <c r="C284" s="670" t="s">
        <v>72</v>
      </c>
      <c r="D284" s="663">
        <v>0</v>
      </c>
      <c r="E284" s="663">
        <v>357.27482859273942</v>
      </c>
      <c r="F284" s="663">
        <v>-353.71543432563573</v>
      </c>
      <c r="G284" s="663">
        <v>0</v>
      </c>
      <c r="H284" s="663">
        <v>0</v>
      </c>
      <c r="I284" s="663">
        <v>0</v>
      </c>
      <c r="J284" s="663">
        <v>0</v>
      </c>
      <c r="K284" s="663">
        <v>0</v>
      </c>
      <c r="L284" s="663">
        <v>0</v>
      </c>
      <c r="M284" s="663">
        <v>0</v>
      </c>
      <c r="N284" s="663">
        <v>0</v>
      </c>
      <c r="O284" s="663">
        <v>0</v>
      </c>
      <c r="P284" s="663">
        <v>0</v>
      </c>
      <c r="Q284" s="663">
        <v>0</v>
      </c>
      <c r="R284" s="663">
        <v>0</v>
      </c>
      <c r="S284" s="663">
        <v>0</v>
      </c>
      <c r="T284" s="663">
        <v>0</v>
      </c>
      <c r="U284" s="671">
        <v>3.5593942671036793</v>
      </c>
    </row>
    <row r="285" spans="3:21" ht="13">
      <c r="C285" s="670" t="s">
        <v>354</v>
      </c>
      <c r="D285" s="663">
        <v>0</v>
      </c>
      <c r="E285" s="663">
        <v>0</v>
      </c>
      <c r="F285" s="663">
        <v>0</v>
      </c>
      <c r="G285" s="663">
        <v>0</v>
      </c>
      <c r="H285" s="663">
        <v>0</v>
      </c>
      <c r="I285" s="663">
        <v>0</v>
      </c>
      <c r="J285" s="663">
        <v>0</v>
      </c>
      <c r="K285" s="663">
        <v>0</v>
      </c>
      <c r="L285" s="663">
        <v>87.509483344344957</v>
      </c>
      <c r="M285" s="663">
        <v>0</v>
      </c>
      <c r="N285" s="663">
        <v>-87.509483344344957</v>
      </c>
      <c r="O285" s="663">
        <v>0</v>
      </c>
      <c r="P285" s="663">
        <v>0</v>
      </c>
      <c r="Q285" s="663">
        <v>0</v>
      </c>
      <c r="R285" s="663">
        <v>0</v>
      </c>
      <c r="S285" s="663">
        <v>0</v>
      </c>
      <c r="T285" s="663">
        <v>0</v>
      </c>
      <c r="U285" s="671">
        <v>0</v>
      </c>
    </row>
    <row r="286" spans="3:21" ht="13">
      <c r="C286" s="670" t="s">
        <v>355</v>
      </c>
      <c r="D286" s="663">
        <v>0</v>
      </c>
      <c r="E286" s="663">
        <v>0</v>
      </c>
      <c r="F286" s="663">
        <v>0</v>
      </c>
      <c r="G286" s="663">
        <v>-7.9105007206485656</v>
      </c>
      <c r="H286" s="663">
        <v>0</v>
      </c>
      <c r="I286" s="663">
        <v>0</v>
      </c>
      <c r="J286" s="663">
        <v>0</v>
      </c>
      <c r="K286" s="663">
        <v>0</v>
      </c>
      <c r="L286" s="663">
        <v>0</v>
      </c>
      <c r="M286" s="663">
        <v>0</v>
      </c>
      <c r="N286" s="663">
        <v>0</v>
      </c>
      <c r="O286" s="663">
        <v>0</v>
      </c>
      <c r="P286" s="663">
        <v>0</v>
      </c>
      <c r="Q286" s="663">
        <v>0</v>
      </c>
      <c r="R286" s="663">
        <v>0</v>
      </c>
      <c r="S286" s="663">
        <v>0</v>
      </c>
      <c r="T286" s="663">
        <v>11.017410474440901</v>
      </c>
      <c r="U286" s="671">
        <v>3.1069097537923351</v>
      </c>
    </row>
    <row r="287" spans="3:21" ht="13">
      <c r="C287" s="670" t="s">
        <v>73</v>
      </c>
      <c r="D287" s="663">
        <v>0</v>
      </c>
      <c r="E287" s="663">
        <v>0</v>
      </c>
      <c r="F287" s="663">
        <v>0</v>
      </c>
      <c r="G287" s="663">
        <v>0</v>
      </c>
      <c r="H287" s="663">
        <v>0</v>
      </c>
      <c r="I287" s="663">
        <v>0</v>
      </c>
      <c r="J287" s="663">
        <v>0</v>
      </c>
      <c r="K287" s="663">
        <v>0</v>
      </c>
      <c r="L287" s="663">
        <v>0</v>
      </c>
      <c r="M287" s="663">
        <v>0</v>
      </c>
      <c r="N287" s="663">
        <v>0</v>
      </c>
      <c r="O287" s="663">
        <v>0</v>
      </c>
      <c r="P287" s="663">
        <v>0</v>
      </c>
      <c r="Q287" s="663">
        <v>0</v>
      </c>
      <c r="R287" s="663">
        <v>51.730551312429718</v>
      </c>
      <c r="S287" s="663">
        <v>0</v>
      </c>
      <c r="T287" s="663">
        <v>-34.530143001046838</v>
      </c>
      <c r="U287" s="671">
        <v>17.20040831138288</v>
      </c>
    </row>
    <row r="288" spans="3:21" ht="13">
      <c r="C288" s="670" t="s">
        <v>356</v>
      </c>
      <c r="D288" s="663">
        <v>9.1080551953124989</v>
      </c>
      <c r="E288" s="663">
        <v>-12.513177651431018</v>
      </c>
      <c r="F288" s="663">
        <v>16.300260399898175</v>
      </c>
      <c r="G288" s="663">
        <v>0</v>
      </c>
      <c r="H288" s="663">
        <v>0</v>
      </c>
      <c r="I288" s="663">
        <v>0</v>
      </c>
      <c r="J288" s="663">
        <v>0</v>
      </c>
      <c r="K288" s="663">
        <v>0</v>
      </c>
      <c r="L288" s="663">
        <v>0</v>
      </c>
      <c r="M288" s="663">
        <v>0</v>
      </c>
      <c r="N288" s="663">
        <v>0</v>
      </c>
      <c r="O288" s="663">
        <v>0</v>
      </c>
      <c r="P288" s="663">
        <v>0</v>
      </c>
      <c r="Q288" s="663">
        <v>0</v>
      </c>
      <c r="R288" s="663">
        <v>0</v>
      </c>
      <c r="S288" s="663">
        <v>0</v>
      </c>
      <c r="T288" s="663">
        <v>0</v>
      </c>
      <c r="U288" s="671">
        <v>12.895137943779657</v>
      </c>
    </row>
    <row r="289" spans="3:21" ht="13">
      <c r="C289" s="670" t="s">
        <v>75</v>
      </c>
      <c r="D289" s="663">
        <v>3.5420214648437502</v>
      </c>
      <c r="E289" s="663">
        <v>0</v>
      </c>
      <c r="F289" s="663">
        <v>18.654676129726123</v>
      </c>
      <c r="G289" s="663">
        <v>0</v>
      </c>
      <c r="H289" s="663">
        <v>3.9220454388203256</v>
      </c>
      <c r="I289" s="663">
        <v>0</v>
      </c>
      <c r="J289" s="663">
        <v>0</v>
      </c>
      <c r="K289" s="663">
        <v>0</v>
      </c>
      <c r="L289" s="663">
        <v>0</v>
      </c>
      <c r="M289" s="663">
        <v>0</v>
      </c>
      <c r="N289" s="663">
        <v>0</v>
      </c>
      <c r="O289" s="663">
        <v>1.4506195458650522</v>
      </c>
      <c r="P289" s="663">
        <v>0</v>
      </c>
      <c r="Q289" s="663">
        <v>0</v>
      </c>
      <c r="R289" s="663">
        <v>24.070214497240038</v>
      </c>
      <c r="S289" s="663">
        <v>0</v>
      </c>
      <c r="T289" s="663">
        <v>0</v>
      </c>
      <c r="U289" s="671">
        <v>51.639577076495286</v>
      </c>
    </row>
    <row r="290" spans="3:21" ht="13">
      <c r="C290" s="670" t="s">
        <v>76</v>
      </c>
      <c r="D290" s="663">
        <v>0</v>
      </c>
      <c r="E290" s="663">
        <v>0</v>
      </c>
      <c r="F290" s="663">
        <v>0</v>
      </c>
      <c r="G290" s="663">
        <v>0</v>
      </c>
      <c r="H290" s="663">
        <v>1.7220653905707752</v>
      </c>
      <c r="I290" s="663">
        <v>0</v>
      </c>
      <c r="J290" s="663">
        <v>0</v>
      </c>
      <c r="K290" s="663">
        <v>0</v>
      </c>
      <c r="L290" s="663">
        <v>0</v>
      </c>
      <c r="M290" s="663">
        <v>0</v>
      </c>
      <c r="N290" s="663">
        <v>0</v>
      </c>
      <c r="O290" s="663">
        <v>0.63692829514261562</v>
      </c>
      <c r="P290" s="663">
        <v>0</v>
      </c>
      <c r="Q290" s="663">
        <v>0</v>
      </c>
      <c r="R290" s="663">
        <v>43.697669495159822</v>
      </c>
      <c r="S290" s="663">
        <v>5.5373897346121579</v>
      </c>
      <c r="T290" s="663">
        <v>0</v>
      </c>
      <c r="U290" s="671">
        <v>51.594052915485378</v>
      </c>
    </row>
    <row r="291" spans="3:21" ht="13">
      <c r="C291" s="666" t="s">
        <v>77</v>
      </c>
      <c r="D291" s="667">
        <v>12.650076660156248</v>
      </c>
      <c r="E291" s="667">
        <v>344.7616509413084</v>
      </c>
      <c r="F291" s="667">
        <v>-317.95828051040263</v>
      </c>
      <c r="G291" s="667">
        <v>-7.9105007206485656</v>
      </c>
      <c r="H291" s="675">
        <v>28.908012001463213</v>
      </c>
      <c r="I291" s="667">
        <v>0</v>
      </c>
      <c r="J291" s="667">
        <v>962.45197015227166</v>
      </c>
      <c r="K291" s="667">
        <v>267.5000244841633</v>
      </c>
      <c r="L291" s="667">
        <v>208.80382251898223</v>
      </c>
      <c r="M291" s="667">
        <v>24.207257428342814</v>
      </c>
      <c r="N291" s="667">
        <v>-82.480349613992402</v>
      </c>
      <c r="O291" s="667">
        <v>-45.170206080681055</v>
      </c>
      <c r="P291" s="667">
        <v>0</v>
      </c>
      <c r="Q291" s="667">
        <v>13.620352598697865</v>
      </c>
      <c r="R291" s="667">
        <v>-491.26677365886189</v>
      </c>
      <c r="S291" s="667">
        <v>-65.863449027923181</v>
      </c>
      <c r="T291" s="667">
        <v>-23.512732526605937</v>
      </c>
      <c r="U291" s="667">
        <v>828.74087464627007</v>
      </c>
    </row>
    <row r="292" spans="3:21" ht="13">
      <c r="C292" s="668"/>
      <c r="D292" s="669">
        <v>0</v>
      </c>
      <c r="E292" s="669">
        <v>0</v>
      </c>
      <c r="F292" s="669">
        <v>0</v>
      </c>
      <c r="G292" s="669">
        <v>0</v>
      </c>
      <c r="H292" s="676">
        <v>0</v>
      </c>
      <c r="I292" s="669">
        <v>0</v>
      </c>
      <c r="J292" s="669">
        <v>0</v>
      </c>
      <c r="K292" s="669">
        <v>0</v>
      </c>
      <c r="L292" s="669">
        <v>0</v>
      </c>
      <c r="M292" s="669">
        <v>0</v>
      </c>
      <c r="N292" s="669">
        <v>0</v>
      </c>
      <c r="O292" s="669">
        <v>0</v>
      </c>
      <c r="P292" s="669">
        <v>0</v>
      </c>
      <c r="Q292" s="669">
        <v>0</v>
      </c>
      <c r="R292" s="669">
        <v>0</v>
      </c>
      <c r="S292" s="669">
        <v>0</v>
      </c>
      <c r="T292" s="669">
        <v>0</v>
      </c>
      <c r="U292" s="669">
        <v>0</v>
      </c>
    </row>
    <row r="293" spans="3:21" ht="13">
      <c r="C293" s="670" t="s">
        <v>78</v>
      </c>
      <c r="D293" s="663">
        <v>3.5288056070999749</v>
      </c>
      <c r="E293" s="663">
        <v>0</v>
      </c>
      <c r="F293" s="663">
        <v>9.0742751543652709</v>
      </c>
      <c r="G293" s="663">
        <v>0</v>
      </c>
      <c r="H293" s="663">
        <v>50.765702343803007</v>
      </c>
      <c r="I293" s="663">
        <v>0</v>
      </c>
      <c r="J293" s="663">
        <v>0</v>
      </c>
      <c r="K293" s="663">
        <v>0</v>
      </c>
      <c r="L293" s="663">
        <v>20.203559685037114</v>
      </c>
      <c r="M293" s="663">
        <v>2.5066351077817299</v>
      </c>
      <c r="N293" s="663">
        <v>1.1254933974609376</v>
      </c>
      <c r="O293" s="663">
        <v>18.810321451312785</v>
      </c>
      <c r="P293" s="663">
        <v>5.5404179687499999</v>
      </c>
      <c r="Q293" s="663">
        <v>6.9244826847420892E-4</v>
      </c>
      <c r="R293" s="663">
        <v>129.68210517319469</v>
      </c>
      <c r="S293" s="663">
        <v>18.067305271014469</v>
      </c>
      <c r="T293" s="663">
        <v>3.2886369628906249</v>
      </c>
      <c r="U293" s="671">
        <v>262.59395057097908</v>
      </c>
    </row>
    <row r="294" spans="3:21" ht="13">
      <c r="C294" s="670" t="s">
        <v>79</v>
      </c>
      <c r="D294" s="663">
        <v>0</v>
      </c>
      <c r="E294" s="663">
        <v>0</v>
      </c>
      <c r="F294" s="663">
        <v>183.65265309164423</v>
      </c>
      <c r="G294" s="663">
        <v>0.37586832320647884</v>
      </c>
      <c r="H294" s="663">
        <v>4.5862710057628444</v>
      </c>
      <c r="I294" s="663">
        <v>0</v>
      </c>
      <c r="J294" s="663">
        <v>0</v>
      </c>
      <c r="K294" s="663">
        <v>0</v>
      </c>
      <c r="L294" s="663">
        <v>0</v>
      </c>
      <c r="M294" s="663">
        <v>0</v>
      </c>
      <c r="N294" s="663">
        <v>52.853956211759765</v>
      </c>
      <c r="O294" s="663">
        <v>1.6962920158300934</v>
      </c>
      <c r="P294" s="663">
        <v>0</v>
      </c>
      <c r="Q294" s="663">
        <v>0</v>
      </c>
      <c r="R294" s="663">
        <v>57.341707182273488</v>
      </c>
      <c r="S294" s="663">
        <v>0</v>
      </c>
      <c r="T294" s="663">
        <v>2.0198839430903792</v>
      </c>
      <c r="U294" s="671">
        <v>302.52663177356732</v>
      </c>
    </row>
    <row r="295" spans="3:21" ht="13">
      <c r="C295" s="670" t="s">
        <v>80</v>
      </c>
      <c r="D295" s="663">
        <v>0</v>
      </c>
      <c r="E295" s="663">
        <v>0</v>
      </c>
      <c r="F295" s="663">
        <v>3.260836950166615</v>
      </c>
      <c r="G295" s="663">
        <v>0</v>
      </c>
      <c r="H295" s="663">
        <v>39.313312069692138</v>
      </c>
      <c r="I295" s="663">
        <v>0</v>
      </c>
      <c r="J295" s="663">
        <v>0</v>
      </c>
      <c r="K295" s="663">
        <v>0</v>
      </c>
      <c r="L295" s="663">
        <v>38.595135513286785</v>
      </c>
      <c r="M295" s="663">
        <v>0</v>
      </c>
      <c r="N295" s="663">
        <v>0</v>
      </c>
      <c r="O295" s="663">
        <v>14.540540080571066</v>
      </c>
      <c r="P295" s="663">
        <v>88.021667456281236</v>
      </c>
      <c r="Q295" s="663">
        <v>2.3427124137087052</v>
      </c>
      <c r="R295" s="663">
        <v>158.98187870009832</v>
      </c>
      <c r="S295" s="663">
        <v>28.917251051933125</v>
      </c>
      <c r="T295" s="663">
        <v>0</v>
      </c>
      <c r="U295" s="671">
        <v>373.97333423573804</v>
      </c>
    </row>
    <row r="296" spans="3:21" ht="13">
      <c r="C296" s="670" t="s">
        <v>81</v>
      </c>
      <c r="D296" s="663">
        <v>0</v>
      </c>
      <c r="E296" s="663">
        <v>0</v>
      </c>
      <c r="F296" s="663">
        <v>3.4419330830775619</v>
      </c>
      <c r="G296" s="663">
        <v>0</v>
      </c>
      <c r="H296" s="663">
        <v>19.661407657447267</v>
      </c>
      <c r="I296" s="663">
        <v>0</v>
      </c>
      <c r="J296" s="663">
        <v>0</v>
      </c>
      <c r="K296" s="663">
        <v>0</v>
      </c>
      <c r="L296" s="663">
        <v>0.43406989863895534</v>
      </c>
      <c r="M296" s="663">
        <v>4.6787954190583215E-4</v>
      </c>
      <c r="N296" s="663">
        <v>0</v>
      </c>
      <c r="O296" s="663">
        <v>7.2720274897407702</v>
      </c>
      <c r="P296" s="663">
        <v>20.482042486716281</v>
      </c>
      <c r="Q296" s="663">
        <v>0.93898003664808516</v>
      </c>
      <c r="R296" s="663">
        <v>96.862888654792613</v>
      </c>
      <c r="S296" s="663">
        <v>18.878892704975588</v>
      </c>
      <c r="T296" s="663">
        <v>0</v>
      </c>
      <c r="U296" s="671">
        <v>167.97270989157903</v>
      </c>
    </row>
    <row r="297" spans="3:21" ht="13">
      <c r="C297" s="670" t="s">
        <v>82</v>
      </c>
      <c r="D297" s="663">
        <v>0</v>
      </c>
      <c r="E297" s="663">
        <v>0</v>
      </c>
      <c r="F297" s="663">
        <v>19.85629550078999</v>
      </c>
      <c r="G297" s="663">
        <v>0</v>
      </c>
      <c r="H297" s="663">
        <v>1.376773611649958</v>
      </c>
      <c r="I297" s="663">
        <v>0</v>
      </c>
      <c r="J297" s="663">
        <v>0</v>
      </c>
      <c r="K297" s="663">
        <v>0</v>
      </c>
      <c r="L297" s="663">
        <v>2.7730307508519707</v>
      </c>
      <c r="M297" s="663">
        <v>0</v>
      </c>
      <c r="N297" s="663">
        <v>8.3214654409998232</v>
      </c>
      <c r="O297" s="663">
        <v>0.50921763718560098</v>
      </c>
      <c r="P297" s="663">
        <v>0.75</v>
      </c>
      <c r="Q297" s="663">
        <v>0.96290247555165809</v>
      </c>
      <c r="R297" s="663">
        <v>7.7126288806125016</v>
      </c>
      <c r="S297" s="663">
        <v>0</v>
      </c>
      <c r="T297" s="663">
        <v>0.24940873791150003</v>
      </c>
      <c r="U297" s="671">
        <v>42.511723035553004</v>
      </c>
    </row>
    <row r="298" spans="3:21" ht="13">
      <c r="C298" s="670" t="s">
        <v>357</v>
      </c>
      <c r="D298" s="663">
        <v>0</v>
      </c>
      <c r="E298" s="663">
        <v>0</v>
      </c>
      <c r="F298" s="663">
        <v>0</v>
      </c>
      <c r="G298" s="663">
        <v>0</v>
      </c>
      <c r="H298" s="663">
        <v>0</v>
      </c>
      <c r="I298" s="663">
        <v>0</v>
      </c>
      <c r="J298" s="663">
        <v>0</v>
      </c>
      <c r="K298" s="663">
        <v>0</v>
      </c>
      <c r="L298" s="663">
        <v>0</v>
      </c>
      <c r="M298" s="663">
        <v>0</v>
      </c>
      <c r="N298" s="663">
        <v>0</v>
      </c>
      <c r="O298" s="663">
        <v>0</v>
      </c>
      <c r="P298" s="663">
        <v>0</v>
      </c>
      <c r="Q298" s="663">
        <v>0</v>
      </c>
      <c r="R298" s="663">
        <v>0.68544000000000005</v>
      </c>
      <c r="S298" s="663">
        <v>0</v>
      </c>
      <c r="T298" s="663">
        <v>0</v>
      </c>
      <c r="U298" s="671">
        <v>0.68544000000000005</v>
      </c>
    </row>
    <row r="299" spans="3:21" ht="13">
      <c r="C299" s="666" t="s">
        <v>83</v>
      </c>
      <c r="D299" s="667">
        <v>3.5288056070999749</v>
      </c>
      <c r="E299" s="667">
        <v>0</v>
      </c>
      <c r="F299" s="667">
        <v>219.2859937800437</v>
      </c>
      <c r="G299" s="667">
        <v>0.37586832320647884</v>
      </c>
      <c r="H299" s="675">
        <v>115.70346668835522</v>
      </c>
      <c r="I299" s="667">
        <v>0</v>
      </c>
      <c r="J299" s="667">
        <v>0</v>
      </c>
      <c r="K299" s="667">
        <v>0</v>
      </c>
      <c r="L299" s="667">
        <v>62.005795847814824</v>
      </c>
      <c r="M299" s="667">
        <v>2.5071029873236355</v>
      </c>
      <c r="N299" s="667">
        <v>62.300915050220524</v>
      </c>
      <c r="O299" s="667">
        <v>42.828398674640319</v>
      </c>
      <c r="P299" s="667">
        <v>114.79412791174752</v>
      </c>
      <c r="Q299" s="667">
        <v>4.2452873741769226</v>
      </c>
      <c r="R299" s="667">
        <v>451.26664859097167</v>
      </c>
      <c r="S299" s="667">
        <v>65.863449027923181</v>
      </c>
      <c r="T299" s="667">
        <v>5.5579296438925034</v>
      </c>
      <c r="U299" s="667">
        <v>1150.2637895074163</v>
      </c>
    </row>
    <row r="300" spans="3:21" ht="13">
      <c r="C300" s="662" t="s">
        <v>84</v>
      </c>
      <c r="D300" s="663">
        <v>0</v>
      </c>
      <c r="E300" s="663">
        <v>0</v>
      </c>
      <c r="F300" s="663">
        <v>78.311135803097855</v>
      </c>
      <c r="G300" s="663">
        <v>3.2322568578114335</v>
      </c>
      <c r="H300" s="663">
        <v>8.5375790835295255</v>
      </c>
      <c r="I300" s="663">
        <v>0</v>
      </c>
      <c r="J300" s="663">
        <v>0</v>
      </c>
      <c r="K300" s="663">
        <v>0</v>
      </c>
      <c r="L300" s="663">
        <v>0.26788991283700125</v>
      </c>
      <c r="M300" s="663">
        <v>0</v>
      </c>
      <c r="N300" s="663">
        <v>12.991363385671615</v>
      </c>
      <c r="O300" s="663">
        <v>1.800451278990862</v>
      </c>
      <c r="P300" s="663">
        <v>0</v>
      </c>
      <c r="Q300" s="663">
        <v>0</v>
      </c>
      <c r="R300" s="663">
        <v>0</v>
      </c>
      <c r="S300" s="663">
        <v>0</v>
      </c>
      <c r="T300" s="663">
        <v>17.811580806374948</v>
      </c>
      <c r="U300" s="671">
        <v>122.95225712831325</v>
      </c>
    </row>
    <row r="301" spans="3:21" ht="13">
      <c r="C301" s="666" t="s">
        <v>85</v>
      </c>
      <c r="D301" s="667">
        <v>3.5288056070999749</v>
      </c>
      <c r="E301" s="667">
        <v>0</v>
      </c>
      <c r="F301" s="667">
        <v>297.59712958314151</v>
      </c>
      <c r="G301" s="667">
        <v>3.6081251810179125</v>
      </c>
      <c r="H301" s="675">
        <v>124.24104577188474</v>
      </c>
      <c r="I301" s="667">
        <v>0</v>
      </c>
      <c r="J301" s="667">
        <v>0</v>
      </c>
      <c r="K301" s="667">
        <v>0</v>
      </c>
      <c r="L301" s="667">
        <v>62.273685760651823</v>
      </c>
      <c r="M301" s="667">
        <v>2.5071029873236355</v>
      </c>
      <c r="N301" s="667">
        <v>75.292278435892143</v>
      </c>
      <c r="O301" s="667">
        <v>44.628849953631182</v>
      </c>
      <c r="P301" s="667">
        <v>114.79412791174752</v>
      </c>
      <c r="Q301" s="667">
        <v>4.2452873741769226</v>
      </c>
      <c r="R301" s="667">
        <v>451.26664859097167</v>
      </c>
      <c r="S301" s="667">
        <v>65.863449027923181</v>
      </c>
      <c r="T301" s="667">
        <v>23.369510450267452</v>
      </c>
      <c r="U301" s="667">
        <v>1273.2160466357295</v>
      </c>
    </row>
    <row r="302" spans="3:21">
      <c r="C302" s="654"/>
      <c r="D302" s="672">
        <v>0</v>
      </c>
      <c r="E302" s="672">
        <v>0</v>
      </c>
      <c r="F302" s="672">
        <v>-9.5923269327613525E-14</v>
      </c>
      <c r="G302" s="672">
        <v>0</v>
      </c>
      <c r="H302" s="672">
        <v>0</v>
      </c>
      <c r="I302" s="672">
        <v>0</v>
      </c>
      <c r="J302" s="672">
        <v>0</v>
      </c>
      <c r="K302" s="672">
        <v>0</v>
      </c>
      <c r="L302" s="672">
        <v>0</v>
      </c>
      <c r="M302" s="672">
        <v>0</v>
      </c>
      <c r="N302" s="672">
        <v>-2.1316282072803006E-14</v>
      </c>
      <c r="O302" s="672">
        <v>1.0658141036401503E-14</v>
      </c>
      <c r="P302" s="672">
        <v>0</v>
      </c>
      <c r="Q302" s="672">
        <v>0</v>
      </c>
      <c r="R302" s="672">
        <v>-5.6843418860808015E-14</v>
      </c>
      <c r="S302" s="672">
        <v>0</v>
      </c>
      <c r="T302" s="672">
        <v>4.5796699765787707E-15</v>
      </c>
      <c r="U302" s="672">
        <v>0</v>
      </c>
    </row>
    <row r="303" spans="3:21">
      <c r="C303" s="654"/>
      <c r="D303" s="654"/>
      <c r="E303" s="654"/>
      <c r="F303" s="654"/>
      <c r="G303" s="654"/>
      <c r="H303" s="654"/>
      <c r="I303" s="654"/>
      <c r="J303" s="654"/>
      <c r="K303" s="654"/>
      <c r="L303" s="654"/>
      <c r="M303" s="654"/>
      <c r="N303" s="654"/>
      <c r="O303" s="654"/>
      <c r="P303" s="654"/>
      <c r="Q303" s="654"/>
      <c r="R303" s="654"/>
      <c r="S303" s="654"/>
      <c r="T303" s="654"/>
      <c r="U303" s="654"/>
    </row>
    <row r="304" spans="3:21" ht="14.5">
      <c r="C304" s="658" t="s">
        <v>362</v>
      </c>
      <c r="D304" s="659"/>
      <c r="E304" s="659"/>
      <c r="F304" s="659"/>
      <c r="G304" s="659"/>
      <c r="H304" s="659"/>
      <c r="I304" s="659"/>
      <c r="J304" s="659"/>
      <c r="K304" s="659"/>
      <c r="L304" s="659"/>
      <c r="M304" s="659"/>
      <c r="N304" s="659"/>
      <c r="O304" s="659"/>
      <c r="P304" s="659"/>
      <c r="Q304" s="659"/>
      <c r="R304" s="659"/>
      <c r="S304" s="659"/>
      <c r="T304" s="659"/>
      <c r="U304" s="659"/>
    </row>
    <row r="305" spans="3:21">
      <c r="C305" s="654"/>
      <c r="D305" s="654"/>
      <c r="E305" s="654"/>
      <c r="F305" s="654"/>
      <c r="G305" s="654"/>
      <c r="H305" s="654"/>
      <c r="I305" s="654"/>
      <c r="J305" s="654"/>
      <c r="K305" s="654"/>
      <c r="L305" s="654"/>
      <c r="M305" s="654"/>
      <c r="N305" s="654"/>
      <c r="O305" s="654"/>
      <c r="P305" s="654"/>
      <c r="Q305" s="654"/>
      <c r="R305" s="654"/>
      <c r="S305" s="654"/>
      <c r="T305" s="654"/>
      <c r="U305" s="654"/>
    </row>
    <row r="306" spans="3:21" ht="13">
      <c r="C306" s="706" t="s">
        <v>128</v>
      </c>
      <c r="D306" s="704" t="s">
        <v>42</v>
      </c>
      <c r="E306" s="704" t="s">
        <v>52</v>
      </c>
      <c r="F306" s="704" t="s">
        <v>53</v>
      </c>
      <c r="G306" s="704" t="s">
        <v>487</v>
      </c>
      <c r="H306" s="704" t="s">
        <v>32</v>
      </c>
      <c r="I306" s="704" t="s">
        <v>488</v>
      </c>
      <c r="J306" s="704" t="s">
        <v>20</v>
      </c>
      <c r="K306" s="704" t="s">
        <v>55</v>
      </c>
      <c r="L306" s="708" t="s">
        <v>56</v>
      </c>
      <c r="M306" s="709"/>
      <c r="N306" s="709"/>
      <c r="O306" s="709"/>
      <c r="P306" s="709"/>
      <c r="Q306" s="710"/>
      <c r="R306" s="704" t="s">
        <v>57</v>
      </c>
      <c r="S306" s="704" t="s">
        <v>58</v>
      </c>
      <c r="T306" s="704" t="s">
        <v>31</v>
      </c>
      <c r="U306" s="704" t="s">
        <v>10</v>
      </c>
    </row>
    <row r="307" spans="3:21" ht="36">
      <c r="C307" s="707"/>
      <c r="D307" s="705"/>
      <c r="E307" s="705"/>
      <c r="F307" s="705"/>
      <c r="G307" s="705"/>
      <c r="H307" s="705"/>
      <c r="I307" s="705"/>
      <c r="J307" s="705"/>
      <c r="K307" s="705"/>
      <c r="L307" s="660" t="s">
        <v>338</v>
      </c>
      <c r="M307" s="660" t="s">
        <v>40</v>
      </c>
      <c r="N307" s="660" t="s">
        <v>346</v>
      </c>
      <c r="O307" s="660" t="s">
        <v>347</v>
      </c>
      <c r="P307" s="661" t="s">
        <v>348</v>
      </c>
      <c r="Q307" s="660" t="s">
        <v>349</v>
      </c>
      <c r="R307" s="705"/>
      <c r="S307" s="705"/>
      <c r="T307" s="705"/>
      <c r="U307" s="705"/>
    </row>
    <row r="308" spans="3:21" ht="13">
      <c r="C308" s="662" t="s">
        <v>59</v>
      </c>
      <c r="D308" s="663">
        <v>0</v>
      </c>
      <c r="E308" s="663">
        <v>2.3260000000000005</v>
      </c>
      <c r="F308" s="663">
        <v>0</v>
      </c>
      <c r="G308" s="663">
        <v>0</v>
      </c>
      <c r="H308" s="663">
        <v>3.7216000000000006E-2</v>
      </c>
      <c r="I308" s="663">
        <v>0</v>
      </c>
      <c r="J308" s="664">
        <v>964.52942056246673</v>
      </c>
      <c r="K308" s="664">
        <v>311.46236031836668</v>
      </c>
      <c r="L308" s="664">
        <v>294.50335183866372</v>
      </c>
      <c r="M308" s="664">
        <v>26.897654847027933</v>
      </c>
      <c r="N308" s="663">
        <v>1.5522078310841105</v>
      </c>
      <c r="O308" s="663">
        <v>0.16457898409976487</v>
      </c>
      <c r="P308" s="664">
        <v>128.43983591306872</v>
      </c>
      <c r="Q308" s="664">
        <v>20.654107927982594</v>
      </c>
      <c r="R308" s="663">
        <v>0</v>
      </c>
      <c r="S308" s="663">
        <v>0</v>
      </c>
      <c r="T308" s="663">
        <v>0</v>
      </c>
      <c r="U308" s="665">
        <v>1750.5667342227598</v>
      </c>
    </row>
    <row r="309" spans="3:21" ht="13">
      <c r="C309" s="662" t="s">
        <v>60</v>
      </c>
      <c r="D309" s="663">
        <v>13.859177019435306</v>
      </c>
      <c r="E309" s="663">
        <v>296.13837759387053</v>
      </c>
      <c r="F309" s="663">
        <v>5.829718761745502</v>
      </c>
      <c r="G309" s="663">
        <v>0.35872125556105416</v>
      </c>
      <c r="H309" s="663">
        <v>120.63288166670617</v>
      </c>
      <c r="I309" s="663">
        <v>0</v>
      </c>
      <c r="J309" s="663">
        <v>0</v>
      </c>
      <c r="K309" s="663">
        <v>0</v>
      </c>
      <c r="L309" s="663">
        <v>3.8185483520995893</v>
      </c>
      <c r="M309" s="663">
        <v>0</v>
      </c>
      <c r="N309" s="663">
        <v>4.0860505945061325</v>
      </c>
      <c r="O309" s="663">
        <v>0</v>
      </c>
      <c r="P309" s="663">
        <v>0</v>
      </c>
      <c r="Q309" s="663">
        <v>0</v>
      </c>
      <c r="R309" s="663">
        <v>0</v>
      </c>
      <c r="S309" s="663">
        <v>0</v>
      </c>
      <c r="T309" s="663">
        <v>0</v>
      </c>
      <c r="U309" s="665">
        <v>444.72347524392433</v>
      </c>
    </row>
    <row r="310" spans="3:21" ht="13">
      <c r="C310" s="662" t="s">
        <v>61</v>
      </c>
      <c r="D310" s="663">
        <v>0</v>
      </c>
      <c r="E310" s="663">
        <v>0</v>
      </c>
      <c r="F310" s="663">
        <v>-11.930293865877704</v>
      </c>
      <c r="G310" s="663">
        <v>0</v>
      </c>
      <c r="H310" s="663">
        <v>0</v>
      </c>
      <c r="I310" s="663">
        <v>0</v>
      </c>
      <c r="J310" s="663">
        <v>0</v>
      </c>
      <c r="K310" s="663">
        <v>0</v>
      </c>
      <c r="L310" s="663">
        <v>0</v>
      </c>
      <c r="M310" s="663">
        <v>0</v>
      </c>
      <c r="N310" s="663">
        <v>0</v>
      </c>
      <c r="O310" s="663">
        <v>0</v>
      </c>
      <c r="P310" s="663">
        <v>0</v>
      </c>
      <c r="Q310" s="663">
        <v>0</v>
      </c>
      <c r="R310" s="663">
        <v>-39.267637363013023</v>
      </c>
      <c r="S310" s="663">
        <v>0</v>
      </c>
      <c r="T310" s="663">
        <v>0</v>
      </c>
      <c r="U310" s="665">
        <v>-51.197931228890724</v>
      </c>
    </row>
    <row r="311" spans="3:21" ht="13">
      <c r="C311" s="662" t="s">
        <v>62</v>
      </c>
      <c r="D311" s="663">
        <v>0</v>
      </c>
      <c r="E311" s="663">
        <v>0</v>
      </c>
      <c r="F311" s="663">
        <v>-10.650864702914385</v>
      </c>
      <c r="G311" s="663">
        <v>-1.9080821969915447</v>
      </c>
      <c r="H311" s="663">
        <v>-4.5147113062781807</v>
      </c>
      <c r="I311" s="663">
        <v>0</v>
      </c>
      <c r="J311" s="663">
        <v>0</v>
      </c>
      <c r="K311" s="663">
        <v>0</v>
      </c>
      <c r="L311" s="663">
        <v>0</v>
      </c>
      <c r="M311" s="663">
        <v>0</v>
      </c>
      <c r="N311" s="663">
        <v>-0.48900468677593995</v>
      </c>
      <c r="O311" s="663">
        <v>-2.7436669996352929</v>
      </c>
      <c r="P311" s="663">
        <v>0</v>
      </c>
      <c r="Q311" s="663">
        <v>0</v>
      </c>
      <c r="R311" s="663">
        <v>0</v>
      </c>
      <c r="S311" s="663">
        <v>0</v>
      </c>
      <c r="T311" s="663">
        <v>0</v>
      </c>
      <c r="U311" s="665">
        <v>-20.306329892595343</v>
      </c>
    </row>
    <row r="312" spans="3:21" ht="13">
      <c r="C312" s="662" t="s">
        <v>63</v>
      </c>
      <c r="D312" s="663">
        <v>0</v>
      </c>
      <c r="E312" s="663">
        <v>0</v>
      </c>
      <c r="F312" s="663">
        <v>-52.2656340821949</v>
      </c>
      <c r="G312" s="663">
        <v>-8.2703034572776399</v>
      </c>
      <c r="H312" s="663">
        <v>0</v>
      </c>
      <c r="I312" s="663">
        <v>0</v>
      </c>
      <c r="J312" s="663">
        <v>0</v>
      </c>
      <c r="K312" s="663">
        <v>0</v>
      </c>
      <c r="L312" s="663">
        <v>0</v>
      </c>
      <c r="M312" s="663">
        <v>0</v>
      </c>
      <c r="N312" s="663">
        <v>-13.213101981709578</v>
      </c>
      <c r="O312" s="663">
        <v>0</v>
      </c>
      <c r="P312" s="663">
        <v>0</v>
      </c>
      <c r="Q312" s="663">
        <v>0</v>
      </c>
      <c r="R312" s="663">
        <v>0</v>
      </c>
      <c r="S312" s="663">
        <v>0</v>
      </c>
      <c r="T312" s="663">
        <v>-0.45605370393256905</v>
      </c>
      <c r="U312" s="665">
        <v>-74.20509322511468</v>
      </c>
    </row>
    <row r="313" spans="3:21" ht="13">
      <c r="C313" s="662" t="s">
        <v>64</v>
      </c>
      <c r="D313" s="663">
        <v>0</v>
      </c>
      <c r="E313" s="663">
        <v>0</v>
      </c>
      <c r="F313" s="663">
        <v>0</v>
      </c>
      <c r="G313" s="663">
        <v>0</v>
      </c>
      <c r="H313" s="663">
        <v>0</v>
      </c>
      <c r="I313" s="663">
        <v>0</v>
      </c>
      <c r="J313" s="663">
        <v>0</v>
      </c>
      <c r="K313" s="663">
        <v>0</v>
      </c>
      <c r="L313" s="663">
        <v>0</v>
      </c>
      <c r="M313" s="663">
        <v>0</v>
      </c>
      <c r="N313" s="663">
        <v>0</v>
      </c>
      <c r="O313" s="663">
        <v>0</v>
      </c>
      <c r="P313" s="663">
        <v>0</v>
      </c>
      <c r="Q313" s="663">
        <v>0</v>
      </c>
      <c r="R313" s="663">
        <v>0</v>
      </c>
      <c r="S313" s="663">
        <v>0</v>
      </c>
      <c r="T313" s="663">
        <v>0</v>
      </c>
      <c r="U313" s="665">
        <v>0</v>
      </c>
    </row>
    <row r="314" spans="3:21" ht="13">
      <c r="C314" s="666" t="s">
        <v>65</v>
      </c>
      <c r="D314" s="667">
        <v>13.859177019435306</v>
      </c>
      <c r="E314" s="667">
        <v>298.46437759387055</v>
      </c>
      <c r="F314" s="667">
        <v>-69.017073889241487</v>
      </c>
      <c r="G314" s="667">
        <v>-9.8196643987081309</v>
      </c>
      <c r="H314" s="675">
        <v>116.15538636042798</v>
      </c>
      <c r="I314" s="667">
        <v>0</v>
      </c>
      <c r="J314" s="667">
        <v>964.52942056246673</v>
      </c>
      <c r="K314" s="667">
        <v>311.46236031836668</v>
      </c>
      <c r="L314" s="667">
        <v>298.3219001907633</v>
      </c>
      <c r="M314" s="667">
        <v>26.897654847027933</v>
      </c>
      <c r="N314" s="667">
        <v>-8.0638482428952756</v>
      </c>
      <c r="O314" s="667">
        <v>-2.579088015535528</v>
      </c>
      <c r="P314" s="667">
        <v>128.43983591306872</v>
      </c>
      <c r="Q314" s="667">
        <v>20.654107927982594</v>
      </c>
      <c r="R314" s="667">
        <v>-39.267637363013023</v>
      </c>
      <c r="S314" s="667">
        <v>0</v>
      </c>
      <c r="T314" s="667">
        <v>-0.45605370393256905</v>
      </c>
      <c r="U314" s="667">
        <v>2049.5808551200835</v>
      </c>
    </row>
    <row r="315" spans="3:21" ht="13">
      <c r="C315" s="668"/>
      <c r="D315" s="669">
        <v>0</v>
      </c>
      <c r="E315" s="669">
        <v>0</v>
      </c>
      <c r="F315" s="669">
        <v>0</v>
      </c>
      <c r="G315" s="669">
        <v>0</v>
      </c>
      <c r="H315" s="676">
        <v>0</v>
      </c>
      <c r="I315" s="669">
        <v>0</v>
      </c>
      <c r="J315" s="669">
        <v>0</v>
      </c>
      <c r="K315" s="669">
        <v>0</v>
      </c>
      <c r="L315" s="669">
        <v>0</v>
      </c>
      <c r="M315" s="669">
        <v>0</v>
      </c>
      <c r="N315" s="669">
        <v>0</v>
      </c>
      <c r="O315" s="669">
        <v>0</v>
      </c>
      <c r="P315" s="669">
        <v>0</v>
      </c>
      <c r="Q315" s="669">
        <v>0</v>
      </c>
      <c r="R315" s="669">
        <v>0</v>
      </c>
      <c r="S315" s="669">
        <v>0</v>
      </c>
      <c r="T315" s="669">
        <v>0</v>
      </c>
      <c r="U315" s="669">
        <v>0</v>
      </c>
    </row>
    <row r="316" spans="3:21" ht="13">
      <c r="C316" s="670" t="s">
        <v>67</v>
      </c>
      <c r="D316" s="663">
        <v>0</v>
      </c>
      <c r="E316" s="663">
        <v>0</v>
      </c>
      <c r="F316" s="663">
        <v>0</v>
      </c>
      <c r="G316" s="663">
        <v>0</v>
      </c>
      <c r="H316" s="663">
        <v>0</v>
      </c>
      <c r="I316" s="663">
        <v>0</v>
      </c>
      <c r="J316" s="663">
        <v>0</v>
      </c>
      <c r="K316" s="663">
        <v>0</v>
      </c>
      <c r="L316" s="663">
        <v>0</v>
      </c>
      <c r="M316" s="663">
        <v>0</v>
      </c>
      <c r="N316" s="663">
        <v>0</v>
      </c>
      <c r="O316" s="663">
        <v>0</v>
      </c>
      <c r="P316" s="663">
        <v>0</v>
      </c>
      <c r="Q316" s="663">
        <v>0</v>
      </c>
      <c r="R316" s="663">
        <v>0</v>
      </c>
      <c r="S316" s="663">
        <v>0</v>
      </c>
      <c r="T316" s="663">
        <v>0</v>
      </c>
      <c r="U316" s="671">
        <v>0</v>
      </c>
    </row>
    <row r="317" spans="3:21" ht="13">
      <c r="C317" s="670" t="s">
        <v>350</v>
      </c>
      <c r="D317" s="663">
        <v>0</v>
      </c>
      <c r="E317" s="663">
        <v>0</v>
      </c>
      <c r="F317" s="663">
        <v>0.36057808628354604</v>
      </c>
      <c r="G317" s="663">
        <v>0</v>
      </c>
      <c r="H317" s="663">
        <v>7.5839969390793698</v>
      </c>
      <c r="I317" s="663">
        <v>0</v>
      </c>
      <c r="J317" s="663">
        <v>964.52942056246673</v>
      </c>
      <c r="K317" s="663">
        <v>311.46236031836668</v>
      </c>
      <c r="L317" s="663">
        <v>22.176349392164049</v>
      </c>
      <c r="M317" s="663">
        <v>10.089931127123995</v>
      </c>
      <c r="N317" s="663">
        <v>5.3878161949008447</v>
      </c>
      <c r="O317" s="663">
        <v>2.0095680781151462</v>
      </c>
      <c r="P317" s="663">
        <v>0</v>
      </c>
      <c r="Q317" s="663">
        <v>4.9774137725284184</v>
      </c>
      <c r="R317" s="663">
        <v>-653.56257887708989</v>
      </c>
      <c r="S317" s="663">
        <v>0</v>
      </c>
      <c r="T317" s="663">
        <v>1.9189703578470259</v>
      </c>
      <c r="U317" s="671">
        <v>676.93382595178593</v>
      </c>
    </row>
    <row r="318" spans="3:21" ht="13">
      <c r="C318" s="670" t="s">
        <v>351</v>
      </c>
      <c r="D318" s="663">
        <v>0</v>
      </c>
      <c r="E318" s="663">
        <v>0</v>
      </c>
      <c r="F318" s="663">
        <v>0</v>
      </c>
      <c r="G318" s="663">
        <v>0</v>
      </c>
      <c r="H318" s="663">
        <v>9.2764090353058375</v>
      </c>
      <c r="I318" s="663">
        <v>0</v>
      </c>
      <c r="J318" s="663">
        <v>0</v>
      </c>
      <c r="K318" s="663">
        <v>0</v>
      </c>
      <c r="L318" s="663">
        <v>35.764224717869801</v>
      </c>
      <c r="M318" s="663">
        <v>14.37233701187753</v>
      </c>
      <c r="N318" s="663">
        <v>0</v>
      </c>
      <c r="O318" s="663">
        <v>5.4622758911360467</v>
      </c>
      <c r="P318" s="663">
        <v>0</v>
      </c>
      <c r="Q318" s="663">
        <v>10.952590418500169</v>
      </c>
      <c r="R318" s="663">
        <v>0</v>
      </c>
      <c r="S318" s="663">
        <v>-70.157887736076944</v>
      </c>
      <c r="T318" s="663">
        <v>0</v>
      </c>
      <c r="U318" s="671">
        <v>5.6699493386124447</v>
      </c>
    </row>
    <row r="319" spans="3:21" ht="13">
      <c r="C319" s="670" t="s">
        <v>352</v>
      </c>
      <c r="D319" s="663">
        <v>0</v>
      </c>
      <c r="E319" s="663">
        <v>0</v>
      </c>
      <c r="F319" s="663">
        <v>0</v>
      </c>
      <c r="G319" s="663">
        <v>0</v>
      </c>
      <c r="H319" s="663">
        <v>0</v>
      </c>
      <c r="I319" s="663">
        <v>0</v>
      </c>
      <c r="J319" s="663">
        <v>0</v>
      </c>
      <c r="K319" s="663">
        <v>0</v>
      </c>
      <c r="L319" s="663">
        <v>74.445335403224831</v>
      </c>
      <c r="M319" s="663">
        <v>0</v>
      </c>
      <c r="N319" s="663">
        <v>0</v>
      </c>
      <c r="O319" s="663">
        <v>-68.22829141881553</v>
      </c>
      <c r="P319" s="663">
        <v>0</v>
      </c>
      <c r="Q319" s="663">
        <v>0</v>
      </c>
      <c r="R319" s="663">
        <v>0</v>
      </c>
      <c r="S319" s="663">
        <v>0</v>
      </c>
      <c r="T319" s="663">
        <v>0</v>
      </c>
      <c r="U319" s="671">
        <v>6.2170439844093011</v>
      </c>
    </row>
    <row r="320" spans="3:21" ht="13">
      <c r="C320" s="670" t="s">
        <v>353</v>
      </c>
      <c r="D320" s="663">
        <v>0</v>
      </c>
      <c r="E320" s="663">
        <v>0</v>
      </c>
      <c r="F320" s="663">
        <v>0</v>
      </c>
      <c r="G320" s="663">
        <v>0</v>
      </c>
      <c r="H320" s="663">
        <v>0</v>
      </c>
      <c r="I320" s="663">
        <v>0</v>
      </c>
      <c r="J320" s="663">
        <v>0</v>
      </c>
      <c r="K320" s="663">
        <v>0</v>
      </c>
      <c r="L320" s="663">
        <v>0</v>
      </c>
      <c r="M320" s="663">
        <v>0</v>
      </c>
      <c r="N320" s="663">
        <v>0</v>
      </c>
      <c r="O320" s="663">
        <v>0</v>
      </c>
      <c r="P320" s="663">
        <v>0</v>
      </c>
      <c r="Q320" s="663">
        <v>0</v>
      </c>
      <c r="R320" s="663">
        <v>0</v>
      </c>
      <c r="S320" s="663">
        <v>0</v>
      </c>
      <c r="T320" s="663">
        <v>0</v>
      </c>
      <c r="U320" s="671">
        <v>0</v>
      </c>
    </row>
    <row r="321" spans="3:21" ht="13">
      <c r="C321" s="670" t="s">
        <v>72</v>
      </c>
      <c r="D321" s="663">
        <v>0</v>
      </c>
      <c r="E321" s="663">
        <v>309.28389692910912</v>
      </c>
      <c r="F321" s="663">
        <v>-306.20133621434456</v>
      </c>
      <c r="G321" s="663">
        <v>0</v>
      </c>
      <c r="H321" s="663">
        <v>0</v>
      </c>
      <c r="I321" s="663">
        <v>0</v>
      </c>
      <c r="J321" s="663">
        <v>0</v>
      </c>
      <c r="K321" s="663">
        <v>0</v>
      </c>
      <c r="L321" s="663">
        <v>0</v>
      </c>
      <c r="M321" s="663">
        <v>0</v>
      </c>
      <c r="N321" s="663">
        <v>0</v>
      </c>
      <c r="O321" s="663">
        <v>0</v>
      </c>
      <c r="P321" s="663">
        <v>0</v>
      </c>
      <c r="Q321" s="663">
        <v>0</v>
      </c>
      <c r="R321" s="663">
        <v>0</v>
      </c>
      <c r="S321" s="663">
        <v>0</v>
      </c>
      <c r="T321" s="663">
        <v>0</v>
      </c>
      <c r="U321" s="671">
        <v>3.0825607147645133</v>
      </c>
    </row>
    <row r="322" spans="3:21" ht="13">
      <c r="C322" s="670" t="s">
        <v>354</v>
      </c>
      <c r="D322" s="663">
        <v>0</v>
      </c>
      <c r="E322" s="663">
        <v>0</v>
      </c>
      <c r="F322" s="663">
        <v>0</v>
      </c>
      <c r="G322" s="663">
        <v>0</v>
      </c>
      <c r="H322" s="663">
        <v>0</v>
      </c>
      <c r="I322" s="663">
        <v>0</v>
      </c>
      <c r="J322" s="663">
        <v>0</v>
      </c>
      <c r="K322" s="663">
        <v>0</v>
      </c>
      <c r="L322" s="663">
        <v>106.10331078427467</v>
      </c>
      <c r="M322" s="663">
        <v>0</v>
      </c>
      <c r="N322" s="663">
        <v>-106.10331078427467</v>
      </c>
      <c r="O322" s="663">
        <v>0</v>
      </c>
      <c r="P322" s="663">
        <v>0</v>
      </c>
      <c r="Q322" s="663">
        <v>0</v>
      </c>
      <c r="R322" s="663">
        <v>0</v>
      </c>
      <c r="S322" s="663">
        <v>0</v>
      </c>
      <c r="T322" s="663">
        <v>0</v>
      </c>
      <c r="U322" s="671">
        <v>0</v>
      </c>
    </row>
    <row r="323" spans="3:21" ht="13">
      <c r="C323" s="670" t="s">
        <v>355</v>
      </c>
      <c r="D323" s="663">
        <v>0</v>
      </c>
      <c r="E323" s="663">
        <v>0</v>
      </c>
      <c r="F323" s="663">
        <v>0</v>
      </c>
      <c r="G323" s="663">
        <v>-16.310777823492739</v>
      </c>
      <c r="H323" s="663">
        <v>0</v>
      </c>
      <c r="I323" s="663">
        <v>0</v>
      </c>
      <c r="J323" s="663">
        <v>0</v>
      </c>
      <c r="K323" s="663">
        <v>0</v>
      </c>
      <c r="L323" s="663">
        <v>0</v>
      </c>
      <c r="M323" s="663">
        <v>0</v>
      </c>
      <c r="N323" s="663">
        <v>0</v>
      </c>
      <c r="O323" s="663">
        <v>0</v>
      </c>
      <c r="P323" s="663">
        <v>0</v>
      </c>
      <c r="Q323" s="663">
        <v>0</v>
      </c>
      <c r="R323" s="663">
        <v>0</v>
      </c>
      <c r="S323" s="663">
        <v>0</v>
      </c>
      <c r="T323" s="663">
        <v>22.716960756953675</v>
      </c>
      <c r="U323" s="671">
        <v>6.4061829334609364</v>
      </c>
    </row>
    <row r="324" spans="3:21" ht="13">
      <c r="C324" s="670" t="s">
        <v>73</v>
      </c>
      <c r="D324" s="663">
        <v>0</v>
      </c>
      <c r="E324" s="663">
        <v>0</v>
      </c>
      <c r="F324" s="663">
        <v>0</v>
      </c>
      <c r="G324" s="663">
        <v>0</v>
      </c>
      <c r="H324" s="663">
        <v>0</v>
      </c>
      <c r="I324" s="663">
        <v>0</v>
      </c>
      <c r="J324" s="663">
        <v>0</v>
      </c>
      <c r="K324" s="663">
        <v>0</v>
      </c>
      <c r="L324" s="663">
        <v>0</v>
      </c>
      <c r="M324" s="663">
        <v>0</v>
      </c>
      <c r="N324" s="663">
        <v>0</v>
      </c>
      <c r="O324" s="663">
        <v>0</v>
      </c>
      <c r="P324" s="663">
        <v>0</v>
      </c>
      <c r="Q324" s="663">
        <v>0</v>
      </c>
      <c r="R324" s="663">
        <v>80.747003520407887</v>
      </c>
      <c r="S324" s="663">
        <v>0</v>
      </c>
      <c r="T324" s="663">
        <v>-54.746468386836547</v>
      </c>
      <c r="U324" s="671">
        <v>26.00053513357134</v>
      </c>
    </row>
    <row r="325" spans="3:21" ht="13">
      <c r="C325" s="670" t="s">
        <v>356</v>
      </c>
      <c r="D325" s="663">
        <v>7.7637663281249996</v>
      </c>
      <c r="E325" s="663">
        <v>-10.819519335238569</v>
      </c>
      <c r="F325" s="663">
        <v>14.100311366339174</v>
      </c>
      <c r="G325" s="663">
        <v>0</v>
      </c>
      <c r="H325" s="663">
        <v>0</v>
      </c>
      <c r="I325" s="663">
        <v>0</v>
      </c>
      <c r="J325" s="663">
        <v>0</v>
      </c>
      <c r="K325" s="663">
        <v>0</v>
      </c>
      <c r="L325" s="663">
        <v>0</v>
      </c>
      <c r="M325" s="663">
        <v>0</v>
      </c>
      <c r="N325" s="663">
        <v>0</v>
      </c>
      <c r="O325" s="663">
        <v>0</v>
      </c>
      <c r="P325" s="663">
        <v>0</v>
      </c>
      <c r="Q325" s="663">
        <v>0</v>
      </c>
      <c r="R325" s="663">
        <v>0</v>
      </c>
      <c r="S325" s="663">
        <v>0</v>
      </c>
      <c r="T325" s="663">
        <v>0</v>
      </c>
      <c r="U325" s="671">
        <v>11.044558359225604</v>
      </c>
    </row>
    <row r="326" spans="3:21" ht="13">
      <c r="C326" s="670" t="s">
        <v>75</v>
      </c>
      <c r="D326" s="663">
        <v>3.0192424609374999</v>
      </c>
      <c r="E326" s="663">
        <v>0</v>
      </c>
      <c r="F326" s="663">
        <v>18.191659515376916</v>
      </c>
      <c r="G326" s="663">
        <v>0</v>
      </c>
      <c r="H326" s="663">
        <v>3.2664120682994437</v>
      </c>
      <c r="I326" s="663">
        <v>0</v>
      </c>
      <c r="J326" s="663">
        <v>0</v>
      </c>
      <c r="K326" s="663">
        <v>0</v>
      </c>
      <c r="L326" s="663">
        <v>0</v>
      </c>
      <c r="M326" s="663">
        <v>0</v>
      </c>
      <c r="N326" s="663">
        <v>0</v>
      </c>
      <c r="O326" s="663">
        <v>1.9850542794488581</v>
      </c>
      <c r="P326" s="663">
        <v>0</v>
      </c>
      <c r="Q326" s="663">
        <v>0</v>
      </c>
      <c r="R326" s="663">
        <v>23.96590055491529</v>
      </c>
      <c r="S326" s="663">
        <v>0</v>
      </c>
      <c r="T326" s="663">
        <v>0</v>
      </c>
      <c r="U326" s="671">
        <v>50.42826887897801</v>
      </c>
    </row>
    <row r="327" spans="3:21" ht="13">
      <c r="C327" s="670" t="s">
        <v>76</v>
      </c>
      <c r="D327" s="663">
        <v>0</v>
      </c>
      <c r="E327" s="663">
        <v>0</v>
      </c>
      <c r="F327" s="663">
        <v>0</v>
      </c>
      <c r="G327" s="663">
        <v>0</v>
      </c>
      <c r="H327" s="663">
        <v>1.3208205478094497</v>
      </c>
      <c r="I327" s="663">
        <v>0</v>
      </c>
      <c r="J327" s="663">
        <v>0</v>
      </c>
      <c r="K327" s="663">
        <v>0</v>
      </c>
      <c r="L327" s="663">
        <v>0</v>
      </c>
      <c r="M327" s="663">
        <v>0</v>
      </c>
      <c r="N327" s="663">
        <v>0</v>
      </c>
      <c r="O327" s="663">
        <v>0.80268515606426361</v>
      </c>
      <c r="P327" s="663">
        <v>0</v>
      </c>
      <c r="Q327" s="663">
        <v>0</v>
      </c>
      <c r="R327" s="663">
        <v>47.023558909206123</v>
      </c>
      <c r="S327" s="663">
        <v>5.4411740217158124</v>
      </c>
      <c r="T327" s="663">
        <v>0</v>
      </c>
      <c r="U327" s="671">
        <v>54.588238634795651</v>
      </c>
    </row>
    <row r="328" spans="3:21" ht="13">
      <c r="C328" s="666" t="s">
        <v>77</v>
      </c>
      <c r="D328" s="667">
        <v>10.783008789062499</v>
      </c>
      <c r="E328" s="667">
        <v>298.46437759387055</v>
      </c>
      <c r="F328" s="667">
        <v>-273.54878724634494</v>
      </c>
      <c r="G328" s="667">
        <v>-16.310777823492739</v>
      </c>
      <c r="H328" s="675">
        <v>21.447638590494105</v>
      </c>
      <c r="I328" s="667">
        <v>0</v>
      </c>
      <c r="J328" s="667">
        <v>964.52942056246673</v>
      </c>
      <c r="K328" s="667">
        <v>311.46236031836668</v>
      </c>
      <c r="L328" s="667">
        <v>238.48922029753334</v>
      </c>
      <c r="M328" s="667">
        <v>24.462268139001523</v>
      </c>
      <c r="N328" s="667">
        <v>-100.71549458937382</v>
      </c>
      <c r="O328" s="667">
        <v>-57.968708014051209</v>
      </c>
      <c r="P328" s="667">
        <v>0</v>
      </c>
      <c r="Q328" s="667">
        <v>15.930004191028587</v>
      </c>
      <c r="R328" s="667">
        <v>-501.82611589256055</v>
      </c>
      <c r="S328" s="667">
        <v>-64.71671371436112</v>
      </c>
      <c r="T328" s="667">
        <v>-30.110537272035845</v>
      </c>
      <c r="U328" s="667">
        <v>840.37116392960388</v>
      </c>
    </row>
    <row r="329" spans="3:21" ht="13">
      <c r="C329" s="668"/>
      <c r="D329" s="669">
        <v>0</v>
      </c>
      <c r="E329" s="669">
        <v>0</v>
      </c>
      <c r="F329" s="669">
        <v>0</v>
      </c>
      <c r="G329" s="669">
        <v>0</v>
      </c>
      <c r="H329" s="676">
        <v>0</v>
      </c>
      <c r="I329" s="669">
        <v>0</v>
      </c>
      <c r="J329" s="669">
        <v>0</v>
      </c>
      <c r="K329" s="669">
        <v>0</v>
      </c>
      <c r="L329" s="669">
        <v>0</v>
      </c>
      <c r="M329" s="669">
        <v>0</v>
      </c>
      <c r="N329" s="669">
        <v>0</v>
      </c>
      <c r="O329" s="669">
        <v>0</v>
      </c>
      <c r="P329" s="669">
        <v>0</v>
      </c>
      <c r="Q329" s="669">
        <v>0</v>
      </c>
      <c r="R329" s="669">
        <v>0</v>
      </c>
      <c r="S329" s="669">
        <v>0</v>
      </c>
      <c r="T329" s="669">
        <v>0</v>
      </c>
      <c r="U329" s="669">
        <v>0</v>
      </c>
    </row>
    <row r="330" spans="3:21" ht="13">
      <c r="C330" s="670" t="s">
        <v>78</v>
      </c>
      <c r="D330" s="663">
        <v>3.0761682303728053</v>
      </c>
      <c r="E330" s="663">
        <v>0</v>
      </c>
      <c r="F330" s="663">
        <v>6.6351508306047968</v>
      </c>
      <c r="G330" s="663">
        <v>0</v>
      </c>
      <c r="H330" s="663">
        <v>38.528321178569939</v>
      </c>
      <c r="I330" s="663">
        <v>0</v>
      </c>
      <c r="J330" s="663">
        <v>0</v>
      </c>
      <c r="K330" s="663">
        <v>0</v>
      </c>
      <c r="L330" s="663">
        <v>20.031105646676835</v>
      </c>
      <c r="M330" s="663">
        <v>2.4349588281846541</v>
      </c>
      <c r="N330" s="663">
        <v>1.8349433718750003</v>
      </c>
      <c r="O330" s="663">
        <v>23.451101372697913</v>
      </c>
      <c r="P330" s="663">
        <v>6.8164926757812498</v>
      </c>
      <c r="Q330" s="663">
        <v>7.4990210834655101E-4</v>
      </c>
      <c r="R330" s="663">
        <v>132.01210341841889</v>
      </c>
      <c r="S330" s="663">
        <v>18.207144124668375</v>
      </c>
      <c r="T330" s="663">
        <v>4.1350366210937501</v>
      </c>
      <c r="U330" s="671">
        <v>257.16327620105255</v>
      </c>
    </row>
    <row r="331" spans="3:21" ht="13">
      <c r="C331" s="670" t="s">
        <v>79</v>
      </c>
      <c r="D331" s="663">
        <v>0</v>
      </c>
      <c r="E331" s="663">
        <v>0</v>
      </c>
      <c r="F331" s="663">
        <v>110.91379205811297</v>
      </c>
      <c r="G331" s="663">
        <v>0.7006243456433674</v>
      </c>
      <c r="H331" s="663">
        <v>3.7872267703464977</v>
      </c>
      <c r="I331" s="663">
        <v>0</v>
      </c>
      <c r="J331" s="663">
        <v>0</v>
      </c>
      <c r="K331" s="663">
        <v>0</v>
      </c>
      <c r="L331" s="663">
        <v>0</v>
      </c>
      <c r="M331" s="663">
        <v>0</v>
      </c>
      <c r="N331" s="663">
        <v>63.547118628094331</v>
      </c>
      <c r="O331" s="663">
        <v>2.3015622495031773</v>
      </c>
      <c r="P331" s="663">
        <v>0</v>
      </c>
      <c r="Q331" s="663">
        <v>0</v>
      </c>
      <c r="R331" s="663">
        <v>74.297767208409297</v>
      </c>
      <c r="S331" s="663">
        <v>0</v>
      </c>
      <c r="T331" s="663">
        <v>2.9567259991236208</v>
      </c>
      <c r="U331" s="671">
        <v>258.50481725923328</v>
      </c>
    </row>
    <row r="332" spans="3:21" ht="13">
      <c r="C332" s="670" t="s">
        <v>80</v>
      </c>
      <c r="D332" s="663">
        <v>0</v>
      </c>
      <c r="E332" s="663">
        <v>0</v>
      </c>
      <c r="F332" s="663">
        <v>2.6564398035767778</v>
      </c>
      <c r="G332" s="663">
        <v>0</v>
      </c>
      <c r="H332" s="663">
        <v>28.69836522821614</v>
      </c>
      <c r="I332" s="663">
        <v>0</v>
      </c>
      <c r="J332" s="663">
        <v>0</v>
      </c>
      <c r="K332" s="663">
        <v>0</v>
      </c>
      <c r="L332" s="663">
        <v>35.896639108009097</v>
      </c>
      <c r="M332" s="663">
        <v>0</v>
      </c>
      <c r="N332" s="663">
        <v>0</v>
      </c>
      <c r="O332" s="663">
        <v>17.440485621005948</v>
      </c>
      <c r="P332" s="663">
        <v>97.288022909546527</v>
      </c>
      <c r="Q332" s="663">
        <v>2.574236293616976</v>
      </c>
      <c r="R332" s="663">
        <v>153.30644884049457</v>
      </c>
      <c r="S332" s="663">
        <v>27.523160685886953</v>
      </c>
      <c r="T332" s="663">
        <v>0</v>
      </c>
      <c r="U332" s="671">
        <v>365.383798490353</v>
      </c>
    </row>
    <row r="333" spans="3:21" ht="13">
      <c r="C333" s="670" t="s">
        <v>81</v>
      </c>
      <c r="D333" s="663">
        <v>0</v>
      </c>
      <c r="E333" s="663">
        <v>0</v>
      </c>
      <c r="F333" s="663">
        <v>2.1807410006338563</v>
      </c>
      <c r="G333" s="663">
        <v>0</v>
      </c>
      <c r="H333" s="663">
        <v>15.077359159365459</v>
      </c>
      <c r="I333" s="663">
        <v>0</v>
      </c>
      <c r="J333" s="663">
        <v>0</v>
      </c>
      <c r="K333" s="663">
        <v>0</v>
      </c>
      <c r="L333" s="663">
        <v>0.41672235765550286</v>
      </c>
      <c r="M333" s="663">
        <v>4.2787984175547016E-4</v>
      </c>
      <c r="N333" s="663">
        <v>0</v>
      </c>
      <c r="O333" s="663">
        <v>9.1627681064954078</v>
      </c>
      <c r="P333" s="663">
        <v>23.435320327740932</v>
      </c>
      <c r="Q333" s="663">
        <v>0.98358432216492664</v>
      </c>
      <c r="R333" s="663">
        <v>94.082065678581444</v>
      </c>
      <c r="S333" s="663">
        <v>18.986408903805792</v>
      </c>
      <c r="T333" s="663">
        <v>0</v>
      </c>
      <c r="U333" s="671">
        <v>164.32539773628508</v>
      </c>
    </row>
    <row r="334" spans="3:21" ht="13">
      <c r="C334" s="670" t="s">
        <v>82</v>
      </c>
      <c r="D334" s="663">
        <v>0</v>
      </c>
      <c r="E334" s="663">
        <v>0</v>
      </c>
      <c r="F334" s="663">
        <v>12.977219358559188</v>
      </c>
      <c r="G334" s="663">
        <v>1</v>
      </c>
      <c r="H334" s="663">
        <v>1.1408122878946925</v>
      </c>
      <c r="I334" s="663">
        <v>0</v>
      </c>
      <c r="J334" s="663">
        <v>0</v>
      </c>
      <c r="K334" s="663">
        <v>0</v>
      </c>
      <c r="L334" s="663">
        <v>3.1334095930613137</v>
      </c>
      <c r="M334" s="663">
        <v>0</v>
      </c>
      <c r="N334" s="663">
        <v>12.27694106679661</v>
      </c>
      <c r="O334" s="663">
        <v>0.69329106884918612</v>
      </c>
      <c r="P334" s="663">
        <v>0.9</v>
      </c>
      <c r="Q334" s="663">
        <v>1.1655332190637568</v>
      </c>
      <c r="R334" s="663">
        <v>7.7417893836432903</v>
      </c>
      <c r="S334" s="663">
        <v>0</v>
      </c>
      <c r="T334" s="663">
        <v>0.29485655237537339</v>
      </c>
      <c r="U334" s="671">
        <v>41.3238525302434</v>
      </c>
    </row>
    <row r="335" spans="3:21" ht="13">
      <c r="C335" s="670" t="s">
        <v>357</v>
      </c>
      <c r="D335" s="663">
        <v>0</v>
      </c>
      <c r="E335" s="663">
        <v>0</v>
      </c>
      <c r="F335" s="663">
        <v>0</v>
      </c>
      <c r="G335" s="663">
        <v>0</v>
      </c>
      <c r="H335" s="663">
        <v>0</v>
      </c>
      <c r="I335" s="663">
        <v>0</v>
      </c>
      <c r="J335" s="663">
        <v>0</v>
      </c>
      <c r="K335" s="663">
        <v>0</v>
      </c>
      <c r="L335" s="663">
        <v>0</v>
      </c>
      <c r="M335" s="663">
        <v>0</v>
      </c>
      <c r="N335" s="663">
        <v>0</v>
      </c>
      <c r="O335" s="663">
        <v>0</v>
      </c>
      <c r="P335" s="663">
        <v>0</v>
      </c>
      <c r="Q335" s="663">
        <v>0</v>
      </c>
      <c r="R335" s="663">
        <v>1.118304</v>
      </c>
      <c r="S335" s="663">
        <v>0</v>
      </c>
      <c r="T335" s="663">
        <v>0</v>
      </c>
      <c r="U335" s="671">
        <v>1.118304</v>
      </c>
    </row>
    <row r="336" spans="3:21" ht="13">
      <c r="C336" s="666" t="s">
        <v>83</v>
      </c>
      <c r="D336" s="667">
        <v>3.0761682303728053</v>
      </c>
      <c r="E336" s="667">
        <v>0</v>
      </c>
      <c r="F336" s="667">
        <v>135.36334305148762</v>
      </c>
      <c r="G336" s="667">
        <v>1.7006243456433674</v>
      </c>
      <c r="H336" s="675">
        <v>87.232084624392726</v>
      </c>
      <c r="I336" s="667">
        <v>0</v>
      </c>
      <c r="J336" s="667">
        <v>0</v>
      </c>
      <c r="K336" s="667">
        <v>0</v>
      </c>
      <c r="L336" s="667">
        <v>59.47787670540275</v>
      </c>
      <c r="M336" s="667">
        <v>2.4353867080264098</v>
      </c>
      <c r="N336" s="667">
        <v>77.659003066765948</v>
      </c>
      <c r="O336" s="667">
        <v>53.049208418551629</v>
      </c>
      <c r="P336" s="667">
        <v>128.43983591306872</v>
      </c>
      <c r="Q336" s="667">
        <v>4.7241037369540066</v>
      </c>
      <c r="R336" s="667">
        <v>462.55847852954759</v>
      </c>
      <c r="S336" s="667">
        <v>64.71671371436112</v>
      </c>
      <c r="T336" s="667">
        <v>7.3866191725927441</v>
      </c>
      <c r="U336" s="667">
        <v>1087.8194462171675</v>
      </c>
    </row>
    <row r="337" spans="3:21" ht="13">
      <c r="C337" s="662" t="s">
        <v>84</v>
      </c>
      <c r="D337" s="663">
        <v>0</v>
      </c>
      <c r="E337" s="663">
        <v>0</v>
      </c>
      <c r="F337" s="663">
        <v>69.168370305615824</v>
      </c>
      <c r="G337" s="663">
        <v>4.7904890791412402</v>
      </c>
      <c r="H337" s="663">
        <v>7.4756631455411453</v>
      </c>
      <c r="I337" s="663">
        <v>0</v>
      </c>
      <c r="J337" s="663">
        <v>0</v>
      </c>
      <c r="K337" s="663">
        <v>0</v>
      </c>
      <c r="L337" s="663">
        <v>0.35480318782723769</v>
      </c>
      <c r="M337" s="663">
        <v>0</v>
      </c>
      <c r="N337" s="663">
        <v>14.992643279712595</v>
      </c>
      <c r="O337" s="663">
        <v>2.3404115799640408</v>
      </c>
      <c r="P337" s="663">
        <v>0</v>
      </c>
      <c r="Q337" s="663">
        <v>0</v>
      </c>
      <c r="R337" s="663">
        <v>0</v>
      </c>
      <c r="S337" s="663">
        <v>0</v>
      </c>
      <c r="T337" s="663">
        <v>22.267864395510532</v>
      </c>
      <c r="U337" s="671">
        <v>121.39024497331262</v>
      </c>
    </row>
    <row r="338" spans="3:21" ht="13">
      <c r="C338" s="666" t="s">
        <v>85</v>
      </c>
      <c r="D338" s="667">
        <v>3.0761682303728053</v>
      </c>
      <c r="E338" s="667">
        <v>0</v>
      </c>
      <c r="F338" s="667">
        <v>204.53171335710346</v>
      </c>
      <c r="G338" s="667">
        <v>6.4911134247846078</v>
      </c>
      <c r="H338" s="675">
        <v>94.707747769933874</v>
      </c>
      <c r="I338" s="667">
        <v>0</v>
      </c>
      <c r="J338" s="667">
        <v>0</v>
      </c>
      <c r="K338" s="667">
        <v>0</v>
      </c>
      <c r="L338" s="667">
        <v>59.832679893229987</v>
      </c>
      <c r="M338" s="667">
        <v>2.4353867080264098</v>
      </c>
      <c r="N338" s="667">
        <v>92.651646346478543</v>
      </c>
      <c r="O338" s="667">
        <v>55.38961999851567</v>
      </c>
      <c r="P338" s="667">
        <v>128.43983591306872</v>
      </c>
      <c r="Q338" s="667">
        <v>4.7241037369540066</v>
      </c>
      <c r="R338" s="667">
        <v>462.55847852954759</v>
      </c>
      <c r="S338" s="667">
        <v>64.71671371436112</v>
      </c>
      <c r="T338" s="667">
        <v>29.654483568103277</v>
      </c>
      <c r="U338" s="667">
        <v>1209.20969119048</v>
      </c>
    </row>
    <row r="339" spans="3:21">
      <c r="C339" s="654"/>
      <c r="D339" s="672">
        <v>0</v>
      </c>
      <c r="E339" s="672">
        <v>0</v>
      </c>
      <c r="F339" s="672">
        <v>0</v>
      </c>
      <c r="G339" s="672">
        <v>0</v>
      </c>
      <c r="H339" s="672">
        <v>0</v>
      </c>
      <c r="I339" s="672">
        <v>0</v>
      </c>
      <c r="J339" s="672">
        <v>0</v>
      </c>
      <c r="K339" s="672">
        <v>0</v>
      </c>
      <c r="L339" s="672">
        <v>0</v>
      </c>
      <c r="M339" s="672">
        <v>0</v>
      </c>
      <c r="N339" s="672">
        <v>0</v>
      </c>
      <c r="O339" s="672">
        <v>-1.1546319456101628E-14</v>
      </c>
      <c r="P339" s="672">
        <v>0</v>
      </c>
      <c r="Q339" s="672">
        <v>0</v>
      </c>
      <c r="R339" s="672">
        <v>5.6843418860808015E-14</v>
      </c>
      <c r="S339" s="672">
        <v>0</v>
      </c>
      <c r="T339" s="672">
        <v>9.9920072216264089E-16</v>
      </c>
      <c r="U339" s="672">
        <v>0</v>
      </c>
    </row>
    <row r="340" spans="3:21">
      <c r="C340" s="654"/>
      <c r="D340" s="654"/>
      <c r="E340" s="654"/>
      <c r="F340" s="654"/>
      <c r="G340" s="654"/>
      <c r="H340" s="654"/>
      <c r="I340" s="654"/>
      <c r="J340" s="654"/>
      <c r="K340" s="654"/>
      <c r="L340" s="654"/>
      <c r="M340" s="654"/>
      <c r="N340" s="654"/>
      <c r="O340" s="654"/>
      <c r="P340" s="654"/>
      <c r="Q340" s="654"/>
      <c r="R340" s="654"/>
      <c r="S340" s="654"/>
      <c r="T340" s="654"/>
      <c r="U340" s="654"/>
    </row>
    <row r="341" spans="3:21" ht="14.5">
      <c r="C341" s="658" t="s">
        <v>363</v>
      </c>
      <c r="D341" s="659"/>
      <c r="E341" s="659"/>
      <c r="F341" s="659"/>
      <c r="G341" s="659"/>
      <c r="H341" s="659"/>
      <c r="I341" s="659"/>
      <c r="J341" s="659"/>
      <c r="K341" s="659"/>
      <c r="L341" s="659"/>
      <c r="M341" s="659"/>
      <c r="N341" s="659"/>
      <c r="O341" s="659"/>
      <c r="P341" s="659"/>
      <c r="Q341" s="659"/>
      <c r="R341" s="659"/>
      <c r="S341" s="659"/>
      <c r="T341" s="659"/>
      <c r="U341" s="659"/>
    </row>
    <row r="342" spans="3:21">
      <c r="C342" s="654"/>
      <c r="D342" s="654"/>
      <c r="E342" s="654"/>
      <c r="F342" s="654"/>
      <c r="G342" s="654"/>
      <c r="H342" s="654"/>
      <c r="I342" s="654"/>
      <c r="J342" s="654"/>
      <c r="K342" s="654"/>
      <c r="L342" s="654"/>
      <c r="M342" s="654"/>
      <c r="N342" s="654"/>
      <c r="O342" s="654"/>
      <c r="P342" s="654"/>
      <c r="Q342" s="654"/>
      <c r="R342" s="654"/>
      <c r="S342" s="654"/>
      <c r="T342" s="654"/>
      <c r="U342" s="654"/>
    </row>
    <row r="343" spans="3:21" ht="13">
      <c r="C343" s="706" t="s">
        <v>128</v>
      </c>
      <c r="D343" s="704" t="s">
        <v>42</v>
      </c>
      <c r="E343" s="704" t="s">
        <v>52</v>
      </c>
      <c r="F343" s="704" t="s">
        <v>53</v>
      </c>
      <c r="G343" s="704" t="s">
        <v>487</v>
      </c>
      <c r="H343" s="704" t="s">
        <v>32</v>
      </c>
      <c r="I343" s="704" t="s">
        <v>488</v>
      </c>
      <c r="J343" s="704" t="s">
        <v>20</v>
      </c>
      <c r="K343" s="704" t="s">
        <v>55</v>
      </c>
      <c r="L343" s="708" t="s">
        <v>56</v>
      </c>
      <c r="M343" s="709"/>
      <c r="N343" s="709"/>
      <c r="O343" s="709"/>
      <c r="P343" s="709"/>
      <c r="Q343" s="710"/>
      <c r="R343" s="704" t="s">
        <v>57</v>
      </c>
      <c r="S343" s="704" t="s">
        <v>58</v>
      </c>
      <c r="T343" s="704" t="s">
        <v>31</v>
      </c>
      <c r="U343" s="704" t="s">
        <v>10</v>
      </c>
    </row>
    <row r="344" spans="3:21" ht="36">
      <c r="C344" s="707"/>
      <c r="D344" s="705"/>
      <c r="E344" s="705"/>
      <c r="F344" s="705"/>
      <c r="G344" s="705"/>
      <c r="H344" s="705"/>
      <c r="I344" s="705"/>
      <c r="J344" s="705"/>
      <c r="K344" s="705"/>
      <c r="L344" s="660" t="s">
        <v>338</v>
      </c>
      <c r="M344" s="660" t="s">
        <v>40</v>
      </c>
      <c r="N344" s="660" t="s">
        <v>346</v>
      </c>
      <c r="O344" s="660" t="s">
        <v>347</v>
      </c>
      <c r="P344" s="661" t="s">
        <v>348</v>
      </c>
      <c r="Q344" s="660" t="s">
        <v>349</v>
      </c>
      <c r="R344" s="705"/>
      <c r="S344" s="705"/>
      <c r="T344" s="705"/>
      <c r="U344" s="705"/>
    </row>
    <row r="345" spans="3:21" ht="13">
      <c r="C345" s="662" t="s">
        <v>59</v>
      </c>
      <c r="D345" s="663">
        <v>0</v>
      </c>
      <c r="E345" s="663">
        <v>0</v>
      </c>
      <c r="F345" s="663">
        <v>0</v>
      </c>
      <c r="G345" s="663">
        <v>0</v>
      </c>
      <c r="H345" s="663">
        <v>0</v>
      </c>
      <c r="I345" s="663">
        <v>0</v>
      </c>
      <c r="J345" s="664">
        <v>965.91438750259681</v>
      </c>
      <c r="K345" s="664">
        <v>340.77058420783555</v>
      </c>
      <c r="L345" s="664">
        <v>306.24907142960961</v>
      </c>
      <c r="M345" s="664">
        <v>26.996685887157991</v>
      </c>
      <c r="N345" s="663">
        <v>1.5769202529293118</v>
      </c>
      <c r="O345" s="663">
        <v>0.16705675062100381</v>
      </c>
      <c r="P345" s="664">
        <v>137.63232647396575</v>
      </c>
      <c r="Q345" s="664">
        <v>22.505061443653027</v>
      </c>
      <c r="R345" s="663">
        <v>0</v>
      </c>
      <c r="S345" s="663">
        <v>0</v>
      </c>
      <c r="T345" s="663">
        <v>0</v>
      </c>
      <c r="U345" s="665">
        <v>1801.812093948369</v>
      </c>
    </row>
    <row r="346" spans="3:21" ht="13">
      <c r="C346" s="662" t="s">
        <v>60</v>
      </c>
      <c r="D346" s="663">
        <v>12.402103294712147</v>
      </c>
      <c r="E346" s="663">
        <v>267.59952869557856</v>
      </c>
      <c r="F346" s="663">
        <v>4.6624671135986846</v>
      </c>
      <c r="G346" s="663">
        <v>0</v>
      </c>
      <c r="H346" s="663">
        <v>96.376212667923994</v>
      </c>
      <c r="I346" s="663">
        <v>0</v>
      </c>
      <c r="J346" s="663">
        <v>0</v>
      </c>
      <c r="K346" s="663">
        <v>0</v>
      </c>
      <c r="L346" s="663">
        <v>4.1311012816916577</v>
      </c>
      <c r="M346" s="663">
        <v>0</v>
      </c>
      <c r="N346" s="663">
        <v>4.3268221557656901</v>
      </c>
      <c r="O346" s="663">
        <v>0</v>
      </c>
      <c r="P346" s="663">
        <v>0</v>
      </c>
      <c r="Q346" s="663">
        <v>0</v>
      </c>
      <c r="R346" s="663">
        <v>0</v>
      </c>
      <c r="S346" s="663">
        <v>0</v>
      </c>
      <c r="T346" s="663">
        <v>0</v>
      </c>
      <c r="U346" s="665">
        <v>389.49823520927077</v>
      </c>
    </row>
    <row r="347" spans="3:21" ht="13">
      <c r="C347" s="662" t="s">
        <v>61</v>
      </c>
      <c r="D347" s="663">
        <v>0</v>
      </c>
      <c r="E347" s="663">
        <v>0</v>
      </c>
      <c r="F347" s="663">
        <v>-48.857560720144178</v>
      </c>
      <c r="G347" s="663">
        <v>-1.2901681691857902E-2</v>
      </c>
      <c r="H347" s="663">
        <v>0</v>
      </c>
      <c r="I347" s="663">
        <v>0</v>
      </c>
      <c r="J347" s="663">
        <v>0</v>
      </c>
      <c r="K347" s="663">
        <v>0</v>
      </c>
      <c r="L347" s="663">
        <v>0</v>
      </c>
      <c r="M347" s="663">
        <v>0</v>
      </c>
      <c r="N347" s="663">
        <v>0</v>
      </c>
      <c r="O347" s="663">
        <v>0</v>
      </c>
      <c r="P347" s="663">
        <v>0</v>
      </c>
      <c r="Q347" s="663">
        <v>0</v>
      </c>
      <c r="R347" s="663">
        <v>-40.000273468658179</v>
      </c>
      <c r="S347" s="663">
        <v>0</v>
      </c>
      <c r="T347" s="663">
        <v>0</v>
      </c>
      <c r="U347" s="665">
        <v>-88.870735870494215</v>
      </c>
    </row>
    <row r="348" spans="3:21" ht="13">
      <c r="C348" s="662" t="s">
        <v>62</v>
      </c>
      <c r="D348" s="663">
        <v>0</v>
      </c>
      <c r="E348" s="663">
        <v>0</v>
      </c>
      <c r="F348" s="663">
        <v>-9.1118704229779723</v>
      </c>
      <c r="G348" s="663">
        <v>-2.3970976911906821</v>
      </c>
      <c r="H348" s="663">
        <v>-2.3731267142787753</v>
      </c>
      <c r="I348" s="663">
        <v>0</v>
      </c>
      <c r="J348" s="663">
        <v>0</v>
      </c>
      <c r="K348" s="663">
        <v>0</v>
      </c>
      <c r="L348" s="663">
        <v>0</v>
      </c>
      <c r="M348" s="663">
        <v>0</v>
      </c>
      <c r="N348" s="663">
        <v>-0.47941953823813638</v>
      </c>
      <c r="O348" s="663">
        <v>-1.9416491298644523</v>
      </c>
      <c r="P348" s="663">
        <v>0</v>
      </c>
      <c r="Q348" s="663">
        <v>0</v>
      </c>
      <c r="R348" s="663">
        <v>0</v>
      </c>
      <c r="S348" s="663">
        <v>0</v>
      </c>
      <c r="T348" s="663">
        <v>0</v>
      </c>
      <c r="U348" s="665">
        <v>-16.30316349655002</v>
      </c>
    </row>
    <row r="349" spans="3:21" ht="13">
      <c r="C349" s="662" t="s">
        <v>63</v>
      </c>
      <c r="D349" s="663">
        <v>0</v>
      </c>
      <c r="E349" s="663">
        <v>0</v>
      </c>
      <c r="F349" s="663">
        <v>-46.962205061788246</v>
      </c>
      <c r="G349" s="663">
        <v>-11.133901046695911</v>
      </c>
      <c r="H349" s="663">
        <v>0</v>
      </c>
      <c r="I349" s="663">
        <v>0</v>
      </c>
      <c r="J349" s="663">
        <v>0</v>
      </c>
      <c r="K349" s="663">
        <v>0</v>
      </c>
      <c r="L349" s="663">
        <v>0</v>
      </c>
      <c r="M349" s="663">
        <v>0</v>
      </c>
      <c r="N349" s="663">
        <v>-14.072022489882162</v>
      </c>
      <c r="O349" s="663">
        <v>0</v>
      </c>
      <c r="P349" s="663">
        <v>0</v>
      </c>
      <c r="Q349" s="663">
        <v>0</v>
      </c>
      <c r="R349" s="663">
        <v>0</v>
      </c>
      <c r="S349" s="663">
        <v>0</v>
      </c>
      <c r="T349" s="663">
        <v>-0.66460812232862176</v>
      </c>
      <c r="U349" s="665">
        <v>-72.832736720694939</v>
      </c>
    </row>
    <row r="350" spans="3:21" ht="13">
      <c r="C350" s="662" t="s">
        <v>64</v>
      </c>
      <c r="D350" s="663">
        <v>0</v>
      </c>
      <c r="E350" s="663">
        <v>0</v>
      </c>
      <c r="F350" s="663">
        <v>0</v>
      </c>
      <c r="G350" s="663">
        <v>0</v>
      </c>
      <c r="H350" s="663">
        <v>0</v>
      </c>
      <c r="I350" s="663">
        <v>0</v>
      </c>
      <c r="J350" s="663">
        <v>0</v>
      </c>
      <c r="K350" s="663">
        <v>0</v>
      </c>
      <c r="L350" s="663">
        <v>0</v>
      </c>
      <c r="M350" s="663">
        <v>0</v>
      </c>
      <c r="N350" s="663">
        <v>0</v>
      </c>
      <c r="O350" s="663">
        <v>0</v>
      </c>
      <c r="P350" s="663">
        <v>0</v>
      </c>
      <c r="Q350" s="663">
        <v>0</v>
      </c>
      <c r="R350" s="663">
        <v>0</v>
      </c>
      <c r="S350" s="663">
        <v>0</v>
      </c>
      <c r="T350" s="663">
        <v>0</v>
      </c>
      <c r="U350" s="665">
        <v>0</v>
      </c>
    </row>
    <row r="351" spans="3:21" ht="13">
      <c r="C351" s="666" t="s">
        <v>65</v>
      </c>
      <c r="D351" s="667">
        <v>12.402103294712147</v>
      </c>
      <c r="E351" s="667">
        <v>267.59952869557856</v>
      </c>
      <c r="F351" s="667">
        <v>-100.26916909131171</v>
      </c>
      <c r="G351" s="667">
        <v>-13.543900419578451</v>
      </c>
      <c r="H351" s="675">
        <v>94.003085953645225</v>
      </c>
      <c r="I351" s="667">
        <v>0</v>
      </c>
      <c r="J351" s="667">
        <v>965.91438750259681</v>
      </c>
      <c r="K351" s="667">
        <v>340.77058420783555</v>
      </c>
      <c r="L351" s="667">
        <v>310.38017271130127</v>
      </c>
      <c r="M351" s="667">
        <v>26.996685887157991</v>
      </c>
      <c r="N351" s="667">
        <v>-8.647699619425298</v>
      </c>
      <c r="O351" s="667">
        <v>-1.7745923792434484</v>
      </c>
      <c r="P351" s="667">
        <v>137.63232647396575</v>
      </c>
      <c r="Q351" s="667">
        <v>22.505061443653027</v>
      </c>
      <c r="R351" s="667">
        <v>-40.000273468658179</v>
      </c>
      <c r="S351" s="667">
        <v>0</v>
      </c>
      <c r="T351" s="667">
        <v>-0.66460812232862176</v>
      </c>
      <c r="U351" s="667">
        <v>2013.3036930699004</v>
      </c>
    </row>
    <row r="352" spans="3:21" ht="13">
      <c r="C352" s="668"/>
      <c r="D352" s="669">
        <v>0</v>
      </c>
      <c r="E352" s="669">
        <v>0</v>
      </c>
      <c r="F352" s="669">
        <v>0</v>
      </c>
      <c r="G352" s="669">
        <v>0</v>
      </c>
      <c r="H352" s="676">
        <v>0</v>
      </c>
      <c r="I352" s="669">
        <v>0</v>
      </c>
      <c r="J352" s="669">
        <v>0</v>
      </c>
      <c r="K352" s="669">
        <v>0</v>
      </c>
      <c r="L352" s="669">
        <v>0</v>
      </c>
      <c r="M352" s="669">
        <v>0</v>
      </c>
      <c r="N352" s="669">
        <v>0</v>
      </c>
      <c r="O352" s="669">
        <v>0</v>
      </c>
      <c r="P352" s="669">
        <v>0</v>
      </c>
      <c r="Q352" s="669">
        <v>0</v>
      </c>
      <c r="R352" s="669">
        <v>0</v>
      </c>
      <c r="S352" s="669">
        <v>0</v>
      </c>
      <c r="T352" s="669">
        <v>0</v>
      </c>
      <c r="U352" s="669">
        <v>0</v>
      </c>
    </row>
    <row r="353" spans="3:21" ht="13">
      <c r="C353" s="670" t="s">
        <v>67</v>
      </c>
      <c r="D353" s="663">
        <v>0</v>
      </c>
      <c r="E353" s="663">
        <v>0</v>
      </c>
      <c r="F353" s="663">
        <v>0</v>
      </c>
      <c r="G353" s="663">
        <v>0</v>
      </c>
      <c r="H353" s="663">
        <v>0</v>
      </c>
      <c r="I353" s="663">
        <v>0</v>
      </c>
      <c r="J353" s="663">
        <v>0</v>
      </c>
      <c r="K353" s="663">
        <v>0</v>
      </c>
      <c r="L353" s="663">
        <v>0</v>
      </c>
      <c r="M353" s="663">
        <v>0</v>
      </c>
      <c r="N353" s="663">
        <v>0</v>
      </c>
      <c r="O353" s="663">
        <v>0</v>
      </c>
      <c r="P353" s="663">
        <v>0</v>
      </c>
      <c r="Q353" s="663">
        <v>0</v>
      </c>
      <c r="R353" s="663">
        <v>0</v>
      </c>
      <c r="S353" s="663">
        <v>0</v>
      </c>
      <c r="T353" s="663">
        <v>0</v>
      </c>
      <c r="U353" s="671">
        <v>0</v>
      </c>
    </row>
    <row r="354" spans="3:21" ht="13">
      <c r="C354" s="670" t="s">
        <v>350</v>
      </c>
      <c r="D354" s="663">
        <v>0</v>
      </c>
      <c r="E354" s="663">
        <v>0</v>
      </c>
      <c r="F354" s="663">
        <v>6.6151953400033478E-2</v>
      </c>
      <c r="G354" s="663">
        <v>0</v>
      </c>
      <c r="H354" s="663">
        <v>5.4310272511854434</v>
      </c>
      <c r="I354" s="663">
        <v>0</v>
      </c>
      <c r="J354" s="663">
        <v>965.91438750259681</v>
      </c>
      <c r="K354" s="663">
        <v>340.77058420783555</v>
      </c>
      <c r="L354" s="663">
        <v>20.176267010584041</v>
      </c>
      <c r="M354" s="663">
        <v>10.227645630646329</v>
      </c>
      <c r="N354" s="663">
        <v>5.6269378379330357</v>
      </c>
      <c r="O354" s="663">
        <v>1.4716569620482758</v>
      </c>
      <c r="P354" s="663">
        <v>0</v>
      </c>
      <c r="Q354" s="663">
        <v>6.4327567473291545</v>
      </c>
      <c r="R354" s="663">
        <v>-682.09415881935547</v>
      </c>
      <c r="S354" s="663">
        <v>0</v>
      </c>
      <c r="T354" s="663">
        <v>3.1982839297450432</v>
      </c>
      <c r="U354" s="671">
        <v>677.22154021394851</v>
      </c>
    </row>
    <row r="355" spans="3:21" ht="13">
      <c r="C355" s="670" t="s">
        <v>351</v>
      </c>
      <c r="D355" s="663">
        <v>0</v>
      </c>
      <c r="E355" s="663">
        <v>0</v>
      </c>
      <c r="F355" s="663">
        <v>0</v>
      </c>
      <c r="G355" s="663">
        <v>0</v>
      </c>
      <c r="H355" s="663">
        <v>7.4585129183309293</v>
      </c>
      <c r="I355" s="663">
        <v>0</v>
      </c>
      <c r="J355" s="663">
        <v>0</v>
      </c>
      <c r="K355" s="663">
        <v>0</v>
      </c>
      <c r="L355" s="663">
        <v>35.547730315639996</v>
      </c>
      <c r="M355" s="663">
        <v>14.387113593265058</v>
      </c>
      <c r="N355" s="663">
        <v>0</v>
      </c>
      <c r="O355" s="663">
        <v>6.1169134542385972</v>
      </c>
      <c r="P355" s="663">
        <v>0</v>
      </c>
      <c r="Q355" s="663">
        <v>11.02899005085181</v>
      </c>
      <c r="R355" s="663">
        <v>0</v>
      </c>
      <c r="S355" s="663">
        <v>-69.303608577230833</v>
      </c>
      <c r="T355" s="663">
        <v>0</v>
      </c>
      <c r="U355" s="671">
        <v>5.235651755095569</v>
      </c>
    </row>
    <row r="356" spans="3:21" ht="13">
      <c r="C356" s="670" t="s">
        <v>352</v>
      </c>
      <c r="D356" s="663">
        <v>0</v>
      </c>
      <c r="E356" s="663">
        <v>0</v>
      </c>
      <c r="F356" s="663">
        <v>0</v>
      </c>
      <c r="G356" s="663">
        <v>0</v>
      </c>
      <c r="H356" s="663">
        <v>0</v>
      </c>
      <c r="I356" s="663">
        <v>0</v>
      </c>
      <c r="J356" s="663">
        <v>0</v>
      </c>
      <c r="K356" s="663">
        <v>0</v>
      </c>
      <c r="L356" s="663">
        <v>78.995354979464977</v>
      </c>
      <c r="M356" s="663">
        <v>0</v>
      </c>
      <c r="N356" s="663">
        <v>0</v>
      </c>
      <c r="O356" s="663">
        <v>-72.973515141642281</v>
      </c>
      <c r="P356" s="663">
        <v>0</v>
      </c>
      <c r="Q356" s="663">
        <v>0</v>
      </c>
      <c r="R356" s="663">
        <v>0</v>
      </c>
      <c r="S356" s="663">
        <v>0</v>
      </c>
      <c r="T356" s="663">
        <v>0</v>
      </c>
      <c r="U356" s="671">
        <v>6.0218398378226965</v>
      </c>
    </row>
    <row r="357" spans="3:21" ht="13">
      <c r="C357" s="670" t="s">
        <v>353</v>
      </c>
      <c r="D357" s="663">
        <v>0</v>
      </c>
      <c r="E357" s="663">
        <v>0</v>
      </c>
      <c r="F357" s="663">
        <v>0</v>
      </c>
      <c r="G357" s="663">
        <v>0</v>
      </c>
      <c r="H357" s="663">
        <v>0</v>
      </c>
      <c r="I357" s="663">
        <v>0</v>
      </c>
      <c r="J357" s="663">
        <v>0</v>
      </c>
      <c r="K357" s="663">
        <v>0</v>
      </c>
      <c r="L357" s="663">
        <v>0</v>
      </c>
      <c r="M357" s="663">
        <v>0</v>
      </c>
      <c r="N357" s="663">
        <v>0</v>
      </c>
      <c r="O357" s="663">
        <v>0</v>
      </c>
      <c r="P357" s="663">
        <v>0</v>
      </c>
      <c r="Q357" s="663">
        <v>0</v>
      </c>
      <c r="R357" s="663">
        <v>0</v>
      </c>
      <c r="S357" s="663">
        <v>0</v>
      </c>
      <c r="T357" s="663">
        <v>0</v>
      </c>
      <c r="U357" s="671">
        <v>0</v>
      </c>
    </row>
    <row r="358" spans="3:21" ht="13">
      <c r="C358" s="670" t="s">
        <v>72</v>
      </c>
      <c r="D358" s="663">
        <v>0</v>
      </c>
      <c r="E358" s="663">
        <v>277.28994248668886</v>
      </c>
      <c r="F358" s="663">
        <v>-274.5252708068171</v>
      </c>
      <c r="G358" s="663">
        <v>0</v>
      </c>
      <c r="H358" s="663">
        <v>0</v>
      </c>
      <c r="I358" s="663">
        <v>0</v>
      </c>
      <c r="J358" s="663">
        <v>0</v>
      </c>
      <c r="K358" s="663">
        <v>0</v>
      </c>
      <c r="L358" s="663">
        <v>0</v>
      </c>
      <c r="M358" s="663">
        <v>0</v>
      </c>
      <c r="N358" s="663">
        <v>0</v>
      </c>
      <c r="O358" s="663">
        <v>0</v>
      </c>
      <c r="P358" s="663">
        <v>0</v>
      </c>
      <c r="Q358" s="663">
        <v>0</v>
      </c>
      <c r="R358" s="663">
        <v>0</v>
      </c>
      <c r="S358" s="663">
        <v>0</v>
      </c>
      <c r="T358" s="663">
        <v>0</v>
      </c>
      <c r="U358" s="671">
        <v>2.7646716798717357</v>
      </c>
    </row>
    <row r="359" spans="3:21" ht="13">
      <c r="C359" s="670" t="s">
        <v>354</v>
      </c>
      <c r="D359" s="663">
        <v>0</v>
      </c>
      <c r="E359" s="663">
        <v>0</v>
      </c>
      <c r="F359" s="663">
        <v>0</v>
      </c>
      <c r="G359" s="663">
        <v>0</v>
      </c>
      <c r="H359" s="663">
        <v>0</v>
      </c>
      <c r="I359" s="663">
        <v>0</v>
      </c>
      <c r="J359" s="663">
        <v>0</v>
      </c>
      <c r="K359" s="663">
        <v>0</v>
      </c>
      <c r="L359" s="663">
        <v>117.50933865541684</v>
      </c>
      <c r="M359" s="663">
        <v>0</v>
      </c>
      <c r="N359" s="663">
        <v>-117.50933865541684</v>
      </c>
      <c r="O359" s="663">
        <v>0</v>
      </c>
      <c r="P359" s="663">
        <v>0</v>
      </c>
      <c r="Q359" s="663">
        <v>0</v>
      </c>
      <c r="R359" s="663">
        <v>0</v>
      </c>
      <c r="S359" s="663">
        <v>0</v>
      </c>
      <c r="T359" s="663">
        <v>0</v>
      </c>
      <c r="U359" s="671">
        <v>0</v>
      </c>
    </row>
    <row r="360" spans="3:21" ht="13">
      <c r="C360" s="670" t="s">
        <v>355</v>
      </c>
      <c r="D360" s="663">
        <v>0</v>
      </c>
      <c r="E360" s="663">
        <v>0</v>
      </c>
      <c r="F360" s="663">
        <v>0</v>
      </c>
      <c r="G360" s="663">
        <v>-21.910962558722186</v>
      </c>
      <c r="H360" s="663">
        <v>0</v>
      </c>
      <c r="I360" s="663">
        <v>0</v>
      </c>
      <c r="J360" s="663">
        <v>0</v>
      </c>
      <c r="K360" s="663">
        <v>0</v>
      </c>
      <c r="L360" s="663">
        <v>0</v>
      </c>
      <c r="M360" s="663">
        <v>0</v>
      </c>
      <c r="N360" s="663">
        <v>0</v>
      </c>
      <c r="O360" s="663">
        <v>0</v>
      </c>
      <c r="P360" s="663">
        <v>0</v>
      </c>
      <c r="Q360" s="663">
        <v>0</v>
      </c>
      <c r="R360" s="663">
        <v>0</v>
      </c>
      <c r="S360" s="663">
        <v>0</v>
      </c>
      <c r="T360" s="663">
        <v>30.516660945295527</v>
      </c>
      <c r="U360" s="671">
        <v>8.6056983865733407</v>
      </c>
    </row>
    <row r="361" spans="3:21" ht="13">
      <c r="C361" s="670" t="s">
        <v>73</v>
      </c>
      <c r="D361" s="663">
        <v>0</v>
      </c>
      <c r="E361" s="663">
        <v>0</v>
      </c>
      <c r="F361" s="663">
        <v>0</v>
      </c>
      <c r="G361" s="663">
        <v>0</v>
      </c>
      <c r="H361" s="663">
        <v>0</v>
      </c>
      <c r="I361" s="663">
        <v>0</v>
      </c>
      <c r="J361" s="663">
        <v>0</v>
      </c>
      <c r="K361" s="663">
        <v>0</v>
      </c>
      <c r="L361" s="663">
        <v>0</v>
      </c>
      <c r="M361" s="663">
        <v>0</v>
      </c>
      <c r="N361" s="663">
        <v>0</v>
      </c>
      <c r="O361" s="663">
        <v>0</v>
      </c>
      <c r="P361" s="663">
        <v>0</v>
      </c>
      <c r="Q361" s="663">
        <v>0</v>
      </c>
      <c r="R361" s="663">
        <v>99.340394157506324</v>
      </c>
      <c r="S361" s="663">
        <v>0</v>
      </c>
      <c r="T361" s="663">
        <v>-68.048169997891833</v>
      </c>
      <c r="U361" s="671">
        <v>31.292224159614491</v>
      </c>
    </row>
    <row r="362" spans="3:21" ht="13">
      <c r="C362" s="670" t="s">
        <v>356</v>
      </c>
      <c r="D362" s="663">
        <v>6.9248988281249995</v>
      </c>
      <c r="E362" s="663">
        <v>-9.6904137911102683</v>
      </c>
      <c r="F362" s="663">
        <v>12.633678677299837</v>
      </c>
      <c r="G362" s="663">
        <v>0</v>
      </c>
      <c r="H362" s="663">
        <v>0</v>
      </c>
      <c r="I362" s="663">
        <v>0</v>
      </c>
      <c r="J362" s="663">
        <v>0</v>
      </c>
      <c r="K362" s="663">
        <v>0</v>
      </c>
      <c r="L362" s="663">
        <v>0</v>
      </c>
      <c r="M362" s="663">
        <v>0</v>
      </c>
      <c r="N362" s="663">
        <v>0</v>
      </c>
      <c r="O362" s="663">
        <v>0</v>
      </c>
      <c r="P362" s="663">
        <v>0</v>
      </c>
      <c r="Q362" s="663">
        <v>0</v>
      </c>
      <c r="R362" s="663">
        <v>0</v>
      </c>
      <c r="S362" s="663">
        <v>0</v>
      </c>
      <c r="T362" s="663">
        <v>0</v>
      </c>
      <c r="U362" s="671">
        <v>9.8681637143145693</v>
      </c>
    </row>
    <row r="363" spans="3:21" ht="13">
      <c r="C363" s="670" t="s">
        <v>75</v>
      </c>
      <c r="D363" s="663">
        <v>2.6930162109375</v>
      </c>
      <c r="E363" s="663">
        <v>0</v>
      </c>
      <c r="F363" s="663">
        <v>17.882981772477446</v>
      </c>
      <c r="G363" s="663">
        <v>0</v>
      </c>
      <c r="H363" s="663">
        <v>2.8438669910513061</v>
      </c>
      <c r="I363" s="663">
        <v>0</v>
      </c>
      <c r="J363" s="663">
        <v>0</v>
      </c>
      <c r="K363" s="663">
        <v>0</v>
      </c>
      <c r="L363" s="663">
        <v>0</v>
      </c>
      <c r="M363" s="663">
        <v>0</v>
      </c>
      <c r="N363" s="663">
        <v>0</v>
      </c>
      <c r="O363" s="663">
        <v>2.3268002654056139</v>
      </c>
      <c r="P363" s="663">
        <v>0</v>
      </c>
      <c r="Q363" s="663">
        <v>0</v>
      </c>
      <c r="R363" s="663">
        <v>23.896357926698794</v>
      </c>
      <c r="S363" s="663">
        <v>0</v>
      </c>
      <c r="T363" s="663">
        <v>0</v>
      </c>
      <c r="U363" s="671">
        <v>49.643023166570657</v>
      </c>
    </row>
    <row r="364" spans="3:21" ht="13">
      <c r="C364" s="670" t="s">
        <v>76</v>
      </c>
      <c r="D364" s="663">
        <v>0</v>
      </c>
      <c r="E364" s="663">
        <v>0</v>
      </c>
      <c r="F364" s="663">
        <v>0</v>
      </c>
      <c r="G364" s="663">
        <v>0</v>
      </c>
      <c r="H364" s="663">
        <v>1.042848686512976</v>
      </c>
      <c r="I364" s="663">
        <v>0</v>
      </c>
      <c r="J364" s="663">
        <v>0</v>
      </c>
      <c r="K364" s="663">
        <v>0</v>
      </c>
      <c r="L364" s="663">
        <v>0</v>
      </c>
      <c r="M364" s="663">
        <v>0</v>
      </c>
      <c r="N364" s="663">
        <v>0</v>
      </c>
      <c r="O364" s="663">
        <v>0.85323983441970752</v>
      </c>
      <c r="P364" s="663">
        <v>0</v>
      </c>
      <c r="Q364" s="663">
        <v>0</v>
      </c>
      <c r="R364" s="663">
        <v>49.147245311640418</v>
      </c>
      <c r="S364" s="663">
        <v>5.3750429512534854</v>
      </c>
      <c r="T364" s="663">
        <v>0</v>
      </c>
      <c r="U364" s="671">
        <v>56.418376783826595</v>
      </c>
    </row>
    <row r="365" spans="3:21" ht="13">
      <c r="C365" s="666" t="s">
        <v>77</v>
      </c>
      <c r="D365" s="667">
        <v>9.617915039062499</v>
      </c>
      <c r="E365" s="667">
        <v>267.59952869557856</v>
      </c>
      <c r="F365" s="667">
        <v>-243.94245840363976</v>
      </c>
      <c r="G365" s="667">
        <v>-21.910962558722186</v>
      </c>
      <c r="H365" s="675">
        <v>16.776255847080655</v>
      </c>
      <c r="I365" s="667">
        <v>0</v>
      </c>
      <c r="J365" s="667">
        <v>965.91438750259681</v>
      </c>
      <c r="K365" s="667">
        <v>340.77058420783555</v>
      </c>
      <c r="L365" s="667">
        <v>252.22869096110585</v>
      </c>
      <c r="M365" s="667">
        <v>24.614759223911388</v>
      </c>
      <c r="N365" s="667">
        <v>-111.8824008174838</v>
      </c>
      <c r="O365" s="667">
        <v>-62.204904625530084</v>
      </c>
      <c r="P365" s="667">
        <v>0</v>
      </c>
      <c r="Q365" s="667">
        <v>17.461746798180965</v>
      </c>
      <c r="R365" s="667">
        <v>-509.71016142350987</v>
      </c>
      <c r="S365" s="667">
        <v>-63.928565625977342</v>
      </c>
      <c r="T365" s="667">
        <v>-34.33322512285126</v>
      </c>
      <c r="U365" s="667">
        <v>847.07118969763815</v>
      </c>
    </row>
    <row r="366" spans="3:21" ht="13">
      <c r="C366" s="668"/>
      <c r="D366" s="669">
        <v>0</v>
      </c>
      <c r="E366" s="669">
        <v>0</v>
      </c>
      <c r="F366" s="669">
        <v>0</v>
      </c>
      <c r="G366" s="669">
        <v>0</v>
      </c>
      <c r="H366" s="676">
        <v>0</v>
      </c>
      <c r="I366" s="669">
        <v>0</v>
      </c>
      <c r="J366" s="669">
        <v>0</v>
      </c>
      <c r="K366" s="669">
        <v>0</v>
      </c>
      <c r="L366" s="669">
        <v>0</v>
      </c>
      <c r="M366" s="669">
        <v>0</v>
      </c>
      <c r="N366" s="669">
        <v>0</v>
      </c>
      <c r="O366" s="669">
        <v>0</v>
      </c>
      <c r="P366" s="669">
        <v>0</v>
      </c>
      <c r="Q366" s="669">
        <v>0</v>
      </c>
      <c r="R366" s="669">
        <v>0</v>
      </c>
      <c r="S366" s="669">
        <v>0</v>
      </c>
      <c r="T366" s="669">
        <v>0</v>
      </c>
      <c r="U366" s="669">
        <v>0</v>
      </c>
    </row>
    <row r="367" spans="3:21" ht="13">
      <c r="C367" s="670" t="s">
        <v>78</v>
      </c>
      <c r="D367" s="663">
        <v>2.7841882556496467</v>
      </c>
      <c r="E367" s="663">
        <v>0</v>
      </c>
      <c r="F367" s="663">
        <v>5.1952563518908157</v>
      </c>
      <c r="G367" s="663">
        <v>0</v>
      </c>
      <c r="H367" s="663">
        <v>31.335146641416099</v>
      </c>
      <c r="I367" s="663">
        <v>0</v>
      </c>
      <c r="J367" s="663">
        <v>0</v>
      </c>
      <c r="K367" s="663">
        <v>0</v>
      </c>
      <c r="L367" s="663">
        <v>19.866368456853682</v>
      </c>
      <c r="M367" s="663">
        <v>2.3815254498716123</v>
      </c>
      <c r="N367" s="663">
        <v>2.1415231567382813</v>
      </c>
      <c r="O367" s="663">
        <v>25.676510059650784</v>
      </c>
      <c r="P367" s="663">
        <v>7.6335380859375004</v>
      </c>
      <c r="Q367" s="663">
        <v>7.8820466826144567E-4</v>
      </c>
      <c r="R367" s="663">
        <v>133.1889583814887</v>
      </c>
      <c r="S367" s="663">
        <v>18.276712147761906</v>
      </c>
      <c r="T367" s="663">
        <v>4.7382089843750004</v>
      </c>
      <c r="U367" s="671">
        <v>253.21872417630229</v>
      </c>
    </row>
    <row r="368" spans="3:21" ht="13">
      <c r="C368" s="670" t="s">
        <v>79</v>
      </c>
      <c r="D368" s="663">
        <v>0</v>
      </c>
      <c r="E368" s="663">
        <v>0</v>
      </c>
      <c r="F368" s="663">
        <v>62.42121803575882</v>
      </c>
      <c r="G368" s="663">
        <v>0.9171283606012931</v>
      </c>
      <c r="H368" s="663">
        <v>3.2777834936114583</v>
      </c>
      <c r="I368" s="663">
        <v>0</v>
      </c>
      <c r="J368" s="663">
        <v>0</v>
      </c>
      <c r="K368" s="663">
        <v>0</v>
      </c>
      <c r="L368" s="663">
        <v>0</v>
      </c>
      <c r="M368" s="663">
        <v>0</v>
      </c>
      <c r="N368" s="663">
        <v>70.675893572317364</v>
      </c>
      <c r="O368" s="663">
        <v>2.6818228584093751</v>
      </c>
      <c r="P368" s="663">
        <v>0</v>
      </c>
      <c r="Q368" s="663">
        <v>0</v>
      </c>
      <c r="R368" s="663">
        <v>85.601807225833156</v>
      </c>
      <c r="S368" s="663">
        <v>0</v>
      </c>
      <c r="T368" s="663">
        <v>3.5812873698124483</v>
      </c>
      <c r="U368" s="671">
        <v>229.15694091634393</v>
      </c>
    </row>
    <row r="369" spans="3:21" ht="13">
      <c r="C369" s="670" t="s">
        <v>80</v>
      </c>
      <c r="D369" s="663">
        <v>0</v>
      </c>
      <c r="E369" s="663">
        <v>0</v>
      </c>
      <c r="F369" s="663">
        <v>2.2535083725168867</v>
      </c>
      <c r="G369" s="663">
        <v>0</v>
      </c>
      <c r="H369" s="663">
        <v>22.547534156690407</v>
      </c>
      <c r="I369" s="663">
        <v>0</v>
      </c>
      <c r="J369" s="663">
        <v>0</v>
      </c>
      <c r="K369" s="663">
        <v>0</v>
      </c>
      <c r="L369" s="663">
        <v>34.097641504490639</v>
      </c>
      <c r="M369" s="663">
        <v>0</v>
      </c>
      <c r="N369" s="663">
        <v>0</v>
      </c>
      <c r="O369" s="663">
        <v>18.447982491837607</v>
      </c>
      <c r="P369" s="663">
        <v>103.59461616627088</v>
      </c>
      <c r="Q369" s="663">
        <v>2.7285855468891569</v>
      </c>
      <c r="R369" s="663">
        <v>149.5228289340921</v>
      </c>
      <c r="S369" s="663">
        <v>26.593767108522837</v>
      </c>
      <c r="T369" s="663">
        <v>0</v>
      </c>
      <c r="U369" s="671">
        <v>359.78646428131054</v>
      </c>
    </row>
    <row r="370" spans="3:21" ht="13">
      <c r="C370" s="670" t="s">
        <v>81</v>
      </c>
      <c r="D370" s="663">
        <v>0</v>
      </c>
      <c r="E370" s="663">
        <v>0</v>
      </c>
      <c r="F370" s="663">
        <v>1.3399462790047187</v>
      </c>
      <c r="G370" s="663">
        <v>0</v>
      </c>
      <c r="H370" s="663">
        <v>12.344523773070179</v>
      </c>
      <c r="I370" s="663">
        <v>0</v>
      </c>
      <c r="J370" s="663">
        <v>0</v>
      </c>
      <c r="K370" s="663">
        <v>0</v>
      </c>
      <c r="L370" s="663">
        <v>0.40515733033320123</v>
      </c>
      <c r="M370" s="663">
        <v>4.0121337498856221E-4</v>
      </c>
      <c r="N370" s="663">
        <v>0</v>
      </c>
      <c r="O370" s="663">
        <v>10.100064905239238</v>
      </c>
      <c r="P370" s="663">
        <v>25.404172221757367</v>
      </c>
      <c r="Q370" s="663">
        <v>1.0133205125094877</v>
      </c>
      <c r="R370" s="663">
        <v>92.228183694440688</v>
      </c>
      <c r="S370" s="663">
        <v>19.0580863696926</v>
      </c>
      <c r="T370" s="663">
        <v>0</v>
      </c>
      <c r="U370" s="671">
        <v>161.89385629942248</v>
      </c>
    </row>
    <row r="371" spans="3:21" ht="13">
      <c r="C371" s="670" t="s">
        <v>82</v>
      </c>
      <c r="D371" s="663">
        <v>0</v>
      </c>
      <c r="E371" s="663">
        <v>0</v>
      </c>
      <c r="F371" s="663">
        <v>9.0097391312566604</v>
      </c>
      <c r="G371" s="663">
        <v>1.6</v>
      </c>
      <c r="H371" s="663">
        <v>0.98973128577551672</v>
      </c>
      <c r="I371" s="663">
        <v>0</v>
      </c>
      <c r="J371" s="663">
        <v>0</v>
      </c>
      <c r="K371" s="663">
        <v>0</v>
      </c>
      <c r="L371" s="663">
        <v>3.3736621545342089</v>
      </c>
      <c r="M371" s="663">
        <v>0</v>
      </c>
      <c r="N371" s="663">
        <v>14.289145060057182</v>
      </c>
      <c r="O371" s="663">
        <v>0.80978014290724099</v>
      </c>
      <c r="P371" s="663">
        <v>1</v>
      </c>
      <c r="Q371" s="663">
        <v>1.300620381405156</v>
      </c>
      <c r="R371" s="663">
        <v>7.76122971899715</v>
      </c>
      <c r="S371" s="663">
        <v>0</v>
      </c>
      <c r="T371" s="663">
        <v>0.325155095351289</v>
      </c>
      <c r="U371" s="671">
        <v>40.459062970284407</v>
      </c>
    </row>
    <row r="372" spans="3:21" ht="13">
      <c r="C372" s="670" t="s">
        <v>357</v>
      </c>
      <c r="D372" s="663">
        <v>0</v>
      </c>
      <c r="E372" s="663">
        <v>0</v>
      </c>
      <c r="F372" s="663">
        <v>0</v>
      </c>
      <c r="G372" s="663">
        <v>0</v>
      </c>
      <c r="H372" s="663">
        <v>0</v>
      </c>
      <c r="I372" s="663">
        <v>0</v>
      </c>
      <c r="J372" s="663">
        <v>0</v>
      </c>
      <c r="K372" s="663">
        <v>0</v>
      </c>
      <c r="L372" s="663">
        <v>0</v>
      </c>
      <c r="M372" s="663">
        <v>0</v>
      </c>
      <c r="N372" s="663">
        <v>0</v>
      </c>
      <c r="O372" s="663">
        <v>0</v>
      </c>
      <c r="P372" s="663">
        <v>0</v>
      </c>
      <c r="Q372" s="663">
        <v>0</v>
      </c>
      <c r="R372" s="663">
        <v>1.4068800000000001</v>
      </c>
      <c r="S372" s="663">
        <v>0</v>
      </c>
      <c r="T372" s="663">
        <v>0</v>
      </c>
      <c r="U372" s="671">
        <v>1.4068800000000001</v>
      </c>
    </row>
    <row r="373" spans="3:21" ht="13">
      <c r="C373" s="666" t="s">
        <v>83</v>
      </c>
      <c r="D373" s="667">
        <v>2.7841882556496467</v>
      </c>
      <c r="E373" s="667">
        <v>0</v>
      </c>
      <c r="F373" s="667">
        <v>80.219668170427894</v>
      </c>
      <c r="G373" s="667">
        <v>2.5171283606012933</v>
      </c>
      <c r="H373" s="675">
        <v>70.494719350563656</v>
      </c>
      <c r="I373" s="667">
        <v>0</v>
      </c>
      <c r="J373" s="667">
        <v>0</v>
      </c>
      <c r="K373" s="667">
        <v>0</v>
      </c>
      <c r="L373" s="667">
        <v>57.742829446211736</v>
      </c>
      <c r="M373" s="667">
        <v>2.3819266632466007</v>
      </c>
      <c r="N373" s="667">
        <v>87.106561789112831</v>
      </c>
      <c r="O373" s="667">
        <v>57.71616045804425</v>
      </c>
      <c r="P373" s="667">
        <v>137.63232647396575</v>
      </c>
      <c r="Q373" s="667">
        <v>5.0433146454720621</v>
      </c>
      <c r="R373" s="667">
        <v>469.70988795485181</v>
      </c>
      <c r="S373" s="667">
        <v>63.928565625977342</v>
      </c>
      <c r="T373" s="667">
        <v>8.6446514495387365</v>
      </c>
      <c r="U373" s="667">
        <v>1045.9219286436637</v>
      </c>
    </row>
    <row r="374" spans="3:21" ht="13">
      <c r="C374" s="662" t="s">
        <v>84</v>
      </c>
      <c r="D374" s="663">
        <v>0</v>
      </c>
      <c r="E374" s="663">
        <v>0</v>
      </c>
      <c r="F374" s="663">
        <v>63.453621141900157</v>
      </c>
      <c r="G374" s="663">
        <v>5.849933778542443</v>
      </c>
      <c r="H374" s="663">
        <v>6.7321107560009157</v>
      </c>
      <c r="I374" s="663">
        <v>0</v>
      </c>
      <c r="J374" s="663">
        <v>0</v>
      </c>
      <c r="K374" s="663">
        <v>0</v>
      </c>
      <c r="L374" s="663">
        <v>0.4086523039836884</v>
      </c>
      <c r="M374" s="663">
        <v>0</v>
      </c>
      <c r="N374" s="663">
        <v>16.128139408945682</v>
      </c>
      <c r="O374" s="663">
        <v>2.7141517882424018</v>
      </c>
      <c r="P374" s="663">
        <v>0</v>
      </c>
      <c r="Q374" s="663">
        <v>0</v>
      </c>
      <c r="R374" s="663">
        <v>0</v>
      </c>
      <c r="S374" s="663">
        <v>0</v>
      </c>
      <c r="T374" s="663">
        <v>25.023965550983899</v>
      </c>
      <c r="U374" s="671">
        <v>120.31057472859921</v>
      </c>
    </row>
    <row r="375" spans="3:21" ht="13">
      <c r="C375" s="666" t="s">
        <v>85</v>
      </c>
      <c r="D375" s="667">
        <v>2.7841882556496467</v>
      </c>
      <c r="E375" s="667">
        <v>0</v>
      </c>
      <c r="F375" s="667">
        <v>143.67328931232805</v>
      </c>
      <c r="G375" s="667">
        <v>8.3670621391437372</v>
      </c>
      <c r="H375" s="675">
        <v>77.226830106564577</v>
      </c>
      <c r="I375" s="667">
        <v>0</v>
      </c>
      <c r="J375" s="667">
        <v>0</v>
      </c>
      <c r="K375" s="667">
        <v>0</v>
      </c>
      <c r="L375" s="667">
        <v>58.151481750195423</v>
      </c>
      <c r="M375" s="667">
        <v>2.3819266632466007</v>
      </c>
      <c r="N375" s="667">
        <v>103.23470119805852</v>
      </c>
      <c r="O375" s="667">
        <v>60.430312246286654</v>
      </c>
      <c r="P375" s="667">
        <v>137.63232647396575</v>
      </c>
      <c r="Q375" s="667">
        <v>5.0433146454720621</v>
      </c>
      <c r="R375" s="667">
        <v>469.70988795485181</v>
      </c>
      <c r="S375" s="667">
        <v>63.928565625977342</v>
      </c>
      <c r="T375" s="667">
        <v>33.668617000522637</v>
      </c>
      <c r="U375" s="667">
        <v>1166.2325033722627</v>
      </c>
    </row>
    <row r="376" spans="3:21">
      <c r="C376" s="654"/>
      <c r="D376" s="672">
        <v>0</v>
      </c>
      <c r="E376" s="672">
        <v>0</v>
      </c>
      <c r="F376" s="672">
        <v>0</v>
      </c>
      <c r="G376" s="672">
        <v>0</v>
      </c>
      <c r="H376" s="672">
        <v>0</v>
      </c>
      <c r="I376" s="672">
        <v>0</v>
      </c>
      <c r="J376" s="672">
        <v>0</v>
      </c>
      <c r="K376" s="672">
        <v>0</v>
      </c>
      <c r="L376" s="672">
        <v>0</v>
      </c>
      <c r="M376" s="672">
        <v>0</v>
      </c>
      <c r="N376" s="672">
        <v>1.5987211554602254E-14</v>
      </c>
      <c r="O376" s="672">
        <v>1.865174681370263E-14</v>
      </c>
      <c r="P376" s="672">
        <v>0</v>
      </c>
      <c r="Q376" s="672">
        <v>0</v>
      </c>
      <c r="R376" s="672">
        <v>1.1368683772161603E-13</v>
      </c>
      <c r="S376" s="672">
        <v>0</v>
      </c>
      <c r="T376" s="672">
        <v>-1.3322676295501878E-15</v>
      </c>
      <c r="U376" s="672">
        <v>0</v>
      </c>
    </row>
    <row r="377" spans="3:21">
      <c r="C377" s="654"/>
      <c r="D377" s="654"/>
      <c r="E377" s="654"/>
      <c r="F377" s="654"/>
      <c r="G377" s="654"/>
      <c r="H377" s="654"/>
      <c r="I377" s="654"/>
      <c r="J377" s="654"/>
      <c r="K377" s="654"/>
      <c r="L377" s="654"/>
      <c r="M377" s="654"/>
      <c r="N377" s="654"/>
      <c r="O377" s="654"/>
      <c r="P377" s="654"/>
      <c r="Q377" s="654"/>
      <c r="R377" s="654"/>
      <c r="S377" s="654"/>
      <c r="T377" s="654"/>
      <c r="U377" s="654"/>
    </row>
    <row r="378" spans="3:21" ht="14.5">
      <c r="C378" s="658" t="s">
        <v>523</v>
      </c>
      <c r="D378" s="659"/>
      <c r="E378" s="659"/>
      <c r="F378" s="659"/>
      <c r="G378" s="659"/>
      <c r="H378" s="659"/>
      <c r="I378" s="659"/>
      <c r="J378" s="659"/>
      <c r="K378" s="659"/>
      <c r="L378" s="659"/>
      <c r="M378" s="659"/>
      <c r="N378" s="659"/>
      <c r="O378" s="659"/>
      <c r="P378" s="659"/>
      <c r="Q378" s="659"/>
      <c r="R378" s="659"/>
      <c r="S378" s="659"/>
      <c r="T378" s="659"/>
      <c r="U378" s="659"/>
    </row>
    <row r="379" spans="3:21">
      <c r="C379" s="654"/>
      <c r="D379" s="654"/>
      <c r="E379" s="654"/>
      <c r="F379" s="654"/>
      <c r="G379" s="654"/>
      <c r="H379" s="654"/>
      <c r="I379" s="654"/>
      <c r="J379" s="654"/>
      <c r="K379" s="654"/>
      <c r="L379" s="654"/>
      <c r="M379" s="654"/>
      <c r="N379" s="654"/>
      <c r="O379" s="654"/>
      <c r="P379" s="654"/>
      <c r="Q379" s="654"/>
      <c r="R379" s="654"/>
      <c r="S379" s="654"/>
      <c r="T379" s="654"/>
      <c r="U379" s="654"/>
    </row>
    <row r="380" spans="3:21" ht="13">
      <c r="C380" s="706" t="s">
        <v>128</v>
      </c>
      <c r="D380" s="704" t="s">
        <v>42</v>
      </c>
      <c r="E380" s="704" t="s">
        <v>52</v>
      </c>
      <c r="F380" s="704" t="s">
        <v>53</v>
      </c>
      <c r="G380" s="704" t="s">
        <v>487</v>
      </c>
      <c r="H380" s="704" t="s">
        <v>32</v>
      </c>
      <c r="I380" s="704" t="s">
        <v>488</v>
      </c>
      <c r="J380" s="704" t="s">
        <v>20</v>
      </c>
      <c r="K380" s="704" t="s">
        <v>55</v>
      </c>
      <c r="L380" s="708" t="s">
        <v>56</v>
      </c>
      <c r="M380" s="709"/>
      <c r="N380" s="709"/>
      <c r="O380" s="709"/>
      <c r="P380" s="709"/>
      <c r="Q380" s="710"/>
      <c r="R380" s="704" t="s">
        <v>57</v>
      </c>
      <c r="S380" s="704" t="s">
        <v>58</v>
      </c>
      <c r="T380" s="704" t="s">
        <v>31</v>
      </c>
      <c r="U380" s="704" t="s">
        <v>10</v>
      </c>
    </row>
    <row r="381" spans="3:21" ht="36">
      <c r="C381" s="707"/>
      <c r="D381" s="705"/>
      <c r="E381" s="705"/>
      <c r="F381" s="705"/>
      <c r="G381" s="705"/>
      <c r="H381" s="705"/>
      <c r="I381" s="705"/>
      <c r="J381" s="705"/>
      <c r="K381" s="705"/>
      <c r="L381" s="660" t="s">
        <v>338</v>
      </c>
      <c r="M381" s="660" t="s">
        <v>40</v>
      </c>
      <c r="N381" s="660" t="s">
        <v>346</v>
      </c>
      <c r="O381" s="660" t="s">
        <v>347</v>
      </c>
      <c r="P381" s="661" t="s">
        <v>348</v>
      </c>
      <c r="Q381" s="660" t="s">
        <v>349</v>
      </c>
      <c r="R381" s="705"/>
      <c r="S381" s="705"/>
      <c r="T381" s="705"/>
      <c r="U381" s="705"/>
    </row>
    <row r="382" spans="3:21" ht="13">
      <c r="C382" s="662" t="s">
        <v>59</v>
      </c>
      <c r="D382" s="663">
        <v>0</v>
      </c>
      <c r="E382" s="663">
        <v>0</v>
      </c>
      <c r="F382" s="663">
        <v>0</v>
      </c>
      <c r="G382" s="663">
        <v>0</v>
      </c>
      <c r="H382" s="663">
        <v>0</v>
      </c>
      <c r="I382" s="663">
        <v>0</v>
      </c>
      <c r="J382" s="664">
        <v>887.88984586571985</v>
      </c>
      <c r="K382" s="664">
        <v>396.24410449971316</v>
      </c>
      <c r="L382" s="664">
        <v>299.20080257603973</v>
      </c>
      <c r="M382" s="664">
        <v>23.973968003405336</v>
      </c>
      <c r="N382" s="663">
        <v>1.638642873490971</v>
      </c>
      <c r="O382" s="663">
        <v>0.1692153726460352</v>
      </c>
      <c r="P382" s="664">
        <v>148.52009865212395</v>
      </c>
      <c r="Q382" s="664">
        <v>23.099478079825218</v>
      </c>
      <c r="R382" s="663">
        <v>0</v>
      </c>
      <c r="S382" s="663">
        <v>0</v>
      </c>
      <c r="T382" s="663">
        <v>0</v>
      </c>
      <c r="U382" s="665">
        <v>1780.7361559229641</v>
      </c>
    </row>
    <row r="383" spans="3:21" ht="13">
      <c r="C383" s="662" t="s">
        <v>60</v>
      </c>
      <c r="D383" s="663">
        <v>10.379280707598515</v>
      </c>
      <c r="E383" s="663">
        <v>221.43377158510449</v>
      </c>
      <c r="F383" s="663">
        <v>3.6404081450569747</v>
      </c>
      <c r="G383" s="663">
        <v>0</v>
      </c>
      <c r="H383" s="663">
        <v>71.351673113669463</v>
      </c>
      <c r="I383" s="663">
        <v>0</v>
      </c>
      <c r="J383" s="663">
        <v>0</v>
      </c>
      <c r="K383" s="663">
        <v>0</v>
      </c>
      <c r="L383" s="663">
        <v>4.5400000946661896</v>
      </c>
      <c r="M383" s="663">
        <v>0</v>
      </c>
      <c r="N383" s="663">
        <v>4.7355769449703358</v>
      </c>
      <c r="O383" s="663">
        <v>0</v>
      </c>
      <c r="P383" s="663">
        <v>0</v>
      </c>
      <c r="Q383" s="663">
        <v>0</v>
      </c>
      <c r="R383" s="663">
        <v>0</v>
      </c>
      <c r="S383" s="663">
        <v>0</v>
      </c>
      <c r="T383" s="663">
        <v>0</v>
      </c>
      <c r="U383" s="665">
        <v>316.08071059106601</v>
      </c>
    </row>
    <row r="384" spans="3:21" ht="13">
      <c r="C384" s="662" t="s">
        <v>61</v>
      </c>
      <c r="D384" s="663">
        <v>0</v>
      </c>
      <c r="E384" s="663">
        <v>0</v>
      </c>
      <c r="F384" s="663">
        <v>-61.117649142160822</v>
      </c>
      <c r="G384" s="663">
        <v>0</v>
      </c>
      <c r="H384" s="663">
        <v>0</v>
      </c>
      <c r="I384" s="663">
        <v>0</v>
      </c>
      <c r="J384" s="663">
        <v>0</v>
      </c>
      <c r="K384" s="663">
        <v>0</v>
      </c>
      <c r="L384" s="663">
        <v>0</v>
      </c>
      <c r="M384" s="663">
        <v>0</v>
      </c>
      <c r="N384" s="663">
        <v>0</v>
      </c>
      <c r="O384" s="663">
        <v>0</v>
      </c>
      <c r="P384" s="663">
        <v>0</v>
      </c>
      <c r="Q384" s="663">
        <v>0</v>
      </c>
      <c r="R384" s="663">
        <v>-39.114049370458702</v>
      </c>
      <c r="S384" s="663">
        <v>0</v>
      </c>
      <c r="T384" s="663">
        <v>0</v>
      </c>
      <c r="U384" s="665">
        <v>-100.23169851261953</v>
      </c>
    </row>
    <row r="385" spans="3:21" ht="13">
      <c r="C385" s="662" t="s">
        <v>62</v>
      </c>
      <c r="D385" s="663">
        <v>0</v>
      </c>
      <c r="E385" s="663">
        <v>0</v>
      </c>
      <c r="F385" s="663">
        <v>-6.8572519407668047</v>
      </c>
      <c r="G385" s="663">
        <v>-2.9115063458369059</v>
      </c>
      <c r="H385" s="663">
        <v>-4.556210213526227</v>
      </c>
      <c r="I385" s="663">
        <v>-6.0214231896822394E-2</v>
      </c>
      <c r="J385" s="663">
        <v>0</v>
      </c>
      <c r="K385" s="663">
        <v>0</v>
      </c>
      <c r="L385" s="663">
        <v>0</v>
      </c>
      <c r="M385" s="663">
        <v>0</v>
      </c>
      <c r="N385" s="663">
        <v>-0.36156496915270087</v>
      </c>
      <c r="O385" s="663">
        <v>-5.4192808707140152</v>
      </c>
      <c r="P385" s="663">
        <v>0</v>
      </c>
      <c r="Q385" s="663">
        <v>0</v>
      </c>
      <c r="R385" s="663">
        <v>0</v>
      </c>
      <c r="S385" s="663">
        <v>0</v>
      </c>
      <c r="T385" s="663">
        <v>0</v>
      </c>
      <c r="U385" s="665">
        <v>-20.166028571893477</v>
      </c>
    </row>
    <row r="386" spans="3:21" ht="13">
      <c r="C386" s="662" t="s">
        <v>63</v>
      </c>
      <c r="D386" s="663">
        <v>0</v>
      </c>
      <c r="E386" s="663">
        <v>0</v>
      </c>
      <c r="F386" s="663">
        <v>-41.932075648688581</v>
      </c>
      <c r="G386" s="663">
        <v>-12.789597363010756</v>
      </c>
      <c r="H386" s="663">
        <v>0</v>
      </c>
      <c r="I386" s="663">
        <v>0</v>
      </c>
      <c r="J386" s="663">
        <v>0</v>
      </c>
      <c r="K386" s="663">
        <v>0</v>
      </c>
      <c r="L386" s="663">
        <v>0</v>
      </c>
      <c r="M386" s="663">
        <v>0</v>
      </c>
      <c r="N386" s="663">
        <v>-13.964845940285258</v>
      </c>
      <c r="O386" s="663">
        <v>0</v>
      </c>
      <c r="P386" s="663">
        <v>0</v>
      </c>
      <c r="Q386" s="663">
        <v>0</v>
      </c>
      <c r="R386" s="663">
        <v>0</v>
      </c>
      <c r="S386" s="663">
        <v>0</v>
      </c>
      <c r="T386" s="663">
        <v>-1.1030439884832439</v>
      </c>
      <c r="U386" s="665">
        <v>-69.789562940467846</v>
      </c>
    </row>
    <row r="387" spans="3:21" ht="13">
      <c r="C387" s="662" t="s">
        <v>64</v>
      </c>
      <c r="D387" s="663">
        <v>0</v>
      </c>
      <c r="E387" s="663">
        <v>0</v>
      </c>
      <c r="F387" s="663">
        <v>0</v>
      </c>
      <c r="G387" s="663">
        <v>0</v>
      </c>
      <c r="H387" s="663">
        <v>0</v>
      </c>
      <c r="I387" s="663">
        <v>0</v>
      </c>
      <c r="J387" s="663">
        <v>0</v>
      </c>
      <c r="K387" s="663">
        <v>0</v>
      </c>
      <c r="L387" s="663">
        <v>0</v>
      </c>
      <c r="M387" s="663">
        <v>0</v>
      </c>
      <c r="N387" s="663">
        <v>0</v>
      </c>
      <c r="O387" s="663">
        <v>0</v>
      </c>
      <c r="P387" s="663">
        <v>0</v>
      </c>
      <c r="Q387" s="663">
        <v>0</v>
      </c>
      <c r="R387" s="663">
        <v>0</v>
      </c>
      <c r="S387" s="663">
        <v>0</v>
      </c>
      <c r="T387" s="663">
        <v>0</v>
      </c>
      <c r="U387" s="665">
        <v>0</v>
      </c>
    </row>
    <row r="388" spans="3:21" ht="13">
      <c r="C388" s="666" t="s">
        <v>65</v>
      </c>
      <c r="D388" s="667">
        <v>10.379280707598515</v>
      </c>
      <c r="E388" s="667">
        <v>221.43377158510449</v>
      </c>
      <c r="F388" s="667">
        <v>-106.26656858655923</v>
      </c>
      <c r="G388" s="667">
        <v>-15.701103708847661</v>
      </c>
      <c r="H388" s="675">
        <v>66.795462900143235</v>
      </c>
      <c r="I388" s="667">
        <v>-6.0214231896822394E-2</v>
      </c>
      <c r="J388" s="667">
        <v>887.88984586571985</v>
      </c>
      <c r="K388" s="667">
        <v>396.24410449971316</v>
      </c>
      <c r="L388" s="667">
        <v>303.74080267070593</v>
      </c>
      <c r="M388" s="667">
        <v>23.973968003405336</v>
      </c>
      <c r="N388" s="667">
        <v>-7.952191090976652</v>
      </c>
      <c r="O388" s="667">
        <v>-5.25006549806798</v>
      </c>
      <c r="P388" s="667">
        <v>148.52009865212395</v>
      </c>
      <c r="Q388" s="667">
        <v>23.099478079825218</v>
      </c>
      <c r="R388" s="667">
        <v>-39.114049370458702</v>
      </c>
      <c r="S388" s="667">
        <v>0</v>
      </c>
      <c r="T388" s="667">
        <v>-1.1030439884832439</v>
      </c>
      <c r="U388" s="667">
        <v>1906.629576489049</v>
      </c>
    </row>
    <row r="389" spans="3:21" ht="13">
      <c r="C389" s="668"/>
      <c r="D389" s="669">
        <v>0</v>
      </c>
      <c r="E389" s="669">
        <v>0</v>
      </c>
      <c r="F389" s="669">
        <v>0</v>
      </c>
      <c r="G389" s="669">
        <v>0</v>
      </c>
      <c r="H389" s="676">
        <v>0</v>
      </c>
      <c r="I389" s="669">
        <v>0</v>
      </c>
      <c r="J389" s="669">
        <v>0</v>
      </c>
      <c r="K389" s="669">
        <v>0</v>
      </c>
      <c r="L389" s="669">
        <v>0</v>
      </c>
      <c r="M389" s="669">
        <v>0</v>
      </c>
      <c r="N389" s="669">
        <v>0</v>
      </c>
      <c r="O389" s="669">
        <v>0</v>
      </c>
      <c r="P389" s="669">
        <v>0</v>
      </c>
      <c r="Q389" s="669">
        <v>0</v>
      </c>
      <c r="R389" s="669">
        <v>0</v>
      </c>
      <c r="S389" s="669">
        <v>0</v>
      </c>
      <c r="T389" s="669">
        <v>0</v>
      </c>
      <c r="U389" s="669">
        <v>0</v>
      </c>
    </row>
    <row r="390" spans="3:21" ht="13">
      <c r="C390" s="670" t="s">
        <v>67</v>
      </c>
      <c r="D390" s="663">
        <v>0</v>
      </c>
      <c r="E390" s="663">
        <v>0</v>
      </c>
      <c r="F390" s="663">
        <v>0</v>
      </c>
      <c r="G390" s="663">
        <v>0</v>
      </c>
      <c r="H390" s="663">
        <v>0</v>
      </c>
      <c r="I390" s="663">
        <v>0</v>
      </c>
      <c r="J390" s="663">
        <v>0</v>
      </c>
      <c r="K390" s="663">
        <v>0</v>
      </c>
      <c r="L390" s="663">
        <v>0</v>
      </c>
      <c r="M390" s="663">
        <v>0</v>
      </c>
      <c r="N390" s="663">
        <v>0</v>
      </c>
      <c r="O390" s="663">
        <v>0</v>
      </c>
      <c r="P390" s="663">
        <v>0</v>
      </c>
      <c r="Q390" s="663">
        <v>0</v>
      </c>
      <c r="R390" s="663">
        <v>0</v>
      </c>
      <c r="S390" s="663">
        <v>0</v>
      </c>
      <c r="T390" s="663">
        <v>0</v>
      </c>
      <c r="U390" s="671">
        <v>0</v>
      </c>
    </row>
    <row r="391" spans="3:21" ht="13">
      <c r="C391" s="670" t="s">
        <v>350</v>
      </c>
      <c r="D391" s="663">
        <v>0</v>
      </c>
      <c r="E391" s="663">
        <v>0</v>
      </c>
      <c r="F391" s="663">
        <v>2.6460781360013397E-2</v>
      </c>
      <c r="G391" s="663">
        <v>0</v>
      </c>
      <c r="H391" s="663">
        <v>2.1444399446740805</v>
      </c>
      <c r="I391" s="663">
        <v>0</v>
      </c>
      <c r="J391" s="663">
        <v>887.88984586571985</v>
      </c>
      <c r="K391" s="663">
        <v>396.24410449971316</v>
      </c>
      <c r="L391" s="663">
        <v>15.085804984191999</v>
      </c>
      <c r="M391" s="663">
        <v>7.2357180176402842</v>
      </c>
      <c r="N391" s="663">
        <v>6.0578717375904887</v>
      </c>
      <c r="O391" s="663">
        <v>0.6501857288144991</v>
      </c>
      <c r="P391" s="663">
        <v>0</v>
      </c>
      <c r="Q391" s="663">
        <v>6.4590957564387725</v>
      </c>
      <c r="R391" s="663">
        <v>-708.99943776638747</v>
      </c>
      <c r="S391" s="663">
        <v>0</v>
      </c>
      <c r="T391" s="663">
        <v>8.0586922417708831</v>
      </c>
      <c r="U391" s="671">
        <v>620.85278179152624</v>
      </c>
    </row>
    <row r="392" spans="3:21" ht="13">
      <c r="C392" s="670" t="s">
        <v>351</v>
      </c>
      <c r="D392" s="663">
        <v>0</v>
      </c>
      <c r="E392" s="663">
        <v>0</v>
      </c>
      <c r="F392" s="663">
        <v>0</v>
      </c>
      <c r="G392" s="663">
        <v>0</v>
      </c>
      <c r="H392" s="663">
        <v>4.7815870319860325</v>
      </c>
      <c r="I392" s="663">
        <v>0</v>
      </c>
      <c r="J392" s="663">
        <v>0</v>
      </c>
      <c r="K392" s="663">
        <v>0</v>
      </c>
      <c r="L392" s="663">
        <v>35.214664152844563</v>
      </c>
      <c r="M392" s="663">
        <v>14.445160723039894</v>
      </c>
      <c r="N392" s="663">
        <v>0</v>
      </c>
      <c r="O392" s="663">
        <v>7.1872449307268287</v>
      </c>
      <c r="P392" s="663">
        <v>0</v>
      </c>
      <c r="Q392" s="663">
        <v>11.182341089352812</v>
      </c>
      <c r="R392" s="663">
        <v>0</v>
      </c>
      <c r="S392" s="663">
        <v>-68.236033723831326</v>
      </c>
      <c r="T392" s="663">
        <v>0</v>
      </c>
      <c r="U392" s="671">
        <v>4.574964204118805</v>
      </c>
    </row>
    <row r="393" spans="3:21" ht="13">
      <c r="C393" s="670" t="s">
        <v>352</v>
      </c>
      <c r="D393" s="663">
        <v>0</v>
      </c>
      <c r="E393" s="663">
        <v>0</v>
      </c>
      <c r="F393" s="663">
        <v>0</v>
      </c>
      <c r="G393" s="663">
        <v>0</v>
      </c>
      <c r="H393" s="663">
        <v>0</v>
      </c>
      <c r="I393" s="663">
        <v>0</v>
      </c>
      <c r="J393" s="663">
        <v>0</v>
      </c>
      <c r="K393" s="663">
        <v>0</v>
      </c>
      <c r="L393" s="663">
        <v>86.658949605448655</v>
      </c>
      <c r="M393" s="663">
        <v>0</v>
      </c>
      <c r="N393" s="663">
        <v>0</v>
      </c>
      <c r="O393" s="663">
        <v>-81.004566256753222</v>
      </c>
      <c r="P393" s="663">
        <v>0</v>
      </c>
      <c r="Q393" s="663">
        <v>0</v>
      </c>
      <c r="R393" s="663">
        <v>0</v>
      </c>
      <c r="S393" s="663">
        <v>0</v>
      </c>
      <c r="T393" s="663">
        <v>0</v>
      </c>
      <c r="U393" s="671">
        <v>5.6543833486954327</v>
      </c>
    </row>
    <row r="394" spans="3:21" ht="13">
      <c r="C394" s="670" t="s">
        <v>353</v>
      </c>
      <c r="D394" s="663">
        <v>0</v>
      </c>
      <c r="E394" s="663">
        <v>0</v>
      </c>
      <c r="F394" s="663">
        <v>0</v>
      </c>
      <c r="G394" s="663">
        <v>0</v>
      </c>
      <c r="H394" s="663">
        <v>0</v>
      </c>
      <c r="I394" s="663">
        <v>-0.77766156720631052</v>
      </c>
      <c r="J394" s="663">
        <v>0</v>
      </c>
      <c r="K394" s="663">
        <v>0</v>
      </c>
      <c r="L394" s="663">
        <v>0</v>
      </c>
      <c r="M394" s="663">
        <v>0</v>
      </c>
      <c r="N394" s="663">
        <v>0</v>
      </c>
      <c r="O394" s="663">
        <v>0</v>
      </c>
      <c r="P394" s="663">
        <v>0</v>
      </c>
      <c r="Q394" s="663">
        <v>0</v>
      </c>
      <c r="R394" s="663">
        <v>0</v>
      </c>
      <c r="S394" s="663">
        <v>0</v>
      </c>
      <c r="T394" s="663">
        <v>1.0822986785331616</v>
      </c>
      <c r="U394" s="671">
        <v>0.30463711132685112</v>
      </c>
    </row>
    <row r="395" spans="3:21" ht="13">
      <c r="C395" s="670" t="s">
        <v>72</v>
      </c>
      <c r="D395" s="663">
        <v>0</v>
      </c>
      <c r="E395" s="663">
        <v>229.44376619610998</v>
      </c>
      <c r="F395" s="663">
        <v>-227.15530245315296</v>
      </c>
      <c r="G395" s="663">
        <v>0</v>
      </c>
      <c r="H395" s="663">
        <v>0</v>
      </c>
      <c r="I395" s="663">
        <v>0</v>
      </c>
      <c r="J395" s="663">
        <v>0</v>
      </c>
      <c r="K395" s="663">
        <v>0</v>
      </c>
      <c r="L395" s="663">
        <v>0</v>
      </c>
      <c r="M395" s="663">
        <v>0</v>
      </c>
      <c r="N395" s="663">
        <v>0</v>
      </c>
      <c r="O395" s="663">
        <v>0</v>
      </c>
      <c r="P395" s="663">
        <v>0</v>
      </c>
      <c r="Q395" s="663">
        <v>0</v>
      </c>
      <c r="R395" s="663">
        <v>0</v>
      </c>
      <c r="S395" s="663">
        <v>0</v>
      </c>
      <c r="T395" s="663">
        <v>0</v>
      </c>
      <c r="U395" s="671">
        <v>2.2884637429570258</v>
      </c>
    </row>
    <row r="396" spans="3:21" ht="13">
      <c r="C396" s="670" t="s">
        <v>354</v>
      </c>
      <c r="D396" s="663">
        <v>0</v>
      </c>
      <c r="E396" s="663">
        <v>0</v>
      </c>
      <c r="F396" s="663">
        <v>0</v>
      </c>
      <c r="G396" s="663">
        <v>0</v>
      </c>
      <c r="H396" s="663">
        <v>0</v>
      </c>
      <c r="I396" s="663">
        <v>0</v>
      </c>
      <c r="J396" s="663">
        <v>0</v>
      </c>
      <c r="K396" s="663">
        <v>0</v>
      </c>
      <c r="L396" s="663">
        <v>110.37341937246062</v>
      </c>
      <c r="M396" s="663">
        <v>0</v>
      </c>
      <c r="N396" s="663">
        <v>-110.37341937246062</v>
      </c>
      <c r="O396" s="663">
        <v>0</v>
      </c>
      <c r="P396" s="663">
        <v>0</v>
      </c>
      <c r="Q396" s="663">
        <v>0</v>
      </c>
      <c r="R396" s="663">
        <v>0</v>
      </c>
      <c r="S396" s="663">
        <v>0</v>
      </c>
      <c r="T396" s="663">
        <v>0</v>
      </c>
      <c r="U396" s="671">
        <v>0</v>
      </c>
    </row>
    <row r="397" spans="3:21" ht="13">
      <c r="C397" s="670" t="s">
        <v>355</v>
      </c>
      <c r="D397" s="663">
        <v>0</v>
      </c>
      <c r="E397" s="663">
        <v>0</v>
      </c>
      <c r="F397" s="663">
        <v>0</v>
      </c>
      <c r="G397" s="663">
        <v>-25.838308158403624</v>
      </c>
      <c r="H397" s="663">
        <v>0</v>
      </c>
      <c r="I397" s="663">
        <v>0</v>
      </c>
      <c r="J397" s="663">
        <v>0</v>
      </c>
      <c r="K397" s="663">
        <v>0</v>
      </c>
      <c r="L397" s="663">
        <v>0</v>
      </c>
      <c r="M397" s="663">
        <v>0</v>
      </c>
      <c r="N397" s="663">
        <v>0</v>
      </c>
      <c r="O397" s="663">
        <v>0</v>
      </c>
      <c r="P397" s="663">
        <v>0</v>
      </c>
      <c r="Q397" s="663">
        <v>0</v>
      </c>
      <c r="R397" s="663">
        <v>0</v>
      </c>
      <c r="S397" s="663">
        <v>0</v>
      </c>
      <c r="T397" s="663">
        <v>35.986501613375523</v>
      </c>
      <c r="U397" s="671">
        <v>10.148193454971899</v>
      </c>
    </row>
    <row r="398" spans="3:21" ht="13">
      <c r="C398" s="670" t="s">
        <v>73</v>
      </c>
      <c r="D398" s="663">
        <v>0</v>
      </c>
      <c r="E398" s="663">
        <v>0</v>
      </c>
      <c r="F398" s="663">
        <v>0</v>
      </c>
      <c r="G398" s="663">
        <v>0</v>
      </c>
      <c r="H398" s="663">
        <v>0</v>
      </c>
      <c r="I398" s="663">
        <v>0</v>
      </c>
      <c r="J398" s="663">
        <v>0</v>
      </c>
      <c r="K398" s="663">
        <v>0</v>
      </c>
      <c r="L398" s="663">
        <v>0</v>
      </c>
      <c r="M398" s="663">
        <v>0</v>
      </c>
      <c r="N398" s="663">
        <v>0</v>
      </c>
      <c r="O398" s="663">
        <v>0</v>
      </c>
      <c r="P398" s="663">
        <v>0</v>
      </c>
      <c r="Q398" s="663">
        <v>0</v>
      </c>
      <c r="R398" s="663">
        <v>122.6947271556845</v>
      </c>
      <c r="S398" s="663">
        <v>0</v>
      </c>
      <c r="T398" s="663">
        <v>-85.334182736778573</v>
      </c>
      <c r="U398" s="671">
        <v>37.360544418905931</v>
      </c>
    </row>
    <row r="399" spans="3:21" ht="13">
      <c r="C399" s="670" t="s">
        <v>356</v>
      </c>
      <c r="D399" s="663">
        <v>5.7430949414062491</v>
      </c>
      <c r="E399" s="663">
        <v>-8.0099946110054798</v>
      </c>
      <c r="F399" s="663">
        <v>10.446968779828495</v>
      </c>
      <c r="G399" s="663">
        <v>0</v>
      </c>
      <c r="H399" s="663">
        <v>0</v>
      </c>
      <c r="I399" s="663">
        <v>0</v>
      </c>
      <c r="J399" s="663">
        <v>0</v>
      </c>
      <c r="K399" s="663">
        <v>0</v>
      </c>
      <c r="L399" s="663">
        <v>0</v>
      </c>
      <c r="M399" s="663">
        <v>0</v>
      </c>
      <c r="N399" s="663">
        <v>0</v>
      </c>
      <c r="O399" s="663">
        <v>0</v>
      </c>
      <c r="P399" s="663">
        <v>0</v>
      </c>
      <c r="Q399" s="663">
        <v>0</v>
      </c>
      <c r="R399" s="663">
        <v>0</v>
      </c>
      <c r="S399" s="663">
        <v>0</v>
      </c>
      <c r="T399" s="663">
        <v>0</v>
      </c>
      <c r="U399" s="671">
        <v>8.1800691102292635</v>
      </c>
    </row>
    <row r="400" spans="3:21" ht="13">
      <c r="C400" s="670" t="s">
        <v>75</v>
      </c>
      <c r="D400" s="663">
        <v>2.2334258105468749</v>
      </c>
      <c r="E400" s="663">
        <v>0</v>
      </c>
      <c r="F400" s="663">
        <v>17.43246590348684</v>
      </c>
      <c r="G400" s="663">
        <v>0</v>
      </c>
      <c r="H400" s="663">
        <v>2.2924587532620087</v>
      </c>
      <c r="I400" s="663">
        <v>3.0296811717119062E-2</v>
      </c>
      <c r="J400" s="663">
        <v>0</v>
      </c>
      <c r="K400" s="663">
        <v>0</v>
      </c>
      <c r="L400" s="663">
        <v>0</v>
      </c>
      <c r="M400" s="663">
        <v>0</v>
      </c>
      <c r="N400" s="663">
        <v>0</v>
      </c>
      <c r="O400" s="663">
        <v>2.7267130545407157</v>
      </c>
      <c r="P400" s="663">
        <v>0</v>
      </c>
      <c r="Q400" s="663">
        <v>0</v>
      </c>
      <c r="R400" s="663">
        <v>21.822235808041572</v>
      </c>
      <c r="S400" s="663">
        <v>0</v>
      </c>
      <c r="T400" s="663">
        <v>0</v>
      </c>
      <c r="U400" s="671">
        <v>46.537596141595124</v>
      </c>
    </row>
    <row r="401" spans="3:21" ht="13">
      <c r="C401" s="670" t="s">
        <v>76</v>
      </c>
      <c r="D401" s="663">
        <v>0</v>
      </c>
      <c r="E401" s="663">
        <v>0</v>
      </c>
      <c r="F401" s="663">
        <v>0</v>
      </c>
      <c r="G401" s="663">
        <v>0</v>
      </c>
      <c r="H401" s="663">
        <v>0.77652722768993077</v>
      </c>
      <c r="I401" s="663">
        <v>1.0262474374756796E-2</v>
      </c>
      <c r="J401" s="663">
        <v>0</v>
      </c>
      <c r="K401" s="663">
        <v>0</v>
      </c>
      <c r="L401" s="663">
        <v>0</v>
      </c>
      <c r="M401" s="663">
        <v>0</v>
      </c>
      <c r="N401" s="663">
        <v>0</v>
      </c>
      <c r="O401" s="663">
        <v>0.92362269372811168</v>
      </c>
      <c r="P401" s="663">
        <v>0</v>
      </c>
      <c r="Q401" s="663">
        <v>0</v>
      </c>
      <c r="R401" s="663">
        <v>51.265258018349606</v>
      </c>
      <c r="S401" s="663">
        <v>5.2924074535934169</v>
      </c>
      <c r="T401" s="663">
        <v>0</v>
      </c>
      <c r="U401" s="671">
        <v>58.268077867735826</v>
      </c>
    </row>
    <row r="402" spans="3:21" ht="13">
      <c r="C402" s="666" t="s">
        <v>77</v>
      </c>
      <c r="D402" s="667">
        <v>7.9765207519531245</v>
      </c>
      <c r="E402" s="667">
        <v>221.43377158510449</v>
      </c>
      <c r="F402" s="667">
        <v>-199.24940698847763</v>
      </c>
      <c r="G402" s="667">
        <v>-25.838308158403624</v>
      </c>
      <c r="H402" s="675">
        <v>9.9950129576120528</v>
      </c>
      <c r="I402" s="667">
        <v>-0.73710228111443465</v>
      </c>
      <c r="J402" s="667">
        <v>887.88984586571985</v>
      </c>
      <c r="K402" s="667">
        <v>396.24410449971316</v>
      </c>
      <c r="L402" s="667">
        <v>247.33283811494582</v>
      </c>
      <c r="M402" s="667">
        <v>21.680878740680178</v>
      </c>
      <c r="N402" s="667">
        <v>-104.31554763487013</v>
      </c>
      <c r="O402" s="667">
        <v>-69.51679984894308</v>
      </c>
      <c r="P402" s="667">
        <v>0</v>
      </c>
      <c r="Q402" s="667">
        <v>17.641436845791585</v>
      </c>
      <c r="R402" s="667">
        <v>-513.21721678431186</v>
      </c>
      <c r="S402" s="667">
        <v>-62.943626270237907</v>
      </c>
      <c r="T402" s="667">
        <v>-40.206690203099001</v>
      </c>
      <c r="U402" s="667">
        <v>794.16971119206255</v>
      </c>
    </row>
    <row r="403" spans="3:21" ht="13">
      <c r="C403" s="668"/>
      <c r="D403" s="669">
        <v>0</v>
      </c>
      <c r="E403" s="669">
        <v>0</v>
      </c>
      <c r="F403" s="669">
        <v>0</v>
      </c>
      <c r="G403" s="669">
        <v>0</v>
      </c>
      <c r="H403" s="676">
        <v>0</v>
      </c>
      <c r="I403" s="669">
        <v>0</v>
      </c>
      <c r="J403" s="669">
        <v>0</v>
      </c>
      <c r="K403" s="669">
        <v>0</v>
      </c>
      <c r="L403" s="669">
        <v>0</v>
      </c>
      <c r="M403" s="669">
        <v>0</v>
      </c>
      <c r="N403" s="669">
        <v>0</v>
      </c>
      <c r="O403" s="669">
        <v>0</v>
      </c>
      <c r="P403" s="669">
        <v>0</v>
      </c>
      <c r="Q403" s="669">
        <v>0</v>
      </c>
      <c r="R403" s="669">
        <v>0</v>
      </c>
      <c r="S403" s="669">
        <v>0</v>
      </c>
      <c r="T403" s="669">
        <v>0</v>
      </c>
      <c r="U403" s="669">
        <v>0</v>
      </c>
    </row>
    <row r="404" spans="3:21" ht="13">
      <c r="C404" s="670" t="s">
        <v>78</v>
      </c>
      <c r="D404" s="663">
        <v>2.4027599556453909</v>
      </c>
      <c r="E404" s="663">
        <v>0</v>
      </c>
      <c r="F404" s="663">
        <v>3.114463113040443</v>
      </c>
      <c r="G404" s="663">
        <v>0</v>
      </c>
      <c r="H404" s="663">
        <v>22.626318476237717</v>
      </c>
      <c r="I404" s="663">
        <v>0.29902623536878048</v>
      </c>
      <c r="J404" s="663">
        <v>0</v>
      </c>
      <c r="K404" s="663">
        <v>0</v>
      </c>
      <c r="L404" s="663">
        <v>19.572699923725285</v>
      </c>
      <c r="M404" s="663">
        <v>2.2927206810178133</v>
      </c>
      <c r="N404" s="663">
        <v>2.5907279394531253</v>
      </c>
      <c r="O404" s="663">
        <v>26.952636430442517</v>
      </c>
      <c r="P404" s="663">
        <v>8.8445146484374995</v>
      </c>
      <c r="Q404" s="663">
        <v>8.2107689234467234E-4</v>
      </c>
      <c r="R404" s="663">
        <v>134.99858174444151</v>
      </c>
      <c r="S404" s="663">
        <v>18.388872155735818</v>
      </c>
      <c r="T404" s="663">
        <v>5.7096738281250001</v>
      </c>
      <c r="U404" s="671">
        <v>247.79381620856324</v>
      </c>
    </row>
    <row r="405" spans="3:21" ht="13">
      <c r="C405" s="670" t="s">
        <v>79</v>
      </c>
      <c r="D405" s="663">
        <v>0</v>
      </c>
      <c r="E405" s="663">
        <v>0</v>
      </c>
      <c r="F405" s="663">
        <v>28.084568019979141</v>
      </c>
      <c r="G405" s="663">
        <v>1.421472124111238</v>
      </c>
      <c r="H405" s="663">
        <v>2.5860362638913656</v>
      </c>
      <c r="I405" s="663">
        <v>3.4176690712220695E-2</v>
      </c>
      <c r="J405" s="663">
        <v>0</v>
      </c>
      <c r="K405" s="663">
        <v>0</v>
      </c>
      <c r="L405" s="663">
        <v>0</v>
      </c>
      <c r="M405" s="663">
        <v>0</v>
      </c>
      <c r="N405" s="663">
        <v>58.95620249302754</v>
      </c>
      <c r="O405" s="663">
        <v>3.0759021640998623</v>
      </c>
      <c r="P405" s="663">
        <v>0</v>
      </c>
      <c r="Q405" s="663">
        <v>0</v>
      </c>
      <c r="R405" s="663">
        <v>96.758599927458889</v>
      </c>
      <c r="S405" s="663">
        <v>0</v>
      </c>
      <c r="T405" s="663">
        <v>4.2910115463144054</v>
      </c>
      <c r="U405" s="671">
        <v>195.20796922959462</v>
      </c>
    </row>
    <row r="406" spans="3:21" ht="13">
      <c r="C406" s="670" t="s">
        <v>80</v>
      </c>
      <c r="D406" s="663">
        <v>0</v>
      </c>
      <c r="E406" s="663">
        <v>0</v>
      </c>
      <c r="F406" s="663">
        <v>1.0938828648554826</v>
      </c>
      <c r="G406" s="663">
        <v>0</v>
      </c>
      <c r="H406" s="663">
        <v>16.315204996757775</v>
      </c>
      <c r="I406" s="663">
        <v>0.21561944929635826</v>
      </c>
      <c r="J406" s="663">
        <v>0</v>
      </c>
      <c r="K406" s="663">
        <v>0</v>
      </c>
      <c r="L406" s="663">
        <v>32.232635043857968</v>
      </c>
      <c r="M406" s="663">
        <v>0</v>
      </c>
      <c r="N406" s="663">
        <v>0</v>
      </c>
      <c r="O406" s="663">
        <v>19.405750436672243</v>
      </c>
      <c r="P406" s="663">
        <v>111.91504706113531</v>
      </c>
      <c r="Q406" s="663">
        <v>2.8847164087553931</v>
      </c>
      <c r="R406" s="663">
        <v>143.6282802083233</v>
      </c>
      <c r="S406" s="663">
        <v>25.545428952203935</v>
      </c>
      <c r="T406" s="663">
        <v>0</v>
      </c>
      <c r="U406" s="671">
        <v>353.23656542185773</v>
      </c>
    </row>
    <row r="407" spans="3:21" ht="13">
      <c r="C407" s="670" t="s">
        <v>81</v>
      </c>
      <c r="D407" s="663">
        <v>0</v>
      </c>
      <c r="E407" s="663">
        <v>0</v>
      </c>
      <c r="F407" s="663">
        <v>0.97723127965383472</v>
      </c>
      <c r="G407" s="663">
        <v>0</v>
      </c>
      <c r="H407" s="663">
        <v>8.896881568300115</v>
      </c>
      <c r="I407" s="663">
        <v>0.11757993262070637</v>
      </c>
      <c r="J407" s="663">
        <v>0</v>
      </c>
      <c r="K407" s="663">
        <v>0</v>
      </c>
      <c r="L407" s="663">
        <v>0.3860243395319729</v>
      </c>
      <c r="M407" s="663">
        <v>3.6858170734169985E-4</v>
      </c>
      <c r="N407" s="663">
        <v>0</v>
      </c>
      <c r="O407" s="663">
        <v>10.582193935863573</v>
      </c>
      <c r="P407" s="663">
        <v>26.610536942551132</v>
      </c>
      <c r="Q407" s="663">
        <v>1.0058473798751368</v>
      </c>
      <c r="R407" s="663">
        <v>89.039868511744515</v>
      </c>
      <c r="S407" s="663">
        <v>19.009325162298154</v>
      </c>
      <c r="T407" s="663">
        <v>0</v>
      </c>
      <c r="U407" s="671">
        <v>156.62585763414648</v>
      </c>
    </row>
    <row r="408" spans="3:21" ht="13">
      <c r="C408" s="670" t="s">
        <v>82</v>
      </c>
      <c r="D408" s="663">
        <v>0</v>
      </c>
      <c r="E408" s="663">
        <v>0</v>
      </c>
      <c r="F408" s="663">
        <v>4.1945740406306502</v>
      </c>
      <c r="G408" s="663">
        <v>1.6667279106947781</v>
      </c>
      <c r="H408" s="663">
        <v>0.79342108561234903</v>
      </c>
      <c r="I408" s="663">
        <v>1.0485741219546464E-2</v>
      </c>
      <c r="J408" s="663">
        <v>0</v>
      </c>
      <c r="K408" s="663">
        <v>0</v>
      </c>
      <c r="L408" s="663">
        <v>3.7340409967435519</v>
      </c>
      <c r="M408" s="663">
        <v>0</v>
      </c>
      <c r="N408" s="663">
        <v>16.919952753679041</v>
      </c>
      <c r="O408" s="663">
        <v>0.94371670975918176</v>
      </c>
      <c r="P408" s="663">
        <v>1.1499999999999999</v>
      </c>
      <c r="Q408" s="663">
        <v>1.5666563685107562</v>
      </c>
      <c r="R408" s="663">
        <v>7.7866370218848946</v>
      </c>
      <c r="S408" s="663">
        <v>0</v>
      </c>
      <c r="T408" s="663">
        <v>0.36062656029870238</v>
      </c>
      <c r="U408" s="671">
        <v>39.126839189033454</v>
      </c>
    </row>
    <row r="409" spans="3:21" ht="13">
      <c r="C409" s="670" t="s">
        <v>357</v>
      </c>
      <c r="D409" s="663">
        <v>0</v>
      </c>
      <c r="E409" s="663">
        <v>0</v>
      </c>
      <c r="F409" s="663">
        <v>0</v>
      </c>
      <c r="G409" s="663">
        <v>0</v>
      </c>
      <c r="H409" s="663">
        <v>0</v>
      </c>
      <c r="I409" s="663">
        <v>0</v>
      </c>
      <c r="J409" s="663">
        <v>0</v>
      </c>
      <c r="K409" s="663">
        <v>0</v>
      </c>
      <c r="L409" s="663">
        <v>0</v>
      </c>
      <c r="M409" s="663">
        <v>0</v>
      </c>
      <c r="N409" s="663">
        <v>0</v>
      </c>
      <c r="O409" s="663">
        <v>0</v>
      </c>
      <c r="P409" s="663">
        <v>0</v>
      </c>
      <c r="Q409" s="663">
        <v>0</v>
      </c>
      <c r="R409" s="663">
        <v>1.8912</v>
      </c>
      <c r="S409" s="663">
        <v>0</v>
      </c>
      <c r="T409" s="663">
        <v>0</v>
      </c>
      <c r="U409" s="671">
        <v>1.8912</v>
      </c>
    </row>
    <row r="410" spans="3:21" ht="13">
      <c r="C410" s="666" t="s">
        <v>83</v>
      </c>
      <c r="D410" s="667">
        <v>2.4027599556453909</v>
      </c>
      <c r="E410" s="667">
        <v>0</v>
      </c>
      <c r="F410" s="667">
        <v>37.464719318159553</v>
      </c>
      <c r="G410" s="667">
        <v>3.0882000348060163</v>
      </c>
      <c r="H410" s="675">
        <v>51.217862390799326</v>
      </c>
      <c r="I410" s="667">
        <v>0.67688804921761236</v>
      </c>
      <c r="J410" s="667">
        <v>0</v>
      </c>
      <c r="K410" s="667">
        <v>0</v>
      </c>
      <c r="L410" s="667">
        <v>55.925400303858773</v>
      </c>
      <c r="M410" s="667">
        <v>2.2930892627251551</v>
      </c>
      <c r="N410" s="667">
        <v>78.46688318615972</v>
      </c>
      <c r="O410" s="667">
        <v>60.960199676837377</v>
      </c>
      <c r="P410" s="667">
        <v>148.52009865212395</v>
      </c>
      <c r="Q410" s="667">
        <v>5.4580412340336313</v>
      </c>
      <c r="R410" s="667">
        <v>474.10316741385316</v>
      </c>
      <c r="S410" s="667">
        <v>62.943626270237907</v>
      </c>
      <c r="T410" s="667">
        <v>10.361311934738108</v>
      </c>
      <c r="U410" s="667">
        <v>993.8822476831956</v>
      </c>
    </row>
    <row r="411" spans="3:21" ht="13">
      <c r="C411" s="662" t="s">
        <v>84</v>
      </c>
      <c r="D411" s="663">
        <v>0</v>
      </c>
      <c r="E411" s="663">
        <v>0</v>
      </c>
      <c r="F411" s="663">
        <v>55.51811908375884</v>
      </c>
      <c r="G411" s="663">
        <v>7.0490044147499464</v>
      </c>
      <c r="H411" s="663">
        <v>5.5825875517318595</v>
      </c>
      <c r="I411" s="663">
        <v>0</v>
      </c>
      <c r="J411" s="663">
        <v>0</v>
      </c>
      <c r="K411" s="663">
        <v>0</v>
      </c>
      <c r="L411" s="663">
        <v>0.48256425190137814</v>
      </c>
      <c r="M411" s="663">
        <v>0</v>
      </c>
      <c r="N411" s="663">
        <v>17.896473357733768</v>
      </c>
      <c r="O411" s="663">
        <v>3.3065346740377066</v>
      </c>
      <c r="P411" s="663">
        <v>0</v>
      </c>
      <c r="Q411" s="663">
        <v>0</v>
      </c>
      <c r="R411" s="663">
        <v>0</v>
      </c>
      <c r="S411" s="663">
        <v>0</v>
      </c>
      <c r="T411" s="663">
        <v>28.74233427987765</v>
      </c>
      <c r="U411" s="671">
        <v>118.57761761379115</v>
      </c>
    </row>
    <row r="412" spans="3:21" ht="13">
      <c r="C412" s="666" t="s">
        <v>85</v>
      </c>
      <c r="D412" s="667">
        <v>2.4027599556453909</v>
      </c>
      <c r="E412" s="667">
        <v>0</v>
      </c>
      <c r="F412" s="667">
        <v>92.9828384019184</v>
      </c>
      <c r="G412" s="667">
        <v>10.137204449555963</v>
      </c>
      <c r="H412" s="675">
        <v>56.800449942531188</v>
      </c>
      <c r="I412" s="667">
        <v>0.67688804921761236</v>
      </c>
      <c r="J412" s="667">
        <v>0</v>
      </c>
      <c r="K412" s="667">
        <v>0</v>
      </c>
      <c r="L412" s="667">
        <v>56.407964555760152</v>
      </c>
      <c r="M412" s="667">
        <v>2.2930892627251551</v>
      </c>
      <c r="N412" s="667">
        <v>96.363356543893488</v>
      </c>
      <c r="O412" s="667">
        <v>64.266734350875069</v>
      </c>
      <c r="P412" s="667">
        <v>148.52009865212395</v>
      </c>
      <c r="Q412" s="667">
        <v>5.4580412340336313</v>
      </c>
      <c r="R412" s="667">
        <v>474.10316741385316</v>
      </c>
      <c r="S412" s="667">
        <v>62.943626270237907</v>
      </c>
      <c r="T412" s="667">
        <v>39.103646214615758</v>
      </c>
      <c r="U412" s="667">
        <v>1112.4598652969867</v>
      </c>
    </row>
    <row r="413" spans="3:21">
      <c r="C413" s="654"/>
      <c r="D413" s="672">
        <v>0</v>
      </c>
      <c r="E413" s="672">
        <v>0</v>
      </c>
      <c r="F413" s="672">
        <v>0</v>
      </c>
      <c r="G413" s="672">
        <v>0</v>
      </c>
      <c r="H413" s="672">
        <v>0</v>
      </c>
      <c r="I413" s="672">
        <v>1.0408340855860843E-16</v>
      </c>
      <c r="J413" s="672">
        <v>0</v>
      </c>
      <c r="K413" s="672">
        <v>0</v>
      </c>
      <c r="L413" s="672">
        <v>0</v>
      </c>
      <c r="M413" s="672">
        <v>0</v>
      </c>
      <c r="N413" s="672">
        <v>1.1546319456101628E-14</v>
      </c>
      <c r="O413" s="672">
        <v>-3.1086244689504383E-14</v>
      </c>
      <c r="P413" s="672">
        <v>0</v>
      </c>
      <c r="Q413" s="672">
        <v>0</v>
      </c>
      <c r="R413" s="672">
        <v>0</v>
      </c>
      <c r="S413" s="672">
        <v>0</v>
      </c>
      <c r="T413" s="672">
        <v>0</v>
      </c>
      <c r="U413" s="672">
        <v>0</v>
      </c>
    </row>
    <row r="414" spans="3:21">
      <c r="C414" s="654"/>
      <c r="D414" s="654"/>
      <c r="E414" s="654"/>
      <c r="F414" s="654"/>
      <c r="G414" s="654"/>
      <c r="H414" s="654"/>
      <c r="I414" s="654"/>
      <c r="J414" s="654"/>
      <c r="K414" s="654"/>
      <c r="L414" s="654"/>
      <c r="M414" s="654"/>
      <c r="N414" s="654"/>
      <c r="O414" s="654"/>
      <c r="P414" s="654"/>
      <c r="Q414" s="654"/>
      <c r="R414" s="654"/>
      <c r="S414" s="654"/>
      <c r="T414" s="654"/>
      <c r="U414" s="654"/>
    </row>
    <row r="415" spans="3:21" ht="14.5">
      <c r="C415" s="658" t="s">
        <v>364</v>
      </c>
      <c r="D415" s="659"/>
      <c r="E415" s="659"/>
      <c r="F415" s="659"/>
      <c r="G415" s="659"/>
      <c r="H415" s="659"/>
      <c r="I415" s="659"/>
      <c r="J415" s="659"/>
      <c r="K415" s="659"/>
      <c r="L415" s="659"/>
      <c r="M415" s="659"/>
      <c r="N415" s="659"/>
      <c r="O415" s="659"/>
      <c r="P415" s="659"/>
      <c r="Q415" s="659"/>
      <c r="R415" s="659"/>
      <c r="S415" s="659"/>
      <c r="T415" s="659"/>
      <c r="U415" s="659"/>
    </row>
    <row r="416" spans="3:21">
      <c r="C416" s="654"/>
      <c r="D416" s="654"/>
      <c r="E416" s="654"/>
      <c r="F416" s="654"/>
      <c r="G416" s="654"/>
      <c r="H416" s="654"/>
      <c r="I416" s="654"/>
      <c r="J416" s="654"/>
      <c r="K416" s="654"/>
      <c r="L416" s="654"/>
      <c r="M416" s="654"/>
      <c r="N416" s="654"/>
      <c r="O416" s="654"/>
      <c r="P416" s="654"/>
      <c r="Q416" s="654"/>
      <c r="R416" s="654"/>
      <c r="S416" s="654"/>
      <c r="T416" s="654"/>
      <c r="U416" s="654"/>
    </row>
    <row r="417" spans="3:21" ht="13">
      <c r="C417" s="706" t="s">
        <v>128</v>
      </c>
      <c r="D417" s="704" t="s">
        <v>42</v>
      </c>
      <c r="E417" s="704" t="s">
        <v>52</v>
      </c>
      <c r="F417" s="704" t="s">
        <v>53</v>
      </c>
      <c r="G417" s="704" t="s">
        <v>487</v>
      </c>
      <c r="H417" s="704" t="s">
        <v>32</v>
      </c>
      <c r="I417" s="704" t="s">
        <v>488</v>
      </c>
      <c r="J417" s="704" t="s">
        <v>20</v>
      </c>
      <c r="K417" s="704" t="s">
        <v>55</v>
      </c>
      <c r="L417" s="708" t="s">
        <v>56</v>
      </c>
      <c r="M417" s="709"/>
      <c r="N417" s="709"/>
      <c r="O417" s="709"/>
      <c r="P417" s="709"/>
      <c r="Q417" s="710"/>
      <c r="R417" s="704" t="s">
        <v>57</v>
      </c>
      <c r="S417" s="704" t="s">
        <v>58</v>
      </c>
      <c r="T417" s="704" t="s">
        <v>31</v>
      </c>
      <c r="U417" s="704" t="s">
        <v>10</v>
      </c>
    </row>
    <row r="418" spans="3:21" ht="36">
      <c r="C418" s="707"/>
      <c r="D418" s="705"/>
      <c r="E418" s="705"/>
      <c r="F418" s="705"/>
      <c r="G418" s="705"/>
      <c r="H418" s="705"/>
      <c r="I418" s="705"/>
      <c r="J418" s="705"/>
      <c r="K418" s="705"/>
      <c r="L418" s="660" t="s">
        <v>338</v>
      </c>
      <c r="M418" s="660" t="s">
        <v>40</v>
      </c>
      <c r="N418" s="660" t="s">
        <v>346</v>
      </c>
      <c r="O418" s="660" t="s">
        <v>347</v>
      </c>
      <c r="P418" s="661" t="s">
        <v>348</v>
      </c>
      <c r="Q418" s="660" t="s">
        <v>349</v>
      </c>
      <c r="R418" s="705"/>
      <c r="S418" s="705"/>
      <c r="T418" s="705"/>
      <c r="U418" s="705"/>
    </row>
    <row r="419" spans="3:21" ht="13">
      <c r="C419" s="662" t="s">
        <v>59</v>
      </c>
      <c r="D419" s="663">
        <v>0</v>
      </c>
      <c r="E419" s="663">
        <v>0</v>
      </c>
      <c r="F419" s="663">
        <v>0</v>
      </c>
      <c r="G419" s="663">
        <v>0</v>
      </c>
      <c r="H419" s="663">
        <v>0</v>
      </c>
      <c r="I419" s="663">
        <v>0</v>
      </c>
      <c r="J419" s="664">
        <v>835.87348477446847</v>
      </c>
      <c r="K419" s="664">
        <v>433.2264513609648</v>
      </c>
      <c r="L419" s="664">
        <v>288.88340552324502</v>
      </c>
      <c r="M419" s="664">
        <v>22.07866786794175</v>
      </c>
      <c r="N419" s="663">
        <v>1.6797912871987437</v>
      </c>
      <c r="O419" s="663">
        <v>0.17065445399605614</v>
      </c>
      <c r="P419" s="664">
        <v>155.82057805919561</v>
      </c>
      <c r="Q419" s="664">
        <v>23.487215011212861</v>
      </c>
      <c r="R419" s="663">
        <v>0</v>
      </c>
      <c r="S419" s="663">
        <v>0</v>
      </c>
      <c r="T419" s="663">
        <v>0</v>
      </c>
      <c r="U419" s="665">
        <v>1761.2202483382232</v>
      </c>
    </row>
    <row r="420" spans="3:21" ht="13">
      <c r="C420" s="662" t="s">
        <v>60</v>
      </c>
      <c r="D420" s="663">
        <v>9.1088960408946864</v>
      </c>
      <c r="E420" s="663">
        <v>190.65660017812178</v>
      </c>
      <c r="F420" s="663">
        <v>2.9590354993625017</v>
      </c>
      <c r="G420" s="663">
        <v>0</v>
      </c>
      <c r="H420" s="663">
        <v>52.772371882452688</v>
      </c>
      <c r="I420" s="663">
        <v>0</v>
      </c>
      <c r="J420" s="663">
        <v>0</v>
      </c>
      <c r="K420" s="663">
        <v>0</v>
      </c>
      <c r="L420" s="663">
        <v>4.8125993033158778</v>
      </c>
      <c r="M420" s="663">
        <v>0</v>
      </c>
      <c r="N420" s="663">
        <v>5.0080801377734332</v>
      </c>
      <c r="O420" s="663">
        <v>0</v>
      </c>
      <c r="P420" s="663">
        <v>0</v>
      </c>
      <c r="Q420" s="663">
        <v>0</v>
      </c>
      <c r="R420" s="663">
        <v>0</v>
      </c>
      <c r="S420" s="663">
        <v>0</v>
      </c>
      <c r="T420" s="663">
        <v>0</v>
      </c>
      <c r="U420" s="665">
        <v>265.31758304192095</v>
      </c>
    </row>
    <row r="421" spans="3:21" ht="13">
      <c r="C421" s="662" t="s">
        <v>61</v>
      </c>
      <c r="D421" s="663">
        <v>0</v>
      </c>
      <c r="E421" s="663">
        <v>0</v>
      </c>
      <c r="F421" s="663">
        <v>-67.846394386464354</v>
      </c>
      <c r="G421" s="663">
        <v>-3.5527136788005009E-15</v>
      </c>
      <c r="H421" s="663">
        <v>0</v>
      </c>
      <c r="I421" s="663">
        <v>0</v>
      </c>
      <c r="J421" s="663">
        <v>0</v>
      </c>
      <c r="K421" s="663">
        <v>0</v>
      </c>
      <c r="L421" s="663">
        <v>0</v>
      </c>
      <c r="M421" s="663">
        <v>0</v>
      </c>
      <c r="N421" s="663">
        <v>0</v>
      </c>
      <c r="O421" s="663">
        <v>0</v>
      </c>
      <c r="P421" s="663">
        <v>0</v>
      </c>
      <c r="Q421" s="663">
        <v>0</v>
      </c>
      <c r="R421" s="663">
        <v>-40.00031821738844</v>
      </c>
      <c r="S421" s="663">
        <v>0</v>
      </c>
      <c r="T421" s="663">
        <v>0</v>
      </c>
      <c r="U421" s="665">
        <v>-107.84671260385279</v>
      </c>
    </row>
    <row r="422" spans="3:21" ht="13">
      <c r="C422" s="662" t="s">
        <v>62</v>
      </c>
      <c r="D422" s="663">
        <v>0</v>
      </c>
      <c r="E422" s="663">
        <v>0</v>
      </c>
      <c r="F422" s="663">
        <v>-5.3541729526260253</v>
      </c>
      <c r="G422" s="663">
        <v>-3.2544454489343884</v>
      </c>
      <c r="H422" s="663">
        <v>-2.154938128893316</v>
      </c>
      <c r="I422" s="663">
        <v>-5.5254823817777333E-2</v>
      </c>
      <c r="J422" s="663">
        <v>0</v>
      </c>
      <c r="K422" s="663">
        <v>0</v>
      </c>
      <c r="L422" s="663">
        <v>0</v>
      </c>
      <c r="M422" s="663">
        <v>0</v>
      </c>
      <c r="N422" s="663">
        <v>-0.28299525642907725</v>
      </c>
      <c r="O422" s="663">
        <v>-3.3152894290666399</v>
      </c>
      <c r="P422" s="663">
        <v>0</v>
      </c>
      <c r="Q422" s="663">
        <v>0</v>
      </c>
      <c r="R422" s="663">
        <v>0</v>
      </c>
      <c r="S422" s="663">
        <v>0</v>
      </c>
      <c r="T422" s="663">
        <v>0</v>
      </c>
      <c r="U422" s="665">
        <v>-14.417096039767225</v>
      </c>
    </row>
    <row r="423" spans="3:21" ht="13">
      <c r="C423" s="662" t="s">
        <v>63</v>
      </c>
      <c r="D423" s="663">
        <v>0</v>
      </c>
      <c r="E423" s="663">
        <v>0</v>
      </c>
      <c r="F423" s="663">
        <v>-38.578656039955483</v>
      </c>
      <c r="G423" s="663">
        <v>-13.893394907220655</v>
      </c>
      <c r="H423" s="663">
        <v>0</v>
      </c>
      <c r="I423" s="663">
        <v>0</v>
      </c>
      <c r="J423" s="663">
        <v>0</v>
      </c>
      <c r="K423" s="663">
        <v>0</v>
      </c>
      <c r="L423" s="663">
        <v>0</v>
      </c>
      <c r="M423" s="663">
        <v>0</v>
      </c>
      <c r="N423" s="663">
        <v>-13.893394907220655</v>
      </c>
      <c r="O423" s="663">
        <v>0</v>
      </c>
      <c r="P423" s="663">
        <v>0</v>
      </c>
      <c r="Q423" s="663">
        <v>0</v>
      </c>
      <c r="R423" s="663">
        <v>0</v>
      </c>
      <c r="S423" s="663">
        <v>0</v>
      </c>
      <c r="T423" s="663">
        <v>-1.3953345659196588</v>
      </c>
      <c r="U423" s="665">
        <v>-67.760780420316451</v>
      </c>
    </row>
    <row r="424" spans="3:21" ht="13">
      <c r="C424" s="662" t="s">
        <v>64</v>
      </c>
      <c r="D424" s="663">
        <v>0</v>
      </c>
      <c r="E424" s="663">
        <v>0</v>
      </c>
      <c r="F424" s="663">
        <v>0</v>
      </c>
      <c r="G424" s="663">
        <v>0</v>
      </c>
      <c r="H424" s="663">
        <v>0</v>
      </c>
      <c r="I424" s="663">
        <v>0</v>
      </c>
      <c r="J424" s="663">
        <v>0</v>
      </c>
      <c r="K424" s="663">
        <v>0</v>
      </c>
      <c r="L424" s="663">
        <v>0</v>
      </c>
      <c r="M424" s="663">
        <v>0</v>
      </c>
      <c r="N424" s="663">
        <v>0</v>
      </c>
      <c r="O424" s="663">
        <v>0</v>
      </c>
      <c r="P424" s="663">
        <v>0</v>
      </c>
      <c r="Q424" s="663">
        <v>0</v>
      </c>
      <c r="R424" s="663">
        <v>0</v>
      </c>
      <c r="S424" s="663">
        <v>0</v>
      </c>
      <c r="T424" s="663">
        <v>0</v>
      </c>
      <c r="U424" s="665">
        <v>0</v>
      </c>
    </row>
    <row r="425" spans="3:21" ht="13">
      <c r="C425" s="666" t="s">
        <v>65</v>
      </c>
      <c r="D425" s="667">
        <v>9.1088960408946864</v>
      </c>
      <c r="E425" s="667">
        <v>190.65660017812178</v>
      </c>
      <c r="F425" s="667">
        <v>-108.82018787968336</v>
      </c>
      <c r="G425" s="667">
        <v>-17.147840356155047</v>
      </c>
      <c r="H425" s="675">
        <v>50.617433753559375</v>
      </c>
      <c r="I425" s="667">
        <v>-5.5254823817777333E-2</v>
      </c>
      <c r="J425" s="667">
        <v>835.87348477446847</v>
      </c>
      <c r="K425" s="667">
        <v>433.2264513609648</v>
      </c>
      <c r="L425" s="667">
        <v>293.69600482656091</v>
      </c>
      <c r="M425" s="667">
        <v>22.07866786794175</v>
      </c>
      <c r="N425" s="667">
        <v>-7.4885187386775538</v>
      </c>
      <c r="O425" s="667">
        <v>-3.1446349750705838</v>
      </c>
      <c r="P425" s="667">
        <v>155.82057805919561</v>
      </c>
      <c r="Q425" s="667">
        <v>23.487215011212861</v>
      </c>
      <c r="R425" s="667">
        <v>-40.00031821738844</v>
      </c>
      <c r="S425" s="667">
        <v>0</v>
      </c>
      <c r="T425" s="667">
        <v>-1.3953345659196588</v>
      </c>
      <c r="U425" s="667">
        <v>1836.5132423162074</v>
      </c>
    </row>
    <row r="426" spans="3:21" ht="13">
      <c r="C426" s="668"/>
      <c r="D426" s="669">
        <v>0</v>
      </c>
      <c r="E426" s="669">
        <v>0</v>
      </c>
      <c r="F426" s="669">
        <v>0</v>
      </c>
      <c r="G426" s="669">
        <v>0</v>
      </c>
      <c r="H426" s="676">
        <v>0</v>
      </c>
      <c r="I426" s="669">
        <v>0</v>
      </c>
      <c r="J426" s="669">
        <v>0</v>
      </c>
      <c r="K426" s="669">
        <v>0</v>
      </c>
      <c r="L426" s="669">
        <v>0</v>
      </c>
      <c r="M426" s="669">
        <v>0</v>
      </c>
      <c r="N426" s="669">
        <v>0</v>
      </c>
      <c r="O426" s="669">
        <v>0</v>
      </c>
      <c r="P426" s="669">
        <v>0</v>
      </c>
      <c r="Q426" s="669">
        <v>0</v>
      </c>
      <c r="R426" s="669">
        <v>0</v>
      </c>
      <c r="S426" s="669">
        <v>0</v>
      </c>
      <c r="T426" s="669">
        <v>0</v>
      </c>
      <c r="U426" s="669">
        <v>0</v>
      </c>
    </row>
    <row r="427" spans="3:21" ht="13">
      <c r="C427" s="670" t="s">
        <v>67</v>
      </c>
      <c r="D427" s="663">
        <v>0</v>
      </c>
      <c r="E427" s="663">
        <v>0</v>
      </c>
      <c r="F427" s="663">
        <v>0</v>
      </c>
      <c r="G427" s="663">
        <v>0</v>
      </c>
      <c r="H427" s="663">
        <v>0</v>
      </c>
      <c r="I427" s="663">
        <v>0</v>
      </c>
      <c r="J427" s="663">
        <v>0</v>
      </c>
      <c r="K427" s="663">
        <v>0</v>
      </c>
      <c r="L427" s="663">
        <v>0</v>
      </c>
      <c r="M427" s="663">
        <v>0</v>
      </c>
      <c r="N427" s="663">
        <v>0</v>
      </c>
      <c r="O427" s="663">
        <v>0</v>
      </c>
      <c r="P427" s="663">
        <v>0</v>
      </c>
      <c r="Q427" s="663">
        <v>0</v>
      </c>
      <c r="R427" s="663">
        <v>0</v>
      </c>
      <c r="S427" s="663">
        <v>0</v>
      </c>
      <c r="T427" s="663">
        <v>0</v>
      </c>
      <c r="U427" s="671">
        <v>0</v>
      </c>
    </row>
    <row r="428" spans="3:21" ht="13">
      <c r="C428" s="670" t="s">
        <v>350</v>
      </c>
      <c r="D428" s="663">
        <v>0</v>
      </c>
      <c r="E428" s="663">
        <v>0</v>
      </c>
      <c r="F428" s="663">
        <v>0</v>
      </c>
      <c r="G428" s="663">
        <v>0</v>
      </c>
      <c r="H428" s="663">
        <v>0</v>
      </c>
      <c r="I428" s="663">
        <v>0</v>
      </c>
      <c r="J428" s="663">
        <v>835.87348477446847</v>
      </c>
      <c r="K428" s="663">
        <v>433.2264513609648</v>
      </c>
      <c r="L428" s="663">
        <v>14.188154051569427</v>
      </c>
      <c r="M428" s="663">
        <v>5.3742483693021068</v>
      </c>
      <c r="N428" s="663">
        <v>6.3451610040287907</v>
      </c>
      <c r="O428" s="663">
        <v>0.11419280490868838</v>
      </c>
      <c r="P428" s="663">
        <v>0</v>
      </c>
      <c r="Q428" s="663">
        <v>6.4766550958451852</v>
      </c>
      <c r="R428" s="663">
        <v>-726.93629039774203</v>
      </c>
      <c r="S428" s="663">
        <v>0</v>
      </c>
      <c r="T428" s="663">
        <v>11.298964449788109</v>
      </c>
      <c r="U428" s="671">
        <v>585.96102151313323</v>
      </c>
    </row>
    <row r="429" spans="3:21" ht="13">
      <c r="C429" s="670" t="s">
        <v>351</v>
      </c>
      <c r="D429" s="663">
        <v>0</v>
      </c>
      <c r="E429" s="663">
        <v>0</v>
      </c>
      <c r="F429" s="663">
        <v>0</v>
      </c>
      <c r="G429" s="663">
        <v>0</v>
      </c>
      <c r="H429" s="663">
        <v>3.2711110414405256</v>
      </c>
      <c r="I429" s="663">
        <v>0</v>
      </c>
      <c r="J429" s="663">
        <v>0</v>
      </c>
      <c r="K429" s="663">
        <v>0</v>
      </c>
      <c r="L429" s="663">
        <v>34.963821149394811</v>
      </c>
      <c r="M429" s="663">
        <v>14.476121269049287</v>
      </c>
      <c r="N429" s="663">
        <v>0</v>
      </c>
      <c r="O429" s="663">
        <v>7.6477038720835147</v>
      </c>
      <c r="P429" s="663">
        <v>0</v>
      </c>
      <c r="Q429" s="663">
        <v>11.276034288959668</v>
      </c>
      <c r="R429" s="663">
        <v>0</v>
      </c>
      <c r="S429" s="663">
        <v>-67.494467143680438</v>
      </c>
      <c r="T429" s="663">
        <v>0</v>
      </c>
      <c r="U429" s="671">
        <v>4.1403244772473649</v>
      </c>
    </row>
    <row r="430" spans="3:21" ht="13">
      <c r="C430" s="670" t="s">
        <v>352</v>
      </c>
      <c r="D430" s="663">
        <v>0</v>
      </c>
      <c r="E430" s="663">
        <v>0</v>
      </c>
      <c r="F430" s="663">
        <v>0</v>
      </c>
      <c r="G430" s="663">
        <v>0</v>
      </c>
      <c r="H430" s="663">
        <v>0</v>
      </c>
      <c r="I430" s="663">
        <v>0</v>
      </c>
      <c r="J430" s="663">
        <v>0</v>
      </c>
      <c r="K430" s="663">
        <v>0</v>
      </c>
      <c r="L430" s="663">
        <v>85.030807044207506</v>
      </c>
      <c r="M430" s="663">
        <v>0</v>
      </c>
      <c r="N430" s="663">
        <v>0</v>
      </c>
      <c r="O430" s="663">
        <v>-80.149276434896436</v>
      </c>
      <c r="P430" s="663">
        <v>0</v>
      </c>
      <c r="Q430" s="663">
        <v>0</v>
      </c>
      <c r="R430" s="663">
        <v>0</v>
      </c>
      <c r="S430" s="663">
        <v>0</v>
      </c>
      <c r="T430" s="663">
        <v>0</v>
      </c>
      <c r="U430" s="671">
        <v>4.8815306093110706</v>
      </c>
    </row>
    <row r="431" spans="3:21" ht="13">
      <c r="C431" s="670" t="s">
        <v>353</v>
      </c>
      <c r="D431" s="663">
        <v>0</v>
      </c>
      <c r="E431" s="663">
        <v>0</v>
      </c>
      <c r="F431" s="663">
        <v>0</v>
      </c>
      <c r="G431" s="663">
        <v>0</v>
      </c>
      <c r="H431" s="663">
        <v>0</v>
      </c>
      <c r="I431" s="663">
        <v>-1.1466991714325052</v>
      </c>
      <c r="J431" s="663">
        <v>0</v>
      </c>
      <c r="K431" s="663">
        <v>0</v>
      </c>
      <c r="L431" s="663">
        <v>0</v>
      </c>
      <c r="M431" s="663">
        <v>0</v>
      </c>
      <c r="N431" s="663">
        <v>0</v>
      </c>
      <c r="O431" s="663">
        <v>0</v>
      </c>
      <c r="P431" s="663">
        <v>0</v>
      </c>
      <c r="Q431" s="663">
        <v>0</v>
      </c>
      <c r="R431" s="663">
        <v>0</v>
      </c>
      <c r="S431" s="663">
        <v>0</v>
      </c>
      <c r="T431" s="663">
        <v>1.5966000387788533</v>
      </c>
      <c r="U431" s="671">
        <v>0.44990086734634804</v>
      </c>
    </row>
    <row r="432" spans="3:21" ht="13">
      <c r="C432" s="670" t="s">
        <v>72</v>
      </c>
      <c r="D432" s="663">
        <v>0</v>
      </c>
      <c r="E432" s="663">
        <v>197.54631533572405</v>
      </c>
      <c r="F432" s="663">
        <v>-195.57532355071015</v>
      </c>
      <c r="G432" s="663">
        <v>0</v>
      </c>
      <c r="H432" s="663">
        <v>0</v>
      </c>
      <c r="I432" s="663">
        <v>0</v>
      </c>
      <c r="J432" s="663">
        <v>0</v>
      </c>
      <c r="K432" s="663">
        <v>0</v>
      </c>
      <c r="L432" s="663">
        <v>0</v>
      </c>
      <c r="M432" s="663">
        <v>0</v>
      </c>
      <c r="N432" s="663">
        <v>0</v>
      </c>
      <c r="O432" s="663">
        <v>0</v>
      </c>
      <c r="P432" s="663">
        <v>0</v>
      </c>
      <c r="Q432" s="663">
        <v>0</v>
      </c>
      <c r="R432" s="663">
        <v>0</v>
      </c>
      <c r="S432" s="663">
        <v>0</v>
      </c>
      <c r="T432" s="663">
        <v>0</v>
      </c>
      <c r="U432" s="671">
        <v>1.9709917850139052</v>
      </c>
    </row>
    <row r="433" spans="3:21" ht="13">
      <c r="C433" s="670" t="s">
        <v>354</v>
      </c>
      <c r="D433" s="663">
        <v>0</v>
      </c>
      <c r="E433" s="663">
        <v>0</v>
      </c>
      <c r="F433" s="663">
        <v>0</v>
      </c>
      <c r="G433" s="663">
        <v>0</v>
      </c>
      <c r="H433" s="663">
        <v>0</v>
      </c>
      <c r="I433" s="663">
        <v>0</v>
      </c>
      <c r="J433" s="663">
        <v>0</v>
      </c>
      <c r="K433" s="663">
        <v>0</v>
      </c>
      <c r="L433" s="663">
        <v>104.32434467350188</v>
      </c>
      <c r="M433" s="663">
        <v>0</v>
      </c>
      <c r="N433" s="663">
        <v>-104.32434467350188</v>
      </c>
      <c r="O433" s="663">
        <v>0</v>
      </c>
      <c r="P433" s="663">
        <v>0</v>
      </c>
      <c r="Q433" s="663">
        <v>0</v>
      </c>
      <c r="R433" s="663">
        <v>0</v>
      </c>
      <c r="S433" s="663">
        <v>0</v>
      </c>
      <c r="T433" s="663">
        <v>0</v>
      </c>
      <c r="U433" s="671">
        <v>0</v>
      </c>
    </row>
    <row r="434" spans="3:21" ht="13">
      <c r="C434" s="670" t="s">
        <v>355</v>
      </c>
      <c r="D434" s="663">
        <v>0</v>
      </c>
      <c r="E434" s="663">
        <v>0</v>
      </c>
      <c r="F434" s="663">
        <v>0</v>
      </c>
      <c r="G434" s="663">
        <v>-28.456538558191252</v>
      </c>
      <c r="H434" s="663">
        <v>0</v>
      </c>
      <c r="I434" s="663">
        <v>0</v>
      </c>
      <c r="J434" s="663">
        <v>0</v>
      </c>
      <c r="K434" s="663">
        <v>0</v>
      </c>
      <c r="L434" s="663">
        <v>0</v>
      </c>
      <c r="M434" s="663">
        <v>0</v>
      </c>
      <c r="N434" s="663">
        <v>0</v>
      </c>
      <c r="O434" s="663">
        <v>0</v>
      </c>
      <c r="P434" s="663">
        <v>0</v>
      </c>
      <c r="Q434" s="663">
        <v>0</v>
      </c>
      <c r="R434" s="663">
        <v>0</v>
      </c>
      <c r="S434" s="663">
        <v>0</v>
      </c>
      <c r="T434" s="663">
        <v>39.633062058762192</v>
      </c>
      <c r="U434" s="671">
        <v>11.176523500570941</v>
      </c>
    </row>
    <row r="435" spans="3:21" ht="13">
      <c r="C435" s="670" t="s">
        <v>73</v>
      </c>
      <c r="D435" s="663">
        <v>0</v>
      </c>
      <c r="E435" s="663">
        <v>0</v>
      </c>
      <c r="F435" s="663">
        <v>0</v>
      </c>
      <c r="G435" s="663">
        <v>0</v>
      </c>
      <c r="H435" s="663">
        <v>0</v>
      </c>
      <c r="I435" s="663">
        <v>0</v>
      </c>
      <c r="J435" s="663">
        <v>0</v>
      </c>
      <c r="K435" s="663">
        <v>0</v>
      </c>
      <c r="L435" s="663">
        <v>0</v>
      </c>
      <c r="M435" s="663">
        <v>0</v>
      </c>
      <c r="N435" s="663">
        <v>0</v>
      </c>
      <c r="O435" s="663">
        <v>0</v>
      </c>
      <c r="P435" s="663">
        <v>0</v>
      </c>
      <c r="Q435" s="663">
        <v>0</v>
      </c>
      <c r="R435" s="663">
        <v>137.29765828865015</v>
      </c>
      <c r="S435" s="663">
        <v>0</v>
      </c>
      <c r="T435" s="663">
        <v>-96.451604947776744</v>
      </c>
      <c r="U435" s="671">
        <v>40.846053340873411</v>
      </c>
    </row>
    <row r="436" spans="3:21" ht="13">
      <c r="C436" s="670" t="s">
        <v>356</v>
      </c>
      <c r="D436" s="663">
        <v>5.0092797656249992</v>
      </c>
      <c r="E436" s="663">
        <v>-6.8897151576022866</v>
      </c>
      <c r="F436" s="663">
        <v>8.9891621815142653</v>
      </c>
      <c r="G436" s="663">
        <v>0</v>
      </c>
      <c r="H436" s="663">
        <v>0</v>
      </c>
      <c r="I436" s="663">
        <v>0</v>
      </c>
      <c r="J436" s="663">
        <v>0</v>
      </c>
      <c r="K436" s="663">
        <v>0</v>
      </c>
      <c r="L436" s="663">
        <v>0</v>
      </c>
      <c r="M436" s="663">
        <v>0</v>
      </c>
      <c r="N436" s="663">
        <v>0</v>
      </c>
      <c r="O436" s="663">
        <v>0</v>
      </c>
      <c r="P436" s="663">
        <v>0</v>
      </c>
      <c r="Q436" s="663">
        <v>0</v>
      </c>
      <c r="R436" s="663">
        <v>0</v>
      </c>
      <c r="S436" s="663">
        <v>0</v>
      </c>
      <c r="T436" s="663">
        <v>0</v>
      </c>
      <c r="U436" s="671">
        <v>7.1087267895369788</v>
      </c>
    </row>
    <row r="437" spans="3:21" ht="13">
      <c r="C437" s="670" t="s">
        <v>75</v>
      </c>
      <c r="D437" s="663">
        <v>1.9480532421875001</v>
      </c>
      <c r="E437" s="663">
        <v>0</v>
      </c>
      <c r="F437" s="663">
        <v>17.132121990826434</v>
      </c>
      <c r="G437" s="663">
        <v>0</v>
      </c>
      <c r="H437" s="663">
        <v>1.9377811160090992</v>
      </c>
      <c r="I437" s="663">
        <v>4.9686695282284594E-2</v>
      </c>
      <c r="J437" s="663">
        <v>0</v>
      </c>
      <c r="K437" s="663">
        <v>0</v>
      </c>
      <c r="L437" s="663">
        <v>0</v>
      </c>
      <c r="M437" s="663">
        <v>0</v>
      </c>
      <c r="N437" s="663">
        <v>0</v>
      </c>
      <c r="O437" s="663">
        <v>2.9812017169370755</v>
      </c>
      <c r="P437" s="663">
        <v>0</v>
      </c>
      <c r="Q437" s="663">
        <v>0</v>
      </c>
      <c r="R437" s="663">
        <v>20.439487728936754</v>
      </c>
      <c r="S437" s="663">
        <v>0</v>
      </c>
      <c r="T437" s="663">
        <v>0</v>
      </c>
      <c r="U437" s="671">
        <v>44.488332490179147</v>
      </c>
    </row>
    <row r="438" spans="3:21" ht="13">
      <c r="C438" s="670" t="s">
        <v>76</v>
      </c>
      <c r="D438" s="663">
        <v>0</v>
      </c>
      <c r="E438" s="663">
        <v>0</v>
      </c>
      <c r="F438" s="663">
        <v>0</v>
      </c>
      <c r="G438" s="663">
        <v>0</v>
      </c>
      <c r="H438" s="663">
        <v>0.58071595304039991</v>
      </c>
      <c r="I438" s="663">
        <v>1.4890152642061536E-2</v>
      </c>
      <c r="J438" s="663">
        <v>0</v>
      </c>
      <c r="K438" s="663">
        <v>0</v>
      </c>
      <c r="L438" s="663">
        <v>0</v>
      </c>
      <c r="M438" s="663">
        <v>0</v>
      </c>
      <c r="N438" s="663">
        <v>0</v>
      </c>
      <c r="O438" s="663">
        <v>0.89340915852369218</v>
      </c>
      <c r="P438" s="663">
        <v>0</v>
      </c>
      <c r="Q438" s="663">
        <v>0</v>
      </c>
      <c r="R438" s="663">
        <v>52.564064229351587</v>
      </c>
      <c r="S438" s="663">
        <v>5.2350040213197584</v>
      </c>
      <c r="T438" s="663">
        <v>0</v>
      </c>
      <c r="U438" s="671">
        <v>59.288083514877499</v>
      </c>
    </row>
    <row r="439" spans="3:21" ht="13">
      <c r="C439" s="666" t="s">
        <v>77</v>
      </c>
      <c r="D439" s="667">
        <v>6.9573330078124993</v>
      </c>
      <c r="E439" s="667">
        <v>190.65660017812178</v>
      </c>
      <c r="F439" s="667">
        <v>-169.45403937836946</v>
      </c>
      <c r="G439" s="667">
        <v>-28.456538558191252</v>
      </c>
      <c r="H439" s="675">
        <v>5.7896081104900246</v>
      </c>
      <c r="I439" s="667">
        <v>-1.0821223235081592</v>
      </c>
      <c r="J439" s="667">
        <v>835.87348477446847</v>
      </c>
      <c r="K439" s="667">
        <v>433.2264513609648</v>
      </c>
      <c r="L439" s="667">
        <v>238.50712691867363</v>
      </c>
      <c r="M439" s="667">
        <v>19.850369638351395</v>
      </c>
      <c r="N439" s="667">
        <v>-97.979183669473088</v>
      </c>
      <c r="O439" s="667">
        <v>-68.512768882443467</v>
      </c>
      <c r="P439" s="667">
        <v>0</v>
      </c>
      <c r="Q439" s="667">
        <v>17.752689384804853</v>
      </c>
      <c r="R439" s="667">
        <v>-516.63508015080356</v>
      </c>
      <c r="S439" s="667">
        <v>-62.259463122360671</v>
      </c>
      <c r="T439" s="667">
        <v>-43.92297840044759</v>
      </c>
      <c r="U439" s="667">
        <v>760.31148888809003</v>
      </c>
    </row>
    <row r="440" spans="3:21" ht="13">
      <c r="C440" s="668"/>
      <c r="D440" s="669">
        <v>0</v>
      </c>
      <c r="E440" s="669">
        <v>0</v>
      </c>
      <c r="F440" s="669">
        <v>0</v>
      </c>
      <c r="G440" s="669">
        <v>0</v>
      </c>
      <c r="H440" s="676">
        <v>0</v>
      </c>
      <c r="I440" s="669">
        <v>0</v>
      </c>
      <c r="J440" s="669">
        <v>0</v>
      </c>
      <c r="K440" s="669">
        <v>0</v>
      </c>
      <c r="L440" s="669">
        <v>0</v>
      </c>
      <c r="M440" s="669">
        <v>0</v>
      </c>
      <c r="N440" s="669">
        <v>0</v>
      </c>
      <c r="O440" s="669">
        <v>0</v>
      </c>
      <c r="P440" s="669">
        <v>0</v>
      </c>
      <c r="Q440" s="669">
        <v>0</v>
      </c>
      <c r="R440" s="669">
        <v>0</v>
      </c>
      <c r="S440" s="669">
        <v>0</v>
      </c>
      <c r="T440" s="669">
        <v>0</v>
      </c>
      <c r="U440" s="669">
        <v>0</v>
      </c>
    </row>
    <row r="441" spans="3:21" ht="13">
      <c r="C441" s="670" t="s">
        <v>78</v>
      </c>
      <c r="D441" s="663">
        <v>2.1515630330821871</v>
      </c>
      <c r="E441" s="663">
        <v>0</v>
      </c>
      <c r="F441" s="663">
        <v>1.9729303012498745</v>
      </c>
      <c r="G441" s="663">
        <v>0</v>
      </c>
      <c r="H441" s="663">
        <v>17.624600662262115</v>
      </c>
      <c r="I441" s="663">
        <v>0.45191283749390032</v>
      </c>
      <c r="J441" s="663">
        <v>0</v>
      </c>
      <c r="K441" s="663">
        <v>0</v>
      </c>
      <c r="L441" s="663">
        <v>19.327819378703428</v>
      </c>
      <c r="M441" s="663">
        <v>2.2279514023281117</v>
      </c>
      <c r="N441" s="663">
        <v>2.6644658203125</v>
      </c>
      <c r="O441" s="663">
        <v>27.156120456665761</v>
      </c>
      <c r="P441" s="663">
        <v>9.6085478515625002</v>
      </c>
      <c r="Q441" s="663">
        <v>8.4299170840015686E-4</v>
      </c>
      <c r="R441" s="663">
        <v>135.80773886663795</v>
      </c>
      <c r="S441" s="663">
        <v>18.436108583667494</v>
      </c>
      <c r="T441" s="663">
        <v>6.3938178710937503</v>
      </c>
      <c r="U441" s="671">
        <v>243.82442005676796</v>
      </c>
    </row>
    <row r="442" spans="3:21" ht="13">
      <c r="C442" s="670" t="s">
        <v>79</v>
      </c>
      <c r="D442" s="663">
        <v>0</v>
      </c>
      <c r="E442" s="663">
        <v>0</v>
      </c>
      <c r="F442" s="663">
        <v>5.1934680094593588</v>
      </c>
      <c r="G442" s="663">
        <v>1.7577012997845347</v>
      </c>
      <c r="H442" s="663">
        <v>2.152977175631825</v>
      </c>
      <c r="I442" s="663">
        <v>5.5204542964918585E-2</v>
      </c>
      <c r="J442" s="663">
        <v>0</v>
      </c>
      <c r="K442" s="663">
        <v>0</v>
      </c>
      <c r="L442" s="663">
        <v>0</v>
      </c>
      <c r="M442" s="663">
        <v>0</v>
      </c>
      <c r="N442" s="663">
        <v>51.143075106834317</v>
      </c>
      <c r="O442" s="663">
        <v>3.312272577895115</v>
      </c>
      <c r="P442" s="663">
        <v>0</v>
      </c>
      <c r="Q442" s="663">
        <v>0</v>
      </c>
      <c r="R442" s="663">
        <v>104.19646172854269</v>
      </c>
      <c r="S442" s="663">
        <v>0</v>
      </c>
      <c r="T442" s="663">
        <v>4.7641609973157095</v>
      </c>
      <c r="U442" s="671">
        <v>172.57532143842849</v>
      </c>
    </row>
    <row r="443" spans="3:21" ht="13">
      <c r="C443" s="670" t="s">
        <v>80</v>
      </c>
      <c r="D443" s="663">
        <v>0</v>
      </c>
      <c r="E443" s="663">
        <v>0</v>
      </c>
      <c r="F443" s="663">
        <v>0.32079919308121357</v>
      </c>
      <c r="G443" s="663">
        <v>0</v>
      </c>
      <c r="H443" s="663">
        <v>12.69993934515486</v>
      </c>
      <c r="I443" s="663">
        <v>0.32563947038858615</v>
      </c>
      <c r="J443" s="663">
        <v>0</v>
      </c>
      <c r="K443" s="663">
        <v>0</v>
      </c>
      <c r="L443" s="663">
        <v>30.989297403436193</v>
      </c>
      <c r="M443" s="663">
        <v>0</v>
      </c>
      <c r="N443" s="663">
        <v>0</v>
      </c>
      <c r="O443" s="663">
        <v>19.538368223315167</v>
      </c>
      <c r="P443" s="663">
        <v>117.54725011788614</v>
      </c>
      <c r="Q443" s="663">
        <v>2.9888036499995505</v>
      </c>
      <c r="R443" s="663">
        <v>139.69858105781077</v>
      </c>
      <c r="S443" s="663">
        <v>24.846536847991327</v>
      </c>
      <c r="T443" s="663">
        <v>0</v>
      </c>
      <c r="U443" s="671">
        <v>348.95521530906382</v>
      </c>
    </row>
    <row r="444" spans="3:21" ht="13">
      <c r="C444" s="670" t="s">
        <v>81</v>
      </c>
      <c r="D444" s="663">
        <v>0</v>
      </c>
      <c r="E444" s="663">
        <v>0</v>
      </c>
      <c r="F444" s="663">
        <v>0.73542128008657859</v>
      </c>
      <c r="G444" s="663">
        <v>0</v>
      </c>
      <c r="H444" s="663">
        <v>6.9022329775494073</v>
      </c>
      <c r="I444" s="663">
        <v>0.17698033275767711</v>
      </c>
      <c r="J444" s="663">
        <v>0</v>
      </c>
      <c r="K444" s="663">
        <v>0</v>
      </c>
      <c r="L444" s="663">
        <v>0.37326901233115406</v>
      </c>
      <c r="M444" s="663">
        <v>3.4682726224379159E-4</v>
      </c>
      <c r="N444" s="663">
        <v>0</v>
      </c>
      <c r="O444" s="663">
        <v>10.618819965460625</v>
      </c>
      <c r="P444" s="663">
        <v>27.414780089746973</v>
      </c>
      <c r="Q444" s="663">
        <v>1.0008652914522365</v>
      </c>
      <c r="R444" s="663">
        <v>86.91432505661372</v>
      </c>
      <c r="S444" s="663">
        <v>18.976817690701857</v>
      </c>
      <c r="T444" s="663">
        <v>0</v>
      </c>
      <c r="U444" s="671">
        <v>153.11385852396248</v>
      </c>
    </row>
    <row r="445" spans="3:21" ht="13">
      <c r="C445" s="670" t="s">
        <v>82</v>
      </c>
      <c r="D445" s="663">
        <v>0</v>
      </c>
      <c r="E445" s="663">
        <v>0</v>
      </c>
      <c r="F445" s="663">
        <v>1.7660543125979742</v>
      </c>
      <c r="G445" s="663">
        <v>1.6775006918768405</v>
      </c>
      <c r="H445" s="663">
        <v>0.66808232732668293</v>
      </c>
      <c r="I445" s="663">
        <v>1.7130316085299562E-2</v>
      </c>
      <c r="J445" s="663">
        <v>0</v>
      </c>
      <c r="K445" s="663">
        <v>0</v>
      </c>
      <c r="L445" s="663">
        <v>3.9742935582164471</v>
      </c>
      <c r="M445" s="663">
        <v>0</v>
      </c>
      <c r="N445" s="663">
        <v>17.824426087880788</v>
      </c>
      <c r="O445" s="663">
        <v>1.0278189651179737</v>
      </c>
      <c r="P445" s="663">
        <v>1.25</v>
      </c>
      <c r="Q445" s="663">
        <v>1.7440136932478227</v>
      </c>
      <c r="R445" s="663">
        <v>7.8035752238100597</v>
      </c>
      <c r="S445" s="663">
        <v>0</v>
      </c>
      <c r="T445" s="663">
        <v>0.38427420359697795</v>
      </c>
      <c r="U445" s="671">
        <v>38.13716937975687</v>
      </c>
    </row>
    <row r="446" spans="3:21" ht="13">
      <c r="C446" s="670" t="s">
        <v>357</v>
      </c>
      <c r="D446" s="663">
        <v>0</v>
      </c>
      <c r="E446" s="663">
        <v>0</v>
      </c>
      <c r="F446" s="663">
        <v>0</v>
      </c>
      <c r="G446" s="663">
        <v>0</v>
      </c>
      <c r="H446" s="663">
        <v>0</v>
      </c>
      <c r="I446" s="663">
        <v>0</v>
      </c>
      <c r="J446" s="663">
        <v>0</v>
      </c>
      <c r="K446" s="663">
        <v>0</v>
      </c>
      <c r="L446" s="663">
        <v>0</v>
      </c>
      <c r="M446" s="663">
        <v>0</v>
      </c>
      <c r="N446" s="663">
        <v>0</v>
      </c>
      <c r="O446" s="663">
        <v>0</v>
      </c>
      <c r="P446" s="663">
        <v>0</v>
      </c>
      <c r="Q446" s="663">
        <v>0</v>
      </c>
      <c r="R446" s="663">
        <v>2.21408</v>
      </c>
      <c r="S446" s="663">
        <v>0</v>
      </c>
      <c r="T446" s="663">
        <v>0</v>
      </c>
      <c r="U446" s="671">
        <v>2.21408</v>
      </c>
    </row>
    <row r="447" spans="3:21" ht="13">
      <c r="C447" s="666" t="s">
        <v>83</v>
      </c>
      <c r="D447" s="667">
        <v>2.1515630330821871</v>
      </c>
      <c r="E447" s="667">
        <v>0</v>
      </c>
      <c r="F447" s="667">
        <v>9.9886730964750008</v>
      </c>
      <c r="G447" s="667">
        <v>3.4352019916613754</v>
      </c>
      <c r="H447" s="675">
        <v>40.047832487924893</v>
      </c>
      <c r="I447" s="667">
        <v>1.0268674996903817</v>
      </c>
      <c r="J447" s="667">
        <v>0</v>
      </c>
      <c r="K447" s="667">
        <v>0</v>
      </c>
      <c r="L447" s="667">
        <v>54.664679352687223</v>
      </c>
      <c r="M447" s="667">
        <v>2.2282982295903557</v>
      </c>
      <c r="N447" s="667">
        <v>71.631967015027612</v>
      </c>
      <c r="O447" s="667">
        <v>61.65340018845464</v>
      </c>
      <c r="P447" s="667">
        <v>155.82057805919561</v>
      </c>
      <c r="Q447" s="667">
        <v>5.7345256264080096</v>
      </c>
      <c r="R447" s="667">
        <v>476.63476193341518</v>
      </c>
      <c r="S447" s="667">
        <v>62.259463122360671</v>
      </c>
      <c r="T447" s="667">
        <v>11.542253072006439</v>
      </c>
      <c r="U447" s="667">
        <v>958.82006470797955</v>
      </c>
    </row>
    <row r="448" spans="3:21" ht="13">
      <c r="C448" s="662" t="s">
        <v>84</v>
      </c>
      <c r="D448" s="663">
        <v>0</v>
      </c>
      <c r="E448" s="663">
        <v>0</v>
      </c>
      <c r="F448" s="663">
        <v>50.64517840221108</v>
      </c>
      <c r="G448" s="663">
        <v>7.8734962103748298</v>
      </c>
      <c r="H448" s="663">
        <v>4.7799931551444459</v>
      </c>
      <c r="I448" s="663">
        <v>0</v>
      </c>
      <c r="J448" s="663">
        <v>0</v>
      </c>
      <c r="K448" s="663">
        <v>0</v>
      </c>
      <c r="L448" s="663">
        <v>0.52419855520004055</v>
      </c>
      <c r="M448" s="663">
        <v>0</v>
      </c>
      <c r="N448" s="663">
        <v>18.858697915767927</v>
      </c>
      <c r="O448" s="663">
        <v>3.7147337189182332</v>
      </c>
      <c r="P448" s="663">
        <v>0</v>
      </c>
      <c r="Q448" s="663">
        <v>0</v>
      </c>
      <c r="R448" s="663">
        <v>0</v>
      </c>
      <c r="S448" s="663">
        <v>0</v>
      </c>
      <c r="T448" s="663">
        <v>30.985390762521494</v>
      </c>
      <c r="U448" s="671">
        <v>117.38168872013804</v>
      </c>
    </row>
    <row r="449" spans="3:21" ht="13">
      <c r="C449" s="666" t="s">
        <v>85</v>
      </c>
      <c r="D449" s="667">
        <v>2.1515630330821871</v>
      </c>
      <c r="E449" s="667">
        <v>0</v>
      </c>
      <c r="F449" s="667">
        <v>60.633851498686084</v>
      </c>
      <c r="G449" s="667">
        <v>11.308698202036204</v>
      </c>
      <c r="H449" s="675">
        <v>44.827825643069339</v>
      </c>
      <c r="I449" s="667">
        <v>1.0268674996903817</v>
      </c>
      <c r="J449" s="667">
        <v>0</v>
      </c>
      <c r="K449" s="667">
        <v>0</v>
      </c>
      <c r="L449" s="667">
        <v>55.18887790788726</v>
      </c>
      <c r="M449" s="667">
        <v>2.2282982295903557</v>
      </c>
      <c r="N449" s="667">
        <v>90.490664930795546</v>
      </c>
      <c r="O449" s="667">
        <v>65.368133907372865</v>
      </c>
      <c r="P449" s="667">
        <v>155.82057805919561</v>
      </c>
      <c r="Q449" s="667">
        <v>5.7345256264080096</v>
      </c>
      <c r="R449" s="667">
        <v>476.63476193341518</v>
      </c>
      <c r="S449" s="667">
        <v>62.259463122360671</v>
      </c>
      <c r="T449" s="667">
        <v>42.527643834527936</v>
      </c>
      <c r="U449" s="667">
        <v>1076.2017534281176</v>
      </c>
    </row>
    <row r="450" spans="3:21">
      <c r="C450" s="654"/>
      <c r="D450" s="672">
        <v>0</v>
      </c>
      <c r="E450" s="672">
        <v>0</v>
      </c>
      <c r="F450" s="672">
        <v>0</v>
      </c>
      <c r="G450" s="672">
        <v>0</v>
      </c>
      <c r="H450" s="672">
        <v>0</v>
      </c>
      <c r="I450" s="672">
        <v>-1.3183898417423734E-16</v>
      </c>
      <c r="J450" s="672">
        <v>0</v>
      </c>
      <c r="K450" s="672">
        <v>0</v>
      </c>
      <c r="L450" s="672">
        <v>0</v>
      </c>
      <c r="M450" s="672">
        <v>0</v>
      </c>
      <c r="N450" s="672">
        <v>1.2434497875801753E-14</v>
      </c>
      <c r="O450" s="672">
        <v>-1.8207657603852567E-14</v>
      </c>
      <c r="P450" s="672">
        <v>0</v>
      </c>
      <c r="Q450" s="672">
        <v>0</v>
      </c>
      <c r="R450" s="672">
        <v>5.6843418860808015E-14</v>
      </c>
      <c r="S450" s="672">
        <v>0</v>
      </c>
      <c r="T450" s="672">
        <v>4.4408920985006262E-15</v>
      </c>
      <c r="U450" s="672">
        <v>0</v>
      </c>
    </row>
    <row r="451" spans="3:21">
      <c r="C451" s="654"/>
      <c r="D451" s="654"/>
      <c r="E451" s="654"/>
      <c r="F451" s="654"/>
      <c r="G451" s="654"/>
      <c r="H451" s="654"/>
      <c r="I451" s="654"/>
      <c r="J451" s="654"/>
      <c r="K451" s="654"/>
      <c r="L451" s="654"/>
      <c r="M451" s="654"/>
      <c r="N451" s="654"/>
      <c r="O451" s="654"/>
      <c r="P451" s="654"/>
      <c r="Q451" s="654"/>
      <c r="R451" s="654"/>
      <c r="S451" s="654"/>
      <c r="T451" s="654"/>
      <c r="U451" s="654"/>
    </row>
    <row r="452" spans="3:21" ht="14.5">
      <c r="C452" s="658" t="s">
        <v>89</v>
      </c>
      <c r="D452" s="659"/>
      <c r="E452" s="659"/>
      <c r="F452" s="659"/>
      <c r="G452" s="659"/>
      <c r="H452" s="659"/>
      <c r="I452" s="659"/>
      <c r="J452" s="659"/>
      <c r="K452" s="659"/>
      <c r="L452" s="659"/>
      <c r="M452" s="659"/>
      <c r="N452" s="659"/>
      <c r="O452" s="659"/>
      <c r="P452" s="659"/>
      <c r="Q452" s="659"/>
      <c r="R452" s="659"/>
      <c r="S452" s="659"/>
      <c r="T452" s="659"/>
      <c r="U452" s="659"/>
    </row>
    <row r="453" spans="3:21">
      <c r="C453" s="654"/>
      <c r="D453" s="654"/>
      <c r="E453" s="654"/>
      <c r="F453" s="654"/>
      <c r="G453" s="654"/>
      <c r="H453" s="654"/>
      <c r="I453" s="654"/>
      <c r="J453" s="654"/>
      <c r="K453" s="654"/>
      <c r="L453" s="654"/>
      <c r="M453" s="654"/>
      <c r="N453" s="654"/>
      <c r="O453" s="654"/>
      <c r="P453" s="654"/>
      <c r="Q453" s="654"/>
      <c r="R453" s="654"/>
      <c r="S453" s="654"/>
      <c r="T453" s="654"/>
      <c r="U453" s="654"/>
    </row>
    <row r="454" spans="3:21" ht="13">
      <c r="C454" s="706" t="s">
        <v>128</v>
      </c>
      <c r="D454" s="704" t="s">
        <v>42</v>
      </c>
      <c r="E454" s="704" t="s">
        <v>52</v>
      </c>
      <c r="F454" s="704" t="s">
        <v>53</v>
      </c>
      <c r="G454" s="704" t="s">
        <v>487</v>
      </c>
      <c r="H454" s="704" t="s">
        <v>32</v>
      </c>
      <c r="I454" s="704" t="s">
        <v>488</v>
      </c>
      <c r="J454" s="704" t="s">
        <v>20</v>
      </c>
      <c r="K454" s="704" t="s">
        <v>55</v>
      </c>
      <c r="L454" s="708" t="s">
        <v>56</v>
      </c>
      <c r="M454" s="709"/>
      <c r="N454" s="709"/>
      <c r="O454" s="709"/>
      <c r="P454" s="709"/>
      <c r="Q454" s="710"/>
      <c r="R454" s="704" t="s">
        <v>57</v>
      </c>
      <c r="S454" s="704" t="s">
        <v>58</v>
      </c>
      <c r="T454" s="704" t="s">
        <v>31</v>
      </c>
      <c r="U454" s="704" t="s">
        <v>10</v>
      </c>
    </row>
    <row r="455" spans="3:21" ht="36">
      <c r="C455" s="707"/>
      <c r="D455" s="705"/>
      <c r="E455" s="705"/>
      <c r="F455" s="705"/>
      <c r="G455" s="705"/>
      <c r="H455" s="705"/>
      <c r="I455" s="705"/>
      <c r="J455" s="705"/>
      <c r="K455" s="705"/>
      <c r="L455" s="660" t="s">
        <v>338</v>
      </c>
      <c r="M455" s="660" t="s">
        <v>40</v>
      </c>
      <c r="N455" s="660" t="s">
        <v>346</v>
      </c>
      <c r="O455" s="660" t="s">
        <v>347</v>
      </c>
      <c r="P455" s="661" t="s">
        <v>348</v>
      </c>
      <c r="Q455" s="660" t="s">
        <v>349</v>
      </c>
      <c r="R455" s="705"/>
      <c r="S455" s="705"/>
      <c r="T455" s="705"/>
      <c r="U455" s="705"/>
    </row>
    <row r="456" spans="3:21" ht="13">
      <c r="C456" s="662" t="s">
        <v>59</v>
      </c>
      <c r="D456" s="663">
        <v>0</v>
      </c>
      <c r="E456" s="663">
        <v>0</v>
      </c>
      <c r="F456" s="663">
        <v>0</v>
      </c>
      <c r="G456" s="663">
        <v>0</v>
      </c>
      <c r="H456" s="663">
        <v>0</v>
      </c>
      <c r="I456" s="663">
        <v>0</v>
      </c>
      <c r="J456" s="664">
        <v>712.60987447127138</v>
      </c>
      <c r="K456" s="664">
        <v>556.92135057124881</v>
      </c>
      <c r="L456" s="664">
        <v>261.57522104592402</v>
      </c>
      <c r="M456" s="664">
        <v>19.228684940511499</v>
      </c>
      <c r="N456" s="663">
        <v>1.5563580670349855</v>
      </c>
      <c r="O456" s="663">
        <v>0.17110271620039663</v>
      </c>
      <c r="P456" s="664">
        <v>167.23788927594987</v>
      </c>
      <c r="Q456" s="664">
        <v>24.373068583718577</v>
      </c>
      <c r="R456" s="663">
        <v>0</v>
      </c>
      <c r="S456" s="663">
        <v>0</v>
      </c>
      <c r="T456" s="663">
        <v>0</v>
      </c>
      <c r="U456" s="665">
        <v>1743.6735496718593</v>
      </c>
    </row>
    <row r="457" spans="3:21" ht="13">
      <c r="C457" s="662" t="s">
        <v>60</v>
      </c>
      <c r="D457" s="663">
        <v>5.9311888025037742</v>
      </c>
      <c r="E457" s="663">
        <v>113.95685880900638</v>
      </c>
      <c r="F457" s="663">
        <v>1.9517818504706483</v>
      </c>
      <c r="G457" s="663">
        <v>0</v>
      </c>
      <c r="H457" s="663">
        <v>2.6585092475046008</v>
      </c>
      <c r="I457" s="663">
        <v>0</v>
      </c>
      <c r="J457" s="663">
        <v>0</v>
      </c>
      <c r="K457" s="663">
        <v>0</v>
      </c>
      <c r="L457" s="663">
        <v>5.2309321400654634</v>
      </c>
      <c r="M457" s="663">
        <v>0</v>
      </c>
      <c r="N457" s="663">
        <v>5.4084519189769722</v>
      </c>
      <c r="O457" s="663">
        <v>0</v>
      </c>
      <c r="P457" s="663">
        <v>0</v>
      </c>
      <c r="Q457" s="663">
        <v>0</v>
      </c>
      <c r="R457" s="663">
        <v>0</v>
      </c>
      <c r="S457" s="663">
        <v>0</v>
      </c>
      <c r="T457" s="663">
        <v>0</v>
      </c>
      <c r="U457" s="665">
        <v>135.13772276852782</v>
      </c>
    </row>
    <row r="458" spans="3:21" ht="13">
      <c r="C458" s="662" t="s">
        <v>61</v>
      </c>
      <c r="D458" s="663">
        <v>0</v>
      </c>
      <c r="E458" s="663">
        <v>0</v>
      </c>
      <c r="F458" s="663">
        <v>-33.824093823668861</v>
      </c>
      <c r="G458" s="663">
        <v>-8.545793370460693</v>
      </c>
      <c r="H458" s="663">
        <v>0</v>
      </c>
      <c r="I458" s="663">
        <v>0</v>
      </c>
      <c r="J458" s="663">
        <v>0</v>
      </c>
      <c r="K458" s="663">
        <v>0</v>
      </c>
      <c r="L458" s="663">
        <v>0</v>
      </c>
      <c r="M458" s="663">
        <v>0</v>
      </c>
      <c r="N458" s="663">
        <v>0</v>
      </c>
      <c r="O458" s="663">
        <v>0</v>
      </c>
      <c r="P458" s="663">
        <v>0</v>
      </c>
      <c r="Q458" s="663">
        <v>0</v>
      </c>
      <c r="R458" s="663">
        <v>-40.000075434727478</v>
      </c>
      <c r="S458" s="663">
        <v>0</v>
      </c>
      <c r="T458" s="663">
        <v>0</v>
      </c>
      <c r="U458" s="665">
        <v>-82.369962628857039</v>
      </c>
    </row>
    <row r="459" spans="3:21" ht="13">
      <c r="C459" s="662" t="s">
        <v>62</v>
      </c>
      <c r="D459" s="663">
        <v>0</v>
      </c>
      <c r="E459" s="663">
        <v>0</v>
      </c>
      <c r="F459" s="663">
        <v>-1.6540275032482068</v>
      </c>
      <c r="G459" s="663">
        <v>-4.2955328800984329</v>
      </c>
      <c r="H459" s="663">
        <v>0</v>
      </c>
      <c r="I459" s="663">
        <v>-0.31877375583888373</v>
      </c>
      <c r="J459" s="663">
        <v>0</v>
      </c>
      <c r="K459" s="663">
        <v>0</v>
      </c>
      <c r="L459" s="663">
        <v>0</v>
      </c>
      <c r="M459" s="663">
        <v>0</v>
      </c>
      <c r="N459" s="663">
        <v>-0.24545902171991044</v>
      </c>
      <c r="O459" s="663">
        <v>-6.0567013609387903</v>
      </c>
      <c r="P459" s="663">
        <v>0</v>
      </c>
      <c r="Q459" s="663">
        <v>0</v>
      </c>
      <c r="R459" s="663">
        <v>0</v>
      </c>
      <c r="S459" s="663">
        <v>0</v>
      </c>
      <c r="T459" s="663">
        <v>0</v>
      </c>
      <c r="U459" s="665">
        <v>-12.570494521844225</v>
      </c>
    </row>
    <row r="460" spans="3:21" ht="13">
      <c r="C460" s="662" t="s">
        <v>63</v>
      </c>
      <c r="D460" s="663">
        <v>0</v>
      </c>
      <c r="E460" s="663">
        <v>0</v>
      </c>
      <c r="F460" s="663">
        <v>-18.714774559646315</v>
      </c>
      <c r="G460" s="663">
        <v>-28.257765893495769</v>
      </c>
      <c r="H460" s="663">
        <v>0</v>
      </c>
      <c r="I460" s="663">
        <v>0</v>
      </c>
      <c r="J460" s="663">
        <v>0</v>
      </c>
      <c r="K460" s="663">
        <v>0</v>
      </c>
      <c r="L460" s="663">
        <v>0</v>
      </c>
      <c r="M460" s="663">
        <v>0</v>
      </c>
      <c r="N460" s="663">
        <v>-13.972472121868162</v>
      </c>
      <c r="O460" s="663">
        <v>0</v>
      </c>
      <c r="P460" s="663">
        <v>0</v>
      </c>
      <c r="Q460" s="663">
        <v>0</v>
      </c>
      <c r="R460" s="663">
        <v>0</v>
      </c>
      <c r="S460" s="663">
        <v>0</v>
      </c>
      <c r="T460" s="663">
        <v>-2.6159745910871801</v>
      </c>
      <c r="U460" s="665">
        <v>-63.560987166097433</v>
      </c>
    </row>
    <row r="461" spans="3:21" ht="13">
      <c r="C461" s="662" t="s">
        <v>64</v>
      </c>
      <c r="D461" s="663">
        <v>0</v>
      </c>
      <c r="E461" s="663">
        <v>0</v>
      </c>
      <c r="F461" s="663">
        <v>0</v>
      </c>
      <c r="G461" s="663">
        <v>0</v>
      </c>
      <c r="H461" s="663">
        <v>0</v>
      </c>
      <c r="I461" s="663">
        <v>0</v>
      </c>
      <c r="J461" s="663">
        <v>0</v>
      </c>
      <c r="K461" s="663">
        <v>0</v>
      </c>
      <c r="L461" s="663">
        <v>0</v>
      </c>
      <c r="M461" s="663">
        <v>0</v>
      </c>
      <c r="N461" s="663">
        <v>0</v>
      </c>
      <c r="O461" s="663">
        <v>0</v>
      </c>
      <c r="P461" s="663">
        <v>0</v>
      </c>
      <c r="Q461" s="663">
        <v>0</v>
      </c>
      <c r="R461" s="663">
        <v>0</v>
      </c>
      <c r="S461" s="663">
        <v>0</v>
      </c>
      <c r="T461" s="663">
        <v>0</v>
      </c>
      <c r="U461" s="665">
        <v>0</v>
      </c>
    </row>
    <row r="462" spans="3:21" ht="13">
      <c r="C462" s="666" t="s">
        <v>65</v>
      </c>
      <c r="D462" s="667">
        <v>5.9311888025037742</v>
      </c>
      <c r="E462" s="667">
        <v>113.95685880900638</v>
      </c>
      <c r="F462" s="667">
        <v>-52.241114036092739</v>
      </c>
      <c r="G462" s="667">
        <v>-41.099092144054893</v>
      </c>
      <c r="H462" s="675">
        <v>2.6585092475046008</v>
      </c>
      <c r="I462" s="667">
        <v>-0.31877375583888373</v>
      </c>
      <c r="J462" s="667">
        <v>712.60987447127138</v>
      </c>
      <c r="K462" s="667">
        <v>556.92135057124881</v>
      </c>
      <c r="L462" s="667">
        <v>266.80615318598944</v>
      </c>
      <c r="M462" s="667">
        <v>19.228684940511499</v>
      </c>
      <c r="N462" s="667">
        <v>-7.2531211575761132</v>
      </c>
      <c r="O462" s="667">
        <v>-5.8855986447383941</v>
      </c>
      <c r="P462" s="667">
        <v>167.23788927594987</v>
      </c>
      <c r="Q462" s="667">
        <v>24.373068583718577</v>
      </c>
      <c r="R462" s="667">
        <v>-40.000075434727478</v>
      </c>
      <c r="S462" s="667">
        <v>0</v>
      </c>
      <c r="T462" s="667">
        <v>-2.6159745910871801</v>
      </c>
      <c r="U462" s="667">
        <v>1720.3098281235887</v>
      </c>
    </row>
    <row r="463" spans="3:21" ht="13">
      <c r="C463" s="668"/>
      <c r="D463" s="669">
        <v>0</v>
      </c>
      <c r="E463" s="669">
        <v>0</v>
      </c>
      <c r="F463" s="669">
        <v>0</v>
      </c>
      <c r="G463" s="669">
        <v>0</v>
      </c>
      <c r="H463" s="676">
        <v>0</v>
      </c>
      <c r="I463" s="669">
        <v>0</v>
      </c>
      <c r="J463" s="669">
        <v>0</v>
      </c>
      <c r="K463" s="669">
        <v>0</v>
      </c>
      <c r="L463" s="669">
        <v>0</v>
      </c>
      <c r="M463" s="669">
        <v>0</v>
      </c>
      <c r="N463" s="669">
        <v>0</v>
      </c>
      <c r="O463" s="669">
        <v>0</v>
      </c>
      <c r="P463" s="669">
        <v>0</v>
      </c>
      <c r="Q463" s="669">
        <v>0</v>
      </c>
      <c r="R463" s="669">
        <v>0</v>
      </c>
      <c r="S463" s="669">
        <v>0</v>
      </c>
      <c r="T463" s="669">
        <v>0</v>
      </c>
      <c r="U463" s="669">
        <v>0</v>
      </c>
    </row>
    <row r="464" spans="3:21" ht="13">
      <c r="C464" s="670" t="s">
        <v>67</v>
      </c>
      <c r="D464" s="663">
        <v>0</v>
      </c>
      <c r="E464" s="663">
        <v>0</v>
      </c>
      <c r="F464" s="663">
        <v>0</v>
      </c>
      <c r="G464" s="663">
        <v>0</v>
      </c>
      <c r="H464" s="663">
        <v>0</v>
      </c>
      <c r="I464" s="663">
        <v>0</v>
      </c>
      <c r="J464" s="663">
        <v>0</v>
      </c>
      <c r="K464" s="663">
        <v>0</v>
      </c>
      <c r="L464" s="663">
        <v>0</v>
      </c>
      <c r="M464" s="663">
        <v>0</v>
      </c>
      <c r="N464" s="663">
        <v>0</v>
      </c>
      <c r="O464" s="663">
        <v>0</v>
      </c>
      <c r="P464" s="663">
        <v>0</v>
      </c>
      <c r="Q464" s="663">
        <v>0</v>
      </c>
      <c r="R464" s="663">
        <v>0</v>
      </c>
      <c r="S464" s="663">
        <v>0</v>
      </c>
      <c r="T464" s="663">
        <v>0</v>
      </c>
      <c r="U464" s="671">
        <v>0</v>
      </c>
    </row>
    <row r="465" spans="3:21" ht="13">
      <c r="C465" s="670" t="s">
        <v>350</v>
      </c>
      <c r="D465" s="663">
        <v>0</v>
      </c>
      <c r="E465" s="663">
        <v>0</v>
      </c>
      <c r="F465" s="663">
        <v>0</v>
      </c>
      <c r="G465" s="663">
        <v>0</v>
      </c>
      <c r="H465" s="663">
        <v>0</v>
      </c>
      <c r="I465" s="663">
        <v>0</v>
      </c>
      <c r="J465" s="663">
        <v>712.60987447127138</v>
      </c>
      <c r="K465" s="663">
        <v>556.92135057124881</v>
      </c>
      <c r="L465" s="663">
        <v>14.491283228737107</v>
      </c>
      <c r="M465" s="663">
        <v>2.8053264742296591</v>
      </c>
      <c r="N465" s="663">
        <v>6.5561937148871507</v>
      </c>
      <c r="O465" s="663">
        <v>0.11326810820885491</v>
      </c>
      <c r="P465" s="663">
        <v>0</v>
      </c>
      <c r="Q465" s="663">
        <v>6.7631767445353068</v>
      </c>
      <c r="R465" s="663">
        <v>-809.85847053245573</v>
      </c>
      <c r="S465" s="663">
        <v>0</v>
      </c>
      <c r="T465" s="663">
        <v>25.915656492161155</v>
      </c>
      <c r="U465" s="671">
        <v>516.31765927282356</v>
      </c>
    </row>
    <row r="466" spans="3:21" ht="13">
      <c r="C466" s="670" t="s">
        <v>351</v>
      </c>
      <c r="D466" s="663">
        <v>0</v>
      </c>
      <c r="E466" s="663">
        <v>0</v>
      </c>
      <c r="F466" s="663">
        <v>0</v>
      </c>
      <c r="G466" s="663">
        <v>0</v>
      </c>
      <c r="H466" s="663">
        <v>0</v>
      </c>
      <c r="I466" s="663">
        <v>0</v>
      </c>
      <c r="J466" s="663">
        <v>0</v>
      </c>
      <c r="K466" s="663">
        <v>0</v>
      </c>
      <c r="L466" s="663">
        <v>33.721862056250039</v>
      </c>
      <c r="M466" s="663">
        <v>14.376617363231052</v>
      </c>
      <c r="N466" s="663">
        <v>0</v>
      </c>
      <c r="O466" s="663">
        <v>8.1785673020738106</v>
      </c>
      <c r="P466" s="663">
        <v>0</v>
      </c>
      <c r="Q466" s="663">
        <v>11.316516045102318</v>
      </c>
      <c r="R466" s="663">
        <v>0</v>
      </c>
      <c r="S466" s="663">
        <v>-64.575476384232388</v>
      </c>
      <c r="T466" s="663">
        <v>0</v>
      </c>
      <c r="U466" s="671">
        <v>3.0180863824248352</v>
      </c>
    </row>
    <row r="467" spans="3:21" ht="13">
      <c r="C467" s="670" t="s">
        <v>352</v>
      </c>
      <c r="D467" s="663">
        <v>0</v>
      </c>
      <c r="E467" s="663">
        <v>0</v>
      </c>
      <c r="F467" s="663">
        <v>0</v>
      </c>
      <c r="G467" s="663">
        <v>0</v>
      </c>
      <c r="H467" s="663">
        <v>0</v>
      </c>
      <c r="I467" s="663">
        <v>0</v>
      </c>
      <c r="J467" s="663">
        <v>0</v>
      </c>
      <c r="K467" s="663">
        <v>0</v>
      </c>
      <c r="L467" s="663">
        <v>104.38683240846164</v>
      </c>
      <c r="M467" s="663">
        <v>0</v>
      </c>
      <c r="N467" s="663">
        <v>0</v>
      </c>
      <c r="O467" s="663">
        <v>-100.27188716566127</v>
      </c>
      <c r="P467" s="663">
        <v>0</v>
      </c>
      <c r="Q467" s="663">
        <v>0</v>
      </c>
      <c r="R467" s="663">
        <v>0</v>
      </c>
      <c r="S467" s="663">
        <v>0</v>
      </c>
      <c r="T467" s="663">
        <v>0</v>
      </c>
      <c r="U467" s="671">
        <v>4.1149452428003741</v>
      </c>
    </row>
    <row r="468" spans="3:21" ht="13">
      <c r="C468" s="670" t="s">
        <v>353</v>
      </c>
      <c r="D468" s="663">
        <v>0</v>
      </c>
      <c r="E468" s="663">
        <v>0</v>
      </c>
      <c r="F468" s="663">
        <v>0</v>
      </c>
      <c r="G468" s="663">
        <v>0</v>
      </c>
      <c r="H468" s="663">
        <v>0</v>
      </c>
      <c r="I468" s="663">
        <v>-4.5962253881571415</v>
      </c>
      <c r="J468" s="663">
        <v>0</v>
      </c>
      <c r="K468" s="663">
        <v>0</v>
      </c>
      <c r="L468" s="663">
        <v>0</v>
      </c>
      <c r="M468" s="663">
        <v>0</v>
      </c>
      <c r="N468" s="663">
        <v>0</v>
      </c>
      <c r="O468" s="663">
        <v>0</v>
      </c>
      <c r="P468" s="663">
        <v>0</v>
      </c>
      <c r="Q468" s="663">
        <v>0</v>
      </c>
      <c r="R468" s="663">
        <v>0</v>
      </c>
      <c r="S468" s="663">
        <v>0</v>
      </c>
      <c r="T468" s="663">
        <v>6.4074201765093832</v>
      </c>
      <c r="U468" s="671">
        <v>1.8111947883522417</v>
      </c>
    </row>
    <row r="469" spans="3:21" ht="13">
      <c r="C469" s="670" t="s">
        <v>72</v>
      </c>
      <c r="D469" s="663">
        <v>0</v>
      </c>
      <c r="E469" s="663">
        <v>118.07035586741333</v>
      </c>
      <c r="F469" s="663">
        <v>-116.89188714951831</v>
      </c>
      <c r="G469" s="663">
        <v>0</v>
      </c>
      <c r="H469" s="663">
        <v>0</v>
      </c>
      <c r="I469" s="663">
        <v>0</v>
      </c>
      <c r="J469" s="663">
        <v>0</v>
      </c>
      <c r="K469" s="663">
        <v>0</v>
      </c>
      <c r="L469" s="663">
        <v>0</v>
      </c>
      <c r="M469" s="663">
        <v>0</v>
      </c>
      <c r="N469" s="663">
        <v>0</v>
      </c>
      <c r="O469" s="663">
        <v>0</v>
      </c>
      <c r="P469" s="663">
        <v>0</v>
      </c>
      <c r="Q469" s="663">
        <v>0</v>
      </c>
      <c r="R469" s="663">
        <v>0</v>
      </c>
      <c r="S469" s="663">
        <v>0</v>
      </c>
      <c r="T469" s="663">
        <v>0</v>
      </c>
      <c r="U469" s="671">
        <v>1.1784687178950146</v>
      </c>
    </row>
    <row r="470" spans="3:21" ht="13">
      <c r="C470" s="670" t="s">
        <v>354</v>
      </c>
      <c r="D470" s="663">
        <v>0</v>
      </c>
      <c r="E470" s="663">
        <v>0</v>
      </c>
      <c r="F470" s="663">
        <v>0</v>
      </c>
      <c r="G470" s="663">
        <v>0</v>
      </c>
      <c r="H470" s="663">
        <v>0</v>
      </c>
      <c r="I470" s="663">
        <v>0</v>
      </c>
      <c r="J470" s="663">
        <v>0</v>
      </c>
      <c r="K470" s="663">
        <v>0</v>
      </c>
      <c r="L470" s="663">
        <v>61.244429678974598</v>
      </c>
      <c r="M470" s="663">
        <v>0</v>
      </c>
      <c r="N470" s="663">
        <v>-61.244429678974598</v>
      </c>
      <c r="O470" s="663">
        <v>0</v>
      </c>
      <c r="P470" s="663">
        <v>0</v>
      </c>
      <c r="Q470" s="663">
        <v>0</v>
      </c>
      <c r="R470" s="663">
        <v>0</v>
      </c>
      <c r="S470" s="663">
        <v>0</v>
      </c>
      <c r="T470" s="663">
        <v>0</v>
      </c>
      <c r="U470" s="671">
        <v>0</v>
      </c>
    </row>
    <row r="471" spans="3:21" ht="13">
      <c r="C471" s="670" t="s">
        <v>355</v>
      </c>
      <c r="D471" s="663">
        <v>0</v>
      </c>
      <c r="E471" s="663">
        <v>0</v>
      </c>
      <c r="F471" s="663">
        <v>0</v>
      </c>
      <c r="G471" s="663">
        <v>-56.725829149009897</v>
      </c>
      <c r="H471" s="663">
        <v>0</v>
      </c>
      <c r="I471" s="663">
        <v>0</v>
      </c>
      <c r="J471" s="663">
        <v>0</v>
      </c>
      <c r="K471" s="663">
        <v>0</v>
      </c>
      <c r="L471" s="663">
        <v>0</v>
      </c>
      <c r="M471" s="663">
        <v>0</v>
      </c>
      <c r="N471" s="663">
        <v>0</v>
      </c>
      <c r="O471" s="663">
        <v>0</v>
      </c>
      <c r="P471" s="663">
        <v>0</v>
      </c>
      <c r="Q471" s="663">
        <v>0</v>
      </c>
      <c r="R471" s="663">
        <v>0</v>
      </c>
      <c r="S471" s="663">
        <v>0</v>
      </c>
      <c r="T471" s="663">
        <v>79.005333076615457</v>
      </c>
      <c r="U471" s="671">
        <v>22.27950392760556</v>
      </c>
    </row>
    <row r="472" spans="3:21" ht="13">
      <c r="C472" s="670" t="s">
        <v>73</v>
      </c>
      <c r="D472" s="663">
        <v>0</v>
      </c>
      <c r="E472" s="663">
        <v>0</v>
      </c>
      <c r="F472" s="663">
        <v>0</v>
      </c>
      <c r="G472" s="663">
        <v>0</v>
      </c>
      <c r="H472" s="663">
        <v>0</v>
      </c>
      <c r="I472" s="663">
        <v>0</v>
      </c>
      <c r="J472" s="663">
        <v>0</v>
      </c>
      <c r="K472" s="663">
        <v>0</v>
      </c>
      <c r="L472" s="663">
        <v>0</v>
      </c>
      <c r="M472" s="663">
        <v>0</v>
      </c>
      <c r="N472" s="663">
        <v>0</v>
      </c>
      <c r="O472" s="663">
        <v>0</v>
      </c>
      <c r="P472" s="663">
        <v>0</v>
      </c>
      <c r="Q472" s="663">
        <v>0</v>
      </c>
      <c r="R472" s="663">
        <v>227.10664749932533</v>
      </c>
      <c r="S472" s="663">
        <v>0</v>
      </c>
      <c r="T472" s="663">
        <v>-163.51678619951423</v>
      </c>
      <c r="U472" s="671">
        <v>63.589861299811105</v>
      </c>
    </row>
    <row r="473" spans="3:21" ht="13">
      <c r="C473" s="670" t="s">
        <v>356</v>
      </c>
      <c r="D473" s="663">
        <v>3.3456624609374996</v>
      </c>
      <c r="E473" s="663">
        <v>-4.1134970584069457</v>
      </c>
      <c r="F473" s="663">
        <v>5.3691262200413341</v>
      </c>
      <c r="G473" s="663">
        <v>0</v>
      </c>
      <c r="H473" s="663">
        <v>0</v>
      </c>
      <c r="I473" s="663">
        <v>0</v>
      </c>
      <c r="J473" s="663">
        <v>0</v>
      </c>
      <c r="K473" s="663">
        <v>0</v>
      </c>
      <c r="L473" s="663">
        <v>0</v>
      </c>
      <c r="M473" s="663">
        <v>0</v>
      </c>
      <c r="N473" s="663">
        <v>0</v>
      </c>
      <c r="O473" s="663">
        <v>0</v>
      </c>
      <c r="P473" s="663">
        <v>0</v>
      </c>
      <c r="Q473" s="663">
        <v>0</v>
      </c>
      <c r="R473" s="663">
        <v>0</v>
      </c>
      <c r="S473" s="663">
        <v>0</v>
      </c>
      <c r="T473" s="663">
        <v>0</v>
      </c>
      <c r="U473" s="671">
        <v>4.6012916225718881</v>
      </c>
    </row>
    <row r="474" spans="3:21" ht="13">
      <c r="C474" s="670" t="s">
        <v>75</v>
      </c>
      <c r="D474" s="663">
        <v>1.3010909570312501</v>
      </c>
      <c r="E474" s="663">
        <v>0</v>
      </c>
      <c r="F474" s="663">
        <v>16.404377382526505</v>
      </c>
      <c r="G474" s="663">
        <v>0</v>
      </c>
      <c r="H474" s="663">
        <v>0</v>
      </c>
      <c r="I474" s="663">
        <v>0.23833359000000001</v>
      </c>
      <c r="J474" s="663">
        <v>0</v>
      </c>
      <c r="K474" s="663">
        <v>0</v>
      </c>
      <c r="L474" s="663">
        <v>0</v>
      </c>
      <c r="M474" s="663">
        <v>0</v>
      </c>
      <c r="N474" s="663">
        <v>0</v>
      </c>
      <c r="O474" s="663">
        <v>4.5283382100000003</v>
      </c>
      <c r="P474" s="663">
        <v>0</v>
      </c>
      <c r="Q474" s="663">
        <v>0</v>
      </c>
      <c r="R474" s="663">
        <v>17.221013858771279</v>
      </c>
      <c r="S474" s="663">
        <v>0</v>
      </c>
      <c r="T474" s="663">
        <v>0</v>
      </c>
      <c r="U474" s="671">
        <v>39.693153998329031</v>
      </c>
    </row>
    <row r="475" spans="3:21" ht="13">
      <c r="C475" s="670" t="s">
        <v>76</v>
      </c>
      <c r="D475" s="663">
        <v>0</v>
      </c>
      <c r="E475" s="663">
        <v>0</v>
      </c>
      <c r="F475" s="663">
        <v>0</v>
      </c>
      <c r="G475" s="663">
        <v>0</v>
      </c>
      <c r="H475" s="663">
        <v>0</v>
      </c>
      <c r="I475" s="663">
        <v>5.9340338699632358E-2</v>
      </c>
      <c r="J475" s="663">
        <v>0</v>
      </c>
      <c r="K475" s="663">
        <v>0</v>
      </c>
      <c r="L475" s="663">
        <v>0</v>
      </c>
      <c r="M475" s="663">
        <v>0</v>
      </c>
      <c r="N475" s="663">
        <v>0</v>
      </c>
      <c r="O475" s="663">
        <v>1.1274664352930146</v>
      </c>
      <c r="P475" s="663">
        <v>0</v>
      </c>
      <c r="Q475" s="663">
        <v>0</v>
      </c>
      <c r="R475" s="663">
        <v>58.897580266978245</v>
      </c>
      <c r="S475" s="663">
        <v>5.0089527300753778</v>
      </c>
      <c r="T475" s="663">
        <v>0</v>
      </c>
      <c r="U475" s="671">
        <v>65.093339771046274</v>
      </c>
    </row>
    <row r="476" spans="3:21" ht="13">
      <c r="C476" s="666" t="s">
        <v>77</v>
      </c>
      <c r="D476" s="667">
        <v>4.6467534179687497</v>
      </c>
      <c r="E476" s="667">
        <v>113.95685880900638</v>
      </c>
      <c r="F476" s="667">
        <v>-95.118383546950469</v>
      </c>
      <c r="G476" s="667">
        <v>-56.725829149009897</v>
      </c>
      <c r="H476" s="675">
        <v>0</v>
      </c>
      <c r="I476" s="667">
        <v>-4.2985514594575092</v>
      </c>
      <c r="J476" s="667">
        <v>712.60987447127138</v>
      </c>
      <c r="K476" s="667">
        <v>556.92135057124881</v>
      </c>
      <c r="L476" s="667">
        <v>213.8444073724234</v>
      </c>
      <c r="M476" s="667">
        <v>17.181943837460711</v>
      </c>
      <c r="N476" s="667">
        <v>-54.688235964087447</v>
      </c>
      <c r="O476" s="667">
        <v>-86.324247110085594</v>
      </c>
      <c r="P476" s="667">
        <v>0</v>
      </c>
      <c r="Q476" s="667">
        <v>18.079692789637626</v>
      </c>
      <c r="R476" s="667">
        <v>-506.63322890738101</v>
      </c>
      <c r="S476" s="667">
        <v>-59.56652365415701</v>
      </c>
      <c r="T476" s="667">
        <v>-52.188376454228234</v>
      </c>
      <c r="U476" s="667">
        <v>721.69750502365991</v>
      </c>
    </row>
    <row r="477" spans="3:21" ht="13">
      <c r="C477" s="668"/>
      <c r="D477" s="669">
        <v>0</v>
      </c>
      <c r="E477" s="669">
        <v>0</v>
      </c>
      <c r="F477" s="669">
        <v>0</v>
      </c>
      <c r="G477" s="669">
        <v>0</v>
      </c>
      <c r="H477" s="676">
        <v>0</v>
      </c>
      <c r="I477" s="669">
        <v>0</v>
      </c>
      <c r="J477" s="669">
        <v>0</v>
      </c>
      <c r="K477" s="669">
        <v>0</v>
      </c>
      <c r="L477" s="669">
        <v>0</v>
      </c>
      <c r="M477" s="669">
        <v>0</v>
      </c>
      <c r="N477" s="669">
        <v>0</v>
      </c>
      <c r="O477" s="669">
        <v>0</v>
      </c>
      <c r="P477" s="669">
        <v>0</v>
      </c>
      <c r="Q477" s="669">
        <v>0</v>
      </c>
      <c r="R477" s="669">
        <v>0</v>
      </c>
      <c r="S477" s="669">
        <v>0</v>
      </c>
      <c r="T477" s="669">
        <v>0</v>
      </c>
      <c r="U477" s="669">
        <v>0</v>
      </c>
    </row>
    <row r="478" spans="3:21" ht="13">
      <c r="C478" s="670" t="s">
        <v>78</v>
      </c>
      <c r="D478" s="663">
        <v>1.2844353845350245</v>
      </c>
      <c r="E478" s="663">
        <v>0</v>
      </c>
      <c r="F478" s="663">
        <v>0.671413025716175</v>
      </c>
      <c r="G478" s="663">
        <v>0</v>
      </c>
      <c r="H478" s="663">
        <v>0</v>
      </c>
      <c r="I478" s="663">
        <v>1.6768235413433659</v>
      </c>
      <c r="J478" s="663">
        <v>0</v>
      </c>
      <c r="K478" s="663">
        <v>0</v>
      </c>
      <c r="L478" s="663">
        <v>18.511250218523632</v>
      </c>
      <c r="M478" s="663">
        <v>2.0464486619012869</v>
      </c>
      <c r="N478" s="663">
        <v>1.4169866943359375</v>
      </c>
      <c r="O478" s="663">
        <v>31.901778101678747</v>
      </c>
      <c r="P478" s="663">
        <v>11.306912109375</v>
      </c>
      <c r="Q478" s="663">
        <v>8.5890570413253253E-4</v>
      </c>
      <c r="R478" s="663">
        <v>135.19292998685364</v>
      </c>
      <c r="S478" s="663">
        <v>18.430317312360387</v>
      </c>
      <c r="T478" s="663">
        <v>8.2355947265624998</v>
      </c>
      <c r="U478" s="671">
        <v>230.67574866888981</v>
      </c>
    </row>
    <row r="479" spans="3:21" ht="13">
      <c r="C479" s="670" t="s">
        <v>79</v>
      </c>
      <c r="D479" s="663">
        <v>0</v>
      </c>
      <c r="E479" s="663">
        <v>0</v>
      </c>
      <c r="F479" s="663">
        <v>2.0327553633446804</v>
      </c>
      <c r="G479" s="663">
        <v>2.9414401384596758</v>
      </c>
      <c r="H479" s="663">
        <v>0</v>
      </c>
      <c r="I479" s="663">
        <v>0.25814381907328782</v>
      </c>
      <c r="J479" s="663">
        <v>0</v>
      </c>
      <c r="K479" s="663">
        <v>0</v>
      </c>
      <c r="L479" s="663">
        <v>0</v>
      </c>
      <c r="M479" s="663">
        <v>0</v>
      </c>
      <c r="N479" s="663">
        <v>11.290866079539722</v>
      </c>
      <c r="O479" s="663">
        <v>4.9047325623924678</v>
      </c>
      <c r="P479" s="663">
        <v>0</v>
      </c>
      <c r="Q479" s="663">
        <v>0</v>
      </c>
      <c r="R479" s="663">
        <v>110.4417553978261</v>
      </c>
      <c r="S479" s="663">
        <v>0</v>
      </c>
      <c r="T479" s="663">
        <v>5.3966998641798476</v>
      </c>
      <c r="U479" s="671">
        <v>137.26639322481577</v>
      </c>
    </row>
    <row r="480" spans="3:21" ht="13">
      <c r="C480" s="670" t="s">
        <v>80</v>
      </c>
      <c r="D480" s="663">
        <v>0</v>
      </c>
      <c r="E480" s="663">
        <v>0</v>
      </c>
      <c r="F480" s="663">
        <v>0.19325490667833059</v>
      </c>
      <c r="G480" s="663">
        <v>0</v>
      </c>
      <c r="H480" s="663">
        <v>0</v>
      </c>
      <c r="I480" s="663">
        <v>1.3094987150488224</v>
      </c>
      <c r="J480" s="663">
        <v>0</v>
      </c>
      <c r="K480" s="663">
        <v>0</v>
      </c>
      <c r="L480" s="663">
        <v>28.937300829462252</v>
      </c>
      <c r="M480" s="663">
        <v>0</v>
      </c>
      <c r="N480" s="663">
        <v>0</v>
      </c>
      <c r="O480" s="663">
        <v>24.88047558592762</v>
      </c>
      <c r="P480" s="663">
        <v>124.95584249070536</v>
      </c>
      <c r="Q480" s="663">
        <v>3.1166998128913419</v>
      </c>
      <c r="R480" s="663">
        <v>129.06523934568938</v>
      </c>
      <c r="S480" s="663">
        <v>22.248806062911136</v>
      </c>
      <c r="T480" s="663">
        <v>0</v>
      </c>
      <c r="U480" s="671">
        <v>334.70711774931425</v>
      </c>
    </row>
    <row r="481" spans="3:21" ht="13">
      <c r="C481" s="670" t="s">
        <v>81</v>
      </c>
      <c r="D481" s="663">
        <v>0</v>
      </c>
      <c r="E481" s="663">
        <v>0</v>
      </c>
      <c r="F481" s="663">
        <v>0.13103912510682203</v>
      </c>
      <c r="G481" s="663">
        <v>0</v>
      </c>
      <c r="H481" s="663">
        <v>0</v>
      </c>
      <c r="I481" s="663">
        <v>0.65398403873429223</v>
      </c>
      <c r="J481" s="663">
        <v>0</v>
      </c>
      <c r="K481" s="663">
        <v>0</v>
      </c>
      <c r="L481" s="663">
        <v>0.34200087095620557</v>
      </c>
      <c r="M481" s="663">
        <v>2.9244114949902102E-4</v>
      </c>
      <c r="N481" s="663">
        <v>0</v>
      </c>
      <c r="O481" s="663">
        <v>12.425696735951551</v>
      </c>
      <c r="P481" s="663">
        <v>29.475134675869491</v>
      </c>
      <c r="Q481" s="663">
        <v>0.98841007039498519</v>
      </c>
      <c r="R481" s="663">
        <v>81.567308013661545</v>
      </c>
      <c r="S481" s="663">
        <v>18.887400278885494</v>
      </c>
      <c r="T481" s="663">
        <v>0</v>
      </c>
      <c r="U481" s="671">
        <v>144.4712662507099</v>
      </c>
    </row>
    <row r="482" spans="3:21" ht="13">
      <c r="C482" s="670" t="s">
        <v>82</v>
      </c>
      <c r="D482" s="663">
        <v>0</v>
      </c>
      <c r="E482" s="663">
        <v>0</v>
      </c>
      <c r="F482" s="663">
        <v>0</v>
      </c>
      <c r="G482" s="663">
        <v>0.49546247522038722</v>
      </c>
      <c r="H482" s="663">
        <v>0</v>
      </c>
      <c r="I482" s="663">
        <v>8.1327589418857746E-2</v>
      </c>
      <c r="J482" s="663">
        <v>0</v>
      </c>
      <c r="K482" s="663">
        <v>0</v>
      </c>
      <c r="L482" s="663">
        <v>4.5749249618986854</v>
      </c>
      <c r="M482" s="663">
        <v>0</v>
      </c>
      <c r="N482" s="663">
        <v>16.621294257606131</v>
      </c>
      <c r="O482" s="663">
        <v>1.5452241989582969</v>
      </c>
      <c r="P482" s="663">
        <v>1.5</v>
      </c>
      <c r="Q482" s="663">
        <v>2.1874070050904897</v>
      </c>
      <c r="R482" s="663">
        <v>7.8459207286229669</v>
      </c>
      <c r="S482" s="663">
        <v>0</v>
      </c>
      <c r="T482" s="663">
        <v>0.44339331184266689</v>
      </c>
      <c r="U482" s="671">
        <v>35.294954528658486</v>
      </c>
    </row>
    <row r="483" spans="3:21" ht="13">
      <c r="C483" s="670" t="s">
        <v>357</v>
      </c>
      <c r="D483" s="663">
        <v>0</v>
      </c>
      <c r="E483" s="663">
        <v>0</v>
      </c>
      <c r="F483" s="663">
        <v>0</v>
      </c>
      <c r="G483" s="663">
        <v>0</v>
      </c>
      <c r="H483" s="663">
        <v>0</v>
      </c>
      <c r="I483" s="663">
        <v>0</v>
      </c>
      <c r="J483" s="663">
        <v>0</v>
      </c>
      <c r="K483" s="663">
        <v>0</v>
      </c>
      <c r="L483" s="663">
        <v>0</v>
      </c>
      <c r="M483" s="663">
        <v>0</v>
      </c>
      <c r="N483" s="663">
        <v>0</v>
      </c>
      <c r="O483" s="663">
        <v>0</v>
      </c>
      <c r="P483" s="663">
        <v>0</v>
      </c>
      <c r="Q483" s="663">
        <v>0</v>
      </c>
      <c r="R483" s="663">
        <v>2.5199999999999996</v>
      </c>
      <c r="S483" s="663">
        <v>0</v>
      </c>
      <c r="T483" s="663">
        <v>0</v>
      </c>
      <c r="U483" s="671">
        <v>2.5199999999999996</v>
      </c>
    </row>
    <row r="484" spans="3:21" ht="13">
      <c r="C484" s="666" t="s">
        <v>83</v>
      </c>
      <c r="D484" s="667">
        <v>1.2844353845350245</v>
      </c>
      <c r="E484" s="667">
        <v>0</v>
      </c>
      <c r="F484" s="667">
        <v>3.028462420846008</v>
      </c>
      <c r="G484" s="667">
        <v>3.4369026136800631</v>
      </c>
      <c r="H484" s="675">
        <v>0</v>
      </c>
      <c r="I484" s="667">
        <v>3.9797777036186259</v>
      </c>
      <c r="J484" s="667">
        <v>0</v>
      </c>
      <c r="K484" s="667">
        <v>0</v>
      </c>
      <c r="L484" s="667">
        <v>52.365476880840774</v>
      </c>
      <c r="M484" s="667">
        <v>2.0467411030507856</v>
      </c>
      <c r="N484" s="667">
        <v>29.329147031481789</v>
      </c>
      <c r="O484" s="667">
        <v>75.65790718490868</v>
      </c>
      <c r="P484" s="667">
        <v>167.23788927594987</v>
      </c>
      <c r="Q484" s="667">
        <v>6.2933757940809487</v>
      </c>
      <c r="R484" s="667">
        <v>466.63315347265359</v>
      </c>
      <c r="S484" s="667">
        <v>59.566523654157017</v>
      </c>
      <c r="T484" s="667">
        <v>14.075687902585015</v>
      </c>
      <c r="U484" s="667">
        <v>884.93548042238808</v>
      </c>
    </row>
    <row r="485" spans="3:21" ht="13">
      <c r="C485" s="662" t="s">
        <v>84</v>
      </c>
      <c r="D485" s="663">
        <v>0</v>
      </c>
      <c r="E485" s="663">
        <v>0</v>
      </c>
      <c r="F485" s="663">
        <v>39.848807090011732</v>
      </c>
      <c r="G485" s="663">
        <v>12.189834391274943</v>
      </c>
      <c r="H485" s="663">
        <v>2.6585092475046008</v>
      </c>
      <c r="I485" s="663">
        <v>0</v>
      </c>
      <c r="J485" s="663">
        <v>0</v>
      </c>
      <c r="K485" s="663">
        <v>0</v>
      </c>
      <c r="L485" s="663">
        <v>0.5962689327253029</v>
      </c>
      <c r="M485" s="663">
        <v>0</v>
      </c>
      <c r="N485" s="663">
        <v>18.105967775029544</v>
      </c>
      <c r="O485" s="663">
        <v>4.780741280438523</v>
      </c>
      <c r="P485" s="663">
        <v>0</v>
      </c>
      <c r="Q485" s="663">
        <v>0</v>
      </c>
      <c r="R485" s="663">
        <v>0</v>
      </c>
      <c r="S485" s="663">
        <v>0</v>
      </c>
      <c r="T485" s="663">
        <v>35.496713960556022</v>
      </c>
      <c r="U485" s="671">
        <v>113.67684267754068</v>
      </c>
    </row>
    <row r="486" spans="3:21" ht="13">
      <c r="C486" s="666" t="s">
        <v>85</v>
      </c>
      <c r="D486" s="667">
        <v>1.2844353845350245</v>
      </c>
      <c r="E486" s="667">
        <v>0</v>
      </c>
      <c r="F486" s="667">
        <v>42.877269510857737</v>
      </c>
      <c r="G486" s="667">
        <v>15.626737004955006</v>
      </c>
      <c r="H486" s="675">
        <v>2.6585092475046008</v>
      </c>
      <c r="I486" s="667">
        <v>3.9797777036186259</v>
      </c>
      <c r="J486" s="667">
        <v>0</v>
      </c>
      <c r="K486" s="667">
        <v>0</v>
      </c>
      <c r="L486" s="667">
        <v>52.961745813566075</v>
      </c>
      <c r="M486" s="667">
        <v>2.0467411030507856</v>
      </c>
      <c r="N486" s="667">
        <v>47.435114806511329</v>
      </c>
      <c r="O486" s="667">
        <v>80.4386484653472</v>
      </c>
      <c r="P486" s="667">
        <v>167.23788927594987</v>
      </c>
      <c r="Q486" s="667">
        <v>6.2933757940809487</v>
      </c>
      <c r="R486" s="667">
        <v>466.63315347265359</v>
      </c>
      <c r="S486" s="667">
        <v>59.566523654157017</v>
      </c>
      <c r="T486" s="667">
        <v>49.572401863141039</v>
      </c>
      <c r="U486" s="667">
        <v>998.61232309992874</v>
      </c>
    </row>
    <row r="487" spans="3:21">
      <c r="C487" s="654"/>
      <c r="D487" s="672">
        <v>0</v>
      </c>
      <c r="E487" s="672">
        <v>0</v>
      </c>
      <c r="F487" s="672">
        <v>0</v>
      </c>
      <c r="G487" s="672">
        <v>0</v>
      </c>
      <c r="H487" s="672">
        <v>0</v>
      </c>
      <c r="I487" s="672">
        <v>4.9960036108132044E-16</v>
      </c>
      <c r="J487" s="672">
        <v>0</v>
      </c>
      <c r="K487" s="672">
        <v>0</v>
      </c>
      <c r="L487" s="672">
        <v>0</v>
      </c>
      <c r="M487" s="672">
        <v>0</v>
      </c>
      <c r="N487" s="672">
        <v>0</v>
      </c>
      <c r="O487" s="672">
        <v>0</v>
      </c>
      <c r="P487" s="672">
        <v>0</v>
      </c>
      <c r="Q487" s="672">
        <v>0</v>
      </c>
      <c r="R487" s="672">
        <v>5.6843418860808015E-14</v>
      </c>
      <c r="S487" s="672">
        <v>7.1054273576010019E-15</v>
      </c>
      <c r="T487" s="672">
        <v>-1.4654943925052066E-14</v>
      </c>
      <c r="U487" s="672">
        <v>0</v>
      </c>
    </row>
    <row r="488" spans="3:21">
      <c r="C488" s="654"/>
      <c r="D488" s="654"/>
      <c r="E488" s="654"/>
      <c r="F488" s="654"/>
      <c r="G488" s="654"/>
      <c r="H488" s="654"/>
      <c r="I488" s="654"/>
      <c r="J488" s="654"/>
      <c r="K488" s="654"/>
      <c r="L488" s="654"/>
      <c r="M488" s="654"/>
      <c r="N488" s="654"/>
      <c r="O488" s="654"/>
      <c r="P488" s="654"/>
      <c r="Q488" s="654"/>
      <c r="R488" s="654"/>
      <c r="S488" s="654"/>
      <c r="T488" s="654"/>
      <c r="U488" s="654"/>
    </row>
  </sheetData>
  <mergeCells count="182">
    <mergeCell ref="T454:T455"/>
    <mergeCell ref="U454:U455"/>
    <mergeCell ref="I454:I455"/>
    <mergeCell ref="J454:J455"/>
    <mergeCell ref="K454:K455"/>
    <mergeCell ref="L454:Q454"/>
    <mergeCell ref="R454:R455"/>
    <mergeCell ref="S454:S455"/>
    <mergeCell ref="C454:C455"/>
    <mergeCell ref="D454:D455"/>
    <mergeCell ref="E454:E455"/>
    <mergeCell ref="F454:F455"/>
    <mergeCell ref="G454:G455"/>
    <mergeCell ref="H454:H455"/>
    <mergeCell ref="K417:K418"/>
    <mergeCell ref="L417:Q417"/>
    <mergeCell ref="R417:R418"/>
    <mergeCell ref="S417:S418"/>
    <mergeCell ref="T417:T418"/>
    <mergeCell ref="U417:U418"/>
    <mergeCell ref="T380:T381"/>
    <mergeCell ref="U380:U381"/>
    <mergeCell ref="C417:C418"/>
    <mergeCell ref="D417:D418"/>
    <mergeCell ref="E417:E418"/>
    <mergeCell ref="F417:F418"/>
    <mergeCell ref="G417:G418"/>
    <mergeCell ref="H417:H418"/>
    <mergeCell ref="I417:I418"/>
    <mergeCell ref="J417:J418"/>
    <mergeCell ref="I380:I381"/>
    <mergeCell ref="J380:J381"/>
    <mergeCell ref="K380:K381"/>
    <mergeCell ref="L380:Q380"/>
    <mergeCell ref="R380:R381"/>
    <mergeCell ref="S380:S381"/>
    <mergeCell ref="C380:C381"/>
    <mergeCell ref="D380:D381"/>
    <mergeCell ref="E380:E381"/>
    <mergeCell ref="F380:F381"/>
    <mergeCell ref="G380:G381"/>
    <mergeCell ref="H380:H381"/>
    <mergeCell ref="K343:K344"/>
    <mergeCell ref="L343:Q343"/>
    <mergeCell ref="R343:R344"/>
    <mergeCell ref="S343:S344"/>
    <mergeCell ref="T343:T344"/>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E306:E307"/>
    <mergeCell ref="F306:F307"/>
    <mergeCell ref="G306:G307"/>
    <mergeCell ref="H306:H307"/>
    <mergeCell ref="K269:K270"/>
    <mergeCell ref="L269:Q269"/>
    <mergeCell ref="R269:R270"/>
    <mergeCell ref="S269:S270"/>
    <mergeCell ref="T269:T270"/>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E232:E233"/>
    <mergeCell ref="F232:F233"/>
    <mergeCell ref="G232:G233"/>
    <mergeCell ref="H232:H233"/>
    <mergeCell ref="K195:K196"/>
    <mergeCell ref="L195:Q195"/>
    <mergeCell ref="R195:R196"/>
    <mergeCell ref="S195:S196"/>
    <mergeCell ref="T195:T196"/>
    <mergeCell ref="U195:U196"/>
    <mergeCell ref="T158:T159"/>
    <mergeCell ref="U158:U159"/>
    <mergeCell ref="C195:C196"/>
    <mergeCell ref="D195:D196"/>
    <mergeCell ref="E195:E196"/>
    <mergeCell ref="F195:F196"/>
    <mergeCell ref="G195:G196"/>
    <mergeCell ref="H195:H196"/>
    <mergeCell ref="I195:I196"/>
    <mergeCell ref="J195:J196"/>
    <mergeCell ref="I158:I159"/>
    <mergeCell ref="J158:J159"/>
    <mergeCell ref="K158:K159"/>
    <mergeCell ref="L158:Q158"/>
    <mergeCell ref="R158:R159"/>
    <mergeCell ref="S158:S159"/>
    <mergeCell ref="C158:C159"/>
    <mergeCell ref="D158:D159"/>
    <mergeCell ref="E158:E159"/>
    <mergeCell ref="F158:F159"/>
    <mergeCell ref="G158:G159"/>
    <mergeCell ref="H158:H159"/>
    <mergeCell ref="K121:K122"/>
    <mergeCell ref="L121:Q121"/>
    <mergeCell ref="R121:R122"/>
    <mergeCell ref="S121:S122"/>
    <mergeCell ref="T121:T122"/>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E84:E85"/>
    <mergeCell ref="F84:F85"/>
    <mergeCell ref="G84:G85"/>
    <mergeCell ref="H84:H85"/>
    <mergeCell ref="K47:K48"/>
    <mergeCell ref="L47:Q47"/>
    <mergeCell ref="R47:R48"/>
    <mergeCell ref="S47:S48"/>
    <mergeCell ref="T47:T48"/>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 ref="F10:F11"/>
    <mergeCell ref="G10:G11"/>
    <mergeCell ref="H10:H11"/>
  </mergeCells>
  <conditionalFormatting sqref="L85:P85 D116:F116 R107:U107 U461:U463 D106:F114 U476:U484 U94:U105 D86:F93 N86:O86 R86:U86 H86:H93 H106:H114 H116 J116:U116 J107:K107 J108:U114 J106:U106 J87:U93 G86">
    <cfRule type="cellIs" dxfId="9247" priority="885" operator="equal">
      <formula>0</formula>
    </cfRule>
  </conditionalFormatting>
  <conditionalFormatting sqref="R86:R88">
    <cfRule type="cellIs" dxfId="9246" priority="884" operator="equal">
      <formula>0</formula>
    </cfRule>
  </conditionalFormatting>
  <conditionalFormatting sqref="R86:T86 N86:O86 D87:F88 H87:H88 J87:T88">
    <cfRule type="cellIs" dxfId="9245" priority="883" operator="equal">
      <formula>0</formula>
    </cfRule>
  </conditionalFormatting>
  <conditionalFormatting sqref="F87:F88">
    <cfRule type="cellIs" dxfId="9244" priority="882" operator="equal">
      <formula>0</formula>
    </cfRule>
  </conditionalFormatting>
  <conditionalFormatting sqref="Q85">
    <cfRule type="cellIs" dxfId="9243" priority="881" operator="equal">
      <formula>0</formula>
    </cfRule>
  </conditionalFormatting>
  <conditionalFormatting sqref="N86:O86">
    <cfRule type="cellIs" dxfId="9242" priority="880" operator="equal">
      <formula>0</formula>
    </cfRule>
  </conditionalFormatting>
  <conditionalFormatting sqref="L89:L91 L107">
    <cfRule type="cellIs" dxfId="9241" priority="879" operator="equal">
      <formula>0</formula>
    </cfRule>
  </conditionalFormatting>
  <conditionalFormatting sqref="L87:L88">
    <cfRule type="cellIs" dxfId="9240" priority="878" operator="equal">
      <formula>0</formula>
    </cfRule>
  </conditionalFormatting>
  <conditionalFormatting sqref="M89:M91 M107">
    <cfRule type="cellIs" dxfId="9239" priority="877" operator="equal">
      <formula>0</formula>
    </cfRule>
  </conditionalFormatting>
  <conditionalFormatting sqref="M87:M88">
    <cfRule type="cellIs" dxfId="9238" priority="876" operator="equal">
      <formula>0</formula>
    </cfRule>
  </conditionalFormatting>
  <conditionalFormatting sqref="N89:N91 N107">
    <cfRule type="cellIs" dxfId="9237" priority="875" operator="equal">
      <formula>0</formula>
    </cfRule>
  </conditionalFormatting>
  <conditionalFormatting sqref="N86:N88">
    <cfRule type="cellIs" dxfId="9236" priority="874" operator="equal">
      <formula>0</formula>
    </cfRule>
  </conditionalFormatting>
  <conditionalFormatting sqref="O89:O91 O107">
    <cfRule type="cellIs" dxfId="9235" priority="873" operator="equal">
      <formula>0</formula>
    </cfRule>
  </conditionalFormatting>
  <conditionalFormatting sqref="O86:O88">
    <cfRule type="cellIs" dxfId="9234" priority="872" operator="equal">
      <formula>0</formula>
    </cfRule>
  </conditionalFormatting>
  <conditionalFormatting sqref="P89:P91 P107">
    <cfRule type="cellIs" dxfId="9233" priority="871" operator="equal">
      <formula>0</formula>
    </cfRule>
  </conditionalFormatting>
  <conditionalFormatting sqref="P87:P88">
    <cfRule type="cellIs" dxfId="9232" priority="870" operator="equal">
      <formula>0</formula>
    </cfRule>
  </conditionalFormatting>
  <conditionalFormatting sqref="Q89:Q91 Q107">
    <cfRule type="cellIs" dxfId="9231" priority="869" operator="equal">
      <formula>0</formula>
    </cfRule>
  </conditionalFormatting>
  <conditionalFormatting sqref="Q87:Q88">
    <cfRule type="cellIs" dxfId="9230" priority="868" operator="equal">
      <formula>0</formula>
    </cfRule>
  </conditionalFormatting>
  <conditionalFormatting sqref="D115:F115 H115 J115:U115">
    <cfRule type="cellIs" dxfId="9229" priority="867" operator="equal">
      <formula>0</formula>
    </cfRule>
  </conditionalFormatting>
  <conditionalFormatting sqref="D108:F116 U476 D106:F106 U94:U105 D86:F92 N86:O86 R86:U86 H86:H92 H106 H108:H116 J108:U116 J106:U106 J87:U92 G86">
    <cfRule type="containsBlanks" dxfId="9228" priority="866">
      <formula>LEN(TRIM(D86))=0</formula>
    </cfRule>
  </conditionalFormatting>
  <conditionalFormatting sqref="L122:P122">
    <cfRule type="cellIs" dxfId="9227" priority="865" operator="equal">
      <formula>0</formula>
    </cfRule>
  </conditionalFormatting>
  <conditionalFormatting sqref="Q122">
    <cfRule type="cellIs" dxfId="9226" priority="864" operator="equal">
      <formula>0</formula>
    </cfRule>
  </conditionalFormatting>
  <conditionalFormatting sqref="L159:P159">
    <cfRule type="cellIs" dxfId="9225" priority="863" operator="equal">
      <formula>0</formula>
    </cfRule>
  </conditionalFormatting>
  <conditionalFormatting sqref="Q159">
    <cfRule type="cellIs" dxfId="9224" priority="862" operator="equal">
      <formula>0</formula>
    </cfRule>
  </conditionalFormatting>
  <conditionalFormatting sqref="L196:P196">
    <cfRule type="cellIs" dxfId="9223" priority="861" operator="equal">
      <formula>0</formula>
    </cfRule>
  </conditionalFormatting>
  <conditionalFormatting sqref="Q196">
    <cfRule type="cellIs" dxfId="9222" priority="860" operator="equal">
      <formula>0</formula>
    </cfRule>
  </conditionalFormatting>
  <conditionalFormatting sqref="L233:P233">
    <cfRule type="cellIs" dxfId="9221" priority="859" operator="equal">
      <formula>0</formula>
    </cfRule>
  </conditionalFormatting>
  <conditionalFormatting sqref="Q233">
    <cfRule type="cellIs" dxfId="9220" priority="858" operator="equal">
      <formula>0</formula>
    </cfRule>
  </conditionalFormatting>
  <conditionalFormatting sqref="L270:P270">
    <cfRule type="cellIs" dxfId="9219" priority="857" operator="equal">
      <formula>0</formula>
    </cfRule>
  </conditionalFormatting>
  <conditionalFormatting sqref="Q270">
    <cfRule type="cellIs" dxfId="9218" priority="856" operator="equal">
      <formula>0</formula>
    </cfRule>
  </conditionalFormatting>
  <conditionalFormatting sqref="D115:F115 H115 J115:T115">
    <cfRule type="cellIs" dxfId="9217" priority="855" operator="equal">
      <formula>0</formula>
    </cfRule>
  </conditionalFormatting>
  <conditionalFormatting sqref="L307:P307">
    <cfRule type="cellIs" dxfId="9216" priority="854" operator="equal">
      <formula>0</formula>
    </cfRule>
  </conditionalFormatting>
  <conditionalFormatting sqref="Q307">
    <cfRule type="cellIs" dxfId="9215" priority="853" operator="equal">
      <formula>0</formula>
    </cfRule>
  </conditionalFormatting>
  <conditionalFormatting sqref="L344:P344">
    <cfRule type="cellIs" dxfId="9214" priority="852" operator="equal">
      <formula>0</formula>
    </cfRule>
  </conditionalFormatting>
  <conditionalFormatting sqref="Q344">
    <cfRule type="cellIs" dxfId="9213" priority="851" operator="equal">
      <formula>0</formula>
    </cfRule>
  </conditionalFormatting>
  <conditionalFormatting sqref="L381:P381">
    <cfRule type="cellIs" dxfId="9212" priority="850" operator="equal">
      <formula>0</formula>
    </cfRule>
  </conditionalFormatting>
  <conditionalFormatting sqref="Q381">
    <cfRule type="cellIs" dxfId="9211" priority="849" operator="equal">
      <formula>0</formula>
    </cfRule>
  </conditionalFormatting>
  <conditionalFormatting sqref="L418:P418">
    <cfRule type="cellIs" dxfId="9210" priority="848" operator="equal">
      <formula>0</formula>
    </cfRule>
  </conditionalFormatting>
  <conditionalFormatting sqref="Q418">
    <cfRule type="cellIs" dxfId="9209" priority="847" operator="equal">
      <formula>0</formula>
    </cfRule>
  </conditionalFormatting>
  <conditionalFormatting sqref="L455:P455">
    <cfRule type="cellIs" dxfId="9208" priority="846" operator="equal">
      <formula>0</formula>
    </cfRule>
  </conditionalFormatting>
  <conditionalFormatting sqref="Q455">
    <cfRule type="cellIs" dxfId="9207" priority="845" operator="equal">
      <formula>0</formula>
    </cfRule>
  </conditionalFormatting>
  <conditionalFormatting sqref="U486 U456:U458">
    <cfRule type="cellIs" dxfId="9206" priority="844" operator="equal">
      <formula>0</formula>
    </cfRule>
  </conditionalFormatting>
  <conditionalFormatting sqref="U485">
    <cfRule type="cellIs" dxfId="9205" priority="843" operator="equal">
      <formula>0</formula>
    </cfRule>
  </conditionalFormatting>
  <conditionalFormatting sqref="U478:U486 U456:U458 U461:U462">
    <cfRule type="containsBlanks" dxfId="9204" priority="842">
      <formula>LEN(TRIM(U456))=0</formula>
    </cfRule>
  </conditionalFormatting>
  <conditionalFormatting sqref="N89:N90">
    <cfRule type="cellIs" dxfId="9203" priority="841" operator="equal">
      <formula>0</formula>
    </cfRule>
  </conditionalFormatting>
  <conditionalFormatting sqref="O89:O90">
    <cfRule type="cellIs" dxfId="9202" priority="840" operator="equal">
      <formula>0</formula>
    </cfRule>
  </conditionalFormatting>
  <conditionalFormatting sqref="U459:U460">
    <cfRule type="cellIs" dxfId="9201" priority="839" operator="equal">
      <formula>0</formula>
    </cfRule>
  </conditionalFormatting>
  <conditionalFormatting sqref="U459:U460">
    <cfRule type="containsBlanks" dxfId="9200" priority="838">
      <formula>LEN(TRIM(U459))=0</formula>
    </cfRule>
  </conditionalFormatting>
  <conditionalFormatting sqref="P89:Q89">
    <cfRule type="cellIs" dxfId="9199" priority="837" operator="equal">
      <formula>0</formula>
    </cfRule>
  </conditionalFormatting>
  <conditionalFormatting sqref="P90:Q90">
    <cfRule type="cellIs" dxfId="9198" priority="836" operator="equal">
      <formula>0</formula>
    </cfRule>
  </conditionalFormatting>
  <conditionalFormatting sqref="L11:P11 R33:U33 D33:F33 D19:F19 U70 D56:F59 H56:H59 H19 H33 J33:K33 J19:U19 J56:U56 J57:S59">
    <cfRule type="cellIs" dxfId="9197" priority="835" operator="equal">
      <formula>0</formula>
    </cfRule>
  </conditionalFormatting>
  <conditionalFormatting sqref="Q11">
    <cfRule type="cellIs" dxfId="9196" priority="834" operator="equal">
      <formula>0</formula>
    </cfRule>
  </conditionalFormatting>
  <conditionalFormatting sqref="L33">
    <cfRule type="cellIs" dxfId="9195" priority="833" operator="equal">
      <formula>0</formula>
    </cfRule>
  </conditionalFormatting>
  <conditionalFormatting sqref="M33">
    <cfRule type="cellIs" dxfId="9194" priority="832" operator="equal">
      <formula>0</formula>
    </cfRule>
  </conditionalFormatting>
  <conditionalFormatting sqref="N33">
    <cfRule type="cellIs" dxfId="9193" priority="831" operator="equal">
      <formula>0</formula>
    </cfRule>
  </conditionalFormatting>
  <conditionalFormatting sqref="O33">
    <cfRule type="cellIs" dxfId="9192" priority="830" operator="equal">
      <formula>0</formula>
    </cfRule>
  </conditionalFormatting>
  <conditionalFormatting sqref="P33">
    <cfRule type="cellIs" dxfId="9191" priority="829" operator="equal">
      <formula>0</formula>
    </cfRule>
  </conditionalFormatting>
  <conditionalFormatting sqref="Q33">
    <cfRule type="cellIs" dxfId="9190" priority="828" operator="equal">
      <formula>0</formula>
    </cfRule>
  </conditionalFormatting>
  <conditionalFormatting sqref="D57:F59 H57:H59 J57:S59">
    <cfRule type="containsBlanks" dxfId="9189" priority="827">
      <formula>LEN(TRIM(D57))=0</formula>
    </cfRule>
  </conditionalFormatting>
  <conditionalFormatting sqref="T50:T51 T54 H50:H51 D54:F54 L48:P48 R70:T70 D70:F70 D67:F68 D62:F63 H62:H63 H67:H68 H70 H54 J54:K54 J70:K70 J67:S68 J62:S63">
    <cfRule type="cellIs" dxfId="9188" priority="826" operator="equal">
      <formula>0</formula>
    </cfRule>
  </conditionalFormatting>
  <conditionalFormatting sqref="D50:E51 J50:K51">
    <cfRule type="cellIs" dxfId="9187" priority="825" operator="equal">
      <formula>0</formula>
    </cfRule>
  </conditionalFormatting>
  <conditionalFormatting sqref="F50:F51">
    <cfRule type="cellIs" dxfId="9186" priority="824" operator="equal">
      <formula>0</formula>
    </cfRule>
  </conditionalFormatting>
  <conditionalFormatting sqref="D66:F68 H66:H68 J66:S68">
    <cfRule type="cellIs" dxfId="9185" priority="823" operator="equal">
      <formula>0</formula>
    </cfRule>
  </conditionalFormatting>
  <conditionalFormatting sqref="Q48">
    <cfRule type="cellIs" dxfId="9184" priority="822" operator="equal">
      <formula>0</formula>
    </cfRule>
  </conditionalFormatting>
  <conditionalFormatting sqref="L54 L70">
    <cfRule type="cellIs" dxfId="9183" priority="821" operator="equal">
      <formula>0</formula>
    </cfRule>
  </conditionalFormatting>
  <conditionalFormatting sqref="L50:L51">
    <cfRule type="cellIs" dxfId="9182" priority="820" operator="equal">
      <formula>0</formula>
    </cfRule>
  </conditionalFormatting>
  <conditionalFormatting sqref="M54 M70">
    <cfRule type="cellIs" dxfId="9181" priority="819" operator="equal">
      <formula>0</formula>
    </cfRule>
  </conditionalFormatting>
  <conditionalFormatting sqref="M50:M51">
    <cfRule type="cellIs" dxfId="9180" priority="818" operator="equal">
      <formula>0</formula>
    </cfRule>
  </conditionalFormatting>
  <conditionalFormatting sqref="N54 N70">
    <cfRule type="cellIs" dxfId="9179" priority="817" operator="equal">
      <formula>0</formula>
    </cfRule>
  </conditionalFormatting>
  <conditionalFormatting sqref="N50:N51">
    <cfRule type="cellIs" dxfId="9178" priority="816" operator="equal">
      <formula>0</formula>
    </cfRule>
  </conditionalFormatting>
  <conditionalFormatting sqref="O54 O70">
    <cfRule type="cellIs" dxfId="9177" priority="815" operator="equal">
      <formula>0</formula>
    </cfRule>
  </conditionalFormatting>
  <conditionalFormatting sqref="O50:O51">
    <cfRule type="cellIs" dxfId="9176" priority="814" operator="equal">
      <formula>0</formula>
    </cfRule>
  </conditionalFormatting>
  <conditionalFormatting sqref="P54 P70">
    <cfRule type="cellIs" dxfId="9175" priority="813" operator="equal">
      <formula>0</formula>
    </cfRule>
  </conditionalFormatting>
  <conditionalFormatting sqref="P50:P51">
    <cfRule type="cellIs" dxfId="9174" priority="812" operator="equal">
      <formula>0</formula>
    </cfRule>
  </conditionalFormatting>
  <conditionalFormatting sqref="Q54 Q70">
    <cfRule type="cellIs" dxfId="9173" priority="811" operator="equal">
      <formula>0</formula>
    </cfRule>
  </conditionalFormatting>
  <conditionalFormatting sqref="Q50:Q51">
    <cfRule type="cellIs" dxfId="9172" priority="810" operator="equal">
      <formula>0</formula>
    </cfRule>
  </conditionalFormatting>
  <conditionalFormatting sqref="D50:F51 D54:F54 T54 T50:T51 D62:F63 D66:F68 H66:H68 H62:H63 H54 H50:H51 J50:Q51 J54:Q54 J62:S63 J66:S68">
    <cfRule type="containsBlanks" dxfId="9171" priority="809">
      <formula>LEN(TRIM(D50))=0</formula>
    </cfRule>
  </conditionalFormatting>
  <conditionalFormatting sqref="D49:F49 T49 R49:S54 H49">
    <cfRule type="cellIs" dxfId="9170" priority="808" operator="equal">
      <formula>0</formula>
    </cfRule>
  </conditionalFormatting>
  <conditionalFormatting sqref="J49">
    <cfRule type="cellIs" dxfId="9169" priority="807" operator="equal">
      <formula>0</formula>
    </cfRule>
  </conditionalFormatting>
  <conditionalFormatting sqref="K49">
    <cfRule type="cellIs" dxfId="9168" priority="806" operator="equal">
      <formula>0</formula>
    </cfRule>
  </conditionalFormatting>
  <conditionalFormatting sqref="N49:Q49">
    <cfRule type="cellIs" dxfId="9167" priority="805" operator="equal">
      <formula>0</formula>
    </cfRule>
  </conditionalFormatting>
  <conditionalFormatting sqref="L49">
    <cfRule type="cellIs" dxfId="9166" priority="804" operator="equal">
      <formula>0</formula>
    </cfRule>
  </conditionalFormatting>
  <conditionalFormatting sqref="M49">
    <cfRule type="cellIs" dxfId="9165" priority="803" operator="equal">
      <formula>0</formula>
    </cfRule>
  </conditionalFormatting>
  <conditionalFormatting sqref="D49:F49 R50:R54 T49 S49:S54 H49 J49:R49">
    <cfRule type="containsBlanks" dxfId="9164" priority="802">
      <formula>LEN(TRIM(D49))=0</formula>
    </cfRule>
  </conditionalFormatting>
  <conditionalFormatting sqref="U49:U54">
    <cfRule type="cellIs" dxfId="9163" priority="801" operator="equal">
      <formula>0</formula>
    </cfRule>
  </conditionalFormatting>
  <conditionalFormatting sqref="U49:U54">
    <cfRule type="containsBlanks" dxfId="9162" priority="800">
      <formula>LEN(TRIM(U49))=0</formula>
    </cfRule>
  </conditionalFormatting>
  <conditionalFormatting sqref="D60:F61 P60:S60 H60:H61 J61:S61 J60:N60">
    <cfRule type="cellIs" dxfId="9161" priority="799" operator="equal">
      <formula>0</formula>
    </cfRule>
  </conditionalFormatting>
  <conditionalFormatting sqref="D60:F61 P60:S60 H60:H61 J61:S61 J60:N60">
    <cfRule type="containsBlanks" dxfId="9160" priority="798">
      <formula>LEN(TRIM(D60))=0</formula>
    </cfRule>
  </conditionalFormatting>
  <conditionalFormatting sqref="D52:F53 T52:T53 H52:H53 J52:Q53">
    <cfRule type="cellIs" dxfId="9159" priority="797" operator="equal">
      <formula>0</formula>
    </cfRule>
  </conditionalFormatting>
  <conditionalFormatting sqref="L52:L53">
    <cfRule type="cellIs" dxfId="9158" priority="796" operator="equal">
      <formula>0</formula>
    </cfRule>
  </conditionalFormatting>
  <conditionalFormatting sqref="M52:M53">
    <cfRule type="cellIs" dxfId="9157" priority="795" operator="equal">
      <formula>0</formula>
    </cfRule>
  </conditionalFormatting>
  <conditionalFormatting sqref="N52:N53">
    <cfRule type="cellIs" dxfId="9156" priority="794" operator="equal">
      <formula>0</formula>
    </cfRule>
  </conditionalFormatting>
  <conditionalFormatting sqref="O52:O53">
    <cfRule type="cellIs" dxfId="9155" priority="793" operator="equal">
      <formula>0</formula>
    </cfRule>
  </conditionalFormatting>
  <conditionalFormatting sqref="P52:P53">
    <cfRule type="cellIs" dxfId="9154" priority="792" operator="equal">
      <formula>0</formula>
    </cfRule>
  </conditionalFormatting>
  <conditionalFormatting sqref="Q52:Q53">
    <cfRule type="cellIs" dxfId="9153" priority="791" operator="equal">
      <formula>0</formula>
    </cfRule>
  </conditionalFormatting>
  <conditionalFormatting sqref="D52:F53 T52:T53 H52:H53 J52:Q53">
    <cfRule type="containsBlanks" dxfId="9152" priority="790">
      <formula>LEN(TRIM(D52))=0</formula>
    </cfRule>
  </conditionalFormatting>
  <conditionalFormatting sqref="N52:N53">
    <cfRule type="cellIs" dxfId="9151" priority="789" operator="equal">
      <formula>0</formula>
    </cfRule>
  </conditionalFormatting>
  <conditionalFormatting sqref="O52:O53">
    <cfRule type="cellIs" dxfId="9150" priority="788" operator="equal">
      <formula>0</formula>
    </cfRule>
  </conditionalFormatting>
  <conditionalFormatting sqref="P52:Q52">
    <cfRule type="cellIs" dxfId="9149" priority="787" operator="equal">
      <formula>0</formula>
    </cfRule>
  </conditionalFormatting>
  <conditionalFormatting sqref="P53:Q53">
    <cfRule type="cellIs" dxfId="9148" priority="786" operator="equal">
      <formula>0</formula>
    </cfRule>
  </conditionalFormatting>
  <conditionalFormatting sqref="U464:U475">
    <cfRule type="cellIs" dxfId="9147" priority="785" operator="equal">
      <formula>0</formula>
    </cfRule>
  </conditionalFormatting>
  <conditionalFormatting sqref="U464:U475">
    <cfRule type="containsBlanks" dxfId="9146" priority="784">
      <formula>LEN(TRIM(U464))=0</formula>
    </cfRule>
  </conditionalFormatting>
  <conditionalFormatting sqref="U153 U123:U151">
    <cfRule type="cellIs" dxfId="9145" priority="783" operator="equal">
      <formula>0</formula>
    </cfRule>
  </conditionalFormatting>
  <conditionalFormatting sqref="U152">
    <cfRule type="cellIs" dxfId="9144" priority="782" operator="equal">
      <formula>0</formula>
    </cfRule>
  </conditionalFormatting>
  <conditionalFormatting sqref="U145:U153 U123:U129 U131:U143">
    <cfRule type="containsBlanks" dxfId="9143" priority="781">
      <formula>LEN(TRIM(U123))=0</formula>
    </cfRule>
  </conditionalFormatting>
  <conditionalFormatting sqref="U190 U160:U188">
    <cfRule type="cellIs" dxfId="9142" priority="780" operator="equal">
      <formula>0</formula>
    </cfRule>
  </conditionalFormatting>
  <conditionalFormatting sqref="U189">
    <cfRule type="cellIs" dxfId="9141" priority="779" operator="equal">
      <formula>0</formula>
    </cfRule>
  </conditionalFormatting>
  <conditionalFormatting sqref="U182:U190 U160:U166 U168:U180">
    <cfRule type="containsBlanks" dxfId="9140" priority="778">
      <formula>LEN(TRIM(U160))=0</formula>
    </cfRule>
  </conditionalFormatting>
  <conditionalFormatting sqref="U227 U197:U225">
    <cfRule type="cellIs" dxfId="9139" priority="777" operator="equal">
      <formula>0</formula>
    </cfRule>
  </conditionalFormatting>
  <conditionalFormatting sqref="U226">
    <cfRule type="cellIs" dxfId="9138" priority="776" operator="equal">
      <formula>0</formula>
    </cfRule>
  </conditionalFormatting>
  <conditionalFormatting sqref="U219:U227 U197:U203 U205:U217">
    <cfRule type="containsBlanks" dxfId="9137" priority="775">
      <formula>LEN(TRIM(U197))=0</formula>
    </cfRule>
  </conditionalFormatting>
  <conditionalFormatting sqref="U264 U234:U262">
    <cfRule type="cellIs" dxfId="9136" priority="774" operator="equal">
      <formula>0</formula>
    </cfRule>
  </conditionalFormatting>
  <conditionalFormatting sqref="U263">
    <cfRule type="cellIs" dxfId="9135" priority="773" operator="equal">
      <formula>0</formula>
    </cfRule>
  </conditionalFormatting>
  <conditionalFormatting sqref="U256:U264 U234:U240 U242:U254">
    <cfRule type="containsBlanks" dxfId="9134" priority="772">
      <formula>LEN(TRIM(U234))=0</formula>
    </cfRule>
  </conditionalFormatting>
  <conditionalFormatting sqref="U301 U271:U299">
    <cfRule type="cellIs" dxfId="9133" priority="771" operator="equal">
      <formula>0</formula>
    </cfRule>
  </conditionalFormatting>
  <conditionalFormatting sqref="U300">
    <cfRule type="cellIs" dxfId="9132" priority="770" operator="equal">
      <formula>0</formula>
    </cfRule>
  </conditionalFormatting>
  <conditionalFormatting sqref="U293:U301 U271:U277 U279:U291">
    <cfRule type="containsBlanks" dxfId="9131" priority="769">
      <formula>LEN(TRIM(U271))=0</formula>
    </cfRule>
  </conditionalFormatting>
  <conditionalFormatting sqref="U338 U308:U336">
    <cfRule type="cellIs" dxfId="9130" priority="768" operator="equal">
      <formula>0</formula>
    </cfRule>
  </conditionalFormatting>
  <conditionalFormatting sqref="U337">
    <cfRule type="cellIs" dxfId="9129" priority="767" operator="equal">
      <formula>0</formula>
    </cfRule>
  </conditionalFormatting>
  <conditionalFormatting sqref="U330:U338 U308:U314 U316:U328">
    <cfRule type="containsBlanks" dxfId="9128" priority="766">
      <formula>LEN(TRIM(U308))=0</formula>
    </cfRule>
  </conditionalFormatting>
  <conditionalFormatting sqref="U375 U345:U373">
    <cfRule type="cellIs" dxfId="9127" priority="765" operator="equal">
      <formula>0</formula>
    </cfRule>
  </conditionalFormatting>
  <conditionalFormatting sqref="U374">
    <cfRule type="cellIs" dxfId="9126" priority="764" operator="equal">
      <formula>0</formula>
    </cfRule>
  </conditionalFormatting>
  <conditionalFormatting sqref="U367:U375 U345:U351 U353:U365">
    <cfRule type="containsBlanks" dxfId="9125" priority="763">
      <formula>LEN(TRIM(U345))=0</formula>
    </cfRule>
  </conditionalFormatting>
  <conditionalFormatting sqref="U412 U382:U410">
    <cfRule type="cellIs" dxfId="9124" priority="762" operator="equal">
      <formula>0</formula>
    </cfRule>
  </conditionalFormatting>
  <conditionalFormatting sqref="U411">
    <cfRule type="cellIs" dxfId="9123" priority="761" operator="equal">
      <formula>0</formula>
    </cfRule>
  </conditionalFormatting>
  <conditionalFormatting sqref="U404:U412 U382:U388 U390:U402">
    <cfRule type="containsBlanks" dxfId="9122" priority="760">
      <formula>LEN(TRIM(U382))=0</formula>
    </cfRule>
  </conditionalFormatting>
  <conditionalFormatting sqref="U449 U419:U447">
    <cfRule type="cellIs" dxfId="9121" priority="759" operator="equal">
      <formula>0</formula>
    </cfRule>
  </conditionalFormatting>
  <conditionalFormatting sqref="U448">
    <cfRule type="cellIs" dxfId="9120" priority="758" operator="equal">
      <formula>0</formula>
    </cfRule>
  </conditionalFormatting>
  <conditionalFormatting sqref="U441:U449 U419:U425 U427:U439">
    <cfRule type="containsBlanks" dxfId="9119" priority="757">
      <formula>LEN(TRIM(U419))=0</formula>
    </cfRule>
  </conditionalFormatting>
  <conditionalFormatting sqref="D55:F55 H55 J55:U55">
    <cfRule type="cellIs" dxfId="9118" priority="756" operator="equal">
      <formula>0</formula>
    </cfRule>
  </conditionalFormatting>
  <conditionalFormatting sqref="D55:F55 H55 J55:U55">
    <cfRule type="containsBlanks" dxfId="9117" priority="755">
      <formula>LEN(TRIM(D55))=0</formula>
    </cfRule>
  </conditionalFormatting>
  <conditionalFormatting sqref="D69:F69 H69 J69:U69">
    <cfRule type="cellIs" dxfId="9116" priority="754" operator="equal">
      <formula>0</formula>
    </cfRule>
  </conditionalFormatting>
  <conditionalFormatting sqref="D69:F69 H69 J69:U69">
    <cfRule type="containsBlanks" dxfId="9115" priority="753">
      <formula>LEN(TRIM(D69))=0</formula>
    </cfRule>
  </conditionalFormatting>
  <conditionalFormatting sqref="U71:U78 D71:F77 H71:H77 J71:T77">
    <cfRule type="cellIs" dxfId="9114" priority="752" operator="equal">
      <formula>0</formula>
    </cfRule>
  </conditionalFormatting>
  <conditionalFormatting sqref="D78:F78 H78 J78:U78">
    <cfRule type="cellIs" dxfId="9113" priority="751" operator="equal">
      <formula>0</formula>
    </cfRule>
  </conditionalFormatting>
  <conditionalFormatting sqref="D71:F78 H71:H78 J71:U78">
    <cfRule type="containsBlanks" dxfId="9112" priority="750">
      <formula>LEN(TRIM(D71))=0</formula>
    </cfRule>
  </conditionalFormatting>
  <conditionalFormatting sqref="D78:F78 H78 J78:T78">
    <cfRule type="cellIs" dxfId="9111" priority="749" operator="equal">
      <formula>0</formula>
    </cfRule>
  </conditionalFormatting>
  <conditionalFormatting sqref="D79:F79 H79 J79:U79">
    <cfRule type="cellIs" dxfId="9110" priority="748" operator="equal">
      <formula>0</formula>
    </cfRule>
  </conditionalFormatting>
  <conditionalFormatting sqref="D79:F79 H79 J79:U79">
    <cfRule type="containsBlanks" dxfId="9109" priority="747">
      <formula>LEN(TRIM(D79))=0</formula>
    </cfRule>
  </conditionalFormatting>
  <conditionalFormatting sqref="D94:F105 H94:H105 J94:T105">
    <cfRule type="cellIs" dxfId="9108" priority="746" operator="equal">
      <formula>0</formula>
    </cfRule>
  </conditionalFormatting>
  <conditionalFormatting sqref="D94:F105 H94:H105 J94:T105">
    <cfRule type="containsBlanks" dxfId="9107" priority="745">
      <formula>LEN(TRIM(D94))=0</formula>
    </cfRule>
  </conditionalFormatting>
  <conditionalFormatting sqref="J86">
    <cfRule type="cellIs" dxfId="9106" priority="744" operator="equal">
      <formula>0</formula>
    </cfRule>
  </conditionalFormatting>
  <conditionalFormatting sqref="K86">
    <cfRule type="cellIs" dxfId="9105" priority="743" operator="equal">
      <formula>0</formula>
    </cfRule>
  </conditionalFormatting>
  <conditionalFormatting sqref="L86:M86">
    <cfRule type="cellIs" dxfId="9104" priority="742" operator="equal">
      <formula>0</formula>
    </cfRule>
  </conditionalFormatting>
  <conditionalFormatting sqref="M86">
    <cfRule type="cellIs" dxfId="9103" priority="741" operator="equal">
      <formula>0</formula>
    </cfRule>
  </conditionalFormatting>
  <conditionalFormatting sqref="J86:M86">
    <cfRule type="containsBlanks" dxfId="9102" priority="740">
      <formula>LEN(TRIM(J86))=0</formula>
    </cfRule>
  </conditionalFormatting>
  <conditionalFormatting sqref="P86:Q86">
    <cfRule type="cellIs" dxfId="9101" priority="739" operator="equal">
      <formula>0</formula>
    </cfRule>
  </conditionalFormatting>
  <conditionalFormatting sqref="P86:Q86">
    <cfRule type="cellIs" dxfId="9100" priority="738" operator="equal">
      <formula>0</formula>
    </cfRule>
  </conditionalFormatting>
  <conditionalFormatting sqref="P86:Q86">
    <cfRule type="containsBlanks" dxfId="9099" priority="737">
      <formula>LEN(TRIM(P86))=0</formula>
    </cfRule>
  </conditionalFormatting>
  <conditionalFormatting sqref="D153:F153 R144:T144 D143:F151 D123:F130 N123:O123 R123:T123 J153:T153 J144:K144 J145:T151 J143:T143 J124:T130">
    <cfRule type="cellIs" dxfId="9098" priority="736" operator="equal">
      <formula>0</formula>
    </cfRule>
  </conditionalFormatting>
  <conditionalFormatting sqref="R123:R125">
    <cfRule type="cellIs" dxfId="9097" priority="735" operator="equal">
      <formula>0</formula>
    </cfRule>
  </conditionalFormatting>
  <conditionalFormatting sqref="R123:T123 N123:O123 D124:F125 J124:T125">
    <cfRule type="cellIs" dxfId="9096" priority="734" operator="equal">
      <formula>0</formula>
    </cfRule>
  </conditionalFormatting>
  <conditionalFormatting sqref="F124:F125">
    <cfRule type="cellIs" dxfId="9095" priority="733" operator="equal">
      <formula>0</formula>
    </cfRule>
  </conditionalFormatting>
  <conditionalFormatting sqref="N123:O123">
    <cfRule type="cellIs" dxfId="9094" priority="732" operator="equal">
      <formula>0</formula>
    </cfRule>
  </conditionalFormatting>
  <conditionalFormatting sqref="L126:L128 L144">
    <cfRule type="cellIs" dxfId="9093" priority="731" operator="equal">
      <formula>0</formula>
    </cfRule>
  </conditionalFormatting>
  <conditionalFormatting sqref="L124:L125">
    <cfRule type="cellIs" dxfId="9092" priority="730" operator="equal">
      <formula>0</formula>
    </cfRule>
  </conditionalFormatting>
  <conditionalFormatting sqref="M126:M128 M144">
    <cfRule type="cellIs" dxfId="9091" priority="729" operator="equal">
      <formula>0</formula>
    </cfRule>
  </conditionalFormatting>
  <conditionalFormatting sqref="M124:M125">
    <cfRule type="cellIs" dxfId="9090" priority="728" operator="equal">
      <formula>0</formula>
    </cfRule>
  </conditionalFormatting>
  <conditionalFormatting sqref="N126:N128 N144">
    <cfRule type="cellIs" dxfId="9089" priority="727" operator="equal">
      <formula>0</formula>
    </cfRule>
  </conditionalFormatting>
  <conditionalFormatting sqref="N123:N125">
    <cfRule type="cellIs" dxfId="9088" priority="726" operator="equal">
      <formula>0</formula>
    </cfRule>
  </conditionalFormatting>
  <conditionalFormatting sqref="O126:O128 O144">
    <cfRule type="cellIs" dxfId="9087" priority="725" operator="equal">
      <formula>0</formula>
    </cfRule>
  </conditionalFormatting>
  <conditionalFormatting sqref="O123:O125">
    <cfRule type="cellIs" dxfId="9086" priority="724" operator="equal">
      <formula>0</formula>
    </cfRule>
  </conditionalFormatting>
  <conditionalFormatting sqref="P126:P128 P144">
    <cfRule type="cellIs" dxfId="9085" priority="723" operator="equal">
      <formula>0</formula>
    </cfRule>
  </conditionalFormatting>
  <conditionalFormatting sqref="P124:P125">
    <cfRule type="cellIs" dxfId="9084" priority="722" operator="equal">
      <formula>0</formula>
    </cfRule>
  </conditionalFormatting>
  <conditionalFormatting sqref="Q126:Q128 Q144">
    <cfRule type="cellIs" dxfId="9083" priority="721" operator="equal">
      <formula>0</formula>
    </cfRule>
  </conditionalFormatting>
  <conditionalFormatting sqref="Q124:Q125">
    <cfRule type="cellIs" dxfId="9082" priority="720" operator="equal">
      <formula>0</formula>
    </cfRule>
  </conditionalFormatting>
  <conditionalFormatting sqref="D152:F152 J152:T152">
    <cfRule type="cellIs" dxfId="9081" priority="719" operator="equal">
      <formula>0</formula>
    </cfRule>
  </conditionalFormatting>
  <conditionalFormatting sqref="D145:F153 D143:F143 D123:F129 N123:O123 R123:T123 J145:T153 J143:T143 J124:T129">
    <cfRule type="containsBlanks" dxfId="9080" priority="718">
      <formula>LEN(TRIM(D123))=0</formula>
    </cfRule>
  </conditionalFormatting>
  <conditionalFormatting sqref="D152:F152 J152:T152">
    <cfRule type="cellIs" dxfId="9079" priority="717" operator="equal">
      <formula>0</formula>
    </cfRule>
  </conditionalFormatting>
  <conditionalFormatting sqref="N126:N127">
    <cfRule type="cellIs" dxfId="9078" priority="716" operator="equal">
      <formula>0</formula>
    </cfRule>
  </conditionalFormatting>
  <conditionalFormatting sqref="O126:O127">
    <cfRule type="cellIs" dxfId="9077" priority="715" operator="equal">
      <formula>0</formula>
    </cfRule>
  </conditionalFormatting>
  <conditionalFormatting sqref="P126:Q126">
    <cfRule type="cellIs" dxfId="9076" priority="714" operator="equal">
      <formula>0</formula>
    </cfRule>
  </conditionalFormatting>
  <conditionalFormatting sqref="P127:Q127">
    <cfRule type="cellIs" dxfId="9075" priority="713" operator="equal">
      <formula>0</formula>
    </cfRule>
  </conditionalFormatting>
  <conditionalFormatting sqref="D131:F142 J131:T142">
    <cfRule type="cellIs" dxfId="9074" priority="712" operator="equal">
      <formula>0</formula>
    </cfRule>
  </conditionalFormatting>
  <conditionalFormatting sqref="D131:F142 J131:T142">
    <cfRule type="containsBlanks" dxfId="9073" priority="711">
      <formula>LEN(TRIM(D131))=0</formula>
    </cfRule>
  </conditionalFormatting>
  <conditionalFormatting sqref="J123">
    <cfRule type="cellIs" dxfId="9072" priority="710" operator="equal">
      <formula>0</formula>
    </cfRule>
  </conditionalFormatting>
  <conditionalFormatting sqref="K123">
    <cfRule type="cellIs" dxfId="9071" priority="709" operator="equal">
      <formula>0</formula>
    </cfRule>
  </conditionalFormatting>
  <conditionalFormatting sqref="L123:M123">
    <cfRule type="cellIs" dxfId="9070" priority="708" operator="equal">
      <formula>0</formula>
    </cfRule>
  </conditionalFormatting>
  <conditionalFormatting sqref="M123">
    <cfRule type="cellIs" dxfId="9069" priority="707" operator="equal">
      <formula>0</formula>
    </cfRule>
  </conditionalFormatting>
  <conditionalFormatting sqref="J123:M123">
    <cfRule type="containsBlanks" dxfId="9068" priority="706">
      <formula>LEN(TRIM(J123))=0</formula>
    </cfRule>
  </conditionalFormatting>
  <conditionalFormatting sqref="P123:Q123">
    <cfRule type="cellIs" dxfId="9067" priority="705" operator="equal">
      <formula>0</formula>
    </cfRule>
  </conditionalFormatting>
  <conditionalFormatting sqref="P123:Q123">
    <cfRule type="cellIs" dxfId="9066" priority="704" operator="equal">
      <formula>0</formula>
    </cfRule>
  </conditionalFormatting>
  <conditionalFormatting sqref="P123:Q123">
    <cfRule type="containsBlanks" dxfId="9065" priority="703">
      <formula>LEN(TRIM(P123))=0</formula>
    </cfRule>
  </conditionalFormatting>
  <conditionalFormatting sqref="D190:F190 R181:T181 D180:F188 D160:F167 N160:O160 R160:T160 J190:T190 J181:K181 J182:T188 J180:T180 J161:T167">
    <cfRule type="cellIs" dxfId="9064" priority="702" operator="equal">
      <formula>0</formula>
    </cfRule>
  </conditionalFormatting>
  <conditionalFormatting sqref="R160:R162">
    <cfRule type="cellIs" dxfId="9063" priority="701" operator="equal">
      <formula>0</formula>
    </cfRule>
  </conditionalFormatting>
  <conditionalFormatting sqref="R160:T160 N160:O160 D161:F162 J161:T162">
    <cfRule type="cellIs" dxfId="9062" priority="700" operator="equal">
      <formula>0</formula>
    </cfRule>
  </conditionalFormatting>
  <conditionalFormatting sqref="F161:F162">
    <cfRule type="cellIs" dxfId="9061" priority="699" operator="equal">
      <formula>0</formula>
    </cfRule>
  </conditionalFormatting>
  <conditionalFormatting sqref="N160:O160">
    <cfRule type="cellIs" dxfId="9060" priority="698" operator="equal">
      <formula>0</formula>
    </cfRule>
  </conditionalFormatting>
  <conditionalFormatting sqref="L163:L165 L181">
    <cfRule type="cellIs" dxfId="9059" priority="697" operator="equal">
      <formula>0</formula>
    </cfRule>
  </conditionalFormatting>
  <conditionalFormatting sqref="L161:L162">
    <cfRule type="cellIs" dxfId="9058" priority="696" operator="equal">
      <formula>0</formula>
    </cfRule>
  </conditionalFormatting>
  <conditionalFormatting sqref="M163:M165 M181">
    <cfRule type="cellIs" dxfId="9057" priority="695" operator="equal">
      <formula>0</formula>
    </cfRule>
  </conditionalFormatting>
  <conditionalFormatting sqref="M161:M162">
    <cfRule type="cellIs" dxfId="9056" priority="694" operator="equal">
      <formula>0</formula>
    </cfRule>
  </conditionalFormatting>
  <conditionalFormatting sqref="N163:N165 N181">
    <cfRule type="cellIs" dxfId="9055" priority="693" operator="equal">
      <formula>0</formula>
    </cfRule>
  </conditionalFormatting>
  <conditionalFormatting sqref="N160:N162">
    <cfRule type="cellIs" dxfId="9054" priority="692" operator="equal">
      <formula>0</formula>
    </cfRule>
  </conditionalFormatting>
  <conditionalFormatting sqref="O163:O165 O181">
    <cfRule type="cellIs" dxfId="9053" priority="691" operator="equal">
      <formula>0</formula>
    </cfRule>
  </conditionalFormatting>
  <conditionalFormatting sqref="O160:O162">
    <cfRule type="cellIs" dxfId="9052" priority="690" operator="equal">
      <formula>0</formula>
    </cfRule>
  </conditionalFormatting>
  <conditionalFormatting sqref="P163:P165 P181">
    <cfRule type="cellIs" dxfId="9051" priority="689" operator="equal">
      <formula>0</formula>
    </cfRule>
  </conditionalFormatting>
  <conditionalFormatting sqref="P161:P162">
    <cfRule type="cellIs" dxfId="9050" priority="688" operator="equal">
      <formula>0</formula>
    </cfRule>
  </conditionalFormatting>
  <conditionalFormatting sqref="Q163:Q165 Q181">
    <cfRule type="cellIs" dxfId="9049" priority="687" operator="equal">
      <formula>0</formula>
    </cfRule>
  </conditionalFormatting>
  <conditionalFormatting sqref="Q161:Q162">
    <cfRule type="cellIs" dxfId="9048" priority="686" operator="equal">
      <formula>0</formula>
    </cfRule>
  </conditionalFormatting>
  <conditionalFormatting sqref="D189:F189 J189:T189">
    <cfRule type="cellIs" dxfId="9047" priority="685" operator="equal">
      <formula>0</formula>
    </cfRule>
  </conditionalFormatting>
  <conditionalFormatting sqref="D182:F190 D180:F180 D160:F166 N160:O160 R160:T160 J182:T190 J180:T180 J161:T166">
    <cfRule type="containsBlanks" dxfId="9046" priority="684">
      <formula>LEN(TRIM(D160))=0</formula>
    </cfRule>
  </conditionalFormatting>
  <conditionalFormatting sqref="D189:F189 J189:T189">
    <cfRule type="cellIs" dxfId="9045" priority="683" operator="equal">
      <formula>0</formula>
    </cfRule>
  </conditionalFormatting>
  <conditionalFormatting sqref="N163:N164">
    <cfRule type="cellIs" dxfId="9044" priority="682" operator="equal">
      <formula>0</formula>
    </cfRule>
  </conditionalFormatting>
  <conditionalFormatting sqref="O163:O164">
    <cfRule type="cellIs" dxfId="9043" priority="681" operator="equal">
      <formula>0</formula>
    </cfRule>
  </conditionalFormatting>
  <conditionalFormatting sqref="P163:Q163">
    <cfRule type="cellIs" dxfId="9042" priority="680" operator="equal">
      <formula>0</formula>
    </cfRule>
  </conditionalFormatting>
  <conditionalFormatting sqref="P164:Q164">
    <cfRule type="cellIs" dxfId="9041" priority="679" operator="equal">
      <formula>0</formula>
    </cfRule>
  </conditionalFormatting>
  <conditionalFormatting sqref="D168:F179 J168:T179">
    <cfRule type="cellIs" dxfId="9040" priority="678" operator="equal">
      <formula>0</formula>
    </cfRule>
  </conditionalFormatting>
  <conditionalFormatting sqref="D168:F179 J168:T179">
    <cfRule type="containsBlanks" dxfId="9039" priority="677">
      <formula>LEN(TRIM(D168))=0</formula>
    </cfRule>
  </conditionalFormatting>
  <conditionalFormatting sqref="J160">
    <cfRule type="cellIs" dxfId="9038" priority="676" operator="equal">
      <formula>0</formula>
    </cfRule>
  </conditionalFormatting>
  <conditionalFormatting sqref="K160">
    <cfRule type="cellIs" dxfId="9037" priority="675" operator="equal">
      <formula>0</formula>
    </cfRule>
  </conditionalFormatting>
  <conditionalFormatting sqref="L160:M160">
    <cfRule type="cellIs" dxfId="9036" priority="674" operator="equal">
      <formula>0</formula>
    </cfRule>
  </conditionalFormatting>
  <conditionalFormatting sqref="M160">
    <cfRule type="cellIs" dxfId="9035" priority="673" operator="equal">
      <formula>0</formula>
    </cfRule>
  </conditionalFormatting>
  <conditionalFormatting sqref="J160:M160">
    <cfRule type="containsBlanks" dxfId="9034" priority="672">
      <formula>LEN(TRIM(J160))=0</formula>
    </cfRule>
  </conditionalFormatting>
  <conditionalFormatting sqref="P160:Q160">
    <cfRule type="cellIs" dxfId="9033" priority="671" operator="equal">
      <formula>0</formula>
    </cfRule>
  </conditionalFormatting>
  <conditionalFormatting sqref="P160:Q160">
    <cfRule type="cellIs" dxfId="9032" priority="670" operator="equal">
      <formula>0</formula>
    </cfRule>
  </conditionalFormatting>
  <conditionalFormatting sqref="P160:Q160">
    <cfRule type="containsBlanks" dxfId="9031" priority="669">
      <formula>LEN(TRIM(P160))=0</formula>
    </cfRule>
  </conditionalFormatting>
  <conditionalFormatting sqref="D227:F227 R218:T218 D217:F225 D197:F204 N197:O197 R197:T197 J227:T227 J218:K218 J219:T225 J217:T217 J198:T204">
    <cfRule type="cellIs" dxfId="9030" priority="668" operator="equal">
      <formula>0</formula>
    </cfRule>
  </conditionalFormatting>
  <conditionalFormatting sqref="R197:R199">
    <cfRule type="cellIs" dxfId="9029" priority="667" operator="equal">
      <formula>0</formula>
    </cfRule>
  </conditionalFormatting>
  <conditionalFormatting sqref="R197:T197 N197:O197 D198:F199 J198:T199">
    <cfRule type="cellIs" dxfId="9028" priority="666" operator="equal">
      <formula>0</formula>
    </cfRule>
  </conditionalFormatting>
  <conditionalFormatting sqref="F198:F199">
    <cfRule type="cellIs" dxfId="9027" priority="665" operator="equal">
      <formula>0</formula>
    </cfRule>
  </conditionalFormatting>
  <conditionalFormatting sqref="N197:O197">
    <cfRule type="cellIs" dxfId="9026" priority="664" operator="equal">
      <formula>0</formula>
    </cfRule>
  </conditionalFormatting>
  <conditionalFormatting sqref="L200:L202 L218">
    <cfRule type="cellIs" dxfId="9025" priority="663" operator="equal">
      <formula>0</formula>
    </cfRule>
  </conditionalFormatting>
  <conditionalFormatting sqref="L198:L199">
    <cfRule type="cellIs" dxfId="9024" priority="662" operator="equal">
      <formula>0</formula>
    </cfRule>
  </conditionalFormatting>
  <conditionalFormatting sqref="M200:M202 M218">
    <cfRule type="cellIs" dxfId="9023" priority="661" operator="equal">
      <formula>0</formula>
    </cfRule>
  </conditionalFormatting>
  <conditionalFormatting sqref="M198:M199">
    <cfRule type="cellIs" dxfId="9022" priority="660" operator="equal">
      <formula>0</formula>
    </cfRule>
  </conditionalFormatting>
  <conditionalFormatting sqref="N200:N202 N218">
    <cfRule type="cellIs" dxfId="9021" priority="659" operator="equal">
      <formula>0</formula>
    </cfRule>
  </conditionalFormatting>
  <conditionalFormatting sqref="N197:N199">
    <cfRule type="cellIs" dxfId="9020" priority="658" operator="equal">
      <formula>0</formula>
    </cfRule>
  </conditionalFormatting>
  <conditionalFormatting sqref="O200:O202 O218">
    <cfRule type="cellIs" dxfId="9019" priority="657" operator="equal">
      <formula>0</formula>
    </cfRule>
  </conditionalFormatting>
  <conditionalFormatting sqref="O197:O199">
    <cfRule type="cellIs" dxfId="9018" priority="656" operator="equal">
      <formula>0</formula>
    </cfRule>
  </conditionalFormatting>
  <conditionalFormatting sqref="P200:P202 P218">
    <cfRule type="cellIs" dxfId="9017" priority="655" operator="equal">
      <formula>0</formula>
    </cfRule>
  </conditionalFormatting>
  <conditionalFormatting sqref="P198:P199">
    <cfRule type="cellIs" dxfId="9016" priority="654" operator="equal">
      <formula>0</formula>
    </cfRule>
  </conditionalFormatting>
  <conditionalFormatting sqref="Q200:Q202 Q218">
    <cfRule type="cellIs" dxfId="9015" priority="653" operator="equal">
      <formula>0</formula>
    </cfRule>
  </conditionalFormatting>
  <conditionalFormatting sqref="Q198:Q199">
    <cfRule type="cellIs" dxfId="9014" priority="652" operator="equal">
      <formula>0</formula>
    </cfRule>
  </conditionalFormatting>
  <conditionalFormatting sqref="D226:F226 J226:T226">
    <cfRule type="cellIs" dxfId="9013" priority="651" operator="equal">
      <formula>0</formula>
    </cfRule>
  </conditionalFormatting>
  <conditionalFormatting sqref="D219:F227 D217:F217 D197:F203 N197:O197 R197:T197 J219:T227 J217:T217 J198:T203">
    <cfRule type="containsBlanks" dxfId="9012" priority="650">
      <formula>LEN(TRIM(D197))=0</formula>
    </cfRule>
  </conditionalFormatting>
  <conditionalFormatting sqref="D226:F226 J226:T226">
    <cfRule type="cellIs" dxfId="9011" priority="649" operator="equal">
      <formula>0</formula>
    </cfRule>
  </conditionalFormatting>
  <conditionalFormatting sqref="N200:N201">
    <cfRule type="cellIs" dxfId="9010" priority="648" operator="equal">
      <formula>0</formula>
    </cfRule>
  </conditionalFormatting>
  <conditionalFormatting sqref="O200:O201">
    <cfRule type="cellIs" dxfId="9009" priority="647" operator="equal">
      <formula>0</formula>
    </cfRule>
  </conditionalFormatting>
  <conditionalFormatting sqref="P200:Q200">
    <cfRule type="cellIs" dxfId="9008" priority="646" operator="equal">
      <formula>0</formula>
    </cfRule>
  </conditionalFormatting>
  <conditionalFormatting sqref="P201:Q201">
    <cfRule type="cellIs" dxfId="9007" priority="645" operator="equal">
      <formula>0</formula>
    </cfRule>
  </conditionalFormatting>
  <conditionalFormatting sqref="D205:F216 J205:T216">
    <cfRule type="cellIs" dxfId="9006" priority="644" operator="equal">
      <formula>0</formula>
    </cfRule>
  </conditionalFormatting>
  <conditionalFormatting sqref="D205:F216 J205:T216">
    <cfRule type="containsBlanks" dxfId="9005" priority="643">
      <formula>LEN(TRIM(D205))=0</formula>
    </cfRule>
  </conditionalFormatting>
  <conditionalFormatting sqref="J197">
    <cfRule type="cellIs" dxfId="9004" priority="642" operator="equal">
      <formula>0</formula>
    </cfRule>
  </conditionalFormatting>
  <conditionalFormatting sqref="K197">
    <cfRule type="cellIs" dxfId="9003" priority="641" operator="equal">
      <formula>0</formula>
    </cfRule>
  </conditionalFormatting>
  <conditionalFormatting sqref="L197:M197">
    <cfRule type="cellIs" dxfId="9002" priority="640" operator="equal">
      <formula>0</formula>
    </cfRule>
  </conditionalFormatting>
  <conditionalFormatting sqref="M197">
    <cfRule type="cellIs" dxfId="9001" priority="639" operator="equal">
      <formula>0</formula>
    </cfRule>
  </conditionalFormatting>
  <conditionalFormatting sqref="J197:M197">
    <cfRule type="containsBlanks" dxfId="9000" priority="638">
      <formula>LEN(TRIM(J197))=0</formula>
    </cfRule>
  </conditionalFormatting>
  <conditionalFormatting sqref="P197:Q197">
    <cfRule type="cellIs" dxfId="8999" priority="637" operator="equal">
      <formula>0</formula>
    </cfRule>
  </conditionalFormatting>
  <conditionalFormatting sqref="P197:Q197">
    <cfRule type="cellIs" dxfId="8998" priority="636" operator="equal">
      <formula>0</formula>
    </cfRule>
  </conditionalFormatting>
  <conditionalFormatting sqref="P197:Q197">
    <cfRule type="containsBlanks" dxfId="8997" priority="635">
      <formula>LEN(TRIM(P197))=0</formula>
    </cfRule>
  </conditionalFormatting>
  <conditionalFormatting sqref="D264:F264 R255:T255 D254:F262 D234:F241 N234:O234 R234:T234 J264:T264 J255:K255 J256:T262 J254:T254 J235:T241">
    <cfRule type="cellIs" dxfId="8996" priority="634" operator="equal">
      <formula>0</formula>
    </cfRule>
  </conditionalFormatting>
  <conditionalFormatting sqref="R234:R236">
    <cfRule type="cellIs" dxfId="8995" priority="633" operator="equal">
      <formula>0</formula>
    </cfRule>
  </conditionalFormatting>
  <conditionalFormatting sqref="R234:T234 N234:O234 D235:F236 J235:T236">
    <cfRule type="cellIs" dxfId="8994" priority="632" operator="equal">
      <formula>0</formula>
    </cfRule>
  </conditionalFormatting>
  <conditionalFormatting sqref="F235:F236">
    <cfRule type="cellIs" dxfId="8993" priority="631" operator="equal">
      <formula>0</formula>
    </cfRule>
  </conditionalFormatting>
  <conditionalFormatting sqref="N234:O234">
    <cfRule type="cellIs" dxfId="8992" priority="630" operator="equal">
      <formula>0</formula>
    </cfRule>
  </conditionalFormatting>
  <conditionalFormatting sqref="L237:L239 L255">
    <cfRule type="cellIs" dxfId="8991" priority="629" operator="equal">
      <formula>0</formula>
    </cfRule>
  </conditionalFormatting>
  <conditionalFormatting sqref="L235:L236">
    <cfRule type="cellIs" dxfId="8990" priority="628" operator="equal">
      <formula>0</formula>
    </cfRule>
  </conditionalFormatting>
  <conditionalFormatting sqref="M237:M239 M255">
    <cfRule type="cellIs" dxfId="8989" priority="627" operator="equal">
      <formula>0</formula>
    </cfRule>
  </conditionalFormatting>
  <conditionalFormatting sqref="M235:M236">
    <cfRule type="cellIs" dxfId="8988" priority="626" operator="equal">
      <formula>0</formula>
    </cfRule>
  </conditionalFormatting>
  <conditionalFormatting sqref="N237:N239 N255">
    <cfRule type="cellIs" dxfId="8987" priority="625" operator="equal">
      <formula>0</formula>
    </cfRule>
  </conditionalFormatting>
  <conditionalFormatting sqref="N234:N236">
    <cfRule type="cellIs" dxfId="8986" priority="624" operator="equal">
      <formula>0</formula>
    </cfRule>
  </conditionalFormatting>
  <conditionalFormatting sqref="O237:O239 O255">
    <cfRule type="cellIs" dxfId="8985" priority="623" operator="equal">
      <formula>0</formula>
    </cfRule>
  </conditionalFormatting>
  <conditionalFormatting sqref="O234:O236">
    <cfRule type="cellIs" dxfId="8984" priority="622" operator="equal">
      <formula>0</formula>
    </cfRule>
  </conditionalFormatting>
  <conditionalFormatting sqref="P237:P239 P255">
    <cfRule type="cellIs" dxfId="8983" priority="621" operator="equal">
      <formula>0</formula>
    </cfRule>
  </conditionalFormatting>
  <conditionalFormatting sqref="P235:P236">
    <cfRule type="cellIs" dxfId="8982" priority="620" operator="equal">
      <formula>0</formula>
    </cfRule>
  </conditionalFormatting>
  <conditionalFormatting sqref="Q237:Q239 Q255">
    <cfRule type="cellIs" dxfId="8981" priority="619" operator="equal">
      <formula>0</formula>
    </cfRule>
  </conditionalFormatting>
  <conditionalFormatting sqref="Q235:Q236">
    <cfRule type="cellIs" dxfId="8980" priority="618" operator="equal">
      <formula>0</formula>
    </cfRule>
  </conditionalFormatting>
  <conditionalFormatting sqref="D263:F263 J263:T263">
    <cfRule type="cellIs" dxfId="8979" priority="617" operator="equal">
      <formula>0</formula>
    </cfRule>
  </conditionalFormatting>
  <conditionalFormatting sqref="D256:F264 D254:F254 D234:F240 N234:O234 R234:T234 J256:T264 J254:T254 J235:T240">
    <cfRule type="containsBlanks" dxfId="8978" priority="616">
      <formula>LEN(TRIM(D234))=0</formula>
    </cfRule>
  </conditionalFormatting>
  <conditionalFormatting sqref="D263:F263 J263:T263">
    <cfRule type="cellIs" dxfId="8977" priority="615" operator="equal">
      <formula>0</formula>
    </cfRule>
  </conditionalFormatting>
  <conditionalFormatting sqref="N237:N238">
    <cfRule type="cellIs" dxfId="8976" priority="614" operator="equal">
      <formula>0</formula>
    </cfRule>
  </conditionalFormatting>
  <conditionalFormatting sqref="O237:O238">
    <cfRule type="cellIs" dxfId="8975" priority="613" operator="equal">
      <formula>0</formula>
    </cfRule>
  </conditionalFormatting>
  <conditionalFormatting sqref="P237:Q237">
    <cfRule type="cellIs" dxfId="8974" priority="612" operator="equal">
      <formula>0</formula>
    </cfRule>
  </conditionalFormatting>
  <conditionalFormatting sqref="P238:Q238">
    <cfRule type="cellIs" dxfId="8973" priority="611" operator="equal">
      <formula>0</formula>
    </cfRule>
  </conditionalFormatting>
  <conditionalFormatting sqref="D242:F253 J242:T253">
    <cfRule type="cellIs" dxfId="8972" priority="610" operator="equal">
      <formula>0</formula>
    </cfRule>
  </conditionalFormatting>
  <conditionalFormatting sqref="D242:F253 J242:T253">
    <cfRule type="containsBlanks" dxfId="8971" priority="609">
      <formula>LEN(TRIM(D242))=0</formula>
    </cfRule>
  </conditionalFormatting>
  <conditionalFormatting sqref="J234">
    <cfRule type="cellIs" dxfId="8970" priority="608" operator="equal">
      <formula>0</formula>
    </cfRule>
  </conditionalFormatting>
  <conditionalFormatting sqref="K234">
    <cfRule type="cellIs" dxfId="8969" priority="607" operator="equal">
      <formula>0</formula>
    </cfRule>
  </conditionalFormatting>
  <conditionalFormatting sqref="L234:M234">
    <cfRule type="cellIs" dxfId="8968" priority="606" operator="equal">
      <formula>0</formula>
    </cfRule>
  </conditionalFormatting>
  <conditionalFormatting sqref="M234">
    <cfRule type="cellIs" dxfId="8967" priority="605" operator="equal">
      <formula>0</formula>
    </cfRule>
  </conditionalFormatting>
  <conditionalFormatting sqref="J234:M234">
    <cfRule type="containsBlanks" dxfId="8966" priority="604">
      <formula>LEN(TRIM(J234))=0</formula>
    </cfRule>
  </conditionalFormatting>
  <conditionalFormatting sqref="P234:Q234">
    <cfRule type="cellIs" dxfId="8965" priority="603" operator="equal">
      <formula>0</formula>
    </cfRule>
  </conditionalFormatting>
  <conditionalFormatting sqref="P234:Q234">
    <cfRule type="cellIs" dxfId="8964" priority="602" operator="equal">
      <formula>0</formula>
    </cfRule>
  </conditionalFormatting>
  <conditionalFormatting sqref="P234:Q234">
    <cfRule type="containsBlanks" dxfId="8963" priority="601">
      <formula>LEN(TRIM(P234))=0</formula>
    </cfRule>
  </conditionalFormatting>
  <conditionalFormatting sqref="D301:F301 R292:T292 D291:F299 D271:F278 N271:O271 R271:T271 J301:T301 J292:K292 J293:T299 J291:T291 J272:T278">
    <cfRule type="cellIs" dxfId="8962" priority="600" operator="equal">
      <formula>0</formula>
    </cfRule>
  </conditionalFormatting>
  <conditionalFormatting sqref="R271:R273">
    <cfRule type="cellIs" dxfId="8961" priority="599" operator="equal">
      <formula>0</formula>
    </cfRule>
  </conditionalFormatting>
  <conditionalFormatting sqref="R271:T271 N271:O271 D272:F273 J272:T273">
    <cfRule type="cellIs" dxfId="8960" priority="598" operator="equal">
      <formula>0</formula>
    </cfRule>
  </conditionalFormatting>
  <conditionalFormatting sqref="F272:F273">
    <cfRule type="cellIs" dxfId="8959" priority="597" operator="equal">
      <formula>0</formula>
    </cfRule>
  </conditionalFormatting>
  <conditionalFormatting sqref="N271:O271">
    <cfRule type="cellIs" dxfId="8958" priority="596" operator="equal">
      <formula>0</formula>
    </cfRule>
  </conditionalFormatting>
  <conditionalFormatting sqref="L274:L276 L292">
    <cfRule type="cellIs" dxfId="8957" priority="595" operator="equal">
      <formula>0</formula>
    </cfRule>
  </conditionalFormatting>
  <conditionalFormatting sqref="L272:L273">
    <cfRule type="cellIs" dxfId="8956" priority="594" operator="equal">
      <formula>0</formula>
    </cfRule>
  </conditionalFormatting>
  <conditionalFormatting sqref="M274:M276 M292">
    <cfRule type="cellIs" dxfId="8955" priority="593" operator="equal">
      <formula>0</formula>
    </cfRule>
  </conditionalFormatting>
  <conditionalFormatting sqref="M272:M273">
    <cfRule type="cellIs" dxfId="8954" priority="592" operator="equal">
      <formula>0</formula>
    </cfRule>
  </conditionalFormatting>
  <conditionalFormatting sqref="N274:N276 N292">
    <cfRule type="cellIs" dxfId="8953" priority="591" operator="equal">
      <formula>0</formula>
    </cfRule>
  </conditionalFormatting>
  <conditionalFormatting sqref="N271:N273">
    <cfRule type="cellIs" dxfId="8952" priority="590" operator="equal">
      <formula>0</formula>
    </cfRule>
  </conditionalFormatting>
  <conditionalFormatting sqref="O274:O276 O292">
    <cfRule type="cellIs" dxfId="8951" priority="589" operator="equal">
      <formula>0</formula>
    </cfRule>
  </conditionalFormatting>
  <conditionalFormatting sqref="O271:O273">
    <cfRule type="cellIs" dxfId="8950" priority="588" operator="equal">
      <formula>0</formula>
    </cfRule>
  </conditionalFormatting>
  <conditionalFormatting sqref="P274:P276 P292">
    <cfRule type="cellIs" dxfId="8949" priority="587" operator="equal">
      <formula>0</formula>
    </cfRule>
  </conditionalFormatting>
  <conditionalFormatting sqref="P272:P273">
    <cfRule type="cellIs" dxfId="8948" priority="586" operator="equal">
      <formula>0</formula>
    </cfRule>
  </conditionalFormatting>
  <conditionalFormatting sqref="Q274:Q276 Q292">
    <cfRule type="cellIs" dxfId="8947" priority="585" operator="equal">
      <formula>0</formula>
    </cfRule>
  </conditionalFormatting>
  <conditionalFormatting sqref="Q272:Q273">
    <cfRule type="cellIs" dxfId="8946" priority="584" operator="equal">
      <formula>0</formula>
    </cfRule>
  </conditionalFormatting>
  <conditionalFormatting sqref="D300:F300 J300:T300">
    <cfRule type="cellIs" dxfId="8945" priority="583" operator="equal">
      <formula>0</formula>
    </cfRule>
  </conditionalFormatting>
  <conditionalFormatting sqref="D293:F301 D291:F291 D271:F277 N271:O271 R271:T271 J293:T301 J291:T291 J272:T277">
    <cfRule type="containsBlanks" dxfId="8944" priority="582">
      <formula>LEN(TRIM(D271))=0</formula>
    </cfRule>
  </conditionalFormatting>
  <conditionalFormatting sqref="D300:F300 J300:T300">
    <cfRule type="cellIs" dxfId="8943" priority="581" operator="equal">
      <formula>0</formula>
    </cfRule>
  </conditionalFormatting>
  <conditionalFormatting sqref="N274:N275">
    <cfRule type="cellIs" dxfId="8942" priority="580" operator="equal">
      <formula>0</formula>
    </cfRule>
  </conditionalFormatting>
  <conditionalFormatting sqref="O274:O275">
    <cfRule type="cellIs" dxfId="8941" priority="579" operator="equal">
      <formula>0</formula>
    </cfRule>
  </conditionalFormatting>
  <conditionalFormatting sqref="P274:Q274">
    <cfRule type="cellIs" dxfId="8940" priority="578" operator="equal">
      <formula>0</formula>
    </cfRule>
  </conditionalFormatting>
  <conditionalFormatting sqref="P275:Q275">
    <cfRule type="cellIs" dxfId="8939" priority="577" operator="equal">
      <formula>0</formula>
    </cfRule>
  </conditionalFormatting>
  <conditionalFormatting sqref="D279:F290 J279:T290">
    <cfRule type="cellIs" dxfId="8938" priority="576" operator="equal">
      <formula>0</formula>
    </cfRule>
  </conditionalFormatting>
  <conditionalFormatting sqref="D279:F290 J279:T290">
    <cfRule type="containsBlanks" dxfId="8937" priority="575">
      <formula>LEN(TRIM(D279))=0</formula>
    </cfRule>
  </conditionalFormatting>
  <conditionalFormatting sqref="J271">
    <cfRule type="cellIs" dxfId="8936" priority="574" operator="equal">
      <formula>0</formula>
    </cfRule>
  </conditionalFormatting>
  <conditionalFormatting sqref="K271">
    <cfRule type="cellIs" dxfId="8935" priority="573" operator="equal">
      <formula>0</formula>
    </cfRule>
  </conditionalFormatting>
  <conditionalFormatting sqref="L271:M271">
    <cfRule type="cellIs" dxfId="8934" priority="572" operator="equal">
      <formula>0</formula>
    </cfRule>
  </conditionalFormatting>
  <conditionalFormatting sqref="M271">
    <cfRule type="cellIs" dxfId="8933" priority="571" operator="equal">
      <formula>0</formula>
    </cfRule>
  </conditionalFormatting>
  <conditionalFormatting sqref="J271:M271">
    <cfRule type="containsBlanks" dxfId="8932" priority="570">
      <formula>LEN(TRIM(J271))=0</formula>
    </cfRule>
  </conditionalFormatting>
  <conditionalFormatting sqref="P271:Q271">
    <cfRule type="cellIs" dxfId="8931" priority="569" operator="equal">
      <formula>0</formula>
    </cfRule>
  </conditionalFormatting>
  <conditionalFormatting sqref="P271:Q271">
    <cfRule type="cellIs" dxfId="8930" priority="568" operator="equal">
      <formula>0</formula>
    </cfRule>
  </conditionalFormatting>
  <conditionalFormatting sqref="P271:Q271">
    <cfRule type="containsBlanks" dxfId="8929" priority="567">
      <formula>LEN(TRIM(P271))=0</formula>
    </cfRule>
  </conditionalFormatting>
  <conditionalFormatting sqref="D338:F338 R329:T329 D328:F336 D308:F315 N308:O308 R308:T308 J338:T338 J329:K329 J330:T336 J328:T328 J309:T315">
    <cfRule type="cellIs" dxfId="8928" priority="566" operator="equal">
      <formula>0</formula>
    </cfRule>
  </conditionalFormatting>
  <conditionalFormatting sqref="R308:R310">
    <cfRule type="cellIs" dxfId="8927" priority="565" operator="equal">
      <formula>0</formula>
    </cfRule>
  </conditionalFormatting>
  <conditionalFormatting sqref="R308:T308 N308:O308 D309:F310 J309:T310">
    <cfRule type="cellIs" dxfId="8926" priority="564" operator="equal">
      <formula>0</formula>
    </cfRule>
  </conditionalFormatting>
  <conditionalFormatting sqref="F309:F310">
    <cfRule type="cellIs" dxfId="8925" priority="563" operator="equal">
      <formula>0</formula>
    </cfRule>
  </conditionalFormatting>
  <conditionalFormatting sqref="N308:O308">
    <cfRule type="cellIs" dxfId="8924" priority="562" operator="equal">
      <formula>0</formula>
    </cfRule>
  </conditionalFormatting>
  <conditionalFormatting sqref="L311:L313 L329">
    <cfRule type="cellIs" dxfId="8923" priority="561" operator="equal">
      <formula>0</formula>
    </cfRule>
  </conditionalFormatting>
  <conditionalFormatting sqref="L309:L310">
    <cfRule type="cellIs" dxfId="8922" priority="560" operator="equal">
      <formula>0</formula>
    </cfRule>
  </conditionalFormatting>
  <conditionalFormatting sqref="M311:M313 M329">
    <cfRule type="cellIs" dxfId="8921" priority="559" operator="equal">
      <formula>0</formula>
    </cfRule>
  </conditionalFormatting>
  <conditionalFormatting sqref="M309:M310">
    <cfRule type="cellIs" dxfId="8920" priority="558" operator="equal">
      <formula>0</formula>
    </cfRule>
  </conditionalFormatting>
  <conditionalFormatting sqref="N311:N313 N329">
    <cfRule type="cellIs" dxfId="8919" priority="557" operator="equal">
      <formula>0</formula>
    </cfRule>
  </conditionalFormatting>
  <conditionalFormatting sqref="N308:N310">
    <cfRule type="cellIs" dxfId="8918" priority="556" operator="equal">
      <formula>0</formula>
    </cfRule>
  </conditionalFormatting>
  <conditionalFormatting sqref="O311:O313 O329">
    <cfRule type="cellIs" dxfId="8917" priority="555" operator="equal">
      <formula>0</formula>
    </cfRule>
  </conditionalFormatting>
  <conditionalFormatting sqref="O308:O310">
    <cfRule type="cellIs" dxfId="8916" priority="554" operator="equal">
      <formula>0</formula>
    </cfRule>
  </conditionalFormatting>
  <conditionalFormatting sqref="P311:P313 P329">
    <cfRule type="cellIs" dxfId="8915" priority="553" operator="equal">
      <formula>0</formula>
    </cfRule>
  </conditionalFormatting>
  <conditionalFormatting sqref="P309:P310">
    <cfRule type="cellIs" dxfId="8914" priority="552" operator="equal">
      <formula>0</formula>
    </cfRule>
  </conditionalFormatting>
  <conditionalFormatting sqref="Q311:Q313 Q329">
    <cfRule type="cellIs" dxfId="8913" priority="551" operator="equal">
      <formula>0</formula>
    </cfRule>
  </conditionalFormatting>
  <conditionalFormatting sqref="Q309:Q310">
    <cfRule type="cellIs" dxfId="8912" priority="550" operator="equal">
      <formula>0</formula>
    </cfRule>
  </conditionalFormatting>
  <conditionalFormatting sqref="D337:F337 J337:T337">
    <cfRule type="cellIs" dxfId="8911" priority="549" operator="equal">
      <formula>0</formula>
    </cfRule>
  </conditionalFormatting>
  <conditionalFormatting sqref="D330:F338 D328:F328 D308:F314 N308:O308 R308:T308 J330:T338 J328:T328 J309:T314">
    <cfRule type="containsBlanks" dxfId="8910" priority="548">
      <formula>LEN(TRIM(D308))=0</formula>
    </cfRule>
  </conditionalFormatting>
  <conditionalFormatting sqref="D337:F337 J337:T337">
    <cfRule type="cellIs" dxfId="8909" priority="547" operator="equal">
      <formula>0</formula>
    </cfRule>
  </conditionalFormatting>
  <conditionalFormatting sqref="N311:N312">
    <cfRule type="cellIs" dxfId="8908" priority="546" operator="equal">
      <formula>0</formula>
    </cfRule>
  </conditionalFormatting>
  <conditionalFormatting sqref="O311:O312">
    <cfRule type="cellIs" dxfId="8907" priority="545" operator="equal">
      <formula>0</formula>
    </cfRule>
  </conditionalFormatting>
  <conditionalFormatting sqref="P311:Q311">
    <cfRule type="cellIs" dxfId="8906" priority="544" operator="equal">
      <formula>0</formula>
    </cfRule>
  </conditionalFormatting>
  <conditionalFormatting sqref="P312:Q312">
    <cfRule type="cellIs" dxfId="8905" priority="543" operator="equal">
      <formula>0</formula>
    </cfRule>
  </conditionalFormatting>
  <conditionalFormatting sqref="D316:F327 J316:T327">
    <cfRule type="cellIs" dxfId="8904" priority="542" operator="equal">
      <formula>0</formula>
    </cfRule>
  </conditionalFormatting>
  <conditionalFormatting sqref="D316:F327 J316:T327">
    <cfRule type="containsBlanks" dxfId="8903" priority="541">
      <formula>LEN(TRIM(D316))=0</formula>
    </cfRule>
  </conditionalFormatting>
  <conditionalFormatting sqref="J308">
    <cfRule type="cellIs" dxfId="8902" priority="540" operator="equal">
      <formula>0</formula>
    </cfRule>
  </conditionalFormatting>
  <conditionalFormatting sqref="K308">
    <cfRule type="cellIs" dxfId="8901" priority="539" operator="equal">
      <formula>0</formula>
    </cfRule>
  </conditionalFormatting>
  <conditionalFormatting sqref="L308:M308">
    <cfRule type="cellIs" dxfId="8900" priority="538" operator="equal">
      <formula>0</formula>
    </cfRule>
  </conditionalFormatting>
  <conditionalFormatting sqref="M308">
    <cfRule type="cellIs" dxfId="8899" priority="537" operator="equal">
      <formula>0</formula>
    </cfRule>
  </conditionalFormatting>
  <conditionalFormatting sqref="J308:M308">
    <cfRule type="containsBlanks" dxfId="8898" priority="536">
      <formula>LEN(TRIM(J308))=0</formula>
    </cfRule>
  </conditionalFormatting>
  <conditionalFormatting sqref="P308:Q308">
    <cfRule type="cellIs" dxfId="8897" priority="535" operator="equal">
      <formula>0</formula>
    </cfRule>
  </conditionalFormatting>
  <conditionalFormatting sqref="P308:Q308">
    <cfRule type="cellIs" dxfId="8896" priority="534" operator="equal">
      <formula>0</formula>
    </cfRule>
  </conditionalFormatting>
  <conditionalFormatting sqref="P308:Q308">
    <cfRule type="containsBlanks" dxfId="8895" priority="533">
      <formula>LEN(TRIM(P308))=0</formula>
    </cfRule>
  </conditionalFormatting>
  <conditionalFormatting sqref="D375:F375 R366:T366 D365:F373 D345:F352 N345:O345 R345:T345 J375:T375 J366:K366 J367:T373 J365:T365 J346:T352">
    <cfRule type="cellIs" dxfId="8894" priority="532" operator="equal">
      <formula>0</formula>
    </cfRule>
  </conditionalFormatting>
  <conditionalFormatting sqref="R345:R347">
    <cfRule type="cellIs" dxfId="8893" priority="531" operator="equal">
      <formula>0</formula>
    </cfRule>
  </conditionalFormatting>
  <conditionalFormatting sqref="R345:T345 N345:O345 D346:F347 J346:T347">
    <cfRule type="cellIs" dxfId="8892" priority="530" operator="equal">
      <formula>0</formula>
    </cfRule>
  </conditionalFormatting>
  <conditionalFormatting sqref="F346:F347">
    <cfRule type="cellIs" dxfId="8891" priority="529" operator="equal">
      <formula>0</formula>
    </cfRule>
  </conditionalFormatting>
  <conditionalFormatting sqref="N345:O345">
    <cfRule type="cellIs" dxfId="8890" priority="528" operator="equal">
      <formula>0</formula>
    </cfRule>
  </conditionalFormatting>
  <conditionalFormatting sqref="L348:L350 L366">
    <cfRule type="cellIs" dxfId="8889" priority="527" operator="equal">
      <formula>0</formula>
    </cfRule>
  </conditionalFormatting>
  <conditionalFormatting sqref="L346:L347">
    <cfRule type="cellIs" dxfId="8888" priority="526" operator="equal">
      <formula>0</formula>
    </cfRule>
  </conditionalFormatting>
  <conditionalFormatting sqref="M348:M350 M366">
    <cfRule type="cellIs" dxfId="8887" priority="525" operator="equal">
      <formula>0</formula>
    </cfRule>
  </conditionalFormatting>
  <conditionalFormatting sqref="M346:M347">
    <cfRule type="cellIs" dxfId="8886" priority="524" operator="equal">
      <formula>0</formula>
    </cfRule>
  </conditionalFormatting>
  <conditionalFormatting sqref="N348:N350 N366">
    <cfRule type="cellIs" dxfId="8885" priority="523" operator="equal">
      <formula>0</formula>
    </cfRule>
  </conditionalFormatting>
  <conditionalFormatting sqref="N345:N347">
    <cfRule type="cellIs" dxfId="8884" priority="522" operator="equal">
      <formula>0</formula>
    </cfRule>
  </conditionalFormatting>
  <conditionalFormatting sqref="O348:O350 O366">
    <cfRule type="cellIs" dxfId="8883" priority="521" operator="equal">
      <formula>0</formula>
    </cfRule>
  </conditionalFormatting>
  <conditionalFormatting sqref="O345:O347">
    <cfRule type="cellIs" dxfId="8882" priority="520" operator="equal">
      <formula>0</formula>
    </cfRule>
  </conditionalFormatting>
  <conditionalFormatting sqref="P348:P350 P366">
    <cfRule type="cellIs" dxfId="8881" priority="519" operator="equal">
      <formula>0</formula>
    </cfRule>
  </conditionalFormatting>
  <conditionalFormatting sqref="P346:P347">
    <cfRule type="cellIs" dxfId="8880" priority="518" operator="equal">
      <formula>0</formula>
    </cfRule>
  </conditionalFormatting>
  <conditionalFormatting sqref="Q348:Q350 Q366">
    <cfRule type="cellIs" dxfId="8879" priority="517" operator="equal">
      <formula>0</formula>
    </cfRule>
  </conditionalFormatting>
  <conditionalFormatting sqref="Q346:Q347">
    <cfRule type="cellIs" dxfId="8878" priority="516" operator="equal">
      <formula>0</formula>
    </cfRule>
  </conditionalFormatting>
  <conditionalFormatting sqref="D374:F374 J374:T374">
    <cfRule type="cellIs" dxfId="8877" priority="515" operator="equal">
      <formula>0</formula>
    </cfRule>
  </conditionalFormatting>
  <conditionalFormatting sqref="D367:F375 D365:F365 D345:F351 N345:O345 R345:T345 J367:T375 J365:T365 J346:T351">
    <cfRule type="containsBlanks" dxfId="8876" priority="514">
      <formula>LEN(TRIM(D345))=0</formula>
    </cfRule>
  </conditionalFormatting>
  <conditionalFormatting sqref="D374:F374 J374:T374">
    <cfRule type="cellIs" dxfId="8875" priority="513" operator="equal">
      <formula>0</formula>
    </cfRule>
  </conditionalFormatting>
  <conditionalFormatting sqref="N348:N349">
    <cfRule type="cellIs" dxfId="8874" priority="512" operator="equal">
      <formula>0</formula>
    </cfRule>
  </conditionalFormatting>
  <conditionalFormatting sqref="O348:O349">
    <cfRule type="cellIs" dxfId="8873" priority="511" operator="equal">
      <formula>0</formula>
    </cfRule>
  </conditionalFormatting>
  <conditionalFormatting sqref="P348:Q348">
    <cfRule type="cellIs" dxfId="8872" priority="510" operator="equal">
      <formula>0</formula>
    </cfRule>
  </conditionalFormatting>
  <conditionalFormatting sqref="P349:Q349">
    <cfRule type="cellIs" dxfId="8871" priority="509" operator="equal">
      <formula>0</formula>
    </cfRule>
  </conditionalFormatting>
  <conditionalFormatting sqref="D353:F364 J353:T364">
    <cfRule type="cellIs" dxfId="8870" priority="508" operator="equal">
      <formula>0</formula>
    </cfRule>
  </conditionalFormatting>
  <conditionalFormatting sqref="D353:F364 J353:T364">
    <cfRule type="containsBlanks" dxfId="8869" priority="507">
      <formula>LEN(TRIM(D353))=0</formula>
    </cfRule>
  </conditionalFormatting>
  <conditionalFormatting sqref="J345">
    <cfRule type="cellIs" dxfId="8868" priority="506" operator="equal">
      <formula>0</formula>
    </cfRule>
  </conditionalFormatting>
  <conditionalFormatting sqref="K345">
    <cfRule type="cellIs" dxfId="8867" priority="505" operator="equal">
      <formula>0</formula>
    </cfRule>
  </conditionalFormatting>
  <conditionalFormatting sqref="L345:M345">
    <cfRule type="cellIs" dxfId="8866" priority="504" operator="equal">
      <formula>0</formula>
    </cfRule>
  </conditionalFormatting>
  <conditionalFormatting sqref="M345">
    <cfRule type="cellIs" dxfId="8865" priority="503" operator="equal">
      <formula>0</formula>
    </cfRule>
  </conditionalFormatting>
  <conditionalFormatting sqref="J345:M345">
    <cfRule type="containsBlanks" dxfId="8864" priority="502">
      <formula>LEN(TRIM(J345))=0</formula>
    </cfRule>
  </conditionalFormatting>
  <conditionalFormatting sqref="P345:Q345">
    <cfRule type="cellIs" dxfId="8863" priority="501" operator="equal">
      <formula>0</formula>
    </cfRule>
  </conditionalFormatting>
  <conditionalFormatting sqref="P345:Q345">
    <cfRule type="cellIs" dxfId="8862" priority="500" operator="equal">
      <formula>0</formula>
    </cfRule>
  </conditionalFormatting>
  <conditionalFormatting sqref="P345:Q345">
    <cfRule type="containsBlanks" dxfId="8861" priority="499">
      <formula>LEN(TRIM(P345))=0</formula>
    </cfRule>
  </conditionalFormatting>
  <conditionalFormatting sqref="D412:F412 R403:T403 D402:F410 D382:F389 N382:O382 R382:T382 J412:T412 J403:K403 J404:T410 J402:T402 J383:T389">
    <cfRule type="cellIs" dxfId="8860" priority="498" operator="equal">
      <formula>0</formula>
    </cfRule>
  </conditionalFormatting>
  <conditionalFormatting sqref="R382:R384">
    <cfRule type="cellIs" dxfId="8859" priority="497" operator="equal">
      <formula>0</formula>
    </cfRule>
  </conditionalFormatting>
  <conditionalFormatting sqref="R382:T382 N382:O382 D383:F384 J383:T384">
    <cfRule type="cellIs" dxfId="8858" priority="496" operator="equal">
      <formula>0</formula>
    </cfRule>
  </conditionalFormatting>
  <conditionalFormatting sqref="F383:F384">
    <cfRule type="cellIs" dxfId="8857" priority="495" operator="equal">
      <formula>0</formula>
    </cfRule>
  </conditionalFormatting>
  <conditionalFormatting sqref="N382:O382">
    <cfRule type="cellIs" dxfId="8856" priority="494" operator="equal">
      <formula>0</formula>
    </cfRule>
  </conditionalFormatting>
  <conditionalFormatting sqref="L385:L387 L403">
    <cfRule type="cellIs" dxfId="8855" priority="493" operator="equal">
      <formula>0</formula>
    </cfRule>
  </conditionalFormatting>
  <conditionalFormatting sqref="L383:L384">
    <cfRule type="cellIs" dxfId="8854" priority="492" operator="equal">
      <formula>0</formula>
    </cfRule>
  </conditionalFormatting>
  <conditionalFormatting sqref="M385:M387 M403">
    <cfRule type="cellIs" dxfId="8853" priority="491" operator="equal">
      <formula>0</formula>
    </cfRule>
  </conditionalFormatting>
  <conditionalFormatting sqref="M383:M384">
    <cfRule type="cellIs" dxfId="8852" priority="490" operator="equal">
      <formula>0</formula>
    </cfRule>
  </conditionalFormatting>
  <conditionalFormatting sqref="N385:N387 N403">
    <cfRule type="cellIs" dxfId="8851" priority="489" operator="equal">
      <formula>0</formula>
    </cfRule>
  </conditionalFormatting>
  <conditionalFormatting sqref="N382:N384">
    <cfRule type="cellIs" dxfId="8850" priority="488" operator="equal">
      <formula>0</formula>
    </cfRule>
  </conditionalFormatting>
  <conditionalFormatting sqref="O385:O387 O403">
    <cfRule type="cellIs" dxfId="8849" priority="487" operator="equal">
      <formula>0</formula>
    </cfRule>
  </conditionalFormatting>
  <conditionalFormatting sqref="O382:O384">
    <cfRule type="cellIs" dxfId="8848" priority="486" operator="equal">
      <formula>0</formula>
    </cfRule>
  </conditionalFormatting>
  <conditionalFormatting sqref="P385:P387 P403">
    <cfRule type="cellIs" dxfId="8847" priority="485" operator="equal">
      <formula>0</formula>
    </cfRule>
  </conditionalFormatting>
  <conditionalFormatting sqref="P383:P384">
    <cfRule type="cellIs" dxfId="8846" priority="484" operator="equal">
      <formula>0</formula>
    </cfRule>
  </conditionalFormatting>
  <conditionalFormatting sqref="Q385:Q387 Q403">
    <cfRule type="cellIs" dxfId="8845" priority="483" operator="equal">
      <formula>0</formula>
    </cfRule>
  </conditionalFormatting>
  <conditionalFormatting sqref="Q383:Q384">
    <cfRule type="cellIs" dxfId="8844" priority="482" operator="equal">
      <formula>0</formula>
    </cfRule>
  </conditionalFormatting>
  <conditionalFormatting sqref="D411:F411 J411:T411">
    <cfRule type="cellIs" dxfId="8843" priority="481" operator="equal">
      <formula>0</formula>
    </cfRule>
  </conditionalFormatting>
  <conditionalFormatting sqref="D404:F412 D402:F402 D382:F388 N382:O382 R382:T382 J404:T412 J402:T402 J383:T388">
    <cfRule type="containsBlanks" dxfId="8842" priority="480">
      <formula>LEN(TRIM(D382))=0</formula>
    </cfRule>
  </conditionalFormatting>
  <conditionalFormatting sqref="D411:F411 J411:T411">
    <cfRule type="cellIs" dxfId="8841" priority="479" operator="equal">
      <formula>0</formula>
    </cfRule>
  </conditionalFormatting>
  <conditionalFormatting sqref="N385:N386">
    <cfRule type="cellIs" dxfId="8840" priority="478" operator="equal">
      <formula>0</formula>
    </cfRule>
  </conditionalFormatting>
  <conditionalFormatting sqref="O385:O386">
    <cfRule type="cellIs" dxfId="8839" priority="477" operator="equal">
      <formula>0</formula>
    </cfRule>
  </conditionalFormatting>
  <conditionalFormatting sqref="P385:Q385">
    <cfRule type="cellIs" dxfId="8838" priority="476" operator="equal">
      <formula>0</formula>
    </cfRule>
  </conditionalFormatting>
  <conditionalFormatting sqref="P386:Q386">
    <cfRule type="cellIs" dxfId="8837" priority="475" operator="equal">
      <formula>0</formula>
    </cfRule>
  </conditionalFormatting>
  <conditionalFormatting sqref="D390:F401 J390:T401">
    <cfRule type="cellIs" dxfId="8836" priority="474" operator="equal">
      <formula>0</formula>
    </cfRule>
  </conditionalFormatting>
  <conditionalFormatting sqref="D390:F401 J390:T401">
    <cfRule type="containsBlanks" dxfId="8835" priority="473">
      <formula>LEN(TRIM(D390))=0</formula>
    </cfRule>
  </conditionalFormatting>
  <conditionalFormatting sqref="J382">
    <cfRule type="cellIs" dxfId="8834" priority="472" operator="equal">
      <formula>0</formula>
    </cfRule>
  </conditionalFormatting>
  <conditionalFormatting sqref="K382">
    <cfRule type="cellIs" dxfId="8833" priority="471" operator="equal">
      <formula>0</formula>
    </cfRule>
  </conditionalFormatting>
  <conditionalFormatting sqref="L382:M382">
    <cfRule type="cellIs" dxfId="8832" priority="470" operator="equal">
      <formula>0</formula>
    </cfRule>
  </conditionalFormatting>
  <conditionalFormatting sqref="M382">
    <cfRule type="cellIs" dxfId="8831" priority="469" operator="equal">
      <formula>0</formula>
    </cfRule>
  </conditionalFormatting>
  <conditionalFormatting sqref="J382:M382">
    <cfRule type="containsBlanks" dxfId="8830" priority="468">
      <formula>LEN(TRIM(J382))=0</formula>
    </cfRule>
  </conditionalFormatting>
  <conditionalFormatting sqref="P382:Q382">
    <cfRule type="cellIs" dxfId="8829" priority="467" operator="equal">
      <formula>0</formula>
    </cfRule>
  </conditionalFormatting>
  <conditionalFormatting sqref="P382:Q382">
    <cfRule type="cellIs" dxfId="8828" priority="466" operator="equal">
      <formula>0</formula>
    </cfRule>
  </conditionalFormatting>
  <conditionalFormatting sqref="P382:Q382">
    <cfRule type="containsBlanks" dxfId="8827" priority="465">
      <formula>LEN(TRIM(P382))=0</formula>
    </cfRule>
  </conditionalFormatting>
  <conditionalFormatting sqref="D449:F449 R440:T440 D439:F447 D419:F426 N419:O419 R419:T419 J449:T449 J440:K440 J441:T447 J439:T439 J420:T426">
    <cfRule type="cellIs" dxfId="8826" priority="464" operator="equal">
      <formula>0</formula>
    </cfRule>
  </conditionalFormatting>
  <conditionalFormatting sqref="R419:R421">
    <cfRule type="cellIs" dxfId="8825" priority="463" operator="equal">
      <formula>0</formula>
    </cfRule>
  </conditionalFormatting>
  <conditionalFormatting sqref="R419:T419 N419:O419 D420:F421 J420:T421">
    <cfRule type="cellIs" dxfId="8824" priority="462" operator="equal">
      <formula>0</formula>
    </cfRule>
  </conditionalFormatting>
  <conditionalFormatting sqref="F420:F421">
    <cfRule type="cellIs" dxfId="8823" priority="461" operator="equal">
      <formula>0</formula>
    </cfRule>
  </conditionalFormatting>
  <conditionalFormatting sqref="N419:O419">
    <cfRule type="cellIs" dxfId="8822" priority="460" operator="equal">
      <formula>0</formula>
    </cfRule>
  </conditionalFormatting>
  <conditionalFormatting sqref="L422:L424 L440">
    <cfRule type="cellIs" dxfId="8821" priority="459" operator="equal">
      <formula>0</formula>
    </cfRule>
  </conditionalFormatting>
  <conditionalFormatting sqref="L420:L421">
    <cfRule type="cellIs" dxfId="8820" priority="458" operator="equal">
      <formula>0</formula>
    </cfRule>
  </conditionalFormatting>
  <conditionalFormatting sqref="M422:M424 M440">
    <cfRule type="cellIs" dxfId="8819" priority="457" operator="equal">
      <formula>0</formula>
    </cfRule>
  </conditionalFormatting>
  <conditionalFormatting sqref="M420:M421">
    <cfRule type="cellIs" dxfId="8818" priority="456" operator="equal">
      <formula>0</formula>
    </cfRule>
  </conditionalFormatting>
  <conditionalFormatting sqref="N422:N424 N440">
    <cfRule type="cellIs" dxfId="8817" priority="455" operator="equal">
      <formula>0</formula>
    </cfRule>
  </conditionalFormatting>
  <conditionalFormatting sqref="N419:N421">
    <cfRule type="cellIs" dxfId="8816" priority="454" operator="equal">
      <formula>0</formula>
    </cfRule>
  </conditionalFormatting>
  <conditionalFormatting sqref="O422:O424 O440">
    <cfRule type="cellIs" dxfId="8815" priority="453" operator="equal">
      <formula>0</formula>
    </cfRule>
  </conditionalFormatting>
  <conditionalFormatting sqref="O419:O421">
    <cfRule type="cellIs" dxfId="8814" priority="452" operator="equal">
      <formula>0</formula>
    </cfRule>
  </conditionalFormatting>
  <conditionalFormatting sqref="P422:P424 P440">
    <cfRule type="cellIs" dxfId="8813" priority="451" operator="equal">
      <formula>0</formula>
    </cfRule>
  </conditionalFormatting>
  <conditionalFormatting sqref="P420:P421">
    <cfRule type="cellIs" dxfId="8812" priority="450" operator="equal">
      <formula>0</formula>
    </cfRule>
  </conditionalFormatting>
  <conditionalFormatting sqref="Q422:Q424 Q440">
    <cfRule type="cellIs" dxfId="8811" priority="449" operator="equal">
      <formula>0</formula>
    </cfRule>
  </conditionalFormatting>
  <conditionalFormatting sqref="Q420:Q421">
    <cfRule type="cellIs" dxfId="8810" priority="448" operator="equal">
      <formula>0</formula>
    </cfRule>
  </conditionalFormatting>
  <conditionalFormatting sqref="D448:F448 J448:T448">
    <cfRule type="cellIs" dxfId="8809" priority="447" operator="equal">
      <formula>0</formula>
    </cfRule>
  </conditionalFormatting>
  <conditionalFormatting sqref="D441:F449 D439:F439 D419:F425 N419:O419 R419:T419 J441:T449 J439:T439 J420:T425">
    <cfRule type="containsBlanks" dxfId="8808" priority="446">
      <formula>LEN(TRIM(D419))=0</formula>
    </cfRule>
  </conditionalFormatting>
  <conditionalFormatting sqref="D448:F448 J448:T448">
    <cfRule type="cellIs" dxfId="8807" priority="445" operator="equal">
      <formula>0</formula>
    </cfRule>
  </conditionalFormatting>
  <conditionalFormatting sqref="N422:N423">
    <cfRule type="cellIs" dxfId="8806" priority="444" operator="equal">
      <formula>0</formula>
    </cfRule>
  </conditionalFormatting>
  <conditionalFormatting sqref="O422:O423">
    <cfRule type="cellIs" dxfId="8805" priority="443" operator="equal">
      <formula>0</formula>
    </cfRule>
  </conditionalFormatting>
  <conditionalFormatting sqref="P422:Q422">
    <cfRule type="cellIs" dxfId="8804" priority="442" operator="equal">
      <formula>0</formula>
    </cfRule>
  </conditionalFormatting>
  <conditionalFormatting sqref="P423:Q423">
    <cfRule type="cellIs" dxfId="8803" priority="441" operator="equal">
      <formula>0</formula>
    </cfRule>
  </conditionalFormatting>
  <conditionalFormatting sqref="D427:F438 J427:T438">
    <cfRule type="cellIs" dxfId="8802" priority="440" operator="equal">
      <formula>0</formula>
    </cfRule>
  </conditionalFormatting>
  <conditionalFormatting sqref="D427:F438 J427:T438">
    <cfRule type="containsBlanks" dxfId="8801" priority="439">
      <formula>LEN(TRIM(D427))=0</formula>
    </cfRule>
  </conditionalFormatting>
  <conditionalFormatting sqref="J419">
    <cfRule type="cellIs" dxfId="8800" priority="438" operator="equal">
      <formula>0</formula>
    </cfRule>
  </conditionalFormatting>
  <conditionalFormatting sqref="K419">
    <cfRule type="cellIs" dxfId="8799" priority="437" operator="equal">
      <formula>0</formula>
    </cfRule>
  </conditionalFormatting>
  <conditionalFormatting sqref="L419:M419">
    <cfRule type="cellIs" dxfId="8798" priority="436" operator="equal">
      <formula>0</formula>
    </cfRule>
  </conditionalFormatting>
  <conditionalFormatting sqref="M419">
    <cfRule type="cellIs" dxfId="8797" priority="435" operator="equal">
      <formula>0</formula>
    </cfRule>
  </conditionalFormatting>
  <conditionalFormatting sqref="J419:M419">
    <cfRule type="containsBlanks" dxfId="8796" priority="434">
      <formula>LEN(TRIM(J419))=0</formula>
    </cfRule>
  </conditionalFormatting>
  <conditionalFormatting sqref="P419:Q419">
    <cfRule type="cellIs" dxfId="8795" priority="433" operator="equal">
      <formula>0</formula>
    </cfRule>
  </conditionalFormatting>
  <conditionalFormatting sqref="P419:Q419">
    <cfRule type="cellIs" dxfId="8794" priority="432" operator="equal">
      <formula>0</formula>
    </cfRule>
  </conditionalFormatting>
  <conditionalFormatting sqref="P419:Q419">
    <cfRule type="containsBlanks" dxfId="8793" priority="431">
      <formula>LEN(TRIM(P419))=0</formula>
    </cfRule>
  </conditionalFormatting>
  <conditionalFormatting sqref="D486:F486 R477:T477 D476:F484 D456:F463 N456:O456 R456:T456 J486:T486 J477:K477 J478:T484 J476:T476 J457:T463">
    <cfRule type="cellIs" dxfId="8792" priority="430" operator="equal">
      <formula>0</formula>
    </cfRule>
  </conditionalFormatting>
  <conditionalFormatting sqref="R456:R458">
    <cfRule type="cellIs" dxfId="8791" priority="429" operator="equal">
      <formula>0</formula>
    </cfRule>
  </conditionalFormatting>
  <conditionalFormatting sqref="R456:T456 N456:O456 D457:F458 J457:T458">
    <cfRule type="cellIs" dxfId="8790" priority="428" operator="equal">
      <formula>0</formula>
    </cfRule>
  </conditionalFormatting>
  <conditionalFormatting sqref="F457:F458">
    <cfRule type="cellIs" dxfId="8789" priority="427" operator="equal">
      <formula>0</formula>
    </cfRule>
  </conditionalFormatting>
  <conditionalFormatting sqref="N456:O456">
    <cfRule type="cellIs" dxfId="8788" priority="426" operator="equal">
      <formula>0</formula>
    </cfRule>
  </conditionalFormatting>
  <conditionalFormatting sqref="L459:L461 L477">
    <cfRule type="cellIs" dxfId="8787" priority="425" operator="equal">
      <formula>0</formula>
    </cfRule>
  </conditionalFormatting>
  <conditionalFormatting sqref="L457:L458">
    <cfRule type="cellIs" dxfId="8786" priority="424" operator="equal">
      <formula>0</formula>
    </cfRule>
  </conditionalFormatting>
  <conditionalFormatting sqref="M459:M461 M477">
    <cfRule type="cellIs" dxfId="8785" priority="423" operator="equal">
      <formula>0</formula>
    </cfRule>
  </conditionalFormatting>
  <conditionalFormatting sqref="M457:M458">
    <cfRule type="cellIs" dxfId="8784" priority="422" operator="equal">
      <formula>0</formula>
    </cfRule>
  </conditionalFormatting>
  <conditionalFormatting sqref="N459:N461 N477">
    <cfRule type="cellIs" dxfId="8783" priority="421" operator="equal">
      <formula>0</formula>
    </cfRule>
  </conditionalFormatting>
  <conditionalFormatting sqref="N456:N458">
    <cfRule type="cellIs" dxfId="8782" priority="420" operator="equal">
      <formula>0</formula>
    </cfRule>
  </conditionalFormatting>
  <conditionalFormatting sqref="O459:O461 O477">
    <cfRule type="cellIs" dxfId="8781" priority="419" operator="equal">
      <formula>0</formula>
    </cfRule>
  </conditionalFormatting>
  <conditionalFormatting sqref="O456:O458">
    <cfRule type="cellIs" dxfId="8780" priority="418" operator="equal">
      <formula>0</formula>
    </cfRule>
  </conditionalFormatting>
  <conditionalFormatting sqref="P459:P461 P477">
    <cfRule type="cellIs" dxfId="8779" priority="417" operator="equal">
      <formula>0</formula>
    </cfRule>
  </conditionalFormatting>
  <conditionalFormatting sqref="P457:P458">
    <cfRule type="cellIs" dxfId="8778" priority="416" operator="equal">
      <formula>0</formula>
    </cfRule>
  </conditionalFormatting>
  <conditionalFormatting sqref="Q459:Q461 Q477">
    <cfRule type="cellIs" dxfId="8777" priority="415" operator="equal">
      <formula>0</formula>
    </cfRule>
  </conditionalFormatting>
  <conditionalFormatting sqref="Q457:Q458">
    <cfRule type="cellIs" dxfId="8776" priority="414" operator="equal">
      <formula>0</formula>
    </cfRule>
  </conditionalFormatting>
  <conditionalFormatting sqref="D485:F485 J485:T485">
    <cfRule type="cellIs" dxfId="8775" priority="413" operator="equal">
      <formula>0</formula>
    </cfRule>
  </conditionalFormatting>
  <conditionalFormatting sqref="D478:F486 D476:F476 D456:F462 N456:O456 R456:T456 J478:T486 J476:T476 J457:T462">
    <cfRule type="containsBlanks" dxfId="8774" priority="412">
      <formula>LEN(TRIM(D456))=0</formula>
    </cfRule>
  </conditionalFormatting>
  <conditionalFormatting sqref="D485:F485 J485:T485">
    <cfRule type="cellIs" dxfId="8773" priority="411" operator="equal">
      <formula>0</formula>
    </cfRule>
  </conditionalFormatting>
  <conditionalFormatting sqref="N459:N460">
    <cfRule type="cellIs" dxfId="8772" priority="410" operator="equal">
      <formula>0</formula>
    </cfRule>
  </conditionalFormatting>
  <conditionalFormatting sqref="O459:O460">
    <cfRule type="cellIs" dxfId="8771" priority="409" operator="equal">
      <formula>0</formula>
    </cfRule>
  </conditionalFormatting>
  <conditionalFormatting sqref="P459:Q459">
    <cfRule type="cellIs" dxfId="8770" priority="408" operator="equal">
      <formula>0</formula>
    </cfRule>
  </conditionalFormatting>
  <conditionalFormatting sqref="P460:Q460">
    <cfRule type="cellIs" dxfId="8769" priority="407" operator="equal">
      <formula>0</formula>
    </cfRule>
  </conditionalFormatting>
  <conditionalFormatting sqref="D464:F475 J464:T475">
    <cfRule type="cellIs" dxfId="8768" priority="406" operator="equal">
      <formula>0</formula>
    </cfRule>
  </conditionalFormatting>
  <conditionalFormatting sqref="D464:F475 J464:T475">
    <cfRule type="containsBlanks" dxfId="8767" priority="405">
      <formula>LEN(TRIM(D464))=0</formula>
    </cfRule>
  </conditionalFormatting>
  <conditionalFormatting sqref="J456">
    <cfRule type="cellIs" dxfId="8766" priority="404" operator="equal">
      <formula>0</formula>
    </cfRule>
  </conditionalFormatting>
  <conditionalFormatting sqref="K456">
    <cfRule type="cellIs" dxfId="8765" priority="403" operator="equal">
      <formula>0</formula>
    </cfRule>
  </conditionalFormatting>
  <conditionalFormatting sqref="L456:M456">
    <cfRule type="cellIs" dxfId="8764" priority="402" operator="equal">
      <formula>0</formula>
    </cfRule>
  </conditionalFormatting>
  <conditionalFormatting sqref="M456">
    <cfRule type="cellIs" dxfId="8763" priority="401" operator="equal">
      <formula>0</formula>
    </cfRule>
  </conditionalFormatting>
  <conditionalFormatting sqref="J456:M456">
    <cfRule type="containsBlanks" dxfId="8762" priority="400">
      <formula>LEN(TRIM(J456))=0</formula>
    </cfRule>
  </conditionalFormatting>
  <conditionalFormatting sqref="P456:Q456">
    <cfRule type="cellIs" dxfId="8761" priority="399" operator="equal">
      <formula>0</formula>
    </cfRule>
  </conditionalFormatting>
  <conditionalFormatting sqref="P456:Q456">
    <cfRule type="cellIs" dxfId="8760" priority="398" operator="equal">
      <formula>0</formula>
    </cfRule>
  </conditionalFormatting>
  <conditionalFormatting sqref="P456:Q456">
    <cfRule type="containsBlanks" dxfId="8759" priority="397">
      <formula>LEN(TRIM(P456))=0</formula>
    </cfRule>
  </conditionalFormatting>
  <conditionalFormatting sqref="T57:T63 T66:T68">
    <cfRule type="cellIs" dxfId="8758" priority="396" operator="equal">
      <formula>0</formula>
    </cfRule>
  </conditionalFormatting>
  <conditionalFormatting sqref="T57:T63 T66:T68">
    <cfRule type="containsBlanks" dxfId="8757" priority="395">
      <formula>LEN(TRIM(T57))=0</formula>
    </cfRule>
  </conditionalFormatting>
  <conditionalFormatting sqref="U57:U68">
    <cfRule type="cellIs" dxfId="8756" priority="394" operator="equal">
      <formula>0</formula>
    </cfRule>
  </conditionalFormatting>
  <conditionalFormatting sqref="U57:U68">
    <cfRule type="containsBlanks" dxfId="8755" priority="393">
      <formula>LEN(TRIM(U57))=0</formula>
    </cfRule>
  </conditionalFormatting>
  <conditionalFormatting sqref="D64:F65 H64:H65 J64:S65">
    <cfRule type="cellIs" dxfId="8754" priority="392" operator="equal">
      <formula>0</formula>
    </cfRule>
  </conditionalFormatting>
  <conditionalFormatting sqref="D64:F65 H64:H65 J64:S65">
    <cfRule type="containsBlanks" dxfId="8753" priority="391">
      <formula>LEN(TRIM(D64))=0</formula>
    </cfRule>
  </conditionalFormatting>
  <conditionalFormatting sqref="T64:T65">
    <cfRule type="cellIs" dxfId="8752" priority="390" operator="equal">
      <formula>0</formula>
    </cfRule>
  </conditionalFormatting>
  <conditionalFormatting sqref="T64:T65">
    <cfRule type="containsBlanks" dxfId="8751" priority="389">
      <formula>LEN(TRIM(T64))=0</formula>
    </cfRule>
  </conditionalFormatting>
  <conditionalFormatting sqref="T13:T14 T17 H13:H14 D17:F17 H17 J17:K17">
    <cfRule type="cellIs" dxfId="8750" priority="388" operator="equal">
      <formula>0</formula>
    </cfRule>
  </conditionalFormatting>
  <conditionalFormatting sqref="D13:E14 J13:K14">
    <cfRule type="cellIs" dxfId="8749" priority="387" operator="equal">
      <formula>0</formula>
    </cfRule>
  </conditionalFormatting>
  <conditionalFormatting sqref="F13:F14">
    <cfRule type="cellIs" dxfId="8748" priority="386" operator="equal">
      <formula>0</formula>
    </cfRule>
  </conditionalFormatting>
  <conditionalFormatting sqref="L17">
    <cfRule type="cellIs" dxfId="8747" priority="385" operator="equal">
      <formula>0</formula>
    </cfRule>
  </conditionalFormatting>
  <conditionalFormatting sqref="L13:L14">
    <cfRule type="cellIs" dxfId="8746" priority="384" operator="equal">
      <formula>0</formula>
    </cfRule>
  </conditionalFormatting>
  <conditionalFormatting sqref="M17">
    <cfRule type="cellIs" dxfId="8745" priority="383" operator="equal">
      <formula>0</formula>
    </cfRule>
  </conditionalFormatting>
  <conditionalFormatting sqref="M13:M14">
    <cfRule type="cellIs" dxfId="8744" priority="382" operator="equal">
      <formula>0</formula>
    </cfRule>
  </conditionalFormatting>
  <conditionalFormatting sqref="N17">
    <cfRule type="cellIs" dxfId="8743" priority="381" operator="equal">
      <formula>0</formula>
    </cfRule>
  </conditionalFormatting>
  <conditionalFormatting sqref="N13:N14">
    <cfRule type="cellIs" dxfId="8742" priority="380" operator="equal">
      <formula>0</formula>
    </cfRule>
  </conditionalFormatting>
  <conditionalFormatting sqref="O17">
    <cfRule type="cellIs" dxfId="8741" priority="379" operator="equal">
      <formula>0</formula>
    </cfRule>
  </conditionalFormatting>
  <conditionalFormatting sqref="O13:O14">
    <cfRule type="cellIs" dxfId="8740" priority="378" operator="equal">
      <formula>0</formula>
    </cfRule>
  </conditionalFormatting>
  <conditionalFormatting sqref="P17">
    <cfRule type="cellIs" dxfId="8739" priority="377" operator="equal">
      <formula>0</formula>
    </cfRule>
  </conditionalFormatting>
  <conditionalFormatting sqref="P13:P14">
    <cfRule type="cellIs" dxfId="8738" priority="376" operator="equal">
      <formula>0</formula>
    </cfRule>
  </conditionalFormatting>
  <conditionalFormatting sqref="Q17">
    <cfRule type="cellIs" dxfId="8737" priority="375" operator="equal">
      <formula>0</formula>
    </cfRule>
  </conditionalFormatting>
  <conditionalFormatting sqref="Q13:Q14">
    <cfRule type="cellIs" dxfId="8736" priority="374" operator="equal">
      <formula>0</formula>
    </cfRule>
  </conditionalFormatting>
  <conditionalFormatting sqref="D13:F14 D17:F17 T17 T13:T14 H17 H13:H14 J13:Q14 J17:Q17">
    <cfRule type="containsBlanks" dxfId="8735" priority="373">
      <formula>LEN(TRIM(D13))=0</formula>
    </cfRule>
  </conditionalFormatting>
  <conditionalFormatting sqref="D12:F12 T12 R12:S17 H12">
    <cfRule type="cellIs" dxfId="8734" priority="372" operator="equal">
      <formula>0</formula>
    </cfRule>
  </conditionalFormatting>
  <conditionalFormatting sqref="J12">
    <cfRule type="cellIs" dxfId="8733" priority="371" operator="equal">
      <formula>0</formula>
    </cfRule>
  </conditionalFormatting>
  <conditionalFormatting sqref="K12">
    <cfRule type="cellIs" dxfId="8732" priority="370" operator="equal">
      <formula>0</formula>
    </cfRule>
  </conditionalFormatting>
  <conditionalFormatting sqref="N12:Q12">
    <cfRule type="cellIs" dxfId="8731" priority="369" operator="equal">
      <formula>0</formula>
    </cfRule>
  </conditionalFormatting>
  <conditionalFormatting sqref="L12">
    <cfRule type="cellIs" dxfId="8730" priority="368" operator="equal">
      <formula>0</formula>
    </cfRule>
  </conditionalFormatting>
  <conditionalFormatting sqref="M12">
    <cfRule type="cellIs" dxfId="8729" priority="367" operator="equal">
      <formula>0</formula>
    </cfRule>
  </conditionalFormatting>
  <conditionalFormatting sqref="D12:F12 R13:R17 T12 S12:S17 H12 J12:R12">
    <cfRule type="containsBlanks" dxfId="8728" priority="366">
      <formula>LEN(TRIM(D12))=0</formula>
    </cfRule>
  </conditionalFormatting>
  <conditionalFormatting sqref="U12:U17">
    <cfRule type="cellIs" dxfId="8727" priority="365" operator="equal">
      <formula>0</formula>
    </cfRule>
  </conditionalFormatting>
  <conditionalFormatting sqref="U12:U17">
    <cfRule type="containsBlanks" dxfId="8726" priority="364">
      <formula>LEN(TRIM(U12))=0</formula>
    </cfRule>
  </conditionalFormatting>
  <conditionalFormatting sqref="D15:F16 T15:T16 H15:H16 J15:Q16">
    <cfRule type="cellIs" dxfId="8725" priority="363" operator="equal">
      <formula>0</formula>
    </cfRule>
  </conditionalFormatting>
  <conditionalFormatting sqref="L15:L16">
    <cfRule type="cellIs" dxfId="8724" priority="362" operator="equal">
      <formula>0</formula>
    </cfRule>
  </conditionalFormatting>
  <conditionalFormatting sqref="M15:M16">
    <cfRule type="cellIs" dxfId="8723" priority="361" operator="equal">
      <formula>0</formula>
    </cfRule>
  </conditionalFormatting>
  <conditionalFormatting sqref="N15:N16">
    <cfRule type="cellIs" dxfId="8722" priority="360" operator="equal">
      <formula>0</formula>
    </cfRule>
  </conditionalFormatting>
  <conditionalFormatting sqref="O15:O16">
    <cfRule type="cellIs" dxfId="8721" priority="359" operator="equal">
      <formula>0</formula>
    </cfRule>
  </conditionalFormatting>
  <conditionalFormatting sqref="P15:P16">
    <cfRule type="cellIs" dxfId="8720" priority="358" operator="equal">
      <formula>0</formula>
    </cfRule>
  </conditionalFormatting>
  <conditionalFormatting sqref="Q15:Q16">
    <cfRule type="cellIs" dxfId="8719" priority="357" operator="equal">
      <formula>0</formula>
    </cfRule>
  </conditionalFormatting>
  <conditionalFormatting sqref="D15:F16 T15:T16 H15:H16 J15:Q16">
    <cfRule type="containsBlanks" dxfId="8718" priority="356">
      <formula>LEN(TRIM(D15))=0</formula>
    </cfRule>
  </conditionalFormatting>
  <conditionalFormatting sqref="N15:N16">
    <cfRule type="cellIs" dxfId="8717" priority="355" operator="equal">
      <formula>0</formula>
    </cfRule>
  </conditionalFormatting>
  <conditionalFormatting sqref="O15:O16">
    <cfRule type="cellIs" dxfId="8716" priority="354" operator="equal">
      <formula>0</formula>
    </cfRule>
  </conditionalFormatting>
  <conditionalFormatting sqref="P15:Q15">
    <cfRule type="cellIs" dxfId="8715" priority="353" operator="equal">
      <formula>0</formula>
    </cfRule>
  </conditionalFormatting>
  <conditionalFormatting sqref="P16:Q16">
    <cfRule type="cellIs" dxfId="8714" priority="352" operator="equal">
      <formula>0</formula>
    </cfRule>
  </conditionalFormatting>
  <conditionalFormatting sqref="D20:F22 H20:H22 J20:S22">
    <cfRule type="cellIs" dxfId="8713" priority="351" operator="equal">
      <formula>0</formula>
    </cfRule>
  </conditionalFormatting>
  <conditionalFormatting sqref="D20:F22 H20:H22 J20:S22">
    <cfRule type="containsBlanks" dxfId="8712" priority="350">
      <formula>LEN(TRIM(D20))=0</formula>
    </cfRule>
  </conditionalFormatting>
  <conditionalFormatting sqref="D30:F31 D25:F26 H25:H26 H30:H31 J30:S31 J25:S26">
    <cfRule type="cellIs" dxfId="8711" priority="349" operator="equal">
      <formula>0</formula>
    </cfRule>
  </conditionalFormatting>
  <conditionalFormatting sqref="D29:F31 H29:H31 J29:S31">
    <cfRule type="cellIs" dxfId="8710" priority="348" operator="equal">
      <formula>0</formula>
    </cfRule>
  </conditionalFormatting>
  <conditionalFormatting sqref="D25:F26 D29:F31 H29:H31 H25:H26 J25:S26 J29:S31">
    <cfRule type="containsBlanks" dxfId="8709" priority="347">
      <formula>LEN(TRIM(D25))=0</formula>
    </cfRule>
  </conditionalFormatting>
  <conditionalFormatting sqref="D23:F24 H23:H24 J23:S24">
    <cfRule type="cellIs" dxfId="8708" priority="346" operator="equal">
      <formula>0</formula>
    </cfRule>
  </conditionalFormatting>
  <conditionalFormatting sqref="D23:F24 H23:H24 J23:S24">
    <cfRule type="containsBlanks" dxfId="8707" priority="345">
      <formula>LEN(TRIM(D23))=0</formula>
    </cfRule>
  </conditionalFormatting>
  <conditionalFormatting sqref="T20:T26 T29:T31">
    <cfRule type="cellIs" dxfId="8706" priority="344" operator="equal">
      <formula>0</formula>
    </cfRule>
  </conditionalFormatting>
  <conditionalFormatting sqref="T20:T26 T29:T31">
    <cfRule type="containsBlanks" dxfId="8705" priority="343">
      <formula>LEN(TRIM(T20))=0</formula>
    </cfRule>
  </conditionalFormatting>
  <conditionalFormatting sqref="U20:U31">
    <cfRule type="cellIs" dxfId="8704" priority="342" operator="equal">
      <formula>0</formula>
    </cfRule>
  </conditionalFormatting>
  <conditionalFormatting sqref="U20:U31">
    <cfRule type="containsBlanks" dxfId="8703" priority="341">
      <formula>LEN(TRIM(U20))=0</formula>
    </cfRule>
  </conditionalFormatting>
  <conditionalFormatting sqref="D27:F28 H27:H28 J27:S28">
    <cfRule type="cellIs" dxfId="8702" priority="340" operator="equal">
      <formula>0</formula>
    </cfRule>
  </conditionalFormatting>
  <conditionalFormatting sqref="D27:F28 H27:H28 J27:S28">
    <cfRule type="containsBlanks" dxfId="8701" priority="339">
      <formula>LEN(TRIM(D27))=0</formula>
    </cfRule>
  </conditionalFormatting>
  <conditionalFormatting sqref="T27:T28">
    <cfRule type="cellIs" dxfId="8700" priority="338" operator="equal">
      <formula>0</formula>
    </cfRule>
  </conditionalFormatting>
  <conditionalFormatting sqref="T27:T28">
    <cfRule type="containsBlanks" dxfId="8699" priority="337">
      <formula>LEN(TRIM(T27))=0</formula>
    </cfRule>
  </conditionalFormatting>
  <conditionalFormatting sqref="D34:F39 H34:H39 J34:U39">
    <cfRule type="cellIs" dxfId="8698" priority="336" operator="equal">
      <formula>0</formula>
    </cfRule>
  </conditionalFormatting>
  <conditionalFormatting sqref="D34:F39 H34:H39 J34:U39">
    <cfRule type="containsBlanks" dxfId="8697" priority="335">
      <formula>LEN(TRIM(D34))=0</formula>
    </cfRule>
  </conditionalFormatting>
  <conditionalFormatting sqref="U41">
    <cfRule type="cellIs" dxfId="8696" priority="334" operator="equal">
      <formula>0</formula>
    </cfRule>
  </conditionalFormatting>
  <conditionalFormatting sqref="D41:F41 H41 J41:U41">
    <cfRule type="cellIs" dxfId="8695" priority="333" operator="equal">
      <formula>0</formula>
    </cfRule>
  </conditionalFormatting>
  <conditionalFormatting sqref="D41:F41 H41 J41:U41">
    <cfRule type="containsBlanks" dxfId="8694" priority="332">
      <formula>LEN(TRIM(D41))=0</formula>
    </cfRule>
  </conditionalFormatting>
  <conditionalFormatting sqref="D41:F41 H41 J41:T41">
    <cfRule type="cellIs" dxfId="8693" priority="331" operator="equal">
      <formula>0</formula>
    </cfRule>
  </conditionalFormatting>
  <conditionalFormatting sqref="D18:F18 H18 J18:U18">
    <cfRule type="cellIs" dxfId="8692" priority="330" operator="equal">
      <formula>0</formula>
    </cfRule>
  </conditionalFormatting>
  <conditionalFormatting sqref="D18:F18 H18 J18:U18">
    <cfRule type="containsBlanks" dxfId="8691" priority="329">
      <formula>LEN(TRIM(D18))=0</formula>
    </cfRule>
  </conditionalFormatting>
  <conditionalFormatting sqref="D32:F32 H32 J32:U32">
    <cfRule type="cellIs" dxfId="8690" priority="328" operator="equal">
      <formula>0</formula>
    </cfRule>
  </conditionalFormatting>
  <conditionalFormatting sqref="D32:F32 H32 J32:U32">
    <cfRule type="containsBlanks" dxfId="8689" priority="327">
      <formula>LEN(TRIM(D32))=0</formula>
    </cfRule>
  </conditionalFormatting>
  <conditionalFormatting sqref="D40:F40 H40 J40:U40">
    <cfRule type="cellIs" dxfId="8688" priority="326" operator="equal">
      <formula>0</formula>
    </cfRule>
  </conditionalFormatting>
  <conditionalFormatting sqref="D40:F40 H40 J40:U40">
    <cfRule type="containsBlanks" dxfId="8687" priority="325">
      <formula>LEN(TRIM(D40))=0</formula>
    </cfRule>
  </conditionalFormatting>
  <conditionalFormatting sqref="D42:F42 H42 J42:U42">
    <cfRule type="cellIs" dxfId="8686" priority="324" operator="equal">
      <formula>0</formula>
    </cfRule>
  </conditionalFormatting>
  <conditionalFormatting sqref="D42:F42 H42 J42:U42">
    <cfRule type="containsBlanks" dxfId="8685" priority="323">
      <formula>LEN(TRIM(D42))=0</formula>
    </cfRule>
  </conditionalFormatting>
  <conditionalFormatting sqref="O60">
    <cfRule type="cellIs" dxfId="8684" priority="322" operator="equal">
      <formula>0</formula>
    </cfRule>
  </conditionalFormatting>
  <conditionalFormatting sqref="O60">
    <cfRule type="containsBlanks" dxfId="8683" priority="321">
      <formula>LEN(TRIM(O60))=0</formula>
    </cfRule>
  </conditionalFormatting>
  <conditionalFormatting sqref="G87:G93 G106:G114 G116">
    <cfRule type="cellIs" dxfId="8682" priority="320" operator="equal">
      <formula>0</formula>
    </cfRule>
  </conditionalFormatting>
  <conditionalFormatting sqref="G87:G88">
    <cfRule type="cellIs" dxfId="8681" priority="319" operator="equal">
      <formula>0</formula>
    </cfRule>
  </conditionalFormatting>
  <conditionalFormatting sqref="G87:G88">
    <cfRule type="cellIs" dxfId="8680" priority="318" operator="equal">
      <formula>0</formula>
    </cfRule>
  </conditionalFormatting>
  <conditionalFormatting sqref="G115">
    <cfRule type="cellIs" dxfId="8679" priority="317" operator="equal">
      <formula>0</formula>
    </cfRule>
  </conditionalFormatting>
  <conditionalFormatting sqref="G87:G92 G108:G116 G106">
    <cfRule type="containsBlanks" dxfId="8678" priority="316">
      <formula>LEN(TRIM(G87))=0</formula>
    </cfRule>
  </conditionalFormatting>
  <conditionalFormatting sqref="G115">
    <cfRule type="cellIs" dxfId="8677" priority="315" operator="equal">
      <formula>0</formula>
    </cfRule>
  </conditionalFormatting>
  <conditionalFormatting sqref="G94:G105">
    <cfRule type="cellIs" dxfId="8676" priority="314" operator="equal">
      <formula>0</formula>
    </cfRule>
  </conditionalFormatting>
  <conditionalFormatting sqref="G94:G105">
    <cfRule type="containsBlanks" dxfId="8675" priority="313">
      <formula>LEN(TRIM(G94))=0</formula>
    </cfRule>
  </conditionalFormatting>
  <conditionalFormatting sqref="G79 G49:G77">
    <cfRule type="cellIs" dxfId="8674" priority="312" operator="equal">
      <formula>0</formula>
    </cfRule>
  </conditionalFormatting>
  <conditionalFormatting sqref="G50:G51">
    <cfRule type="cellIs" dxfId="8673" priority="311" operator="equal">
      <formula>0</formula>
    </cfRule>
  </conditionalFormatting>
  <conditionalFormatting sqref="G50:G51">
    <cfRule type="cellIs" dxfId="8672" priority="310" operator="equal">
      <formula>0</formula>
    </cfRule>
  </conditionalFormatting>
  <conditionalFormatting sqref="G78">
    <cfRule type="cellIs" dxfId="8671" priority="309" operator="equal">
      <formula>0</formula>
    </cfRule>
  </conditionalFormatting>
  <conditionalFormatting sqref="G49:G55 G63:G69 G71:G79">
    <cfRule type="containsBlanks" dxfId="8670" priority="308">
      <formula>LEN(TRIM(G49))=0</formula>
    </cfRule>
  </conditionalFormatting>
  <conditionalFormatting sqref="G78">
    <cfRule type="cellIs" dxfId="8669" priority="307" operator="equal">
      <formula>0</formula>
    </cfRule>
  </conditionalFormatting>
  <conditionalFormatting sqref="G58:G59">
    <cfRule type="cellIs" dxfId="8668" priority="306" operator="equal">
      <formula>0</formula>
    </cfRule>
  </conditionalFormatting>
  <conditionalFormatting sqref="G58:G59">
    <cfRule type="cellIs" dxfId="8667" priority="305" operator="equal">
      <formula>0</formula>
    </cfRule>
  </conditionalFormatting>
  <conditionalFormatting sqref="G57:G62">
    <cfRule type="containsBlanks" dxfId="8666" priority="304">
      <formula>LEN(TRIM(G57))=0</formula>
    </cfRule>
  </conditionalFormatting>
  <conditionalFormatting sqref="G64:G65">
    <cfRule type="cellIs" dxfId="8665" priority="303" operator="equal">
      <formula>0</formula>
    </cfRule>
  </conditionalFormatting>
  <conditionalFormatting sqref="G64:G65">
    <cfRule type="cellIs" dxfId="8664" priority="302" operator="equal">
      <formula>0</formula>
    </cfRule>
  </conditionalFormatting>
  <conditionalFormatting sqref="G72:G73">
    <cfRule type="cellIs" dxfId="8663" priority="301" operator="equal">
      <formula>0</formula>
    </cfRule>
  </conditionalFormatting>
  <conditionalFormatting sqref="G72:G73">
    <cfRule type="cellIs" dxfId="8662" priority="300" operator="equal">
      <formula>0</formula>
    </cfRule>
  </conditionalFormatting>
  <conditionalFormatting sqref="G42 G12:G40">
    <cfRule type="cellIs" dxfId="8661" priority="299" operator="equal">
      <formula>0</formula>
    </cfRule>
  </conditionalFormatting>
  <conditionalFormatting sqref="G13:G14">
    <cfRule type="cellIs" dxfId="8660" priority="298" operator="equal">
      <formula>0</formula>
    </cfRule>
  </conditionalFormatting>
  <conditionalFormatting sqref="G13:G14">
    <cfRule type="cellIs" dxfId="8659" priority="297" operator="equal">
      <formula>0</formula>
    </cfRule>
  </conditionalFormatting>
  <conditionalFormatting sqref="G41">
    <cfRule type="cellIs" dxfId="8658" priority="296" operator="equal">
      <formula>0</formula>
    </cfRule>
  </conditionalFormatting>
  <conditionalFormatting sqref="G12:G18 G26:G32 G34:G42">
    <cfRule type="containsBlanks" dxfId="8657" priority="295">
      <formula>LEN(TRIM(G12))=0</formula>
    </cfRule>
  </conditionalFormatting>
  <conditionalFormatting sqref="G41">
    <cfRule type="cellIs" dxfId="8656" priority="294" operator="equal">
      <formula>0</formula>
    </cfRule>
  </conditionalFormatting>
  <conditionalFormatting sqref="G21:G22">
    <cfRule type="cellIs" dxfId="8655" priority="293" operator="equal">
      <formula>0</formula>
    </cfRule>
  </conditionalFormatting>
  <conditionalFormatting sqref="G21:G22">
    <cfRule type="cellIs" dxfId="8654" priority="292" operator="equal">
      <formula>0</formula>
    </cfRule>
  </conditionalFormatting>
  <conditionalFormatting sqref="G20:G25">
    <cfRule type="containsBlanks" dxfId="8653" priority="291">
      <formula>LEN(TRIM(G20))=0</formula>
    </cfRule>
  </conditionalFormatting>
  <conditionalFormatting sqref="G27:G28">
    <cfRule type="cellIs" dxfId="8652" priority="290" operator="equal">
      <formula>0</formula>
    </cfRule>
  </conditionalFormatting>
  <conditionalFormatting sqref="G27:G28">
    <cfRule type="cellIs" dxfId="8651" priority="289" operator="equal">
      <formula>0</formula>
    </cfRule>
  </conditionalFormatting>
  <conditionalFormatting sqref="G35:G36">
    <cfRule type="cellIs" dxfId="8650" priority="288" operator="equal">
      <formula>0</formula>
    </cfRule>
  </conditionalFormatting>
  <conditionalFormatting sqref="G35:G36">
    <cfRule type="cellIs" dxfId="8649" priority="287" operator="equal">
      <formula>0</formula>
    </cfRule>
  </conditionalFormatting>
  <conditionalFormatting sqref="I42 I12:I40">
    <cfRule type="cellIs" dxfId="8648" priority="286" operator="equal">
      <formula>0</formula>
    </cfRule>
  </conditionalFormatting>
  <conditionalFormatting sqref="I13:I14">
    <cfRule type="cellIs" dxfId="8647" priority="285" operator="equal">
      <formula>0</formula>
    </cfRule>
  </conditionalFormatting>
  <conditionalFormatting sqref="I13:I14">
    <cfRule type="cellIs" dxfId="8646" priority="284" operator="equal">
      <formula>0</formula>
    </cfRule>
  </conditionalFormatting>
  <conditionalFormatting sqref="I41">
    <cfRule type="cellIs" dxfId="8645" priority="283" operator="equal">
      <formula>0</formula>
    </cfRule>
  </conditionalFormatting>
  <conditionalFormatting sqref="I12:I18 I26:I32 I34:I42">
    <cfRule type="containsBlanks" dxfId="8644" priority="282">
      <formula>LEN(TRIM(I12))=0</formula>
    </cfRule>
  </conditionalFormatting>
  <conditionalFormatting sqref="I41">
    <cfRule type="cellIs" dxfId="8643" priority="281" operator="equal">
      <formula>0</formula>
    </cfRule>
  </conditionalFormatting>
  <conditionalFormatting sqref="I21:I22">
    <cfRule type="cellIs" dxfId="8642" priority="280" operator="equal">
      <formula>0</formula>
    </cfRule>
  </conditionalFormatting>
  <conditionalFormatting sqref="I21:I22">
    <cfRule type="cellIs" dxfId="8641" priority="279" operator="equal">
      <formula>0</formula>
    </cfRule>
  </conditionalFormatting>
  <conditionalFormatting sqref="I20:I25">
    <cfRule type="containsBlanks" dxfId="8640" priority="278">
      <formula>LEN(TRIM(I20))=0</formula>
    </cfRule>
  </conditionalFormatting>
  <conditionalFormatting sqref="I27:I28">
    <cfRule type="cellIs" dxfId="8639" priority="277" operator="equal">
      <formula>0</formula>
    </cfRule>
  </conditionalFormatting>
  <conditionalFormatting sqref="I27:I28">
    <cfRule type="cellIs" dxfId="8638" priority="276" operator="equal">
      <formula>0</formula>
    </cfRule>
  </conditionalFormatting>
  <conditionalFormatting sqref="I35:I36">
    <cfRule type="cellIs" dxfId="8637" priority="275" operator="equal">
      <formula>0</formula>
    </cfRule>
  </conditionalFormatting>
  <conditionalFormatting sqref="I35:I36">
    <cfRule type="cellIs" dxfId="8636" priority="274" operator="equal">
      <formula>0</formula>
    </cfRule>
  </conditionalFormatting>
  <conditionalFormatting sqref="I79 I49:I77">
    <cfRule type="cellIs" dxfId="8635" priority="273" operator="equal">
      <formula>0</formula>
    </cfRule>
  </conditionalFormatting>
  <conditionalFormatting sqref="I50:I51">
    <cfRule type="cellIs" dxfId="8634" priority="272" operator="equal">
      <formula>0</formula>
    </cfRule>
  </conditionalFormatting>
  <conditionalFormatting sqref="I50:I51">
    <cfRule type="cellIs" dxfId="8633" priority="271" operator="equal">
      <formula>0</formula>
    </cfRule>
  </conditionalFormatting>
  <conditionalFormatting sqref="I78">
    <cfRule type="cellIs" dxfId="8632" priority="270" operator="equal">
      <formula>0</formula>
    </cfRule>
  </conditionalFormatting>
  <conditionalFormatting sqref="I49:I55 I63:I69 I71:I79">
    <cfRule type="containsBlanks" dxfId="8631" priority="269">
      <formula>LEN(TRIM(I49))=0</formula>
    </cfRule>
  </conditionalFormatting>
  <conditionalFormatting sqref="I78">
    <cfRule type="cellIs" dxfId="8630" priority="268" operator="equal">
      <formula>0</formula>
    </cfRule>
  </conditionalFormatting>
  <conditionalFormatting sqref="I58:I59">
    <cfRule type="cellIs" dxfId="8629" priority="267" operator="equal">
      <formula>0</formula>
    </cfRule>
  </conditionalFormatting>
  <conditionalFormatting sqref="I58:I59">
    <cfRule type="cellIs" dxfId="8628" priority="266" operator="equal">
      <formula>0</formula>
    </cfRule>
  </conditionalFormatting>
  <conditionalFormatting sqref="I57:I62">
    <cfRule type="containsBlanks" dxfId="8627" priority="265">
      <formula>LEN(TRIM(I57))=0</formula>
    </cfRule>
  </conditionalFormatting>
  <conditionalFormatting sqref="I64:I65">
    <cfRule type="cellIs" dxfId="8626" priority="264" operator="equal">
      <formula>0</formula>
    </cfRule>
  </conditionalFormatting>
  <conditionalFormatting sqref="I64:I65">
    <cfRule type="cellIs" dxfId="8625" priority="263" operator="equal">
      <formula>0</formula>
    </cfRule>
  </conditionalFormatting>
  <conditionalFormatting sqref="I72:I73">
    <cfRule type="cellIs" dxfId="8624" priority="262" operator="equal">
      <formula>0</formula>
    </cfRule>
  </conditionalFormatting>
  <conditionalFormatting sqref="I72:I73">
    <cfRule type="cellIs" dxfId="8623" priority="261" operator="equal">
      <formula>0</formula>
    </cfRule>
  </conditionalFormatting>
  <conditionalFormatting sqref="I86">
    <cfRule type="cellIs" dxfId="8622" priority="260" operator="equal">
      <formula>0</formula>
    </cfRule>
  </conditionalFormatting>
  <conditionalFormatting sqref="I86">
    <cfRule type="containsBlanks" dxfId="8621" priority="259">
      <formula>LEN(TRIM(I86))=0</formula>
    </cfRule>
  </conditionalFormatting>
  <conditionalFormatting sqref="I87:I93 I106:I114 I116">
    <cfRule type="cellIs" dxfId="8620" priority="258" operator="equal">
      <formula>0</formula>
    </cfRule>
  </conditionalFormatting>
  <conditionalFormatting sqref="I87:I88">
    <cfRule type="cellIs" dxfId="8619" priority="257" operator="equal">
      <formula>0</formula>
    </cfRule>
  </conditionalFormatting>
  <conditionalFormatting sqref="I87:I88">
    <cfRule type="cellIs" dxfId="8618" priority="256" operator="equal">
      <formula>0</formula>
    </cfRule>
  </conditionalFormatting>
  <conditionalFormatting sqref="I115">
    <cfRule type="cellIs" dxfId="8617" priority="255" operator="equal">
      <formula>0</formula>
    </cfRule>
  </conditionalFormatting>
  <conditionalFormatting sqref="I87:I92 I108:I116 I106">
    <cfRule type="containsBlanks" dxfId="8616" priority="254">
      <formula>LEN(TRIM(I87))=0</formula>
    </cfRule>
  </conditionalFormatting>
  <conditionalFormatting sqref="I115">
    <cfRule type="cellIs" dxfId="8615" priority="253" operator="equal">
      <formula>0</formula>
    </cfRule>
  </conditionalFormatting>
  <conditionalFormatting sqref="I94:I105">
    <cfRule type="cellIs" dxfId="8614" priority="252" operator="equal">
      <formula>0</formula>
    </cfRule>
  </conditionalFormatting>
  <conditionalFormatting sqref="I94:I105">
    <cfRule type="containsBlanks" dxfId="8613" priority="251">
      <formula>LEN(TRIM(I94))=0</formula>
    </cfRule>
  </conditionalFormatting>
  <conditionalFormatting sqref="H123:H130 H143:H151 H153 G123">
    <cfRule type="cellIs" dxfId="8612" priority="250" operator="equal">
      <formula>0</formula>
    </cfRule>
  </conditionalFormatting>
  <conditionalFormatting sqref="H124:H125">
    <cfRule type="cellIs" dxfId="8611" priority="249" operator="equal">
      <formula>0</formula>
    </cfRule>
  </conditionalFormatting>
  <conditionalFormatting sqref="H152">
    <cfRule type="cellIs" dxfId="8610" priority="248" operator="equal">
      <formula>0</formula>
    </cfRule>
  </conditionalFormatting>
  <conditionalFormatting sqref="H123:H129 H143 H145:H153 G123">
    <cfRule type="containsBlanks" dxfId="8609" priority="247">
      <formula>LEN(TRIM(G123))=0</formula>
    </cfRule>
  </conditionalFormatting>
  <conditionalFormatting sqref="H152">
    <cfRule type="cellIs" dxfId="8608" priority="246" operator="equal">
      <formula>0</formula>
    </cfRule>
  </conditionalFormatting>
  <conditionalFormatting sqref="H131:H142">
    <cfRule type="cellIs" dxfId="8607" priority="245" operator="equal">
      <formula>0</formula>
    </cfRule>
  </conditionalFormatting>
  <conditionalFormatting sqref="H131:H142">
    <cfRule type="containsBlanks" dxfId="8606" priority="244">
      <formula>LEN(TRIM(H131))=0</formula>
    </cfRule>
  </conditionalFormatting>
  <conditionalFormatting sqref="G124:G130 G143:G151 G153">
    <cfRule type="cellIs" dxfId="8605" priority="243" operator="equal">
      <formula>0</formula>
    </cfRule>
  </conditionalFormatting>
  <conditionalFormatting sqref="G124:G125">
    <cfRule type="cellIs" dxfId="8604" priority="242" operator="equal">
      <formula>0</formula>
    </cfRule>
  </conditionalFormatting>
  <conditionalFormatting sqref="G124:G125">
    <cfRule type="cellIs" dxfId="8603" priority="241" operator="equal">
      <formula>0</formula>
    </cfRule>
  </conditionalFormatting>
  <conditionalFormatting sqref="G152">
    <cfRule type="cellIs" dxfId="8602" priority="240" operator="equal">
      <formula>0</formula>
    </cfRule>
  </conditionalFormatting>
  <conditionalFormatting sqref="G124:G129 G145:G153 G143">
    <cfRule type="containsBlanks" dxfId="8601" priority="239">
      <formula>LEN(TRIM(G124))=0</formula>
    </cfRule>
  </conditionalFormatting>
  <conditionalFormatting sqref="G152">
    <cfRule type="cellIs" dxfId="8600" priority="238" operator="equal">
      <formula>0</formula>
    </cfRule>
  </conditionalFormatting>
  <conditionalFormatting sqref="G131:G142">
    <cfRule type="cellIs" dxfId="8599" priority="237" operator="equal">
      <formula>0</formula>
    </cfRule>
  </conditionalFormatting>
  <conditionalFormatting sqref="G131:G142">
    <cfRule type="containsBlanks" dxfId="8598" priority="236">
      <formula>LEN(TRIM(G131))=0</formula>
    </cfRule>
  </conditionalFormatting>
  <conditionalFormatting sqref="I123">
    <cfRule type="cellIs" dxfId="8597" priority="235" operator="equal">
      <formula>0</formula>
    </cfRule>
  </conditionalFormatting>
  <conditionalFormatting sqref="I123">
    <cfRule type="containsBlanks" dxfId="8596" priority="234">
      <formula>LEN(TRIM(I123))=0</formula>
    </cfRule>
  </conditionalFormatting>
  <conditionalFormatting sqref="I124:I130 I143:I151 I153">
    <cfRule type="cellIs" dxfId="8595" priority="233" operator="equal">
      <formula>0</formula>
    </cfRule>
  </conditionalFormatting>
  <conditionalFormatting sqref="I124:I125">
    <cfRule type="cellIs" dxfId="8594" priority="232" operator="equal">
      <formula>0</formula>
    </cfRule>
  </conditionalFormatting>
  <conditionalFormatting sqref="I124:I125">
    <cfRule type="cellIs" dxfId="8593" priority="231" operator="equal">
      <formula>0</formula>
    </cfRule>
  </conditionalFormatting>
  <conditionalFormatting sqref="I152">
    <cfRule type="cellIs" dxfId="8592" priority="230" operator="equal">
      <formula>0</formula>
    </cfRule>
  </conditionalFormatting>
  <conditionalFormatting sqref="I124:I129 I145:I153 I143">
    <cfRule type="containsBlanks" dxfId="8591" priority="229">
      <formula>LEN(TRIM(I124))=0</formula>
    </cfRule>
  </conditionalFormatting>
  <conditionalFormatting sqref="I152">
    <cfRule type="cellIs" dxfId="8590" priority="228" operator="equal">
      <formula>0</formula>
    </cfRule>
  </conditionalFormatting>
  <conditionalFormatting sqref="I131:I142">
    <cfRule type="cellIs" dxfId="8589" priority="227" operator="equal">
      <formula>0</formula>
    </cfRule>
  </conditionalFormatting>
  <conditionalFormatting sqref="I131:I142">
    <cfRule type="containsBlanks" dxfId="8588" priority="226">
      <formula>LEN(TRIM(I131))=0</formula>
    </cfRule>
  </conditionalFormatting>
  <conditionalFormatting sqref="H160:H167 H180:H188 H190 G160">
    <cfRule type="cellIs" dxfId="8587" priority="225" operator="equal">
      <formula>0</formula>
    </cfRule>
  </conditionalFormatting>
  <conditionalFormatting sqref="H161:H162">
    <cfRule type="cellIs" dxfId="8586" priority="224" operator="equal">
      <formula>0</formula>
    </cfRule>
  </conditionalFormatting>
  <conditionalFormatting sqref="H189">
    <cfRule type="cellIs" dxfId="8585" priority="223" operator="equal">
      <formula>0</formula>
    </cfRule>
  </conditionalFormatting>
  <conditionalFormatting sqref="H160:H166 H180 H182:H190 G160">
    <cfRule type="containsBlanks" dxfId="8584" priority="222">
      <formula>LEN(TRIM(G160))=0</formula>
    </cfRule>
  </conditionalFormatting>
  <conditionalFormatting sqref="H189">
    <cfRule type="cellIs" dxfId="8583" priority="221" operator="equal">
      <formula>0</formula>
    </cfRule>
  </conditionalFormatting>
  <conditionalFormatting sqref="H168:H179">
    <cfRule type="cellIs" dxfId="8582" priority="220" operator="equal">
      <formula>0</formula>
    </cfRule>
  </conditionalFormatting>
  <conditionalFormatting sqref="H168:H179">
    <cfRule type="containsBlanks" dxfId="8581" priority="219">
      <formula>LEN(TRIM(H168))=0</formula>
    </cfRule>
  </conditionalFormatting>
  <conditionalFormatting sqref="G161:G167 G180:G188 G190">
    <cfRule type="cellIs" dxfId="8580" priority="218" operator="equal">
      <formula>0</formula>
    </cfRule>
  </conditionalFormatting>
  <conditionalFormatting sqref="G161:G162">
    <cfRule type="cellIs" dxfId="8579" priority="217" operator="equal">
      <formula>0</formula>
    </cfRule>
  </conditionalFormatting>
  <conditionalFormatting sqref="G161:G162">
    <cfRule type="cellIs" dxfId="8578" priority="216" operator="equal">
      <formula>0</formula>
    </cfRule>
  </conditionalFormatting>
  <conditionalFormatting sqref="G189">
    <cfRule type="cellIs" dxfId="8577" priority="215" operator="equal">
      <formula>0</formula>
    </cfRule>
  </conditionalFormatting>
  <conditionalFormatting sqref="G161:G166 G182:G190 G180">
    <cfRule type="containsBlanks" dxfId="8576" priority="214">
      <formula>LEN(TRIM(G161))=0</formula>
    </cfRule>
  </conditionalFormatting>
  <conditionalFormatting sqref="G189">
    <cfRule type="cellIs" dxfId="8575" priority="213" operator="equal">
      <formula>0</formula>
    </cfRule>
  </conditionalFormatting>
  <conditionalFormatting sqref="G168:G179">
    <cfRule type="cellIs" dxfId="8574" priority="212" operator="equal">
      <formula>0</formula>
    </cfRule>
  </conditionalFormatting>
  <conditionalFormatting sqref="G168:G179">
    <cfRule type="containsBlanks" dxfId="8573" priority="211">
      <formula>LEN(TRIM(G168))=0</formula>
    </cfRule>
  </conditionalFormatting>
  <conditionalFormatting sqref="I160">
    <cfRule type="cellIs" dxfId="8572" priority="210" operator="equal">
      <formula>0</formula>
    </cfRule>
  </conditionalFormatting>
  <conditionalFormatting sqref="I160">
    <cfRule type="containsBlanks" dxfId="8571" priority="209">
      <formula>LEN(TRIM(I160))=0</formula>
    </cfRule>
  </conditionalFormatting>
  <conditionalFormatting sqref="I161:I167 I180:I188 I190">
    <cfRule type="cellIs" dxfId="8570" priority="208" operator="equal">
      <formula>0</formula>
    </cfRule>
  </conditionalFormatting>
  <conditionalFormatting sqref="I161:I162">
    <cfRule type="cellIs" dxfId="8569" priority="207" operator="equal">
      <formula>0</formula>
    </cfRule>
  </conditionalFormatting>
  <conditionalFormatting sqref="I161:I162">
    <cfRule type="cellIs" dxfId="8568" priority="206" operator="equal">
      <formula>0</formula>
    </cfRule>
  </conditionalFormatting>
  <conditionalFormatting sqref="I189">
    <cfRule type="cellIs" dxfId="8567" priority="205" operator="equal">
      <formula>0</formula>
    </cfRule>
  </conditionalFormatting>
  <conditionalFormatting sqref="I161:I166 I182:I190 I180">
    <cfRule type="containsBlanks" dxfId="8566" priority="204">
      <formula>LEN(TRIM(I161))=0</formula>
    </cfRule>
  </conditionalFormatting>
  <conditionalFormatting sqref="I189">
    <cfRule type="cellIs" dxfId="8565" priority="203" operator="equal">
      <formula>0</formula>
    </cfRule>
  </conditionalFormatting>
  <conditionalFormatting sqref="I168:I179">
    <cfRule type="cellIs" dxfId="8564" priority="202" operator="equal">
      <formula>0</formula>
    </cfRule>
  </conditionalFormatting>
  <conditionalFormatting sqref="I168:I179">
    <cfRule type="containsBlanks" dxfId="8563" priority="201">
      <formula>LEN(TRIM(I168))=0</formula>
    </cfRule>
  </conditionalFormatting>
  <conditionalFormatting sqref="H197:H204 H217:H225 H227 G197">
    <cfRule type="cellIs" dxfId="8562" priority="200" operator="equal">
      <formula>0</formula>
    </cfRule>
  </conditionalFormatting>
  <conditionalFormatting sqref="H198:H199">
    <cfRule type="cellIs" dxfId="8561" priority="199" operator="equal">
      <formula>0</formula>
    </cfRule>
  </conditionalFormatting>
  <conditionalFormatting sqref="H226">
    <cfRule type="cellIs" dxfId="8560" priority="198" operator="equal">
      <formula>0</formula>
    </cfRule>
  </conditionalFormatting>
  <conditionalFormatting sqref="H197:H203 H217 H219:H227 G197">
    <cfRule type="containsBlanks" dxfId="8559" priority="197">
      <formula>LEN(TRIM(G197))=0</formula>
    </cfRule>
  </conditionalFormatting>
  <conditionalFormatting sqref="H226">
    <cfRule type="cellIs" dxfId="8558" priority="196" operator="equal">
      <formula>0</formula>
    </cfRule>
  </conditionalFormatting>
  <conditionalFormatting sqref="H205:H216">
    <cfRule type="cellIs" dxfId="8557" priority="195" operator="equal">
      <formula>0</formula>
    </cfRule>
  </conditionalFormatting>
  <conditionalFormatting sqref="H205:H216">
    <cfRule type="containsBlanks" dxfId="8556" priority="194">
      <formula>LEN(TRIM(H205))=0</formula>
    </cfRule>
  </conditionalFormatting>
  <conditionalFormatting sqref="G198:G204 G217:G225 G227">
    <cfRule type="cellIs" dxfId="8555" priority="193" operator="equal">
      <formula>0</formula>
    </cfRule>
  </conditionalFormatting>
  <conditionalFormatting sqref="G198:G199">
    <cfRule type="cellIs" dxfId="8554" priority="192" operator="equal">
      <formula>0</formula>
    </cfRule>
  </conditionalFormatting>
  <conditionalFormatting sqref="G198:G199">
    <cfRule type="cellIs" dxfId="8553" priority="191" operator="equal">
      <formula>0</formula>
    </cfRule>
  </conditionalFormatting>
  <conditionalFormatting sqref="G226">
    <cfRule type="cellIs" dxfId="8552" priority="190" operator="equal">
      <formula>0</formula>
    </cfRule>
  </conditionalFormatting>
  <conditionalFormatting sqref="G198:G203 G219:G227 G217">
    <cfRule type="containsBlanks" dxfId="8551" priority="189">
      <formula>LEN(TRIM(G198))=0</formula>
    </cfRule>
  </conditionalFormatting>
  <conditionalFormatting sqref="G226">
    <cfRule type="cellIs" dxfId="8550" priority="188" operator="equal">
      <formula>0</formula>
    </cfRule>
  </conditionalFormatting>
  <conditionalFormatting sqref="G205:G216">
    <cfRule type="cellIs" dxfId="8549" priority="187" operator="equal">
      <formula>0</formula>
    </cfRule>
  </conditionalFormatting>
  <conditionalFormatting sqref="G205:G216">
    <cfRule type="containsBlanks" dxfId="8548" priority="186">
      <formula>LEN(TRIM(G205))=0</formula>
    </cfRule>
  </conditionalFormatting>
  <conditionalFormatting sqref="I197">
    <cfRule type="cellIs" dxfId="8547" priority="185" operator="equal">
      <formula>0</formula>
    </cfRule>
  </conditionalFormatting>
  <conditionalFormatting sqref="I197">
    <cfRule type="containsBlanks" dxfId="8546" priority="184">
      <formula>LEN(TRIM(I197))=0</formula>
    </cfRule>
  </conditionalFormatting>
  <conditionalFormatting sqref="I198:I204 I217:I225 I227">
    <cfRule type="cellIs" dxfId="8545" priority="183" operator="equal">
      <formula>0</formula>
    </cfRule>
  </conditionalFormatting>
  <conditionalFormatting sqref="I198:I199">
    <cfRule type="cellIs" dxfId="8544" priority="182" operator="equal">
      <formula>0</formula>
    </cfRule>
  </conditionalFormatting>
  <conditionalFormatting sqref="I198:I199">
    <cfRule type="cellIs" dxfId="8543" priority="181" operator="equal">
      <formula>0</formula>
    </cfRule>
  </conditionalFormatting>
  <conditionalFormatting sqref="I226">
    <cfRule type="cellIs" dxfId="8542" priority="180" operator="equal">
      <formula>0</formula>
    </cfRule>
  </conditionalFormatting>
  <conditionalFormatting sqref="I198:I203 I219:I227 I217">
    <cfRule type="containsBlanks" dxfId="8541" priority="179">
      <formula>LEN(TRIM(I198))=0</formula>
    </cfRule>
  </conditionalFormatting>
  <conditionalFormatting sqref="I226">
    <cfRule type="cellIs" dxfId="8540" priority="178" operator="equal">
      <formula>0</formula>
    </cfRule>
  </conditionalFormatting>
  <conditionalFormatting sqref="I205:I216">
    <cfRule type="cellIs" dxfId="8539" priority="177" operator="equal">
      <formula>0</formula>
    </cfRule>
  </conditionalFormatting>
  <conditionalFormatting sqref="I205:I216">
    <cfRule type="containsBlanks" dxfId="8538" priority="176">
      <formula>LEN(TRIM(I205))=0</formula>
    </cfRule>
  </conditionalFormatting>
  <conditionalFormatting sqref="H234:H241 H254:H262 H264 G234">
    <cfRule type="cellIs" dxfId="8537" priority="175" operator="equal">
      <formula>0</formula>
    </cfRule>
  </conditionalFormatting>
  <conditionalFormatting sqref="H235:H236">
    <cfRule type="cellIs" dxfId="8536" priority="174" operator="equal">
      <formula>0</formula>
    </cfRule>
  </conditionalFormatting>
  <conditionalFormatting sqref="H263">
    <cfRule type="cellIs" dxfId="8535" priority="173" operator="equal">
      <formula>0</formula>
    </cfRule>
  </conditionalFormatting>
  <conditionalFormatting sqref="H234:H240 H254 H256:H264 G234">
    <cfRule type="containsBlanks" dxfId="8534" priority="172">
      <formula>LEN(TRIM(G234))=0</formula>
    </cfRule>
  </conditionalFormatting>
  <conditionalFormatting sqref="H263">
    <cfRule type="cellIs" dxfId="8533" priority="171" operator="equal">
      <formula>0</formula>
    </cfRule>
  </conditionalFormatting>
  <conditionalFormatting sqref="H242:H253">
    <cfRule type="cellIs" dxfId="8532" priority="170" operator="equal">
      <formula>0</formula>
    </cfRule>
  </conditionalFormatting>
  <conditionalFormatting sqref="H242:H253">
    <cfRule type="containsBlanks" dxfId="8531" priority="169">
      <formula>LEN(TRIM(H242))=0</formula>
    </cfRule>
  </conditionalFormatting>
  <conditionalFormatting sqref="G235:G241 G254:G262 G264">
    <cfRule type="cellIs" dxfId="8530" priority="168" operator="equal">
      <formula>0</formula>
    </cfRule>
  </conditionalFormatting>
  <conditionalFormatting sqref="G235:G236">
    <cfRule type="cellIs" dxfId="8529" priority="167" operator="equal">
      <formula>0</formula>
    </cfRule>
  </conditionalFormatting>
  <conditionalFormatting sqref="G235:G236">
    <cfRule type="cellIs" dxfId="8528" priority="166" operator="equal">
      <formula>0</formula>
    </cfRule>
  </conditionalFormatting>
  <conditionalFormatting sqref="G263">
    <cfRule type="cellIs" dxfId="8527" priority="165" operator="equal">
      <formula>0</formula>
    </cfRule>
  </conditionalFormatting>
  <conditionalFormatting sqref="G235:G240 G256:G264 G254">
    <cfRule type="containsBlanks" dxfId="8526" priority="164">
      <formula>LEN(TRIM(G235))=0</formula>
    </cfRule>
  </conditionalFormatting>
  <conditionalFormatting sqref="G263">
    <cfRule type="cellIs" dxfId="8525" priority="163" operator="equal">
      <formula>0</formula>
    </cfRule>
  </conditionalFormatting>
  <conditionalFormatting sqref="G242:G253">
    <cfRule type="cellIs" dxfId="8524" priority="162" operator="equal">
      <formula>0</formula>
    </cfRule>
  </conditionalFormatting>
  <conditionalFormatting sqref="G242:G253">
    <cfRule type="containsBlanks" dxfId="8523" priority="161">
      <formula>LEN(TRIM(G242))=0</formula>
    </cfRule>
  </conditionalFormatting>
  <conditionalFormatting sqref="I234">
    <cfRule type="cellIs" dxfId="8522" priority="160" operator="equal">
      <formula>0</formula>
    </cfRule>
  </conditionalFormatting>
  <conditionalFormatting sqref="I234">
    <cfRule type="containsBlanks" dxfId="8521" priority="159">
      <formula>LEN(TRIM(I234))=0</formula>
    </cfRule>
  </conditionalFormatting>
  <conditionalFormatting sqref="I235:I241 I254:I262 I264">
    <cfRule type="cellIs" dxfId="8520" priority="158" operator="equal">
      <formula>0</formula>
    </cfRule>
  </conditionalFormatting>
  <conditionalFormatting sqref="I235:I236">
    <cfRule type="cellIs" dxfId="8519" priority="157" operator="equal">
      <formula>0</formula>
    </cfRule>
  </conditionalFormatting>
  <conditionalFormatting sqref="I235:I236">
    <cfRule type="cellIs" dxfId="8518" priority="156" operator="equal">
      <formula>0</formula>
    </cfRule>
  </conditionalFormatting>
  <conditionalFormatting sqref="I263">
    <cfRule type="cellIs" dxfId="8517" priority="155" operator="equal">
      <formula>0</formula>
    </cfRule>
  </conditionalFormatting>
  <conditionalFormatting sqref="I235:I240 I256:I264 I254">
    <cfRule type="containsBlanks" dxfId="8516" priority="154">
      <formula>LEN(TRIM(I235))=0</formula>
    </cfRule>
  </conditionalFormatting>
  <conditionalFormatting sqref="I263">
    <cfRule type="cellIs" dxfId="8515" priority="153" operator="equal">
      <formula>0</formula>
    </cfRule>
  </conditionalFormatting>
  <conditionalFormatting sqref="I242:I253">
    <cfRule type="cellIs" dxfId="8514" priority="152" operator="equal">
      <formula>0</formula>
    </cfRule>
  </conditionalFormatting>
  <conditionalFormatting sqref="I242:I253">
    <cfRule type="containsBlanks" dxfId="8513" priority="151">
      <formula>LEN(TRIM(I242))=0</formula>
    </cfRule>
  </conditionalFormatting>
  <conditionalFormatting sqref="H271:H278 H291:H299 H301 G271">
    <cfRule type="cellIs" dxfId="8512" priority="150" operator="equal">
      <formula>0</formula>
    </cfRule>
  </conditionalFormatting>
  <conditionalFormatting sqref="H272:H273">
    <cfRule type="cellIs" dxfId="8511" priority="149" operator="equal">
      <formula>0</formula>
    </cfRule>
  </conditionalFormatting>
  <conditionalFormatting sqref="H300">
    <cfRule type="cellIs" dxfId="8510" priority="148" operator="equal">
      <formula>0</formula>
    </cfRule>
  </conditionalFormatting>
  <conditionalFormatting sqref="H271:H277 H291 H293:H301 G271">
    <cfRule type="containsBlanks" dxfId="8509" priority="147">
      <formula>LEN(TRIM(G271))=0</formula>
    </cfRule>
  </conditionalFormatting>
  <conditionalFormatting sqref="H300">
    <cfRule type="cellIs" dxfId="8508" priority="146" operator="equal">
      <formula>0</formula>
    </cfRule>
  </conditionalFormatting>
  <conditionalFormatting sqref="H279:H290">
    <cfRule type="cellIs" dxfId="8507" priority="145" operator="equal">
      <formula>0</formula>
    </cfRule>
  </conditionalFormatting>
  <conditionalFormatting sqref="H279:H290">
    <cfRule type="containsBlanks" dxfId="8506" priority="144">
      <formula>LEN(TRIM(H279))=0</formula>
    </cfRule>
  </conditionalFormatting>
  <conditionalFormatting sqref="G272:G278 G291:G299 G301">
    <cfRule type="cellIs" dxfId="8505" priority="143" operator="equal">
      <formula>0</formula>
    </cfRule>
  </conditionalFormatting>
  <conditionalFormatting sqref="G272:G273">
    <cfRule type="cellIs" dxfId="8504" priority="142" operator="equal">
      <formula>0</formula>
    </cfRule>
  </conditionalFormatting>
  <conditionalFormatting sqref="G272:G273">
    <cfRule type="cellIs" dxfId="8503" priority="141" operator="equal">
      <formula>0</formula>
    </cfRule>
  </conditionalFormatting>
  <conditionalFormatting sqref="G300">
    <cfRule type="cellIs" dxfId="8502" priority="140" operator="equal">
      <formula>0</formula>
    </cfRule>
  </conditionalFormatting>
  <conditionalFormatting sqref="G272:G277 G293:G301 G291">
    <cfRule type="containsBlanks" dxfId="8501" priority="139">
      <formula>LEN(TRIM(G272))=0</formula>
    </cfRule>
  </conditionalFormatting>
  <conditionalFormatting sqref="G300">
    <cfRule type="cellIs" dxfId="8500" priority="138" operator="equal">
      <formula>0</formula>
    </cfRule>
  </conditionalFormatting>
  <conditionalFormatting sqref="G279:G290">
    <cfRule type="cellIs" dxfId="8499" priority="137" operator="equal">
      <formula>0</formula>
    </cfRule>
  </conditionalFormatting>
  <conditionalFormatting sqref="G279:G290">
    <cfRule type="containsBlanks" dxfId="8498" priority="136">
      <formula>LEN(TRIM(G279))=0</formula>
    </cfRule>
  </conditionalFormatting>
  <conditionalFormatting sqref="I271">
    <cfRule type="cellIs" dxfId="8497" priority="135" operator="equal">
      <formula>0</formula>
    </cfRule>
  </conditionalFormatting>
  <conditionalFormatting sqref="I271">
    <cfRule type="containsBlanks" dxfId="8496" priority="134">
      <formula>LEN(TRIM(I271))=0</formula>
    </cfRule>
  </conditionalFormatting>
  <conditionalFormatting sqref="I272:I278 I291:I299 I301">
    <cfRule type="cellIs" dxfId="8495" priority="133" operator="equal">
      <formula>0</formula>
    </cfRule>
  </conditionalFormatting>
  <conditionalFormatting sqref="I272:I273">
    <cfRule type="cellIs" dxfId="8494" priority="132" operator="equal">
      <formula>0</formula>
    </cfRule>
  </conditionalFormatting>
  <conditionalFormatting sqref="I272:I273">
    <cfRule type="cellIs" dxfId="8493" priority="131" operator="equal">
      <formula>0</formula>
    </cfRule>
  </conditionalFormatting>
  <conditionalFormatting sqref="I300">
    <cfRule type="cellIs" dxfId="8492" priority="130" operator="equal">
      <formula>0</formula>
    </cfRule>
  </conditionalFormatting>
  <conditionalFormatting sqref="I272:I277 I293:I301 I291">
    <cfRule type="containsBlanks" dxfId="8491" priority="129">
      <formula>LEN(TRIM(I272))=0</formula>
    </cfRule>
  </conditionalFormatting>
  <conditionalFormatting sqref="I300">
    <cfRule type="cellIs" dxfId="8490" priority="128" operator="equal">
      <formula>0</formula>
    </cfRule>
  </conditionalFormatting>
  <conditionalFormatting sqref="I279:I290">
    <cfRule type="cellIs" dxfId="8489" priority="127" operator="equal">
      <formula>0</formula>
    </cfRule>
  </conditionalFormatting>
  <conditionalFormatting sqref="I279:I290">
    <cfRule type="containsBlanks" dxfId="8488" priority="126">
      <formula>LEN(TRIM(I279))=0</formula>
    </cfRule>
  </conditionalFormatting>
  <conditionalFormatting sqref="H308:H315 H328:H336 H338 G308">
    <cfRule type="cellIs" dxfId="8487" priority="125" operator="equal">
      <formula>0</formula>
    </cfRule>
  </conditionalFormatting>
  <conditionalFormatting sqref="H309:H310">
    <cfRule type="cellIs" dxfId="8486" priority="124" operator="equal">
      <formula>0</formula>
    </cfRule>
  </conditionalFormatting>
  <conditionalFormatting sqref="H337">
    <cfRule type="cellIs" dxfId="8485" priority="123" operator="equal">
      <formula>0</formula>
    </cfRule>
  </conditionalFormatting>
  <conditionalFormatting sqref="H308:H314 H328 H330:H338 G308">
    <cfRule type="containsBlanks" dxfId="8484" priority="122">
      <formula>LEN(TRIM(G308))=0</formula>
    </cfRule>
  </conditionalFormatting>
  <conditionalFormatting sqref="H337">
    <cfRule type="cellIs" dxfId="8483" priority="121" operator="equal">
      <formula>0</formula>
    </cfRule>
  </conditionalFormatting>
  <conditionalFormatting sqref="H316:H327">
    <cfRule type="cellIs" dxfId="8482" priority="120" operator="equal">
      <formula>0</formula>
    </cfRule>
  </conditionalFormatting>
  <conditionalFormatting sqref="H316:H327">
    <cfRule type="containsBlanks" dxfId="8481" priority="119">
      <formula>LEN(TRIM(H316))=0</formula>
    </cfRule>
  </conditionalFormatting>
  <conditionalFormatting sqref="G309:G315 G328:G336 G338">
    <cfRule type="cellIs" dxfId="8480" priority="118" operator="equal">
      <formula>0</formula>
    </cfRule>
  </conditionalFormatting>
  <conditionalFormatting sqref="G309:G310">
    <cfRule type="cellIs" dxfId="8479" priority="117" operator="equal">
      <formula>0</formula>
    </cfRule>
  </conditionalFormatting>
  <conditionalFormatting sqref="G309:G310">
    <cfRule type="cellIs" dxfId="8478" priority="116" operator="equal">
      <formula>0</formula>
    </cfRule>
  </conditionalFormatting>
  <conditionalFormatting sqref="G337">
    <cfRule type="cellIs" dxfId="8477" priority="115" operator="equal">
      <formula>0</formula>
    </cfRule>
  </conditionalFormatting>
  <conditionalFormatting sqref="G309:G314 G330:G338 G328">
    <cfRule type="containsBlanks" dxfId="8476" priority="114">
      <formula>LEN(TRIM(G309))=0</formula>
    </cfRule>
  </conditionalFormatting>
  <conditionalFormatting sqref="G337">
    <cfRule type="cellIs" dxfId="8475" priority="113" operator="equal">
      <formula>0</formula>
    </cfRule>
  </conditionalFormatting>
  <conditionalFormatting sqref="G316:G327">
    <cfRule type="cellIs" dxfId="8474" priority="112" operator="equal">
      <formula>0</formula>
    </cfRule>
  </conditionalFormatting>
  <conditionalFormatting sqref="G316:G327">
    <cfRule type="containsBlanks" dxfId="8473" priority="111">
      <formula>LEN(TRIM(G316))=0</formula>
    </cfRule>
  </conditionalFormatting>
  <conditionalFormatting sqref="I308">
    <cfRule type="cellIs" dxfId="8472" priority="110" operator="equal">
      <formula>0</formula>
    </cfRule>
  </conditionalFormatting>
  <conditionalFormatting sqref="I308">
    <cfRule type="containsBlanks" dxfId="8471" priority="109">
      <formula>LEN(TRIM(I308))=0</formula>
    </cfRule>
  </conditionalFormatting>
  <conditionalFormatting sqref="I309:I315 I328:I336 I338">
    <cfRule type="cellIs" dxfId="8470" priority="108" operator="equal">
      <formula>0</formula>
    </cfRule>
  </conditionalFormatting>
  <conditionalFormatting sqref="I309:I310">
    <cfRule type="cellIs" dxfId="8469" priority="107" operator="equal">
      <formula>0</formula>
    </cfRule>
  </conditionalFormatting>
  <conditionalFormatting sqref="I309:I310">
    <cfRule type="cellIs" dxfId="8468" priority="106" operator="equal">
      <formula>0</formula>
    </cfRule>
  </conditionalFormatting>
  <conditionalFormatting sqref="I337">
    <cfRule type="cellIs" dxfId="8467" priority="105" operator="equal">
      <formula>0</formula>
    </cfRule>
  </conditionalFormatting>
  <conditionalFormatting sqref="I309:I314 I330:I338 I328">
    <cfRule type="containsBlanks" dxfId="8466" priority="104">
      <formula>LEN(TRIM(I309))=0</formula>
    </cfRule>
  </conditionalFormatting>
  <conditionalFormatting sqref="I337">
    <cfRule type="cellIs" dxfId="8465" priority="103" operator="equal">
      <formula>0</formula>
    </cfRule>
  </conditionalFormatting>
  <conditionalFormatting sqref="I316:I327">
    <cfRule type="cellIs" dxfId="8464" priority="102" operator="equal">
      <formula>0</formula>
    </cfRule>
  </conditionalFormatting>
  <conditionalFormatting sqref="I316:I327">
    <cfRule type="containsBlanks" dxfId="8463" priority="101">
      <formula>LEN(TRIM(I316))=0</formula>
    </cfRule>
  </conditionalFormatting>
  <conditionalFormatting sqref="H345:H352 H365:H373 H375 G345">
    <cfRule type="cellIs" dxfId="8462" priority="100" operator="equal">
      <formula>0</formula>
    </cfRule>
  </conditionalFormatting>
  <conditionalFormatting sqref="H346:H347">
    <cfRule type="cellIs" dxfId="8461" priority="99" operator="equal">
      <formula>0</formula>
    </cfRule>
  </conditionalFormatting>
  <conditionalFormatting sqref="H374">
    <cfRule type="cellIs" dxfId="8460" priority="98" operator="equal">
      <formula>0</formula>
    </cfRule>
  </conditionalFormatting>
  <conditionalFormatting sqref="H345:H351 H365 H367:H375 G345">
    <cfRule type="containsBlanks" dxfId="8459" priority="97">
      <formula>LEN(TRIM(G345))=0</formula>
    </cfRule>
  </conditionalFormatting>
  <conditionalFormatting sqref="H374">
    <cfRule type="cellIs" dxfId="8458" priority="96" operator="equal">
      <formula>0</formula>
    </cfRule>
  </conditionalFormatting>
  <conditionalFormatting sqref="H353:H364">
    <cfRule type="cellIs" dxfId="8457" priority="95" operator="equal">
      <formula>0</formula>
    </cfRule>
  </conditionalFormatting>
  <conditionalFormatting sqref="H353:H364">
    <cfRule type="containsBlanks" dxfId="8456" priority="94">
      <formula>LEN(TRIM(H353))=0</formula>
    </cfRule>
  </conditionalFormatting>
  <conditionalFormatting sqref="G346:G352 G365:G373 G375">
    <cfRule type="cellIs" dxfId="8455" priority="93" operator="equal">
      <formula>0</formula>
    </cfRule>
  </conditionalFormatting>
  <conditionalFormatting sqref="G346:G347">
    <cfRule type="cellIs" dxfId="8454" priority="92" operator="equal">
      <formula>0</formula>
    </cfRule>
  </conditionalFormatting>
  <conditionalFormatting sqref="G346:G347">
    <cfRule type="cellIs" dxfId="8453" priority="91" operator="equal">
      <formula>0</formula>
    </cfRule>
  </conditionalFormatting>
  <conditionalFormatting sqref="G374">
    <cfRule type="cellIs" dxfId="8452" priority="90" operator="equal">
      <formula>0</formula>
    </cfRule>
  </conditionalFormatting>
  <conditionalFormatting sqref="G346:G351 G367:G375 G365">
    <cfRule type="containsBlanks" dxfId="8451" priority="89">
      <formula>LEN(TRIM(G346))=0</formula>
    </cfRule>
  </conditionalFormatting>
  <conditionalFormatting sqref="G374">
    <cfRule type="cellIs" dxfId="8450" priority="88" operator="equal">
      <formula>0</formula>
    </cfRule>
  </conditionalFormatting>
  <conditionalFormatting sqref="G353:G364">
    <cfRule type="cellIs" dxfId="8449" priority="87" operator="equal">
      <formula>0</formula>
    </cfRule>
  </conditionalFormatting>
  <conditionalFormatting sqref="G353:G364">
    <cfRule type="containsBlanks" dxfId="8448" priority="86">
      <formula>LEN(TRIM(G353))=0</formula>
    </cfRule>
  </conditionalFormatting>
  <conditionalFormatting sqref="I345">
    <cfRule type="cellIs" dxfId="8447" priority="85" operator="equal">
      <formula>0</formula>
    </cfRule>
  </conditionalFormatting>
  <conditionalFormatting sqref="I345">
    <cfRule type="containsBlanks" dxfId="8446" priority="84">
      <formula>LEN(TRIM(I345))=0</formula>
    </cfRule>
  </conditionalFormatting>
  <conditionalFormatting sqref="I346:I352 I365:I373 I375">
    <cfRule type="cellIs" dxfId="8445" priority="83" operator="equal">
      <formula>0</formula>
    </cfRule>
  </conditionalFormatting>
  <conditionalFormatting sqref="I346:I347">
    <cfRule type="cellIs" dxfId="8444" priority="82" operator="equal">
      <formula>0</formula>
    </cfRule>
  </conditionalFormatting>
  <conditionalFormatting sqref="I346:I347">
    <cfRule type="cellIs" dxfId="8443" priority="81" operator="equal">
      <formula>0</formula>
    </cfRule>
  </conditionalFormatting>
  <conditionalFormatting sqref="I374">
    <cfRule type="cellIs" dxfId="8442" priority="80" operator="equal">
      <formula>0</formula>
    </cfRule>
  </conditionalFormatting>
  <conditionalFormatting sqref="I346:I351 I367:I375 I365">
    <cfRule type="containsBlanks" dxfId="8441" priority="79">
      <formula>LEN(TRIM(I346))=0</formula>
    </cfRule>
  </conditionalFormatting>
  <conditionalFormatting sqref="I374">
    <cfRule type="cellIs" dxfId="8440" priority="78" operator="equal">
      <formula>0</formula>
    </cfRule>
  </conditionalFormatting>
  <conditionalFormatting sqref="I353:I364">
    <cfRule type="cellIs" dxfId="8439" priority="77" operator="equal">
      <formula>0</formula>
    </cfRule>
  </conditionalFormatting>
  <conditionalFormatting sqref="I353:I364">
    <cfRule type="containsBlanks" dxfId="8438" priority="76">
      <formula>LEN(TRIM(I353))=0</formula>
    </cfRule>
  </conditionalFormatting>
  <conditionalFormatting sqref="H382:H389 H402:H410 H412 G382">
    <cfRule type="cellIs" dxfId="8437" priority="75" operator="equal">
      <formula>0</formula>
    </cfRule>
  </conditionalFormatting>
  <conditionalFormatting sqref="H383:H384">
    <cfRule type="cellIs" dxfId="8436" priority="74" operator="equal">
      <formula>0</formula>
    </cfRule>
  </conditionalFormatting>
  <conditionalFormatting sqref="H411">
    <cfRule type="cellIs" dxfId="8435" priority="73" operator="equal">
      <formula>0</formula>
    </cfRule>
  </conditionalFormatting>
  <conditionalFormatting sqref="H382:H388 H402 H404:H412 G382">
    <cfRule type="containsBlanks" dxfId="8434" priority="72">
      <formula>LEN(TRIM(G382))=0</formula>
    </cfRule>
  </conditionalFormatting>
  <conditionalFormatting sqref="H411">
    <cfRule type="cellIs" dxfId="8433" priority="71" operator="equal">
      <formula>0</formula>
    </cfRule>
  </conditionalFormatting>
  <conditionalFormatting sqref="H390:H401">
    <cfRule type="cellIs" dxfId="8432" priority="70" operator="equal">
      <formula>0</formula>
    </cfRule>
  </conditionalFormatting>
  <conditionalFormatting sqref="H390:H401">
    <cfRule type="containsBlanks" dxfId="8431" priority="69">
      <formula>LEN(TRIM(H390))=0</formula>
    </cfRule>
  </conditionalFormatting>
  <conditionalFormatting sqref="G383:G389 G402:G410 G412">
    <cfRule type="cellIs" dxfId="8430" priority="68" operator="equal">
      <formula>0</formula>
    </cfRule>
  </conditionalFormatting>
  <conditionalFormatting sqref="G383:G384">
    <cfRule type="cellIs" dxfId="8429" priority="67" operator="equal">
      <formula>0</formula>
    </cfRule>
  </conditionalFormatting>
  <conditionalFormatting sqref="G383:G384">
    <cfRule type="cellIs" dxfId="8428" priority="66" operator="equal">
      <formula>0</formula>
    </cfRule>
  </conditionalFormatting>
  <conditionalFormatting sqref="G411">
    <cfRule type="cellIs" dxfId="8427" priority="65" operator="equal">
      <formula>0</formula>
    </cfRule>
  </conditionalFormatting>
  <conditionalFormatting sqref="G383:G388 G404:G412 G402">
    <cfRule type="containsBlanks" dxfId="8426" priority="64">
      <formula>LEN(TRIM(G383))=0</formula>
    </cfRule>
  </conditionalFormatting>
  <conditionalFormatting sqref="G411">
    <cfRule type="cellIs" dxfId="8425" priority="63" operator="equal">
      <formula>0</formula>
    </cfRule>
  </conditionalFormatting>
  <conditionalFormatting sqref="G390:G401">
    <cfRule type="cellIs" dxfId="8424" priority="62" operator="equal">
      <formula>0</formula>
    </cfRule>
  </conditionalFormatting>
  <conditionalFormatting sqref="G390:G401">
    <cfRule type="containsBlanks" dxfId="8423" priority="61">
      <formula>LEN(TRIM(G390))=0</formula>
    </cfRule>
  </conditionalFormatting>
  <conditionalFormatting sqref="I382">
    <cfRule type="cellIs" dxfId="8422" priority="60" operator="equal">
      <formula>0</formula>
    </cfRule>
  </conditionalFormatting>
  <conditionalFormatting sqref="I382">
    <cfRule type="containsBlanks" dxfId="8421" priority="59">
      <formula>LEN(TRIM(I382))=0</formula>
    </cfRule>
  </conditionalFormatting>
  <conditionalFormatting sqref="I383:I389 I402:I410 I412">
    <cfRule type="cellIs" dxfId="8420" priority="58" operator="equal">
      <formula>0</formula>
    </cfRule>
  </conditionalFormatting>
  <conditionalFormatting sqref="I383:I384">
    <cfRule type="cellIs" dxfId="8419" priority="57" operator="equal">
      <formula>0</formula>
    </cfRule>
  </conditionalFormatting>
  <conditionalFormatting sqref="I383:I384">
    <cfRule type="cellIs" dxfId="8418" priority="56" operator="equal">
      <formula>0</formula>
    </cfRule>
  </conditionalFormatting>
  <conditionalFormatting sqref="I411">
    <cfRule type="cellIs" dxfId="8417" priority="55" operator="equal">
      <formula>0</formula>
    </cfRule>
  </conditionalFormatting>
  <conditionalFormatting sqref="I383:I388 I404:I412 I402">
    <cfRule type="containsBlanks" dxfId="8416" priority="54">
      <formula>LEN(TRIM(I383))=0</formula>
    </cfRule>
  </conditionalFormatting>
  <conditionalFormatting sqref="I411">
    <cfRule type="cellIs" dxfId="8415" priority="53" operator="equal">
      <formula>0</formula>
    </cfRule>
  </conditionalFormatting>
  <conditionalFormatting sqref="I390:I401">
    <cfRule type="cellIs" dxfId="8414" priority="52" operator="equal">
      <formula>0</formula>
    </cfRule>
  </conditionalFormatting>
  <conditionalFormatting sqref="I390:I401">
    <cfRule type="containsBlanks" dxfId="8413" priority="51">
      <formula>LEN(TRIM(I390))=0</formula>
    </cfRule>
  </conditionalFormatting>
  <conditionalFormatting sqref="H419:H426 H439:H447 H449 G419">
    <cfRule type="cellIs" dxfId="8412" priority="50" operator="equal">
      <formula>0</formula>
    </cfRule>
  </conditionalFormatting>
  <conditionalFormatting sqref="H420:H421">
    <cfRule type="cellIs" dxfId="8411" priority="49" operator="equal">
      <formula>0</formula>
    </cfRule>
  </conditionalFormatting>
  <conditionalFormatting sqref="H448">
    <cfRule type="cellIs" dxfId="8410" priority="48" operator="equal">
      <formula>0</formula>
    </cfRule>
  </conditionalFormatting>
  <conditionalFormatting sqref="H419:H425 H439 H441:H449 G419">
    <cfRule type="containsBlanks" dxfId="8409" priority="47">
      <formula>LEN(TRIM(G419))=0</formula>
    </cfRule>
  </conditionalFormatting>
  <conditionalFormatting sqref="H448">
    <cfRule type="cellIs" dxfId="8408" priority="46" operator="equal">
      <formula>0</formula>
    </cfRule>
  </conditionalFormatting>
  <conditionalFormatting sqref="H427:H438">
    <cfRule type="cellIs" dxfId="8407" priority="45" operator="equal">
      <formula>0</formula>
    </cfRule>
  </conditionalFormatting>
  <conditionalFormatting sqref="H427:H438">
    <cfRule type="containsBlanks" dxfId="8406" priority="44">
      <formula>LEN(TRIM(H427))=0</formula>
    </cfRule>
  </conditionalFormatting>
  <conditionalFormatting sqref="G420:G426 G439:G447 G449">
    <cfRule type="cellIs" dxfId="8405" priority="43" operator="equal">
      <formula>0</formula>
    </cfRule>
  </conditionalFormatting>
  <conditionalFormatting sqref="G420:G421">
    <cfRule type="cellIs" dxfId="8404" priority="42" operator="equal">
      <formula>0</formula>
    </cfRule>
  </conditionalFormatting>
  <conditionalFormatting sqref="G420:G421">
    <cfRule type="cellIs" dxfId="8403" priority="41" operator="equal">
      <formula>0</formula>
    </cfRule>
  </conditionalFormatting>
  <conditionalFormatting sqref="G448">
    <cfRule type="cellIs" dxfId="8402" priority="40" operator="equal">
      <formula>0</formula>
    </cfRule>
  </conditionalFormatting>
  <conditionalFormatting sqref="G420:G425 G441:G449 G439">
    <cfRule type="containsBlanks" dxfId="8401" priority="39">
      <formula>LEN(TRIM(G420))=0</formula>
    </cfRule>
  </conditionalFormatting>
  <conditionalFormatting sqref="G448">
    <cfRule type="cellIs" dxfId="8400" priority="38" operator="equal">
      <formula>0</formula>
    </cfRule>
  </conditionalFormatting>
  <conditionalFormatting sqref="G427:G438">
    <cfRule type="cellIs" dxfId="8399" priority="37" operator="equal">
      <formula>0</formula>
    </cfRule>
  </conditionalFormatting>
  <conditionalFormatting sqref="G427:G438">
    <cfRule type="containsBlanks" dxfId="8398" priority="36">
      <formula>LEN(TRIM(G427))=0</formula>
    </cfRule>
  </conditionalFormatting>
  <conditionalFormatting sqref="I419">
    <cfRule type="cellIs" dxfId="8397" priority="35" operator="equal">
      <formula>0</formula>
    </cfRule>
  </conditionalFormatting>
  <conditionalFormatting sqref="I419">
    <cfRule type="containsBlanks" dxfId="8396" priority="34">
      <formula>LEN(TRIM(I419))=0</formula>
    </cfRule>
  </conditionalFormatting>
  <conditionalFormatting sqref="I420:I426 I439:I447 I449">
    <cfRule type="cellIs" dxfId="8395" priority="33" operator="equal">
      <formula>0</formula>
    </cfRule>
  </conditionalFormatting>
  <conditionalFormatting sqref="I420:I421">
    <cfRule type="cellIs" dxfId="8394" priority="32" operator="equal">
      <formula>0</formula>
    </cfRule>
  </conditionalFormatting>
  <conditionalFormatting sqref="I420:I421">
    <cfRule type="cellIs" dxfId="8393" priority="31" operator="equal">
      <formula>0</formula>
    </cfRule>
  </conditionalFormatting>
  <conditionalFormatting sqref="I448">
    <cfRule type="cellIs" dxfId="8392" priority="30" operator="equal">
      <formula>0</formula>
    </cfRule>
  </conditionalFormatting>
  <conditionalFormatting sqref="I420:I425 I441:I449 I439">
    <cfRule type="containsBlanks" dxfId="8391" priority="29">
      <formula>LEN(TRIM(I420))=0</formula>
    </cfRule>
  </conditionalFormatting>
  <conditionalFormatting sqref="I448">
    <cfRule type="cellIs" dxfId="8390" priority="28" operator="equal">
      <formula>0</formula>
    </cfRule>
  </conditionalFormatting>
  <conditionalFormatting sqref="I427:I438">
    <cfRule type="cellIs" dxfId="8389" priority="27" operator="equal">
      <formula>0</formula>
    </cfRule>
  </conditionalFormatting>
  <conditionalFormatting sqref="I427:I438">
    <cfRule type="containsBlanks" dxfId="8388" priority="26">
      <formula>LEN(TRIM(I427))=0</formula>
    </cfRule>
  </conditionalFormatting>
  <conditionalFormatting sqref="H456:H463 H476:H484 H486 G456">
    <cfRule type="cellIs" dxfId="8387" priority="25" operator="equal">
      <formula>0</formula>
    </cfRule>
  </conditionalFormatting>
  <conditionalFormatting sqref="H457:H458">
    <cfRule type="cellIs" dxfId="8386" priority="24" operator="equal">
      <formula>0</formula>
    </cfRule>
  </conditionalFormatting>
  <conditionalFormatting sqref="H485">
    <cfRule type="cellIs" dxfId="8385" priority="23" operator="equal">
      <formula>0</formula>
    </cfRule>
  </conditionalFormatting>
  <conditionalFormatting sqref="H456:H462 H476 H478:H486 G456">
    <cfRule type="containsBlanks" dxfId="8384" priority="22">
      <formula>LEN(TRIM(G456))=0</formula>
    </cfRule>
  </conditionalFormatting>
  <conditionalFormatting sqref="H485">
    <cfRule type="cellIs" dxfId="8383" priority="21" operator="equal">
      <formula>0</formula>
    </cfRule>
  </conditionalFormatting>
  <conditionalFormatting sqref="H464:H475">
    <cfRule type="cellIs" dxfId="8382" priority="20" operator="equal">
      <formula>0</formula>
    </cfRule>
  </conditionalFormatting>
  <conditionalFormatting sqref="H464:H475">
    <cfRule type="containsBlanks" dxfId="8381" priority="19">
      <formula>LEN(TRIM(H464))=0</formula>
    </cfRule>
  </conditionalFormatting>
  <conditionalFormatting sqref="G457:G463 G476:G484 G486">
    <cfRule type="cellIs" dxfId="8380" priority="18" operator="equal">
      <formula>0</formula>
    </cfRule>
  </conditionalFormatting>
  <conditionalFormatting sqref="G457:G458">
    <cfRule type="cellIs" dxfId="8379" priority="17" operator="equal">
      <formula>0</formula>
    </cfRule>
  </conditionalFormatting>
  <conditionalFormatting sqref="G457:G458">
    <cfRule type="cellIs" dxfId="8378" priority="16" operator="equal">
      <formula>0</formula>
    </cfRule>
  </conditionalFormatting>
  <conditionalFormatting sqref="G485">
    <cfRule type="cellIs" dxfId="8377" priority="15" operator="equal">
      <formula>0</formula>
    </cfRule>
  </conditionalFormatting>
  <conditionalFormatting sqref="G457:G462 G478:G486 G476">
    <cfRule type="containsBlanks" dxfId="8376" priority="14">
      <formula>LEN(TRIM(G457))=0</formula>
    </cfRule>
  </conditionalFormatting>
  <conditionalFormatting sqref="G485">
    <cfRule type="cellIs" dxfId="8375" priority="13" operator="equal">
      <formula>0</formula>
    </cfRule>
  </conditionalFormatting>
  <conditionalFormatting sqref="G464:G475">
    <cfRule type="cellIs" dxfId="8374" priority="12" operator="equal">
      <formula>0</formula>
    </cfRule>
  </conditionalFormatting>
  <conditionalFormatting sqref="G464:G475">
    <cfRule type="containsBlanks" dxfId="8373" priority="11">
      <formula>LEN(TRIM(G464))=0</formula>
    </cfRule>
  </conditionalFormatting>
  <conditionalFormatting sqref="I456">
    <cfRule type="cellIs" dxfId="8372" priority="10" operator="equal">
      <formula>0</formula>
    </cfRule>
  </conditionalFormatting>
  <conditionalFormatting sqref="I456">
    <cfRule type="containsBlanks" dxfId="8371" priority="9">
      <formula>LEN(TRIM(I456))=0</formula>
    </cfRule>
  </conditionalFormatting>
  <conditionalFormatting sqref="I457:I463 I476:I484 I486">
    <cfRule type="cellIs" dxfId="8370" priority="8" operator="equal">
      <formula>0</formula>
    </cfRule>
  </conditionalFormatting>
  <conditionalFormatting sqref="I457:I458">
    <cfRule type="cellIs" dxfId="8369" priority="7" operator="equal">
      <formula>0</formula>
    </cfRule>
  </conditionalFormatting>
  <conditionalFormatting sqref="I457:I458">
    <cfRule type="cellIs" dxfId="8368" priority="6" operator="equal">
      <formula>0</formula>
    </cfRule>
  </conditionalFormatting>
  <conditionalFormatting sqref="I485">
    <cfRule type="cellIs" dxfId="8367" priority="5" operator="equal">
      <formula>0</formula>
    </cfRule>
  </conditionalFormatting>
  <conditionalFormatting sqref="I457:I462 I478:I486 I476">
    <cfRule type="containsBlanks" dxfId="8366" priority="4">
      <formula>LEN(TRIM(I457))=0</formula>
    </cfRule>
  </conditionalFormatting>
  <conditionalFormatting sqref="I485">
    <cfRule type="cellIs" dxfId="8365" priority="3" operator="equal">
      <formula>0</formula>
    </cfRule>
  </conditionalFormatting>
  <conditionalFormatting sqref="I464:I475">
    <cfRule type="cellIs" dxfId="8364" priority="2" operator="equal">
      <formula>0</formula>
    </cfRule>
  </conditionalFormatting>
  <conditionalFormatting sqref="I464:I475">
    <cfRule type="containsBlanks" dxfId="8363" priority="1">
      <formula>LEN(TRIM(I464))=0</formula>
    </cfRule>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8F24-1493-4121-921A-15343805166C}">
  <dimension ref="C3:U414"/>
  <sheetViews>
    <sheetView topLeftCell="A4" zoomScale="70" zoomScaleNormal="70" workbookViewId="0">
      <selection activeCell="A8" sqref="A8:XFD81"/>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358</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9.7691999999999997</v>
      </c>
      <c r="F12" s="663">
        <v>0</v>
      </c>
      <c r="G12" s="663">
        <v>0</v>
      </c>
      <c r="H12" s="663">
        <v>0.18608000000000002</v>
      </c>
      <c r="I12" s="663">
        <v>0</v>
      </c>
      <c r="J12" s="673">
        <v>1043.3129387318213</v>
      </c>
      <c r="K12" s="673">
        <v>139.46802163523503</v>
      </c>
      <c r="L12" s="673">
        <v>211.06866225537212</v>
      </c>
      <c r="M12" s="673">
        <v>28.736127787765195</v>
      </c>
      <c r="N12" s="663">
        <v>1.2541050018668516</v>
      </c>
      <c r="O12" s="663">
        <v>0.16066538698047411</v>
      </c>
      <c r="P12" s="673">
        <v>51.691578550496644</v>
      </c>
      <c r="Q12" s="673">
        <v>7.2966333603269149</v>
      </c>
      <c r="R12" s="663">
        <v>0</v>
      </c>
      <c r="S12" s="663">
        <v>0</v>
      </c>
      <c r="T12" s="663">
        <v>0</v>
      </c>
      <c r="U12" s="674">
        <v>1492.9440127098642</v>
      </c>
    </row>
    <row r="13" spans="3:21" ht="13">
      <c r="C13" s="662" t="s">
        <v>60</v>
      </c>
      <c r="D13" s="663">
        <v>55.333246493755105</v>
      </c>
      <c r="E13" s="663">
        <v>462.05884439413359</v>
      </c>
      <c r="F13" s="663">
        <v>258.72843400634088</v>
      </c>
      <c r="G13" s="663">
        <v>0.4821984357974316</v>
      </c>
      <c r="H13" s="663">
        <v>373.06013444321923</v>
      </c>
      <c r="I13" s="663">
        <v>0</v>
      </c>
      <c r="J13" s="663">
        <v>0</v>
      </c>
      <c r="K13" s="663">
        <v>0</v>
      </c>
      <c r="L13" s="663">
        <v>1.7064184013992112</v>
      </c>
      <c r="M13" s="663">
        <v>0</v>
      </c>
      <c r="N13" s="663">
        <v>2.499440757084872</v>
      </c>
      <c r="O13" s="663">
        <v>0</v>
      </c>
      <c r="P13" s="663">
        <v>0</v>
      </c>
      <c r="Q13" s="663">
        <v>0</v>
      </c>
      <c r="R13" s="663">
        <v>0</v>
      </c>
      <c r="S13" s="663">
        <v>0</v>
      </c>
      <c r="T13" s="663">
        <v>0</v>
      </c>
      <c r="U13" s="674">
        <v>1153.8687169317302</v>
      </c>
    </row>
    <row r="14" spans="3:21" ht="13">
      <c r="C14" s="662" t="s">
        <v>61</v>
      </c>
      <c r="D14" s="663">
        <v>0</v>
      </c>
      <c r="E14" s="663">
        <v>0</v>
      </c>
      <c r="F14" s="663">
        <v>-1.2209185925395749</v>
      </c>
      <c r="G14" s="663">
        <v>0</v>
      </c>
      <c r="H14" s="663">
        <v>0</v>
      </c>
      <c r="I14" s="663">
        <v>0</v>
      </c>
      <c r="J14" s="663">
        <v>0</v>
      </c>
      <c r="K14" s="663">
        <v>0</v>
      </c>
      <c r="L14" s="663">
        <v>0</v>
      </c>
      <c r="M14" s="663">
        <v>0</v>
      </c>
      <c r="N14" s="663">
        <v>0</v>
      </c>
      <c r="O14" s="663">
        <v>0</v>
      </c>
      <c r="P14" s="663">
        <v>0</v>
      </c>
      <c r="Q14" s="663">
        <v>0</v>
      </c>
      <c r="R14" s="663">
        <v>-40.000047900912989</v>
      </c>
      <c r="S14" s="663">
        <v>0</v>
      </c>
      <c r="T14" s="663">
        <v>0</v>
      </c>
      <c r="U14" s="674">
        <v>-41.220966493452565</v>
      </c>
    </row>
    <row r="15" spans="3:21" ht="13">
      <c r="C15" s="662" t="s">
        <v>62</v>
      </c>
      <c r="D15" s="663">
        <v>0</v>
      </c>
      <c r="E15" s="663">
        <v>0</v>
      </c>
      <c r="F15" s="663">
        <v>-18.690118059591438</v>
      </c>
      <c r="G15" s="663">
        <v>0</v>
      </c>
      <c r="H15" s="663">
        <v>-0.63746853416095417</v>
      </c>
      <c r="I15" s="663">
        <v>0</v>
      </c>
      <c r="J15" s="663">
        <v>0</v>
      </c>
      <c r="K15" s="663">
        <v>0</v>
      </c>
      <c r="L15" s="663">
        <v>0</v>
      </c>
      <c r="M15" s="663">
        <v>0</v>
      </c>
      <c r="N15" s="663">
        <v>-0.21915172379020703</v>
      </c>
      <c r="O15" s="663">
        <v>-1.9986637209666883E-2</v>
      </c>
      <c r="P15" s="663">
        <v>0</v>
      </c>
      <c r="Q15" s="663">
        <v>0</v>
      </c>
      <c r="R15" s="663">
        <v>0</v>
      </c>
      <c r="S15" s="663">
        <v>0</v>
      </c>
      <c r="T15" s="663">
        <v>0</v>
      </c>
      <c r="U15" s="674">
        <v>-19.566724954752267</v>
      </c>
    </row>
    <row r="16" spans="3:21" ht="13">
      <c r="C16" s="662" t="s">
        <v>63</v>
      </c>
      <c r="D16" s="663">
        <v>0</v>
      </c>
      <c r="E16" s="663">
        <v>0</v>
      </c>
      <c r="F16" s="663">
        <v>-61.207306845856941</v>
      </c>
      <c r="G16" s="663">
        <v>-2.3572892961241775E-2</v>
      </c>
      <c r="H16" s="663">
        <v>0</v>
      </c>
      <c r="I16" s="663">
        <v>0</v>
      </c>
      <c r="J16" s="663">
        <v>0</v>
      </c>
      <c r="K16" s="663">
        <v>0</v>
      </c>
      <c r="L16" s="663">
        <v>0</v>
      </c>
      <c r="M16" s="663">
        <v>0</v>
      </c>
      <c r="N16" s="663">
        <v>-0.99044454483745525</v>
      </c>
      <c r="O16" s="663">
        <v>0</v>
      </c>
      <c r="P16" s="663">
        <v>0</v>
      </c>
      <c r="Q16" s="663">
        <v>0</v>
      </c>
      <c r="R16" s="663">
        <v>0</v>
      </c>
      <c r="S16" s="663">
        <v>0</v>
      </c>
      <c r="T16" s="663">
        <v>0</v>
      </c>
      <c r="U16" s="674">
        <v>-62.221324283655633</v>
      </c>
    </row>
    <row r="17" spans="3:21" ht="13">
      <c r="C17" s="662" t="s">
        <v>64</v>
      </c>
      <c r="D17" s="663">
        <v>9.7684723496666986E-2</v>
      </c>
      <c r="E17" s="663">
        <v>-5.9567697000000003E-2</v>
      </c>
      <c r="F17" s="663">
        <v>3.8766666666666671E-2</v>
      </c>
      <c r="G17" s="663">
        <v>0</v>
      </c>
      <c r="H17" s="663">
        <v>0</v>
      </c>
      <c r="I17" s="663">
        <v>0</v>
      </c>
      <c r="J17" s="663">
        <v>0</v>
      </c>
      <c r="K17" s="663">
        <v>0</v>
      </c>
      <c r="L17" s="663">
        <v>0</v>
      </c>
      <c r="M17" s="663">
        <v>0</v>
      </c>
      <c r="N17" s="663">
        <v>0</v>
      </c>
      <c r="O17" s="663">
        <v>0</v>
      </c>
      <c r="P17" s="663">
        <v>0</v>
      </c>
      <c r="Q17" s="663">
        <v>0</v>
      </c>
      <c r="R17" s="663">
        <v>0</v>
      </c>
      <c r="S17" s="663">
        <v>0</v>
      </c>
      <c r="T17" s="663">
        <v>0</v>
      </c>
      <c r="U17" s="674">
        <v>7.6883693163333655E-2</v>
      </c>
    </row>
    <row r="18" spans="3:21" ht="13">
      <c r="C18" s="666" t="s">
        <v>65</v>
      </c>
      <c r="D18" s="675">
        <v>55.430931217251775</v>
      </c>
      <c r="E18" s="675">
        <v>471.76847669713356</v>
      </c>
      <c r="F18" s="675">
        <v>177.64885717501963</v>
      </c>
      <c r="G18" s="667">
        <v>0.45862554283618984</v>
      </c>
      <c r="H18" s="675">
        <v>372.60874590905826</v>
      </c>
      <c r="I18" s="667">
        <v>0</v>
      </c>
      <c r="J18" s="675">
        <v>1043.3129387318213</v>
      </c>
      <c r="K18" s="675">
        <v>139.46802163523503</v>
      </c>
      <c r="L18" s="675">
        <v>212.77508065677134</v>
      </c>
      <c r="M18" s="675">
        <v>28.736127787765195</v>
      </c>
      <c r="N18" s="675">
        <v>2.5439494903240614</v>
      </c>
      <c r="O18" s="675">
        <v>0.14067874977080724</v>
      </c>
      <c r="P18" s="675">
        <v>51.691578550496644</v>
      </c>
      <c r="Q18" s="675">
        <v>7.2966333603269149</v>
      </c>
      <c r="R18" s="675">
        <v>-40.000047900912989</v>
      </c>
      <c r="S18" s="675">
        <v>0</v>
      </c>
      <c r="T18" s="675">
        <v>0</v>
      </c>
      <c r="U18" s="675">
        <v>2523.8805976028971</v>
      </c>
    </row>
    <row r="19" spans="3:21" ht="13">
      <c r="C19" s="668"/>
      <c r="D19" s="676">
        <v>0</v>
      </c>
      <c r="E19" s="676">
        <v>0</v>
      </c>
      <c r="F19" s="676">
        <v>0</v>
      </c>
      <c r="G19" s="669">
        <v>0</v>
      </c>
      <c r="H19" s="676">
        <v>0</v>
      </c>
      <c r="I19" s="669">
        <v>0</v>
      </c>
      <c r="J19" s="676">
        <v>0</v>
      </c>
      <c r="K19" s="676">
        <v>0</v>
      </c>
      <c r="L19" s="676">
        <v>0</v>
      </c>
      <c r="M19" s="676">
        <v>0</v>
      </c>
      <c r="N19" s="676">
        <v>0</v>
      </c>
      <c r="O19" s="676">
        <v>0</v>
      </c>
      <c r="P19" s="676">
        <v>0</v>
      </c>
      <c r="Q19" s="676">
        <v>0</v>
      </c>
      <c r="R19" s="676">
        <v>0</v>
      </c>
      <c r="S19" s="676">
        <v>0</v>
      </c>
      <c r="T19" s="676">
        <v>0</v>
      </c>
      <c r="U19" s="676">
        <v>0</v>
      </c>
    </row>
    <row r="20" spans="3:21" ht="13">
      <c r="C20" s="670" t="s">
        <v>67</v>
      </c>
      <c r="D20" s="663">
        <v>0</v>
      </c>
      <c r="E20" s="663">
        <v>4.3623690669338813E-2</v>
      </c>
      <c r="F20" s="663">
        <v>-0.43976848620269193</v>
      </c>
      <c r="G20" s="663">
        <v>0</v>
      </c>
      <c r="H20" s="663">
        <v>0</v>
      </c>
      <c r="I20" s="663">
        <v>0</v>
      </c>
      <c r="J20" s="663">
        <v>0</v>
      </c>
      <c r="K20" s="663">
        <v>0</v>
      </c>
      <c r="L20" s="663">
        <v>0</v>
      </c>
      <c r="M20" s="663">
        <v>0</v>
      </c>
      <c r="N20" s="663">
        <v>0</v>
      </c>
      <c r="O20" s="663">
        <v>0</v>
      </c>
      <c r="P20" s="663">
        <v>0</v>
      </c>
      <c r="Q20" s="663">
        <v>0</v>
      </c>
      <c r="R20" s="663">
        <v>0.19176325930063415</v>
      </c>
      <c r="S20" s="663">
        <v>0</v>
      </c>
      <c r="T20" s="663">
        <v>0</v>
      </c>
      <c r="U20" s="671">
        <v>-0.20438153623271899</v>
      </c>
    </row>
    <row r="21" spans="3:21" ht="13">
      <c r="C21" s="670" t="s">
        <v>350</v>
      </c>
      <c r="D21" s="663">
        <v>6.8358128316613413</v>
      </c>
      <c r="E21" s="663">
        <v>0</v>
      </c>
      <c r="F21" s="663">
        <v>8.9139035435547633</v>
      </c>
      <c r="G21" s="663">
        <v>0</v>
      </c>
      <c r="H21" s="663">
        <v>46.194007450119869</v>
      </c>
      <c r="I21" s="663">
        <v>0</v>
      </c>
      <c r="J21" s="663">
        <v>1043.3129387318213</v>
      </c>
      <c r="K21" s="663">
        <v>139.46802163523503</v>
      </c>
      <c r="L21" s="663">
        <v>35.526476644989941</v>
      </c>
      <c r="M21" s="663">
        <v>11.593699313859108</v>
      </c>
      <c r="N21" s="663">
        <v>3.7008210788065874</v>
      </c>
      <c r="O21" s="663">
        <v>5.9385856639344583</v>
      </c>
      <c r="P21" s="663">
        <v>0</v>
      </c>
      <c r="Q21" s="663">
        <v>0.58332819125492874</v>
      </c>
      <c r="R21" s="663">
        <v>-531.7873108565858</v>
      </c>
      <c r="S21" s="663">
        <v>0</v>
      </c>
      <c r="T21" s="663">
        <v>0</v>
      </c>
      <c r="U21" s="671">
        <v>770.28028422865157</v>
      </c>
    </row>
    <row r="22" spans="3:21" ht="13">
      <c r="C22" s="670" t="s">
        <v>351</v>
      </c>
      <c r="D22" s="663">
        <v>0.51386910718324508</v>
      </c>
      <c r="E22" s="663">
        <v>0</v>
      </c>
      <c r="F22" s="663">
        <v>7.6404494382022473E-2</v>
      </c>
      <c r="G22" s="663">
        <v>0</v>
      </c>
      <c r="H22" s="663">
        <v>18.437939298309416</v>
      </c>
      <c r="I22" s="663">
        <v>0</v>
      </c>
      <c r="J22" s="663">
        <v>0</v>
      </c>
      <c r="K22" s="663">
        <v>0</v>
      </c>
      <c r="L22" s="663">
        <v>21.79805888469869</v>
      </c>
      <c r="M22" s="663">
        <v>14.969732959042592</v>
      </c>
      <c r="N22" s="663">
        <v>0</v>
      </c>
      <c r="O22" s="663">
        <v>3.0216984697001137</v>
      </c>
      <c r="P22" s="663">
        <v>0</v>
      </c>
      <c r="Q22" s="663">
        <v>4.3023879699163166</v>
      </c>
      <c r="R22" s="663">
        <v>0</v>
      </c>
      <c r="S22" s="663">
        <v>-56.500241406713869</v>
      </c>
      <c r="T22" s="663">
        <v>0</v>
      </c>
      <c r="U22" s="671">
        <v>6.61984977651852</v>
      </c>
    </row>
    <row r="23" spans="3:21" ht="13">
      <c r="C23" s="670" t="s">
        <v>352</v>
      </c>
      <c r="D23" s="663">
        <v>0</v>
      </c>
      <c r="E23" s="663">
        <v>0</v>
      </c>
      <c r="F23" s="663">
        <v>0</v>
      </c>
      <c r="G23" s="663">
        <v>0</v>
      </c>
      <c r="H23" s="663">
        <v>0</v>
      </c>
      <c r="I23" s="663">
        <v>0</v>
      </c>
      <c r="J23" s="663">
        <v>0</v>
      </c>
      <c r="K23" s="663">
        <v>0</v>
      </c>
      <c r="L23" s="663">
        <v>19.833176023115492</v>
      </c>
      <c r="M23" s="663">
        <v>0</v>
      </c>
      <c r="N23" s="663">
        <v>0</v>
      </c>
      <c r="O23" s="663">
        <v>-18.442786110782258</v>
      </c>
      <c r="P23" s="663">
        <v>0</v>
      </c>
      <c r="Q23" s="663">
        <v>0</v>
      </c>
      <c r="R23" s="663">
        <v>0</v>
      </c>
      <c r="S23" s="663">
        <v>0</v>
      </c>
      <c r="T23" s="663">
        <v>0</v>
      </c>
      <c r="U23" s="671">
        <v>1.3903899123332337</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488.94348991796431</v>
      </c>
      <c r="F25" s="663">
        <v>-484.0817118369651</v>
      </c>
      <c r="G25" s="663">
        <v>0</v>
      </c>
      <c r="H25" s="663">
        <v>0</v>
      </c>
      <c r="I25" s="663">
        <v>0</v>
      </c>
      <c r="J25" s="663">
        <v>0</v>
      </c>
      <c r="K25" s="663">
        <v>0</v>
      </c>
      <c r="L25" s="663">
        <v>0</v>
      </c>
      <c r="M25" s="663">
        <v>0</v>
      </c>
      <c r="N25" s="663">
        <v>0</v>
      </c>
      <c r="O25" s="663">
        <v>0</v>
      </c>
      <c r="P25" s="663">
        <v>0</v>
      </c>
      <c r="Q25" s="663">
        <v>0</v>
      </c>
      <c r="R25" s="663">
        <v>0</v>
      </c>
      <c r="S25" s="663">
        <v>0</v>
      </c>
      <c r="T25" s="663">
        <v>0</v>
      </c>
      <c r="U25" s="671">
        <v>4.8617780809992377</v>
      </c>
    </row>
    <row r="26" spans="3:21" ht="13">
      <c r="C26" s="670" t="s">
        <v>354</v>
      </c>
      <c r="D26" s="663">
        <v>0</v>
      </c>
      <c r="E26" s="663">
        <v>0</v>
      </c>
      <c r="F26" s="663">
        <v>0</v>
      </c>
      <c r="G26" s="663">
        <v>0</v>
      </c>
      <c r="H26" s="663">
        <v>0</v>
      </c>
      <c r="I26" s="663">
        <v>0</v>
      </c>
      <c r="J26" s="663">
        <v>0</v>
      </c>
      <c r="K26" s="663">
        <v>0</v>
      </c>
      <c r="L26" s="663">
        <v>46.704417237442101</v>
      </c>
      <c r="M26" s="663">
        <v>0</v>
      </c>
      <c r="N26" s="663">
        <v>-46.704417237442101</v>
      </c>
      <c r="O26" s="663">
        <v>0</v>
      </c>
      <c r="P26" s="663">
        <v>0</v>
      </c>
      <c r="Q26" s="663">
        <v>0</v>
      </c>
      <c r="R26" s="663">
        <v>0</v>
      </c>
      <c r="S26" s="663">
        <v>0</v>
      </c>
      <c r="T26" s="663">
        <v>0</v>
      </c>
      <c r="U26" s="671">
        <v>0</v>
      </c>
    </row>
    <row r="27" spans="3:21" ht="13">
      <c r="C27" s="670" t="s">
        <v>355</v>
      </c>
      <c r="D27" s="663">
        <v>0</v>
      </c>
      <c r="E27" s="663">
        <v>0</v>
      </c>
      <c r="F27" s="663">
        <v>0</v>
      </c>
      <c r="G27" s="663">
        <v>-4.2859805384075952E-2</v>
      </c>
      <c r="H27" s="663">
        <v>0</v>
      </c>
      <c r="I27" s="663">
        <v>0</v>
      </c>
      <c r="J27" s="663">
        <v>0</v>
      </c>
      <c r="K27" s="663">
        <v>0</v>
      </c>
      <c r="L27" s="663">
        <v>0</v>
      </c>
      <c r="M27" s="663">
        <v>0</v>
      </c>
      <c r="N27" s="663">
        <v>0</v>
      </c>
      <c r="O27" s="663">
        <v>0</v>
      </c>
      <c r="P27" s="663">
        <v>0</v>
      </c>
      <c r="Q27" s="663">
        <v>0</v>
      </c>
      <c r="R27" s="663">
        <v>0</v>
      </c>
      <c r="S27" s="663">
        <v>0</v>
      </c>
      <c r="T27" s="663">
        <v>5.969332226194423E-2</v>
      </c>
      <c r="U27" s="671">
        <v>1.6833516877868278E-2</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3.2419807733491699</v>
      </c>
      <c r="S28" s="663">
        <v>0</v>
      </c>
      <c r="T28" s="663">
        <v>-2.1072875026769604</v>
      </c>
      <c r="U28" s="671">
        <v>1.1346932706722095</v>
      </c>
    </row>
    <row r="29" spans="3:21" ht="13">
      <c r="C29" s="670" t="s">
        <v>356</v>
      </c>
      <c r="D29" s="663">
        <v>29.6567859375</v>
      </c>
      <c r="E29" s="663">
        <v>-17.218594005820741</v>
      </c>
      <c r="F29" s="663">
        <v>22.383724171942411</v>
      </c>
      <c r="G29" s="663">
        <v>0</v>
      </c>
      <c r="H29" s="663">
        <v>0</v>
      </c>
      <c r="I29" s="663">
        <v>0</v>
      </c>
      <c r="J29" s="663">
        <v>0</v>
      </c>
      <c r="K29" s="663">
        <v>0</v>
      </c>
      <c r="L29" s="663">
        <v>0</v>
      </c>
      <c r="M29" s="663">
        <v>0</v>
      </c>
      <c r="N29" s="663">
        <v>0</v>
      </c>
      <c r="O29" s="663">
        <v>0</v>
      </c>
      <c r="P29" s="663">
        <v>0</v>
      </c>
      <c r="Q29" s="663">
        <v>0</v>
      </c>
      <c r="R29" s="663">
        <v>0</v>
      </c>
      <c r="S29" s="663">
        <v>0</v>
      </c>
      <c r="T29" s="663">
        <v>0</v>
      </c>
      <c r="U29" s="671">
        <v>34.821916103621675</v>
      </c>
    </row>
    <row r="30" spans="3:21" ht="13">
      <c r="C30" s="670" t="s">
        <v>75</v>
      </c>
      <c r="D30" s="663">
        <v>11.533194531250002</v>
      </c>
      <c r="E30" s="663">
        <v>0</v>
      </c>
      <c r="F30" s="663">
        <v>18.315545038272333</v>
      </c>
      <c r="G30" s="663">
        <v>0</v>
      </c>
      <c r="H30" s="663">
        <v>5.0521769918695103</v>
      </c>
      <c r="I30" s="663">
        <v>0</v>
      </c>
      <c r="J30" s="663">
        <v>0</v>
      </c>
      <c r="K30" s="663">
        <v>0</v>
      </c>
      <c r="L30" s="663">
        <v>0</v>
      </c>
      <c r="M30" s="663">
        <v>0</v>
      </c>
      <c r="N30" s="663">
        <v>0</v>
      </c>
      <c r="O30" s="663">
        <v>0.15840158885399455</v>
      </c>
      <c r="P30" s="663">
        <v>0</v>
      </c>
      <c r="Q30" s="663">
        <v>0</v>
      </c>
      <c r="R30" s="663">
        <v>27.195483907152681</v>
      </c>
      <c r="S30" s="663">
        <v>0</v>
      </c>
      <c r="T30" s="663">
        <v>0</v>
      </c>
      <c r="U30" s="671">
        <v>62.254802057398521</v>
      </c>
    </row>
    <row r="31" spans="3:21" ht="13">
      <c r="C31" s="670" t="s">
        <v>76</v>
      </c>
      <c r="D31" s="663">
        <v>0</v>
      </c>
      <c r="E31" s="663">
        <v>0</v>
      </c>
      <c r="F31" s="663">
        <v>0</v>
      </c>
      <c r="G31" s="663">
        <v>0</v>
      </c>
      <c r="H31" s="663">
        <v>4.3636192718547369</v>
      </c>
      <c r="I31" s="663">
        <v>0</v>
      </c>
      <c r="J31" s="663">
        <v>0</v>
      </c>
      <c r="K31" s="663">
        <v>0</v>
      </c>
      <c r="L31" s="663">
        <v>0</v>
      </c>
      <c r="M31" s="663">
        <v>0</v>
      </c>
      <c r="N31" s="663">
        <v>0</v>
      </c>
      <c r="O31" s="663">
        <v>0.13681314548719473</v>
      </c>
      <c r="P31" s="663">
        <v>0</v>
      </c>
      <c r="Q31" s="663">
        <v>0</v>
      </c>
      <c r="R31" s="663">
        <v>37.672439817680754</v>
      </c>
      <c r="S31" s="663">
        <v>4.3810396487584971</v>
      </c>
      <c r="T31" s="663">
        <v>0</v>
      </c>
      <c r="U31" s="671">
        <v>46.553911883781183</v>
      </c>
    </row>
    <row r="32" spans="3:21" ht="13">
      <c r="C32" s="666" t="s">
        <v>77</v>
      </c>
      <c r="D32" s="675">
        <v>48.539662407594591</v>
      </c>
      <c r="E32" s="675">
        <v>471.76851960281289</v>
      </c>
      <c r="F32" s="675">
        <v>-434.83190307501627</v>
      </c>
      <c r="G32" s="667">
        <v>-4.2859805384075952E-2</v>
      </c>
      <c r="H32" s="675">
        <v>74.047743012153532</v>
      </c>
      <c r="I32" s="667">
        <v>0</v>
      </c>
      <c r="J32" s="675">
        <v>1043.3129387318213</v>
      </c>
      <c r="K32" s="675">
        <v>139.46802163523503</v>
      </c>
      <c r="L32" s="675">
        <v>123.86212879024622</v>
      </c>
      <c r="M32" s="675">
        <v>26.5634322729017</v>
      </c>
      <c r="N32" s="675">
        <v>-43.003596158635517</v>
      </c>
      <c r="O32" s="675">
        <v>-9.187287242806498</v>
      </c>
      <c r="P32" s="675">
        <v>0</v>
      </c>
      <c r="Q32" s="675">
        <v>4.8857161611712456</v>
      </c>
      <c r="R32" s="675">
        <v>-463.48564309910262</v>
      </c>
      <c r="S32" s="675">
        <v>-52.119201757955373</v>
      </c>
      <c r="T32" s="675">
        <v>-2.0475941804150164</v>
      </c>
      <c r="U32" s="675">
        <v>927.7300772946212</v>
      </c>
    </row>
    <row r="33" spans="3:21" ht="13">
      <c r="C33" s="668"/>
      <c r="D33" s="676">
        <v>0</v>
      </c>
      <c r="E33" s="676">
        <v>0</v>
      </c>
      <c r="F33" s="676">
        <v>0</v>
      </c>
      <c r="G33" s="669">
        <v>0</v>
      </c>
      <c r="H33" s="676">
        <v>0</v>
      </c>
      <c r="I33" s="669">
        <v>0</v>
      </c>
      <c r="J33" s="676">
        <v>0</v>
      </c>
      <c r="K33" s="676">
        <v>0</v>
      </c>
      <c r="L33" s="676">
        <v>0</v>
      </c>
      <c r="M33" s="676">
        <v>0</v>
      </c>
      <c r="N33" s="676">
        <v>0</v>
      </c>
      <c r="O33" s="676">
        <v>0</v>
      </c>
      <c r="P33" s="676">
        <v>0</v>
      </c>
      <c r="Q33" s="676">
        <v>0</v>
      </c>
      <c r="R33" s="676">
        <v>0</v>
      </c>
      <c r="S33" s="676">
        <v>0</v>
      </c>
      <c r="T33" s="676">
        <v>0</v>
      </c>
      <c r="U33" s="676">
        <v>0</v>
      </c>
    </row>
    <row r="34" spans="3:21" ht="13">
      <c r="C34" s="670" t="s">
        <v>78</v>
      </c>
      <c r="D34" s="663">
        <v>6.8912688096571859</v>
      </c>
      <c r="E34" s="663">
        <v>0</v>
      </c>
      <c r="F34" s="663">
        <v>23.50730673118812</v>
      </c>
      <c r="G34" s="663">
        <v>0</v>
      </c>
      <c r="H34" s="663">
        <v>103.6322985075271</v>
      </c>
      <c r="I34" s="663">
        <v>0</v>
      </c>
      <c r="J34" s="663">
        <v>0</v>
      </c>
      <c r="K34" s="663">
        <v>0</v>
      </c>
      <c r="L34" s="663">
        <v>17.934528794531492</v>
      </c>
      <c r="M34" s="663">
        <v>2.162623383313536</v>
      </c>
      <c r="N34" s="663">
        <v>0.76389416015625011</v>
      </c>
      <c r="O34" s="663">
        <v>3.2712996519108821</v>
      </c>
      <c r="P34" s="663">
        <v>1.2785699462890625</v>
      </c>
      <c r="Q34" s="663">
        <v>4.5058902280570805E-4</v>
      </c>
      <c r="R34" s="663">
        <v>115.58056111877757</v>
      </c>
      <c r="S34" s="663">
        <v>17.85711360509158</v>
      </c>
      <c r="T34" s="663">
        <v>0.15803289794921874</v>
      </c>
      <c r="U34" s="671">
        <v>293.03794819541474</v>
      </c>
    </row>
    <row r="35" spans="3:21" ht="13">
      <c r="C35" s="670" t="s">
        <v>79</v>
      </c>
      <c r="D35" s="663">
        <v>0</v>
      </c>
      <c r="E35" s="663">
        <v>0</v>
      </c>
      <c r="F35" s="663">
        <v>390.39286283251352</v>
      </c>
      <c r="G35" s="663">
        <v>0</v>
      </c>
      <c r="H35" s="663">
        <v>3.1281168846544798</v>
      </c>
      <c r="I35" s="663">
        <v>0</v>
      </c>
      <c r="J35" s="663">
        <v>0</v>
      </c>
      <c r="K35" s="663">
        <v>0</v>
      </c>
      <c r="L35" s="663">
        <v>0</v>
      </c>
      <c r="M35" s="663">
        <v>0</v>
      </c>
      <c r="N35" s="663">
        <v>38.392031856976942</v>
      </c>
      <c r="O35" s="663">
        <v>9.8076271961114056E-2</v>
      </c>
      <c r="P35" s="663">
        <v>0</v>
      </c>
      <c r="Q35" s="663">
        <v>0</v>
      </c>
      <c r="R35" s="663">
        <v>12.839790522362275</v>
      </c>
      <c r="S35" s="663">
        <v>0</v>
      </c>
      <c r="T35" s="663">
        <v>1.404547929789267E-5</v>
      </c>
      <c r="U35" s="671">
        <v>444.85089241394763</v>
      </c>
    </row>
    <row r="36" spans="3:21" ht="13">
      <c r="C36" s="670" t="s">
        <v>80</v>
      </c>
      <c r="D36" s="663">
        <v>0</v>
      </c>
      <c r="E36" s="663">
        <v>0</v>
      </c>
      <c r="F36" s="663">
        <v>18.209722356615</v>
      </c>
      <c r="G36" s="663">
        <v>0</v>
      </c>
      <c r="H36" s="663">
        <v>121.89469525503438</v>
      </c>
      <c r="I36" s="663">
        <v>0</v>
      </c>
      <c r="J36" s="663">
        <v>0</v>
      </c>
      <c r="K36" s="663">
        <v>0</v>
      </c>
      <c r="L36" s="663">
        <v>69.673112957297619</v>
      </c>
      <c r="M36" s="663">
        <v>0</v>
      </c>
      <c r="N36" s="663">
        <v>0</v>
      </c>
      <c r="O36" s="663">
        <v>3.8217808743327613</v>
      </c>
      <c r="P36" s="663">
        <v>41.524804077007047</v>
      </c>
      <c r="Q36" s="663">
        <v>1.3186709338752973</v>
      </c>
      <c r="R36" s="663">
        <v>166.70645822540385</v>
      </c>
      <c r="S36" s="663">
        <v>23.041532520535192</v>
      </c>
      <c r="T36" s="663">
        <v>0</v>
      </c>
      <c r="U36" s="671">
        <v>446.19077720010119</v>
      </c>
    </row>
    <row r="37" spans="3:21" ht="13">
      <c r="C37" s="670" t="s">
        <v>81</v>
      </c>
      <c r="D37" s="663">
        <v>0</v>
      </c>
      <c r="E37" s="663">
        <v>0</v>
      </c>
      <c r="F37" s="663">
        <v>22.047417711617395</v>
      </c>
      <c r="G37" s="663">
        <v>0</v>
      </c>
      <c r="H37" s="663">
        <v>55.474573851605541</v>
      </c>
      <c r="I37" s="663">
        <v>0</v>
      </c>
      <c r="J37" s="663">
        <v>0</v>
      </c>
      <c r="K37" s="663">
        <v>0</v>
      </c>
      <c r="L37" s="663">
        <v>0.2600018184764662</v>
      </c>
      <c r="M37" s="663">
        <v>1.0072131549959035E-2</v>
      </c>
      <c r="N37" s="663">
        <v>0</v>
      </c>
      <c r="O37" s="663">
        <v>1.7393018204298767</v>
      </c>
      <c r="P37" s="663">
        <v>8.7382045272005371</v>
      </c>
      <c r="Q37" s="663">
        <v>0.83694366645922857</v>
      </c>
      <c r="R37" s="663">
        <v>120.24688741623336</v>
      </c>
      <c r="S37" s="663">
        <v>11.220555632328594</v>
      </c>
      <c r="T37" s="663">
        <v>0</v>
      </c>
      <c r="U37" s="671">
        <v>220.57395857590095</v>
      </c>
    </row>
    <row r="38" spans="3:21" ht="13">
      <c r="C38" s="670" t="s">
        <v>82</v>
      </c>
      <c r="D38" s="663">
        <v>0</v>
      </c>
      <c r="E38" s="663">
        <v>0</v>
      </c>
      <c r="F38" s="663">
        <v>32.350878858910924</v>
      </c>
      <c r="G38" s="663">
        <v>0</v>
      </c>
      <c r="H38" s="663">
        <v>2.5949331244793301</v>
      </c>
      <c r="I38" s="663">
        <v>0</v>
      </c>
      <c r="J38" s="663">
        <v>0</v>
      </c>
      <c r="K38" s="663">
        <v>0</v>
      </c>
      <c r="L38" s="663">
        <v>1.0052852655560149</v>
      </c>
      <c r="M38" s="663">
        <v>0</v>
      </c>
      <c r="N38" s="663">
        <v>2.4838975032538144</v>
      </c>
      <c r="O38" s="663">
        <v>8.1359289381365135E-2</v>
      </c>
      <c r="P38" s="663">
        <v>0.15</v>
      </c>
      <c r="Q38" s="663">
        <v>0.25485200979833694</v>
      </c>
      <c r="R38" s="663">
        <v>8.1118979154125785</v>
      </c>
      <c r="S38" s="663">
        <v>0</v>
      </c>
      <c r="T38" s="663">
        <v>5.2098714141513347E-2</v>
      </c>
      <c r="U38" s="671">
        <v>47.085202680933875</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v>
      </c>
      <c r="S39" s="663">
        <v>0</v>
      </c>
      <c r="T39" s="663">
        <v>0</v>
      </c>
      <c r="U39" s="671">
        <v>0</v>
      </c>
    </row>
    <row r="40" spans="3:21" ht="13">
      <c r="C40" s="666" t="s">
        <v>83</v>
      </c>
      <c r="D40" s="675">
        <v>6.8912688096571859</v>
      </c>
      <c r="E40" s="675">
        <v>0</v>
      </c>
      <c r="F40" s="675">
        <v>486.50818849084493</v>
      </c>
      <c r="G40" s="667">
        <v>0</v>
      </c>
      <c r="H40" s="675">
        <v>286.72461762330084</v>
      </c>
      <c r="I40" s="667">
        <v>0</v>
      </c>
      <c r="J40" s="675">
        <v>0</v>
      </c>
      <c r="K40" s="675">
        <v>0</v>
      </c>
      <c r="L40" s="675">
        <v>88.872928835861586</v>
      </c>
      <c r="M40" s="675">
        <v>2.172695514863495</v>
      </c>
      <c r="N40" s="675">
        <v>41.639823520387004</v>
      </c>
      <c r="O40" s="675">
        <v>9.0118179080160008</v>
      </c>
      <c r="P40" s="675">
        <v>51.691578550496644</v>
      </c>
      <c r="Q40" s="675">
        <v>2.4109171991556684</v>
      </c>
      <c r="R40" s="675">
        <v>423.48559519818957</v>
      </c>
      <c r="S40" s="675">
        <v>52.119201757955373</v>
      </c>
      <c r="T40" s="675">
        <v>0.21014565757002998</v>
      </c>
      <c r="U40" s="675">
        <v>1451.7387790662985</v>
      </c>
    </row>
    <row r="41" spans="3:21" ht="13">
      <c r="C41" s="662" t="s">
        <v>84</v>
      </c>
      <c r="D41" s="663">
        <v>0</v>
      </c>
      <c r="E41" s="663">
        <v>0</v>
      </c>
      <c r="F41" s="663">
        <v>125.97254812972785</v>
      </c>
      <c r="G41" s="663">
        <v>0.5014853482202658</v>
      </c>
      <c r="H41" s="663">
        <v>11.836385273603906</v>
      </c>
      <c r="I41" s="663">
        <v>0</v>
      </c>
      <c r="J41" s="663">
        <v>0</v>
      </c>
      <c r="K41" s="663">
        <v>0</v>
      </c>
      <c r="L41" s="663">
        <v>4.0023030663522148E-2</v>
      </c>
      <c r="M41" s="663">
        <v>0</v>
      </c>
      <c r="N41" s="663">
        <v>3.907722128572543</v>
      </c>
      <c r="O41" s="663">
        <v>0.3161480845613035</v>
      </c>
      <c r="P41" s="663">
        <v>0</v>
      </c>
      <c r="Q41" s="663">
        <v>0</v>
      </c>
      <c r="R41" s="663">
        <v>0</v>
      </c>
      <c r="S41" s="663">
        <v>0</v>
      </c>
      <c r="T41" s="663">
        <v>1.8374485228449866</v>
      </c>
      <c r="U41" s="671">
        <v>144.41176051819437</v>
      </c>
    </row>
    <row r="42" spans="3:21" ht="13">
      <c r="C42" s="666" t="s">
        <v>85</v>
      </c>
      <c r="D42" s="675">
        <v>6.8912688096571859</v>
      </c>
      <c r="E42" s="675">
        <v>0</v>
      </c>
      <c r="F42" s="675">
        <v>612.48073662057277</v>
      </c>
      <c r="G42" s="667">
        <v>0.5014853482202658</v>
      </c>
      <c r="H42" s="675">
        <v>298.56100289690477</v>
      </c>
      <c r="I42" s="667">
        <v>0</v>
      </c>
      <c r="J42" s="675">
        <v>0</v>
      </c>
      <c r="K42" s="675">
        <v>0</v>
      </c>
      <c r="L42" s="675">
        <v>88.912951866525106</v>
      </c>
      <c r="M42" s="675">
        <v>2.172695514863495</v>
      </c>
      <c r="N42" s="675">
        <v>45.547545648959549</v>
      </c>
      <c r="O42" s="675">
        <v>9.3279659925773046</v>
      </c>
      <c r="P42" s="675">
        <v>51.691578550496644</v>
      </c>
      <c r="Q42" s="675">
        <v>2.4109171991556684</v>
      </c>
      <c r="R42" s="675">
        <v>423.48559519818957</v>
      </c>
      <c r="S42" s="675">
        <v>52.119201757955373</v>
      </c>
      <c r="T42" s="675">
        <v>2.0475941804150164</v>
      </c>
      <c r="U42" s="675">
        <v>1596.1505395844929</v>
      </c>
    </row>
    <row r="43" spans="3:21">
      <c r="C43" s="654"/>
      <c r="D43" s="672">
        <v>0</v>
      </c>
      <c r="E43" s="672">
        <v>4.2905679322302603E-5</v>
      </c>
      <c r="F43" s="672">
        <v>-2.3629463129282158E-5</v>
      </c>
      <c r="G43" s="672">
        <v>0</v>
      </c>
      <c r="H43" s="672">
        <v>0</v>
      </c>
      <c r="I43" s="672">
        <v>0</v>
      </c>
      <c r="J43" s="672">
        <v>0</v>
      </c>
      <c r="K43" s="672">
        <v>0</v>
      </c>
      <c r="L43" s="672">
        <v>0</v>
      </c>
      <c r="M43" s="672">
        <v>0</v>
      </c>
      <c r="N43" s="672">
        <v>-2.9753977059954195E-14</v>
      </c>
      <c r="O43" s="672">
        <v>-6.106226635438361E-16</v>
      </c>
      <c r="P43" s="672">
        <v>0</v>
      </c>
      <c r="Q43" s="672">
        <v>0</v>
      </c>
      <c r="R43" s="672">
        <v>-5.6843418860808015E-14</v>
      </c>
      <c r="S43" s="672">
        <v>0</v>
      </c>
      <c r="T43" s="672">
        <v>0</v>
      </c>
      <c r="U43" s="672">
        <v>1.9276217244623695E-5</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87</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9.7691999999999997</v>
      </c>
      <c r="F49" s="663">
        <v>0</v>
      </c>
      <c r="G49" s="663">
        <v>0</v>
      </c>
      <c r="H49" s="663">
        <v>0.18608000000000002</v>
      </c>
      <c r="I49" s="663">
        <v>0</v>
      </c>
      <c r="J49" s="664">
        <v>1045.9432149078937</v>
      </c>
      <c r="K49" s="664">
        <v>154.12496669137167</v>
      </c>
      <c r="L49" s="664">
        <v>214.5568610857004</v>
      </c>
      <c r="M49" s="664">
        <v>29.323685862819339</v>
      </c>
      <c r="N49" s="663">
        <v>1.8811575028002774</v>
      </c>
      <c r="O49" s="663">
        <v>0.15242099713737783</v>
      </c>
      <c r="P49" s="664">
        <v>63.09733962798451</v>
      </c>
      <c r="Q49" s="664">
        <v>8.6306065878365068</v>
      </c>
      <c r="R49" s="663">
        <v>0</v>
      </c>
      <c r="S49" s="663">
        <v>0</v>
      </c>
      <c r="T49" s="663">
        <v>0</v>
      </c>
      <c r="U49" s="665">
        <v>1527.6655332635435</v>
      </c>
    </row>
    <row r="50" spans="3:21" ht="13">
      <c r="C50" s="662" t="s">
        <v>60</v>
      </c>
      <c r="D50" s="663">
        <v>41.794821737140659</v>
      </c>
      <c r="E50" s="663">
        <v>489.64185318884552</v>
      </c>
      <c r="F50" s="663">
        <v>215.33790751920756</v>
      </c>
      <c r="G50" s="663">
        <v>0.69497003447287165</v>
      </c>
      <c r="H50" s="663">
        <v>334.03152596143553</v>
      </c>
      <c r="I50" s="663">
        <v>0</v>
      </c>
      <c r="J50" s="663">
        <v>0</v>
      </c>
      <c r="K50" s="663">
        <v>0</v>
      </c>
      <c r="L50" s="663">
        <v>2.5596276020988169</v>
      </c>
      <c r="M50" s="663">
        <v>0</v>
      </c>
      <c r="N50" s="663">
        <v>3.749161135627308</v>
      </c>
      <c r="O50" s="663">
        <v>0</v>
      </c>
      <c r="P50" s="663">
        <v>0</v>
      </c>
      <c r="Q50" s="663">
        <v>0</v>
      </c>
      <c r="R50" s="663">
        <v>0</v>
      </c>
      <c r="S50" s="663">
        <v>0</v>
      </c>
      <c r="T50" s="663">
        <v>0</v>
      </c>
      <c r="U50" s="665">
        <v>1087.8098671788284</v>
      </c>
    </row>
    <row r="51" spans="3:21" ht="13">
      <c r="C51" s="662" t="s">
        <v>61</v>
      </c>
      <c r="D51" s="663">
        <v>0</v>
      </c>
      <c r="E51" s="663">
        <v>0</v>
      </c>
      <c r="F51" s="663">
        <v>-8.3753888093619933E-3</v>
      </c>
      <c r="G51" s="663">
        <v>0</v>
      </c>
      <c r="H51" s="663">
        <v>0</v>
      </c>
      <c r="I51" s="663">
        <v>0</v>
      </c>
      <c r="J51" s="663">
        <v>0</v>
      </c>
      <c r="K51" s="663">
        <v>0</v>
      </c>
      <c r="L51" s="663">
        <v>0</v>
      </c>
      <c r="M51" s="663">
        <v>0</v>
      </c>
      <c r="N51" s="663">
        <v>0</v>
      </c>
      <c r="O51" s="663">
        <v>0</v>
      </c>
      <c r="P51" s="663">
        <v>0</v>
      </c>
      <c r="Q51" s="663">
        <v>0</v>
      </c>
      <c r="R51" s="663">
        <v>-40.000032758951647</v>
      </c>
      <c r="S51" s="663">
        <v>0</v>
      </c>
      <c r="T51" s="663">
        <v>0</v>
      </c>
      <c r="U51" s="665">
        <v>-40.00840814776101</v>
      </c>
    </row>
    <row r="52" spans="3:21" ht="13">
      <c r="C52" s="662" t="s">
        <v>62</v>
      </c>
      <c r="D52" s="663">
        <v>0</v>
      </c>
      <c r="E52" s="663">
        <v>0</v>
      </c>
      <c r="F52" s="663">
        <v>-17.986125581751292</v>
      </c>
      <c r="G52" s="663">
        <v>0</v>
      </c>
      <c r="H52" s="663">
        <v>-0.52048534400174162</v>
      </c>
      <c r="I52" s="663">
        <v>0</v>
      </c>
      <c r="J52" s="663">
        <v>0</v>
      </c>
      <c r="K52" s="663">
        <v>0</v>
      </c>
      <c r="L52" s="663">
        <v>0</v>
      </c>
      <c r="M52" s="663">
        <v>0</v>
      </c>
      <c r="N52" s="663">
        <v>-0.36525287298367837</v>
      </c>
      <c r="O52" s="663">
        <v>-2.7393965473775879E-2</v>
      </c>
      <c r="P52" s="663">
        <v>0</v>
      </c>
      <c r="Q52" s="663">
        <v>0</v>
      </c>
      <c r="R52" s="663">
        <v>0</v>
      </c>
      <c r="S52" s="663">
        <v>0</v>
      </c>
      <c r="T52" s="663">
        <v>0</v>
      </c>
      <c r="U52" s="665">
        <v>-18.899257764210489</v>
      </c>
    </row>
    <row r="53" spans="3:21" ht="13">
      <c r="C53" s="662" t="s">
        <v>63</v>
      </c>
      <c r="D53" s="663">
        <v>0</v>
      </c>
      <c r="E53" s="663">
        <v>0</v>
      </c>
      <c r="F53" s="663">
        <v>-76.912420126613313</v>
      </c>
      <c r="G53" s="663">
        <v>-3.9288154935402962E-2</v>
      </c>
      <c r="H53" s="663">
        <v>0</v>
      </c>
      <c r="I53" s="663">
        <v>0</v>
      </c>
      <c r="J53" s="663">
        <v>0</v>
      </c>
      <c r="K53" s="663">
        <v>0</v>
      </c>
      <c r="L53" s="663">
        <v>0</v>
      </c>
      <c r="M53" s="663">
        <v>0</v>
      </c>
      <c r="N53" s="663">
        <v>-1.6507409080624253</v>
      </c>
      <c r="O53" s="663">
        <v>0</v>
      </c>
      <c r="P53" s="663">
        <v>0</v>
      </c>
      <c r="Q53" s="663">
        <v>0</v>
      </c>
      <c r="R53" s="663">
        <v>0</v>
      </c>
      <c r="S53" s="663">
        <v>0</v>
      </c>
      <c r="T53" s="663">
        <v>0</v>
      </c>
      <c r="U53" s="665">
        <v>-78.60244918961115</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41.794821737140659</v>
      </c>
      <c r="E55" s="667">
        <v>499.41105318884553</v>
      </c>
      <c r="F55" s="667">
        <v>120.43098642203361</v>
      </c>
      <c r="G55" s="667">
        <v>0.6556818795374687</v>
      </c>
      <c r="H55" s="675">
        <v>333.69712061743382</v>
      </c>
      <c r="I55" s="667">
        <v>0</v>
      </c>
      <c r="J55" s="667">
        <v>1045.9432149078937</v>
      </c>
      <c r="K55" s="667">
        <v>154.12496669137167</v>
      </c>
      <c r="L55" s="667">
        <v>217.11648868779923</v>
      </c>
      <c r="M55" s="667">
        <v>29.323685862819339</v>
      </c>
      <c r="N55" s="667">
        <v>3.6143248573814817</v>
      </c>
      <c r="O55" s="667">
        <v>0.12502703166360196</v>
      </c>
      <c r="P55" s="667">
        <v>63.09733962798451</v>
      </c>
      <c r="Q55" s="667">
        <v>8.6306065878365068</v>
      </c>
      <c r="R55" s="667">
        <v>-40.000032758951647</v>
      </c>
      <c r="S55" s="667">
        <v>0</v>
      </c>
      <c r="T55" s="667">
        <v>0</v>
      </c>
      <c r="U55" s="667">
        <v>2477.9652853407893</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5.0316185079798812</v>
      </c>
      <c r="E58" s="663">
        <v>0</v>
      </c>
      <c r="F58" s="663">
        <v>4.8858805193656316</v>
      </c>
      <c r="G58" s="663">
        <v>0</v>
      </c>
      <c r="H58" s="663">
        <v>36.507135945544903</v>
      </c>
      <c r="I58" s="663">
        <v>0</v>
      </c>
      <c r="J58" s="663">
        <v>1045.9432149078937</v>
      </c>
      <c r="K58" s="663">
        <v>154.12496669137167</v>
      </c>
      <c r="L58" s="663">
        <v>33.862945169490679</v>
      </c>
      <c r="M58" s="663">
        <v>11.203844266499178</v>
      </c>
      <c r="N58" s="663">
        <v>5.5512316182098811</v>
      </c>
      <c r="O58" s="663">
        <v>5.5714952585660997</v>
      </c>
      <c r="P58" s="663">
        <v>0</v>
      </c>
      <c r="Q58" s="663">
        <v>0.31861460974897526</v>
      </c>
      <c r="R58" s="663">
        <v>-540.51911883021592</v>
      </c>
      <c r="S58" s="663">
        <v>0</v>
      </c>
      <c r="T58" s="663">
        <v>0</v>
      </c>
      <c r="U58" s="671">
        <v>762.48182866445461</v>
      </c>
    </row>
    <row r="59" spans="3:21" ht="13">
      <c r="C59" s="670" t="s">
        <v>351</v>
      </c>
      <c r="D59" s="663">
        <v>0.1931818181818182</v>
      </c>
      <c r="E59" s="663">
        <v>0</v>
      </c>
      <c r="F59" s="663">
        <v>0</v>
      </c>
      <c r="G59" s="663">
        <v>0</v>
      </c>
      <c r="H59" s="663">
        <v>18.699747563200777</v>
      </c>
      <c r="I59" s="663">
        <v>0</v>
      </c>
      <c r="J59" s="663">
        <v>0</v>
      </c>
      <c r="K59" s="663">
        <v>0</v>
      </c>
      <c r="L59" s="663">
        <v>26.355115374306525</v>
      </c>
      <c r="M59" s="663">
        <v>15.857266887266444</v>
      </c>
      <c r="N59" s="663">
        <v>0</v>
      </c>
      <c r="O59" s="663">
        <v>3.312429986969792</v>
      </c>
      <c r="P59" s="663">
        <v>0</v>
      </c>
      <c r="Q59" s="663">
        <v>5.6407627218251397</v>
      </c>
      <c r="R59" s="663">
        <v>0</v>
      </c>
      <c r="S59" s="663">
        <v>-63.097173845556554</v>
      </c>
      <c r="T59" s="663">
        <v>0</v>
      </c>
      <c r="U59" s="671">
        <v>6.961330506193935</v>
      </c>
    </row>
    <row r="60" spans="3:21" ht="13">
      <c r="C60" s="670" t="s">
        <v>352</v>
      </c>
      <c r="D60" s="663">
        <v>0</v>
      </c>
      <c r="E60" s="663">
        <v>0</v>
      </c>
      <c r="F60" s="663">
        <v>0</v>
      </c>
      <c r="G60" s="663">
        <v>0</v>
      </c>
      <c r="H60" s="663">
        <v>0</v>
      </c>
      <c r="I60" s="663">
        <v>0</v>
      </c>
      <c r="J60" s="663">
        <v>0</v>
      </c>
      <c r="K60" s="663">
        <v>0</v>
      </c>
      <c r="L60" s="663">
        <v>25.173696816351729</v>
      </c>
      <c r="M60" s="663">
        <v>0</v>
      </c>
      <c r="N60" s="663">
        <v>0</v>
      </c>
      <c r="O60" s="663">
        <v>-23.311148277971796</v>
      </c>
      <c r="P60" s="663">
        <v>0</v>
      </c>
      <c r="Q60" s="663">
        <v>0</v>
      </c>
      <c r="R60" s="663">
        <v>0</v>
      </c>
      <c r="S60" s="663">
        <v>0</v>
      </c>
      <c r="T60" s="663">
        <v>0</v>
      </c>
      <c r="U60" s="671">
        <v>1.8625485383799329</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517.60249070017358</v>
      </c>
      <c r="F62" s="663">
        <v>-512.45210450124512</v>
      </c>
      <c r="G62" s="663">
        <v>0</v>
      </c>
      <c r="H62" s="663">
        <v>0</v>
      </c>
      <c r="I62" s="663">
        <v>0</v>
      </c>
      <c r="J62" s="663">
        <v>0</v>
      </c>
      <c r="K62" s="663">
        <v>0</v>
      </c>
      <c r="L62" s="663">
        <v>0</v>
      </c>
      <c r="M62" s="663">
        <v>0</v>
      </c>
      <c r="N62" s="663">
        <v>0</v>
      </c>
      <c r="O62" s="663">
        <v>0</v>
      </c>
      <c r="P62" s="663">
        <v>0</v>
      </c>
      <c r="Q62" s="663">
        <v>0</v>
      </c>
      <c r="R62" s="663">
        <v>0</v>
      </c>
      <c r="S62" s="663">
        <v>0</v>
      </c>
      <c r="T62" s="663">
        <v>0</v>
      </c>
      <c r="U62" s="671">
        <v>5.1503861989284561</v>
      </c>
    </row>
    <row r="63" spans="3:21" ht="13">
      <c r="C63" s="670" t="s">
        <v>354</v>
      </c>
      <c r="D63" s="663">
        <v>0</v>
      </c>
      <c r="E63" s="663">
        <v>0</v>
      </c>
      <c r="F63" s="663">
        <v>0</v>
      </c>
      <c r="G63" s="663">
        <v>0</v>
      </c>
      <c r="H63" s="663">
        <v>0</v>
      </c>
      <c r="I63" s="663">
        <v>0</v>
      </c>
      <c r="J63" s="663">
        <v>0</v>
      </c>
      <c r="K63" s="663">
        <v>0</v>
      </c>
      <c r="L63" s="663">
        <v>52.070159971858487</v>
      </c>
      <c r="M63" s="663">
        <v>0</v>
      </c>
      <c r="N63" s="663">
        <v>-52.070159971858487</v>
      </c>
      <c r="O63" s="663">
        <v>0</v>
      </c>
      <c r="P63" s="663">
        <v>0</v>
      </c>
      <c r="Q63" s="663">
        <v>0</v>
      </c>
      <c r="R63" s="663">
        <v>0</v>
      </c>
      <c r="S63" s="663">
        <v>0</v>
      </c>
      <c r="T63" s="663">
        <v>0</v>
      </c>
      <c r="U63" s="671">
        <v>0</v>
      </c>
    </row>
    <row r="64" spans="3:21" ht="13">
      <c r="C64" s="670" t="s">
        <v>355</v>
      </c>
      <c r="D64" s="663">
        <v>0</v>
      </c>
      <c r="E64" s="663">
        <v>0</v>
      </c>
      <c r="F64" s="663">
        <v>0</v>
      </c>
      <c r="G64" s="663">
        <v>-7.143300897345993E-2</v>
      </c>
      <c r="H64" s="663">
        <v>0</v>
      </c>
      <c r="I64" s="663">
        <v>0</v>
      </c>
      <c r="J64" s="663">
        <v>0</v>
      </c>
      <c r="K64" s="663">
        <v>0</v>
      </c>
      <c r="L64" s="663">
        <v>0</v>
      </c>
      <c r="M64" s="663">
        <v>0</v>
      </c>
      <c r="N64" s="663">
        <v>0</v>
      </c>
      <c r="O64" s="663">
        <v>0</v>
      </c>
      <c r="P64" s="663">
        <v>0</v>
      </c>
      <c r="Q64" s="663">
        <v>0</v>
      </c>
      <c r="R64" s="663">
        <v>0</v>
      </c>
      <c r="S64" s="663">
        <v>0</v>
      </c>
      <c r="T64" s="663">
        <v>9.9488870436573729E-2</v>
      </c>
      <c r="U64" s="671">
        <v>2.8055861463113799E-2</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7.9634516882678241</v>
      </c>
      <c r="S65" s="663">
        <v>0</v>
      </c>
      <c r="T65" s="663">
        <v>-5.1762435973740857</v>
      </c>
      <c r="U65" s="671">
        <v>2.7872080908937384</v>
      </c>
    </row>
    <row r="66" spans="3:21" ht="13">
      <c r="C66" s="670" t="s">
        <v>356</v>
      </c>
      <c r="D66" s="663">
        <v>22.178927109375</v>
      </c>
      <c r="E66" s="663">
        <v>-18.191437511328061</v>
      </c>
      <c r="F66" s="663">
        <v>23.666155984350404</v>
      </c>
      <c r="G66" s="663">
        <v>0</v>
      </c>
      <c r="H66" s="663">
        <v>0</v>
      </c>
      <c r="I66" s="663">
        <v>0</v>
      </c>
      <c r="J66" s="663">
        <v>0</v>
      </c>
      <c r="K66" s="663">
        <v>0</v>
      </c>
      <c r="L66" s="663">
        <v>0</v>
      </c>
      <c r="M66" s="663">
        <v>0</v>
      </c>
      <c r="N66" s="663">
        <v>0</v>
      </c>
      <c r="O66" s="663">
        <v>0</v>
      </c>
      <c r="P66" s="663">
        <v>0</v>
      </c>
      <c r="Q66" s="663">
        <v>0</v>
      </c>
      <c r="R66" s="663">
        <v>0</v>
      </c>
      <c r="S66" s="663">
        <v>0</v>
      </c>
      <c r="T66" s="663">
        <v>0</v>
      </c>
      <c r="U66" s="671">
        <v>27.653645582397342</v>
      </c>
    </row>
    <row r="67" spans="3:21" ht="13">
      <c r="C67" s="670" t="s">
        <v>75</v>
      </c>
      <c r="D67" s="663">
        <v>8.6251383203125016</v>
      </c>
      <c r="E67" s="663">
        <v>0</v>
      </c>
      <c r="F67" s="663">
        <v>20.228971403017535</v>
      </c>
      <c r="G67" s="663">
        <v>0</v>
      </c>
      <c r="H67" s="663">
        <v>5.487827419085181</v>
      </c>
      <c r="I67" s="663">
        <v>0</v>
      </c>
      <c r="J67" s="663">
        <v>0</v>
      </c>
      <c r="K67" s="663">
        <v>0</v>
      </c>
      <c r="L67" s="663">
        <v>0</v>
      </c>
      <c r="M67" s="663">
        <v>0</v>
      </c>
      <c r="N67" s="663">
        <v>0</v>
      </c>
      <c r="O67" s="663">
        <v>0.28883302205711481</v>
      </c>
      <c r="P67" s="663">
        <v>0</v>
      </c>
      <c r="Q67" s="663">
        <v>0</v>
      </c>
      <c r="R67" s="663">
        <v>26.979234587968005</v>
      </c>
      <c r="S67" s="663">
        <v>0</v>
      </c>
      <c r="T67" s="663">
        <v>0</v>
      </c>
      <c r="U67" s="671">
        <v>61.610004752440332</v>
      </c>
    </row>
    <row r="68" spans="3:21" ht="13">
      <c r="C68" s="670" t="s">
        <v>76</v>
      </c>
      <c r="D68" s="663">
        <v>0</v>
      </c>
      <c r="E68" s="663">
        <v>0</v>
      </c>
      <c r="F68" s="663">
        <v>0</v>
      </c>
      <c r="G68" s="663">
        <v>0</v>
      </c>
      <c r="H68" s="663">
        <v>3.8797902193423388</v>
      </c>
      <c r="I68" s="663">
        <v>0</v>
      </c>
      <c r="J68" s="663">
        <v>0</v>
      </c>
      <c r="K68" s="663">
        <v>0</v>
      </c>
      <c r="L68" s="663">
        <v>0</v>
      </c>
      <c r="M68" s="663">
        <v>0</v>
      </c>
      <c r="N68" s="663">
        <v>0</v>
      </c>
      <c r="O68" s="663">
        <v>0.20419948522854417</v>
      </c>
      <c r="P68" s="663">
        <v>0</v>
      </c>
      <c r="Q68" s="663">
        <v>0</v>
      </c>
      <c r="R68" s="663">
        <v>38.339806710254912</v>
      </c>
      <c r="S68" s="663">
        <v>4.8935866171781743</v>
      </c>
      <c r="T68" s="663">
        <v>0</v>
      </c>
      <c r="U68" s="671">
        <v>47.317383032003967</v>
      </c>
    </row>
    <row r="69" spans="3:21" ht="13">
      <c r="C69" s="666" t="s">
        <v>77</v>
      </c>
      <c r="D69" s="667">
        <v>36.028865755849196</v>
      </c>
      <c r="E69" s="667">
        <v>499.41105318884553</v>
      </c>
      <c r="F69" s="667">
        <v>-463.6710965945116</v>
      </c>
      <c r="G69" s="667">
        <v>-7.143300897345993E-2</v>
      </c>
      <c r="H69" s="675">
        <v>64.574501147173194</v>
      </c>
      <c r="I69" s="667">
        <v>0</v>
      </c>
      <c r="J69" s="667">
        <v>1045.9432149078937</v>
      </c>
      <c r="K69" s="667">
        <v>154.12496669137167</v>
      </c>
      <c r="L69" s="667">
        <v>137.46191733200743</v>
      </c>
      <c r="M69" s="667">
        <v>27.061111153765623</v>
      </c>
      <c r="N69" s="667">
        <v>-46.518928353648604</v>
      </c>
      <c r="O69" s="667">
        <v>-13.934190525150244</v>
      </c>
      <c r="P69" s="667">
        <v>0</v>
      </c>
      <c r="Q69" s="667">
        <v>5.9593773315741148</v>
      </c>
      <c r="R69" s="667">
        <v>-467.23662584372522</v>
      </c>
      <c r="S69" s="667">
        <v>-58.203587228378382</v>
      </c>
      <c r="T69" s="667">
        <v>-5.0767547269375122</v>
      </c>
      <c r="U69" s="667">
        <v>915.85239122715518</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5.7659559812914596</v>
      </c>
      <c r="E71" s="663">
        <v>0</v>
      </c>
      <c r="F71" s="663">
        <v>20.140625662246215</v>
      </c>
      <c r="G71" s="663">
        <v>0</v>
      </c>
      <c r="H71" s="663">
        <v>96.219207826214614</v>
      </c>
      <c r="I71" s="663">
        <v>0</v>
      </c>
      <c r="J71" s="663">
        <v>0</v>
      </c>
      <c r="K71" s="663">
        <v>0</v>
      </c>
      <c r="L71" s="663">
        <v>18.774389983885822</v>
      </c>
      <c r="M71" s="663">
        <v>2.2619594529052449</v>
      </c>
      <c r="N71" s="663">
        <v>0.75934024169921888</v>
      </c>
      <c r="O71" s="663">
        <v>5.087709316109053</v>
      </c>
      <c r="P71" s="663">
        <v>1.955318115234375</v>
      </c>
      <c r="Q71" s="663">
        <v>4.7991131198633983E-4</v>
      </c>
      <c r="R71" s="663">
        <v>121.32585979507003</v>
      </c>
      <c r="S71" s="663">
        <v>18.196197954086337</v>
      </c>
      <c r="T71" s="663">
        <v>0.58506469726562504</v>
      </c>
      <c r="U71" s="671">
        <v>291.07210893731997</v>
      </c>
    </row>
    <row r="72" spans="3:21" ht="13">
      <c r="C72" s="670" t="s">
        <v>79</v>
      </c>
      <c r="D72" s="663">
        <v>0</v>
      </c>
      <c r="E72" s="663">
        <v>0</v>
      </c>
      <c r="F72" s="663">
        <v>390.32849052575307</v>
      </c>
      <c r="G72" s="663">
        <v>0</v>
      </c>
      <c r="H72" s="663">
        <v>3.80545856067917</v>
      </c>
      <c r="I72" s="663">
        <v>0</v>
      </c>
      <c r="J72" s="663">
        <v>0</v>
      </c>
      <c r="K72" s="663">
        <v>0</v>
      </c>
      <c r="L72" s="663">
        <v>0</v>
      </c>
      <c r="M72" s="663">
        <v>0</v>
      </c>
      <c r="N72" s="663">
        <v>41.205948968253495</v>
      </c>
      <c r="O72" s="663">
        <v>0.20028729266732476</v>
      </c>
      <c r="P72" s="663">
        <v>0</v>
      </c>
      <c r="Q72" s="663">
        <v>0</v>
      </c>
      <c r="R72" s="663">
        <v>15.644073294761139</v>
      </c>
      <c r="S72" s="663">
        <v>0</v>
      </c>
      <c r="T72" s="663">
        <v>0</v>
      </c>
      <c r="U72" s="671">
        <v>451.18425864211417</v>
      </c>
    </row>
    <row r="73" spans="3:21" ht="13">
      <c r="C73" s="670" t="s">
        <v>80</v>
      </c>
      <c r="D73" s="663">
        <v>0</v>
      </c>
      <c r="E73" s="663">
        <v>0</v>
      </c>
      <c r="F73" s="663">
        <v>12.124097766198929</v>
      </c>
      <c r="G73" s="663">
        <v>0</v>
      </c>
      <c r="H73" s="663">
        <v>106.96046467685454</v>
      </c>
      <c r="I73" s="663">
        <v>0</v>
      </c>
      <c r="J73" s="663">
        <v>0</v>
      </c>
      <c r="K73" s="663">
        <v>0</v>
      </c>
      <c r="L73" s="663">
        <v>59.150287479050967</v>
      </c>
      <c r="M73" s="663">
        <v>0</v>
      </c>
      <c r="N73" s="663">
        <v>0</v>
      </c>
      <c r="O73" s="663">
        <v>5.6294981408870823</v>
      </c>
      <c r="P73" s="663">
        <v>50.263804232391934</v>
      </c>
      <c r="Q73" s="663">
        <v>1.4653773673998376</v>
      </c>
      <c r="R73" s="663">
        <v>167.05352361968622</v>
      </c>
      <c r="S73" s="663">
        <v>26.615725966388851</v>
      </c>
      <c r="T73" s="663">
        <v>0</v>
      </c>
      <c r="U73" s="671">
        <v>429.26277924885835</v>
      </c>
    </row>
    <row r="74" spans="3:21" ht="13">
      <c r="C74" s="670" t="s">
        <v>81</v>
      </c>
      <c r="D74" s="663">
        <v>0</v>
      </c>
      <c r="E74" s="663">
        <v>0</v>
      </c>
      <c r="F74" s="663">
        <v>17.266825593867647</v>
      </c>
      <c r="G74" s="663">
        <v>0</v>
      </c>
      <c r="H74" s="663">
        <v>47.207135385758583</v>
      </c>
      <c r="I74" s="663">
        <v>0</v>
      </c>
      <c r="J74" s="663">
        <v>0</v>
      </c>
      <c r="K74" s="663">
        <v>0</v>
      </c>
      <c r="L74" s="663">
        <v>0.34286013585192066</v>
      </c>
      <c r="M74" s="663">
        <v>6.152561484679505E-4</v>
      </c>
      <c r="N74" s="663">
        <v>0</v>
      </c>
      <c r="O74" s="663">
        <v>2.4845860729346625</v>
      </c>
      <c r="P74" s="663">
        <v>10.628217280358204</v>
      </c>
      <c r="Q74" s="663">
        <v>0.84471066492371039</v>
      </c>
      <c r="R74" s="663">
        <v>115.22915089485383</v>
      </c>
      <c r="S74" s="663">
        <v>13.391663307903183</v>
      </c>
      <c r="T74" s="663">
        <v>0</v>
      </c>
      <c r="U74" s="671">
        <v>207.39576459260022</v>
      </c>
    </row>
    <row r="75" spans="3:21" ht="13">
      <c r="C75" s="670" t="s">
        <v>82</v>
      </c>
      <c r="D75" s="663">
        <v>0</v>
      </c>
      <c r="E75" s="663">
        <v>0</v>
      </c>
      <c r="F75" s="663">
        <v>31.022615677081973</v>
      </c>
      <c r="G75" s="663">
        <v>0</v>
      </c>
      <c r="H75" s="663">
        <v>2.3514405709880259</v>
      </c>
      <c r="I75" s="663">
        <v>0</v>
      </c>
      <c r="J75" s="663">
        <v>0</v>
      </c>
      <c r="K75" s="663">
        <v>0</v>
      </c>
      <c r="L75" s="663">
        <v>1.325152202471839</v>
      </c>
      <c r="M75" s="663">
        <v>0</v>
      </c>
      <c r="N75" s="663">
        <v>2.8798420607810633</v>
      </c>
      <c r="O75" s="663">
        <v>0.12376003005200138</v>
      </c>
      <c r="P75" s="663">
        <v>0.25</v>
      </c>
      <c r="Q75" s="663">
        <v>0.36066131262685786</v>
      </c>
      <c r="R75" s="663">
        <v>7.9839854804023167</v>
      </c>
      <c r="S75" s="663">
        <v>0</v>
      </c>
      <c r="T75" s="663">
        <v>8.6831190235855574E-2</v>
      </c>
      <c r="U75" s="671">
        <v>46.384288524639942</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0</v>
      </c>
      <c r="S76" s="663">
        <v>0</v>
      </c>
      <c r="T76" s="663">
        <v>0</v>
      </c>
      <c r="U76" s="671">
        <v>0</v>
      </c>
    </row>
    <row r="77" spans="3:21" ht="13">
      <c r="C77" s="666" t="s">
        <v>83</v>
      </c>
      <c r="D77" s="667">
        <v>5.7659559812914596</v>
      </c>
      <c r="E77" s="667">
        <v>0</v>
      </c>
      <c r="F77" s="667">
        <v>470.88265522514774</v>
      </c>
      <c r="G77" s="667">
        <v>0</v>
      </c>
      <c r="H77" s="675">
        <v>256.54370702049494</v>
      </c>
      <c r="I77" s="667">
        <v>0</v>
      </c>
      <c r="J77" s="667">
        <v>0</v>
      </c>
      <c r="K77" s="667">
        <v>0</v>
      </c>
      <c r="L77" s="667">
        <v>79.592689801260548</v>
      </c>
      <c r="M77" s="667">
        <v>2.2625747090537129</v>
      </c>
      <c r="N77" s="667">
        <v>44.845131270733781</v>
      </c>
      <c r="O77" s="667">
        <v>13.525840852650123</v>
      </c>
      <c r="P77" s="667">
        <v>63.09733962798451</v>
      </c>
      <c r="Q77" s="667">
        <v>2.671229256262392</v>
      </c>
      <c r="R77" s="667">
        <v>427.23659308477357</v>
      </c>
      <c r="S77" s="667">
        <v>58.203587228378382</v>
      </c>
      <c r="T77" s="667">
        <v>0.67189588750148066</v>
      </c>
      <c r="U77" s="667">
        <v>1425.2991999455328</v>
      </c>
    </row>
    <row r="78" spans="3:21" ht="13">
      <c r="C78" s="662" t="s">
        <v>84</v>
      </c>
      <c r="D78" s="663">
        <v>0</v>
      </c>
      <c r="E78" s="663">
        <v>0</v>
      </c>
      <c r="F78" s="663">
        <v>113.21942779139728</v>
      </c>
      <c r="G78" s="663">
        <v>0.72711488851092865</v>
      </c>
      <c r="H78" s="663">
        <v>12.578912449765744</v>
      </c>
      <c r="I78" s="663">
        <v>0</v>
      </c>
      <c r="J78" s="663">
        <v>0</v>
      </c>
      <c r="K78" s="663">
        <v>0</v>
      </c>
      <c r="L78" s="663">
        <v>6.1881554531238177E-2</v>
      </c>
      <c r="M78" s="663">
        <v>0</v>
      </c>
      <c r="N78" s="663">
        <v>5.2881219402962731</v>
      </c>
      <c r="O78" s="663">
        <v>0.53337670416372851</v>
      </c>
      <c r="P78" s="663">
        <v>0</v>
      </c>
      <c r="Q78" s="663">
        <v>0</v>
      </c>
      <c r="R78" s="663">
        <v>0</v>
      </c>
      <c r="S78" s="663">
        <v>0</v>
      </c>
      <c r="T78" s="663">
        <v>4.4048588394360317</v>
      </c>
      <c r="U78" s="671">
        <v>136.81369416810119</v>
      </c>
    </row>
    <row r="79" spans="3:21" ht="13">
      <c r="C79" s="666" t="s">
        <v>85</v>
      </c>
      <c r="D79" s="667">
        <v>5.7659559812914596</v>
      </c>
      <c r="E79" s="667">
        <v>0</v>
      </c>
      <c r="F79" s="667">
        <v>584.10208301654495</v>
      </c>
      <c r="G79" s="667">
        <v>0.72711488851092865</v>
      </c>
      <c r="H79" s="675">
        <v>269.1226194702607</v>
      </c>
      <c r="I79" s="667">
        <v>0</v>
      </c>
      <c r="J79" s="667">
        <v>0</v>
      </c>
      <c r="K79" s="667">
        <v>0</v>
      </c>
      <c r="L79" s="667">
        <v>79.654571355791788</v>
      </c>
      <c r="M79" s="667">
        <v>2.2625747090537129</v>
      </c>
      <c r="N79" s="667">
        <v>50.133253211030052</v>
      </c>
      <c r="O79" s="667">
        <v>14.059217556813852</v>
      </c>
      <c r="P79" s="667">
        <v>63.09733962798451</v>
      </c>
      <c r="Q79" s="667">
        <v>2.671229256262392</v>
      </c>
      <c r="R79" s="667">
        <v>427.23659308477357</v>
      </c>
      <c r="S79" s="667">
        <v>58.203587228378382</v>
      </c>
      <c r="T79" s="667">
        <v>5.0767547269375122</v>
      </c>
      <c r="U79" s="667">
        <v>1562.1128941136342</v>
      </c>
    </row>
    <row r="80" spans="3:21">
      <c r="C80" s="654"/>
      <c r="D80" s="672">
        <v>0</v>
      </c>
      <c r="E80" s="672">
        <v>0</v>
      </c>
      <c r="F80" s="672">
        <v>-2.5579538487363607E-13</v>
      </c>
      <c r="G80" s="672">
        <v>0</v>
      </c>
      <c r="H80" s="672">
        <v>0</v>
      </c>
      <c r="I80" s="672">
        <v>0</v>
      </c>
      <c r="J80" s="672">
        <v>0</v>
      </c>
      <c r="K80" s="672">
        <v>0</v>
      </c>
      <c r="L80" s="672">
        <v>0</v>
      </c>
      <c r="M80" s="672">
        <v>0</v>
      </c>
      <c r="N80" s="672">
        <v>-3.4194869158454821E-14</v>
      </c>
      <c r="O80" s="672">
        <v>5.9952043329758453E-15</v>
      </c>
      <c r="P80" s="672">
        <v>0</v>
      </c>
      <c r="Q80" s="672">
        <v>0</v>
      </c>
      <c r="R80" s="672">
        <v>0</v>
      </c>
      <c r="S80" s="672">
        <v>0</v>
      </c>
      <c r="T80" s="672">
        <v>0</v>
      </c>
      <c r="U80" s="672">
        <v>0</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359</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9.7691999999999997</v>
      </c>
      <c r="F86" s="663">
        <v>0</v>
      </c>
      <c r="G86" s="663">
        <v>0</v>
      </c>
      <c r="H86" s="663">
        <v>0.18608000000000002</v>
      </c>
      <c r="I86" s="663">
        <v>0</v>
      </c>
      <c r="J86" s="664">
        <v>1009.7815647558707</v>
      </c>
      <c r="K86" s="664">
        <v>178.80025978042428</v>
      </c>
      <c r="L86" s="664">
        <v>222.2578455105637</v>
      </c>
      <c r="M86" s="664">
        <v>28.55331569033283</v>
      </c>
      <c r="N86" s="663">
        <v>1.6018700034195554</v>
      </c>
      <c r="O86" s="663">
        <v>0.1425306035599459</v>
      </c>
      <c r="P86" s="664">
        <v>79.93802880459161</v>
      </c>
      <c r="Q86" s="664">
        <v>9.9179265849836327</v>
      </c>
      <c r="R86" s="663">
        <v>0</v>
      </c>
      <c r="S86" s="663">
        <v>0</v>
      </c>
      <c r="T86" s="663">
        <v>0</v>
      </c>
      <c r="U86" s="665">
        <v>1540.9486217337462</v>
      </c>
    </row>
    <row r="87" spans="3:21" ht="13">
      <c r="C87" s="662" t="s">
        <v>60</v>
      </c>
      <c r="D87" s="663">
        <v>27.889416993257086</v>
      </c>
      <c r="E87" s="663">
        <v>443.26764285453919</v>
      </c>
      <c r="F87" s="663">
        <v>170.80725067581974</v>
      </c>
      <c r="G87" s="663">
        <v>0.96874110820809101</v>
      </c>
      <c r="H87" s="663">
        <v>278.87550827932449</v>
      </c>
      <c r="I87" s="663">
        <v>0</v>
      </c>
      <c r="J87" s="663">
        <v>0</v>
      </c>
      <c r="K87" s="663">
        <v>0</v>
      </c>
      <c r="L87" s="663">
        <v>2.543202703318971</v>
      </c>
      <c r="M87" s="663">
        <v>0</v>
      </c>
      <c r="N87" s="663">
        <v>3.3840076567254442</v>
      </c>
      <c r="O87" s="663">
        <v>0</v>
      </c>
      <c r="P87" s="663">
        <v>0</v>
      </c>
      <c r="Q87" s="663">
        <v>0</v>
      </c>
      <c r="R87" s="663">
        <v>0</v>
      </c>
      <c r="S87" s="663">
        <v>0</v>
      </c>
      <c r="T87" s="663">
        <v>0</v>
      </c>
      <c r="U87" s="665">
        <v>927.73577027119291</v>
      </c>
    </row>
    <row r="88" spans="3:21" ht="13">
      <c r="C88" s="662" t="s">
        <v>61</v>
      </c>
      <c r="D88" s="663">
        <v>0</v>
      </c>
      <c r="E88" s="663">
        <v>0</v>
      </c>
      <c r="F88" s="663">
        <v>-8.238229290577169E-2</v>
      </c>
      <c r="G88" s="663">
        <v>0</v>
      </c>
      <c r="H88" s="663">
        <v>0</v>
      </c>
      <c r="I88" s="663">
        <v>0</v>
      </c>
      <c r="J88" s="663">
        <v>0</v>
      </c>
      <c r="K88" s="663">
        <v>0</v>
      </c>
      <c r="L88" s="663">
        <v>0</v>
      </c>
      <c r="M88" s="663">
        <v>0</v>
      </c>
      <c r="N88" s="663">
        <v>0</v>
      </c>
      <c r="O88" s="663">
        <v>0</v>
      </c>
      <c r="P88" s="663">
        <v>0</v>
      </c>
      <c r="Q88" s="663">
        <v>0</v>
      </c>
      <c r="R88" s="663">
        <v>-39.63136742270666</v>
      </c>
      <c r="S88" s="663">
        <v>0</v>
      </c>
      <c r="T88" s="663">
        <v>0</v>
      </c>
      <c r="U88" s="665">
        <v>-39.71374971561243</v>
      </c>
    </row>
    <row r="89" spans="3:21" ht="13">
      <c r="C89" s="662" t="s">
        <v>62</v>
      </c>
      <c r="D89" s="663">
        <v>0</v>
      </c>
      <c r="E89" s="663">
        <v>0</v>
      </c>
      <c r="F89" s="663">
        <v>-16.913982362364816</v>
      </c>
      <c r="G89" s="663">
        <v>-0.21068566030958977</v>
      </c>
      <c r="H89" s="663">
        <v>-1.5457950077696609</v>
      </c>
      <c r="I89" s="663">
        <v>0</v>
      </c>
      <c r="J89" s="663">
        <v>0</v>
      </c>
      <c r="K89" s="663">
        <v>0</v>
      </c>
      <c r="L89" s="663">
        <v>0</v>
      </c>
      <c r="M89" s="663">
        <v>0</v>
      </c>
      <c r="N89" s="663">
        <v>-0.46212963965785603</v>
      </c>
      <c r="O89" s="663">
        <v>-0.15662240166829164</v>
      </c>
      <c r="P89" s="663">
        <v>0</v>
      </c>
      <c r="Q89" s="663">
        <v>0</v>
      </c>
      <c r="R89" s="663">
        <v>0</v>
      </c>
      <c r="S89" s="663">
        <v>0</v>
      </c>
      <c r="T89" s="663">
        <v>0</v>
      </c>
      <c r="U89" s="665">
        <v>-19.289215071770215</v>
      </c>
    </row>
    <row r="90" spans="3:21" ht="13">
      <c r="C90" s="662" t="s">
        <v>63</v>
      </c>
      <c r="D90" s="663">
        <v>0</v>
      </c>
      <c r="E90" s="663">
        <v>0</v>
      </c>
      <c r="F90" s="663">
        <v>-74.821470237515427</v>
      </c>
      <c r="G90" s="663">
        <v>-0.43381751781743938</v>
      </c>
      <c r="H90" s="663">
        <v>0</v>
      </c>
      <c r="I90" s="663">
        <v>0</v>
      </c>
      <c r="J90" s="663">
        <v>0</v>
      </c>
      <c r="K90" s="663">
        <v>0</v>
      </c>
      <c r="L90" s="663">
        <v>0</v>
      </c>
      <c r="M90" s="663">
        <v>0</v>
      </c>
      <c r="N90" s="663">
        <v>-2.9848679697644429</v>
      </c>
      <c r="O90" s="663">
        <v>0</v>
      </c>
      <c r="P90" s="663">
        <v>0</v>
      </c>
      <c r="Q90" s="663">
        <v>0</v>
      </c>
      <c r="R90" s="663">
        <v>0</v>
      </c>
      <c r="S90" s="663">
        <v>0</v>
      </c>
      <c r="T90" s="663">
        <v>0</v>
      </c>
      <c r="U90" s="665">
        <v>-78.24015572509731</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27.889416993257086</v>
      </c>
      <c r="E92" s="667">
        <v>453.03684285453915</v>
      </c>
      <c r="F92" s="667">
        <v>78.989415783033735</v>
      </c>
      <c r="G92" s="667">
        <v>0.32423793008106183</v>
      </c>
      <c r="H92" s="675">
        <v>277.51579327155486</v>
      </c>
      <c r="I92" s="667">
        <v>0</v>
      </c>
      <c r="J92" s="667">
        <v>1009.7815647558707</v>
      </c>
      <c r="K92" s="667">
        <v>178.80025978042428</v>
      </c>
      <c r="L92" s="667">
        <v>224.80104821388267</v>
      </c>
      <c r="M92" s="667">
        <v>28.55331569033283</v>
      </c>
      <c r="N92" s="667">
        <v>1.5388800507227005</v>
      </c>
      <c r="O92" s="667">
        <v>-1.4091798108345738E-2</v>
      </c>
      <c r="P92" s="667">
        <v>79.93802880459161</v>
      </c>
      <c r="Q92" s="667">
        <v>9.9179265849836327</v>
      </c>
      <c r="R92" s="667">
        <v>-39.63136742270666</v>
      </c>
      <c r="S92" s="667">
        <v>0</v>
      </c>
      <c r="T92" s="667">
        <v>0</v>
      </c>
      <c r="U92" s="667">
        <v>2331.4412714924588</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2.0126474031919526</v>
      </c>
      <c r="E95" s="663">
        <v>0</v>
      </c>
      <c r="F95" s="663">
        <v>2.4215350266049294</v>
      </c>
      <c r="G95" s="663">
        <v>0</v>
      </c>
      <c r="H95" s="663">
        <v>35.249779280676243</v>
      </c>
      <c r="I95" s="663">
        <v>0</v>
      </c>
      <c r="J95" s="663">
        <v>1009.7815647558707</v>
      </c>
      <c r="K95" s="663">
        <v>178.80025978042428</v>
      </c>
      <c r="L95" s="663">
        <v>29.565327526851199</v>
      </c>
      <c r="M95" s="663">
        <v>10.280381489535124</v>
      </c>
      <c r="N95" s="663">
        <v>4.867247129818443</v>
      </c>
      <c r="O95" s="663">
        <v>5.9376906009360688</v>
      </c>
      <c r="P95" s="663">
        <v>0</v>
      </c>
      <c r="Q95" s="663">
        <v>0.1274458438995901</v>
      </c>
      <c r="R95" s="663">
        <v>-552.22120311009314</v>
      </c>
      <c r="S95" s="663">
        <v>0</v>
      </c>
      <c r="T95" s="663">
        <v>0</v>
      </c>
      <c r="U95" s="671">
        <v>726.82267572771525</v>
      </c>
    </row>
    <row r="96" spans="3:21" ht="13">
      <c r="C96" s="670" t="s">
        <v>351</v>
      </c>
      <c r="D96" s="663">
        <v>7.7272727272727285E-2</v>
      </c>
      <c r="E96" s="663">
        <v>0</v>
      </c>
      <c r="F96" s="663">
        <v>0</v>
      </c>
      <c r="G96" s="663">
        <v>0</v>
      </c>
      <c r="H96" s="663">
        <v>17.872657477712522</v>
      </c>
      <c r="I96" s="663">
        <v>0</v>
      </c>
      <c r="J96" s="663">
        <v>0</v>
      </c>
      <c r="K96" s="663">
        <v>0</v>
      </c>
      <c r="L96" s="663">
        <v>30.795424710415574</v>
      </c>
      <c r="M96" s="663">
        <v>15.788091398661473</v>
      </c>
      <c r="N96" s="663">
        <v>0</v>
      </c>
      <c r="O96" s="663">
        <v>3.9361494776423425</v>
      </c>
      <c r="P96" s="663">
        <v>0</v>
      </c>
      <c r="Q96" s="663">
        <v>6.7289973607209745</v>
      </c>
      <c r="R96" s="663">
        <v>0</v>
      </c>
      <c r="S96" s="663">
        <v>-68.166941269573059</v>
      </c>
      <c r="T96" s="663">
        <v>0</v>
      </c>
      <c r="U96" s="671">
        <v>7.0316518828525636</v>
      </c>
    </row>
    <row r="97" spans="3:21" ht="13">
      <c r="C97" s="670" t="s">
        <v>352</v>
      </c>
      <c r="D97" s="663">
        <v>0</v>
      </c>
      <c r="E97" s="663">
        <v>0</v>
      </c>
      <c r="F97" s="663">
        <v>0</v>
      </c>
      <c r="G97" s="663">
        <v>0</v>
      </c>
      <c r="H97" s="663">
        <v>0</v>
      </c>
      <c r="I97" s="663">
        <v>0</v>
      </c>
      <c r="J97" s="663">
        <v>0</v>
      </c>
      <c r="K97" s="663">
        <v>0</v>
      </c>
      <c r="L97" s="663">
        <v>34.96891347313359</v>
      </c>
      <c r="M97" s="663">
        <v>0</v>
      </c>
      <c r="N97" s="663">
        <v>0</v>
      </c>
      <c r="O97" s="663">
        <v>-32.314513431056241</v>
      </c>
      <c r="P97" s="663">
        <v>0</v>
      </c>
      <c r="Q97" s="663">
        <v>0</v>
      </c>
      <c r="R97" s="663">
        <v>0</v>
      </c>
      <c r="S97" s="663">
        <v>0</v>
      </c>
      <c r="T97" s="663">
        <v>0</v>
      </c>
      <c r="U97" s="671">
        <v>2.6544000420773486</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469.52687715624688</v>
      </c>
      <c r="F99" s="663">
        <v>-464.85369049462497</v>
      </c>
      <c r="G99" s="663">
        <v>0</v>
      </c>
      <c r="H99" s="663">
        <v>0</v>
      </c>
      <c r="I99" s="663">
        <v>0</v>
      </c>
      <c r="J99" s="663">
        <v>0</v>
      </c>
      <c r="K99" s="663">
        <v>0</v>
      </c>
      <c r="L99" s="663">
        <v>0</v>
      </c>
      <c r="M99" s="663">
        <v>0</v>
      </c>
      <c r="N99" s="663">
        <v>0</v>
      </c>
      <c r="O99" s="663">
        <v>0</v>
      </c>
      <c r="P99" s="663">
        <v>0</v>
      </c>
      <c r="Q99" s="663">
        <v>0</v>
      </c>
      <c r="R99" s="663">
        <v>0</v>
      </c>
      <c r="S99" s="663">
        <v>0</v>
      </c>
      <c r="T99" s="663">
        <v>0</v>
      </c>
      <c r="U99" s="671">
        <v>4.6731866616218856</v>
      </c>
    </row>
    <row r="100" spans="3:21" ht="13">
      <c r="C100" s="670" t="s">
        <v>354</v>
      </c>
      <c r="D100" s="663">
        <v>0</v>
      </c>
      <c r="E100" s="663">
        <v>0</v>
      </c>
      <c r="F100" s="663">
        <v>0</v>
      </c>
      <c r="G100" s="663">
        <v>0</v>
      </c>
      <c r="H100" s="663">
        <v>0</v>
      </c>
      <c r="I100" s="663">
        <v>0</v>
      </c>
      <c r="J100" s="663">
        <v>0</v>
      </c>
      <c r="K100" s="663">
        <v>0</v>
      </c>
      <c r="L100" s="663">
        <v>56.146757475987663</v>
      </c>
      <c r="M100" s="663">
        <v>0</v>
      </c>
      <c r="N100" s="663">
        <v>-56.146757475987663</v>
      </c>
      <c r="O100" s="663">
        <v>0</v>
      </c>
      <c r="P100" s="663">
        <v>0</v>
      </c>
      <c r="Q100" s="663">
        <v>0</v>
      </c>
      <c r="R100" s="663">
        <v>0</v>
      </c>
      <c r="S100" s="663">
        <v>0</v>
      </c>
      <c r="T100" s="663">
        <v>0</v>
      </c>
      <c r="U100" s="671">
        <v>0</v>
      </c>
    </row>
    <row r="101" spans="3:21" ht="13">
      <c r="C101" s="670" t="s">
        <v>355</v>
      </c>
      <c r="D101" s="663">
        <v>0</v>
      </c>
      <c r="E101" s="663">
        <v>0</v>
      </c>
      <c r="F101" s="663">
        <v>0</v>
      </c>
      <c r="G101" s="663">
        <v>-0.9610704740785061</v>
      </c>
      <c r="H101" s="663">
        <v>0</v>
      </c>
      <c r="I101" s="663">
        <v>0</v>
      </c>
      <c r="J101" s="663">
        <v>0</v>
      </c>
      <c r="K101" s="663">
        <v>0</v>
      </c>
      <c r="L101" s="663">
        <v>0</v>
      </c>
      <c r="M101" s="663">
        <v>0</v>
      </c>
      <c r="N101" s="663">
        <v>0</v>
      </c>
      <c r="O101" s="663">
        <v>0</v>
      </c>
      <c r="P101" s="663">
        <v>0</v>
      </c>
      <c r="Q101" s="663">
        <v>0</v>
      </c>
      <c r="R101" s="663">
        <v>0</v>
      </c>
      <c r="S101" s="663">
        <v>0</v>
      </c>
      <c r="T101" s="663">
        <v>1.3385382647332955</v>
      </c>
      <c r="U101" s="671">
        <v>0.37746779065478941</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16.613212092757209</v>
      </c>
      <c r="S102" s="663">
        <v>0</v>
      </c>
      <c r="T102" s="663">
        <v>-10.798587860292187</v>
      </c>
      <c r="U102" s="671">
        <v>5.8146242324650217</v>
      </c>
    </row>
    <row r="103" spans="3:21" ht="13">
      <c r="C103" s="670" t="s">
        <v>356</v>
      </c>
      <c r="D103" s="663">
        <v>15.474789843749999</v>
      </c>
      <c r="E103" s="663">
        <v>-16.490034301707698</v>
      </c>
      <c r="F103" s="663">
        <v>21.458462057363484</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20.443217599405784</v>
      </c>
    </row>
    <row r="104" spans="3:21" ht="13">
      <c r="C104" s="670" t="s">
        <v>75</v>
      </c>
      <c r="D104" s="663">
        <v>6.017973828125001</v>
      </c>
      <c r="E104" s="663">
        <v>0</v>
      </c>
      <c r="F104" s="663">
        <v>19.75864185375092</v>
      </c>
      <c r="G104" s="663">
        <v>0</v>
      </c>
      <c r="H104" s="663">
        <v>5.1351593182183395</v>
      </c>
      <c r="I104" s="663">
        <v>0</v>
      </c>
      <c r="J104" s="663">
        <v>0</v>
      </c>
      <c r="K104" s="663">
        <v>0</v>
      </c>
      <c r="L104" s="663">
        <v>0</v>
      </c>
      <c r="M104" s="663">
        <v>0</v>
      </c>
      <c r="N104" s="663">
        <v>0</v>
      </c>
      <c r="O104" s="663">
        <v>0.52030248598688023</v>
      </c>
      <c r="P104" s="663">
        <v>0</v>
      </c>
      <c r="Q104" s="663">
        <v>0</v>
      </c>
      <c r="R104" s="663">
        <v>26.004010207915542</v>
      </c>
      <c r="S104" s="663">
        <v>0</v>
      </c>
      <c r="T104" s="663">
        <v>0</v>
      </c>
      <c r="U104" s="671">
        <v>57.436087693996683</v>
      </c>
    </row>
    <row r="105" spans="3:21" ht="13">
      <c r="C105" s="670" t="s">
        <v>76</v>
      </c>
      <c r="D105" s="663">
        <v>0</v>
      </c>
      <c r="E105" s="663">
        <v>0</v>
      </c>
      <c r="F105" s="663">
        <v>0</v>
      </c>
      <c r="G105" s="663">
        <v>0</v>
      </c>
      <c r="H105" s="663">
        <v>3.2228770072600459</v>
      </c>
      <c r="I105" s="663">
        <v>0</v>
      </c>
      <c r="J105" s="663">
        <v>0</v>
      </c>
      <c r="K105" s="663">
        <v>0</v>
      </c>
      <c r="L105" s="663">
        <v>0</v>
      </c>
      <c r="M105" s="663">
        <v>0</v>
      </c>
      <c r="N105" s="663">
        <v>0</v>
      </c>
      <c r="O105" s="663">
        <v>0.32654700954617205</v>
      </c>
      <c r="P105" s="663">
        <v>0</v>
      </c>
      <c r="Q105" s="663">
        <v>0</v>
      </c>
      <c r="R105" s="663">
        <v>39.257968517902221</v>
      </c>
      <c r="S105" s="663">
        <v>5.2865527205622431</v>
      </c>
      <c r="T105" s="663">
        <v>0</v>
      </c>
      <c r="U105" s="671">
        <v>48.093945255270683</v>
      </c>
    </row>
    <row r="106" spans="3:21" ht="13">
      <c r="C106" s="666" t="s">
        <v>77</v>
      </c>
      <c r="D106" s="667">
        <v>23.58268380233968</v>
      </c>
      <c r="E106" s="667">
        <v>453.03684285453915</v>
      </c>
      <c r="F106" s="667">
        <v>-421.21505155690562</v>
      </c>
      <c r="G106" s="667">
        <v>-0.9610704740785061</v>
      </c>
      <c r="H106" s="675">
        <v>61.480473083867153</v>
      </c>
      <c r="I106" s="667">
        <v>0</v>
      </c>
      <c r="J106" s="667">
        <v>1009.7815647558707</v>
      </c>
      <c r="K106" s="667">
        <v>178.80025978042428</v>
      </c>
      <c r="L106" s="667">
        <v>151.47642318638805</v>
      </c>
      <c r="M106" s="667">
        <v>26.068472888196599</v>
      </c>
      <c r="N106" s="667">
        <v>-51.279510346169218</v>
      </c>
      <c r="O106" s="667">
        <v>-21.593823856944777</v>
      </c>
      <c r="P106" s="667">
        <v>0</v>
      </c>
      <c r="Q106" s="667">
        <v>6.8564432046205646</v>
      </c>
      <c r="R106" s="667">
        <v>-470.34601229151815</v>
      </c>
      <c r="S106" s="667">
        <v>-62.88038854901081</v>
      </c>
      <c r="T106" s="667">
        <v>-9.4600495955588926</v>
      </c>
      <c r="U106" s="667">
        <v>873.34725688605999</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4.3067331909174058</v>
      </c>
      <c r="E108" s="663">
        <v>0</v>
      </c>
      <c r="F108" s="663">
        <v>15.285550941396558</v>
      </c>
      <c r="G108" s="663">
        <v>0</v>
      </c>
      <c r="H108" s="663">
        <v>81.99673295835025</v>
      </c>
      <c r="I108" s="663">
        <v>0</v>
      </c>
      <c r="J108" s="663">
        <v>0</v>
      </c>
      <c r="K108" s="663">
        <v>0</v>
      </c>
      <c r="L108" s="663">
        <v>19.904086757615648</v>
      </c>
      <c r="M108" s="663">
        <v>2.4842759722515511</v>
      </c>
      <c r="N108" s="663">
        <v>0.94250728115234383</v>
      </c>
      <c r="O108" s="663">
        <v>8.3338753773994174</v>
      </c>
      <c r="P108" s="663">
        <v>2.8483193359375001</v>
      </c>
      <c r="Q108" s="663">
        <v>5.2671642446208732E-4</v>
      </c>
      <c r="R108" s="663">
        <v>124.0609713055903</v>
      </c>
      <c r="S108" s="663">
        <v>18.086756081914288</v>
      </c>
      <c r="T108" s="663">
        <v>1.3772960205078124</v>
      </c>
      <c r="U108" s="671">
        <v>279.62763193945756</v>
      </c>
    </row>
    <row r="109" spans="3:21" ht="13">
      <c r="C109" s="670" t="s">
        <v>79</v>
      </c>
      <c r="D109" s="663">
        <v>0</v>
      </c>
      <c r="E109" s="663">
        <v>0</v>
      </c>
      <c r="F109" s="663">
        <v>335.93998919996596</v>
      </c>
      <c r="G109" s="663">
        <v>9.4771242925738991E-2</v>
      </c>
      <c r="H109" s="663">
        <v>4.5339029695199544</v>
      </c>
      <c r="I109" s="663">
        <v>0</v>
      </c>
      <c r="J109" s="663">
        <v>0</v>
      </c>
      <c r="K109" s="663">
        <v>0</v>
      </c>
      <c r="L109" s="663">
        <v>0</v>
      </c>
      <c r="M109" s="663">
        <v>0</v>
      </c>
      <c r="N109" s="663">
        <v>38.371773390829333</v>
      </c>
      <c r="O109" s="663">
        <v>0.45938223920246229</v>
      </c>
      <c r="P109" s="663">
        <v>0</v>
      </c>
      <c r="Q109" s="663">
        <v>0</v>
      </c>
      <c r="R109" s="663">
        <v>24.830612613321723</v>
      </c>
      <c r="S109" s="663">
        <v>0</v>
      </c>
      <c r="T109" s="663">
        <v>0.39090580497267069</v>
      </c>
      <c r="U109" s="671">
        <v>404.62133746073778</v>
      </c>
    </row>
    <row r="110" spans="3:21" ht="13">
      <c r="C110" s="670" t="s">
        <v>80</v>
      </c>
      <c r="D110" s="663">
        <v>0</v>
      </c>
      <c r="E110" s="663">
        <v>0</v>
      </c>
      <c r="F110" s="663">
        <v>7.6204805429044127</v>
      </c>
      <c r="G110" s="663">
        <v>0</v>
      </c>
      <c r="H110" s="663">
        <v>80.929799495030636</v>
      </c>
      <c r="I110" s="663">
        <v>0</v>
      </c>
      <c r="J110" s="663">
        <v>0</v>
      </c>
      <c r="K110" s="663">
        <v>0</v>
      </c>
      <c r="L110" s="663">
        <v>51.076854442173044</v>
      </c>
      <c r="M110" s="663">
        <v>0</v>
      </c>
      <c r="N110" s="663">
        <v>0</v>
      </c>
      <c r="O110" s="663">
        <v>8.1999356316550855</v>
      </c>
      <c r="P110" s="663">
        <v>62.835725387811195</v>
      </c>
      <c r="Q110" s="663">
        <v>1.6849133946274748</v>
      </c>
      <c r="R110" s="663">
        <v>167.36963395676293</v>
      </c>
      <c r="S110" s="663">
        <v>28.222608960163477</v>
      </c>
      <c r="T110" s="663">
        <v>0</v>
      </c>
      <c r="U110" s="671">
        <v>407.93995181112825</v>
      </c>
    </row>
    <row r="111" spans="3:21" ht="13">
      <c r="C111" s="670" t="s">
        <v>81</v>
      </c>
      <c r="D111" s="663">
        <v>0</v>
      </c>
      <c r="E111" s="663">
        <v>0</v>
      </c>
      <c r="F111" s="663">
        <v>10.491369546862531</v>
      </c>
      <c r="G111" s="663">
        <v>0</v>
      </c>
      <c r="H111" s="663">
        <v>35.36343810232146</v>
      </c>
      <c r="I111" s="663">
        <v>0</v>
      </c>
      <c r="J111" s="663">
        <v>0</v>
      </c>
      <c r="K111" s="663">
        <v>0</v>
      </c>
      <c r="L111" s="663">
        <v>0.41502991649093068</v>
      </c>
      <c r="M111" s="663">
        <v>5.6682988468104167E-4</v>
      </c>
      <c r="N111" s="663">
        <v>0</v>
      </c>
      <c r="O111" s="663">
        <v>3.5830796315127467</v>
      </c>
      <c r="P111" s="663">
        <v>13.853984080842906</v>
      </c>
      <c r="Q111" s="663">
        <v>0.85666800244149366</v>
      </c>
      <c r="R111" s="663">
        <v>106.66141597563889</v>
      </c>
      <c r="S111" s="663">
        <v>16.571023506933056</v>
      </c>
      <c r="T111" s="663">
        <v>0</v>
      </c>
      <c r="U111" s="671">
        <v>187.79657559292866</v>
      </c>
    </row>
    <row r="112" spans="3:21" ht="13">
      <c r="C112" s="670" t="s">
        <v>82</v>
      </c>
      <c r="D112" s="663">
        <v>0</v>
      </c>
      <c r="E112" s="663">
        <v>0</v>
      </c>
      <c r="F112" s="663">
        <v>28.598972580821304</v>
      </c>
      <c r="G112" s="663">
        <v>0</v>
      </c>
      <c r="H112" s="663">
        <v>1.9735950966825975</v>
      </c>
      <c r="I112" s="663">
        <v>0</v>
      </c>
      <c r="J112" s="663">
        <v>0</v>
      </c>
      <c r="K112" s="663">
        <v>0</v>
      </c>
      <c r="L112" s="663">
        <v>1.8335004892905753</v>
      </c>
      <c r="M112" s="663">
        <v>0</v>
      </c>
      <c r="N112" s="663">
        <v>3.9645164071396528</v>
      </c>
      <c r="O112" s="663">
        <v>0.19996778512643057</v>
      </c>
      <c r="P112" s="663">
        <v>0.4</v>
      </c>
      <c r="Q112" s="663">
        <v>0.5193752668696392</v>
      </c>
      <c r="R112" s="663">
        <v>7.7920110174976385</v>
      </c>
      <c r="S112" s="663">
        <v>0</v>
      </c>
      <c r="T112" s="663">
        <v>0.13892990437736891</v>
      </c>
      <c r="U112" s="671">
        <v>45.420868547805206</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0</v>
      </c>
      <c r="S113" s="663">
        <v>0</v>
      </c>
      <c r="T113" s="663">
        <v>0</v>
      </c>
      <c r="U113" s="671">
        <v>0</v>
      </c>
    </row>
    <row r="114" spans="3:21" ht="13">
      <c r="C114" s="666" t="s">
        <v>83</v>
      </c>
      <c r="D114" s="667">
        <v>4.3067331909174058</v>
      </c>
      <c r="E114" s="667">
        <v>0</v>
      </c>
      <c r="F114" s="667">
        <v>397.93636281195074</v>
      </c>
      <c r="G114" s="667">
        <v>9.4771242925738991E-2</v>
      </c>
      <c r="H114" s="675">
        <v>204.7974686219049</v>
      </c>
      <c r="I114" s="667">
        <v>0</v>
      </c>
      <c r="J114" s="667">
        <v>0</v>
      </c>
      <c r="K114" s="667">
        <v>0</v>
      </c>
      <c r="L114" s="667">
        <v>73.229471605570197</v>
      </c>
      <c r="M114" s="667">
        <v>2.4848428021362321</v>
      </c>
      <c r="N114" s="667">
        <v>43.278797079121333</v>
      </c>
      <c r="O114" s="667">
        <v>20.776240664896143</v>
      </c>
      <c r="P114" s="667">
        <v>79.93802880459161</v>
      </c>
      <c r="Q114" s="667">
        <v>3.0614833803630699</v>
      </c>
      <c r="R114" s="667">
        <v>430.71464486881149</v>
      </c>
      <c r="S114" s="667">
        <v>62.880388549010817</v>
      </c>
      <c r="T114" s="667">
        <v>1.9071317298578518</v>
      </c>
      <c r="U114" s="667">
        <v>1325.4063653520575</v>
      </c>
    </row>
    <row r="115" spans="3:21" ht="13">
      <c r="C115" s="662" t="s">
        <v>84</v>
      </c>
      <c r="D115" s="663">
        <v>0</v>
      </c>
      <c r="E115" s="663">
        <v>0</v>
      </c>
      <c r="F115" s="663">
        <v>102.26810452798878</v>
      </c>
      <c r="G115" s="663">
        <v>1.1905371612338289</v>
      </c>
      <c r="H115" s="663">
        <v>11.237851565782758</v>
      </c>
      <c r="I115" s="663">
        <v>0</v>
      </c>
      <c r="J115" s="663">
        <v>0</v>
      </c>
      <c r="K115" s="663">
        <v>0</v>
      </c>
      <c r="L115" s="663">
        <v>9.5153421924450407E-2</v>
      </c>
      <c r="M115" s="663">
        <v>0</v>
      </c>
      <c r="N115" s="663">
        <v>7.1193346713498897</v>
      </c>
      <c r="O115" s="663">
        <v>0.80349139394028601</v>
      </c>
      <c r="P115" s="663">
        <v>0</v>
      </c>
      <c r="Q115" s="663">
        <v>0</v>
      </c>
      <c r="R115" s="663">
        <v>0</v>
      </c>
      <c r="S115" s="663">
        <v>0</v>
      </c>
      <c r="T115" s="663">
        <v>7.5529178657010396</v>
      </c>
      <c r="U115" s="671">
        <v>130.26739060792104</v>
      </c>
    </row>
    <row r="116" spans="3:21" ht="13">
      <c r="C116" s="666" t="s">
        <v>85</v>
      </c>
      <c r="D116" s="667">
        <v>4.3067331909174058</v>
      </c>
      <c r="E116" s="667">
        <v>0</v>
      </c>
      <c r="F116" s="667">
        <v>500.20446733993958</v>
      </c>
      <c r="G116" s="667">
        <v>1.2853084041595679</v>
      </c>
      <c r="H116" s="675">
        <v>216.03532018768766</v>
      </c>
      <c r="I116" s="667">
        <v>0</v>
      </c>
      <c r="J116" s="667">
        <v>0</v>
      </c>
      <c r="K116" s="667">
        <v>0</v>
      </c>
      <c r="L116" s="667">
        <v>73.324625027494648</v>
      </c>
      <c r="M116" s="667">
        <v>2.4848428021362321</v>
      </c>
      <c r="N116" s="667">
        <v>50.398131750471222</v>
      </c>
      <c r="O116" s="667">
        <v>21.579732058836431</v>
      </c>
      <c r="P116" s="667">
        <v>79.93802880459161</v>
      </c>
      <c r="Q116" s="667">
        <v>3.0614833803630699</v>
      </c>
      <c r="R116" s="667">
        <v>430.71464486881149</v>
      </c>
      <c r="S116" s="667">
        <v>62.880388549010817</v>
      </c>
      <c r="T116" s="667">
        <v>9.4600495955588908</v>
      </c>
      <c r="U116" s="667">
        <v>1455.6737559599785</v>
      </c>
    </row>
    <row r="117" spans="3:21">
      <c r="C117" s="654"/>
      <c r="D117" s="672">
        <v>0</v>
      </c>
      <c r="E117" s="672">
        <v>0</v>
      </c>
      <c r="F117" s="672">
        <v>2.2737367544323206E-13</v>
      </c>
      <c r="G117" s="672">
        <v>0</v>
      </c>
      <c r="H117" s="672">
        <v>0</v>
      </c>
      <c r="I117" s="672">
        <v>0</v>
      </c>
      <c r="J117" s="672">
        <v>0</v>
      </c>
      <c r="K117" s="672">
        <v>0</v>
      </c>
      <c r="L117" s="672">
        <v>0</v>
      </c>
      <c r="M117" s="672">
        <v>0</v>
      </c>
      <c r="N117" s="672">
        <v>-2.4202586464206961</v>
      </c>
      <c r="O117" s="672">
        <v>-4.163336342344337E-16</v>
      </c>
      <c r="P117" s="672">
        <v>0</v>
      </c>
      <c r="Q117" s="672">
        <v>0</v>
      </c>
      <c r="R117" s="672">
        <v>0</v>
      </c>
      <c r="S117" s="672">
        <v>7.1054273576010019E-15</v>
      </c>
      <c r="T117" s="672">
        <v>-1.7763568394002505E-15</v>
      </c>
      <c r="U117" s="672">
        <v>-2.4202586464202795</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88</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9.7691999999999997</v>
      </c>
      <c r="F123" s="663">
        <v>0</v>
      </c>
      <c r="G123" s="663">
        <v>0</v>
      </c>
      <c r="H123" s="663">
        <v>0.18608000000000002</v>
      </c>
      <c r="I123" s="663">
        <v>0</v>
      </c>
      <c r="J123" s="664">
        <v>985.67379798785544</v>
      </c>
      <c r="K123" s="664">
        <v>195.250455173126</v>
      </c>
      <c r="L123" s="664">
        <v>225.73082873869848</v>
      </c>
      <c r="M123" s="664">
        <v>27.969740685177928</v>
      </c>
      <c r="N123" s="663">
        <v>1.4156783371657409</v>
      </c>
      <c r="O123" s="663">
        <v>0.13593700784165794</v>
      </c>
      <c r="P123" s="664">
        <v>91.581907146552624</v>
      </c>
      <c r="Q123" s="664">
        <v>10.82319895117076</v>
      </c>
      <c r="R123" s="663">
        <v>0</v>
      </c>
      <c r="S123" s="663">
        <v>0</v>
      </c>
      <c r="T123" s="663">
        <v>0</v>
      </c>
      <c r="U123" s="665">
        <v>1548.5368240275886</v>
      </c>
    </row>
    <row r="124" spans="3:21" ht="13">
      <c r="C124" s="662" t="s">
        <v>60</v>
      </c>
      <c r="D124" s="663">
        <v>19.500894978355525</v>
      </c>
      <c r="E124" s="663">
        <v>412.35150263166827</v>
      </c>
      <c r="F124" s="663">
        <v>141.77751506797006</v>
      </c>
      <c r="G124" s="663">
        <v>1.1566580598777236</v>
      </c>
      <c r="H124" s="663">
        <v>243.17374959353992</v>
      </c>
      <c r="I124" s="663">
        <v>0</v>
      </c>
      <c r="J124" s="663">
        <v>0</v>
      </c>
      <c r="K124" s="663">
        <v>0</v>
      </c>
      <c r="L124" s="663">
        <v>2.5322527707990741</v>
      </c>
      <c r="M124" s="663">
        <v>0</v>
      </c>
      <c r="N124" s="663">
        <v>3.140572004124202</v>
      </c>
      <c r="O124" s="663">
        <v>0</v>
      </c>
      <c r="P124" s="663">
        <v>0</v>
      </c>
      <c r="Q124" s="663">
        <v>0</v>
      </c>
      <c r="R124" s="663">
        <v>0</v>
      </c>
      <c r="S124" s="663">
        <v>0</v>
      </c>
      <c r="T124" s="663">
        <v>0</v>
      </c>
      <c r="U124" s="665">
        <v>823.63314510633472</v>
      </c>
    </row>
    <row r="125" spans="3:21" ht="13">
      <c r="C125" s="662" t="s">
        <v>61</v>
      </c>
      <c r="D125" s="663">
        <v>0</v>
      </c>
      <c r="E125" s="663">
        <v>0</v>
      </c>
      <c r="F125" s="663">
        <v>-0.13172022897004482</v>
      </c>
      <c r="G125" s="663">
        <v>0</v>
      </c>
      <c r="H125" s="663">
        <v>0</v>
      </c>
      <c r="I125" s="663">
        <v>0</v>
      </c>
      <c r="J125" s="663">
        <v>0</v>
      </c>
      <c r="K125" s="663">
        <v>0</v>
      </c>
      <c r="L125" s="663">
        <v>0</v>
      </c>
      <c r="M125" s="663">
        <v>0</v>
      </c>
      <c r="N125" s="663">
        <v>0</v>
      </c>
      <c r="O125" s="663">
        <v>0</v>
      </c>
      <c r="P125" s="663">
        <v>0</v>
      </c>
      <c r="Q125" s="663">
        <v>0</v>
      </c>
      <c r="R125" s="663">
        <v>-40.000168370113556</v>
      </c>
      <c r="S125" s="663">
        <v>0</v>
      </c>
      <c r="T125" s="663">
        <v>0</v>
      </c>
      <c r="U125" s="665">
        <v>-40.131888599083602</v>
      </c>
    </row>
    <row r="126" spans="3:21" ht="13">
      <c r="C126" s="662" t="s">
        <v>62</v>
      </c>
      <c r="D126" s="663">
        <v>0</v>
      </c>
      <c r="E126" s="663">
        <v>0</v>
      </c>
      <c r="F126" s="663">
        <v>-16.199220216107165</v>
      </c>
      <c r="G126" s="663">
        <v>-0.35114276718264964</v>
      </c>
      <c r="H126" s="663">
        <v>-0.92701690536219505</v>
      </c>
      <c r="I126" s="663">
        <v>0</v>
      </c>
      <c r="J126" s="663">
        <v>0</v>
      </c>
      <c r="K126" s="663">
        <v>0</v>
      </c>
      <c r="L126" s="663">
        <v>0</v>
      </c>
      <c r="M126" s="663">
        <v>0</v>
      </c>
      <c r="N126" s="663">
        <v>-0.52671415077397443</v>
      </c>
      <c r="O126" s="663">
        <v>-0.12641139618575387</v>
      </c>
      <c r="P126" s="663">
        <v>0</v>
      </c>
      <c r="Q126" s="663">
        <v>0</v>
      </c>
      <c r="R126" s="663">
        <v>0</v>
      </c>
      <c r="S126" s="663">
        <v>0</v>
      </c>
      <c r="T126" s="663">
        <v>0</v>
      </c>
      <c r="U126" s="665">
        <v>-18.130505435611738</v>
      </c>
    </row>
    <row r="127" spans="3:21" ht="13">
      <c r="C127" s="662" t="s">
        <v>63</v>
      </c>
      <c r="D127" s="663">
        <v>0</v>
      </c>
      <c r="E127" s="663">
        <v>0</v>
      </c>
      <c r="F127" s="663">
        <v>-73.427503644783499</v>
      </c>
      <c r="G127" s="663">
        <v>-0.69683709307213026</v>
      </c>
      <c r="H127" s="663">
        <v>0</v>
      </c>
      <c r="I127" s="663">
        <v>0</v>
      </c>
      <c r="J127" s="663">
        <v>0</v>
      </c>
      <c r="K127" s="663">
        <v>0</v>
      </c>
      <c r="L127" s="663">
        <v>0</v>
      </c>
      <c r="M127" s="663">
        <v>0</v>
      </c>
      <c r="N127" s="663">
        <v>-3.8742860108991213</v>
      </c>
      <c r="O127" s="663">
        <v>0</v>
      </c>
      <c r="P127" s="663">
        <v>0</v>
      </c>
      <c r="Q127" s="663">
        <v>0</v>
      </c>
      <c r="R127" s="663">
        <v>0</v>
      </c>
      <c r="S127" s="663">
        <v>0</v>
      </c>
      <c r="T127" s="663">
        <v>0</v>
      </c>
      <c r="U127" s="665">
        <v>-77.998626748754759</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19.500894978355525</v>
      </c>
      <c r="E129" s="667">
        <v>422.12070263166828</v>
      </c>
      <c r="F129" s="667">
        <v>52.019070978109362</v>
      </c>
      <c r="G129" s="667">
        <v>0.10867819962294367</v>
      </c>
      <c r="H129" s="675">
        <v>242.43281268817773</v>
      </c>
      <c r="I129" s="667">
        <v>0</v>
      </c>
      <c r="J129" s="667">
        <v>985.67379798785544</v>
      </c>
      <c r="K129" s="667">
        <v>195.250455173126</v>
      </c>
      <c r="L129" s="667">
        <v>228.26308150949754</v>
      </c>
      <c r="M129" s="667">
        <v>27.969740685177928</v>
      </c>
      <c r="N129" s="667">
        <v>0.15525017961684728</v>
      </c>
      <c r="O129" s="667">
        <v>9.5256116559040704E-3</v>
      </c>
      <c r="P129" s="667">
        <v>91.581907146552624</v>
      </c>
      <c r="Q129" s="667">
        <v>10.82319895117076</v>
      </c>
      <c r="R129" s="667">
        <v>-40.000168370113556</v>
      </c>
      <c r="S129" s="667">
        <v>0</v>
      </c>
      <c r="T129" s="667">
        <v>0</v>
      </c>
      <c r="U129" s="667">
        <v>2235.9089483504736</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0.77863803143112786</v>
      </c>
      <c r="G132" s="663">
        <v>0</v>
      </c>
      <c r="H132" s="663">
        <v>34.441359514891516</v>
      </c>
      <c r="I132" s="663">
        <v>0</v>
      </c>
      <c r="J132" s="663">
        <v>985.67379798785544</v>
      </c>
      <c r="K132" s="663">
        <v>195.250455173126</v>
      </c>
      <c r="L132" s="663">
        <v>27.099203250664136</v>
      </c>
      <c r="M132" s="663">
        <v>9.7713809684984927</v>
      </c>
      <c r="N132" s="663">
        <v>4.4112574708908179</v>
      </c>
      <c r="O132" s="663">
        <v>6.1733013975271804</v>
      </c>
      <c r="P132" s="663">
        <v>0</v>
      </c>
      <c r="Q132" s="663">
        <v>0</v>
      </c>
      <c r="R132" s="663">
        <v>-560.02259263001122</v>
      </c>
      <c r="S132" s="663">
        <v>0</v>
      </c>
      <c r="T132" s="663">
        <v>0</v>
      </c>
      <c r="U132" s="671">
        <v>703.57680116487347</v>
      </c>
    </row>
    <row r="133" spans="3:21" ht="13">
      <c r="C133" s="670" t="s">
        <v>351</v>
      </c>
      <c r="D133" s="663">
        <v>0</v>
      </c>
      <c r="E133" s="663">
        <v>0</v>
      </c>
      <c r="F133" s="663">
        <v>0</v>
      </c>
      <c r="G133" s="663">
        <v>0</v>
      </c>
      <c r="H133" s="663">
        <v>17.169661952341983</v>
      </c>
      <c r="I133" s="663">
        <v>0</v>
      </c>
      <c r="J133" s="663">
        <v>0</v>
      </c>
      <c r="K133" s="663">
        <v>0</v>
      </c>
      <c r="L133" s="663">
        <v>33.995499480106155</v>
      </c>
      <c r="M133" s="663">
        <v>15.594965202678805</v>
      </c>
      <c r="N133" s="663">
        <v>0</v>
      </c>
      <c r="O133" s="663">
        <v>4.3055711350701857</v>
      </c>
      <c r="P133" s="663">
        <v>0</v>
      </c>
      <c r="Q133" s="663">
        <v>7.5015461547405717</v>
      </c>
      <c r="R133" s="663">
        <v>0</v>
      </c>
      <c r="S133" s="663">
        <v>-71.517574001012974</v>
      </c>
      <c r="T133" s="663">
        <v>0</v>
      </c>
      <c r="U133" s="671">
        <v>7.0496699239247187</v>
      </c>
    </row>
    <row r="134" spans="3:21" ht="13">
      <c r="C134" s="670" t="s">
        <v>352</v>
      </c>
      <c r="D134" s="663">
        <v>0</v>
      </c>
      <c r="E134" s="663">
        <v>0</v>
      </c>
      <c r="F134" s="663">
        <v>0</v>
      </c>
      <c r="G134" s="663">
        <v>0</v>
      </c>
      <c r="H134" s="663">
        <v>0</v>
      </c>
      <c r="I134" s="663">
        <v>0</v>
      </c>
      <c r="J134" s="663">
        <v>0</v>
      </c>
      <c r="K134" s="663">
        <v>0</v>
      </c>
      <c r="L134" s="663">
        <v>39.786073128569313</v>
      </c>
      <c r="M134" s="663">
        <v>0</v>
      </c>
      <c r="N134" s="663">
        <v>0</v>
      </c>
      <c r="O134" s="663">
        <v>-36.089986767130839</v>
      </c>
      <c r="P134" s="663">
        <v>0</v>
      </c>
      <c r="Q134" s="663">
        <v>0</v>
      </c>
      <c r="R134" s="663">
        <v>0</v>
      </c>
      <c r="S134" s="663">
        <v>0</v>
      </c>
      <c r="T134" s="663">
        <v>0</v>
      </c>
      <c r="U134" s="671">
        <v>3.6960863614384749</v>
      </c>
    </row>
    <row r="135" spans="3:21" ht="13">
      <c r="C135" s="670" t="s">
        <v>353</v>
      </c>
      <c r="D135" s="663">
        <v>0</v>
      </c>
      <c r="E135" s="663">
        <v>0</v>
      </c>
      <c r="F135" s="663">
        <v>0</v>
      </c>
      <c r="G135" s="663">
        <v>0</v>
      </c>
      <c r="H135" s="663">
        <v>0</v>
      </c>
      <c r="I135" s="663">
        <v>0</v>
      </c>
      <c r="J135" s="663">
        <v>0</v>
      </c>
      <c r="K135" s="663">
        <v>0</v>
      </c>
      <c r="L135" s="663">
        <v>0</v>
      </c>
      <c r="M135" s="663">
        <v>0</v>
      </c>
      <c r="N135" s="663">
        <v>0</v>
      </c>
      <c r="O135" s="663">
        <v>0</v>
      </c>
      <c r="P135" s="663">
        <v>0</v>
      </c>
      <c r="Q135" s="663">
        <v>0</v>
      </c>
      <c r="R135" s="663">
        <v>0</v>
      </c>
      <c r="S135" s="663">
        <v>0</v>
      </c>
      <c r="T135" s="663">
        <v>0</v>
      </c>
      <c r="U135" s="671">
        <v>0</v>
      </c>
    </row>
    <row r="136" spans="3:21" ht="13">
      <c r="C136" s="670" t="s">
        <v>72</v>
      </c>
      <c r="D136" s="663">
        <v>0</v>
      </c>
      <c r="E136" s="663">
        <v>437.4764681269624</v>
      </c>
      <c r="F136" s="663">
        <v>-433.12141449021158</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4.3550536367508395</v>
      </c>
    </row>
    <row r="137" spans="3:21" ht="13">
      <c r="C137" s="670" t="s">
        <v>354</v>
      </c>
      <c r="D137" s="663">
        <v>0</v>
      </c>
      <c r="E137" s="663">
        <v>0</v>
      </c>
      <c r="F137" s="663">
        <v>0</v>
      </c>
      <c r="G137" s="663">
        <v>0</v>
      </c>
      <c r="H137" s="663">
        <v>0</v>
      </c>
      <c r="I137" s="663">
        <v>0</v>
      </c>
      <c r="J137" s="663">
        <v>0</v>
      </c>
      <c r="K137" s="663">
        <v>0</v>
      </c>
      <c r="L137" s="663">
        <v>58.51202627390122</v>
      </c>
      <c r="M137" s="663">
        <v>0</v>
      </c>
      <c r="N137" s="663">
        <v>-58.51202627390122</v>
      </c>
      <c r="O137" s="663">
        <v>0</v>
      </c>
      <c r="P137" s="663">
        <v>0</v>
      </c>
      <c r="Q137" s="663">
        <v>0</v>
      </c>
      <c r="R137" s="663">
        <v>0</v>
      </c>
      <c r="S137" s="663">
        <v>0</v>
      </c>
      <c r="T137" s="663">
        <v>0</v>
      </c>
      <c r="U137" s="671">
        <v>0</v>
      </c>
    </row>
    <row r="138" spans="3:21" ht="13">
      <c r="C138" s="670" t="s">
        <v>355</v>
      </c>
      <c r="D138" s="663">
        <v>0</v>
      </c>
      <c r="E138" s="663">
        <v>0</v>
      </c>
      <c r="F138" s="663">
        <v>0</v>
      </c>
      <c r="G138" s="663">
        <v>-1.5541621174818701</v>
      </c>
      <c r="H138" s="663">
        <v>0</v>
      </c>
      <c r="I138" s="663">
        <v>0</v>
      </c>
      <c r="J138" s="663">
        <v>0</v>
      </c>
      <c r="K138" s="663">
        <v>0</v>
      </c>
      <c r="L138" s="663">
        <v>0</v>
      </c>
      <c r="M138" s="663">
        <v>0</v>
      </c>
      <c r="N138" s="663">
        <v>0</v>
      </c>
      <c r="O138" s="663">
        <v>0</v>
      </c>
      <c r="P138" s="663">
        <v>0</v>
      </c>
      <c r="Q138" s="663">
        <v>0</v>
      </c>
      <c r="R138" s="663">
        <v>0</v>
      </c>
      <c r="S138" s="663">
        <v>0</v>
      </c>
      <c r="T138" s="663">
        <v>2.1645711942644428</v>
      </c>
      <c r="U138" s="671">
        <v>0.61040907678257272</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22.347786362655235</v>
      </c>
      <c r="S139" s="663">
        <v>0</v>
      </c>
      <c r="T139" s="663">
        <v>-14.526061135725904</v>
      </c>
      <c r="U139" s="671">
        <v>7.8217252269293311</v>
      </c>
    </row>
    <row r="140" spans="3:21" ht="13">
      <c r="C140" s="670" t="s">
        <v>356</v>
      </c>
      <c r="D140" s="663">
        <v>11.574443320312499</v>
      </c>
      <c r="E140" s="663">
        <v>-15.355765495294122</v>
      </c>
      <c r="F140" s="663">
        <v>19.986666106038875</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16.20534393105725</v>
      </c>
    </row>
    <row r="141" spans="3:21" ht="13">
      <c r="C141" s="670" t="s">
        <v>75</v>
      </c>
      <c r="D141" s="663">
        <v>4.5011724023437498</v>
      </c>
      <c r="E141" s="663">
        <v>0</v>
      </c>
      <c r="F141" s="663">
        <v>19.445088820906506</v>
      </c>
      <c r="G141" s="663">
        <v>0</v>
      </c>
      <c r="H141" s="663">
        <v>4.9057031873641765</v>
      </c>
      <c r="I141" s="663">
        <v>0</v>
      </c>
      <c r="J141" s="663">
        <v>0</v>
      </c>
      <c r="K141" s="663">
        <v>0</v>
      </c>
      <c r="L141" s="663">
        <v>0</v>
      </c>
      <c r="M141" s="663">
        <v>0</v>
      </c>
      <c r="N141" s="663">
        <v>0</v>
      </c>
      <c r="O141" s="663">
        <v>0.66895952554966043</v>
      </c>
      <c r="P141" s="663">
        <v>0</v>
      </c>
      <c r="Q141" s="663">
        <v>0</v>
      </c>
      <c r="R141" s="663">
        <v>25.353860621213894</v>
      </c>
      <c r="S141" s="663">
        <v>0</v>
      </c>
      <c r="T141" s="663">
        <v>0</v>
      </c>
      <c r="U141" s="671">
        <v>54.874784557377978</v>
      </c>
    </row>
    <row r="142" spans="3:21" ht="13">
      <c r="C142" s="670" t="s">
        <v>76</v>
      </c>
      <c r="D142" s="663">
        <v>0</v>
      </c>
      <c r="E142" s="663">
        <v>0</v>
      </c>
      <c r="F142" s="663">
        <v>0</v>
      </c>
      <c r="G142" s="663">
        <v>0</v>
      </c>
      <c r="H142" s="663">
        <v>2.7976613964793451</v>
      </c>
      <c r="I142" s="663">
        <v>0</v>
      </c>
      <c r="J142" s="663">
        <v>0</v>
      </c>
      <c r="K142" s="663">
        <v>0</v>
      </c>
      <c r="L142" s="663">
        <v>0</v>
      </c>
      <c r="M142" s="663">
        <v>0</v>
      </c>
      <c r="N142" s="663">
        <v>0</v>
      </c>
      <c r="O142" s="663">
        <v>0.38149928133809252</v>
      </c>
      <c r="P142" s="663">
        <v>0</v>
      </c>
      <c r="Q142" s="663">
        <v>0</v>
      </c>
      <c r="R142" s="663">
        <v>39.822975779719108</v>
      </c>
      <c r="S142" s="663">
        <v>5.5462664454161024</v>
      </c>
      <c r="T142" s="663">
        <v>0</v>
      </c>
      <c r="U142" s="671">
        <v>48.548402902952645</v>
      </c>
    </row>
    <row r="143" spans="3:21" ht="13">
      <c r="C143" s="666" t="s">
        <v>77</v>
      </c>
      <c r="D143" s="667">
        <v>16.075615722656249</v>
      </c>
      <c r="E143" s="667">
        <v>422.12070263166828</v>
      </c>
      <c r="F143" s="667">
        <v>-392.9110215318351</v>
      </c>
      <c r="G143" s="667">
        <v>-1.5541621174818701</v>
      </c>
      <c r="H143" s="675">
        <v>59.314386051077022</v>
      </c>
      <c r="I143" s="667">
        <v>0</v>
      </c>
      <c r="J143" s="667">
        <v>985.67379798785544</v>
      </c>
      <c r="K143" s="667">
        <v>195.250455173126</v>
      </c>
      <c r="L143" s="667">
        <v>159.39280213324082</v>
      </c>
      <c r="M143" s="667">
        <v>25.366346171177295</v>
      </c>
      <c r="N143" s="667">
        <v>-54.100768803010403</v>
      </c>
      <c r="O143" s="667">
        <v>-24.56065542764572</v>
      </c>
      <c r="P143" s="667">
        <v>0</v>
      </c>
      <c r="Q143" s="667">
        <v>7.5015461547405717</v>
      </c>
      <c r="R143" s="667">
        <v>-472.49796986642292</v>
      </c>
      <c r="S143" s="667">
        <v>-65.971307555596866</v>
      </c>
      <c r="T143" s="667">
        <v>-12.361489941461461</v>
      </c>
      <c r="U143" s="667">
        <v>846.73827678208715</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3.4252792556992748</v>
      </c>
      <c r="E145" s="663">
        <v>0</v>
      </c>
      <c r="F145" s="663">
        <v>12.308271650577865</v>
      </c>
      <c r="G145" s="663">
        <v>0</v>
      </c>
      <c r="H145" s="663">
        <v>73.413026523981316</v>
      </c>
      <c r="I145" s="663">
        <v>0</v>
      </c>
      <c r="J145" s="663">
        <v>0</v>
      </c>
      <c r="K145" s="663">
        <v>0</v>
      </c>
      <c r="L145" s="663">
        <v>20.422417009283894</v>
      </c>
      <c r="M145" s="663">
        <v>2.602859968291809</v>
      </c>
      <c r="N145" s="663">
        <v>1.0285361411132812</v>
      </c>
      <c r="O145" s="663">
        <v>10.038234189816116</v>
      </c>
      <c r="P145" s="663">
        <v>3.4088933105468748</v>
      </c>
      <c r="Q145" s="663">
        <v>5.5791983277925228E-4</v>
      </c>
      <c r="R145" s="663">
        <v>125.34883441740973</v>
      </c>
      <c r="S145" s="663">
        <v>17.986846293297361</v>
      </c>
      <c r="T145" s="663">
        <v>2.0558867187500001</v>
      </c>
      <c r="U145" s="671">
        <v>272.03964339860033</v>
      </c>
    </row>
    <row r="146" spans="3:21" ht="13">
      <c r="C146" s="670" t="s">
        <v>79</v>
      </c>
      <c r="D146" s="663">
        <v>0</v>
      </c>
      <c r="E146" s="663">
        <v>0</v>
      </c>
      <c r="F146" s="663">
        <v>299.68098831610791</v>
      </c>
      <c r="G146" s="663">
        <v>0.15795207154289831</v>
      </c>
      <c r="H146" s="663">
        <v>4.9734474054962678</v>
      </c>
      <c r="I146" s="663">
        <v>0</v>
      </c>
      <c r="J146" s="663">
        <v>0</v>
      </c>
      <c r="K146" s="663">
        <v>0</v>
      </c>
      <c r="L146" s="663">
        <v>0</v>
      </c>
      <c r="M146" s="663">
        <v>0</v>
      </c>
      <c r="N146" s="663">
        <v>36.482323005879891</v>
      </c>
      <c r="O146" s="663">
        <v>0.67819737347676379</v>
      </c>
      <c r="P146" s="663">
        <v>0</v>
      </c>
      <c r="Q146" s="663">
        <v>0</v>
      </c>
      <c r="R146" s="663">
        <v>30.954972159028785</v>
      </c>
      <c r="S146" s="663">
        <v>0</v>
      </c>
      <c r="T146" s="663">
        <v>0.65150967495445122</v>
      </c>
      <c r="U146" s="671">
        <v>373.57939000648707</v>
      </c>
    </row>
    <row r="147" spans="3:21" ht="13">
      <c r="C147" s="670" t="s">
        <v>80</v>
      </c>
      <c r="D147" s="663">
        <v>0</v>
      </c>
      <c r="E147" s="663">
        <v>0</v>
      </c>
      <c r="F147" s="663">
        <v>4.6180690607080663</v>
      </c>
      <c r="G147" s="663">
        <v>0</v>
      </c>
      <c r="H147" s="663">
        <v>64.670833332730624</v>
      </c>
      <c r="I147" s="663">
        <v>0</v>
      </c>
      <c r="J147" s="663">
        <v>0</v>
      </c>
      <c r="K147" s="663">
        <v>0</v>
      </c>
      <c r="L147" s="663">
        <v>45.694565750921086</v>
      </c>
      <c r="M147" s="663">
        <v>0</v>
      </c>
      <c r="N147" s="663">
        <v>0</v>
      </c>
      <c r="O147" s="663">
        <v>8.8187499999178112</v>
      </c>
      <c r="P147" s="663">
        <v>71.668518554839707</v>
      </c>
      <c r="Q147" s="663">
        <v>1.8312707461125663</v>
      </c>
      <c r="R147" s="663">
        <v>167.58037418148072</v>
      </c>
      <c r="S147" s="663">
        <v>29.293864289346555</v>
      </c>
      <c r="T147" s="663">
        <v>0</v>
      </c>
      <c r="U147" s="671">
        <v>394.17624591605716</v>
      </c>
    </row>
    <row r="148" spans="3:21" ht="13">
      <c r="C148" s="670" t="s">
        <v>81</v>
      </c>
      <c r="D148" s="663">
        <v>0</v>
      </c>
      <c r="E148" s="663">
        <v>0</v>
      </c>
      <c r="F148" s="663">
        <v>5.9743988488591224</v>
      </c>
      <c r="G148" s="663">
        <v>0</v>
      </c>
      <c r="H148" s="663">
        <v>27.969082753856803</v>
      </c>
      <c r="I148" s="663">
        <v>0</v>
      </c>
      <c r="J148" s="663">
        <v>0</v>
      </c>
      <c r="K148" s="663">
        <v>0</v>
      </c>
      <c r="L148" s="663">
        <v>0.46314310358360405</v>
      </c>
      <c r="M148" s="663">
        <v>5.3454570882310241E-4</v>
      </c>
      <c r="N148" s="663">
        <v>0</v>
      </c>
      <c r="O148" s="663">
        <v>3.8139658300713819</v>
      </c>
      <c r="P148" s="663">
        <v>16.00449528116604</v>
      </c>
      <c r="Q148" s="663">
        <v>0.86463956078668247</v>
      </c>
      <c r="R148" s="663">
        <v>100.94959269616226</v>
      </c>
      <c r="S148" s="663">
        <v>18.690596972952971</v>
      </c>
      <c r="T148" s="663">
        <v>0</v>
      </c>
      <c r="U148" s="671">
        <v>174.73044959314768</v>
      </c>
    </row>
    <row r="149" spans="3:21" ht="13">
      <c r="C149" s="670" t="s">
        <v>82</v>
      </c>
      <c r="D149" s="663">
        <v>0</v>
      </c>
      <c r="E149" s="663">
        <v>0</v>
      </c>
      <c r="F149" s="663">
        <v>27.024104246708042</v>
      </c>
      <c r="G149" s="663">
        <v>0</v>
      </c>
      <c r="H149" s="663">
        <v>1.735774540709758</v>
      </c>
      <c r="I149" s="663">
        <v>0</v>
      </c>
      <c r="J149" s="663">
        <v>0</v>
      </c>
      <c r="K149" s="663">
        <v>0</v>
      </c>
      <c r="L149" s="663">
        <v>2.1723993471697325</v>
      </c>
      <c r="M149" s="663">
        <v>0</v>
      </c>
      <c r="N149" s="663">
        <v>4.6410977021219679</v>
      </c>
      <c r="O149" s="663">
        <v>0.23669652827860335</v>
      </c>
      <c r="P149" s="663">
        <v>0.5</v>
      </c>
      <c r="Q149" s="663">
        <v>0.62518456969816016</v>
      </c>
      <c r="R149" s="663">
        <v>7.6640280422278524</v>
      </c>
      <c r="S149" s="663">
        <v>0</v>
      </c>
      <c r="T149" s="663">
        <v>0.17366238047171115</v>
      </c>
      <c r="U149" s="671">
        <v>44.772947357385839</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0</v>
      </c>
      <c r="S150" s="663">
        <v>0</v>
      </c>
      <c r="T150" s="663">
        <v>0</v>
      </c>
      <c r="U150" s="671">
        <v>0</v>
      </c>
    </row>
    <row r="151" spans="3:21" ht="13">
      <c r="C151" s="666" t="s">
        <v>83</v>
      </c>
      <c r="D151" s="667">
        <v>3.4252792556992748</v>
      </c>
      <c r="E151" s="667">
        <v>0</v>
      </c>
      <c r="F151" s="667">
        <v>349.60583212296103</v>
      </c>
      <c r="G151" s="667">
        <v>0.15795207154289831</v>
      </c>
      <c r="H151" s="675">
        <v>172.76216455677479</v>
      </c>
      <c r="I151" s="667">
        <v>0</v>
      </c>
      <c r="J151" s="667">
        <v>0</v>
      </c>
      <c r="K151" s="667">
        <v>0</v>
      </c>
      <c r="L151" s="667">
        <v>68.752525210958311</v>
      </c>
      <c r="M151" s="667">
        <v>2.603394514000632</v>
      </c>
      <c r="N151" s="667">
        <v>42.151956849115138</v>
      </c>
      <c r="O151" s="667">
        <v>23.585843921560677</v>
      </c>
      <c r="P151" s="667">
        <v>91.581907146552624</v>
      </c>
      <c r="Q151" s="667">
        <v>3.3216527964301883</v>
      </c>
      <c r="R151" s="667">
        <v>432.49780149630931</v>
      </c>
      <c r="S151" s="667">
        <v>65.97130755559688</v>
      </c>
      <c r="T151" s="667">
        <v>2.8810587741761626</v>
      </c>
      <c r="U151" s="667">
        <v>1259.2986762716782</v>
      </c>
    </row>
    <row r="152" spans="3:21" ht="13">
      <c r="C152" s="662" t="s">
        <v>84</v>
      </c>
      <c r="D152" s="663">
        <v>0</v>
      </c>
      <c r="E152" s="663">
        <v>0</v>
      </c>
      <c r="F152" s="663">
        <v>95.324260386983326</v>
      </c>
      <c r="G152" s="663">
        <v>1.5048882455619152</v>
      </c>
      <c r="H152" s="663">
        <v>10.356262080325934</v>
      </c>
      <c r="I152" s="663">
        <v>0</v>
      </c>
      <c r="J152" s="663">
        <v>0</v>
      </c>
      <c r="K152" s="663">
        <v>0</v>
      </c>
      <c r="L152" s="663">
        <v>0.11775416529838639</v>
      </c>
      <c r="M152" s="663">
        <v>0</v>
      </c>
      <c r="N152" s="663">
        <v>8.0702977228109543</v>
      </c>
      <c r="O152" s="663">
        <v>0.98433711774094745</v>
      </c>
      <c r="P152" s="663">
        <v>0</v>
      </c>
      <c r="Q152" s="663">
        <v>0</v>
      </c>
      <c r="R152" s="663">
        <v>0</v>
      </c>
      <c r="S152" s="663">
        <v>0</v>
      </c>
      <c r="T152" s="663">
        <v>9.4804311672852979</v>
      </c>
      <c r="U152" s="671">
        <v>125.83823088600677</v>
      </c>
    </row>
    <row r="153" spans="3:21" ht="13">
      <c r="C153" s="666" t="s">
        <v>85</v>
      </c>
      <c r="D153" s="667">
        <v>3.4252792556992748</v>
      </c>
      <c r="E153" s="667">
        <v>0</v>
      </c>
      <c r="F153" s="667">
        <v>444.9300925099443</v>
      </c>
      <c r="G153" s="667">
        <v>1.6628403171048136</v>
      </c>
      <c r="H153" s="675">
        <v>183.11842663710073</v>
      </c>
      <c r="I153" s="667">
        <v>0</v>
      </c>
      <c r="J153" s="667">
        <v>0</v>
      </c>
      <c r="K153" s="667">
        <v>0</v>
      </c>
      <c r="L153" s="667">
        <v>68.870279376256704</v>
      </c>
      <c r="M153" s="667">
        <v>2.603394514000632</v>
      </c>
      <c r="N153" s="667">
        <v>50.222254571926094</v>
      </c>
      <c r="O153" s="667">
        <v>24.570181039301623</v>
      </c>
      <c r="P153" s="667">
        <v>91.581907146552624</v>
      </c>
      <c r="Q153" s="667">
        <v>3.3216527964301883</v>
      </c>
      <c r="R153" s="667">
        <v>432.49780149630931</v>
      </c>
      <c r="S153" s="667">
        <v>65.97130755559688</v>
      </c>
      <c r="T153" s="667">
        <v>12.361489941461461</v>
      </c>
      <c r="U153" s="667">
        <v>1385.1369071576848</v>
      </c>
    </row>
    <row r="154" spans="3:21">
      <c r="C154" s="654"/>
      <c r="D154" s="672">
        <v>0</v>
      </c>
      <c r="E154" s="672">
        <v>0</v>
      </c>
      <c r="F154" s="672">
        <v>-1.6342482922482304E-13</v>
      </c>
      <c r="G154" s="672">
        <v>-1.1102230246251565E-16</v>
      </c>
      <c r="H154" s="672">
        <v>0</v>
      </c>
      <c r="I154" s="672">
        <v>0</v>
      </c>
      <c r="J154" s="672">
        <v>0</v>
      </c>
      <c r="K154" s="672">
        <v>0</v>
      </c>
      <c r="L154" s="672">
        <v>0</v>
      </c>
      <c r="M154" s="672">
        <v>0</v>
      </c>
      <c r="N154" s="672">
        <v>-4.0337644107011572</v>
      </c>
      <c r="O154" s="672">
        <v>-1.2490009027033011E-15</v>
      </c>
      <c r="P154" s="672">
        <v>0</v>
      </c>
      <c r="Q154" s="672">
        <v>0</v>
      </c>
      <c r="R154" s="672">
        <v>-5.6843418860808015E-14</v>
      </c>
      <c r="S154" s="672">
        <v>1.4210854715202004E-14</v>
      </c>
      <c r="T154" s="672">
        <v>0</v>
      </c>
      <c r="U154" s="672">
        <v>-4.0337644107016786</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360</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7.3966799999999999</v>
      </c>
      <c r="F160" s="663">
        <v>0</v>
      </c>
      <c r="G160" s="663">
        <v>0</v>
      </c>
      <c r="H160" s="663">
        <v>0.13025600000000001</v>
      </c>
      <c r="I160" s="663">
        <v>0</v>
      </c>
      <c r="J160" s="664">
        <v>971.7407012865051</v>
      </c>
      <c r="K160" s="664">
        <v>238.60019675974834</v>
      </c>
      <c r="L160" s="664">
        <v>253.57041800278802</v>
      </c>
      <c r="M160" s="664">
        <v>27.222029344024044</v>
      </c>
      <c r="N160" s="663">
        <v>1.4753548538560814</v>
      </c>
      <c r="O160" s="663">
        <v>0.15089220372740705</v>
      </c>
      <c r="P160" s="664">
        <v>105.39487042391544</v>
      </c>
      <c r="Q160" s="664">
        <v>15.052128201204939</v>
      </c>
      <c r="R160" s="663">
        <v>0</v>
      </c>
      <c r="S160" s="663">
        <v>0</v>
      </c>
      <c r="T160" s="663">
        <v>0</v>
      </c>
      <c r="U160" s="665">
        <v>1620.7335270757692</v>
      </c>
    </row>
    <row r="161" spans="3:21" ht="13">
      <c r="C161" s="662" t="s">
        <v>60</v>
      </c>
      <c r="D161" s="663">
        <v>17.481730816264069</v>
      </c>
      <c r="E161" s="663">
        <v>368.30859161745235</v>
      </c>
      <c r="F161" s="663">
        <v>88.290951016716463</v>
      </c>
      <c r="G161" s="663">
        <v>0.96271456308499825</v>
      </c>
      <c r="H161" s="663">
        <v>189.89235302255372</v>
      </c>
      <c r="I161" s="663">
        <v>0</v>
      </c>
      <c r="J161" s="663">
        <v>0</v>
      </c>
      <c r="K161" s="663">
        <v>0</v>
      </c>
      <c r="L161" s="663">
        <v>3.0227324829465219</v>
      </c>
      <c r="M161" s="663">
        <v>0</v>
      </c>
      <c r="N161" s="663">
        <v>3.4911647532197585</v>
      </c>
      <c r="O161" s="663">
        <v>0</v>
      </c>
      <c r="P161" s="663">
        <v>0</v>
      </c>
      <c r="Q161" s="663">
        <v>0</v>
      </c>
      <c r="R161" s="663">
        <v>0</v>
      </c>
      <c r="S161" s="663">
        <v>0</v>
      </c>
      <c r="T161" s="663">
        <v>0</v>
      </c>
      <c r="U161" s="665">
        <v>671.45023827223793</v>
      </c>
    </row>
    <row r="162" spans="3:21" ht="13">
      <c r="C162" s="662" t="s">
        <v>61</v>
      </c>
      <c r="D162" s="663">
        <v>0</v>
      </c>
      <c r="E162" s="663">
        <v>0</v>
      </c>
      <c r="F162" s="663">
        <v>-0.25412033446216642</v>
      </c>
      <c r="G162" s="663">
        <v>0</v>
      </c>
      <c r="H162" s="663">
        <v>0</v>
      </c>
      <c r="I162" s="663">
        <v>0</v>
      </c>
      <c r="J162" s="663">
        <v>0</v>
      </c>
      <c r="K162" s="663">
        <v>0</v>
      </c>
      <c r="L162" s="663">
        <v>0</v>
      </c>
      <c r="M162" s="663">
        <v>0</v>
      </c>
      <c r="N162" s="663">
        <v>0</v>
      </c>
      <c r="O162" s="663">
        <v>0</v>
      </c>
      <c r="P162" s="663">
        <v>0</v>
      </c>
      <c r="Q162" s="663">
        <v>0</v>
      </c>
      <c r="R162" s="663">
        <v>-39.430412100204194</v>
      </c>
      <c r="S162" s="663">
        <v>0</v>
      </c>
      <c r="T162" s="663">
        <v>0</v>
      </c>
      <c r="U162" s="665">
        <v>-39.684532434666359</v>
      </c>
    </row>
    <row r="163" spans="3:21" ht="13">
      <c r="C163" s="662" t="s">
        <v>62</v>
      </c>
      <c r="D163" s="663">
        <v>0</v>
      </c>
      <c r="E163" s="663">
        <v>0</v>
      </c>
      <c r="F163" s="663">
        <v>-14.25530176013427</v>
      </c>
      <c r="G163" s="663">
        <v>-0.84519248028876315</v>
      </c>
      <c r="H163" s="663">
        <v>-3.1313337287141003</v>
      </c>
      <c r="I163" s="663">
        <v>0</v>
      </c>
      <c r="J163" s="663">
        <v>0</v>
      </c>
      <c r="K163" s="663">
        <v>0</v>
      </c>
      <c r="L163" s="663">
        <v>0</v>
      </c>
      <c r="M163" s="663">
        <v>0</v>
      </c>
      <c r="N163" s="663">
        <v>-0.51271510605917692</v>
      </c>
      <c r="O163" s="663">
        <v>-0.83237985193665964</v>
      </c>
      <c r="P163" s="663">
        <v>0</v>
      </c>
      <c r="Q163" s="663">
        <v>0</v>
      </c>
      <c r="R163" s="663">
        <v>0</v>
      </c>
      <c r="S163" s="663">
        <v>0</v>
      </c>
      <c r="T163" s="663">
        <v>0</v>
      </c>
      <c r="U163" s="665">
        <v>-19.576922927132969</v>
      </c>
    </row>
    <row r="164" spans="3:21" ht="13">
      <c r="C164" s="662" t="s">
        <v>63</v>
      </c>
      <c r="D164" s="663">
        <v>0</v>
      </c>
      <c r="E164" s="663">
        <v>0</v>
      </c>
      <c r="F164" s="663">
        <v>-65.50346802559632</v>
      </c>
      <c r="G164" s="663">
        <v>-2.6636790811189917</v>
      </c>
      <c r="H164" s="663">
        <v>0</v>
      </c>
      <c r="I164" s="663">
        <v>0</v>
      </c>
      <c r="J164" s="663">
        <v>0</v>
      </c>
      <c r="K164" s="663">
        <v>0</v>
      </c>
      <c r="L164" s="663">
        <v>0</v>
      </c>
      <c r="M164" s="663">
        <v>0</v>
      </c>
      <c r="N164" s="663">
        <v>-8.704547136030067</v>
      </c>
      <c r="O164" s="663">
        <v>0</v>
      </c>
      <c r="P164" s="663">
        <v>0</v>
      </c>
      <c r="Q164" s="663">
        <v>0</v>
      </c>
      <c r="R164" s="663">
        <v>0</v>
      </c>
      <c r="S164" s="663">
        <v>0</v>
      </c>
      <c r="T164" s="663">
        <v>-8.5933245803094055E-2</v>
      </c>
      <c r="U164" s="665">
        <v>-76.957627488548468</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17.481730816264069</v>
      </c>
      <c r="E166" s="667">
        <v>375.70527161745235</v>
      </c>
      <c r="F166" s="667">
        <v>8.2780608965236979</v>
      </c>
      <c r="G166" s="667">
        <v>-2.5461569983227568</v>
      </c>
      <c r="H166" s="675">
        <v>186.89127529383961</v>
      </c>
      <c r="I166" s="667">
        <v>0</v>
      </c>
      <c r="J166" s="667">
        <v>971.7407012865051</v>
      </c>
      <c r="K166" s="667">
        <v>238.60019675974834</v>
      </c>
      <c r="L166" s="667">
        <v>256.59315048573455</v>
      </c>
      <c r="M166" s="667">
        <v>27.222029344024044</v>
      </c>
      <c r="N166" s="667">
        <v>-4.2507426350134043</v>
      </c>
      <c r="O166" s="667">
        <v>-0.68148764820925256</v>
      </c>
      <c r="P166" s="667">
        <v>105.39487042391544</v>
      </c>
      <c r="Q166" s="667">
        <v>15.052128201204939</v>
      </c>
      <c r="R166" s="667">
        <v>-39.430412100204194</v>
      </c>
      <c r="S166" s="667">
        <v>0</v>
      </c>
      <c r="T166" s="667">
        <v>-8.5933245803094055E-2</v>
      </c>
      <c r="U166" s="667">
        <v>2155.9646824976594</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0.79278558393774012</v>
      </c>
      <c r="G169" s="663">
        <v>0</v>
      </c>
      <c r="H169" s="663">
        <v>19.865967473344622</v>
      </c>
      <c r="I169" s="663">
        <v>0</v>
      </c>
      <c r="J169" s="663">
        <v>971.7407012865051</v>
      </c>
      <c r="K169" s="663">
        <v>238.60019675974834</v>
      </c>
      <c r="L169" s="663">
        <v>26.063195396520957</v>
      </c>
      <c r="M169" s="663">
        <v>9.83092180533645</v>
      </c>
      <c r="N169" s="663">
        <v>4.7819832265678626</v>
      </c>
      <c r="O169" s="663">
        <v>4.4668310287108053</v>
      </c>
      <c r="P169" s="663">
        <v>0</v>
      </c>
      <c r="Q169" s="663">
        <v>1.6766395861963883</v>
      </c>
      <c r="R169" s="663">
        <v>-590.46816243021931</v>
      </c>
      <c r="S169" s="663">
        <v>0</v>
      </c>
      <c r="T169" s="663">
        <v>0</v>
      </c>
      <c r="U169" s="671">
        <v>687.35105971664882</v>
      </c>
    </row>
    <row r="170" spans="3:21" ht="13">
      <c r="C170" s="670" t="s">
        <v>351</v>
      </c>
      <c r="D170" s="663">
        <v>0</v>
      </c>
      <c r="E170" s="663">
        <v>0</v>
      </c>
      <c r="F170" s="663">
        <v>0</v>
      </c>
      <c r="G170" s="663">
        <v>0</v>
      </c>
      <c r="H170" s="663">
        <v>14.235464329282825</v>
      </c>
      <c r="I170" s="663">
        <v>0</v>
      </c>
      <c r="J170" s="663">
        <v>0</v>
      </c>
      <c r="K170" s="663">
        <v>0</v>
      </c>
      <c r="L170" s="663">
        <v>35.236777417757288</v>
      </c>
      <c r="M170" s="663">
        <v>14.842062220534972</v>
      </c>
      <c r="N170" s="663">
        <v>0</v>
      </c>
      <c r="O170" s="663">
        <v>4.2657087375224645</v>
      </c>
      <c r="P170" s="663">
        <v>0</v>
      </c>
      <c r="Q170" s="663">
        <v>9.4996550719303219</v>
      </c>
      <c r="R170" s="663">
        <v>0</v>
      </c>
      <c r="S170" s="663">
        <v>-71.457959708478597</v>
      </c>
      <c r="T170" s="663">
        <v>0</v>
      </c>
      <c r="U170" s="671">
        <v>6.6217080685492906</v>
      </c>
    </row>
    <row r="171" spans="3:21" ht="13">
      <c r="C171" s="670" t="s">
        <v>352</v>
      </c>
      <c r="D171" s="663">
        <v>0</v>
      </c>
      <c r="E171" s="663">
        <v>0</v>
      </c>
      <c r="F171" s="663">
        <v>0</v>
      </c>
      <c r="G171" s="663">
        <v>0</v>
      </c>
      <c r="H171" s="663">
        <v>0</v>
      </c>
      <c r="I171" s="663">
        <v>0</v>
      </c>
      <c r="J171" s="663">
        <v>0</v>
      </c>
      <c r="K171" s="663">
        <v>0</v>
      </c>
      <c r="L171" s="663">
        <v>54.240393023043787</v>
      </c>
      <c r="M171" s="663">
        <v>0</v>
      </c>
      <c r="N171" s="663">
        <v>0</v>
      </c>
      <c r="O171" s="663">
        <v>-49.062756106209015</v>
      </c>
      <c r="P171" s="663">
        <v>0</v>
      </c>
      <c r="Q171" s="663">
        <v>0</v>
      </c>
      <c r="R171" s="663">
        <v>0</v>
      </c>
      <c r="S171" s="663">
        <v>0</v>
      </c>
      <c r="T171" s="663">
        <v>0</v>
      </c>
      <c r="U171" s="671">
        <v>5.1776369168347713</v>
      </c>
    </row>
    <row r="172" spans="3:21" ht="13">
      <c r="C172" s="670" t="s">
        <v>353</v>
      </c>
      <c r="D172" s="663">
        <v>0</v>
      </c>
      <c r="E172" s="663">
        <v>0</v>
      </c>
      <c r="F172" s="663">
        <v>0</v>
      </c>
      <c r="G172" s="663">
        <v>0</v>
      </c>
      <c r="H172" s="663">
        <v>0</v>
      </c>
      <c r="I172" s="663">
        <v>0</v>
      </c>
      <c r="J172" s="663">
        <v>0</v>
      </c>
      <c r="K172" s="663">
        <v>0</v>
      </c>
      <c r="L172" s="663">
        <v>0</v>
      </c>
      <c r="M172" s="663">
        <v>0</v>
      </c>
      <c r="N172" s="663">
        <v>0</v>
      </c>
      <c r="O172" s="663">
        <v>0</v>
      </c>
      <c r="P172" s="663">
        <v>0</v>
      </c>
      <c r="Q172" s="663">
        <v>0</v>
      </c>
      <c r="R172" s="663">
        <v>0</v>
      </c>
      <c r="S172" s="663">
        <v>0</v>
      </c>
      <c r="T172" s="663">
        <v>0</v>
      </c>
      <c r="U172" s="671">
        <v>0</v>
      </c>
    </row>
    <row r="173" spans="3:21" ht="13">
      <c r="C173" s="670" t="s">
        <v>72</v>
      </c>
      <c r="D173" s="663">
        <v>0</v>
      </c>
      <c r="E173" s="663">
        <v>389.35548440642862</v>
      </c>
      <c r="F173" s="663">
        <v>-385.47782639146612</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3.8776580149625208</v>
      </c>
    </row>
    <row r="174" spans="3:21" ht="13">
      <c r="C174" s="670" t="s">
        <v>354</v>
      </c>
      <c r="D174" s="663">
        <v>0</v>
      </c>
      <c r="E174" s="663">
        <v>0</v>
      </c>
      <c r="F174" s="663">
        <v>0</v>
      </c>
      <c r="G174" s="663">
        <v>0</v>
      </c>
      <c r="H174" s="663">
        <v>0</v>
      </c>
      <c r="I174" s="663">
        <v>0</v>
      </c>
      <c r="J174" s="663">
        <v>0</v>
      </c>
      <c r="K174" s="663">
        <v>0</v>
      </c>
      <c r="L174" s="663">
        <v>76.110674115305528</v>
      </c>
      <c r="M174" s="663">
        <v>0</v>
      </c>
      <c r="N174" s="663">
        <v>-76.110674115305528</v>
      </c>
      <c r="O174" s="663">
        <v>0</v>
      </c>
      <c r="P174" s="663">
        <v>0</v>
      </c>
      <c r="Q174" s="663">
        <v>0</v>
      </c>
      <c r="R174" s="663">
        <v>0</v>
      </c>
      <c r="S174" s="663">
        <v>0</v>
      </c>
      <c r="T174" s="663">
        <v>0</v>
      </c>
      <c r="U174" s="671">
        <v>0</v>
      </c>
    </row>
    <row r="175" spans="3:21" ht="13">
      <c r="C175" s="670" t="s">
        <v>355</v>
      </c>
      <c r="D175" s="663">
        <v>0</v>
      </c>
      <c r="E175" s="663">
        <v>0</v>
      </c>
      <c r="F175" s="663">
        <v>0</v>
      </c>
      <c r="G175" s="663">
        <v>-5.3679652793818873</v>
      </c>
      <c r="H175" s="663">
        <v>0</v>
      </c>
      <c r="I175" s="663">
        <v>0</v>
      </c>
      <c r="J175" s="663">
        <v>0</v>
      </c>
      <c r="K175" s="663">
        <v>0</v>
      </c>
      <c r="L175" s="663">
        <v>0</v>
      </c>
      <c r="M175" s="663">
        <v>0</v>
      </c>
      <c r="N175" s="663">
        <v>0</v>
      </c>
      <c r="O175" s="663">
        <v>0</v>
      </c>
      <c r="P175" s="663">
        <v>0</v>
      </c>
      <c r="Q175" s="663">
        <v>0</v>
      </c>
      <c r="R175" s="663">
        <v>0</v>
      </c>
      <c r="S175" s="663">
        <v>0</v>
      </c>
      <c r="T175" s="663">
        <v>7.4762747623703172</v>
      </c>
      <c r="U175" s="671">
        <v>2.1083094829884299</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40.318919655124205</v>
      </c>
      <c r="S176" s="663">
        <v>0</v>
      </c>
      <c r="T176" s="663">
        <v>-26.630646432209534</v>
      </c>
      <c r="U176" s="671">
        <v>13.68827322291467</v>
      </c>
    </row>
    <row r="177" spans="3:21" ht="13">
      <c r="C177" s="670" t="s">
        <v>356</v>
      </c>
      <c r="D177" s="663">
        <v>10.05823125</v>
      </c>
      <c r="E177" s="663">
        <v>-13.65021278897626</v>
      </c>
      <c r="F177" s="663">
        <v>17.774822682354454</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14.182841143378196</v>
      </c>
    </row>
    <row r="178" spans="3:21" ht="13">
      <c r="C178" s="670" t="s">
        <v>75</v>
      </c>
      <c r="D178" s="663">
        <v>3.9115343750000005</v>
      </c>
      <c r="E178" s="663">
        <v>0</v>
      </c>
      <c r="F178" s="663">
        <v>18.970841206198273</v>
      </c>
      <c r="G178" s="663">
        <v>0</v>
      </c>
      <c r="H178" s="663">
        <v>4.3082366200216411</v>
      </c>
      <c r="I178" s="663">
        <v>0</v>
      </c>
      <c r="J178" s="663">
        <v>0</v>
      </c>
      <c r="K178" s="663">
        <v>0</v>
      </c>
      <c r="L178" s="663">
        <v>0</v>
      </c>
      <c r="M178" s="663">
        <v>0</v>
      </c>
      <c r="N178" s="663">
        <v>0</v>
      </c>
      <c r="O178" s="663">
        <v>1.1452274559551199</v>
      </c>
      <c r="P178" s="663">
        <v>0</v>
      </c>
      <c r="Q178" s="663">
        <v>0</v>
      </c>
      <c r="R178" s="663">
        <v>24.58367294682958</v>
      </c>
      <c r="S178" s="663">
        <v>0</v>
      </c>
      <c r="T178" s="663">
        <v>0</v>
      </c>
      <c r="U178" s="671">
        <v>52.919512604004616</v>
      </c>
    </row>
    <row r="179" spans="3:21" ht="13">
      <c r="C179" s="670" t="s">
        <v>76</v>
      </c>
      <c r="D179" s="663">
        <v>0</v>
      </c>
      <c r="E179" s="663">
        <v>0</v>
      </c>
      <c r="F179" s="663">
        <v>0</v>
      </c>
      <c r="G179" s="663">
        <v>0</v>
      </c>
      <c r="H179" s="663">
        <v>2.138992514097271</v>
      </c>
      <c r="I179" s="663">
        <v>0</v>
      </c>
      <c r="J179" s="663">
        <v>0</v>
      </c>
      <c r="K179" s="663">
        <v>0</v>
      </c>
      <c r="L179" s="663">
        <v>0</v>
      </c>
      <c r="M179" s="663">
        <v>0</v>
      </c>
      <c r="N179" s="663">
        <v>0</v>
      </c>
      <c r="O179" s="663">
        <v>0.56859294678535055</v>
      </c>
      <c r="P179" s="663">
        <v>0</v>
      </c>
      <c r="Q179" s="663">
        <v>0</v>
      </c>
      <c r="R179" s="663">
        <v>42.191455549105193</v>
      </c>
      <c r="S179" s="663">
        <v>5.5417484036628721</v>
      </c>
      <c r="T179" s="663">
        <v>0</v>
      </c>
      <c r="U179" s="671">
        <v>50.440789413650684</v>
      </c>
    </row>
    <row r="180" spans="3:21" ht="13">
      <c r="C180" s="666" t="s">
        <v>77</v>
      </c>
      <c r="D180" s="667">
        <v>13.969765625000001</v>
      </c>
      <c r="E180" s="667">
        <v>375.70527161745235</v>
      </c>
      <c r="F180" s="667">
        <v>-347.93937691897565</v>
      </c>
      <c r="G180" s="667">
        <v>-5.3679652793818873</v>
      </c>
      <c r="H180" s="675">
        <v>40.548660936746352</v>
      </c>
      <c r="I180" s="667">
        <v>0</v>
      </c>
      <c r="J180" s="667">
        <v>971.7407012865051</v>
      </c>
      <c r="K180" s="667">
        <v>238.60019675974834</v>
      </c>
      <c r="L180" s="667">
        <v>191.65103995262757</v>
      </c>
      <c r="M180" s="667">
        <v>24.672984025871422</v>
      </c>
      <c r="N180" s="667">
        <v>-71.328690888737668</v>
      </c>
      <c r="O180" s="667">
        <v>-38.616395937235275</v>
      </c>
      <c r="P180" s="667">
        <v>0</v>
      </c>
      <c r="Q180" s="667">
        <v>11.176294658126709</v>
      </c>
      <c r="R180" s="667">
        <v>-483.37411427916032</v>
      </c>
      <c r="S180" s="667">
        <v>-65.916211304815732</v>
      </c>
      <c r="T180" s="667">
        <v>-19.154371669839218</v>
      </c>
      <c r="U180" s="667">
        <v>836.36778858393188</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3.5119651912640659</v>
      </c>
      <c r="E182" s="663">
        <v>0</v>
      </c>
      <c r="F182" s="663">
        <v>10.329791866978772</v>
      </c>
      <c r="G182" s="663">
        <v>0</v>
      </c>
      <c r="H182" s="663">
        <v>59.22498419444846</v>
      </c>
      <c r="I182" s="663">
        <v>0</v>
      </c>
      <c r="J182" s="663">
        <v>0</v>
      </c>
      <c r="K182" s="663">
        <v>0</v>
      </c>
      <c r="L182" s="663">
        <v>20.32032070760291</v>
      </c>
      <c r="M182" s="663">
        <v>2.5485507721439489</v>
      </c>
      <c r="N182" s="663">
        <v>1.1054608081054689</v>
      </c>
      <c r="O182" s="663">
        <v>15.774676477466111</v>
      </c>
      <c r="P182" s="663">
        <v>4.7115375976562497</v>
      </c>
      <c r="Q182" s="663">
        <v>6.3863689419622622E-4</v>
      </c>
      <c r="R182" s="663">
        <v>128.13338929673023</v>
      </c>
      <c r="S182" s="663">
        <v>18.044740545750674</v>
      </c>
      <c r="T182" s="663">
        <v>2.7711535644531251</v>
      </c>
      <c r="U182" s="671">
        <v>266.47720965949424</v>
      </c>
    </row>
    <row r="183" spans="3:21" ht="13">
      <c r="C183" s="670" t="s">
        <v>79</v>
      </c>
      <c r="D183" s="663">
        <v>0</v>
      </c>
      <c r="E183" s="663">
        <v>0</v>
      </c>
      <c r="F183" s="663">
        <v>230.06398718142972</v>
      </c>
      <c r="G183" s="663">
        <v>0.28870182254104659</v>
      </c>
      <c r="H183" s="663">
        <v>4.7638546223905314</v>
      </c>
      <c r="I183" s="663">
        <v>0</v>
      </c>
      <c r="J183" s="663">
        <v>0</v>
      </c>
      <c r="K183" s="663">
        <v>0</v>
      </c>
      <c r="L183" s="663">
        <v>0</v>
      </c>
      <c r="M183" s="663">
        <v>0</v>
      </c>
      <c r="N183" s="663">
        <v>46.305302929407816</v>
      </c>
      <c r="O183" s="663">
        <v>1.2663411021544451</v>
      </c>
      <c r="P183" s="663">
        <v>0</v>
      </c>
      <c r="Q183" s="663">
        <v>0</v>
      </c>
      <c r="R183" s="663">
        <v>46.787013172975605</v>
      </c>
      <c r="S183" s="663">
        <v>0</v>
      </c>
      <c r="T183" s="663">
        <v>1.4725342358360081</v>
      </c>
      <c r="U183" s="671">
        <v>330.94773506673516</v>
      </c>
    </row>
    <row r="184" spans="3:21" ht="13">
      <c r="C184" s="670" t="s">
        <v>80</v>
      </c>
      <c r="D184" s="663">
        <v>0</v>
      </c>
      <c r="E184" s="663">
        <v>0</v>
      </c>
      <c r="F184" s="663">
        <v>3.8037297943831954</v>
      </c>
      <c r="G184" s="663">
        <v>0</v>
      </c>
      <c r="H184" s="663">
        <v>48.749434252341672</v>
      </c>
      <c r="I184" s="663">
        <v>0</v>
      </c>
      <c r="J184" s="663">
        <v>0</v>
      </c>
      <c r="K184" s="663">
        <v>0</v>
      </c>
      <c r="L184" s="663">
        <v>41.434907608340509</v>
      </c>
      <c r="M184" s="663">
        <v>0</v>
      </c>
      <c r="N184" s="663">
        <v>0</v>
      </c>
      <c r="O184" s="663">
        <v>12.958710370875634</v>
      </c>
      <c r="P184" s="663">
        <v>81.342309221763003</v>
      </c>
      <c r="Q184" s="663">
        <v>2.1381357466702497</v>
      </c>
      <c r="R184" s="663">
        <v>162.42127689265124</v>
      </c>
      <c r="S184" s="663">
        <v>29.067896346898497</v>
      </c>
      <c r="T184" s="663">
        <v>0</v>
      </c>
      <c r="U184" s="671">
        <v>381.91640023392404</v>
      </c>
    </row>
    <row r="185" spans="3:21" ht="13">
      <c r="C185" s="670" t="s">
        <v>81</v>
      </c>
      <c r="D185" s="663">
        <v>0</v>
      </c>
      <c r="E185" s="663">
        <v>0</v>
      </c>
      <c r="F185" s="663">
        <v>4.4549193893901853</v>
      </c>
      <c r="G185" s="663">
        <v>0</v>
      </c>
      <c r="H185" s="663">
        <v>22.809891612288435</v>
      </c>
      <c r="I185" s="663">
        <v>0</v>
      </c>
      <c r="J185" s="663">
        <v>0</v>
      </c>
      <c r="K185" s="663">
        <v>0</v>
      </c>
      <c r="L185" s="663">
        <v>0.44569918061681485</v>
      </c>
      <c r="M185" s="663">
        <v>4.9454600867274027E-4</v>
      </c>
      <c r="N185" s="663">
        <v>0</v>
      </c>
      <c r="O185" s="663">
        <v>6.0633889095956608</v>
      </c>
      <c r="P185" s="663">
        <v>18.691023604496184</v>
      </c>
      <c r="Q185" s="663">
        <v>0.90924384630352406</v>
      </c>
      <c r="R185" s="663">
        <v>98.49757027134045</v>
      </c>
      <c r="S185" s="663">
        <v>18.80357441216654</v>
      </c>
      <c r="T185" s="663">
        <v>0</v>
      </c>
      <c r="U185" s="671">
        <v>170.67580577220647</v>
      </c>
    </row>
    <row r="186" spans="3:21" ht="13">
      <c r="C186" s="670" t="s">
        <v>82</v>
      </c>
      <c r="D186" s="663">
        <v>0</v>
      </c>
      <c r="E186" s="663">
        <v>0</v>
      </c>
      <c r="F186" s="663">
        <v>22.663704600568668</v>
      </c>
      <c r="G186" s="663">
        <v>0</v>
      </c>
      <c r="H186" s="663">
        <v>1.5172607097483775</v>
      </c>
      <c r="I186" s="663">
        <v>0</v>
      </c>
      <c r="J186" s="663">
        <v>0</v>
      </c>
      <c r="K186" s="663">
        <v>0</v>
      </c>
      <c r="L186" s="663">
        <v>2.5327781893790755</v>
      </c>
      <c r="M186" s="663">
        <v>0</v>
      </c>
      <c r="N186" s="663">
        <v>6.9172702223723741</v>
      </c>
      <c r="O186" s="663">
        <v>0.40332246714830289</v>
      </c>
      <c r="P186" s="663">
        <v>0.65</v>
      </c>
      <c r="Q186" s="663">
        <v>0.82781531321025892</v>
      </c>
      <c r="R186" s="663">
        <v>7.6931885452586402</v>
      </c>
      <c r="S186" s="663">
        <v>0</v>
      </c>
      <c r="T186" s="663">
        <v>0.21911019493558448</v>
      </c>
      <c r="U186" s="671">
        <v>43.424450242621276</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0.41126400000000007</v>
      </c>
      <c r="S187" s="663">
        <v>0</v>
      </c>
      <c r="T187" s="663">
        <v>0</v>
      </c>
      <c r="U187" s="671">
        <v>0.41126400000000007</v>
      </c>
    </row>
    <row r="188" spans="3:21" ht="13">
      <c r="C188" s="666" t="s">
        <v>83</v>
      </c>
      <c r="D188" s="667">
        <v>3.5119651912640659</v>
      </c>
      <c r="E188" s="667">
        <v>0</v>
      </c>
      <c r="F188" s="667">
        <v>271.3161328327505</v>
      </c>
      <c r="G188" s="667">
        <v>0.28870182254104659</v>
      </c>
      <c r="H188" s="675">
        <v>137.06542539121747</v>
      </c>
      <c r="I188" s="667">
        <v>0</v>
      </c>
      <c r="J188" s="667">
        <v>0</v>
      </c>
      <c r="K188" s="667">
        <v>0</v>
      </c>
      <c r="L188" s="667">
        <v>64.733705685939313</v>
      </c>
      <c r="M188" s="667">
        <v>2.5490453181526216</v>
      </c>
      <c r="N188" s="667">
        <v>54.328033959885659</v>
      </c>
      <c r="O188" s="667">
        <v>36.466439327240145</v>
      </c>
      <c r="P188" s="667">
        <v>105.39487042391544</v>
      </c>
      <c r="Q188" s="667">
        <v>3.8758335430782287</v>
      </c>
      <c r="R188" s="667">
        <v>443.94370217895619</v>
      </c>
      <c r="S188" s="667">
        <v>65.916211304815718</v>
      </c>
      <c r="T188" s="667">
        <v>4.4627979952247179</v>
      </c>
      <c r="U188" s="667">
        <v>1193.8528649749812</v>
      </c>
    </row>
    <row r="189" spans="3:21" ht="13">
      <c r="C189" s="662" t="s">
        <v>84</v>
      </c>
      <c r="D189" s="663">
        <v>0</v>
      </c>
      <c r="E189" s="663">
        <v>0</v>
      </c>
      <c r="F189" s="663">
        <v>84.901304982748769</v>
      </c>
      <c r="G189" s="663">
        <v>2.533106458518084</v>
      </c>
      <c r="H189" s="663">
        <v>9.2771889658758084</v>
      </c>
      <c r="I189" s="663">
        <v>0</v>
      </c>
      <c r="J189" s="663">
        <v>0</v>
      </c>
      <c r="K189" s="663">
        <v>0</v>
      </c>
      <c r="L189" s="663">
        <v>0.20840484716769062</v>
      </c>
      <c r="M189" s="663">
        <v>0</v>
      </c>
      <c r="N189" s="663">
        <v>11.136408529558132</v>
      </c>
      <c r="O189" s="663">
        <v>1.4684689617858735</v>
      </c>
      <c r="P189" s="663">
        <v>0</v>
      </c>
      <c r="Q189" s="663">
        <v>0</v>
      </c>
      <c r="R189" s="663">
        <v>0</v>
      </c>
      <c r="S189" s="663">
        <v>0</v>
      </c>
      <c r="T189" s="663">
        <v>14.605640428811407</v>
      </c>
      <c r="U189" s="671">
        <v>124.13052317446576</v>
      </c>
    </row>
    <row r="190" spans="3:21" ht="13">
      <c r="C190" s="666" t="s">
        <v>85</v>
      </c>
      <c r="D190" s="667">
        <v>3.5119651912640659</v>
      </c>
      <c r="E190" s="667">
        <v>0</v>
      </c>
      <c r="F190" s="667">
        <v>356.2174378154993</v>
      </c>
      <c r="G190" s="667">
        <v>2.8218082810591305</v>
      </c>
      <c r="H190" s="675">
        <v>146.34261435709328</v>
      </c>
      <c r="I190" s="667">
        <v>0</v>
      </c>
      <c r="J190" s="667">
        <v>0</v>
      </c>
      <c r="K190" s="667">
        <v>0</v>
      </c>
      <c r="L190" s="667">
        <v>64.942110533106998</v>
      </c>
      <c r="M190" s="667">
        <v>2.5490453181526216</v>
      </c>
      <c r="N190" s="667">
        <v>65.464442489443798</v>
      </c>
      <c r="O190" s="667">
        <v>37.934908289026019</v>
      </c>
      <c r="P190" s="667">
        <v>105.39487042391544</v>
      </c>
      <c r="Q190" s="667">
        <v>3.8758335430782287</v>
      </c>
      <c r="R190" s="667">
        <v>443.94370217895619</v>
      </c>
      <c r="S190" s="667">
        <v>65.916211304815718</v>
      </c>
      <c r="T190" s="667">
        <v>19.068438424036124</v>
      </c>
      <c r="U190" s="667">
        <v>1317.9833881494469</v>
      </c>
    </row>
    <row r="191" spans="3:21">
      <c r="C191" s="654"/>
      <c r="D191" s="672">
        <v>0</v>
      </c>
      <c r="E191" s="672">
        <v>0</v>
      </c>
      <c r="F191" s="672">
        <v>-5.6843418860808015E-14</v>
      </c>
      <c r="G191" s="672">
        <v>0</v>
      </c>
      <c r="H191" s="672">
        <v>0</v>
      </c>
      <c r="I191" s="672">
        <v>0</v>
      </c>
      <c r="J191" s="672">
        <v>0</v>
      </c>
      <c r="K191" s="672">
        <v>0</v>
      </c>
      <c r="L191" s="672">
        <v>0</v>
      </c>
      <c r="M191" s="672">
        <v>0</v>
      </c>
      <c r="N191" s="672">
        <v>-1.6135057642804664</v>
      </c>
      <c r="O191" s="672">
        <v>-3.219646771412954E-15</v>
      </c>
      <c r="P191" s="672">
        <v>0</v>
      </c>
      <c r="Q191" s="672">
        <v>0</v>
      </c>
      <c r="R191" s="672">
        <v>5.6843418860808015E-14</v>
      </c>
      <c r="S191" s="672">
        <v>-1.4210854715202004E-14</v>
      </c>
      <c r="T191" s="672">
        <v>0</v>
      </c>
      <c r="U191" s="672">
        <v>-1.6135057642804895</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361</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5.8150000000000004</v>
      </c>
      <c r="F197" s="663">
        <v>0</v>
      </c>
      <c r="G197" s="663">
        <v>0</v>
      </c>
      <c r="H197" s="663">
        <v>9.3040000000000012E-2</v>
      </c>
      <c r="I197" s="663">
        <v>0</v>
      </c>
      <c r="J197" s="664">
        <v>962.45197015227166</v>
      </c>
      <c r="K197" s="664">
        <v>267.5000244841633</v>
      </c>
      <c r="L197" s="664">
        <v>267.72778932192256</v>
      </c>
      <c r="M197" s="664">
        <v>26.714360415666448</v>
      </c>
      <c r="N197" s="663">
        <v>1.5151391983163085</v>
      </c>
      <c r="O197" s="663">
        <v>0.16086233431790645</v>
      </c>
      <c r="P197" s="664">
        <v>114.79412791174752</v>
      </c>
      <c r="Q197" s="664">
        <v>17.865639972874789</v>
      </c>
      <c r="R197" s="663">
        <v>0</v>
      </c>
      <c r="S197" s="663">
        <v>0</v>
      </c>
      <c r="T197" s="663">
        <v>0</v>
      </c>
      <c r="U197" s="665">
        <v>1664.6379537912806</v>
      </c>
    </row>
    <row r="198" spans="3:21" ht="13">
      <c r="C198" s="662" t="s">
        <v>60</v>
      </c>
      <c r="D198" s="663">
        <v>16.178882267256224</v>
      </c>
      <c r="E198" s="663">
        <v>338.94665094130841</v>
      </c>
      <c r="F198" s="663">
        <v>53.154703213153105</v>
      </c>
      <c r="G198" s="663">
        <v>0.84709048921241781</v>
      </c>
      <c r="H198" s="663">
        <v>154.95460842815714</v>
      </c>
      <c r="I198" s="663">
        <v>0</v>
      </c>
      <c r="J198" s="663">
        <v>0</v>
      </c>
      <c r="K198" s="663">
        <v>0</v>
      </c>
      <c r="L198" s="663">
        <v>3.3497189577114872</v>
      </c>
      <c r="M198" s="663">
        <v>0</v>
      </c>
      <c r="N198" s="663">
        <v>3.7248932526167962</v>
      </c>
      <c r="O198" s="663">
        <v>0</v>
      </c>
      <c r="P198" s="663">
        <v>0</v>
      </c>
      <c r="Q198" s="663">
        <v>0</v>
      </c>
      <c r="R198" s="663">
        <v>0</v>
      </c>
      <c r="S198" s="663">
        <v>0</v>
      </c>
      <c r="T198" s="663">
        <v>0</v>
      </c>
      <c r="U198" s="665">
        <v>571.15654754941545</v>
      </c>
    </row>
    <row r="199" spans="3:21" ht="13">
      <c r="C199" s="662" t="s">
        <v>61</v>
      </c>
      <c r="D199" s="663">
        <v>0</v>
      </c>
      <c r="E199" s="663">
        <v>0</v>
      </c>
      <c r="F199" s="663">
        <v>-0.33572040479024756</v>
      </c>
      <c r="G199" s="663">
        <v>0</v>
      </c>
      <c r="H199" s="663">
        <v>0</v>
      </c>
      <c r="I199" s="663">
        <v>0</v>
      </c>
      <c r="J199" s="663">
        <v>0</v>
      </c>
      <c r="K199" s="663">
        <v>0</v>
      </c>
      <c r="L199" s="663">
        <v>0</v>
      </c>
      <c r="M199" s="663">
        <v>0</v>
      </c>
      <c r="N199" s="663">
        <v>0</v>
      </c>
      <c r="O199" s="663">
        <v>0</v>
      </c>
      <c r="P199" s="663">
        <v>0</v>
      </c>
      <c r="Q199" s="663">
        <v>0</v>
      </c>
      <c r="R199" s="663">
        <v>-40.000125067890167</v>
      </c>
      <c r="S199" s="663">
        <v>0</v>
      </c>
      <c r="T199" s="663">
        <v>0</v>
      </c>
      <c r="U199" s="665">
        <v>-40.335845472680411</v>
      </c>
    </row>
    <row r="200" spans="3:21" ht="13">
      <c r="C200" s="662" t="s">
        <v>62</v>
      </c>
      <c r="D200" s="663">
        <v>0</v>
      </c>
      <c r="E200" s="663">
        <v>0</v>
      </c>
      <c r="F200" s="663">
        <v>-12.959356122819004</v>
      </c>
      <c r="G200" s="663">
        <v>-1.1745589556928391</v>
      </c>
      <c r="H200" s="663">
        <v>-1.8985906548092106</v>
      </c>
      <c r="I200" s="663">
        <v>0</v>
      </c>
      <c r="J200" s="663">
        <v>0</v>
      </c>
      <c r="K200" s="663">
        <v>0</v>
      </c>
      <c r="L200" s="663">
        <v>0</v>
      </c>
      <c r="M200" s="663">
        <v>0</v>
      </c>
      <c r="N200" s="663">
        <v>-0.50338240958264524</v>
      </c>
      <c r="O200" s="663">
        <v>-0.70221846136779031</v>
      </c>
      <c r="P200" s="663">
        <v>0</v>
      </c>
      <c r="Q200" s="663">
        <v>0</v>
      </c>
      <c r="R200" s="663">
        <v>0</v>
      </c>
      <c r="S200" s="663">
        <v>0</v>
      </c>
      <c r="T200" s="663">
        <v>0</v>
      </c>
      <c r="U200" s="665">
        <v>-17.23810660427149</v>
      </c>
    </row>
    <row r="201" spans="3:21" ht="13">
      <c r="C201" s="662" t="s">
        <v>63</v>
      </c>
      <c r="D201" s="663">
        <v>0</v>
      </c>
      <c r="E201" s="663">
        <v>0</v>
      </c>
      <c r="F201" s="663">
        <v>-60.220777612804881</v>
      </c>
      <c r="G201" s="663">
        <v>-3.9749070731502325</v>
      </c>
      <c r="H201" s="663">
        <v>0</v>
      </c>
      <c r="I201" s="663">
        <v>0</v>
      </c>
      <c r="J201" s="663">
        <v>0</v>
      </c>
      <c r="K201" s="663">
        <v>0</v>
      </c>
      <c r="L201" s="663">
        <v>0</v>
      </c>
      <c r="M201" s="663">
        <v>0</v>
      </c>
      <c r="N201" s="663">
        <v>-11.924721219450698</v>
      </c>
      <c r="O201" s="663">
        <v>0</v>
      </c>
      <c r="P201" s="663">
        <v>0</v>
      </c>
      <c r="Q201" s="663">
        <v>0</v>
      </c>
      <c r="R201" s="663">
        <v>0</v>
      </c>
      <c r="S201" s="663">
        <v>0</v>
      </c>
      <c r="T201" s="663">
        <v>-0.14322207633849007</v>
      </c>
      <c r="U201" s="665">
        <v>-76.263627981744307</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16.178882267256224</v>
      </c>
      <c r="E203" s="667">
        <v>344.7616509413084</v>
      </c>
      <c r="F203" s="667">
        <v>-20.361150927261026</v>
      </c>
      <c r="G203" s="667">
        <v>-4.3023755396306536</v>
      </c>
      <c r="H203" s="675">
        <v>153.14905777334795</v>
      </c>
      <c r="I203" s="667">
        <v>0</v>
      </c>
      <c r="J203" s="667">
        <v>962.45197015227166</v>
      </c>
      <c r="K203" s="667">
        <v>267.5000244841633</v>
      </c>
      <c r="L203" s="667">
        <v>271.07750827963406</v>
      </c>
      <c r="M203" s="667">
        <v>26.714360415666448</v>
      </c>
      <c r="N203" s="667">
        <v>-7.1880711781002375</v>
      </c>
      <c r="O203" s="667">
        <v>-0.5413561270498839</v>
      </c>
      <c r="P203" s="667">
        <v>114.79412791174752</v>
      </c>
      <c r="Q203" s="667">
        <v>17.865639972874789</v>
      </c>
      <c r="R203" s="667">
        <v>-40.000125067890167</v>
      </c>
      <c r="S203" s="667">
        <v>0</v>
      </c>
      <c r="T203" s="667">
        <v>-0.14322207633849007</v>
      </c>
      <c r="U203" s="667">
        <v>2101.9569212819993</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0.802217285608815</v>
      </c>
      <c r="G206" s="663">
        <v>0</v>
      </c>
      <c r="H206" s="663">
        <v>10.885217127183394</v>
      </c>
      <c r="I206" s="663">
        <v>0</v>
      </c>
      <c r="J206" s="663">
        <v>962.45197015227166</v>
      </c>
      <c r="K206" s="663">
        <v>267.5000244841633</v>
      </c>
      <c r="L206" s="663">
        <v>25.455194099059376</v>
      </c>
      <c r="M206" s="663">
        <v>9.8679572117025351</v>
      </c>
      <c r="N206" s="663">
        <v>5.0291337303525587</v>
      </c>
      <c r="O206" s="663">
        <v>2.8343761662812361</v>
      </c>
      <c r="P206" s="663">
        <v>0</v>
      </c>
      <c r="Q206" s="663">
        <v>2.7943993103273139</v>
      </c>
      <c r="R206" s="663">
        <v>-610.76520896369152</v>
      </c>
      <c r="S206" s="663">
        <v>0</v>
      </c>
      <c r="T206" s="663">
        <v>0</v>
      </c>
      <c r="U206" s="671">
        <v>676.85528060325873</v>
      </c>
    </row>
    <row r="207" spans="3:21" ht="13">
      <c r="C207" s="670" t="s">
        <v>351</v>
      </c>
      <c r="D207" s="663">
        <v>0</v>
      </c>
      <c r="E207" s="663">
        <v>0</v>
      </c>
      <c r="F207" s="663">
        <v>0</v>
      </c>
      <c r="G207" s="663">
        <v>0</v>
      </c>
      <c r="H207" s="663">
        <v>12.378684044888715</v>
      </c>
      <c r="I207" s="663">
        <v>0</v>
      </c>
      <c r="J207" s="663">
        <v>0</v>
      </c>
      <c r="K207" s="663">
        <v>0</v>
      </c>
      <c r="L207" s="663">
        <v>36.0447949504767</v>
      </c>
      <c r="M207" s="663">
        <v>14.339300216640275</v>
      </c>
      <c r="N207" s="663">
        <v>0</v>
      </c>
      <c r="O207" s="663">
        <v>4.1400526748892315</v>
      </c>
      <c r="P207" s="663">
        <v>0</v>
      </c>
      <c r="Q207" s="663">
        <v>10.825953288370551</v>
      </c>
      <c r="R207" s="663">
        <v>0</v>
      </c>
      <c r="S207" s="663">
        <v>-71.400838762535344</v>
      </c>
      <c r="T207" s="663">
        <v>0</v>
      </c>
      <c r="U207" s="671">
        <v>6.3279464127301193</v>
      </c>
    </row>
    <row r="208" spans="3:21" ht="13">
      <c r="C208" s="670" t="s">
        <v>352</v>
      </c>
      <c r="D208" s="663">
        <v>0</v>
      </c>
      <c r="E208" s="663">
        <v>0</v>
      </c>
      <c r="F208" s="663">
        <v>0</v>
      </c>
      <c r="G208" s="663">
        <v>0</v>
      </c>
      <c r="H208" s="663">
        <v>0</v>
      </c>
      <c r="I208" s="663">
        <v>0</v>
      </c>
      <c r="J208" s="663">
        <v>0</v>
      </c>
      <c r="K208" s="663">
        <v>0</v>
      </c>
      <c r="L208" s="663">
        <v>59.794350125101182</v>
      </c>
      <c r="M208" s="663">
        <v>0</v>
      </c>
      <c r="N208" s="663">
        <v>0</v>
      </c>
      <c r="O208" s="663">
        <v>-54.232182762859196</v>
      </c>
      <c r="P208" s="663">
        <v>0</v>
      </c>
      <c r="Q208" s="663">
        <v>0</v>
      </c>
      <c r="R208" s="663">
        <v>0</v>
      </c>
      <c r="S208" s="663">
        <v>0</v>
      </c>
      <c r="T208" s="663">
        <v>0</v>
      </c>
      <c r="U208" s="671">
        <v>5.5621673622419863</v>
      </c>
    </row>
    <row r="209" spans="3:21" ht="13">
      <c r="C209" s="670" t="s">
        <v>353</v>
      </c>
      <c r="D209" s="663">
        <v>0</v>
      </c>
      <c r="E209" s="663">
        <v>0</v>
      </c>
      <c r="F209" s="663">
        <v>0</v>
      </c>
      <c r="G209" s="663">
        <v>0</v>
      </c>
      <c r="H209" s="663">
        <v>0</v>
      </c>
      <c r="I209" s="663">
        <v>0</v>
      </c>
      <c r="J209" s="663">
        <v>0</v>
      </c>
      <c r="K209" s="663">
        <v>0</v>
      </c>
      <c r="L209" s="663">
        <v>0</v>
      </c>
      <c r="M209" s="663">
        <v>0</v>
      </c>
      <c r="N209" s="663">
        <v>0</v>
      </c>
      <c r="O209" s="663">
        <v>0</v>
      </c>
      <c r="P209" s="663">
        <v>0</v>
      </c>
      <c r="Q209" s="663">
        <v>0</v>
      </c>
      <c r="R209" s="663">
        <v>0</v>
      </c>
      <c r="S209" s="663">
        <v>0</v>
      </c>
      <c r="T209" s="663">
        <v>0</v>
      </c>
      <c r="U209" s="671">
        <v>0</v>
      </c>
    </row>
    <row r="210" spans="3:21" ht="13">
      <c r="C210" s="670" t="s">
        <v>72</v>
      </c>
      <c r="D210" s="663">
        <v>0</v>
      </c>
      <c r="E210" s="663">
        <v>357.27482859273942</v>
      </c>
      <c r="F210" s="663">
        <v>-353.71543432563573</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3.5593942671036793</v>
      </c>
    </row>
    <row r="211" spans="3:21" ht="13">
      <c r="C211" s="670" t="s">
        <v>354</v>
      </c>
      <c r="D211" s="663">
        <v>0</v>
      </c>
      <c r="E211" s="663">
        <v>0</v>
      </c>
      <c r="F211" s="663">
        <v>0</v>
      </c>
      <c r="G211" s="663">
        <v>0</v>
      </c>
      <c r="H211" s="663">
        <v>0</v>
      </c>
      <c r="I211" s="663">
        <v>0</v>
      </c>
      <c r="J211" s="663">
        <v>0</v>
      </c>
      <c r="K211" s="663">
        <v>0</v>
      </c>
      <c r="L211" s="663">
        <v>87.509483344344957</v>
      </c>
      <c r="M211" s="663">
        <v>0</v>
      </c>
      <c r="N211" s="663">
        <v>-87.509483344344957</v>
      </c>
      <c r="O211" s="663">
        <v>0</v>
      </c>
      <c r="P211" s="663">
        <v>0</v>
      </c>
      <c r="Q211" s="663">
        <v>0</v>
      </c>
      <c r="R211" s="663">
        <v>0</v>
      </c>
      <c r="S211" s="663">
        <v>0</v>
      </c>
      <c r="T211" s="663">
        <v>0</v>
      </c>
      <c r="U211" s="671">
        <v>0</v>
      </c>
    </row>
    <row r="212" spans="3:21" ht="13">
      <c r="C212" s="670" t="s">
        <v>355</v>
      </c>
      <c r="D212" s="663">
        <v>0</v>
      </c>
      <c r="E212" s="663">
        <v>0</v>
      </c>
      <c r="F212" s="663">
        <v>0</v>
      </c>
      <c r="G212" s="663">
        <v>-7.9105007206485656</v>
      </c>
      <c r="H212" s="663">
        <v>0</v>
      </c>
      <c r="I212" s="663">
        <v>0</v>
      </c>
      <c r="J212" s="663">
        <v>0</v>
      </c>
      <c r="K212" s="663">
        <v>0</v>
      </c>
      <c r="L212" s="663">
        <v>0</v>
      </c>
      <c r="M212" s="663">
        <v>0</v>
      </c>
      <c r="N212" s="663">
        <v>0</v>
      </c>
      <c r="O212" s="663">
        <v>0</v>
      </c>
      <c r="P212" s="663">
        <v>0</v>
      </c>
      <c r="Q212" s="663">
        <v>0</v>
      </c>
      <c r="R212" s="663">
        <v>0</v>
      </c>
      <c r="S212" s="663">
        <v>0</v>
      </c>
      <c r="T212" s="663">
        <v>11.017410474440901</v>
      </c>
      <c r="U212" s="671">
        <v>3.1069097537923351</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51.730551312429718</v>
      </c>
      <c r="S213" s="663">
        <v>0</v>
      </c>
      <c r="T213" s="663">
        <v>-34.530143001046838</v>
      </c>
      <c r="U213" s="671">
        <v>17.20040831138288</v>
      </c>
    </row>
    <row r="214" spans="3:21" ht="13">
      <c r="C214" s="670" t="s">
        <v>356</v>
      </c>
      <c r="D214" s="663">
        <v>9.1080551953124989</v>
      </c>
      <c r="E214" s="663">
        <v>-12.513177651431018</v>
      </c>
      <c r="F214" s="663">
        <v>16.300260399898175</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12.895137943779657</v>
      </c>
    </row>
    <row r="215" spans="3:21" ht="13">
      <c r="C215" s="670" t="s">
        <v>75</v>
      </c>
      <c r="D215" s="663">
        <v>3.5420214648437502</v>
      </c>
      <c r="E215" s="663">
        <v>0</v>
      </c>
      <c r="F215" s="663">
        <v>18.654676129726123</v>
      </c>
      <c r="G215" s="663">
        <v>0</v>
      </c>
      <c r="H215" s="663">
        <v>3.9220454388203256</v>
      </c>
      <c r="I215" s="663">
        <v>0</v>
      </c>
      <c r="J215" s="663">
        <v>0</v>
      </c>
      <c r="K215" s="663">
        <v>0</v>
      </c>
      <c r="L215" s="663">
        <v>0</v>
      </c>
      <c r="M215" s="663">
        <v>0</v>
      </c>
      <c r="N215" s="663">
        <v>0</v>
      </c>
      <c r="O215" s="663">
        <v>1.4506195458650522</v>
      </c>
      <c r="P215" s="663">
        <v>0</v>
      </c>
      <c r="Q215" s="663">
        <v>0</v>
      </c>
      <c r="R215" s="663">
        <v>24.070214497240038</v>
      </c>
      <c r="S215" s="663">
        <v>0</v>
      </c>
      <c r="T215" s="663">
        <v>0</v>
      </c>
      <c r="U215" s="671">
        <v>51.639577076495286</v>
      </c>
    </row>
    <row r="216" spans="3:21" ht="13">
      <c r="C216" s="670" t="s">
        <v>76</v>
      </c>
      <c r="D216" s="663">
        <v>0</v>
      </c>
      <c r="E216" s="663">
        <v>0</v>
      </c>
      <c r="F216" s="663">
        <v>0</v>
      </c>
      <c r="G216" s="663">
        <v>0</v>
      </c>
      <c r="H216" s="663">
        <v>1.7220653905707752</v>
      </c>
      <c r="I216" s="663">
        <v>0</v>
      </c>
      <c r="J216" s="663">
        <v>0</v>
      </c>
      <c r="K216" s="663">
        <v>0</v>
      </c>
      <c r="L216" s="663">
        <v>0</v>
      </c>
      <c r="M216" s="663">
        <v>0</v>
      </c>
      <c r="N216" s="663">
        <v>0</v>
      </c>
      <c r="O216" s="663">
        <v>0.63692829514261562</v>
      </c>
      <c r="P216" s="663">
        <v>0</v>
      </c>
      <c r="Q216" s="663">
        <v>0</v>
      </c>
      <c r="R216" s="663">
        <v>43.697669495159822</v>
      </c>
      <c r="S216" s="663">
        <v>5.5373897346121579</v>
      </c>
      <c r="T216" s="663">
        <v>0</v>
      </c>
      <c r="U216" s="671">
        <v>51.594052915485378</v>
      </c>
    </row>
    <row r="217" spans="3:21" ht="13">
      <c r="C217" s="666" t="s">
        <v>77</v>
      </c>
      <c r="D217" s="667">
        <v>12.650076660156248</v>
      </c>
      <c r="E217" s="667">
        <v>344.7616509413084</v>
      </c>
      <c r="F217" s="667">
        <v>-317.95828051040263</v>
      </c>
      <c r="G217" s="667">
        <v>-7.9105007206485656</v>
      </c>
      <c r="H217" s="675">
        <v>28.908012001463213</v>
      </c>
      <c r="I217" s="667">
        <v>0</v>
      </c>
      <c r="J217" s="667">
        <v>962.45197015227166</v>
      </c>
      <c r="K217" s="667">
        <v>267.5000244841633</v>
      </c>
      <c r="L217" s="667">
        <v>208.80382251898223</v>
      </c>
      <c r="M217" s="667">
        <v>24.207257428342814</v>
      </c>
      <c r="N217" s="667">
        <v>-82.480349613992402</v>
      </c>
      <c r="O217" s="667">
        <v>-45.170206080681055</v>
      </c>
      <c r="P217" s="667">
        <v>0</v>
      </c>
      <c r="Q217" s="667">
        <v>13.620352598697865</v>
      </c>
      <c r="R217" s="667">
        <v>-491.26677365886189</v>
      </c>
      <c r="S217" s="667">
        <v>-65.863449027923181</v>
      </c>
      <c r="T217" s="667">
        <v>-23.512732526605937</v>
      </c>
      <c r="U217" s="667">
        <v>828.74087464627007</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3.5288056070999749</v>
      </c>
      <c r="E219" s="663">
        <v>0</v>
      </c>
      <c r="F219" s="663">
        <v>9.0742751543652709</v>
      </c>
      <c r="G219" s="663">
        <v>0</v>
      </c>
      <c r="H219" s="663">
        <v>50.765702343803007</v>
      </c>
      <c r="I219" s="663">
        <v>0</v>
      </c>
      <c r="J219" s="663">
        <v>0</v>
      </c>
      <c r="K219" s="663">
        <v>0</v>
      </c>
      <c r="L219" s="663">
        <v>20.203559685037114</v>
      </c>
      <c r="M219" s="663">
        <v>2.5066351077817299</v>
      </c>
      <c r="N219" s="663">
        <v>1.1254933974609376</v>
      </c>
      <c r="O219" s="663">
        <v>18.810321451312785</v>
      </c>
      <c r="P219" s="663">
        <v>5.5404179687499999</v>
      </c>
      <c r="Q219" s="663">
        <v>6.9244826847420892E-4</v>
      </c>
      <c r="R219" s="663">
        <v>129.68210517319469</v>
      </c>
      <c r="S219" s="663">
        <v>18.067305271014469</v>
      </c>
      <c r="T219" s="663">
        <v>3.2886369628906249</v>
      </c>
      <c r="U219" s="671">
        <v>262.59395057097908</v>
      </c>
    </row>
    <row r="220" spans="3:21" ht="13">
      <c r="C220" s="670" t="s">
        <v>79</v>
      </c>
      <c r="D220" s="663">
        <v>0</v>
      </c>
      <c r="E220" s="663">
        <v>0</v>
      </c>
      <c r="F220" s="663">
        <v>183.65265309164423</v>
      </c>
      <c r="G220" s="663">
        <v>0.37586832320647884</v>
      </c>
      <c r="H220" s="663">
        <v>4.5862710057628444</v>
      </c>
      <c r="I220" s="663">
        <v>0</v>
      </c>
      <c r="J220" s="663">
        <v>0</v>
      </c>
      <c r="K220" s="663">
        <v>0</v>
      </c>
      <c r="L220" s="663">
        <v>0</v>
      </c>
      <c r="M220" s="663">
        <v>0</v>
      </c>
      <c r="N220" s="663">
        <v>52.853956211759765</v>
      </c>
      <c r="O220" s="663">
        <v>1.6962920158300934</v>
      </c>
      <c r="P220" s="663">
        <v>0</v>
      </c>
      <c r="Q220" s="663">
        <v>0</v>
      </c>
      <c r="R220" s="663">
        <v>57.341707182273488</v>
      </c>
      <c r="S220" s="663">
        <v>0</v>
      </c>
      <c r="T220" s="663">
        <v>2.0198839430903792</v>
      </c>
      <c r="U220" s="671">
        <v>302.52663177356732</v>
      </c>
    </row>
    <row r="221" spans="3:21" ht="13">
      <c r="C221" s="670" t="s">
        <v>80</v>
      </c>
      <c r="D221" s="663">
        <v>0</v>
      </c>
      <c r="E221" s="663">
        <v>0</v>
      </c>
      <c r="F221" s="663">
        <v>3.260836950166615</v>
      </c>
      <c r="G221" s="663">
        <v>0</v>
      </c>
      <c r="H221" s="663">
        <v>39.313312069692138</v>
      </c>
      <c r="I221" s="663">
        <v>0</v>
      </c>
      <c r="J221" s="663">
        <v>0</v>
      </c>
      <c r="K221" s="663">
        <v>0</v>
      </c>
      <c r="L221" s="663">
        <v>38.595135513286785</v>
      </c>
      <c r="M221" s="663">
        <v>0</v>
      </c>
      <c r="N221" s="663">
        <v>0</v>
      </c>
      <c r="O221" s="663">
        <v>14.540540080571066</v>
      </c>
      <c r="P221" s="663">
        <v>88.021667456281236</v>
      </c>
      <c r="Q221" s="663">
        <v>2.3427124137087052</v>
      </c>
      <c r="R221" s="663">
        <v>158.98187870009832</v>
      </c>
      <c r="S221" s="663">
        <v>28.917251051933125</v>
      </c>
      <c r="T221" s="663">
        <v>0</v>
      </c>
      <c r="U221" s="671">
        <v>373.97333423573804</v>
      </c>
    </row>
    <row r="222" spans="3:21" ht="13">
      <c r="C222" s="670" t="s">
        <v>81</v>
      </c>
      <c r="D222" s="663">
        <v>0</v>
      </c>
      <c r="E222" s="663">
        <v>0</v>
      </c>
      <c r="F222" s="663">
        <v>3.4419330830775619</v>
      </c>
      <c r="G222" s="663">
        <v>0</v>
      </c>
      <c r="H222" s="663">
        <v>19.661407657447267</v>
      </c>
      <c r="I222" s="663">
        <v>0</v>
      </c>
      <c r="J222" s="663">
        <v>0</v>
      </c>
      <c r="K222" s="663">
        <v>0</v>
      </c>
      <c r="L222" s="663">
        <v>0.43406989863895534</v>
      </c>
      <c r="M222" s="663">
        <v>4.6787954190583215E-4</v>
      </c>
      <c r="N222" s="663">
        <v>0</v>
      </c>
      <c r="O222" s="663">
        <v>7.2720274897407702</v>
      </c>
      <c r="P222" s="663">
        <v>20.482042486716281</v>
      </c>
      <c r="Q222" s="663">
        <v>0.93898003664808516</v>
      </c>
      <c r="R222" s="663">
        <v>96.862888654792613</v>
      </c>
      <c r="S222" s="663">
        <v>18.878892704975588</v>
      </c>
      <c r="T222" s="663">
        <v>0</v>
      </c>
      <c r="U222" s="671">
        <v>167.97270989157903</v>
      </c>
    </row>
    <row r="223" spans="3:21" ht="13">
      <c r="C223" s="670" t="s">
        <v>82</v>
      </c>
      <c r="D223" s="663">
        <v>0</v>
      </c>
      <c r="E223" s="663">
        <v>0</v>
      </c>
      <c r="F223" s="663">
        <v>19.85629550078999</v>
      </c>
      <c r="G223" s="663">
        <v>0</v>
      </c>
      <c r="H223" s="663">
        <v>1.376773611649958</v>
      </c>
      <c r="I223" s="663">
        <v>0</v>
      </c>
      <c r="J223" s="663">
        <v>0</v>
      </c>
      <c r="K223" s="663">
        <v>0</v>
      </c>
      <c r="L223" s="663">
        <v>2.7730307508519707</v>
      </c>
      <c r="M223" s="663">
        <v>0</v>
      </c>
      <c r="N223" s="663">
        <v>8.3214654409998232</v>
      </c>
      <c r="O223" s="663">
        <v>0.50921763718560098</v>
      </c>
      <c r="P223" s="663">
        <v>0.75</v>
      </c>
      <c r="Q223" s="663">
        <v>0.96290247555165809</v>
      </c>
      <c r="R223" s="663">
        <v>7.7126288806125016</v>
      </c>
      <c r="S223" s="663">
        <v>0</v>
      </c>
      <c r="T223" s="663">
        <v>0.24940873791150003</v>
      </c>
      <c r="U223" s="671">
        <v>42.511723035553004</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0.68544000000000005</v>
      </c>
      <c r="S224" s="663">
        <v>0</v>
      </c>
      <c r="T224" s="663">
        <v>0</v>
      </c>
      <c r="U224" s="671">
        <v>0.68544000000000005</v>
      </c>
    </row>
    <row r="225" spans="3:21" ht="13">
      <c r="C225" s="666" t="s">
        <v>83</v>
      </c>
      <c r="D225" s="667">
        <v>3.5288056070999749</v>
      </c>
      <c r="E225" s="667">
        <v>0</v>
      </c>
      <c r="F225" s="667">
        <v>219.2859937800437</v>
      </c>
      <c r="G225" s="667">
        <v>0.37586832320647884</v>
      </c>
      <c r="H225" s="675">
        <v>115.70346668835522</v>
      </c>
      <c r="I225" s="667">
        <v>0</v>
      </c>
      <c r="J225" s="667">
        <v>0</v>
      </c>
      <c r="K225" s="667">
        <v>0</v>
      </c>
      <c r="L225" s="667">
        <v>62.005795847814824</v>
      </c>
      <c r="M225" s="667">
        <v>2.5071029873236355</v>
      </c>
      <c r="N225" s="667">
        <v>62.300915050220524</v>
      </c>
      <c r="O225" s="667">
        <v>42.828398674640319</v>
      </c>
      <c r="P225" s="667">
        <v>114.79412791174752</v>
      </c>
      <c r="Q225" s="667">
        <v>4.2452873741769226</v>
      </c>
      <c r="R225" s="667">
        <v>451.26664859097167</v>
      </c>
      <c r="S225" s="667">
        <v>65.863449027923181</v>
      </c>
      <c r="T225" s="667">
        <v>5.5579296438925034</v>
      </c>
      <c r="U225" s="667">
        <v>1150.2637895074163</v>
      </c>
    </row>
    <row r="226" spans="3:21" ht="13">
      <c r="C226" s="662" t="s">
        <v>84</v>
      </c>
      <c r="D226" s="663">
        <v>0</v>
      </c>
      <c r="E226" s="663">
        <v>0</v>
      </c>
      <c r="F226" s="663">
        <v>78.311135803097855</v>
      </c>
      <c r="G226" s="663">
        <v>3.2322568578114335</v>
      </c>
      <c r="H226" s="663">
        <v>8.5375790835295255</v>
      </c>
      <c r="I226" s="663">
        <v>0</v>
      </c>
      <c r="J226" s="663">
        <v>0</v>
      </c>
      <c r="K226" s="663">
        <v>0</v>
      </c>
      <c r="L226" s="663">
        <v>0.26788991283700125</v>
      </c>
      <c r="M226" s="663">
        <v>0</v>
      </c>
      <c r="N226" s="663">
        <v>12.991363385671615</v>
      </c>
      <c r="O226" s="663">
        <v>1.800451278990862</v>
      </c>
      <c r="P226" s="663">
        <v>0</v>
      </c>
      <c r="Q226" s="663">
        <v>0</v>
      </c>
      <c r="R226" s="663">
        <v>0</v>
      </c>
      <c r="S226" s="663">
        <v>0</v>
      </c>
      <c r="T226" s="663">
        <v>17.811580806374948</v>
      </c>
      <c r="U226" s="671">
        <v>122.95225712831325</v>
      </c>
    </row>
    <row r="227" spans="3:21" ht="13">
      <c r="C227" s="666" t="s">
        <v>85</v>
      </c>
      <c r="D227" s="667">
        <v>3.5288056070999749</v>
      </c>
      <c r="E227" s="667">
        <v>0</v>
      </c>
      <c r="F227" s="667">
        <v>297.59712958314151</v>
      </c>
      <c r="G227" s="667">
        <v>3.6081251810179125</v>
      </c>
      <c r="H227" s="675">
        <v>124.24104577188474</v>
      </c>
      <c r="I227" s="667">
        <v>0</v>
      </c>
      <c r="J227" s="667">
        <v>0</v>
      </c>
      <c r="K227" s="667">
        <v>0</v>
      </c>
      <c r="L227" s="667">
        <v>62.273685760651823</v>
      </c>
      <c r="M227" s="667">
        <v>2.5071029873236355</v>
      </c>
      <c r="N227" s="667">
        <v>75.292278435892143</v>
      </c>
      <c r="O227" s="667">
        <v>44.628849953631182</v>
      </c>
      <c r="P227" s="667">
        <v>114.79412791174752</v>
      </c>
      <c r="Q227" s="667">
        <v>4.2452873741769226</v>
      </c>
      <c r="R227" s="667">
        <v>451.26664859097167</v>
      </c>
      <c r="S227" s="667">
        <v>65.863449027923181</v>
      </c>
      <c r="T227" s="667">
        <v>23.369510450267452</v>
      </c>
      <c r="U227" s="667">
        <v>1273.2160466357295</v>
      </c>
    </row>
    <row r="228" spans="3:21">
      <c r="C228" s="654"/>
      <c r="D228" s="672">
        <v>0</v>
      </c>
      <c r="E228" s="672">
        <v>0</v>
      </c>
      <c r="F228" s="672">
        <v>-9.5923269327613525E-14</v>
      </c>
      <c r="G228" s="672">
        <v>0</v>
      </c>
      <c r="H228" s="672">
        <v>0</v>
      </c>
      <c r="I228" s="672">
        <v>0</v>
      </c>
      <c r="J228" s="672">
        <v>0</v>
      </c>
      <c r="K228" s="672">
        <v>0</v>
      </c>
      <c r="L228" s="672">
        <v>0</v>
      </c>
      <c r="M228" s="672">
        <v>0</v>
      </c>
      <c r="N228" s="672">
        <v>-2.1316282072803006E-14</v>
      </c>
      <c r="O228" s="672">
        <v>1.0658141036401503E-14</v>
      </c>
      <c r="P228" s="672">
        <v>0</v>
      </c>
      <c r="Q228" s="672">
        <v>0</v>
      </c>
      <c r="R228" s="672">
        <v>-5.6843418860808015E-14</v>
      </c>
      <c r="S228" s="672">
        <v>0</v>
      </c>
      <c r="T228" s="672">
        <v>4.5796699765787707E-15</v>
      </c>
      <c r="U228" s="672">
        <v>0</v>
      </c>
    </row>
    <row r="229" spans="3:21">
      <c r="C229" s="654"/>
      <c r="D229" s="654"/>
      <c r="E229" s="654"/>
      <c r="F229" s="654"/>
      <c r="G229" s="654"/>
      <c r="H229" s="654"/>
      <c r="I229" s="654"/>
      <c r="J229" s="654"/>
      <c r="K229" s="654"/>
      <c r="L229" s="654"/>
      <c r="M229" s="654"/>
      <c r="N229" s="654"/>
      <c r="O229" s="654"/>
      <c r="P229" s="654"/>
      <c r="Q229" s="654"/>
      <c r="R229" s="654"/>
      <c r="S229" s="654"/>
      <c r="T229" s="654"/>
      <c r="U229" s="654"/>
    </row>
    <row r="230" spans="3:21" ht="14.5">
      <c r="C230" s="658" t="s">
        <v>362</v>
      </c>
      <c r="D230" s="659"/>
      <c r="E230" s="659"/>
      <c r="F230" s="659"/>
      <c r="G230" s="659"/>
      <c r="H230" s="659"/>
      <c r="I230" s="659"/>
      <c r="J230" s="659"/>
      <c r="K230" s="659"/>
      <c r="L230" s="659"/>
      <c r="M230" s="659"/>
      <c r="N230" s="659"/>
      <c r="O230" s="659"/>
      <c r="P230" s="659"/>
      <c r="Q230" s="659"/>
      <c r="R230" s="659"/>
      <c r="S230" s="659"/>
      <c r="T230" s="659"/>
      <c r="U230" s="659"/>
    </row>
    <row r="231" spans="3:21">
      <c r="C231" s="654"/>
      <c r="D231" s="654"/>
      <c r="E231" s="654"/>
      <c r="F231" s="654"/>
      <c r="G231" s="654"/>
      <c r="H231" s="654"/>
      <c r="I231" s="654"/>
      <c r="J231" s="654"/>
      <c r="K231" s="654"/>
      <c r="L231" s="654"/>
      <c r="M231" s="654"/>
      <c r="N231" s="654"/>
      <c r="O231" s="654"/>
      <c r="P231" s="654"/>
      <c r="Q231" s="654"/>
      <c r="R231" s="654"/>
      <c r="S231" s="654"/>
      <c r="T231" s="654"/>
      <c r="U231" s="654"/>
    </row>
    <row r="232" spans="3:21" ht="13">
      <c r="C232" s="706" t="s">
        <v>128</v>
      </c>
      <c r="D232" s="704" t="s">
        <v>42</v>
      </c>
      <c r="E232" s="704" t="s">
        <v>52</v>
      </c>
      <c r="F232" s="704" t="s">
        <v>53</v>
      </c>
      <c r="G232" s="704" t="s">
        <v>487</v>
      </c>
      <c r="H232" s="704" t="s">
        <v>32</v>
      </c>
      <c r="I232" s="704" t="s">
        <v>488</v>
      </c>
      <c r="J232" s="704" t="s">
        <v>20</v>
      </c>
      <c r="K232" s="704" t="s">
        <v>55</v>
      </c>
      <c r="L232" s="708" t="s">
        <v>56</v>
      </c>
      <c r="M232" s="709"/>
      <c r="N232" s="709"/>
      <c r="O232" s="709"/>
      <c r="P232" s="709"/>
      <c r="Q232" s="710"/>
      <c r="R232" s="704" t="s">
        <v>57</v>
      </c>
      <c r="S232" s="704" t="s">
        <v>58</v>
      </c>
      <c r="T232" s="704" t="s">
        <v>31</v>
      </c>
      <c r="U232" s="704" t="s">
        <v>10</v>
      </c>
    </row>
    <row r="233" spans="3:21" ht="36">
      <c r="C233" s="707"/>
      <c r="D233" s="705"/>
      <c r="E233" s="705"/>
      <c r="F233" s="705"/>
      <c r="G233" s="705"/>
      <c r="H233" s="705"/>
      <c r="I233" s="705"/>
      <c r="J233" s="705"/>
      <c r="K233" s="705"/>
      <c r="L233" s="660" t="s">
        <v>338</v>
      </c>
      <c r="M233" s="660" t="s">
        <v>40</v>
      </c>
      <c r="N233" s="660" t="s">
        <v>346</v>
      </c>
      <c r="O233" s="660" t="s">
        <v>347</v>
      </c>
      <c r="P233" s="661" t="s">
        <v>348</v>
      </c>
      <c r="Q233" s="660" t="s">
        <v>349</v>
      </c>
      <c r="R233" s="705"/>
      <c r="S233" s="705"/>
      <c r="T233" s="705"/>
      <c r="U233" s="705"/>
    </row>
    <row r="234" spans="3:21" ht="13">
      <c r="C234" s="662" t="s">
        <v>59</v>
      </c>
      <c r="D234" s="663">
        <v>0</v>
      </c>
      <c r="E234" s="663">
        <v>2.3260000000000005</v>
      </c>
      <c r="F234" s="663">
        <v>0</v>
      </c>
      <c r="G234" s="663">
        <v>0</v>
      </c>
      <c r="H234" s="663">
        <v>3.7216000000000006E-2</v>
      </c>
      <c r="I234" s="663">
        <v>0</v>
      </c>
      <c r="J234" s="664">
        <v>964.52942056246673</v>
      </c>
      <c r="K234" s="664">
        <v>311.46236031836668</v>
      </c>
      <c r="L234" s="664">
        <v>294.50335183866372</v>
      </c>
      <c r="M234" s="664">
        <v>26.897654847027933</v>
      </c>
      <c r="N234" s="663">
        <v>1.5522078310841105</v>
      </c>
      <c r="O234" s="663">
        <v>0.16457898409976487</v>
      </c>
      <c r="P234" s="664">
        <v>128.43983591306872</v>
      </c>
      <c r="Q234" s="664">
        <v>20.654107927982594</v>
      </c>
      <c r="R234" s="663">
        <v>0</v>
      </c>
      <c r="S234" s="663">
        <v>0</v>
      </c>
      <c r="T234" s="663">
        <v>0</v>
      </c>
      <c r="U234" s="665">
        <v>1750.5667342227598</v>
      </c>
    </row>
    <row r="235" spans="3:21" ht="13">
      <c r="C235" s="662" t="s">
        <v>60</v>
      </c>
      <c r="D235" s="663">
        <v>13.859177019435306</v>
      </c>
      <c r="E235" s="663">
        <v>296.13837759387053</v>
      </c>
      <c r="F235" s="663">
        <v>5.829718761745502</v>
      </c>
      <c r="G235" s="663">
        <v>0.35872125556105416</v>
      </c>
      <c r="H235" s="663">
        <v>120.63288166670617</v>
      </c>
      <c r="I235" s="663">
        <v>0</v>
      </c>
      <c r="J235" s="663">
        <v>0</v>
      </c>
      <c r="K235" s="663">
        <v>0</v>
      </c>
      <c r="L235" s="663">
        <v>3.8185483520995893</v>
      </c>
      <c r="M235" s="663">
        <v>0</v>
      </c>
      <c r="N235" s="663">
        <v>4.0860505945061325</v>
      </c>
      <c r="O235" s="663">
        <v>0</v>
      </c>
      <c r="P235" s="663">
        <v>0</v>
      </c>
      <c r="Q235" s="663">
        <v>0</v>
      </c>
      <c r="R235" s="663">
        <v>0</v>
      </c>
      <c r="S235" s="663">
        <v>0</v>
      </c>
      <c r="T235" s="663">
        <v>0</v>
      </c>
      <c r="U235" s="665">
        <v>444.72347524392433</v>
      </c>
    </row>
    <row r="236" spans="3:21" ht="13">
      <c r="C236" s="662" t="s">
        <v>61</v>
      </c>
      <c r="D236" s="663">
        <v>0</v>
      </c>
      <c r="E236" s="663">
        <v>0</v>
      </c>
      <c r="F236" s="663">
        <v>-11.930293865877704</v>
      </c>
      <c r="G236" s="663">
        <v>0</v>
      </c>
      <c r="H236" s="663">
        <v>0</v>
      </c>
      <c r="I236" s="663">
        <v>0</v>
      </c>
      <c r="J236" s="663">
        <v>0</v>
      </c>
      <c r="K236" s="663">
        <v>0</v>
      </c>
      <c r="L236" s="663">
        <v>0</v>
      </c>
      <c r="M236" s="663">
        <v>0</v>
      </c>
      <c r="N236" s="663">
        <v>0</v>
      </c>
      <c r="O236" s="663">
        <v>0</v>
      </c>
      <c r="P236" s="663">
        <v>0</v>
      </c>
      <c r="Q236" s="663">
        <v>0</v>
      </c>
      <c r="R236" s="663">
        <v>-39.267637363013023</v>
      </c>
      <c r="S236" s="663">
        <v>0</v>
      </c>
      <c r="T236" s="663">
        <v>0</v>
      </c>
      <c r="U236" s="665">
        <v>-51.197931228890724</v>
      </c>
    </row>
    <row r="237" spans="3:21" ht="13">
      <c r="C237" s="662" t="s">
        <v>62</v>
      </c>
      <c r="D237" s="663">
        <v>0</v>
      </c>
      <c r="E237" s="663">
        <v>0</v>
      </c>
      <c r="F237" s="663">
        <v>-10.650864702914385</v>
      </c>
      <c r="G237" s="663">
        <v>-1.9080821969915447</v>
      </c>
      <c r="H237" s="663">
        <v>-4.5147113062781807</v>
      </c>
      <c r="I237" s="663">
        <v>0</v>
      </c>
      <c r="J237" s="663">
        <v>0</v>
      </c>
      <c r="K237" s="663">
        <v>0</v>
      </c>
      <c r="L237" s="663">
        <v>0</v>
      </c>
      <c r="M237" s="663">
        <v>0</v>
      </c>
      <c r="N237" s="663">
        <v>-0.48900468677593995</v>
      </c>
      <c r="O237" s="663">
        <v>-2.7436669996352929</v>
      </c>
      <c r="P237" s="663">
        <v>0</v>
      </c>
      <c r="Q237" s="663">
        <v>0</v>
      </c>
      <c r="R237" s="663">
        <v>0</v>
      </c>
      <c r="S237" s="663">
        <v>0</v>
      </c>
      <c r="T237" s="663">
        <v>0</v>
      </c>
      <c r="U237" s="665">
        <v>-20.306329892595343</v>
      </c>
    </row>
    <row r="238" spans="3:21" ht="13">
      <c r="C238" s="662" t="s">
        <v>63</v>
      </c>
      <c r="D238" s="663">
        <v>0</v>
      </c>
      <c r="E238" s="663">
        <v>0</v>
      </c>
      <c r="F238" s="663">
        <v>-52.2656340821949</v>
      </c>
      <c r="G238" s="663">
        <v>-8.2703034572776399</v>
      </c>
      <c r="H238" s="663">
        <v>0</v>
      </c>
      <c r="I238" s="663">
        <v>0</v>
      </c>
      <c r="J238" s="663">
        <v>0</v>
      </c>
      <c r="K238" s="663">
        <v>0</v>
      </c>
      <c r="L238" s="663">
        <v>0</v>
      </c>
      <c r="M238" s="663">
        <v>0</v>
      </c>
      <c r="N238" s="663">
        <v>-13.213101981709578</v>
      </c>
      <c r="O238" s="663">
        <v>0</v>
      </c>
      <c r="P238" s="663">
        <v>0</v>
      </c>
      <c r="Q238" s="663">
        <v>0</v>
      </c>
      <c r="R238" s="663">
        <v>0</v>
      </c>
      <c r="S238" s="663">
        <v>0</v>
      </c>
      <c r="T238" s="663">
        <v>-0.45605370393256905</v>
      </c>
      <c r="U238" s="665">
        <v>-74.20509322511468</v>
      </c>
    </row>
    <row r="239" spans="3:21" ht="13">
      <c r="C239" s="662" t="s">
        <v>64</v>
      </c>
      <c r="D239" s="663">
        <v>0</v>
      </c>
      <c r="E239" s="663">
        <v>0</v>
      </c>
      <c r="F239" s="663">
        <v>0</v>
      </c>
      <c r="G239" s="663">
        <v>0</v>
      </c>
      <c r="H239" s="663">
        <v>0</v>
      </c>
      <c r="I239" s="663">
        <v>0</v>
      </c>
      <c r="J239" s="663">
        <v>0</v>
      </c>
      <c r="K239" s="663">
        <v>0</v>
      </c>
      <c r="L239" s="663">
        <v>0</v>
      </c>
      <c r="M239" s="663">
        <v>0</v>
      </c>
      <c r="N239" s="663">
        <v>0</v>
      </c>
      <c r="O239" s="663">
        <v>0</v>
      </c>
      <c r="P239" s="663">
        <v>0</v>
      </c>
      <c r="Q239" s="663">
        <v>0</v>
      </c>
      <c r="R239" s="663">
        <v>0</v>
      </c>
      <c r="S239" s="663">
        <v>0</v>
      </c>
      <c r="T239" s="663">
        <v>0</v>
      </c>
      <c r="U239" s="665">
        <v>0</v>
      </c>
    </row>
    <row r="240" spans="3:21" ht="13">
      <c r="C240" s="666" t="s">
        <v>65</v>
      </c>
      <c r="D240" s="667">
        <v>13.859177019435306</v>
      </c>
      <c r="E240" s="667">
        <v>298.46437759387055</v>
      </c>
      <c r="F240" s="667">
        <v>-69.017073889241487</v>
      </c>
      <c r="G240" s="667">
        <v>-9.8196643987081309</v>
      </c>
      <c r="H240" s="675">
        <v>116.15538636042798</v>
      </c>
      <c r="I240" s="667">
        <v>0</v>
      </c>
      <c r="J240" s="667">
        <v>964.52942056246673</v>
      </c>
      <c r="K240" s="667">
        <v>311.46236031836668</v>
      </c>
      <c r="L240" s="667">
        <v>298.3219001907633</v>
      </c>
      <c r="M240" s="667">
        <v>26.897654847027933</v>
      </c>
      <c r="N240" s="667">
        <v>-8.0638482428952756</v>
      </c>
      <c r="O240" s="667">
        <v>-2.579088015535528</v>
      </c>
      <c r="P240" s="667">
        <v>128.43983591306872</v>
      </c>
      <c r="Q240" s="667">
        <v>20.654107927982594</v>
      </c>
      <c r="R240" s="667">
        <v>-39.267637363013023</v>
      </c>
      <c r="S240" s="667">
        <v>0</v>
      </c>
      <c r="T240" s="667">
        <v>-0.45605370393256905</v>
      </c>
      <c r="U240" s="667">
        <v>2049.5808551200835</v>
      </c>
    </row>
    <row r="241" spans="3:21" ht="13">
      <c r="C241" s="668"/>
      <c r="D241" s="669">
        <v>0</v>
      </c>
      <c r="E241" s="669">
        <v>0</v>
      </c>
      <c r="F241" s="669">
        <v>0</v>
      </c>
      <c r="G241" s="669">
        <v>0</v>
      </c>
      <c r="H241" s="676">
        <v>0</v>
      </c>
      <c r="I241" s="669">
        <v>0</v>
      </c>
      <c r="J241" s="669">
        <v>0</v>
      </c>
      <c r="K241" s="669">
        <v>0</v>
      </c>
      <c r="L241" s="669">
        <v>0</v>
      </c>
      <c r="M241" s="669">
        <v>0</v>
      </c>
      <c r="N241" s="669">
        <v>0</v>
      </c>
      <c r="O241" s="669">
        <v>0</v>
      </c>
      <c r="P241" s="669">
        <v>0</v>
      </c>
      <c r="Q241" s="669">
        <v>0</v>
      </c>
      <c r="R241" s="669">
        <v>0</v>
      </c>
      <c r="S241" s="669">
        <v>0</v>
      </c>
      <c r="T241" s="669">
        <v>0</v>
      </c>
      <c r="U241" s="669">
        <v>0</v>
      </c>
    </row>
    <row r="242" spans="3:21" ht="13">
      <c r="C242" s="670" t="s">
        <v>67</v>
      </c>
      <c r="D242" s="663">
        <v>0</v>
      </c>
      <c r="E242" s="663">
        <v>0</v>
      </c>
      <c r="F242" s="663">
        <v>0</v>
      </c>
      <c r="G242" s="663">
        <v>0</v>
      </c>
      <c r="H242" s="663">
        <v>0</v>
      </c>
      <c r="I242" s="663">
        <v>0</v>
      </c>
      <c r="J242" s="663">
        <v>0</v>
      </c>
      <c r="K242" s="663">
        <v>0</v>
      </c>
      <c r="L242" s="663">
        <v>0</v>
      </c>
      <c r="M242" s="663">
        <v>0</v>
      </c>
      <c r="N242" s="663">
        <v>0</v>
      </c>
      <c r="O242" s="663">
        <v>0</v>
      </c>
      <c r="P242" s="663">
        <v>0</v>
      </c>
      <c r="Q242" s="663">
        <v>0</v>
      </c>
      <c r="R242" s="663">
        <v>0</v>
      </c>
      <c r="S242" s="663">
        <v>0</v>
      </c>
      <c r="T242" s="663">
        <v>0</v>
      </c>
      <c r="U242" s="671">
        <v>0</v>
      </c>
    </row>
    <row r="243" spans="3:21" ht="13">
      <c r="C243" s="670" t="s">
        <v>350</v>
      </c>
      <c r="D243" s="663">
        <v>0</v>
      </c>
      <c r="E243" s="663">
        <v>0</v>
      </c>
      <c r="F243" s="663">
        <v>0.36057808628354604</v>
      </c>
      <c r="G243" s="663">
        <v>0</v>
      </c>
      <c r="H243" s="663">
        <v>7.5839969390793698</v>
      </c>
      <c r="I243" s="663">
        <v>0</v>
      </c>
      <c r="J243" s="663">
        <v>964.52942056246673</v>
      </c>
      <c r="K243" s="663">
        <v>311.46236031836668</v>
      </c>
      <c r="L243" s="663">
        <v>22.176349392164049</v>
      </c>
      <c r="M243" s="663">
        <v>10.089931127123995</v>
      </c>
      <c r="N243" s="663">
        <v>5.3878161949008447</v>
      </c>
      <c r="O243" s="663">
        <v>2.0095680781151462</v>
      </c>
      <c r="P243" s="663">
        <v>0</v>
      </c>
      <c r="Q243" s="663">
        <v>4.9774137725284184</v>
      </c>
      <c r="R243" s="663">
        <v>-653.56257887708989</v>
      </c>
      <c r="S243" s="663">
        <v>0</v>
      </c>
      <c r="T243" s="663">
        <v>1.9189703578470259</v>
      </c>
      <c r="U243" s="671">
        <v>676.93382595178593</v>
      </c>
    </row>
    <row r="244" spans="3:21" ht="13">
      <c r="C244" s="670" t="s">
        <v>351</v>
      </c>
      <c r="D244" s="663">
        <v>0</v>
      </c>
      <c r="E244" s="663">
        <v>0</v>
      </c>
      <c r="F244" s="663">
        <v>0</v>
      </c>
      <c r="G244" s="663">
        <v>0</v>
      </c>
      <c r="H244" s="663">
        <v>9.2764090353058375</v>
      </c>
      <c r="I244" s="663">
        <v>0</v>
      </c>
      <c r="J244" s="663">
        <v>0</v>
      </c>
      <c r="K244" s="663">
        <v>0</v>
      </c>
      <c r="L244" s="663">
        <v>35.764224717869801</v>
      </c>
      <c r="M244" s="663">
        <v>14.37233701187753</v>
      </c>
      <c r="N244" s="663">
        <v>0</v>
      </c>
      <c r="O244" s="663">
        <v>5.4622758911360467</v>
      </c>
      <c r="P244" s="663">
        <v>0</v>
      </c>
      <c r="Q244" s="663">
        <v>10.952590418500169</v>
      </c>
      <c r="R244" s="663">
        <v>0</v>
      </c>
      <c r="S244" s="663">
        <v>-70.157887736076944</v>
      </c>
      <c r="T244" s="663">
        <v>0</v>
      </c>
      <c r="U244" s="671">
        <v>5.6699493386124447</v>
      </c>
    </row>
    <row r="245" spans="3:21" ht="13">
      <c r="C245" s="670" t="s">
        <v>352</v>
      </c>
      <c r="D245" s="663">
        <v>0</v>
      </c>
      <c r="E245" s="663">
        <v>0</v>
      </c>
      <c r="F245" s="663">
        <v>0</v>
      </c>
      <c r="G245" s="663">
        <v>0</v>
      </c>
      <c r="H245" s="663">
        <v>0</v>
      </c>
      <c r="I245" s="663">
        <v>0</v>
      </c>
      <c r="J245" s="663">
        <v>0</v>
      </c>
      <c r="K245" s="663">
        <v>0</v>
      </c>
      <c r="L245" s="663">
        <v>74.445335403224831</v>
      </c>
      <c r="M245" s="663">
        <v>0</v>
      </c>
      <c r="N245" s="663">
        <v>0</v>
      </c>
      <c r="O245" s="663">
        <v>-68.22829141881553</v>
      </c>
      <c r="P245" s="663">
        <v>0</v>
      </c>
      <c r="Q245" s="663">
        <v>0</v>
      </c>
      <c r="R245" s="663">
        <v>0</v>
      </c>
      <c r="S245" s="663">
        <v>0</v>
      </c>
      <c r="T245" s="663">
        <v>0</v>
      </c>
      <c r="U245" s="671">
        <v>6.2170439844093011</v>
      </c>
    </row>
    <row r="246" spans="3:21" ht="13">
      <c r="C246" s="670" t="s">
        <v>353</v>
      </c>
      <c r="D246" s="663">
        <v>0</v>
      </c>
      <c r="E246" s="663">
        <v>0</v>
      </c>
      <c r="F246" s="663">
        <v>0</v>
      </c>
      <c r="G246" s="663">
        <v>0</v>
      </c>
      <c r="H246" s="663">
        <v>0</v>
      </c>
      <c r="I246" s="663">
        <v>0</v>
      </c>
      <c r="J246" s="663">
        <v>0</v>
      </c>
      <c r="K246" s="663">
        <v>0</v>
      </c>
      <c r="L246" s="663">
        <v>0</v>
      </c>
      <c r="M246" s="663">
        <v>0</v>
      </c>
      <c r="N246" s="663">
        <v>0</v>
      </c>
      <c r="O246" s="663">
        <v>0</v>
      </c>
      <c r="P246" s="663">
        <v>0</v>
      </c>
      <c r="Q246" s="663">
        <v>0</v>
      </c>
      <c r="R246" s="663">
        <v>0</v>
      </c>
      <c r="S246" s="663">
        <v>0</v>
      </c>
      <c r="T246" s="663">
        <v>0</v>
      </c>
      <c r="U246" s="671">
        <v>0</v>
      </c>
    </row>
    <row r="247" spans="3:21" ht="13">
      <c r="C247" s="670" t="s">
        <v>72</v>
      </c>
      <c r="D247" s="663">
        <v>0</v>
      </c>
      <c r="E247" s="663">
        <v>309.28389692910912</v>
      </c>
      <c r="F247" s="663">
        <v>-306.20133621434456</v>
      </c>
      <c r="G247" s="663">
        <v>0</v>
      </c>
      <c r="H247" s="663">
        <v>0</v>
      </c>
      <c r="I247" s="663">
        <v>0</v>
      </c>
      <c r="J247" s="663">
        <v>0</v>
      </c>
      <c r="K247" s="663">
        <v>0</v>
      </c>
      <c r="L247" s="663">
        <v>0</v>
      </c>
      <c r="M247" s="663">
        <v>0</v>
      </c>
      <c r="N247" s="663">
        <v>0</v>
      </c>
      <c r="O247" s="663">
        <v>0</v>
      </c>
      <c r="P247" s="663">
        <v>0</v>
      </c>
      <c r="Q247" s="663">
        <v>0</v>
      </c>
      <c r="R247" s="663">
        <v>0</v>
      </c>
      <c r="S247" s="663">
        <v>0</v>
      </c>
      <c r="T247" s="663">
        <v>0</v>
      </c>
      <c r="U247" s="671">
        <v>3.0825607147645133</v>
      </c>
    </row>
    <row r="248" spans="3:21" ht="13">
      <c r="C248" s="670" t="s">
        <v>354</v>
      </c>
      <c r="D248" s="663">
        <v>0</v>
      </c>
      <c r="E248" s="663">
        <v>0</v>
      </c>
      <c r="F248" s="663">
        <v>0</v>
      </c>
      <c r="G248" s="663">
        <v>0</v>
      </c>
      <c r="H248" s="663">
        <v>0</v>
      </c>
      <c r="I248" s="663">
        <v>0</v>
      </c>
      <c r="J248" s="663">
        <v>0</v>
      </c>
      <c r="K248" s="663">
        <v>0</v>
      </c>
      <c r="L248" s="663">
        <v>106.10331078427467</v>
      </c>
      <c r="M248" s="663">
        <v>0</v>
      </c>
      <c r="N248" s="663">
        <v>-106.10331078427467</v>
      </c>
      <c r="O248" s="663">
        <v>0</v>
      </c>
      <c r="P248" s="663">
        <v>0</v>
      </c>
      <c r="Q248" s="663">
        <v>0</v>
      </c>
      <c r="R248" s="663">
        <v>0</v>
      </c>
      <c r="S248" s="663">
        <v>0</v>
      </c>
      <c r="T248" s="663">
        <v>0</v>
      </c>
      <c r="U248" s="671">
        <v>0</v>
      </c>
    </row>
    <row r="249" spans="3:21" ht="13">
      <c r="C249" s="670" t="s">
        <v>355</v>
      </c>
      <c r="D249" s="663">
        <v>0</v>
      </c>
      <c r="E249" s="663">
        <v>0</v>
      </c>
      <c r="F249" s="663">
        <v>0</v>
      </c>
      <c r="G249" s="663">
        <v>-16.310777823492739</v>
      </c>
      <c r="H249" s="663">
        <v>0</v>
      </c>
      <c r="I249" s="663">
        <v>0</v>
      </c>
      <c r="J249" s="663">
        <v>0</v>
      </c>
      <c r="K249" s="663">
        <v>0</v>
      </c>
      <c r="L249" s="663">
        <v>0</v>
      </c>
      <c r="M249" s="663">
        <v>0</v>
      </c>
      <c r="N249" s="663">
        <v>0</v>
      </c>
      <c r="O249" s="663">
        <v>0</v>
      </c>
      <c r="P249" s="663">
        <v>0</v>
      </c>
      <c r="Q249" s="663">
        <v>0</v>
      </c>
      <c r="R249" s="663">
        <v>0</v>
      </c>
      <c r="S249" s="663">
        <v>0</v>
      </c>
      <c r="T249" s="663">
        <v>22.716960756953675</v>
      </c>
      <c r="U249" s="671">
        <v>6.4061829334609364</v>
      </c>
    </row>
    <row r="250" spans="3:21" ht="13">
      <c r="C250" s="670" t="s">
        <v>73</v>
      </c>
      <c r="D250" s="663">
        <v>0</v>
      </c>
      <c r="E250" s="663">
        <v>0</v>
      </c>
      <c r="F250" s="663">
        <v>0</v>
      </c>
      <c r="G250" s="663">
        <v>0</v>
      </c>
      <c r="H250" s="663">
        <v>0</v>
      </c>
      <c r="I250" s="663">
        <v>0</v>
      </c>
      <c r="J250" s="663">
        <v>0</v>
      </c>
      <c r="K250" s="663">
        <v>0</v>
      </c>
      <c r="L250" s="663">
        <v>0</v>
      </c>
      <c r="M250" s="663">
        <v>0</v>
      </c>
      <c r="N250" s="663">
        <v>0</v>
      </c>
      <c r="O250" s="663">
        <v>0</v>
      </c>
      <c r="P250" s="663">
        <v>0</v>
      </c>
      <c r="Q250" s="663">
        <v>0</v>
      </c>
      <c r="R250" s="663">
        <v>80.747003520407887</v>
      </c>
      <c r="S250" s="663">
        <v>0</v>
      </c>
      <c r="T250" s="663">
        <v>-54.746468386836547</v>
      </c>
      <c r="U250" s="671">
        <v>26.00053513357134</v>
      </c>
    </row>
    <row r="251" spans="3:21" ht="13">
      <c r="C251" s="670" t="s">
        <v>356</v>
      </c>
      <c r="D251" s="663">
        <v>7.7637663281249996</v>
      </c>
      <c r="E251" s="663">
        <v>-10.819519335238569</v>
      </c>
      <c r="F251" s="663">
        <v>14.100311366339174</v>
      </c>
      <c r="G251" s="663">
        <v>0</v>
      </c>
      <c r="H251" s="663">
        <v>0</v>
      </c>
      <c r="I251" s="663">
        <v>0</v>
      </c>
      <c r="J251" s="663">
        <v>0</v>
      </c>
      <c r="K251" s="663">
        <v>0</v>
      </c>
      <c r="L251" s="663">
        <v>0</v>
      </c>
      <c r="M251" s="663">
        <v>0</v>
      </c>
      <c r="N251" s="663">
        <v>0</v>
      </c>
      <c r="O251" s="663">
        <v>0</v>
      </c>
      <c r="P251" s="663">
        <v>0</v>
      </c>
      <c r="Q251" s="663">
        <v>0</v>
      </c>
      <c r="R251" s="663">
        <v>0</v>
      </c>
      <c r="S251" s="663">
        <v>0</v>
      </c>
      <c r="T251" s="663">
        <v>0</v>
      </c>
      <c r="U251" s="671">
        <v>11.044558359225604</v>
      </c>
    </row>
    <row r="252" spans="3:21" ht="13">
      <c r="C252" s="670" t="s">
        <v>75</v>
      </c>
      <c r="D252" s="663">
        <v>3.0192424609374999</v>
      </c>
      <c r="E252" s="663">
        <v>0</v>
      </c>
      <c r="F252" s="663">
        <v>18.191659515376916</v>
      </c>
      <c r="G252" s="663">
        <v>0</v>
      </c>
      <c r="H252" s="663">
        <v>3.2664120682994437</v>
      </c>
      <c r="I252" s="663">
        <v>0</v>
      </c>
      <c r="J252" s="663">
        <v>0</v>
      </c>
      <c r="K252" s="663">
        <v>0</v>
      </c>
      <c r="L252" s="663">
        <v>0</v>
      </c>
      <c r="M252" s="663">
        <v>0</v>
      </c>
      <c r="N252" s="663">
        <v>0</v>
      </c>
      <c r="O252" s="663">
        <v>1.9850542794488581</v>
      </c>
      <c r="P252" s="663">
        <v>0</v>
      </c>
      <c r="Q252" s="663">
        <v>0</v>
      </c>
      <c r="R252" s="663">
        <v>23.96590055491529</v>
      </c>
      <c r="S252" s="663">
        <v>0</v>
      </c>
      <c r="T252" s="663">
        <v>0</v>
      </c>
      <c r="U252" s="671">
        <v>50.42826887897801</v>
      </c>
    </row>
    <row r="253" spans="3:21" ht="13">
      <c r="C253" s="670" t="s">
        <v>76</v>
      </c>
      <c r="D253" s="663">
        <v>0</v>
      </c>
      <c r="E253" s="663">
        <v>0</v>
      </c>
      <c r="F253" s="663">
        <v>0</v>
      </c>
      <c r="G253" s="663">
        <v>0</v>
      </c>
      <c r="H253" s="663">
        <v>1.3208205478094497</v>
      </c>
      <c r="I253" s="663">
        <v>0</v>
      </c>
      <c r="J253" s="663">
        <v>0</v>
      </c>
      <c r="K253" s="663">
        <v>0</v>
      </c>
      <c r="L253" s="663">
        <v>0</v>
      </c>
      <c r="M253" s="663">
        <v>0</v>
      </c>
      <c r="N253" s="663">
        <v>0</v>
      </c>
      <c r="O253" s="663">
        <v>0.80268515606426361</v>
      </c>
      <c r="P253" s="663">
        <v>0</v>
      </c>
      <c r="Q253" s="663">
        <v>0</v>
      </c>
      <c r="R253" s="663">
        <v>47.023558909206123</v>
      </c>
      <c r="S253" s="663">
        <v>5.4411740217158124</v>
      </c>
      <c r="T253" s="663">
        <v>0</v>
      </c>
      <c r="U253" s="671">
        <v>54.588238634795651</v>
      </c>
    </row>
    <row r="254" spans="3:21" ht="13">
      <c r="C254" s="666" t="s">
        <v>77</v>
      </c>
      <c r="D254" s="667">
        <v>10.783008789062499</v>
      </c>
      <c r="E254" s="667">
        <v>298.46437759387055</v>
      </c>
      <c r="F254" s="667">
        <v>-273.54878724634494</v>
      </c>
      <c r="G254" s="667">
        <v>-16.310777823492739</v>
      </c>
      <c r="H254" s="675">
        <v>21.447638590494105</v>
      </c>
      <c r="I254" s="667">
        <v>0</v>
      </c>
      <c r="J254" s="667">
        <v>964.52942056246673</v>
      </c>
      <c r="K254" s="667">
        <v>311.46236031836668</v>
      </c>
      <c r="L254" s="667">
        <v>238.48922029753334</v>
      </c>
      <c r="M254" s="667">
        <v>24.462268139001523</v>
      </c>
      <c r="N254" s="667">
        <v>-100.71549458937382</v>
      </c>
      <c r="O254" s="667">
        <v>-57.968708014051209</v>
      </c>
      <c r="P254" s="667">
        <v>0</v>
      </c>
      <c r="Q254" s="667">
        <v>15.930004191028587</v>
      </c>
      <c r="R254" s="667">
        <v>-501.82611589256055</v>
      </c>
      <c r="S254" s="667">
        <v>-64.71671371436112</v>
      </c>
      <c r="T254" s="667">
        <v>-30.110537272035845</v>
      </c>
      <c r="U254" s="667">
        <v>840.37116392960388</v>
      </c>
    </row>
    <row r="255" spans="3:21" ht="13">
      <c r="C255" s="668"/>
      <c r="D255" s="669">
        <v>0</v>
      </c>
      <c r="E255" s="669">
        <v>0</v>
      </c>
      <c r="F255" s="669">
        <v>0</v>
      </c>
      <c r="G255" s="669">
        <v>0</v>
      </c>
      <c r="H255" s="676">
        <v>0</v>
      </c>
      <c r="I255" s="669">
        <v>0</v>
      </c>
      <c r="J255" s="669">
        <v>0</v>
      </c>
      <c r="K255" s="669">
        <v>0</v>
      </c>
      <c r="L255" s="669">
        <v>0</v>
      </c>
      <c r="M255" s="669">
        <v>0</v>
      </c>
      <c r="N255" s="669">
        <v>0</v>
      </c>
      <c r="O255" s="669">
        <v>0</v>
      </c>
      <c r="P255" s="669">
        <v>0</v>
      </c>
      <c r="Q255" s="669">
        <v>0</v>
      </c>
      <c r="R255" s="669">
        <v>0</v>
      </c>
      <c r="S255" s="669">
        <v>0</v>
      </c>
      <c r="T255" s="669">
        <v>0</v>
      </c>
      <c r="U255" s="669">
        <v>0</v>
      </c>
    </row>
    <row r="256" spans="3:21" ht="13">
      <c r="C256" s="670" t="s">
        <v>78</v>
      </c>
      <c r="D256" s="663">
        <v>3.0761682303728053</v>
      </c>
      <c r="E256" s="663">
        <v>0</v>
      </c>
      <c r="F256" s="663">
        <v>6.6351508306047968</v>
      </c>
      <c r="G256" s="663">
        <v>0</v>
      </c>
      <c r="H256" s="663">
        <v>38.528321178569939</v>
      </c>
      <c r="I256" s="663">
        <v>0</v>
      </c>
      <c r="J256" s="663">
        <v>0</v>
      </c>
      <c r="K256" s="663">
        <v>0</v>
      </c>
      <c r="L256" s="663">
        <v>20.031105646676835</v>
      </c>
      <c r="M256" s="663">
        <v>2.4349588281846541</v>
      </c>
      <c r="N256" s="663">
        <v>1.8349433718750003</v>
      </c>
      <c r="O256" s="663">
        <v>23.451101372697913</v>
      </c>
      <c r="P256" s="663">
        <v>6.8164926757812498</v>
      </c>
      <c r="Q256" s="663">
        <v>7.4990210834655101E-4</v>
      </c>
      <c r="R256" s="663">
        <v>132.01210341841889</v>
      </c>
      <c r="S256" s="663">
        <v>18.207144124668375</v>
      </c>
      <c r="T256" s="663">
        <v>4.1350366210937501</v>
      </c>
      <c r="U256" s="671">
        <v>257.16327620105255</v>
      </c>
    </row>
    <row r="257" spans="3:21" ht="13">
      <c r="C257" s="670" t="s">
        <v>79</v>
      </c>
      <c r="D257" s="663">
        <v>0</v>
      </c>
      <c r="E257" s="663">
        <v>0</v>
      </c>
      <c r="F257" s="663">
        <v>110.91379205811297</v>
      </c>
      <c r="G257" s="663">
        <v>0.7006243456433674</v>
      </c>
      <c r="H257" s="663">
        <v>3.7872267703464977</v>
      </c>
      <c r="I257" s="663">
        <v>0</v>
      </c>
      <c r="J257" s="663">
        <v>0</v>
      </c>
      <c r="K257" s="663">
        <v>0</v>
      </c>
      <c r="L257" s="663">
        <v>0</v>
      </c>
      <c r="M257" s="663">
        <v>0</v>
      </c>
      <c r="N257" s="663">
        <v>63.547118628094331</v>
      </c>
      <c r="O257" s="663">
        <v>2.3015622495031773</v>
      </c>
      <c r="P257" s="663">
        <v>0</v>
      </c>
      <c r="Q257" s="663">
        <v>0</v>
      </c>
      <c r="R257" s="663">
        <v>74.297767208409297</v>
      </c>
      <c r="S257" s="663">
        <v>0</v>
      </c>
      <c r="T257" s="663">
        <v>2.9567259991236208</v>
      </c>
      <c r="U257" s="671">
        <v>258.50481725923328</v>
      </c>
    </row>
    <row r="258" spans="3:21" ht="13">
      <c r="C258" s="670" t="s">
        <v>80</v>
      </c>
      <c r="D258" s="663">
        <v>0</v>
      </c>
      <c r="E258" s="663">
        <v>0</v>
      </c>
      <c r="F258" s="663">
        <v>2.6564398035767778</v>
      </c>
      <c r="G258" s="663">
        <v>0</v>
      </c>
      <c r="H258" s="663">
        <v>28.69836522821614</v>
      </c>
      <c r="I258" s="663">
        <v>0</v>
      </c>
      <c r="J258" s="663">
        <v>0</v>
      </c>
      <c r="K258" s="663">
        <v>0</v>
      </c>
      <c r="L258" s="663">
        <v>35.896639108009097</v>
      </c>
      <c r="M258" s="663">
        <v>0</v>
      </c>
      <c r="N258" s="663">
        <v>0</v>
      </c>
      <c r="O258" s="663">
        <v>17.440485621005948</v>
      </c>
      <c r="P258" s="663">
        <v>97.288022909546527</v>
      </c>
      <c r="Q258" s="663">
        <v>2.574236293616976</v>
      </c>
      <c r="R258" s="663">
        <v>153.30644884049457</v>
      </c>
      <c r="S258" s="663">
        <v>27.523160685886953</v>
      </c>
      <c r="T258" s="663">
        <v>0</v>
      </c>
      <c r="U258" s="671">
        <v>365.383798490353</v>
      </c>
    </row>
    <row r="259" spans="3:21" ht="13">
      <c r="C259" s="670" t="s">
        <v>81</v>
      </c>
      <c r="D259" s="663">
        <v>0</v>
      </c>
      <c r="E259" s="663">
        <v>0</v>
      </c>
      <c r="F259" s="663">
        <v>2.1807410006338563</v>
      </c>
      <c r="G259" s="663">
        <v>0</v>
      </c>
      <c r="H259" s="663">
        <v>15.077359159365459</v>
      </c>
      <c r="I259" s="663">
        <v>0</v>
      </c>
      <c r="J259" s="663">
        <v>0</v>
      </c>
      <c r="K259" s="663">
        <v>0</v>
      </c>
      <c r="L259" s="663">
        <v>0.41672235765550286</v>
      </c>
      <c r="M259" s="663">
        <v>4.2787984175547016E-4</v>
      </c>
      <c r="N259" s="663">
        <v>0</v>
      </c>
      <c r="O259" s="663">
        <v>9.1627681064954078</v>
      </c>
      <c r="P259" s="663">
        <v>23.435320327740932</v>
      </c>
      <c r="Q259" s="663">
        <v>0.98358432216492664</v>
      </c>
      <c r="R259" s="663">
        <v>94.082065678581444</v>
      </c>
      <c r="S259" s="663">
        <v>18.986408903805792</v>
      </c>
      <c r="T259" s="663">
        <v>0</v>
      </c>
      <c r="U259" s="671">
        <v>164.32539773628508</v>
      </c>
    </row>
    <row r="260" spans="3:21" ht="13">
      <c r="C260" s="670" t="s">
        <v>82</v>
      </c>
      <c r="D260" s="663">
        <v>0</v>
      </c>
      <c r="E260" s="663">
        <v>0</v>
      </c>
      <c r="F260" s="663">
        <v>12.977219358559188</v>
      </c>
      <c r="G260" s="663">
        <v>1</v>
      </c>
      <c r="H260" s="663">
        <v>1.1408122878946925</v>
      </c>
      <c r="I260" s="663">
        <v>0</v>
      </c>
      <c r="J260" s="663">
        <v>0</v>
      </c>
      <c r="K260" s="663">
        <v>0</v>
      </c>
      <c r="L260" s="663">
        <v>3.1334095930613137</v>
      </c>
      <c r="M260" s="663">
        <v>0</v>
      </c>
      <c r="N260" s="663">
        <v>12.27694106679661</v>
      </c>
      <c r="O260" s="663">
        <v>0.69329106884918612</v>
      </c>
      <c r="P260" s="663">
        <v>0.9</v>
      </c>
      <c r="Q260" s="663">
        <v>1.1655332190637568</v>
      </c>
      <c r="R260" s="663">
        <v>7.7417893836432903</v>
      </c>
      <c r="S260" s="663">
        <v>0</v>
      </c>
      <c r="T260" s="663">
        <v>0.29485655237537339</v>
      </c>
      <c r="U260" s="671">
        <v>41.3238525302434</v>
      </c>
    </row>
    <row r="261" spans="3:21" ht="13">
      <c r="C261" s="670" t="s">
        <v>357</v>
      </c>
      <c r="D261" s="663">
        <v>0</v>
      </c>
      <c r="E261" s="663">
        <v>0</v>
      </c>
      <c r="F261" s="663">
        <v>0</v>
      </c>
      <c r="G261" s="663">
        <v>0</v>
      </c>
      <c r="H261" s="663">
        <v>0</v>
      </c>
      <c r="I261" s="663">
        <v>0</v>
      </c>
      <c r="J261" s="663">
        <v>0</v>
      </c>
      <c r="K261" s="663">
        <v>0</v>
      </c>
      <c r="L261" s="663">
        <v>0</v>
      </c>
      <c r="M261" s="663">
        <v>0</v>
      </c>
      <c r="N261" s="663">
        <v>0</v>
      </c>
      <c r="O261" s="663">
        <v>0</v>
      </c>
      <c r="P261" s="663">
        <v>0</v>
      </c>
      <c r="Q261" s="663">
        <v>0</v>
      </c>
      <c r="R261" s="663">
        <v>1.118304</v>
      </c>
      <c r="S261" s="663">
        <v>0</v>
      </c>
      <c r="T261" s="663">
        <v>0</v>
      </c>
      <c r="U261" s="671">
        <v>1.118304</v>
      </c>
    </row>
    <row r="262" spans="3:21" ht="13">
      <c r="C262" s="666" t="s">
        <v>83</v>
      </c>
      <c r="D262" s="667">
        <v>3.0761682303728053</v>
      </c>
      <c r="E262" s="667">
        <v>0</v>
      </c>
      <c r="F262" s="667">
        <v>135.36334305148762</v>
      </c>
      <c r="G262" s="667">
        <v>1.7006243456433674</v>
      </c>
      <c r="H262" s="675">
        <v>87.232084624392726</v>
      </c>
      <c r="I262" s="667">
        <v>0</v>
      </c>
      <c r="J262" s="667">
        <v>0</v>
      </c>
      <c r="K262" s="667">
        <v>0</v>
      </c>
      <c r="L262" s="667">
        <v>59.47787670540275</v>
      </c>
      <c r="M262" s="667">
        <v>2.4353867080264098</v>
      </c>
      <c r="N262" s="667">
        <v>77.659003066765948</v>
      </c>
      <c r="O262" s="667">
        <v>53.049208418551629</v>
      </c>
      <c r="P262" s="667">
        <v>128.43983591306872</v>
      </c>
      <c r="Q262" s="667">
        <v>4.7241037369540066</v>
      </c>
      <c r="R262" s="667">
        <v>462.55847852954759</v>
      </c>
      <c r="S262" s="667">
        <v>64.71671371436112</v>
      </c>
      <c r="T262" s="667">
        <v>7.3866191725927441</v>
      </c>
      <c r="U262" s="667">
        <v>1087.8194462171675</v>
      </c>
    </row>
    <row r="263" spans="3:21" ht="13">
      <c r="C263" s="662" t="s">
        <v>84</v>
      </c>
      <c r="D263" s="663">
        <v>0</v>
      </c>
      <c r="E263" s="663">
        <v>0</v>
      </c>
      <c r="F263" s="663">
        <v>69.168370305615824</v>
      </c>
      <c r="G263" s="663">
        <v>4.7904890791412402</v>
      </c>
      <c r="H263" s="663">
        <v>7.4756631455411453</v>
      </c>
      <c r="I263" s="663">
        <v>0</v>
      </c>
      <c r="J263" s="663">
        <v>0</v>
      </c>
      <c r="K263" s="663">
        <v>0</v>
      </c>
      <c r="L263" s="663">
        <v>0.35480318782723769</v>
      </c>
      <c r="M263" s="663">
        <v>0</v>
      </c>
      <c r="N263" s="663">
        <v>14.992643279712595</v>
      </c>
      <c r="O263" s="663">
        <v>2.3404115799640408</v>
      </c>
      <c r="P263" s="663">
        <v>0</v>
      </c>
      <c r="Q263" s="663">
        <v>0</v>
      </c>
      <c r="R263" s="663">
        <v>0</v>
      </c>
      <c r="S263" s="663">
        <v>0</v>
      </c>
      <c r="T263" s="663">
        <v>22.267864395510532</v>
      </c>
      <c r="U263" s="671">
        <v>121.39024497331262</v>
      </c>
    </row>
    <row r="264" spans="3:21" ht="13">
      <c r="C264" s="666" t="s">
        <v>85</v>
      </c>
      <c r="D264" s="667">
        <v>3.0761682303728053</v>
      </c>
      <c r="E264" s="667">
        <v>0</v>
      </c>
      <c r="F264" s="667">
        <v>204.53171335710346</v>
      </c>
      <c r="G264" s="667">
        <v>6.4911134247846078</v>
      </c>
      <c r="H264" s="675">
        <v>94.707747769933874</v>
      </c>
      <c r="I264" s="667">
        <v>0</v>
      </c>
      <c r="J264" s="667">
        <v>0</v>
      </c>
      <c r="K264" s="667">
        <v>0</v>
      </c>
      <c r="L264" s="667">
        <v>59.832679893229987</v>
      </c>
      <c r="M264" s="667">
        <v>2.4353867080264098</v>
      </c>
      <c r="N264" s="667">
        <v>92.651646346478543</v>
      </c>
      <c r="O264" s="667">
        <v>55.38961999851567</v>
      </c>
      <c r="P264" s="667">
        <v>128.43983591306872</v>
      </c>
      <c r="Q264" s="667">
        <v>4.7241037369540066</v>
      </c>
      <c r="R264" s="667">
        <v>462.55847852954759</v>
      </c>
      <c r="S264" s="667">
        <v>64.71671371436112</v>
      </c>
      <c r="T264" s="667">
        <v>29.654483568103277</v>
      </c>
      <c r="U264" s="667">
        <v>1209.20969119048</v>
      </c>
    </row>
    <row r="265" spans="3:21">
      <c r="C265" s="654"/>
      <c r="D265" s="672">
        <v>0</v>
      </c>
      <c r="E265" s="672">
        <v>0</v>
      </c>
      <c r="F265" s="672">
        <v>0</v>
      </c>
      <c r="G265" s="672">
        <v>0</v>
      </c>
      <c r="H265" s="672">
        <v>0</v>
      </c>
      <c r="I265" s="672">
        <v>0</v>
      </c>
      <c r="J265" s="672">
        <v>0</v>
      </c>
      <c r="K265" s="672">
        <v>0</v>
      </c>
      <c r="L265" s="672">
        <v>0</v>
      </c>
      <c r="M265" s="672">
        <v>0</v>
      </c>
      <c r="N265" s="672">
        <v>0</v>
      </c>
      <c r="O265" s="672">
        <v>-1.1546319456101628E-14</v>
      </c>
      <c r="P265" s="672">
        <v>0</v>
      </c>
      <c r="Q265" s="672">
        <v>0</v>
      </c>
      <c r="R265" s="672">
        <v>5.6843418860808015E-14</v>
      </c>
      <c r="S265" s="672">
        <v>0</v>
      </c>
      <c r="T265" s="672">
        <v>9.9920072216264089E-16</v>
      </c>
      <c r="U265" s="672">
        <v>0</v>
      </c>
    </row>
    <row r="266" spans="3:21">
      <c r="C266" s="654"/>
      <c r="D266" s="654"/>
      <c r="E266" s="654"/>
      <c r="F266" s="654"/>
      <c r="G266" s="654"/>
      <c r="H266" s="654"/>
      <c r="I266" s="654"/>
      <c r="J266" s="654"/>
      <c r="K266" s="654"/>
      <c r="L266" s="654"/>
      <c r="M266" s="654"/>
      <c r="N266" s="654"/>
      <c r="O266" s="654"/>
      <c r="P266" s="654"/>
      <c r="Q266" s="654"/>
      <c r="R266" s="654"/>
      <c r="S266" s="654"/>
      <c r="T266" s="654"/>
      <c r="U266" s="654"/>
    </row>
    <row r="267" spans="3:21" ht="14.5">
      <c r="C267" s="658" t="s">
        <v>363</v>
      </c>
      <c r="D267" s="659"/>
      <c r="E267" s="659"/>
      <c r="F267" s="659"/>
      <c r="G267" s="659"/>
      <c r="H267" s="659"/>
      <c r="I267" s="659"/>
      <c r="J267" s="659"/>
      <c r="K267" s="659"/>
      <c r="L267" s="659"/>
      <c r="M267" s="659"/>
      <c r="N267" s="659"/>
      <c r="O267" s="659"/>
      <c r="P267" s="659"/>
      <c r="Q267" s="659"/>
      <c r="R267" s="659"/>
      <c r="S267" s="659"/>
      <c r="T267" s="659"/>
      <c r="U267" s="659"/>
    </row>
    <row r="268" spans="3:21">
      <c r="C268" s="654"/>
      <c r="D268" s="654"/>
      <c r="E268" s="654"/>
      <c r="F268" s="654"/>
      <c r="G268" s="654"/>
      <c r="H268" s="654"/>
      <c r="I268" s="654"/>
      <c r="J268" s="654"/>
      <c r="K268" s="654"/>
      <c r="L268" s="654"/>
      <c r="M268" s="654"/>
      <c r="N268" s="654"/>
      <c r="O268" s="654"/>
      <c r="P268" s="654"/>
      <c r="Q268" s="654"/>
      <c r="R268" s="654"/>
      <c r="S268" s="654"/>
      <c r="T268" s="654"/>
      <c r="U268" s="654"/>
    </row>
    <row r="269" spans="3:21" ht="13">
      <c r="C269" s="706" t="s">
        <v>128</v>
      </c>
      <c r="D269" s="704" t="s">
        <v>42</v>
      </c>
      <c r="E269" s="704" t="s">
        <v>52</v>
      </c>
      <c r="F269" s="704" t="s">
        <v>53</v>
      </c>
      <c r="G269" s="704" t="s">
        <v>487</v>
      </c>
      <c r="H269" s="704" t="s">
        <v>32</v>
      </c>
      <c r="I269" s="704" t="s">
        <v>488</v>
      </c>
      <c r="J269" s="704" t="s">
        <v>20</v>
      </c>
      <c r="K269" s="704" t="s">
        <v>55</v>
      </c>
      <c r="L269" s="708" t="s">
        <v>56</v>
      </c>
      <c r="M269" s="709"/>
      <c r="N269" s="709"/>
      <c r="O269" s="709"/>
      <c r="P269" s="709"/>
      <c r="Q269" s="710"/>
      <c r="R269" s="704" t="s">
        <v>57</v>
      </c>
      <c r="S269" s="704" t="s">
        <v>58</v>
      </c>
      <c r="T269" s="704" t="s">
        <v>31</v>
      </c>
      <c r="U269" s="704" t="s">
        <v>10</v>
      </c>
    </row>
    <row r="270" spans="3:21" ht="36">
      <c r="C270" s="707"/>
      <c r="D270" s="705"/>
      <c r="E270" s="705"/>
      <c r="F270" s="705"/>
      <c r="G270" s="705"/>
      <c r="H270" s="705"/>
      <c r="I270" s="705"/>
      <c r="J270" s="705"/>
      <c r="K270" s="705"/>
      <c r="L270" s="660" t="s">
        <v>338</v>
      </c>
      <c r="M270" s="660" t="s">
        <v>40</v>
      </c>
      <c r="N270" s="660" t="s">
        <v>346</v>
      </c>
      <c r="O270" s="660" t="s">
        <v>347</v>
      </c>
      <c r="P270" s="661" t="s">
        <v>348</v>
      </c>
      <c r="Q270" s="660" t="s">
        <v>349</v>
      </c>
      <c r="R270" s="705"/>
      <c r="S270" s="705"/>
      <c r="T270" s="705"/>
      <c r="U270" s="705"/>
    </row>
    <row r="271" spans="3:21" ht="13">
      <c r="C271" s="662" t="s">
        <v>59</v>
      </c>
      <c r="D271" s="663">
        <v>0</v>
      </c>
      <c r="E271" s="663">
        <v>0</v>
      </c>
      <c r="F271" s="663">
        <v>0</v>
      </c>
      <c r="G271" s="663">
        <v>0</v>
      </c>
      <c r="H271" s="663">
        <v>0</v>
      </c>
      <c r="I271" s="663">
        <v>0</v>
      </c>
      <c r="J271" s="664">
        <v>965.91438750259681</v>
      </c>
      <c r="K271" s="664">
        <v>340.77058420783555</v>
      </c>
      <c r="L271" s="664">
        <v>306.24907142960961</v>
      </c>
      <c r="M271" s="664">
        <v>26.996685887157991</v>
      </c>
      <c r="N271" s="663">
        <v>1.5769202529293118</v>
      </c>
      <c r="O271" s="663">
        <v>0.16705675062100381</v>
      </c>
      <c r="P271" s="664">
        <v>137.63232647396575</v>
      </c>
      <c r="Q271" s="664">
        <v>22.505061443653027</v>
      </c>
      <c r="R271" s="663">
        <v>0</v>
      </c>
      <c r="S271" s="663">
        <v>0</v>
      </c>
      <c r="T271" s="663">
        <v>0</v>
      </c>
      <c r="U271" s="665">
        <v>1801.812093948369</v>
      </c>
    </row>
    <row r="272" spans="3:21" ht="13">
      <c r="C272" s="662" t="s">
        <v>60</v>
      </c>
      <c r="D272" s="663">
        <v>12.402103294712147</v>
      </c>
      <c r="E272" s="663">
        <v>267.59952869557856</v>
      </c>
      <c r="F272" s="663">
        <v>4.6624671135986846</v>
      </c>
      <c r="G272" s="663">
        <v>0</v>
      </c>
      <c r="H272" s="663">
        <v>96.376212667923994</v>
      </c>
      <c r="I272" s="663">
        <v>0</v>
      </c>
      <c r="J272" s="663">
        <v>0</v>
      </c>
      <c r="K272" s="663">
        <v>0</v>
      </c>
      <c r="L272" s="663">
        <v>4.1311012816916577</v>
      </c>
      <c r="M272" s="663">
        <v>0</v>
      </c>
      <c r="N272" s="663">
        <v>4.3268221557656901</v>
      </c>
      <c r="O272" s="663">
        <v>0</v>
      </c>
      <c r="P272" s="663">
        <v>0</v>
      </c>
      <c r="Q272" s="663">
        <v>0</v>
      </c>
      <c r="R272" s="663">
        <v>0</v>
      </c>
      <c r="S272" s="663">
        <v>0</v>
      </c>
      <c r="T272" s="663">
        <v>0</v>
      </c>
      <c r="U272" s="665">
        <v>389.49823520927077</v>
      </c>
    </row>
    <row r="273" spans="3:21" ht="13">
      <c r="C273" s="662" t="s">
        <v>61</v>
      </c>
      <c r="D273" s="663">
        <v>0</v>
      </c>
      <c r="E273" s="663">
        <v>0</v>
      </c>
      <c r="F273" s="663">
        <v>-48.857560720144178</v>
      </c>
      <c r="G273" s="663">
        <v>-1.2901681691857902E-2</v>
      </c>
      <c r="H273" s="663">
        <v>0</v>
      </c>
      <c r="I273" s="663">
        <v>0</v>
      </c>
      <c r="J273" s="663">
        <v>0</v>
      </c>
      <c r="K273" s="663">
        <v>0</v>
      </c>
      <c r="L273" s="663">
        <v>0</v>
      </c>
      <c r="M273" s="663">
        <v>0</v>
      </c>
      <c r="N273" s="663">
        <v>0</v>
      </c>
      <c r="O273" s="663">
        <v>0</v>
      </c>
      <c r="P273" s="663">
        <v>0</v>
      </c>
      <c r="Q273" s="663">
        <v>0</v>
      </c>
      <c r="R273" s="663">
        <v>-40.000273468658179</v>
      </c>
      <c r="S273" s="663">
        <v>0</v>
      </c>
      <c r="T273" s="663">
        <v>0</v>
      </c>
      <c r="U273" s="665">
        <v>-88.870735870494215</v>
      </c>
    </row>
    <row r="274" spans="3:21" ht="13">
      <c r="C274" s="662" t="s">
        <v>62</v>
      </c>
      <c r="D274" s="663">
        <v>0</v>
      </c>
      <c r="E274" s="663">
        <v>0</v>
      </c>
      <c r="F274" s="663">
        <v>-9.1118704229779723</v>
      </c>
      <c r="G274" s="663">
        <v>-2.3970976911906821</v>
      </c>
      <c r="H274" s="663">
        <v>-2.3731267142787753</v>
      </c>
      <c r="I274" s="663">
        <v>0</v>
      </c>
      <c r="J274" s="663">
        <v>0</v>
      </c>
      <c r="K274" s="663">
        <v>0</v>
      </c>
      <c r="L274" s="663">
        <v>0</v>
      </c>
      <c r="M274" s="663">
        <v>0</v>
      </c>
      <c r="N274" s="663">
        <v>-0.47941953823813638</v>
      </c>
      <c r="O274" s="663">
        <v>-1.9416491298644523</v>
      </c>
      <c r="P274" s="663">
        <v>0</v>
      </c>
      <c r="Q274" s="663">
        <v>0</v>
      </c>
      <c r="R274" s="663">
        <v>0</v>
      </c>
      <c r="S274" s="663">
        <v>0</v>
      </c>
      <c r="T274" s="663">
        <v>0</v>
      </c>
      <c r="U274" s="665">
        <v>-16.30316349655002</v>
      </c>
    </row>
    <row r="275" spans="3:21" ht="13">
      <c r="C275" s="662" t="s">
        <v>63</v>
      </c>
      <c r="D275" s="663">
        <v>0</v>
      </c>
      <c r="E275" s="663">
        <v>0</v>
      </c>
      <c r="F275" s="663">
        <v>-46.962205061788246</v>
      </c>
      <c r="G275" s="663">
        <v>-11.133901046695911</v>
      </c>
      <c r="H275" s="663">
        <v>0</v>
      </c>
      <c r="I275" s="663">
        <v>0</v>
      </c>
      <c r="J275" s="663">
        <v>0</v>
      </c>
      <c r="K275" s="663">
        <v>0</v>
      </c>
      <c r="L275" s="663">
        <v>0</v>
      </c>
      <c r="M275" s="663">
        <v>0</v>
      </c>
      <c r="N275" s="663">
        <v>-14.072022489882162</v>
      </c>
      <c r="O275" s="663">
        <v>0</v>
      </c>
      <c r="P275" s="663">
        <v>0</v>
      </c>
      <c r="Q275" s="663">
        <v>0</v>
      </c>
      <c r="R275" s="663">
        <v>0</v>
      </c>
      <c r="S275" s="663">
        <v>0</v>
      </c>
      <c r="T275" s="663">
        <v>-0.66460812232862176</v>
      </c>
      <c r="U275" s="665">
        <v>-72.832736720694939</v>
      </c>
    </row>
    <row r="276" spans="3:21" ht="13">
      <c r="C276" s="662" t="s">
        <v>64</v>
      </c>
      <c r="D276" s="663">
        <v>0</v>
      </c>
      <c r="E276" s="663">
        <v>0</v>
      </c>
      <c r="F276" s="663">
        <v>0</v>
      </c>
      <c r="G276" s="663">
        <v>0</v>
      </c>
      <c r="H276" s="663">
        <v>0</v>
      </c>
      <c r="I276" s="663">
        <v>0</v>
      </c>
      <c r="J276" s="663">
        <v>0</v>
      </c>
      <c r="K276" s="663">
        <v>0</v>
      </c>
      <c r="L276" s="663">
        <v>0</v>
      </c>
      <c r="M276" s="663">
        <v>0</v>
      </c>
      <c r="N276" s="663">
        <v>0</v>
      </c>
      <c r="O276" s="663">
        <v>0</v>
      </c>
      <c r="P276" s="663">
        <v>0</v>
      </c>
      <c r="Q276" s="663">
        <v>0</v>
      </c>
      <c r="R276" s="663">
        <v>0</v>
      </c>
      <c r="S276" s="663">
        <v>0</v>
      </c>
      <c r="T276" s="663">
        <v>0</v>
      </c>
      <c r="U276" s="665">
        <v>0</v>
      </c>
    </row>
    <row r="277" spans="3:21" ht="13">
      <c r="C277" s="666" t="s">
        <v>65</v>
      </c>
      <c r="D277" s="667">
        <v>12.402103294712147</v>
      </c>
      <c r="E277" s="667">
        <v>267.59952869557856</v>
      </c>
      <c r="F277" s="667">
        <v>-100.26916909131171</v>
      </c>
      <c r="G277" s="667">
        <v>-13.543900419578451</v>
      </c>
      <c r="H277" s="675">
        <v>94.003085953645225</v>
      </c>
      <c r="I277" s="667">
        <v>0</v>
      </c>
      <c r="J277" s="667">
        <v>965.91438750259681</v>
      </c>
      <c r="K277" s="667">
        <v>340.77058420783555</v>
      </c>
      <c r="L277" s="667">
        <v>310.38017271130127</v>
      </c>
      <c r="M277" s="667">
        <v>26.996685887157991</v>
      </c>
      <c r="N277" s="667">
        <v>-8.647699619425298</v>
      </c>
      <c r="O277" s="667">
        <v>-1.7745923792434484</v>
      </c>
      <c r="P277" s="667">
        <v>137.63232647396575</v>
      </c>
      <c r="Q277" s="667">
        <v>22.505061443653027</v>
      </c>
      <c r="R277" s="667">
        <v>-40.000273468658179</v>
      </c>
      <c r="S277" s="667">
        <v>0</v>
      </c>
      <c r="T277" s="667">
        <v>-0.66460812232862176</v>
      </c>
      <c r="U277" s="667">
        <v>2013.3036930699004</v>
      </c>
    </row>
    <row r="278" spans="3:21" ht="13">
      <c r="C278" s="668"/>
      <c r="D278" s="669">
        <v>0</v>
      </c>
      <c r="E278" s="669">
        <v>0</v>
      </c>
      <c r="F278" s="669">
        <v>0</v>
      </c>
      <c r="G278" s="669">
        <v>0</v>
      </c>
      <c r="H278" s="676">
        <v>0</v>
      </c>
      <c r="I278" s="669">
        <v>0</v>
      </c>
      <c r="J278" s="669">
        <v>0</v>
      </c>
      <c r="K278" s="669">
        <v>0</v>
      </c>
      <c r="L278" s="669">
        <v>0</v>
      </c>
      <c r="M278" s="669">
        <v>0</v>
      </c>
      <c r="N278" s="669">
        <v>0</v>
      </c>
      <c r="O278" s="669">
        <v>0</v>
      </c>
      <c r="P278" s="669">
        <v>0</v>
      </c>
      <c r="Q278" s="669">
        <v>0</v>
      </c>
      <c r="R278" s="669">
        <v>0</v>
      </c>
      <c r="S278" s="669">
        <v>0</v>
      </c>
      <c r="T278" s="669">
        <v>0</v>
      </c>
      <c r="U278" s="669">
        <v>0</v>
      </c>
    </row>
    <row r="279" spans="3:21" ht="13">
      <c r="C279" s="670" t="s">
        <v>67</v>
      </c>
      <c r="D279" s="663">
        <v>0</v>
      </c>
      <c r="E279" s="663">
        <v>0</v>
      </c>
      <c r="F279" s="663">
        <v>0</v>
      </c>
      <c r="G279" s="663">
        <v>0</v>
      </c>
      <c r="H279" s="663">
        <v>0</v>
      </c>
      <c r="I279" s="663">
        <v>0</v>
      </c>
      <c r="J279" s="663">
        <v>0</v>
      </c>
      <c r="K279" s="663">
        <v>0</v>
      </c>
      <c r="L279" s="663">
        <v>0</v>
      </c>
      <c r="M279" s="663">
        <v>0</v>
      </c>
      <c r="N279" s="663">
        <v>0</v>
      </c>
      <c r="O279" s="663">
        <v>0</v>
      </c>
      <c r="P279" s="663">
        <v>0</v>
      </c>
      <c r="Q279" s="663">
        <v>0</v>
      </c>
      <c r="R279" s="663">
        <v>0</v>
      </c>
      <c r="S279" s="663">
        <v>0</v>
      </c>
      <c r="T279" s="663">
        <v>0</v>
      </c>
      <c r="U279" s="671">
        <v>0</v>
      </c>
    </row>
    <row r="280" spans="3:21" ht="13">
      <c r="C280" s="670" t="s">
        <v>350</v>
      </c>
      <c r="D280" s="663">
        <v>0</v>
      </c>
      <c r="E280" s="663">
        <v>0</v>
      </c>
      <c r="F280" s="663">
        <v>6.6151953400033478E-2</v>
      </c>
      <c r="G280" s="663">
        <v>0</v>
      </c>
      <c r="H280" s="663">
        <v>5.4310272511854434</v>
      </c>
      <c r="I280" s="663">
        <v>0</v>
      </c>
      <c r="J280" s="663">
        <v>965.91438750259681</v>
      </c>
      <c r="K280" s="663">
        <v>340.77058420783555</v>
      </c>
      <c r="L280" s="663">
        <v>20.176267010584041</v>
      </c>
      <c r="M280" s="663">
        <v>10.227645630646329</v>
      </c>
      <c r="N280" s="663">
        <v>5.6269378379330357</v>
      </c>
      <c r="O280" s="663">
        <v>1.4716569620482758</v>
      </c>
      <c r="P280" s="663">
        <v>0</v>
      </c>
      <c r="Q280" s="663">
        <v>6.4327567473291545</v>
      </c>
      <c r="R280" s="663">
        <v>-682.09415881935547</v>
      </c>
      <c r="S280" s="663">
        <v>0</v>
      </c>
      <c r="T280" s="663">
        <v>3.1982839297450432</v>
      </c>
      <c r="U280" s="671">
        <v>677.22154021394851</v>
      </c>
    </row>
    <row r="281" spans="3:21" ht="13">
      <c r="C281" s="670" t="s">
        <v>351</v>
      </c>
      <c r="D281" s="663">
        <v>0</v>
      </c>
      <c r="E281" s="663">
        <v>0</v>
      </c>
      <c r="F281" s="663">
        <v>0</v>
      </c>
      <c r="G281" s="663">
        <v>0</v>
      </c>
      <c r="H281" s="663">
        <v>7.4585129183309293</v>
      </c>
      <c r="I281" s="663">
        <v>0</v>
      </c>
      <c r="J281" s="663">
        <v>0</v>
      </c>
      <c r="K281" s="663">
        <v>0</v>
      </c>
      <c r="L281" s="663">
        <v>35.547730315639996</v>
      </c>
      <c r="M281" s="663">
        <v>14.387113593265058</v>
      </c>
      <c r="N281" s="663">
        <v>0</v>
      </c>
      <c r="O281" s="663">
        <v>6.1169134542385972</v>
      </c>
      <c r="P281" s="663">
        <v>0</v>
      </c>
      <c r="Q281" s="663">
        <v>11.02899005085181</v>
      </c>
      <c r="R281" s="663">
        <v>0</v>
      </c>
      <c r="S281" s="663">
        <v>-69.303608577230833</v>
      </c>
      <c r="T281" s="663">
        <v>0</v>
      </c>
      <c r="U281" s="671">
        <v>5.235651755095569</v>
      </c>
    </row>
    <row r="282" spans="3:21" ht="13">
      <c r="C282" s="670" t="s">
        <v>352</v>
      </c>
      <c r="D282" s="663">
        <v>0</v>
      </c>
      <c r="E282" s="663">
        <v>0</v>
      </c>
      <c r="F282" s="663">
        <v>0</v>
      </c>
      <c r="G282" s="663">
        <v>0</v>
      </c>
      <c r="H282" s="663">
        <v>0</v>
      </c>
      <c r="I282" s="663">
        <v>0</v>
      </c>
      <c r="J282" s="663">
        <v>0</v>
      </c>
      <c r="K282" s="663">
        <v>0</v>
      </c>
      <c r="L282" s="663">
        <v>78.995354979464977</v>
      </c>
      <c r="M282" s="663">
        <v>0</v>
      </c>
      <c r="N282" s="663">
        <v>0</v>
      </c>
      <c r="O282" s="663">
        <v>-72.973515141642281</v>
      </c>
      <c r="P282" s="663">
        <v>0</v>
      </c>
      <c r="Q282" s="663">
        <v>0</v>
      </c>
      <c r="R282" s="663">
        <v>0</v>
      </c>
      <c r="S282" s="663">
        <v>0</v>
      </c>
      <c r="T282" s="663">
        <v>0</v>
      </c>
      <c r="U282" s="671">
        <v>6.0218398378226965</v>
      </c>
    </row>
    <row r="283" spans="3:21" ht="13">
      <c r="C283" s="670" t="s">
        <v>353</v>
      </c>
      <c r="D283" s="663">
        <v>0</v>
      </c>
      <c r="E283" s="663">
        <v>0</v>
      </c>
      <c r="F283" s="663">
        <v>0</v>
      </c>
      <c r="G283" s="663">
        <v>0</v>
      </c>
      <c r="H283" s="663">
        <v>0</v>
      </c>
      <c r="I283" s="663">
        <v>0</v>
      </c>
      <c r="J283" s="663">
        <v>0</v>
      </c>
      <c r="K283" s="663">
        <v>0</v>
      </c>
      <c r="L283" s="663">
        <v>0</v>
      </c>
      <c r="M283" s="663">
        <v>0</v>
      </c>
      <c r="N283" s="663">
        <v>0</v>
      </c>
      <c r="O283" s="663">
        <v>0</v>
      </c>
      <c r="P283" s="663">
        <v>0</v>
      </c>
      <c r="Q283" s="663">
        <v>0</v>
      </c>
      <c r="R283" s="663">
        <v>0</v>
      </c>
      <c r="S283" s="663">
        <v>0</v>
      </c>
      <c r="T283" s="663">
        <v>0</v>
      </c>
      <c r="U283" s="671">
        <v>0</v>
      </c>
    </row>
    <row r="284" spans="3:21" ht="13">
      <c r="C284" s="670" t="s">
        <v>72</v>
      </c>
      <c r="D284" s="663">
        <v>0</v>
      </c>
      <c r="E284" s="663">
        <v>277.28994248668886</v>
      </c>
      <c r="F284" s="663">
        <v>-274.5252708068171</v>
      </c>
      <c r="G284" s="663">
        <v>0</v>
      </c>
      <c r="H284" s="663">
        <v>0</v>
      </c>
      <c r="I284" s="663">
        <v>0</v>
      </c>
      <c r="J284" s="663">
        <v>0</v>
      </c>
      <c r="K284" s="663">
        <v>0</v>
      </c>
      <c r="L284" s="663">
        <v>0</v>
      </c>
      <c r="M284" s="663">
        <v>0</v>
      </c>
      <c r="N284" s="663">
        <v>0</v>
      </c>
      <c r="O284" s="663">
        <v>0</v>
      </c>
      <c r="P284" s="663">
        <v>0</v>
      </c>
      <c r="Q284" s="663">
        <v>0</v>
      </c>
      <c r="R284" s="663">
        <v>0</v>
      </c>
      <c r="S284" s="663">
        <v>0</v>
      </c>
      <c r="T284" s="663">
        <v>0</v>
      </c>
      <c r="U284" s="671">
        <v>2.7646716798717357</v>
      </c>
    </row>
    <row r="285" spans="3:21" ht="13">
      <c r="C285" s="670" t="s">
        <v>354</v>
      </c>
      <c r="D285" s="663">
        <v>0</v>
      </c>
      <c r="E285" s="663">
        <v>0</v>
      </c>
      <c r="F285" s="663">
        <v>0</v>
      </c>
      <c r="G285" s="663">
        <v>0</v>
      </c>
      <c r="H285" s="663">
        <v>0</v>
      </c>
      <c r="I285" s="663">
        <v>0</v>
      </c>
      <c r="J285" s="663">
        <v>0</v>
      </c>
      <c r="K285" s="663">
        <v>0</v>
      </c>
      <c r="L285" s="663">
        <v>117.50933865541684</v>
      </c>
      <c r="M285" s="663">
        <v>0</v>
      </c>
      <c r="N285" s="663">
        <v>-117.50933865541684</v>
      </c>
      <c r="O285" s="663">
        <v>0</v>
      </c>
      <c r="P285" s="663">
        <v>0</v>
      </c>
      <c r="Q285" s="663">
        <v>0</v>
      </c>
      <c r="R285" s="663">
        <v>0</v>
      </c>
      <c r="S285" s="663">
        <v>0</v>
      </c>
      <c r="T285" s="663">
        <v>0</v>
      </c>
      <c r="U285" s="671">
        <v>0</v>
      </c>
    </row>
    <row r="286" spans="3:21" ht="13">
      <c r="C286" s="670" t="s">
        <v>355</v>
      </c>
      <c r="D286" s="663">
        <v>0</v>
      </c>
      <c r="E286" s="663">
        <v>0</v>
      </c>
      <c r="F286" s="663">
        <v>0</v>
      </c>
      <c r="G286" s="663">
        <v>-21.910962558722186</v>
      </c>
      <c r="H286" s="663">
        <v>0</v>
      </c>
      <c r="I286" s="663">
        <v>0</v>
      </c>
      <c r="J286" s="663">
        <v>0</v>
      </c>
      <c r="K286" s="663">
        <v>0</v>
      </c>
      <c r="L286" s="663">
        <v>0</v>
      </c>
      <c r="M286" s="663">
        <v>0</v>
      </c>
      <c r="N286" s="663">
        <v>0</v>
      </c>
      <c r="O286" s="663">
        <v>0</v>
      </c>
      <c r="P286" s="663">
        <v>0</v>
      </c>
      <c r="Q286" s="663">
        <v>0</v>
      </c>
      <c r="R286" s="663">
        <v>0</v>
      </c>
      <c r="S286" s="663">
        <v>0</v>
      </c>
      <c r="T286" s="663">
        <v>30.516660945295527</v>
      </c>
      <c r="U286" s="671">
        <v>8.6056983865733407</v>
      </c>
    </row>
    <row r="287" spans="3:21" ht="13">
      <c r="C287" s="670" t="s">
        <v>73</v>
      </c>
      <c r="D287" s="663">
        <v>0</v>
      </c>
      <c r="E287" s="663">
        <v>0</v>
      </c>
      <c r="F287" s="663">
        <v>0</v>
      </c>
      <c r="G287" s="663">
        <v>0</v>
      </c>
      <c r="H287" s="663">
        <v>0</v>
      </c>
      <c r="I287" s="663">
        <v>0</v>
      </c>
      <c r="J287" s="663">
        <v>0</v>
      </c>
      <c r="K287" s="663">
        <v>0</v>
      </c>
      <c r="L287" s="663">
        <v>0</v>
      </c>
      <c r="M287" s="663">
        <v>0</v>
      </c>
      <c r="N287" s="663">
        <v>0</v>
      </c>
      <c r="O287" s="663">
        <v>0</v>
      </c>
      <c r="P287" s="663">
        <v>0</v>
      </c>
      <c r="Q287" s="663">
        <v>0</v>
      </c>
      <c r="R287" s="663">
        <v>99.340394157506324</v>
      </c>
      <c r="S287" s="663">
        <v>0</v>
      </c>
      <c r="T287" s="663">
        <v>-68.048169997891833</v>
      </c>
      <c r="U287" s="671">
        <v>31.292224159614491</v>
      </c>
    </row>
    <row r="288" spans="3:21" ht="13">
      <c r="C288" s="670" t="s">
        <v>356</v>
      </c>
      <c r="D288" s="663">
        <v>6.9248988281249995</v>
      </c>
      <c r="E288" s="663">
        <v>-9.6904137911102683</v>
      </c>
      <c r="F288" s="663">
        <v>12.633678677299837</v>
      </c>
      <c r="G288" s="663">
        <v>0</v>
      </c>
      <c r="H288" s="663">
        <v>0</v>
      </c>
      <c r="I288" s="663">
        <v>0</v>
      </c>
      <c r="J288" s="663">
        <v>0</v>
      </c>
      <c r="K288" s="663">
        <v>0</v>
      </c>
      <c r="L288" s="663">
        <v>0</v>
      </c>
      <c r="M288" s="663">
        <v>0</v>
      </c>
      <c r="N288" s="663">
        <v>0</v>
      </c>
      <c r="O288" s="663">
        <v>0</v>
      </c>
      <c r="P288" s="663">
        <v>0</v>
      </c>
      <c r="Q288" s="663">
        <v>0</v>
      </c>
      <c r="R288" s="663">
        <v>0</v>
      </c>
      <c r="S288" s="663">
        <v>0</v>
      </c>
      <c r="T288" s="663">
        <v>0</v>
      </c>
      <c r="U288" s="671">
        <v>9.8681637143145693</v>
      </c>
    </row>
    <row r="289" spans="3:21" ht="13">
      <c r="C289" s="670" t="s">
        <v>75</v>
      </c>
      <c r="D289" s="663">
        <v>2.6930162109375</v>
      </c>
      <c r="E289" s="663">
        <v>0</v>
      </c>
      <c r="F289" s="663">
        <v>17.882981772477446</v>
      </c>
      <c r="G289" s="663">
        <v>0</v>
      </c>
      <c r="H289" s="663">
        <v>2.8438669910513061</v>
      </c>
      <c r="I289" s="663">
        <v>0</v>
      </c>
      <c r="J289" s="663">
        <v>0</v>
      </c>
      <c r="K289" s="663">
        <v>0</v>
      </c>
      <c r="L289" s="663">
        <v>0</v>
      </c>
      <c r="M289" s="663">
        <v>0</v>
      </c>
      <c r="N289" s="663">
        <v>0</v>
      </c>
      <c r="O289" s="663">
        <v>2.3268002654056139</v>
      </c>
      <c r="P289" s="663">
        <v>0</v>
      </c>
      <c r="Q289" s="663">
        <v>0</v>
      </c>
      <c r="R289" s="663">
        <v>23.896357926698794</v>
      </c>
      <c r="S289" s="663">
        <v>0</v>
      </c>
      <c r="T289" s="663">
        <v>0</v>
      </c>
      <c r="U289" s="671">
        <v>49.643023166570657</v>
      </c>
    </row>
    <row r="290" spans="3:21" ht="13">
      <c r="C290" s="670" t="s">
        <v>76</v>
      </c>
      <c r="D290" s="663">
        <v>0</v>
      </c>
      <c r="E290" s="663">
        <v>0</v>
      </c>
      <c r="F290" s="663">
        <v>0</v>
      </c>
      <c r="G290" s="663">
        <v>0</v>
      </c>
      <c r="H290" s="663">
        <v>1.042848686512976</v>
      </c>
      <c r="I290" s="663">
        <v>0</v>
      </c>
      <c r="J290" s="663">
        <v>0</v>
      </c>
      <c r="K290" s="663">
        <v>0</v>
      </c>
      <c r="L290" s="663">
        <v>0</v>
      </c>
      <c r="M290" s="663">
        <v>0</v>
      </c>
      <c r="N290" s="663">
        <v>0</v>
      </c>
      <c r="O290" s="663">
        <v>0.85323983441970752</v>
      </c>
      <c r="P290" s="663">
        <v>0</v>
      </c>
      <c r="Q290" s="663">
        <v>0</v>
      </c>
      <c r="R290" s="663">
        <v>49.147245311640418</v>
      </c>
      <c r="S290" s="663">
        <v>5.3750429512534854</v>
      </c>
      <c r="T290" s="663">
        <v>0</v>
      </c>
      <c r="U290" s="671">
        <v>56.418376783826595</v>
      </c>
    </row>
    <row r="291" spans="3:21" ht="13">
      <c r="C291" s="666" t="s">
        <v>77</v>
      </c>
      <c r="D291" s="667">
        <v>9.617915039062499</v>
      </c>
      <c r="E291" s="667">
        <v>267.59952869557856</v>
      </c>
      <c r="F291" s="667">
        <v>-243.94245840363976</v>
      </c>
      <c r="G291" s="667">
        <v>-21.910962558722186</v>
      </c>
      <c r="H291" s="675">
        <v>16.776255847080655</v>
      </c>
      <c r="I291" s="667">
        <v>0</v>
      </c>
      <c r="J291" s="667">
        <v>965.91438750259681</v>
      </c>
      <c r="K291" s="667">
        <v>340.77058420783555</v>
      </c>
      <c r="L291" s="667">
        <v>252.22869096110585</v>
      </c>
      <c r="M291" s="667">
        <v>24.614759223911388</v>
      </c>
      <c r="N291" s="667">
        <v>-111.8824008174838</v>
      </c>
      <c r="O291" s="667">
        <v>-62.204904625530084</v>
      </c>
      <c r="P291" s="667">
        <v>0</v>
      </c>
      <c r="Q291" s="667">
        <v>17.461746798180965</v>
      </c>
      <c r="R291" s="667">
        <v>-509.71016142350987</v>
      </c>
      <c r="S291" s="667">
        <v>-63.928565625977342</v>
      </c>
      <c r="T291" s="667">
        <v>-34.33322512285126</v>
      </c>
      <c r="U291" s="667">
        <v>847.07118969763815</v>
      </c>
    </row>
    <row r="292" spans="3:21" ht="13">
      <c r="C292" s="668"/>
      <c r="D292" s="669">
        <v>0</v>
      </c>
      <c r="E292" s="669">
        <v>0</v>
      </c>
      <c r="F292" s="669">
        <v>0</v>
      </c>
      <c r="G292" s="669">
        <v>0</v>
      </c>
      <c r="H292" s="676">
        <v>0</v>
      </c>
      <c r="I292" s="669">
        <v>0</v>
      </c>
      <c r="J292" s="669">
        <v>0</v>
      </c>
      <c r="K292" s="669">
        <v>0</v>
      </c>
      <c r="L292" s="669">
        <v>0</v>
      </c>
      <c r="M292" s="669">
        <v>0</v>
      </c>
      <c r="N292" s="669">
        <v>0</v>
      </c>
      <c r="O292" s="669">
        <v>0</v>
      </c>
      <c r="P292" s="669">
        <v>0</v>
      </c>
      <c r="Q292" s="669">
        <v>0</v>
      </c>
      <c r="R292" s="669">
        <v>0</v>
      </c>
      <c r="S292" s="669">
        <v>0</v>
      </c>
      <c r="T292" s="669">
        <v>0</v>
      </c>
      <c r="U292" s="669">
        <v>0</v>
      </c>
    </row>
    <row r="293" spans="3:21" ht="13">
      <c r="C293" s="670" t="s">
        <v>78</v>
      </c>
      <c r="D293" s="663">
        <v>2.7841882556496467</v>
      </c>
      <c r="E293" s="663">
        <v>0</v>
      </c>
      <c r="F293" s="663">
        <v>5.1952563518908157</v>
      </c>
      <c r="G293" s="663">
        <v>0</v>
      </c>
      <c r="H293" s="663">
        <v>31.335146641416099</v>
      </c>
      <c r="I293" s="663">
        <v>0</v>
      </c>
      <c r="J293" s="663">
        <v>0</v>
      </c>
      <c r="K293" s="663">
        <v>0</v>
      </c>
      <c r="L293" s="663">
        <v>19.866368456853682</v>
      </c>
      <c r="M293" s="663">
        <v>2.3815254498716123</v>
      </c>
      <c r="N293" s="663">
        <v>2.1415231567382813</v>
      </c>
      <c r="O293" s="663">
        <v>25.676510059650784</v>
      </c>
      <c r="P293" s="663">
        <v>7.6335380859375004</v>
      </c>
      <c r="Q293" s="663">
        <v>7.8820466826144567E-4</v>
      </c>
      <c r="R293" s="663">
        <v>133.1889583814887</v>
      </c>
      <c r="S293" s="663">
        <v>18.276712147761906</v>
      </c>
      <c r="T293" s="663">
        <v>4.7382089843750004</v>
      </c>
      <c r="U293" s="671">
        <v>253.21872417630229</v>
      </c>
    </row>
    <row r="294" spans="3:21" ht="13">
      <c r="C294" s="670" t="s">
        <v>79</v>
      </c>
      <c r="D294" s="663">
        <v>0</v>
      </c>
      <c r="E294" s="663">
        <v>0</v>
      </c>
      <c r="F294" s="663">
        <v>62.42121803575882</v>
      </c>
      <c r="G294" s="663">
        <v>0.9171283606012931</v>
      </c>
      <c r="H294" s="663">
        <v>3.2777834936114583</v>
      </c>
      <c r="I294" s="663">
        <v>0</v>
      </c>
      <c r="J294" s="663">
        <v>0</v>
      </c>
      <c r="K294" s="663">
        <v>0</v>
      </c>
      <c r="L294" s="663">
        <v>0</v>
      </c>
      <c r="M294" s="663">
        <v>0</v>
      </c>
      <c r="N294" s="663">
        <v>70.675893572317364</v>
      </c>
      <c r="O294" s="663">
        <v>2.6818228584093751</v>
      </c>
      <c r="P294" s="663">
        <v>0</v>
      </c>
      <c r="Q294" s="663">
        <v>0</v>
      </c>
      <c r="R294" s="663">
        <v>85.601807225833156</v>
      </c>
      <c r="S294" s="663">
        <v>0</v>
      </c>
      <c r="T294" s="663">
        <v>3.5812873698124483</v>
      </c>
      <c r="U294" s="671">
        <v>229.15694091634393</v>
      </c>
    </row>
    <row r="295" spans="3:21" ht="13">
      <c r="C295" s="670" t="s">
        <v>80</v>
      </c>
      <c r="D295" s="663">
        <v>0</v>
      </c>
      <c r="E295" s="663">
        <v>0</v>
      </c>
      <c r="F295" s="663">
        <v>2.2535083725168867</v>
      </c>
      <c r="G295" s="663">
        <v>0</v>
      </c>
      <c r="H295" s="663">
        <v>22.547534156690407</v>
      </c>
      <c r="I295" s="663">
        <v>0</v>
      </c>
      <c r="J295" s="663">
        <v>0</v>
      </c>
      <c r="K295" s="663">
        <v>0</v>
      </c>
      <c r="L295" s="663">
        <v>34.097641504490639</v>
      </c>
      <c r="M295" s="663">
        <v>0</v>
      </c>
      <c r="N295" s="663">
        <v>0</v>
      </c>
      <c r="O295" s="663">
        <v>18.447982491837607</v>
      </c>
      <c r="P295" s="663">
        <v>103.59461616627088</v>
      </c>
      <c r="Q295" s="663">
        <v>2.7285855468891569</v>
      </c>
      <c r="R295" s="663">
        <v>149.5228289340921</v>
      </c>
      <c r="S295" s="663">
        <v>26.593767108522837</v>
      </c>
      <c r="T295" s="663">
        <v>0</v>
      </c>
      <c r="U295" s="671">
        <v>359.78646428131054</v>
      </c>
    </row>
    <row r="296" spans="3:21" ht="13">
      <c r="C296" s="670" t="s">
        <v>81</v>
      </c>
      <c r="D296" s="663">
        <v>0</v>
      </c>
      <c r="E296" s="663">
        <v>0</v>
      </c>
      <c r="F296" s="663">
        <v>1.3399462790047187</v>
      </c>
      <c r="G296" s="663">
        <v>0</v>
      </c>
      <c r="H296" s="663">
        <v>12.344523773070179</v>
      </c>
      <c r="I296" s="663">
        <v>0</v>
      </c>
      <c r="J296" s="663">
        <v>0</v>
      </c>
      <c r="K296" s="663">
        <v>0</v>
      </c>
      <c r="L296" s="663">
        <v>0.40515733033320123</v>
      </c>
      <c r="M296" s="663">
        <v>4.0121337498856221E-4</v>
      </c>
      <c r="N296" s="663">
        <v>0</v>
      </c>
      <c r="O296" s="663">
        <v>10.100064905239238</v>
      </c>
      <c r="P296" s="663">
        <v>25.404172221757367</v>
      </c>
      <c r="Q296" s="663">
        <v>1.0133205125094877</v>
      </c>
      <c r="R296" s="663">
        <v>92.228183694440688</v>
      </c>
      <c r="S296" s="663">
        <v>19.0580863696926</v>
      </c>
      <c r="T296" s="663">
        <v>0</v>
      </c>
      <c r="U296" s="671">
        <v>161.89385629942248</v>
      </c>
    </row>
    <row r="297" spans="3:21" ht="13">
      <c r="C297" s="670" t="s">
        <v>82</v>
      </c>
      <c r="D297" s="663">
        <v>0</v>
      </c>
      <c r="E297" s="663">
        <v>0</v>
      </c>
      <c r="F297" s="663">
        <v>9.0097391312566604</v>
      </c>
      <c r="G297" s="663">
        <v>1.6</v>
      </c>
      <c r="H297" s="663">
        <v>0.98973128577551672</v>
      </c>
      <c r="I297" s="663">
        <v>0</v>
      </c>
      <c r="J297" s="663">
        <v>0</v>
      </c>
      <c r="K297" s="663">
        <v>0</v>
      </c>
      <c r="L297" s="663">
        <v>3.3736621545342089</v>
      </c>
      <c r="M297" s="663">
        <v>0</v>
      </c>
      <c r="N297" s="663">
        <v>14.289145060057182</v>
      </c>
      <c r="O297" s="663">
        <v>0.80978014290724099</v>
      </c>
      <c r="P297" s="663">
        <v>1</v>
      </c>
      <c r="Q297" s="663">
        <v>1.300620381405156</v>
      </c>
      <c r="R297" s="663">
        <v>7.76122971899715</v>
      </c>
      <c r="S297" s="663">
        <v>0</v>
      </c>
      <c r="T297" s="663">
        <v>0.325155095351289</v>
      </c>
      <c r="U297" s="671">
        <v>40.459062970284407</v>
      </c>
    </row>
    <row r="298" spans="3:21" ht="13">
      <c r="C298" s="670" t="s">
        <v>357</v>
      </c>
      <c r="D298" s="663">
        <v>0</v>
      </c>
      <c r="E298" s="663">
        <v>0</v>
      </c>
      <c r="F298" s="663">
        <v>0</v>
      </c>
      <c r="G298" s="663">
        <v>0</v>
      </c>
      <c r="H298" s="663">
        <v>0</v>
      </c>
      <c r="I298" s="663">
        <v>0</v>
      </c>
      <c r="J298" s="663">
        <v>0</v>
      </c>
      <c r="K298" s="663">
        <v>0</v>
      </c>
      <c r="L298" s="663">
        <v>0</v>
      </c>
      <c r="M298" s="663">
        <v>0</v>
      </c>
      <c r="N298" s="663">
        <v>0</v>
      </c>
      <c r="O298" s="663">
        <v>0</v>
      </c>
      <c r="P298" s="663">
        <v>0</v>
      </c>
      <c r="Q298" s="663">
        <v>0</v>
      </c>
      <c r="R298" s="663">
        <v>1.4068800000000001</v>
      </c>
      <c r="S298" s="663">
        <v>0</v>
      </c>
      <c r="T298" s="663">
        <v>0</v>
      </c>
      <c r="U298" s="671">
        <v>1.4068800000000001</v>
      </c>
    </row>
    <row r="299" spans="3:21" ht="13">
      <c r="C299" s="666" t="s">
        <v>83</v>
      </c>
      <c r="D299" s="667">
        <v>2.7841882556496467</v>
      </c>
      <c r="E299" s="667">
        <v>0</v>
      </c>
      <c r="F299" s="667">
        <v>80.219668170427894</v>
      </c>
      <c r="G299" s="667">
        <v>2.5171283606012933</v>
      </c>
      <c r="H299" s="675">
        <v>70.494719350563656</v>
      </c>
      <c r="I299" s="667">
        <v>0</v>
      </c>
      <c r="J299" s="667">
        <v>0</v>
      </c>
      <c r="K299" s="667">
        <v>0</v>
      </c>
      <c r="L299" s="667">
        <v>57.742829446211736</v>
      </c>
      <c r="M299" s="667">
        <v>2.3819266632466007</v>
      </c>
      <c r="N299" s="667">
        <v>87.106561789112831</v>
      </c>
      <c r="O299" s="667">
        <v>57.71616045804425</v>
      </c>
      <c r="P299" s="667">
        <v>137.63232647396575</v>
      </c>
      <c r="Q299" s="667">
        <v>5.0433146454720621</v>
      </c>
      <c r="R299" s="667">
        <v>469.70988795485181</v>
      </c>
      <c r="S299" s="667">
        <v>63.928565625977342</v>
      </c>
      <c r="T299" s="667">
        <v>8.6446514495387365</v>
      </c>
      <c r="U299" s="667">
        <v>1045.9219286436637</v>
      </c>
    </row>
    <row r="300" spans="3:21" ht="13">
      <c r="C300" s="662" t="s">
        <v>84</v>
      </c>
      <c r="D300" s="663">
        <v>0</v>
      </c>
      <c r="E300" s="663">
        <v>0</v>
      </c>
      <c r="F300" s="663">
        <v>63.453621141900157</v>
      </c>
      <c r="G300" s="663">
        <v>5.849933778542443</v>
      </c>
      <c r="H300" s="663">
        <v>6.7321107560009157</v>
      </c>
      <c r="I300" s="663">
        <v>0</v>
      </c>
      <c r="J300" s="663">
        <v>0</v>
      </c>
      <c r="K300" s="663">
        <v>0</v>
      </c>
      <c r="L300" s="663">
        <v>0.4086523039836884</v>
      </c>
      <c r="M300" s="663">
        <v>0</v>
      </c>
      <c r="N300" s="663">
        <v>16.128139408945682</v>
      </c>
      <c r="O300" s="663">
        <v>2.7141517882424018</v>
      </c>
      <c r="P300" s="663">
        <v>0</v>
      </c>
      <c r="Q300" s="663">
        <v>0</v>
      </c>
      <c r="R300" s="663">
        <v>0</v>
      </c>
      <c r="S300" s="663">
        <v>0</v>
      </c>
      <c r="T300" s="663">
        <v>25.023965550983899</v>
      </c>
      <c r="U300" s="671">
        <v>120.31057472859921</v>
      </c>
    </row>
    <row r="301" spans="3:21" ht="13">
      <c r="C301" s="666" t="s">
        <v>85</v>
      </c>
      <c r="D301" s="667">
        <v>2.7841882556496467</v>
      </c>
      <c r="E301" s="667">
        <v>0</v>
      </c>
      <c r="F301" s="667">
        <v>143.67328931232805</v>
      </c>
      <c r="G301" s="667">
        <v>8.3670621391437372</v>
      </c>
      <c r="H301" s="675">
        <v>77.226830106564577</v>
      </c>
      <c r="I301" s="667">
        <v>0</v>
      </c>
      <c r="J301" s="667">
        <v>0</v>
      </c>
      <c r="K301" s="667">
        <v>0</v>
      </c>
      <c r="L301" s="667">
        <v>58.151481750195423</v>
      </c>
      <c r="M301" s="667">
        <v>2.3819266632466007</v>
      </c>
      <c r="N301" s="667">
        <v>103.23470119805852</v>
      </c>
      <c r="O301" s="667">
        <v>60.430312246286654</v>
      </c>
      <c r="P301" s="667">
        <v>137.63232647396575</v>
      </c>
      <c r="Q301" s="667">
        <v>5.0433146454720621</v>
      </c>
      <c r="R301" s="667">
        <v>469.70988795485181</v>
      </c>
      <c r="S301" s="667">
        <v>63.928565625977342</v>
      </c>
      <c r="T301" s="667">
        <v>33.668617000522637</v>
      </c>
      <c r="U301" s="667">
        <v>1166.2325033722627</v>
      </c>
    </row>
    <row r="302" spans="3:21">
      <c r="C302" s="654"/>
      <c r="D302" s="672">
        <v>0</v>
      </c>
      <c r="E302" s="672">
        <v>0</v>
      </c>
      <c r="F302" s="672">
        <v>0</v>
      </c>
      <c r="G302" s="672">
        <v>0</v>
      </c>
      <c r="H302" s="672">
        <v>0</v>
      </c>
      <c r="I302" s="672">
        <v>0</v>
      </c>
      <c r="J302" s="672">
        <v>0</v>
      </c>
      <c r="K302" s="672">
        <v>0</v>
      </c>
      <c r="L302" s="672">
        <v>0</v>
      </c>
      <c r="M302" s="672">
        <v>0</v>
      </c>
      <c r="N302" s="672">
        <v>1.5987211554602254E-14</v>
      </c>
      <c r="O302" s="672">
        <v>1.865174681370263E-14</v>
      </c>
      <c r="P302" s="672">
        <v>0</v>
      </c>
      <c r="Q302" s="672">
        <v>0</v>
      </c>
      <c r="R302" s="672">
        <v>1.1368683772161603E-13</v>
      </c>
      <c r="S302" s="672">
        <v>0</v>
      </c>
      <c r="T302" s="672">
        <v>-1.3322676295501878E-15</v>
      </c>
      <c r="U302" s="672">
        <v>0</v>
      </c>
    </row>
    <row r="303" spans="3:21">
      <c r="C303" s="654"/>
      <c r="D303" s="654"/>
      <c r="E303" s="654"/>
      <c r="F303" s="654"/>
      <c r="G303" s="654"/>
      <c r="H303" s="654"/>
      <c r="I303" s="654"/>
      <c r="J303" s="654"/>
      <c r="K303" s="654"/>
      <c r="L303" s="654"/>
      <c r="M303" s="654"/>
      <c r="N303" s="654"/>
      <c r="O303" s="654"/>
      <c r="P303" s="654"/>
      <c r="Q303" s="654"/>
      <c r="R303" s="654"/>
      <c r="S303" s="654"/>
      <c r="T303" s="654"/>
      <c r="U303" s="654"/>
    </row>
    <row r="304" spans="3:21" ht="14.5">
      <c r="C304" s="658" t="s">
        <v>523</v>
      </c>
      <c r="D304" s="659"/>
      <c r="E304" s="659"/>
      <c r="F304" s="659"/>
      <c r="G304" s="659"/>
      <c r="H304" s="659"/>
      <c r="I304" s="659"/>
      <c r="J304" s="659"/>
      <c r="K304" s="659"/>
      <c r="L304" s="659"/>
      <c r="M304" s="659"/>
      <c r="N304" s="659"/>
      <c r="O304" s="659"/>
      <c r="P304" s="659"/>
      <c r="Q304" s="659"/>
      <c r="R304" s="659"/>
      <c r="S304" s="659"/>
      <c r="T304" s="659"/>
      <c r="U304" s="659"/>
    </row>
    <row r="305" spans="3:21">
      <c r="C305" s="654"/>
      <c r="D305" s="654"/>
      <c r="E305" s="654"/>
      <c r="F305" s="654"/>
      <c r="G305" s="654"/>
      <c r="H305" s="654"/>
      <c r="I305" s="654"/>
      <c r="J305" s="654"/>
      <c r="K305" s="654"/>
      <c r="L305" s="654"/>
      <c r="M305" s="654"/>
      <c r="N305" s="654"/>
      <c r="O305" s="654"/>
      <c r="P305" s="654"/>
      <c r="Q305" s="654"/>
      <c r="R305" s="654"/>
      <c r="S305" s="654"/>
      <c r="T305" s="654"/>
      <c r="U305" s="654"/>
    </row>
    <row r="306" spans="3:21" ht="13">
      <c r="C306" s="706" t="s">
        <v>128</v>
      </c>
      <c r="D306" s="704" t="s">
        <v>42</v>
      </c>
      <c r="E306" s="704" t="s">
        <v>52</v>
      </c>
      <c r="F306" s="704" t="s">
        <v>53</v>
      </c>
      <c r="G306" s="704" t="s">
        <v>487</v>
      </c>
      <c r="H306" s="704" t="s">
        <v>32</v>
      </c>
      <c r="I306" s="704" t="s">
        <v>488</v>
      </c>
      <c r="J306" s="704" t="s">
        <v>20</v>
      </c>
      <c r="K306" s="704" t="s">
        <v>55</v>
      </c>
      <c r="L306" s="708" t="s">
        <v>56</v>
      </c>
      <c r="M306" s="709"/>
      <c r="N306" s="709"/>
      <c r="O306" s="709"/>
      <c r="P306" s="709"/>
      <c r="Q306" s="710"/>
      <c r="R306" s="704" t="s">
        <v>57</v>
      </c>
      <c r="S306" s="704" t="s">
        <v>58</v>
      </c>
      <c r="T306" s="704" t="s">
        <v>31</v>
      </c>
      <c r="U306" s="704" t="s">
        <v>10</v>
      </c>
    </row>
    <row r="307" spans="3:21" ht="36">
      <c r="C307" s="707"/>
      <c r="D307" s="705"/>
      <c r="E307" s="705"/>
      <c r="F307" s="705"/>
      <c r="G307" s="705"/>
      <c r="H307" s="705"/>
      <c r="I307" s="705"/>
      <c r="J307" s="705"/>
      <c r="K307" s="705"/>
      <c r="L307" s="660" t="s">
        <v>338</v>
      </c>
      <c r="M307" s="660" t="s">
        <v>40</v>
      </c>
      <c r="N307" s="660" t="s">
        <v>346</v>
      </c>
      <c r="O307" s="660" t="s">
        <v>347</v>
      </c>
      <c r="P307" s="661" t="s">
        <v>348</v>
      </c>
      <c r="Q307" s="660" t="s">
        <v>349</v>
      </c>
      <c r="R307" s="705"/>
      <c r="S307" s="705"/>
      <c r="T307" s="705"/>
      <c r="U307" s="705"/>
    </row>
    <row r="308" spans="3:21" ht="13">
      <c r="C308" s="662" t="s">
        <v>59</v>
      </c>
      <c r="D308" s="663">
        <v>0</v>
      </c>
      <c r="E308" s="663">
        <v>0</v>
      </c>
      <c r="F308" s="663">
        <v>0</v>
      </c>
      <c r="G308" s="663">
        <v>0</v>
      </c>
      <c r="H308" s="663">
        <v>0</v>
      </c>
      <c r="I308" s="663">
        <v>0</v>
      </c>
      <c r="J308" s="664">
        <v>887.88984586571985</v>
      </c>
      <c r="K308" s="664">
        <v>396.24410449971316</v>
      </c>
      <c r="L308" s="664">
        <v>299.20080257603973</v>
      </c>
      <c r="M308" s="664">
        <v>23.973968003405336</v>
      </c>
      <c r="N308" s="663">
        <v>1.638642873490971</v>
      </c>
      <c r="O308" s="663">
        <v>0.1692153726460352</v>
      </c>
      <c r="P308" s="664">
        <v>148.52009865212395</v>
      </c>
      <c r="Q308" s="664">
        <v>23.099478079825218</v>
      </c>
      <c r="R308" s="663">
        <v>0</v>
      </c>
      <c r="S308" s="663">
        <v>0</v>
      </c>
      <c r="T308" s="663">
        <v>0</v>
      </c>
      <c r="U308" s="665">
        <v>1780.7361559229641</v>
      </c>
    </row>
    <row r="309" spans="3:21" ht="13">
      <c r="C309" s="662" t="s">
        <v>60</v>
      </c>
      <c r="D309" s="663">
        <v>10.379280707598515</v>
      </c>
      <c r="E309" s="663">
        <v>221.43377158510449</v>
      </c>
      <c r="F309" s="663">
        <v>3.6404081450569747</v>
      </c>
      <c r="G309" s="663">
        <v>0</v>
      </c>
      <c r="H309" s="663">
        <v>71.351673113669463</v>
      </c>
      <c r="I309" s="663">
        <v>0</v>
      </c>
      <c r="J309" s="663">
        <v>0</v>
      </c>
      <c r="K309" s="663">
        <v>0</v>
      </c>
      <c r="L309" s="663">
        <v>4.5400000946661896</v>
      </c>
      <c r="M309" s="663">
        <v>0</v>
      </c>
      <c r="N309" s="663">
        <v>4.7355769449703358</v>
      </c>
      <c r="O309" s="663">
        <v>0</v>
      </c>
      <c r="P309" s="663">
        <v>0</v>
      </c>
      <c r="Q309" s="663">
        <v>0</v>
      </c>
      <c r="R309" s="663">
        <v>0</v>
      </c>
      <c r="S309" s="663">
        <v>0</v>
      </c>
      <c r="T309" s="663">
        <v>0</v>
      </c>
      <c r="U309" s="665">
        <v>316.08071059106601</v>
      </c>
    </row>
    <row r="310" spans="3:21" ht="13">
      <c r="C310" s="662" t="s">
        <v>61</v>
      </c>
      <c r="D310" s="663">
        <v>0</v>
      </c>
      <c r="E310" s="663">
        <v>0</v>
      </c>
      <c r="F310" s="663">
        <v>-61.117649142160822</v>
      </c>
      <c r="G310" s="663">
        <v>0</v>
      </c>
      <c r="H310" s="663">
        <v>0</v>
      </c>
      <c r="I310" s="663">
        <v>0</v>
      </c>
      <c r="J310" s="663">
        <v>0</v>
      </c>
      <c r="K310" s="663">
        <v>0</v>
      </c>
      <c r="L310" s="663">
        <v>0</v>
      </c>
      <c r="M310" s="663">
        <v>0</v>
      </c>
      <c r="N310" s="663">
        <v>0</v>
      </c>
      <c r="O310" s="663">
        <v>0</v>
      </c>
      <c r="P310" s="663">
        <v>0</v>
      </c>
      <c r="Q310" s="663">
        <v>0</v>
      </c>
      <c r="R310" s="663">
        <v>-39.114049370458702</v>
      </c>
      <c r="S310" s="663">
        <v>0</v>
      </c>
      <c r="T310" s="663">
        <v>0</v>
      </c>
      <c r="U310" s="665">
        <v>-100.23169851261953</v>
      </c>
    </row>
    <row r="311" spans="3:21" ht="13">
      <c r="C311" s="662" t="s">
        <v>62</v>
      </c>
      <c r="D311" s="663">
        <v>0</v>
      </c>
      <c r="E311" s="663">
        <v>0</v>
      </c>
      <c r="F311" s="663">
        <v>-6.8572519407668047</v>
      </c>
      <c r="G311" s="663">
        <v>-2.9115063458369059</v>
      </c>
      <c r="H311" s="663">
        <v>-4.556210213526227</v>
      </c>
      <c r="I311" s="663">
        <v>-6.0214231896822394E-2</v>
      </c>
      <c r="J311" s="663">
        <v>0</v>
      </c>
      <c r="K311" s="663">
        <v>0</v>
      </c>
      <c r="L311" s="663">
        <v>0</v>
      </c>
      <c r="M311" s="663">
        <v>0</v>
      </c>
      <c r="N311" s="663">
        <v>-0.36156496915270087</v>
      </c>
      <c r="O311" s="663">
        <v>-5.4192808707140152</v>
      </c>
      <c r="P311" s="663">
        <v>0</v>
      </c>
      <c r="Q311" s="663">
        <v>0</v>
      </c>
      <c r="R311" s="663">
        <v>0</v>
      </c>
      <c r="S311" s="663">
        <v>0</v>
      </c>
      <c r="T311" s="663">
        <v>0</v>
      </c>
      <c r="U311" s="665">
        <v>-20.166028571893477</v>
      </c>
    </row>
    <row r="312" spans="3:21" ht="13">
      <c r="C312" s="662" t="s">
        <v>63</v>
      </c>
      <c r="D312" s="663">
        <v>0</v>
      </c>
      <c r="E312" s="663">
        <v>0</v>
      </c>
      <c r="F312" s="663">
        <v>-41.932075648688581</v>
      </c>
      <c r="G312" s="663">
        <v>-12.789597363010756</v>
      </c>
      <c r="H312" s="663">
        <v>0</v>
      </c>
      <c r="I312" s="663">
        <v>0</v>
      </c>
      <c r="J312" s="663">
        <v>0</v>
      </c>
      <c r="K312" s="663">
        <v>0</v>
      </c>
      <c r="L312" s="663">
        <v>0</v>
      </c>
      <c r="M312" s="663">
        <v>0</v>
      </c>
      <c r="N312" s="663">
        <v>-13.964845940285258</v>
      </c>
      <c r="O312" s="663">
        <v>0</v>
      </c>
      <c r="P312" s="663">
        <v>0</v>
      </c>
      <c r="Q312" s="663">
        <v>0</v>
      </c>
      <c r="R312" s="663">
        <v>0</v>
      </c>
      <c r="S312" s="663">
        <v>0</v>
      </c>
      <c r="T312" s="663">
        <v>-1.1030439884832439</v>
      </c>
      <c r="U312" s="665">
        <v>-69.789562940467846</v>
      </c>
    </row>
    <row r="313" spans="3:21" ht="13">
      <c r="C313" s="662" t="s">
        <v>64</v>
      </c>
      <c r="D313" s="663">
        <v>0</v>
      </c>
      <c r="E313" s="663">
        <v>0</v>
      </c>
      <c r="F313" s="663">
        <v>0</v>
      </c>
      <c r="G313" s="663">
        <v>0</v>
      </c>
      <c r="H313" s="663">
        <v>0</v>
      </c>
      <c r="I313" s="663">
        <v>0</v>
      </c>
      <c r="J313" s="663">
        <v>0</v>
      </c>
      <c r="K313" s="663">
        <v>0</v>
      </c>
      <c r="L313" s="663">
        <v>0</v>
      </c>
      <c r="M313" s="663">
        <v>0</v>
      </c>
      <c r="N313" s="663">
        <v>0</v>
      </c>
      <c r="O313" s="663">
        <v>0</v>
      </c>
      <c r="P313" s="663">
        <v>0</v>
      </c>
      <c r="Q313" s="663">
        <v>0</v>
      </c>
      <c r="R313" s="663">
        <v>0</v>
      </c>
      <c r="S313" s="663">
        <v>0</v>
      </c>
      <c r="T313" s="663">
        <v>0</v>
      </c>
      <c r="U313" s="665">
        <v>0</v>
      </c>
    </row>
    <row r="314" spans="3:21" ht="13">
      <c r="C314" s="666" t="s">
        <v>65</v>
      </c>
      <c r="D314" s="667">
        <v>10.379280707598515</v>
      </c>
      <c r="E314" s="667">
        <v>221.43377158510449</v>
      </c>
      <c r="F314" s="667">
        <v>-106.26656858655923</v>
      </c>
      <c r="G314" s="667">
        <v>-15.701103708847661</v>
      </c>
      <c r="H314" s="675">
        <v>66.795462900143235</v>
      </c>
      <c r="I314" s="667">
        <v>-6.0214231896822394E-2</v>
      </c>
      <c r="J314" s="667">
        <v>887.88984586571985</v>
      </c>
      <c r="K314" s="667">
        <v>396.24410449971316</v>
      </c>
      <c r="L314" s="667">
        <v>303.74080267070593</v>
      </c>
      <c r="M314" s="667">
        <v>23.973968003405336</v>
      </c>
      <c r="N314" s="667">
        <v>-7.952191090976652</v>
      </c>
      <c r="O314" s="667">
        <v>-5.25006549806798</v>
      </c>
      <c r="P314" s="667">
        <v>148.52009865212395</v>
      </c>
      <c r="Q314" s="667">
        <v>23.099478079825218</v>
      </c>
      <c r="R314" s="667">
        <v>-39.114049370458702</v>
      </c>
      <c r="S314" s="667">
        <v>0</v>
      </c>
      <c r="T314" s="667">
        <v>-1.1030439884832439</v>
      </c>
      <c r="U314" s="667">
        <v>1906.629576489049</v>
      </c>
    </row>
    <row r="315" spans="3:21" ht="13">
      <c r="C315" s="668"/>
      <c r="D315" s="669">
        <v>0</v>
      </c>
      <c r="E315" s="669">
        <v>0</v>
      </c>
      <c r="F315" s="669">
        <v>0</v>
      </c>
      <c r="G315" s="669">
        <v>0</v>
      </c>
      <c r="H315" s="676">
        <v>0</v>
      </c>
      <c r="I315" s="669">
        <v>0</v>
      </c>
      <c r="J315" s="669">
        <v>0</v>
      </c>
      <c r="K315" s="669">
        <v>0</v>
      </c>
      <c r="L315" s="669">
        <v>0</v>
      </c>
      <c r="M315" s="669">
        <v>0</v>
      </c>
      <c r="N315" s="669">
        <v>0</v>
      </c>
      <c r="O315" s="669">
        <v>0</v>
      </c>
      <c r="P315" s="669">
        <v>0</v>
      </c>
      <c r="Q315" s="669">
        <v>0</v>
      </c>
      <c r="R315" s="669">
        <v>0</v>
      </c>
      <c r="S315" s="669">
        <v>0</v>
      </c>
      <c r="T315" s="669">
        <v>0</v>
      </c>
      <c r="U315" s="669">
        <v>0</v>
      </c>
    </row>
    <row r="316" spans="3:21" ht="13">
      <c r="C316" s="670" t="s">
        <v>67</v>
      </c>
      <c r="D316" s="663">
        <v>0</v>
      </c>
      <c r="E316" s="663">
        <v>0</v>
      </c>
      <c r="F316" s="663">
        <v>0</v>
      </c>
      <c r="G316" s="663">
        <v>0</v>
      </c>
      <c r="H316" s="663">
        <v>0</v>
      </c>
      <c r="I316" s="663">
        <v>0</v>
      </c>
      <c r="J316" s="663">
        <v>0</v>
      </c>
      <c r="K316" s="663">
        <v>0</v>
      </c>
      <c r="L316" s="663">
        <v>0</v>
      </c>
      <c r="M316" s="663">
        <v>0</v>
      </c>
      <c r="N316" s="663">
        <v>0</v>
      </c>
      <c r="O316" s="663">
        <v>0</v>
      </c>
      <c r="P316" s="663">
        <v>0</v>
      </c>
      <c r="Q316" s="663">
        <v>0</v>
      </c>
      <c r="R316" s="663">
        <v>0</v>
      </c>
      <c r="S316" s="663">
        <v>0</v>
      </c>
      <c r="T316" s="663">
        <v>0</v>
      </c>
      <c r="U316" s="671">
        <v>0</v>
      </c>
    </row>
    <row r="317" spans="3:21" ht="13">
      <c r="C317" s="670" t="s">
        <v>350</v>
      </c>
      <c r="D317" s="663">
        <v>0</v>
      </c>
      <c r="E317" s="663">
        <v>0</v>
      </c>
      <c r="F317" s="663">
        <v>2.6460781360013397E-2</v>
      </c>
      <c r="G317" s="663">
        <v>0</v>
      </c>
      <c r="H317" s="663">
        <v>2.1444399446740805</v>
      </c>
      <c r="I317" s="663">
        <v>0</v>
      </c>
      <c r="J317" s="663">
        <v>887.88984586571985</v>
      </c>
      <c r="K317" s="663">
        <v>396.24410449971316</v>
      </c>
      <c r="L317" s="663">
        <v>15.085804984191999</v>
      </c>
      <c r="M317" s="663">
        <v>7.2357180176402842</v>
      </c>
      <c r="N317" s="663">
        <v>6.0578717375904887</v>
      </c>
      <c r="O317" s="663">
        <v>0.6501857288144991</v>
      </c>
      <c r="P317" s="663">
        <v>0</v>
      </c>
      <c r="Q317" s="663">
        <v>6.4590957564387725</v>
      </c>
      <c r="R317" s="663">
        <v>-708.99943776638747</v>
      </c>
      <c r="S317" s="663">
        <v>0</v>
      </c>
      <c r="T317" s="663">
        <v>8.0586922417708831</v>
      </c>
      <c r="U317" s="671">
        <v>620.85278179152624</v>
      </c>
    </row>
    <row r="318" spans="3:21" ht="13">
      <c r="C318" s="670" t="s">
        <v>351</v>
      </c>
      <c r="D318" s="663">
        <v>0</v>
      </c>
      <c r="E318" s="663">
        <v>0</v>
      </c>
      <c r="F318" s="663">
        <v>0</v>
      </c>
      <c r="G318" s="663">
        <v>0</v>
      </c>
      <c r="H318" s="663">
        <v>4.7815870319860325</v>
      </c>
      <c r="I318" s="663">
        <v>0</v>
      </c>
      <c r="J318" s="663">
        <v>0</v>
      </c>
      <c r="K318" s="663">
        <v>0</v>
      </c>
      <c r="L318" s="663">
        <v>35.214664152844563</v>
      </c>
      <c r="M318" s="663">
        <v>14.445160723039894</v>
      </c>
      <c r="N318" s="663">
        <v>0</v>
      </c>
      <c r="O318" s="663">
        <v>7.1872449307268287</v>
      </c>
      <c r="P318" s="663">
        <v>0</v>
      </c>
      <c r="Q318" s="663">
        <v>11.182341089352812</v>
      </c>
      <c r="R318" s="663">
        <v>0</v>
      </c>
      <c r="S318" s="663">
        <v>-68.236033723831326</v>
      </c>
      <c r="T318" s="663">
        <v>0</v>
      </c>
      <c r="U318" s="671">
        <v>4.574964204118805</v>
      </c>
    </row>
    <row r="319" spans="3:21" ht="13">
      <c r="C319" s="670" t="s">
        <v>352</v>
      </c>
      <c r="D319" s="663">
        <v>0</v>
      </c>
      <c r="E319" s="663">
        <v>0</v>
      </c>
      <c r="F319" s="663">
        <v>0</v>
      </c>
      <c r="G319" s="663">
        <v>0</v>
      </c>
      <c r="H319" s="663">
        <v>0</v>
      </c>
      <c r="I319" s="663">
        <v>0</v>
      </c>
      <c r="J319" s="663">
        <v>0</v>
      </c>
      <c r="K319" s="663">
        <v>0</v>
      </c>
      <c r="L319" s="663">
        <v>86.658949605448655</v>
      </c>
      <c r="M319" s="663">
        <v>0</v>
      </c>
      <c r="N319" s="663">
        <v>0</v>
      </c>
      <c r="O319" s="663">
        <v>-81.004566256753222</v>
      </c>
      <c r="P319" s="663">
        <v>0</v>
      </c>
      <c r="Q319" s="663">
        <v>0</v>
      </c>
      <c r="R319" s="663">
        <v>0</v>
      </c>
      <c r="S319" s="663">
        <v>0</v>
      </c>
      <c r="T319" s="663">
        <v>0</v>
      </c>
      <c r="U319" s="671">
        <v>5.6543833486954327</v>
      </c>
    </row>
    <row r="320" spans="3:21" ht="13">
      <c r="C320" s="670" t="s">
        <v>353</v>
      </c>
      <c r="D320" s="663">
        <v>0</v>
      </c>
      <c r="E320" s="663">
        <v>0</v>
      </c>
      <c r="F320" s="663">
        <v>0</v>
      </c>
      <c r="G320" s="663">
        <v>0</v>
      </c>
      <c r="H320" s="663">
        <v>0</v>
      </c>
      <c r="I320" s="663">
        <v>-0.77766156720631052</v>
      </c>
      <c r="J320" s="663">
        <v>0</v>
      </c>
      <c r="K320" s="663">
        <v>0</v>
      </c>
      <c r="L320" s="663">
        <v>0</v>
      </c>
      <c r="M320" s="663">
        <v>0</v>
      </c>
      <c r="N320" s="663">
        <v>0</v>
      </c>
      <c r="O320" s="663">
        <v>0</v>
      </c>
      <c r="P320" s="663">
        <v>0</v>
      </c>
      <c r="Q320" s="663">
        <v>0</v>
      </c>
      <c r="R320" s="663">
        <v>0</v>
      </c>
      <c r="S320" s="663">
        <v>0</v>
      </c>
      <c r="T320" s="663">
        <v>1.0822986785331616</v>
      </c>
      <c r="U320" s="671">
        <v>0.30463711132685112</v>
      </c>
    </row>
    <row r="321" spans="3:21" ht="13">
      <c r="C321" s="670" t="s">
        <v>72</v>
      </c>
      <c r="D321" s="663">
        <v>0</v>
      </c>
      <c r="E321" s="663">
        <v>229.44376619610998</v>
      </c>
      <c r="F321" s="663">
        <v>-227.15530245315296</v>
      </c>
      <c r="G321" s="663">
        <v>0</v>
      </c>
      <c r="H321" s="663">
        <v>0</v>
      </c>
      <c r="I321" s="663">
        <v>0</v>
      </c>
      <c r="J321" s="663">
        <v>0</v>
      </c>
      <c r="K321" s="663">
        <v>0</v>
      </c>
      <c r="L321" s="663">
        <v>0</v>
      </c>
      <c r="M321" s="663">
        <v>0</v>
      </c>
      <c r="N321" s="663">
        <v>0</v>
      </c>
      <c r="O321" s="663">
        <v>0</v>
      </c>
      <c r="P321" s="663">
        <v>0</v>
      </c>
      <c r="Q321" s="663">
        <v>0</v>
      </c>
      <c r="R321" s="663">
        <v>0</v>
      </c>
      <c r="S321" s="663">
        <v>0</v>
      </c>
      <c r="T321" s="663">
        <v>0</v>
      </c>
      <c r="U321" s="671">
        <v>2.2884637429570258</v>
      </c>
    </row>
    <row r="322" spans="3:21" ht="13">
      <c r="C322" s="670" t="s">
        <v>354</v>
      </c>
      <c r="D322" s="663">
        <v>0</v>
      </c>
      <c r="E322" s="663">
        <v>0</v>
      </c>
      <c r="F322" s="663">
        <v>0</v>
      </c>
      <c r="G322" s="663">
        <v>0</v>
      </c>
      <c r="H322" s="663">
        <v>0</v>
      </c>
      <c r="I322" s="663">
        <v>0</v>
      </c>
      <c r="J322" s="663">
        <v>0</v>
      </c>
      <c r="K322" s="663">
        <v>0</v>
      </c>
      <c r="L322" s="663">
        <v>110.37341937246062</v>
      </c>
      <c r="M322" s="663">
        <v>0</v>
      </c>
      <c r="N322" s="663">
        <v>-110.37341937246062</v>
      </c>
      <c r="O322" s="663">
        <v>0</v>
      </c>
      <c r="P322" s="663">
        <v>0</v>
      </c>
      <c r="Q322" s="663">
        <v>0</v>
      </c>
      <c r="R322" s="663">
        <v>0</v>
      </c>
      <c r="S322" s="663">
        <v>0</v>
      </c>
      <c r="T322" s="663">
        <v>0</v>
      </c>
      <c r="U322" s="671">
        <v>0</v>
      </c>
    </row>
    <row r="323" spans="3:21" ht="13">
      <c r="C323" s="670" t="s">
        <v>355</v>
      </c>
      <c r="D323" s="663">
        <v>0</v>
      </c>
      <c r="E323" s="663">
        <v>0</v>
      </c>
      <c r="F323" s="663">
        <v>0</v>
      </c>
      <c r="G323" s="663">
        <v>-25.838308158403624</v>
      </c>
      <c r="H323" s="663">
        <v>0</v>
      </c>
      <c r="I323" s="663">
        <v>0</v>
      </c>
      <c r="J323" s="663">
        <v>0</v>
      </c>
      <c r="K323" s="663">
        <v>0</v>
      </c>
      <c r="L323" s="663">
        <v>0</v>
      </c>
      <c r="M323" s="663">
        <v>0</v>
      </c>
      <c r="N323" s="663">
        <v>0</v>
      </c>
      <c r="O323" s="663">
        <v>0</v>
      </c>
      <c r="P323" s="663">
        <v>0</v>
      </c>
      <c r="Q323" s="663">
        <v>0</v>
      </c>
      <c r="R323" s="663">
        <v>0</v>
      </c>
      <c r="S323" s="663">
        <v>0</v>
      </c>
      <c r="T323" s="663">
        <v>35.986501613375523</v>
      </c>
      <c r="U323" s="671">
        <v>10.148193454971899</v>
      </c>
    </row>
    <row r="324" spans="3:21" ht="13">
      <c r="C324" s="670" t="s">
        <v>73</v>
      </c>
      <c r="D324" s="663">
        <v>0</v>
      </c>
      <c r="E324" s="663">
        <v>0</v>
      </c>
      <c r="F324" s="663">
        <v>0</v>
      </c>
      <c r="G324" s="663">
        <v>0</v>
      </c>
      <c r="H324" s="663">
        <v>0</v>
      </c>
      <c r="I324" s="663">
        <v>0</v>
      </c>
      <c r="J324" s="663">
        <v>0</v>
      </c>
      <c r="K324" s="663">
        <v>0</v>
      </c>
      <c r="L324" s="663">
        <v>0</v>
      </c>
      <c r="M324" s="663">
        <v>0</v>
      </c>
      <c r="N324" s="663">
        <v>0</v>
      </c>
      <c r="O324" s="663">
        <v>0</v>
      </c>
      <c r="P324" s="663">
        <v>0</v>
      </c>
      <c r="Q324" s="663">
        <v>0</v>
      </c>
      <c r="R324" s="663">
        <v>122.6947271556845</v>
      </c>
      <c r="S324" s="663">
        <v>0</v>
      </c>
      <c r="T324" s="663">
        <v>-85.334182736778573</v>
      </c>
      <c r="U324" s="671">
        <v>37.360544418905931</v>
      </c>
    </row>
    <row r="325" spans="3:21" ht="13">
      <c r="C325" s="670" t="s">
        <v>356</v>
      </c>
      <c r="D325" s="663">
        <v>5.7430949414062491</v>
      </c>
      <c r="E325" s="663">
        <v>-8.0099946110054798</v>
      </c>
      <c r="F325" s="663">
        <v>10.446968779828495</v>
      </c>
      <c r="G325" s="663">
        <v>0</v>
      </c>
      <c r="H325" s="663">
        <v>0</v>
      </c>
      <c r="I325" s="663">
        <v>0</v>
      </c>
      <c r="J325" s="663">
        <v>0</v>
      </c>
      <c r="K325" s="663">
        <v>0</v>
      </c>
      <c r="L325" s="663">
        <v>0</v>
      </c>
      <c r="M325" s="663">
        <v>0</v>
      </c>
      <c r="N325" s="663">
        <v>0</v>
      </c>
      <c r="O325" s="663">
        <v>0</v>
      </c>
      <c r="P325" s="663">
        <v>0</v>
      </c>
      <c r="Q325" s="663">
        <v>0</v>
      </c>
      <c r="R325" s="663">
        <v>0</v>
      </c>
      <c r="S325" s="663">
        <v>0</v>
      </c>
      <c r="T325" s="663">
        <v>0</v>
      </c>
      <c r="U325" s="671">
        <v>8.1800691102292635</v>
      </c>
    </row>
    <row r="326" spans="3:21" ht="13">
      <c r="C326" s="670" t="s">
        <v>75</v>
      </c>
      <c r="D326" s="663">
        <v>2.2334258105468749</v>
      </c>
      <c r="E326" s="663">
        <v>0</v>
      </c>
      <c r="F326" s="663">
        <v>17.43246590348684</v>
      </c>
      <c r="G326" s="663">
        <v>0</v>
      </c>
      <c r="H326" s="663">
        <v>2.2924587532620087</v>
      </c>
      <c r="I326" s="663">
        <v>3.0296811717119062E-2</v>
      </c>
      <c r="J326" s="663">
        <v>0</v>
      </c>
      <c r="K326" s="663">
        <v>0</v>
      </c>
      <c r="L326" s="663">
        <v>0</v>
      </c>
      <c r="M326" s="663">
        <v>0</v>
      </c>
      <c r="N326" s="663">
        <v>0</v>
      </c>
      <c r="O326" s="663">
        <v>2.7267130545407157</v>
      </c>
      <c r="P326" s="663">
        <v>0</v>
      </c>
      <c r="Q326" s="663">
        <v>0</v>
      </c>
      <c r="R326" s="663">
        <v>21.822235808041572</v>
      </c>
      <c r="S326" s="663">
        <v>0</v>
      </c>
      <c r="T326" s="663">
        <v>0</v>
      </c>
      <c r="U326" s="671">
        <v>46.537596141595124</v>
      </c>
    </row>
    <row r="327" spans="3:21" ht="13">
      <c r="C327" s="670" t="s">
        <v>76</v>
      </c>
      <c r="D327" s="663">
        <v>0</v>
      </c>
      <c r="E327" s="663">
        <v>0</v>
      </c>
      <c r="F327" s="663">
        <v>0</v>
      </c>
      <c r="G327" s="663">
        <v>0</v>
      </c>
      <c r="H327" s="663">
        <v>0.77652722768993077</v>
      </c>
      <c r="I327" s="663">
        <v>1.0262474374756796E-2</v>
      </c>
      <c r="J327" s="663">
        <v>0</v>
      </c>
      <c r="K327" s="663">
        <v>0</v>
      </c>
      <c r="L327" s="663">
        <v>0</v>
      </c>
      <c r="M327" s="663">
        <v>0</v>
      </c>
      <c r="N327" s="663">
        <v>0</v>
      </c>
      <c r="O327" s="663">
        <v>0.92362269372811168</v>
      </c>
      <c r="P327" s="663">
        <v>0</v>
      </c>
      <c r="Q327" s="663">
        <v>0</v>
      </c>
      <c r="R327" s="663">
        <v>51.265258018349606</v>
      </c>
      <c r="S327" s="663">
        <v>5.2924074535934169</v>
      </c>
      <c r="T327" s="663">
        <v>0</v>
      </c>
      <c r="U327" s="671">
        <v>58.268077867735826</v>
      </c>
    </row>
    <row r="328" spans="3:21" ht="13">
      <c r="C328" s="666" t="s">
        <v>77</v>
      </c>
      <c r="D328" s="667">
        <v>7.9765207519531245</v>
      </c>
      <c r="E328" s="667">
        <v>221.43377158510449</v>
      </c>
      <c r="F328" s="667">
        <v>-199.24940698847763</v>
      </c>
      <c r="G328" s="667">
        <v>-25.838308158403624</v>
      </c>
      <c r="H328" s="675">
        <v>9.9950129576120528</v>
      </c>
      <c r="I328" s="667">
        <v>-0.73710228111443465</v>
      </c>
      <c r="J328" s="667">
        <v>887.88984586571985</v>
      </c>
      <c r="K328" s="667">
        <v>396.24410449971316</v>
      </c>
      <c r="L328" s="667">
        <v>247.33283811494582</v>
      </c>
      <c r="M328" s="667">
        <v>21.680878740680178</v>
      </c>
      <c r="N328" s="667">
        <v>-104.31554763487013</v>
      </c>
      <c r="O328" s="667">
        <v>-69.51679984894308</v>
      </c>
      <c r="P328" s="667">
        <v>0</v>
      </c>
      <c r="Q328" s="667">
        <v>17.641436845791585</v>
      </c>
      <c r="R328" s="667">
        <v>-513.21721678431186</v>
      </c>
      <c r="S328" s="667">
        <v>-62.943626270237907</v>
      </c>
      <c r="T328" s="667">
        <v>-40.206690203099001</v>
      </c>
      <c r="U328" s="667">
        <v>794.16971119206255</v>
      </c>
    </row>
    <row r="329" spans="3:21" ht="13">
      <c r="C329" s="668"/>
      <c r="D329" s="669">
        <v>0</v>
      </c>
      <c r="E329" s="669">
        <v>0</v>
      </c>
      <c r="F329" s="669">
        <v>0</v>
      </c>
      <c r="G329" s="669">
        <v>0</v>
      </c>
      <c r="H329" s="676">
        <v>0</v>
      </c>
      <c r="I329" s="669">
        <v>0</v>
      </c>
      <c r="J329" s="669">
        <v>0</v>
      </c>
      <c r="K329" s="669">
        <v>0</v>
      </c>
      <c r="L329" s="669">
        <v>0</v>
      </c>
      <c r="M329" s="669">
        <v>0</v>
      </c>
      <c r="N329" s="669">
        <v>0</v>
      </c>
      <c r="O329" s="669">
        <v>0</v>
      </c>
      <c r="P329" s="669">
        <v>0</v>
      </c>
      <c r="Q329" s="669">
        <v>0</v>
      </c>
      <c r="R329" s="669">
        <v>0</v>
      </c>
      <c r="S329" s="669">
        <v>0</v>
      </c>
      <c r="T329" s="669">
        <v>0</v>
      </c>
      <c r="U329" s="669">
        <v>0</v>
      </c>
    </row>
    <row r="330" spans="3:21" ht="13">
      <c r="C330" s="670" t="s">
        <v>78</v>
      </c>
      <c r="D330" s="663">
        <v>2.4027599556453909</v>
      </c>
      <c r="E330" s="663">
        <v>0</v>
      </c>
      <c r="F330" s="663">
        <v>3.114463113040443</v>
      </c>
      <c r="G330" s="663">
        <v>0</v>
      </c>
      <c r="H330" s="663">
        <v>22.626318476237717</v>
      </c>
      <c r="I330" s="663">
        <v>0.29902623536878048</v>
      </c>
      <c r="J330" s="663">
        <v>0</v>
      </c>
      <c r="K330" s="663">
        <v>0</v>
      </c>
      <c r="L330" s="663">
        <v>19.572699923725285</v>
      </c>
      <c r="M330" s="663">
        <v>2.2927206810178133</v>
      </c>
      <c r="N330" s="663">
        <v>2.5907279394531253</v>
      </c>
      <c r="O330" s="663">
        <v>26.952636430442517</v>
      </c>
      <c r="P330" s="663">
        <v>8.8445146484374995</v>
      </c>
      <c r="Q330" s="663">
        <v>8.2107689234467234E-4</v>
      </c>
      <c r="R330" s="663">
        <v>134.99858174444151</v>
      </c>
      <c r="S330" s="663">
        <v>18.388872155735818</v>
      </c>
      <c r="T330" s="663">
        <v>5.7096738281250001</v>
      </c>
      <c r="U330" s="671">
        <v>247.79381620856324</v>
      </c>
    </row>
    <row r="331" spans="3:21" ht="13">
      <c r="C331" s="670" t="s">
        <v>79</v>
      </c>
      <c r="D331" s="663">
        <v>0</v>
      </c>
      <c r="E331" s="663">
        <v>0</v>
      </c>
      <c r="F331" s="663">
        <v>28.084568019979141</v>
      </c>
      <c r="G331" s="663">
        <v>1.421472124111238</v>
      </c>
      <c r="H331" s="663">
        <v>2.5860362638913656</v>
      </c>
      <c r="I331" s="663">
        <v>3.4176690712220695E-2</v>
      </c>
      <c r="J331" s="663">
        <v>0</v>
      </c>
      <c r="K331" s="663">
        <v>0</v>
      </c>
      <c r="L331" s="663">
        <v>0</v>
      </c>
      <c r="M331" s="663">
        <v>0</v>
      </c>
      <c r="N331" s="663">
        <v>58.95620249302754</v>
      </c>
      <c r="O331" s="663">
        <v>3.0759021640998623</v>
      </c>
      <c r="P331" s="663">
        <v>0</v>
      </c>
      <c r="Q331" s="663">
        <v>0</v>
      </c>
      <c r="R331" s="663">
        <v>96.758599927458889</v>
      </c>
      <c r="S331" s="663">
        <v>0</v>
      </c>
      <c r="T331" s="663">
        <v>4.2910115463144054</v>
      </c>
      <c r="U331" s="671">
        <v>195.20796922959462</v>
      </c>
    </row>
    <row r="332" spans="3:21" ht="13">
      <c r="C332" s="670" t="s">
        <v>80</v>
      </c>
      <c r="D332" s="663">
        <v>0</v>
      </c>
      <c r="E332" s="663">
        <v>0</v>
      </c>
      <c r="F332" s="663">
        <v>1.0938828648554826</v>
      </c>
      <c r="G332" s="663">
        <v>0</v>
      </c>
      <c r="H332" s="663">
        <v>16.315204996757775</v>
      </c>
      <c r="I332" s="663">
        <v>0.21561944929635826</v>
      </c>
      <c r="J332" s="663">
        <v>0</v>
      </c>
      <c r="K332" s="663">
        <v>0</v>
      </c>
      <c r="L332" s="663">
        <v>32.232635043857968</v>
      </c>
      <c r="M332" s="663">
        <v>0</v>
      </c>
      <c r="N332" s="663">
        <v>0</v>
      </c>
      <c r="O332" s="663">
        <v>19.405750436672243</v>
      </c>
      <c r="P332" s="663">
        <v>111.91504706113531</v>
      </c>
      <c r="Q332" s="663">
        <v>2.8847164087553931</v>
      </c>
      <c r="R332" s="663">
        <v>143.6282802083233</v>
      </c>
      <c r="S332" s="663">
        <v>25.545428952203935</v>
      </c>
      <c r="T332" s="663">
        <v>0</v>
      </c>
      <c r="U332" s="671">
        <v>353.23656542185773</v>
      </c>
    </row>
    <row r="333" spans="3:21" ht="13">
      <c r="C333" s="670" t="s">
        <v>81</v>
      </c>
      <c r="D333" s="663">
        <v>0</v>
      </c>
      <c r="E333" s="663">
        <v>0</v>
      </c>
      <c r="F333" s="663">
        <v>0.97723127965383472</v>
      </c>
      <c r="G333" s="663">
        <v>0</v>
      </c>
      <c r="H333" s="663">
        <v>8.896881568300115</v>
      </c>
      <c r="I333" s="663">
        <v>0.11757993262070637</v>
      </c>
      <c r="J333" s="663">
        <v>0</v>
      </c>
      <c r="K333" s="663">
        <v>0</v>
      </c>
      <c r="L333" s="663">
        <v>0.3860243395319729</v>
      </c>
      <c r="M333" s="663">
        <v>3.6858170734169985E-4</v>
      </c>
      <c r="N333" s="663">
        <v>0</v>
      </c>
      <c r="O333" s="663">
        <v>10.582193935863573</v>
      </c>
      <c r="P333" s="663">
        <v>26.610536942551132</v>
      </c>
      <c r="Q333" s="663">
        <v>1.0058473798751368</v>
      </c>
      <c r="R333" s="663">
        <v>89.039868511744515</v>
      </c>
      <c r="S333" s="663">
        <v>19.009325162298154</v>
      </c>
      <c r="T333" s="663">
        <v>0</v>
      </c>
      <c r="U333" s="671">
        <v>156.62585763414648</v>
      </c>
    </row>
    <row r="334" spans="3:21" ht="13">
      <c r="C334" s="670" t="s">
        <v>82</v>
      </c>
      <c r="D334" s="663">
        <v>0</v>
      </c>
      <c r="E334" s="663">
        <v>0</v>
      </c>
      <c r="F334" s="663">
        <v>4.1945740406306502</v>
      </c>
      <c r="G334" s="663">
        <v>1.6667279106947781</v>
      </c>
      <c r="H334" s="663">
        <v>0.79342108561234903</v>
      </c>
      <c r="I334" s="663">
        <v>1.0485741219546464E-2</v>
      </c>
      <c r="J334" s="663">
        <v>0</v>
      </c>
      <c r="K334" s="663">
        <v>0</v>
      </c>
      <c r="L334" s="663">
        <v>3.7340409967435519</v>
      </c>
      <c r="M334" s="663">
        <v>0</v>
      </c>
      <c r="N334" s="663">
        <v>16.919952753679041</v>
      </c>
      <c r="O334" s="663">
        <v>0.94371670975918176</v>
      </c>
      <c r="P334" s="663">
        <v>1.1499999999999999</v>
      </c>
      <c r="Q334" s="663">
        <v>1.5666563685107562</v>
      </c>
      <c r="R334" s="663">
        <v>7.7866370218848946</v>
      </c>
      <c r="S334" s="663">
        <v>0</v>
      </c>
      <c r="T334" s="663">
        <v>0.36062656029870238</v>
      </c>
      <c r="U334" s="671">
        <v>39.126839189033454</v>
      </c>
    </row>
    <row r="335" spans="3:21" ht="13">
      <c r="C335" s="670" t="s">
        <v>357</v>
      </c>
      <c r="D335" s="663">
        <v>0</v>
      </c>
      <c r="E335" s="663">
        <v>0</v>
      </c>
      <c r="F335" s="663">
        <v>0</v>
      </c>
      <c r="G335" s="663">
        <v>0</v>
      </c>
      <c r="H335" s="663">
        <v>0</v>
      </c>
      <c r="I335" s="663">
        <v>0</v>
      </c>
      <c r="J335" s="663">
        <v>0</v>
      </c>
      <c r="K335" s="663">
        <v>0</v>
      </c>
      <c r="L335" s="663">
        <v>0</v>
      </c>
      <c r="M335" s="663">
        <v>0</v>
      </c>
      <c r="N335" s="663">
        <v>0</v>
      </c>
      <c r="O335" s="663">
        <v>0</v>
      </c>
      <c r="P335" s="663">
        <v>0</v>
      </c>
      <c r="Q335" s="663">
        <v>0</v>
      </c>
      <c r="R335" s="663">
        <v>1.8912</v>
      </c>
      <c r="S335" s="663">
        <v>0</v>
      </c>
      <c r="T335" s="663">
        <v>0</v>
      </c>
      <c r="U335" s="671">
        <v>1.8912</v>
      </c>
    </row>
    <row r="336" spans="3:21" ht="13">
      <c r="C336" s="666" t="s">
        <v>83</v>
      </c>
      <c r="D336" s="667">
        <v>2.4027599556453909</v>
      </c>
      <c r="E336" s="667">
        <v>0</v>
      </c>
      <c r="F336" s="667">
        <v>37.464719318159553</v>
      </c>
      <c r="G336" s="667">
        <v>3.0882000348060163</v>
      </c>
      <c r="H336" s="675">
        <v>51.217862390799326</v>
      </c>
      <c r="I336" s="667">
        <v>0.67688804921761236</v>
      </c>
      <c r="J336" s="667">
        <v>0</v>
      </c>
      <c r="K336" s="667">
        <v>0</v>
      </c>
      <c r="L336" s="667">
        <v>55.925400303858773</v>
      </c>
      <c r="M336" s="667">
        <v>2.2930892627251551</v>
      </c>
      <c r="N336" s="667">
        <v>78.46688318615972</v>
      </c>
      <c r="O336" s="667">
        <v>60.960199676837377</v>
      </c>
      <c r="P336" s="667">
        <v>148.52009865212395</v>
      </c>
      <c r="Q336" s="667">
        <v>5.4580412340336313</v>
      </c>
      <c r="R336" s="667">
        <v>474.10316741385316</v>
      </c>
      <c r="S336" s="667">
        <v>62.943626270237907</v>
      </c>
      <c r="T336" s="667">
        <v>10.361311934738108</v>
      </c>
      <c r="U336" s="667">
        <v>993.8822476831956</v>
      </c>
    </row>
    <row r="337" spans="3:21" ht="13">
      <c r="C337" s="662" t="s">
        <v>84</v>
      </c>
      <c r="D337" s="663">
        <v>0</v>
      </c>
      <c r="E337" s="663">
        <v>0</v>
      </c>
      <c r="F337" s="663">
        <v>55.51811908375884</v>
      </c>
      <c r="G337" s="663">
        <v>7.0490044147499464</v>
      </c>
      <c r="H337" s="663">
        <v>5.5825875517318595</v>
      </c>
      <c r="I337" s="663">
        <v>0</v>
      </c>
      <c r="J337" s="663">
        <v>0</v>
      </c>
      <c r="K337" s="663">
        <v>0</v>
      </c>
      <c r="L337" s="663">
        <v>0.48256425190137814</v>
      </c>
      <c r="M337" s="663">
        <v>0</v>
      </c>
      <c r="N337" s="663">
        <v>17.896473357733768</v>
      </c>
      <c r="O337" s="663">
        <v>3.3065346740377066</v>
      </c>
      <c r="P337" s="663">
        <v>0</v>
      </c>
      <c r="Q337" s="663">
        <v>0</v>
      </c>
      <c r="R337" s="663">
        <v>0</v>
      </c>
      <c r="S337" s="663">
        <v>0</v>
      </c>
      <c r="T337" s="663">
        <v>28.74233427987765</v>
      </c>
      <c r="U337" s="671">
        <v>118.57761761379115</v>
      </c>
    </row>
    <row r="338" spans="3:21" ht="13">
      <c r="C338" s="666" t="s">
        <v>85</v>
      </c>
      <c r="D338" s="667">
        <v>2.4027599556453909</v>
      </c>
      <c r="E338" s="667">
        <v>0</v>
      </c>
      <c r="F338" s="667">
        <v>92.9828384019184</v>
      </c>
      <c r="G338" s="667">
        <v>10.137204449555963</v>
      </c>
      <c r="H338" s="675">
        <v>56.800449942531188</v>
      </c>
      <c r="I338" s="667">
        <v>0.67688804921761236</v>
      </c>
      <c r="J338" s="667">
        <v>0</v>
      </c>
      <c r="K338" s="667">
        <v>0</v>
      </c>
      <c r="L338" s="667">
        <v>56.407964555760152</v>
      </c>
      <c r="M338" s="667">
        <v>2.2930892627251551</v>
      </c>
      <c r="N338" s="667">
        <v>96.363356543893488</v>
      </c>
      <c r="O338" s="667">
        <v>64.266734350875069</v>
      </c>
      <c r="P338" s="667">
        <v>148.52009865212395</v>
      </c>
      <c r="Q338" s="667">
        <v>5.4580412340336313</v>
      </c>
      <c r="R338" s="667">
        <v>474.10316741385316</v>
      </c>
      <c r="S338" s="667">
        <v>62.943626270237907</v>
      </c>
      <c r="T338" s="667">
        <v>39.103646214615758</v>
      </c>
      <c r="U338" s="667">
        <v>1112.4598652969867</v>
      </c>
    </row>
    <row r="339" spans="3:21">
      <c r="C339" s="654"/>
      <c r="D339" s="672">
        <v>0</v>
      </c>
      <c r="E339" s="672">
        <v>0</v>
      </c>
      <c r="F339" s="672">
        <v>0</v>
      </c>
      <c r="G339" s="672">
        <v>0</v>
      </c>
      <c r="H339" s="672">
        <v>0</v>
      </c>
      <c r="I339" s="672">
        <v>1.0408340855860843E-16</v>
      </c>
      <c r="J339" s="672">
        <v>0</v>
      </c>
      <c r="K339" s="672">
        <v>0</v>
      </c>
      <c r="L339" s="672">
        <v>0</v>
      </c>
      <c r="M339" s="672">
        <v>0</v>
      </c>
      <c r="N339" s="672">
        <v>1.1546319456101628E-14</v>
      </c>
      <c r="O339" s="672">
        <v>-3.1086244689504383E-14</v>
      </c>
      <c r="P339" s="672">
        <v>0</v>
      </c>
      <c r="Q339" s="672">
        <v>0</v>
      </c>
      <c r="R339" s="672">
        <v>0</v>
      </c>
      <c r="S339" s="672">
        <v>0</v>
      </c>
      <c r="T339" s="672">
        <v>0</v>
      </c>
      <c r="U339" s="672">
        <v>0</v>
      </c>
    </row>
    <row r="340" spans="3:21">
      <c r="C340" s="654"/>
      <c r="D340" s="654"/>
      <c r="E340" s="654"/>
      <c r="F340" s="654"/>
      <c r="G340" s="654"/>
      <c r="H340" s="654"/>
      <c r="I340" s="654"/>
      <c r="J340" s="654"/>
      <c r="K340" s="654"/>
      <c r="L340" s="654"/>
      <c r="M340" s="654"/>
      <c r="N340" s="654"/>
      <c r="O340" s="654"/>
      <c r="P340" s="654"/>
      <c r="Q340" s="654"/>
      <c r="R340" s="654"/>
      <c r="S340" s="654"/>
      <c r="T340" s="654"/>
      <c r="U340" s="654"/>
    </row>
    <row r="341" spans="3:21" ht="14.5">
      <c r="C341" s="658" t="s">
        <v>364</v>
      </c>
      <c r="D341" s="659"/>
      <c r="E341" s="659"/>
      <c r="F341" s="659"/>
      <c r="G341" s="659"/>
      <c r="H341" s="659"/>
      <c r="I341" s="659"/>
      <c r="J341" s="659"/>
      <c r="K341" s="659"/>
      <c r="L341" s="659"/>
      <c r="M341" s="659"/>
      <c r="N341" s="659"/>
      <c r="O341" s="659"/>
      <c r="P341" s="659"/>
      <c r="Q341" s="659"/>
      <c r="R341" s="659"/>
      <c r="S341" s="659"/>
      <c r="T341" s="659"/>
      <c r="U341" s="659"/>
    </row>
    <row r="342" spans="3:21">
      <c r="C342" s="654"/>
      <c r="D342" s="654"/>
      <c r="E342" s="654"/>
      <c r="F342" s="654"/>
      <c r="G342" s="654"/>
      <c r="H342" s="654"/>
      <c r="I342" s="654"/>
      <c r="J342" s="654"/>
      <c r="K342" s="654"/>
      <c r="L342" s="654"/>
      <c r="M342" s="654"/>
      <c r="N342" s="654"/>
      <c r="O342" s="654"/>
      <c r="P342" s="654"/>
      <c r="Q342" s="654"/>
      <c r="R342" s="654"/>
      <c r="S342" s="654"/>
      <c r="T342" s="654"/>
      <c r="U342" s="654"/>
    </row>
    <row r="343" spans="3:21" ht="13">
      <c r="C343" s="706" t="s">
        <v>128</v>
      </c>
      <c r="D343" s="704" t="s">
        <v>42</v>
      </c>
      <c r="E343" s="704" t="s">
        <v>52</v>
      </c>
      <c r="F343" s="704" t="s">
        <v>53</v>
      </c>
      <c r="G343" s="704" t="s">
        <v>487</v>
      </c>
      <c r="H343" s="704" t="s">
        <v>32</v>
      </c>
      <c r="I343" s="704" t="s">
        <v>488</v>
      </c>
      <c r="J343" s="704" t="s">
        <v>20</v>
      </c>
      <c r="K343" s="704" t="s">
        <v>55</v>
      </c>
      <c r="L343" s="708" t="s">
        <v>56</v>
      </c>
      <c r="M343" s="709"/>
      <c r="N343" s="709"/>
      <c r="O343" s="709"/>
      <c r="P343" s="709"/>
      <c r="Q343" s="710"/>
      <c r="R343" s="704" t="s">
        <v>57</v>
      </c>
      <c r="S343" s="704" t="s">
        <v>58</v>
      </c>
      <c r="T343" s="704" t="s">
        <v>31</v>
      </c>
      <c r="U343" s="704" t="s">
        <v>10</v>
      </c>
    </row>
    <row r="344" spans="3:21" ht="36">
      <c r="C344" s="707"/>
      <c r="D344" s="705"/>
      <c r="E344" s="705"/>
      <c r="F344" s="705"/>
      <c r="G344" s="705"/>
      <c r="H344" s="705"/>
      <c r="I344" s="705"/>
      <c r="J344" s="705"/>
      <c r="K344" s="705"/>
      <c r="L344" s="660" t="s">
        <v>338</v>
      </c>
      <c r="M344" s="660" t="s">
        <v>40</v>
      </c>
      <c r="N344" s="660" t="s">
        <v>346</v>
      </c>
      <c r="O344" s="660" t="s">
        <v>347</v>
      </c>
      <c r="P344" s="661" t="s">
        <v>348</v>
      </c>
      <c r="Q344" s="660" t="s">
        <v>349</v>
      </c>
      <c r="R344" s="705"/>
      <c r="S344" s="705"/>
      <c r="T344" s="705"/>
      <c r="U344" s="705"/>
    </row>
    <row r="345" spans="3:21" ht="13">
      <c r="C345" s="662" t="s">
        <v>59</v>
      </c>
      <c r="D345" s="663">
        <v>0</v>
      </c>
      <c r="E345" s="663">
        <v>0</v>
      </c>
      <c r="F345" s="663">
        <v>0</v>
      </c>
      <c r="G345" s="663">
        <v>0</v>
      </c>
      <c r="H345" s="663">
        <v>0</v>
      </c>
      <c r="I345" s="663">
        <v>0</v>
      </c>
      <c r="J345" s="664">
        <v>835.87348477446847</v>
      </c>
      <c r="K345" s="664">
        <v>433.2264513609648</v>
      </c>
      <c r="L345" s="664">
        <v>288.88340552324502</v>
      </c>
      <c r="M345" s="664">
        <v>22.07866786794175</v>
      </c>
      <c r="N345" s="663">
        <v>1.6797912871987437</v>
      </c>
      <c r="O345" s="663">
        <v>0.17065445399605614</v>
      </c>
      <c r="P345" s="664">
        <v>155.82057805919561</v>
      </c>
      <c r="Q345" s="664">
        <v>23.487215011212861</v>
      </c>
      <c r="R345" s="663">
        <v>0</v>
      </c>
      <c r="S345" s="663">
        <v>0</v>
      </c>
      <c r="T345" s="663">
        <v>0</v>
      </c>
      <c r="U345" s="665">
        <v>1761.2202483382232</v>
      </c>
    </row>
    <row r="346" spans="3:21" ht="13">
      <c r="C346" s="662" t="s">
        <v>60</v>
      </c>
      <c r="D346" s="663">
        <v>9.1088960408946864</v>
      </c>
      <c r="E346" s="663">
        <v>190.65660017812178</v>
      </c>
      <c r="F346" s="663">
        <v>2.9590354993625017</v>
      </c>
      <c r="G346" s="663">
        <v>0</v>
      </c>
      <c r="H346" s="663">
        <v>52.772371882452688</v>
      </c>
      <c r="I346" s="663">
        <v>0</v>
      </c>
      <c r="J346" s="663">
        <v>0</v>
      </c>
      <c r="K346" s="663">
        <v>0</v>
      </c>
      <c r="L346" s="663">
        <v>4.8125993033158778</v>
      </c>
      <c r="M346" s="663">
        <v>0</v>
      </c>
      <c r="N346" s="663">
        <v>5.0080801377734332</v>
      </c>
      <c r="O346" s="663">
        <v>0</v>
      </c>
      <c r="P346" s="663">
        <v>0</v>
      </c>
      <c r="Q346" s="663">
        <v>0</v>
      </c>
      <c r="R346" s="663">
        <v>0</v>
      </c>
      <c r="S346" s="663">
        <v>0</v>
      </c>
      <c r="T346" s="663">
        <v>0</v>
      </c>
      <c r="U346" s="665">
        <v>265.31758304192095</v>
      </c>
    </row>
    <row r="347" spans="3:21" ht="13">
      <c r="C347" s="662" t="s">
        <v>61</v>
      </c>
      <c r="D347" s="663">
        <v>0</v>
      </c>
      <c r="E347" s="663">
        <v>0</v>
      </c>
      <c r="F347" s="663">
        <v>-67.846394386464354</v>
      </c>
      <c r="G347" s="663">
        <v>-3.5527136788005009E-15</v>
      </c>
      <c r="H347" s="663">
        <v>0</v>
      </c>
      <c r="I347" s="663">
        <v>0</v>
      </c>
      <c r="J347" s="663">
        <v>0</v>
      </c>
      <c r="K347" s="663">
        <v>0</v>
      </c>
      <c r="L347" s="663">
        <v>0</v>
      </c>
      <c r="M347" s="663">
        <v>0</v>
      </c>
      <c r="N347" s="663">
        <v>0</v>
      </c>
      <c r="O347" s="663">
        <v>0</v>
      </c>
      <c r="P347" s="663">
        <v>0</v>
      </c>
      <c r="Q347" s="663">
        <v>0</v>
      </c>
      <c r="R347" s="663">
        <v>-40.00031821738844</v>
      </c>
      <c r="S347" s="663">
        <v>0</v>
      </c>
      <c r="T347" s="663">
        <v>0</v>
      </c>
      <c r="U347" s="665">
        <v>-107.84671260385279</v>
      </c>
    </row>
    <row r="348" spans="3:21" ht="13">
      <c r="C348" s="662" t="s">
        <v>62</v>
      </c>
      <c r="D348" s="663">
        <v>0</v>
      </c>
      <c r="E348" s="663">
        <v>0</v>
      </c>
      <c r="F348" s="663">
        <v>-5.3541729526260253</v>
      </c>
      <c r="G348" s="663">
        <v>-3.2544454489343884</v>
      </c>
      <c r="H348" s="663">
        <v>-2.154938128893316</v>
      </c>
      <c r="I348" s="663">
        <v>-5.5254823817777333E-2</v>
      </c>
      <c r="J348" s="663">
        <v>0</v>
      </c>
      <c r="K348" s="663">
        <v>0</v>
      </c>
      <c r="L348" s="663">
        <v>0</v>
      </c>
      <c r="M348" s="663">
        <v>0</v>
      </c>
      <c r="N348" s="663">
        <v>-0.28299525642907725</v>
      </c>
      <c r="O348" s="663">
        <v>-3.3152894290666399</v>
      </c>
      <c r="P348" s="663">
        <v>0</v>
      </c>
      <c r="Q348" s="663">
        <v>0</v>
      </c>
      <c r="R348" s="663">
        <v>0</v>
      </c>
      <c r="S348" s="663">
        <v>0</v>
      </c>
      <c r="T348" s="663">
        <v>0</v>
      </c>
      <c r="U348" s="665">
        <v>-14.417096039767225</v>
      </c>
    </row>
    <row r="349" spans="3:21" ht="13">
      <c r="C349" s="662" t="s">
        <v>63</v>
      </c>
      <c r="D349" s="663">
        <v>0</v>
      </c>
      <c r="E349" s="663">
        <v>0</v>
      </c>
      <c r="F349" s="663">
        <v>-38.578656039955483</v>
      </c>
      <c r="G349" s="663">
        <v>-13.893394907220655</v>
      </c>
      <c r="H349" s="663">
        <v>0</v>
      </c>
      <c r="I349" s="663">
        <v>0</v>
      </c>
      <c r="J349" s="663">
        <v>0</v>
      </c>
      <c r="K349" s="663">
        <v>0</v>
      </c>
      <c r="L349" s="663">
        <v>0</v>
      </c>
      <c r="M349" s="663">
        <v>0</v>
      </c>
      <c r="N349" s="663">
        <v>-13.893394907220655</v>
      </c>
      <c r="O349" s="663">
        <v>0</v>
      </c>
      <c r="P349" s="663">
        <v>0</v>
      </c>
      <c r="Q349" s="663">
        <v>0</v>
      </c>
      <c r="R349" s="663">
        <v>0</v>
      </c>
      <c r="S349" s="663">
        <v>0</v>
      </c>
      <c r="T349" s="663">
        <v>-1.3953345659196588</v>
      </c>
      <c r="U349" s="665">
        <v>-67.760780420316451</v>
      </c>
    </row>
    <row r="350" spans="3:21" ht="13">
      <c r="C350" s="662" t="s">
        <v>64</v>
      </c>
      <c r="D350" s="663">
        <v>0</v>
      </c>
      <c r="E350" s="663">
        <v>0</v>
      </c>
      <c r="F350" s="663">
        <v>0</v>
      </c>
      <c r="G350" s="663">
        <v>0</v>
      </c>
      <c r="H350" s="663">
        <v>0</v>
      </c>
      <c r="I350" s="663">
        <v>0</v>
      </c>
      <c r="J350" s="663">
        <v>0</v>
      </c>
      <c r="K350" s="663">
        <v>0</v>
      </c>
      <c r="L350" s="663">
        <v>0</v>
      </c>
      <c r="M350" s="663">
        <v>0</v>
      </c>
      <c r="N350" s="663">
        <v>0</v>
      </c>
      <c r="O350" s="663">
        <v>0</v>
      </c>
      <c r="P350" s="663">
        <v>0</v>
      </c>
      <c r="Q350" s="663">
        <v>0</v>
      </c>
      <c r="R350" s="663">
        <v>0</v>
      </c>
      <c r="S350" s="663">
        <v>0</v>
      </c>
      <c r="T350" s="663">
        <v>0</v>
      </c>
      <c r="U350" s="665">
        <v>0</v>
      </c>
    </row>
    <row r="351" spans="3:21" ht="13">
      <c r="C351" s="666" t="s">
        <v>65</v>
      </c>
      <c r="D351" s="667">
        <v>9.1088960408946864</v>
      </c>
      <c r="E351" s="667">
        <v>190.65660017812178</v>
      </c>
      <c r="F351" s="667">
        <v>-108.82018787968336</v>
      </c>
      <c r="G351" s="667">
        <v>-17.147840356155047</v>
      </c>
      <c r="H351" s="675">
        <v>50.617433753559375</v>
      </c>
      <c r="I351" s="667">
        <v>-5.5254823817777333E-2</v>
      </c>
      <c r="J351" s="667">
        <v>835.87348477446847</v>
      </c>
      <c r="K351" s="667">
        <v>433.2264513609648</v>
      </c>
      <c r="L351" s="667">
        <v>293.69600482656091</v>
      </c>
      <c r="M351" s="667">
        <v>22.07866786794175</v>
      </c>
      <c r="N351" s="667">
        <v>-7.4885187386775538</v>
      </c>
      <c r="O351" s="667">
        <v>-3.1446349750705838</v>
      </c>
      <c r="P351" s="667">
        <v>155.82057805919561</v>
      </c>
      <c r="Q351" s="667">
        <v>23.487215011212861</v>
      </c>
      <c r="R351" s="667">
        <v>-40.00031821738844</v>
      </c>
      <c r="S351" s="667">
        <v>0</v>
      </c>
      <c r="T351" s="667">
        <v>-1.3953345659196588</v>
      </c>
      <c r="U351" s="667">
        <v>1836.5132423162074</v>
      </c>
    </row>
    <row r="352" spans="3:21" ht="13">
      <c r="C352" s="668"/>
      <c r="D352" s="669">
        <v>0</v>
      </c>
      <c r="E352" s="669">
        <v>0</v>
      </c>
      <c r="F352" s="669">
        <v>0</v>
      </c>
      <c r="G352" s="669">
        <v>0</v>
      </c>
      <c r="H352" s="676">
        <v>0</v>
      </c>
      <c r="I352" s="669">
        <v>0</v>
      </c>
      <c r="J352" s="669">
        <v>0</v>
      </c>
      <c r="K352" s="669">
        <v>0</v>
      </c>
      <c r="L352" s="669">
        <v>0</v>
      </c>
      <c r="M352" s="669">
        <v>0</v>
      </c>
      <c r="N352" s="669">
        <v>0</v>
      </c>
      <c r="O352" s="669">
        <v>0</v>
      </c>
      <c r="P352" s="669">
        <v>0</v>
      </c>
      <c r="Q352" s="669">
        <v>0</v>
      </c>
      <c r="R352" s="669">
        <v>0</v>
      </c>
      <c r="S352" s="669">
        <v>0</v>
      </c>
      <c r="T352" s="669">
        <v>0</v>
      </c>
      <c r="U352" s="669">
        <v>0</v>
      </c>
    </row>
    <row r="353" spans="3:21" ht="13">
      <c r="C353" s="670" t="s">
        <v>67</v>
      </c>
      <c r="D353" s="663">
        <v>0</v>
      </c>
      <c r="E353" s="663">
        <v>0</v>
      </c>
      <c r="F353" s="663">
        <v>0</v>
      </c>
      <c r="G353" s="663">
        <v>0</v>
      </c>
      <c r="H353" s="663">
        <v>0</v>
      </c>
      <c r="I353" s="663">
        <v>0</v>
      </c>
      <c r="J353" s="663">
        <v>0</v>
      </c>
      <c r="K353" s="663">
        <v>0</v>
      </c>
      <c r="L353" s="663">
        <v>0</v>
      </c>
      <c r="M353" s="663">
        <v>0</v>
      </c>
      <c r="N353" s="663">
        <v>0</v>
      </c>
      <c r="O353" s="663">
        <v>0</v>
      </c>
      <c r="P353" s="663">
        <v>0</v>
      </c>
      <c r="Q353" s="663">
        <v>0</v>
      </c>
      <c r="R353" s="663">
        <v>0</v>
      </c>
      <c r="S353" s="663">
        <v>0</v>
      </c>
      <c r="T353" s="663">
        <v>0</v>
      </c>
      <c r="U353" s="671">
        <v>0</v>
      </c>
    </row>
    <row r="354" spans="3:21" ht="13">
      <c r="C354" s="670" t="s">
        <v>350</v>
      </c>
      <c r="D354" s="663">
        <v>0</v>
      </c>
      <c r="E354" s="663">
        <v>0</v>
      </c>
      <c r="F354" s="663">
        <v>0</v>
      </c>
      <c r="G354" s="663">
        <v>0</v>
      </c>
      <c r="H354" s="663">
        <v>0</v>
      </c>
      <c r="I354" s="663">
        <v>0</v>
      </c>
      <c r="J354" s="663">
        <v>835.87348477446847</v>
      </c>
      <c r="K354" s="663">
        <v>433.2264513609648</v>
      </c>
      <c r="L354" s="663">
        <v>14.188154051569427</v>
      </c>
      <c r="M354" s="663">
        <v>5.3742483693021068</v>
      </c>
      <c r="N354" s="663">
        <v>6.3451610040287907</v>
      </c>
      <c r="O354" s="663">
        <v>0.11419280490868838</v>
      </c>
      <c r="P354" s="663">
        <v>0</v>
      </c>
      <c r="Q354" s="663">
        <v>6.4766550958451852</v>
      </c>
      <c r="R354" s="663">
        <v>-726.93629039774203</v>
      </c>
      <c r="S354" s="663">
        <v>0</v>
      </c>
      <c r="T354" s="663">
        <v>11.298964449788109</v>
      </c>
      <c r="U354" s="671">
        <v>585.96102151313323</v>
      </c>
    </row>
    <row r="355" spans="3:21" ht="13">
      <c r="C355" s="670" t="s">
        <v>351</v>
      </c>
      <c r="D355" s="663">
        <v>0</v>
      </c>
      <c r="E355" s="663">
        <v>0</v>
      </c>
      <c r="F355" s="663">
        <v>0</v>
      </c>
      <c r="G355" s="663">
        <v>0</v>
      </c>
      <c r="H355" s="663">
        <v>3.2711110414405256</v>
      </c>
      <c r="I355" s="663">
        <v>0</v>
      </c>
      <c r="J355" s="663">
        <v>0</v>
      </c>
      <c r="K355" s="663">
        <v>0</v>
      </c>
      <c r="L355" s="663">
        <v>34.963821149394811</v>
      </c>
      <c r="M355" s="663">
        <v>14.476121269049287</v>
      </c>
      <c r="N355" s="663">
        <v>0</v>
      </c>
      <c r="O355" s="663">
        <v>7.6477038720835147</v>
      </c>
      <c r="P355" s="663">
        <v>0</v>
      </c>
      <c r="Q355" s="663">
        <v>11.276034288959668</v>
      </c>
      <c r="R355" s="663">
        <v>0</v>
      </c>
      <c r="S355" s="663">
        <v>-67.494467143680438</v>
      </c>
      <c r="T355" s="663">
        <v>0</v>
      </c>
      <c r="U355" s="671">
        <v>4.1403244772473649</v>
      </c>
    </row>
    <row r="356" spans="3:21" ht="13">
      <c r="C356" s="670" t="s">
        <v>352</v>
      </c>
      <c r="D356" s="663">
        <v>0</v>
      </c>
      <c r="E356" s="663">
        <v>0</v>
      </c>
      <c r="F356" s="663">
        <v>0</v>
      </c>
      <c r="G356" s="663">
        <v>0</v>
      </c>
      <c r="H356" s="663">
        <v>0</v>
      </c>
      <c r="I356" s="663">
        <v>0</v>
      </c>
      <c r="J356" s="663">
        <v>0</v>
      </c>
      <c r="K356" s="663">
        <v>0</v>
      </c>
      <c r="L356" s="663">
        <v>85.030807044207506</v>
      </c>
      <c r="M356" s="663">
        <v>0</v>
      </c>
      <c r="N356" s="663">
        <v>0</v>
      </c>
      <c r="O356" s="663">
        <v>-80.149276434896436</v>
      </c>
      <c r="P356" s="663">
        <v>0</v>
      </c>
      <c r="Q356" s="663">
        <v>0</v>
      </c>
      <c r="R356" s="663">
        <v>0</v>
      </c>
      <c r="S356" s="663">
        <v>0</v>
      </c>
      <c r="T356" s="663">
        <v>0</v>
      </c>
      <c r="U356" s="671">
        <v>4.8815306093110706</v>
      </c>
    </row>
    <row r="357" spans="3:21" ht="13">
      <c r="C357" s="670" t="s">
        <v>353</v>
      </c>
      <c r="D357" s="663">
        <v>0</v>
      </c>
      <c r="E357" s="663">
        <v>0</v>
      </c>
      <c r="F357" s="663">
        <v>0</v>
      </c>
      <c r="G357" s="663">
        <v>0</v>
      </c>
      <c r="H357" s="663">
        <v>0</v>
      </c>
      <c r="I357" s="663">
        <v>-1.1466991714325052</v>
      </c>
      <c r="J357" s="663">
        <v>0</v>
      </c>
      <c r="K357" s="663">
        <v>0</v>
      </c>
      <c r="L357" s="663">
        <v>0</v>
      </c>
      <c r="M357" s="663">
        <v>0</v>
      </c>
      <c r="N357" s="663">
        <v>0</v>
      </c>
      <c r="O357" s="663">
        <v>0</v>
      </c>
      <c r="P357" s="663">
        <v>0</v>
      </c>
      <c r="Q357" s="663">
        <v>0</v>
      </c>
      <c r="R357" s="663">
        <v>0</v>
      </c>
      <c r="S357" s="663">
        <v>0</v>
      </c>
      <c r="T357" s="663">
        <v>1.5966000387788533</v>
      </c>
      <c r="U357" s="671">
        <v>0.44990086734634804</v>
      </c>
    </row>
    <row r="358" spans="3:21" ht="13">
      <c r="C358" s="670" t="s">
        <v>72</v>
      </c>
      <c r="D358" s="663">
        <v>0</v>
      </c>
      <c r="E358" s="663">
        <v>197.54631533572405</v>
      </c>
      <c r="F358" s="663">
        <v>-195.57532355071015</v>
      </c>
      <c r="G358" s="663">
        <v>0</v>
      </c>
      <c r="H358" s="663">
        <v>0</v>
      </c>
      <c r="I358" s="663">
        <v>0</v>
      </c>
      <c r="J358" s="663">
        <v>0</v>
      </c>
      <c r="K358" s="663">
        <v>0</v>
      </c>
      <c r="L358" s="663">
        <v>0</v>
      </c>
      <c r="M358" s="663">
        <v>0</v>
      </c>
      <c r="N358" s="663">
        <v>0</v>
      </c>
      <c r="O358" s="663">
        <v>0</v>
      </c>
      <c r="P358" s="663">
        <v>0</v>
      </c>
      <c r="Q358" s="663">
        <v>0</v>
      </c>
      <c r="R358" s="663">
        <v>0</v>
      </c>
      <c r="S358" s="663">
        <v>0</v>
      </c>
      <c r="T358" s="663">
        <v>0</v>
      </c>
      <c r="U358" s="671">
        <v>1.9709917850139052</v>
      </c>
    </row>
    <row r="359" spans="3:21" ht="13">
      <c r="C359" s="670" t="s">
        <v>354</v>
      </c>
      <c r="D359" s="663">
        <v>0</v>
      </c>
      <c r="E359" s="663">
        <v>0</v>
      </c>
      <c r="F359" s="663">
        <v>0</v>
      </c>
      <c r="G359" s="663">
        <v>0</v>
      </c>
      <c r="H359" s="663">
        <v>0</v>
      </c>
      <c r="I359" s="663">
        <v>0</v>
      </c>
      <c r="J359" s="663">
        <v>0</v>
      </c>
      <c r="K359" s="663">
        <v>0</v>
      </c>
      <c r="L359" s="663">
        <v>104.32434467350188</v>
      </c>
      <c r="M359" s="663">
        <v>0</v>
      </c>
      <c r="N359" s="663">
        <v>-104.32434467350188</v>
      </c>
      <c r="O359" s="663">
        <v>0</v>
      </c>
      <c r="P359" s="663">
        <v>0</v>
      </c>
      <c r="Q359" s="663">
        <v>0</v>
      </c>
      <c r="R359" s="663">
        <v>0</v>
      </c>
      <c r="S359" s="663">
        <v>0</v>
      </c>
      <c r="T359" s="663">
        <v>0</v>
      </c>
      <c r="U359" s="671">
        <v>0</v>
      </c>
    </row>
    <row r="360" spans="3:21" ht="13">
      <c r="C360" s="670" t="s">
        <v>355</v>
      </c>
      <c r="D360" s="663">
        <v>0</v>
      </c>
      <c r="E360" s="663">
        <v>0</v>
      </c>
      <c r="F360" s="663">
        <v>0</v>
      </c>
      <c r="G360" s="663">
        <v>-28.456538558191252</v>
      </c>
      <c r="H360" s="663">
        <v>0</v>
      </c>
      <c r="I360" s="663">
        <v>0</v>
      </c>
      <c r="J360" s="663">
        <v>0</v>
      </c>
      <c r="K360" s="663">
        <v>0</v>
      </c>
      <c r="L360" s="663">
        <v>0</v>
      </c>
      <c r="M360" s="663">
        <v>0</v>
      </c>
      <c r="N360" s="663">
        <v>0</v>
      </c>
      <c r="O360" s="663">
        <v>0</v>
      </c>
      <c r="P360" s="663">
        <v>0</v>
      </c>
      <c r="Q360" s="663">
        <v>0</v>
      </c>
      <c r="R360" s="663">
        <v>0</v>
      </c>
      <c r="S360" s="663">
        <v>0</v>
      </c>
      <c r="T360" s="663">
        <v>39.633062058762192</v>
      </c>
      <c r="U360" s="671">
        <v>11.176523500570941</v>
      </c>
    </row>
    <row r="361" spans="3:21" ht="13">
      <c r="C361" s="670" t="s">
        <v>73</v>
      </c>
      <c r="D361" s="663">
        <v>0</v>
      </c>
      <c r="E361" s="663">
        <v>0</v>
      </c>
      <c r="F361" s="663">
        <v>0</v>
      </c>
      <c r="G361" s="663">
        <v>0</v>
      </c>
      <c r="H361" s="663">
        <v>0</v>
      </c>
      <c r="I361" s="663">
        <v>0</v>
      </c>
      <c r="J361" s="663">
        <v>0</v>
      </c>
      <c r="K361" s="663">
        <v>0</v>
      </c>
      <c r="L361" s="663">
        <v>0</v>
      </c>
      <c r="M361" s="663">
        <v>0</v>
      </c>
      <c r="N361" s="663">
        <v>0</v>
      </c>
      <c r="O361" s="663">
        <v>0</v>
      </c>
      <c r="P361" s="663">
        <v>0</v>
      </c>
      <c r="Q361" s="663">
        <v>0</v>
      </c>
      <c r="R361" s="663">
        <v>137.29765828865015</v>
      </c>
      <c r="S361" s="663">
        <v>0</v>
      </c>
      <c r="T361" s="663">
        <v>-96.451604947776744</v>
      </c>
      <c r="U361" s="671">
        <v>40.846053340873411</v>
      </c>
    </row>
    <row r="362" spans="3:21" ht="13">
      <c r="C362" s="670" t="s">
        <v>356</v>
      </c>
      <c r="D362" s="663">
        <v>5.0092797656249992</v>
      </c>
      <c r="E362" s="663">
        <v>-6.8897151576022866</v>
      </c>
      <c r="F362" s="663">
        <v>8.9891621815142653</v>
      </c>
      <c r="G362" s="663">
        <v>0</v>
      </c>
      <c r="H362" s="663">
        <v>0</v>
      </c>
      <c r="I362" s="663">
        <v>0</v>
      </c>
      <c r="J362" s="663">
        <v>0</v>
      </c>
      <c r="K362" s="663">
        <v>0</v>
      </c>
      <c r="L362" s="663">
        <v>0</v>
      </c>
      <c r="M362" s="663">
        <v>0</v>
      </c>
      <c r="N362" s="663">
        <v>0</v>
      </c>
      <c r="O362" s="663">
        <v>0</v>
      </c>
      <c r="P362" s="663">
        <v>0</v>
      </c>
      <c r="Q362" s="663">
        <v>0</v>
      </c>
      <c r="R362" s="663">
        <v>0</v>
      </c>
      <c r="S362" s="663">
        <v>0</v>
      </c>
      <c r="T362" s="663">
        <v>0</v>
      </c>
      <c r="U362" s="671">
        <v>7.1087267895369788</v>
      </c>
    </row>
    <row r="363" spans="3:21" ht="13">
      <c r="C363" s="670" t="s">
        <v>75</v>
      </c>
      <c r="D363" s="663">
        <v>1.9480532421875001</v>
      </c>
      <c r="E363" s="663">
        <v>0</v>
      </c>
      <c r="F363" s="663">
        <v>17.132121990826434</v>
      </c>
      <c r="G363" s="663">
        <v>0</v>
      </c>
      <c r="H363" s="663">
        <v>1.9377811160090992</v>
      </c>
      <c r="I363" s="663">
        <v>4.9686695282284594E-2</v>
      </c>
      <c r="J363" s="663">
        <v>0</v>
      </c>
      <c r="K363" s="663">
        <v>0</v>
      </c>
      <c r="L363" s="663">
        <v>0</v>
      </c>
      <c r="M363" s="663">
        <v>0</v>
      </c>
      <c r="N363" s="663">
        <v>0</v>
      </c>
      <c r="O363" s="663">
        <v>2.9812017169370755</v>
      </c>
      <c r="P363" s="663">
        <v>0</v>
      </c>
      <c r="Q363" s="663">
        <v>0</v>
      </c>
      <c r="R363" s="663">
        <v>20.439487728936754</v>
      </c>
      <c r="S363" s="663">
        <v>0</v>
      </c>
      <c r="T363" s="663">
        <v>0</v>
      </c>
      <c r="U363" s="671">
        <v>44.488332490179147</v>
      </c>
    </row>
    <row r="364" spans="3:21" ht="13">
      <c r="C364" s="670" t="s">
        <v>76</v>
      </c>
      <c r="D364" s="663">
        <v>0</v>
      </c>
      <c r="E364" s="663">
        <v>0</v>
      </c>
      <c r="F364" s="663">
        <v>0</v>
      </c>
      <c r="G364" s="663">
        <v>0</v>
      </c>
      <c r="H364" s="663">
        <v>0.58071595304039991</v>
      </c>
      <c r="I364" s="663">
        <v>1.4890152642061536E-2</v>
      </c>
      <c r="J364" s="663">
        <v>0</v>
      </c>
      <c r="K364" s="663">
        <v>0</v>
      </c>
      <c r="L364" s="663">
        <v>0</v>
      </c>
      <c r="M364" s="663">
        <v>0</v>
      </c>
      <c r="N364" s="663">
        <v>0</v>
      </c>
      <c r="O364" s="663">
        <v>0.89340915852369218</v>
      </c>
      <c r="P364" s="663">
        <v>0</v>
      </c>
      <c r="Q364" s="663">
        <v>0</v>
      </c>
      <c r="R364" s="663">
        <v>52.564064229351587</v>
      </c>
      <c r="S364" s="663">
        <v>5.2350040213197584</v>
      </c>
      <c r="T364" s="663">
        <v>0</v>
      </c>
      <c r="U364" s="671">
        <v>59.288083514877499</v>
      </c>
    </row>
    <row r="365" spans="3:21" ht="13">
      <c r="C365" s="666" t="s">
        <v>77</v>
      </c>
      <c r="D365" s="667">
        <v>6.9573330078124993</v>
      </c>
      <c r="E365" s="667">
        <v>190.65660017812178</v>
      </c>
      <c r="F365" s="667">
        <v>-169.45403937836946</v>
      </c>
      <c r="G365" s="667">
        <v>-28.456538558191252</v>
      </c>
      <c r="H365" s="675">
        <v>5.7896081104900246</v>
      </c>
      <c r="I365" s="667">
        <v>-1.0821223235081592</v>
      </c>
      <c r="J365" s="667">
        <v>835.87348477446847</v>
      </c>
      <c r="K365" s="667">
        <v>433.2264513609648</v>
      </c>
      <c r="L365" s="667">
        <v>238.50712691867363</v>
      </c>
      <c r="M365" s="667">
        <v>19.850369638351395</v>
      </c>
      <c r="N365" s="667">
        <v>-97.979183669473088</v>
      </c>
      <c r="O365" s="667">
        <v>-68.512768882443467</v>
      </c>
      <c r="P365" s="667">
        <v>0</v>
      </c>
      <c r="Q365" s="667">
        <v>17.752689384804853</v>
      </c>
      <c r="R365" s="667">
        <v>-516.63508015080356</v>
      </c>
      <c r="S365" s="667">
        <v>-62.259463122360671</v>
      </c>
      <c r="T365" s="667">
        <v>-43.92297840044759</v>
      </c>
      <c r="U365" s="667">
        <v>760.31148888809003</v>
      </c>
    </row>
    <row r="366" spans="3:21" ht="13">
      <c r="C366" s="668"/>
      <c r="D366" s="669">
        <v>0</v>
      </c>
      <c r="E366" s="669">
        <v>0</v>
      </c>
      <c r="F366" s="669">
        <v>0</v>
      </c>
      <c r="G366" s="669">
        <v>0</v>
      </c>
      <c r="H366" s="676">
        <v>0</v>
      </c>
      <c r="I366" s="669">
        <v>0</v>
      </c>
      <c r="J366" s="669">
        <v>0</v>
      </c>
      <c r="K366" s="669">
        <v>0</v>
      </c>
      <c r="L366" s="669">
        <v>0</v>
      </c>
      <c r="M366" s="669">
        <v>0</v>
      </c>
      <c r="N366" s="669">
        <v>0</v>
      </c>
      <c r="O366" s="669">
        <v>0</v>
      </c>
      <c r="P366" s="669">
        <v>0</v>
      </c>
      <c r="Q366" s="669">
        <v>0</v>
      </c>
      <c r="R366" s="669">
        <v>0</v>
      </c>
      <c r="S366" s="669">
        <v>0</v>
      </c>
      <c r="T366" s="669">
        <v>0</v>
      </c>
      <c r="U366" s="669">
        <v>0</v>
      </c>
    </row>
    <row r="367" spans="3:21" ht="13">
      <c r="C367" s="670" t="s">
        <v>78</v>
      </c>
      <c r="D367" s="663">
        <v>2.1515630330821871</v>
      </c>
      <c r="E367" s="663">
        <v>0</v>
      </c>
      <c r="F367" s="663">
        <v>1.9729303012498745</v>
      </c>
      <c r="G367" s="663">
        <v>0</v>
      </c>
      <c r="H367" s="663">
        <v>17.624600662262115</v>
      </c>
      <c r="I367" s="663">
        <v>0.45191283749390032</v>
      </c>
      <c r="J367" s="663">
        <v>0</v>
      </c>
      <c r="K367" s="663">
        <v>0</v>
      </c>
      <c r="L367" s="663">
        <v>19.327819378703428</v>
      </c>
      <c r="M367" s="663">
        <v>2.2279514023281117</v>
      </c>
      <c r="N367" s="663">
        <v>2.6644658203125</v>
      </c>
      <c r="O367" s="663">
        <v>27.156120456665761</v>
      </c>
      <c r="P367" s="663">
        <v>9.6085478515625002</v>
      </c>
      <c r="Q367" s="663">
        <v>8.4299170840015686E-4</v>
      </c>
      <c r="R367" s="663">
        <v>135.80773886663795</v>
      </c>
      <c r="S367" s="663">
        <v>18.436108583667494</v>
      </c>
      <c r="T367" s="663">
        <v>6.3938178710937503</v>
      </c>
      <c r="U367" s="671">
        <v>243.82442005676796</v>
      </c>
    </row>
    <row r="368" spans="3:21" ht="13">
      <c r="C368" s="670" t="s">
        <v>79</v>
      </c>
      <c r="D368" s="663">
        <v>0</v>
      </c>
      <c r="E368" s="663">
        <v>0</v>
      </c>
      <c r="F368" s="663">
        <v>5.1934680094593588</v>
      </c>
      <c r="G368" s="663">
        <v>1.7577012997845347</v>
      </c>
      <c r="H368" s="663">
        <v>2.152977175631825</v>
      </c>
      <c r="I368" s="663">
        <v>5.5204542964918585E-2</v>
      </c>
      <c r="J368" s="663">
        <v>0</v>
      </c>
      <c r="K368" s="663">
        <v>0</v>
      </c>
      <c r="L368" s="663">
        <v>0</v>
      </c>
      <c r="M368" s="663">
        <v>0</v>
      </c>
      <c r="N368" s="663">
        <v>51.143075106834317</v>
      </c>
      <c r="O368" s="663">
        <v>3.312272577895115</v>
      </c>
      <c r="P368" s="663">
        <v>0</v>
      </c>
      <c r="Q368" s="663">
        <v>0</v>
      </c>
      <c r="R368" s="663">
        <v>104.19646172854269</v>
      </c>
      <c r="S368" s="663">
        <v>0</v>
      </c>
      <c r="T368" s="663">
        <v>4.7641609973157095</v>
      </c>
      <c r="U368" s="671">
        <v>172.57532143842849</v>
      </c>
    </row>
    <row r="369" spans="3:21" ht="13">
      <c r="C369" s="670" t="s">
        <v>80</v>
      </c>
      <c r="D369" s="663">
        <v>0</v>
      </c>
      <c r="E369" s="663">
        <v>0</v>
      </c>
      <c r="F369" s="663">
        <v>0.32079919308121357</v>
      </c>
      <c r="G369" s="663">
        <v>0</v>
      </c>
      <c r="H369" s="663">
        <v>12.69993934515486</v>
      </c>
      <c r="I369" s="663">
        <v>0.32563947038858615</v>
      </c>
      <c r="J369" s="663">
        <v>0</v>
      </c>
      <c r="K369" s="663">
        <v>0</v>
      </c>
      <c r="L369" s="663">
        <v>30.989297403436193</v>
      </c>
      <c r="M369" s="663">
        <v>0</v>
      </c>
      <c r="N369" s="663">
        <v>0</v>
      </c>
      <c r="O369" s="663">
        <v>19.538368223315167</v>
      </c>
      <c r="P369" s="663">
        <v>117.54725011788614</v>
      </c>
      <c r="Q369" s="663">
        <v>2.9888036499995505</v>
      </c>
      <c r="R369" s="663">
        <v>139.69858105781077</v>
      </c>
      <c r="S369" s="663">
        <v>24.846536847991327</v>
      </c>
      <c r="T369" s="663">
        <v>0</v>
      </c>
      <c r="U369" s="671">
        <v>348.95521530906382</v>
      </c>
    </row>
    <row r="370" spans="3:21" ht="13">
      <c r="C370" s="670" t="s">
        <v>81</v>
      </c>
      <c r="D370" s="663">
        <v>0</v>
      </c>
      <c r="E370" s="663">
        <v>0</v>
      </c>
      <c r="F370" s="663">
        <v>0.73542128008657859</v>
      </c>
      <c r="G370" s="663">
        <v>0</v>
      </c>
      <c r="H370" s="663">
        <v>6.9022329775494073</v>
      </c>
      <c r="I370" s="663">
        <v>0.17698033275767711</v>
      </c>
      <c r="J370" s="663">
        <v>0</v>
      </c>
      <c r="K370" s="663">
        <v>0</v>
      </c>
      <c r="L370" s="663">
        <v>0.37326901233115406</v>
      </c>
      <c r="M370" s="663">
        <v>3.4682726224379159E-4</v>
      </c>
      <c r="N370" s="663">
        <v>0</v>
      </c>
      <c r="O370" s="663">
        <v>10.618819965460625</v>
      </c>
      <c r="P370" s="663">
        <v>27.414780089746973</v>
      </c>
      <c r="Q370" s="663">
        <v>1.0008652914522365</v>
      </c>
      <c r="R370" s="663">
        <v>86.91432505661372</v>
      </c>
      <c r="S370" s="663">
        <v>18.976817690701857</v>
      </c>
      <c r="T370" s="663">
        <v>0</v>
      </c>
      <c r="U370" s="671">
        <v>153.11385852396248</v>
      </c>
    </row>
    <row r="371" spans="3:21" ht="13">
      <c r="C371" s="670" t="s">
        <v>82</v>
      </c>
      <c r="D371" s="663">
        <v>0</v>
      </c>
      <c r="E371" s="663">
        <v>0</v>
      </c>
      <c r="F371" s="663">
        <v>1.7660543125979742</v>
      </c>
      <c r="G371" s="663">
        <v>1.6775006918768405</v>
      </c>
      <c r="H371" s="663">
        <v>0.66808232732668293</v>
      </c>
      <c r="I371" s="663">
        <v>1.7130316085299562E-2</v>
      </c>
      <c r="J371" s="663">
        <v>0</v>
      </c>
      <c r="K371" s="663">
        <v>0</v>
      </c>
      <c r="L371" s="663">
        <v>3.9742935582164471</v>
      </c>
      <c r="M371" s="663">
        <v>0</v>
      </c>
      <c r="N371" s="663">
        <v>17.824426087880788</v>
      </c>
      <c r="O371" s="663">
        <v>1.0278189651179737</v>
      </c>
      <c r="P371" s="663">
        <v>1.25</v>
      </c>
      <c r="Q371" s="663">
        <v>1.7440136932478227</v>
      </c>
      <c r="R371" s="663">
        <v>7.8035752238100597</v>
      </c>
      <c r="S371" s="663">
        <v>0</v>
      </c>
      <c r="T371" s="663">
        <v>0.38427420359697795</v>
      </c>
      <c r="U371" s="671">
        <v>38.13716937975687</v>
      </c>
    </row>
    <row r="372" spans="3:21" ht="13">
      <c r="C372" s="670" t="s">
        <v>357</v>
      </c>
      <c r="D372" s="663">
        <v>0</v>
      </c>
      <c r="E372" s="663">
        <v>0</v>
      </c>
      <c r="F372" s="663">
        <v>0</v>
      </c>
      <c r="G372" s="663">
        <v>0</v>
      </c>
      <c r="H372" s="663">
        <v>0</v>
      </c>
      <c r="I372" s="663">
        <v>0</v>
      </c>
      <c r="J372" s="663">
        <v>0</v>
      </c>
      <c r="K372" s="663">
        <v>0</v>
      </c>
      <c r="L372" s="663">
        <v>0</v>
      </c>
      <c r="M372" s="663">
        <v>0</v>
      </c>
      <c r="N372" s="663">
        <v>0</v>
      </c>
      <c r="O372" s="663">
        <v>0</v>
      </c>
      <c r="P372" s="663">
        <v>0</v>
      </c>
      <c r="Q372" s="663">
        <v>0</v>
      </c>
      <c r="R372" s="663">
        <v>2.21408</v>
      </c>
      <c r="S372" s="663">
        <v>0</v>
      </c>
      <c r="T372" s="663">
        <v>0</v>
      </c>
      <c r="U372" s="671">
        <v>2.21408</v>
      </c>
    </row>
    <row r="373" spans="3:21" ht="13">
      <c r="C373" s="666" t="s">
        <v>83</v>
      </c>
      <c r="D373" s="667">
        <v>2.1515630330821871</v>
      </c>
      <c r="E373" s="667">
        <v>0</v>
      </c>
      <c r="F373" s="667">
        <v>9.9886730964750008</v>
      </c>
      <c r="G373" s="667">
        <v>3.4352019916613754</v>
      </c>
      <c r="H373" s="675">
        <v>40.047832487924893</v>
      </c>
      <c r="I373" s="667">
        <v>1.0268674996903817</v>
      </c>
      <c r="J373" s="667">
        <v>0</v>
      </c>
      <c r="K373" s="667">
        <v>0</v>
      </c>
      <c r="L373" s="667">
        <v>54.664679352687223</v>
      </c>
      <c r="M373" s="667">
        <v>2.2282982295903557</v>
      </c>
      <c r="N373" s="667">
        <v>71.631967015027612</v>
      </c>
      <c r="O373" s="667">
        <v>61.65340018845464</v>
      </c>
      <c r="P373" s="667">
        <v>155.82057805919561</v>
      </c>
      <c r="Q373" s="667">
        <v>5.7345256264080096</v>
      </c>
      <c r="R373" s="667">
        <v>476.63476193341518</v>
      </c>
      <c r="S373" s="667">
        <v>62.259463122360671</v>
      </c>
      <c r="T373" s="667">
        <v>11.542253072006439</v>
      </c>
      <c r="U373" s="667">
        <v>958.82006470797955</v>
      </c>
    </row>
    <row r="374" spans="3:21" ht="13">
      <c r="C374" s="662" t="s">
        <v>84</v>
      </c>
      <c r="D374" s="663">
        <v>0</v>
      </c>
      <c r="E374" s="663">
        <v>0</v>
      </c>
      <c r="F374" s="663">
        <v>50.64517840221108</v>
      </c>
      <c r="G374" s="663">
        <v>7.8734962103748298</v>
      </c>
      <c r="H374" s="663">
        <v>4.7799931551444459</v>
      </c>
      <c r="I374" s="663">
        <v>0</v>
      </c>
      <c r="J374" s="663">
        <v>0</v>
      </c>
      <c r="K374" s="663">
        <v>0</v>
      </c>
      <c r="L374" s="663">
        <v>0.52419855520004055</v>
      </c>
      <c r="M374" s="663">
        <v>0</v>
      </c>
      <c r="N374" s="663">
        <v>18.858697915767927</v>
      </c>
      <c r="O374" s="663">
        <v>3.7147337189182332</v>
      </c>
      <c r="P374" s="663">
        <v>0</v>
      </c>
      <c r="Q374" s="663">
        <v>0</v>
      </c>
      <c r="R374" s="663">
        <v>0</v>
      </c>
      <c r="S374" s="663">
        <v>0</v>
      </c>
      <c r="T374" s="663">
        <v>30.985390762521494</v>
      </c>
      <c r="U374" s="671">
        <v>117.38168872013804</v>
      </c>
    </row>
    <row r="375" spans="3:21" ht="13">
      <c r="C375" s="666" t="s">
        <v>85</v>
      </c>
      <c r="D375" s="667">
        <v>2.1515630330821871</v>
      </c>
      <c r="E375" s="667">
        <v>0</v>
      </c>
      <c r="F375" s="667">
        <v>60.633851498686084</v>
      </c>
      <c r="G375" s="667">
        <v>11.308698202036204</v>
      </c>
      <c r="H375" s="675">
        <v>44.827825643069339</v>
      </c>
      <c r="I375" s="667">
        <v>1.0268674996903817</v>
      </c>
      <c r="J375" s="667">
        <v>0</v>
      </c>
      <c r="K375" s="667">
        <v>0</v>
      </c>
      <c r="L375" s="667">
        <v>55.18887790788726</v>
      </c>
      <c r="M375" s="667">
        <v>2.2282982295903557</v>
      </c>
      <c r="N375" s="667">
        <v>90.490664930795546</v>
      </c>
      <c r="O375" s="667">
        <v>65.368133907372865</v>
      </c>
      <c r="P375" s="667">
        <v>155.82057805919561</v>
      </c>
      <c r="Q375" s="667">
        <v>5.7345256264080096</v>
      </c>
      <c r="R375" s="667">
        <v>476.63476193341518</v>
      </c>
      <c r="S375" s="667">
        <v>62.259463122360671</v>
      </c>
      <c r="T375" s="667">
        <v>42.527643834527936</v>
      </c>
      <c r="U375" s="667">
        <v>1076.2017534281176</v>
      </c>
    </row>
    <row r="376" spans="3:21">
      <c r="C376" s="654"/>
      <c r="D376" s="672">
        <v>0</v>
      </c>
      <c r="E376" s="672">
        <v>0</v>
      </c>
      <c r="F376" s="672">
        <v>0</v>
      </c>
      <c r="G376" s="672">
        <v>0</v>
      </c>
      <c r="H376" s="672">
        <v>0</v>
      </c>
      <c r="I376" s="672">
        <v>-1.3183898417423734E-16</v>
      </c>
      <c r="J376" s="672">
        <v>0</v>
      </c>
      <c r="K376" s="672">
        <v>0</v>
      </c>
      <c r="L376" s="672">
        <v>0</v>
      </c>
      <c r="M376" s="672">
        <v>0</v>
      </c>
      <c r="N376" s="672">
        <v>1.2434497875801753E-14</v>
      </c>
      <c r="O376" s="672">
        <v>-1.8207657603852567E-14</v>
      </c>
      <c r="P376" s="672">
        <v>0</v>
      </c>
      <c r="Q376" s="672">
        <v>0</v>
      </c>
      <c r="R376" s="672">
        <v>5.6843418860808015E-14</v>
      </c>
      <c r="S376" s="672">
        <v>0</v>
      </c>
      <c r="T376" s="672">
        <v>4.4408920985006262E-15</v>
      </c>
      <c r="U376" s="672">
        <v>0</v>
      </c>
    </row>
    <row r="377" spans="3:21">
      <c r="C377" s="654"/>
      <c r="D377" s="654"/>
      <c r="E377" s="654"/>
      <c r="F377" s="654"/>
      <c r="G377" s="654"/>
      <c r="H377" s="654"/>
      <c r="I377" s="654"/>
      <c r="J377" s="654"/>
      <c r="K377" s="654"/>
      <c r="L377" s="654"/>
      <c r="M377" s="654"/>
      <c r="N377" s="654"/>
      <c r="O377" s="654"/>
      <c r="P377" s="654"/>
      <c r="Q377" s="654"/>
      <c r="R377" s="654"/>
      <c r="S377" s="654"/>
      <c r="T377" s="654"/>
      <c r="U377" s="654"/>
    </row>
    <row r="378" spans="3:21" ht="14.5">
      <c r="C378" s="658" t="s">
        <v>89</v>
      </c>
      <c r="D378" s="659"/>
      <c r="E378" s="659"/>
      <c r="F378" s="659"/>
      <c r="G378" s="659"/>
      <c r="H378" s="659"/>
      <c r="I378" s="659"/>
      <c r="J378" s="659"/>
      <c r="K378" s="659"/>
      <c r="L378" s="659"/>
      <c r="M378" s="659"/>
      <c r="N378" s="659"/>
      <c r="O378" s="659"/>
      <c r="P378" s="659"/>
      <c r="Q378" s="659"/>
      <c r="R378" s="659"/>
      <c r="S378" s="659"/>
      <c r="T378" s="659"/>
      <c r="U378" s="659"/>
    </row>
    <row r="379" spans="3:21">
      <c r="C379" s="654"/>
      <c r="D379" s="654"/>
      <c r="E379" s="654"/>
      <c r="F379" s="654"/>
      <c r="G379" s="654"/>
      <c r="H379" s="654"/>
      <c r="I379" s="654"/>
      <c r="J379" s="654"/>
      <c r="K379" s="654"/>
      <c r="L379" s="654"/>
      <c r="M379" s="654"/>
      <c r="N379" s="654"/>
      <c r="O379" s="654"/>
      <c r="P379" s="654"/>
      <c r="Q379" s="654"/>
      <c r="R379" s="654"/>
      <c r="S379" s="654"/>
      <c r="T379" s="654"/>
      <c r="U379" s="654"/>
    </row>
    <row r="380" spans="3:21" ht="13">
      <c r="C380" s="706" t="s">
        <v>128</v>
      </c>
      <c r="D380" s="704" t="s">
        <v>42</v>
      </c>
      <c r="E380" s="704" t="s">
        <v>52</v>
      </c>
      <c r="F380" s="704" t="s">
        <v>53</v>
      </c>
      <c r="G380" s="704" t="s">
        <v>487</v>
      </c>
      <c r="H380" s="704" t="s">
        <v>32</v>
      </c>
      <c r="I380" s="704" t="s">
        <v>488</v>
      </c>
      <c r="J380" s="704" t="s">
        <v>20</v>
      </c>
      <c r="K380" s="704" t="s">
        <v>55</v>
      </c>
      <c r="L380" s="708" t="s">
        <v>56</v>
      </c>
      <c r="M380" s="709"/>
      <c r="N380" s="709"/>
      <c r="O380" s="709"/>
      <c r="P380" s="709"/>
      <c r="Q380" s="710"/>
      <c r="R380" s="704" t="s">
        <v>57</v>
      </c>
      <c r="S380" s="704" t="s">
        <v>58</v>
      </c>
      <c r="T380" s="704" t="s">
        <v>31</v>
      </c>
      <c r="U380" s="704" t="s">
        <v>10</v>
      </c>
    </row>
    <row r="381" spans="3:21" ht="36">
      <c r="C381" s="707"/>
      <c r="D381" s="705"/>
      <c r="E381" s="705"/>
      <c r="F381" s="705"/>
      <c r="G381" s="705"/>
      <c r="H381" s="705"/>
      <c r="I381" s="705"/>
      <c r="J381" s="705"/>
      <c r="K381" s="705"/>
      <c r="L381" s="660" t="s">
        <v>338</v>
      </c>
      <c r="M381" s="660" t="s">
        <v>40</v>
      </c>
      <c r="N381" s="660" t="s">
        <v>346</v>
      </c>
      <c r="O381" s="660" t="s">
        <v>347</v>
      </c>
      <c r="P381" s="661" t="s">
        <v>348</v>
      </c>
      <c r="Q381" s="660" t="s">
        <v>349</v>
      </c>
      <c r="R381" s="705"/>
      <c r="S381" s="705"/>
      <c r="T381" s="705"/>
      <c r="U381" s="705"/>
    </row>
    <row r="382" spans="3:21" ht="13">
      <c r="C382" s="662" t="s">
        <v>59</v>
      </c>
      <c r="D382" s="663">
        <v>0</v>
      </c>
      <c r="E382" s="663">
        <v>0</v>
      </c>
      <c r="F382" s="663">
        <v>0</v>
      </c>
      <c r="G382" s="663">
        <v>0</v>
      </c>
      <c r="H382" s="663">
        <v>0</v>
      </c>
      <c r="I382" s="663">
        <v>0</v>
      </c>
      <c r="J382" s="664">
        <v>712.60987447127138</v>
      </c>
      <c r="K382" s="664">
        <v>556.92135057124881</v>
      </c>
      <c r="L382" s="664">
        <v>261.57522104592402</v>
      </c>
      <c r="M382" s="664">
        <v>19.228684940511499</v>
      </c>
      <c r="N382" s="663">
        <v>1.5563580670349855</v>
      </c>
      <c r="O382" s="663">
        <v>0.17110271620039663</v>
      </c>
      <c r="P382" s="664">
        <v>167.23788927594987</v>
      </c>
      <c r="Q382" s="664">
        <v>24.373068583718577</v>
      </c>
      <c r="R382" s="663">
        <v>0</v>
      </c>
      <c r="S382" s="663">
        <v>0</v>
      </c>
      <c r="T382" s="663">
        <v>0</v>
      </c>
      <c r="U382" s="665">
        <v>1743.6735496718593</v>
      </c>
    </row>
    <row r="383" spans="3:21" ht="13">
      <c r="C383" s="662" t="s">
        <v>60</v>
      </c>
      <c r="D383" s="663">
        <v>5.9311888025037742</v>
      </c>
      <c r="E383" s="663">
        <v>113.95685880900638</v>
      </c>
      <c r="F383" s="663">
        <v>1.9517818504706483</v>
      </c>
      <c r="G383" s="663">
        <v>0</v>
      </c>
      <c r="H383" s="663">
        <v>2.6585092475046008</v>
      </c>
      <c r="I383" s="663">
        <v>0</v>
      </c>
      <c r="J383" s="663">
        <v>0</v>
      </c>
      <c r="K383" s="663">
        <v>0</v>
      </c>
      <c r="L383" s="663">
        <v>5.2309321400654634</v>
      </c>
      <c r="M383" s="663">
        <v>0</v>
      </c>
      <c r="N383" s="663">
        <v>5.4084519189769722</v>
      </c>
      <c r="O383" s="663">
        <v>0</v>
      </c>
      <c r="P383" s="663">
        <v>0</v>
      </c>
      <c r="Q383" s="663">
        <v>0</v>
      </c>
      <c r="R383" s="663">
        <v>0</v>
      </c>
      <c r="S383" s="663">
        <v>0</v>
      </c>
      <c r="T383" s="663">
        <v>0</v>
      </c>
      <c r="U383" s="665">
        <v>135.13772276852782</v>
      </c>
    </row>
    <row r="384" spans="3:21" ht="13">
      <c r="C384" s="662" t="s">
        <v>61</v>
      </c>
      <c r="D384" s="663">
        <v>0</v>
      </c>
      <c r="E384" s="663">
        <v>0</v>
      </c>
      <c r="F384" s="663">
        <v>-33.824093823668861</v>
      </c>
      <c r="G384" s="663">
        <v>-8.545793370460693</v>
      </c>
      <c r="H384" s="663">
        <v>0</v>
      </c>
      <c r="I384" s="663">
        <v>0</v>
      </c>
      <c r="J384" s="663">
        <v>0</v>
      </c>
      <c r="K384" s="663">
        <v>0</v>
      </c>
      <c r="L384" s="663">
        <v>0</v>
      </c>
      <c r="M384" s="663">
        <v>0</v>
      </c>
      <c r="N384" s="663">
        <v>0</v>
      </c>
      <c r="O384" s="663">
        <v>0</v>
      </c>
      <c r="P384" s="663">
        <v>0</v>
      </c>
      <c r="Q384" s="663">
        <v>0</v>
      </c>
      <c r="R384" s="663">
        <v>-40.000075434727478</v>
      </c>
      <c r="S384" s="663">
        <v>0</v>
      </c>
      <c r="T384" s="663">
        <v>0</v>
      </c>
      <c r="U384" s="665">
        <v>-82.369962628857039</v>
      </c>
    </row>
    <row r="385" spans="3:21" ht="13">
      <c r="C385" s="662" t="s">
        <v>62</v>
      </c>
      <c r="D385" s="663">
        <v>0</v>
      </c>
      <c r="E385" s="663">
        <v>0</v>
      </c>
      <c r="F385" s="663">
        <v>-1.6540275032482068</v>
      </c>
      <c r="G385" s="663">
        <v>-4.2955328800984329</v>
      </c>
      <c r="H385" s="663">
        <v>0</v>
      </c>
      <c r="I385" s="663">
        <v>-0.31877375583888373</v>
      </c>
      <c r="J385" s="663">
        <v>0</v>
      </c>
      <c r="K385" s="663">
        <v>0</v>
      </c>
      <c r="L385" s="663">
        <v>0</v>
      </c>
      <c r="M385" s="663">
        <v>0</v>
      </c>
      <c r="N385" s="663">
        <v>-0.24545902171991044</v>
      </c>
      <c r="O385" s="663">
        <v>-6.0567013609387903</v>
      </c>
      <c r="P385" s="663">
        <v>0</v>
      </c>
      <c r="Q385" s="663">
        <v>0</v>
      </c>
      <c r="R385" s="663">
        <v>0</v>
      </c>
      <c r="S385" s="663">
        <v>0</v>
      </c>
      <c r="T385" s="663">
        <v>0</v>
      </c>
      <c r="U385" s="665">
        <v>-12.570494521844225</v>
      </c>
    </row>
    <row r="386" spans="3:21" ht="13">
      <c r="C386" s="662" t="s">
        <v>63</v>
      </c>
      <c r="D386" s="663">
        <v>0</v>
      </c>
      <c r="E386" s="663">
        <v>0</v>
      </c>
      <c r="F386" s="663">
        <v>-18.714774559646315</v>
      </c>
      <c r="G386" s="663">
        <v>-28.257765893495769</v>
      </c>
      <c r="H386" s="663">
        <v>0</v>
      </c>
      <c r="I386" s="663">
        <v>0</v>
      </c>
      <c r="J386" s="663">
        <v>0</v>
      </c>
      <c r="K386" s="663">
        <v>0</v>
      </c>
      <c r="L386" s="663">
        <v>0</v>
      </c>
      <c r="M386" s="663">
        <v>0</v>
      </c>
      <c r="N386" s="663">
        <v>-13.972472121868162</v>
      </c>
      <c r="O386" s="663">
        <v>0</v>
      </c>
      <c r="P386" s="663">
        <v>0</v>
      </c>
      <c r="Q386" s="663">
        <v>0</v>
      </c>
      <c r="R386" s="663">
        <v>0</v>
      </c>
      <c r="S386" s="663">
        <v>0</v>
      </c>
      <c r="T386" s="663">
        <v>-2.6159745910871801</v>
      </c>
      <c r="U386" s="665">
        <v>-63.560987166097433</v>
      </c>
    </row>
    <row r="387" spans="3:21" ht="13">
      <c r="C387" s="662" t="s">
        <v>64</v>
      </c>
      <c r="D387" s="663">
        <v>0</v>
      </c>
      <c r="E387" s="663">
        <v>0</v>
      </c>
      <c r="F387" s="663">
        <v>0</v>
      </c>
      <c r="G387" s="663">
        <v>0</v>
      </c>
      <c r="H387" s="663">
        <v>0</v>
      </c>
      <c r="I387" s="663">
        <v>0</v>
      </c>
      <c r="J387" s="663">
        <v>0</v>
      </c>
      <c r="K387" s="663">
        <v>0</v>
      </c>
      <c r="L387" s="663">
        <v>0</v>
      </c>
      <c r="M387" s="663">
        <v>0</v>
      </c>
      <c r="N387" s="663">
        <v>0</v>
      </c>
      <c r="O387" s="663">
        <v>0</v>
      </c>
      <c r="P387" s="663">
        <v>0</v>
      </c>
      <c r="Q387" s="663">
        <v>0</v>
      </c>
      <c r="R387" s="663">
        <v>0</v>
      </c>
      <c r="S387" s="663">
        <v>0</v>
      </c>
      <c r="T387" s="663">
        <v>0</v>
      </c>
      <c r="U387" s="665">
        <v>0</v>
      </c>
    </row>
    <row r="388" spans="3:21" ht="13">
      <c r="C388" s="666" t="s">
        <v>65</v>
      </c>
      <c r="D388" s="667">
        <v>5.9311888025037742</v>
      </c>
      <c r="E388" s="667">
        <v>113.95685880900638</v>
      </c>
      <c r="F388" s="667">
        <v>-52.241114036092739</v>
      </c>
      <c r="G388" s="667">
        <v>-41.099092144054893</v>
      </c>
      <c r="H388" s="675">
        <v>2.6585092475046008</v>
      </c>
      <c r="I388" s="667">
        <v>-0.31877375583888373</v>
      </c>
      <c r="J388" s="667">
        <v>712.60987447127138</v>
      </c>
      <c r="K388" s="667">
        <v>556.92135057124881</v>
      </c>
      <c r="L388" s="667">
        <v>266.80615318598944</v>
      </c>
      <c r="M388" s="667">
        <v>19.228684940511499</v>
      </c>
      <c r="N388" s="667">
        <v>-7.2531211575761132</v>
      </c>
      <c r="O388" s="667">
        <v>-5.8855986447383941</v>
      </c>
      <c r="P388" s="667">
        <v>167.23788927594987</v>
      </c>
      <c r="Q388" s="667">
        <v>24.373068583718577</v>
      </c>
      <c r="R388" s="667">
        <v>-40.000075434727478</v>
      </c>
      <c r="S388" s="667">
        <v>0</v>
      </c>
      <c r="T388" s="667">
        <v>-2.6159745910871801</v>
      </c>
      <c r="U388" s="667">
        <v>1720.3098281235887</v>
      </c>
    </row>
    <row r="389" spans="3:21" ht="13">
      <c r="C389" s="668"/>
      <c r="D389" s="669">
        <v>0</v>
      </c>
      <c r="E389" s="669">
        <v>0</v>
      </c>
      <c r="F389" s="669">
        <v>0</v>
      </c>
      <c r="G389" s="669">
        <v>0</v>
      </c>
      <c r="H389" s="676">
        <v>0</v>
      </c>
      <c r="I389" s="669">
        <v>0</v>
      </c>
      <c r="J389" s="669">
        <v>0</v>
      </c>
      <c r="K389" s="669">
        <v>0</v>
      </c>
      <c r="L389" s="669">
        <v>0</v>
      </c>
      <c r="M389" s="669">
        <v>0</v>
      </c>
      <c r="N389" s="669">
        <v>0</v>
      </c>
      <c r="O389" s="669">
        <v>0</v>
      </c>
      <c r="P389" s="669">
        <v>0</v>
      </c>
      <c r="Q389" s="669">
        <v>0</v>
      </c>
      <c r="R389" s="669">
        <v>0</v>
      </c>
      <c r="S389" s="669">
        <v>0</v>
      </c>
      <c r="T389" s="669">
        <v>0</v>
      </c>
      <c r="U389" s="669">
        <v>0</v>
      </c>
    </row>
    <row r="390" spans="3:21" ht="13">
      <c r="C390" s="670" t="s">
        <v>67</v>
      </c>
      <c r="D390" s="663">
        <v>0</v>
      </c>
      <c r="E390" s="663">
        <v>0</v>
      </c>
      <c r="F390" s="663">
        <v>0</v>
      </c>
      <c r="G390" s="663">
        <v>0</v>
      </c>
      <c r="H390" s="663">
        <v>0</v>
      </c>
      <c r="I390" s="663">
        <v>0</v>
      </c>
      <c r="J390" s="663">
        <v>0</v>
      </c>
      <c r="K390" s="663">
        <v>0</v>
      </c>
      <c r="L390" s="663">
        <v>0</v>
      </c>
      <c r="M390" s="663">
        <v>0</v>
      </c>
      <c r="N390" s="663">
        <v>0</v>
      </c>
      <c r="O390" s="663">
        <v>0</v>
      </c>
      <c r="P390" s="663">
        <v>0</v>
      </c>
      <c r="Q390" s="663">
        <v>0</v>
      </c>
      <c r="R390" s="663">
        <v>0</v>
      </c>
      <c r="S390" s="663">
        <v>0</v>
      </c>
      <c r="T390" s="663">
        <v>0</v>
      </c>
      <c r="U390" s="671">
        <v>0</v>
      </c>
    </row>
    <row r="391" spans="3:21" ht="13">
      <c r="C391" s="670" t="s">
        <v>350</v>
      </c>
      <c r="D391" s="663">
        <v>0</v>
      </c>
      <c r="E391" s="663">
        <v>0</v>
      </c>
      <c r="F391" s="663">
        <v>0</v>
      </c>
      <c r="G391" s="663">
        <v>0</v>
      </c>
      <c r="H391" s="663">
        <v>0</v>
      </c>
      <c r="I391" s="663">
        <v>0</v>
      </c>
      <c r="J391" s="663">
        <v>712.60987447127138</v>
      </c>
      <c r="K391" s="663">
        <v>556.92135057124881</v>
      </c>
      <c r="L391" s="663">
        <v>14.491283228737107</v>
      </c>
      <c r="M391" s="663">
        <v>2.8053264742296591</v>
      </c>
      <c r="N391" s="663">
        <v>6.5561937148871507</v>
      </c>
      <c r="O391" s="663">
        <v>0.11326810820885491</v>
      </c>
      <c r="P391" s="663">
        <v>0</v>
      </c>
      <c r="Q391" s="663">
        <v>6.7631767445353068</v>
      </c>
      <c r="R391" s="663">
        <v>-809.85847053245573</v>
      </c>
      <c r="S391" s="663">
        <v>0</v>
      </c>
      <c r="T391" s="663">
        <v>25.915656492161155</v>
      </c>
      <c r="U391" s="671">
        <v>516.31765927282356</v>
      </c>
    </row>
    <row r="392" spans="3:21" ht="13">
      <c r="C392" s="670" t="s">
        <v>351</v>
      </c>
      <c r="D392" s="663">
        <v>0</v>
      </c>
      <c r="E392" s="663">
        <v>0</v>
      </c>
      <c r="F392" s="663">
        <v>0</v>
      </c>
      <c r="G392" s="663">
        <v>0</v>
      </c>
      <c r="H392" s="663">
        <v>0</v>
      </c>
      <c r="I392" s="663">
        <v>0</v>
      </c>
      <c r="J392" s="663">
        <v>0</v>
      </c>
      <c r="K392" s="663">
        <v>0</v>
      </c>
      <c r="L392" s="663">
        <v>33.721862056250039</v>
      </c>
      <c r="M392" s="663">
        <v>14.376617363231052</v>
      </c>
      <c r="N392" s="663">
        <v>0</v>
      </c>
      <c r="O392" s="663">
        <v>8.1785673020738106</v>
      </c>
      <c r="P392" s="663">
        <v>0</v>
      </c>
      <c r="Q392" s="663">
        <v>11.316516045102318</v>
      </c>
      <c r="R392" s="663">
        <v>0</v>
      </c>
      <c r="S392" s="663">
        <v>-64.575476384232388</v>
      </c>
      <c r="T392" s="663">
        <v>0</v>
      </c>
      <c r="U392" s="671">
        <v>3.0180863824248352</v>
      </c>
    </row>
    <row r="393" spans="3:21" ht="13">
      <c r="C393" s="670" t="s">
        <v>352</v>
      </c>
      <c r="D393" s="663">
        <v>0</v>
      </c>
      <c r="E393" s="663">
        <v>0</v>
      </c>
      <c r="F393" s="663">
        <v>0</v>
      </c>
      <c r="G393" s="663">
        <v>0</v>
      </c>
      <c r="H393" s="663">
        <v>0</v>
      </c>
      <c r="I393" s="663">
        <v>0</v>
      </c>
      <c r="J393" s="663">
        <v>0</v>
      </c>
      <c r="K393" s="663">
        <v>0</v>
      </c>
      <c r="L393" s="663">
        <v>104.38683240846164</v>
      </c>
      <c r="M393" s="663">
        <v>0</v>
      </c>
      <c r="N393" s="663">
        <v>0</v>
      </c>
      <c r="O393" s="663">
        <v>-100.27188716566127</v>
      </c>
      <c r="P393" s="663">
        <v>0</v>
      </c>
      <c r="Q393" s="663">
        <v>0</v>
      </c>
      <c r="R393" s="663">
        <v>0</v>
      </c>
      <c r="S393" s="663">
        <v>0</v>
      </c>
      <c r="T393" s="663">
        <v>0</v>
      </c>
      <c r="U393" s="671">
        <v>4.1149452428003741</v>
      </c>
    </row>
    <row r="394" spans="3:21" ht="13">
      <c r="C394" s="670" t="s">
        <v>353</v>
      </c>
      <c r="D394" s="663">
        <v>0</v>
      </c>
      <c r="E394" s="663">
        <v>0</v>
      </c>
      <c r="F394" s="663">
        <v>0</v>
      </c>
      <c r="G394" s="663">
        <v>0</v>
      </c>
      <c r="H394" s="663">
        <v>0</v>
      </c>
      <c r="I394" s="663">
        <v>-4.5962253881571415</v>
      </c>
      <c r="J394" s="663">
        <v>0</v>
      </c>
      <c r="K394" s="663">
        <v>0</v>
      </c>
      <c r="L394" s="663">
        <v>0</v>
      </c>
      <c r="M394" s="663">
        <v>0</v>
      </c>
      <c r="N394" s="663">
        <v>0</v>
      </c>
      <c r="O394" s="663">
        <v>0</v>
      </c>
      <c r="P394" s="663">
        <v>0</v>
      </c>
      <c r="Q394" s="663">
        <v>0</v>
      </c>
      <c r="R394" s="663">
        <v>0</v>
      </c>
      <c r="S394" s="663">
        <v>0</v>
      </c>
      <c r="T394" s="663">
        <v>6.4074201765093832</v>
      </c>
      <c r="U394" s="671">
        <v>1.8111947883522417</v>
      </c>
    </row>
    <row r="395" spans="3:21" ht="13">
      <c r="C395" s="670" t="s">
        <v>72</v>
      </c>
      <c r="D395" s="663">
        <v>0</v>
      </c>
      <c r="E395" s="663">
        <v>118.07035586741333</v>
      </c>
      <c r="F395" s="663">
        <v>-116.89188714951831</v>
      </c>
      <c r="G395" s="663">
        <v>0</v>
      </c>
      <c r="H395" s="663">
        <v>0</v>
      </c>
      <c r="I395" s="663">
        <v>0</v>
      </c>
      <c r="J395" s="663">
        <v>0</v>
      </c>
      <c r="K395" s="663">
        <v>0</v>
      </c>
      <c r="L395" s="663">
        <v>0</v>
      </c>
      <c r="M395" s="663">
        <v>0</v>
      </c>
      <c r="N395" s="663">
        <v>0</v>
      </c>
      <c r="O395" s="663">
        <v>0</v>
      </c>
      <c r="P395" s="663">
        <v>0</v>
      </c>
      <c r="Q395" s="663">
        <v>0</v>
      </c>
      <c r="R395" s="663">
        <v>0</v>
      </c>
      <c r="S395" s="663">
        <v>0</v>
      </c>
      <c r="T395" s="663">
        <v>0</v>
      </c>
      <c r="U395" s="671">
        <v>1.1784687178950146</v>
      </c>
    </row>
    <row r="396" spans="3:21" ht="13">
      <c r="C396" s="670" t="s">
        <v>354</v>
      </c>
      <c r="D396" s="663">
        <v>0</v>
      </c>
      <c r="E396" s="663">
        <v>0</v>
      </c>
      <c r="F396" s="663">
        <v>0</v>
      </c>
      <c r="G396" s="663">
        <v>0</v>
      </c>
      <c r="H396" s="663">
        <v>0</v>
      </c>
      <c r="I396" s="663">
        <v>0</v>
      </c>
      <c r="J396" s="663">
        <v>0</v>
      </c>
      <c r="K396" s="663">
        <v>0</v>
      </c>
      <c r="L396" s="663">
        <v>61.244429678974598</v>
      </c>
      <c r="M396" s="663">
        <v>0</v>
      </c>
      <c r="N396" s="663">
        <v>-61.244429678974598</v>
      </c>
      <c r="O396" s="663">
        <v>0</v>
      </c>
      <c r="P396" s="663">
        <v>0</v>
      </c>
      <c r="Q396" s="663">
        <v>0</v>
      </c>
      <c r="R396" s="663">
        <v>0</v>
      </c>
      <c r="S396" s="663">
        <v>0</v>
      </c>
      <c r="T396" s="663">
        <v>0</v>
      </c>
      <c r="U396" s="671">
        <v>0</v>
      </c>
    </row>
    <row r="397" spans="3:21" ht="13">
      <c r="C397" s="670" t="s">
        <v>355</v>
      </c>
      <c r="D397" s="663">
        <v>0</v>
      </c>
      <c r="E397" s="663">
        <v>0</v>
      </c>
      <c r="F397" s="663">
        <v>0</v>
      </c>
      <c r="G397" s="663">
        <v>-56.725829149009897</v>
      </c>
      <c r="H397" s="663">
        <v>0</v>
      </c>
      <c r="I397" s="663">
        <v>0</v>
      </c>
      <c r="J397" s="663">
        <v>0</v>
      </c>
      <c r="K397" s="663">
        <v>0</v>
      </c>
      <c r="L397" s="663">
        <v>0</v>
      </c>
      <c r="M397" s="663">
        <v>0</v>
      </c>
      <c r="N397" s="663">
        <v>0</v>
      </c>
      <c r="O397" s="663">
        <v>0</v>
      </c>
      <c r="P397" s="663">
        <v>0</v>
      </c>
      <c r="Q397" s="663">
        <v>0</v>
      </c>
      <c r="R397" s="663">
        <v>0</v>
      </c>
      <c r="S397" s="663">
        <v>0</v>
      </c>
      <c r="T397" s="663">
        <v>79.005333076615457</v>
      </c>
      <c r="U397" s="671">
        <v>22.27950392760556</v>
      </c>
    </row>
    <row r="398" spans="3:21" ht="13">
      <c r="C398" s="670" t="s">
        <v>73</v>
      </c>
      <c r="D398" s="663">
        <v>0</v>
      </c>
      <c r="E398" s="663">
        <v>0</v>
      </c>
      <c r="F398" s="663">
        <v>0</v>
      </c>
      <c r="G398" s="663">
        <v>0</v>
      </c>
      <c r="H398" s="663">
        <v>0</v>
      </c>
      <c r="I398" s="663">
        <v>0</v>
      </c>
      <c r="J398" s="663">
        <v>0</v>
      </c>
      <c r="K398" s="663">
        <v>0</v>
      </c>
      <c r="L398" s="663">
        <v>0</v>
      </c>
      <c r="M398" s="663">
        <v>0</v>
      </c>
      <c r="N398" s="663">
        <v>0</v>
      </c>
      <c r="O398" s="663">
        <v>0</v>
      </c>
      <c r="P398" s="663">
        <v>0</v>
      </c>
      <c r="Q398" s="663">
        <v>0</v>
      </c>
      <c r="R398" s="663">
        <v>227.10664749932533</v>
      </c>
      <c r="S398" s="663">
        <v>0</v>
      </c>
      <c r="T398" s="663">
        <v>-163.51678619951423</v>
      </c>
      <c r="U398" s="671">
        <v>63.589861299811105</v>
      </c>
    </row>
    <row r="399" spans="3:21" ht="13">
      <c r="C399" s="670" t="s">
        <v>356</v>
      </c>
      <c r="D399" s="663">
        <v>3.3456624609374996</v>
      </c>
      <c r="E399" s="663">
        <v>-4.1134970584069457</v>
      </c>
      <c r="F399" s="663">
        <v>5.3691262200413341</v>
      </c>
      <c r="G399" s="663">
        <v>0</v>
      </c>
      <c r="H399" s="663">
        <v>0</v>
      </c>
      <c r="I399" s="663">
        <v>0</v>
      </c>
      <c r="J399" s="663">
        <v>0</v>
      </c>
      <c r="K399" s="663">
        <v>0</v>
      </c>
      <c r="L399" s="663">
        <v>0</v>
      </c>
      <c r="M399" s="663">
        <v>0</v>
      </c>
      <c r="N399" s="663">
        <v>0</v>
      </c>
      <c r="O399" s="663">
        <v>0</v>
      </c>
      <c r="P399" s="663">
        <v>0</v>
      </c>
      <c r="Q399" s="663">
        <v>0</v>
      </c>
      <c r="R399" s="663">
        <v>0</v>
      </c>
      <c r="S399" s="663">
        <v>0</v>
      </c>
      <c r="T399" s="663">
        <v>0</v>
      </c>
      <c r="U399" s="671">
        <v>4.6012916225718881</v>
      </c>
    </row>
    <row r="400" spans="3:21" ht="13">
      <c r="C400" s="670" t="s">
        <v>75</v>
      </c>
      <c r="D400" s="663">
        <v>1.3010909570312501</v>
      </c>
      <c r="E400" s="663">
        <v>0</v>
      </c>
      <c r="F400" s="663">
        <v>16.404377382526505</v>
      </c>
      <c r="G400" s="663">
        <v>0</v>
      </c>
      <c r="H400" s="663">
        <v>0</v>
      </c>
      <c r="I400" s="663">
        <v>0.23833359000000001</v>
      </c>
      <c r="J400" s="663">
        <v>0</v>
      </c>
      <c r="K400" s="663">
        <v>0</v>
      </c>
      <c r="L400" s="663">
        <v>0</v>
      </c>
      <c r="M400" s="663">
        <v>0</v>
      </c>
      <c r="N400" s="663">
        <v>0</v>
      </c>
      <c r="O400" s="663">
        <v>4.5283382100000003</v>
      </c>
      <c r="P400" s="663">
        <v>0</v>
      </c>
      <c r="Q400" s="663">
        <v>0</v>
      </c>
      <c r="R400" s="663">
        <v>17.221013858771279</v>
      </c>
      <c r="S400" s="663">
        <v>0</v>
      </c>
      <c r="T400" s="663">
        <v>0</v>
      </c>
      <c r="U400" s="671">
        <v>39.693153998329031</v>
      </c>
    </row>
    <row r="401" spans="3:21" ht="13">
      <c r="C401" s="670" t="s">
        <v>76</v>
      </c>
      <c r="D401" s="663">
        <v>0</v>
      </c>
      <c r="E401" s="663">
        <v>0</v>
      </c>
      <c r="F401" s="663">
        <v>0</v>
      </c>
      <c r="G401" s="663">
        <v>0</v>
      </c>
      <c r="H401" s="663">
        <v>0</v>
      </c>
      <c r="I401" s="663">
        <v>5.9340338699632358E-2</v>
      </c>
      <c r="J401" s="663">
        <v>0</v>
      </c>
      <c r="K401" s="663">
        <v>0</v>
      </c>
      <c r="L401" s="663">
        <v>0</v>
      </c>
      <c r="M401" s="663">
        <v>0</v>
      </c>
      <c r="N401" s="663">
        <v>0</v>
      </c>
      <c r="O401" s="663">
        <v>1.1274664352930146</v>
      </c>
      <c r="P401" s="663">
        <v>0</v>
      </c>
      <c r="Q401" s="663">
        <v>0</v>
      </c>
      <c r="R401" s="663">
        <v>58.897580266978245</v>
      </c>
      <c r="S401" s="663">
        <v>5.0089527300753778</v>
      </c>
      <c r="T401" s="663">
        <v>0</v>
      </c>
      <c r="U401" s="671">
        <v>65.093339771046274</v>
      </c>
    </row>
    <row r="402" spans="3:21" ht="13">
      <c r="C402" s="666" t="s">
        <v>77</v>
      </c>
      <c r="D402" s="667">
        <v>4.6467534179687497</v>
      </c>
      <c r="E402" s="667">
        <v>113.95685880900638</v>
      </c>
      <c r="F402" s="667">
        <v>-95.118383546950469</v>
      </c>
      <c r="G402" s="667">
        <v>-56.725829149009897</v>
      </c>
      <c r="H402" s="675">
        <v>0</v>
      </c>
      <c r="I402" s="667">
        <v>-4.2985514594575092</v>
      </c>
      <c r="J402" s="667">
        <v>712.60987447127138</v>
      </c>
      <c r="K402" s="667">
        <v>556.92135057124881</v>
      </c>
      <c r="L402" s="667">
        <v>213.8444073724234</v>
      </c>
      <c r="M402" s="667">
        <v>17.181943837460711</v>
      </c>
      <c r="N402" s="667">
        <v>-54.688235964087447</v>
      </c>
      <c r="O402" s="667">
        <v>-86.324247110085594</v>
      </c>
      <c r="P402" s="667">
        <v>0</v>
      </c>
      <c r="Q402" s="667">
        <v>18.079692789637626</v>
      </c>
      <c r="R402" s="667">
        <v>-506.63322890738101</v>
      </c>
      <c r="S402" s="667">
        <v>-59.56652365415701</v>
      </c>
      <c r="T402" s="667">
        <v>-52.188376454228234</v>
      </c>
      <c r="U402" s="667">
        <v>721.69750502365991</v>
      </c>
    </row>
    <row r="403" spans="3:21" ht="13">
      <c r="C403" s="668"/>
      <c r="D403" s="669">
        <v>0</v>
      </c>
      <c r="E403" s="669">
        <v>0</v>
      </c>
      <c r="F403" s="669">
        <v>0</v>
      </c>
      <c r="G403" s="669">
        <v>0</v>
      </c>
      <c r="H403" s="676">
        <v>0</v>
      </c>
      <c r="I403" s="669">
        <v>0</v>
      </c>
      <c r="J403" s="669">
        <v>0</v>
      </c>
      <c r="K403" s="669">
        <v>0</v>
      </c>
      <c r="L403" s="669">
        <v>0</v>
      </c>
      <c r="M403" s="669">
        <v>0</v>
      </c>
      <c r="N403" s="669">
        <v>0</v>
      </c>
      <c r="O403" s="669">
        <v>0</v>
      </c>
      <c r="P403" s="669">
        <v>0</v>
      </c>
      <c r="Q403" s="669">
        <v>0</v>
      </c>
      <c r="R403" s="669">
        <v>0</v>
      </c>
      <c r="S403" s="669">
        <v>0</v>
      </c>
      <c r="T403" s="669">
        <v>0</v>
      </c>
      <c r="U403" s="669">
        <v>0</v>
      </c>
    </row>
    <row r="404" spans="3:21" ht="13">
      <c r="C404" s="670" t="s">
        <v>78</v>
      </c>
      <c r="D404" s="663">
        <v>1.2844353845350245</v>
      </c>
      <c r="E404" s="663">
        <v>0</v>
      </c>
      <c r="F404" s="663">
        <v>0.671413025716175</v>
      </c>
      <c r="G404" s="663">
        <v>0</v>
      </c>
      <c r="H404" s="663">
        <v>0</v>
      </c>
      <c r="I404" s="663">
        <v>1.6768235413433659</v>
      </c>
      <c r="J404" s="663">
        <v>0</v>
      </c>
      <c r="K404" s="663">
        <v>0</v>
      </c>
      <c r="L404" s="663">
        <v>18.511250218523632</v>
      </c>
      <c r="M404" s="663">
        <v>2.0464486619012869</v>
      </c>
      <c r="N404" s="663">
        <v>1.4169866943359375</v>
      </c>
      <c r="O404" s="663">
        <v>31.901778101678747</v>
      </c>
      <c r="P404" s="663">
        <v>11.306912109375</v>
      </c>
      <c r="Q404" s="663">
        <v>8.5890570413253253E-4</v>
      </c>
      <c r="R404" s="663">
        <v>135.19292998685364</v>
      </c>
      <c r="S404" s="663">
        <v>18.430317312360387</v>
      </c>
      <c r="T404" s="663">
        <v>8.2355947265624998</v>
      </c>
      <c r="U404" s="671">
        <v>230.67574866888981</v>
      </c>
    </row>
    <row r="405" spans="3:21" ht="13">
      <c r="C405" s="670" t="s">
        <v>79</v>
      </c>
      <c r="D405" s="663">
        <v>0</v>
      </c>
      <c r="E405" s="663">
        <v>0</v>
      </c>
      <c r="F405" s="663">
        <v>2.0327553633446804</v>
      </c>
      <c r="G405" s="663">
        <v>2.9414401384596758</v>
      </c>
      <c r="H405" s="663">
        <v>0</v>
      </c>
      <c r="I405" s="663">
        <v>0.25814381907328782</v>
      </c>
      <c r="J405" s="663">
        <v>0</v>
      </c>
      <c r="K405" s="663">
        <v>0</v>
      </c>
      <c r="L405" s="663">
        <v>0</v>
      </c>
      <c r="M405" s="663">
        <v>0</v>
      </c>
      <c r="N405" s="663">
        <v>11.290866079539722</v>
      </c>
      <c r="O405" s="663">
        <v>4.9047325623924678</v>
      </c>
      <c r="P405" s="663">
        <v>0</v>
      </c>
      <c r="Q405" s="663">
        <v>0</v>
      </c>
      <c r="R405" s="663">
        <v>110.4417553978261</v>
      </c>
      <c r="S405" s="663">
        <v>0</v>
      </c>
      <c r="T405" s="663">
        <v>5.3966998641798476</v>
      </c>
      <c r="U405" s="671">
        <v>137.26639322481577</v>
      </c>
    </row>
    <row r="406" spans="3:21" ht="13">
      <c r="C406" s="670" t="s">
        <v>80</v>
      </c>
      <c r="D406" s="663">
        <v>0</v>
      </c>
      <c r="E406" s="663">
        <v>0</v>
      </c>
      <c r="F406" s="663">
        <v>0.19325490667833059</v>
      </c>
      <c r="G406" s="663">
        <v>0</v>
      </c>
      <c r="H406" s="663">
        <v>0</v>
      </c>
      <c r="I406" s="663">
        <v>1.3094987150488224</v>
      </c>
      <c r="J406" s="663">
        <v>0</v>
      </c>
      <c r="K406" s="663">
        <v>0</v>
      </c>
      <c r="L406" s="663">
        <v>28.937300829462252</v>
      </c>
      <c r="M406" s="663">
        <v>0</v>
      </c>
      <c r="N406" s="663">
        <v>0</v>
      </c>
      <c r="O406" s="663">
        <v>24.88047558592762</v>
      </c>
      <c r="P406" s="663">
        <v>124.95584249070536</v>
      </c>
      <c r="Q406" s="663">
        <v>3.1166998128913419</v>
      </c>
      <c r="R406" s="663">
        <v>129.06523934568938</v>
      </c>
      <c r="S406" s="663">
        <v>22.248806062911136</v>
      </c>
      <c r="T406" s="663">
        <v>0</v>
      </c>
      <c r="U406" s="671">
        <v>334.70711774931425</v>
      </c>
    </row>
    <row r="407" spans="3:21" ht="13">
      <c r="C407" s="670" t="s">
        <v>81</v>
      </c>
      <c r="D407" s="663">
        <v>0</v>
      </c>
      <c r="E407" s="663">
        <v>0</v>
      </c>
      <c r="F407" s="663">
        <v>0.13103912510682203</v>
      </c>
      <c r="G407" s="663">
        <v>0</v>
      </c>
      <c r="H407" s="663">
        <v>0</v>
      </c>
      <c r="I407" s="663">
        <v>0.65398403873429223</v>
      </c>
      <c r="J407" s="663">
        <v>0</v>
      </c>
      <c r="K407" s="663">
        <v>0</v>
      </c>
      <c r="L407" s="663">
        <v>0.34200087095620557</v>
      </c>
      <c r="M407" s="663">
        <v>2.9244114949902102E-4</v>
      </c>
      <c r="N407" s="663">
        <v>0</v>
      </c>
      <c r="O407" s="663">
        <v>12.425696735951551</v>
      </c>
      <c r="P407" s="663">
        <v>29.475134675869491</v>
      </c>
      <c r="Q407" s="663">
        <v>0.98841007039498519</v>
      </c>
      <c r="R407" s="663">
        <v>81.567308013661545</v>
      </c>
      <c r="S407" s="663">
        <v>18.887400278885494</v>
      </c>
      <c r="T407" s="663">
        <v>0</v>
      </c>
      <c r="U407" s="671">
        <v>144.4712662507099</v>
      </c>
    </row>
    <row r="408" spans="3:21" ht="13">
      <c r="C408" s="670" t="s">
        <v>82</v>
      </c>
      <c r="D408" s="663">
        <v>0</v>
      </c>
      <c r="E408" s="663">
        <v>0</v>
      </c>
      <c r="F408" s="663">
        <v>0</v>
      </c>
      <c r="G408" s="663">
        <v>0.49546247522038722</v>
      </c>
      <c r="H408" s="663">
        <v>0</v>
      </c>
      <c r="I408" s="663">
        <v>8.1327589418857746E-2</v>
      </c>
      <c r="J408" s="663">
        <v>0</v>
      </c>
      <c r="K408" s="663">
        <v>0</v>
      </c>
      <c r="L408" s="663">
        <v>4.5749249618986854</v>
      </c>
      <c r="M408" s="663">
        <v>0</v>
      </c>
      <c r="N408" s="663">
        <v>16.621294257606131</v>
      </c>
      <c r="O408" s="663">
        <v>1.5452241989582969</v>
      </c>
      <c r="P408" s="663">
        <v>1.5</v>
      </c>
      <c r="Q408" s="663">
        <v>2.1874070050904897</v>
      </c>
      <c r="R408" s="663">
        <v>7.8459207286229669</v>
      </c>
      <c r="S408" s="663">
        <v>0</v>
      </c>
      <c r="T408" s="663">
        <v>0.44339331184266689</v>
      </c>
      <c r="U408" s="671">
        <v>35.294954528658486</v>
      </c>
    </row>
    <row r="409" spans="3:21" ht="13">
      <c r="C409" s="670" t="s">
        <v>357</v>
      </c>
      <c r="D409" s="663">
        <v>0</v>
      </c>
      <c r="E409" s="663">
        <v>0</v>
      </c>
      <c r="F409" s="663">
        <v>0</v>
      </c>
      <c r="G409" s="663">
        <v>0</v>
      </c>
      <c r="H409" s="663">
        <v>0</v>
      </c>
      <c r="I409" s="663">
        <v>0</v>
      </c>
      <c r="J409" s="663">
        <v>0</v>
      </c>
      <c r="K409" s="663">
        <v>0</v>
      </c>
      <c r="L409" s="663">
        <v>0</v>
      </c>
      <c r="M409" s="663">
        <v>0</v>
      </c>
      <c r="N409" s="663">
        <v>0</v>
      </c>
      <c r="O409" s="663">
        <v>0</v>
      </c>
      <c r="P409" s="663">
        <v>0</v>
      </c>
      <c r="Q409" s="663">
        <v>0</v>
      </c>
      <c r="R409" s="663">
        <v>2.5199999999999996</v>
      </c>
      <c r="S409" s="663">
        <v>0</v>
      </c>
      <c r="T409" s="663">
        <v>0</v>
      </c>
      <c r="U409" s="671">
        <v>2.5199999999999996</v>
      </c>
    </row>
    <row r="410" spans="3:21" ht="13">
      <c r="C410" s="666" t="s">
        <v>83</v>
      </c>
      <c r="D410" s="667">
        <v>1.2844353845350245</v>
      </c>
      <c r="E410" s="667">
        <v>0</v>
      </c>
      <c r="F410" s="667">
        <v>3.028462420846008</v>
      </c>
      <c r="G410" s="667">
        <v>3.4369026136800631</v>
      </c>
      <c r="H410" s="675">
        <v>0</v>
      </c>
      <c r="I410" s="667">
        <v>3.9797777036186259</v>
      </c>
      <c r="J410" s="667">
        <v>0</v>
      </c>
      <c r="K410" s="667">
        <v>0</v>
      </c>
      <c r="L410" s="667">
        <v>52.365476880840774</v>
      </c>
      <c r="M410" s="667">
        <v>2.0467411030507856</v>
      </c>
      <c r="N410" s="667">
        <v>29.329147031481789</v>
      </c>
      <c r="O410" s="667">
        <v>75.65790718490868</v>
      </c>
      <c r="P410" s="667">
        <v>167.23788927594987</v>
      </c>
      <c r="Q410" s="667">
        <v>6.2933757940809487</v>
      </c>
      <c r="R410" s="667">
        <v>466.63315347265359</v>
      </c>
      <c r="S410" s="667">
        <v>59.566523654157017</v>
      </c>
      <c r="T410" s="667">
        <v>14.075687902585015</v>
      </c>
      <c r="U410" s="667">
        <v>884.93548042238808</v>
      </c>
    </row>
    <row r="411" spans="3:21" ht="13">
      <c r="C411" s="662" t="s">
        <v>84</v>
      </c>
      <c r="D411" s="663">
        <v>0</v>
      </c>
      <c r="E411" s="663">
        <v>0</v>
      </c>
      <c r="F411" s="663">
        <v>39.848807090011732</v>
      </c>
      <c r="G411" s="663">
        <v>12.189834391274943</v>
      </c>
      <c r="H411" s="663">
        <v>2.6585092475046008</v>
      </c>
      <c r="I411" s="663">
        <v>0</v>
      </c>
      <c r="J411" s="663">
        <v>0</v>
      </c>
      <c r="K411" s="663">
        <v>0</v>
      </c>
      <c r="L411" s="663">
        <v>0.5962689327253029</v>
      </c>
      <c r="M411" s="663">
        <v>0</v>
      </c>
      <c r="N411" s="663">
        <v>18.105967775029544</v>
      </c>
      <c r="O411" s="663">
        <v>4.780741280438523</v>
      </c>
      <c r="P411" s="663">
        <v>0</v>
      </c>
      <c r="Q411" s="663">
        <v>0</v>
      </c>
      <c r="R411" s="663">
        <v>0</v>
      </c>
      <c r="S411" s="663">
        <v>0</v>
      </c>
      <c r="T411" s="663">
        <v>35.496713960556022</v>
      </c>
      <c r="U411" s="671">
        <v>113.67684267754068</v>
      </c>
    </row>
    <row r="412" spans="3:21" ht="13">
      <c r="C412" s="666" t="s">
        <v>85</v>
      </c>
      <c r="D412" s="667">
        <v>1.2844353845350245</v>
      </c>
      <c r="E412" s="667">
        <v>0</v>
      </c>
      <c r="F412" s="667">
        <v>42.877269510857737</v>
      </c>
      <c r="G412" s="667">
        <v>15.626737004955006</v>
      </c>
      <c r="H412" s="675">
        <v>2.6585092475046008</v>
      </c>
      <c r="I412" s="667">
        <v>3.9797777036186259</v>
      </c>
      <c r="J412" s="667">
        <v>0</v>
      </c>
      <c r="K412" s="667">
        <v>0</v>
      </c>
      <c r="L412" s="667">
        <v>52.961745813566075</v>
      </c>
      <c r="M412" s="667">
        <v>2.0467411030507856</v>
      </c>
      <c r="N412" s="667">
        <v>47.435114806511329</v>
      </c>
      <c r="O412" s="667">
        <v>80.4386484653472</v>
      </c>
      <c r="P412" s="667">
        <v>167.23788927594987</v>
      </c>
      <c r="Q412" s="667">
        <v>6.2933757940809487</v>
      </c>
      <c r="R412" s="667">
        <v>466.63315347265359</v>
      </c>
      <c r="S412" s="667">
        <v>59.566523654157017</v>
      </c>
      <c r="T412" s="667">
        <v>49.572401863141039</v>
      </c>
      <c r="U412" s="667">
        <v>998.61232309992874</v>
      </c>
    </row>
    <row r="413" spans="3:21">
      <c r="C413" s="654"/>
      <c r="D413" s="672">
        <v>0</v>
      </c>
      <c r="E413" s="672">
        <v>0</v>
      </c>
      <c r="F413" s="672">
        <v>0</v>
      </c>
      <c r="G413" s="672">
        <v>0</v>
      </c>
      <c r="H413" s="672">
        <v>0</v>
      </c>
      <c r="I413" s="672">
        <v>4.9960036108132044E-16</v>
      </c>
      <c r="J413" s="672">
        <v>0</v>
      </c>
      <c r="K413" s="672">
        <v>0</v>
      </c>
      <c r="L413" s="672">
        <v>0</v>
      </c>
      <c r="M413" s="672">
        <v>0</v>
      </c>
      <c r="N413" s="672">
        <v>0</v>
      </c>
      <c r="O413" s="672">
        <v>0</v>
      </c>
      <c r="P413" s="672">
        <v>0</v>
      </c>
      <c r="Q413" s="672">
        <v>0</v>
      </c>
      <c r="R413" s="672">
        <v>5.6843418860808015E-14</v>
      </c>
      <c r="S413" s="672">
        <v>7.1054273576010019E-15</v>
      </c>
      <c r="T413" s="672">
        <v>-1.4654943925052066E-14</v>
      </c>
      <c r="U413" s="672">
        <v>0</v>
      </c>
    </row>
    <row r="414" spans="3:21">
      <c r="C414" s="654"/>
      <c r="D414" s="654"/>
      <c r="E414" s="654"/>
      <c r="F414" s="654"/>
      <c r="G414" s="654"/>
      <c r="H414" s="654"/>
      <c r="I414" s="654"/>
      <c r="J414" s="654"/>
      <c r="K414" s="654"/>
      <c r="L414" s="654"/>
      <c r="M414" s="654"/>
      <c r="N414" s="654"/>
      <c r="O414" s="654"/>
      <c r="P414" s="654"/>
      <c r="Q414" s="654"/>
      <c r="R414" s="654"/>
      <c r="S414" s="654"/>
      <c r="T414" s="654"/>
      <c r="U414" s="654"/>
    </row>
  </sheetData>
  <mergeCells count="154">
    <mergeCell ref="T380:T381"/>
    <mergeCell ref="U380:U381"/>
    <mergeCell ref="I380:I381"/>
    <mergeCell ref="J380:J381"/>
    <mergeCell ref="K380:K381"/>
    <mergeCell ref="L380:Q380"/>
    <mergeCell ref="R380:R381"/>
    <mergeCell ref="S380:S381"/>
    <mergeCell ref="C380:C381"/>
    <mergeCell ref="D380:D381"/>
    <mergeCell ref="E380:E381"/>
    <mergeCell ref="F380:F381"/>
    <mergeCell ref="G380:G381"/>
    <mergeCell ref="H380:H381"/>
    <mergeCell ref="K343:K344"/>
    <mergeCell ref="L343:Q343"/>
    <mergeCell ref="R343:R344"/>
    <mergeCell ref="S343:S344"/>
    <mergeCell ref="T343:T344"/>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E306:E307"/>
    <mergeCell ref="F306:F307"/>
    <mergeCell ref="G306:G307"/>
    <mergeCell ref="H306:H307"/>
    <mergeCell ref="K269:K270"/>
    <mergeCell ref="L269:Q269"/>
    <mergeCell ref="R269:R270"/>
    <mergeCell ref="S269:S270"/>
    <mergeCell ref="T269:T270"/>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E232:E233"/>
    <mergeCell ref="F232:F233"/>
    <mergeCell ref="G232:G233"/>
    <mergeCell ref="H232:H233"/>
    <mergeCell ref="C195:C196"/>
    <mergeCell ref="D195:D196"/>
    <mergeCell ref="E195:E196"/>
    <mergeCell ref="F195:F196"/>
    <mergeCell ref="G195:G196"/>
    <mergeCell ref="H195:H196"/>
    <mergeCell ref="I195:I196"/>
    <mergeCell ref="J195:J196"/>
    <mergeCell ref="I158:I159"/>
    <mergeCell ref="J158:J159"/>
    <mergeCell ref="C158:C159"/>
    <mergeCell ref="D158:D159"/>
    <mergeCell ref="R121:R122"/>
    <mergeCell ref="S121:S122"/>
    <mergeCell ref="T121:T122"/>
    <mergeCell ref="K195:K196"/>
    <mergeCell ref="L195:Q195"/>
    <mergeCell ref="R195:R196"/>
    <mergeCell ref="S195:S196"/>
    <mergeCell ref="T195:T196"/>
    <mergeCell ref="U195:U196"/>
    <mergeCell ref="T158:T159"/>
    <mergeCell ref="U158:U159"/>
    <mergeCell ref="K158:K159"/>
    <mergeCell ref="L158:Q158"/>
    <mergeCell ref="R158:R159"/>
    <mergeCell ref="S158:S159"/>
    <mergeCell ref="F84:F85"/>
    <mergeCell ref="G84:G85"/>
    <mergeCell ref="H84:H85"/>
    <mergeCell ref="E158:E159"/>
    <mergeCell ref="F158:F159"/>
    <mergeCell ref="G158:G159"/>
    <mergeCell ref="H158:H159"/>
    <mergeCell ref="K121:K122"/>
    <mergeCell ref="L121:Q121"/>
    <mergeCell ref="F10:F11"/>
    <mergeCell ref="G10:G11"/>
    <mergeCell ref="H10:H11"/>
    <mergeCell ref="K47:K48"/>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E84:E85"/>
    <mergeCell ref="L47:Q47"/>
    <mergeCell ref="R47:R48"/>
    <mergeCell ref="S47:S48"/>
    <mergeCell ref="T47:T48"/>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s>
  <conditionalFormatting sqref="L11:P11 D42:F42 R33:U33 U387:U389 D32:F40 U402:U410 U20:U31 D12:F19 N12:O12 R12:U12 H12:H19 H32:H40 H42 J42:U42 J33:K33 J34:U40 J32:U32 J13:U19 G12">
    <cfRule type="cellIs" dxfId="8362" priority="885" operator="equal">
      <formula>0</formula>
    </cfRule>
  </conditionalFormatting>
  <conditionalFormatting sqref="R12:R14">
    <cfRule type="cellIs" dxfId="8361" priority="884" operator="equal">
      <formula>0</formula>
    </cfRule>
  </conditionalFormatting>
  <conditionalFormatting sqref="R12:T12 N12:O12 D13:F14 H13:H14 J13:T14">
    <cfRule type="cellIs" dxfId="8360" priority="883" operator="equal">
      <formula>0</formula>
    </cfRule>
  </conditionalFormatting>
  <conditionalFormatting sqref="F13:F14">
    <cfRule type="cellIs" dxfId="8359" priority="882" operator="equal">
      <formula>0</formula>
    </cfRule>
  </conditionalFormatting>
  <conditionalFormatting sqref="Q11">
    <cfRule type="cellIs" dxfId="8358" priority="881" operator="equal">
      <formula>0</formula>
    </cfRule>
  </conditionalFormatting>
  <conditionalFormatting sqref="N12:O12">
    <cfRule type="cellIs" dxfId="8357" priority="880" operator="equal">
      <formula>0</formula>
    </cfRule>
  </conditionalFormatting>
  <conditionalFormatting sqref="L15:L17 L33">
    <cfRule type="cellIs" dxfId="8356" priority="879" operator="equal">
      <formula>0</formula>
    </cfRule>
  </conditionalFormatting>
  <conditionalFormatting sqref="L13:L14">
    <cfRule type="cellIs" dxfId="8355" priority="878" operator="equal">
      <formula>0</formula>
    </cfRule>
  </conditionalFormatting>
  <conditionalFormatting sqref="M15:M17 M33">
    <cfRule type="cellIs" dxfId="8354" priority="877" operator="equal">
      <formula>0</formula>
    </cfRule>
  </conditionalFormatting>
  <conditionalFormatting sqref="M13:M14">
    <cfRule type="cellIs" dxfId="8353" priority="876" operator="equal">
      <formula>0</formula>
    </cfRule>
  </conditionalFormatting>
  <conditionalFormatting sqref="N15:N17 N33">
    <cfRule type="cellIs" dxfId="8352" priority="875" operator="equal">
      <formula>0</formula>
    </cfRule>
  </conditionalFormatting>
  <conditionalFormatting sqref="N12:N14">
    <cfRule type="cellIs" dxfId="8351" priority="874" operator="equal">
      <formula>0</formula>
    </cfRule>
  </conditionalFormatting>
  <conditionalFormatting sqref="O15:O17 O33">
    <cfRule type="cellIs" dxfId="8350" priority="873" operator="equal">
      <formula>0</formula>
    </cfRule>
  </conditionalFormatting>
  <conditionalFormatting sqref="O12:O14">
    <cfRule type="cellIs" dxfId="8349" priority="872" operator="equal">
      <formula>0</formula>
    </cfRule>
  </conditionalFormatting>
  <conditionalFormatting sqref="P15:P17 P33">
    <cfRule type="cellIs" dxfId="8348" priority="871" operator="equal">
      <formula>0</formula>
    </cfRule>
  </conditionalFormatting>
  <conditionalFormatting sqref="P13:P14">
    <cfRule type="cellIs" dxfId="8347" priority="870" operator="equal">
      <formula>0</formula>
    </cfRule>
  </conditionalFormatting>
  <conditionalFormatting sqref="Q15:Q17 Q33">
    <cfRule type="cellIs" dxfId="8346" priority="869" operator="equal">
      <formula>0</formula>
    </cfRule>
  </conditionalFormatting>
  <conditionalFormatting sqref="Q13:Q14">
    <cfRule type="cellIs" dxfId="8345" priority="868" operator="equal">
      <formula>0</formula>
    </cfRule>
  </conditionalFormatting>
  <conditionalFormatting sqref="D41:F41 H41 J41:U41">
    <cfRule type="cellIs" dxfId="8344" priority="867" operator="equal">
      <formula>0</formula>
    </cfRule>
  </conditionalFormatting>
  <conditionalFormatting sqref="D34:F42 U402 D32:F32 U20:U31 D12:F18 N12:O12 R12:U12 H12:H18 H32 H34:H42 J34:U42 J32:U32 J13:U18 G12">
    <cfRule type="containsBlanks" dxfId="8343" priority="866">
      <formula>LEN(TRIM(D12))=0</formula>
    </cfRule>
  </conditionalFormatting>
  <conditionalFormatting sqref="L48:P48">
    <cfRule type="cellIs" dxfId="8342" priority="865" operator="equal">
      <formula>0</formula>
    </cfRule>
  </conditionalFormatting>
  <conditionalFormatting sqref="Q48">
    <cfRule type="cellIs" dxfId="8341" priority="864" operator="equal">
      <formula>0</formula>
    </cfRule>
  </conditionalFormatting>
  <conditionalFormatting sqref="L85:P85">
    <cfRule type="cellIs" dxfId="8340" priority="863" operator="equal">
      <formula>0</formula>
    </cfRule>
  </conditionalFormatting>
  <conditionalFormatting sqref="Q85">
    <cfRule type="cellIs" dxfId="8339" priority="862" operator="equal">
      <formula>0</formula>
    </cfRule>
  </conditionalFormatting>
  <conditionalFormatting sqref="L122:P122">
    <cfRule type="cellIs" dxfId="8338" priority="861" operator="equal">
      <formula>0</formula>
    </cfRule>
  </conditionalFormatting>
  <conditionalFormatting sqref="Q122">
    <cfRule type="cellIs" dxfId="8337" priority="860" operator="equal">
      <formula>0</formula>
    </cfRule>
  </conditionalFormatting>
  <conditionalFormatting sqref="L159:P159">
    <cfRule type="cellIs" dxfId="8336" priority="859" operator="equal">
      <formula>0</formula>
    </cfRule>
  </conditionalFormatting>
  <conditionalFormatting sqref="Q159">
    <cfRule type="cellIs" dxfId="8335" priority="858" operator="equal">
      <formula>0</formula>
    </cfRule>
  </conditionalFormatting>
  <conditionalFormatting sqref="L196:P196">
    <cfRule type="cellIs" dxfId="8334" priority="857" operator="equal">
      <formula>0</formula>
    </cfRule>
  </conditionalFormatting>
  <conditionalFormatting sqref="Q196">
    <cfRule type="cellIs" dxfId="8333" priority="856" operator="equal">
      <formula>0</formula>
    </cfRule>
  </conditionalFormatting>
  <conditionalFormatting sqref="D41:F41 H41 J41:T41">
    <cfRule type="cellIs" dxfId="8332" priority="855" operator="equal">
      <formula>0</formula>
    </cfRule>
  </conditionalFormatting>
  <conditionalFormatting sqref="L233:P233">
    <cfRule type="cellIs" dxfId="8331" priority="854" operator="equal">
      <formula>0</formula>
    </cfRule>
  </conditionalFormatting>
  <conditionalFormatting sqref="Q233">
    <cfRule type="cellIs" dxfId="8330" priority="853" operator="equal">
      <formula>0</formula>
    </cfRule>
  </conditionalFormatting>
  <conditionalFormatting sqref="L270:P270">
    <cfRule type="cellIs" dxfId="8329" priority="852" operator="equal">
      <formula>0</formula>
    </cfRule>
  </conditionalFormatting>
  <conditionalFormatting sqref="Q270">
    <cfRule type="cellIs" dxfId="8328" priority="851" operator="equal">
      <formula>0</formula>
    </cfRule>
  </conditionalFormatting>
  <conditionalFormatting sqref="L307:P307">
    <cfRule type="cellIs" dxfId="8327" priority="850" operator="equal">
      <formula>0</formula>
    </cfRule>
  </conditionalFormatting>
  <conditionalFormatting sqref="Q307">
    <cfRule type="cellIs" dxfId="8326" priority="849" operator="equal">
      <formula>0</formula>
    </cfRule>
  </conditionalFormatting>
  <conditionalFormatting sqref="L344:P344">
    <cfRule type="cellIs" dxfId="8325" priority="848" operator="equal">
      <formula>0</formula>
    </cfRule>
  </conditionalFormatting>
  <conditionalFormatting sqref="Q344">
    <cfRule type="cellIs" dxfId="8324" priority="847" operator="equal">
      <formula>0</formula>
    </cfRule>
  </conditionalFormatting>
  <conditionalFormatting sqref="L381:P381">
    <cfRule type="cellIs" dxfId="8323" priority="846" operator="equal">
      <formula>0</formula>
    </cfRule>
  </conditionalFormatting>
  <conditionalFormatting sqref="Q381">
    <cfRule type="cellIs" dxfId="8322" priority="845" operator="equal">
      <formula>0</formula>
    </cfRule>
  </conditionalFormatting>
  <conditionalFormatting sqref="U412 U382:U384">
    <cfRule type="cellIs" dxfId="8321" priority="844" operator="equal">
      <formula>0</formula>
    </cfRule>
  </conditionalFormatting>
  <conditionalFormatting sqref="U411">
    <cfRule type="cellIs" dxfId="8320" priority="843" operator="equal">
      <formula>0</formula>
    </cfRule>
  </conditionalFormatting>
  <conditionalFormatting sqref="U404:U412 U382:U384 U387:U388">
    <cfRule type="containsBlanks" dxfId="8319" priority="842">
      <formula>LEN(TRIM(U382))=0</formula>
    </cfRule>
  </conditionalFormatting>
  <conditionalFormatting sqref="N15:N16">
    <cfRule type="cellIs" dxfId="8318" priority="841" operator="equal">
      <formula>0</formula>
    </cfRule>
  </conditionalFormatting>
  <conditionalFormatting sqref="O15:O16">
    <cfRule type="cellIs" dxfId="8317" priority="840" operator="equal">
      <formula>0</formula>
    </cfRule>
  </conditionalFormatting>
  <conditionalFormatting sqref="U385:U386">
    <cfRule type="cellIs" dxfId="8316" priority="839" operator="equal">
      <formula>0</formula>
    </cfRule>
  </conditionalFormatting>
  <conditionalFormatting sqref="U385:U386">
    <cfRule type="containsBlanks" dxfId="8315" priority="838">
      <formula>LEN(TRIM(U385))=0</formula>
    </cfRule>
  </conditionalFormatting>
  <conditionalFormatting sqref="P15:Q15">
    <cfRule type="cellIs" dxfId="8314" priority="837" operator="equal">
      <formula>0</formula>
    </cfRule>
  </conditionalFormatting>
  <conditionalFormatting sqref="P16:Q16">
    <cfRule type="cellIs" dxfId="8313" priority="836" operator="equal">
      <formula>0</formula>
    </cfRule>
  </conditionalFormatting>
  <conditionalFormatting sqref="U390:U401">
    <cfRule type="cellIs" dxfId="8312" priority="785" operator="equal">
      <formula>0</formula>
    </cfRule>
  </conditionalFormatting>
  <conditionalFormatting sqref="U390:U401">
    <cfRule type="containsBlanks" dxfId="8311" priority="784">
      <formula>LEN(TRIM(U390))=0</formula>
    </cfRule>
  </conditionalFormatting>
  <conditionalFormatting sqref="U79 U49:U77">
    <cfRule type="cellIs" dxfId="8310" priority="783" operator="equal">
      <formula>0</formula>
    </cfRule>
  </conditionalFormatting>
  <conditionalFormatting sqref="U78">
    <cfRule type="cellIs" dxfId="8309" priority="782" operator="equal">
      <formula>0</formula>
    </cfRule>
  </conditionalFormatting>
  <conditionalFormatting sqref="U71:U79 U49:U55 U57:U69">
    <cfRule type="containsBlanks" dxfId="8308" priority="781">
      <formula>LEN(TRIM(U49))=0</formula>
    </cfRule>
  </conditionalFormatting>
  <conditionalFormatting sqref="U116 U86:U114">
    <cfRule type="cellIs" dxfId="8307" priority="780" operator="equal">
      <formula>0</formula>
    </cfRule>
  </conditionalFormatting>
  <conditionalFormatting sqref="U115">
    <cfRule type="cellIs" dxfId="8306" priority="779" operator="equal">
      <formula>0</formula>
    </cfRule>
  </conditionalFormatting>
  <conditionalFormatting sqref="U108:U116 U86:U92 U94:U106">
    <cfRule type="containsBlanks" dxfId="8305" priority="778">
      <formula>LEN(TRIM(U86))=0</formula>
    </cfRule>
  </conditionalFormatting>
  <conditionalFormatting sqref="U153 U123:U151">
    <cfRule type="cellIs" dxfId="8304" priority="777" operator="equal">
      <formula>0</formula>
    </cfRule>
  </conditionalFormatting>
  <conditionalFormatting sqref="U152">
    <cfRule type="cellIs" dxfId="8303" priority="776" operator="equal">
      <formula>0</formula>
    </cfRule>
  </conditionalFormatting>
  <conditionalFormatting sqref="U145:U153 U123:U129 U131:U143">
    <cfRule type="containsBlanks" dxfId="8302" priority="775">
      <formula>LEN(TRIM(U123))=0</formula>
    </cfRule>
  </conditionalFormatting>
  <conditionalFormatting sqref="U190 U160:U188">
    <cfRule type="cellIs" dxfId="8301" priority="774" operator="equal">
      <formula>0</formula>
    </cfRule>
  </conditionalFormatting>
  <conditionalFormatting sqref="U189">
    <cfRule type="cellIs" dxfId="8300" priority="773" operator="equal">
      <formula>0</formula>
    </cfRule>
  </conditionalFormatting>
  <conditionalFormatting sqref="U182:U190 U160:U166 U168:U180">
    <cfRule type="containsBlanks" dxfId="8299" priority="772">
      <formula>LEN(TRIM(U160))=0</formula>
    </cfRule>
  </conditionalFormatting>
  <conditionalFormatting sqref="U227 U197:U225">
    <cfRule type="cellIs" dxfId="8298" priority="771" operator="equal">
      <formula>0</formula>
    </cfRule>
  </conditionalFormatting>
  <conditionalFormatting sqref="U226">
    <cfRule type="cellIs" dxfId="8297" priority="770" operator="equal">
      <formula>0</formula>
    </cfRule>
  </conditionalFormatting>
  <conditionalFormatting sqref="U219:U227 U197:U203 U205:U217">
    <cfRule type="containsBlanks" dxfId="8296" priority="769">
      <formula>LEN(TRIM(U197))=0</formula>
    </cfRule>
  </conditionalFormatting>
  <conditionalFormatting sqref="U264 U234:U262">
    <cfRule type="cellIs" dxfId="8295" priority="768" operator="equal">
      <formula>0</formula>
    </cfRule>
  </conditionalFormatting>
  <conditionalFormatting sqref="U263">
    <cfRule type="cellIs" dxfId="8294" priority="767" operator="equal">
      <formula>0</formula>
    </cfRule>
  </conditionalFormatting>
  <conditionalFormatting sqref="U256:U264 U234:U240 U242:U254">
    <cfRule type="containsBlanks" dxfId="8293" priority="766">
      <formula>LEN(TRIM(U234))=0</formula>
    </cfRule>
  </conditionalFormatting>
  <conditionalFormatting sqref="U301 U271:U299">
    <cfRule type="cellIs" dxfId="8292" priority="765" operator="equal">
      <formula>0</formula>
    </cfRule>
  </conditionalFormatting>
  <conditionalFormatting sqref="U300">
    <cfRule type="cellIs" dxfId="8291" priority="764" operator="equal">
      <formula>0</formula>
    </cfRule>
  </conditionalFormatting>
  <conditionalFormatting sqref="U293:U301 U271:U277 U279:U291">
    <cfRule type="containsBlanks" dxfId="8290" priority="763">
      <formula>LEN(TRIM(U271))=0</formula>
    </cfRule>
  </conditionalFormatting>
  <conditionalFormatting sqref="U338 U308:U336">
    <cfRule type="cellIs" dxfId="8289" priority="762" operator="equal">
      <formula>0</formula>
    </cfRule>
  </conditionalFormatting>
  <conditionalFormatting sqref="U337">
    <cfRule type="cellIs" dxfId="8288" priority="761" operator="equal">
      <formula>0</formula>
    </cfRule>
  </conditionalFormatting>
  <conditionalFormatting sqref="U330:U338 U308:U314 U316:U328">
    <cfRule type="containsBlanks" dxfId="8287" priority="760">
      <formula>LEN(TRIM(U308))=0</formula>
    </cfRule>
  </conditionalFormatting>
  <conditionalFormatting sqref="U375 U345:U373">
    <cfRule type="cellIs" dxfId="8286" priority="759" operator="equal">
      <formula>0</formula>
    </cfRule>
  </conditionalFormatting>
  <conditionalFormatting sqref="U374">
    <cfRule type="cellIs" dxfId="8285" priority="758" operator="equal">
      <formula>0</formula>
    </cfRule>
  </conditionalFormatting>
  <conditionalFormatting sqref="U367:U375 U345:U351 U353:U365">
    <cfRule type="containsBlanks" dxfId="8284" priority="757">
      <formula>LEN(TRIM(U345))=0</formula>
    </cfRule>
  </conditionalFormatting>
  <conditionalFormatting sqref="D20:F31 H20:H31 J20:T31">
    <cfRule type="cellIs" dxfId="8283" priority="746" operator="equal">
      <formula>0</formula>
    </cfRule>
  </conditionalFormatting>
  <conditionalFormatting sqref="D20:F31 H20:H31 J20:T31">
    <cfRule type="containsBlanks" dxfId="8282" priority="745">
      <formula>LEN(TRIM(D20))=0</formula>
    </cfRule>
  </conditionalFormatting>
  <conditionalFormatting sqref="J12">
    <cfRule type="cellIs" dxfId="8281" priority="744" operator="equal">
      <formula>0</formula>
    </cfRule>
  </conditionalFormatting>
  <conditionalFormatting sqref="K12">
    <cfRule type="cellIs" dxfId="8280" priority="743" operator="equal">
      <formula>0</formula>
    </cfRule>
  </conditionalFormatting>
  <conditionalFormatting sqref="L12:M12">
    <cfRule type="cellIs" dxfId="8279" priority="742" operator="equal">
      <formula>0</formula>
    </cfRule>
  </conditionalFormatting>
  <conditionalFormatting sqref="M12">
    <cfRule type="cellIs" dxfId="8278" priority="741" operator="equal">
      <formula>0</formula>
    </cfRule>
  </conditionalFormatting>
  <conditionalFormatting sqref="J12:M12">
    <cfRule type="containsBlanks" dxfId="8277" priority="740">
      <formula>LEN(TRIM(J12))=0</formula>
    </cfRule>
  </conditionalFormatting>
  <conditionalFormatting sqref="P12:Q12">
    <cfRule type="cellIs" dxfId="8276" priority="739" operator="equal">
      <formula>0</formula>
    </cfRule>
  </conditionalFormatting>
  <conditionalFormatting sqref="P12:Q12">
    <cfRule type="cellIs" dxfId="8275" priority="738" operator="equal">
      <formula>0</formula>
    </cfRule>
  </conditionalFormatting>
  <conditionalFormatting sqref="P12:Q12">
    <cfRule type="containsBlanks" dxfId="8274" priority="737">
      <formula>LEN(TRIM(P12))=0</formula>
    </cfRule>
  </conditionalFormatting>
  <conditionalFormatting sqref="D79:F79 R70:T70 D69:F77 D49:F56 N49:O49 R49:T49 J79:T79 J70:K70 J71:T77 J69:T69 J50:T56">
    <cfRule type="cellIs" dxfId="8273" priority="736" operator="equal">
      <formula>0</formula>
    </cfRule>
  </conditionalFormatting>
  <conditionalFormatting sqref="R49:R51">
    <cfRule type="cellIs" dxfId="8272" priority="735" operator="equal">
      <formula>0</formula>
    </cfRule>
  </conditionalFormatting>
  <conditionalFormatting sqref="R49:T49 N49:O49 D50:F51 J50:T51">
    <cfRule type="cellIs" dxfId="8271" priority="734" operator="equal">
      <formula>0</formula>
    </cfRule>
  </conditionalFormatting>
  <conditionalFormatting sqref="F50:F51">
    <cfRule type="cellIs" dxfId="8270" priority="733" operator="equal">
      <formula>0</formula>
    </cfRule>
  </conditionalFormatting>
  <conditionalFormatting sqref="N49:O49">
    <cfRule type="cellIs" dxfId="8269" priority="732" operator="equal">
      <formula>0</formula>
    </cfRule>
  </conditionalFormatting>
  <conditionalFormatting sqref="L52:L54 L70">
    <cfRule type="cellIs" dxfId="8268" priority="731" operator="equal">
      <formula>0</formula>
    </cfRule>
  </conditionalFormatting>
  <conditionalFormatting sqref="L50:L51">
    <cfRule type="cellIs" dxfId="8267" priority="730" operator="equal">
      <formula>0</formula>
    </cfRule>
  </conditionalFormatting>
  <conditionalFormatting sqref="M52:M54 M70">
    <cfRule type="cellIs" dxfId="8266" priority="729" operator="equal">
      <formula>0</formula>
    </cfRule>
  </conditionalFormatting>
  <conditionalFormatting sqref="M50:M51">
    <cfRule type="cellIs" dxfId="8265" priority="728" operator="equal">
      <formula>0</formula>
    </cfRule>
  </conditionalFormatting>
  <conditionalFormatting sqref="N52:N54 N70">
    <cfRule type="cellIs" dxfId="8264" priority="727" operator="equal">
      <formula>0</formula>
    </cfRule>
  </conditionalFormatting>
  <conditionalFormatting sqref="N49:N51">
    <cfRule type="cellIs" dxfId="8263" priority="726" operator="equal">
      <formula>0</formula>
    </cfRule>
  </conditionalFormatting>
  <conditionalFormatting sqref="O52:O54 O70">
    <cfRule type="cellIs" dxfId="8262" priority="725" operator="equal">
      <formula>0</formula>
    </cfRule>
  </conditionalFormatting>
  <conditionalFormatting sqref="O49:O51">
    <cfRule type="cellIs" dxfId="8261" priority="724" operator="equal">
      <formula>0</formula>
    </cfRule>
  </conditionalFormatting>
  <conditionalFormatting sqref="P52:P54 P70">
    <cfRule type="cellIs" dxfId="8260" priority="723" operator="equal">
      <formula>0</formula>
    </cfRule>
  </conditionalFormatting>
  <conditionalFormatting sqref="P50:P51">
    <cfRule type="cellIs" dxfId="8259" priority="722" operator="equal">
      <formula>0</formula>
    </cfRule>
  </conditionalFormatting>
  <conditionalFormatting sqref="Q52:Q54 Q70">
    <cfRule type="cellIs" dxfId="8258" priority="721" operator="equal">
      <formula>0</formula>
    </cfRule>
  </conditionalFormatting>
  <conditionalFormatting sqref="Q50:Q51">
    <cfRule type="cellIs" dxfId="8257" priority="720" operator="equal">
      <formula>0</formula>
    </cfRule>
  </conditionalFormatting>
  <conditionalFormatting sqref="D78:F78 J78:T78">
    <cfRule type="cellIs" dxfId="8256" priority="719" operator="equal">
      <formula>0</formula>
    </cfRule>
  </conditionalFormatting>
  <conditionalFormatting sqref="D71:F79 D69:F69 D49:F55 N49:O49 R49:T49 J71:T79 J69:T69 J50:T55">
    <cfRule type="containsBlanks" dxfId="8255" priority="718">
      <formula>LEN(TRIM(D49))=0</formula>
    </cfRule>
  </conditionalFormatting>
  <conditionalFormatting sqref="D78:F78 J78:T78">
    <cfRule type="cellIs" dxfId="8254" priority="717" operator="equal">
      <formula>0</formula>
    </cfRule>
  </conditionalFormatting>
  <conditionalFormatting sqref="N52:N53">
    <cfRule type="cellIs" dxfId="8253" priority="716" operator="equal">
      <formula>0</formula>
    </cfRule>
  </conditionalFormatting>
  <conditionalFormatting sqref="O52:O53">
    <cfRule type="cellIs" dxfId="8252" priority="715" operator="equal">
      <formula>0</formula>
    </cfRule>
  </conditionalFormatting>
  <conditionalFormatting sqref="P52:Q52">
    <cfRule type="cellIs" dxfId="8251" priority="714" operator="equal">
      <formula>0</formula>
    </cfRule>
  </conditionalFormatting>
  <conditionalFormatting sqref="P53:Q53">
    <cfRule type="cellIs" dxfId="8250" priority="713" operator="equal">
      <formula>0</formula>
    </cfRule>
  </conditionalFormatting>
  <conditionalFormatting sqref="D57:F68 J57:T68">
    <cfRule type="cellIs" dxfId="8249" priority="712" operator="equal">
      <formula>0</formula>
    </cfRule>
  </conditionalFormatting>
  <conditionalFormatting sqref="D57:F68 J57:T68">
    <cfRule type="containsBlanks" dxfId="8248" priority="711">
      <formula>LEN(TRIM(D57))=0</formula>
    </cfRule>
  </conditionalFormatting>
  <conditionalFormatting sqref="J49">
    <cfRule type="cellIs" dxfId="8247" priority="710" operator="equal">
      <formula>0</formula>
    </cfRule>
  </conditionalFormatting>
  <conditionalFormatting sqref="K49">
    <cfRule type="cellIs" dxfId="8246" priority="709" operator="equal">
      <formula>0</formula>
    </cfRule>
  </conditionalFormatting>
  <conditionalFormatting sqref="L49:M49">
    <cfRule type="cellIs" dxfId="8245" priority="708" operator="equal">
      <formula>0</formula>
    </cfRule>
  </conditionalFormatting>
  <conditionalFormatting sqref="M49">
    <cfRule type="cellIs" dxfId="8244" priority="707" operator="equal">
      <formula>0</formula>
    </cfRule>
  </conditionalFormatting>
  <conditionalFormatting sqref="J49:M49">
    <cfRule type="containsBlanks" dxfId="8243" priority="706">
      <formula>LEN(TRIM(J49))=0</formula>
    </cfRule>
  </conditionalFormatting>
  <conditionalFormatting sqref="P49:Q49">
    <cfRule type="cellIs" dxfId="8242" priority="705" operator="equal">
      <formula>0</formula>
    </cfRule>
  </conditionalFormatting>
  <conditionalFormatting sqref="P49:Q49">
    <cfRule type="cellIs" dxfId="8241" priority="704" operator="equal">
      <formula>0</formula>
    </cfRule>
  </conditionalFormatting>
  <conditionalFormatting sqref="P49:Q49">
    <cfRule type="containsBlanks" dxfId="8240" priority="703">
      <formula>LEN(TRIM(P49))=0</formula>
    </cfRule>
  </conditionalFormatting>
  <conditionalFormatting sqref="D116:F116 R107:T107 D106:F114 D86:F93 N86:O86 R86:T86 J116:T116 J107:K107 J108:T114 J106:T106 J87:T93">
    <cfRule type="cellIs" dxfId="8239" priority="702" operator="equal">
      <formula>0</formula>
    </cfRule>
  </conditionalFormatting>
  <conditionalFormatting sqref="R86:R88">
    <cfRule type="cellIs" dxfId="8238" priority="701" operator="equal">
      <formula>0</formula>
    </cfRule>
  </conditionalFormatting>
  <conditionalFormatting sqref="R86:T86 N86:O86 D87:F88 J87:T88">
    <cfRule type="cellIs" dxfId="8237" priority="700" operator="equal">
      <formula>0</formula>
    </cfRule>
  </conditionalFormatting>
  <conditionalFormatting sqref="F87:F88">
    <cfRule type="cellIs" dxfId="8236" priority="699" operator="equal">
      <formula>0</formula>
    </cfRule>
  </conditionalFormatting>
  <conditionalFormatting sqref="N86:O86">
    <cfRule type="cellIs" dxfId="8235" priority="698" operator="equal">
      <formula>0</formula>
    </cfRule>
  </conditionalFormatting>
  <conditionalFormatting sqref="L89:L91 L107">
    <cfRule type="cellIs" dxfId="8234" priority="697" operator="equal">
      <formula>0</formula>
    </cfRule>
  </conditionalFormatting>
  <conditionalFormatting sqref="L87:L88">
    <cfRule type="cellIs" dxfId="8233" priority="696" operator="equal">
      <formula>0</formula>
    </cfRule>
  </conditionalFormatting>
  <conditionalFormatting sqref="M89:M91 M107">
    <cfRule type="cellIs" dxfId="8232" priority="695" operator="equal">
      <formula>0</formula>
    </cfRule>
  </conditionalFormatting>
  <conditionalFormatting sqref="M87:M88">
    <cfRule type="cellIs" dxfId="8231" priority="694" operator="equal">
      <formula>0</formula>
    </cfRule>
  </conditionalFormatting>
  <conditionalFormatting sqref="N89:N91 N107">
    <cfRule type="cellIs" dxfId="8230" priority="693" operator="equal">
      <formula>0</formula>
    </cfRule>
  </conditionalFormatting>
  <conditionalFormatting sqref="N86:N88">
    <cfRule type="cellIs" dxfId="8229" priority="692" operator="equal">
      <formula>0</formula>
    </cfRule>
  </conditionalFormatting>
  <conditionalFormatting sqref="O89:O91 O107">
    <cfRule type="cellIs" dxfId="8228" priority="691" operator="equal">
      <formula>0</formula>
    </cfRule>
  </conditionalFormatting>
  <conditionalFormatting sqref="O86:O88">
    <cfRule type="cellIs" dxfId="8227" priority="690" operator="equal">
      <formula>0</formula>
    </cfRule>
  </conditionalFormatting>
  <conditionalFormatting sqref="P89:P91 P107">
    <cfRule type="cellIs" dxfId="8226" priority="689" operator="equal">
      <formula>0</formula>
    </cfRule>
  </conditionalFormatting>
  <conditionalFormatting sqref="P87:P88">
    <cfRule type="cellIs" dxfId="8225" priority="688" operator="equal">
      <formula>0</formula>
    </cfRule>
  </conditionalFormatting>
  <conditionalFormatting sqref="Q89:Q91 Q107">
    <cfRule type="cellIs" dxfId="8224" priority="687" operator="equal">
      <formula>0</formula>
    </cfRule>
  </conditionalFormatting>
  <conditionalFormatting sqref="Q87:Q88">
    <cfRule type="cellIs" dxfId="8223" priority="686" operator="equal">
      <formula>0</formula>
    </cfRule>
  </conditionalFormatting>
  <conditionalFormatting sqref="D115:F115 J115:T115">
    <cfRule type="cellIs" dxfId="8222" priority="685" operator="equal">
      <formula>0</formula>
    </cfRule>
  </conditionalFormatting>
  <conditionalFormatting sqref="D108:F116 D106:F106 D86:F92 N86:O86 R86:T86 J108:T116 J106:T106 J87:T92">
    <cfRule type="containsBlanks" dxfId="8221" priority="684">
      <formula>LEN(TRIM(D86))=0</formula>
    </cfRule>
  </conditionalFormatting>
  <conditionalFormatting sqref="D115:F115 J115:T115">
    <cfRule type="cellIs" dxfId="8220" priority="683" operator="equal">
      <formula>0</formula>
    </cfRule>
  </conditionalFormatting>
  <conditionalFormatting sqref="N89:N90">
    <cfRule type="cellIs" dxfId="8219" priority="682" operator="equal">
      <formula>0</formula>
    </cfRule>
  </conditionalFormatting>
  <conditionalFormatting sqref="O89:O90">
    <cfRule type="cellIs" dxfId="8218" priority="681" operator="equal">
      <formula>0</formula>
    </cfRule>
  </conditionalFormatting>
  <conditionalFormatting sqref="P89:Q89">
    <cfRule type="cellIs" dxfId="8217" priority="680" operator="equal">
      <formula>0</formula>
    </cfRule>
  </conditionalFormatting>
  <conditionalFormatting sqref="P90:Q90">
    <cfRule type="cellIs" dxfId="8216" priority="679" operator="equal">
      <formula>0</formula>
    </cfRule>
  </conditionalFormatting>
  <conditionalFormatting sqref="D94:F105 J94:T105">
    <cfRule type="cellIs" dxfId="8215" priority="678" operator="equal">
      <formula>0</formula>
    </cfRule>
  </conditionalFormatting>
  <conditionalFormatting sqref="D94:F105 J94:T105">
    <cfRule type="containsBlanks" dxfId="8214" priority="677">
      <formula>LEN(TRIM(D94))=0</formula>
    </cfRule>
  </conditionalFormatting>
  <conditionalFormatting sqref="J86">
    <cfRule type="cellIs" dxfId="8213" priority="676" operator="equal">
      <formula>0</formula>
    </cfRule>
  </conditionalFormatting>
  <conditionalFormatting sqref="K86">
    <cfRule type="cellIs" dxfId="8212" priority="675" operator="equal">
      <formula>0</formula>
    </cfRule>
  </conditionalFormatting>
  <conditionalFormatting sqref="L86:M86">
    <cfRule type="cellIs" dxfId="8211" priority="674" operator="equal">
      <formula>0</formula>
    </cfRule>
  </conditionalFormatting>
  <conditionalFormatting sqref="M86">
    <cfRule type="cellIs" dxfId="8210" priority="673" operator="equal">
      <formula>0</formula>
    </cfRule>
  </conditionalFormatting>
  <conditionalFormatting sqref="J86:M86">
    <cfRule type="containsBlanks" dxfId="8209" priority="672">
      <formula>LEN(TRIM(J86))=0</formula>
    </cfRule>
  </conditionalFormatting>
  <conditionalFormatting sqref="P86:Q86">
    <cfRule type="cellIs" dxfId="8208" priority="671" operator="equal">
      <formula>0</formula>
    </cfRule>
  </conditionalFormatting>
  <conditionalFormatting sqref="P86:Q86">
    <cfRule type="cellIs" dxfId="8207" priority="670" operator="equal">
      <formula>0</formula>
    </cfRule>
  </conditionalFormatting>
  <conditionalFormatting sqref="P86:Q86">
    <cfRule type="containsBlanks" dxfId="8206" priority="669">
      <formula>LEN(TRIM(P86))=0</formula>
    </cfRule>
  </conditionalFormatting>
  <conditionalFormatting sqref="D153:F153 R144:T144 D143:F151 D123:F130 N123:O123 R123:T123 J153:T153 J144:K144 J145:T151 J143:T143 J124:T130">
    <cfRule type="cellIs" dxfId="8205" priority="668" operator="equal">
      <formula>0</formula>
    </cfRule>
  </conditionalFormatting>
  <conditionalFormatting sqref="R123:R125">
    <cfRule type="cellIs" dxfId="8204" priority="667" operator="equal">
      <formula>0</formula>
    </cfRule>
  </conditionalFormatting>
  <conditionalFormatting sqref="R123:T123 N123:O123 D124:F125 J124:T125">
    <cfRule type="cellIs" dxfId="8203" priority="666" operator="equal">
      <formula>0</formula>
    </cfRule>
  </conditionalFormatting>
  <conditionalFormatting sqref="F124:F125">
    <cfRule type="cellIs" dxfId="8202" priority="665" operator="equal">
      <formula>0</formula>
    </cfRule>
  </conditionalFormatting>
  <conditionalFormatting sqref="N123:O123">
    <cfRule type="cellIs" dxfId="8201" priority="664" operator="equal">
      <formula>0</formula>
    </cfRule>
  </conditionalFormatting>
  <conditionalFormatting sqref="L126:L128 L144">
    <cfRule type="cellIs" dxfId="8200" priority="663" operator="equal">
      <formula>0</formula>
    </cfRule>
  </conditionalFormatting>
  <conditionalFormatting sqref="L124:L125">
    <cfRule type="cellIs" dxfId="8199" priority="662" operator="equal">
      <formula>0</formula>
    </cfRule>
  </conditionalFormatting>
  <conditionalFormatting sqref="M126:M128 M144">
    <cfRule type="cellIs" dxfId="8198" priority="661" operator="equal">
      <formula>0</formula>
    </cfRule>
  </conditionalFormatting>
  <conditionalFormatting sqref="M124:M125">
    <cfRule type="cellIs" dxfId="8197" priority="660" operator="equal">
      <formula>0</formula>
    </cfRule>
  </conditionalFormatting>
  <conditionalFormatting sqref="N126:N128 N144">
    <cfRule type="cellIs" dxfId="8196" priority="659" operator="equal">
      <formula>0</formula>
    </cfRule>
  </conditionalFormatting>
  <conditionalFormatting sqref="N123:N125">
    <cfRule type="cellIs" dxfId="8195" priority="658" operator="equal">
      <formula>0</formula>
    </cfRule>
  </conditionalFormatting>
  <conditionalFormatting sqref="O126:O128 O144">
    <cfRule type="cellIs" dxfId="8194" priority="657" operator="equal">
      <formula>0</formula>
    </cfRule>
  </conditionalFormatting>
  <conditionalFormatting sqref="O123:O125">
    <cfRule type="cellIs" dxfId="8193" priority="656" operator="equal">
      <formula>0</formula>
    </cfRule>
  </conditionalFormatting>
  <conditionalFormatting sqref="P126:P128 P144">
    <cfRule type="cellIs" dxfId="8192" priority="655" operator="equal">
      <formula>0</formula>
    </cfRule>
  </conditionalFormatting>
  <conditionalFormatting sqref="P124:P125">
    <cfRule type="cellIs" dxfId="8191" priority="654" operator="equal">
      <formula>0</formula>
    </cfRule>
  </conditionalFormatting>
  <conditionalFormatting sqref="Q126:Q128 Q144">
    <cfRule type="cellIs" dxfId="8190" priority="653" operator="equal">
      <formula>0</formula>
    </cfRule>
  </conditionalFormatting>
  <conditionalFormatting sqref="Q124:Q125">
    <cfRule type="cellIs" dxfId="8189" priority="652" operator="equal">
      <formula>0</formula>
    </cfRule>
  </conditionalFormatting>
  <conditionalFormatting sqref="D152:F152 J152:T152">
    <cfRule type="cellIs" dxfId="8188" priority="651" operator="equal">
      <formula>0</formula>
    </cfRule>
  </conditionalFormatting>
  <conditionalFormatting sqref="D145:F153 D143:F143 D123:F129 N123:O123 R123:T123 J145:T153 J143:T143 J124:T129">
    <cfRule type="containsBlanks" dxfId="8187" priority="650">
      <formula>LEN(TRIM(D123))=0</formula>
    </cfRule>
  </conditionalFormatting>
  <conditionalFormatting sqref="D152:F152 J152:T152">
    <cfRule type="cellIs" dxfId="8186" priority="649" operator="equal">
      <formula>0</formula>
    </cfRule>
  </conditionalFormatting>
  <conditionalFormatting sqref="N126:N127">
    <cfRule type="cellIs" dxfId="8185" priority="648" operator="equal">
      <formula>0</formula>
    </cfRule>
  </conditionalFormatting>
  <conditionalFormatting sqref="O126:O127">
    <cfRule type="cellIs" dxfId="8184" priority="647" operator="equal">
      <formula>0</formula>
    </cfRule>
  </conditionalFormatting>
  <conditionalFormatting sqref="P126:Q126">
    <cfRule type="cellIs" dxfId="8183" priority="646" operator="equal">
      <formula>0</formula>
    </cfRule>
  </conditionalFormatting>
  <conditionalFormatting sqref="P127:Q127">
    <cfRule type="cellIs" dxfId="8182" priority="645" operator="equal">
      <formula>0</formula>
    </cfRule>
  </conditionalFormatting>
  <conditionalFormatting sqref="D131:F142 J131:T142">
    <cfRule type="cellIs" dxfId="8181" priority="644" operator="equal">
      <formula>0</formula>
    </cfRule>
  </conditionalFormatting>
  <conditionalFormatting sqref="D131:F142 J131:T142">
    <cfRule type="containsBlanks" dxfId="8180" priority="643">
      <formula>LEN(TRIM(D131))=0</formula>
    </cfRule>
  </conditionalFormatting>
  <conditionalFormatting sqref="J123">
    <cfRule type="cellIs" dxfId="8179" priority="642" operator="equal">
      <formula>0</formula>
    </cfRule>
  </conditionalFormatting>
  <conditionalFormatting sqref="K123">
    <cfRule type="cellIs" dxfId="8178" priority="641" operator="equal">
      <formula>0</formula>
    </cfRule>
  </conditionalFormatting>
  <conditionalFormatting sqref="L123:M123">
    <cfRule type="cellIs" dxfId="8177" priority="640" operator="equal">
      <formula>0</formula>
    </cfRule>
  </conditionalFormatting>
  <conditionalFormatting sqref="M123">
    <cfRule type="cellIs" dxfId="8176" priority="639" operator="equal">
      <formula>0</formula>
    </cfRule>
  </conditionalFormatting>
  <conditionalFormatting sqref="J123:M123">
    <cfRule type="containsBlanks" dxfId="8175" priority="638">
      <formula>LEN(TRIM(J123))=0</formula>
    </cfRule>
  </conditionalFormatting>
  <conditionalFormatting sqref="P123:Q123">
    <cfRule type="cellIs" dxfId="8174" priority="637" operator="equal">
      <formula>0</formula>
    </cfRule>
  </conditionalFormatting>
  <conditionalFormatting sqref="P123:Q123">
    <cfRule type="cellIs" dxfId="8173" priority="636" operator="equal">
      <formula>0</formula>
    </cfRule>
  </conditionalFormatting>
  <conditionalFormatting sqref="P123:Q123">
    <cfRule type="containsBlanks" dxfId="8172" priority="635">
      <formula>LEN(TRIM(P123))=0</formula>
    </cfRule>
  </conditionalFormatting>
  <conditionalFormatting sqref="D190:F190 R181:T181 D180:F188 D160:F167 N160:O160 R160:T160 J190:T190 J181:K181 J182:T188 J180:T180 J161:T167">
    <cfRule type="cellIs" dxfId="8171" priority="634" operator="equal">
      <formula>0</formula>
    </cfRule>
  </conditionalFormatting>
  <conditionalFormatting sqref="R160:R162">
    <cfRule type="cellIs" dxfId="8170" priority="633" operator="equal">
      <formula>0</formula>
    </cfRule>
  </conditionalFormatting>
  <conditionalFormatting sqref="R160:T160 N160:O160 D161:F162 J161:T162">
    <cfRule type="cellIs" dxfId="8169" priority="632" operator="equal">
      <formula>0</formula>
    </cfRule>
  </conditionalFormatting>
  <conditionalFormatting sqref="F161:F162">
    <cfRule type="cellIs" dxfId="8168" priority="631" operator="equal">
      <formula>0</formula>
    </cfRule>
  </conditionalFormatting>
  <conditionalFormatting sqref="N160:O160">
    <cfRule type="cellIs" dxfId="8167" priority="630" operator="equal">
      <formula>0</formula>
    </cfRule>
  </conditionalFormatting>
  <conditionalFormatting sqref="L163:L165 L181">
    <cfRule type="cellIs" dxfId="8166" priority="629" operator="equal">
      <formula>0</formula>
    </cfRule>
  </conditionalFormatting>
  <conditionalFormatting sqref="L161:L162">
    <cfRule type="cellIs" dxfId="8165" priority="628" operator="equal">
      <formula>0</formula>
    </cfRule>
  </conditionalFormatting>
  <conditionalFormatting sqref="M163:M165 M181">
    <cfRule type="cellIs" dxfId="8164" priority="627" operator="equal">
      <formula>0</formula>
    </cfRule>
  </conditionalFormatting>
  <conditionalFormatting sqref="M161:M162">
    <cfRule type="cellIs" dxfId="8163" priority="626" operator="equal">
      <formula>0</formula>
    </cfRule>
  </conditionalFormatting>
  <conditionalFormatting sqref="N163:N165 N181">
    <cfRule type="cellIs" dxfId="8162" priority="625" operator="equal">
      <formula>0</formula>
    </cfRule>
  </conditionalFormatting>
  <conditionalFormatting sqref="N160:N162">
    <cfRule type="cellIs" dxfId="8161" priority="624" operator="equal">
      <formula>0</formula>
    </cfRule>
  </conditionalFormatting>
  <conditionalFormatting sqref="O163:O165 O181">
    <cfRule type="cellIs" dxfId="8160" priority="623" operator="equal">
      <formula>0</formula>
    </cfRule>
  </conditionalFormatting>
  <conditionalFormatting sqref="O160:O162">
    <cfRule type="cellIs" dxfId="8159" priority="622" operator="equal">
      <formula>0</formula>
    </cfRule>
  </conditionalFormatting>
  <conditionalFormatting sqref="P163:P165 P181">
    <cfRule type="cellIs" dxfId="8158" priority="621" operator="equal">
      <formula>0</formula>
    </cfRule>
  </conditionalFormatting>
  <conditionalFormatting sqref="P161:P162">
    <cfRule type="cellIs" dxfId="8157" priority="620" operator="equal">
      <formula>0</formula>
    </cfRule>
  </conditionalFormatting>
  <conditionalFormatting sqref="Q163:Q165 Q181">
    <cfRule type="cellIs" dxfId="8156" priority="619" operator="equal">
      <formula>0</formula>
    </cfRule>
  </conditionalFormatting>
  <conditionalFormatting sqref="Q161:Q162">
    <cfRule type="cellIs" dxfId="8155" priority="618" operator="equal">
      <formula>0</formula>
    </cfRule>
  </conditionalFormatting>
  <conditionalFormatting sqref="D189:F189 J189:T189">
    <cfRule type="cellIs" dxfId="8154" priority="617" operator="equal">
      <formula>0</formula>
    </cfRule>
  </conditionalFormatting>
  <conditionalFormatting sqref="D182:F190 D180:F180 D160:F166 N160:O160 R160:T160 J182:T190 J180:T180 J161:T166">
    <cfRule type="containsBlanks" dxfId="8153" priority="616">
      <formula>LEN(TRIM(D160))=0</formula>
    </cfRule>
  </conditionalFormatting>
  <conditionalFormatting sqref="D189:F189 J189:T189">
    <cfRule type="cellIs" dxfId="8152" priority="615" operator="equal">
      <formula>0</formula>
    </cfRule>
  </conditionalFormatting>
  <conditionalFormatting sqref="N163:N164">
    <cfRule type="cellIs" dxfId="8151" priority="614" operator="equal">
      <formula>0</formula>
    </cfRule>
  </conditionalFormatting>
  <conditionalFormatting sqref="O163:O164">
    <cfRule type="cellIs" dxfId="8150" priority="613" operator="equal">
      <formula>0</formula>
    </cfRule>
  </conditionalFormatting>
  <conditionalFormatting sqref="P163:Q163">
    <cfRule type="cellIs" dxfId="8149" priority="612" operator="equal">
      <formula>0</formula>
    </cfRule>
  </conditionalFormatting>
  <conditionalFormatting sqref="P164:Q164">
    <cfRule type="cellIs" dxfId="8148" priority="611" operator="equal">
      <formula>0</formula>
    </cfRule>
  </conditionalFormatting>
  <conditionalFormatting sqref="D168:F179 J168:T179">
    <cfRule type="cellIs" dxfId="8147" priority="610" operator="equal">
      <formula>0</formula>
    </cfRule>
  </conditionalFormatting>
  <conditionalFormatting sqref="D168:F179 J168:T179">
    <cfRule type="containsBlanks" dxfId="8146" priority="609">
      <formula>LEN(TRIM(D168))=0</formula>
    </cfRule>
  </conditionalFormatting>
  <conditionalFormatting sqref="J160">
    <cfRule type="cellIs" dxfId="8145" priority="608" operator="equal">
      <formula>0</formula>
    </cfRule>
  </conditionalFormatting>
  <conditionalFormatting sqref="K160">
    <cfRule type="cellIs" dxfId="8144" priority="607" operator="equal">
      <formula>0</formula>
    </cfRule>
  </conditionalFormatting>
  <conditionalFormatting sqref="L160:M160">
    <cfRule type="cellIs" dxfId="8143" priority="606" operator="equal">
      <formula>0</formula>
    </cfRule>
  </conditionalFormatting>
  <conditionalFormatting sqref="M160">
    <cfRule type="cellIs" dxfId="8142" priority="605" operator="equal">
      <formula>0</formula>
    </cfRule>
  </conditionalFormatting>
  <conditionalFormatting sqref="J160:M160">
    <cfRule type="containsBlanks" dxfId="8141" priority="604">
      <formula>LEN(TRIM(J160))=0</formula>
    </cfRule>
  </conditionalFormatting>
  <conditionalFormatting sqref="P160:Q160">
    <cfRule type="cellIs" dxfId="8140" priority="603" operator="equal">
      <formula>0</formula>
    </cfRule>
  </conditionalFormatting>
  <conditionalFormatting sqref="P160:Q160">
    <cfRule type="cellIs" dxfId="8139" priority="602" operator="equal">
      <formula>0</formula>
    </cfRule>
  </conditionalFormatting>
  <conditionalFormatting sqref="P160:Q160">
    <cfRule type="containsBlanks" dxfId="8138" priority="601">
      <formula>LEN(TRIM(P160))=0</formula>
    </cfRule>
  </conditionalFormatting>
  <conditionalFormatting sqref="D227:F227 R218:T218 D217:F225 D197:F204 N197:O197 R197:T197 J227:T227 J218:K218 J219:T225 J217:T217 J198:T204">
    <cfRule type="cellIs" dxfId="8137" priority="600" operator="equal">
      <formula>0</formula>
    </cfRule>
  </conditionalFormatting>
  <conditionalFormatting sqref="R197:R199">
    <cfRule type="cellIs" dxfId="8136" priority="599" operator="equal">
      <formula>0</formula>
    </cfRule>
  </conditionalFormatting>
  <conditionalFormatting sqref="R197:T197 N197:O197 D198:F199 J198:T199">
    <cfRule type="cellIs" dxfId="8135" priority="598" operator="equal">
      <formula>0</formula>
    </cfRule>
  </conditionalFormatting>
  <conditionalFormatting sqref="F198:F199">
    <cfRule type="cellIs" dxfId="8134" priority="597" operator="equal">
      <formula>0</formula>
    </cfRule>
  </conditionalFormatting>
  <conditionalFormatting sqref="N197:O197">
    <cfRule type="cellIs" dxfId="8133" priority="596" operator="equal">
      <formula>0</formula>
    </cfRule>
  </conditionalFormatting>
  <conditionalFormatting sqref="L200:L202 L218">
    <cfRule type="cellIs" dxfId="8132" priority="595" operator="equal">
      <formula>0</formula>
    </cfRule>
  </conditionalFormatting>
  <conditionalFormatting sqref="L198:L199">
    <cfRule type="cellIs" dxfId="8131" priority="594" operator="equal">
      <formula>0</formula>
    </cfRule>
  </conditionalFormatting>
  <conditionalFormatting sqref="M200:M202 M218">
    <cfRule type="cellIs" dxfId="8130" priority="593" operator="equal">
      <formula>0</formula>
    </cfRule>
  </conditionalFormatting>
  <conditionalFormatting sqref="M198:M199">
    <cfRule type="cellIs" dxfId="8129" priority="592" operator="equal">
      <formula>0</formula>
    </cfRule>
  </conditionalFormatting>
  <conditionalFormatting sqref="N200:N202 N218">
    <cfRule type="cellIs" dxfId="8128" priority="591" operator="equal">
      <formula>0</formula>
    </cfRule>
  </conditionalFormatting>
  <conditionalFormatting sqref="N197:N199">
    <cfRule type="cellIs" dxfId="8127" priority="590" operator="equal">
      <formula>0</formula>
    </cfRule>
  </conditionalFormatting>
  <conditionalFormatting sqref="O200:O202 O218">
    <cfRule type="cellIs" dxfId="8126" priority="589" operator="equal">
      <formula>0</formula>
    </cfRule>
  </conditionalFormatting>
  <conditionalFormatting sqref="O197:O199">
    <cfRule type="cellIs" dxfId="8125" priority="588" operator="equal">
      <formula>0</formula>
    </cfRule>
  </conditionalFormatting>
  <conditionalFormatting sqref="P200:P202 P218">
    <cfRule type="cellIs" dxfId="8124" priority="587" operator="equal">
      <formula>0</formula>
    </cfRule>
  </conditionalFormatting>
  <conditionalFormatting sqref="P198:P199">
    <cfRule type="cellIs" dxfId="8123" priority="586" operator="equal">
      <formula>0</formula>
    </cfRule>
  </conditionalFormatting>
  <conditionalFormatting sqref="Q200:Q202 Q218">
    <cfRule type="cellIs" dxfId="8122" priority="585" operator="equal">
      <formula>0</formula>
    </cfRule>
  </conditionalFormatting>
  <conditionalFormatting sqref="Q198:Q199">
    <cfRule type="cellIs" dxfId="8121" priority="584" operator="equal">
      <formula>0</formula>
    </cfRule>
  </conditionalFormatting>
  <conditionalFormatting sqref="D226:F226 J226:T226">
    <cfRule type="cellIs" dxfId="8120" priority="583" operator="equal">
      <formula>0</formula>
    </cfRule>
  </conditionalFormatting>
  <conditionalFormatting sqref="D219:F227 D217:F217 D197:F203 N197:O197 R197:T197 J219:T227 J217:T217 J198:T203">
    <cfRule type="containsBlanks" dxfId="8119" priority="582">
      <formula>LEN(TRIM(D197))=0</formula>
    </cfRule>
  </conditionalFormatting>
  <conditionalFormatting sqref="D226:F226 J226:T226">
    <cfRule type="cellIs" dxfId="8118" priority="581" operator="equal">
      <formula>0</formula>
    </cfRule>
  </conditionalFormatting>
  <conditionalFormatting sqref="N200:N201">
    <cfRule type="cellIs" dxfId="8117" priority="580" operator="equal">
      <formula>0</formula>
    </cfRule>
  </conditionalFormatting>
  <conditionalFormatting sqref="O200:O201">
    <cfRule type="cellIs" dxfId="8116" priority="579" operator="equal">
      <formula>0</formula>
    </cfRule>
  </conditionalFormatting>
  <conditionalFormatting sqref="P200:Q200">
    <cfRule type="cellIs" dxfId="8115" priority="578" operator="equal">
      <formula>0</formula>
    </cfRule>
  </conditionalFormatting>
  <conditionalFormatting sqref="P201:Q201">
    <cfRule type="cellIs" dxfId="8114" priority="577" operator="equal">
      <formula>0</formula>
    </cfRule>
  </conditionalFormatting>
  <conditionalFormatting sqref="D205:F216 J205:T216">
    <cfRule type="cellIs" dxfId="8113" priority="576" operator="equal">
      <formula>0</formula>
    </cfRule>
  </conditionalFormatting>
  <conditionalFormatting sqref="D205:F216 J205:T216">
    <cfRule type="containsBlanks" dxfId="8112" priority="575">
      <formula>LEN(TRIM(D205))=0</formula>
    </cfRule>
  </conditionalFormatting>
  <conditionalFormatting sqref="J197">
    <cfRule type="cellIs" dxfId="8111" priority="574" operator="equal">
      <formula>0</formula>
    </cfRule>
  </conditionalFormatting>
  <conditionalFormatting sqref="K197">
    <cfRule type="cellIs" dxfId="8110" priority="573" operator="equal">
      <formula>0</formula>
    </cfRule>
  </conditionalFormatting>
  <conditionalFormatting sqref="L197:M197">
    <cfRule type="cellIs" dxfId="8109" priority="572" operator="equal">
      <formula>0</formula>
    </cfRule>
  </conditionalFormatting>
  <conditionalFormatting sqref="M197">
    <cfRule type="cellIs" dxfId="8108" priority="571" operator="equal">
      <formula>0</formula>
    </cfRule>
  </conditionalFormatting>
  <conditionalFormatting sqref="J197:M197">
    <cfRule type="containsBlanks" dxfId="8107" priority="570">
      <formula>LEN(TRIM(J197))=0</formula>
    </cfRule>
  </conditionalFormatting>
  <conditionalFormatting sqref="P197:Q197">
    <cfRule type="cellIs" dxfId="8106" priority="569" operator="equal">
      <formula>0</formula>
    </cfRule>
  </conditionalFormatting>
  <conditionalFormatting sqref="P197:Q197">
    <cfRule type="cellIs" dxfId="8105" priority="568" operator="equal">
      <formula>0</formula>
    </cfRule>
  </conditionalFormatting>
  <conditionalFormatting sqref="P197:Q197">
    <cfRule type="containsBlanks" dxfId="8104" priority="567">
      <formula>LEN(TRIM(P197))=0</formula>
    </cfRule>
  </conditionalFormatting>
  <conditionalFormatting sqref="D264:F264 R255:T255 D254:F262 D234:F241 N234:O234 R234:T234 J264:T264 J255:K255 J256:T262 J254:T254 J235:T241">
    <cfRule type="cellIs" dxfId="8103" priority="566" operator="equal">
      <formula>0</formula>
    </cfRule>
  </conditionalFormatting>
  <conditionalFormatting sqref="R234:R236">
    <cfRule type="cellIs" dxfId="8102" priority="565" operator="equal">
      <formula>0</formula>
    </cfRule>
  </conditionalFormatting>
  <conditionalFormatting sqref="R234:T234 N234:O234 D235:F236 J235:T236">
    <cfRule type="cellIs" dxfId="8101" priority="564" operator="equal">
      <formula>0</formula>
    </cfRule>
  </conditionalFormatting>
  <conditionalFormatting sqref="F235:F236">
    <cfRule type="cellIs" dxfId="8100" priority="563" operator="equal">
      <formula>0</formula>
    </cfRule>
  </conditionalFormatting>
  <conditionalFormatting sqref="N234:O234">
    <cfRule type="cellIs" dxfId="8099" priority="562" operator="equal">
      <formula>0</formula>
    </cfRule>
  </conditionalFormatting>
  <conditionalFormatting sqref="L237:L239 L255">
    <cfRule type="cellIs" dxfId="8098" priority="561" operator="equal">
      <formula>0</formula>
    </cfRule>
  </conditionalFormatting>
  <conditionalFormatting sqref="L235:L236">
    <cfRule type="cellIs" dxfId="8097" priority="560" operator="equal">
      <formula>0</formula>
    </cfRule>
  </conditionalFormatting>
  <conditionalFormatting sqref="M237:M239 M255">
    <cfRule type="cellIs" dxfId="8096" priority="559" operator="equal">
      <formula>0</formula>
    </cfRule>
  </conditionalFormatting>
  <conditionalFormatting sqref="M235:M236">
    <cfRule type="cellIs" dxfId="8095" priority="558" operator="equal">
      <formula>0</formula>
    </cfRule>
  </conditionalFormatting>
  <conditionalFormatting sqref="N237:N239 N255">
    <cfRule type="cellIs" dxfId="8094" priority="557" operator="equal">
      <formula>0</formula>
    </cfRule>
  </conditionalFormatting>
  <conditionalFormatting sqref="N234:N236">
    <cfRule type="cellIs" dxfId="8093" priority="556" operator="equal">
      <formula>0</formula>
    </cfRule>
  </conditionalFormatting>
  <conditionalFormatting sqref="O237:O239 O255">
    <cfRule type="cellIs" dxfId="8092" priority="555" operator="equal">
      <formula>0</formula>
    </cfRule>
  </conditionalFormatting>
  <conditionalFormatting sqref="O234:O236">
    <cfRule type="cellIs" dxfId="8091" priority="554" operator="equal">
      <formula>0</formula>
    </cfRule>
  </conditionalFormatting>
  <conditionalFormatting sqref="P237:P239 P255">
    <cfRule type="cellIs" dxfId="8090" priority="553" operator="equal">
      <formula>0</formula>
    </cfRule>
  </conditionalFormatting>
  <conditionalFormatting sqref="P235:P236">
    <cfRule type="cellIs" dxfId="8089" priority="552" operator="equal">
      <formula>0</formula>
    </cfRule>
  </conditionalFormatting>
  <conditionalFormatting sqref="Q237:Q239 Q255">
    <cfRule type="cellIs" dxfId="8088" priority="551" operator="equal">
      <formula>0</formula>
    </cfRule>
  </conditionalFormatting>
  <conditionalFormatting sqref="Q235:Q236">
    <cfRule type="cellIs" dxfId="8087" priority="550" operator="equal">
      <formula>0</formula>
    </cfRule>
  </conditionalFormatting>
  <conditionalFormatting sqref="D263:F263 J263:T263">
    <cfRule type="cellIs" dxfId="8086" priority="549" operator="equal">
      <formula>0</formula>
    </cfRule>
  </conditionalFormatting>
  <conditionalFormatting sqref="D256:F264 D254:F254 D234:F240 N234:O234 R234:T234 J256:T264 J254:T254 J235:T240">
    <cfRule type="containsBlanks" dxfId="8085" priority="548">
      <formula>LEN(TRIM(D234))=0</formula>
    </cfRule>
  </conditionalFormatting>
  <conditionalFormatting sqref="D263:F263 J263:T263">
    <cfRule type="cellIs" dxfId="8084" priority="547" operator="equal">
      <formula>0</formula>
    </cfRule>
  </conditionalFormatting>
  <conditionalFormatting sqref="N237:N238">
    <cfRule type="cellIs" dxfId="8083" priority="546" operator="equal">
      <formula>0</formula>
    </cfRule>
  </conditionalFormatting>
  <conditionalFormatting sqref="O237:O238">
    <cfRule type="cellIs" dxfId="8082" priority="545" operator="equal">
      <formula>0</formula>
    </cfRule>
  </conditionalFormatting>
  <conditionalFormatting sqref="P237:Q237">
    <cfRule type="cellIs" dxfId="8081" priority="544" operator="equal">
      <formula>0</formula>
    </cfRule>
  </conditionalFormatting>
  <conditionalFormatting sqref="P238:Q238">
    <cfRule type="cellIs" dxfId="8080" priority="543" operator="equal">
      <formula>0</formula>
    </cfRule>
  </conditionalFormatting>
  <conditionalFormatting sqref="D242:F253 J242:T253">
    <cfRule type="cellIs" dxfId="8079" priority="542" operator="equal">
      <formula>0</formula>
    </cfRule>
  </conditionalFormatting>
  <conditionalFormatting sqref="D242:F253 J242:T253">
    <cfRule type="containsBlanks" dxfId="8078" priority="541">
      <formula>LEN(TRIM(D242))=0</formula>
    </cfRule>
  </conditionalFormatting>
  <conditionalFormatting sqref="J234">
    <cfRule type="cellIs" dxfId="8077" priority="540" operator="equal">
      <formula>0</formula>
    </cfRule>
  </conditionalFormatting>
  <conditionalFormatting sqref="K234">
    <cfRule type="cellIs" dxfId="8076" priority="539" operator="equal">
      <formula>0</formula>
    </cfRule>
  </conditionalFormatting>
  <conditionalFormatting sqref="L234:M234">
    <cfRule type="cellIs" dxfId="8075" priority="538" operator="equal">
      <formula>0</formula>
    </cfRule>
  </conditionalFormatting>
  <conditionalFormatting sqref="M234">
    <cfRule type="cellIs" dxfId="8074" priority="537" operator="equal">
      <formula>0</formula>
    </cfRule>
  </conditionalFormatting>
  <conditionalFormatting sqref="J234:M234">
    <cfRule type="containsBlanks" dxfId="8073" priority="536">
      <formula>LEN(TRIM(J234))=0</formula>
    </cfRule>
  </conditionalFormatting>
  <conditionalFormatting sqref="P234:Q234">
    <cfRule type="cellIs" dxfId="8072" priority="535" operator="equal">
      <formula>0</formula>
    </cfRule>
  </conditionalFormatting>
  <conditionalFormatting sqref="P234:Q234">
    <cfRule type="cellIs" dxfId="8071" priority="534" operator="equal">
      <formula>0</formula>
    </cfRule>
  </conditionalFormatting>
  <conditionalFormatting sqref="P234:Q234">
    <cfRule type="containsBlanks" dxfId="8070" priority="533">
      <formula>LEN(TRIM(P234))=0</formula>
    </cfRule>
  </conditionalFormatting>
  <conditionalFormatting sqref="D301:F301 R292:T292 D291:F299 D271:F278 N271:O271 R271:T271 J301:T301 J292:K292 J293:T299 J291:T291 J272:T278">
    <cfRule type="cellIs" dxfId="8069" priority="532" operator="equal">
      <formula>0</formula>
    </cfRule>
  </conditionalFormatting>
  <conditionalFormatting sqref="R271:R273">
    <cfRule type="cellIs" dxfId="8068" priority="531" operator="equal">
      <formula>0</formula>
    </cfRule>
  </conditionalFormatting>
  <conditionalFormatting sqref="R271:T271 N271:O271 D272:F273 J272:T273">
    <cfRule type="cellIs" dxfId="8067" priority="530" operator="equal">
      <formula>0</formula>
    </cfRule>
  </conditionalFormatting>
  <conditionalFormatting sqref="F272:F273">
    <cfRule type="cellIs" dxfId="8066" priority="529" operator="equal">
      <formula>0</formula>
    </cfRule>
  </conditionalFormatting>
  <conditionalFormatting sqref="N271:O271">
    <cfRule type="cellIs" dxfId="8065" priority="528" operator="equal">
      <formula>0</formula>
    </cfRule>
  </conditionalFormatting>
  <conditionalFormatting sqref="L274:L276 L292">
    <cfRule type="cellIs" dxfId="8064" priority="527" operator="equal">
      <formula>0</formula>
    </cfRule>
  </conditionalFormatting>
  <conditionalFormatting sqref="L272:L273">
    <cfRule type="cellIs" dxfId="8063" priority="526" operator="equal">
      <formula>0</formula>
    </cfRule>
  </conditionalFormatting>
  <conditionalFormatting sqref="M274:M276 M292">
    <cfRule type="cellIs" dxfId="8062" priority="525" operator="equal">
      <formula>0</formula>
    </cfRule>
  </conditionalFormatting>
  <conditionalFormatting sqref="M272:M273">
    <cfRule type="cellIs" dxfId="8061" priority="524" operator="equal">
      <formula>0</formula>
    </cfRule>
  </conditionalFormatting>
  <conditionalFormatting sqref="N274:N276 N292">
    <cfRule type="cellIs" dxfId="8060" priority="523" operator="equal">
      <formula>0</formula>
    </cfRule>
  </conditionalFormatting>
  <conditionalFormatting sqref="N271:N273">
    <cfRule type="cellIs" dxfId="8059" priority="522" operator="equal">
      <formula>0</formula>
    </cfRule>
  </conditionalFormatting>
  <conditionalFormatting sqref="O274:O276 O292">
    <cfRule type="cellIs" dxfId="8058" priority="521" operator="equal">
      <formula>0</formula>
    </cfRule>
  </conditionalFormatting>
  <conditionalFormatting sqref="O271:O273">
    <cfRule type="cellIs" dxfId="8057" priority="520" operator="equal">
      <formula>0</formula>
    </cfRule>
  </conditionalFormatting>
  <conditionalFormatting sqref="P274:P276 P292">
    <cfRule type="cellIs" dxfId="8056" priority="519" operator="equal">
      <formula>0</formula>
    </cfRule>
  </conditionalFormatting>
  <conditionalFormatting sqref="P272:P273">
    <cfRule type="cellIs" dxfId="8055" priority="518" operator="equal">
      <formula>0</formula>
    </cfRule>
  </conditionalFormatting>
  <conditionalFormatting sqref="Q274:Q276 Q292">
    <cfRule type="cellIs" dxfId="8054" priority="517" operator="equal">
      <formula>0</formula>
    </cfRule>
  </conditionalFormatting>
  <conditionalFormatting sqref="Q272:Q273">
    <cfRule type="cellIs" dxfId="8053" priority="516" operator="equal">
      <formula>0</formula>
    </cfRule>
  </conditionalFormatting>
  <conditionalFormatting sqref="D300:F300 J300:T300">
    <cfRule type="cellIs" dxfId="8052" priority="515" operator="equal">
      <formula>0</formula>
    </cfRule>
  </conditionalFormatting>
  <conditionalFormatting sqref="D293:F301 D291:F291 D271:F277 N271:O271 R271:T271 J293:T301 J291:T291 J272:T277">
    <cfRule type="containsBlanks" dxfId="8051" priority="514">
      <formula>LEN(TRIM(D271))=0</formula>
    </cfRule>
  </conditionalFormatting>
  <conditionalFormatting sqref="D300:F300 J300:T300">
    <cfRule type="cellIs" dxfId="8050" priority="513" operator="equal">
      <formula>0</formula>
    </cfRule>
  </conditionalFormatting>
  <conditionalFormatting sqref="N274:N275">
    <cfRule type="cellIs" dxfId="8049" priority="512" operator="equal">
      <formula>0</formula>
    </cfRule>
  </conditionalFormatting>
  <conditionalFormatting sqref="O274:O275">
    <cfRule type="cellIs" dxfId="8048" priority="511" operator="equal">
      <formula>0</formula>
    </cfRule>
  </conditionalFormatting>
  <conditionalFormatting sqref="P274:Q274">
    <cfRule type="cellIs" dxfId="8047" priority="510" operator="equal">
      <formula>0</formula>
    </cfRule>
  </conditionalFormatting>
  <conditionalFormatting sqref="P275:Q275">
    <cfRule type="cellIs" dxfId="8046" priority="509" operator="equal">
      <formula>0</formula>
    </cfRule>
  </conditionalFormatting>
  <conditionalFormatting sqref="D279:F290 J279:T290">
    <cfRule type="cellIs" dxfId="8045" priority="508" operator="equal">
      <formula>0</formula>
    </cfRule>
  </conditionalFormatting>
  <conditionalFormatting sqref="D279:F290 J279:T290">
    <cfRule type="containsBlanks" dxfId="8044" priority="507">
      <formula>LEN(TRIM(D279))=0</formula>
    </cfRule>
  </conditionalFormatting>
  <conditionalFormatting sqref="J271">
    <cfRule type="cellIs" dxfId="8043" priority="506" operator="equal">
      <formula>0</formula>
    </cfRule>
  </conditionalFormatting>
  <conditionalFormatting sqref="K271">
    <cfRule type="cellIs" dxfId="8042" priority="505" operator="equal">
      <formula>0</formula>
    </cfRule>
  </conditionalFormatting>
  <conditionalFormatting sqref="L271:M271">
    <cfRule type="cellIs" dxfId="8041" priority="504" operator="equal">
      <formula>0</formula>
    </cfRule>
  </conditionalFormatting>
  <conditionalFormatting sqref="M271">
    <cfRule type="cellIs" dxfId="8040" priority="503" operator="equal">
      <formula>0</formula>
    </cfRule>
  </conditionalFormatting>
  <conditionalFormatting sqref="J271:M271">
    <cfRule type="containsBlanks" dxfId="8039" priority="502">
      <formula>LEN(TRIM(J271))=0</formula>
    </cfRule>
  </conditionalFormatting>
  <conditionalFormatting sqref="P271:Q271">
    <cfRule type="cellIs" dxfId="8038" priority="501" operator="equal">
      <formula>0</formula>
    </cfRule>
  </conditionalFormatting>
  <conditionalFormatting sqref="P271:Q271">
    <cfRule type="cellIs" dxfId="8037" priority="500" operator="equal">
      <formula>0</formula>
    </cfRule>
  </conditionalFormatting>
  <conditionalFormatting sqref="P271:Q271">
    <cfRule type="containsBlanks" dxfId="8036" priority="499">
      <formula>LEN(TRIM(P271))=0</formula>
    </cfRule>
  </conditionalFormatting>
  <conditionalFormatting sqref="D338:F338 R329:T329 D328:F336 D308:F315 N308:O308 R308:T308 J338:T338 J329:K329 J330:T336 J328:T328 J309:T315">
    <cfRule type="cellIs" dxfId="8035" priority="498" operator="equal">
      <formula>0</formula>
    </cfRule>
  </conditionalFormatting>
  <conditionalFormatting sqref="R308:R310">
    <cfRule type="cellIs" dxfId="8034" priority="497" operator="equal">
      <formula>0</formula>
    </cfRule>
  </conditionalFormatting>
  <conditionalFormatting sqref="R308:T308 N308:O308 D309:F310 J309:T310">
    <cfRule type="cellIs" dxfId="8033" priority="496" operator="equal">
      <formula>0</formula>
    </cfRule>
  </conditionalFormatting>
  <conditionalFormatting sqref="F309:F310">
    <cfRule type="cellIs" dxfId="8032" priority="495" operator="equal">
      <formula>0</formula>
    </cfRule>
  </conditionalFormatting>
  <conditionalFormatting sqref="N308:O308">
    <cfRule type="cellIs" dxfId="8031" priority="494" operator="equal">
      <formula>0</formula>
    </cfRule>
  </conditionalFormatting>
  <conditionalFormatting sqref="L311:L313 L329">
    <cfRule type="cellIs" dxfId="8030" priority="493" operator="equal">
      <formula>0</formula>
    </cfRule>
  </conditionalFormatting>
  <conditionalFormatting sqref="L309:L310">
    <cfRule type="cellIs" dxfId="8029" priority="492" operator="equal">
      <formula>0</formula>
    </cfRule>
  </conditionalFormatting>
  <conditionalFormatting sqref="M311:M313 M329">
    <cfRule type="cellIs" dxfId="8028" priority="491" operator="equal">
      <formula>0</formula>
    </cfRule>
  </conditionalFormatting>
  <conditionalFormatting sqref="M309:M310">
    <cfRule type="cellIs" dxfId="8027" priority="490" operator="equal">
      <formula>0</formula>
    </cfRule>
  </conditionalFormatting>
  <conditionalFormatting sqref="N311:N313 N329">
    <cfRule type="cellIs" dxfId="8026" priority="489" operator="equal">
      <formula>0</formula>
    </cfRule>
  </conditionalFormatting>
  <conditionalFormatting sqref="N308:N310">
    <cfRule type="cellIs" dxfId="8025" priority="488" operator="equal">
      <formula>0</formula>
    </cfRule>
  </conditionalFormatting>
  <conditionalFormatting sqref="O311:O313 O329">
    <cfRule type="cellIs" dxfId="8024" priority="487" operator="equal">
      <formula>0</formula>
    </cfRule>
  </conditionalFormatting>
  <conditionalFormatting sqref="O308:O310">
    <cfRule type="cellIs" dxfId="8023" priority="486" operator="equal">
      <formula>0</formula>
    </cfRule>
  </conditionalFormatting>
  <conditionalFormatting sqref="P311:P313 P329">
    <cfRule type="cellIs" dxfId="8022" priority="485" operator="equal">
      <formula>0</formula>
    </cfRule>
  </conditionalFormatting>
  <conditionalFormatting sqref="P309:P310">
    <cfRule type="cellIs" dxfId="8021" priority="484" operator="equal">
      <formula>0</formula>
    </cfRule>
  </conditionalFormatting>
  <conditionalFormatting sqref="Q311:Q313 Q329">
    <cfRule type="cellIs" dxfId="8020" priority="483" operator="equal">
      <formula>0</formula>
    </cfRule>
  </conditionalFormatting>
  <conditionalFormatting sqref="Q309:Q310">
    <cfRule type="cellIs" dxfId="8019" priority="482" operator="equal">
      <formula>0</formula>
    </cfRule>
  </conditionalFormatting>
  <conditionalFormatting sqref="D337:F337 J337:T337">
    <cfRule type="cellIs" dxfId="8018" priority="481" operator="equal">
      <formula>0</formula>
    </cfRule>
  </conditionalFormatting>
  <conditionalFormatting sqref="D330:F338 D328:F328 D308:F314 N308:O308 R308:T308 J330:T338 J328:T328 J309:T314">
    <cfRule type="containsBlanks" dxfId="8017" priority="480">
      <formula>LEN(TRIM(D308))=0</formula>
    </cfRule>
  </conditionalFormatting>
  <conditionalFormatting sqref="D337:F337 J337:T337">
    <cfRule type="cellIs" dxfId="8016" priority="479" operator="equal">
      <formula>0</formula>
    </cfRule>
  </conditionalFormatting>
  <conditionalFormatting sqref="N311:N312">
    <cfRule type="cellIs" dxfId="8015" priority="478" operator="equal">
      <formula>0</formula>
    </cfRule>
  </conditionalFormatting>
  <conditionalFormatting sqref="O311:O312">
    <cfRule type="cellIs" dxfId="8014" priority="477" operator="equal">
      <formula>0</formula>
    </cfRule>
  </conditionalFormatting>
  <conditionalFormatting sqref="P311:Q311">
    <cfRule type="cellIs" dxfId="8013" priority="476" operator="equal">
      <formula>0</formula>
    </cfRule>
  </conditionalFormatting>
  <conditionalFormatting sqref="P312:Q312">
    <cfRule type="cellIs" dxfId="8012" priority="475" operator="equal">
      <formula>0</formula>
    </cfRule>
  </conditionalFormatting>
  <conditionalFormatting sqref="D316:F327 J316:T327">
    <cfRule type="cellIs" dxfId="8011" priority="474" operator="equal">
      <formula>0</formula>
    </cfRule>
  </conditionalFormatting>
  <conditionalFormatting sqref="D316:F327 J316:T327">
    <cfRule type="containsBlanks" dxfId="8010" priority="473">
      <formula>LEN(TRIM(D316))=0</formula>
    </cfRule>
  </conditionalFormatting>
  <conditionalFormatting sqref="J308">
    <cfRule type="cellIs" dxfId="8009" priority="472" operator="equal">
      <formula>0</formula>
    </cfRule>
  </conditionalFormatting>
  <conditionalFormatting sqref="K308">
    <cfRule type="cellIs" dxfId="8008" priority="471" operator="equal">
      <formula>0</formula>
    </cfRule>
  </conditionalFormatting>
  <conditionalFormatting sqref="L308:M308">
    <cfRule type="cellIs" dxfId="8007" priority="470" operator="equal">
      <formula>0</formula>
    </cfRule>
  </conditionalFormatting>
  <conditionalFormatting sqref="M308">
    <cfRule type="cellIs" dxfId="8006" priority="469" operator="equal">
      <formula>0</formula>
    </cfRule>
  </conditionalFormatting>
  <conditionalFormatting sqref="J308:M308">
    <cfRule type="containsBlanks" dxfId="8005" priority="468">
      <formula>LEN(TRIM(J308))=0</formula>
    </cfRule>
  </conditionalFormatting>
  <conditionalFormatting sqref="P308:Q308">
    <cfRule type="cellIs" dxfId="8004" priority="467" operator="equal">
      <formula>0</formula>
    </cfRule>
  </conditionalFormatting>
  <conditionalFormatting sqref="P308:Q308">
    <cfRule type="cellIs" dxfId="8003" priority="466" operator="equal">
      <formula>0</formula>
    </cfRule>
  </conditionalFormatting>
  <conditionalFormatting sqref="P308:Q308">
    <cfRule type="containsBlanks" dxfId="8002" priority="465">
      <formula>LEN(TRIM(P308))=0</formula>
    </cfRule>
  </conditionalFormatting>
  <conditionalFormatting sqref="D375:F375 R366:T366 D365:F373 D345:F352 N345:O345 R345:T345 J375:T375 J366:K366 J367:T373 J365:T365 J346:T352">
    <cfRule type="cellIs" dxfId="8001" priority="464" operator="equal">
      <formula>0</formula>
    </cfRule>
  </conditionalFormatting>
  <conditionalFormatting sqref="R345:R347">
    <cfRule type="cellIs" dxfId="8000" priority="463" operator="equal">
      <formula>0</formula>
    </cfRule>
  </conditionalFormatting>
  <conditionalFormatting sqref="R345:T345 N345:O345 D346:F347 J346:T347">
    <cfRule type="cellIs" dxfId="7999" priority="462" operator="equal">
      <formula>0</formula>
    </cfRule>
  </conditionalFormatting>
  <conditionalFormatting sqref="F346:F347">
    <cfRule type="cellIs" dxfId="7998" priority="461" operator="equal">
      <formula>0</formula>
    </cfRule>
  </conditionalFormatting>
  <conditionalFormatting sqref="N345:O345">
    <cfRule type="cellIs" dxfId="7997" priority="460" operator="equal">
      <formula>0</formula>
    </cfRule>
  </conditionalFormatting>
  <conditionalFormatting sqref="L348:L350 L366">
    <cfRule type="cellIs" dxfId="7996" priority="459" operator="equal">
      <formula>0</formula>
    </cfRule>
  </conditionalFormatting>
  <conditionalFormatting sqref="L346:L347">
    <cfRule type="cellIs" dxfId="7995" priority="458" operator="equal">
      <formula>0</formula>
    </cfRule>
  </conditionalFormatting>
  <conditionalFormatting sqref="M348:M350 M366">
    <cfRule type="cellIs" dxfId="7994" priority="457" operator="equal">
      <formula>0</formula>
    </cfRule>
  </conditionalFormatting>
  <conditionalFormatting sqref="M346:M347">
    <cfRule type="cellIs" dxfId="7993" priority="456" operator="equal">
      <formula>0</formula>
    </cfRule>
  </conditionalFormatting>
  <conditionalFormatting sqref="N348:N350 N366">
    <cfRule type="cellIs" dxfId="7992" priority="455" operator="equal">
      <formula>0</formula>
    </cfRule>
  </conditionalFormatting>
  <conditionalFormatting sqref="N345:N347">
    <cfRule type="cellIs" dxfId="7991" priority="454" operator="equal">
      <formula>0</formula>
    </cfRule>
  </conditionalFormatting>
  <conditionalFormatting sqref="O348:O350 O366">
    <cfRule type="cellIs" dxfId="7990" priority="453" operator="equal">
      <formula>0</formula>
    </cfRule>
  </conditionalFormatting>
  <conditionalFormatting sqref="O345:O347">
    <cfRule type="cellIs" dxfId="7989" priority="452" operator="equal">
      <formula>0</formula>
    </cfRule>
  </conditionalFormatting>
  <conditionalFormatting sqref="P348:P350 P366">
    <cfRule type="cellIs" dxfId="7988" priority="451" operator="equal">
      <formula>0</formula>
    </cfRule>
  </conditionalFormatting>
  <conditionalFormatting sqref="P346:P347">
    <cfRule type="cellIs" dxfId="7987" priority="450" operator="equal">
      <formula>0</formula>
    </cfRule>
  </conditionalFormatting>
  <conditionalFormatting sqref="Q348:Q350 Q366">
    <cfRule type="cellIs" dxfId="7986" priority="449" operator="equal">
      <formula>0</formula>
    </cfRule>
  </conditionalFormatting>
  <conditionalFormatting sqref="Q346:Q347">
    <cfRule type="cellIs" dxfId="7985" priority="448" operator="equal">
      <formula>0</formula>
    </cfRule>
  </conditionalFormatting>
  <conditionalFormatting sqref="D374:F374 J374:T374">
    <cfRule type="cellIs" dxfId="7984" priority="447" operator="equal">
      <formula>0</formula>
    </cfRule>
  </conditionalFormatting>
  <conditionalFormatting sqref="D367:F375 D365:F365 D345:F351 N345:O345 R345:T345 J367:T375 J365:T365 J346:T351">
    <cfRule type="containsBlanks" dxfId="7983" priority="446">
      <formula>LEN(TRIM(D345))=0</formula>
    </cfRule>
  </conditionalFormatting>
  <conditionalFormatting sqref="D374:F374 J374:T374">
    <cfRule type="cellIs" dxfId="7982" priority="445" operator="equal">
      <formula>0</formula>
    </cfRule>
  </conditionalFormatting>
  <conditionalFormatting sqref="N348:N349">
    <cfRule type="cellIs" dxfId="7981" priority="444" operator="equal">
      <formula>0</formula>
    </cfRule>
  </conditionalFormatting>
  <conditionalFormatting sqref="O348:O349">
    <cfRule type="cellIs" dxfId="7980" priority="443" operator="equal">
      <formula>0</formula>
    </cfRule>
  </conditionalFormatting>
  <conditionalFormatting sqref="P348:Q348">
    <cfRule type="cellIs" dxfId="7979" priority="442" operator="equal">
      <formula>0</formula>
    </cfRule>
  </conditionalFormatting>
  <conditionalFormatting sqref="P349:Q349">
    <cfRule type="cellIs" dxfId="7978" priority="441" operator="equal">
      <formula>0</formula>
    </cfRule>
  </conditionalFormatting>
  <conditionalFormatting sqref="D353:F364 J353:T364">
    <cfRule type="cellIs" dxfId="7977" priority="440" operator="equal">
      <formula>0</formula>
    </cfRule>
  </conditionalFormatting>
  <conditionalFormatting sqref="D353:F364 J353:T364">
    <cfRule type="containsBlanks" dxfId="7976" priority="439">
      <formula>LEN(TRIM(D353))=0</formula>
    </cfRule>
  </conditionalFormatting>
  <conditionalFormatting sqref="J345">
    <cfRule type="cellIs" dxfId="7975" priority="438" operator="equal">
      <formula>0</formula>
    </cfRule>
  </conditionalFormatting>
  <conditionalFormatting sqref="K345">
    <cfRule type="cellIs" dxfId="7974" priority="437" operator="equal">
      <formula>0</formula>
    </cfRule>
  </conditionalFormatting>
  <conditionalFormatting sqref="L345:M345">
    <cfRule type="cellIs" dxfId="7973" priority="436" operator="equal">
      <formula>0</formula>
    </cfRule>
  </conditionalFormatting>
  <conditionalFormatting sqref="M345">
    <cfRule type="cellIs" dxfId="7972" priority="435" operator="equal">
      <formula>0</formula>
    </cfRule>
  </conditionalFormatting>
  <conditionalFormatting sqref="J345:M345">
    <cfRule type="containsBlanks" dxfId="7971" priority="434">
      <formula>LEN(TRIM(J345))=0</formula>
    </cfRule>
  </conditionalFormatting>
  <conditionalFormatting sqref="P345:Q345">
    <cfRule type="cellIs" dxfId="7970" priority="433" operator="equal">
      <formula>0</formula>
    </cfRule>
  </conditionalFormatting>
  <conditionalFormatting sqref="P345:Q345">
    <cfRule type="cellIs" dxfId="7969" priority="432" operator="equal">
      <formula>0</formula>
    </cfRule>
  </conditionalFormatting>
  <conditionalFormatting sqref="P345:Q345">
    <cfRule type="containsBlanks" dxfId="7968" priority="431">
      <formula>LEN(TRIM(P345))=0</formula>
    </cfRule>
  </conditionalFormatting>
  <conditionalFormatting sqref="D412:F412 R403:T403 D402:F410 D382:F389 N382:O382 R382:T382 J412:T412 J403:K403 J404:T410 J402:T402 J383:T389">
    <cfRule type="cellIs" dxfId="7967" priority="430" operator="equal">
      <formula>0</formula>
    </cfRule>
  </conditionalFormatting>
  <conditionalFormatting sqref="R382:R384">
    <cfRule type="cellIs" dxfId="7966" priority="429" operator="equal">
      <formula>0</formula>
    </cfRule>
  </conditionalFormatting>
  <conditionalFormatting sqref="R382:T382 N382:O382 D383:F384 J383:T384">
    <cfRule type="cellIs" dxfId="7965" priority="428" operator="equal">
      <formula>0</formula>
    </cfRule>
  </conditionalFormatting>
  <conditionalFormatting sqref="F383:F384">
    <cfRule type="cellIs" dxfId="7964" priority="427" operator="equal">
      <formula>0</formula>
    </cfRule>
  </conditionalFormatting>
  <conditionalFormatting sqref="N382:O382">
    <cfRule type="cellIs" dxfId="7963" priority="426" operator="equal">
      <formula>0</formula>
    </cfRule>
  </conditionalFormatting>
  <conditionalFormatting sqref="L385:L387 L403">
    <cfRule type="cellIs" dxfId="7962" priority="425" operator="equal">
      <formula>0</formula>
    </cfRule>
  </conditionalFormatting>
  <conditionalFormatting sqref="L383:L384">
    <cfRule type="cellIs" dxfId="7961" priority="424" operator="equal">
      <formula>0</formula>
    </cfRule>
  </conditionalFormatting>
  <conditionalFormatting sqref="M385:M387 M403">
    <cfRule type="cellIs" dxfId="7960" priority="423" operator="equal">
      <formula>0</formula>
    </cfRule>
  </conditionalFormatting>
  <conditionalFormatting sqref="M383:M384">
    <cfRule type="cellIs" dxfId="7959" priority="422" operator="equal">
      <formula>0</formula>
    </cfRule>
  </conditionalFormatting>
  <conditionalFormatting sqref="N385:N387 N403">
    <cfRule type="cellIs" dxfId="7958" priority="421" operator="equal">
      <formula>0</formula>
    </cfRule>
  </conditionalFormatting>
  <conditionalFormatting sqref="N382:N384">
    <cfRule type="cellIs" dxfId="7957" priority="420" operator="equal">
      <formula>0</formula>
    </cfRule>
  </conditionalFormatting>
  <conditionalFormatting sqref="O385:O387 O403">
    <cfRule type="cellIs" dxfId="7956" priority="419" operator="equal">
      <formula>0</formula>
    </cfRule>
  </conditionalFormatting>
  <conditionalFormatting sqref="O382:O384">
    <cfRule type="cellIs" dxfId="7955" priority="418" operator="equal">
      <formula>0</formula>
    </cfRule>
  </conditionalFormatting>
  <conditionalFormatting sqref="P385:P387 P403">
    <cfRule type="cellIs" dxfId="7954" priority="417" operator="equal">
      <formula>0</formula>
    </cfRule>
  </conditionalFormatting>
  <conditionalFormatting sqref="P383:P384">
    <cfRule type="cellIs" dxfId="7953" priority="416" operator="equal">
      <formula>0</formula>
    </cfRule>
  </conditionalFormatting>
  <conditionalFormatting sqref="Q385:Q387 Q403">
    <cfRule type="cellIs" dxfId="7952" priority="415" operator="equal">
      <formula>0</formula>
    </cfRule>
  </conditionalFormatting>
  <conditionalFormatting sqref="Q383:Q384">
    <cfRule type="cellIs" dxfId="7951" priority="414" operator="equal">
      <formula>0</formula>
    </cfRule>
  </conditionalFormatting>
  <conditionalFormatting sqref="D411:F411 J411:T411">
    <cfRule type="cellIs" dxfId="7950" priority="413" operator="equal">
      <formula>0</formula>
    </cfRule>
  </conditionalFormatting>
  <conditionalFormatting sqref="D404:F412 D402:F402 D382:F388 N382:O382 R382:T382 J404:T412 J402:T402 J383:T388">
    <cfRule type="containsBlanks" dxfId="7949" priority="412">
      <formula>LEN(TRIM(D382))=0</formula>
    </cfRule>
  </conditionalFormatting>
  <conditionalFormatting sqref="D411:F411 J411:T411">
    <cfRule type="cellIs" dxfId="7948" priority="411" operator="equal">
      <formula>0</formula>
    </cfRule>
  </conditionalFormatting>
  <conditionalFormatting sqref="N385:N386">
    <cfRule type="cellIs" dxfId="7947" priority="410" operator="equal">
      <formula>0</formula>
    </cfRule>
  </conditionalFormatting>
  <conditionalFormatting sqref="O385:O386">
    <cfRule type="cellIs" dxfId="7946" priority="409" operator="equal">
      <formula>0</formula>
    </cfRule>
  </conditionalFormatting>
  <conditionalFormatting sqref="P385:Q385">
    <cfRule type="cellIs" dxfId="7945" priority="408" operator="equal">
      <formula>0</formula>
    </cfRule>
  </conditionalFormatting>
  <conditionalFormatting sqref="P386:Q386">
    <cfRule type="cellIs" dxfId="7944" priority="407" operator="equal">
      <formula>0</formula>
    </cfRule>
  </conditionalFormatting>
  <conditionalFormatting sqref="D390:F401 J390:T401">
    <cfRule type="cellIs" dxfId="7943" priority="406" operator="equal">
      <formula>0</formula>
    </cfRule>
  </conditionalFormatting>
  <conditionalFormatting sqref="D390:F401 J390:T401">
    <cfRule type="containsBlanks" dxfId="7942" priority="405">
      <formula>LEN(TRIM(D390))=0</formula>
    </cfRule>
  </conditionalFormatting>
  <conditionalFormatting sqref="J382">
    <cfRule type="cellIs" dxfId="7941" priority="404" operator="equal">
      <formula>0</formula>
    </cfRule>
  </conditionalFormatting>
  <conditionalFormatting sqref="K382">
    <cfRule type="cellIs" dxfId="7940" priority="403" operator="equal">
      <formula>0</formula>
    </cfRule>
  </conditionalFormatting>
  <conditionalFormatting sqref="L382:M382">
    <cfRule type="cellIs" dxfId="7939" priority="402" operator="equal">
      <formula>0</formula>
    </cfRule>
  </conditionalFormatting>
  <conditionalFormatting sqref="M382">
    <cfRule type="cellIs" dxfId="7938" priority="401" operator="equal">
      <formula>0</formula>
    </cfRule>
  </conditionalFormatting>
  <conditionalFormatting sqref="J382:M382">
    <cfRule type="containsBlanks" dxfId="7937" priority="400">
      <formula>LEN(TRIM(J382))=0</formula>
    </cfRule>
  </conditionalFormatting>
  <conditionalFormatting sqref="P382:Q382">
    <cfRule type="cellIs" dxfId="7936" priority="399" operator="equal">
      <formula>0</formula>
    </cfRule>
  </conditionalFormatting>
  <conditionalFormatting sqref="P382:Q382">
    <cfRule type="cellIs" dxfId="7935" priority="398" operator="equal">
      <formula>0</formula>
    </cfRule>
  </conditionalFormatting>
  <conditionalFormatting sqref="P382:Q382">
    <cfRule type="containsBlanks" dxfId="7934" priority="397">
      <formula>LEN(TRIM(P382))=0</formula>
    </cfRule>
  </conditionalFormatting>
  <conditionalFormatting sqref="G13:G19 G32:G40 G42">
    <cfRule type="cellIs" dxfId="7933" priority="320" operator="equal">
      <formula>0</formula>
    </cfRule>
  </conditionalFormatting>
  <conditionalFormatting sqref="G13:G14">
    <cfRule type="cellIs" dxfId="7932" priority="319" operator="equal">
      <formula>0</formula>
    </cfRule>
  </conditionalFormatting>
  <conditionalFormatting sqref="G13:G14">
    <cfRule type="cellIs" dxfId="7931" priority="318" operator="equal">
      <formula>0</formula>
    </cfRule>
  </conditionalFormatting>
  <conditionalFormatting sqref="G41">
    <cfRule type="cellIs" dxfId="7930" priority="317" operator="equal">
      <formula>0</formula>
    </cfRule>
  </conditionalFormatting>
  <conditionalFormatting sqref="G13:G18 G34:G42 G32">
    <cfRule type="containsBlanks" dxfId="7929" priority="316">
      <formula>LEN(TRIM(G13))=0</formula>
    </cfRule>
  </conditionalFormatting>
  <conditionalFormatting sqref="G41">
    <cfRule type="cellIs" dxfId="7928" priority="315" operator="equal">
      <formula>0</formula>
    </cfRule>
  </conditionalFormatting>
  <conditionalFormatting sqref="G20:G31">
    <cfRule type="cellIs" dxfId="7927" priority="314" operator="equal">
      <formula>0</formula>
    </cfRule>
  </conditionalFormatting>
  <conditionalFormatting sqref="G20:G31">
    <cfRule type="containsBlanks" dxfId="7926" priority="313">
      <formula>LEN(TRIM(G20))=0</formula>
    </cfRule>
  </conditionalFormatting>
  <conditionalFormatting sqref="I12">
    <cfRule type="cellIs" dxfId="7925" priority="260" operator="equal">
      <formula>0</formula>
    </cfRule>
  </conditionalFormatting>
  <conditionalFormatting sqref="I12">
    <cfRule type="containsBlanks" dxfId="7924" priority="259">
      <formula>LEN(TRIM(I12))=0</formula>
    </cfRule>
  </conditionalFormatting>
  <conditionalFormatting sqref="I13:I19 I32:I40 I42">
    <cfRule type="cellIs" dxfId="7923" priority="258" operator="equal">
      <formula>0</formula>
    </cfRule>
  </conditionalFormatting>
  <conditionalFormatting sqref="I13:I14">
    <cfRule type="cellIs" dxfId="7922" priority="257" operator="equal">
      <formula>0</formula>
    </cfRule>
  </conditionalFormatting>
  <conditionalFormatting sqref="I13:I14">
    <cfRule type="cellIs" dxfId="7921" priority="256" operator="equal">
      <formula>0</formula>
    </cfRule>
  </conditionalFormatting>
  <conditionalFormatting sqref="I41">
    <cfRule type="cellIs" dxfId="7920" priority="255" operator="equal">
      <formula>0</formula>
    </cfRule>
  </conditionalFormatting>
  <conditionalFormatting sqref="I13:I18 I34:I42 I32">
    <cfRule type="containsBlanks" dxfId="7919" priority="254">
      <formula>LEN(TRIM(I13))=0</formula>
    </cfRule>
  </conditionalFormatting>
  <conditionalFormatting sqref="I41">
    <cfRule type="cellIs" dxfId="7918" priority="253" operator="equal">
      <formula>0</formula>
    </cfRule>
  </conditionalFormatting>
  <conditionalFormatting sqref="I20:I31">
    <cfRule type="cellIs" dxfId="7917" priority="252" operator="equal">
      <formula>0</formula>
    </cfRule>
  </conditionalFormatting>
  <conditionalFormatting sqref="I20:I31">
    <cfRule type="containsBlanks" dxfId="7916" priority="251">
      <formula>LEN(TRIM(I20))=0</formula>
    </cfRule>
  </conditionalFormatting>
  <conditionalFormatting sqref="H49:H56 H69:H77 H79 G49">
    <cfRule type="cellIs" dxfId="7915" priority="250" operator="equal">
      <formula>0</formula>
    </cfRule>
  </conditionalFormatting>
  <conditionalFormatting sqref="H50:H51">
    <cfRule type="cellIs" dxfId="7914" priority="249" operator="equal">
      <formula>0</formula>
    </cfRule>
  </conditionalFormatting>
  <conditionalFormatting sqref="H78">
    <cfRule type="cellIs" dxfId="7913" priority="248" operator="equal">
      <formula>0</formula>
    </cfRule>
  </conditionalFormatting>
  <conditionalFormatting sqref="H49:H55 H69 H71:H79 G49">
    <cfRule type="containsBlanks" dxfId="7912" priority="247">
      <formula>LEN(TRIM(G49))=0</formula>
    </cfRule>
  </conditionalFormatting>
  <conditionalFormatting sqref="H78">
    <cfRule type="cellIs" dxfId="7911" priority="246" operator="equal">
      <formula>0</formula>
    </cfRule>
  </conditionalFormatting>
  <conditionalFormatting sqref="H57:H68">
    <cfRule type="cellIs" dxfId="7910" priority="245" operator="equal">
      <formula>0</formula>
    </cfRule>
  </conditionalFormatting>
  <conditionalFormatting sqref="H57:H68">
    <cfRule type="containsBlanks" dxfId="7909" priority="244">
      <formula>LEN(TRIM(H57))=0</formula>
    </cfRule>
  </conditionalFormatting>
  <conditionalFormatting sqref="G50:G56 G69:G77 G79">
    <cfRule type="cellIs" dxfId="7908" priority="243" operator="equal">
      <formula>0</formula>
    </cfRule>
  </conditionalFormatting>
  <conditionalFormatting sqref="G50:G51">
    <cfRule type="cellIs" dxfId="7907" priority="242" operator="equal">
      <formula>0</formula>
    </cfRule>
  </conditionalFormatting>
  <conditionalFormatting sqref="G50:G51">
    <cfRule type="cellIs" dxfId="7906" priority="241" operator="equal">
      <formula>0</formula>
    </cfRule>
  </conditionalFormatting>
  <conditionalFormatting sqref="G78">
    <cfRule type="cellIs" dxfId="7905" priority="240" operator="equal">
      <formula>0</formula>
    </cfRule>
  </conditionalFormatting>
  <conditionalFormatting sqref="G50:G55 G71:G79 G69">
    <cfRule type="containsBlanks" dxfId="7904" priority="239">
      <formula>LEN(TRIM(G50))=0</formula>
    </cfRule>
  </conditionalFormatting>
  <conditionalFormatting sqref="G78">
    <cfRule type="cellIs" dxfId="7903" priority="238" operator="equal">
      <formula>0</formula>
    </cfRule>
  </conditionalFormatting>
  <conditionalFormatting sqref="G57:G68">
    <cfRule type="cellIs" dxfId="7902" priority="237" operator="equal">
      <formula>0</formula>
    </cfRule>
  </conditionalFormatting>
  <conditionalFormatting sqref="G57:G68">
    <cfRule type="containsBlanks" dxfId="7901" priority="236">
      <formula>LEN(TRIM(G57))=0</formula>
    </cfRule>
  </conditionalFormatting>
  <conditionalFormatting sqref="I49">
    <cfRule type="cellIs" dxfId="7900" priority="235" operator="equal">
      <formula>0</formula>
    </cfRule>
  </conditionalFormatting>
  <conditionalFormatting sqref="I49">
    <cfRule type="containsBlanks" dxfId="7899" priority="234">
      <formula>LEN(TRIM(I49))=0</formula>
    </cfRule>
  </conditionalFormatting>
  <conditionalFormatting sqref="I50:I56 I69:I77 I79">
    <cfRule type="cellIs" dxfId="7898" priority="233" operator="equal">
      <formula>0</formula>
    </cfRule>
  </conditionalFormatting>
  <conditionalFormatting sqref="I50:I51">
    <cfRule type="cellIs" dxfId="7897" priority="232" operator="equal">
      <formula>0</formula>
    </cfRule>
  </conditionalFormatting>
  <conditionalFormatting sqref="I50:I51">
    <cfRule type="cellIs" dxfId="7896" priority="231" operator="equal">
      <formula>0</formula>
    </cfRule>
  </conditionalFormatting>
  <conditionalFormatting sqref="I78">
    <cfRule type="cellIs" dxfId="7895" priority="230" operator="equal">
      <formula>0</formula>
    </cfRule>
  </conditionalFormatting>
  <conditionalFormatting sqref="I50:I55 I71:I79 I69">
    <cfRule type="containsBlanks" dxfId="7894" priority="229">
      <formula>LEN(TRIM(I50))=0</formula>
    </cfRule>
  </conditionalFormatting>
  <conditionalFormatting sqref="I78">
    <cfRule type="cellIs" dxfId="7893" priority="228" operator="equal">
      <formula>0</formula>
    </cfRule>
  </conditionalFormatting>
  <conditionalFormatting sqref="I57:I68">
    <cfRule type="cellIs" dxfId="7892" priority="227" operator="equal">
      <formula>0</formula>
    </cfRule>
  </conditionalFormatting>
  <conditionalFormatting sqref="I57:I68">
    <cfRule type="containsBlanks" dxfId="7891" priority="226">
      <formula>LEN(TRIM(I57))=0</formula>
    </cfRule>
  </conditionalFormatting>
  <conditionalFormatting sqref="H86:H93 H106:H114 H116 G86">
    <cfRule type="cellIs" dxfId="7890" priority="225" operator="equal">
      <formula>0</formula>
    </cfRule>
  </conditionalFormatting>
  <conditionalFormatting sqref="H87:H88">
    <cfRule type="cellIs" dxfId="7889" priority="224" operator="equal">
      <formula>0</formula>
    </cfRule>
  </conditionalFormatting>
  <conditionalFormatting sqref="H115">
    <cfRule type="cellIs" dxfId="7888" priority="223" operator="equal">
      <formula>0</formula>
    </cfRule>
  </conditionalFormatting>
  <conditionalFormatting sqref="H86:H92 H106 H108:H116 G86">
    <cfRule type="containsBlanks" dxfId="7887" priority="222">
      <formula>LEN(TRIM(G86))=0</formula>
    </cfRule>
  </conditionalFormatting>
  <conditionalFormatting sqref="H115">
    <cfRule type="cellIs" dxfId="7886" priority="221" operator="equal">
      <formula>0</formula>
    </cfRule>
  </conditionalFormatting>
  <conditionalFormatting sqref="H94:H105">
    <cfRule type="cellIs" dxfId="7885" priority="220" operator="equal">
      <formula>0</formula>
    </cfRule>
  </conditionalFormatting>
  <conditionalFormatting sqref="H94:H105">
    <cfRule type="containsBlanks" dxfId="7884" priority="219">
      <formula>LEN(TRIM(H94))=0</formula>
    </cfRule>
  </conditionalFormatting>
  <conditionalFormatting sqref="G87:G93 G106:G114 G116">
    <cfRule type="cellIs" dxfId="7883" priority="218" operator="equal">
      <formula>0</formula>
    </cfRule>
  </conditionalFormatting>
  <conditionalFormatting sqref="G87:G88">
    <cfRule type="cellIs" dxfId="7882" priority="217" operator="equal">
      <formula>0</formula>
    </cfRule>
  </conditionalFormatting>
  <conditionalFormatting sqref="G87:G88">
    <cfRule type="cellIs" dxfId="7881" priority="216" operator="equal">
      <formula>0</formula>
    </cfRule>
  </conditionalFormatting>
  <conditionalFormatting sqref="G115">
    <cfRule type="cellIs" dxfId="7880" priority="215" operator="equal">
      <formula>0</formula>
    </cfRule>
  </conditionalFormatting>
  <conditionalFormatting sqref="G87:G92 G108:G116 G106">
    <cfRule type="containsBlanks" dxfId="7879" priority="214">
      <formula>LEN(TRIM(G87))=0</formula>
    </cfRule>
  </conditionalFormatting>
  <conditionalFormatting sqref="G115">
    <cfRule type="cellIs" dxfId="7878" priority="213" operator="equal">
      <formula>0</formula>
    </cfRule>
  </conditionalFormatting>
  <conditionalFormatting sqref="G94:G105">
    <cfRule type="cellIs" dxfId="7877" priority="212" operator="equal">
      <formula>0</formula>
    </cfRule>
  </conditionalFormatting>
  <conditionalFormatting sqref="G94:G105">
    <cfRule type="containsBlanks" dxfId="7876" priority="211">
      <formula>LEN(TRIM(G94))=0</formula>
    </cfRule>
  </conditionalFormatting>
  <conditionalFormatting sqref="I86">
    <cfRule type="cellIs" dxfId="7875" priority="210" operator="equal">
      <formula>0</formula>
    </cfRule>
  </conditionalFormatting>
  <conditionalFormatting sqref="I86">
    <cfRule type="containsBlanks" dxfId="7874" priority="209">
      <formula>LEN(TRIM(I86))=0</formula>
    </cfRule>
  </conditionalFormatting>
  <conditionalFormatting sqref="I87:I93 I106:I114 I116">
    <cfRule type="cellIs" dxfId="7873" priority="208" operator="equal">
      <formula>0</formula>
    </cfRule>
  </conditionalFormatting>
  <conditionalFormatting sqref="I87:I88">
    <cfRule type="cellIs" dxfId="7872" priority="207" operator="equal">
      <formula>0</formula>
    </cfRule>
  </conditionalFormatting>
  <conditionalFormatting sqref="I87:I88">
    <cfRule type="cellIs" dxfId="7871" priority="206" operator="equal">
      <formula>0</formula>
    </cfRule>
  </conditionalFormatting>
  <conditionalFormatting sqref="I115">
    <cfRule type="cellIs" dxfId="7870" priority="205" operator="equal">
      <formula>0</formula>
    </cfRule>
  </conditionalFormatting>
  <conditionalFormatting sqref="I87:I92 I108:I116 I106">
    <cfRule type="containsBlanks" dxfId="7869" priority="204">
      <formula>LEN(TRIM(I87))=0</formula>
    </cfRule>
  </conditionalFormatting>
  <conditionalFormatting sqref="I115">
    <cfRule type="cellIs" dxfId="7868" priority="203" operator="equal">
      <formula>0</formula>
    </cfRule>
  </conditionalFormatting>
  <conditionalFormatting sqref="I94:I105">
    <cfRule type="cellIs" dxfId="7867" priority="202" operator="equal">
      <formula>0</formula>
    </cfRule>
  </conditionalFormatting>
  <conditionalFormatting sqref="I94:I105">
    <cfRule type="containsBlanks" dxfId="7866" priority="201">
      <formula>LEN(TRIM(I94))=0</formula>
    </cfRule>
  </conditionalFormatting>
  <conditionalFormatting sqref="H123:H130 H143:H151 H153 G123">
    <cfRule type="cellIs" dxfId="7865" priority="200" operator="equal">
      <formula>0</formula>
    </cfRule>
  </conditionalFormatting>
  <conditionalFormatting sqref="H124:H125">
    <cfRule type="cellIs" dxfId="7864" priority="199" operator="equal">
      <formula>0</formula>
    </cfRule>
  </conditionalFormatting>
  <conditionalFormatting sqref="H152">
    <cfRule type="cellIs" dxfId="7863" priority="198" operator="equal">
      <formula>0</formula>
    </cfRule>
  </conditionalFormatting>
  <conditionalFormatting sqref="H123:H129 H143 H145:H153 G123">
    <cfRule type="containsBlanks" dxfId="7862" priority="197">
      <formula>LEN(TRIM(G123))=0</formula>
    </cfRule>
  </conditionalFormatting>
  <conditionalFormatting sqref="H152">
    <cfRule type="cellIs" dxfId="7861" priority="196" operator="equal">
      <formula>0</formula>
    </cfRule>
  </conditionalFormatting>
  <conditionalFormatting sqref="H131:H142">
    <cfRule type="cellIs" dxfId="7860" priority="195" operator="equal">
      <formula>0</formula>
    </cfRule>
  </conditionalFormatting>
  <conditionalFormatting sqref="H131:H142">
    <cfRule type="containsBlanks" dxfId="7859" priority="194">
      <formula>LEN(TRIM(H131))=0</formula>
    </cfRule>
  </conditionalFormatting>
  <conditionalFormatting sqref="G124:G130 G143:G151 G153">
    <cfRule type="cellIs" dxfId="7858" priority="193" operator="equal">
      <formula>0</formula>
    </cfRule>
  </conditionalFormatting>
  <conditionalFormatting sqref="G124:G125">
    <cfRule type="cellIs" dxfId="7857" priority="192" operator="equal">
      <formula>0</formula>
    </cfRule>
  </conditionalFormatting>
  <conditionalFormatting sqref="G124:G125">
    <cfRule type="cellIs" dxfId="7856" priority="191" operator="equal">
      <formula>0</formula>
    </cfRule>
  </conditionalFormatting>
  <conditionalFormatting sqref="G152">
    <cfRule type="cellIs" dxfId="7855" priority="190" operator="equal">
      <formula>0</formula>
    </cfRule>
  </conditionalFormatting>
  <conditionalFormatting sqref="G124:G129 G145:G153 G143">
    <cfRule type="containsBlanks" dxfId="7854" priority="189">
      <formula>LEN(TRIM(G124))=0</formula>
    </cfRule>
  </conditionalFormatting>
  <conditionalFormatting sqref="G152">
    <cfRule type="cellIs" dxfId="7853" priority="188" operator="equal">
      <formula>0</formula>
    </cfRule>
  </conditionalFormatting>
  <conditionalFormatting sqref="G131:G142">
    <cfRule type="cellIs" dxfId="7852" priority="187" operator="equal">
      <formula>0</formula>
    </cfRule>
  </conditionalFormatting>
  <conditionalFormatting sqref="G131:G142">
    <cfRule type="containsBlanks" dxfId="7851" priority="186">
      <formula>LEN(TRIM(G131))=0</formula>
    </cfRule>
  </conditionalFormatting>
  <conditionalFormatting sqref="I123">
    <cfRule type="cellIs" dxfId="7850" priority="185" operator="equal">
      <formula>0</formula>
    </cfRule>
  </conditionalFormatting>
  <conditionalFormatting sqref="I123">
    <cfRule type="containsBlanks" dxfId="7849" priority="184">
      <formula>LEN(TRIM(I123))=0</formula>
    </cfRule>
  </conditionalFormatting>
  <conditionalFormatting sqref="I124:I130 I143:I151 I153">
    <cfRule type="cellIs" dxfId="7848" priority="183" operator="equal">
      <formula>0</formula>
    </cfRule>
  </conditionalFormatting>
  <conditionalFormatting sqref="I124:I125">
    <cfRule type="cellIs" dxfId="7847" priority="182" operator="equal">
      <formula>0</formula>
    </cfRule>
  </conditionalFormatting>
  <conditionalFormatting sqref="I124:I125">
    <cfRule type="cellIs" dxfId="7846" priority="181" operator="equal">
      <formula>0</formula>
    </cfRule>
  </conditionalFormatting>
  <conditionalFormatting sqref="I152">
    <cfRule type="cellIs" dxfId="7845" priority="180" operator="equal">
      <formula>0</formula>
    </cfRule>
  </conditionalFormatting>
  <conditionalFormatting sqref="I124:I129 I145:I153 I143">
    <cfRule type="containsBlanks" dxfId="7844" priority="179">
      <formula>LEN(TRIM(I124))=0</formula>
    </cfRule>
  </conditionalFormatting>
  <conditionalFormatting sqref="I152">
    <cfRule type="cellIs" dxfId="7843" priority="178" operator="equal">
      <formula>0</formula>
    </cfRule>
  </conditionalFormatting>
  <conditionalFormatting sqref="I131:I142">
    <cfRule type="cellIs" dxfId="7842" priority="177" operator="equal">
      <formula>0</formula>
    </cfRule>
  </conditionalFormatting>
  <conditionalFormatting sqref="I131:I142">
    <cfRule type="containsBlanks" dxfId="7841" priority="176">
      <formula>LEN(TRIM(I131))=0</formula>
    </cfRule>
  </conditionalFormatting>
  <conditionalFormatting sqref="H160:H167 H180:H188 H190 G160">
    <cfRule type="cellIs" dxfId="7840" priority="175" operator="equal">
      <formula>0</formula>
    </cfRule>
  </conditionalFormatting>
  <conditionalFormatting sqref="H161:H162">
    <cfRule type="cellIs" dxfId="7839" priority="174" operator="equal">
      <formula>0</formula>
    </cfRule>
  </conditionalFormatting>
  <conditionalFormatting sqref="H189">
    <cfRule type="cellIs" dxfId="7838" priority="173" operator="equal">
      <formula>0</formula>
    </cfRule>
  </conditionalFormatting>
  <conditionalFormatting sqref="H160:H166 H180 H182:H190 G160">
    <cfRule type="containsBlanks" dxfId="7837" priority="172">
      <formula>LEN(TRIM(G160))=0</formula>
    </cfRule>
  </conditionalFormatting>
  <conditionalFormatting sqref="H189">
    <cfRule type="cellIs" dxfId="7836" priority="171" operator="equal">
      <formula>0</formula>
    </cfRule>
  </conditionalFormatting>
  <conditionalFormatting sqref="H168:H179">
    <cfRule type="cellIs" dxfId="7835" priority="170" operator="equal">
      <formula>0</formula>
    </cfRule>
  </conditionalFormatting>
  <conditionalFormatting sqref="H168:H179">
    <cfRule type="containsBlanks" dxfId="7834" priority="169">
      <formula>LEN(TRIM(H168))=0</formula>
    </cfRule>
  </conditionalFormatting>
  <conditionalFormatting sqref="G161:G167 G180:G188 G190">
    <cfRule type="cellIs" dxfId="7833" priority="168" operator="equal">
      <formula>0</formula>
    </cfRule>
  </conditionalFormatting>
  <conditionalFormatting sqref="G161:G162">
    <cfRule type="cellIs" dxfId="7832" priority="167" operator="equal">
      <formula>0</formula>
    </cfRule>
  </conditionalFormatting>
  <conditionalFormatting sqref="G161:G162">
    <cfRule type="cellIs" dxfId="7831" priority="166" operator="equal">
      <formula>0</formula>
    </cfRule>
  </conditionalFormatting>
  <conditionalFormatting sqref="G189">
    <cfRule type="cellIs" dxfId="7830" priority="165" operator="equal">
      <formula>0</formula>
    </cfRule>
  </conditionalFormatting>
  <conditionalFormatting sqref="G161:G166 G182:G190 G180">
    <cfRule type="containsBlanks" dxfId="7829" priority="164">
      <formula>LEN(TRIM(G161))=0</formula>
    </cfRule>
  </conditionalFormatting>
  <conditionalFormatting sqref="G189">
    <cfRule type="cellIs" dxfId="7828" priority="163" operator="equal">
      <formula>0</formula>
    </cfRule>
  </conditionalFormatting>
  <conditionalFormatting sqref="G168:G179">
    <cfRule type="cellIs" dxfId="7827" priority="162" operator="equal">
      <formula>0</formula>
    </cfRule>
  </conditionalFormatting>
  <conditionalFormatting sqref="G168:G179">
    <cfRule type="containsBlanks" dxfId="7826" priority="161">
      <formula>LEN(TRIM(G168))=0</formula>
    </cfRule>
  </conditionalFormatting>
  <conditionalFormatting sqref="I160">
    <cfRule type="cellIs" dxfId="7825" priority="160" operator="equal">
      <formula>0</formula>
    </cfRule>
  </conditionalFormatting>
  <conditionalFormatting sqref="I160">
    <cfRule type="containsBlanks" dxfId="7824" priority="159">
      <formula>LEN(TRIM(I160))=0</formula>
    </cfRule>
  </conditionalFormatting>
  <conditionalFormatting sqref="I161:I167 I180:I188 I190">
    <cfRule type="cellIs" dxfId="7823" priority="158" operator="equal">
      <formula>0</formula>
    </cfRule>
  </conditionalFormatting>
  <conditionalFormatting sqref="I161:I162">
    <cfRule type="cellIs" dxfId="7822" priority="157" operator="equal">
      <formula>0</formula>
    </cfRule>
  </conditionalFormatting>
  <conditionalFormatting sqref="I161:I162">
    <cfRule type="cellIs" dxfId="7821" priority="156" operator="equal">
      <formula>0</formula>
    </cfRule>
  </conditionalFormatting>
  <conditionalFormatting sqref="I189">
    <cfRule type="cellIs" dxfId="7820" priority="155" operator="equal">
      <formula>0</formula>
    </cfRule>
  </conditionalFormatting>
  <conditionalFormatting sqref="I161:I166 I182:I190 I180">
    <cfRule type="containsBlanks" dxfId="7819" priority="154">
      <formula>LEN(TRIM(I161))=0</formula>
    </cfRule>
  </conditionalFormatting>
  <conditionalFormatting sqref="I189">
    <cfRule type="cellIs" dxfId="7818" priority="153" operator="equal">
      <formula>0</formula>
    </cfRule>
  </conditionalFormatting>
  <conditionalFormatting sqref="I168:I179">
    <cfRule type="cellIs" dxfId="7817" priority="152" operator="equal">
      <formula>0</formula>
    </cfRule>
  </conditionalFormatting>
  <conditionalFormatting sqref="I168:I179">
    <cfRule type="containsBlanks" dxfId="7816" priority="151">
      <formula>LEN(TRIM(I168))=0</formula>
    </cfRule>
  </conditionalFormatting>
  <conditionalFormatting sqref="H197:H204 H217:H225 H227 G197">
    <cfRule type="cellIs" dxfId="7815" priority="150" operator="equal">
      <formula>0</formula>
    </cfRule>
  </conditionalFormatting>
  <conditionalFormatting sqref="H198:H199">
    <cfRule type="cellIs" dxfId="7814" priority="149" operator="equal">
      <formula>0</formula>
    </cfRule>
  </conditionalFormatting>
  <conditionalFormatting sqref="H226">
    <cfRule type="cellIs" dxfId="7813" priority="148" operator="equal">
      <formula>0</formula>
    </cfRule>
  </conditionalFormatting>
  <conditionalFormatting sqref="H197:H203 H217 H219:H227 G197">
    <cfRule type="containsBlanks" dxfId="7812" priority="147">
      <formula>LEN(TRIM(G197))=0</formula>
    </cfRule>
  </conditionalFormatting>
  <conditionalFormatting sqref="H226">
    <cfRule type="cellIs" dxfId="7811" priority="146" operator="equal">
      <formula>0</formula>
    </cfRule>
  </conditionalFormatting>
  <conditionalFormatting sqref="H205:H216">
    <cfRule type="cellIs" dxfId="7810" priority="145" operator="equal">
      <formula>0</formula>
    </cfRule>
  </conditionalFormatting>
  <conditionalFormatting sqref="H205:H216">
    <cfRule type="containsBlanks" dxfId="7809" priority="144">
      <formula>LEN(TRIM(H205))=0</formula>
    </cfRule>
  </conditionalFormatting>
  <conditionalFormatting sqref="G198:G204 G217:G225 G227">
    <cfRule type="cellIs" dxfId="7808" priority="143" operator="equal">
      <formula>0</formula>
    </cfRule>
  </conditionalFormatting>
  <conditionalFormatting sqref="G198:G199">
    <cfRule type="cellIs" dxfId="7807" priority="142" operator="equal">
      <formula>0</formula>
    </cfRule>
  </conditionalFormatting>
  <conditionalFormatting sqref="G198:G199">
    <cfRule type="cellIs" dxfId="7806" priority="141" operator="equal">
      <formula>0</formula>
    </cfRule>
  </conditionalFormatting>
  <conditionalFormatting sqref="G226">
    <cfRule type="cellIs" dxfId="7805" priority="140" operator="equal">
      <formula>0</formula>
    </cfRule>
  </conditionalFormatting>
  <conditionalFormatting sqref="G198:G203 G219:G227 G217">
    <cfRule type="containsBlanks" dxfId="7804" priority="139">
      <formula>LEN(TRIM(G198))=0</formula>
    </cfRule>
  </conditionalFormatting>
  <conditionalFormatting sqref="G226">
    <cfRule type="cellIs" dxfId="7803" priority="138" operator="equal">
      <formula>0</formula>
    </cfRule>
  </conditionalFormatting>
  <conditionalFormatting sqref="G205:G216">
    <cfRule type="cellIs" dxfId="7802" priority="137" operator="equal">
      <formula>0</formula>
    </cfRule>
  </conditionalFormatting>
  <conditionalFormatting sqref="G205:G216">
    <cfRule type="containsBlanks" dxfId="7801" priority="136">
      <formula>LEN(TRIM(G205))=0</formula>
    </cfRule>
  </conditionalFormatting>
  <conditionalFormatting sqref="I197">
    <cfRule type="cellIs" dxfId="7800" priority="135" operator="equal">
      <formula>0</formula>
    </cfRule>
  </conditionalFormatting>
  <conditionalFormatting sqref="I197">
    <cfRule type="containsBlanks" dxfId="7799" priority="134">
      <formula>LEN(TRIM(I197))=0</formula>
    </cfRule>
  </conditionalFormatting>
  <conditionalFormatting sqref="I198:I204 I217:I225 I227">
    <cfRule type="cellIs" dxfId="7798" priority="133" operator="equal">
      <formula>0</formula>
    </cfRule>
  </conditionalFormatting>
  <conditionalFormatting sqref="I198:I199">
    <cfRule type="cellIs" dxfId="7797" priority="132" operator="equal">
      <formula>0</formula>
    </cfRule>
  </conditionalFormatting>
  <conditionalFormatting sqref="I198:I199">
    <cfRule type="cellIs" dxfId="7796" priority="131" operator="equal">
      <formula>0</formula>
    </cfRule>
  </conditionalFormatting>
  <conditionalFormatting sqref="I226">
    <cfRule type="cellIs" dxfId="7795" priority="130" operator="equal">
      <formula>0</formula>
    </cfRule>
  </conditionalFormatting>
  <conditionalFormatting sqref="I198:I203 I219:I227 I217">
    <cfRule type="containsBlanks" dxfId="7794" priority="129">
      <formula>LEN(TRIM(I198))=0</formula>
    </cfRule>
  </conditionalFormatting>
  <conditionalFormatting sqref="I226">
    <cfRule type="cellIs" dxfId="7793" priority="128" operator="equal">
      <formula>0</formula>
    </cfRule>
  </conditionalFormatting>
  <conditionalFormatting sqref="I205:I216">
    <cfRule type="cellIs" dxfId="7792" priority="127" operator="equal">
      <formula>0</formula>
    </cfRule>
  </conditionalFormatting>
  <conditionalFormatting sqref="I205:I216">
    <cfRule type="containsBlanks" dxfId="7791" priority="126">
      <formula>LEN(TRIM(I205))=0</formula>
    </cfRule>
  </conditionalFormatting>
  <conditionalFormatting sqref="H234:H241 H254:H262 H264 G234">
    <cfRule type="cellIs" dxfId="7790" priority="125" operator="equal">
      <formula>0</formula>
    </cfRule>
  </conditionalFormatting>
  <conditionalFormatting sqref="H235:H236">
    <cfRule type="cellIs" dxfId="7789" priority="124" operator="equal">
      <formula>0</formula>
    </cfRule>
  </conditionalFormatting>
  <conditionalFormatting sqref="H263">
    <cfRule type="cellIs" dxfId="7788" priority="123" operator="equal">
      <formula>0</formula>
    </cfRule>
  </conditionalFormatting>
  <conditionalFormatting sqref="H234:H240 H254 H256:H264 G234">
    <cfRule type="containsBlanks" dxfId="7787" priority="122">
      <formula>LEN(TRIM(G234))=0</formula>
    </cfRule>
  </conditionalFormatting>
  <conditionalFormatting sqref="H263">
    <cfRule type="cellIs" dxfId="7786" priority="121" operator="equal">
      <formula>0</formula>
    </cfRule>
  </conditionalFormatting>
  <conditionalFormatting sqref="H242:H253">
    <cfRule type="cellIs" dxfId="7785" priority="120" operator="equal">
      <formula>0</formula>
    </cfRule>
  </conditionalFormatting>
  <conditionalFormatting sqref="H242:H253">
    <cfRule type="containsBlanks" dxfId="7784" priority="119">
      <formula>LEN(TRIM(H242))=0</formula>
    </cfRule>
  </conditionalFormatting>
  <conditionalFormatting sqref="G235:G241 G254:G262 G264">
    <cfRule type="cellIs" dxfId="7783" priority="118" operator="equal">
      <formula>0</formula>
    </cfRule>
  </conditionalFormatting>
  <conditionalFormatting sqref="G235:G236">
    <cfRule type="cellIs" dxfId="7782" priority="117" operator="equal">
      <formula>0</formula>
    </cfRule>
  </conditionalFormatting>
  <conditionalFormatting sqref="G235:G236">
    <cfRule type="cellIs" dxfId="7781" priority="116" operator="equal">
      <formula>0</formula>
    </cfRule>
  </conditionalFormatting>
  <conditionalFormatting sqref="G263">
    <cfRule type="cellIs" dxfId="7780" priority="115" operator="equal">
      <formula>0</formula>
    </cfRule>
  </conditionalFormatting>
  <conditionalFormatting sqref="G235:G240 G256:G264 G254">
    <cfRule type="containsBlanks" dxfId="7779" priority="114">
      <formula>LEN(TRIM(G235))=0</formula>
    </cfRule>
  </conditionalFormatting>
  <conditionalFormatting sqref="G263">
    <cfRule type="cellIs" dxfId="7778" priority="113" operator="equal">
      <formula>0</formula>
    </cfRule>
  </conditionalFormatting>
  <conditionalFormatting sqref="G242:G253">
    <cfRule type="cellIs" dxfId="7777" priority="112" operator="equal">
      <formula>0</formula>
    </cfRule>
  </conditionalFormatting>
  <conditionalFormatting sqref="G242:G253">
    <cfRule type="containsBlanks" dxfId="7776" priority="111">
      <formula>LEN(TRIM(G242))=0</formula>
    </cfRule>
  </conditionalFormatting>
  <conditionalFormatting sqref="I234">
    <cfRule type="cellIs" dxfId="7775" priority="110" operator="equal">
      <formula>0</formula>
    </cfRule>
  </conditionalFormatting>
  <conditionalFormatting sqref="I234">
    <cfRule type="containsBlanks" dxfId="7774" priority="109">
      <formula>LEN(TRIM(I234))=0</formula>
    </cfRule>
  </conditionalFormatting>
  <conditionalFormatting sqref="I235:I241 I254:I262 I264">
    <cfRule type="cellIs" dxfId="7773" priority="108" operator="equal">
      <formula>0</formula>
    </cfRule>
  </conditionalFormatting>
  <conditionalFormatting sqref="I235:I236">
    <cfRule type="cellIs" dxfId="7772" priority="107" operator="equal">
      <formula>0</formula>
    </cfRule>
  </conditionalFormatting>
  <conditionalFormatting sqref="I235:I236">
    <cfRule type="cellIs" dxfId="7771" priority="106" operator="equal">
      <formula>0</formula>
    </cfRule>
  </conditionalFormatting>
  <conditionalFormatting sqref="I263">
    <cfRule type="cellIs" dxfId="7770" priority="105" operator="equal">
      <formula>0</formula>
    </cfRule>
  </conditionalFormatting>
  <conditionalFormatting sqref="I235:I240 I256:I264 I254">
    <cfRule type="containsBlanks" dxfId="7769" priority="104">
      <formula>LEN(TRIM(I235))=0</formula>
    </cfRule>
  </conditionalFormatting>
  <conditionalFormatting sqref="I263">
    <cfRule type="cellIs" dxfId="7768" priority="103" operator="equal">
      <formula>0</formula>
    </cfRule>
  </conditionalFormatting>
  <conditionalFormatting sqref="I242:I253">
    <cfRule type="cellIs" dxfId="7767" priority="102" operator="equal">
      <formula>0</formula>
    </cfRule>
  </conditionalFormatting>
  <conditionalFormatting sqref="I242:I253">
    <cfRule type="containsBlanks" dxfId="7766" priority="101">
      <formula>LEN(TRIM(I242))=0</formula>
    </cfRule>
  </conditionalFormatting>
  <conditionalFormatting sqref="H271:H278 H291:H299 H301 G271">
    <cfRule type="cellIs" dxfId="7765" priority="100" operator="equal">
      <formula>0</formula>
    </cfRule>
  </conditionalFormatting>
  <conditionalFormatting sqref="H272:H273">
    <cfRule type="cellIs" dxfId="7764" priority="99" operator="equal">
      <formula>0</formula>
    </cfRule>
  </conditionalFormatting>
  <conditionalFormatting sqref="H300">
    <cfRule type="cellIs" dxfId="7763" priority="98" operator="equal">
      <formula>0</formula>
    </cfRule>
  </conditionalFormatting>
  <conditionalFormatting sqref="H271:H277 H291 H293:H301 G271">
    <cfRule type="containsBlanks" dxfId="7762" priority="97">
      <formula>LEN(TRIM(G271))=0</formula>
    </cfRule>
  </conditionalFormatting>
  <conditionalFormatting sqref="H300">
    <cfRule type="cellIs" dxfId="7761" priority="96" operator="equal">
      <formula>0</formula>
    </cfRule>
  </conditionalFormatting>
  <conditionalFormatting sqref="H279:H290">
    <cfRule type="cellIs" dxfId="7760" priority="95" operator="equal">
      <formula>0</formula>
    </cfRule>
  </conditionalFormatting>
  <conditionalFormatting sqref="H279:H290">
    <cfRule type="containsBlanks" dxfId="7759" priority="94">
      <formula>LEN(TRIM(H279))=0</formula>
    </cfRule>
  </conditionalFormatting>
  <conditionalFormatting sqref="G272:G278 G291:G299 G301">
    <cfRule type="cellIs" dxfId="7758" priority="93" operator="equal">
      <formula>0</formula>
    </cfRule>
  </conditionalFormatting>
  <conditionalFormatting sqref="G272:G273">
    <cfRule type="cellIs" dxfId="7757" priority="92" operator="equal">
      <formula>0</formula>
    </cfRule>
  </conditionalFormatting>
  <conditionalFormatting sqref="G272:G273">
    <cfRule type="cellIs" dxfId="7756" priority="91" operator="equal">
      <formula>0</formula>
    </cfRule>
  </conditionalFormatting>
  <conditionalFormatting sqref="G300">
    <cfRule type="cellIs" dxfId="7755" priority="90" operator="equal">
      <formula>0</formula>
    </cfRule>
  </conditionalFormatting>
  <conditionalFormatting sqref="G272:G277 G293:G301 G291">
    <cfRule type="containsBlanks" dxfId="7754" priority="89">
      <formula>LEN(TRIM(G272))=0</formula>
    </cfRule>
  </conditionalFormatting>
  <conditionalFormatting sqref="G300">
    <cfRule type="cellIs" dxfId="7753" priority="88" operator="equal">
      <formula>0</formula>
    </cfRule>
  </conditionalFormatting>
  <conditionalFormatting sqref="G279:G290">
    <cfRule type="cellIs" dxfId="7752" priority="87" operator="equal">
      <formula>0</formula>
    </cfRule>
  </conditionalFormatting>
  <conditionalFormatting sqref="G279:G290">
    <cfRule type="containsBlanks" dxfId="7751" priority="86">
      <formula>LEN(TRIM(G279))=0</formula>
    </cfRule>
  </conditionalFormatting>
  <conditionalFormatting sqref="I271">
    <cfRule type="cellIs" dxfId="7750" priority="85" operator="equal">
      <formula>0</formula>
    </cfRule>
  </conditionalFormatting>
  <conditionalFormatting sqref="I271">
    <cfRule type="containsBlanks" dxfId="7749" priority="84">
      <formula>LEN(TRIM(I271))=0</formula>
    </cfRule>
  </conditionalFormatting>
  <conditionalFormatting sqref="I272:I278 I291:I299 I301">
    <cfRule type="cellIs" dxfId="7748" priority="83" operator="equal">
      <formula>0</formula>
    </cfRule>
  </conditionalFormatting>
  <conditionalFormatting sqref="I272:I273">
    <cfRule type="cellIs" dxfId="7747" priority="82" operator="equal">
      <formula>0</formula>
    </cfRule>
  </conditionalFormatting>
  <conditionalFormatting sqref="I272:I273">
    <cfRule type="cellIs" dxfId="7746" priority="81" operator="equal">
      <formula>0</formula>
    </cfRule>
  </conditionalFormatting>
  <conditionalFormatting sqref="I300">
    <cfRule type="cellIs" dxfId="7745" priority="80" operator="equal">
      <formula>0</formula>
    </cfRule>
  </conditionalFormatting>
  <conditionalFormatting sqref="I272:I277 I293:I301 I291">
    <cfRule type="containsBlanks" dxfId="7744" priority="79">
      <formula>LEN(TRIM(I272))=0</formula>
    </cfRule>
  </conditionalFormatting>
  <conditionalFormatting sqref="I300">
    <cfRule type="cellIs" dxfId="7743" priority="78" operator="equal">
      <formula>0</formula>
    </cfRule>
  </conditionalFormatting>
  <conditionalFormatting sqref="I279:I290">
    <cfRule type="cellIs" dxfId="7742" priority="77" operator="equal">
      <formula>0</formula>
    </cfRule>
  </conditionalFormatting>
  <conditionalFormatting sqref="I279:I290">
    <cfRule type="containsBlanks" dxfId="7741" priority="76">
      <formula>LEN(TRIM(I279))=0</formula>
    </cfRule>
  </conditionalFormatting>
  <conditionalFormatting sqref="H308:H315 H328:H336 H338 G308">
    <cfRule type="cellIs" dxfId="7740" priority="75" operator="equal">
      <formula>0</formula>
    </cfRule>
  </conditionalFormatting>
  <conditionalFormatting sqref="H309:H310">
    <cfRule type="cellIs" dxfId="7739" priority="74" operator="equal">
      <formula>0</formula>
    </cfRule>
  </conditionalFormatting>
  <conditionalFormatting sqref="H337">
    <cfRule type="cellIs" dxfId="7738" priority="73" operator="equal">
      <formula>0</formula>
    </cfRule>
  </conditionalFormatting>
  <conditionalFormatting sqref="H308:H314 H328 H330:H338 G308">
    <cfRule type="containsBlanks" dxfId="7737" priority="72">
      <formula>LEN(TRIM(G308))=0</formula>
    </cfRule>
  </conditionalFormatting>
  <conditionalFormatting sqref="H337">
    <cfRule type="cellIs" dxfId="7736" priority="71" operator="equal">
      <formula>0</formula>
    </cfRule>
  </conditionalFormatting>
  <conditionalFormatting sqref="H316:H327">
    <cfRule type="cellIs" dxfId="7735" priority="70" operator="equal">
      <formula>0</formula>
    </cfRule>
  </conditionalFormatting>
  <conditionalFormatting sqref="H316:H327">
    <cfRule type="containsBlanks" dxfId="7734" priority="69">
      <formula>LEN(TRIM(H316))=0</formula>
    </cfRule>
  </conditionalFormatting>
  <conditionalFormatting sqref="G309:G315 G328:G336 G338">
    <cfRule type="cellIs" dxfId="7733" priority="68" operator="equal">
      <formula>0</formula>
    </cfRule>
  </conditionalFormatting>
  <conditionalFormatting sqref="G309:G310">
    <cfRule type="cellIs" dxfId="7732" priority="67" operator="equal">
      <formula>0</formula>
    </cfRule>
  </conditionalFormatting>
  <conditionalFormatting sqref="G309:G310">
    <cfRule type="cellIs" dxfId="7731" priority="66" operator="equal">
      <formula>0</formula>
    </cfRule>
  </conditionalFormatting>
  <conditionalFormatting sqref="G337">
    <cfRule type="cellIs" dxfId="7730" priority="65" operator="equal">
      <formula>0</formula>
    </cfRule>
  </conditionalFormatting>
  <conditionalFormatting sqref="G309:G314 G330:G338 G328">
    <cfRule type="containsBlanks" dxfId="7729" priority="64">
      <formula>LEN(TRIM(G309))=0</formula>
    </cfRule>
  </conditionalFormatting>
  <conditionalFormatting sqref="G337">
    <cfRule type="cellIs" dxfId="7728" priority="63" operator="equal">
      <formula>0</formula>
    </cfRule>
  </conditionalFormatting>
  <conditionalFormatting sqref="G316:G327">
    <cfRule type="cellIs" dxfId="7727" priority="62" operator="equal">
      <formula>0</formula>
    </cfRule>
  </conditionalFormatting>
  <conditionalFormatting sqref="G316:G327">
    <cfRule type="containsBlanks" dxfId="7726" priority="61">
      <formula>LEN(TRIM(G316))=0</formula>
    </cfRule>
  </conditionalFormatting>
  <conditionalFormatting sqref="I308">
    <cfRule type="cellIs" dxfId="7725" priority="60" operator="equal">
      <formula>0</formula>
    </cfRule>
  </conditionalFormatting>
  <conditionalFormatting sqref="I308">
    <cfRule type="containsBlanks" dxfId="7724" priority="59">
      <formula>LEN(TRIM(I308))=0</formula>
    </cfRule>
  </conditionalFormatting>
  <conditionalFormatting sqref="I309:I315 I328:I336 I338">
    <cfRule type="cellIs" dxfId="7723" priority="58" operator="equal">
      <formula>0</formula>
    </cfRule>
  </conditionalFormatting>
  <conditionalFormatting sqref="I309:I310">
    <cfRule type="cellIs" dxfId="7722" priority="57" operator="equal">
      <formula>0</formula>
    </cfRule>
  </conditionalFormatting>
  <conditionalFormatting sqref="I309:I310">
    <cfRule type="cellIs" dxfId="7721" priority="56" operator="equal">
      <formula>0</formula>
    </cfRule>
  </conditionalFormatting>
  <conditionalFormatting sqref="I337">
    <cfRule type="cellIs" dxfId="7720" priority="55" operator="equal">
      <formula>0</formula>
    </cfRule>
  </conditionalFormatting>
  <conditionalFormatting sqref="I309:I314 I330:I338 I328">
    <cfRule type="containsBlanks" dxfId="7719" priority="54">
      <formula>LEN(TRIM(I309))=0</formula>
    </cfRule>
  </conditionalFormatting>
  <conditionalFormatting sqref="I337">
    <cfRule type="cellIs" dxfId="7718" priority="53" operator="equal">
      <formula>0</formula>
    </cfRule>
  </conditionalFormatting>
  <conditionalFormatting sqref="I316:I327">
    <cfRule type="cellIs" dxfId="7717" priority="52" operator="equal">
      <formula>0</formula>
    </cfRule>
  </conditionalFormatting>
  <conditionalFormatting sqref="I316:I327">
    <cfRule type="containsBlanks" dxfId="7716" priority="51">
      <formula>LEN(TRIM(I316))=0</formula>
    </cfRule>
  </conditionalFormatting>
  <conditionalFormatting sqref="H345:H352 H365:H373 H375 G345">
    <cfRule type="cellIs" dxfId="7715" priority="50" operator="equal">
      <formula>0</formula>
    </cfRule>
  </conditionalFormatting>
  <conditionalFormatting sqref="H346:H347">
    <cfRule type="cellIs" dxfId="7714" priority="49" operator="equal">
      <formula>0</formula>
    </cfRule>
  </conditionalFormatting>
  <conditionalFormatting sqref="H374">
    <cfRule type="cellIs" dxfId="7713" priority="48" operator="equal">
      <formula>0</formula>
    </cfRule>
  </conditionalFormatting>
  <conditionalFormatting sqref="H345:H351 H365 H367:H375 G345">
    <cfRule type="containsBlanks" dxfId="7712" priority="47">
      <formula>LEN(TRIM(G345))=0</formula>
    </cfRule>
  </conditionalFormatting>
  <conditionalFormatting sqref="H374">
    <cfRule type="cellIs" dxfId="7711" priority="46" operator="equal">
      <formula>0</formula>
    </cfRule>
  </conditionalFormatting>
  <conditionalFormatting sqref="H353:H364">
    <cfRule type="cellIs" dxfId="7710" priority="45" operator="equal">
      <formula>0</formula>
    </cfRule>
  </conditionalFormatting>
  <conditionalFormatting sqref="H353:H364">
    <cfRule type="containsBlanks" dxfId="7709" priority="44">
      <formula>LEN(TRIM(H353))=0</formula>
    </cfRule>
  </conditionalFormatting>
  <conditionalFormatting sqref="G346:G352 G365:G373 G375">
    <cfRule type="cellIs" dxfId="7708" priority="43" operator="equal">
      <formula>0</formula>
    </cfRule>
  </conditionalFormatting>
  <conditionalFormatting sqref="G346:G347">
    <cfRule type="cellIs" dxfId="7707" priority="42" operator="equal">
      <formula>0</formula>
    </cfRule>
  </conditionalFormatting>
  <conditionalFormatting sqref="G346:G347">
    <cfRule type="cellIs" dxfId="7706" priority="41" operator="equal">
      <formula>0</formula>
    </cfRule>
  </conditionalFormatting>
  <conditionalFormatting sqref="G374">
    <cfRule type="cellIs" dxfId="7705" priority="40" operator="equal">
      <formula>0</formula>
    </cfRule>
  </conditionalFormatting>
  <conditionalFormatting sqref="G346:G351 G367:G375 G365">
    <cfRule type="containsBlanks" dxfId="7704" priority="39">
      <formula>LEN(TRIM(G346))=0</formula>
    </cfRule>
  </conditionalFormatting>
  <conditionalFormatting sqref="G374">
    <cfRule type="cellIs" dxfId="7703" priority="38" operator="equal">
      <formula>0</formula>
    </cfRule>
  </conditionalFormatting>
  <conditionalFormatting sqref="G353:G364">
    <cfRule type="cellIs" dxfId="7702" priority="37" operator="equal">
      <formula>0</formula>
    </cfRule>
  </conditionalFormatting>
  <conditionalFormatting sqref="G353:G364">
    <cfRule type="containsBlanks" dxfId="7701" priority="36">
      <formula>LEN(TRIM(G353))=0</formula>
    </cfRule>
  </conditionalFormatting>
  <conditionalFormatting sqref="I345">
    <cfRule type="cellIs" dxfId="7700" priority="35" operator="equal">
      <formula>0</formula>
    </cfRule>
  </conditionalFormatting>
  <conditionalFormatting sqref="I345">
    <cfRule type="containsBlanks" dxfId="7699" priority="34">
      <formula>LEN(TRIM(I345))=0</formula>
    </cfRule>
  </conditionalFormatting>
  <conditionalFormatting sqref="I346:I352 I365:I373 I375">
    <cfRule type="cellIs" dxfId="7698" priority="33" operator="equal">
      <formula>0</formula>
    </cfRule>
  </conditionalFormatting>
  <conditionalFormatting sqref="I346:I347">
    <cfRule type="cellIs" dxfId="7697" priority="32" operator="equal">
      <formula>0</formula>
    </cfRule>
  </conditionalFormatting>
  <conditionalFormatting sqref="I346:I347">
    <cfRule type="cellIs" dxfId="7696" priority="31" operator="equal">
      <formula>0</formula>
    </cfRule>
  </conditionalFormatting>
  <conditionalFormatting sqref="I374">
    <cfRule type="cellIs" dxfId="7695" priority="30" operator="equal">
      <formula>0</formula>
    </cfRule>
  </conditionalFormatting>
  <conditionalFormatting sqref="I346:I351 I367:I375 I365">
    <cfRule type="containsBlanks" dxfId="7694" priority="29">
      <formula>LEN(TRIM(I346))=0</formula>
    </cfRule>
  </conditionalFormatting>
  <conditionalFormatting sqref="I374">
    <cfRule type="cellIs" dxfId="7693" priority="28" operator="equal">
      <formula>0</formula>
    </cfRule>
  </conditionalFormatting>
  <conditionalFormatting sqref="I353:I364">
    <cfRule type="cellIs" dxfId="7692" priority="27" operator="equal">
      <formula>0</formula>
    </cfRule>
  </conditionalFormatting>
  <conditionalFormatting sqref="I353:I364">
    <cfRule type="containsBlanks" dxfId="7691" priority="26">
      <formula>LEN(TRIM(I353))=0</formula>
    </cfRule>
  </conditionalFormatting>
  <conditionalFormatting sqref="H382:H389 H402:H410 H412 G382">
    <cfRule type="cellIs" dxfId="7690" priority="25" operator="equal">
      <formula>0</formula>
    </cfRule>
  </conditionalFormatting>
  <conditionalFormatting sqref="H383:H384">
    <cfRule type="cellIs" dxfId="7689" priority="24" operator="equal">
      <formula>0</formula>
    </cfRule>
  </conditionalFormatting>
  <conditionalFormatting sqref="H411">
    <cfRule type="cellIs" dxfId="7688" priority="23" operator="equal">
      <formula>0</formula>
    </cfRule>
  </conditionalFormatting>
  <conditionalFormatting sqref="H382:H388 H402 H404:H412 G382">
    <cfRule type="containsBlanks" dxfId="7687" priority="22">
      <formula>LEN(TRIM(G382))=0</formula>
    </cfRule>
  </conditionalFormatting>
  <conditionalFormatting sqref="H411">
    <cfRule type="cellIs" dxfId="7686" priority="21" operator="equal">
      <formula>0</formula>
    </cfRule>
  </conditionalFormatting>
  <conditionalFormatting sqref="H390:H401">
    <cfRule type="cellIs" dxfId="7685" priority="20" operator="equal">
      <formula>0</formula>
    </cfRule>
  </conditionalFormatting>
  <conditionalFormatting sqref="H390:H401">
    <cfRule type="containsBlanks" dxfId="7684" priority="19">
      <formula>LEN(TRIM(H390))=0</formula>
    </cfRule>
  </conditionalFormatting>
  <conditionalFormatting sqref="G383:G389 G402:G410 G412">
    <cfRule type="cellIs" dxfId="7683" priority="18" operator="equal">
      <formula>0</formula>
    </cfRule>
  </conditionalFormatting>
  <conditionalFormatting sqref="G383:G384">
    <cfRule type="cellIs" dxfId="7682" priority="17" operator="equal">
      <formula>0</formula>
    </cfRule>
  </conditionalFormatting>
  <conditionalFormatting sqref="G383:G384">
    <cfRule type="cellIs" dxfId="7681" priority="16" operator="equal">
      <formula>0</formula>
    </cfRule>
  </conditionalFormatting>
  <conditionalFormatting sqref="G411">
    <cfRule type="cellIs" dxfId="7680" priority="15" operator="equal">
      <formula>0</formula>
    </cfRule>
  </conditionalFormatting>
  <conditionalFormatting sqref="G383:G388 G404:G412 G402">
    <cfRule type="containsBlanks" dxfId="7679" priority="14">
      <formula>LEN(TRIM(G383))=0</formula>
    </cfRule>
  </conditionalFormatting>
  <conditionalFormatting sqref="G411">
    <cfRule type="cellIs" dxfId="7678" priority="13" operator="equal">
      <formula>0</formula>
    </cfRule>
  </conditionalFormatting>
  <conditionalFormatting sqref="G390:G401">
    <cfRule type="cellIs" dxfId="7677" priority="12" operator="equal">
      <formula>0</formula>
    </cfRule>
  </conditionalFormatting>
  <conditionalFormatting sqref="G390:G401">
    <cfRule type="containsBlanks" dxfId="7676" priority="11">
      <formula>LEN(TRIM(G390))=0</formula>
    </cfRule>
  </conditionalFormatting>
  <conditionalFormatting sqref="I382">
    <cfRule type="cellIs" dxfId="7675" priority="10" operator="equal">
      <formula>0</formula>
    </cfRule>
  </conditionalFormatting>
  <conditionalFormatting sqref="I382">
    <cfRule type="containsBlanks" dxfId="7674" priority="9">
      <formula>LEN(TRIM(I382))=0</formula>
    </cfRule>
  </conditionalFormatting>
  <conditionalFormatting sqref="I383:I389 I402:I410 I412">
    <cfRule type="cellIs" dxfId="7673" priority="8" operator="equal">
      <formula>0</formula>
    </cfRule>
  </conditionalFormatting>
  <conditionalFormatting sqref="I383:I384">
    <cfRule type="cellIs" dxfId="7672" priority="7" operator="equal">
      <formula>0</formula>
    </cfRule>
  </conditionalFormatting>
  <conditionalFormatting sqref="I383:I384">
    <cfRule type="cellIs" dxfId="7671" priority="6" operator="equal">
      <formula>0</formula>
    </cfRule>
  </conditionalFormatting>
  <conditionalFormatting sqref="I411">
    <cfRule type="cellIs" dxfId="7670" priority="5" operator="equal">
      <formula>0</formula>
    </cfRule>
  </conditionalFormatting>
  <conditionalFormatting sqref="I383:I388 I404:I412 I402">
    <cfRule type="containsBlanks" dxfId="7669" priority="4">
      <formula>LEN(TRIM(I383))=0</formula>
    </cfRule>
  </conditionalFormatting>
  <conditionalFormatting sqref="I411">
    <cfRule type="cellIs" dxfId="7668" priority="3" operator="equal">
      <formula>0</formula>
    </cfRule>
  </conditionalFormatting>
  <conditionalFormatting sqref="I390:I401">
    <cfRule type="cellIs" dxfId="7667" priority="2" operator="equal">
      <formula>0</formula>
    </cfRule>
  </conditionalFormatting>
  <conditionalFormatting sqref="I390:I401">
    <cfRule type="containsBlanks" dxfId="7666" priority="1">
      <formula>LEN(TRIM(I390))=0</formula>
    </cfRule>
  </conditionalFormatting>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E5D2-A519-44E2-B441-3EB85390C634}">
  <dimension ref="C3:U377"/>
  <sheetViews>
    <sheetView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87</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9.7691999999999997</v>
      </c>
      <c r="F12" s="663">
        <v>0</v>
      </c>
      <c r="G12" s="663">
        <v>0</v>
      </c>
      <c r="H12" s="663">
        <v>0.18608000000000002</v>
      </c>
      <c r="I12" s="663">
        <v>0</v>
      </c>
      <c r="J12" s="664">
        <v>1045.9432149078937</v>
      </c>
      <c r="K12" s="664">
        <v>154.12496669137167</v>
      </c>
      <c r="L12" s="664">
        <v>214.5568610857004</v>
      </c>
      <c r="M12" s="664">
        <v>29.323685862819339</v>
      </c>
      <c r="N12" s="663">
        <v>1.8811575028002774</v>
      </c>
      <c r="O12" s="663">
        <v>0.15242099713737783</v>
      </c>
      <c r="P12" s="664">
        <v>63.09733962798451</v>
      </c>
      <c r="Q12" s="664">
        <v>8.6306065878365068</v>
      </c>
      <c r="R12" s="663">
        <v>0</v>
      </c>
      <c r="S12" s="663">
        <v>0</v>
      </c>
      <c r="T12" s="663">
        <v>0</v>
      </c>
      <c r="U12" s="665">
        <v>1527.6655332635435</v>
      </c>
    </row>
    <row r="13" spans="3:21" ht="13">
      <c r="C13" s="662" t="s">
        <v>60</v>
      </c>
      <c r="D13" s="663">
        <v>41.794821737140659</v>
      </c>
      <c r="E13" s="663">
        <v>489.64185318884552</v>
      </c>
      <c r="F13" s="663">
        <v>215.33790751920756</v>
      </c>
      <c r="G13" s="663">
        <v>0.69497003447287165</v>
      </c>
      <c r="H13" s="663">
        <v>334.03152596143553</v>
      </c>
      <c r="I13" s="663">
        <v>0</v>
      </c>
      <c r="J13" s="663">
        <v>0</v>
      </c>
      <c r="K13" s="663">
        <v>0</v>
      </c>
      <c r="L13" s="663">
        <v>2.5596276020988169</v>
      </c>
      <c r="M13" s="663">
        <v>0</v>
      </c>
      <c r="N13" s="663">
        <v>3.749161135627308</v>
      </c>
      <c r="O13" s="663">
        <v>0</v>
      </c>
      <c r="P13" s="663">
        <v>0</v>
      </c>
      <c r="Q13" s="663">
        <v>0</v>
      </c>
      <c r="R13" s="663">
        <v>0</v>
      </c>
      <c r="S13" s="663">
        <v>0</v>
      </c>
      <c r="T13" s="663">
        <v>0</v>
      </c>
      <c r="U13" s="665">
        <v>1087.8098671788284</v>
      </c>
    </row>
    <row r="14" spans="3:21" ht="13">
      <c r="C14" s="662" t="s">
        <v>61</v>
      </c>
      <c r="D14" s="663">
        <v>0</v>
      </c>
      <c r="E14" s="663">
        <v>0</v>
      </c>
      <c r="F14" s="663">
        <v>-8.3753888093619933E-3</v>
      </c>
      <c r="G14" s="663">
        <v>0</v>
      </c>
      <c r="H14" s="663">
        <v>0</v>
      </c>
      <c r="I14" s="663">
        <v>0</v>
      </c>
      <c r="J14" s="663">
        <v>0</v>
      </c>
      <c r="K14" s="663">
        <v>0</v>
      </c>
      <c r="L14" s="663">
        <v>0</v>
      </c>
      <c r="M14" s="663">
        <v>0</v>
      </c>
      <c r="N14" s="663">
        <v>0</v>
      </c>
      <c r="O14" s="663">
        <v>0</v>
      </c>
      <c r="P14" s="663">
        <v>0</v>
      </c>
      <c r="Q14" s="663">
        <v>0</v>
      </c>
      <c r="R14" s="663">
        <v>-40.000032758951647</v>
      </c>
      <c r="S14" s="663">
        <v>0</v>
      </c>
      <c r="T14" s="663">
        <v>0</v>
      </c>
      <c r="U14" s="665">
        <v>-40.00840814776101</v>
      </c>
    </row>
    <row r="15" spans="3:21" ht="13">
      <c r="C15" s="662" t="s">
        <v>62</v>
      </c>
      <c r="D15" s="663">
        <v>0</v>
      </c>
      <c r="E15" s="663">
        <v>0</v>
      </c>
      <c r="F15" s="663">
        <v>-17.986125581751292</v>
      </c>
      <c r="G15" s="663">
        <v>0</v>
      </c>
      <c r="H15" s="663">
        <v>-0.52048534400174162</v>
      </c>
      <c r="I15" s="663">
        <v>0</v>
      </c>
      <c r="J15" s="663">
        <v>0</v>
      </c>
      <c r="K15" s="663">
        <v>0</v>
      </c>
      <c r="L15" s="663">
        <v>0</v>
      </c>
      <c r="M15" s="663">
        <v>0</v>
      </c>
      <c r="N15" s="663">
        <v>-0.36525287298367837</v>
      </c>
      <c r="O15" s="663">
        <v>-2.7393965473775879E-2</v>
      </c>
      <c r="P15" s="663">
        <v>0</v>
      </c>
      <c r="Q15" s="663">
        <v>0</v>
      </c>
      <c r="R15" s="663">
        <v>0</v>
      </c>
      <c r="S15" s="663">
        <v>0</v>
      </c>
      <c r="T15" s="663">
        <v>0</v>
      </c>
      <c r="U15" s="665">
        <v>-18.899257764210489</v>
      </c>
    </row>
    <row r="16" spans="3:21" ht="13">
      <c r="C16" s="662" t="s">
        <v>63</v>
      </c>
      <c r="D16" s="663">
        <v>0</v>
      </c>
      <c r="E16" s="663">
        <v>0</v>
      </c>
      <c r="F16" s="663">
        <v>-76.912420126613313</v>
      </c>
      <c r="G16" s="663">
        <v>-3.9288154935402962E-2</v>
      </c>
      <c r="H16" s="663">
        <v>0</v>
      </c>
      <c r="I16" s="663">
        <v>0</v>
      </c>
      <c r="J16" s="663">
        <v>0</v>
      </c>
      <c r="K16" s="663">
        <v>0</v>
      </c>
      <c r="L16" s="663">
        <v>0</v>
      </c>
      <c r="M16" s="663">
        <v>0</v>
      </c>
      <c r="N16" s="663">
        <v>-1.6507409080624253</v>
      </c>
      <c r="O16" s="663">
        <v>0</v>
      </c>
      <c r="P16" s="663">
        <v>0</v>
      </c>
      <c r="Q16" s="663">
        <v>0</v>
      </c>
      <c r="R16" s="663">
        <v>0</v>
      </c>
      <c r="S16" s="663">
        <v>0</v>
      </c>
      <c r="T16" s="663">
        <v>0</v>
      </c>
      <c r="U16" s="665">
        <v>-78.60244918961115</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41.794821737140659</v>
      </c>
      <c r="E18" s="667">
        <v>499.41105318884553</v>
      </c>
      <c r="F18" s="667">
        <v>120.43098642203361</v>
      </c>
      <c r="G18" s="667">
        <v>0.6556818795374687</v>
      </c>
      <c r="H18" s="675">
        <v>333.69712061743382</v>
      </c>
      <c r="I18" s="667">
        <v>0</v>
      </c>
      <c r="J18" s="667">
        <v>1045.9432149078937</v>
      </c>
      <c r="K18" s="667">
        <v>154.12496669137167</v>
      </c>
      <c r="L18" s="667">
        <v>217.11648868779923</v>
      </c>
      <c r="M18" s="667">
        <v>29.323685862819339</v>
      </c>
      <c r="N18" s="667">
        <v>3.6143248573814817</v>
      </c>
      <c r="O18" s="667">
        <v>0.12502703166360196</v>
      </c>
      <c r="P18" s="667">
        <v>63.09733962798451</v>
      </c>
      <c r="Q18" s="667">
        <v>8.6306065878365068</v>
      </c>
      <c r="R18" s="667">
        <v>-40.000032758951647</v>
      </c>
      <c r="S18" s="667">
        <v>0</v>
      </c>
      <c r="T18" s="667">
        <v>0</v>
      </c>
      <c r="U18" s="667">
        <v>2477.9652853407893</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5.0316185079798812</v>
      </c>
      <c r="E21" s="663">
        <v>0</v>
      </c>
      <c r="F21" s="663">
        <v>4.8858805193656316</v>
      </c>
      <c r="G21" s="663">
        <v>0</v>
      </c>
      <c r="H21" s="663">
        <v>36.507135945544903</v>
      </c>
      <c r="I21" s="663">
        <v>0</v>
      </c>
      <c r="J21" s="663">
        <v>1045.9432149078937</v>
      </c>
      <c r="K21" s="663">
        <v>154.12496669137167</v>
      </c>
      <c r="L21" s="663">
        <v>33.862945169490679</v>
      </c>
      <c r="M21" s="663">
        <v>11.203844266499178</v>
      </c>
      <c r="N21" s="663">
        <v>5.5512316182098811</v>
      </c>
      <c r="O21" s="663">
        <v>5.5714952585660997</v>
      </c>
      <c r="P21" s="663">
        <v>0</v>
      </c>
      <c r="Q21" s="663">
        <v>0.31861460974897526</v>
      </c>
      <c r="R21" s="663">
        <v>-540.51911883021592</v>
      </c>
      <c r="S21" s="663">
        <v>0</v>
      </c>
      <c r="T21" s="663">
        <v>0</v>
      </c>
      <c r="U21" s="671">
        <v>762.48182866445461</v>
      </c>
    </row>
    <row r="22" spans="3:21" ht="13">
      <c r="C22" s="670" t="s">
        <v>351</v>
      </c>
      <c r="D22" s="663">
        <v>0.1931818181818182</v>
      </c>
      <c r="E22" s="663">
        <v>0</v>
      </c>
      <c r="F22" s="663">
        <v>0</v>
      </c>
      <c r="G22" s="663">
        <v>0</v>
      </c>
      <c r="H22" s="663">
        <v>18.699747563200777</v>
      </c>
      <c r="I22" s="663">
        <v>0</v>
      </c>
      <c r="J22" s="663">
        <v>0</v>
      </c>
      <c r="K22" s="663">
        <v>0</v>
      </c>
      <c r="L22" s="663">
        <v>26.355115374306525</v>
      </c>
      <c r="M22" s="663">
        <v>15.857266887266444</v>
      </c>
      <c r="N22" s="663">
        <v>0</v>
      </c>
      <c r="O22" s="663">
        <v>3.312429986969792</v>
      </c>
      <c r="P22" s="663">
        <v>0</v>
      </c>
      <c r="Q22" s="663">
        <v>5.6407627218251397</v>
      </c>
      <c r="R22" s="663">
        <v>0</v>
      </c>
      <c r="S22" s="663">
        <v>-63.097173845556554</v>
      </c>
      <c r="T22" s="663">
        <v>0</v>
      </c>
      <c r="U22" s="671">
        <v>6.961330506193935</v>
      </c>
    </row>
    <row r="23" spans="3:21" ht="13">
      <c r="C23" s="670" t="s">
        <v>352</v>
      </c>
      <c r="D23" s="663">
        <v>0</v>
      </c>
      <c r="E23" s="663">
        <v>0</v>
      </c>
      <c r="F23" s="663">
        <v>0</v>
      </c>
      <c r="G23" s="663">
        <v>0</v>
      </c>
      <c r="H23" s="663">
        <v>0</v>
      </c>
      <c r="I23" s="663">
        <v>0</v>
      </c>
      <c r="J23" s="663">
        <v>0</v>
      </c>
      <c r="K23" s="663">
        <v>0</v>
      </c>
      <c r="L23" s="663">
        <v>25.173696816351729</v>
      </c>
      <c r="M23" s="663">
        <v>0</v>
      </c>
      <c r="N23" s="663">
        <v>0</v>
      </c>
      <c r="O23" s="663">
        <v>-23.311148277971796</v>
      </c>
      <c r="P23" s="663">
        <v>0</v>
      </c>
      <c r="Q23" s="663">
        <v>0</v>
      </c>
      <c r="R23" s="663">
        <v>0</v>
      </c>
      <c r="S23" s="663">
        <v>0</v>
      </c>
      <c r="T23" s="663">
        <v>0</v>
      </c>
      <c r="U23" s="671">
        <v>1.8625485383799329</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517.60249070017358</v>
      </c>
      <c r="F25" s="663">
        <v>-512.45210450124512</v>
      </c>
      <c r="G25" s="663">
        <v>0</v>
      </c>
      <c r="H25" s="663">
        <v>0</v>
      </c>
      <c r="I25" s="663">
        <v>0</v>
      </c>
      <c r="J25" s="663">
        <v>0</v>
      </c>
      <c r="K25" s="663">
        <v>0</v>
      </c>
      <c r="L25" s="663">
        <v>0</v>
      </c>
      <c r="M25" s="663">
        <v>0</v>
      </c>
      <c r="N25" s="663">
        <v>0</v>
      </c>
      <c r="O25" s="663">
        <v>0</v>
      </c>
      <c r="P25" s="663">
        <v>0</v>
      </c>
      <c r="Q25" s="663">
        <v>0</v>
      </c>
      <c r="R25" s="663">
        <v>0</v>
      </c>
      <c r="S25" s="663">
        <v>0</v>
      </c>
      <c r="T25" s="663">
        <v>0</v>
      </c>
      <c r="U25" s="671">
        <v>5.1503861989284561</v>
      </c>
    </row>
    <row r="26" spans="3:21" ht="13">
      <c r="C26" s="670" t="s">
        <v>354</v>
      </c>
      <c r="D26" s="663">
        <v>0</v>
      </c>
      <c r="E26" s="663">
        <v>0</v>
      </c>
      <c r="F26" s="663">
        <v>0</v>
      </c>
      <c r="G26" s="663">
        <v>0</v>
      </c>
      <c r="H26" s="663">
        <v>0</v>
      </c>
      <c r="I26" s="663">
        <v>0</v>
      </c>
      <c r="J26" s="663">
        <v>0</v>
      </c>
      <c r="K26" s="663">
        <v>0</v>
      </c>
      <c r="L26" s="663">
        <v>52.070159971858487</v>
      </c>
      <c r="M26" s="663">
        <v>0</v>
      </c>
      <c r="N26" s="663">
        <v>-52.070159971858487</v>
      </c>
      <c r="O26" s="663">
        <v>0</v>
      </c>
      <c r="P26" s="663">
        <v>0</v>
      </c>
      <c r="Q26" s="663">
        <v>0</v>
      </c>
      <c r="R26" s="663">
        <v>0</v>
      </c>
      <c r="S26" s="663">
        <v>0</v>
      </c>
      <c r="T26" s="663">
        <v>0</v>
      </c>
      <c r="U26" s="671">
        <v>0</v>
      </c>
    </row>
    <row r="27" spans="3:21" ht="13">
      <c r="C27" s="670" t="s">
        <v>355</v>
      </c>
      <c r="D27" s="663">
        <v>0</v>
      </c>
      <c r="E27" s="663">
        <v>0</v>
      </c>
      <c r="F27" s="663">
        <v>0</v>
      </c>
      <c r="G27" s="663">
        <v>-7.143300897345993E-2</v>
      </c>
      <c r="H27" s="663">
        <v>0</v>
      </c>
      <c r="I27" s="663">
        <v>0</v>
      </c>
      <c r="J27" s="663">
        <v>0</v>
      </c>
      <c r="K27" s="663">
        <v>0</v>
      </c>
      <c r="L27" s="663">
        <v>0</v>
      </c>
      <c r="M27" s="663">
        <v>0</v>
      </c>
      <c r="N27" s="663">
        <v>0</v>
      </c>
      <c r="O27" s="663">
        <v>0</v>
      </c>
      <c r="P27" s="663">
        <v>0</v>
      </c>
      <c r="Q27" s="663">
        <v>0</v>
      </c>
      <c r="R27" s="663">
        <v>0</v>
      </c>
      <c r="S27" s="663">
        <v>0</v>
      </c>
      <c r="T27" s="663">
        <v>9.9488870436573729E-2</v>
      </c>
      <c r="U27" s="671">
        <v>2.8055861463113799E-2</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7.9634516882678241</v>
      </c>
      <c r="S28" s="663">
        <v>0</v>
      </c>
      <c r="T28" s="663">
        <v>-5.1762435973740857</v>
      </c>
      <c r="U28" s="671">
        <v>2.7872080908937384</v>
      </c>
    </row>
    <row r="29" spans="3:21" ht="13">
      <c r="C29" s="670" t="s">
        <v>356</v>
      </c>
      <c r="D29" s="663">
        <v>22.178927109375</v>
      </c>
      <c r="E29" s="663">
        <v>-18.191437511328061</v>
      </c>
      <c r="F29" s="663">
        <v>23.666155984350404</v>
      </c>
      <c r="G29" s="663">
        <v>0</v>
      </c>
      <c r="H29" s="663">
        <v>0</v>
      </c>
      <c r="I29" s="663">
        <v>0</v>
      </c>
      <c r="J29" s="663">
        <v>0</v>
      </c>
      <c r="K29" s="663">
        <v>0</v>
      </c>
      <c r="L29" s="663">
        <v>0</v>
      </c>
      <c r="M29" s="663">
        <v>0</v>
      </c>
      <c r="N29" s="663">
        <v>0</v>
      </c>
      <c r="O29" s="663">
        <v>0</v>
      </c>
      <c r="P29" s="663">
        <v>0</v>
      </c>
      <c r="Q29" s="663">
        <v>0</v>
      </c>
      <c r="R29" s="663">
        <v>0</v>
      </c>
      <c r="S29" s="663">
        <v>0</v>
      </c>
      <c r="T29" s="663">
        <v>0</v>
      </c>
      <c r="U29" s="671">
        <v>27.653645582397342</v>
      </c>
    </row>
    <row r="30" spans="3:21" ht="13">
      <c r="C30" s="670" t="s">
        <v>75</v>
      </c>
      <c r="D30" s="663">
        <v>8.6251383203125016</v>
      </c>
      <c r="E30" s="663">
        <v>0</v>
      </c>
      <c r="F30" s="663">
        <v>20.228971403017535</v>
      </c>
      <c r="G30" s="663">
        <v>0</v>
      </c>
      <c r="H30" s="663">
        <v>5.487827419085181</v>
      </c>
      <c r="I30" s="663">
        <v>0</v>
      </c>
      <c r="J30" s="663">
        <v>0</v>
      </c>
      <c r="K30" s="663">
        <v>0</v>
      </c>
      <c r="L30" s="663">
        <v>0</v>
      </c>
      <c r="M30" s="663">
        <v>0</v>
      </c>
      <c r="N30" s="663">
        <v>0</v>
      </c>
      <c r="O30" s="663">
        <v>0.28883302205711481</v>
      </c>
      <c r="P30" s="663">
        <v>0</v>
      </c>
      <c r="Q30" s="663">
        <v>0</v>
      </c>
      <c r="R30" s="663">
        <v>26.979234587968005</v>
      </c>
      <c r="S30" s="663">
        <v>0</v>
      </c>
      <c r="T30" s="663">
        <v>0</v>
      </c>
      <c r="U30" s="671">
        <v>61.610004752440332</v>
      </c>
    </row>
    <row r="31" spans="3:21" ht="13">
      <c r="C31" s="670" t="s">
        <v>76</v>
      </c>
      <c r="D31" s="663">
        <v>0</v>
      </c>
      <c r="E31" s="663">
        <v>0</v>
      </c>
      <c r="F31" s="663">
        <v>0</v>
      </c>
      <c r="G31" s="663">
        <v>0</v>
      </c>
      <c r="H31" s="663">
        <v>3.8797902193423388</v>
      </c>
      <c r="I31" s="663">
        <v>0</v>
      </c>
      <c r="J31" s="663">
        <v>0</v>
      </c>
      <c r="K31" s="663">
        <v>0</v>
      </c>
      <c r="L31" s="663">
        <v>0</v>
      </c>
      <c r="M31" s="663">
        <v>0</v>
      </c>
      <c r="N31" s="663">
        <v>0</v>
      </c>
      <c r="O31" s="663">
        <v>0.20419948522854417</v>
      </c>
      <c r="P31" s="663">
        <v>0</v>
      </c>
      <c r="Q31" s="663">
        <v>0</v>
      </c>
      <c r="R31" s="663">
        <v>38.339806710254912</v>
      </c>
      <c r="S31" s="663">
        <v>4.8935866171781743</v>
      </c>
      <c r="T31" s="663">
        <v>0</v>
      </c>
      <c r="U31" s="671">
        <v>47.317383032003967</v>
      </c>
    </row>
    <row r="32" spans="3:21" ht="13">
      <c r="C32" s="666" t="s">
        <v>77</v>
      </c>
      <c r="D32" s="667">
        <v>36.028865755849196</v>
      </c>
      <c r="E32" s="667">
        <v>499.41105318884553</v>
      </c>
      <c r="F32" s="667">
        <v>-463.6710965945116</v>
      </c>
      <c r="G32" s="667">
        <v>-7.143300897345993E-2</v>
      </c>
      <c r="H32" s="675">
        <v>64.574501147173194</v>
      </c>
      <c r="I32" s="667">
        <v>0</v>
      </c>
      <c r="J32" s="667">
        <v>1045.9432149078937</v>
      </c>
      <c r="K32" s="667">
        <v>154.12496669137167</v>
      </c>
      <c r="L32" s="667">
        <v>137.46191733200743</v>
      </c>
      <c r="M32" s="667">
        <v>27.061111153765623</v>
      </c>
      <c r="N32" s="667">
        <v>-46.518928353648604</v>
      </c>
      <c r="O32" s="667">
        <v>-13.934190525150244</v>
      </c>
      <c r="P32" s="667">
        <v>0</v>
      </c>
      <c r="Q32" s="667">
        <v>5.9593773315741148</v>
      </c>
      <c r="R32" s="667">
        <v>-467.23662584372522</v>
      </c>
      <c r="S32" s="667">
        <v>-58.203587228378382</v>
      </c>
      <c r="T32" s="667">
        <v>-5.0767547269375122</v>
      </c>
      <c r="U32" s="667">
        <v>915.85239122715518</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5.7659559812914596</v>
      </c>
      <c r="E34" s="663">
        <v>0</v>
      </c>
      <c r="F34" s="663">
        <v>20.140625662246215</v>
      </c>
      <c r="G34" s="663">
        <v>0</v>
      </c>
      <c r="H34" s="663">
        <v>96.219207826214614</v>
      </c>
      <c r="I34" s="663">
        <v>0</v>
      </c>
      <c r="J34" s="663">
        <v>0</v>
      </c>
      <c r="K34" s="663">
        <v>0</v>
      </c>
      <c r="L34" s="663">
        <v>18.774389983885822</v>
      </c>
      <c r="M34" s="663">
        <v>2.2619594529052449</v>
      </c>
      <c r="N34" s="663">
        <v>0.75934024169921888</v>
      </c>
      <c r="O34" s="663">
        <v>5.087709316109053</v>
      </c>
      <c r="P34" s="663">
        <v>1.955318115234375</v>
      </c>
      <c r="Q34" s="663">
        <v>4.7991131198633983E-4</v>
      </c>
      <c r="R34" s="663">
        <v>121.32585979507003</v>
      </c>
      <c r="S34" s="663">
        <v>18.196197954086337</v>
      </c>
      <c r="T34" s="663">
        <v>0.58506469726562504</v>
      </c>
      <c r="U34" s="671">
        <v>291.07210893731997</v>
      </c>
    </row>
    <row r="35" spans="3:21" ht="13">
      <c r="C35" s="670" t="s">
        <v>79</v>
      </c>
      <c r="D35" s="663">
        <v>0</v>
      </c>
      <c r="E35" s="663">
        <v>0</v>
      </c>
      <c r="F35" s="663">
        <v>390.32849052575307</v>
      </c>
      <c r="G35" s="663">
        <v>0</v>
      </c>
      <c r="H35" s="663">
        <v>3.80545856067917</v>
      </c>
      <c r="I35" s="663">
        <v>0</v>
      </c>
      <c r="J35" s="663">
        <v>0</v>
      </c>
      <c r="K35" s="663">
        <v>0</v>
      </c>
      <c r="L35" s="663">
        <v>0</v>
      </c>
      <c r="M35" s="663">
        <v>0</v>
      </c>
      <c r="N35" s="663">
        <v>41.205948968253495</v>
      </c>
      <c r="O35" s="663">
        <v>0.20028729266732476</v>
      </c>
      <c r="P35" s="663">
        <v>0</v>
      </c>
      <c r="Q35" s="663">
        <v>0</v>
      </c>
      <c r="R35" s="663">
        <v>15.644073294761139</v>
      </c>
      <c r="S35" s="663">
        <v>0</v>
      </c>
      <c r="T35" s="663">
        <v>0</v>
      </c>
      <c r="U35" s="671">
        <v>451.18425864211417</v>
      </c>
    </row>
    <row r="36" spans="3:21" ht="13">
      <c r="C36" s="670" t="s">
        <v>80</v>
      </c>
      <c r="D36" s="663">
        <v>0</v>
      </c>
      <c r="E36" s="663">
        <v>0</v>
      </c>
      <c r="F36" s="663">
        <v>12.124097766198929</v>
      </c>
      <c r="G36" s="663">
        <v>0</v>
      </c>
      <c r="H36" s="663">
        <v>106.96046467685454</v>
      </c>
      <c r="I36" s="663">
        <v>0</v>
      </c>
      <c r="J36" s="663">
        <v>0</v>
      </c>
      <c r="K36" s="663">
        <v>0</v>
      </c>
      <c r="L36" s="663">
        <v>59.150287479050967</v>
      </c>
      <c r="M36" s="663">
        <v>0</v>
      </c>
      <c r="N36" s="663">
        <v>0</v>
      </c>
      <c r="O36" s="663">
        <v>5.6294981408870823</v>
      </c>
      <c r="P36" s="663">
        <v>50.263804232391934</v>
      </c>
      <c r="Q36" s="663">
        <v>1.4653773673998376</v>
      </c>
      <c r="R36" s="663">
        <v>167.05352361968622</v>
      </c>
      <c r="S36" s="663">
        <v>26.615725966388851</v>
      </c>
      <c r="T36" s="663">
        <v>0</v>
      </c>
      <c r="U36" s="671">
        <v>429.26277924885835</v>
      </c>
    </row>
    <row r="37" spans="3:21" ht="13">
      <c r="C37" s="670" t="s">
        <v>81</v>
      </c>
      <c r="D37" s="663">
        <v>0</v>
      </c>
      <c r="E37" s="663">
        <v>0</v>
      </c>
      <c r="F37" s="663">
        <v>17.266825593867647</v>
      </c>
      <c r="G37" s="663">
        <v>0</v>
      </c>
      <c r="H37" s="663">
        <v>47.207135385758583</v>
      </c>
      <c r="I37" s="663">
        <v>0</v>
      </c>
      <c r="J37" s="663">
        <v>0</v>
      </c>
      <c r="K37" s="663">
        <v>0</v>
      </c>
      <c r="L37" s="663">
        <v>0.34286013585192066</v>
      </c>
      <c r="M37" s="663">
        <v>6.152561484679505E-4</v>
      </c>
      <c r="N37" s="663">
        <v>0</v>
      </c>
      <c r="O37" s="663">
        <v>2.4845860729346625</v>
      </c>
      <c r="P37" s="663">
        <v>10.628217280358204</v>
      </c>
      <c r="Q37" s="663">
        <v>0.84471066492371039</v>
      </c>
      <c r="R37" s="663">
        <v>115.22915089485383</v>
      </c>
      <c r="S37" s="663">
        <v>13.391663307903183</v>
      </c>
      <c r="T37" s="663">
        <v>0</v>
      </c>
      <c r="U37" s="671">
        <v>207.39576459260022</v>
      </c>
    </row>
    <row r="38" spans="3:21" ht="13">
      <c r="C38" s="670" t="s">
        <v>82</v>
      </c>
      <c r="D38" s="663">
        <v>0</v>
      </c>
      <c r="E38" s="663">
        <v>0</v>
      </c>
      <c r="F38" s="663">
        <v>31.022615677081973</v>
      </c>
      <c r="G38" s="663">
        <v>0</v>
      </c>
      <c r="H38" s="663">
        <v>2.3514405709880259</v>
      </c>
      <c r="I38" s="663">
        <v>0</v>
      </c>
      <c r="J38" s="663">
        <v>0</v>
      </c>
      <c r="K38" s="663">
        <v>0</v>
      </c>
      <c r="L38" s="663">
        <v>1.325152202471839</v>
      </c>
      <c r="M38" s="663">
        <v>0</v>
      </c>
      <c r="N38" s="663">
        <v>2.8798420607810633</v>
      </c>
      <c r="O38" s="663">
        <v>0.12376003005200138</v>
      </c>
      <c r="P38" s="663">
        <v>0.25</v>
      </c>
      <c r="Q38" s="663">
        <v>0.36066131262685786</v>
      </c>
      <c r="R38" s="663">
        <v>7.9839854804023167</v>
      </c>
      <c r="S38" s="663">
        <v>0</v>
      </c>
      <c r="T38" s="663">
        <v>8.6831190235855574E-2</v>
      </c>
      <c r="U38" s="671">
        <v>46.384288524639942</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v>
      </c>
      <c r="S39" s="663">
        <v>0</v>
      </c>
      <c r="T39" s="663">
        <v>0</v>
      </c>
      <c r="U39" s="671">
        <v>0</v>
      </c>
    </row>
    <row r="40" spans="3:21" ht="13">
      <c r="C40" s="666" t="s">
        <v>83</v>
      </c>
      <c r="D40" s="667">
        <v>5.7659559812914596</v>
      </c>
      <c r="E40" s="667">
        <v>0</v>
      </c>
      <c r="F40" s="667">
        <v>470.88265522514774</v>
      </c>
      <c r="G40" s="667">
        <v>0</v>
      </c>
      <c r="H40" s="675">
        <v>256.54370702049494</v>
      </c>
      <c r="I40" s="667">
        <v>0</v>
      </c>
      <c r="J40" s="667">
        <v>0</v>
      </c>
      <c r="K40" s="667">
        <v>0</v>
      </c>
      <c r="L40" s="667">
        <v>79.592689801260548</v>
      </c>
      <c r="M40" s="667">
        <v>2.2625747090537129</v>
      </c>
      <c r="N40" s="667">
        <v>44.845131270733781</v>
      </c>
      <c r="O40" s="667">
        <v>13.525840852650123</v>
      </c>
      <c r="P40" s="667">
        <v>63.09733962798451</v>
      </c>
      <c r="Q40" s="667">
        <v>2.671229256262392</v>
      </c>
      <c r="R40" s="667">
        <v>427.23659308477357</v>
      </c>
      <c r="S40" s="667">
        <v>58.203587228378382</v>
      </c>
      <c r="T40" s="667">
        <v>0.67189588750148066</v>
      </c>
      <c r="U40" s="667">
        <v>1425.2991999455328</v>
      </c>
    </row>
    <row r="41" spans="3:21" ht="13">
      <c r="C41" s="662" t="s">
        <v>84</v>
      </c>
      <c r="D41" s="663">
        <v>0</v>
      </c>
      <c r="E41" s="663">
        <v>0</v>
      </c>
      <c r="F41" s="663">
        <v>113.21942779139728</v>
      </c>
      <c r="G41" s="663">
        <v>0.72711488851092865</v>
      </c>
      <c r="H41" s="663">
        <v>12.578912449765744</v>
      </c>
      <c r="I41" s="663">
        <v>0</v>
      </c>
      <c r="J41" s="663">
        <v>0</v>
      </c>
      <c r="K41" s="663">
        <v>0</v>
      </c>
      <c r="L41" s="663">
        <v>6.1881554531238177E-2</v>
      </c>
      <c r="M41" s="663">
        <v>0</v>
      </c>
      <c r="N41" s="663">
        <v>5.2881219402962731</v>
      </c>
      <c r="O41" s="663">
        <v>0.53337670416372851</v>
      </c>
      <c r="P41" s="663">
        <v>0</v>
      </c>
      <c r="Q41" s="663">
        <v>0</v>
      </c>
      <c r="R41" s="663">
        <v>0</v>
      </c>
      <c r="S41" s="663">
        <v>0</v>
      </c>
      <c r="T41" s="663">
        <v>4.4048588394360317</v>
      </c>
      <c r="U41" s="671">
        <v>136.81369416810119</v>
      </c>
    </row>
    <row r="42" spans="3:21" ht="13">
      <c r="C42" s="666" t="s">
        <v>85</v>
      </c>
      <c r="D42" s="667">
        <v>5.7659559812914596</v>
      </c>
      <c r="E42" s="667">
        <v>0</v>
      </c>
      <c r="F42" s="667">
        <v>584.10208301654495</v>
      </c>
      <c r="G42" s="667">
        <v>0.72711488851092865</v>
      </c>
      <c r="H42" s="675">
        <v>269.1226194702607</v>
      </c>
      <c r="I42" s="667">
        <v>0</v>
      </c>
      <c r="J42" s="667">
        <v>0</v>
      </c>
      <c r="K42" s="667">
        <v>0</v>
      </c>
      <c r="L42" s="667">
        <v>79.654571355791788</v>
      </c>
      <c r="M42" s="667">
        <v>2.2625747090537129</v>
      </c>
      <c r="N42" s="667">
        <v>50.133253211030052</v>
      </c>
      <c r="O42" s="667">
        <v>14.059217556813852</v>
      </c>
      <c r="P42" s="667">
        <v>63.09733962798451</v>
      </c>
      <c r="Q42" s="667">
        <v>2.671229256262392</v>
      </c>
      <c r="R42" s="667">
        <v>427.23659308477357</v>
      </c>
      <c r="S42" s="667">
        <v>58.203587228378382</v>
      </c>
      <c r="T42" s="667">
        <v>5.0767547269375122</v>
      </c>
      <c r="U42" s="667">
        <v>1562.1128941136342</v>
      </c>
    </row>
    <row r="43" spans="3:21">
      <c r="C43" s="654"/>
      <c r="D43" s="672">
        <v>0</v>
      </c>
      <c r="E43" s="672">
        <v>0</v>
      </c>
      <c r="F43" s="672">
        <v>-2.5579538487363607E-13</v>
      </c>
      <c r="G43" s="672">
        <v>0</v>
      </c>
      <c r="H43" s="672">
        <v>0</v>
      </c>
      <c r="I43" s="672">
        <v>0</v>
      </c>
      <c r="J43" s="672">
        <v>0</v>
      </c>
      <c r="K43" s="672">
        <v>0</v>
      </c>
      <c r="L43" s="672">
        <v>0</v>
      </c>
      <c r="M43" s="672">
        <v>0</v>
      </c>
      <c r="N43" s="672">
        <v>-3.4194869158454821E-14</v>
      </c>
      <c r="O43" s="672">
        <v>5.9952043329758453E-15</v>
      </c>
      <c r="P43" s="672">
        <v>0</v>
      </c>
      <c r="Q43" s="672">
        <v>0</v>
      </c>
      <c r="R43" s="672">
        <v>0</v>
      </c>
      <c r="S43" s="672">
        <v>0</v>
      </c>
      <c r="T43" s="672">
        <v>0</v>
      </c>
      <c r="U43" s="672">
        <v>0</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359</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9.7691999999999997</v>
      </c>
      <c r="F49" s="663">
        <v>0</v>
      </c>
      <c r="G49" s="663">
        <v>0</v>
      </c>
      <c r="H49" s="663">
        <v>0.18608000000000002</v>
      </c>
      <c r="I49" s="663">
        <v>0</v>
      </c>
      <c r="J49" s="664">
        <v>1009.7815647558707</v>
      </c>
      <c r="K49" s="664">
        <v>178.80025978042428</v>
      </c>
      <c r="L49" s="664">
        <v>222.2578455105637</v>
      </c>
      <c r="M49" s="664">
        <v>28.55331569033283</v>
      </c>
      <c r="N49" s="663">
        <v>1.6018700034195554</v>
      </c>
      <c r="O49" s="663">
        <v>0.1425306035599459</v>
      </c>
      <c r="P49" s="664">
        <v>79.93802880459161</v>
      </c>
      <c r="Q49" s="664">
        <v>9.9179265849836327</v>
      </c>
      <c r="R49" s="663">
        <v>0</v>
      </c>
      <c r="S49" s="663">
        <v>0</v>
      </c>
      <c r="T49" s="663">
        <v>0</v>
      </c>
      <c r="U49" s="665">
        <v>1540.9486217337462</v>
      </c>
    </row>
    <row r="50" spans="3:21" ht="13">
      <c r="C50" s="662" t="s">
        <v>60</v>
      </c>
      <c r="D50" s="663">
        <v>27.889416993257086</v>
      </c>
      <c r="E50" s="663">
        <v>443.26764285453919</v>
      </c>
      <c r="F50" s="663">
        <v>170.80725067581974</v>
      </c>
      <c r="G50" s="663">
        <v>0.96874110820809101</v>
      </c>
      <c r="H50" s="663">
        <v>278.87550827932449</v>
      </c>
      <c r="I50" s="663">
        <v>0</v>
      </c>
      <c r="J50" s="663">
        <v>0</v>
      </c>
      <c r="K50" s="663">
        <v>0</v>
      </c>
      <c r="L50" s="663">
        <v>2.543202703318971</v>
      </c>
      <c r="M50" s="663">
        <v>0</v>
      </c>
      <c r="N50" s="663">
        <v>3.3840076567254442</v>
      </c>
      <c r="O50" s="663">
        <v>0</v>
      </c>
      <c r="P50" s="663">
        <v>0</v>
      </c>
      <c r="Q50" s="663">
        <v>0</v>
      </c>
      <c r="R50" s="663">
        <v>0</v>
      </c>
      <c r="S50" s="663">
        <v>0</v>
      </c>
      <c r="T50" s="663">
        <v>0</v>
      </c>
      <c r="U50" s="665">
        <v>927.73577027119291</v>
      </c>
    </row>
    <row r="51" spans="3:21" ht="13">
      <c r="C51" s="662" t="s">
        <v>61</v>
      </c>
      <c r="D51" s="663">
        <v>0</v>
      </c>
      <c r="E51" s="663">
        <v>0</v>
      </c>
      <c r="F51" s="663">
        <v>-8.238229290577169E-2</v>
      </c>
      <c r="G51" s="663">
        <v>0</v>
      </c>
      <c r="H51" s="663">
        <v>0</v>
      </c>
      <c r="I51" s="663">
        <v>0</v>
      </c>
      <c r="J51" s="663">
        <v>0</v>
      </c>
      <c r="K51" s="663">
        <v>0</v>
      </c>
      <c r="L51" s="663">
        <v>0</v>
      </c>
      <c r="M51" s="663">
        <v>0</v>
      </c>
      <c r="N51" s="663">
        <v>0</v>
      </c>
      <c r="O51" s="663">
        <v>0</v>
      </c>
      <c r="P51" s="663">
        <v>0</v>
      </c>
      <c r="Q51" s="663">
        <v>0</v>
      </c>
      <c r="R51" s="663">
        <v>-39.63136742270666</v>
      </c>
      <c r="S51" s="663">
        <v>0</v>
      </c>
      <c r="T51" s="663">
        <v>0</v>
      </c>
      <c r="U51" s="665">
        <v>-39.71374971561243</v>
      </c>
    </row>
    <row r="52" spans="3:21" ht="13">
      <c r="C52" s="662" t="s">
        <v>62</v>
      </c>
      <c r="D52" s="663">
        <v>0</v>
      </c>
      <c r="E52" s="663">
        <v>0</v>
      </c>
      <c r="F52" s="663">
        <v>-16.913982362364816</v>
      </c>
      <c r="G52" s="663">
        <v>-0.21068566030958977</v>
      </c>
      <c r="H52" s="663">
        <v>-1.5457950077696609</v>
      </c>
      <c r="I52" s="663">
        <v>0</v>
      </c>
      <c r="J52" s="663">
        <v>0</v>
      </c>
      <c r="K52" s="663">
        <v>0</v>
      </c>
      <c r="L52" s="663">
        <v>0</v>
      </c>
      <c r="M52" s="663">
        <v>0</v>
      </c>
      <c r="N52" s="663">
        <v>-0.46212963965785603</v>
      </c>
      <c r="O52" s="663">
        <v>-0.15662240166829164</v>
      </c>
      <c r="P52" s="663">
        <v>0</v>
      </c>
      <c r="Q52" s="663">
        <v>0</v>
      </c>
      <c r="R52" s="663">
        <v>0</v>
      </c>
      <c r="S52" s="663">
        <v>0</v>
      </c>
      <c r="T52" s="663">
        <v>0</v>
      </c>
      <c r="U52" s="665">
        <v>-19.289215071770215</v>
      </c>
    </row>
    <row r="53" spans="3:21" ht="13">
      <c r="C53" s="662" t="s">
        <v>63</v>
      </c>
      <c r="D53" s="663">
        <v>0</v>
      </c>
      <c r="E53" s="663">
        <v>0</v>
      </c>
      <c r="F53" s="663">
        <v>-74.821470237515427</v>
      </c>
      <c r="G53" s="663">
        <v>-0.43381751781743938</v>
      </c>
      <c r="H53" s="663">
        <v>0</v>
      </c>
      <c r="I53" s="663">
        <v>0</v>
      </c>
      <c r="J53" s="663">
        <v>0</v>
      </c>
      <c r="K53" s="663">
        <v>0</v>
      </c>
      <c r="L53" s="663">
        <v>0</v>
      </c>
      <c r="M53" s="663">
        <v>0</v>
      </c>
      <c r="N53" s="663">
        <v>-2.9848679697644429</v>
      </c>
      <c r="O53" s="663">
        <v>0</v>
      </c>
      <c r="P53" s="663">
        <v>0</v>
      </c>
      <c r="Q53" s="663">
        <v>0</v>
      </c>
      <c r="R53" s="663">
        <v>0</v>
      </c>
      <c r="S53" s="663">
        <v>0</v>
      </c>
      <c r="T53" s="663">
        <v>0</v>
      </c>
      <c r="U53" s="665">
        <v>-78.24015572509731</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27.889416993257086</v>
      </c>
      <c r="E55" s="667">
        <v>453.03684285453915</v>
      </c>
      <c r="F55" s="667">
        <v>78.989415783033735</v>
      </c>
      <c r="G55" s="667">
        <v>0.32423793008106183</v>
      </c>
      <c r="H55" s="675">
        <v>277.51579327155486</v>
      </c>
      <c r="I55" s="667">
        <v>0</v>
      </c>
      <c r="J55" s="667">
        <v>1009.7815647558707</v>
      </c>
      <c r="K55" s="667">
        <v>178.80025978042428</v>
      </c>
      <c r="L55" s="667">
        <v>224.80104821388267</v>
      </c>
      <c r="M55" s="667">
        <v>28.55331569033283</v>
      </c>
      <c r="N55" s="667">
        <v>1.5388800507227005</v>
      </c>
      <c r="O55" s="667">
        <v>-1.4091798108345738E-2</v>
      </c>
      <c r="P55" s="667">
        <v>79.93802880459161</v>
      </c>
      <c r="Q55" s="667">
        <v>9.9179265849836327</v>
      </c>
      <c r="R55" s="667">
        <v>-39.63136742270666</v>
      </c>
      <c r="S55" s="667">
        <v>0</v>
      </c>
      <c r="T55" s="667">
        <v>0</v>
      </c>
      <c r="U55" s="667">
        <v>2331.4412714924588</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2.0126474031919526</v>
      </c>
      <c r="E58" s="663">
        <v>0</v>
      </c>
      <c r="F58" s="663">
        <v>2.4215350266049294</v>
      </c>
      <c r="G58" s="663">
        <v>0</v>
      </c>
      <c r="H58" s="663">
        <v>35.249779280676243</v>
      </c>
      <c r="I58" s="663">
        <v>0</v>
      </c>
      <c r="J58" s="663">
        <v>1009.7815647558707</v>
      </c>
      <c r="K58" s="663">
        <v>178.80025978042428</v>
      </c>
      <c r="L58" s="663">
        <v>29.565327526851199</v>
      </c>
      <c r="M58" s="663">
        <v>10.280381489535124</v>
      </c>
      <c r="N58" s="663">
        <v>4.867247129818443</v>
      </c>
      <c r="O58" s="663">
        <v>5.9376906009360688</v>
      </c>
      <c r="P58" s="663">
        <v>0</v>
      </c>
      <c r="Q58" s="663">
        <v>0.1274458438995901</v>
      </c>
      <c r="R58" s="663">
        <v>-552.22120311009314</v>
      </c>
      <c r="S58" s="663">
        <v>0</v>
      </c>
      <c r="T58" s="663">
        <v>0</v>
      </c>
      <c r="U58" s="671">
        <v>726.82267572771525</v>
      </c>
    </row>
    <row r="59" spans="3:21" ht="13">
      <c r="C59" s="670" t="s">
        <v>351</v>
      </c>
      <c r="D59" s="663">
        <v>7.7272727272727285E-2</v>
      </c>
      <c r="E59" s="663">
        <v>0</v>
      </c>
      <c r="F59" s="663">
        <v>0</v>
      </c>
      <c r="G59" s="663">
        <v>0</v>
      </c>
      <c r="H59" s="663">
        <v>17.872657477712522</v>
      </c>
      <c r="I59" s="663">
        <v>0</v>
      </c>
      <c r="J59" s="663">
        <v>0</v>
      </c>
      <c r="K59" s="663">
        <v>0</v>
      </c>
      <c r="L59" s="663">
        <v>30.795424710415574</v>
      </c>
      <c r="M59" s="663">
        <v>15.788091398661473</v>
      </c>
      <c r="N59" s="663">
        <v>0</v>
      </c>
      <c r="O59" s="663">
        <v>3.9361494776423425</v>
      </c>
      <c r="P59" s="663">
        <v>0</v>
      </c>
      <c r="Q59" s="663">
        <v>6.7289973607209745</v>
      </c>
      <c r="R59" s="663">
        <v>0</v>
      </c>
      <c r="S59" s="663">
        <v>-68.166941269573059</v>
      </c>
      <c r="T59" s="663">
        <v>0</v>
      </c>
      <c r="U59" s="671">
        <v>7.0316518828525636</v>
      </c>
    </row>
    <row r="60" spans="3:21" ht="13">
      <c r="C60" s="670" t="s">
        <v>352</v>
      </c>
      <c r="D60" s="663">
        <v>0</v>
      </c>
      <c r="E60" s="663">
        <v>0</v>
      </c>
      <c r="F60" s="663">
        <v>0</v>
      </c>
      <c r="G60" s="663">
        <v>0</v>
      </c>
      <c r="H60" s="663">
        <v>0</v>
      </c>
      <c r="I60" s="663">
        <v>0</v>
      </c>
      <c r="J60" s="663">
        <v>0</v>
      </c>
      <c r="K60" s="663">
        <v>0</v>
      </c>
      <c r="L60" s="663">
        <v>34.96891347313359</v>
      </c>
      <c r="M60" s="663">
        <v>0</v>
      </c>
      <c r="N60" s="663">
        <v>0</v>
      </c>
      <c r="O60" s="663">
        <v>-32.314513431056241</v>
      </c>
      <c r="P60" s="663">
        <v>0</v>
      </c>
      <c r="Q60" s="663">
        <v>0</v>
      </c>
      <c r="R60" s="663">
        <v>0</v>
      </c>
      <c r="S60" s="663">
        <v>0</v>
      </c>
      <c r="T60" s="663">
        <v>0</v>
      </c>
      <c r="U60" s="671">
        <v>2.6544000420773486</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469.52687715624688</v>
      </c>
      <c r="F62" s="663">
        <v>-464.85369049462497</v>
      </c>
      <c r="G62" s="663">
        <v>0</v>
      </c>
      <c r="H62" s="663">
        <v>0</v>
      </c>
      <c r="I62" s="663">
        <v>0</v>
      </c>
      <c r="J62" s="663">
        <v>0</v>
      </c>
      <c r="K62" s="663">
        <v>0</v>
      </c>
      <c r="L62" s="663">
        <v>0</v>
      </c>
      <c r="M62" s="663">
        <v>0</v>
      </c>
      <c r="N62" s="663">
        <v>0</v>
      </c>
      <c r="O62" s="663">
        <v>0</v>
      </c>
      <c r="P62" s="663">
        <v>0</v>
      </c>
      <c r="Q62" s="663">
        <v>0</v>
      </c>
      <c r="R62" s="663">
        <v>0</v>
      </c>
      <c r="S62" s="663">
        <v>0</v>
      </c>
      <c r="T62" s="663">
        <v>0</v>
      </c>
      <c r="U62" s="671">
        <v>4.6731866616218856</v>
      </c>
    </row>
    <row r="63" spans="3:21" ht="13">
      <c r="C63" s="670" t="s">
        <v>354</v>
      </c>
      <c r="D63" s="663">
        <v>0</v>
      </c>
      <c r="E63" s="663">
        <v>0</v>
      </c>
      <c r="F63" s="663">
        <v>0</v>
      </c>
      <c r="G63" s="663">
        <v>0</v>
      </c>
      <c r="H63" s="663">
        <v>0</v>
      </c>
      <c r="I63" s="663">
        <v>0</v>
      </c>
      <c r="J63" s="663">
        <v>0</v>
      </c>
      <c r="K63" s="663">
        <v>0</v>
      </c>
      <c r="L63" s="663">
        <v>56.146757475987663</v>
      </c>
      <c r="M63" s="663">
        <v>0</v>
      </c>
      <c r="N63" s="663">
        <v>-56.146757475987663</v>
      </c>
      <c r="O63" s="663">
        <v>0</v>
      </c>
      <c r="P63" s="663">
        <v>0</v>
      </c>
      <c r="Q63" s="663">
        <v>0</v>
      </c>
      <c r="R63" s="663">
        <v>0</v>
      </c>
      <c r="S63" s="663">
        <v>0</v>
      </c>
      <c r="T63" s="663">
        <v>0</v>
      </c>
      <c r="U63" s="671">
        <v>0</v>
      </c>
    </row>
    <row r="64" spans="3:21" ht="13">
      <c r="C64" s="670" t="s">
        <v>355</v>
      </c>
      <c r="D64" s="663">
        <v>0</v>
      </c>
      <c r="E64" s="663">
        <v>0</v>
      </c>
      <c r="F64" s="663">
        <v>0</v>
      </c>
      <c r="G64" s="663">
        <v>-0.9610704740785061</v>
      </c>
      <c r="H64" s="663">
        <v>0</v>
      </c>
      <c r="I64" s="663">
        <v>0</v>
      </c>
      <c r="J64" s="663">
        <v>0</v>
      </c>
      <c r="K64" s="663">
        <v>0</v>
      </c>
      <c r="L64" s="663">
        <v>0</v>
      </c>
      <c r="M64" s="663">
        <v>0</v>
      </c>
      <c r="N64" s="663">
        <v>0</v>
      </c>
      <c r="O64" s="663">
        <v>0</v>
      </c>
      <c r="P64" s="663">
        <v>0</v>
      </c>
      <c r="Q64" s="663">
        <v>0</v>
      </c>
      <c r="R64" s="663">
        <v>0</v>
      </c>
      <c r="S64" s="663">
        <v>0</v>
      </c>
      <c r="T64" s="663">
        <v>1.3385382647332955</v>
      </c>
      <c r="U64" s="671">
        <v>0.37746779065478941</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16.613212092757209</v>
      </c>
      <c r="S65" s="663">
        <v>0</v>
      </c>
      <c r="T65" s="663">
        <v>-10.798587860292187</v>
      </c>
      <c r="U65" s="671">
        <v>5.8146242324650217</v>
      </c>
    </row>
    <row r="66" spans="3:21" ht="13">
      <c r="C66" s="670" t="s">
        <v>356</v>
      </c>
      <c r="D66" s="663">
        <v>15.474789843749999</v>
      </c>
      <c r="E66" s="663">
        <v>-16.490034301707698</v>
      </c>
      <c r="F66" s="663">
        <v>21.458462057363484</v>
      </c>
      <c r="G66" s="663">
        <v>0</v>
      </c>
      <c r="H66" s="663">
        <v>0</v>
      </c>
      <c r="I66" s="663">
        <v>0</v>
      </c>
      <c r="J66" s="663">
        <v>0</v>
      </c>
      <c r="K66" s="663">
        <v>0</v>
      </c>
      <c r="L66" s="663">
        <v>0</v>
      </c>
      <c r="M66" s="663">
        <v>0</v>
      </c>
      <c r="N66" s="663">
        <v>0</v>
      </c>
      <c r="O66" s="663">
        <v>0</v>
      </c>
      <c r="P66" s="663">
        <v>0</v>
      </c>
      <c r="Q66" s="663">
        <v>0</v>
      </c>
      <c r="R66" s="663">
        <v>0</v>
      </c>
      <c r="S66" s="663">
        <v>0</v>
      </c>
      <c r="T66" s="663">
        <v>0</v>
      </c>
      <c r="U66" s="671">
        <v>20.443217599405784</v>
      </c>
    </row>
    <row r="67" spans="3:21" ht="13">
      <c r="C67" s="670" t="s">
        <v>75</v>
      </c>
      <c r="D67" s="663">
        <v>6.017973828125001</v>
      </c>
      <c r="E67" s="663">
        <v>0</v>
      </c>
      <c r="F67" s="663">
        <v>19.75864185375092</v>
      </c>
      <c r="G67" s="663">
        <v>0</v>
      </c>
      <c r="H67" s="663">
        <v>5.1351593182183395</v>
      </c>
      <c r="I67" s="663">
        <v>0</v>
      </c>
      <c r="J67" s="663">
        <v>0</v>
      </c>
      <c r="K67" s="663">
        <v>0</v>
      </c>
      <c r="L67" s="663">
        <v>0</v>
      </c>
      <c r="M67" s="663">
        <v>0</v>
      </c>
      <c r="N67" s="663">
        <v>0</v>
      </c>
      <c r="O67" s="663">
        <v>0.52030248598688023</v>
      </c>
      <c r="P67" s="663">
        <v>0</v>
      </c>
      <c r="Q67" s="663">
        <v>0</v>
      </c>
      <c r="R67" s="663">
        <v>26.004010207915542</v>
      </c>
      <c r="S67" s="663">
        <v>0</v>
      </c>
      <c r="T67" s="663">
        <v>0</v>
      </c>
      <c r="U67" s="671">
        <v>57.436087693996683</v>
      </c>
    </row>
    <row r="68" spans="3:21" ht="13">
      <c r="C68" s="670" t="s">
        <v>76</v>
      </c>
      <c r="D68" s="663">
        <v>0</v>
      </c>
      <c r="E68" s="663">
        <v>0</v>
      </c>
      <c r="F68" s="663">
        <v>0</v>
      </c>
      <c r="G68" s="663">
        <v>0</v>
      </c>
      <c r="H68" s="663">
        <v>3.2228770072600459</v>
      </c>
      <c r="I68" s="663">
        <v>0</v>
      </c>
      <c r="J68" s="663">
        <v>0</v>
      </c>
      <c r="K68" s="663">
        <v>0</v>
      </c>
      <c r="L68" s="663">
        <v>0</v>
      </c>
      <c r="M68" s="663">
        <v>0</v>
      </c>
      <c r="N68" s="663">
        <v>0</v>
      </c>
      <c r="O68" s="663">
        <v>0.32654700954617205</v>
      </c>
      <c r="P68" s="663">
        <v>0</v>
      </c>
      <c r="Q68" s="663">
        <v>0</v>
      </c>
      <c r="R68" s="663">
        <v>39.257968517902221</v>
      </c>
      <c r="S68" s="663">
        <v>5.2865527205622431</v>
      </c>
      <c r="T68" s="663">
        <v>0</v>
      </c>
      <c r="U68" s="671">
        <v>48.093945255270683</v>
      </c>
    </row>
    <row r="69" spans="3:21" ht="13">
      <c r="C69" s="666" t="s">
        <v>77</v>
      </c>
      <c r="D69" s="667">
        <v>23.58268380233968</v>
      </c>
      <c r="E69" s="667">
        <v>453.03684285453915</v>
      </c>
      <c r="F69" s="667">
        <v>-421.21505155690562</v>
      </c>
      <c r="G69" s="667">
        <v>-0.9610704740785061</v>
      </c>
      <c r="H69" s="675">
        <v>61.480473083867153</v>
      </c>
      <c r="I69" s="667">
        <v>0</v>
      </c>
      <c r="J69" s="667">
        <v>1009.7815647558707</v>
      </c>
      <c r="K69" s="667">
        <v>178.80025978042428</v>
      </c>
      <c r="L69" s="667">
        <v>151.47642318638805</v>
      </c>
      <c r="M69" s="667">
        <v>26.068472888196599</v>
      </c>
      <c r="N69" s="667">
        <v>-51.279510346169218</v>
      </c>
      <c r="O69" s="667">
        <v>-21.593823856944777</v>
      </c>
      <c r="P69" s="667">
        <v>0</v>
      </c>
      <c r="Q69" s="667">
        <v>6.8564432046205646</v>
      </c>
      <c r="R69" s="667">
        <v>-470.34601229151815</v>
      </c>
      <c r="S69" s="667">
        <v>-62.88038854901081</v>
      </c>
      <c r="T69" s="667">
        <v>-9.4600495955588926</v>
      </c>
      <c r="U69" s="667">
        <v>873.34725688605999</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4.3067331909174058</v>
      </c>
      <c r="E71" s="663">
        <v>0</v>
      </c>
      <c r="F71" s="663">
        <v>15.285550941396558</v>
      </c>
      <c r="G71" s="663">
        <v>0</v>
      </c>
      <c r="H71" s="663">
        <v>81.99673295835025</v>
      </c>
      <c r="I71" s="663">
        <v>0</v>
      </c>
      <c r="J71" s="663">
        <v>0</v>
      </c>
      <c r="K71" s="663">
        <v>0</v>
      </c>
      <c r="L71" s="663">
        <v>19.904086757615648</v>
      </c>
      <c r="M71" s="663">
        <v>2.4842759722515511</v>
      </c>
      <c r="N71" s="663">
        <v>0.94250728115234383</v>
      </c>
      <c r="O71" s="663">
        <v>8.3338753773994174</v>
      </c>
      <c r="P71" s="663">
        <v>2.8483193359375001</v>
      </c>
      <c r="Q71" s="663">
        <v>5.2671642446208732E-4</v>
      </c>
      <c r="R71" s="663">
        <v>124.0609713055903</v>
      </c>
      <c r="S71" s="663">
        <v>18.086756081914288</v>
      </c>
      <c r="T71" s="663">
        <v>1.3772960205078124</v>
      </c>
      <c r="U71" s="671">
        <v>279.62763193945756</v>
      </c>
    </row>
    <row r="72" spans="3:21" ht="13">
      <c r="C72" s="670" t="s">
        <v>79</v>
      </c>
      <c r="D72" s="663">
        <v>0</v>
      </c>
      <c r="E72" s="663">
        <v>0</v>
      </c>
      <c r="F72" s="663">
        <v>335.93998919996596</v>
      </c>
      <c r="G72" s="663">
        <v>9.4771242925738991E-2</v>
      </c>
      <c r="H72" s="663">
        <v>4.5339029695199544</v>
      </c>
      <c r="I72" s="663">
        <v>0</v>
      </c>
      <c r="J72" s="663">
        <v>0</v>
      </c>
      <c r="K72" s="663">
        <v>0</v>
      </c>
      <c r="L72" s="663">
        <v>0</v>
      </c>
      <c r="M72" s="663">
        <v>0</v>
      </c>
      <c r="N72" s="663">
        <v>38.371773390829333</v>
      </c>
      <c r="O72" s="663">
        <v>0.45938223920246229</v>
      </c>
      <c r="P72" s="663">
        <v>0</v>
      </c>
      <c r="Q72" s="663">
        <v>0</v>
      </c>
      <c r="R72" s="663">
        <v>24.830612613321723</v>
      </c>
      <c r="S72" s="663">
        <v>0</v>
      </c>
      <c r="T72" s="663">
        <v>0.39090580497267069</v>
      </c>
      <c r="U72" s="671">
        <v>404.62133746073778</v>
      </c>
    </row>
    <row r="73" spans="3:21" ht="13">
      <c r="C73" s="670" t="s">
        <v>80</v>
      </c>
      <c r="D73" s="663">
        <v>0</v>
      </c>
      <c r="E73" s="663">
        <v>0</v>
      </c>
      <c r="F73" s="663">
        <v>7.6204805429044127</v>
      </c>
      <c r="G73" s="663">
        <v>0</v>
      </c>
      <c r="H73" s="663">
        <v>80.929799495030636</v>
      </c>
      <c r="I73" s="663">
        <v>0</v>
      </c>
      <c r="J73" s="663">
        <v>0</v>
      </c>
      <c r="K73" s="663">
        <v>0</v>
      </c>
      <c r="L73" s="663">
        <v>51.076854442173044</v>
      </c>
      <c r="M73" s="663">
        <v>0</v>
      </c>
      <c r="N73" s="663">
        <v>0</v>
      </c>
      <c r="O73" s="663">
        <v>8.1999356316550855</v>
      </c>
      <c r="P73" s="663">
        <v>62.835725387811195</v>
      </c>
      <c r="Q73" s="663">
        <v>1.6849133946274748</v>
      </c>
      <c r="R73" s="663">
        <v>167.36963395676293</v>
      </c>
      <c r="S73" s="663">
        <v>28.222608960163477</v>
      </c>
      <c r="T73" s="663">
        <v>0</v>
      </c>
      <c r="U73" s="671">
        <v>407.93995181112825</v>
      </c>
    </row>
    <row r="74" spans="3:21" ht="13">
      <c r="C74" s="670" t="s">
        <v>81</v>
      </c>
      <c r="D74" s="663">
        <v>0</v>
      </c>
      <c r="E74" s="663">
        <v>0</v>
      </c>
      <c r="F74" s="663">
        <v>10.491369546862531</v>
      </c>
      <c r="G74" s="663">
        <v>0</v>
      </c>
      <c r="H74" s="663">
        <v>35.36343810232146</v>
      </c>
      <c r="I74" s="663">
        <v>0</v>
      </c>
      <c r="J74" s="663">
        <v>0</v>
      </c>
      <c r="K74" s="663">
        <v>0</v>
      </c>
      <c r="L74" s="663">
        <v>0.41502991649093068</v>
      </c>
      <c r="M74" s="663">
        <v>5.6682988468104167E-4</v>
      </c>
      <c r="N74" s="663">
        <v>0</v>
      </c>
      <c r="O74" s="663">
        <v>3.5830796315127467</v>
      </c>
      <c r="P74" s="663">
        <v>13.853984080842906</v>
      </c>
      <c r="Q74" s="663">
        <v>0.85666800244149366</v>
      </c>
      <c r="R74" s="663">
        <v>106.66141597563889</v>
      </c>
      <c r="S74" s="663">
        <v>16.571023506933056</v>
      </c>
      <c r="T74" s="663">
        <v>0</v>
      </c>
      <c r="U74" s="671">
        <v>187.79657559292866</v>
      </c>
    </row>
    <row r="75" spans="3:21" ht="13">
      <c r="C75" s="670" t="s">
        <v>82</v>
      </c>
      <c r="D75" s="663">
        <v>0</v>
      </c>
      <c r="E75" s="663">
        <v>0</v>
      </c>
      <c r="F75" s="663">
        <v>28.598972580821304</v>
      </c>
      <c r="G75" s="663">
        <v>0</v>
      </c>
      <c r="H75" s="663">
        <v>1.9735950966825975</v>
      </c>
      <c r="I75" s="663">
        <v>0</v>
      </c>
      <c r="J75" s="663">
        <v>0</v>
      </c>
      <c r="K75" s="663">
        <v>0</v>
      </c>
      <c r="L75" s="663">
        <v>1.8335004892905753</v>
      </c>
      <c r="M75" s="663">
        <v>0</v>
      </c>
      <c r="N75" s="663">
        <v>3.9645164071396528</v>
      </c>
      <c r="O75" s="663">
        <v>0.19996778512643057</v>
      </c>
      <c r="P75" s="663">
        <v>0.4</v>
      </c>
      <c r="Q75" s="663">
        <v>0.5193752668696392</v>
      </c>
      <c r="R75" s="663">
        <v>7.7920110174976385</v>
      </c>
      <c r="S75" s="663">
        <v>0</v>
      </c>
      <c r="T75" s="663">
        <v>0.13892990437736891</v>
      </c>
      <c r="U75" s="671">
        <v>45.420868547805206</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0</v>
      </c>
      <c r="S76" s="663">
        <v>0</v>
      </c>
      <c r="T76" s="663">
        <v>0</v>
      </c>
      <c r="U76" s="671">
        <v>0</v>
      </c>
    </row>
    <row r="77" spans="3:21" ht="13">
      <c r="C77" s="666" t="s">
        <v>83</v>
      </c>
      <c r="D77" s="667">
        <v>4.3067331909174058</v>
      </c>
      <c r="E77" s="667">
        <v>0</v>
      </c>
      <c r="F77" s="667">
        <v>397.93636281195074</v>
      </c>
      <c r="G77" s="667">
        <v>9.4771242925738991E-2</v>
      </c>
      <c r="H77" s="675">
        <v>204.7974686219049</v>
      </c>
      <c r="I77" s="667">
        <v>0</v>
      </c>
      <c r="J77" s="667">
        <v>0</v>
      </c>
      <c r="K77" s="667">
        <v>0</v>
      </c>
      <c r="L77" s="667">
        <v>73.229471605570197</v>
      </c>
      <c r="M77" s="667">
        <v>2.4848428021362321</v>
      </c>
      <c r="N77" s="667">
        <v>43.278797079121333</v>
      </c>
      <c r="O77" s="667">
        <v>20.776240664896143</v>
      </c>
      <c r="P77" s="667">
        <v>79.93802880459161</v>
      </c>
      <c r="Q77" s="667">
        <v>3.0614833803630699</v>
      </c>
      <c r="R77" s="667">
        <v>430.71464486881149</v>
      </c>
      <c r="S77" s="667">
        <v>62.880388549010817</v>
      </c>
      <c r="T77" s="667">
        <v>1.9071317298578518</v>
      </c>
      <c r="U77" s="667">
        <v>1325.4063653520575</v>
      </c>
    </row>
    <row r="78" spans="3:21" ht="13">
      <c r="C78" s="662" t="s">
        <v>84</v>
      </c>
      <c r="D78" s="663">
        <v>0</v>
      </c>
      <c r="E78" s="663">
        <v>0</v>
      </c>
      <c r="F78" s="663">
        <v>102.26810452798878</v>
      </c>
      <c r="G78" s="663">
        <v>1.1905371612338289</v>
      </c>
      <c r="H78" s="663">
        <v>11.237851565782758</v>
      </c>
      <c r="I78" s="663">
        <v>0</v>
      </c>
      <c r="J78" s="663">
        <v>0</v>
      </c>
      <c r="K78" s="663">
        <v>0</v>
      </c>
      <c r="L78" s="663">
        <v>9.5153421924450407E-2</v>
      </c>
      <c r="M78" s="663">
        <v>0</v>
      </c>
      <c r="N78" s="663">
        <v>7.1193346713498897</v>
      </c>
      <c r="O78" s="663">
        <v>0.80349139394028601</v>
      </c>
      <c r="P78" s="663">
        <v>0</v>
      </c>
      <c r="Q78" s="663">
        <v>0</v>
      </c>
      <c r="R78" s="663">
        <v>0</v>
      </c>
      <c r="S78" s="663">
        <v>0</v>
      </c>
      <c r="T78" s="663">
        <v>7.5529178657010396</v>
      </c>
      <c r="U78" s="671">
        <v>130.26739060792104</v>
      </c>
    </row>
    <row r="79" spans="3:21" ht="13">
      <c r="C79" s="666" t="s">
        <v>85</v>
      </c>
      <c r="D79" s="667">
        <v>4.3067331909174058</v>
      </c>
      <c r="E79" s="667">
        <v>0</v>
      </c>
      <c r="F79" s="667">
        <v>500.20446733993958</v>
      </c>
      <c r="G79" s="667">
        <v>1.2853084041595679</v>
      </c>
      <c r="H79" s="675">
        <v>216.03532018768766</v>
      </c>
      <c r="I79" s="667">
        <v>0</v>
      </c>
      <c r="J79" s="667">
        <v>0</v>
      </c>
      <c r="K79" s="667">
        <v>0</v>
      </c>
      <c r="L79" s="667">
        <v>73.324625027494648</v>
      </c>
      <c r="M79" s="667">
        <v>2.4848428021362321</v>
      </c>
      <c r="N79" s="667">
        <v>50.398131750471222</v>
      </c>
      <c r="O79" s="667">
        <v>21.579732058836431</v>
      </c>
      <c r="P79" s="667">
        <v>79.93802880459161</v>
      </c>
      <c r="Q79" s="667">
        <v>3.0614833803630699</v>
      </c>
      <c r="R79" s="667">
        <v>430.71464486881149</v>
      </c>
      <c r="S79" s="667">
        <v>62.880388549010817</v>
      </c>
      <c r="T79" s="667">
        <v>9.4600495955588908</v>
      </c>
      <c r="U79" s="667">
        <v>1455.6737559599785</v>
      </c>
    </row>
    <row r="80" spans="3:21">
      <c r="C80" s="654"/>
      <c r="D80" s="672">
        <v>0</v>
      </c>
      <c r="E80" s="672">
        <v>0</v>
      </c>
      <c r="F80" s="672">
        <v>2.2737367544323206E-13</v>
      </c>
      <c r="G80" s="672">
        <v>0</v>
      </c>
      <c r="H80" s="672">
        <v>0</v>
      </c>
      <c r="I80" s="672">
        <v>0</v>
      </c>
      <c r="J80" s="672">
        <v>0</v>
      </c>
      <c r="K80" s="672">
        <v>0</v>
      </c>
      <c r="L80" s="672">
        <v>0</v>
      </c>
      <c r="M80" s="672">
        <v>0</v>
      </c>
      <c r="N80" s="672">
        <v>-2.4202586464206961</v>
      </c>
      <c r="O80" s="672">
        <v>-4.163336342344337E-16</v>
      </c>
      <c r="P80" s="672">
        <v>0</v>
      </c>
      <c r="Q80" s="672">
        <v>0</v>
      </c>
      <c r="R80" s="672">
        <v>0</v>
      </c>
      <c r="S80" s="672">
        <v>7.1054273576010019E-15</v>
      </c>
      <c r="T80" s="672">
        <v>-1.7763568394002505E-15</v>
      </c>
      <c r="U80" s="672">
        <v>-2.4202586464202795</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88</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9.7691999999999997</v>
      </c>
      <c r="F86" s="663">
        <v>0</v>
      </c>
      <c r="G86" s="663">
        <v>0</v>
      </c>
      <c r="H86" s="663">
        <v>0.18608000000000002</v>
      </c>
      <c r="I86" s="663">
        <v>0</v>
      </c>
      <c r="J86" s="664">
        <v>985.67379798785544</v>
      </c>
      <c r="K86" s="664">
        <v>195.250455173126</v>
      </c>
      <c r="L86" s="664">
        <v>225.73082873869848</v>
      </c>
      <c r="M86" s="664">
        <v>27.969740685177928</v>
      </c>
      <c r="N86" s="663">
        <v>1.4156783371657409</v>
      </c>
      <c r="O86" s="663">
        <v>0.13593700784165794</v>
      </c>
      <c r="P86" s="664">
        <v>91.581907146552624</v>
      </c>
      <c r="Q86" s="664">
        <v>10.82319895117076</v>
      </c>
      <c r="R86" s="663">
        <v>0</v>
      </c>
      <c r="S86" s="663">
        <v>0</v>
      </c>
      <c r="T86" s="663">
        <v>0</v>
      </c>
      <c r="U86" s="665">
        <v>1548.5368240275886</v>
      </c>
    </row>
    <row r="87" spans="3:21" ht="13">
      <c r="C87" s="662" t="s">
        <v>60</v>
      </c>
      <c r="D87" s="663">
        <v>19.500894978355525</v>
      </c>
      <c r="E87" s="663">
        <v>412.35150263166827</v>
      </c>
      <c r="F87" s="663">
        <v>141.77751506797006</v>
      </c>
      <c r="G87" s="663">
        <v>1.1566580598777236</v>
      </c>
      <c r="H87" s="663">
        <v>243.17374959353992</v>
      </c>
      <c r="I87" s="663">
        <v>0</v>
      </c>
      <c r="J87" s="663">
        <v>0</v>
      </c>
      <c r="K87" s="663">
        <v>0</v>
      </c>
      <c r="L87" s="663">
        <v>2.5322527707990741</v>
      </c>
      <c r="M87" s="663">
        <v>0</v>
      </c>
      <c r="N87" s="663">
        <v>3.140572004124202</v>
      </c>
      <c r="O87" s="663">
        <v>0</v>
      </c>
      <c r="P87" s="663">
        <v>0</v>
      </c>
      <c r="Q87" s="663">
        <v>0</v>
      </c>
      <c r="R87" s="663">
        <v>0</v>
      </c>
      <c r="S87" s="663">
        <v>0</v>
      </c>
      <c r="T87" s="663">
        <v>0</v>
      </c>
      <c r="U87" s="665">
        <v>823.63314510633472</v>
      </c>
    </row>
    <row r="88" spans="3:21" ht="13">
      <c r="C88" s="662" t="s">
        <v>61</v>
      </c>
      <c r="D88" s="663">
        <v>0</v>
      </c>
      <c r="E88" s="663">
        <v>0</v>
      </c>
      <c r="F88" s="663">
        <v>-0.13172022897004482</v>
      </c>
      <c r="G88" s="663">
        <v>0</v>
      </c>
      <c r="H88" s="663">
        <v>0</v>
      </c>
      <c r="I88" s="663">
        <v>0</v>
      </c>
      <c r="J88" s="663">
        <v>0</v>
      </c>
      <c r="K88" s="663">
        <v>0</v>
      </c>
      <c r="L88" s="663">
        <v>0</v>
      </c>
      <c r="M88" s="663">
        <v>0</v>
      </c>
      <c r="N88" s="663">
        <v>0</v>
      </c>
      <c r="O88" s="663">
        <v>0</v>
      </c>
      <c r="P88" s="663">
        <v>0</v>
      </c>
      <c r="Q88" s="663">
        <v>0</v>
      </c>
      <c r="R88" s="663">
        <v>-40.000168370113556</v>
      </c>
      <c r="S88" s="663">
        <v>0</v>
      </c>
      <c r="T88" s="663">
        <v>0</v>
      </c>
      <c r="U88" s="665">
        <v>-40.131888599083602</v>
      </c>
    </row>
    <row r="89" spans="3:21" ht="13">
      <c r="C89" s="662" t="s">
        <v>62</v>
      </c>
      <c r="D89" s="663">
        <v>0</v>
      </c>
      <c r="E89" s="663">
        <v>0</v>
      </c>
      <c r="F89" s="663">
        <v>-16.199220216107165</v>
      </c>
      <c r="G89" s="663">
        <v>-0.35114276718264964</v>
      </c>
      <c r="H89" s="663">
        <v>-0.92701690536219505</v>
      </c>
      <c r="I89" s="663">
        <v>0</v>
      </c>
      <c r="J89" s="663">
        <v>0</v>
      </c>
      <c r="K89" s="663">
        <v>0</v>
      </c>
      <c r="L89" s="663">
        <v>0</v>
      </c>
      <c r="M89" s="663">
        <v>0</v>
      </c>
      <c r="N89" s="663">
        <v>-0.52671415077397443</v>
      </c>
      <c r="O89" s="663">
        <v>-0.12641139618575387</v>
      </c>
      <c r="P89" s="663">
        <v>0</v>
      </c>
      <c r="Q89" s="663">
        <v>0</v>
      </c>
      <c r="R89" s="663">
        <v>0</v>
      </c>
      <c r="S89" s="663">
        <v>0</v>
      </c>
      <c r="T89" s="663">
        <v>0</v>
      </c>
      <c r="U89" s="665">
        <v>-18.130505435611738</v>
      </c>
    </row>
    <row r="90" spans="3:21" ht="13">
      <c r="C90" s="662" t="s">
        <v>63</v>
      </c>
      <c r="D90" s="663">
        <v>0</v>
      </c>
      <c r="E90" s="663">
        <v>0</v>
      </c>
      <c r="F90" s="663">
        <v>-73.427503644783499</v>
      </c>
      <c r="G90" s="663">
        <v>-0.69683709307213026</v>
      </c>
      <c r="H90" s="663">
        <v>0</v>
      </c>
      <c r="I90" s="663">
        <v>0</v>
      </c>
      <c r="J90" s="663">
        <v>0</v>
      </c>
      <c r="K90" s="663">
        <v>0</v>
      </c>
      <c r="L90" s="663">
        <v>0</v>
      </c>
      <c r="M90" s="663">
        <v>0</v>
      </c>
      <c r="N90" s="663">
        <v>-3.8742860108991213</v>
      </c>
      <c r="O90" s="663">
        <v>0</v>
      </c>
      <c r="P90" s="663">
        <v>0</v>
      </c>
      <c r="Q90" s="663">
        <v>0</v>
      </c>
      <c r="R90" s="663">
        <v>0</v>
      </c>
      <c r="S90" s="663">
        <v>0</v>
      </c>
      <c r="T90" s="663">
        <v>0</v>
      </c>
      <c r="U90" s="665">
        <v>-77.998626748754759</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19.500894978355525</v>
      </c>
      <c r="E92" s="667">
        <v>422.12070263166828</v>
      </c>
      <c r="F92" s="667">
        <v>52.019070978109362</v>
      </c>
      <c r="G92" s="667">
        <v>0.10867819962294367</v>
      </c>
      <c r="H92" s="675">
        <v>242.43281268817773</v>
      </c>
      <c r="I92" s="667">
        <v>0</v>
      </c>
      <c r="J92" s="667">
        <v>985.67379798785544</v>
      </c>
      <c r="K92" s="667">
        <v>195.250455173126</v>
      </c>
      <c r="L92" s="667">
        <v>228.26308150949754</v>
      </c>
      <c r="M92" s="667">
        <v>27.969740685177928</v>
      </c>
      <c r="N92" s="667">
        <v>0.15525017961684728</v>
      </c>
      <c r="O92" s="667">
        <v>9.5256116559040704E-3</v>
      </c>
      <c r="P92" s="667">
        <v>91.581907146552624</v>
      </c>
      <c r="Q92" s="667">
        <v>10.82319895117076</v>
      </c>
      <c r="R92" s="667">
        <v>-40.000168370113556</v>
      </c>
      <c r="S92" s="667">
        <v>0</v>
      </c>
      <c r="T92" s="667">
        <v>0</v>
      </c>
      <c r="U92" s="667">
        <v>2235.9089483504736</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0.77863803143112786</v>
      </c>
      <c r="G95" s="663">
        <v>0</v>
      </c>
      <c r="H95" s="663">
        <v>34.441359514891516</v>
      </c>
      <c r="I95" s="663">
        <v>0</v>
      </c>
      <c r="J95" s="663">
        <v>985.67379798785544</v>
      </c>
      <c r="K95" s="663">
        <v>195.250455173126</v>
      </c>
      <c r="L95" s="663">
        <v>27.099203250664136</v>
      </c>
      <c r="M95" s="663">
        <v>9.7713809684984927</v>
      </c>
      <c r="N95" s="663">
        <v>4.4112574708908179</v>
      </c>
      <c r="O95" s="663">
        <v>6.1733013975271804</v>
      </c>
      <c r="P95" s="663">
        <v>0</v>
      </c>
      <c r="Q95" s="663">
        <v>0</v>
      </c>
      <c r="R95" s="663">
        <v>-560.02259263001122</v>
      </c>
      <c r="S95" s="663">
        <v>0</v>
      </c>
      <c r="T95" s="663">
        <v>0</v>
      </c>
      <c r="U95" s="671">
        <v>703.57680116487347</v>
      </c>
    </row>
    <row r="96" spans="3:21" ht="13">
      <c r="C96" s="670" t="s">
        <v>351</v>
      </c>
      <c r="D96" s="663">
        <v>0</v>
      </c>
      <c r="E96" s="663">
        <v>0</v>
      </c>
      <c r="F96" s="663">
        <v>0</v>
      </c>
      <c r="G96" s="663">
        <v>0</v>
      </c>
      <c r="H96" s="663">
        <v>17.169661952341983</v>
      </c>
      <c r="I96" s="663">
        <v>0</v>
      </c>
      <c r="J96" s="663">
        <v>0</v>
      </c>
      <c r="K96" s="663">
        <v>0</v>
      </c>
      <c r="L96" s="663">
        <v>33.995499480106155</v>
      </c>
      <c r="M96" s="663">
        <v>15.594965202678805</v>
      </c>
      <c r="N96" s="663">
        <v>0</v>
      </c>
      <c r="O96" s="663">
        <v>4.3055711350701857</v>
      </c>
      <c r="P96" s="663">
        <v>0</v>
      </c>
      <c r="Q96" s="663">
        <v>7.5015461547405717</v>
      </c>
      <c r="R96" s="663">
        <v>0</v>
      </c>
      <c r="S96" s="663">
        <v>-71.517574001012974</v>
      </c>
      <c r="T96" s="663">
        <v>0</v>
      </c>
      <c r="U96" s="671">
        <v>7.0496699239247187</v>
      </c>
    </row>
    <row r="97" spans="3:21" ht="13">
      <c r="C97" s="670" t="s">
        <v>352</v>
      </c>
      <c r="D97" s="663">
        <v>0</v>
      </c>
      <c r="E97" s="663">
        <v>0</v>
      </c>
      <c r="F97" s="663">
        <v>0</v>
      </c>
      <c r="G97" s="663">
        <v>0</v>
      </c>
      <c r="H97" s="663">
        <v>0</v>
      </c>
      <c r="I97" s="663">
        <v>0</v>
      </c>
      <c r="J97" s="663">
        <v>0</v>
      </c>
      <c r="K97" s="663">
        <v>0</v>
      </c>
      <c r="L97" s="663">
        <v>39.786073128569313</v>
      </c>
      <c r="M97" s="663">
        <v>0</v>
      </c>
      <c r="N97" s="663">
        <v>0</v>
      </c>
      <c r="O97" s="663">
        <v>-36.089986767130839</v>
      </c>
      <c r="P97" s="663">
        <v>0</v>
      </c>
      <c r="Q97" s="663">
        <v>0</v>
      </c>
      <c r="R97" s="663">
        <v>0</v>
      </c>
      <c r="S97" s="663">
        <v>0</v>
      </c>
      <c r="T97" s="663">
        <v>0</v>
      </c>
      <c r="U97" s="671">
        <v>3.6960863614384749</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437.4764681269624</v>
      </c>
      <c r="F99" s="663">
        <v>-433.12141449021158</v>
      </c>
      <c r="G99" s="663">
        <v>0</v>
      </c>
      <c r="H99" s="663">
        <v>0</v>
      </c>
      <c r="I99" s="663">
        <v>0</v>
      </c>
      <c r="J99" s="663">
        <v>0</v>
      </c>
      <c r="K99" s="663">
        <v>0</v>
      </c>
      <c r="L99" s="663">
        <v>0</v>
      </c>
      <c r="M99" s="663">
        <v>0</v>
      </c>
      <c r="N99" s="663">
        <v>0</v>
      </c>
      <c r="O99" s="663">
        <v>0</v>
      </c>
      <c r="P99" s="663">
        <v>0</v>
      </c>
      <c r="Q99" s="663">
        <v>0</v>
      </c>
      <c r="R99" s="663">
        <v>0</v>
      </c>
      <c r="S99" s="663">
        <v>0</v>
      </c>
      <c r="T99" s="663">
        <v>0</v>
      </c>
      <c r="U99" s="671">
        <v>4.3550536367508395</v>
      </c>
    </row>
    <row r="100" spans="3:21" ht="13">
      <c r="C100" s="670" t="s">
        <v>354</v>
      </c>
      <c r="D100" s="663">
        <v>0</v>
      </c>
      <c r="E100" s="663">
        <v>0</v>
      </c>
      <c r="F100" s="663">
        <v>0</v>
      </c>
      <c r="G100" s="663">
        <v>0</v>
      </c>
      <c r="H100" s="663">
        <v>0</v>
      </c>
      <c r="I100" s="663">
        <v>0</v>
      </c>
      <c r="J100" s="663">
        <v>0</v>
      </c>
      <c r="K100" s="663">
        <v>0</v>
      </c>
      <c r="L100" s="663">
        <v>58.51202627390122</v>
      </c>
      <c r="M100" s="663">
        <v>0</v>
      </c>
      <c r="N100" s="663">
        <v>-58.51202627390122</v>
      </c>
      <c r="O100" s="663">
        <v>0</v>
      </c>
      <c r="P100" s="663">
        <v>0</v>
      </c>
      <c r="Q100" s="663">
        <v>0</v>
      </c>
      <c r="R100" s="663">
        <v>0</v>
      </c>
      <c r="S100" s="663">
        <v>0</v>
      </c>
      <c r="T100" s="663">
        <v>0</v>
      </c>
      <c r="U100" s="671">
        <v>0</v>
      </c>
    </row>
    <row r="101" spans="3:21" ht="13">
      <c r="C101" s="670" t="s">
        <v>355</v>
      </c>
      <c r="D101" s="663">
        <v>0</v>
      </c>
      <c r="E101" s="663">
        <v>0</v>
      </c>
      <c r="F101" s="663">
        <v>0</v>
      </c>
      <c r="G101" s="663">
        <v>-1.5541621174818701</v>
      </c>
      <c r="H101" s="663">
        <v>0</v>
      </c>
      <c r="I101" s="663">
        <v>0</v>
      </c>
      <c r="J101" s="663">
        <v>0</v>
      </c>
      <c r="K101" s="663">
        <v>0</v>
      </c>
      <c r="L101" s="663">
        <v>0</v>
      </c>
      <c r="M101" s="663">
        <v>0</v>
      </c>
      <c r="N101" s="663">
        <v>0</v>
      </c>
      <c r="O101" s="663">
        <v>0</v>
      </c>
      <c r="P101" s="663">
        <v>0</v>
      </c>
      <c r="Q101" s="663">
        <v>0</v>
      </c>
      <c r="R101" s="663">
        <v>0</v>
      </c>
      <c r="S101" s="663">
        <v>0</v>
      </c>
      <c r="T101" s="663">
        <v>2.1645711942644428</v>
      </c>
      <c r="U101" s="671">
        <v>0.61040907678257272</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22.347786362655235</v>
      </c>
      <c r="S102" s="663">
        <v>0</v>
      </c>
      <c r="T102" s="663">
        <v>-14.526061135725904</v>
      </c>
      <c r="U102" s="671">
        <v>7.8217252269293311</v>
      </c>
    </row>
    <row r="103" spans="3:21" ht="13">
      <c r="C103" s="670" t="s">
        <v>356</v>
      </c>
      <c r="D103" s="663">
        <v>11.574443320312499</v>
      </c>
      <c r="E103" s="663">
        <v>-15.355765495294122</v>
      </c>
      <c r="F103" s="663">
        <v>19.986666106038875</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16.20534393105725</v>
      </c>
    </row>
    <row r="104" spans="3:21" ht="13">
      <c r="C104" s="670" t="s">
        <v>75</v>
      </c>
      <c r="D104" s="663">
        <v>4.5011724023437498</v>
      </c>
      <c r="E104" s="663">
        <v>0</v>
      </c>
      <c r="F104" s="663">
        <v>19.445088820906506</v>
      </c>
      <c r="G104" s="663">
        <v>0</v>
      </c>
      <c r="H104" s="663">
        <v>4.9057031873641765</v>
      </c>
      <c r="I104" s="663">
        <v>0</v>
      </c>
      <c r="J104" s="663">
        <v>0</v>
      </c>
      <c r="K104" s="663">
        <v>0</v>
      </c>
      <c r="L104" s="663">
        <v>0</v>
      </c>
      <c r="M104" s="663">
        <v>0</v>
      </c>
      <c r="N104" s="663">
        <v>0</v>
      </c>
      <c r="O104" s="663">
        <v>0.66895952554966043</v>
      </c>
      <c r="P104" s="663">
        <v>0</v>
      </c>
      <c r="Q104" s="663">
        <v>0</v>
      </c>
      <c r="R104" s="663">
        <v>25.353860621213894</v>
      </c>
      <c r="S104" s="663">
        <v>0</v>
      </c>
      <c r="T104" s="663">
        <v>0</v>
      </c>
      <c r="U104" s="671">
        <v>54.874784557377978</v>
      </c>
    </row>
    <row r="105" spans="3:21" ht="13">
      <c r="C105" s="670" t="s">
        <v>76</v>
      </c>
      <c r="D105" s="663">
        <v>0</v>
      </c>
      <c r="E105" s="663">
        <v>0</v>
      </c>
      <c r="F105" s="663">
        <v>0</v>
      </c>
      <c r="G105" s="663">
        <v>0</v>
      </c>
      <c r="H105" s="663">
        <v>2.7976613964793451</v>
      </c>
      <c r="I105" s="663">
        <v>0</v>
      </c>
      <c r="J105" s="663">
        <v>0</v>
      </c>
      <c r="K105" s="663">
        <v>0</v>
      </c>
      <c r="L105" s="663">
        <v>0</v>
      </c>
      <c r="M105" s="663">
        <v>0</v>
      </c>
      <c r="N105" s="663">
        <v>0</v>
      </c>
      <c r="O105" s="663">
        <v>0.38149928133809252</v>
      </c>
      <c r="P105" s="663">
        <v>0</v>
      </c>
      <c r="Q105" s="663">
        <v>0</v>
      </c>
      <c r="R105" s="663">
        <v>39.822975779719108</v>
      </c>
      <c r="S105" s="663">
        <v>5.5462664454161024</v>
      </c>
      <c r="T105" s="663">
        <v>0</v>
      </c>
      <c r="U105" s="671">
        <v>48.548402902952645</v>
      </c>
    </row>
    <row r="106" spans="3:21" ht="13">
      <c r="C106" s="666" t="s">
        <v>77</v>
      </c>
      <c r="D106" s="667">
        <v>16.075615722656249</v>
      </c>
      <c r="E106" s="667">
        <v>422.12070263166828</v>
      </c>
      <c r="F106" s="667">
        <v>-392.9110215318351</v>
      </c>
      <c r="G106" s="667">
        <v>-1.5541621174818701</v>
      </c>
      <c r="H106" s="675">
        <v>59.314386051077022</v>
      </c>
      <c r="I106" s="667">
        <v>0</v>
      </c>
      <c r="J106" s="667">
        <v>985.67379798785544</v>
      </c>
      <c r="K106" s="667">
        <v>195.250455173126</v>
      </c>
      <c r="L106" s="667">
        <v>159.39280213324082</v>
      </c>
      <c r="M106" s="667">
        <v>25.366346171177295</v>
      </c>
      <c r="N106" s="667">
        <v>-54.100768803010403</v>
      </c>
      <c r="O106" s="667">
        <v>-24.56065542764572</v>
      </c>
      <c r="P106" s="667">
        <v>0</v>
      </c>
      <c r="Q106" s="667">
        <v>7.5015461547405717</v>
      </c>
      <c r="R106" s="667">
        <v>-472.49796986642292</v>
      </c>
      <c r="S106" s="667">
        <v>-65.971307555596866</v>
      </c>
      <c r="T106" s="667">
        <v>-12.361489941461461</v>
      </c>
      <c r="U106" s="667">
        <v>846.73827678208715</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3.4252792556992748</v>
      </c>
      <c r="E108" s="663">
        <v>0</v>
      </c>
      <c r="F108" s="663">
        <v>12.308271650577865</v>
      </c>
      <c r="G108" s="663">
        <v>0</v>
      </c>
      <c r="H108" s="663">
        <v>73.413026523981316</v>
      </c>
      <c r="I108" s="663">
        <v>0</v>
      </c>
      <c r="J108" s="663">
        <v>0</v>
      </c>
      <c r="K108" s="663">
        <v>0</v>
      </c>
      <c r="L108" s="663">
        <v>20.422417009283894</v>
      </c>
      <c r="M108" s="663">
        <v>2.602859968291809</v>
      </c>
      <c r="N108" s="663">
        <v>1.0285361411132812</v>
      </c>
      <c r="O108" s="663">
        <v>10.038234189816116</v>
      </c>
      <c r="P108" s="663">
        <v>3.4088933105468748</v>
      </c>
      <c r="Q108" s="663">
        <v>5.5791983277925228E-4</v>
      </c>
      <c r="R108" s="663">
        <v>125.34883441740973</v>
      </c>
      <c r="S108" s="663">
        <v>17.986846293297361</v>
      </c>
      <c r="T108" s="663">
        <v>2.0558867187500001</v>
      </c>
      <c r="U108" s="671">
        <v>272.03964339860033</v>
      </c>
    </row>
    <row r="109" spans="3:21" ht="13">
      <c r="C109" s="670" t="s">
        <v>79</v>
      </c>
      <c r="D109" s="663">
        <v>0</v>
      </c>
      <c r="E109" s="663">
        <v>0</v>
      </c>
      <c r="F109" s="663">
        <v>299.68098831610791</v>
      </c>
      <c r="G109" s="663">
        <v>0.15795207154289831</v>
      </c>
      <c r="H109" s="663">
        <v>4.9734474054962678</v>
      </c>
      <c r="I109" s="663">
        <v>0</v>
      </c>
      <c r="J109" s="663">
        <v>0</v>
      </c>
      <c r="K109" s="663">
        <v>0</v>
      </c>
      <c r="L109" s="663">
        <v>0</v>
      </c>
      <c r="M109" s="663">
        <v>0</v>
      </c>
      <c r="N109" s="663">
        <v>36.482323005879891</v>
      </c>
      <c r="O109" s="663">
        <v>0.67819737347676379</v>
      </c>
      <c r="P109" s="663">
        <v>0</v>
      </c>
      <c r="Q109" s="663">
        <v>0</v>
      </c>
      <c r="R109" s="663">
        <v>30.954972159028785</v>
      </c>
      <c r="S109" s="663">
        <v>0</v>
      </c>
      <c r="T109" s="663">
        <v>0.65150967495445122</v>
      </c>
      <c r="U109" s="671">
        <v>373.57939000648707</v>
      </c>
    </row>
    <row r="110" spans="3:21" ht="13">
      <c r="C110" s="670" t="s">
        <v>80</v>
      </c>
      <c r="D110" s="663">
        <v>0</v>
      </c>
      <c r="E110" s="663">
        <v>0</v>
      </c>
      <c r="F110" s="663">
        <v>4.6180690607080663</v>
      </c>
      <c r="G110" s="663">
        <v>0</v>
      </c>
      <c r="H110" s="663">
        <v>64.670833332730624</v>
      </c>
      <c r="I110" s="663">
        <v>0</v>
      </c>
      <c r="J110" s="663">
        <v>0</v>
      </c>
      <c r="K110" s="663">
        <v>0</v>
      </c>
      <c r="L110" s="663">
        <v>45.694565750921086</v>
      </c>
      <c r="M110" s="663">
        <v>0</v>
      </c>
      <c r="N110" s="663">
        <v>0</v>
      </c>
      <c r="O110" s="663">
        <v>8.8187499999178112</v>
      </c>
      <c r="P110" s="663">
        <v>71.668518554839707</v>
      </c>
      <c r="Q110" s="663">
        <v>1.8312707461125663</v>
      </c>
      <c r="R110" s="663">
        <v>167.58037418148072</v>
      </c>
      <c r="S110" s="663">
        <v>29.293864289346555</v>
      </c>
      <c r="T110" s="663">
        <v>0</v>
      </c>
      <c r="U110" s="671">
        <v>394.17624591605716</v>
      </c>
    </row>
    <row r="111" spans="3:21" ht="13">
      <c r="C111" s="670" t="s">
        <v>81</v>
      </c>
      <c r="D111" s="663">
        <v>0</v>
      </c>
      <c r="E111" s="663">
        <v>0</v>
      </c>
      <c r="F111" s="663">
        <v>5.9743988488591224</v>
      </c>
      <c r="G111" s="663">
        <v>0</v>
      </c>
      <c r="H111" s="663">
        <v>27.969082753856803</v>
      </c>
      <c r="I111" s="663">
        <v>0</v>
      </c>
      <c r="J111" s="663">
        <v>0</v>
      </c>
      <c r="K111" s="663">
        <v>0</v>
      </c>
      <c r="L111" s="663">
        <v>0.46314310358360405</v>
      </c>
      <c r="M111" s="663">
        <v>5.3454570882310241E-4</v>
      </c>
      <c r="N111" s="663">
        <v>0</v>
      </c>
      <c r="O111" s="663">
        <v>3.8139658300713819</v>
      </c>
      <c r="P111" s="663">
        <v>16.00449528116604</v>
      </c>
      <c r="Q111" s="663">
        <v>0.86463956078668247</v>
      </c>
      <c r="R111" s="663">
        <v>100.94959269616226</v>
      </c>
      <c r="S111" s="663">
        <v>18.690596972952971</v>
      </c>
      <c r="T111" s="663">
        <v>0</v>
      </c>
      <c r="U111" s="671">
        <v>174.73044959314768</v>
      </c>
    </row>
    <row r="112" spans="3:21" ht="13">
      <c r="C112" s="670" t="s">
        <v>82</v>
      </c>
      <c r="D112" s="663">
        <v>0</v>
      </c>
      <c r="E112" s="663">
        <v>0</v>
      </c>
      <c r="F112" s="663">
        <v>27.024104246708042</v>
      </c>
      <c r="G112" s="663">
        <v>0</v>
      </c>
      <c r="H112" s="663">
        <v>1.735774540709758</v>
      </c>
      <c r="I112" s="663">
        <v>0</v>
      </c>
      <c r="J112" s="663">
        <v>0</v>
      </c>
      <c r="K112" s="663">
        <v>0</v>
      </c>
      <c r="L112" s="663">
        <v>2.1723993471697325</v>
      </c>
      <c r="M112" s="663">
        <v>0</v>
      </c>
      <c r="N112" s="663">
        <v>4.6410977021219679</v>
      </c>
      <c r="O112" s="663">
        <v>0.23669652827860335</v>
      </c>
      <c r="P112" s="663">
        <v>0.5</v>
      </c>
      <c r="Q112" s="663">
        <v>0.62518456969816016</v>
      </c>
      <c r="R112" s="663">
        <v>7.6640280422278524</v>
      </c>
      <c r="S112" s="663">
        <v>0</v>
      </c>
      <c r="T112" s="663">
        <v>0.17366238047171115</v>
      </c>
      <c r="U112" s="671">
        <v>44.772947357385839</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0</v>
      </c>
      <c r="S113" s="663">
        <v>0</v>
      </c>
      <c r="T113" s="663">
        <v>0</v>
      </c>
      <c r="U113" s="671">
        <v>0</v>
      </c>
    </row>
    <row r="114" spans="3:21" ht="13">
      <c r="C114" s="666" t="s">
        <v>83</v>
      </c>
      <c r="D114" s="667">
        <v>3.4252792556992748</v>
      </c>
      <c r="E114" s="667">
        <v>0</v>
      </c>
      <c r="F114" s="667">
        <v>349.60583212296103</v>
      </c>
      <c r="G114" s="667">
        <v>0.15795207154289831</v>
      </c>
      <c r="H114" s="675">
        <v>172.76216455677479</v>
      </c>
      <c r="I114" s="667">
        <v>0</v>
      </c>
      <c r="J114" s="667">
        <v>0</v>
      </c>
      <c r="K114" s="667">
        <v>0</v>
      </c>
      <c r="L114" s="667">
        <v>68.752525210958311</v>
      </c>
      <c r="M114" s="667">
        <v>2.603394514000632</v>
      </c>
      <c r="N114" s="667">
        <v>42.151956849115138</v>
      </c>
      <c r="O114" s="667">
        <v>23.585843921560677</v>
      </c>
      <c r="P114" s="667">
        <v>91.581907146552624</v>
      </c>
      <c r="Q114" s="667">
        <v>3.3216527964301883</v>
      </c>
      <c r="R114" s="667">
        <v>432.49780149630931</v>
      </c>
      <c r="S114" s="667">
        <v>65.97130755559688</v>
      </c>
      <c r="T114" s="667">
        <v>2.8810587741761626</v>
      </c>
      <c r="U114" s="667">
        <v>1259.2986762716782</v>
      </c>
    </row>
    <row r="115" spans="3:21" ht="13">
      <c r="C115" s="662" t="s">
        <v>84</v>
      </c>
      <c r="D115" s="663">
        <v>0</v>
      </c>
      <c r="E115" s="663">
        <v>0</v>
      </c>
      <c r="F115" s="663">
        <v>95.324260386983326</v>
      </c>
      <c r="G115" s="663">
        <v>1.5048882455619152</v>
      </c>
      <c r="H115" s="663">
        <v>10.356262080325934</v>
      </c>
      <c r="I115" s="663">
        <v>0</v>
      </c>
      <c r="J115" s="663">
        <v>0</v>
      </c>
      <c r="K115" s="663">
        <v>0</v>
      </c>
      <c r="L115" s="663">
        <v>0.11775416529838639</v>
      </c>
      <c r="M115" s="663">
        <v>0</v>
      </c>
      <c r="N115" s="663">
        <v>8.0702977228109543</v>
      </c>
      <c r="O115" s="663">
        <v>0.98433711774094745</v>
      </c>
      <c r="P115" s="663">
        <v>0</v>
      </c>
      <c r="Q115" s="663">
        <v>0</v>
      </c>
      <c r="R115" s="663">
        <v>0</v>
      </c>
      <c r="S115" s="663">
        <v>0</v>
      </c>
      <c r="T115" s="663">
        <v>9.4804311672852979</v>
      </c>
      <c r="U115" s="671">
        <v>125.83823088600677</v>
      </c>
    </row>
    <row r="116" spans="3:21" ht="13">
      <c r="C116" s="666" t="s">
        <v>85</v>
      </c>
      <c r="D116" s="667">
        <v>3.4252792556992748</v>
      </c>
      <c r="E116" s="667">
        <v>0</v>
      </c>
      <c r="F116" s="667">
        <v>444.9300925099443</v>
      </c>
      <c r="G116" s="667">
        <v>1.6628403171048136</v>
      </c>
      <c r="H116" s="675">
        <v>183.11842663710073</v>
      </c>
      <c r="I116" s="667">
        <v>0</v>
      </c>
      <c r="J116" s="667">
        <v>0</v>
      </c>
      <c r="K116" s="667">
        <v>0</v>
      </c>
      <c r="L116" s="667">
        <v>68.870279376256704</v>
      </c>
      <c r="M116" s="667">
        <v>2.603394514000632</v>
      </c>
      <c r="N116" s="667">
        <v>50.222254571926094</v>
      </c>
      <c r="O116" s="667">
        <v>24.570181039301623</v>
      </c>
      <c r="P116" s="667">
        <v>91.581907146552624</v>
      </c>
      <c r="Q116" s="667">
        <v>3.3216527964301883</v>
      </c>
      <c r="R116" s="667">
        <v>432.49780149630931</v>
      </c>
      <c r="S116" s="667">
        <v>65.97130755559688</v>
      </c>
      <c r="T116" s="667">
        <v>12.361489941461461</v>
      </c>
      <c r="U116" s="667">
        <v>1385.1369071576848</v>
      </c>
    </row>
    <row r="117" spans="3:21">
      <c r="C117" s="654"/>
      <c r="D117" s="672">
        <v>0</v>
      </c>
      <c r="E117" s="672">
        <v>0</v>
      </c>
      <c r="F117" s="672">
        <v>-1.6342482922482304E-13</v>
      </c>
      <c r="G117" s="672">
        <v>-1.1102230246251565E-16</v>
      </c>
      <c r="H117" s="672">
        <v>0</v>
      </c>
      <c r="I117" s="672">
        <v>0</v>
      </c>
      <c r="J117" s="672">
        <v>0</v>
      </c>
      <c r="K117" s="672">
        <v>0</v>
      </c>
      <c r="L117" s="672">
        <v>0</v>
      </c>
      <c r="M117" s="672">
        <v>0</v>
      </c>
      <c r="N117" s="672">
        <v>-4.0337644107011572</v>
      </c>
      <c r="O117" s="672">
        <v>-1.2490009027033011E-15</v>
      </c>
      <c r="P117" s="672">
        <v>0</v>
      </c>
      <c r="Q117" s="672">
        <v>0</v>
      </c>
      <c r="R117" s="672">
        <v>-5.6843418860808015E-14</v>
      </c>
      <c r="S117" s="672">
        <v>1.4210854715202004E-14</v>
      </c>
      <c r="T117" s="672">
        <v>0</v>
      </c>
      <c r="U117" s="672">
        <v>-4.0337644107016786</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360</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7.3966799999999999</v>
      </c>
      <c r="F123" s="663">
        <v>0</v>
      </c>
      <c r="G123" s="663">
        <v>0</v>
      </c>
      <c r="H123" s="663">
        <v>0.13025600000000001</v>
      </c>
      <c r="I123" s="663">
        <v>0</v>
      </c>
      <c r="J123" s="664">
        <v>971.7407012865051</v>
      </c>
      <c r="K123" s="664">
        <v>238.60019675974834</v>
      </c>
      <c r="L123" s="664">
        <v>253.57041800278802</v>
      </c>
      <c r="M123" s="664">
        <v>27.222029344024044</v>
      </c>
      <c r="N123" s="663">
        <v>1.4753548538560814</v>
      </c>
      <c r="O123" s="663">
        <v>0.15089220372740705</v>
      </c>
      <c r="P123" s="664">
        <v>105.39487042391544</v>
      </c>
      <c r="Q123" s="664">
        <v>15.052128201204939</v>
      </c>
      <c r="R123" s="663">
        <v>0</v>
      </c>
      <c r="S123" s="663">
        <v>0</v>
      </c>
      <c r="T123" s="663">
        <v>0</v>
      </c>
      <c r="U123" s="665">
        <v>1620.7335270757692</v>
      </c>
    </row>
    <row r="124" spans="3:21" ht="13">
      <c r="C124" s="662" t="s">
        <v>60</v>
      </c>
      <c r="D124" s="663">
        <v>17.481730816264069</v>
      </c>
      <c r="E124" s="663">
        <v>368.30859161745235</v>
      </c>
      <c r="F124" s="663">
        <v>88.290951016716463</v>
      </c>
      <c r="G124" s="663">
        <v>0.96271456308499825</v>
      </c>
      <c r="H124" s="663">
        <v>189.89235302255372</v>
      </c>
      <c r="I124" s="663">
        <v>0</v>
      </c>
      <c r="J124" s="663">
        <v>0</v>
      </c>
      <c r="K124" s="663">
        <v>0</v>
      </c>
      <c r="L124" s="663">
        <v>3.0227324829465219</v>
      </c>
      <c r="M124" s="663">
        <v>0</v>
      </c>
      <c r="N124" s="663">
        <v>3.4911647532197585</v>
      </c>
      <c r="O124" s="663">
        <v>0</v>
      </c>
      <c r="P124" s="663">
        <v>0</v>
      </c>
      <c r="Q124" s="663">
        <v>0</v>
      </c>
      <c r="R124" s="663">
        <v>0</v>
      </c>
      <c r="S124" s="663">
        <v>0</v>
      </c>
      <c r="T124" s="663">
        <v>0</v>
      </c>
      <c r="U124" s="665">
        <v>671.45023827223793</v>
      </c>
    </row>
    <row r="125" spans="3:21" ht="13">
      <c r="C125" s="662" t="s">
        <v>61</v>
      </c>
      <c r="D125" s="663">
        <v>0</v>
      </c>
      <c r="E125" s="663">
        <v>0</v>
      </c>
      <c r="F125" s="663">
        <v>-0.25412033446216642</v>
      </c>
      <c r="G125" s="663">
        <v>0</v>
      </c>
      <c r="H125" s="663">
        <v>0</v>
      </c>
      <c r="I125" s="663">
        <v>0</v>
      </c>
      <c r="J125" s="663">
        <v>0</v>
      </c>
      <c r="K125" s="663">
        <v>0</v>
      </c>
      <c r="L125" s="663">
        <v>0</v>
      </c>
      <c r="M125" s="663">
        <v>0</v>
      </c>
      <c r="N125" s="663">
        <v>0</v>
      </c>
      <c r="O125" s="663">
        <v>0</v>
      </c>
      <c r="P125" s="663">
        <v>0</v>
      </c>
      <c r="Q125" s="663">
        <v>0</v>
      </c>
      <c r="R125" s="663">
        <v>-39.430412100204194</v>
      </c>
      <c r="S125" s="663">
        <v>0</v>
      </c>
      <c r="T125" s="663">
        <v>0</v>
      </c>
      <c r="U125" s="665">
        <v>-39.684532434666359</v>
      </c>
    </row>
    <row r="126" spans="3:21" ht="13">
      <c r="C126" s="662" t="s">
        <v>62</v>
      </c>
      <c r="D126" s="663">
        <v>0</v>
      </c>
      <c r="E126" s="663">
        <v>0</v>
      </c>
      <c r="F126" s="663">
        <v>-14.25530176013427</v>
      </c>
      <c r="G126" s="663">
        <v>-0.84519248028876315</v>
      </c>
      <c r="H126" s="663">
        <v>-3.1313337287141003</v>
      </c>
      <c r="I126" s="663">
        <v>0</v>
      </c>
      <c r="J126" s="663">
        <v>0</v>
      </c>
      <c r="K126" s="663">
        <v>0</v>
      </c>
      <c r="L126" s="663">
        <v>0</v>
      </c>
      <c r="M126" s="663">
        <v>0</v>
      </c>
      <c r="N126" s="663">
        <v>-0.51271510605917692</v>
      </c>
      <c r="O126" s="663">
        <v>-0.83237985193665964</v>
      </c>
      <c r="P126" s="663">
        <v>0</v>
      </c>
      <c r="Q126" s="663">
        <v>0</v>
      </c>
      <c r="R126" s="663">
        <v>0</v>
      </c>
      <c r="S126" s="663">
        <v>0</v>
      </c>
      <c r="T126" s="663">
        <v>0</v>
      </c>
      <c r="U126" s="665">
        <v>-19.576922927132969</v>
      </c>
    </row>
    <row r="127" spans="3:21" ht="13">
      <c r="C127" s="662" t="s">
        <v>63</v>
      </c>
      <c r="D127" s="663">
        <v>0</v>
      </c>
      <c r="E127" s="663">
        <v>0</v>
      </c>
      <c r="F127" s="663">
        <v>-65.50346802559632</v>
      </c>
      <c r="G127" s="663">
        <v>-2.6636790811189917</v>
      </c>
      <c r="H127" s="663">
        <v>0</v>
      </c>
      <c r="I127" s="663">
        <v>0</v>
      </c>
      <c r="J127" s="663">
        <v>0</v>
      </c>
      <c r="K127" s="663">
        <v>0</v>
      </c>
      <c r="L127" s="663">
        <v>0</v>
      </c>
      <c r="M127" s="663">
        <v>0</v>
      </c>
      <c r="N127" s="663">
        <v>-8.704547136030067</v>
      </c>
      <c r="O127" s="663">
        <v>0</v>
      </c>
      <c r="P127" s="663">
        <v>0</v>
      </c>
      <c r="Q127" s="663">
        <v>0</v>
      </c>
      <c r="R127" s="663">
        <v>0</v>
      </c>
      <c r="S127" s="663">
        <v>0</v>
      </c>
      <c r="T127" s="663">
        <v>-8.5933245803094055E-2</v>
      </c>
      <c r="U127" s="665">
        <v>-76.957627488548468</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17.481730816264069</v>
      </c>
      <c r="E129" s="667">
        <v>375.70527161745235</v>
      </c>
      <c r="F129" s="667">
        <v>8.2780608965236979</v>
      </c>
      <c r="G129" s="667">
        <v>-2.5461569983227568</v>
      </c>
      <c r="H129" s="675">
        <v>186.89127529383961</v>
      </c>
      <c r="I129" s="667">
        <v>0</v>
      </c>
      <c r="J129" s="667">
        <v>971.7407012865051</v>
      </c>
      <c r="K129" s="667">
        <v>238.60019675974834</v>
      </c>
      <c r="L129" s="667">
        <v>256.59315048573455</v>
      </c>
      <c r="M129" s="667">
        <v>27.222029344024044</v>
      </c>
      <c r="N129" s="667">
        <v>-4.2507426350134043</v>
      </c>
      <c r="O129" s="667">
        <v>-0.68148764820925256</v>
      </c>
      <c r="P129" s="667">
        <v>105.39487042391544</v>
      </c>
      <c r="Q129" s="667">
        <v>15.052128201204939</v>
      </c>
      <c r="R129" s="667">
        <v>-39.430412100204194</v>
      </c>
      <c r="S129" s="667">
        <v>0</v>
      </c>
      <c r="T129" s="667">
        <v>-8.5933245803094055E-2</v>
      </c>
      <c r="U129" s="667">
        <v>2155.9646824976594</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0.79278558393774012</v>
      </c>
      <c r="G132" s="663">
        <v>0</v>
      </c>
      <c r="H132" s="663">
        <v>19.865967473344622</v>
      </c>
      <c r="I132" s="663">
        <v>0</v>
      </c>
      <c r="J132" s="663">
        <v>971.7407012865051</v>
      </c>
      <c r="K132" s="663">
        <v>238.60019675974834</v>
      </c>
      <c r="L132" s="663">
        <v>26.063195396520957</v>
      </c>
      <c r="M132" s="663">
        <v>9.83092180533645</v>
      </c>
      <c r="N132" s="663">
        <v>4.7819832265678626</v>
      </c>
      <c r="O132" s="663">
        <v>4.4668310287108053</v>
      </c>
      <c r="P132" s="663">
        <v>0</v>
      </c>
      <c r="Q132" s="663">
        <v>1.6766395861963883</v>
      </c>
      <c r="R132" s="663">
        <v>-590.46816243021931</v>
      </c>
      <c r="S132" s="663">
        <v>0</v>
      </c>
      <c r="T132" s="663">
        <v>0</v>
      </c>
      <c r="U132" s="671">
        <v>687.35105971664882</v>
      </c>
    </row>
    <row r="133" spans="3:21" ht="13">
      <c r="C133" s="670" t="s">
        <v>351</v>
      </c>
      <c r="D133" s="663">
        <v>0</v>
      </c>
      <c r="E133" s="663">
        <v>0</v>
      </c>
      <c r="F133" s="663">
        <v>0</v>
      </c>
      <c r="G133" s="663">
        <v>0</v>
      </c>
      <c r="H133" s="663">
        <v>14.235464329282825</v>
      </c>
      <c r="I133" s="663">
        <v>0</v>
      </c>
      <c r="J133" s="663">
        <v>0</v>
      </c>
      <c r="K133" s="663">
        <v>0</v>
      </c>
      <c r="L133" s="663">
        <v>35.236777417757288</v>
      </c>
      <c r="M133" s="663">
        <v>14.842062220534972</v>
      </c>
      <c r="N133" s="663">
        <v>0</v>
      </c>
      <c r="O133" s="663">
        <v>4.2657087375224645</v>
      </c>
      <c r="P133" s="663">
        <v>0</v>
      </c>
      <c r="Q133" s="663">
        <v>9.4996550719303219</v>
      </c>
      <c r="R133" s="663">
        <v>0</v>
      </c>
      <c r="S133" s="663">
        <v>-71.457959708478597</v>
      </c>
      <c r="T133" s="663">
        <v>0</v>
      </c>
      <c r="U133" s="671">
        <v>6.6217080685492906</v>
      </c>
    </row>
    <row r="134" spans="3:21" ht="13">
      <c r="C134" s="670" t="s">
        <v>352</v>
      </c>
      <c r="D134" s="663">
        <v>0</v>
      </c>
      <c r="E134" s="663">
        <v>0</v>
      </c>
      <c r="F134" s="663">
        <v>0</v>
      </c>
      <c r="G134" s="663">
        <v>0</v>
      </c>
      <c r="H134" s="663">
        <v>0</v>
      </c>
      <c r="I134" s="663">
        <v>0</v>
      </c>
      <c r="J134" s="663">
        <v>0</v>
      </c>
      <c r="K134" s="663">
        <v>0</v>
      </c>
      <c r="L134" s="663">
        <v>54.240393023043787</v>
      </c>
      <c r="M134" s="663">
        <v>0</v>
      </c>
      <c r="N134" s="663">
        <v>0</v>
      </c>
      <c r="O134" s="663">
        <v>-49.062756106209015</v>
      </c>
      <c r="P134" s="663">
        <v>0</v>
      </c>
      <c r="Q134" s="663">
        <v>0</v>
      </c>
      <c r="R134" s="663">
        <v>0</v>
      </c>
      <c r="S134" s="663">
        <v>0</v>
      </c>
      <c r="T134" s="663">
        <v>0</v>
      </c>
      <c r="U134" s="671">
        <v>5.1776369168347713</v>
      </c>
    </row>
    <row r="135" spans="3:21" ht="13">
      <c r="C135" s="670" t="s">
        <v>353</v>
      </c>
      <c r="D135" s="663">
        <v>0</v>
      </c>
      <c r="E135" s="663">
        <v>0</v>
      </c>
      <c r="F135" s="663">
        <v>0</v>
      </c>
      <c r="G135" s="663">
        <v>0</v>
      </c>
      <c r="H135" s="663">
        <v>0</v>
      </c>
      <c r="I135" s="663">
        <v>0</v>
      </c>
      <c r="J135" s="663">
        <v>0</v>
      </c>
      <c r="K135" s="663">
        <v>0</v>
      </c>
      <c r="L135" s="663">
        <v>0</v>
      </c>
      <c r="M135" s="663">
        <v>0</v>
      </c>
      <c r="N135" s="663">
        <v>0</v>
      </c>
      <c r="O135" s="663">
        <v>0</v>
      </c>
      <c r="P135" s="663">
        <v>0</v>
      </c>
      <c r="Q135" s="663">
        <v>0</v>
      </c>
      <c r="R135" s="663">
        <v>0</v>
      </c>
      <c r="S135" s="663">
        <v>0</v>
      </c>
      <c r="T135" s="663">
        <v>0</v>
      </c>
      <c r="U135" s="671">
        <v>0</v>
      </c>
    </row>
    <row r="136" spans="3:21" ht="13">
      <c r="C136" s="670" t="s">
        <v>72</v>
      </c>
      <c r="D136" s="663">
        <v>0</v>
      </c>
      <c r="E136" s="663">
        <v>389.35548440642862</v>
      </c>
      <c r="F136" s="663">
        <v>-385.47782639146612</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3.8776580149625208</v>
      </c>
    </row>
    <row r="137" spans="3:21" ht="13">
      <c r="C137" s="670" t="s">
        <v>354</v>
      </c>
      <c r="D137" s="663">
        <v>0</v>
      </c>
      <c r="E137" s="663">
        <v>0</v>
      </c>
      <c r="F137" s="663">
        <v>0</v>
      </c>
      <c r="G137" s="663">
        <v>0</v>
      </c>
      <c r="H137" s="663">
        <v>0</v>
      </c>
      <c r="I137" s="663">
        <v>0</v>
      </c>
      <c r="J137" s="663">
        <v>0</v>
      </c>
      <c r="K137" s="663">
        <v>0</v>
      </c>
      <c r="L137" s="663">
        <v>76.110674115305528</v>
      </c>
      <c r="M137" s="663">
        <v>0</v>
      </c>
      <c r="N137" s="663">
        <v>-76.110674115305528</v>
      </c>
      <c r="O137" s="663">
        <v>0</v>
      </c>
      <c r="P137" s="663">
        <v>0</v>
      </c>
      <c r="Q137" s="663">
        <v>0</v>
      </c>
      <c r="R137" s="663">
        <v>0</v>
      </c>
      <c r="S137" s="663">
        <v>0</v>
      </c>
      <c r="T137" s="663">
        <v>0</v>
      </c>
      <c r="U137" s="671">
        <v>0</v>
      </c>
    </row>
    <row r="138" spans="3:21" ht="13">
      <c r="C138" s="670" t="s">
        <v>355</v>
      </c>
      <c r="D138" s="663">
        <v>0</v>
      </c>
      <c r="E138" s="663">
        <v>0</v>
      </c>
      <c r="F138" s="663">
        <v>0</v>
      </c>
      <c r="G138" s="663">
        <v>-5.3679652793818873</v>
      </c>
      <c r="H138" s="663">
        <v>0</v>
      </c>
      <c r="I138" s="663">
        <v>0</v>
      </c>
      <c r="J138" s="663">
        <v>0</v>
      </c>
      <c r="K138" s="663">
        <v>0</v>
      </c>
      <c r="L138" s="663">
        <v>0</v>
      </c>
      <c r="M138" s="663">
        <v>0</v>
      </c>
      <c r="N138" s="663">
        <v>0</v>
      </c>
      <c r="O138" s="663">
        <v>0</v>
      </c>
      <c r="P138" s="663">
        <v>0</v>
      </c>
      <c r="Q138" s="663">
        <v>0</v>
      </c>
      <c r="R138" s="663">
        <v>0</v>
      </c>
      <c r="S138" s="663">
        <v>0</v>
      </c>
      <c r="T138" s="663">
        <v>7.4762747623703172</v>
      </c>
      <c r="U138" s="671">
        <v>2.1083094829884299</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40.318919655124205</v>
      </c>
      <c r="S139" s="663">
        <v>0</v>
      </c>
      <c r="T139" s="663">
        <v>-26.630646432209534</v>
      </c>
      <c r="U139" s="671">
        <v>13.68827322291467</v>
      </c>
    </row>
    <row r="140" spans="3:21" ht="13">
      <c r="C140" s="670" t="s">
        <v>356</v>
      </c>
      <c r="D140" s="663">
        <v>10.05823125</v>
      </c>
      <c r="E140" s="663">
        <v>-13.65021278897626</v>
      </c>
      <c r="F140" s="663">
        <v>17.774822682354454</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14.182841143378196</v>
      </c>
    </row>
    <row r="141" spans="3:21" ht="13">
      <c r="C141" s="670" t="s">
        <v>75</v>
      </c>
      <c r="D141" s="663">
        <v>3.9115343750000005</v>
      </c>
      <c r="E141" s="663">
        <v>0</v>
      </c>
      <c r="F141" s="663">
        <v>18.970841206198273</v>
      </c>
      <c r="G141" s="663">
        <v>0</v>
      </c>
      <c r="H141" s="663">
        <v>4.3082366200216411</v>
      </c>
      <c r="I141" s="663">
        <v>0</v>
      </c>
      <c r="J141" s="663">
        <v>0</v>
      </c>
      <c r="K141" s="663">
        <v>0</v>
      </c>
      <c r="L141" s="663">
        <v>0</v>
      </c>
      <c r="M141" s="663">
        <v>0</v>
      </c>
      <c r="N141" s="663">
        <v>0</v>
      </c>
      <c r="O141" s="663">
        <v>1.1452274559551199</v>
      </c>
      <c r="P141" s="663">
        <v>0</v>
      </c>
      <c r="Q141" s="663">
        <v>0</v>
      </c>
      <c r="R141" s="663">
        <v>24.58367294682958</v>
      </c>
      <c r="S141" s="663">
        <v>0</v>
      </c>
      <c r="T141" s="663">
        <v>0</v>
      </c>
      <c r="U141" s="671">
        <v>52.919512604004616</v>
      </c>
    </row>
    <row r="142" spans="3:21" ht="13">
      <c r="C142" s="670" t="s">
        <v>76</v>
      </c>
      <c r="D142" s="663">
        <v>0</v>
      </c>
      <c r="E142" s="663">
        <v>0</v>
      </c>
      <c r="F142" s="663">
        <v>0</v>
      </c>
      <c r="G142" s="663">
        <v>0</v>
      </c>
      <c r="H142" s="663">
        <v>2.138992514097271</v>
      </c>
      <c r="I142" s="663">
        <v>0</v>
      </c>
      <c r="J142" s="663">
        <v>0</v>
      </c>
      <c r="K142" s="663">
        <v>0</v>
      </c>
      <c r="L142" s="663">
        <v>0</v>
      </c>
      <c r="M142" s="663">
        <v>0</v>
      </c>
      <c r="N142" s="663">
        <v>0</v>
      </c>
      <c r="O142" s="663">
        <v>0.56859294678535055</v>
      </c>
      <c r="P142" s="663">
        <v>0</v>
      </c>
      <c r="Q142" s="663">
        <v>0</v>
      </c>
      <c r="R142" s="663">
        <v>42.191455549105193</v>
      </c>
      <c r="S142" s="663">
        <v>5.5417484036628721</v>
      </c>
      <c r="T142" s="663">
        <v>0</v>
      </c>
      <c r="U142" s="671">
        <v>50.440789413650684</v>
      </c>
    </row>
    <row r="143" spans="3:21" ht="13">
      <c r="C143" s="666" t="s">
        <v>77</v>
      </c>
      <c r="D143" s="667">
        <v>13.969765625000001</v>
      </c>
      <c r="E143" s="667">
        <v>375.70527161745235</v>
      </c>
      <c r="F143" s="667">
        <v>-347.93937691897565</v>
      </c>
      <c r="G143" s="667">
        <v>-5.3679652793818873</v>
      </c>
      <c r="H143" s="675">
        <v>40.548660936746352</v>
      </c>
      <c r="I143" s="667">
        <v>0</v>
      </c>
      <c r="J143" s="667">
        <v>971.7407012865051</v>
      </c>
      <c r="K143" s="667">
        <v>238.60019675974834</v>
      </c>
      <c r="L143" s="667">
        <v>191.65103995262757</v>
      </c>
      <c r="M143" s="667">
        <v>24.672984025871422</v>
      </c>
      <c r="N143" s="667">
        <v>-71.328690888737668</v>
      </c>
      <c r="O143" s="667">
        <v>-38.616395937235275</v>
      </c>
      <c r="P143" s="667">
        <v>0</v>
      </c>
      <c r="Q143" s="667">
        <v>11.176294658126709</v>
      </c>
      <c r="R143" s="667">
        <v>-483.37411427916032</v>
      </c>
      <c r="S143" s="667">
        <v>-65.916211304815732</v>
      </c>
      <c r="T143" s="667">
        <v>-19.154371669839218</v>
      </c>
      <c r="U143" s="667">
        <v>836.36778858393188</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3.5119651912640659</v>
      </c>
      <c r="E145" s="663">
        <v>0</v>
      </c>
      <c r="F145" s="663">
        <v>10.329791866978772</v>
      </c>
      <c r="G145" s="663">
        <v>0</v>
      </c>
      <c r="H145" s="663">
        <v>59.22498419444846</v>
      </c>
      <c r="I145" s="663">
        <v>0</v>
      </c>
      <c r="J145" s="663">
        <v>0</v>
      </c>
      <c r="K145" s="663">
        <v>0</v>
      </c>
      <c r="L145" s="663">
        <v>20.32032070760291</v>
      </c>
      <c r="M145" s="663">
        <v>2.5485507721439489</v>
      </c>
      <c r="N145" s="663">
        <v>1.1054608081054689</v>
      </c>
      <c r="O145" s="663">
        <v>15.774676477466111</v>
      </c>
      <c r="P145" s="663">
        <v>4.7115375976562497</v>
      </c>
      <c r="Q145" s="663">
        <v>6.3863689419622622E-4</v>
      </c>
      <c r="R145" s="663">
        <v>128.13338929673023</v>
      </c>
      <c r="S145" s="663">
        <v>18.044740545750674</v>
      </c>
      <c r="T145" s="663">
        <v>2.7711535644531251</v>
      </c>
      <c r="U145" s="671">
        <v>266.47720965949424</v>
      </c>
    </row>
    <row r="146" spans="3:21" ht="13">
      <c r="C146" s="670" t="s">
        <v>79</v>
      </c>
      <c r="D146" s="663">
        <v>0</v>
      </c>
      <c r="E146" s="663">
        <v>0</v>
      </c>
      <c r="F146" s="663">
        <v>230.06398718142972</v>
      </c>
      <c r="G146" s="663">
        <v>0.28870182254104659</v>
      </c>
      <c r="H146" s="663">
        <v>4.7638546223905314</v>
      </c>
      <c r="I146" s="663">
        <v>0</v>
      </c>
      <c r="J146" s="663">
        <v>0</v>
      </c>
      <c r="K146" s="663">
        <v>0</v>
      </c>
      <c r="L146" s="663">
        <v>0</v>
      </c>
      <c r="M146" s="663">
        <v>0</v>
      </c>
      <c r="N146" s="663">
        <v>46.305302929407816</v>
      </c>
      <c r="O146" s="663">
        <v>1.2663411021544451</v>
      </c>
      <c r="P146" s="663">
        <v>0</v>
      </c>
      <c r="Q146" s="663">
        <v>0</v>
      </c>
      <c r="R146" s="663">
        <v>46.787013172975605</v>
      </c>
      <c r="S146" s="663">
        <v>0</v>
      </c>
      <c r="T146" s="663">
        <v>1.4725342358360081</v>
      </c>
      <c r="U146" s="671">
        <v>330.94773506673516</v>
      </c>
    </row>
    <row r="147" spans="3:21" ht="13">
      <c r="C147" s="670" t="s">
        <v>80</v>
      </c>
      <c r="D147" s="663">
        <v>0</v>
      </c>
      <c r="E147" s="663">
        <v>0</v>
      </c>
      <c r="F147" s="663">
        <v>3.8037297943831954</v>
      </c>
      <c r="G147" s="663">
        <v>0</v>
      </c>
      <c r="H147" s="663">
        <v>48.749434252341672</v>
      </c>
      <c r="I147" s="663">
        <v>0</v>
      </c>
      <c r="J147" s="663">
        <v>0</v>
      </c>
      <c r="K147" s="663">
        <v>0</v>
      </c>
      <c r="L147" s="663">
        <v>41.434907608340509</v>
      </c>
      <c r="M147" s="663">
        <v>0</v>
      </c>
      <c r="N147" s="663">
        <v>0</v>
      </c>
      <c r="O147" s="663">
        <v>12.958710370875634</v>
      </c>
      <c r="P147" s="663">
        <v>81.342309221763003</v>
      </c>
      <c r="Q147" s="663">
        <v>2.1381357466702497</v>
      </c>
      <c r="R147" s="663">
        <v>162.42127689265124</v>
      </c>
      <c r="S147" s="663">
        <v>29.067896346898497</v>
      </c>
      <c r="T147" s="663">
        <v>0</v>
      </c>
      <c r="U147" s="671">
        <v>381.91640023392404</v>
      </c>
    </row>
    <row r="148" spans="3:21" ht="13">
      <c r="C148" s="670" t="s">
        <v>81</v>
      </c>
      <c r="D148" s="663">
        <v>0</v>
      </c>
      <c r="E148" s="663">
        <v>0</v>
      </c>
      <c r="F148" s="663">
        <v>4.4549193893901853</v>
      </c>
      <c r="G148" s="663">
        <v>0</v>
      </c>
      <c r="H148" s="663">
        <v>22.809891612288435</v>
      </c>
      <c r="I148" s="663">
        <v>0</v>
      </c>
      <c r="J148" s="663">
        <v>0</v>
      </c>
      <c r="K148" s="663">
        <v>0</v>
      </c>
      <c r="L148" s="663">
        <v>0.44569918061681485</v>
      </c>
      <c r="M148" s="663">
        <v>4.9454600867274027E-4</v>
      </c>
      <c r="N148" s="663">
        <v>0</v>
      </c>
      <c r="O148" s="663">
        <v>6.0633889095956608</v>
      </c>
      <c r="P148" s="663">
        <v>18.691023604496184</v>
      </c>
      <c r="Q148" s="663">
        <v>0.90924384630352406</v>
      </c>
      <c r="R148" s="663">
        <v>98.49757027134045</v>
      </c>
      <c r="S148" s="663">
        <v>18.80357441216654</v>
      </c>
      <c r="T148" s="663">
        <v>0</v>
      </c>
      <c r="U148" s="671">
        <v>170.67580577220647</v>
      </c>
    </row>
    <row r="149" spans="3:21" ht="13">
      <c r="C149" s="670" t="s">
        <v>82</v>
      </c>
      <c r="D149" s="663">
        <v>0</v>
      </c>
      <c r="E149" s="663">
        <v>0</v>
      </c>
      <c r="F149" s="663">
        <v>22.663704600568668</v>
      </c>
      <c r="G149" s="663">
        <v>0</v>
      </c>
      <c r="H149" s="663">
        <v>1.5172607097483775</v>
      </c>
      <c r="I149" s="663">
        <v>0</v>
      </c>
      <c r="J149" s="663">
        <v>0</v>
      </c>
      <c r="K149" s="663">
        <v>0</v>
      </c>
      <c r="L149" s="663">
        <v>2.5327781893790755</v>
      </c>
      <c r="M149" s="663">
        <v>0</v>
      </c>
      <c r="N149" s="663">
        <v>6.9172702223723741</v>
      </c>
      <c r="O149" s="663">
        <v>0.40332246714830289</v>
      </c>
      <c r="P149" s="663">
        <v>0.65</v>
      </c>
      <c r="Q149" s="663">
        <v>0.82781531321025892</v>
      </c>
      <c r="R149" s="663">
        <v>7.6931885452586402</v>
      </c>
      <c r="S149" s="663">
        <v>0</v>
      </c>
      <c r="T149" s="663">
        <v>0.21911019493558448</v>
      </c>
      <c r="U149" s="671">
        <v>43.424450242621276</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0.41126400000000007</v>
      </c>
      <c r="S150" s="663">
        <v>0</v>
      </c>
      <c r="T150" s="663">
        <v>0</v>
      </c>
      <c r="U150" s="671">
        <v>0.41126400000000007</v>
      </c>
    </row>
    <row r="151" spans="3:21" ht="13">
      <c r="C151" s="666" t="s">
        <v>83</v>
      </c>
      <c r="D151" s="667">
        <v>3.5119651912640659</v>
      </c>
      <c r="E151" s="667">
        <v>0</v>
      </c>
      <c r="F151" s="667">
        <v>271.3161328327505</v>
      </c>
      <c r="G151" s="667">
        <v>0.28870182254104659</v>
      </c>
      <c r="H151" s="675">
        <v>137.06542539121747</v>
      </c>
      <c r="I151" s="667">
        <v>0</v>
      </c>
      <c r="J151" s="667">
        <v>0</v>
      </c>
      <c r="K151" s="667">
        <v>0</v>
      </c>
      <c r="L151" s="667">
        <v>64.733705685939313</v>
      </c>
      <c r="M151" s="667">
        <v>2.5490453181526216</v>
      </c>
      <c r="N151" s="667">
        <v>54.328033959885659</v>
      </c>
      <c r="O151" s="667">
        <v>36.466439327240145</v>
      </c>
      <c r="P151" s="667">
        <v>105.39487042391544</v>
      </c>
      <c r="Q151" s="667">
        <v>3.8758335430782287</v>
      </c>
      <c r="R151" s="667">
        <v>443.94370217895619</v>
      </c>
      <c r="S151" s="667">
        <v>65.916211304815718</v>
      </c>
      <c r="T151" s="667">
        <v>4.4627979952247179</v>
      </c>
      <c r="U151" s="667">
        <v>1193.8528649749812</v>
      </c>
    </row>
    <row r="152" spans="3:21" ht="13">
      <c r="C152" s="662" t="s">
        <v>84</v>
      </c>
      <c r="D152" s="663">
        <v>0</v>
      </c>
      <c r="E152" s="663">
        <v>0</v>
      </c>
      <c r="F152" s="663">
        <v>84.901304982748769</v>
      </c>
      <c r="G152" s="663">
        <v>2.533106458518084</v>
      </c>
      <c r="H152" s="663">
        <v>9.2771889658758084</v>
      </c>
      <c r="I152" s="663">
        <v>0</v>
      </c>
      <c r="J152" s="663">
        <v>0</v>
      </c>
      <c r="K152" s="663">
        <v>0</v>
      </c>
      <c r="L152" s="663">
        <v>0.20840484716769062</v>
      </c>
      <c r="M152" s="663">
        <v>0</v>
      </c>
      <c r="N152" s="663">
        <v>11.136408529558132</v>
      </c>
      <c r="O152" s="663">
        <v>1.4684689617858735</v>
      </c>
      <c r="P152" s="663">
        <v>0</v>
      </c>
      <c r="Q152" s="663">
        <v>0</v>
      </c>
      <c r="R152" s="663">
        <v>0</v>
      </c>
      <c r="S152" s="663">
        <v>0</v>
      </c>
      <c r="T152" s="663">
        <v>14.605640428811407</v>
      </c>
      <c r="U152" s="671">
        <v>124.13052317446576</v>
      </c>
    </row>
    <row r="153" spans="3:21" ht="13">
      <c r="C153" s="666" t="s">
        <v>85</v>
      </c>
      <c r="D153" s="667">
        <v>3.5119651912640659</v>
      </c>
      <c r="E153" s="667">
        <v>0</v>
      </c>
      <c r="F153" s="667">
        <v>356.2174378154993</v>
      </c>
      <c r="G153" s="667">
        <v>2.8218082810591305</v>
      </c>
      <c r="H153" s="675">
        <v>146.34261435709328</v>
      </c>
      <c r="I153" s="667">
        <v>0</v>
      </c>
      <c r="J153" s="667">
        <v>0</v>
      </c>
      <c r="K153" s="667">
        <v>0</v>
      </c>
      <c r="L153" s="667">
        <v>64.942110533106998</v>
      </c>
      <c r="M153" s="667">
        <v>2.5490453181526216</v>
      </c>
      <c r="N153" s="667">
        <v>65.464442489443798</v>
      </c>
      <c r="O153" s="667">
        <v>37.934908289026019</v>
      </c>
      <c r="P153" s="667">
        <v>105.39487042391544</v>
      </c>
      <c r="Q153" s="667">
        <v>3.8758335430782287</v>
      </c>
      <c r="R153" s="667">
        <v>443.94370217895619</v>
      </c>
      <c r="S153" s="667">
        <v>65.916211304815718</v>
      </c>
      <c r="T153" s="667">
        <v>19.068438424036124</v>
      </c>
      <c r="U153" s="667">
        <v>1317.9833881494469</v>
      </c>
    </row>
    <row r="154" spans="3:21">
      <c r="C154" s="654"/>
      <c r="D154" s="672">
        <v>0</v>
      </c>
      <c r="E154" s="672">
        <v>0</v>
      </c>
      <c r="F154" s="672">
        <v>-5.6843418860808015E-14</v>
      </c>
      <c r="G154" s="672">
        <v>0</v>
      </c>
      <c r="H154" s="672">
        <v>0</v>
      </c>
      <c r="I154" s="672">
        <v>0</v>
      </c>
      <c r="J154" s="672">
        <v>0</v>
      </c>
      <c r="K154" s="672">
        <v>0</v>
      </c>
      <c r="L154" s="672">
        <v>0</v>
      </c>
      <c r="M154" s="672">
        <v>0</v>
      </c>
      <c r="N154" s="672">
        <v>-1.6135057642804664</v>
      </c>
      <c r="O154" s="672">
        <v>-3.219646771412954E-15</v>
      </c>
      <c r="P154" s="672">
        <v>0</v>
      </c>
      <c r="Q154" s="672">
        <v>0</v>
      </c>
      <c r="R154" s="672">
        <v>5.6843418860808015E-14</v>
      </c>
      <c r="S154" s="672">
        <v>-1.4210854715202004E-14</v>
      </c>
      <c r="T154" s="672">
        <v>0</v>
      </c>
      <c r="U154" s="672">
        <v>-1.6135057642804895</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361</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5.8150000000000004</v>
      </c>
      <c r="F160" s="663">
        <v>0</v>
      </c>
      <c r="G160" s="663">
        <v>0</v>
      </c>
      <c r="H160" s="663">
        <v>9.3040000000000012E-2</v>
      </c>
      <c r="I160" s="663">
        <v>0</v>
      </c>
      <c r="J160" s="664">
        <v>962.45197015227166</v>
      </c>
      <c r="K160" s="664">
        <v>267.5000244841633</v>
      </c>
      <c r="L160" s="664">
        <v>267.72778932192256</v>
      </c>
      <c r="M160" s="664">
        <v>26.714360415666448</v>
      </c>
      <c r="N160" s="663">
        <v>1.5151391983163085</v>
      </c>
      <c r="O160" s="663">
        <v>0.16086233431790645</v>
      </c>
      <c r="P160" s="664">
        <v>114.79412791174752</v>
      </c>
      <c r="Q160" s="664">
        <v>17.865639972874789</v>
      </c>
      <c r="R160" s="663">
        <v>0</v>
      </c>
      <c r="S160" s="663">
        <v>0</v>
      </c>
      <c r="T160" s="663">
        <v>0</v>
      </c>
      <c r="U160" s="665">
        <v>1664.6379537912806</v>
      </c>
    </row>
    <row r="161" spans="3:21" ht="13">
      <c r="C161" s="662" t="s">
        <v>60</v>
      </c>
      <c r="D161" s="663">
        <v>16.178882267256224</v>
      </c>
      <c r="E161" s="663">
        <v>338.94665094130841</v>
      </c>
      <c r="F161" s="663">
        <v>53.154703213153105</v>
      </c>
      <c r="G161" s="663">
        <v>0.84709048921241781</v>
      </c>
      <c r="H161" s="663">
        <v>154.95460842815714</v>
      </c>
      <c r="I161" s="663">
        <v>0</v>
      </c>
      <c r="J161" s="663">
        <v>0</v>
      </c>
      <c r="K161" s="663">
        <v>0</v>
      </c>
      <c r="L161" s="663">
        <v>3.3497189577114872</v>
      </c>
      <c r="M161" s="663">
        <v>0</v>
      </c>
      <c r="N161" s="663">
        <v>3.7248932526167962</v>
      </c>
      <c r="O161" s="663">
        <v>0</v>
      </c>
      <c r="P161" s="663">
        <v>0</v>
      </c>
      <c r="Q161" s="663">
        <v>0</v>
      </c>
      <c r="R161" s="663">
        <v>0</v>
      </c>
      <c r="S161" s="663">
        <v>0</v>
      </c>
      <c r="T161" s="663">
        <v>0</v>
      </c>
      <c r="U161" s="665">
        <v>571.15654754941545</v>
      </c>
    </row>
    <row r="162" spans="3:21" ht="13">
      <c r="C162" s="662" t="s">
        <v>61</v>
      </c>
      <c r="D162" s="663">
        <v>0</v>
      </c>
      <c r="E162" s="663">
        <v>0</v>
      </c>
      <c r="F162" s="663">
        <v>-0.33572040479024756</v>
      </c>
      <c r="G162" s="663">
        <v>0</v>
      </c>
      <c r="H162" s="663">
        <v>0</v>
      </c>
      <c r="I162" s="663">
        <v>0</v>
      </c>
      <c r="J162" s="663">
        <v>0</v>
      </c>
      <c r="K162" s="663">
        <v>0</v>
      </c>
      <c r="L162" s="663">
        <v>0</v>
      </c>
      <c r="M162" s="663">
        <v>0</v>
      </c>
      <c r="N162" s="663">
        <v>0</v>
      </c>
      <c r="O162" s="663">
        <v>0</v>
      </c>
      <c r="P162" s="663">
        <v>0</v>
      </c>
      <c r="Q162" s="663">
        <v>0</v>
      </c>
      <c r="R162" s="663">
        <v>-40.000125067890167</v>
      </c>
      <c r="S162" s="663">
        <v>0</v>
      </c>
      <c r="T162" s="663">
        <v>0</v>
      </c>
      <c r="U162" s="665">
        <v>-40.335845472680411</v>
      </c>
    </row>
    <row r="163" spans="3:21" ht="13">
      <c r="C163" s="662" t="s">
        <v>62</v>
      </c>
      <c r="D163" s="663">
        <v>0</v>
      </c>
      <c r="E163" s="663">
        <v>0</v>
      </c>
      <c r="F163" s="663">
        <v>-12.959356122819004</v>
      </c>
      <c r="G163" s="663">
        <v>-1.1745589556928391</v>
      </c>
      <c r="H163" s="663">
        <v>-1.8985906548092106</v>
      </c>
      <c r="I163" s="663">
        <v>0</v>
      </c>
      <c r="J163" s="663">
        <v>0</v>
      </c>
      <c r="K163" s="663">
        <v>0</v>
      </c>
      <c r="L163" s="663">
        <v>0</v>
      </c>
      <c r="M163" s="663">
        <v>0</v>
      </c>
      <c r="N163" s="663">
        <v>-0.50338240958264524</v>
      </c>
      <c r="O163" s="663">
        <v>-0.70221846136779031</v>
      </c>
      <c r="P163" s="663">
        <v>0</v>
      </c>
      <c r="Q163" s="663">
        <v>0</v>
      </c>
      <c r="R163" s="663">
        <v>0</v>
      </c>
      <c r="S163" s="663">
        <v>0</v>
      </c>
      <c r="T163" s="663">
        <v>0</v>
      </c>
      <c r="U163" s="665">
        <v>-17.23810660427149</v>
      </c>
    </row>
    <row r="164" spans="3:21" ht="13">
      <c r="C164" s="662" t="s">
        <v>63</v>
      </c>
      <c r="D164" s="663">
        <v>0</v>
      </c>
      <c r="E164" s="663">
        <v>0</v>
      </c>
      <c r="F164" s="663">
        <v>-60.220777612804881</v>
      </c>
      <c r="G164" s="663">
        <v>-3.9749070731502325</v>
      </c>
      <c r="H164" s="663">
        <v>0</v>
      </c>
      <c r="I164" s="663">
        <v>0</v>
      </c>
      <c r="J164" s="663">
        <v>0</v>
      </c>
      <c r="K164" s="663">
        <v>0</v>
      </c>
      <c r="L164" s="663">
        <v>0</v>
      </c>
      <c r="M164" s="663">
        <v>0</v>
      </c>
      <c r="N164" s="663">
        <v>-11.924721219450698</v>
      </c>
      <c r="O164" s="663">
        <v>0</v>
      </c>
      <c r="P164" s="663">
        <v>0</v>
      </c>
      <c r="Q164" s="663">
        <v>0</v>
      </c>
      <c r="R164" s="663">
        <v>0</v>
      </c>
      <c r="S164" s="663">
        <v>0</v>
      </c>
      <c r="T164" s="663">
        <v>-0.14322207633849007</v>
      </c>
      <c r="U164" s="665">
        <v>-76.263627981744307</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16.178882267256224</v>
      </c>
      <c r="E166" s="667">
        <v>344.7616509413084</v>
      </c>
      <c r="F166" s="667">
        <v>-20.361150927261026</v>
      </c>
      <c r="G166" s="667">
        <v>-4.3023755396306536</v>
      </c>
      <c r="H166" s="675">
        <v>153.14905777334795</v>
      </c>
      <c r="I166" s="667">
        <v>0</v>
      </c>
      <c r="J166" s="667">
        <v>962.45197015227166</v>
      </c>
      <c r="K166" s="667">
        <v>267.5000244841633</v>
      </c>
      <c r="L166" s="667">
        <v>271.07750827963406</v>
      </c>
      <c r="M166" s="667">
        <v>26.714360415666448</v>
      </c>
      <c r="N166" s="667">
        <v>-7.1880711781002375</v>
      </c>
      <c r="O166" s="667">
        <v>-0.5413561270498839</v>
      </c>
      <c r="P166" s="667">
        <v>114.79412791174752</v>
      </c>
      <c r="Q166" s="667">
        <v>17.865639972874789</v>
      </c>
      <c r="R166" s="667">
        <v>-40.000125067890167</v>
      </c>
      <c r="S166" s="667">
        <v>0</v>
      </c>
      <c r="T166" s="667">
        <v>-0.14322207633849007</v>
      </c>
      <c r="U166" s="667">
        <v>2101.9569212819993</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0.802217285608815</v>
      </c>
      <c r="G169" s="663">
        <v>0</v>
      </c>
      <c r="H169" s="663">
        <v>10.885217127183394</v>
      </c>
      <c r="I169" s="663">
        <v>0</v>
      </c>
      <c r="J169" s="663">
        <v>962.45197015227166</v>
      </c>
      <c r="K169" s="663">
        <v>267.5000244841633</v>
      </c>
      <c r="L169" s="663">
        <v>25.455194099059376</v>
      </c>
      <c r="M169" s="663">
        <v>9.8679572117025351</v>
      </c>
      <c r="N169" s="663">
        <v>5.0291337303525587</v>
      </c>
      <c r="O169" s="663">
        <v>2.8343761662812361</v>
      </c>
      <c r="P169" s="663">
        <v>0</v>
      </c>
      <c r="Q169" s="663">
        <v>2.7943993103273139</v>
      </c>
      <c r="R169" s="663">
        <v>-610.76520896369152</v>
      </c>
      <c r="S169" s="663">
        <v>0</v>
      </c>
      <c r="T169" s="663">
        <v>0</v>
      </c>
      <c r="U169" s="671">
        <v>676.85528060325873</v>
      </c>
    </row>
    <row r="170" spans="3:21" ht="13">
      <c r="C170" s="670" t="s">
        <v>351</v>
      </c>
      <c r="D170" s="663">
        <v>0</v>
      </c>
      <c r="E170" s="663">
        <v>0</v>
      </c>
      <c r="F170" s="663">
        <v>0</v>
      </c>
      <c r="G170" s="663">
        <v>0</v>
      </c>
      <c r="H170" s="663">
        <v>12.378684044888715</v>
      </c>
      <c r="I170" s="663">
        <v>0</v>
      </c>
      <c r="J170" s="663">
        <v>0</v>
      </c>
      <c r="K170" s="663">
        <v>0</v>
      </c>
      <c r="L170" s="663">
        <v>36.0447949504767</v>
      </c>
      <c r="M170" s="663">
        <v>14.339300216640275</v>
      </c>
      <c r="N170" s="663">
        <v>0</v>
      </c>
      <c r="O170" s="663">
        <v>4.1400526748892315</v>
      </c>
      <c r="P170" s="663">
        <v>0</v>
      </c>
      <c r="Q170" s="663">
        <v>10.825953288370551</v>
      </c>
      <c r="R170" s="663">
        <v>0</v>
      </c>
      <c r="S170" s="663">
        <v>-71.400838762535344</v>
      </c>
      <c r="T170" s="663">
        <v>0</v>
      </c>
      <c r="U170" s="671">
        <v>6.3279464127301193</v>
      </c>
    </row>
    <row r="171" spans="3:21" ht="13">
      <c r="C171" s="670" t="s">
        <v>352</v>
      </c>
      <c r="D171" s="663">
        <v>0</v>
      </c>
      <c r="E171" s="663">
        <v>0</v>
      </c>
      <c r="F171" s="663">
        <v>0</v>
      </c>
      <c r="G171" s="663">
        <v>0</v>
      </c>
      <c r="H171" s="663">
        <v>0</v>
      </c>
      <c r="I171" s="663">
        <v>0</v>
      </c>
      <c r="J171" s="663">
        <v>0</v>
      </c>
      <c r="K171" s="663">
        <v>0</v>
      </c>
      <c r="L171" s="663">
        <v>59.794350125101182</v>
      </c>
      <c r="M171" s="663">
        <v>0</v>
      </c>
      <c r="N171" s="663">
        <v>0</v>
      </c>
      <c r="O171" s="663">
        <v>-54.232182762859196</v>
      </c>
      <c r="P171" s="663">
        <v>0</v>
      </c>
      <c r="Q171" s="663">
        <v>0</v>
      </c>
      <c r="R171" s="663">
        <v>0</v>
      </c>
      <c r="S171" s="663">
        <v>0</v>
      </c>
      <c r="T171" s="663">
        <v>0</v>
      </c>
      <c r="U171" s="671">
        <v>5.5621673622419863</v>
      </c>
    </row>
    <row r="172" spans="3:21" ht="13">
      <c r="C172" s="670" t="s">
        <v>353</v>
      </c>
      <c r="D172" s="663">
        <v>0</v>
      </c>
      <c r="E172" s="663">
        <v>0</v>
      </c>
      <c r="F172" s="663">
        <v>0</v>
      </c>
      <c r="G172" s="663">
        <v>0</v>
      </c>
      <c r="H172" s="663">
        <v>0</v>
      </c>
      <c r="I172" s="663">
        <v>0</v>
      </c>
      <c r="J172" s="663">
        <v>0</v>
      </c>
      <c r="K172" s="663">
        <v>0</v>
      </c>
      <c r="L172" s="663">
        <v>0</v>
      </c>
      <c r="M172" s="663">
        <v>0</v>
      </c>
      <c r="N172" s="663">
        <v>0</v>
      </c>
      <c r="O172" s="663">
        <v>0</v>
      </c>
      <c r="P172" s="663">
        <v>0</v>
      </c>
      <c r="Q172" s="663">
        <v>0</v>
      </c>
      <c r="R172" s="663">
        <v>0</v>
      </c>
      <c r="S172" s="663">
        <v>0</v>
      </c>
      <c r="T172" s="663">
        <v>0</v>
      </c>
      <c r="U172" s="671">
        <v>0</v>
      </c>
    </row>
    <row r="173" spans="3:21" ht="13">
      <c r="C173" s="670" t="s">
        <v>72</v>
      </c>
      <c r="D173" s="663">
        <v>0</v>
      </c>
      <c r="E173" s="663">
        <v>357.27482859273942</v>
      </c>
      <c r="F173" s="663">
        <v>-353.71543432563573</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3.5593942671036793</v>
      </c>
    </row>
    <row r="174" spans="3:21" ht="13">
      <c r="C174" s="670" t="s">
        <v>354</v>
      </c>
      <c r="D174" s="663">
        <v>0</v>
      </c>
      <c r="E174" s="663">
        <v>0</v>
      </c>
      <c r="F174" s="663">
        <v>0</v>
      </c>
      <c r="G174" s="663">
        <v>0</v>
      </c>
      <c r="H174" s="663">
        <v>0</v>
      </c>
      <c r="I174" s="663">
        <v>0</v>
      </c>
      <c r="J174" s="663">
        <v>0</v>
      </c>
      <c r="K174" s="663">
        <v>0</v>
      </c>
      <c r="L174" s="663">
        <v>87.509483344344957</v>
      </c>
      <c r="M174" s="663">
        <v>0</v>
      </c>
      <c r="N174" s="663">
        <v>-87.509483344344957</v>
      </c>
      <c r="O174" s="663">
        <v>0</v>
      </c>
      <c r="P174" s="663">
        <v>0</v>
      </c>
      <c r="Q174" s="663">
        <v>0</v>
      </c>
      <c r="R174" s="663">
        <v>0</v>
      </c>
      <c r="S174" s="663">
        <v>0</v>
      </c>
      <c r="T174" s="663">
        <v>0</v>
      </c>
      <c r="U174" s="671">
        <v>0</v>
      </c>
    </row>
    <row r="175" spans="3:21" ht="13">
      <c r="C175" s="670" t="s">
        <v>355</v>
      </c>
      <c r="D175" s="663">
        <v>0</v>
      </c>
      <c r="E175" s="663">
        <v>0</v>
      </c>
      <c r="F175" s="663">
        <v>0</v>
      </c>
      <c r="G175" s="663">
        <v>-7.9105007206485656</v>
      </c>
      <c r="H175" s="663">
        <v>0</v>
      </c>
      <c r="I175" s="663">
        <v>0</v>
      </c>
      <c r="J175" s="663">
        <v>0</v>
      </c>
      <c r="K175" s="663">
        <v>0</v>
      </c>
      <c r="L175" s="663">
        <v>0</v>
      </c>
      <c r="M175" s="663">
        <v>0</v>
      </c>
      <c r="N175" s="663">
        <v>0</v>
      </c>
      <c r="O175" s="663">
        <v>0</v>
      </c>
      <c r="P175" s="663">
        <v>0</v>
      </c>
      <c r="Q175" s="663">
        <v>0</v>
      </c>
      <c r="R175" s="663">
        <v>0</v>
      </c>
      <c r="S175" s="663">
        <v>0</v>
      </c>
      <c r="T175" s="663">
        <v>11.017410474440901</v>
      </c>
      <c r="U175" s="671">
        <v>3.1069097537923351</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51.730551312429718</v>
      </c>
      <c r="S176" s="663">
        <v>0</v>
      </c>
      <c r="T176" s="663">
        <v>-34.530143001046838</v>
      </c>
      <c r="U176" s="671">
        <v>17.20040831138288</v>
      </c>
    </row>
    <row r="177" spans="3:21" ht="13">
      <c r="C177" s="670" t="s">
        <v>356</v>
      </c>
      <c r="D177" s="663">
        <v>9.1080551953124989</v>
      </c>
      <c r="E177" s="663">
        <v>-12.513177651431018</v>
      </c>
      <c r="F177" s="663">
        <v>16.300260399898175</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12.895137943779657</v>
      </c>
    </row>
    <row r="178" spans="3:21" ht="13">
      <c r="C178" s="670" t="s">
        <v>75</v>
      </c>
      <c r="D178" s="663">
        <v>3.5420214648437502</v>
      </c>
      <c r="E178" s="663">
        <v>0</v>
      </c>
      <c r="F178" s="663">
        <v>18.654676129726123</v>
      </c>
      <c r="G178" s="663">
        <v>0</v>
      </c>
      <c r="H178" s="663">
        <v>3.9220454388203256</v>
      </c>
      <c r="I178" s="663">
        <v>0</v>
      </c>
      <c r="J178" s="663">
        <v>0</v>
      </c>
      <c r="K178" s="663">
        <v>0</v>
      </c>
      <c r="L178" s="663">
        <v>0</v>
      </c>
      <c r="M178" s="663">
        <v>0</v>
      </c>
      <c r="N178" s="663">
        <v>0</v>
      </c>
      <c r="O178" s="663">
        <v>1.4506195458650522</v>
      </c>
      <c r="P178" s="663">
        <v>0</v>
      </c>
      <c r="Q178" s="663">
        <v>0</v>
      </c>
      <c r="R178" s="663">
        <v>24.070214497240038</v>
      </c>
      <c r="S178" s="663">
        <v>0</v>
      </c>
      <c r="T178" s="663">
        <v>0</v>
      </c>
      <c r="U178" s="671">
        <v>51.639577076495286</v>
      </c>
    </row>
    <row r="179" spans="3:21" ht="13">
      <c r="C179" s="670" t="s">
        <v>76</v>
      </c>
      <c r="D179" s="663">
        <v>0</v>
      </c>
      <c r="E179" s="663">
        <v>0</v>
      </c>
      <c r="F179" s="663">
        <v>0</v>
      </c>
      <c r="G179" s="663">
        <v>0</v>
      </c>
      <c r="H179" s="663">
        <v>1.7220653905707752</v>
      </c>
      <c r="I179" s="663">
        <v>0</v>
      </c>
      <c r="J179" s="663">
        <v>0</v>
      </c>
      <c r="K179" s="663">
        <v>0</v>
      </c>
      <c r="L179" s="663">
        <v>0</v>
      </c>
      <c r="M179" s="663">
        <v>0</v>
      </c>
      <c r="N179" s="663">
        <v>0</v>
      </c>
      <c r="O179" s="663">
        <v>0.63692829514261562</v>
      </c>
      <c r="P179" s="663">
        <v>0</v>
      </c>
      <c r="Q179" s="663">
        <v>0</v>
      </c>
      <c r="R179" s="663">
        <v>43.697669495159822</v>
      </c>
      <c r="S179" s="663">
        <v>5.5373897346121579</v>
      </c>
      <c r="T179" s="663">
        <v>0</v>
      </c>
      <c r="U179" s="671">
        <v>51.594052915485378</v>
      </c>
    </row>
    <row r="180" spans="3:21" ht="13">
      <c r="C180" s="666" t="s">
        <v>77</v>
      </c>
      <c r="D180" s="667">
        <v>12.650076660156248</v>
      </c>
      <c r="E180" s="667">
        <v>344.7616509413084</v>
      </c>
      <c r="F180" s="667">
        <v>-317.95828051040263</v>
      </c>
      <c r="G180" s="667">
        <v>-7.9105007206485656</v>
      </c>
      <c r="H180" s="675">
        <v>28.908012001463213</v>
      </c>
      <c r="I180" s="667">
        <v>0</v>
      </c>
      <c r="J180" s="667">
        <v>962.45197015227166</v>
      </c>
      <c r="K180" s="667">
        <v>267.5000244841633</v>
      </c>
      <c r="L180" s="667">
        <v>208.80382251898223</v>
      </c>
      <c r="M180" s="667">
        <v>24.207257428342814</v>
      </c>
      <c r="N180" s="667">
        <v>-82.480349613992402</v>
      </c>
      <c r="O180" s="667">
        <v>-45.170206080681055</v>
      </c>
      <c r="P180" s="667">
        <v>0</v>
      </c>
      <c r="Q180" s="667">
        <v>13.620352598697865</v>
      </c>
      <c r="R180" s="667">
        <v>-491.26677365886189</v>
      </c>
      <c r="S180" s="667">
        <v>-65.863449027923181</v>
      </c>
      <c r="T180" s="667">
        <v>-23.512732526605937</v>
      </c>
      <c r="U180" s="667">
        <v>828.74087464627007</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3.5288056070999749</v>
      </c>
      <c r="E182" s="663">
        <v>0</v>
      </c>
      <c r="F182" s="663">
        <v>9.0742751543652709</v>
      </c>
      <c r="G182" s="663">
        <v>0</v>
      </c>
      <c r="H182" s="663">
        <v>50.765702343803007</v>
      </c>
      <c r="I182" s="663">
        <v>0</v>
      </c>
      <c r="J182" s="663">
        <v>0</v>
      </c>
      <c r="K182" s="663">
        <v>0</v>
      </c>
      <c r="L182" s="663">
        <v>20.203559685037114</v>
      </c>
      <c r="M182" s="663">
        <v>2.5066351077817299</v>
      </c>
      <c r="N182" s="663">
        <v>1.1254933974609376</v>
      </c>
      <c r="O182" s="663">
        <v>18.810321451312785</v>
      </c>
      <c r="P182" s="663">
        <v>5.5404179687499999</v>
      </c>
      <c r="Q182" s="663">
        <v>6.9244826847420892E-4</v>
      </c>
      <c r="R182" s="663">
        <v>129.68210517319469</v>
      </c>
      <c r="S182" s="663">
        <v>18.067305271014469</v>
      </c>
      <c r="T182" s="663">
        <v>3.2886369628906249</v>
      </c>
      <c r="U182" s="671">
        <v>262.59395057097908</v>
      </c>
    </row>
    <row r="183" spans="3:21" ht="13">
      <c r="C183" s="670" t="s">
        <v>79</v>
      </c>
      <c r="D183" s="663">
        <v>0</v>
      </c>
      <c r="E183" s="663">
        <v>0</v>
      </c>
      <c r="F183" s="663">
        <v>183.65265309164423</v>
      </c>
      <c r="G183" s="663">
        <v>0.37586832320647884</v>
      </c>
      <c r="H183" s="663">
        <v>4.5862710057628444</v>
      </c>
      <c r="I183" s="663">
        <v>0</v>
      </c>
      <c r="J183" s="663">
        <v>0</v>
      </c>
      <c r="K183" s="663">
        <v>0</v>
      </c>
      <c r="L183" s="663">
        <v>0</v>
      </c>
      <c r="M183" s="663">
        <v>0</v>
      </c>
      <c r="N183" s="663">
        <v>52.853956211759765</v>
      </c>
      <c r="O183" s="663">
        <v>1.6962920158300934</v>
      </c>
      <c r="P183" s="663">
        <v>0</v>
      </c>
      <c r="Q183" s="663">
        <v>0</v>
      </c>
      <c r="R183" s="663">
        <v>57.341707182273488</v>
      </c>
      <c r="S183" s="663">
        <v>0</v>
      </c>
      <c r="T183" s="663">
        <v>2.0198839430903792</v>
      </c>
      <c r="U183" s="671">
        <v>302.52663177356732</v>
      </c>
    </row>
    <row r="184" spans="3:21" ht="13">
      <c r="C184" s="670" t="s">
        <v>80</v>
      </c>
      <c r="D184" s="663">
        <v>0</v>
      </c>
      <c r="E184" s="663">
        <v>0</v>
      </c>
      <c r="F184" s="663">
        <v>3.260836950166615</v>
      </c>
      <c r="G184" s="663">
        <v>0</v>
      </c>
      <c r="H184" s="663">
        <v>39.313312069692138</v>
      </c>
      <c r="I184" s="663">
        <v>0</v>
      </c>
      <c r="J184" s="663">
        <v>0</v>
      </c>
      <c r="K184" s="663">
        <v>0</v>
      </c>
      <c r="L184" s="663">
        <v>38.595135513286785</v>
      </c>
      <c r="M184" s="663">
        <v>0</v>
      </c>
      <c r="N184" s="663">
        <v>0</v>
      </c>
      <c r="O184" s="663">
        <v>14.540540080571066</v>
      </c>
      <c r="P184" s="663">
        <v>88.021667456281236</v>
      </c>
      <c r="Q184" s="663">
        <v>2.3427124137087052</v>
      </c>
      <c r="R184" s="663">
        <v>158.98187870009832</v>
      </c>
      <c r="S184" s="663">
        <v>28.917251051933125</v>
      </c>
      <c r="T184" s="663">
        <v>0</v>
      </c>
      <c r="U184" s="671">
        <v>373.97333423573804</v>
      </c>
    </row>
    <row r="185" spans="3:21" ht="13">
      <c r="C185" s="670" t="s">
        <v>81</v>
      </c>
      <c r="D185" s="663">
        <v>0</v>
      </c>
      <c r="E185" s="663">
        <v>0</v>
      </c>
      <c r="F185" s="663">
        <v>3.4419330830775619</v>
      </c>
      <c r="G185" s="663">
        <v>0</v>
      </c>
      <c r="H185" s="663">
        <v>19.661407657447267</v>
      </c>
      <c r="I185" s="663">
        <v>0</v>
      </c>
      <c r="J185" s="663">
        <v>0</v>
      </c>
      <c r="K185" s="663">
        <v>0</v>
      </c>
      <c r="L185" s="663">
        <v>0.43406989863895534</v>
      </c>
      <c r="M185" s="663">
        <v>4.6787954190583215E-4</v>
      </c>
      <c r="N185" s="663">
        <v>0</v>
      </c>
      <c r="O185" s="663">
        <v>7.2720274897407702</v>
      </c>
      <c r="P185" s="663">
        <v>20.482042486716281</v>
      </c>
      <c r="Q185" s="663">
        <v>0.93898003664808516</v>
      </c>
      <c r="R185" s="663">
        <v>96.862888654792613</v>
      </c>
      <c r="S185" s="663">
        <v>18.878892704975588</v>
      </c>
      <c r="T185" s="663">
        <v>0</v>
      </c>
      <c r="U185" s="671">
        <v>167.97270989157903</v>
      </c>
    </row>
    <row r="186" spans="3:21" ht="13">
      <c r="C186" s="670" t="s">
        <v>82</v>
      </c>
      <c r="D186" s="663">
        <v>0</v>
      </c>
      <c r="E186" s="663">
        <v>0</v>
      </c>
      <c r="F186" s="663">
        <v>19.85629550078999</v>
      </c>
      <c r="G186" s="663">
        <v>0</v>
      </c>
      <c r="H186" s="663">
        <v>1.376773611649958</v>
      </c>
      <c r="I186" s="663">
        <v>0</v>
      </c>
      <c r="J186" s="663">
        <v>0</v>
      </c>
      <c r="K186" s="663">
        <v>0</v>
      </c>
      <c r="L186" s="663">
        <v>2.7730307508519707</v>
      </c>
      <c r="M186" s="663">
        <v>0</v>
      </c>
      <c r="N186" s="663">
        <v>8.3214654409998232</v>
      </c>
      <c r="O186" s="663">
        <v>0.50921763718560098</v>
      </c>
      <c r="P186" s="663">
        <v>0.75</v>
      </c>
      <c r="Q186" s="663">
        <v>0.96290247555165809</v>
      </c>
      <c r="R186" s="663">
        <v>7.7126288806125016</v>
      </c>
      <c r="S186" s="663">
        <v>0</v>
      </c>
      <c r="T186" s="663">
        <v>0.24940873791150003</v>
      </c>
      <c r="U186" s="671">
        <v>42.511723035553004</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0.68544000000000005</v>
      </c>
      <c r="S187" s="663">
        <v>0</v>
      </c>
      <c r="T187" s="663">
        <v>0</v>
      </c>
      <c r="U187" s="671">
        <v>0.68544000000000005</v>
      </c>
    </row>
    <row r="188" spans="3:21" ht="13">
      <c r="C188" s="666" t="s">
        <v>83</v>
      </c>
      <c r="D188" s="667">
        <v>3.5288056070999749</v>
      </c>
      <c r="E188" s="667">
        <v>0</v>
      </c>
      <c r="F188" s="667">
        <v>219.2859937800437</v>
      </c>
      <c r="G188" s="667">
        <v>0.37586832320647884</v>
      </c>
      <c r="H188" s="675">
        <v>115.70346668835522</v>
      </c>
      <c r="I188" s="667">
        <v>0</v>
      </c>
      <c r="J188" s="667">
        <v>0</v>
      </c>
      <c r="K188" s="667">
        <v>0</v>
      </c>
      <c r="L188" s="667">
        <v>62.005795847814824</v>
      </c>
      <c r="M188" s="667">
        <v>2.5071029873236355</v>
      </c>
      <c r="N188" s="667">
        <v>62.300915050220524</v>
      </c>
      <c r="O188" s="667">
        <v>42.828398674640319</v>
      </c>
      <c r="P188" s="667">
        <v>114.79412791174752</v>
      </c>
      <c r="Q188" s="667">
        <v>4.2452873741769226</v>
      </c>
      <c r="R188" s="667">
        <v>451.26664859097167</v>
      </c>
      <c r="S188" s="667">
        <v>65.863449027923181</v>
      </c>
      <c r="T188" s="667">
        <v>5.5579296438925034</v>
      </c>
      <c r="U188" s="667">
        <v>1150.2637895074163</v>
      </c>
    </row>
    <row r="189" spans="3:21" ht="13">
      <c r="C189" s="662" t="s">
        <v>84</v>
      </c>
      <c r="D189" s="663">
        <v>0</v>
      </c>
      <c r="E189" s="663">
        <v>0</v>
      </c>
      <c r="F189" s="663">
        <v>78.311135803097855</v>
      </c>
      <c r="G189" s="663">
        <v>3.2322568578114335</v>
      </c>
      <c r="H189" s="663">
        <v>8.5375790835295255</v>
      </c>
      <c r="I189" s="663">
        <v>0</v>
      </c>
      <c r="J189" s="663">
        <v>0</v>
      </c>
      <c r="K189" s="663">
        <v>0</v>
      </c>
      <c r="L189" s="663">
        <v>0.26788991283700125</v>
      </c>
      <c r="M189" s="663">
        <v>0</v>
      </c>
      <c r="N189" s="663">
        <v>12.991363385671615</v>
      </c>
      <c r="O189" s="663">
        <v>1.800451278990862</v>
      </c>
      <c r="P189" s="663">
        <v>0</v>
      </c>
      <c r="Q189" s="663">
        <v>0</v>
      </c>
      <c r="R189" s="663">
        <v>0</v>
      </c>
      <c r="S189" s="663">
        <v>0</v>
      </c>
      <c r="T189" s="663">
        <v>17.811580806374948</v>
      </c>
      <c r="U189" s="671">
        <v>122.95225712831325</v>
      </c>
    </row>
    <row r="190" spans="3:21" ht="13">
      <c r="C190" s="666" t="s">
        <v>85</v>
      </c>
      <c r="D190" s="667">
        <v>3.5288056070999749</v>
      </c>
      <c r="E190" s="667">
        <v>0</v>
      </c>
      <c r="F190" s="667">
        <v>297.59712958314151</v>
      </c>
      <c r="G190" s="667">
        <v>3.6081251810179125</v>
      </c>
      <c r="H190" s="675">
        <v>124.24104577188474</v>
      </c>
      <c r="I190" s="667">
        <v>0</v>
      </c>
      <c r="J190" s="667">
        <v>0</v>
      </c>
      <c r="K190" s="667">
        <v>0</v>
      </c>
      <c r="L190" s="667">
        <v>62.273685760651823</v>
      </c>
      <c r="M190" s="667">
        <v>2.5071029873236355</v>
      </c>
      <c r="N190" s="667">
        <v>75.292278435892143</v>
      </c>
      <c r="O190" s="667">
        <v>44.628849953631182</v>
      </c>
      <c r="P190" s="667">
        <v>114.79412791174752</v>
      </c>
      <c r="Q190" s="667">
        <v>4.2452873741769226</v>
      </c>
      <c r="R190" s="667">
        <v>451.26664859097167</v>
      </c>
      <c r="S190" s="667">
        <v>65.863449027923181</v>
      </c>
      <c r="T190" s="667">
        <v>23.369510450267452</v>
      </c>
      <c r="U190" s="667">
        <v>1273.2160466357295</v>
      </c>
    </row>
    <row r="191" spans="3:21">
      <c r="C191" s="654"/>
      <c r="D191" s="672">
        <v>0</v>
      </c>
      <c r="E191" s="672">
        <v>0</v>
      </c>
      <c r="F191" s="672">
        <v>-9.5923269327613525E-14</v>
      </c>
      <c r="G191" s="672">
        <v>0</v>
      </c>
      <c r="H191" s="672">
        <v>0</v>
      </c>
      <c r="I191" s="672">
        <v>0</v>
      </c>
      <c r="J191" s="672">
        <v>0</v>
      </c>
      <c r="K191" s="672">
        <v>0</v>
      </c>
      <c r="L191" s="672">
        <v>0</v>
      </c>
      <c r="M191" s="672">
        <v>0</v>
      </c>
      <c r="N191" s="672">
        <v>-2.1316282072803006E-14</v>
      </c>
      <c r="O191" s="672">
        <v>1.0658141036401503E-14</v>
      </c>
      <c r="P191" s="672">
        <v>0</v>
      </c>
      <c r="Q191" s="672">
        <v>0</v>
      </c>
      <c r="R191" s="672">
        <v>-5.6843418860808015E-14</v>
      </c>
      <c r="S191" s="672">
        <v>0</v>
      </c>
      <c r="T191" s="672">
        <v>4.5796699765787707E-15</v>
      </c>
      <c r="U191" s="672">
        <v>0</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362</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2.3260000000000005</v>
      </c>
      <c r="F197" s="663">
        <v>0</v>
      </c>
      <c r="G197" s="663">
        <v>0</v>
      </c>
      <c r="H197" s="663">
        <v>3.7216000000000006E-2</v>
      </c>
      <c r="I197" s="663">
        <v>0</v>
      </c>
      <c r="J197" s="664">
        <v>964.52942056246673</v>
      </c>
      <c r="K197" s="664">
        <v>311.46236031836668</v>
      </c>
      <c r="L197" s="664">
        <v>294.50335183866372</v>
      </c>
      <c r="M197" s="664">
        <v>26.897654847027933</v>
      </c>
      <c r="N197" s="663">
        <v>1.5522078310841105</v>
      </c>
      <c r="O197" s="663">
        <v>0.16457898409976487</v>
      </c>
      <c r="P197" s="664">
        <v>128.43983591306872</v>
      </c>
      <c r="Q197" s="664">
        <v>20.654107927982594</v>
      </c>
      <c r="R197" s="663">
        <v>0</v>
      </c>
      <c r="S197" s="663">
        <v>0</v>
      </c>
      <c r="T197" s="663">
        <v>0</v>
      </c>
      <c r="U197" s="665">
        <v>1750.5667342227598</v>
      </c>
    </row>
    <row r="198" spans="3:21" ht="13">
      <c r="C198" s="662" t="s">
        <v>60</v>
      </c>
      <c r="D198" s="663">
        <v>13.859177019435306</v>
      </c>
      <c r="E198" s="663">
        <v>296.13837759387053</v>
      </c>
      <c r="F198" s="663">
        <v>5.829718761745502</v>
      </c>
      <c r="G198" s="663">
        <v>0.35872125556105416</v>
      </c>
      <c r="H198" s="663">
        <v>120.63288166670617</v>
      </c>
      <c r="I198" s="663">
        <v>0</v>
      </c>
      <c r="J198" s="663">
        <v>0</v>
      </c>
      <c r="K198" s="663">
        <v>0</v>
      </c>
      <c r="L198" s="663">
        <v>3.8185483520995893</v>
      </c>
      <c r="M198" s="663">
        <v>0</v>
      </c>
      <c r="N198" s="663">
        <v>4.0860505945061325</v>
      </c>
      <c r="O198" s="663">
        <v>0</v>
      </c>
      <c r="P198" s="663">
        <v>0</v>
      </c>
      <c r="Q198" s="663">
        <v>0</v>
      </c>
      <c r="R198" s="663">
        <v>0</v>
      </c>
      <c r="S198" s="663">
        <v>0</v>
      </c>
      <c r="T198" s="663">
        <v>0</v>
      </c>
      <c r="U198" s="665">
        <v>444.72347524392433</v>
      </c>
    </row>
    <row r="199" spans="3:21" ht="13">
      <c r="C199" s="662" t="s">
        <v>61</v>
      </c>
      <c r="D199" s="663">
        <v>0</v>
      </c>
      <c r="E199" s="663">
        <v>0</v>
      </c>
      <c r="F199" s="663">
        <v>-11.930293865877704</v>
      </c>
      <c r="G199" s="663">
        <v>0</v>
      </c>
      <c r="H199" s="663">
        <v>0</v>
      </c>
      <c r="I199" s="663">
        <v>0</v>
      </c>
      <c r="J199" s="663">
        <v>0</v>
      </c>
      <c r="K199" s="663">
        <v>0</v>
      </c>
      <c r="L199" s="663">
        <v>0</v>
      </c>
      <c r="M199" s="663">
        <v>0</v>
      </c>
      <c r="N199" s="663">
        <v>0</v>
      </c>
      <c r="O199" s="663">
        <v>0</v>
      </c>
      <c r="P199" s="663">
        <v>0</v>
      </c>
      <c r="Q199" s="663">
        <v>0</v>
      </c>
      <c r="R199" s="663">
        <v>-39.267637363013023</v>
      </c>
      <c r="S199" s="663">
        <v>0</v>
      </c>
      <c r="T199" s="663">
        <v>0</v>
      </c>
      <c r="U199" s="665">
        <v>-51.197931228890724</v>
      </c>
    </row>
    <row r="200" spans="3:21" ht="13">
      <c r="C200" s="662" t="s">
        <v>62</v>
      </c>
      <c r="D200" s="663">
        <v>0</v>
      </c>
      <c r="E200" s="663">
        <v>0</v>
      </c>
      <c r="F200" s="663">
        <v>-10.650864702914385</v>
      </c>
      <c r="G200" s="663">
        <v>-1.9080821969915447</v>
      </c>
      <c r="H200" s="663">
        <v>-4.5147113062781807</v>
      </c>
      <c r="I200" s="663">
        <v>0</v>
      </c>
      <c r="J200" s="663">
        <v>0</v>
      </c>
      <c r="K200" s="663">
        <v>0</v>
      </c>
      <c r="L200" s="663">
        <v>0</v>
      </c>
      <c r="M200" s="663">
        <v>0</v>
      </c>
      <c r="N200" s="663">
        <v>-0.48900468677593995</v>
      </c>
      <c r="O200" s="663">
        <v>-2.7436669996352929</v>
      </c>
      <c r="P200" s="663">
        <v>0</v>
      </c>
      <c r="Q200" s="663">
        <v>0</v>
      </c>
      <c r="R200" s="663">
        <v>0</v>
      </c>
      <c r="S200" s="663">
        <v>0</v>
      </c>
      <c r="T200" s="663">
        <v>0</v>
      </c>
      <c r="U200" s="665">
        <v>-20.306329892595343</v>
      </c>
    </row>
    <row r="201" spans="3:21" ht="13">
      <c r="C201" s="662" t="s">
        <v>63</v>
      </c>
      <c r="D201" s="663">
        <v>0</v>
      </c>
      <c r="E201" s="663">
        <v>0</v>
      </c>
      <c r="F201" s="663">
        <v>-52.2656340821949</v>
      </c>
      <c r="G201" s="663">
        <v>-8.2703034572776399</v>
      </c>
      <c r="H201" s="663">
        <v>0</v>
      </c>
      <c r="I201" s="663">
        <v>0</v>
      </c>
      <c r="J201" s="663">
        <v>0</v>
      </c>
      <c r="K201" s="663">
        <v>0</v>
      </c>
      <c r="L201" s="663">
        <v>0</v>
      </c>
      <c r="M201" s="663">
        <v>0</v>
      </c>
      <c r="N201" s="663">
        <v>-13.213101981709578</v>
      </c>
      <c r="O201" s="663">
        <v>0</v>
      </c>
      <c r="P201" s="663">
        <v>0</v>
      </c>
      <c r="Q201" s="663">
        <v>0</v>
      </c>
      <c r="R201" s="663">
        <v>0</v>
      </c>
      <c r="S201" s="663">
        <v>0</v>
      </c>
      <c r="T201" s="663">
        <v>-0.45605370393256905</v>
      </c>
      <c r="U201" s="665">
        <v>-74.20509322511468</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13.859177019435306</v>
      </c>
      <c r="E203" s="667">
        <v>298.46437759387055</v>
      </c>
      <c r="F203" s="667">
        <v>-69.017073889241487</v>
      </c>
      <c r="G203" s="667">
        <v>-9.8196643987081309</v>
      </c>
      <c r="H203" s="675">
        <v>116.15538636042798</v>
      </c>
      <c r="I203" s="667">
        <v>0</v>
      </c>
      <c r="J203" s="667">
        <v>964.52942056246673</v>
      </c>
      <c r="K203" s="667">
        <v>311.46236031836668</v>
      </c>
      <c r="L203" s="667">
        <v>298.3219001907633</v>
      </c>
      <c r="M203" s="667">
        <v>26.897654847027933</v>
      </c>
      <c r="N203" s="667">
        <v>-8.0638482428952756</v>
      </c>
      <c r="O203" s="667">
        <v>-2.579088015535528</v>
      </c>
      <c r="P203" s="667">
        <v>128.43983591306872</v>
      </c>
      <c r="Q203" s="667">
        <v>20.654107927982594</v>
      </c>
      <c r="R203" s="667">
        <v>-39.267637363013023</v>
      </c>
      <c r="S203" s="667">
        <v>0</v>
      </c>
      <c r="T203" s="667">
        <v>-0.45605370393256905</v>
      </c>
      <c r="U203" s="667">
        <v>2049.5808551200835</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0.36057808628354604</v>
      </c>
      <c r="G206" s="663">
        <v>0</v>
      </c>
      <c r="H206" s="663">
        <v>7.5839969390793698</v>
      </c>
      <c r="I206" s="663">
        <v>0</v>
      </c>
      <c r="J206" s="663">
        <v>964.52942056246673</v>
      </c>
      <c r="K206" s="663">
        <v>311.46236031836668</v>
      </c>
      <c r="L206" s="663">
        <v>22.176349392164049</v>
      </c>
      <c r="M206" s="663">
        <v>10.089931127123995</v>
      </c>
      <c r="N206" s="663">
        <v>5.3878161949008447</v>
      </c>
      <c r="O206" s="663">
        <v>2.0095680781151462</v>
      </c>
      <c r="P206" s="663">
        <v>0</v>
      </c>
      <c r="Q206" s="663">
        <v>4.9774137725284184</v>
      </c>
      <c r="R206" s="663">
        <v>-653.56257887708989</v>
      </c>
      <c r="S206" s="663">
        <v>0</v>
      </c>
      <c r="T206" s="663">
        <v>1.9189703578470259</v>
      </c>
      <c r="U206" s="671">
        <v>676.93382595178593</v>
      </c>
    </row>
    <row r="207" spans="3:21" ht="13">
      <c r="C207" s="670" t="s">
        <v>351</v>
      </c>
      <c r="D207" s="663">
        <v>0</v>
      </c>
      <c r="E207" s="663">
        <v>0</v>
      </c>
      <c r="F207" s="663">
        <v>0</v>
      </c>
      <c r="G207" s="663">
        <v>0</v>
      </c>
      <c r="H207" s="663">
        <v>9.2764090353058375</v>
      </c>
      <c r="I207" s="663">
        <v>0</v>
      </c>
      <c r="J207" s="663">
        <v>0</v>
      </c>
      <c r="K207" s="663">
        <v>0</v>
      </c>
      <c r="L207" s="663">
        <v>35.764224717869801</v>
      </c>
      <c r="M207" s="663">
        <v>14.37233701187753</v>
      </c>
      <c r="N207" s="663">
        <v>0</v>
      </c>
      <c r="O207" s="663">
        <v>5.4622758911360467</v>
      </c>
      <c r="P207" s="663">
        <v>0</v>
      </c>
      <c r="Q207" s="663">
        <v>10.952590418500169</v>
      </c>
      <c r="R207" s="663">
        <v>0</v>
      </c>
      <c r="S207" s="663">
        <v>-70.157887736076944</v>
      </c>
      <c r="T207" s="663">
        <v>0</v>
      </c>
      <c r="U207" s="671">
        <v>5.6699493386124447</v>
      </c>
    </row>
    <row r="208" spans="3:21" ht="13">
      <c r="C208" s="670" t="s">
        <v>352</v>
      </c>
      <c r="D208" s="663">
        <v>0</v>
      </c>
      <c r="E208" s="663">
        <v>0</v>
      </c>
      <c r="F208" s="663">
        <v>0</v>
      </c>
      <c r="G208" s="663">
        <v>0</v>
      </c>
      <c r="H208" s="663">
        <v>0</v>
      </c>
      <c r="I208" s="663">
        <v>0</v>
      </c>
      <c r="J208" s="663">
        <v>0</v>
      </c>
      <c r="K208" s="663">
        <v>0</v>
      </c>
      <c r="L208" s="663">
        <v>74.445335403224831</v>
      </c>
      <c r="M208" s="663">
        <v>0</v>
      </c>
      <c r="N208" s="663">
        <v>0</v>
      </c>
      <c r="O208" s="663">
        <v>-68.22829141881553</v>
      </c>
      <c r="P208" s="663">
        <v>0</v>
      </c>
      <c r="Q208" s="663">
        <v>0</v>
      </c>
      <c r="R208" s="663">
        <v>0</v>
      </c>
      <c r="S208" s="663">
        <v>0</v>
      </c>
      <c r="T208" s="663">
        <v>0</v>
      </c>
      <c r="U208" s="671">
        <v>6.2170439844093011</v>
      </c>
    </row>
    <row r="209" spans="3:21" ht="13">
      <c r="C209" s="670" t="s">
        <v>353</v>
      </c>
      <c r="D209" s="663">
        <v>0</v>
      </c>
      <c r="E209" s="663">
        <v>0</v>
      </c>
      <c r="F209" s="663">
        <v>0</v>
      </c>
      <c r="G209" s="663">
        <v>0</v>
      </c>
      <c r="H209" s="663">
        <v>0</v>
      </c>
      <c r="I209" s="663">
        <v>0</v>
      </c>
      <c r="J209" s="663">
        <v>0</v>
      </c>
      <c r="K209" s="663">
        <v>0</v>
      </c>
      <c r="L209" s="663">
        <v>0</v>
      </c>
      <c r="M209" s="663">
        <v>0</v>
      </c>
      <c r="N209" s="663">
        <v>0</v>
      </c>
      <c r="O209" s="663">
        <v>0</v>
      </c>
      <c r="P209" s="663">
        <v>0</v>
      </c>
      <c r="Q209" s="663">
        <v>0</v>
      </c>
      <c r="R209" s="663">
        <v>0</v>
      </c>
      <c r="S209" s="663">
        <v>0</v>
      </c>
      <c r="T209" s="663">
        <v>0</v>
      </c>
      <c r="U209" s="671">
        <v>0</v>
      </c>
    </row>
    <row r="210" spans="3:21" ht="13">
      <c r="C210" s="670" t="s">
        <v>72</v>
      </c>
      <c r="D210" s="663">
        <v>0</v>
      </c>
      <c r="E210" s="663">
        <v>309.28389692910912</v>
      </c>
      <c r="F210" s="663">
        <v>-306.20133621434456</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3.0825607147645133</v>
      </c>
    </row>
    <row r="211" spans="3:21" ht="13">
      <c r="C211" s="670" t="s">
        <v>354</v>
      </c>
      <c r="D211" s="663">
        <v>0</v>
      </c>
      <c r="E211" s="663">
        <v>0</v>
      </c>
      <c r="F211" s="663">
        <v>0</v>
      </c>
      <c r="G211" s="663">
        <v>0</v>
      </c>
      <c r="H211" s="663">
        <v>0</v>
      </c>
      <c r="I211" s="663">
        <v>0</v>
      </c>
      <c r="J211" s="663">
        <v>0</v>
      </c>
      <c r="K211" s="663">
        <v>0</v>
      </c>
      <c r="L211" s="663">
        <v>106.10331078427467</v>
      </c>
      <c r="M211" s="663">
        <v>0</v>
      </c>
      <c r="N211" s="663">
        <v>-106.10331078427467</v>
      </c>
      <c r="O211" s="663">
        <v>0</v>
      </c>
      <c r="P211" s="663">
        <v>0</v>
      </c>
      <c r="Q211" s="663">
        <v>0</v>
      </c>
      <c r="R211" s="663">
        <v>0</v>
      </c>
      <c r="S211" s="663">
        <v>0</v>
      </c>
      <c r="T211" s="663">
        <v>0</v>
      </c>
      <c r="U211" s="671">
        <v>0</v>
      </c>
    </row>
    <row r="212" spans="3:21" ht="13">
      <c r="C212" s="670" t="s">
        <v>355</v>
      </c>
      <c r="D212" s="663">
        <v>0</v>
      </c>
      <c r="E212" s="663">
        <v>0</v>
      </c>
      <c r="F212" s="663">
        <v>0</v>
      </c>
      <c r="G212" s="663">
        <v>-16.310777823492739</v>
      </c>
      <c r="H212" s="663">
        <v>0</v>
      </c>
      <c r="I212" s="663">
        <v>0</v>
      </c>
      <c r="J212" s="663">
        <v>0</v>
      </c>
      <c r="K212" s="663">
        <v>0</v>
      </c>
      <c r="L212" s="663">
        <v>0</v>
      </c>
      <c r="M212" s="663">
        <v>0</v>
      </c>
      <c r="N212" s="663">
        <v>0</v>
      </c>
      <c r="O212" s="663">
        <v>0</v>
      </c>
      <c r="P212" s="663">
        <v>0</v>
      </c>
      <c r="Q212" s="663">
        <v>0</v>
      </c>
      <c r="R212" s="663">
        <v>0</v>
      </c>
      <c r="S212" s="663">
        <v>0</v>
      </c>
      <c r="T212" s="663">
        <v>22.716960756953675</v>
      </c>
      <c r="U212" s="671">
        <v>6.4061829334609364</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80.747003520407887</v>
      </c>
      <c r="S213" s="663">
        <v>0</v>
      </c>
      <c r="T213" s="663">
        <v>-54.746468386836547</v>
      </c>
      <c r="U213" s="671">
        <v>26.00053513357134</v>
      </c>
    </row>
    <row r="214" spans="3:21" ht="13">
      <c r="C214" s="670" t="s">
        <v>356</v>
      </c>
      <c r="D214" s="663">
        <v>7.7637663281249996</v>
      </c>
      <c r="E214" s="663">
        <v>-10.819519335238569</v>
      </c>
      <c r="F214" s="663">
        <v>14.100311366339174</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11.044558359225604</v>
      </c>
    </row>
    <row r="215" spans="3:21" ht="13">
      <c r="C215" s="670" t="s">
        <v>75</v>
      </c>
      <c r="D215" s="663">
        <v>3.0192424609374999</v>
      </c>
      <c r="E215" s="663">
        <v>0</v>
      </c>
      <c r="F215" s="663">
        <v>18.191659515376916</v>
      </c>
      <c r="G215" s="663">
        <v>0</v>
      </c>
      <c r="H215" s="663">
        <v>3.2664120682994437</v>
      </c>
      <c r="I215" s="663">
        <v>0</v>
      </c>
      <c r="J215" s="663">
        <v>0</v>
      </c>
      <c r="K215" s="663">
        <v>0</v>
      </c>
      <c r="L215" s="663">
        <v>0</v>
      </c>
      <c r="M215" s="663">
        <v>0</v>
      </c>
      <c r="N215" s="663">
        <v>0</v>
      </c>
      <c r="O215" s="663">
        <v>1.9850542794488581</v>
      </c>
      <c r="P215" s="663">
        <v>0</v>
      </c>
      <c r="Q215" s="663">
        <v>0</v>
      </c>
      <c r="R215" s="663">
        <v>23.96590055491529</v>
      </c>
      <c r="S215" s="663">
        <v>0</v>
      </c>
      <c r="T215" s="663">
        <v>0</v>
      </c>
      <c r="U215" s="671">
        <v>50.42826887897801</v>
      </c>
    </row>
    <row r="216" spans="3:21" ht="13">
      <c r="C216" s="670" t="s">
        <v>76</v>
      </c>
      <c r="D216" s="663">
        <v>0</v>
      </c>
      <c r="E216" s="663">
        <v>0</v>
      </c>
      <c r="F216" s="663">
        <v>0</v>
      </c>
      <c r="G216" s="663">
        <v>0</v>
      </c>
      <c r="H216" s="663">
        <v>1.3208205478094497</v>
      </c>
      <c r="I216" s="663">
        <v>0</v>
      </c>
      <c r="J216" s="663">
        <v>0</v>
      </c>
      <c r="K216" s="663">
        <v>0</v>
      </c>
      <c r="L216" s="663">
        <v>0</v>
      </c>
      <c r="M216" s="663">
        <v>0</v>
      </c>
      <c r="N216" s="663">
        <v>0</v>
      </c>
      <c r="O216" s="663">
        <v>0.80268515606426361</v>
      </c>
      <c r="P216" s="663">
        <v>0</v>
      </c>
      <c r="Q216" s="663">
        <v>0</v>
      </c>
      <c r="R216" s="663">
        <v>47.023558909206123</v>
      </c>
      <c r="S216" s="663">
        <v>5.4411740217158124</v>
      </c>
      <c r="T216" s="663">
        <v>0</v>
      </c>
      <c r="U216" s="671">
        <v>54.588238634795651</v>
      </c>
    </row>
    <row r="217" spans="3:21" ht="13">
      <c r="C217" s="666" t="s">
        <v>77</v>
      </c>
      <c r="D217" s="667">
        <v>10.783008789062499</v>
      </c>
      <c r="E217" s="667">
        <v>298.46437759387055</v>
      </c>
      <c r="F217" s="667">
        <v>-273.54878724634494</v>
      </c>
      <c r="G217" s="667">
        <v>-16.310777823492739</v>
      </c>
      <c r="H217" s="675">
        <v>21.447638590494105</v>
      </c>
      <c r="I217" s="667">
        <v>0</v>
      </c>
      <c r="J217" s="667">
        <v>964.52942056246673</v>
      </c>
      <c r="K217" s="667">
        <v>311.46236031836668</v>
      </c>
      <c r="L217" s="667">
        <v>238.48922029753334</v>
      </c>
      <c r="M217" s="667">
        <v>24.462268139001523</v>
      </c>
      <c r="N217" s="667">
        <v>-100.71549458937382</v>
      </c>
      <c r="O217" s="667">
        <v>-57.968708014051209</v>
      </c>
      <c r="P217" s="667">
        <v>0</v>
      </c>
      <c r="Q217" s="667">
        <v>15.930004191028587</v>
      </c>
      <c r="R217" s="667">
        <v>-501.82611589256055</v>
      </c>
      <c r="S217" s="667">
        <v>-64.71671371436112</v>
      </c>
      <c r="T217" s="667">
        <v>-30.110537272035845</v>
      </c>
      <c r="U217" s="667">
        <v>840.37116392960388</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3.0761682303728053</v>
      </c>
      <c r="E219" s="663">
        <v>0</v>
      </c>
      <c r="F219" s="663">
        <v>6.6351508306047968</v>
      </c>
      <c r="G219" s="663">
        <v>0</v>
      </c>
      <c r="H219" s="663">
        <v>38.528321178569939</v>
      </c>
      <c r="I219" s="663">
        <v>0</v>
      </c>
      <c r="J219" s="663">
        <v>0</v>
      </c>
      <c r="K219" s="663">
        <v>0</v>
      </c>
      <c r="L219" s="663">
        <v>20.031105646676835</v>
      </c>
      <c r="M219" s="663">
        <v>2.4349588281846541</v>
      </c>
      <c r="N219" s="663">
        <v>1.8349433718750003</v>
      </c>
      <c r="O219" s="663">
        <v>23.451101372697913</v>
      </c>
      <c r="P219" s="663">
        <v>6.8164926757812498</v>
      </c>
      <c r="Q219" s="663">
        <v>7.4990210834655101E-4</v>
      </c>
      <c r="R219" s="663">
        <v>132.01210341841889</v>
      </c>
      <c r="S219" s="663">
        <v>18.207144124668375</v>
      </c>
      <c r="T219" s="663">
        <v>4.1350366210937501</v>
      </c>
      <c r="U219" s="671">
        <v>257.16327620105255</v>
      </c>
    </row>
    <row r="220" spans="3:21" ht="13">
      <c r="C220" s="670" t="s">
        <v>79</v>
      </c>
      <c r="D220" s="663">
        <v>0</v>
      </c>
      <c r="E220" s="663">
        <v>0</v>
      </c>
      <c r="F220" s="663">
        <v>110.91379205811297</v>
      </c>
      <c r="G220" s="663">
        <v>0.7006243456433674</v>
      </c>
      <c r="H220" s="663">
        <v>3.7872267703464977</v>
      </c>
      <c r="I220" s="663">
        <v>0</v>
      </c>
      <c r="J220" s="663">
        <v>0</v>
      </c>
      <c r="K220" s="663">
        <v>0</v>
      </c>
      <c r="L220" s="663">
        <v>0</v>
      </c>
      <c r="M220" s="663">
        <v>0</v>
      </c>
      <c r="N220" s="663">
        <v>63.547118628094331</v>
      </c>
      <c r="O220" s="663">
        <v>2.3015622495031773</v>
      </c>
      <c r="P220" s="663">
        <v>0</v>
      </c>
      <c r="Q220" s="663">
        <v>0</v>
      </c>
      <c r="R220" s="663">
        <v>74.297767208409297</v>
      </c>
      <c r="S220" s="663">
        <v>0</v>
      </c>
      <c r="T220" s="663">
        <v>2.9567259991236208</v>
      </c>
      <c r="U220" s="671">
        <v>258.50481725923328</v>
      </c>
    </row>
    <row r="221" spans="3:21" ht="13">
      <c r="C221" s="670" t="s">
        <v>80</v>
      </c>
      <c r="D221" s="663">
        <v>0</v>
      </c>
      <c r="E221" s="663">
        <v>0</v>
      </c>
      <c r="F221" s="663">
        <v>2.6564398035767778</v>
      </c>
      <c r="G221" s="663">
        <v>0</v>
      </c>
      <c r="H221" s="663">
        <v>28.69836522821614</v>
      </c>
      <c r="I221" s="663">
        <v>0</v>
      </c>
      <c r="J221" s="663">
        <v>0</v>
      </c>
      <c r="K221" s="663">
        <v>0</v>
      </c>
      <c r="L221" s="663">
        <v>35.896639108009097</v>
      </c>
      <c r="M221" s="663">
        <v>0</v>
      </c>
      <c r="N221" s="663">
        <v>0</v>
      </c>
      <c r="O221" s="663">
        <v>17.440485621005948</v>
      </c>
      <c r="P221" s="663">
        <v>97.288022909546527</v>
      </c>
      <c r="Q221" s="663">
        <v>2.574236293616976</v>
      </c>
      <c r="R221" s="663">
        <v>153.30644884049457</v>
      </c>
      <c r="S221" s="663">
        <v>27.523160685886953</v>
      </c>
      <c r="T221" s="663">
        <v>0</v>
      </c>
      <c r="U221" s="671">
        <v>365.383798490353</v>
      </c>
    </row>
    <row r="222" spans="3:21" ht="13">
      <c r="C222" s="670" t="s">
        <v>81</v>
      </c>
      <c r="D222" s="663">
        <v>0</v>
      </c>
      <c r="E222" s="663">
        <v>0</v>
      </c>
      <c r="F222" s="663">
        <v>2.1807410006338563</v>
      </c>
      <c r="G222" s="663">
        <v>0</v>
      </c>
      <c r="H222" s="663">
        <v>15.077359159365459</v>
      </c>
      <c r="I222" s="663">
        <v>0</v>
      </c>
      <c r="J222" s="663">
        <v>0</v>
      </c>
      <c r="K222" s="663">
        <v>0</v>
      </c>
      <c r="L222" s="663">
        <v>0.41672235765550286</v>
      </c>
      <c r="M222" s="663">
        <v>4.2787984175547016E-4</v>
      </c>
      <c r="N222" s="663">
        <v>0</v>
      </c>
      <c r="O222" s="663">
        <v>9.1627681064954078</v>
      </c>
      <c r="P222" s="663">
        <v>23.435320327740932</v>
      </c>
      <c r="Q222" s="663">
        <v>0.98358432216492664</v>
      </c>
      <c r="R222" s="663">
        <v>94.082065678581444</v>
      </c>
      <c r="S222" s="663">
        <v>18.986408903805792</v>
      </c>
      <c r="T222" s="663">
        <v>0</v>
      </c>
      <c r="U222" s="671">
        <v>164.32539773628508</v>
      </c>
    </row>
    <row r="223" spans="3:21" ht="13">
      <c r="C223" s="670" t="s">
        <v>82</v>
      </c>
      <c r="D223" s="663">
        <v>0</v>
      </c>
      <c r="E223" s="663">
        <v>0</v>
      </c>
      <c r="F223" s="663">
        <v>12.977219358559188</v>
      </c>
      <c r="G223" s="663">
        <v>1</v>
      </c>
      <c r="H223" s="663">
        <v>1.1408122878946925</v>
      </c>
      <c r="I223" s="663">
        <v>0</v>
      </c>
      <c r="J223" s="663">
        <v>0</v>
      </c>
      <c r="K223" s="663">
        <v>0</v>
      </c>
      <c r="L223" s="663">
        <v>3.1334095930613137</v>
      </c>
      <c r="M223" s="663">
        <v>0</v>
      </c>
      <c r="N223" s="663">
        <v>12.27694106679661</v>
      </c>
      <c r="O223" s="663">
        <v>0.69329106884918612</v>
      </c>
      <c r="P223" s="663">
        <v>0.9</v>
      </c>
      <c r="Q223" s="663">
        <v>1.1655332190637568</v>
      </c>
      <c r="R223" s="663">
        <v>7.7417893836432903</v>
      </c>
      <c r="S223" s="663">
        <v>0</v>
      </c>
      <c r="T223" s="663">
        <v>0.29485655237537339</v>
      </c>
      <c r="U223" s="671">
        <v>41.3238525302434</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1.118304</v>
      </c>
      <c r="S224" s="663">
        <v>0</v>
      </c>
      <c r="T224" s="663">
        <v>0</v>
      </c>
      <c r="U224" s="671">
        <v>1.118304</v>
      </c>
    </row>
    <row r="225" spans="3:21" ht="13">
      <c r="C225" s="666" t="s">
        <v>83</v>
      </c>
      <c r="D225" s="667">
        <v>3.0761682303728053</v>
      </c>
      <c r="E225" s="667">
        <v>0</v>
      </c>
      <c r="F225" s="667">
        <v>135.36334305148762</v>
      </c>
      <c r="G225" s="667">
        <v>1.7006243456433674</v>
      </c>
      <c r="H225" s="675">
        <v>87.232084624392726</v>
      </c>
      <c r="I225" s="667">
        <v>0</v>
      </c>
      <c r="J225" s="667">
        <v>0</v>
      </c>
      <c r="K225" s="667">
        <v>0</v>
      </c>
      <c r="L225" s="667">
        <v>59.47787670540275</v>
      </c>
      <c r="M225" s="667">
        <v>2.4353867080264098</v>
      </c>
      <c r="N225" s="667">
        <v>77.659003066765948</v>
      </c>
      <c r="O225" s="667">
        <v>53.049208418551629</v>
      </c>
      <c r="P225" s="667">
        <v>128.43983591306872</v>
      </c>
      <c r="Q225" s="667">
        <v>4.7241037369540066</v>
      </c>
      <c r="R225" s="667">
        <v>462.55847852954759</v>
      </c>
      <c r="S225" s="667">
        <v>64.71671371436112</v>
      </c>
      <c r="T225" s="667">
        <v>7.3866191725927441</v>
      </c>
      <c r="U225" s="667">
        <v>1087.8194462171675</v>
      </c>
    </row>
    <row r="226" spans="3:21" ht="13">
      <c r="C226" s="662" t="s">
        <v>84</v>
      </c>
      <c r="D226" s="663">
        <v>0</v>
      </c>
      <c r="E226" s="663">
        <v>0</v>
      </c>
      <c r="F226" s="663">
        <v>69.168370305615824</v>
      </c>
      <c r="G226" s="663">
        <v>4.7904890791412402</v>
      </c>
      <c r="H226" s="663">
        <v>7.4756631455411453</v>
      </c>
      <c r="I226" s="663">
        <v>0</v>
      </c>
      <c r="J226" s="663">
        <v>0</v>
      </c>
      <c r="K226" s="663">
        <v>0</v>
      </c>
      <c r="L226" s="663">
        <v>0.35480318782723769</v>
      </c>
      <c r="M226" s="663">
        <v>0</v>
      </c>
      <c r="N226" s="663">
        <v>14.992643279712595</v>
      </c>
      <c r="O226" s="663">
        <v>2.3404115799640408</v>
      </c>
      <c r="P226" s="663">
        <v>0</v>
      </c>
      <c r="Q226" s="663">
        <v>0</v>
      </c>
      <c r="R226" s="663">
        <v>0</v>
      </c>
      <c r="S226" s="663">
        <v>0</v>
      </c>
      <c r="T226" s="663">
        <v>22.267864395510532</v>
      </c>
      <c r="U226" s="671">
        <v>121.39024497331262</v>
      </c>
    </row>
    <row r="227" spans="3:21" ht="13">
      <c r="C227" s="666" t="s">
        <v>85</v>
      </c>
      <c r="D227" s="667">
        <v>3.0761682303728053</v>
      </c>
      <c r="E227" s="667">
        <v>0</v>
      </c>
      <c r="F227" s="667">
        <v>204.53171335710346</v>
      </c>
      <c r="G227" s="667">
        <v>6.4911134247846078</v>
      </c>
      <c r="H227" s="675">
        <v>94.707747769933874</v>
      </c>
      <c r="I227" s="667">
        <v>0</v>
      </c>
      <c r="J227" s="667">
        <v>0</v>
      </c>
      <c r="K227" s="667">
        <v>0</v>
      </c>
      <c r="L227" s="667">
        <v>59.832679893229987</v>
      </c>
      <c r="M227" s="667">
        <v>2.4353867080264098</v>
      </c>
      <c r="N227" s="667">
        <v>92.651646346478543</v>
      </c>
      <c r="O227" s="667">
        <v>55.38961999851567</v>
      </c>
      <c r="P227" s="667">
        <v>128.43983591306872</v>
      </c>
      <c r="Q227" s="667">
        <v>4.7241037369540066</v>
      </c>
      <c r="R227" s="667">
        <v>462.55847852954759</v>
      </c>
      <c r="S227" s="667">
        <v>64.71671371436112</v>
      </c>
      <c r="T227" s="667">
        <v>29.654483568103277</v>
      </c>
      <c r="U227" s="667">
        <v>1209.20969119048</v>
      </c>
    </row>
    <row r="228" spans="3:21">
      <c r="C228" s="654"/>
      <c r="D228" s="672">
        <v>0</v>
      </c>
      <c r="E228" s="672">
        <v>0</v>
      </c>
      <c r="F228" s="672">
        <v>0</v>
      </c>
      <c r="G228" s="672">
        <v>0</v>
      </c>
      <c r="H228" s="672">
        <v>0</v>
      </c>
      <c r="I228" s="672">
        <v>0</v>
      </c>
      <c r="J228" s="672">
        <v>0</v>
      </c>
      <c r="K228" s="672">
        <v>0</v>
      </c>
      <c r="L228" s="672">
        <v>0</v>
      </c>
      <c r="M228" s="672">
        <v>0</v>
      </c>
      <c r="N228" s="672">
        <v>0</v>
      </c>
      <c r="O228" s="672">
        <v>-1.1546319456101628E-14</v>
      </c>
      <c r="P228" s="672">
        <v>0</v>
      </c>
      <c r="Q228" s="672">
        <v>0</v>
      </c>
      <c r="R228" s="672">
        <v>5.6843418860808015E-14</v>
      </c>
      <c r="S228" s="672">
        <v>0</v>
      </c>
      <c r="T228" s="672">
        <v>9.9920072216264089E-16</v>
      </c>
      <c r="U228" s="672">
        <v>0</v>
      </c>
    </row>
    <row r="229" spans="3:21">
      <c r="C229" s="654"/>
      <c r="D229" s="654"/>
      <c r="E229" s="654"/>
      <c r="F229" s="654"/>
      <c r="G229" s="654"/>
      <c r="H229" s="654"/>
      <c r="I229" s="654"/>
      <c r="J229" s="654"/>
      <c r="K229" s="654"/>
      <c r="L229" s="654"/>
      <c r="M229" s="654"/>
      <c r="N229" s="654"/>
      <c r="O229" s="654"/>
      <c r="P229" s="654"/>
      <c r="Q229" s="654"/>
      <c r="R229" s="654"/>
      <c r="S229" s="654"/>
      <c r="T229" s="654"/>
      <c r="U229" s="654"/>
    </row>
    <row r="230" spans="3:21" ht="14.5">
      <c r="C230" s="658" t="s">
        <v>363</v>
      </c>
      <c r="D230" s="659"/>
      <c r="E230" s="659"/>
      <c r="F230" s="659"/>
      <c r="G230" s="659"/>
      <c r="H230" s="659"/>
      <c r="I230" s="659"/>
      <c r="J230" s="659"/>
      <c r="K230" s="659"/>
      <c r="L230" s="659"/>
      <c r="M230" s="659"/>
      <c r="N230" s="659"/>
      <c r="O230" s="659"/>
      <c r="P230" s="659"/>
      <c r="Q230" s="659"/>
      <c r="R230" s="659"/>
      <c r="S230" s="659"/>
      <c r="T230" s="659"/>
      <c r="U230" s="659"/>
    </row>
    <row r="231" spans="3:21">
      <c r="C231" s="654"/>
      <c r="D231" s="654"/>
      <c r="E231" s="654"/>
      <c r="F231" s="654"/>
      <c r="G231" s="654"/>
      <c r="H231" s="654"/>
      <c r="I231" s="654"/>
      <c r="J231" s="654"/>
      <c r="K231" s="654"/>
      <c r="L231" s="654"/>
      <c r="M231" s="654"/>
      <c r="N231" s="654"/>
      <c r="O231" s="654"/>
      <c r="P231" s="654"/>
      <c r="Q231" s="654"/>
      <c r="R231" s="654"/>
      <c r="S231" s="654"/>
      <c r="T231" s="654"/>
      <c r="U231" s="654"/>
    </row>
    <row r="232" spans="3:21" ht="13">
      <c r="C232" s="706" t="s">
        <v>128</v>
      </c>
      <c r="D232" s="704" t="s">
        <v>42</v>
      </c>
      <c r="E232" s="704" t="s">
        <v>52</v>
      </c>
      <c r="F232" s="704" t="s">
        <v>53</v>
      </c>
      <c r="G232" s="704" t="s">
        <v>487</v>
      </c>
      <c r="H232" s="704" t="s">
        <v>32</v>
      </c>
      <c r="I232" s="704" t="s">
        <v>488</v>
      </c>
      <c r="J232" s="704" t="s">
        <v>20</v>
      </c>
      <c r="K232" s="704" t="s">
        <v>55</v>
      </c>
      <c r="L232" s="708" t="s">
        <v>56</v>
      </c>
      <c r="M232" s="709"/>
      <c r="N232" s="709"/>
      <c r="O232" s="709"/>
      <c r="P232" s="709"/>
      <c r="Q232" s="710"/>
      <c r="R232" s="704" t="s">
        <v>57</v>
      </c>
      <c r="S232" s="704" t="s">
        <v>58</v>
      </c>
      <c r="T232" s="704" t="s">
        <v>31</v>
      </c>
      <c r="U232" s="704" t="s">
        <v>10</v>
      </c>
    </row>
    <row r="233" spans="3:21" ht="36">
      <c r="C233" s="707"/>
      <c r="D233" s="705"/>
      <c r="E233" s="705"/>
      <c r="F233" s="705"/>
      <c r="G233" s="705"/>
      <c r="H233" s="705"/>
      <c r="I233" s="705"/>
      <c r="J233" s="705"/>
      <c r="K233" s="705"/>
      <c r="L233" s="660" t="s">
        <v>338</v>
      </c>
      <c r="M233" s="660" t="s">
        <v>40</v>
      </c>
      <c r="N233" s="660" t="s">
        <v>346</v>
      </c>
      <c r="O233" s="660" t="s">
        <v>347</v>
      </c>
      <c r="P233" s="661" t="s">
        <v>348</v>
      </c>
      <c r="Q233" s="660" t="s">
        <v>349</v>
      </c>
      <c r="R233" s="705"/>
      <c r="S233" s="705"/>
      <c r="T233" s="705"/>
      <c r="U233" s="705"/>
    </row>
    <row r="234" spans="3:21" ht="13">
      <c r="C234" s="662" t="s">
        <v>59</v>
      </c>
      <c r="D234" s="663">
        <v>0</v>
      </c>
      <c r="E234" s="663">
        <v>0</v>
      </c>
      <c r="F234" s="663">
        <v>0</v>
      </c>
      <c r="G234" s="663">
        <v>0</v>
      </c>
      <c r="H234" s="663">
        <v>0</v>
      </c>
      <c r="I234" s="663">
        <v>0</v>
      </c>
      <c r="J234" s="664">
        <v>965.91438750259681</v>
      </c>
      <c r="K234" s="664">
        <v>340.77058420783555</v>
      </c>
      <c r="L234" s="664">
        <v>306.24907142960961</v>
      </c>
      <c r="M234" s="664">
        <v>26.996685887157991</v>
      </c>
      <c r="N234" s="663">
        <v>1.5769202529293118</v>
      </c>
      <c r="O234" s="663">
        <v>0.16705675062100381</v>
      </c>
      <c r="P234" s="664">
        <v>137.63232647396575</v>
      </c>
      <c r="Q234" s="664">
        <v>22.505061443653027</v>
      </c>
      <c r="R234" s="663">
        <v>0</v>
      </c>
      <c r="S234" s="663">
        <v>0</v>
      </c>
      <c r="T234" s="663">
        <v>0</v>
      </c>
      <c r="U234" s="665">
        <v>1801.812093948369</v>
      </c>
    </row>
    <row r="235" spans="3:21" ht="13">
      <c r="C235" s="662" t="s">
        <v>60</v>
      </c>
      <c r="D235" s="663">
        <v>12.402103294712147</v>
      </c>
      <c r="E235" s="663">
        <v>267.59952869557856</v>
      </c>
      <c r="F235" s="663">
        <v>4.6624671135986846</v>
      </c>
      <c r="G235" s="663">
        <v>0</v>
      </c>
      <c r="H235" s="663">
        <v>96.376212667923994</v>
      </c>
      <c r="I235" s="663">
        <v>0</v>
      </c>
      <c r="J235" s="663">
        <v>0</v>
      </c>
      <c r="K235" s="663">
        <v>0</v>
      </c>
      <c r="L235" s="663">
        <v>4.1311012816916577</v>
      </c>
      <c r="M235" s="663">
        <v>0</v>
      </c>
      <c r="N235" s="663">
        <v>4.3268221557656901</v>
      </c>
      <c r="O235" s="663">
        <v>0</v>
      </c>
      <c r="P235" s="663">
        <v>0</v>
      </c>
      <c r="Q235" s="663">
        <v>0</v>
      </c>
      <c r="R235" s="663">
        <v>0</v>
      </c>
      <c r="S235" s="663">
        <v>0</v>
      </c>
      <c r="T235" s="663">
        <v>0</v>
      </c>
      <c r="U235" s="665">
        <v>389.49823520927077</v>
      </c>
    </row>
    <row r="236" spans="3:21" ht="13">
      <c r="C236" s="662" t="s">
        <v>61</v>
      </c>
      <c r="D236" s="663">
        <v>0</v>
      </c>
      <c r="E236" s="663">
        <v>0</v>
      </c>
      <c r="F236" s="663">
        <v>-48.857560720144178</v>
      </c>
      <c r="G236" s="663">
        <v>-1.2901681691857902E-2</v>
      </c>
      <c r="H236" s="663">
        <v>0</v>
      </c>
      <c r="I236" s="663">
        <v>0</v>
      </c>
      <c r="J236" s="663">
        <v>0</v>
      </c>
      <c r="K236" s="663">
        <v>0</v>
      </c>
      <c r="L236" s="663">
        <v>0</v>
      </c>
      <c r="M236" s="663">
        <v>0</v>
      </c>
      <c r="N236" s="663">
        <v>0</v>
      </c>
      <c r="O236" s="663">
        <v>0</v>
      </c>
      <c r="P236" s="663">
        <v>0</v>
      </c>
      <c r="Q236" s="663">
        <v>0</v>
      </c>
      <c r="R236" s="663">
        <v>-40.000273468658179</v>
      </c>
      <c r="S236" s="663">
        <v>0</v>
      </c>
      <c r="T236" s="663">
        <v>0</v>
      </c>
      <c r="U236" s="665">
        <v>-88.870735870494215</v>
      </c>
    </row>
    <row r="237" spans="3:21" ht="13">
      <c r="C237" s="662" t="s">
        <v>62</v>
      </c>
      <c r="D237" s="663">
        <v>0</v>
      </c>
      <c r="E237" s="663">
        <v>0</v>
      </c>
      <c r="F237" s="663">
        <v>-9.1118704229779723</v>
      </c>
      <c r="G237" s="663">
        <v>-2.3970976911906821</v>
      </c>
      <c r="H237" s="663">
        <v>-2.3731267142787753</v>
      </c>
      <c r="I237" s="663">
        <v>0</v>
      </c>
      <c r="J237" s="663">
        <v>0</v>
      </c>
      <c r="K237" s="663">
        <v>0</v>
      </c>
      <c r="L237" s="663">
        <v>0</v>
      </c>
      <c r="M237" s="663">
        <v>0</v>
      </c>
      <c r="N237" s="663">
        <v>-0.47941953823813638</v>
      </c>
      <c r="O237" s="663">
        <v>-1.9416491298644523</v>
      </c>
      <c r="P237" s="663">
        <v>0</v>
      </c>
      <c r="Q237" s="663">
        <v>0</v>
      </c>
      <c r="R237" s="663">
        <v>0</v>
      </c>
      <c r="S237" s="663">
        <v>0</v>
      </c>
      <c r="T237" s="663">
        <v>0</v>
      </c>
      <c r="U237" s="665">
        <v>-16.30316349655002</v>
      </c>
    </row>
    <row r="238" spans="3:21" ht="13">
      <c r="C238" s="662" t="s">
        <v>63</v>
      </c>
      <c r="D238" s="663">
        <v>0</v>
      </c>
      <c r="E238" s="663">
        <v>0</v>
      </c>
      <c r="F238" s="663">
        <v>-46.962205061788246</v>
      </c>
      <c r="G238" s="663">
        <v>-11.133901046695911</v>
      </c>
      <c r="H238" s="663">
        <v>0</v>
      </c>
      <c r="I238" s="663">
        <v>0</v>
      </c>
      <c r="J238" s="663">
        <v>0</v>
      </c>
      <c r="K238" s="663">
        <v>0</v>
      </c>
      <c r="L238" s="663">
        <v>0</v>
      </c>
      <c r="M238" s="663">
        <v>0</v>
      </c>
      <c r="N238" s="663">
        <v>-14.072022489882162</v>
      </c>
      <c r="O238" s="663">
        <v>0</v>
      </c>
      <c r="P238" s="663">
        <v>0</v>
      </c>
      <c r="Q238" s="663">
        <v>0</v>
      </c>
      <c r="R238" s="663">
        <v>0</v>
      </c>
      <c r="S238" s="663">
        <v>0</v>
      </c>
      <c r="T238" s="663">
        <v>-0.66460812232862176</v>
      </c>
      <c r="U238" s="665">
        <v>-72.832736720694939</v>
      </c>
    </row>
    <row r="239" spans="3:21" ht="13">
      <c r="C239" s="662" t="s">
        <v>64</v>
      </c>
      <c r="D239" s="663">
        <v>0</v>
      </c>
      <c r="E239" s="663">
        <v>0</v>
      </c>
      <c r="F239" s="663">
        <v>0</v>
      </c>
      <c r="G239" s="663">
        <v>0</v>
      </c>
      <c r="H239" s="663">
        <v>0</v>
      </c>
      <c r="I239" s="663">
        <v>0</v>
      </c>
      <c r="J239" s="663">
        <v>0</v>
      </c>
      <c r="K239" s="663">
        <v>0</v>
      </c>
      <c r="L239" s="663">
        <v>0</v>
      </c>
      <c r="M239" s="663">
        <v>0</v>
      </c>
      <c r="N239" s="663">
        <v>0</v>
      </c>
      <c r="O239" s="663">
        <v>0</v>
      </c>
      <c r="P239" s="663">
        <v>0</v>
      </c>
      <c r="Q239" s="663">
        <v>0</v>
      </c>
      <c r="R239" s="663">
        <v>0</v>
      </c>
      <c r="S239" s="663">
        <v>0</v>
      </c>
      <c r="T239" s="663">
        <v>0</v>
      </c>
      <c r="U239" s="665">
        <v>0</v>
      </c>
    </row>
    <row r="240" spans="3:21" ht="13">
      <c r="C240" s="666" t="s">
        <v>65</v>
      </c>
      <c r="D240" s="667">
        <v>12.402103294712147</v>
      </c>
      <c r="E240" s="667">
        <v>267.59952869557856</v>
      </c>
      <c r="F240" s="667">
        <v>-100.26916909131171</v>
      </c>
      <c r="G240" s="667">
        <v>-13.543900419578451</v>
      </c>
      <c r="H240" s="675">
        <v>94.003085953645225</v>
      </c>
      <c r="I240" s="667">
        <v>0</v>
      </c>
      <c r="J240" s="667">
        <v>965.91438750259681</v>
      </c>
      <c r="K240" s="667">
        <v>340.77058420783555</v>
      </c>
      <c r="L240" s="667">
        <v>310.38017271130127</v>
      </c>
      <c r="M240" s="667">
        <v>26.996685887157991</v>
      </c>
      <c r="N240" s="667">
        <v>-8.647699619425298</v>
      </c>
      <c r="O240" s="667">
        <v>-1.7745923792434484</v>
      </c>
      <c r="P240" s="667">
        <v>137.63232647396575</v>
      </c>
      <c r="Q240" s="667">
        <v>22.505061443653027</v>
      </c>
      <c r="R240" s="667">
        <v>-40.000273468658179</v>
      </c>
      <c r="S240" s="667">
        <v>0</v>
      </c>
      <c r="T240" s="667">
        <v>-0.66460812232862176</v>
      </c>
      <c r="U240" s="667">
        <v>2013.3036930699004</v>
      </c>
    </row>
    <row r="241" spans="3:21" ht="13">
      <c r="C241" s="668"/>
      <c r="D241" s="669">
        <v>0</v>
      </c>
      <c r="E241" s="669">
        <v>0</v>
      </c>
      <c r="F241" s="669">
        <v>0</v>
      </c>
      <c r="G241" s="669">
        <v>0</v>
      </c>
      <c r="H241" s="676">
        <v>0</v>
      </c>
      <c r="I241" s="669">
        <v>0</v>
      </c>
      <c r="J241" s="669">
        <v>0</v>
      </c>
      <c r="K241" s="669">
        <v>0</v>
      </c>
      <c r="L241" s="669">
        <v>0</v>
      </c>
      <c r="M241" s="669">
        <v>0</v>
      </c>
      <c r="N241" s="669">
        <v>0</v>
      </c>
      <c r="O241" s="669">
        <v>0</v>
      </c>
      <c r="P241" s="669">
        <v>0</v>
      </c>
      <c r="Q241" s="669">
        <v>0</v>
      </c>
      <c r="R241" s="669">
        <v>0</v>
      </c>
      <c r="S241" s="669">
        <v>0</v>
      </c>
      <c r="T241" s="669">
        <v>0</v>
      </c>
      <c r="U241" s="669">
        <v>0</v>
      </c>
    </row>
    <row r="242" spans="3:21" ht="13">
      <c r="C242" s="670" t="s">
        <v>67</v>
      </c>
      <c r="D242" s="663">
        <v>0</v>
      </c>
      <c r="E242" s="663">
        <v>0</v>
      </c>
      <c r="F242" s="663">
        <v>0</v>
      </c>
      <c r="G242" s="663">
        <v>0</v>
      </c>
      <c r="H242" s="663">
        <v>0</v>
      </c>
      <c r="I242" s="663">
        <v>0</v>
      </c>
      <c r="J242" s="663">
        <v>0</v>
      </c>
      <c r="K242" s="663">
        <v>0</v>
      </c>
      <c r="L242" s="663">
        <v>0</v>
      </c>
      <c r="M242" s="663">
        <v>0</v>
      </c>
      <c r="N242" s="663">
        <v>0</v>
      </c>
      <c r="O242" s="663">
        <v>0</v>
      </c>
      <c r="P242" s="663">
        <v>0</v>
      </c>
      <c r="Q242" s="663">
        <v>0</v>
      </c>
      <c r="R242" s="663">
        <v>0</v>
      </c>
      <c r="S242" s="663">
        <v>0</v>
      </c>
      <c r="T242" s="663">
        <v>0</v>
      </c>
      <c r="U242" s="671">
        <v>0</v>
      </c>
    </row>
    <row r="243" spans="3:21" ht="13">
      <c r="C243" s="670" t="s">
        <v>350</v>
      </c>
      <c r="D243" s="663">
        <v>0</v>
      </c>
      <c r="E243" s="663">
        <v>0</v>
      </c>
      <c r="F243" s="663">
        <v>6.6151953400033478E-2</v>
      </c>
      <c r="G243" s="663">
        <v>0</v>
      </c>
      <c r="H243" s="663">
        <v>5.4310272511854434</v>
      </c>
      <c r="I243" s="663">
        <v>0</v>
      </c>
      <c r="J243" s="663">
        <v>965.91438750259681</v>
      </c>
      <c r="K243" s="663">
        <v>340.77058420783555</v>
      </c>
      <c r="L243" s="663">
        <v>20.176267010584041</v>
      </c>
      <c r="M243" s="663">
        <v>10.227645630646329</v>
      </c>
      <c r="N243" s="663">
        <v>5.6269378379330357</v>
      </c>
      <c r="O243" s="663">
        <v>1.4716569620482758</v>
      </c>
      <c r="P243" s="663">
        <v>0</v>
      </c>
      <c r="Q243" s="663">
        <v>6.4327567473291545</v>
      </c>
      <c r="R243" s="663">
        <v>-682.09415881935547</v>
      </c>
      <c r="S243" s="663">
        <v>0</v>
      </c>
      <c r="T243" s="663">
        <v>3.1982839297450432</v>
      </c>
      <c r="U243" s="671">
        <v>677.22154021394851</v>
      </c>
    </row>
    <row r="244" spans="3:21" ht="13">
      <c r="C244" s="670" t="s">
        <v>351</v>
      </c>
      <c r="D244" s="663">
        <v>0</v>
      </c>
      <c r="E244" s="663">
        <v>0</v>
      </c>
      <c r="F244" s="663">
        <v>0</v>
      </c>
      <c r="G244" s="663">
        <v>0</v>
      </c>
      <c r="H244" s="663">
        <v>7.4585129183309293</v>
      </c>
      <c r="I244" s="663">
        <v>0</v>
      </c>
      <c r="J244" s="663">
        <v>0</v>
      </c>
      <c r="K244" s="663">
        <v>0</v>
      </c>
      <c r="L244" s="663">
        <v>35.547730315639996</v>
      </c>
      <c r="M244" s="663">
        <v>14.387113593265058</v>
      </c>
      <c r="N244" s="663">
        <v>0</v>
      </c>
      <c r="O244" s="663">
        <v>6.1169134542385972</v>
      </c>
      <c r="P244" s="663">
        <v>0</v>
      </c>
      <c r="Q244" s="663">
        <v>11.02899005085181</v>
      </c>
      <c r="R244" s="663">
        <v>0</v>
      </c>
      <c r="S244" s="663">
        <v>-69.303608577230833</v>
      </c>
      <c r="T244" s="663">
        <v>0</v>
      </c>
      <c r="U244" s="671">
        <v>5.235651755095569</v>
      </c>
    </row>
    <row r="245" spans="3:21" ht="13">
      <c r="C245" s="670" t="s">
        <v>352</v>
      </c>
      <c r="D245" s="663">
        <v>0</v>
      </c>
      <c r="E245" s="663">
        <v>0</v>
      </c>
      <c r="F245" s="663">
        <v>0</v>
      </c>
      <c r="G245" s="663">
        <v>0</v>
      </c>
      <c r="H245" s="663">
        <v>0</v>
      </c>
      <c r="I245" s="663">
        <v>0</v>
      </c>
      <c r="J245" s="663">
        <v>0</v>
      </c>
      <c r="K245" s="663">
        <v>0</v>
      </c>
      <c r="L245" s="663">
        <v>78.995354979464977</v>
      </c>
      <c r="M245" s="663">
        <v>0</v>
      </c>
      <c r="N245" s="663">
        <v>0</v>
      </c>
      <c r="O245" s="663">
        <v>-72.973515141642281</v>
      </c>
      <c r="P245" s="663">
        <v>0</v>
      </c>
      <c r="Q245" s="663">
        <v>0</v>
      </c>
      <c r="R245" s="663">
        <v>0</v>
      </c>
      <c r="S245" s="663">
        <v>0</v>
      </c>
      <c r="T245" s="663">
        <v>0</v>
      </c>
      <c r="U245" s="671">
        <v>6.0218398378226965</v>
      </c>
    </row>
    <row r="246" spans="3:21" ht="13">
      <c r="C246" s="670" t="s">
        <v>353</v>
      </c>
      <c r="D246" s="663">
        <v>0</v>
      </c>
      <c r="E246" s="663">
        <v>0</v>
      </c>
      <c r="F246" s="663">
        <v>0</v>
      </c>
      <c r="G246" s="663">
        <v>0</v>
      </c>
      <c r="H246" s="663">
        <v>0</v>
      </c>
      <c r="I246" s="663">
        <v>0</v>
      </c>
      <c r="J246" s="663">
        <v>0</v>
      </c>
      <c r="K246" s="663">
        <v>0</v>
      </c>
      <c r="L246" s="663">
        <v>0</v>
      </c>
      <c r="M246" s="663">
        <v>0</v>
      </c>
      <c r="N246" s="663">
        <v>0</v>
      </c>
      <c r="O246" s="663">
        <v>0</v>
      </c>
      <c r="P246" s="663">
        <v>0</v>
      </c>
      <c r="Q246" s="663">
        <v>0</v>
      </c>
      <c r="R246" s="663">
        <v>0</v>
      </c>
      <c r="S246" s="663">
        <v>0</v>
      </c>
      <c r="T246" s="663">
        <v>0</v>
      </c>
      <c r="U246" s="671">
        <v>0</v>
      </c>
    </row>
    <row r="247" spans="3:21" ht="13">
      <c r="C247" s="670" t="s">
        <v>72</v>
      </c>
      <c r="D247" s="663">
        <v>0</v>
      </c>
      <c r="E247" s="663">
        <v>277.28994248668886</v>
      </c>
      <c r="F247" s="663">
        <v>-274.5252708068171</v>
      </c>
      <c r="G247" s="663">
        <v>0</v>
      </c>
      <c r="H247" s="663">
        <v>0</v>
      </c>
      <c r="I247" s="663">
        <v>0</v>
      </c>
      <c r="J247" s="663">
        <v>0</v>
      </c>
      <c r="K247" s="663">
        <v>0</v>
      </c>
      <c r="L247" s="663">
        <v>0</v>
      </c>
      <c r="M247" s="663">
        <v>0</v>
      </c>
      <c r="N247" s="663">
        <v>0</v>
      </c>
      <c r="O247" s="663">
        <v>0</v>
      </c>
      <c r="P247" s="663">
        <v>0</v>
      </c>
      <c r="Q247" s="663">
        <v>0</v>
      </c>
      <c r="R247" s="663">
        <v>0</v>
      </c>
      <c r="S247" s="663">
        <v>0</v>
      </c>
      <c r="T247" s="663">
        <v>0</v>
      </c>
      <c r="U247" s="671">
        <v>2.7646716798717357</v>
      </c>
    </row>
    <row r="248" spans="3:21" ht="13">
      <c r="C248" s="670" t="s">
        <v>354</v>
      </c>
      <c r="D248" s="663">
        <v>0</v>
      </c>
      <c r="E248" s="663">
        <v>0</v>
      </c>
      <c r="F248" s="663">
        <v>0</v>
      </c>
      <c r="G248" s="663">
        <v>0</v>
      </c>
      <c r="H248" s="663">
        <v>0</v>
      </c>
      <c r="I248" s="663">
        <v>0</v>
      </c>
      <c r="J248" s="663">
        <v>0</v>
      </c>
      <c r="K248" s="663">
        <v>0</v>
      </c>
      <c r="L248" s="663">
        <v>117.50933865541684</v>
      </c>
      <c r="M248" s="663">
        <v>0</v>
      </c>
      <c r="N248" s="663">
        <v>-117.50933865541684</v>
      </c>
      <c r="O248" s="663">
        <v>0</v>
      </c>
      <c r="P248" s="663">
        <v>0</v>
      </c>
      <c r="Q248" s="663">
        <v>0</v>
      </c>
      <c r="R248" s="663">
        <v>0</v>
      </c>
      <c r="S248" s="663">
        <v>0</v>
      </c>
      <c r="T248" s="663">
        <v>0</v>
      </c>
      <c r="U248" s="671">
        <v>0</v>
      </c>
    </row>
    <row r="249" spans="3:21" ht="13">
      <c r="C249" s="670" t="s">
        <v>355</v>
      </c>
      <c r="D249" s="663">
        <v>0</v>
      </c>
      <c r="E249" s="663">
        <v>0</v>
      </c>
      <c r="F249" s="663">
        <v>0</v>
      </c>
      <c r="G249" s="663">
        <v>-21.910962558722186</v>
      </c>
      <c r="H249" s="663">
        <v>0</v>
      </c>
      <c r="I249" s="663">
        <v>0</v>
      </c>
      <c r="J249" s="663">
        <v>0</v>
      </c>
      <c r="K249" s="663">
        <v>0</v>
      </c>
      <c r="L249" s="663">
        <v>0</v>
      </c>
      <c r="M249" s="663">
        <v>0</v>
      </c>
      <c r="N249" s="663">
        <v>0</v>
      </c>
      <c r="O249" s="663">
        <v>0</v>
      </c>
      <c r="P249" s="663">
        <v>0</v>
      </c>
      <c r="Q249" s="663">
        <v>0</v>
      </c>
      <c r="R249" s="663">
        <v>0</v>
      </c>
      <c r="S249" s="663">
        <v>0</v>
      </c>
      <c r="T249" s="663">
        <v>30.516660945295527</v>
      </c>
      <c r="U249" s="671">
        <v>8.6056983865733407</v>
      </c>
    </row>
    <row r="250" spans="3:21" ht="13">
      <c r="C250" s="670" t="s">
        <v>73</v>
      </c>
      <c r="D250" s="663">
        <v>0</v>
      </c>
      <c r="E250" s="663">
        <v>0</v>
      </c>
      <c r="F250" s="663">
        <v>0</v>
      </c>
      <c r="G250" s="663">
        <v>0</v>
      </c>
      <c r="H250" s="663">
        <v>0</v>
      </c>
      <c r="I250" s="663">
        <v>0</v>
      </c>
      <c r="J250" s="663">
        <v>0</v>
      </c>
      <c r="K250" s="663">
        <v>0</v>
      </c>
      <c r="L250" s="663">
        <v>0</v>
      </c>
      <c r="M250" s="663">
        <v>0</v>
      </c>
      <c r="N250" s="663">
        <v>0</v>
      </c>
      <c r="O250" s="663">
        <v>0</v>
      </c>
      <c r="P250" s="663">
        <v>0</v>
      </c>
      <c r="Q250" s="663">
        <v>0</v>
      </c>
      <c r="R250" s="663">
        <v>99.340394157506324</v>
      </c>
      <c r="S250" s="663">
        <v>0</v>
      </c>
      <c r="T250" s="663">
        <v>-68.048169997891833</v>
      </c>
      <c r="U250" s="671">
        <v>31.292224159614491</v>
      </c>
    </row>
    <row r="251" spans="3:21" ht="13">
      <c r="C251" s="670" t="s">
        <v>356</v>
      </c>
      <c r="D251" s="663">
        <v>6.9248988281249995</v>
      </c>
      <c r="E251" s="663">
        <v>-9.6904137911102683</v>
      </c>
      <c r="F251" s="663">
        <v>12.633678677299837</v>
      </c>
      <c r="G251" s="663">
        <v>0</v>
      </c>
      <c r="H251" s="663">
        <v>0</v>
      </c>
      <c r="I251" s="663">
        <v>0</v>
      </c>
      <c r="J251" s="663">
        <v>0</v>
      </c>
      <c r="K251" s="663">
        <v>0</v>
      </c>
      <c r="L251" s="663">
        <v>0</v>
      </c>
      <c r="M251" s="663">
        <v>0</v>
      </c>
      <c r="N251" s="663">
        <v>0</v>
      </c>
      <c r="O251" s="663">
        <v>0</v>
      </c>
      <c r="P251" s="663">
        <v>0</v>
      </c>
      <c r="Q251" s="663">
        <v>0</v>
      </c>
      <c r="R251" s="663">
        <v>0</v>
      </c>
      <c r="S251" s="663">
        <v>0</v>
      </c>
      <c r="T251" s="663">
        <v>0</v>
      </c>
      <c r="U251" s="671">
        <v>9.8681637143145693</v>
      </c>
    </row>
    <row r="252" spans="3:21" ht="13">
      <c r="C252" s="670" t="s">
        <v>75</v>
      </c>
      <c r="D252" s="663">
        <v>2.6930162109375</v>
      </c>
      <c r="E252" s="663">
        <v>0</v>
      </c>
      <c r="F252" s="663">
        <v>17.882981772477446</v>
      </c>
      <c r="G252" s="663">
        <v>0</v>
      </c>
      <c r="H252" s="663">
        <v>2.8438669910513061</v>
      </c>
      <c r="I252" s="663">
        <v>0</v>
      </c>
      <c r="J252" s="663">
        <v>0</v>
      </c>
      <c r="K252" s="663">
        <v>0</v>
      </c>
      <c r="L252" s="663">
        <v>0</v>
      </c>
      <c r="M252" s="663">
        <v>0</v>
      </c>
      <c r="N252" s="663">
        <v>0</v>
      </c>
      <c r="O252" s="663">
        <v>2.3268002654056139</v>
      </c>
      <c r="P252" s="663">
        <v>0</v>
      </c>
      <c r="Q252" s="663">
        <v>0</v>
      </c>
      <c r="R252" s="663">
        <v>23.896357926698794</v>
      </c>
      <c r="S252" s="663">
        <v>0</v>
      </c>
      <c r="T252" s="663">
        <v>0</v>
      </c>
      <c r="U252" s="671">
        <v>49.643023166570657</v>
      </c>
    </row>
    <row r="253" spans="3:21" ht="13">
      <c r="C253" s="670" t="s">
        <v>76</v>
      </c>
      <c r="D253" s="663">
        <v>0</v>
      </c>
      <c r="E253" s="663">
        <v>0</v>
      </c>
      <c r="F253" s="663">
        <v>0</v>
      </c>
      <c r="G253" s="663">
        <v>0</v>
      </c>
      <c r="H253" s="663">
        <v>1.042848686512976</v>
      </c>
      <c r="I253" s="663">
        <v>0</v>
      </c>
      <c r="J253" s="663">
        <v>0</v>
      </c>
      <c r="K253" s="663">
        <v>0</v>
      </c>
      <c r="L253" s="663">
        <v>0</v>
      </c>
      <c r="M253" s="663">
        <v>0</v>
      </c>
      <c r="N253" s="663">
        <v>0</v>
      </c>
      <c r="O253" s="663">
        <v>0.85323983441970752</v>
      </c>
      <c r="P253" s="663">
        <v>0</v>
      </c>
      <c r="Q253" s="663">
        <v>0</v>
      </c>
      <c r="R253" s="663">
        <v>49.147245311640418</v>
      </c>
      <c r="S253" s="663">
        <v>5.3750429512534854</v>
      </c>
      <c r="T253" s="663">
        <v>0</v>
      </c>
      <c r="U253" s="671">
        <v>56.418376783826595</v>
      </c>
    </row>
    <row r="254" spans="3:21" ht="13">
      <c r="C254" s="666" t="s">
        <v>77</v>
      </c>
      <c r="D254" s="667">
        <v>9.617915039062499</v>
      </c>
      <c r="E254" s="667">
        <v>267.59952869557856</v>
      </c>
      <c r="F254" s="667">
        <v>-243.94245840363976</v>
      </c>
      <c r="G254" s="667">
        <v>-21.910962558722186</v>
      </c>
      <c r="H254" s="675">
        <v>16.776255847080655</v>
      </c>
      <c r="I254" s="667">
        <v>0</v>
      </c>
      <c r="J254" s="667">
        <v>965.91438750259681</v>
      </c>
      <c r="K254" s="667">
        <v>340.77058420783555</v>
      </c>
      <c r="L254" s="667">
        <v>252.22869096110585</v>
      </c>
      <c r="M254" s="667">
        <v>24.614759223911388</v>
      </c>
      <c r="N254" s="667">
        <v>-111.8824008174838</v>
      </c>
      <c r="O254" s="667">
        <v>-62.204904625530084</v>
      </c>
      <c r="P254" s="667">
        <v>0</v>
      </c>
      <c r="Q254" s="667">
        <v>17.461746798180965</v>
      </c>
      <c r="R254" s="667">
        <v>-509.71016142350987</v>
      </c>
      <c r="S254" s="667">
        <v>-63.928565625977342</v>
      </c>
      <c r="T254" s="667">
        <v>-34.33322512285126</v>
      </c>
      <c r="U254" s="667">
        <v>847.07118969763815</v>
      </c>
    </row>
    <row r="255" spans="3:21" ht="13">
      <c r="C255" s="668"/>
      <c r="D255" s="669">
        <v>0</v>
      </c>
      <c r="E255" s="669">
        <v>0</v>
      </c>
      <c r="F255" s="669">
        <v>0</v>
      </c>
      <c r="G255" s="669">
        <v>0</v>
      </c>
      <c r="H255" s="676">
        <v>0</v>
      </c>
      <c r="I255" s="669">
        <v>0</v>
      </c>
      <c r="J255" s="669">
        <v>0</v>
      </c>
      <c r="K255" s="669">
        <v>0</v>
      </c>
      <c r="L255" s="669">
        <v>0</v>
      </c>
      <c r="M255" s="669">
        <v>0</v>
      </c>
      <c r="N255" s="669">
        <v>0</v>
      </c>
      <c r="O255" s="669">
        <v>0</v>
      </c>
      <c r="P255" s="669">
        <v>0</v>
      </c>
      <c r="Q255" s="669">
        <v>0</v>
      </c>
      <c r="R255" s="669">
        <v>0</v>
      </c>
      <c r="S255" s="669">
        <v>0</v>
      </c>
      <c r="T255" s="669">
        <v>0</v>
      </c>
      <c r="U255" s="669">
        <v>0</v>
      </c>
    </row>
    <row r="256" spans="3:21" ht="13">
      <c r="C256" s="670" t="s">
        <v>78</v>
      </c>
      <c r="D256" s="663">
        <v>2.7841882556496467</v>
      </c>
      <c r="E256" s="663">
        <v>0</v>
      </c>
      <c r="F256" s="663">
        <v>5.1952563518908157</v>
      </c>
      <c r="G256" s="663">
        <v>0</v>
      </c>
      <c r="H256" s="663">
        <v>31.335146641416099</v>
      </c>
      <c r="I256" s="663">
        <v>0</v>
      </c>
      <c r="J256" s="663">
        <v>0</v>
      </c>
      <c r="K256" s="663">
        <v>0</v>
      </c>
      <c r="L256" s="663">
        <v>19.866368456853682</v>
      </c>
      <c r="M256" s="663">
        <v>2.3815254498716123</v>
      </c>
      <c r="N256" s="663">
        <v>2.1415231567382813</v>
      </c>
      <c r="O256" s="663">
        <v>25.676510059650784</v>
      </c>
      <c r="P256" s="663">
        <v>7.6335380859375004</v>
      </c>
      <c r="Q256" s="663">
        <v>7.8820466826144567E-4</v>
      </c>
      <c r="R256" s="663">
        <v>133.1889583814887</v>
      </c>
      <c r="S256" s="663">
        <v>18.276712147761906</v>
      </c>
      <c r="T256" s="663">
        <v>4.7382089843750004</v>
      </c>
      <c r="U256" s="671">
        <v>253.21872417630229</v>
      </c>
    </row>
    <row r="257" spans="3:21" ht="13">
      <c r="C257" s="670" t="s">
        <v>79</v>
      </c>
      <c r="D257" s="663">
        <v>0</v>
      </c>
      <c r="E257" s="663">
        <v>0</v>
      </c>
      <c r="F257" s="663">
        <v>62.42121803575882</v>
      </c>
      <c r="G257" s="663">
        <v>0.9171283606012931</v>
      </c>
      <c r="H257" s="663">
        <v>3.2777834936114583</v>
      </c>
      <c r="I257" s="663">
        <v>0</v>
      </c>
      <c r="J257" s="663">
        <v>0</v>
      </c>
      <c r="K257" s="663">
        <v>0</v>
      </c>
      <c r="L257" s="663">
        <v>0</v>
      </c>
      <c r="M257" s="663">
        <v>0</v>
      </c>
      <c r="N257" s="663">
        <v>70.675893572317364</v>
      </c>
      <c r="O257" s="663">
        <v>2.6818228584093751</v>
      </c>
      <c r="P257" s="663">
        <v>0</v>
      </c>
      <c r="Q257" s="663">
        <v>0</v>
      </c>
      <c r="R257" s="663">
        <v>85.601807225833156</v>
      </c>
      <c r="S257" s="663">
        <v>0</v>
      </c>
      <c r="T257" s="663">
        <v>3.5812873698124483</v>
      </c>
      <c r="U257" s="671">
        <v>229.15694091634393</v>
      </c>
    </row>
    <row r="258" spans="3:21" ht="13">
      <c r="C258" s="670" t="s">
        <v>80</v>
      </c>
      <c r="D258" s="663">
        <v>0</v>
      </c>
      <c r="E258" s="663">
        <v>0</v>
      </c>
      <c r="F258" s="663">
        <v>2.2535083725168867</v>
      </c>
      <c r="G258" s="663">
        <v>0</v>
      </c>
      <c r="H258" s="663">
        <v>22.547534156690407</v>
      </c>
      <c r="I258" s="663">
        <v>0</v>
      </c>
      <c r="J258" s="663">
        <v>0</v>
      </c>
      <c r="K258" s="663">
        <v>0</v>
      </c>
      <c r="L258" s="663">
        <v>34.097641504490639</v>
      </c>
      <c r="M258" s="663">
        <v>0</v>
      </c>
      <c r="N258" s="663">
        <v>0</v>
      </c>
      <c r="O258" s="663">
        <v>18.447982491837607</v>
      </c>
      <c r="P258" s="663">
        <v>103.59461616627088</v>
      </c>
      <c r="Q258" s="663">
        <v>2.7285855468891569</v>
      </c>
      <c r="R258" s="663">
        <v>149.5228289340921</v>
      </c>
      <c r="S258" s="663">
        <v>26.593767108522837</v>
      </c>
      <c r="T258" s="663">
        <v>0</v>
      </c>
      <c r="U258" s="671">
        <v>359.78646428131054</v>
      </c>
    </row>
    <row r="259" spans="3:21" ht="13">
      <c r="C259" s="670" t="s">
        <v>81</v>
      </c>
      <c r="D259" s="663">
        <v>0</v>
      </c>
      <c r="E259" s="663">
        <v>0</v>
      </c>
      <c r="F259" s="663">
        <v>1.3399462790047187</v>
      </c>
      <c r="G259" s="663">
        <v>0</v>
      </c>
      <c r="H259" s="663">
        <v>12.344523773070179</v>
      </c>
      <c r="I259" s="663">
        <v>0</v>
      </c>
      <c r="J259" s="663">
        <v>0</v>
      </c>
      <c r="K259" s="663">
        <v>0</v>
      </c>
      <c r="L259" s="663">
        <v>0.40515733033320123</v>
      </c>
      <c r="M259" s="663">
        <v>4.0121337498856221E-4</v>
      </c>
      <c r="N259" s="663">
        <v>0</v>
      </c>
      <c r="O259" s="663">
        <v>10.100064905239238</v>
      </c>
      <c r="P259" s="663">
        <v>25.404172221757367</v>
      </c>
      <c r="Q259" s="663">
        <v>1.0133205125094877</v>
      </c>
      <c r="R259" s="663">
        <v>92.228183694440688</v>
      </c>
      <c r="S259" s="663">
        <v>19.0580863696926</v>
      </c>
      <c r="T259" s="663">
        <v>0</v>
      </c>
      <c r="U259" s="671">
        <v>161.89385629942248</v>
      </c>
    </row>
    <row r="260" spans="3:21" ht="13">
      <c r="C260" s="670" t="s">
        <v>82</v>
      </c>
      <c r="D260" s="663">
        <v>0</v>
      </c>
      <c r="E260" s="663">
        <v>0</v>
      </c>
      <c r="F260" s="663">
        <v>9.0097391312566604</v>
      </c>
      <c r="G260" s="663">
        <v>1.6</v>
      </c>
      <c r="H260" s="663">
        <v>0.98973128577551672</v>
      </c>
      <c r="I260" s="663">
        <v>0</v>
      </c>
      <c r="J260" s="663">
        <v>0</v>
      </c>
      <c r="K260" s="663">
        <v>0</v>
      </c>
      <c r="L260" s="663">
        <v>3.3736621545342089</v>
      </c>
      <c r="M260" s="663">
        <v>0</v>
      </c>
      <c r="N260" s="663">
        <v>14.289145060057182</v>
      </c>
      <c r="O260" s="663">
        <v>0.80978014290724099</v>
      </c>
      <c r="P260" s="663">
        <v>1</v>
      </c>
      <c r="Q260" s="663">
        <v>1.300620381405156</v>
      </c>
      <c r="R260" s="663">
        <v>7.76122971899715</v>
      </c>
      <c r="S260" s="663">
        <v>0</v>
      </c>
      <c r="T260" s="663">
        <v>0.325155095351289</v>
      </c>
      <c r="U260" s="671">
        <v>40.459062970284407</v>
      </c>
    </row>
    <row r="261" spans="3:21" ht="13">
      <c r="C261" s="670" t="s">
        <v>357</v>
      </c>
      <c r="D261" s="663">
        <v>0</v>
      </c>
      <c r="E261" s="663">
        <v>0</v>
      </c>
      <c r="F261" s="663">
        <v>0</v>
      </c>
      <c r="G261" s="663">
        <v>0</v>
      </c>
      <c r="H261" s="663">
        <v>0</v>
      </c>
      <c r="I261" s="663">
        <v>0</v>
      </c>
      <c r="J261" s="663">
        <v>0</v>
      </c>
      <c r="K261" s="663">
        <v>0</v>
      </c>
      <c r="L261" s="663">
        <v>0</v>
      </c>
      <c r="M261" s="663">
        <v>0</v>
      </c>
      <c r="N261" s="663">
        <v>0</v>
      </c>
      <c r="O261" s="663">
        <v>0</v>
      </c>
      <c r="P261" s="663">
        <v>0</v>
      </c>
      <c r="Q261" s="663">
        <v>0</v>
      </c>
      <c r="R261" s="663">
        <v>1.4068800000000001</v>
      </c>
      <c r="S261" s="663">
        <v>0</v>
      </c>
      <c r="T261" s="663">
        <v>0</v>
      </c>
      <c r="U261" s="671">
        <v>1.4068800000000001</v>
      </c>
    </row>
    <row r="262" spans="3:21" ht="13">
      <c r="C262" s="666" t="s">
        <v>83</v>
      </c>
      <c r="D262" s="667">
        <v>2.7841882556496467</v>
      </c>
      <c r="E262" s="667">
        <v>0</v>
      </c>
      <c r="F262" s="667">
        <v>80.219668170427894</v>
      </c>
      <c r="G262" s="667">
        <v>2.5171283606012933</v>
      </c>
      <c r="H262" s="675">
        <v>70.494719350563656</v>
      </c>
      <c r="I262" s="667">
        <v>0</v>
      </c>
      <c r="J262" s="667">
        <v>0</v>
      </c>
      <c r="K262" s="667">
        <v>0</v>
      </c>
      <c r="L262" s="667">
        <v>57.742829446211736</v>
      </c>
      <c r="M262" s="667">
        <v>2.3819266632466007</v>
      </c>
      <c r="N262" s="667">
        <v>87.106561789112831</v>
      </c>
      <c r="O262" s="667">
        <v>57.71616045804425</v>
      </c>
      <c r="P262" s="667">
        <v>137.63232647396575</v>
      </c>
      <c r="Q262" s="667">
        <v>5.0433146454720621</v>
      </c>
      <c r="R262" s="667">
        <v>469.70988795485181</v>
      </c>
      <c r="S262" s="667">
        <v>63.928565625977342</v>
      </c>
      <c r="T262" s="667">
        <v>8.6446514495387365</v>
      </c>
      <c r="U262" s="667">
        <v>1045.9219286436637</v>
      </c>
    </row>
    <row r="263" spans="3:21" ht="13">
      <c r="C263" s="662" t="s">
        <v>84</v>
      </c>
      <c r="D263" s="663">
        <v>0</v>
      </c>
      <c r="E263" s="663">
        <v>0</v>
      </c>
      <c r="F263" s="663">
        <v>63.453621141900157</v>
      </c>
      <c r="G263" s="663">
        <v>5.849933778542443</v>
      </c>
      <c r="H263" s="663">
        <v>6.7321107560009157</v>
      </c>
      <c r="I263" s="663">
        <v>0</v>
      </c>
      <c r="J263" s="663">
        <v>0</v>
      </c>
      <c r="K263" s="663">
        <v>0</v>
      </c>
      <c r="L263" s="663">
        <v>0.4086523039836884</v>
      </c>
      <c r="M263" s="663">
        <v>0</v>
      </c>
      <c r="N263" s="663">
        <v>16.128139408945682</v>
      </c>
      <c r="O263" s="663">
        <v>2.7141517882424018</v>
      </c>
      <c r="P263" s="663">
        <v>0</v>
      </c>
      <c r="Q263" s="663">
        <v>0</v>
      </c>
      <c r="R263" s="663">
        <v>0</v>
      </c>
      <c r="S263" s="663">
        <v>0</v>
      </c>
      <c r="T263" s="663">
        <v>25.023965550983899</v>
      </c>
      <c r="U263" s="671">
        <v>120.31057472859921</v>
      </c>
    </row>
    <row r="264" spans="3:21" ht="13">
      <c r="C264" s="666" t="s">
        <v>85</v>
      </c>
      <c r="D264" s="667">
        <v>2.7841882556496467</v>
      </c>
      <c r="E264" s="667">
        <v>0</v>
      </c>
      <c r="F264" s="667">
        <v>143.67328931232805</v>
      </c>
      <c r="G264" s="667">
        <v>8.3670621391437372</v>
      </c>
      <c r="H264" s="675">
        <v>77.226830106564577</v>
      </c>
      <c r="I264" s="667">
        <v>0</v>
      </c>
      <c r="J264" s="667">
        <v>0</v>
      </c>
      <c r="K264" s="667">
        <v>0</v>
      </c>
      <c r="L264" s="667">
        <v>58.151481750195423</v>
      </c>
      <c r="M264" s="667">
        <v>2.3819266632466007</v>
      </c>
      <c r="N264" s="667">
        <v>103.23470119805852</v>
      </c>
      <c r="O264" s="667">
        <v>60.430312246286654</v>
      </c>
      <c r="P264" s="667">
        <v>137.63232647396575</v>
      </c>
      <c r="Q264" s="667">
        <v>5.0433146454720621</v>
      </c>
      <c r="R264" s="667">
        <v>469.70988795485181</v>
      </c>
      <c r="S264" s="667">
        <v>63.928565625977342</v>
      </c>
      <c r="T264" s="667">
        <v>33.668617000522637</v>
      </c>
      <c r="U264" s="667">
        <v>1166.2325033722627</v>
      </c>
    </row>
    <row r="265" spans="3:21">
      <c r="C265" s="654"/>
      <c r="D265" s="672">
        <v>0</v>
      </c>
      <c r="E265" s="672">
        <v>0</v>
      </c>
      <c r="F265" s="672">
        <v>0</v>
      </c>
      <c r="G265" s="672">
        <v>0</v>
      </c>
      <c r="H265" s="672">
        <v>0</v>
      </c>
      <c r="I265" s="672">
        <v>0</v>
      </c>
      <c r="J265" s="672">
        <v>0</v>
      </c>
      <c r="K265" s="672">
        <v>0</v>
      </c>
      <c r="L265" s="672">
        <v>0</v>
      </c>
      <c r="M265" s="672">
        <v>0</v>
      </c>
      <c r="N265" s="672">
        <v>1.5987211554602254E-14</v>
      </c>
      <c r="O265" s="672">
        <v>1.865174681370263E-14</v>
      </c>
      <c r="P265" s="672">
        <v>0</v>
      </c>
      <c r="Q265" s="672">
        <v>0</v>
      </c>
      <c r="R265" s="672">
        <v>1.1368683772161603E-13</v>
      </c>
      <c r="S265" s="672">
        <v>0</v>
      </c>
      <c r="T265" s="672">
        <v>-1.3322676295501878E-15</v>
      </c>
      <c r="U265" s="672">
        <v>0</v>
      </c>
    </row>
    <row r="266" spans="3:21">
      <c r="C266" s="654"/>
      <c r="D266" s="654"/>
      <c r="E266" s="654"/>
      <c r="F266" s="654"/>
      <c r="G266" s="654"/>
      <c r="H266" s="654"/>
      <c r="I266" s="654"/>
      <c r="J266" s="654"/>
      <c r="K266" s="654"/>
      <c r="L266" s="654"/>
      <c r="M266" s="654"/>
      <c r="N266" s="654"/>
      <c r="O266" s="654"/>
      <c r="P266" s="654"/>
      <c r="Q266" s="654"/>
      <c r="R266" s="654"/>
      <c r="S266" s="654"/>
      <c r="T266" s="654"/>
      <c r="U266" s="654"/>
    </row>
    <row r="267" spans="3:21" ht="14.5">
      <c r="C267" s="658" t="s">
        <v>523</v>
      </c>
      <c r="D267" s="659"/>
      <c r="E267" s="659"/>
      <c r="F267" s="659"/>
      <c r="G267" s="659"/>
      <c r="H267" s="659"/>
      <c r="I267" s="659"/>
      <c r="J267" s="659"/>
      <c r="K267" s="659"/>
      <c r="L267" s="659"/>
      <c r="M267" s="659"/>
      <c r="N267" s="659"/>
      <c r="O267" s="659"/>
      <c r="P267" s="659"/>
      <c r="Q267" s="659"/>
      <c r="R267" s="659"/>
      <c r="S267" s="659"/>
      <c r="T267" s="659"/>
      <c r="U267" s="659"/>
    </row>
    <row r="268" spans="3:21">
      <c r="C268" s="654"/>
      <c r="D268" s="654"/>
      <c r="E268" s="654"/>
      <c r="F268" s="654"/>
      <c r="G268" s="654"/>
      <c r="H268" s="654"/>
      <c r="I268" s="654"/>
      <c r="J268" s="654"/>
      <c r="K268" s="654"/>
      <c r="L268" s="654"/>
      <c r="M268" s="654"/>
      <c r="N268" s="654"/>
      <c r="O268" s="654"/>
      <c r="P268" s="654"/>
      <c r="Q268" s="654"/>
      <c r="R268" s="654"/>
      <c r="S268" s="654"/>
      <c r="T268" s="654"/>
      <c r="U268" s="654"/>
    </row>
    <row r="269" spans="3:21" ht="13">
      <c r="C269" s="706" t="s">
        <v>128</v>
      </c>
      <c r="D269" s="704" t="s">
        <v>42</v>
      </c>
      <c r="E269" s="704" t="s">
        <v>52</v>
      </c>
      <c r="F269" s="704" t="s">
        <v>53</v>
      </c>
      <c r="G269" s="704" t="s">
        <v>487</v>
      </c>
      <c r="H269" s="704" t="s">
        <v>32</v>
      </c>
      <c r="I269" s="704" t="s">
        <v>488</v>
      </c>
      <c r="J269" s="704" t="s">
        <v>20</v>
      </c>
      <c r="K269" s="704" t="s">
        <v>55</v>
      </c>
      <c r="L269" s="708" t="s">
        <v>56</v>
      </c>
      <c r="M269" s="709"/>
      <c r="N269" s="709"/>
      <c r="O269" s="709"/>
      <c r="P269" s="709"/>
      <c r="Q269" s="710"/>
      <c r="R269" s="704" t="s">
        <v>57</v>
      </c>
      <c r="S269" s="704" t="s">
        <v>58</v>
      </c>
      <c r="T269" s="704" t="s">
        <v>31</v>
      </c>
      <c r="U269" s="704" t="s">
        <v>10</v>
      </c>
    </row>
    <row r="270" spans="3:21" ht="36">
      <c r="C270" s="707"/>
      <c r="D270" s="705"/>
      <c r="E270" s="705"/>
      <c r="F270" s="705"/>
      <c r="G270" s="705"/>
      <c r="H270" s="705"/>
      <c r="I270" s="705"/>
      <c r="J270" s="705"/>
      <c r="K270" s="705"/>
      <c r="L270" s="660" t="s">
        <v>338</v>
      </c>
      <c r="M270" s="660" t="s">
        <v>40</v>
      </c>
      <c r="N270" s="660" t="s">
        <v>346</v>
      </c>
      <c r="O270" s="660" t="s">
        <v>347</v>
      </c>
      <c r="P270" s="661" t="s">
        <v>348</v>
      </c>
      <c r="Q270" s="660" t="s">
        <v>349</v>
      </c>
      <c r="R270" s="705"/>
      <c r="S270" s="705"/>
      <c r="T270" s="705"/>
      <c r="U270" s="705"/>
    </row>
    <row r="271" spans="3:21" ht="13">
      <c r="C271" s="662" t="s">
        <v>59</v>
      </c>
      <c r="D271" s="663">
        <v>0</v>
      </c>
      <c r="E271" s="663">
        <v>0</v>
      </c>
      <c r="F271" s="663">
        <v>0</v>
      </c>
      <c r="G271" s="663">
        <v>0</v>
      </c>
      <c r="H271" s="663">
        <v>0</v>
      </c>
      <c r="I271" s="663">
        <v>0</v>
      </c>
      <c r="J271" s="664">
        <v>887.88984586571985</v>
      </c>
      <c r="K271" s="664">
        <v>396.24410449971316</v>
      </c>
      <c r="L271" s="664">
        <v>299.20080257603973</v>
      </c>
      <c r="M271" s="664">
        <v>23.973968003405336</v>
      </c>
      <c r="N271" s="663">
        <v>1.638642873490971</v>
      </c>
      <c r="O271" s="663">
        <v>0.1692153726460352</v>
      </c>
      <c r="P271" s="664">
        <v>148.52009865212395</v>
      </c>
      <c r="Q271" s="664">
        <v>23.099478079825218</v>
      </c>
      <c r="R271" s="663">
        <v>0</v>
      </c>
      <c r="S271" s="663">
        <v>0</v>
      </c>
      <c r="T271" s="663">
        <v>0</v>
      </c>
      <c r="U271" s="665">
        <v>1780.7361559229641</v>
      </c>
    </row>
    <row r="272" spans="3:21" ht="13">
      <c r="C272" s="662" t="s">
        <v>60</v>
      </c>
      <c r="D272" s="663">
        <v>10.379280707598515</v>
      </c>
      <c r="E272" s="663">
        <v>221.43377158510449</v>
      </c>
      <c r="F272" s="663">
        <v>3.6404081450569747</v>
      </c>
      <c r="G272" s="663">
        <v>0</v>
      </c>
      <c r="H272" s="663">
        <v>71.351673113669463</v>
      </c>
      <c r="I272" s="663">
        <v>0</v>
      </c>
      <c r="J272" s="663">
        <v>0</v>
      </c>
      <c r="K272" s="663">
        <v>0</v>
      </c>
      <c r="L272" s="663">
        <v>4.5400000946661896</v>
      </c>
      <c r="M272" s="663">
        <v>0</v>
      </c>
      <c r="N272" s="663">
        <v>4.7355769449703358</v>
      </c>
      <c r="O272" s="663">
        <v>0</v>
      </c>
      <c r="P272" s="663">
        <v>0</v>
      </c>
      <c r="Q272" s="663">
        <v>0</v>
      </c>
      <c r="R272" s="663">
        <v>0</v>
      </c>
      <c r="S272" s="663">
        <v>0</v>
      </c>
      <c r="T272" s="663">
        <v>0</v>
      </c>
      <c r="U272" s="665">
        <v>316.08071059106601</v>
      </c>
    </row>
    <row r="273" spans="3:21" ht="13">
      <c r="C273" s="662" t="s">
        <v>61</v>
      </c>
      <c r="D273" s="663">
        <v>0</v>
      </c>
      <c r="E273" s="663">
        <v>0</v>
      </c>
      <c r="F273" s="663">
        <v>-61.117649142160822</v>
      </c>
      <c r="G273" s="663">
        <v>0</v>
      </c>
      <c r="H273" s="663">
        <v>0</v>
      </c>
      <c r="I273" s="663">
        <v>0</v>
      </c>
      <c r="J273" s="663">
        <v>0</v>
      </c>
      <c r="K273" s="663">
        <v>0</v>
      </c>
      <c r="L273" s="663">
        <v>0</v>
      </c>
      <c r="M273" s="663">
        <v>0</v>
      </c>
      <c r="N273" s="663">
        <v>0</v>
      </c>
      <c r="O273" s="663">
        <v>0</v>
      </c>
      <c r="P273" s="663">
        <v>0</v>
      </c>
      <c r="Q273" s="663">
        <v>0</v>
      </c>
      <c r="R273" s="663">
        <v>-39.114049370458702</v>
      </c>
      <c r="S273" s="663">
        <v>0</v>
      </c>
      <c r="T273" s="663">
        <v>0</v>
      </c>
      <c r="U273" s="665">
        <v>-100.23169851261953</v>
      </c>
    </row>
    <row r="274" spans="3:21" ht="13">
      <c r="C274" s="662" t="s">
        <v>62</v>
      </c>
      <c r="D274" s="663">
        <v>0</v>
      </c>
      <c r="E274" s="663">
        <v>0</v>
      </c>
      <c r="F274" s="663">
        <v>-6.8572519407668047</v>
      </c>
      <c r="G274" s="663">
        <v>-2.9115063458369059</v>
      </c>
      <c r="H274" s="663">
        <v>-4.556210213526227</v>
      </c>
      <c r="I274" s="663">
        <v>-6.0214231896822394E-2</v>
      </c>
      <c r="J274" s="663">
        <v>0</v>
      </c>
      <c r="K274" s="663">
        <v>0</v>
      </c>
      <c r="L274" s="663">
        <v>0</v>
      </c>
      <c r="M274" s="663">
        <v>0</v>
      </c>
      <c r="N274" s="663">
        <v>-0.36156496915270087</v>
      </c>
      <c r="O274" s="663">
        <v>-5.4192808707140152</v>
      </c>
      <c r="P274" s="663">
        <v>0</v>
      </c>
      <c r="Q274" s="663">
        <v>0</v>
      </c>
      <c r="R274" s="663">
        <v>0</v>
      </c>
      <c r="S274" s="663">
        <v>0</v>
      </c>
      <c r="T274" s="663">
        <v>0</v>
      </c>
      <c r="U274" s="665">
        <v>-20.166028571893477</v>
      </c>
    </row>
    <row r="275" spans="3:21" ht="13">
      <c r="C275" s="662" t="s">
        <v>63</v>
      </c>
      <c r="D275" s="663">
        <v>0</v>
      </c>
      <c r="E275" s="663">
        <v>0</v>
      </c>
      <c r="F275" s="663">
        <v>-41.932075648688581</v>
      </c>
      <c r="G275" s="663">
        <v>-12.789597363010756</v>
      </c>
      <c r="H275" s="663">
        <v>0</v>
      </c>
      <c r="I275" s="663">
        <v>0</v>
      </c>
      <c r="J275" s="663">
        <v>0</v>
      </c>
      <c r="K275" s="663">
        <v>0</v>
      </c>
      <c r="L275" s="663">
        <v>0</v>
      </c>
      <c r="M275" s="663">
        <v>0</v>
      </c>
      <c r="N275" s="663">
        <v>-13.964845940285258</v>
      </c>
      <c r="O275" s="663">
        <v>0</v>
      </c>
      <c r="P275" s="663">
        <v>0</v>
      </c>
      <c r="Q275" s="663">
        <v>0</v>
      </c>
      <c r="R275" s="663">
        <v>0</v>
      </c>
      <c r="S275" s="663">
        <v>0</v>
      </c>
      <c r="T275" s="663">
        <v>-1.1030439884832439</v>
      </c>
      <c r="U275" s="665">
        <v>-69.789562940467846</v>
      </c>
    </row>
    <row r="276" spans="3:21" ht="13">
      <c r="C276" s="662" t="s">
        <v>64</v>
      </c>
      <c r="D276" s="663">
        <v>0</v>
      </c>
      <c r="E276" s="663">
        <v>0</v>
      </c>
      <c r="F276" s="663">
        <v>0</v>
      </c>
      <c r="G276" s="663">
        <v>0</v>
      </c>
      <c r="H276" s="663">
        <v>0</v>
      </c>
      <c r="I276" s="663">
        <v>0</v>
      </c>
      <c r="J276" s="663">
        <v>0</v>
      </c>
      <c r="K276" s="663">
        <v>0</v>
      </c>
      <c r="L276" s="663">
        <v>0</v>
      </c>
      <c r="M276" s="663">
        <v>0</v>
      </c>
      <c r="N276" s="663">
        <v>0</v>
      </c>
      <c r="O276" s="663">
        <v>0</v>
      </c>
      <c r="P276" s="663">
        <v>0</v>
      </c>
      <c r="Q276" s="663">
        <v>0</v>
      </c>
      <c r="R276" s="663">
        <v>0</v>
      </c>
      <c r="S276" s="663">
        <v>0</v>
      </c>
      <c r="T276" s="663">
        <v>0</v>
      </c>
      <c r="U276" s="665">
        <v>0</v>
      </c>
    </row>
    <row r="277" spans="3:21" ht="13">
      <c r="C277" s="666" t="s">
        <v>65</v>
      </c>
      <c r="D277" s="667">
        <v>10.379280707598515</v>
      </c>
      <c r="E277" s="667">
        <v>221.43377158510449</v>
      </c>
      <c r="F277" s="667">
        <v>-106.26656858655923</v>
      </c>
      <c r="G277" s="667">
        <v>-15.701103708847661</v>
      </c>
      <c r="H277" s="675">
        <v>66.795462900143235</v>
      </c>
      <c r="I277" s="667">
        <v>-6.0214231896822394E-2</v>
      </c>
      <c r="J277" s="667">
        <v>887.88984586571985</v>
      </c>
      <c r="K277" s="667">
        <v>396.24410449971316</v>
      </c>
      <c r="L277" s="667">
        <v>303.74080267070593</v>
      </c>
      <c r="M277" s="667">
        <v>23.973968003405336</v>
      </c>
      <c r="N277" s="667">
        <v>-7.952191090976652</v>
      </c>
      <c r="O277" s="667">
        <v>-5.25006549806798</v>
      </c>
      <c r="P277" s="667">
        <v>148.52009865212395</v>
      </c>
      <c r="Q277" s="667">
        <v>23.099478079825218</v>
      </c>
      <c r="R277" s="667">
        <v>-39.114049370458702</v>
      </c>
      <c r="S277" s="667">
        <v>0</v>
      </c>
      <c r="T277" s="667">
        <v>-1.1030439884832439</v>
      </c>
      <c r="U277" s="667">
        <v>1906.629576489049</v>
      </c>
    </row>
    <row r="278" spans="3:21" ht="13">
      <c r="C278" s="668"/>
      <c r="D278" s="669">
        <v>0</v>
      </c>
      <c r="E278" s="669">
        <v>0</v>
      </c>
      <c r="F278" s="669">
        <v>0</v>
      </c>
      <c r="G278" s="669">
        <v>0</v>
      </c>
      <c r="H278" s="676">
        <v>0</v>
      </c>
      <c r="I278" s="669">
        <v>0</v>
      </c>
      <c r="J278" s="669">
        <v>0</v>
      </c>
      <c r="K278" s="669">
        <v>0</v>
      </c>
      <c r="L278" s="669">
        <v>0</v>
      </c>
      <c r="M278" s="669">
        <v>0</v>
      </c>
      <c r="N278" s="669">
        <v>0</v>
      </c>
      <c r="O278" s="669">
        <v>0</v>
      </c>
      <c r="P278" s="669">
        <v>0</v>
      </c>
      <c r="Q278" s="669">
        <v>0</v>
      </c>
      <c r="R278" s="669">
        <v>0</v>
      </c>
      <c r="S278" s="669">
        <v>0</v>
      </c>
      <c r="T278" s="669">
        <v>0</v>
      </c>
      <c r="U278" s="669">
        <v>0</v>
      </c>
    </row>
    <row r="279" spans="3:21" ht="13">
      <c r="C279" s="670" t="s">
        <v>67</v>
      </c>
      <c r="D279" s="663">
        <v>0</v>
      </c>
      <c r="E279" s="663">
        <v>0</v>
      </c>
      <c r="F279" s="663">
        <v>0</v>
      </c>
      <c r="G279" s="663">
        <v>0</v>
      </c>
      <c r="H279" s="663">
        <v>0</v>
      </c>
      <c r="I279" s="663">
        <v>0</v>
      </c>
      <c r="J279" s="663">
        <v>0</v>
      </c>
      <c r="K279" s="663">
        <v>0</v>
      </c>
      <c r="L279" s="663">
        <v>0</v>
      </c>
      <c r="M279" s="663">
        <v>0</v>
      </c>
      <c r="N279" s="663">
        <v>0</v>
      </c>
      <c r="O279" s="663">
        <v>0</v>
      </c>
      <c r="P279" s="663">
        <v>0</v>
      </c>
      <c r="Q279" s="663">
        <v>0</v>
      </c>
      <c r="R279" s="663">
        <v>0</v>
      </c>
      <c r="S279" s="663">
        <v>0</v>
      </c>
      <c r="T279" s="663">
        <v>0</v>
      </c>
      <c r="U279" s="671">
        <v>0</v>
      </c>
    </row>
    <row r="280" spans="3:21" ht="13">
      <c r="C280" s="670" t="s">
        <v>350</v>
      </c>
      <c r="D280" s="663">
        <v>0</v>
      </c>
      <c r="E280" s="663">
        <v>0</v>
      </c>
      <c r="F280" s="663">
        <v>2.6460781360013397E-2</v>
      </c>
      <c r="G280" s="663">
        <v>0</v>
      </c>
      <c r="H280" s="663">
        <v>2.1444399446740805</v>
      </c>
      <c r="I280" s="663">
        <v>0</v>
      </c>
      <c r="J280" s="663">
        <v>887.88984586571985</v>
      </c>
      <c r="K280" s="663">
        <v>396.24410449971316</v>
      </c>
      <c r="L280" s="663">
        <v>15.085804984191999</v>
      </c>
      <c r="M280" s="663">
        <v>7.2357180176402842</v>
      </c>
      <c r="N280" s="663">
        <v>6.0578717375904887</v>
      </c>
      <c r="O280" s="663">
        <v>0.6501857288144991</v>
      </c>
      <c r="P280" s="663">
        <v>0</v>
      </c>
      <c r="Q280" s="663">
        <v>6.4590957564387725</v>
      </c>
      <c r="R280" s="663">
        <v>-708.99943776638747</v>
      </c>
      <c r="S280" s="663">
        <v>0</v>
      </c>
      <c r="T280" s="663">
        <v>8.0586922417708831</v>
      </c>
      <c r="U280" s="671">
        <v>620.85278179152624</v>
      </c>
    </row>
    <row r="281" spans="3:21" ht="13">
      <c r="C281" s="670" t="s">
        <v>351</v>
      </c>
      <c r="D281" s="663">
        <v>0</v>
      </c>
      <c r="E281" s="663">
        <v>0</v>
      </c>
      <c r="F281" s="663">
        <v>0</v>
      </c>
      <c r="G281" s="663">
        <v>0</v>
      </c>
      <c r="H281" s="663">
        <v>4.7815870319860325</v>
      </c>
      <c r="I281" s="663">
        <v>0</v>
      </c>
      <c r="J281" s="663">
        <v>0</v>
      </c>
      <c r="K281" s="663">
        <v>0</v>
      </c>
      <c r="L281" s="663">
        <v>35.214664152844563</v>
      </c>
      <c r="M281" s="663">
        <v>14.445160723039894</v>
      </c>
      <c r="N281" s="663">
        <v>0</v>
      </c>
      <c r="O281" s="663">
        <v>7.1872449307268287</v>
      </c>
      <c r="P281" s="663">
        <v>0</v>
      </c>
      <c r="Q281" s="663">
        <v>11.182341089352812</v>
      </c>
      <c r="R281" s="663">
        <v>0</v>
      </c>
      <c r="S281" s="663">
        <v>-68.236033723831326</v>
      </c>
      <c r="T281" s="663">
        <v>0</v>
      </c>
      <c r="U281" s="671">
        <v>4.574964204118805</v>
      </c>
    </row>
    <row r="282" spans="3:21" ht="13">
      <c r="C282" s="670" t="s">
        <v>352</v>
      </c>
      <c r="D282" s="663">
        <v>0</v>
      </c>
      <c r="E282" s="663">
        <v>0</v>
      </c>
      <c r="F282" s="663">
        <v>0</v>
      </c>
      <c r="G282" s="663">
        <v>0</v>
      </c>
      <c r="H282" s="663">
        <v>0</v>
      </c>
      <c r="I282" s="663">
        <v>0</v>
      </c>
      <c r="J282" s="663">
        <v>0</v>
      </c>
      <c r="K282" s="663">
        <v>0</v>
      </c>
      <c r="L282" s="663">
        <v>86.658949605448655</v>
      </c>
      <c r="M282" s="663">
        <v>0</v>
      </c>
      <c r="N282" s="663">
        <v>0</v>
      </c>
      <c r="O282" s="663">
        <v>-81.004566256753222</v>
      </c>
      <c r="P282" s="663">
        <v>0</v>
      </c>
      <c r="Q282" s="663">
        <v>0</v>
      </c>
      <c r="R282" s="663">
        <v>0</v>
      </c>
      <c r="S282" s="663">
        <v>0</v>
      </c>
      <c r="T282" s="663">
        <v>0</v>
      </c>
      <c r="U282" s="671">
        <v>5.6543833486954327</v>
      </c>
    </row>
    <row r="283" spans="3:21" ht="13">
      <c r="C283" s="670" t="s">
        <v>353</v>
      </c>
      <c r="D283" s="663">
        <v>0</v>
      </c>
      <c r="E283" s="663">
        <v>0</v>
      </c>
      <c r="F283" s="663">
        <v>0</v>
      </c>
      <c r="G283" s="663">
        <v>0</v>
      </c>
      <c r="H283" s="663">
        <v>0</v>
      </c>
      <c r="I283" s="663">
        <v>-0.77766156720631052</v>
      </c>
      <c r="J283" s="663">
        <v>0</v>
      </c>
      <c r="K283" s="663">
        <v>0</v>
      </c>
      <c r="L283" s="663">
        <v>0</v>
      </c>
      <c r="M283" s="663">
        <v>0</v>
      </c>
      <c r="N283" s="663">
        <v>0</v>
      </c>
      <c r="O283" s="663">
        <v>0</v>
      </c>
      <c r="P283" s="663">
        <v>0</v>
      </c>
      <c r="Q283" s="663">
        <v>0</v>
      </c>
      <c r="R283" s="663">
        <v>0</v>
      </c>
      <c r="S283" s="663">
        <v>0</v>
      </c>
      <c r="T283" s="663">
        <v>1.0822986785331616</v>
      </c>
      <c r="U283" s="671">
        <v>0.30463711132685112</v>
      </c>
    </row>
    <row r="284" spans="3:21" ht="13">
      <c r="C284" s="670" t="s">
        <v>72</v>
      </c>
      <c r="D284" s="663">
        <v>0</v>
      </c>
      <c r="E284" s="663">
        <v>229.44376619610998</v>
      </c>
      <c r="F284" s="663">
        <v>-227.15530245315296</v>
      </c>
      <c r="G284" s="663">
        <v>0</v>
      </c>
      <c r="H284" s="663">
        <v>0</v>
      </c>
      <c r="I284" s="663">
        <v>0</v>
      </c>
      <c r="J284" s="663">
        <v>0</v>
      </c>
      <c r="K284" s="663">
        <v>0</v>
      </c>
      <c r="L284" s="663">
        <v>0</v>
      </c>
      <c r="M284" s="663">
        <v>0</v>
      </c>
      <c r="N284" s="663">
        <v>0</v>
      </c>
      <c r="O284" s="663">
        <v>0</v>
      </c>
      <c r="P284" s="663">
        <v>0</v>
      </c>
      <c r="Q284" s="663">
        <v>0</v>
      </c>
      <c r="R284" s="663">
        <v>0</v>
      </c>
      <c r="S284" s="663">
        <v>0</v>
      </c>
      <c r="T284" s="663">
        <v>0</v>
      </c>
      <c r="U284" s="671">
        <v>2.2884637429570258</v>
      </c>
    </row>
    <row r="285" spans="3:21" ht="13">
      <c r="C285" s="670" t="s">
        <v>354</v>
      </c>
      <c r="D285" s="663">
        <v>0</v>
      </c>
      <c r="E285" s="663">
        <v>0</v>
      </c>
      <c r="F285" s="663">
        <v>0</v>
      </c>
      <c r="G285" s="663">
        <v>0</v>
      </c>
      <c r="H285" s="663">
        <v>0</v>
      </c>
      <c r="I285" s="663">
        <v>0</v>
      </c>
      <c r="J285" s="663">
        <v>0</v>
      </c>
      <c r="K285" s="663">
        <v>0</v>
      </c>
      <c r="L285" s="663">
        <v>110.37341937246062</v>
      </c>
      <c r="M285" s="663">
        <v>0</v>
      </c>
      <c r="N285" s="663">
        <v>-110.37341937246062</v>
      </c>
      <c r="O285" s="663">
        <v>0</v>
      </c>
      <c r="P285" s="663">
        <v>0</v>
      </c>
      <c r="Q285" s="663">
        <v>0</v>
      </c>
      <c r="R285" s="663">
        <v>0</v>
      </c>
      <c r="S285" s="663">
        <v>0</v>
      </c>
      <c r="T285" s="663">
        <v>0</v>
      </c>
      <c r="U285" s="671">
        <v>0</v>
      </c>
    </row>
    <row r="286" spans="3:21" ht="13">
      <c r="C286" s="670" t="s">
        <v>355</v>
      </c>
      <c r="D286" s="663">
        <v>0</v>
      </c>
      <c r="E286" s="663">
        <v>0</v>
      </c>
      <c r="F286" s="663">
        <v>0</v>
      </c>
      <c r="G286" s="663">
        <v>-25.838308158403624</v>
      </c>
      <c r="H286" s="663">
        <v>0</v>
      </c>
      <c r="I286" s="663">
        <v>0</v>
      </c>
      <c r="J286" s="663">
        <v>0</v>
      </c>
      <c r="K286" s="663">
        <v>0</v>
      </c>
      <c r="L286" s="663">
        <v>0</v>
      </c>
      <c r="M286" s="663">
        <v>0</v>
      </c>
      <c r="N286" s="663">
        <v>0</v>
      </c>
      <c r="O286" s="663">
        <v>0</v>
      </c>
      <c r="P286" s="663">
        <v>0</v>
      </c>
      <c r="Q286" s="663">
        <v>0</v>
      </c>
      <c r="R286" s="663">
        <v>0</v>
      </c>
      <c r="S286" s="663">
        <v>0</v>
      </c>
      <c r="T286" s="663">
        <v>35.986501613375523</v>
      </c>
      <c r="U286" s="671">
        <v>10.148193454971899</v>
      </c>
    </row>
    <row r="287" spans="3:21" ht="13">
      <c r="C287" s="670" t="s">
        <v>73</v>
      </c>
      <c r="D287" s="663">
        <v>0</v>
      </c>
      <c r="E287" s="663">
        <v>0</v>
      </c>
      <c r="F287" s="663">
        <v>0</v>
      </c>
      <c r="G287" s="663">
        <v>0</v>
      </c>
      <c r="H287" s="663">
        <v>0</v>
      </c>
      <c r="I287" s="663">
        <v>0</v>
      </c>
      <c r="J287" s="663">
        <v>0</v>
      </c>
      <c r="K287" s="663">
        <v>0</v>
      </c>
      <c r="L287" s="663">
        <v>0</v>
      </c>
      <c r="M287" s="663">
        <v>0</v>
      </c>
      <c r="N287" s="663">
        <v>0</v>
      </c>
      <c r="O287" s="663">
        <v>0</v>
      </c>
      <c r="P287" s="663">
        <v>0</v>
      </c>
      <c r="Q287" s="663">
        <v>0</v>
      </c>
      <c r="R287" s="663">
        <v>122.6947271556845</v>
      </c>
      <c r="S287" s="663">
        <v>0</v>
      </c>
      <c r="T287" s="663">
        <v>-85.334182736778573</v>
      </c>
      <c r="U287" s="671">
        <v>37.360544418905931</v>
      </c>
    </row>
    <row r="288" spans="3:21" ht="13">
      <c r="C288" s="670" t="s">
        <v>356</v>
      </c>
      <c r="D288" s="663">
        <v>5.7430949414062491</v>
      </c>
      <c r="E288" s="663">
        <v>-8.0099946110054798</v>
      </c>
      <c r="F288" s="663">
        <v>10.446968779828495</v>
      </c>
      <c r="G288" s="663">
        <v>0</v>
      </c>
      <c r="H288" s="663">
        <v>0</v>
      </c>
      <c r="I288" s="663">
        <v>0</v>
      </c>
      <c r="J288" s="663">
        <v>0</v>
      </c>
      <c r="K288" s="663">
        <v>0</v>
      </c>
      <c r="L288" s="663">
        <v>0</v>
      </c>
      <c r="M288" s="663">
        <v>0</v>
      </c>
      <c r="N288" s="663">
        <v>0</v>
      </c>
      <c r="O288" s="663">
        <v>0</v>
      </c>
      <c r="P288" s="663">
        <v>0</v>
      </c>
      <c r="Q288" s="663">
        <v>0</v>
      </c>
      <c r="R288" s="663">
        <v>0</v>
      </c>
      <c r="S288" s="663">
        <v>0</v>
      </c>
      <c r="T288" s="663">
        <v>0</v>
      </c>
      <c r="U288" s="671">
        <v>8.1800691102292635</v>
      </c>
    </row>
    <row r="289" spans="3:21" ht="13">
      <c r="C289" s="670" t="s">
        <v>75</v>
      </c>
      <c r="D289" s="663">
        <v>2.2334258105468749</v>
      </c>
      <c r="E289" s="663">
        <v>0</v>
      </c>
      <c r="F289" s="663">
        <v>17.43246590348684</v>
      </c>
      <c r="G289" s="663">
        <v>0</v>
      </c>
      <c r="H289" s="663">
        <v>2.2924587532620087</v>
      </c>
      <c r="I289" s="663">
        <v>3.0296811717119062E-2</v>
      </c>
      <c r="J289" s="663">
        <v>0</v>
      </c>
      <c r="K289" s="663">
        <v>0</v>
      </c>
      <c r="L289" s="663">
        <v>0</v>
      </c>
      <c r="M289" s="663">
        <v>0</v>
      </c>
      <c r="N289" s="663">
        <v>0</v>
      </c>
      <c r="O289" s="663">
        <v>2.7267130545407157</v>
      </c>
      <c r="P289" s="663">
        <v>0</v>
      </c>
      <c r="Q289" s="663">
        <v>0</v>
      </c>
      <c r="R289" s="663">
        <v>21.822235808041572</v>
      </c>
      <c r="S289" s="663">
        <v>0</v>
      </c>
      <c r="T289" s="663">
        <v>0</v>
      </c>
      <c r="U289" s="671">
        <v>46.537596141595124</v>
      </c>
    </row>
    <row r="290" spans="3:21" ht="13">
      <c r="C290" s="670" t="s">
        <v>76</v>
      </c>
      <c r="D290" s="663">
        <v>0</v>
      </c>
      <c r="E290" s="663">
        <v>0</v>
      </c>
      <c r="F290" s="663">
        <v>0</v>
      </c>
      <c r="G290" s="663">
        <v>0</v>
      </c>
      <c r="H290" s="663">
        <v>0.77652722768993077</v>
      </c>
      <c r="I290" s="663">
        <v>1.0262474374756796E-2</v>
      </c>
      <c r="J290" s="663">
        <v>0</v>
      </c>
      <c r="K290" s="663">
        <v>0</v>
      </c>
      <c r="L290" s="663">
        <v>0</v>
      </c>
      <c r="M290" s="663">
        <v>0</v>
      </c>
      <c r="N290" s="663">
        <v>0</v>
      </c>
      <c r="O290" s="663">
        <v>0.92362269372811168</v>
      </c>
      <c r="P290" s="663">
        <v>0</v>
      </c>
      <c r="Q290" s="663">
        <v>0</v>
      </c>
      <c r="R290" s="663">
        <v>51.265258018349606</v>
      </c>
      <c r="S290" s="663">
        <v>5.2924074535934169</v>
      </c>
      <c r="T290" s="663">
        <v>0</v>
      </c>
      <c r="U290" s="671">
        <v>58.268077867735826</v>
      </c>
    </row>
    <row r="291" spans="3:21" ht="13">
      <c r="C291" s="666" t="s">
        <v>77</v>
      </c>
      <c r="D291" s="667">
        <v>7.9765207519531245</v>
      </c>
      <c r="E291" s="667">
        <v>221.43377158510449</v>
      </c>
      <c r="F291" s="667">
        <v>-199.24940698847763</v>
      </c>
      <c r="G291" s="667">
        <v>-25.838308158403624</v>
      </c>
      <c r="H291" s="675">
        <v>9.9950129576120528</v>
      </c>
      <c r="I291" s="667">
        <v>-0.73710228111443465</v>
      </c>
      <c r="J291" s="667">
        <v>887.88984586571985</v>
      </c>
      <c r="K291" s="667">
        <v>396.24410449971316</v>
      </c>
      <c r="L291" s="667">
        <v>247.33283811494582</v>
      </c>
      <c r="M291" s="667">
        <v>21.680878740680178</v>
      </c>
      <c r="N291" s="667">
        <v>-104.31554763487013</v>
      </c>
      <c r="O291" s="667">
        <v>-69.51679984894308</v>
      </c>
      <c r="P291" s="667">
        <v>0</v>
      </c>
      <c r="Q291" s="667">
        <v>17.641436845791585</v>
      </c>
      <c r="R291" s="667">
        <v>-513.21721678431186</v>
      </c>
      <c r="S291" s="667">
        <v>-62.943626270237907</v>
      </c>
      <c r="T291" s="667">
        <v>-40.206690203099001</v>
      </c>
      <c r="U291" s="667">
        <v>794.16971119206255</v>
      </c>
    </row>
    <row r="292" spans="3:21" ht="13">
      <c r="C292" s="668"/>
      <c r="D292" s="669">
        <v>0</v>
      </c>
      <c r="E292" s="669">
        <v>0</v>
      </c>
      <c r="F292" s="669">
        <v>0</v>
      </c>
      <c r="G292" s="669">
        <v>0</v>
      </c>
      <c r="H292" s="676">
        <v>0</v>
      </c>
      <c r="I292" s="669">
        <v>0</v>
      </c>
      <c r="J292" s="669">
        <v>0</v>
      </c>
      <c r="K292" s="669">
        <v>0</v>
      </c>
      <c r="L292" s="669">
        <v>0</v>
      </c>
      <c r="M292" s="669">
        <v>0</v>
      </c>
      <c r="N292" s="669">
        <v>0</v>
      </c>
      <c r="O292" s="669">
        <v>0</v>
      </c>
      <c r="P292" s="669">
        <v>0</v>
      </c>
      <c r="Q292" s="669">
        <v>0</v>
      </c>
      <c r="R292" s="669">
        <v>0</v>
      </c>
      <c r="S292" s="669">
        <v>0</v>
      </c>
      <c r="T292" s="669">
        <v>0</v>
      </c>
      <c r="U292" s="669">
        <v>0</v>
      </c>
    </row>
    <row r="293" spans="3:21" ht="13">
      <c r="C293" s="670" t="s">
        <v>78</v>
      </c>
      <c r="D293" s="663">
        <v>2.4027599556453909</v>
      </c>
      <c r="E293" s="663">
        <v>0</v>
      </c>
      <c r="F293" s="663">
        <v>3.114463113040443</v>
      </c>
      <c r="G293" s="663">
        <v>0</v>
      </c>
      <c r="H293" s="663">
        <v>22.626318476237717</v>
      </c>
      <c r="I293" s="663">
        <v>0.29902623536878048</v>
      </c>
      <c r="J293" s="663">
        <v>0</v>
      </c>
      <c r="K293" s="663">
        <v>0</v>
      </c>
      <c r="L293" s="663">
        <v>19.572699923725285</v>
      </c>
      <c r="M293" s="663">
        <v>2.2927206810178133</v>
      </c>
      <c r="N293" s="663">
        <v>2.5907279394531253</v>
      </c>
      <c r="O293" s="663">
        <v>26.952636430442517</v>
      </c>
      <c r="P293" s="663">
        <v>8.8445146484374995</v>
      </c>
      <c r="Q293" s="663">
        <v>8.2107689234467234E-4</v>
      </c>
      <c r="R293" s="663">
        <v>134.99858174444151</v>
      </c>
      <c r="S293" s="663">
        <v>18.388872155735818</v>
      </c>
      <c r="T293" s="663">
        <v>5.7096738281250001</v>
      </c>
      <c r="U293" s="671">
        <v>247.79381620856324</v>
      </c>
    </row>
    <row r="294" spans="3:21" ht="13">
      <c r="C294" s="670" t="s">
        <v>79</v>
      </c>
      <c r="D294" s="663">
        <v>0</v>
      </c>
      <c r="E294" s="663">
        <v>0</v>
      </c>
      <c r="F294" s="663">
        <v>28.084568019979141</v>
      </c>
      <c r="G294" s="663">
        <v>1.421472124111238</v>
      </c>
      <c r="H294" s="663">
        <v>2.5860362638913656</v>
      </c>
      <c r="I294" s="663">
        <v>3.4176690712220695E-2</v>
      </c>
      <c r="J294" s="663">
        <v>0</v>
      </c>
      <c r="K294" s="663">
        <v>0</v>
      </c>
      <c r="L294" s="663">
        <v>0</v>
      </c>
      <c r="M294" s="663">
        <v>0</v>
      </c>
      <c r="N294" s="663">
        <v>58.95620249302754</v>
      </c>
      <c r="O294" s="663">
        <v>3.0759021640998623</v>
      </c>
      <c r="P294" s="663">
        <v>0</v>
      </c>
      <c r="Q294" s="663">
        <v>0</v>
      </c>
      <c r="R294" s="663">
        <v>96.758599927458889</v>
      </c>
      <c r="S294" s="663">
        <v>0</v>
      </c>
      <c r="T294" s="663">
        <v>4.2910115463144054</v>
      </c>
      <c r="U294" s="671">
        <v>195.20796922959462</v>
      </c>
    </row>
    <row r="295" spans="3:21" ht="13">
      <c r="C295" s="670" t="s">
        <v>80</v>
      </c>
      <c r="D295" s="663">
        <v>0</v>
      </c>
      <c r="E295" s="663">
        <v>0</v>
      </c>
      <c r="F295" s="663">
        <v>1.0938828648554826</v>
      </c>
      <c r="G295" s="663">
        <v>0</v>
      </c>
      <c r="H295" s="663">
        <v>16.315204996757775</v>
      </c>
      <c r="I295" s="663">
        <v>0.21561944929635826</v>
      </c>
      <c r="J295" s="663">
        <v>0</v>
      </c>
      <c r="K295" s="663">
        <v>0</v>
      </c>
      <c r="L295" s="663">
        <v>32.232635043857968</v>
      </c>
      <c r="M295" s="663">
        <v>0</v>
      </c>
      <c r="N295" s="663">
        <v>0</v>
      </c>
      <c r="O295" s="663">
        <v>19.405750436672243</v>
      </c>
      <c r="P295" s="663">
        <v>111.91504706113531</v>
      </c>
      <c r="Q295" s="663">
        <v>2.8847164087553931</v>
      </c>
      <c r="R295" s="663">
        <v>143.6282802083233</v>
      </c>
      <c r="S295" s="663">
        <v>25.545428952203935</v>
      </c>
      <c r="T295" s="663">
        <v>0</v>
      </c>
      <c r="U295" s="671">
        <v>353.23656542185773</v>
      </c>
    </row>
    <row r="296" spans="3:21" ht="13">
      <c r="C296" s="670" t="s">
        <v>81</v>
      </c>
      <c r="D296" s="663">
        <v>0</v>
      </c>
      <c r="E296" s="663">
        <v>0</v>
      </c>
      <c r="F296" s="663">
        <v>0.97723127965383472</v>
      </c>
      <c r="G296" s="663">
        <v>0</v>
      </c>
      <c r="H296" s="663">
        <v>8.896881568300115</v>
      </c>
      <c r="I296" s="663">
        <v>0.11757993262070637</v>
      </c>
      <c r="J296" s="663">
        <v>0</v>
      </c>
      <c r="K296" s="663">
        <v>0</v>
      </c>
      <c r="L296" s="663">
        <v>0.3860243395319729</v>
      </c>
      <c r="M296" s="663">
        <v>3.6858170734169985E-4</v>
      </c>
      <c r="N296" s="663">
        <v>0</v>
      </c>
      <c r="O296" s="663">
        <v>10.582193935863573</v>
      </c>
      <c r="P296" s="663">
        <v>26.610536942551132</v>
      </c>
      <c r="Q296" s="663">
        <v>1.0058473798751368</v>
      </c>
      <c r="R296" s="663">
        <v>89.039868511744515</v>
      </c>
      <c r="S296" s="663">
        <v>19.009325162298154</v>
      </c>
      <c r="T296" s="663">
        <v>0</v>
      </c>
      <c r="U296" s="671">
        <v>156.62585763414648</v>
      </c>
    </row>
    <row r="297" spans="3:21" ht="13">
      <c r="C297" s="670" t="s">
        <v>82</v>
      </c>
      <c r="D297" s="663">
        <v>0</v>
      </c>
      <c r="E297" s="663">
        <v>0</v>
      </c>
      <c r="F297" s="663">
        <v>4.1945740406306502</v>
      </c>
      <c r="G297" s="663">
        <v>1.6667279106947781</v>
      </c>
      <c r="H297" s="663">
        <v>0.79342108561234903</v>
      </c>
      <c r="I297" s="663">
        <v>1.0485741219546464E-2</v>
      </c>
      <c r="J297" s="663">
        <v>0</v>
      </c>
      <c r="K297" s="663">
        <v>0</v>
      </c>
      <c r="L297" s="663">
        <v>3.7340409967435519</v>
      </c>
      <c r="M297" s="663">
        <v>0</v>
      </c>
      <c r="N297" s="663">
        <v>16.919952753679041</v>
      </c>
      <c r="O297" s="663">
        <v>0.94371670975918176</v>
      </c>
      <c r="P297" s="663">
        <v>1.1499999999999999</v>
      </c>
      <c r="Q297" s="663">
        <v>1.5666563685107562</v>
      </c>
      <c r="R297" s="663">
        <v>7.7866370218848946</v>
      </c>
      <c r="S297" s="663">
        <v>0</v>
      </c>
      <c r="T297" s="663">
        <v>0.36062656029870238</v>
      </c>
      <c r="U297" s="671">
        <v>39.126839189033454</v>
      </c>
    </row>
    <row r="298" spans="3:21" ht="13">
      <c r="C298" s="670" t="s">
        <v>357</v>
      </c>
      <c r="D298" s="663">
        <v>0</v>
      </c>
      <c r="E298" s="663">
        <v>0</v>
      </c>
      <c r="F298" s="663">
        <v>0</v>
      </c>
      <c r="G298" s="663">
        <v>0</v>
      </c>
      <c r="H298" s="663">
        <v>0</v>
      </c>
      <c r="I298" s="663">
        <v>0</v>
      </c>
      <c r="J298" s="663">
        <v>0</v>
      </c>
      <c r="K298" s="663">
        <v>0</v>
      </c>
      <c r="L298" s="663">
        <v>0</v>
      </c>
      <c r="M298" s="663">
        <v>0</v>
      </c>
      <c r="N298" s="663">
        <v>0</v>
      </c>
      <c r="O298" s="663">
        <v>0</v>
      </c>
      <c r="P298" s="663">
        <v>0</v>
      </c>
      <c r="Q298" s="663">
        <v>0</v>
      </c>
      <c r="R298" s="663">
        <v>1.8912</v>
      </c>
      <c r="S298" s="663">
        <v>0</v>
      </c>
      <c r="T298" s="663">
        <v>0</v>
      </c>
      <c r="U298" s="671">
        <v>1.8912</v>
      </c>
    </row>
    <row r="299" spans="3:21" ht="13">
      <c r="C299" s="666" t="s">
        <v>83</v>
      </c>
      <c r="D299" s="667">
        <v>2.4027599556453909</v>
      </c>
      <c r="E299" s="667">
        <v>0</v>
      </c>
      <c r="F299" s="667">
        <v>37.464719318159553</v>
      </c>
      <c r="G299" s="667">
        <v>3.0882000348060163</v>
      </c>
      <c r="H299" s="675">
        <v>51.217862390799326</v>
      </c>
      <c r="I299" s="667">
        <v>0.67688804921761236</v>
      </c>
      <c r="J299" s="667">
        <v>0</v>
      </c>
      <c r="K299" s="667">
        <v>0</v>
      </c>
      <c r="L299" s="667">
        <v>55.925400303858773</v>
      </c>
      <c r="M299" s="667">
        <v>2.2930892627251551</v>
      </c>
      <c r="N299" s="667">
        <v>78.46688318615972</v>
      </c>
      <c r="O299" s="667">
        <v>60.960199676837377</v>
      </c>
      <c r="P299" s="667">
        <v>148.52009865212395</v>
      </c>
      <c r="Q299" s="667">
        <v>5.4580412340336313</v>
      </c>
      <c r="R299" s="667">
        <v>474.10316741385316</v>
      </c>
      <c r="S299" s="667">
        <v>62.943626270237907</v>
      </c>
      <c r="T299" s="667">
        <v>10.361311934738108</v>
      </c>
      <c r="U299" s="667">
        <v>993.8822476831956</v>
      </c>
    </row>
    <row r="300" spans="3:21" ht="13">
      <c r="C300" s="662" t="s">
        <v>84</v>
      </c>
      <c r="D300" s="663">
        <v>0</v>
      </c>
      <c r="E300" s="663">
        <v>0</v>
      </c>
      <c r="F300" s="663">
        <v>55.51811908375884</v>
      </c>
      <c r="G300" s="663">
        <v>7.0490044147499464</v>
      </c>
      <c r="H300" s="663">
        <v>5.5825875517318595</v>
      </c>
      <c r="I300" s="663">
        <v>0</v>
      </c>
      <c r="J300" s="663">
        <v>0</v>
      </c>
      <c r="K300" s="663">
        <v>0</v>
      </c>
      <c r="L300" s="663">
        <v>0.48256425190137814</v>
      </c>
      <c r="M300" s="663">
        <v>0</v>
      </c>
      <c r="N300" s="663">
        <v>17.896473357733768</v>
      </c>
      <c r="O300" s="663">
        <v>3.3065346740377066</v>
      </c>
      <c r="P300" s="663">
        <v>0</v>
      </c>
      <c r="Q300" s="663">
        <v>0</v>
      </c>
      <c r="R300" s="663">
        <v>0</v>
      </c>
      <c r="S300" s="663">
        <v>0</v>
      </c>
      <c r="T300" s="663">
        <v>28.74233427987765</v>
      </c>
      <c r="U300" s="671">
        <v>118.57761761379115</v>
      </c>
    </row>
    <row r="301" spans="3:21" ht="13">
      <c r="C301" s="666" t="s">
        <v>85</v>
      </c>
      <c r="D301" s="667">
        <v>2.4027599556453909</v>
      </c>
      <c r="E301" s="667">
        <v>0</v>
      </c>
      <c r="F301" s="667">
        <v>92.9828384019184</v>
      </c>
      <c r="G301" s="667">
        <v>10.137204449555963</v>
      </c>
      <c r="H301" s="675">
        <v>56.800449942531188</v>
      </c>
      <c r="I301" s="667">
        <v>0.67688804921761236</v>
      </c>
      <c r="J301" s="667">
        <v>0</v>
      </c>
      <c r="K301" s="667">
        <v>0</v>
      </c>
      <c r="L301" s="667">
        <v>56.407964555760152</v>
      </c>
      <c r="M301" s="667">
        <v>2.2930892627251551</v>
      </c>
      <c r="N301" s="667">
        <v>96.363356543893488</v>
      </c>
      <c r="O301" s="667">
        <v>64.266734350875069</v>
      </c>
      <c r="P301" s="667">
        <v>148.52009865212395</v>
      </c>
      <c r="Q301" s="667">
        <v>5.4580412340336313</v>
      </c>
      <c r="R301" s="667">
        <v>474.10316741385316</v>
      </c>
      <c r="S301" s="667">
        <v>62.943626270237907</v>
      </c>
      <c r="T301" s="667">
        <v>39.103646214615758</v>
      </c>
      <c r="U301" s="667">
        <v>1112.4598652969867</v>
      </c>
    </row>
    <row r="302" spans="3:21">
      <c r="C302" s="654"/>
      <c r="D302" s="672">
        <v>0</v>
      </c>
      <c r="E302" s="672">
        <v>0</v>
      </c>
      <c r="F302" s="672">
        <v>0</v>
      </c>
      <c r="G302" s="672">
        <v>0</v>
      </c>
      <c r="H302" s="672">
        <v>0</v>
      </c>
      <c r="I302" s="672">
        <v>1.0408340855860843E-16</v>
      </c>
      <c r="J302" s="672">
        <v>0</v>
      </c>
      <c r="K302" s="672">
        <v>0</v>
      </c>
      <c r="L302" s="672">
        <v>0</v>
      </c>
      <c r="M302" s="672">
        <v>0</v>
      </c>
      <c r="N302" s="672">
        <v>1.1546319456101628E-14</v>
      </c>
      <c r="O302" s="672">
        <v>-3.1086244689504383E-14</v>
      </c>
      <c r="P302" s="672">
        <v>0</v>
      </c>
      <c r="Q302" s="672">
        <v>0</v>
      </c>
      <c r="R302" s="672">
        <v>0</v>
      </c>
      <c r="S302" s="672">
        <v>0</v>
      </c>
      <c r="T302" s="672">
        <v>0</v>
      </c>
      <c r="U302" s="672">
        <v>0</v>
      </c>
    </row>
    <row r="303" spans="3:21">
      <c r="C303" s="654"/>
      <c r="D303" s="654"/>
      <c r="E303" s="654"/>
      <c r="F303" s="654"/>
      <c r="G303" s="654"/>
      <c r="H303" s="654"/>
      <c r="I303" s="654"/>
      <c r="J303" s="654"/>
      <c r="K303" s="654"/>
      <c r="L303" s="654"/>
      <c r="M303" s="654"/>
      <c r="N303" s="654"/>
      <c r="O303" s="654"/>
      <c r="P303" s="654"/>
      <c r="Q303" s="654"/>
      <c r="R303" s="654"/>
      <c r="S303" s="654"/>
      <c r="T303" s="654"/>
      <c r="U303" s="654"/>
    </row>
    <row r="304" spans="3:21" ht="14.5">
      <c r="C304" s="658" t="s">
        <v>364</v>
      </c>
      <c r="D304" s="659"/>
      <c r="E304" s="659"/>
      <c r="F304" s="659"/>
      <c r="G304" s="659"/>
      <c r="H304" s="659"/>
      <c r="I304" s="659"/>
      <c r="J304" s="659"/>
      <c r="K304" s="659"/>
      <c r="L304" s="659"/>
      <c r="M304" s="659"/>
      <c r="N304" s="659"/>
      <c r="O304" s="659"/>
      <c r="P304" s="659"/>
      <c r="Q304" s="659"/>
      <c r="R304" s="659"/>
      <c r="S304" s="659"/>
      <c r="T304" s="659"/>
      <c r="U304" s="659"/>
    </row>
    <row r="305" spans="3:21">
      <c r="C305" s="654"/>
      <c r="D305" s="654"/>
      <c r="E305" s="654"/>
      <c r="F305" s="654"/>
      <c r="G305" s="654"/>
      <c r="H305" s="654"/>
      <c r="I305" s="654"/>
      <c r="J305" s="654"/>
      <c r="K305" s="654"/>
      <c r="L305" s="654"/>
      <c r="M305" s="654"/>
      <c r="N305" s="654"/>
      <c r="O305" s="654"/>
      <c r="P305" s="654"/>
      <c r="Q305" s="654"/>
      <c r="R305" s="654"/>
      <c r="S305" s="654"/>
      <c r="T305" s="654"/>
      <c r="U305" s="654"/>
    </row>
    <row r="306" spans="3:21" ht="13">
      <c r="C306" s="706" t="s">
        <v>128</v>
      </c>
      <c r="D306" s="704" t="s">
        <v>42</v>
      </c>
      <c r="E306" s="704" t="s">
        <v>52</v>
      </c>
      <c r="F306" s="704" t="s">
        <v>53</v>
      </c>
      <c r="G306" s="704" t="s">
        <v>487</v>
      </c>
      <c r="H306" s="704" t="s">
        <v>32</v>
      </c>
      <c r="I306" s="704" t="s">
        <v>488</v>
      </c>
      <c r="J306" s="704" t="s">
        <v>20</v>
      </c>
      <c r="K306" s="704" t="s">
        <v>55</v>
      </c>
      <c r="L306" s="708" t="s">
        <v>56</v>
      </c>
      <c r="M306" s="709"/>
      <c r="N306" s="709"/>
      <c r="O306" s="709"/>
      <c r="P306" s="709"/>
      <c r="Q306" s="710"/>
      <c r="R306" s="704" t="s">
        <v>57</v>
      </c>
      <c r="S306" s="704" t="s">
        <v>58</v>
      </c>
      <c r="T306" s="704" t="s">
        <v>31</v>
      </c>
      <c r="U306" s="704" t="s">
        <v>10</v>
      </c>
    </row>
    <row r="307" spans="3:21" ht="36">
      <c r="C307" s="707"/>
      <c r="D307" s="705"/>
      <c r="E307" s="705"/>
      <c r="F307" s="705"/>
      <c r="G307" s="705"/>
      <c r="H307" s="705"/>
      <c r="I307" s="705"/>
      <c r="J307" s="705"/>
      <c r="K307" s="705"/>
      <c r="L307" s="660" t="s">
        <v>338</v>
      </c>
      <c r="M307" s="660" t="s">
        <v>40</v>
      </c>
      <c r="N307" s="660" t="s">
        <v>346</v>
      </c>
      <c r="O307" s="660" t="s">
        <v>347</v>
      </c>
      <c r="P307" s="661" t="s">
        <v>348</v>
      </c>
      <c r="Q307" s="660" t="s">
        <v>349</v>
      </c>
      <c r="R307" s="705"/>
      <c r="S307" s="705"/>
      <c r="T307" s="705"/>
      <c r="U307" s="705"/>
    </row>
    <row r="308" spans="3:21" ht="13">
      <c r="C308" s="662" t="s">
        <v>59</v>
      </c>
      <c r="D308" s="663">
        <v>0</v>
      </c>
      <c r="E308" s="663">
        <v>0</v>
      </c>
      <c r="F308" s="663">
        <v>0</v>
      </c>
      <c r="G308" s="663">
        <v>0</v>
      </c>
      <c r="H308" s="663">
        <v>0</v>
      </c>
      <c r="I308" s="663">
        <v>0</v>
      </c>
      <c r="J308" s="664">
        <v>835.87348477446847</v>
      </c>
      <c r="K308" s="664">
        <v>433.2264513609648</v>
      </c>
      <c r="L308" s="664">
        <v>288.88340552324502</v>
      </c>
      <c r="M308" s="664">
        <v>22.07866786794175</v>
      </c>
      <c r="N308" s="663">
        <v>1.6797912871987437</v>
      </c>
      <c r="O308" s="663">
        <v>0.17065445399605614</v>
      </c>
      <c r="P308" s="664">
        <v>155.82057805919561</v>
      </c>
      <c r="Q308" s="664">
        <v>23.487215011212861</v>
      </c>
      <c r="R308" s="663">
        <v>0</v>
      </c>
      <c r="S308" s="663">
        <v>0</v>
      </c>
      <c r="T308" s="663">
        <v>0</v>
      </c>
      <c r="U308" s="665">
        <v>1761.2202483382232</v>
      </c>
    </row>
    <row r="309" spans="3:21" ht="13">
      <c r="C309" s="662" t="s">
        <v>60</v>
      </c>
      <c r="D309" s="663">
        <v>9.1088960408946864</v>
      </c>
      <c r="E309" s="663">
        <v>190.65660017812178</v>
      </c>
      <c r="F309" s="663">
        <v>2.9590354993625017</v>
      </c>
      <c r="G309" s="663">
        <v>0</v>
      </c>
      <c r="H309" s="663">
        <v>52.772371882452688</v>
      </c>
      <c r="I309" s="663">
        <v>0</v>
      </c>
      <c r="J309" s="663">
        <v>0</v>
      </c>
      <c r="K309" s="663">
        <v>0</v>
      </c>
      <c r="L309" s="663">
        <v>4.8125993033158778</v>
      </c>
      <c r="M309" s="663">
        <v>0</v>
      </c>
      <c r="N309" s="663">
        <v>5.0080801377734332</v>
      </c>
      <c r="O309" s="663">
        <v>0</v>
      </c>
      <c r="P309" s="663">
        <v>0</v>
      </c>
      <c r="Q309" s="663">
        <v>0</v>
      </c>
      <c r="R309" s="663">
        <v>0</v>
      </c>
      <c r="S309" s="663">
        <v>0</v>
      </c>
      <c r="T309" s="663">
        <v>0</v>
      </c>
      <c r="U309" s="665">
        <v>265.31758304192095</v>
      </c>
    </row>
    <row r="310" spans="3:21" ht="13">
      <c r="C310" s="662" t="s">
        <v>61</v>
      </c>
      <c r="D310" s="663">
        <v>0</v>
      </c>
      <c r="E310" s="663">
        <v>0</v>
      </c>
      <c r="F310" s="663">
        <v>-67.846394386464354</v>
      </c>
      <c r="G310" s="663">
        <v>-3.5527136788005009E-15</v>
      </c>
      <c r="H310" s="663">
        <v>0</v>
      </c>
      <c r="I310" s="663">
        <v>0</v>
      </c>
      <c r="J310" s="663">
        <v>0</v>
      </c>
      <c r="K310" s="663">
        <v>0</v>
      </c>
      <c r="L310" s="663">
        <v>0</v>
      </c>
      <c r="M310" s="663">
        <v>0</v>
      </c>
      <c r="N310" s="663">
        <v>0</v>
      </c>
      <c r="O310" s="663">
        <v>0</v>
      </c>
      <c r="P310" s="663">
        <v>0</v>
      </c>
      <c r="Q310" s="663">
        <v>0</v>
      </c>
      <c r="R310" s="663">
        <v>-40.00031821738844</v>
      </c>
      <c r="S310" s="663">
        <v>0</v>
      </c>
      <c r="T310" s="663">
        <v>0</v>
      </c>
      <c r="U310" s="665">
        <v>-107.84671260385279</v>
      </c>
    </row>
    <row r="311" spans="3:21" ht="13">
      <c r="C311" s="662" t="s">
        <v>62</v>
      </c>
      <c r="D311" s="663">
        <v>0</v>
      </c>
      <c r="E311" s="663">
        <v>0</v>
      </c>
      <c r="F311" s="663">
        <v>-5.3541729526260253</v>
      </c>
      <c r="G311" s="663">
        <v>-3.2544454489343884</v>
      </c>
      <c r="H311" s="663">
        <v>-2.154938128893316</v>
      </c>
      <c r="I311" s="663">
        <v>-5.5254823817777333E-2</v>
      </c>
      <c r="J311" s="663">
        <v>0</v>
      </c>
      <c r="K311" s="663">
        <v>0</v>
      </c>
      <c r="L311" s="663">
        <v>0</v>
      </c>
      <c r="M311" s="663">
        <v>0</v>
      </c>
      <c r="N311" s="663">
        <v>-0.28299525642907725</v>
      </c>
      <c r="O311" s="663">
        <v>-3.3152894290666399</v>
      </c>
      <c r="P311" s="663">
        <v>0</v>
      </c>
      <c r="Q311" s="663">
        <v>0</v>
      </c>
      <c r="R311" s="663">
        <v>0</v>
      </c>
      <c r="S311" s="663">
        <v>0</v>
      </c>
      <c r="T311" s="663">
        <v>0</v>
      </c>
      <c r="U311" s="665">
        <v>-14.417096039767225</v>
      </c>
    </row>
    <row r="312" spans="3:21" ht="13">
      <c r="C312" s="662" t="s">
        <v>63</v>
      </c>
      <c r="D312" s="663">
        <v>0</v>
      </c>
      <c r="E312" s="663">
        <v>0</v>
      </c>
      <c r="F312" s="663">
        <v>-38.578656039955483</v>
      </c>
      <c r="G312" s="663">
        <v>-13.893394907220655</v>
      </c>
      <c r="H312" s="663">
        <v>0</v>
      </c>
      <c r="I312" s="663">
        <v>0</v>
      </c>
      <c r="J312" s="663">
        <v>0</v>
      </c>
      <c r="K312" s="663">
        <v>0</v>
      </c>
      <c r="L312" s="663">
        <v>0</v>
      </c>
      <c r="M312" s="663">
        <v>0</v>
      </c>
      <c r="N312" s="663">
        <v>-13.893394907220655</v>
      </c>
      <c r="O312" s="663">
        <v>0</v>
      </c>
      <c r="P312" s="663">
        <v>0</v>
      </c>
      <c r="Q312" s="663">
        <v>0</v>
      </c>
      <c r="R312" s="663">
        <v>0</v>
      </c>
      <c r="S312" s="663">
        <v>0</v>
      </c>
      <c r="T312" s="663">
        <v>-1.3953345659196588</v>
      </c>
      <c r="U312" s="665">
        <v>-67.760780420316451</v>
      </c>
    </row>
    <row r="313" spans="3:21" ht="13">
      <c r="C313" s="662" t="s">
        <v>64</v>
      </c>
      <c r="D313" s="663">
        <v>0</v>
      </c>
      <c r="E313" s="663">
        <v>0</v>
      </c>
      <c r="F313" s="663">
        <v>0</v>
      </c>
      <c r="G313" s="663">
        <v>0</v>
      </c>
      <c r="H313" s="663">
        <v>0</v>
      </c>
      <c r="I313" s="663">
        <v>0</v>
      </c>
      <c r="J313" s="663">
        <v>0</v>
      </c>
      <c r="K313" s="663">
        <v>0</v>
      </c>
      <c r="L313" s="663">
        <v>0</v>
      </c>
      <c r="M313" s="663">
        <v>0</v>
      </c>
      <c r="N313" s="663">
        <v>0</v>
      </c>
      <c r="O313" s="663">
        <v>0</v>
      </c>
      <c r="P313" s="663">
        <v>0</v>
      </c>
      <c r="Q313" s="663">
        <v>0</v>
      </c>
      <c r="R313" s="663">
        <v>0</v>
      </c>
      <c r="S313" s="663">
        <v>0</v>
      </c>
      <c r="T313" s="663">
        <v>0</v>
      </c>
      <c r="U313" s="665">
        <v>0</v>
      </c>
    </row>
    <row r="314" spans="3:21" ht="13">
      <c r="C314" s="666" t="s">
        <v>65</v>
      </c>
      <c r="D314" s="667">
        <v>9.1088960408946864</v>
      </c>
      <c r="E314" s="667">
        <v>190.65660017812178</v>
      </c>
      <c r="F314" s="667">
        <v>-108.82018787968336</v>
      </c>
      <c r="G314" s="667">
        <v>-17.147840356155047</v>
      </c>
      <c r="H314" s="675">
        <v>50.617433753559375</v>
      </c>
      <c r="I314" s="667">
        <v>-5.5254823817777333E-2</v>
      </c>
      <c r="J314" s="667">
        <v>835.87348477446847</v>
      </c>
      <c r="K314" s="667">
        <v>433.2264513609648</v>
      </c>
      <c r="L314" s="667">
        <v>293.69600482656091</v>
      </c>
      <c r="M314" s="667">
        <v>22.07866786794175</v>
      </c>
      <c r="N314" s="667">
        <v>-7.4885187386775538</v>
      </c>
      <c r="O314" s="667">
        <v>-3.1446349750705838</v>
      </c>
      <c r="P314" s="667">
        <v>155.82057805919561</v>
      </c>
      <c r="Q314" s="667">
        <v>23.487215011212861</v>
      </c>
      <c r="R314" s="667">
        <v>-40.00031821738844</v>
      </c>
      <c r="S314" s="667">
        <v>0</v>
      </c>
      <c r="T314" s="667">
        <v>-1.3953345659196588</v>
      </c>
      <c r="U314" s="667">
        <v>1836.5132423162074</v>
      </c>
    </row>
    <row r="315" spans="3:21" ht="13">
      <c r="C315" s="668"/>
      <c r="D315" s="669">
        <v>0</v>
      </c>
      <c r="E315" s="669">
        <v>0</v>
      </c>
      <c r="F315" s="669">
        <v>0</v>
      </c>
      <c r="G315" s="669">
        <v>0</v>
      </c>
      <c r="H315" s="676">
        <v>0</v>
      </c>
      <c r="I315" s="669">
        <v>0</v>
      </c>
      <c r="J315" s="669">
        <v>0</v>
      </c>
      <c r="K315" s="669">
        <v>0</v>
      </c>
      <c r="L315" s="669">
        <v>0</v>
      </c>
      <c r="M315" s="669">
        <v>0</v>
      </c>
      <c r="N315" s="669">
        <v>0</v>
      </c>
      <c r="O315" s="669">
        <v>0</v>
      </c>
      <c r="P315" s="669">
        <v>0</v>
      </c>
      <c r="Q315" s="669">
        <v>0</v>
      </c>
      <c r="R315" s="669">
        <v>0</v>
      </c>
      <c r="S315" s="669">
        <v>0</v>
      </c>
      <c r="T315" s="669">
        <v>0</v>
      </c>
      <c r="U315" s="669">
        <v>0</v>
      </c>
    </row>
    <row r="316" spans="3:21" ht="13">
      <c r="C316" s="670" t="s">
        <v>67</v>
      </c>
      <c r="D316" s="663">
        <v>0</v>
      </c>
      <c r="E316" s="663">
        <v>0</v>
      </c>
      <c r="F316" s="663">
        <v>0</v>
      </c>
      <c r="G316" s="663">
        <v>0</v>
      </c>
      <c r="H316" s="663">
        <v>0</v>
      </c>
      <c r="I316" s="663">
        <v>0</v>
      </c>
      <c r="J316" s="663">
        <v>0</v>
      </c>
      <c r="K316" s="663">
        <v>0</v>
      </c>
      <c r="L316" s="663">
        <v>0</v>
      </c>
      <c r="M316" s="663">
        <v>0</v>
      </c>
      <c r="N316" s="663">
        <v>0</v>
      </c>
      <c r="O316" s="663">
        <v>0</v>
      </c>
      <c r="P316" s="663">
        <v>0</v>
      </c>
      <c r="Q316" s="663">
        <v>0</v>
      </c>
      <c r="R316" s="663">
        <v>0</v>
      </c>
      <c r="S316" s="663">
        <v>0</v>
      </c>
      <c r="T316" s="663">
        <v>0</v>
      </c>
      <c r="U316" s="671">
        <v>0</v>
      </c>
    </row>
    <row r="317" spans="3:21" ht="13">
      <c r="C317" s="670" t="s">
        <v>350</v>
      </c>
      <c r="D317" s="663">
        <v>0</v>
      </c>
      <c r="E317" s="663">
        <v>0</v>
      </c>
      <c r="F317" s="663">
        <v>0</v>
      </c>
      <c r="G317" s="663">
        <v>0</v>
      </c>
      <c r="H317" s="663">
        <v>0</v>
      </c>
      <c r="I317" s="663">
        <v>0</v>
      </c>
      <c r="J317" s="663">
        <v>835.87348477446847</v>
      </c>
      <c r="K317" s="663">
        <v>433.2264513609648</v>
      </c>
      <c r="L317" s="663">
        <v>14.188154051569427</v>
      </c>
      <c r="M317" s="663">
        <v>5.3742483693021068</v>
      </c>
      <c r="N317" s="663">
        <v>6.3451610040287907</v>
      </c>
      <c r="O317" s="663">
        <v>0.11419280490868838</v>
      </c>
      <c r="P317" s="663">
        <v>0</v>
      </c>
      <c r="Q317" s="663">
        <v>6.4766550958451852</v>
      </c>
      <c r="R317" s="663">
        <v>-726.93629039774203</v>
      </c>
      <c r="S317" s="663">
        <v>0</v>
      </c>
      <c r="T317" s="663">
        <v>11.298964449788109</v>
      </c>
      <c r="U317" s="671">
        <v>585.96102151313323</v>
      </c>
    </row>
    <row r="318" spans="3:21" ht="13">
      <c r="C318" s="670" t="s">
        <v>351</v>
      </c>
      <c r="D318" s="663">
        <v>0</v>
      </c>
      <c r="E318" s="663">
        <v>0</v>
      </c>
      <c r="F318" s="663">
        <v>0</v>
      </c>
      <c r="G318" s="663">
        <v>0</v>
      </c>
      <c r="H318" s="663">
        <v>3.2711110414405256</v>
      </c>
      <c r="I318" s="663">
        <v>0</v>
      </c>
      <c r="J318" s="663">
        <v>0</v>
      </c>
      <c r="K318" s="663">
        <v>0</v>
      </c>
      <c r="L318" s="663">
        <v>34.963821149394811</v>
      </c>
      <c r="M318" s="663">
        <v>14.476121269049287</v>
      </c>
      <c r="N318" s="663">
        <v>0</v>
      </c>
      <c r="O318" s="663">
        <v>7.6477038720835147</v>
      </c>
      <c r="P318" s="663">
        <v>0</v>
      </c>
      <c r="Q318" s="663">
        <v>11.276034288959668</v>
      </c>
      <c r="R318" s="663">
        <v>0</v>
      </c>
      <c r="S318" s="663">
        <v>-67.494467143680438</v>
      </c>
      <c r="T318" s="663">
        <v>0</v>
      </c>
      <c r="U318" s="671">
        <v>4.1403244772473649</v>
      </c>
    </row>
    <row r="319" spans="3:21" ht="13">
      <c r="C319" s="670" t="s">
        <v>352</v>
      </c>
      <c r="D319" s="663">
        <v>0</v>
      </c>
      <c r="E319" s="663">
        <v>0</v>
      </c>
      <c r="F319" s="663">
        <v>0</v>
      </c>
      <c r="G319" s="663">
        <v>0</v>
      </c>
      <c r="H319" s="663">
        <v>0</v>
      </c>
      <c r="I319" s="663">
        <v>0</v>
      </c>
      <c r="J319" s="663">
        <v>0</v>
      </c>
      <c r="K319" s="663">
        <v>0</v>
      </c>
      <c r="L319" s="663">
        <v>85.030807044207506</v>
      </c>
      <c r="M319" s="663">
        <v>0</v>
      </c>
      <c r="N319" s="663">
        <v>0</v>
      </c>
      <c r="O319" s="663">
        <v>-80.149276434896436</v>
      </c>
      <c r="P319" s="663">
        <v>0</v>
      </c>
      <c r="Q319" s="663">
        <v>0</v>
      </c>
      <c r="R319" s="663">
        <v>0</v>
      </c>
      <c r="S319" s="663">
        <v>0</v>
      </c>
      <c r="T319" s="663">
        <v>0</v>
      </c>
      <c r="U319" s="671">
        <v>4.8815306093110706</v>
      </c>
    </row>
    <row r="320" spans="3:21" ht="13">
      <c r="C320" s="670" t="s">
        <v>353</v>
      </c>
      <c r="D320" s="663">
        <v>0</v>
      </c>
      <c r="E320" s="663">
        <v>0</v>
      </c>
      <c r="F320" s="663">
        <v>0</v>
      </c>
      <c r="G320" s="663">
        <v>0</v>
      </c>
      <c r="H320" s="663">
        <v>0</v>
      </c>
      <c r="I320" s="663">
        <v>-1.1466991714325052</v>
      </c>
      <c r="J320" s="663">
        <v>0</v>
      </c>
      <c r="K320" s="663">
        <v>0</v>
      </c>
      <c r="L320" s="663">
        <v>0</v>
      </c>
      <c r="M320" s="663">
        <v>0</v>
      </c>
      <c r="N320" s="663">
        <v>0</v>
      </c>
      <c r="O320" s="663">
        <v>0</v>
      </c>
      <c r="P320" s="663">
        <v>0</v>
      </c>
      <c r="Q320" s="663">
        <v>0</v>
      </c>
      <c r="R320" s="663">
        <v>0</v>
      </c>
      <c r="S320" s="663">
        <v>0</v>
      </c>
      <c r="T320" s="663">
        <v>1.5966000387788533</v>
      </c>
      <c r="U320" s="671">
        <v>0.44990086734634804</v>
      </c>
    </row>
    <row r="321" spans="3:21" ht="13">
      <c r="C321" s="670" t="s">
        <v>72</v>
      </c>
      <c r="D321" s="663">
        <v>0</v>
      </c>
      <c r="E321" s="663">
        <v>197.54631533572405</v>
      </c>
      <c r="F321" s="663">
        <v>-195.57532355071015</v>
      </c>
      <c r="G321" s="663">
        <v>0</v>
      </c>
      <c r="H321" s="663">
        <v>0</v>
      </c>
      <c r="I321" s="663">
        <v>0</v>
      </c>
      <c r="J321" s="663">
        <v>0</v>
      </c>
      <c r="K321" s="663">
        <v>0</v>
      </c>
      <c r="L321" s="663">
        <v>0</v>
      </c>
      <c r="M321" s="663">
        <v>0</v>
      </c>
      <c r="N321" s="663">
        <v>0</v>
      </c>
      <c r="O321" s="663">
        <v>0</v>
      </c>
      <c r="P321" s="663">
        <v>0</v>
      </c>
      <c r="Q321" s="663">
        <v>0</v>
      </c>
      <c r="R321" s="663">
        <v>0</v>
      </c>
      <c r="S321" s="663">
        <v>0</v>
      </c>
      <c r="T321" s="663">
        <v>0</v>
      </c>
      <c r="U321" s="671">
        <v>1.9709917850139052</v>
      </c>
    </row>
    <row r="322" spans="3:21" ht="13">
      <c r="C322" s="670" t="s">
        <v>354</v>
      </c>
      <c r="D322" s="663">
        <v>0</v>
      </c>
      <c r="E322" s="663">
        <v>0</v>
      </c>
      <c r="F322" s="663">
        <v>0</v>
      </c>
      <c r="G322" s="663">
        <v>0</v>
      </c>
      <c r="H322" s="663">
        <v>0</v>
      </c>
      <c r="I322" s="663">
        <v>0</v>
      </c>
      <c r="J322" s="663">
        <v>0</v>
      </c>
      <c r="K322" s="663">
        <v>0</v>
      </c>
      <c r="L322" s="663">
        <v>104.32434467350188</v>
      </c>
      <c r="M322" s="663">
        <v>0</v>
      </c>
      <c r="N322" s="663">
        <v>-104.32434467350188</v>
      </c>
      <c r="O322" s="663">
        <v>0</v>
      </c>
      <c r="P322" s="663">
        <v>0</v>
      </c>
      <c r="Q322" s="663">
        <v>0</v>
      </c>
      <c r="R322" s="663">
        <v>0</v>
      </c>
      <c r="S322" s="663">
        <v>0</v>
      </c>
      <c r="T322" s="663">
        <v>0</v>
      </c>
      <c r="U322" s="671">
        <v>0</v>
      </c>
    </row>
    <row r="323" spans="3:21" ht="13">
      <c r="C323" s="670" t="s">
        <v>355</v>
      </c>
      <c r="D323" s="663">
        <v>0</v>
      </c>
      <c r="E323" s="663">
        <v>0</v>
      </c>
      <c r="F323" s="663">
        <v>0</v>
      </c>
      <c r="G323" s="663">
        <v>-28.456538558191252</v>
      </c>
      <c r="H323" s="663">
        <v>0</v>
      </c>
      <c r="I323" s="663">
        <v>0</v>
      </c>
      <c r="J323" s="663">
        <v>0</v>
      </c>
      <c r="K323" s="663">
        <v>0</v>
      </c>
      <c r="L323" s="663">
        <v>0</v>
      </c>
      <c r="M323" s="663">
        <v>0</v>
      </c>
      <c r="N323" s="663">
        <v>0</v>
      </c>
      <c r="O323" s="663">
        <v>0</v>
      </c>
      <c r="P323" s="663">
        <v>0</v>
      </c>
      <c r="Q323" s="663">
        <v>0</v>
      </c>
      <c r="R323" s="663">
        <v>0</v>
      </c>
      <c r="S323" s="663">
        <v>0</v>
      </c>
      <c r="T323" s="663">
        <v>39.633062058762192</v>
      </c>
      <c r="U323" s="671">
        <v>11.176523500570941</v>
      </c>
    </row>
    <row r="324" spans="3:21" ht="13">
      <c r="C324" s="670" t="s">
        <v>73</v>
      </c>
      <c r="D324" s="663">
        <v>0</v>
      </c>
      <c r="E324" s="663">
        <v>0</v>
      </c>
      <c r="F324" s="663">
        <v>0</v>
      </c>
      <c r="G324" s="663">
        <v>0</v>
      </c>
      <c r="H324" s="663">
        <v>0</v>
      </c>
      <c r="I324" s="663">
        <v>0</v>
      </c>
      <c r="J324" s="663">
        <v>0</v>
      </c>
      <c r="K324" s="663">
        <v>0</v>
      </c>
      <c r="L324" s="663">
        <v>0</v>
      </c>
      <c r="M324" s="663">
        <v>0</v>
      </c>
      <c r="N324" s="663">
        <v>0</v>
      </c>
      <c r="O324" s="663">
        <v>0</v>
      </c>
      <c r="P324" s="663">
        <v>0</v>
      </c>
      <c r="Q324" s="663">
        <v>0</v>
      </c>
      <c r="R324" s="663">
        <v>137.29765828865015</v>
      </c>
      <c r="S324" s="663">
        <v>0</v>
      </c>
      <c r="T324" s="663">
        <v>-96.451604947776744</v>
      </c>
      <c r="U324" s="671">
        <v>40.846053340873411</v>
      </c>
    </row>
    <row r="325" spans="3:21" ht="13">
      <c r="C325" s="670" t="s">
        <v>356</v>
      </c>
      <c r="D325" s="663">
        <v>5.0092797656249992</v>
      </c>
      <c r="E325" s="663">
        <v>-6.8897151576022866</v>
      </c>
      <c r="F325" s="663">
        <v>8.9891621815142653</v>
      </c>
      <c r="G325" s="663">
        <v>0</v>
      </c>
      <c r="H325" s="663">
        <v>0</v>
      </c>
      <c r="I325" s="663">
        <v>0</v>
      </c>
      <c r="J325" s="663">
        <v>0</v>
      </c>
      <c r="K325" s="663">
        <v>0</v>
      </c>
      <c r="L325" s="663">
        <v>0</v>
      </c>
      <c r="M325" s="663">
        <v>0</v>
      </c>
      <c r="N325" s="663">
        <v>0</v>
      </c>
      <c r="O325" s="663">
        <v>0</v>
      </c>
      <c r="P325" s="663">
        <v>0</v>
      </c>
      <c r="Q325" s="663">
        <v>0</v>
      </c>
      <c r="R325" s="663">
        <v>0</v>
      </c>
      <c r="S325" s="663">
        <v>0</v>
      </c>
      <c r="T325" s="663">
        <v>0</v>
      </c>
      <c r="U325" s="671">
        <v>7.1087267895369788</v>
      </c>
    </row>
    <row r="326" spans="3:21" ht="13">
      <c r="C326" s="670" t="s">
        <v>75</v>
      </c>
      <c r="D326" s="663">
        <v>1.9480532421875001</v>
      </c>
      <c r="E326" s="663">
        <v>0</v>
      </c>
      <c r="F326" s="663">
        <v>17.132121990826434</v>
      </c>
      <c r="G326" s="663">
        <v>0</v>
      </c>
      <c r="H326" s="663">
        <v>1.9377811160090992</v>
      </c>
      <c r="I326" s="663">
        <v>4.9686695282284594E-2</v>
      </c>
      <c r="J326" s="663">
        <v>0</v>
      </c>
      <c r="K326" s="663">
        <v>0</v>
      </c>
      <c r="L326" s="663">
        <v>0</v>
      </c>
      <c r="M326" s="663">
        <v>0</v>
      </c>
      <c r="N326" s="663">
        <v>0</v>
      </c>
      <c r="O326" s="663">
        <v>2.9812017169370755</v>
      </c>
      <c r="P326" s="663">
        <v>0</v>
      </c>
      <c r="Q326" s="663">
        <v>0</v>
      </c>
      <c r="R326" s="663">
        <v>20.439487728936754</v>
      </c>
      <c r="S326" s="663">
        <v>0</v>
      </c>
      <c r="T326" s="663">
        <v>0</v>
      </c>
      <c r="U326" s="671">
        <v>44.488332490179147</v>
      </c>
    </row>
    <row r="327" spans="3:21" ht="13">
      <c r="C327" s="670" t="s">
        <v>76</v>
      </c>
      <c r="D327" s="663">
        <v>0</v>
      </c>
      <c r="E327" s="663">
        <v>0</v>
      </c>
      <c r="F327" s="663">
        <v>0</v>
      </c>
      <c r="G327" s="663">
        <v>0</v>
      </c>
      <c r="H327" s="663">
        <v>0.58071595304039991</v>
      </c>
      <c r="I327" s="663">
        <v>1.4890152642061536E-2</v>
      </c>
      <c r="J327" s="663">
        <v>0</v>
      </c>
      <c r="K327" s="663">
        <v>0</v>
      </c>
      <c r="L327" s="663">
        <v>0</v>
      </c>
      <c r="M327" s="663">
        <v>0</v>
      </c>
      <c r="N327" s="663">
        <v>0</v>
      </c>
      <c r="O327" s="663">
        <v>0.89340915852369218</v>
      </c>
      <c r="P327" s="663">
        <v>0</v>
      </c>
      <c r="Q327" s="663">
        <v>0</v>
      </c>
      <c r="R327" s="663">
        <v>52.564064229351587</v>
      </c>
      <c r="S327" s="663">
        <v>5.2350040213197584</v>
      </c>
      <c r="T327" s="663">
        <v>0</v>
      </c>
      <c r="U327" s="671">
        <v>59.288083514877499</v>
      </c>
    </row>
    <row r="328" spans="3:21" ht="13">
      <c r="C328" s="666" t="s">
        <v>77</v>
      </c>
      <c r="D328" s="667">
        <v>6.9573330078124993</v>
      </c>
      <c r="E328" s="667">
        <v>190.65660017812178</v>
      </c>
      <c r="F328" s="667">
        <v>-169.45403937836946</v>
      </c>
      <c r="G328" s="667">
        <v>-28.456538558191252</v>
      </c>
      <c r="H328" s="675">
        <v>5.7896081104900246</v>
      </c>
      <c r="I328" s="667">
        <v>-1.0821223235081592</v>
      </c>
      <c r="J328" s="667">
        <v>835.87348477446847</v>
      </c>
      <c r="K328" s="667">
        <v>433.2264513609648</v>
      </c>
      <c r="L328" s="667">
        <v>238.50712691867363</v>
      </c>
      <c r="M328" s="667">
        <v>19.850369638351395</v>
      </c>
      <c r="N328" s="667">
        <v>-97.979183669473088</v>
      </c>
      <c r="O328" s="667">
        <v>-68.512768882443467</v>
      </c>
      <c r="P328" s="667">
        <v>0</v>
      </c>
      <c r="Q328" s="667">
        <v>17.752689384804853</v>
      </c>
      <c r="R328" s="667">
        <v>-516.63508015080356</v>
      </c>
      <c r="S328" s="667">
        <v>-62.259463122360671</v>
      </c>
      <c r="T328" s="667">
        <v>-43.92297840044759</v>
      </c>
      <c r="U328" s="667">
        <v>760.31148888809003</v>
      </c>
    </row>
    <row r="329" spans="3:21" ht="13">
      <c r="C329" s="668"/>
      <c r="D329" s="669">
        <v>0</v>
      </c>
      <c r="E329" s="669">
        <v>0</v>
      </c>
      <c r="F329" s="669">
        <v>0</v>
      </c>
      <c r="G329" s="669">
        <v>0</v>
      </c>
      <c r="H329" s="676">
        <v>0</v>
      </c>
      <c r="I329" s="669">
        <v>0</v>
      </c>
      <c r="J329" s="669">
        <v>0</v>
      </c>
      <c r="K329" s="669">
        <v>0</v>
      </c>
      <c r="L329" s="669">
        <v>0</v>
      </c>
      <c r="M329" s="669">
        <v>0</v>
      </c>
      <c r="N329" s="669">
        <v>0</v>
      </c>
      <c r="O329" s="669">
        <v>0</v>
      </c>
      <c r="P329" s="669">
        <v>0</v>
      </c>
      <c r="Q329" s="669">
        <v>0</v>
      </c>
      <c r="R329" s="669">
        <v>0</v>
      </c>
      <c r="S329" s="669">
        <v>0</v>
      </c>
      <c r="T329" s="669">
        <v>0</v>
      </c>
      <c r="U329" s="669">
        <v>0</v>
      </c>
    </row>
    <row r="330" spans="3:21" ht="13">
      <c r="C330" s="670" t="s">
        <v>78</v>
      </c>
      <c r="D330" s="663">
        <v>2.1515630330821871</v>
      </c>
      <c r="E330" s="663">
        <v>0</v>
      </c>
      <c r="F330" s="663">
        <v>1.9729303012498745</v>
      </c>
      <c r="G330" s="663">
        <v>0</v>
      </c>
      <c r="H330" s="663">
        <v>17.624600662262115</v>
      </c>
      <c r="I330" s="663">
        <v>0.45191283749390032</v>
      </c>
      <c r="J330" s="663">
        <v>0</v>
      </c>
      <c r="K330" s="663">
        <v>0</v>
      </c>
      <c r="L330" s="663">
        <v>19.327819378703428</v>
      </c>
      <c r="M330" s="663">
        <v>2.2279514023281117</v>
      </c>
      <c r="N330" s="663">
        <v>2.6644658203125</v>
      </c>
      <c r="O330" s="663">
        <v>27.156120456665761</v>
      </c>
      <c r="P330" s="663">
        <v>9.6085478515625002</v>
      </c>
      <c r="Q330" s="663">
        <v>8.4299170840015686E-4</v>
      </c>
      <c r="R330" s="663">
        <v>135.80773886663795</v>
      </c>
      <c r="S330" s="663">
        <v>18.436108583667494</v>
      </c>
      <c r="T330" s="663">
        <v>6.3938178710937503</v>
      </c>
      <c r="U330" s="671">
        <v>243.82442005676796</v>
      </c>
    </row>
    <row r="331" spans="3:21" ht="13">
      <c r="C331" s="670" t="s">
        <v>79</v>
      </c>
      <c r="D331" s="663">
        <v>0</v>
      </c>
      <c r="E331" s="663">
        <v>0</v>
      </c>
      <c r="F331" s="663">
        <v>5.1934680094593588</v>
      </c>
      <c r="G331" s="663">
        <v>1.7577012997845347</v>
      </c>
      <c r="H331" s="663">
        <v>2.152977175631825</v>
      </c>
      <c r="I331" s="663">
        <v>5.5204542964918585E-2</v>
      </c>
      <c r="J331" s="663">
        <v>0</v>
      </c>
      <c r="K331" s="663">
        <v>0</v>
      </c>
      <c r="L331" s="663">
        <v>0</v>
      </c>
      <c r="M331" s="663">
        <v>0</v>
      </c>
      <c r="N331" s="663">
        <v>51.143075106834317</v>
      </c>
      <c r="O331" s="663">
        <v>3.312272577895115</v>
      </c>
      <c r="P331" s="663">
        <v>0</v>
      </c>
      <c r="Q331" s="663">
        <v>0</v>
      </c>
      <c r="R331" s="663">
        <v>104.19646172854269</v>
      </c>
      <c r="S331" s="663">
        <v>0</v>
      </c>
      <c r="T331" s="663">
        <v>4.7641609973157095</v>
      </c>
      <c r="U331" s="671">
        <v>172.57532143842849</v>
      </c>
    </row>
    <row r="332" spans="3:21" ht="13">
      <c r="C332" s="670" t="s">
        <v>80</v>
      </c>
      <c r="D332" s="663">
        <v>0</v>
      </c>
      <c r="E332" s="663">
        <v>0</v>
      </c>
      <c r="F332" s="663">
        <v>0.32079919308121357</v>
      </c>
      <c r="G332" s="663">
        <v>0</v>
      </c>
      <c r="H332" s="663">
        <v>12.69993934515486</v>
      </c>
      <c r="I332" s="663">
        <v>0.32563947038858615</v>
      </c>
      <c r="J332" s="663">
        <v>0</v>
      </c>
      <c r="K332" s="663">
        <v>0</v>
      </c>
      <c r="L332" s="663">
        <v>30.989297403436193</v>
      </c>
      <c r="M332" s="663">
        <v>0</v>
      </c>
      <c r="N332" s="663">
        <v>0</v>
      </c>
      <c r="O332" s="663">
        <v>19.538368223315167</v>
      </c>
      <c r="P332" s="663">
        <v>117.54725011788614</v>
      </c>
      <c r="Q332" s="663">
        <v>2.9888036499995505</v>
      </c>
      <c r="R332" s="663">
        <v>139.69858105781077</v>
      </c>
      <c r="S332" s="663">
        <v>24.846536847991327</v>
      </c>
      <c r="T332" s="663">
        <v>0</v>
      </c>
      <c r="U332" s="671">
        <v>348.95521530906382</v>
      </c>
    </row>
    <row r="333" spans="3:21" ht="13">
      <c r="C333" s="670" t="s">
        <v>81</v>
      </c>
      <c r="D333" s="663">
        <v>0</v>
      </c>
      <c r="E333" s="663">
        <v>0</v>
      </c>
      <c r="F333" s="663">
        <v>0.73542128008657859</v>
      </c>
      <c r="G333" s="663">
        <v>0</v>
      </c>
      <c r="H333" s="663">
        <v>6.9022329775494073</v>
      </c>
      <c r="I333" s="663">
        <v>0.17698033275767711</v>
      </c>
      <c r="J333" s="663">
        <v>0</v>
      </c>
      <c r="K333" s="663">
        <v>0</v>
      </c>
      <c r="L333" s="663">
        <v>0.37326901233115406</v>
      </c>
      <c r="M333" s="663">
        <v>3.4682726224379159E-4</v>
      </c>
      <c r="N333" s="663">
        <v>0</v>
      </c>
      <c r="O333" s="663">
        <v>10.618819965460625</v>
      </c>
      <c r="P333" s="663">
        <v>27.414780089746973</v>
      </c>
      <c r="Q333" s="663">
        <v>1.0008652914522365</v>
      </c>
      <c r="R333" s="663">
        <v>86.91432505661372</v>
      </c>
      <c r="S333" s="663">
        <v>18.976817690701857</v>
      </c>
      <c r="T333" s="663">
        <v>0</v>
      </c>
      <c r="U333" s="671">
        <v>153.11385852396248</v>
      </c>
    </row>
    <row r="334" spans="3:21" ht="13">
      <c r="C334" s="670" t="s">
        <v>82</v>
      </c>
      <c r="D334" s="663">
        <v>0</v>
      </c>
      <c r="E334" s="663">
        <v>0</v>
      </c>
      <c r="F334" s="663">
        <v>1.7660543125979742</v>
      </c>
      <c r="G334" s="663">
        <v>1.6775006918768405</v>
      </c>
      <c r="H334" s="663">
        <v>0.66808232732668293</v>
      </c>
      <c r="I334" s="663">
        <v>1.7130316085299562E-2</v>
      </c>
      <c r="J334" s="663">
        <v>0</v>
      </c>
      <c r="K334" s="663">
        <v>0</v>
      </c>
      <c r="L334" s="663">
        <v>3.9742935582164471</v>
      </c>
      <c r="M334" s="663">
        <v>0</v>
      </c>
      <c r="N334" s="663">
        <v>17.824426087880788</v>
      </c>
      <c r="O334" s="663">
        <v>1.0278189651179737</v>
      </c>
      <c r="P334" s="663">
        <v>1.25</v>
      </c>
      <c r="Q334" s="663">
        <v>1.7440136932478227</v>
      </c>
      <c r="R334" s="663">
        <v>7.8035752238100597</v>
      </c>
      <c r="S334" s="663">
        <v>0</v>
      </c>
      <c r="T334" s="663">
        <v>0.38427420359697795</v>
      </c>
      <c r="U334" s="671">
        <v>38.13716937975687</v>
      </c>
    </row>
    <row r="335" spans="3:21" ht="13">
      <c r="C335" s="670" t="s">
        <v>357</v>
      </c>
      <c r="D335" s="663">
        <v>0</v>
      </c>
      <c r="E335" s="663">
        <v>0</v>
      </c>
      <c r="F335" s="663">
        <v>0</v>
      </c>
      <c r="G335" s="663">
        <v>0</v>
      </c>
      <c r="H335" s="663">
        <v>0</v>
      </c>
      <c r="I335" s="663">
        <v>0</v>
      </c>
      <c r="J335" s="663">
        <v>0</v>
      </c>
      <c r="K335" s="663">
        <v>0</v>
      </c>
      <c r="L335" s="663">
        <v>0</v>
      </c>
      <c r="M335" s="663">
        <v>0</v>
      </c>
      <c r="N335" s="663">
        <v>0</v>
      </c>
      <c r="O335" s="663">
        <v>0</v>
      </c>
      <c r="P335" s="663">
        <v>0</v>
      </c>
      <c r="Q335" s="663">
        <v>0</v>
      </c>
      <c r="R335" s="663">
        <v>2.21408</v>
      </c>
      <c r="S335" s="663">
        <v>0</v>
      </c>
      <c r="T335" s="663">
        <v>0</v>
      </c>
      <c r="U335" s="671">
        <v>2.21408</v>
      </c>
    </row>
    <row r="336" spans="3:21" ht="13">
      <c r="C336" s="666" t="s">
        <v>83</v>
      </c>
      <c r="D336" s="667">
        <v>2.1515630330821871</v>
      </c>
      <c r="E336" s="667">
        <v>0</v>
      </c>
      <c r="F336" s="667">
        <v>9.9886730964750008</v>
      </c>
      <c r="G336" s="667">
        <v>3.4352019916613754</v>
      </c>
      <c r="H336" s="675">
        <v>40.047832487924893</v>
      </c>
      <c r="I336" s="667">
        <v>1.0268674996903817</v>
      </c>
      <c r="J336" s="667">
        <v>0</v>
      </c>
      <c r="K336" s="667">
        <v>0</v>
      </c>
      <c r="L336" s="667">
        <v>54.664679352687223</v>
      </c>
      <c r="M336" s="667">
        <v>2.2282982295903557</v>
      </c>
      <c r="N336" s="667">
        <v>71.631967015027612</v>
      </c>
      <c r="O336" s="667">
        <v>61.65340018845464</v>
      </c>
      <c r="P336" s="667">
        <v>155.82057805919561</v>
      </c>
      <c r="Q336" s="667">
        <v>5.7345256264080096</v>
      </c>
      <c r="R336" s="667">
        <v>476.63476193341518</v>
      </c>
      <c r="S336" s="667">
        <v>62.259463122360671</v>
      </c>
      <c r="T336" s="667">
        <v>11.542253072006439</v>
      </c>
      <c r="U336" s="667">
        <v>958.82006470797955</v>
      </c>
    </row>
    <row r="337" spans="3:21" ht="13">
      <c r="C337" s="662" t="s">
        <v>84</v>
      </c>
      <c r="D337" s="663">
        <v>0</v>
      </c>
      <c r="E337" s="663">
        <v>0</v>
      </c>
      <c r="F337" s="663">
        <v>50.64517840221108</v>
      </c>
      <c r="G337" s="663">
        <v>7.8734962103748298</v>
      </c>
      <c r="H337" s="663">
        <v>4.7799931551444459</v>
      </c>
      <c r="I337" s="663">
        <v>0</v>
      </c>
      <c r="J337" s="663">
        <v>0</v>
      </c>
      <c r="K337" s="663">
        <v>0</v>
      </c>
      <c r="L337" s="663">
        <v>0.52419855520004055</v>
      </c>
      <c r="M337" s="663">
        <v>0</v>
      </c>
      <c r="N337" s="663">
        <v>18.858697915767927</v>
      </c>
      <c r="O337" s="663">
        <v>3.7147337189182332</v>
      </c>
      <c r="P337" s="663">
        <v>0</v>
      </c>
      <c r="Q337" s="663">
        <v>0</v>
      </c>
      <c r="R337" s="663">
        <v>0</v>
      </c>
      <c r="S337" s="663">
        <v>0</v>
      </c>
      <c r="T337" s="663">
        <v>30.985390762521494</v>
      </c>
      <c r="U337" s="671">
        <v>117.38168872013804</v>
      </c>
    </row>
    <row r="338" spans="3:21" ht="13">
      <c r="C338" s="666" t="s">
        <v>85</v>
      </c>
      <c r="D338" s="667">
        <v>2.1515630330821871</v>
      </c>
      <c r="E338" s="667">
        <v>0</v>
      </c>
      <c r="F338" s="667">
        <v>60.633851498686084</v>
      </c>
      <c r="G338" s="667">
        <v>11.308698202036204</v>
      </c>
      <c r="H338" s="675">
        <v>44.827825643069339</v>
      </c>
      <c r="I338" s="667">
        <v>1.0268674996903817</v>
      </c>
      <c r="J338" s="667">
        <v>0</v>
      </c>
      <c r="K338" s="667">
        <v>0</v>
      </c>
      <c r="L338" s="667">
        <v>55.18887790788726</v>
      </c>
      <c r="M338" s="667">
        <v>2.2282982295903557</v>
      </c>
      <c r="N338" s="667">
        <v>90.490664930795546</v>
      </c>
      <c r="O338" s="667">
        <v>65.368133907372865</v>
      </c>
      <c r="P338" s="667">
        <v>155.82057805919561</v>
      </c>
      <c r="Q338" s="667">
        <v>5.7345256264080096</v>
      </c>
      <c r="R338" s="667">
        <v>476.63476193341518</v>
      </c>
      <c r="S338" s="667">
        <v>62.259463122360671</v>
      </c>
      <c r="T338" s="667">
        <v>42.527643834527936</v>
      </c>
      <c r="U338" s="667">
        <v>1076.2017534281176</v>
      </c>
    </row>
    <row r="339" spans="3:21">
      <c r="C339" s="654"/>
      <c r="D339" s="672">
        <v>0</v>
      </c>
      <c r="E339" s="672">
        <v>0</v>
      </c>
      <c r="F339" s="672">
        <v>0</v>
      </c>
      <c r="G339" s="672">
        <v>0</v>
      </c>
      <c r="H339" s="672">
        <v>0</v>
      </c>
      <c r="I339" s="672">
        <v>-1.3183898417423734E-16</v>
      </c>
      <c r="J339" s="672">
        <v>0</v>
      </c>
      <c r="K339" s="672">
        <v>0</v>
      </c>
      <c r="L339" s="672">
        <v>0</v>
      </c>
      <c r="M339" s="672">
        <v>0</v>
      </c>
      <c r="N339" s="672">
        <v>1.2434497875801753E-14</v>
      </c>
      <c r="O339" s="672">
        <v>-1.8207657603852567E-14</v>
      </c>
      <c r="P339" s="672">
        <v>0</v>
      </c>
      <c r="Q339" s="672">
        <v>0</v>
      </c>
      <c r="R339" s="672">
        <v>5.6843418860808015E-14</v>
      </c>
      <c r="S339" s="672">
        <v>0</v>
      </c>
      <c r="T339" s="672">
        <v>4.4408920985006262E-15</v>
      </c>
      <c r="U339" s="672">
        <v>0</v>
      </c>
    </row>
    <row r="340" spans="3:21">
      <c r="C340" s="654"/>
      <c r="D340" s="654"/>
      <c r="E340" s="654"/>
      <c r="F340" s="654"/>
      <c r="G340" s="654"/>
      <c r="H340" s="654"/>
      <c r="I340" s="654"/>
      <c r="J340" s="654"/>
      <c r="K340" s="654"/>
      <c r="L340" s="654"/>
      <c r="M340" s="654"/>
      <c r="N340" s="654"/>
      <c r="O340" s="654"/>
      <c r="P340" s="654"/>
      <c r="Q340" s="654"/>
      <c r="R340" s="654"/>
      <c r="S340" s="654"/>
      <c r="T340" s="654"/>
      <c r="U340" s="654"/>
    </row>
    <row r="341" spans="3:21" ht="14.5">
      <c r="C341" s="658" t="s">
        <v>89</v>
      </c>
      <c r="D341" s="659"/>
      <c r="E341" s="659"/>
      <c r="F341" s="659"/>
      <c r="G341" s="659"/>
      <c r="H341" s="659"/>
      <c r="I341" s="659"/>
      <c r="J341" s="659"/>
      <c r="K341" s="659"/>
      <c r="L341" s="659"/>
      <c r="M341" s="659"/>
      <c r="N341" s="659"/>
      <c r="O341" s="659"/>
      <c r="P341" s="659"/>
      <c r="Q341" s="659"/>
      <c r="R341" s="659"/>
      <c r="S341" s="659"/>
      <c r="T341" s="659"/>
      <c r="U341" s="659"/>
    </row>
    <row r="342" spans="3:21">
      <c r="C342" s="654"/>
      <c r="D342" s="654"/>
      <c r="E342" s="654"/>
      <c r="F342" s="654"/>
      <c r="G342" s="654"/>
      <c r="H342" s="654"/>
      <c r="I342" s="654"/>
      <c r="J342" s="654"/>
      <c r="K342" s="654"/>
      <c r="L342" s="654"/>
      <c r="M342" s="654"/>
      <c r="N342" s="654"/>
      <c r="O342" s="654"/>
      <c r="P342" s="654"/>
      <c r="Q342" s="654"/>
      <c r="R342" s="654"/>
      <c r="S342" s="654"/>
      <c r="T342" s="654"/>
      <c r="U342" s="654"/>
    </row>
    <row r="343" spans="3:21" ht="13">
      <c r="C343" s="706" t="s">
        <v>128</v>
      </c>
      <c r="D343" s="704" t="s">
        <v>42</v>
      </c>
      <c r="E343" s="704" t="s">
        <v>52</v>
      </c>
      <c r="F343" s="704" t="s">
        <v>53</v>
      </c>
      <c r="G343" s="704" t="s">
        <v>487</v>
      </c>
      <c r="H343" s="704" t="s">
        <v>32</v>
      </c>
      <c r="I343" s="704" t="s">
        <v>488</v>
      </c>
      <c r="J343" s="704" t="s">
        <v>20</v>
      </c>
      <c r="K343" s="704" t="s">
        <v>55</v>
      </c>
      <c r="L343" s="708" t="s">
        <v>56</v>
      </c>
      <c r="M343" s="709"/>
      <c r="N343" s="709"/>
      <c r="O343" s="709"/>
      <c r="P343" s="709"/>
      <c r="Q343" s="710"/>
      <c r="R343" s="704" t="s">
        <v>57</v>
      </c>
      <c r="S343" s="704" t="s">
        <v>58</v>
      </c>
      <c r="T343" s="704" t="s">
        <v>31</v>
      </c>
      <c r="U343" s="704" t="s">
        <v>10</v>
      </c>
    </row>
    <row r="344" spans="3:21" ht="36">
      <c r="C344" s="707"/>
      <c r="D344" s="705"/>
      <c r="E344" s="705"/>
      <c r="F344" s="705"/>
      <c r="G344" s="705"/>
      <c r="H344" s="705"/>
      <c r="I344" s="705"/>
      <c r="J344" s="705"/>
      <c r="K344" s="705"/>
      <c r="L344" s="660" t="s">
        <v>338</v>
      </c>
      <c r="M344" s="660" t="s">
        <v>40</v>
      </c>
      <c r="N344" s="660" t="s">
        <v>346</v>
      </c>
      <c r="O344" s="660" t="s">
        <v>347</v>
      </c>
      <c r="P344" s="661" t="s">
        <v>348</v>
      </c>
      <c r="Q344" s="660" t="s">
        <v>349</v>
      </c>
      <c r="R344" s="705"/>
      <c r="S344" s="705"/>
      <c r="T344" s="705"/>
      <c r="U344" s="705"/>
    </row>
    <row r="345" spans="3:21" ht="13">
      <c r="C345" s="662" t="s">
        <v>59</v>
      </c>
      <c r="D345" s="663">
        <v>0</v>
      </c>
      <c r="E345" s="663">
        <v>0</v>
      </c>
      <c r="F345" s="663">
        <v>0</v>
      </c>
      <c r="G345" s="663">
        <v>0</v>
      </c>
      <c r="H345" s="663">
        <v>0</v>
      </c>
      <c r="I345" s="663">
        <v>0</v>
      </c>
      <c r="J345" s="664">
        <v>712.60987447127138</v>
      </c>
      <c r="K345" s="664">
        <v>556.92135057124881</v>
      </c>
      <c r="L345" s="664">
        <v>261.57522104592402</v>
      </c>
      <c r="M345" s="664">
        <v>19.228684940511499</v>
      </c>
      <c r="N345" s="663">
        <v>1.5563580670349855</v>
      </c>
      <c r="O345" s="663">
        <v>0.17110271620039663</v>
      </c>
      <c r="P345" s="664">
        <v>167.23788927594987</v>
      </c>
      <c r="Q345" s="664">
        <v>24.373068583718577</v>
      </c>
      <c r="R345" s="663">
        <v>0</v>
      </c>
      <c r="S345" s="663">
        <v>0</v>
      </c>
      <c r="T345" s="663">
        <v>0</v>
      </c>
      <c r="U345" s="665">
        <v>1743.6735496718593</v>
      </c>
    </row>
    <row r="346" spans="3:21" ht="13">
      <c r="C346" s="662" t="s">
        <v>60</v>
      </c>
      <c r="D346" s="663">
        <v>5.9311888025037742</v>
      </c>
      <c r="E346" s="663">
        <v>113.95685880900638</v>
      </c>
      <c r="F346" s="663">
        <v>1.9517818504706483</v>
      </c>
      <c r="G346" s="663">
        <v>0</v>
      </c>
      <c r="H346" s="663">
        <v>2.6585092475046008</v>
      </c>
      <c r="I346" s="663">
        <v>0</v>
      </c>
      <c r="J346" s="663">
        <v>0</v>
      </c>
      <c r="K346" s="663">
        <v>0</v>
      </c>
      <c r="L346" s="663">
        <v>5.2309321400654634</v>
      </c>
      <c r="M346" s="663">
        <v>0</v>
      </c>
      <c r="N346" s="663">
        <v>5.4084519189769722</v>
      </c>
      <c r="O346" s="663">
        <v>0</v>
      </c>
      <c r="P346" s="663">
        <v>0</v>
      </c>
      <c r="Q346" s="663">
        <v>0</v>
      </c>
      <c r="R346" s="663">
        <v>0</v>
      </c>
      <c r="S346" s="663">
        <v>0</v>
      </c>
      <c r="T346" s="663">
        <v>0</v>
      </c>
      <c r="U346" s="665">
        <v>135.13772276852782</v>
      </c>
    </row>
    <row r="347" spans="3:21" ht="13">
      <c r="C347" s="662" t="s">
        <v>61</v>
      </c>
      <c r="D347" s="663">
        <v>0</v>
      </c>
      <c r="E347" s="663">
        <v>0</v>
      </c>
      <c r="F347" s="663">
        <v>-33.824093823668861</v>
      </c>
      <c r="G347" s="663">
        <v>-8.545793370460693</v>
      </c>
      <c r="H347" s="663">
        <v>0</v>
      </c>
      <c r="I347" s="663">
        <v>0</v>
      </c>
      <c r="J347" s="663">
        <v>0</v>
      </c>
      <c r="K347" s="663">
        <v>0</v>
      </c>
      <c r="L347" s="663">
        <v>0</v>
      </c>
      <c r="M347" s="663">
        <v>0</v>
      </c>
      <c r="N347" s="663">
        <v>0</v>
      </c>
      <c r="O347" s="663">
        <v>0</v>
      </c>
      <c r="P347" s="663">
        <v>0</v>
      </c>
      <c r="Q347" s="663">
        <v>0</v>
      </c>
      <c r="R347" s="663">
        <v>-40.000075434727478</v>
      </c>
      <c r="S347" s="663">
        <v>0</v>
      </c>
      <c r="T347" s="663">
        <v>0</v>
      </c>
      <c r="U347" s="665">
        <v>-82.369962628857039</v>
      </c>
    </row>
    <row r="348" spans="3:21" ht="13">
      <c r="C348" s="662" t="s">
        <v>62</v>
      </c>
      <c r="D348" s="663">
        <v>0</v>
      </c>
      <c r="E348" s="663">
        <v>0</v>
      </c>
      <c r="F348" s="663">
        <v>-1.6540275032482068</v>
      </c>
      <c r="G348" s="663">
        <v>-4.2955328800984329</v>
      </c>
      <c r="H348" s="663">
        <v>0</v>
      </c>
      <c r="I348" s="663">
        <v>-0.31877375583888373</v>
      </c>
      <c r="J348" s="663">
        <v>0</v>
      </c>
      <c r="K348" s="663">
        <v>0</v>
      </c>
      <c r="L348" s="663">
        <v>0</v>
      </c>
      <c r="M348" s="663">
        <v>0</v>
      </c>
      <c r="N348" s="663">
        <v>-0.24545902171991044</v>
      </c>
      <c r="O348" s="663">
        <v>-6.0567013609387903</v>
      </c>
      <c r="P348" s="663">
        <v>0</v>
      </c>
      <c r="Q348" s="663">
        <v>0</v>
      </c>
      <c r="R348" s="663">
        <v>0</v>
      </c>
      <c r="S348" s="663">
        <v>0</v>
      </c>
      <c r="T348" s="663">
        <v>0</v>
      </c>
      <c r="U348" s="665">
        <v>-12.570494521844225</v>
      </c>
    </row>
    <row r="349" spans="3:21" ht="13">
      <c r="C349" s="662" t="s">
        <v>63</v>
      </c>
      <c r="D349" s="663">
        <v>0</v>
      </c>
      <c r="E349" s="663">
        <v>0</v>
      </c>
      <c r="F349" s="663">
        <v>-18.714774559646315</v>
      </c>
      <c r="G349" s="663">
        <v>-28.257765893495769</v>
      </c>
      <c r="H349" s="663">
        <v>0</v>
      </c>
      <c r="I349" s="663">
        <v>0</v>
      </c>
      <c r="J349" s="663">
        <v>0</v>
      </c>
      <c r="K349" s="663">
        <v>0</v>
      </c>
      <c r="L349" s="663">
        <v>0</v>
      </c>
      <c r="M349" s="663">
        <v>0</v>
      </c>
      <c r="N349" s="663">
        <v>-13.972472121868162</v>
      </c>
      <c r="O349" s="663">
        <v>0</v>
      </c>
      <c r="P349" s="663">
        <v>0</v>
      </c>
      <c r="Q349" s="663">
        <v>0</v>
      </c>
      <c r="R349" s="663">
        <v>0</v>
      </c>
      <c r="S349" s="663">
        <v>0</v>
      </c>
      <c r="T349" s="663">
        <v>-2.6159745910871801</v>
      </c>
      <c r="U349" s="665">
        <v>-63.560987166097433</v>
      </c>
    </row>
    <row r="350" spans="3:21" ht="13">
      <c r="C350" s="662" t="s">
        <v>64</v>
      </c>
      <c r="D350" s="663">
        <v>0</v>
      </c>
      <c r="E350" s="663">
        <v>0</v>
      </c>
      <c r="F350" s="663">
        <v>0</v>
      </c>
      <c r="G350" s="663">
        <v>0</v>
      </c>
      <c r="H350" s="663">
        <v>0</v>
      </c>
      <c r="I350" s="663">
        <v>0</v>
      </c>
      <c r="J350" s="663">
        <v>0</v>
      </c>
      <c r="K350" s="663">
        <v>0</v>
      </c>
      <c r="L350" s="663">
        <v>0</v>
      </c>
      <c r="M350" s="663">
        <v>0</v>
      </c>
      <c r="N350" s="663">
        <v>0</v>
      </c>
      <c r="O350" s="663">
        <v>0</v>
      </c>
      <c r="P350" s="663">
        <v>0</v>
      </c>
      <c r="Q350" s="663">
        <v>0</v>
      </c>
      <c r="R350" s="663">
        <v>0</v>
      </c>
      <c r="S350" s="663">
        <v>0</v>
      </c>
      <c r="T350" s="663">
        <v>0</v>
      </c>
      <c r="U350" s="665">
        <v>0</v>
      </c>
    </row>
    <row r="351" spans="3:21" ht="13">
      <c r="C351" s="666" t="s">
        <v>65</v>
      </c>
      <c r="D351" s="667">
        <v>5.9311888025037742</v>
      </c>
      <c r="E351" s="667">
        <v>113.95685880900638</v>
      </c>
      <c r="F351" s="667">
        <v>-52.241114036092739</v>
      </c>
      <c r="G351" s="667">
        <v>-41.099092144054893</v>
      </c>
      <c r="H351" s="675">
        <v>2.6585092475046008</v>
      </c>
      <c r="I351" s="667">
        <v>-0.31877375583888373</v>
      </c>
      <c r="J351" s="667">
        <v>712.60987447127138</v>
      </c>
      <c r="K351" s="667">
        <v>556.92135057124881</v>
      </c>
      <c r="L351" s="667">
        <v>266.80615318598944</v>
      </c>
      <c r="M351" s="667">
        <v>19.228684940511499</v>
      </c>
      <c r="N351" s="667">
        <v>-7.2531211575761132</v>
      </c>
      <c r="O351" s="667">
        <v>-5.8855986447383941</v>
      </c>
      <c r="P351" s="667">
        <v>167.23788927594987</v>
      </c>
      <c r="Q351" s="667">
        <v>24.373068583718577</v>
      </c>
      <c r="R351" s="667">
        <v>-40.000075434727478</v>
      </c>
      <c r="S351" s="667">
        <v>0</v>
      </c>
      <c r="T351" s="667">
        <v>-2.6159745910871801</v>
      </c>
      <c r="U351" s="667">
        <v>1720.3098281235887</v>
      </c>
    </row>
    <row r="352" spans="3:21" ht="13">
      <c r="C352" s="668"/>
      <c r="D352" s="669">
        <v>0</v>
      </c>
      <c r="E352" s="669">
        <v>0</v>
      </c>
      <c r="F352" s="669">
        <v>0</v>
      </c>
      <c r="G352" s="669">
        <v>0</v>
      </c>
      <c r="H352" s="676">
        <v>0</v>
      </c>
      <c r="I352" s="669">
        <v>0</v>
      </c>
      <c r="J352" s="669">
        <v>0</v>
      </c>
      <c r="K352" s="669">
        <v>0</v>
      </c>
      <c r="L352" s="669">
        <v>0</v>
      </c>
      <c r="M352" s="669">
        <v>0</v>
      </c>
      <c r="N352" s="669">
        <v>0</v>
      </c>
      <c r="O352" s="669">
        <v>0</v>
      </c>
      <c r="P352" s="669">
        <v>0</v>
      </c>
      <c r="Q352" s="669">
        <v>0</v>
      </c>
      <c r="R352" s="669">
        <v>0</v>
      </c>
      <c r="S352" s="669">
        <v>0</v>
      </c>
      <c r="T352" s="669">
        <v>0</v>
      </c>
      <c r="U352" s="669">
        <v>0</v>
      </c>
    </row>
    <row r="353" spans="3:21" ht="13">
      <c r="C353" s="670" t="s">
        <v>67</v>
      </c>
      <c r="D353" s="663">
        <v>0</v>
      </c>
      <c r="E353" s="663">
        <v>0</v>
      </c>
      <c r="F353" s="663">
        <v>0</v>
      </c>
      <c r="G353" s="663">
        <v>0</v>
      </c>
      <c r="H353" s="663">
        <v>0</v>
      </c>
      <c r="I353" s="663">
        <v>0</v>
      </c>
      <c r="J353" s="663">
        <v>0</v>
      </c>
      <c r="K353" s="663">
        <v>0</v>
      </c>
      <c r="L353" s="663">
        <v>0</v>
      </c>
      <c r="M353" s="663">
        <v>0</v>
      </c>
      <c r="N353" s="663">
        <v>0</v>
      </c>
      <c r="O353" s="663">
        <v>0</v>
      </c>
      <c r="P353" s="663">
        <v>0</v>
      </c>
      <c r="Q353" s="663">
        <v>0</v>
      </c>
      <c r="R353" s="663">
        <v>0</v>
      </c>
      <c r="S353" s="663">
        <v>0</v>
      </c>
      <c r="T353" s="663">
        <v>0</v>
      </c>
      <c r="U353" s="671">
        <v>0</v>
      </c>
    </row>
    <row r="354" spans="3:21" ht="13">
      <c r="C354" s="670" t="s">
        <v>350</v>
      </c>
      <c r="D354" s="663">
        <v>0</v>
      </c>
      <c r="E354" s="663">
        <v>0</v>
      </c>
      <c r="F354" s="663">
        <v>0</v>
      </c>
      <c r="G354" s="663">
        <v>0</v>
      </c>
      <c r="H354" s="663">
        <v>0</v>
      </c>
      <c r="I354" s="663">
        <v>0</v>
      </c>
      <c r="J354" s="663">
        <v>712.60987447127138</v>
      </c>
      <c r="K354" s="663">
        <v>556.92135057124881</v>
      </c>
      <c r="L354" s="663">
        <v>14.491283228737107</v>
      </c>
      <c r="M354" s="663">
        <v>2.8053264742296591</v>
      </c>
      <c r="N354" s="663">
        <v>6.5561937148871507</v>
      </c>
      <c r="O354" s="663">
        <v>0.11326810820885491</v>
      </c>
      <c r="P354" s="663">
        <v>0</v>
      </c>
      <c r="Q354" s="663">
        <v>6.7631767445353068</v>
      </c>
      <c r="R354" s="663">
        <v>-809.85847053245573</v>
      </c>
      <c r="S354" s="663">
        <v>0</v>
      </c>
      <c r="T354" s="663">
        <v>25.915656492161155</v>
      </c>
      <c r="U354" s="671">
        <v>516.31765927282356</v>
      </c>
    </row>
    <row r="355" spans="3:21" ht="13">
      <c r="C355" s="670" t="s">
        <v>351</v>
      </c>
      <c r="D355" s="663">
        <v>0</v>
      </c>
      <c r="E355" s="663">
        <v>0</v>
      </c>
      <c r="F355" s="663">
        <v>0</v>
      </c>
      <c r="G355" s="663">
        <v>0</v>
      </c>
      <c r="H355" s="663">
        <v>0</v>
      </c>
      <c r="I355" s="663">
        <v>0</v>
      </c>
      <c r="J355" s="663">
        <v>0</v>
      </c>
      <c r="K355" s="663">
        <v>0</v>
      </c>
      <c r="L355" s="663">
        <v>33.721862056250039</v>
      </c>
      <c r="M355" s="663">
        <v>14.376617363231052</v>
      </c>
      <c r="N355" s="663">
        <v>0</v>
      </c>
      <c r="O355" s="663">
        <v>8.1785673020738106</v>
      </c>
      <c r="P355" s="663">
        <v>0</v>
      </c>
      <c r="Q355" s="663">
        <v>11.316516045102318</v>
      </c>
      <c r="R355" s="663">
        <v>0</v>
      </c>
      <c r="S355" s="663">
        <v>-64.575476384232388</v>
      </c>
      <c r="T355" s="663">
        <v>0</v>
      </c>
      <c r="U355" s="671">
        <v>3.0180863824248352</v>
      </c>
    </row>
    <row r="356" spans="3:21" ht="13">
      <c r="C356" s="670" t="s">
        <v>352</v>
      </c>
      <c r="D356" s="663">
        <v>0</v>
      </c>
      <c r="E356" s="663">
        <v>0</v>
      </c>
      <c r="F356" s="663">
        <v>0</v>
      </c>
      <c r="G356" s="663">
        <v>0</v>
      </c>
      <c r="H356" s="663">
        <v>0</v>
      </c>
      <c r="I356" s="663">
        <v>0</v>
      </c>
      <c r="J356" s="663">
        <v>0</v>
      </c>
      <c r="K356" s="663">
        <v>0</v>
      </c>
      <c r="L356" s="663">
        <v>104.38683240846164</v>
      </c>
      <c r="M356" s="663">
        <v>0</v>
      </c>
      <c r="N356" s="663">
        <v>0</v>
      </c>
      <c r="O356" s="663">
        <v>-100.27188716566127</v>
      </c>
      <c r="P356" s="663">
        <v>0</v>
      </c>
      <c r="Q356" s="663">
        <v>0</v>
      </c>
      <c r="R356" s="663">
        <v>0</v>
      </c>
      <c r="S356" s="663">
        <v>0</v>
      </c>
      <c r="T356" s="663">
        <v>0</v>
      </c>
      <c r="U356" s="671">
        <v>4.1149452428003741</v>
      </c>
    </row>
    <row r="357" spans="3:21" ht="13">
      <c r="C357" s="670" t="s">
        <v>353</v>
      </c>
      <c r="D357" s="663">
        <v>0</v>
      </c>
      <c r="E357" s="663">
        <v>0</v>
      </c>
      <c r="F357" s="663">
        <v>0</v>
      </c>
      <c r="G357" s="663">
        <v>0</v>
      </c>
      <c r="H357" s="663">
        <v>0</v>
      </c>
      <c r="I357" s="663">
        <v>-4.5962253881571415</v>
      </c>
      <c r="J357" s="663">
        <v>0</v>
      </c>
      <c r="K357" s="663">
        <v>0</v>
      </c>
      <c r="L357" s="663">
        <v>0</v>
      </c>
      <c r="M357" s="663">
        <v>0</v>
      </c>
      <c r="N357" s="663">
        <v>0</v>
      </c>
      <c r="O357" s="663">
        <v>0</v>
      </c>
      <c r="P357" s="663">
        <v>0</v>
      </c>
      <c r="Q357" s="663">
        <v>0</v>
      </c>
      <c r="R357" s="663">
        <v>0</v>
      </c>
      <c r="S357" s="663">
        <v>0</v>
      </c>
      <c r="T357" s="663">
        <v>6.4074201765093832</v>
      </c>
      <c r="U357" s="671">
        <v>1.8111947883522417</v>
      </c>
    </row>
    <row r="358" spans="3:21" ht="13">
      <c r="C358" s="670" t="s">
        <v>72</v>
      </c>
      <c r="D358" s="663">
        <v>0</v>
      </c>
      <c r="E358" s="663">
        <v>118.07035586741333</v>
      </c>
      <c r="F358" s="663">
        <v>-116.89188714951831</v>
      </c>
      <c r="G358" s="663">
        <v>0</v>
      </c>
      <c r="H358" s="663">
        <v>0</v>
      </c>
      <c r="I358" s="663">
        <v>0</v>
      </c>
      <c r="J358" s="663">
        <v>0</v>
      </c>
      <c r="K358" s="663">
        <v>0</v>
      </c>
      <c r="L358" s="663">
        <v>0</v>
      </c>
      <c r="M358" s="663">
        <v>0</v>
      </c>
      <c r="N358" s="663">
        <v>0</v>
      </c>
      <c r="O358" s="663">
        <v>0</v>
      </c>
      <c r="P358" s="663">
        <v>0</v>
      </c>
      <c r="Q358" s="663">
        <v>0</v>
      </c>
      <c r="R358" s="663">
        <v>0</v>
      </c>
      <c r="S358" s="663">
        <v>0</v>
      </c>
      <c r="T358" s="663">
        <v>0</v>
      </c>
      <c r="U358" s="671">
        <v>1.1784687178950146</v>
      </c>
    </row>
    <row r="359" spans="3:21" ht="13">
      <c r="C359" s="670" t="s">
        <v>354</v>
      </c>
      <c r="D359" s="663">
        <v>0</v>
      </c>
      <c r="E359" s="663">
        <v>0</v>
      </c>
      <c r="F359" s="663">
        <v>0</v>
      </c>
      <c r="G359" s="663">
        <v>0</v>
      </c>
      <c r="H359" s="663">
        <v>0</v>
      </c>
      <c r="I359" s="663">
        <v>0</v>
      </c>
      <c r="J359" s="663">
        <v>0</v>
      </c>
      <c r="K359" s="663">
        <v>0</v>
      </c>
      <c r="L359" s="663">
        <v>61.244429678974598</v>
      </c>
      <c r="M359" s="663">
        <v>0</v>
      </c>
      <c r="N359" s="663">
        <v>-61.244429678974598</v>
      </c>
      <c r="O359" s="663">
        <v>0</v>
      </c>
      <c r="P359" s="663">
        <v>0</v>
      </c>
      <c r="Q359" s="663">
        <v>0</v>
      </c>
      <c r="R359" s="663">
        <v>0</v>
      </c>
      <c r="S359" s="663">
        <v>0</v>
      </c>
      <c r="T359" s="663">
        <v>0</v>
      </c>
      <c r="U359" s="671">
        <v>0</v>
      </c>
    </row>
    <row r="360" spans="3:21" ht="13">
      <c r="C360" s="670" t="s">
        <v>355</v>
      </c>
      <c r="D360" s="663">
        <v>0</v>
      </c>
      <c r="E360" s="663">
        <v>0</v>
      </c>
      <c r="F360" s="663">
        <v>0</v>
      </c>
      <c r="G360" s="663">
        <v>-56.725829149009897</v>
      </c>
      <c r="H360" s="663">
        <v>0</v>
      </c>
      <c r="I360" s="663">
        <v>0</v>
      </c>
      <c r="J360" s="663">
        <v>0</v>
      </c>
      <c r="K360" s="663">
        <v>0</v>
      </c>
      <c r="L360" s="663">
        <v>0</v>
      </c>
      <c r="M360" s="663">
        <v>0</v>
      </c>
      <c r="N360" s="663">
        <v>0</v>
      </c>
      <c r="O360" s="663">
        <v>0</v>
      </c>
      <c r="P360" s="663">
        <v>0</v>
      </c>
      <c r="Q360" s="663">
        <v>0</v>
      </c>
      <c r="R360" s="663">
        <v>0</v>
      </c>
      <c r="S360" s="663">
        <v>0</v>
      </c>
      <c r="T360" s="663">
        <v>79.005333076615457</v>
      </c>
      <c r="U360" s="671">
        <v>22.27950392760556</v>
      </c>
    </row>
    <row r="361" spans="3:21" ht="13">
      <c r="C361" s="670" t="s">
        <v>73</v>
      </c>
      <c r="D361" s="663">
        <v>0</v>
      </c>
      <c r="E361" s="663">
        <v>0</v>
      </c>
      <c r="F361" s="663">
        <v>0</v>
      </c>
      <c r="G361" s="663">
        <v>0</v>
      </c>
      <c r="H361" s="663">
        <v>0</v>
      </c>
      <c r="I361" s="663">
        <v>0</v>
      </c>
      <c r="J361" s="663">
        <v>0</v>
      </c>
      <c r="K361" s="663">
        <v>0</v>
      </c>
      <c r="L361" s="663">
        <v>0</v>
      </c>
      <c r="M361" s="663">
        <v>0</v>
      </c>
      <c r="N361" s="663">
        <v>0</v>
      </c>
      <c r="O361" s="663">
        <v>0</v>
      </c>
      <c r="P361" s="663">
        <v>0</v>
      </c>
      <c r="Q361" s="663">
        <v>0</v>
      </c>
      <c r="R361" s="663">
        <v>227.10664749932533</v>
      </c>
      <c r="S361" s="663">
        <v>0</v>
      </c>
      <c r="T361" s="663">
        <v>-163.51678619951423</v>
      </c>
      <c r="U361" s="671">
        <v>63.589861299811105</v>
      </c>
    </row>
    <row r="362" spans="3:21" ht="13">
      <c r="C362" s="670" t="s">
        <v>356</v>
      </c>
      <c r="D362" s="663">
        <v>3.3456624609374996</v>
      </c>
      <c r="E362" s="663">
        <v>-4.1134970584069457</v>
      </c>
      <c r="F362" s="663">
        <v>5.3691262200413341</v>
      </c>
      <c r="G362" s="663">
        <v>0</v>
      </c>
      <c r="H362" s="663">
        <v>0</v>
      </c>
      <c r="I362" s="663">
        <v>0</v>
      </c>
      <c r="J362" s="663">
        <v>0</v>
      </c>
      <c r="K362" s="663">
        <v>0</v>
      </c>
      <c r="L362" s="663">
        <v>0</v>
      </c>
      <c r="M362" s="663">
        <v>0</v>
      </c>
      <c r="N362" s="663">
        <v>0</v>
      </c>
      <c r="O362" s="663">
        <v>0</v>
      </c>
      <c r="P362" s="663">
        <v>0</v>
      </c>
      <c r="Q362" s="663">
        <v>0</v>
      </c>
      <c r="R362" s="663">
        <v>0</v>
      </c>
      <c r="S362" s="663">
        <v>0</v>
      </c>
      <c r="T362" s="663">
        <v>0</v>
      </c>
      <c r="U362" s="671">
        <v>4.6012916225718881</v>
      </c>
    </row>
    <row r="363" spans="3:21" ht="13">
      <c r="C363" s="670" t="s">
        <v>75</v>
      </c>
      <c r="D363" s="663">
        <v>1.3010909570312501</v>
      </c>
      <c r="E363" s="663">
        <v>0</v>
      </c>
      <c r="F363" s="663">
        <v>16.404377382526505</v>
      </c>
      <c r="G363" s="663">
        <v>0</v>
      </c>
      <c r="H363" s="663">
        <v>0</v>
      </c>
      <c r="I363" s="663">
        <v>0.23833359000000001</v>
      </c>
      <c r="J363" s="663">
        <v>0</v>
      </c>
      <c r="K363" s="663">
        <v>0</v>
      </c>
      <c r="L363" s="663">
        <v>0</v>
      </c>
      <c r="M363" s="663">
        <v>0</v>
      </c>
      <c r="N363" s="663">
        <v>0</v>
      </c>
      <c r="O363" s="663">
        <v>4.5283382100000003</v>
      </c>
      <c r="P363" s="663">
        <v>0</v>
      </c>
      <c r="Q363" s="663">
        <v>0</v>
      </c>
      <c r="R363" s="663">
        <v>17.221013858771279</v>
      </c>
      <c r="S363" s="663">
        <v>0</v>
      </c>
      <c r="T363" s="663">
        <v>0</v>
      </c>
      <c r="U363" s="671">
        <v>39.693153998329031</v>
      </c>
    </row>
    <row r="364" spans="3:21" ht="13">
      <c r="C364" s="670" t="s">
        <v>76</v>
      </c>
      <c r="D364" s="663">
        <v>0</v>
      </c>
      <c r="E364" s="663">
        <v>0</v>
      </c>
      <c r="F364" s="663">
        <v>0</v>
      </c>
      <c r="G364" s="663">
        <v>0</v>
      </c>
      <c r="H364" s="663">
        <v>0</v>
      </c>
      <c r="I364" s="663">
        <v>5.9340338699632358E-2</v>
      </c>
      <c r="J364" s="663">
        <v>0</v>
      </c>
      <c r="K364" s="663">
        <v>0</v>
      </c>
      <c r="L364" s="663">
        <v>0</v>
      </c>
      <c r="M364" s="663">
        <v>0</v>
      </c>
      <c r="N364" s="663">
        <v>0</v>
      </c>
      <c r="O364" s="663">
        <v>1.1274664352930146</v>
      </c>
      <c r="P364" s="663">
        <v>0</v>
      </c>
      <c r="Q364" s="663">
        <v>0</v>
      </c>
      <c r="R364" s="663">
        <v>58.897580266978245</v>
      </c>
      <c r="S364" s="663">
        <v>5.0089527300753778</v>
      </c>
      <c r="T364" s="663">
        <v>0</v>
      </c>
      <c r="U364" s="671">
        <v>65.093339771046274</v>
      </c>
    </row>
    <row r="365" spans="3:21" ht="13">
      <c r="C365" s="666" t="s">
        <v>77</v>
      </c>
      <c r="D365" s="667">
        <v>4.6467534179687497</v>
      </c>
      <c r="E365" s="667">
        <v>113.95685880900638</v>
      </c>
      <c r="F365" s="667">
        <v>-95.118383546950469</v>
      </c>
      <c r="G365" s="667">
        <v>-56.725829149009897</v>
      </c>
      <c r="H365" s="675">
        <v>0</v>
      </c>
      <c r="I365" s="667">
        <v>-4.2985514594575092</v>
      </c>
      <c r="J365" s="667">
        <v>712.60987447127138</v>
      </c>
      <c r="K365" s="667">
        <v>556.92135057124881</v>
      </c>
      <c r="L365" s="667">
        <v>213.8444073724234</v>
      </c>
      <c r="M365" s="667">
        <v>17.181943837460711</v>
      </c>
      <c r="N365" s="667">
        <v>-54.688235964087447</v>
      </c>
      <c r="O365" s="667">
        <v>-86.324247110085594</v>
      </c>
      <c r="P365" s="667">
        <v>0</v>
      </c>
      <c r="Q365" s="667">
        <v>18.079692789637626</v>
      </c>
      <c r="R365" s="667">
        <v>-506.63322890738101</v>
      </c>
      <c r="S365" s="667">
        <v>-59.56652365415701</v>
      </c>
      <c r="T365" s="667">
        <v>-52.188376454228234</v>
      </c>
      <c r="U365" s="667">
        <v>721.69750502365991</v>
      </c>
    </row>
    <row r="366" spans="3:21" ht="13">
      <c r="C366" s="668"/>
      <c r="D366" s="669">
        <v>0</v>
      </c>
      <c r="E366" s="669">
        <v>0</v>
      </c>
      <c r="F366" s="669">
        <v>0</v>
      </c>
      <c r="G366" s="669">
        <v>0</v>
      </c>
      <c r="H366" s="676">
        <v>0</v>
      </c>
      <c r="I366" s="669">
        <v>0</v>
      </c>
      <c r="J366" s="669">
        <v>0</v>
      </c>
      <c r="K366" s="669">
        <v>0</v>
      </c>
      <c r="L366" s="669">
        <v>0</v>
      </c>
      <c r="M366" s="669">
        <v>0</v>
      </c>
      <c r="N366" s="669">
        <v>0</v>
      </c>
      <c r="O366" s="669">
        <v>0</v>
      </c>
      <c r="P366" s="669">
        <v>0</v>
      </c>
      <c r="Q366" s="669">
        <v>0</v>
      </c>
      <c r="R366" s="669">
        <v>0</v>
      </c>
      <c r="S366" s="669">
        <v>0</v>
      </c>
      <c r="T366" s="669">
        <v>0</v>
      </c>
      <c r="U366" s="669">
        <v>0</v>
      </c>
    </row>
    <row r="367" spans="3:21" ht="13">
      <c r="C367" s="670" t="s">
        <v>78</v>
      </c>
      <c r="D367" s="663">
        <v>1.2844353845350245</v>
      </c>
      <c r="E367" s="663">
        <v>0</v>
      </c>
      <c r="F367" s="663">
        <v>0.671413025716175</v>
      </c>
      <c r="G367" s="663">
        <v>0</v>
      </c>
      <c r="H367" s="663">
        <v>0</v>
      </c>
      <c r="I367" s="663">
        <v>1.6768235413433659</v>
      </c>
      <c r="J367" s="663">
        <v>0</v>
      </c>
      <c r="K367" s="663">
        <v>0</v>
      </c>
      <c r="L367" s="663">
        <v>18.511250218523632</v>
      </c>
      <c r="M367" s="663">
        <v>2.0464486619012869</v>
      </c>
      <c r="N367" s="663">
        <v>1.4169866943359375</v>
      </c>
      <c r="O367" s="663">
        <v>31.901778101678747</v>
      </c>
      <c r="P367" s="663">
        <v>11.306912109375</v>
      </c>
      <c r="Q367" s="663">
        <v>8.5890570413253253E-4</v>
      </c>
      <c r="R367" s="663">
        <v>135.19292998685364</v>
      </c>
      <c r="S367" s="663">
        <v>18.430317312360387</v>
      </c>
      <c r="T367" s="663">
        <v>8.2355947265624998</v>
      </c>
      <c r="U367" s="671">
        <v>230.67574866888981</v>
      </c>
    </row>
    <row r="368" spans="3:21" ht="13">
      <c r="C368" s="670" t="s">
        <v>79</v>
      </c>
      <c r="D368" s="663">
        <v>0</v>
      </c>
      <c r="E368" s="663">
        <v>0</v>
      </c>
      <c r="F368" s="663">
        <v>2.0327553633446804</v>
      </c>
      <c r="G368" s="663">
        <v>2.9414401384596758</v>
      </c>
      <c r="H368" s="663">
        <v>0</v>
      </c>
      <c r="I368" s="663">
        <v>0.25814381907328782</v>
      </c>
      <c r="J368" s="663">
        <v>0</v>
      </c>
      <c r="K368" s="663">
        <v>0</v>
      </c>
      <c r="L368" s="663">
        <v>0</v>
      </c>
      <c r="M368" s="663">
        <v>0</v>
      </c>
      <c r="N368" s="663">
        <v>11.290866079539722</v>
      </c>
      <c r="O368" s="663">
        <v>4.9047325623924678</v>
      </c>
      <c r="P368" s="663">
        <v>0</v>
      </c>
      <c r="Q368" s="663">
        <v>0</v>
      </c>
      <c r="R368" s="663">
        <v>110.4417553978261</v>
      </c>
      <c r="S368" s="663">
        <v>0</v>
      </c>
      <c r="T368" s="663">
        <v>5.3966998641798476</v>
      </c>
      <c r="U368" s="671">
        <v>137.26639322481577</v>
      </c>
    </row>
    <row r="369" spans="3:21" ht="13">
      <c r="C369" s="670" t="s">
        <v>80</v>
      </c>
      <c r="D369" s="663">
        <v>0</v>
      </c>
      <c r="E369" s="663">
        <v>0</v>
      </c>
      <c r="F369" s="663">
        <v>0.19325490667833059</v>
      </c>
      <c r="G369" s="663">
        <v>0</v>
      </c>
      <c r="H369" s="663">
        <v>0</v>
      </c>
      <c r="I369" s="663">
        <v>1.3094987150488224</v>
      </c>
      <c r="J369" s="663">
        <v>0</v>
      </c>
      <c r="K369" s="663">
        <v>0</v>
      </c>
      <c r="L369" s="663">
        <v>28.937300829462252</v>
      </c>
      <c r="M369" s="663">
        <v>0</v>
      </c>
      <c r="N369" s="663">
        <v>0</v>
      </c>
      <c r="O369" s="663">
        <v>24.88047558592762</v>
      </c>
      <c r="P369" s="663">
        <v>124.95584249070536</v>
      </c>
      <c r="Q369" s="663">
        <v>3.1166998128913419</v>
      </c>
      <c r="R369" s="663">
        <v>129.06523934568938</v>
      </c>
      <c r="S369" s="663">
        <v>22.248806062911136</v>
      </c>
      <c r="T369" s="663">
        <v>0</v>
      </c>
      <c r="U369" s="671">
        <v>334.70711774931425</v>
      </c>
    </row>
    <row r="370" spans="3:21" ht="13">
      <c r="C370" s="670" t="s">
        <v>81</v>
      </c>
      <c r="D370" s="663">
        <v>0</v>
      </c>
      <c r="E370" s="663">
        <v>0</v>
      </c>
      <c r="F370" s="663">
        <v>0.13103912510682203</v>
      </c>
      <c r="G370" s="663">
        <v>0</v>
      </c>
      <c r="H370" s="663">
        <v>0</v>
      </c>
      <c r="I370" s="663">
        <v>0.65398403873429223</v>
      </c>
      <c r="J370" s="663">
        <v>0</v>
      </c>
      <c r="K370" s="663">
        <v>0</v>
      </c>
      <c r="L370" s="663">
        <v>0.34200087095620557</v>
      </c>
      <c r="M370" s="663">
        <v>2.9244114949902102E-4</v>
      </c>
      <c r="N370" s="663">
        <v>0</v>
      </c>
      <c r="O370" s="663">
        <v>12.425696735951551</v>
      </c>
      <c r="P370" s="663">
        <v>29.475134675869491</v>
      </c>
      <c r="Q370" s="663">
        <v>0.98841007039498519</v>
      </c>
      <c r="R370" s="663">
        <v>81.567308013661545</v>
      </c>
      <c r="S370" s="663">
        <v>18.887400278885494</v>
      </c>
      <c r="T370" s="663">
        <v>0</v>
      </c>
      <c r="U370" s="671">
        <v>144.4712662507099</v>
      </c>
    </row>
    <row r="371" spans="3:21" ht="13">
      <c r="C371" s="670" t="s">
        <v>82</v>
      </c>
      <c r="D371" s="663">
        <v>0</v>
      </c>
      <c r="E371" s="663">
        <v>0</v>
      </c>
      <c r="F371" s="663">
        <v>0</v>
      </c>
      <c r="G371" s="663">
        <v>0.49546247522038722</v>
      </c>
      <c r="H371" s="663">
        <v>0</v>
      </c>
      <c r="I371" s="663">
        <v>8.1327589418857746E-2</v>
      </c>
      <c r="J371" s="663">
        <v>0</v>
      </c>
      <c r="K371" s="663">
        <v>0</v>
      </c>
      <c r="L371" s="663">
        <v>4.5749249618986854</v>
      </c>
      <c r="M371" s="663">
        <v>0</v>
      </c>
      <c r="N371" s="663">
        <v>16.621294257606131</v>
      </c>
      <c r="O371" s="663">
        <v>1.5452241989582969</v>
      </c>
      <c r="P371" s="663">
        <v>1.5</v>
      </c>
      <c r="Q371" s="663">
        <v>2.1874070050904897</v>
      </c>
      <c r="R371" s="663">
        <v>7.8459207286229669</v>
      </c>
      <c r="S371" s="663">
        <v>0</v>
      </c>
      <c r="T371" s="663">
        <v>0.44339331184266689</v>
      </c>
      <c r="U371" s="671">
        <v>35.294954528658486</v>
      </c>
    </row>
    <row r="372" spans="3:21" ht="13">
      <c r="C372" s="670" t="s">
        <v>357</v>
      </c>
      <c r="D372" s="663">
        <v>0</v>
      </c>
      <c r="E372" s="663">
        <v>0</v>
      </c>
      <c r="F372" s="663">
        <v>0</v>
      </c>
      <c r="G372" s="663">
        <v>0</v>
      </c>
      <c r="H372" s="663">
        <v>0</v>
      </c>
      <c r="I372" s="663">
        <v>0</v>
      </c>
      <c r="J372" s="663">
        <v>0</v>
      </c>
      <c r="K372" s="663">
        <v>0</v>
      </c>
      <c r="L372" s="663">
        <v>0</v>
      </c>
      <c r="M372" s="663">
        <v>0</v>
      </c>
      <c r="N372" s="663">
        <v>0</v>
      </c>
      <c r="O372" s="663">
        <v>0</v>
      </c>
      <c r="P372" s="663">
        <v>0</v>
      </c>
      <c r="Q372" s="663">
        <v>0</v>
      </c>
      <c r="R372" s="663">
        <v>2.5199999999999996</v>
      </c>
      <c r="S372" s="663">
        <v>0</v>
      </c>
      <c r="T372" s="663">
        <v>0</v>
      </c>
      <c r="U372" s="671">
        <v>2.5199999999999996</v>
      </c>
    </row>
    <row r="373" spans="3:21" ht="13">
      <c r="C373" s="666" t="s">
        <v>83</v>
      </c>
      <c r="D373" s="667">
        <v>1.2844353845350245</v>
      </c>
      <c r="E373" s="667">
        <v>0</v>
      </c>
      <c r="F373" s="667">
        <v>3.028462420846008</v>
      </c>
      <c r="G373" s="667">
        <v>3.4369026136800631</v>
      </c>
      <c r="H373" s="675">
        <v>0</v>
      </c>
      <c r="I373" s="667">
        <v>3.9797777036186259</v>
      </c>
      <c r="J373" s="667">
        <v>0</v>
      </c>
      <c r="K373" s="667">
        <v>0</v>
      </c>
      <c r="L373" s="667">
        <v>52.365476880840774</v>
      </c>
      <c r="M373" s="667">
        <v>2.0467411030507856</v>
      </c>
      <c r="N373" s="667">
        <v>29.329147031481789</v>
      </c>
      <c r="O373" s="667">
        <v>75.65790718490868</v>
      </c>
      <c r="P373" s="667">
        <v>167.23788927594987</v>
      </c>
      <c r="Q373" s="667">
        <v>6.2933757940809487</v>
      </c>
      <c r="R373" s="667">
        <v>466.63315347265359</v>
      </c>
      <c r="S373" s="667">
        <v>59.566523654157017</v>
      </c>
      <c r="T373" s="667">
        <v>14.075687902585015</v>
      </c>
      <c r="U373" s="667">
        <v>884.93548042238808</v>
      </c>
    </row>
    <row r="374" spans="3:21" ht="13">
      <c r="C374" s="662" t="s">
        <v>84</v>
      </c>
      <c r="D374" s="663">
        <v>0</v>
      </c>
      <c r="E374" s="663">
        <v>0</v>
      </c>
      <c r="F374" s="663">
        <v>39.848807090011732</v>
      </c>
      <c r="G374" s="663">
        <v>12.189834391274943</v>
      </c>
      <c r="H374" s="663">
        <v>2.6585092475046008</v>
      </c>
      <c r="I374" s="663">
        <v>0</v>
      </c>
      <c r="J374" s="663">
        <v>0</v>
      </c>
      <c r="K374" s="663">
        <v>0</v>
      </c>
      <c r="L374" s="663">
        <v>0.5962689327253029</v>
      </c>
      <c r="M374" s="663">
        <v>0</v>
      </c>
      <c r="N374" s="663">
        <v>18.105967775029544</v>
      </c>
      <c r="O374" s="663">
        <v>4.780741280438523</v>
      </c>
      <c r="P374" s="663">
        <v>0</v>
      </c>
      <c r="Q374" s="663">
        <v>0</v>
      </c>
      <c r="R374" s="663">
        <v>0</v>
      </c>
      <c r="S374" s="663">
        <v>0</v>
      </c>
      <c r="T374" s="663">
        <v>35.496713960556022</v>
      </c>
      <c r="U374" s="671">
        <v>113.67684267754068</v>
      </c>
    </row>
    <row r="375" spans="3:21" ht="13">
      <c r="C375" s="666" t="s">
        <v>85</v>
      </c>
      <c r="D375" s="667">
        <v>1.2844353845350245</v>
      </c>
      <c r="E375" s="667">
        <v>0</v>
      </c>
      <c r="F375" s="667">
        <v>42.877269510857737</v>
      </c>
      <c r="G375" s="667">
        <v>15.626737004955006</v>
      </c>
      <c r="H375" s="675">
        <v>2.6585092475046008</v>
      </c>
      <c r="I375" s="667">
        <v>3.9797777036186259</v>
      </c>
      <c r="J375" s="667">
        <v>0</v>
      </c>
      <c r="K375" s="667">
        <v>0</v>
      </c>
      <c r="L375" s="667">
        <v>52.961745813566075</v>
      </c>
      <c r="M375" s="667">
        <v>2.0467411030507856</v>
      </c>
      <c r="N375" s="667">
        <v>47.435114806511329</v>
      </c>
      <c r="O375" s="667">
        <v>80.4386484653472</v>
      </c>
      <c r="P375" s="667">
        <v>167.23788927594987</v>
      </c>
      <c r="Q375" s="667">
        <v>6.2933757940809487</v>
      </c>
      <c r="R375" s="667">
        <v>466.63315347265359</v>
      </c>
      <c r="S375" s="667">
        <v>59.566523654157017</v>
      </c>
      <c r="T375" s="667">
        <v>49.572401863141039</v>
      </c>
      <c r="U375" s="667">
        <v>998.61232309992874</v>
      </c>
    </row>
    <row r="376" spans="3:21">
      <c r="C376" s="654"/>
      <c r="D376" s="672">
        <v>0</v>
      </c>
      <c r="E376" s="672">
        <v>0</v>
      </c>
      <c r="F376" s="672">
        <v>0</v>
      </c>
      <c r="G376" s="672">
        <v>0</v>
      </c>
      <c r="H376" s="672">
        <v>0</v>
      </c>
      <c r="I376" s="672">
        <v>4.9960036108132044E-16</v>
      </c>
      <c r="J376" s="672">
        <v>0</v>
      </c>
      <c r="K376" s="672">
        <v>0</v>
      </c>
      <c r="L376" s="672">
        <v>0</v>
      </c>
      <c r="M376" s="672">
        <v>0</v>
      </c>
      <c r="N376" s="672">
        <v>0</v>
      </c>
      <c r="O376" s="672">
        <v>0</v>
      </c>
      <c r="P376" s="672">
        <v>0</v>
      </c>
      <c r="Q376" s="672">
        <v>0</v>
      </c>
      <c r="R376" s="672">
        <v>5.6843418860808015E-14</v>
      </c>
      <c r="S376" s="672">
        <v>7.1054273576010019E-15</v>
      </c>
      <c r="T376" s="672">
        <v>-1.4654943925052066E-14</v>
      </c>
      <c r="U376" s="672">
        <v>0</v>
      </c>
    </row>
    <row r="377" spans="3:21">
      <c r="C377" s="654"/>
      <c r="D377" s="654"/>
      <c r="E377" s="654"/>
      <c r="F377" s="654"/>
      <c r="G377" s="654"/>
      <c r="H377" s="654"/>
      <c r="I377" s="654"/>
      <c r="J377" s="654"/>
      <c r="K377" s="654"/>
      <c r="L377" s="654"/>
      <c r="M377" s="654"/>
      <c r="N377" s="654"/>
      <c r="O377" s="654"/>
      <c r="P377" s="654"/>
      <c r="Q377" s="654"/>
      <c r="R377" s="654"/>
      <c r="S377" s="654"/>
      <c r="T377" s="654"/>
      <c r="U377" s="654"/>
    </row>
  </sheetData>
  <mergeCells count="14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U350:U352 U365:U373">
    <cfRule type="cellIs" dxfId="7665" priority="697" operator="equal">
      <formula>0</formula>
    </cfRule>
  </conditionalFormatting>
  <conditionalFormatting sqref="U365">
    <cfRule type="containsBlanks" dxfId="7664" priority="678">
      <formula>LEN(TRIM(U365))=0</formula>
    </cfRule>
  </conditionalFormatting>
  <conditionalFormatting sqref="L11:P11">
    <cfRule type="cellIs" dxfId="7663" priority="677" operator="equal">
      <formula>0</formula>
    </cfRule>
  </conditionalFormatting>
  <conditionalFormatting sqref="Q11">
    <cfRule type="cellIs" dxfId="7662" priority="676" operator="equal">
      <formula>0</formula>
    </cfRule>
  </conditionalFormatting>
  <conditionalFormatting sqref="L48:P48">
    <cfRule type="cellIs" dxfId="7661" priority="675" operator="equal">
      <formula>0</formula>
    </cfRule>
  </conditionalFormatting>
  <conditionalFormatting sqref="Q48">
    <cfRule type="cellIs" dxfId="7660" priority="674" operator="equal">
      <formula>0</formula>
    </cfRule>
  </conditionalFormatting>
  <conditionalFormatting sqref="L85:P85">
    <cfRule type="cellIs" dxfId="7659" priority="673" operator="equal">
      <formula>0</formula>
    </cfRule>
  </conditionalFormatting>
  <conditionalFormatting sqref="Q85">
    <cfRule type="cellIs" dxfId="7658" priority="672" operator="equal">
      <formula>0</formula>
    </cfRule>
  </conditionalFormatting>
  <conditionalFormatting sqref="L122:P122">
    <cfRule type="cellIs" dxfId="7657" priority="671" operator="equal">
      <formula>0</formula>
    </cfRule>
  </conditionalFormatting>
  <conditionalFormatting sqref="Q122">
    <cfRule type="cellIs" dxfId="7656" priority="670" operator="equal">
      <formula>0</formula>
    </cfRule>
  </conditionalFormatting>
  <conditionalFormatting sqref="L159:P159">
    <cfRule type="cellIs" dxfId="7655" priority="669" operator="equal">
      <formula>0</formula>
    </cfRule>
  </conditionalFormatting>
  <conditionalFormatting sqref="Q159">
    <cfRule type="cellIs" dxfId="7654" priority="668" operator="equal">
      <formula>0</formula>
    </cfRule>
  </conditionalFormatting>
  <conditionalFormatting sqref="L196:P196">
    <cfRule type="cellIs" dxfId="7653" priority="666" operator="equal">
      <formula>0</formula>
    </cfRule>
  </conditionalFormatting>
  <conditionalFormatting sqref="Q196">
    <cfRule type="cellIs" dxfId="7652" priority="665" operator="equal">
      <formula>0</formula>
    </cfRule>
  </conditionalFormatting>
  <conditionalFormatting sqref="L233:P233">
    <cfRule type="cellIs" dxfId="7651" priority="664" operator="equal">
      <formula>0</formula>
    </cfRule>
  </conditionalFormatting>
  <conditionalFormatting sqref="Q233">
    <cfRule type="cellIs" dxfId="7650" priority="663" operator="equal">
      <formula>0</formula>
    </cfRule>
  </conditionalFormatting>
  <conditionalFormatting sqref="L270:P270">
    <cfRule type="cellIs" dxfId="7649" priority="662" operator="equal">
      <formula>0</formula>
    </cfRule>
  </conditionalFormatting>
  <conditionalFormatting sqref="Q270">
    <cfRule type="cellIs" dxfId="7648" priority="661" operator="equal">
      <formula>0</formula>
    </cfRule>
  </conditionalFormatting>
  <conditionalFormatting sqref="L307:P307">
    <cfRule type="cellIs" dxfId="7647" priority="660" operator="equal">
      <formula>0</formula>
    </cfRule>
  </conditionalFormatting>
  <conditionalFormatting sqref="Q307">
    <cfRule type="cellIs" dxfId="7646" priority="659" operator="equal">
      <formula>0</formula>
    </cfRule>
  </conditionalFormatting>
  <conditionalFormatting sqref="L344:P344">
    <cfRule type="cellIs" dxfId="7645" priority="658" operator="equal">
      <formula>0</formula>
    </cfRule>
  </conditionalFormatting>
  <conditionalFormatting sqref="Q344">
    <cfRule type="cellIs" dxfId="7644" priority="657" operator="equal">
      <formula>0</formula>
    </cfRule>
  </conditionalFormatting>
  <conditionalFormatting sqref="U375 U345:U347">
    <cfRule type="cellIs" dxfId="7643" priority="656" operator="equal">
      <formula>0</formula>
    </cfRule>
  </conditionalFormatting>
  <conditionalFormatting sqref="U374">
    <cfRule type="cellIs" dxfId="7642" priority="655" operator="equal">
      <formula>0</formula>
    </cfRule>
  </conditionalFormatting>
  <conditionalFormatting sqref="U367:U375 U345:U347 U350:U351">
    <cfRule type="containsBlanks" dxfId="7641" priority="654">
      <formula>LEN(TRIM(U345))=0</formula>
    </cfRule>
  </conditionalFormatting>
  <conditionalFormatting sqref="U348:U349">
    <cfRule type="cellIs" dxfId="7640" priority="651" operator="equal">
      <formula>0</formula>
    </cfRule>
  </conditionalFormatting>
  <conditionalFormatting sqref="U348:U349">
    <cfRule type="containsBlanks" dxfId="7639" priority="650">
      <formula>LEN(TRIM(U348))=0</formula>
    </cfRule>
  </conditionalFormatting>
  <conditionalFormatting sqref="U353:U364">
    <cfRule type="cellIs" dxfId="7638" priority="647" operator="equal">
      <formula>0</formula>
    </cfRule>
  </conditionalFormatting>
  <conditionalFormatting sqref="U353:U364">
    <cfRule type="containsBlanks" dxfId="7637" priority="646">
      <formula>LEN(TRIM(U353))=0</formula>
    </cfRule>
  </conditionalFormatting>
  <conditionalFormatting sqref="U42 U12:U40">
    <cfRule type="cellIs" dxfId="7636" priority="645" operator="equal">
      <formula>0</formula>
    </cfRule>
  </conditionalFormatting>
  <conditionalFormatting sqref="U41">
    <cfRule type="cellIs" dxfId="7635" priority="644" operator="equal">
      <formula>0</formula>
    </cfRule>
  </conditionalFormatting>
  <conditionalFormatting sqref="U34:U42 U12:U18 U20:U32">
    <cfRule type="containsBlanks" dxfId="7634" priority="643">
      <formula>LEN(TRIM(U12))=0</formula>
    </cfRule>
  </conditionalFormatting>
  <conditionalFormatting sqref="U79 U49:U77">
    <cfRule type="cellIs" dxfId="7633" priority="642" operator="equal">
      <formula>0</formula>
    </cfRule>
  </conditionalFormatting>
  <conditionalFormatting sqref="U78">
    <cfRule type="cellIs" dxfId="7632" priority="641" operator="equal">
      <formula>0</formula>
    </cfRule>
  </conditionalFormatting>
  <conditionalFormatting sqref="U71:U79 U49:U55 U57:U69">
    <cfRule type="containsBlanks" dxfId="7631" priority="640">
      <formula>LEN(TRIM(U49))=0</formula>
    </cfRule>
  </conditionalFormatting>
  <conditionalFormatting sqref="U116 U86:U114">
    <cfRule type="cellIs" dxfId="7630" priority="639" operator="equal">
      <formula>0</formula>
    </cfRule>
  </conditionalFormatting>
  <conditionalFormatting sqref="U115">
    <cfRule type="cellIs" dxfId="7629" priority="638" operator="equal">
      <formula>0</formula>
    </cfRule>
  </conditionalFormatting>
  <conditionalFormatting sqref="U108:U116 U86:U92 U94:U106">
    <cfRule type="containsBlanks" dxfId="7628" priority="637">
      <formula>LEN(TRIM(U86))=0</formula>
    </cfRule>
  </conditionalFormatting>
  <conditionalFormatting sqref="U153 U123:U151">
    <cfRule type="cellIs" dxfId="7627" priority="636" operator="equal">
      <formula>0</formula>
    </cfRule>
  </conditionalFormatting>
  <conditionalFormatting sqref="U152">
    <cfRule type="cellIs" dxfId="7626" priority="635" operator="equal">
      <formula>0</formula>
    </cfRule>
  </conditionalFormatting>
  <conditionalFormatting sqref="U145:U153 U123:U129 U131:U143">
    <cfRule type="containsBlanks" dxfId="7625" priority="634">
      <formula>LEN(TRIM(U123))=0</formula>
    </cfRule>
  </conditionalFormatting>
  <conditionalFormatting sqref="U190 U160:U188">
    <cfRule type="cellIs" dxfId="7624" priority="633" operator="equal">
      <formula>0</formula>
    </cfRule>
  </conditionalFormatting>
  <conditionalFormatting sqref="U189">
    <cfRule type="cellIs" dxfId="7623" priority="632" operator="equal">
      <formula>0</formula>
    </cfRule>
  </conditionalFormatting>
  <conditionalFormatting sqref="U182:U190 U160:U166 U168:U180">
    <cfRule type="containsBlanks" dxfId="7622" priority="631">
      <formula>LEN(TRIM(U160))=0</formula>
    </cfRule>
  </conditionalFormatting>
  <conditionalFormatting sqref="U227 U197:U225">
    <cfRule type="cellIs" dxfId="7621" priority="630" operator="equal">
      <formula>0</formula>
    </cfRule>
  </conditionalFormatting>
  <conditionalFormatting sqref="U226">
    <cfRule type="cellIs" dxfId="7620" priority="629" operator="equal">
      <formula>0</formula>
    </cfRule>
  </conditionalFormatting>
  <conditionalFormatting sqref="U219:U227 U197:U203 U205:U217">
    <cfRule type="containsBlanks" dxfId="7619" priority="628">
      <formula>LEN(TRIM(U197))=0</formula>
    </cfRule>
  </conditionalFormatting>
  <conditionalFormatting sqref="U264 U234:U262">
    <cfRule type="cellIs" dxfId="7618" priority="627" operator="equal">
      <formula>0</formula>
    </cfRule>
  </conditionalFormatting>
  <conditionalFormatting sqref="U263">
    <cfRule type="cellIs" dxfId="7617" priority="626" operator="equal">
      <formula>0</formula>
    </cfRule>
  </conditionalFormatting>
  <conditionalFormatting sqref="U256:U264 U234:U240 U242:U254">
    <cfRule type="containsBlanks" dxfId="7616" priority="625">
      <formula>LEN(TRIM(U234))=0</formula>
    </cfRule>
  </conditionalFormatting>
  <conditionalFormatting sqref="U301 U271:U299">
    <cfRule type="cellIs" dxfId="7615" priority="624" operator="equal">
      <formula>0</formula>
    </cfRule>
  </conditionalFormatting>
  <conditionalFormatting sqref="U300">
    <cfRule type="cellIs" dxfId="7614" priority="623" operator="equal">
      <formula>0</formula>
    </cfRule>
  </conditionalFormatting>
  <conditionalFormatting sqref="U293:U301 U271:U277 U279:U291">
    <cfRule type="containsBlanks" dxfId="7613" priority="622">
      <formula>LEN(TRIM(U271))=0</formula>
    </cfRule>
  </conditionalFormatting>
  <conditionalFormatting sqref="U338 U308:U336">
    <cfRule type="cellIs" dxfId="7612" priority="621" operator="equal">
      <formula>0</formula>
    </cfRule>
  </conditionalFormatting>
  <conditionalFormatting sqref="U337">
    <cfRule type="cellIs" dxfId="7611" priority="620" operator="equal">
      <formula>0</formula>
    </cfRule>
  </conditionalFormatting>
  <conditionalFormatting sqref="U330:U338 U308:U314 U316:U328">
    <cfRule type="containsBlanks" dxfId="7610" priority="619">
      <formula>LEN(TRIM(U308))=0</formula>
    </cfRule>
  </conditionalFormatting>
  <conditionalFormatting sqref="D42:F42 R33:T33 D32:F40 D12:F19 N12:O12 R12:T12 J42:T42 J33:K33 J34:T40 J32:T32 J13:T19">
    <cfRule type="cellIs" dxfId="7609" priority="608" operator="equal">
      <formula>0</formula>
    </cfRule>
  </conditionalFormatting>
  <conditionalFormatting sqref="R12:R14">
    <cfRule type="cellIs" dxfId="7608" priority="607" operator="equal">
      <formula>0</formula>
    </cfRule>
  </conditionalFormatting>
  <conditionalFormatting sqref="R12:T12 N12:O12 D13:F14 J13:T14">
    <cfRule type="cellIs" dxfId="7607" priority="606" operator="equal">
      <formula>0</formula>
    </cfRule>
  </conditionalFormatting>
  <conditionalFormatting sqref="F13:F14">
    <cfRule type="cellIs" dxfId="7606" priority="605" operator="equal">
      <formula>0</formula>
    </cfRule>
  </conditionalFormatting>
  <conditionalFormatting sqref="N12:O12">
    <cfRule type="cellIs" dxfId="7605" priority="604" operator="equal">
      <formula>0</formula>
    </cfRule>
  </conditionalFormatting>
  <conditionalFormatting sqref="L15:L17 L33">
    <cfRule type="cellIs" dxfId="7604" priority="603" operator="equal">
      <formula>0</formula>
    </cfRule>
  </conditionalFormatting>
  <conditionalFormatting sqref="L13:L14">
    <cfRule type="cellIs" dxfId="7603" priority="602" operator="equal">
      <formula>0</formula>
    </cfRule>
  </conditionalFormatting>
  <conditionalFormatting sqref="M15:M17 M33">
    <cfRule type="cellIs" dxfId="7602" priority="601" operator="equal">
      <formula>0</formula>
    </cfRule>
  </conditionalFormatting>
  <conditionalFormatting sqref="M13:M14">
    <cfRule type="cellIs" dxfId="7601" priority="600" operator="equal">
      <formula>0</formula>
    </cfRule>
  </conditionalFormatting>
  <conditionalFormatting sqref="N15:N17 N33">
    <cfRule type="cellIs" dxfId="7600" priority="599" operator="equal">
      <formula>0</formula>
    </cfRule>
  </conditionalFormatting>
  <conditionalFormatting sqref="N12:N14">
    <cfRule type="cellIs" dxfId="7599" priority="598" operator="equal">
      <formula>0</formula>
    </cfRule>
  </conditionalFormatting>
  <conditionalFormatting sqref="O15:O17 O33">
    <cfRule type="cellIs" dxfId="7598" priority="597" operator="equal">
      <formula>0</formula>
    </cfRule>
  </conditionalFormatting>
  <conditionalFormatting sqref="O12:O14">
    <cfRule type="cellIs" dxfId="7597" priority="596" operator="equal">
      <formula>0</formula>
    </cfRule>
  </conditionalFormatting>
  <conditionalFormatting sqref="P15:P17 P33">
    <cfRule type="cellIs" dxfId="7596" priority="595" operator="equal">
      <formula>0</formula>
    </cfRule>
  </conditionalFormatting>
  <conditionalFormatting sqref="P13:P14">
    <cfRule type="cellIs" dxfId="7595" priority="594" operator="equal">
      <formula>0</formula>
    </cfRule>
  </conditionalFormatting>
  <conditionalFormatting sqref="Q15:Q17 Q33">
    <cfRule type="cellIs" dxfId="7594" priority="593" operator="equal">
      <formula>0</formula>
    </cfRule>
  </conditionalFormatting>
  <conditionalFormatting sqref="Q13:Q14">
    <cfRule type="cellIs" dxfId="7593" priority="592" operator="equal">
      <formula>0</formula>
    </cfRule>
  </conditionalFormatting>
  <conditionalFormatting sqref="D41:F41 J41:T41">
    <cfRule type="cellIs" dxfId="7592" priority="591" operator="equal">
      <formula>0</formula>
    </cfRule>
  </conditionalFormatting>
  <conditionalFormatting sqref="D34:F42 D32:F32 D12:F18 N12:O12 R12:T12 J34:T42 J32:T32 J13:T18">
    <cfRule type="containsBlanks" dxfId="7591" priority="590">
      <formula>LEN(TRIM(D12))=0</formula>
    </cfRule>
  </conditionalFormatting>
  <conditionalFormatting sqref="D41:F41 J41:T41">
    <cfRule type="cellIs" dxfId="7590" priority="589" operator="equal">
      <formula>0</formula>
    </cfRule>
  </conditionalFormatting>
  <conditionalFormatting sqref="N15:N16">
    <cfRule type="cellIs" dxfId="7589" priority="588" operator="equal">
      <formula>0</formula>
    </cfRule>
  </conditionalFormatting>
  <conditionalFormatting sqref="O15:O16">
    <cfRule type="cellIs" dxfId="7588" priority="587" operator="equal">
      <formula>0</formula>
    </cfRule>
  </conditionalFormatting>
  <conditionalFormatting sqref="P15:Q15">
    <cfRule type="cellIs" dxfId="7587" priority="586" operator="equal">
      <formula>0</formula>
    </cfRule>
  </conditionalFormatting>
  <conditionalFormatting sqref="P16:Q16">
    <cfRule type="cellIs" dxfId="7586" priority="585" operator="equal">
      <formula>0</formula>
    </cfRule>
  </conditionalFormatting>
  <conditionalFormatting sqref="D20:F31 J20:T31">
    <cfRule type="cellIs" dxfId="7585" priority="584" operator="equal">
      <formula>0</formula>
    </cfRule>
  </conditionalFormatting>
  <conditionalFormatting sqref="D20:F31 J20:T31">
    <cfRule type="containsBlanks" dxfId="7584" priority="583">
      <formula>LEN(TRIM(D20))=0</formula>
    </cfRule>
  </conditionalFormatting>
  <conditionalFormatting sqref="J12">
    <cfRule type="cellIs" dxfId="7583" priority="582" operator="equal">
      <formula>0</formula>
    </cfRule>
  </conditionalFormatting>
  <conditionalFormatting sqref="K12">
    <cfRule type="cellIs" dxfId="7582" priority="581" operator="equal">
      <formula>0</formula>
    </cfRule>
  </conditionalFormatting>
  <conditionalFormatting sqref="L12:M12">
    <cfRule type="cellIs" dxfId="7581" priority="580" operator="equal">
      <formula>0</formula>
    </cfRule>
  </conditionalFormatting>
  <conditionalFormatting sqref="M12">
    <cfRule type="cellIs" dxfId="7580" priority="579" operator="equal">
      <formula>0</formula>
    </cfRule>
  </conditionalFormatting>
  <conditionalFormatting sqref="J12:M12">
    <cfRule type="containsBlanks" dxfId="7579" priority="578">
      <formula>LEN(TRIM(J12))=0</formula>
    </cfRule>
  </conditionalFormatting>
  <conditionalFormatting sqref="P12:Q12">
    <cfRule type="cellIs" dxfId="7578" priority="577" operator="equal">
      <formula>0</formula>
    </cfRule>
  </conditionalFormatting>
  <conditionalFormatting sqref="P12:Q12">
    <cfRule type="cellIs" dxfId="7577" priority="576" operator="equal">
      <formula>0</formula>
    </cfRule>
  </conditionalFormatting>
  <conditionalFormatting sqref="P12:Q12">
    <cfRule type="containsBlanks" dxfId="7576" priority="575">
      <formula>LEN(TRIM(P12))=0</formula>
    </cfRule>
  </conditionalFormatting>
  <conditionalFormatting sqref="D79:F79 R70:T70 D69:F77 D49:F56 N49:O49 R49:T49 J79:T79 J70:K70 J71:T77 J69:T69 J50:T56">
    <cfRule type="cellIs" dxfId="7575" priority="574" operator="equal">
      <formula>0</formula>
    </cfRule>
  </conditionalFormatting>
  <conditionalFormatting sqref="R49:R51">
    <cfRule type="cellIs" dxfId="7574" priority="573" operator="equal">
      <formula>0</formula>
    </cfRule>
  </conditionalFormatting>
  <conditionalFormatting sqref="R49:T49 N49:O49 D50:F51 J50:T51">
    <cfRule type="cellIs" dxfId="7573" priority="572" operator="equal">
      <formula>0</formula>
    </cfRule>
  </conditionalFormatting>
  <conditionalFormatting sqref="F50:F51">
    <cfRule type="cellIs" dxfId="7572" priority="571" operator="equal">
      <formula>0</formula>
    </cfRule>
  </conditionalFormatting>
  <conditionalFormatting sqref="N49:O49">
    <cfRule type="cellIs" dxfId="7571" priority="570" operator="equal">
      <formula>0</formula>
    </cfRule>
  </conditionalFormatting>
  <conditionalFormatting sqref="L52:L54 L70">
    <cfRule type="cellIs" dxfId="7570" priority="569" operator="equal">
      <formula>0</formula>
    </cfRule>
  </conditionalFormatting>
  <conditionalFormatting sqref="L50:L51">
    <cfRule type="cellIs" dxfId="7569" priority="568" operator="equal">
      <formula>0</formula>
    </cfRule>
  </conditionalFormatting>
  <conditionalFormatting sqref="M52:M54 M70">
    <cfRule type="cellIs" dxfId="7568" priority="567" operator="equal">
      <formula>0</formula>
    </cfRule>
  </conditionalFormatting>
  <conditionalFormatting sqref="M50:M51">
    <cfRule type="cellIs" dxfId="7567" priority="566" operator="equal">
      <formula>0</formula>
    </cfRule>
  </conditionalFormatting>
  <conditionalFormatting sqref="N52:N54 N70">
    <cfRule type="cellIs" dxfId="7566" priority="565" operator="equal">
      <formula>0</formula>
    </cfRule>
  </conditionalFormatting>
  <conditionalFormatting sqref="N49:N51">
    <cfRule type="cellIs" dxfId="7565" priority="564" operator="equal">
      <formula>0</formula>
    </cfRule>
  </conditionalFormatting>
  <conditionalFormatting sqref="O52:O54 O70">
    <cfRule type="cellIs" dxfId="7564" priority="563" operator="equal">
      <formula>0</formula>
    </cfRule>
  </conditionalFormatting>
  <conditionalFormatting sqref="O49:O51">
    <cfRule type="cellIs" dxfId="7563" priority="562" operator="equal">
      <formula>0</formula>
    </cfRule>
  </conditionalFormatting>
  <conditionalFormatting sqref="P52:P54 P70">
    <cfRule type="cellIs" dxfId="7562" priority="561" operator="equal">
      <formula>0</formula>
    </cfRule>
  </conditionalFormatting>
  <conditionalFormatting sqref="P50:P51">
    <cfRule type="cellIs" dxfId="7561" priority="560" operator="equal">
      <formula>0</formula>
    </cfRule>
  </conditionalFormatting>
  <conditionalFormatting sqref="Q52:Q54 Q70">
    <cfRule type="cellIs" dxfId="7560" priority="559" operator="equal">
      <formula>0</formula>
    </cfRule>
  </conditionalFormatting>
  <conditionalFormatting sqref="Q50:Q51">
    <cfRule type="cellIs" dxfId="7559" priority="558" operator="equal">
      <formula>0</formula>
    </cfRule>
  </conditionalFormatting>
  <conditionalFormatting sqref="D78:F78 J78:T78">
    <cfRule type="cellIs" dxfId="7558" priority="557" operator="equal">
      <formula>0</formula>
    </cfRule>
  </conditionalFormatting>
  <conditionalFormatting sqref="D71:F79 D69:F69 D49:F55 N49:O49 R49:T49 J71:T79 J69:T69 J50:T55">
    <cfRule type="containsBlanks" dxfId="7557" priority="556">
      <formula>LEN(TRIM(D49))=0</formula>
    </cfRule>
  </conditionalFormatting>
  <conditionalFormatting sqref="D78:F78 J78:T78">
    <cfRule type="cellIs" dxfId="7556" priority="555" operator="equal">
      <formula>0</formula>
    </cfRule>
  </conditionalFormatting>
  <conditionalFormatting sqref="N52:N53">
    <cfRule type="cellIs" dxfId="7555" priority="554" operator="equal">
      <formula>0</formula>
    </cfRule>
  </conditionalFormatting>
  <conditionalFormatting sqref="O52:O53">
    <cfRule type="cellIs" dxfId="7554" priority="553" operator="equal">
      <formula>0</formula>
    </cfRule>
  </conditionalFormatting>
  <conditionalFormatting sqref="P52:Q52">
    <cfRule type="cellIs" dxfId="7553" priority="552" operator="equal">
      <formula>0</formula>
    </cfRule>
  </conditionalFormatting>
  <conditionalFormatting sqref="P53:Q53">
    <cfRule type="cellIs" dxfId="7552" priority="551" operator="equal">
      <formula>0</formula>
    </cfRule>
  </conditionalFormatting>
  <conditionalFormatting sqref="D57:F68 J57:T68">
    <cfRule type="cellIs" dxfId="7551" priority="550" operator="equal">
      <formula>0</formula>
    </cfRule>
  </conditionalFormatting>
  <conditionalFormatting sqref="D57:F68 J57:T68">
    <cfRule type="containsBlanks" dxfId="7550" priority="549">
      <formula>LEN(TRIM(D57))=0</formula>
    </cfRule>
  </conditionalFormatting>
  <conditionalFormatting sqref="J49">
    <cfRule type="cellIs" dxfId="7549" priority="548" operator="equal">
      <formula>0</formula>
    </cfRule>
  </conditionalFormatting>
  <conditionalFormatting sqref="K49">
    <cfRule type="cellIs" dxfId="7548" priority="547" operator="equal">
      <formula>0</formula>
    </cfRule>
  </conditionalFormatting>
  <conditionalFormatting sqref="L49:M49">
    <cfRule type="cellIs" dxfId="7547" priority="546" operator="equal">
      <formula>0</formula>
    </cfRule>
  </conditionalFormatting>
  <conditionalFormatting sqref="M49">
    <cfRule type="cellIs" dxfId="7546" priority="545" operator="equal">
      <formula>0</formula>
    </cfRule>
  </conditionalFormatting>
  <conditionalFormatting sqref="J49:M49">
    <cfRule type="containsBlanks" dxfId="7545" priority="544">
      <formula>LEN(TRIM(J49))=0</formula>
    </cfRule>
  </conditionalFormatting>
  <conditionalFormatting sqref="P49:Q49">
    <cfRule type="cellIs" dxfId="7544" priority="543" operator="equal">
      <formula>0</formula>
    </cfRule>
  </conditionalFormatting>
  <conditionalFormatting sqref="P49:Q49">
    <cfRule type="cellIs" dxfId="7543" priority="542" operator="equal">
      <formula>0</formula>
    </cfRule>
  </conditionalFormatting>
  <conditionalFormatting sqref="P49:Q49">
    <cfRule type="containsBlanks" dxfId="7542" priority="541">
      <formula>LEN(TRIM(P49))=0</formula>
    </cfRule>
  </conditionalFormatting>
  <conditionalFormatting sqref="D116:F116 R107:T107 D106:F114 D86:F93 N86:O86 R86:T86 J116:T116 J107:K107 J108:T114 J106:T106 J87:T93">
    <cfRule type="cellIs" dxfId="7541" priority="540" operator="equal">
      <formula>0</formula>
    </cfRule>
  </conditionalFormatting>
  <conditionalFormatting sqref="R86:R88">
    <cfRule type="cellIs" dxfId="7540" priority="539" operator="equal">
      <formula>0</formula>
    </cfRule>
  </conditionalFormatting>
  <conditionalFormatting sqref="R86:T86 N86:O86 D87:F88 J87:T88">
    <cfRule type="cellIs" dxfId="7539" priority="538" operator="equal">
      <formula>0</formula>
    </cfRule>
  </conditionalFormatting>
  <conditionalFormatting sqref="F87:F88">
    <cfRule type="cellIs" dxfId="7538" priority="537" operator="equal">
      <formula>0</formula>
    </cfRule>
  </conditionalFormatting>
  <conditionalFormatting sqref="N86:O86">
    <cfRule type="cellIs" dxfId="7537" priority="536" operator="equal">
      <formula>0</formula>
    </cfRule>
  </conditionalFormatting>
  <conditionalFormatting sqref="L89:L91 L107">
    <cfRule type="cellIs" dxfId="7536" priority="535" operator="equal">
      <formula>0</formula>
    </cfRule>
  </conditionalFormatting>
  <conditionalFormatting sqref="L87:L88">
    <cfRule type="cellIs" dxfId="7535" priority="534" operator="equal">
      <formula>0</formula>
    </cfRule>
  </conditionalFormatting>
  <conditionalFormatting sqref="M89:M91 M107">
    <cfRule type="cellIs" dxfId="7534" priority="533" operator="equal">
      <formula>0</formula>
    </cfRule>
  </conditionalFormatting>
  <conditionalFormatting sqref="M87:M88">
    <cfRule type="cellIs" dxfId="7533" priority="532" operator="equal">
      <formula>0</formula>
    </cfRule>
  </conditionalFormatting>
  <conditionalFormatting sqref="N89:N91 N107">
    <cfRule type="cellIs" dxfId="7532" priority="531" operator="equal">
      <formula>0</formula>
    </cfRule>
  </conditionalFormatting>
  <conditionalFormatting sqref="N86:N88">
    <cfRule type="cellIs" dxfId="7531" priority="530" operator="equal">
      <formula>0</formula>
    </cfRule>
  </conditionalFormatting>
  <conditionalFormatting sqref="O89:O91 O107">
    <cfRule type="cellIs" dxfId="7530" priority="529" operator="equal">
      <formula>0</formula>
    </cfRule>
  </conditionalFormatting>
  <conditionalFormatting sqref="O86:O88">
    <cfRule type="cellIs" dxfId="7529" priority="528" operator="equal">
      <formula>0</formula>
    </cfRule>
  </conditionalFormatting>
  <conditionalFormatting sqref="P89:P91 P107">
    <cfRule type="cellIs" dxfId="7528" priority="527" operator="equal">
      <formula>0</formula>
    </cfRule>
  </conditionalFormatting>
  <conditionalFormatting sqref="P87:P88">
    <cfRule type="cellIs" dxfId="7527" priority="526" operator="equal">
      <formula>0</formula>
    </cfRule>
  </conditionalFormatting>
  <conditionalFormatting sqref="Q89:Q91 Q107">
    <cfRule type="cellIs" dxfId="7526" priority="525" operator="equal">
      <formula>0</formula>
    </cfRule>
  </conditionalFormatting>
  <conditionalFormatting sqref="Q87:Q88">
    <cfRule type="cellIs" dxfId="7525" priority="524" operator="equal">
      <formula>0</formula>
    </cfRule>
  </conditionalFormatting>
  <conditionalFormatting sqref="D115:F115 J115:T115">
    <cfRule type="cellIs" dxfId="7524" priority="523" operator="equal">
      <formula>0</formula>
    </cfRule>
  </conditionalFormatting>
  <conditionalFormatting sqref="D108:F116 D106:F106 D86:F92 N86:O86 R86:T86 J108:T116 J106:T106 J87:T92">
    <cfRule type="containsBlanks" dxfId="7523" priority="522">
      <formula>LEN(TRIM(D86))=0</formula>
    </cfRule>
  </conditionalFormatting>
  <conditionalFormatting sqref="D115:F115 J115:T115">
    <cfRule type="cellIs" dxfId="7522" priority="521" operator="equal">
      <formula>0</formula>
    </cfRule>
  </conditionalFormatting>
  <conditionalFormatting sqref="N89:N90">
    <cfRule type="cellIs" dxfId="7521" priority="520" operator="equal">
      <formula>0</formula>
    </cfRule>
  </conditionalFormatting>
  <conditionalFormatting sqref="O89:O90">
    <cfRule type="cellIs" dxfId="7520" priority="519" operator="equal">
      <formula>0</formula>
    </cfRule>
  </conditionalFormatting>
  <conditionalFormatting sqref="P89:Q89">
    <cfRule type="cellIs" dxfId="7519" priority="518" operator="equal">
      <formula>0</formula>
    </cfRule>
  </conditionalFormatting>
  <conditionalFormatting sqref="P90:Q90">
    <cfRule type="cellIs" dxfId="7518" priority="517" operator="equal">
      <formula>0</formula>
    </cfRule>
  </conditionalFormatting>
  <conditionalFormatting sqref="D94:F105 J94:T105">
    <cfRule type="cellIs" dxfId="7517" priority="516" operator="equal">
      <formula>0</formula>
    </cfRule>
  </conditionalFormatting>
  <conditionalFormatting sqref="D94:F105 J94:T105">
    <cfRule type="containsBlanks" dxfId="7516" priority="515">
      <formula>LEN(TRIM(D94))=0</formula>
    </cfRule>
  </conditionalFormatting>
  <conditionalFormatting sqref="J86">
    <cfRule type="cellIs" dxfId="7515" priority="514" operator="equal">
      <formula>0</formula>
    </cfRule>
  </conditionalFormatting>
  <conditionalFormatting sqref="K86">
    <cfRule type="cellIs" dxfId="7514" priority="513" operator="equal">
      <formula>0</formula>
    </cfRule>
  </conditionalFormatting>
  <conditionalFormatting sqref="L86:M86">
    <cfRule type="cellIs" dxfId="7513" priority="512" operator="equal">
      <formula>0</formula>
    </cfRule>
  </conditionalFormatting>
  <conditionalFormatting sqref="M86">
    <cfRule type="cellIs" dxfId="7512" priority="511" operator="equal">
      <formula>0</formula>
    </cfRule>
  </conditionalFormatting>
  <conditionalFormatting sqref="J86:M86">
    <cfRule type="containsBlanks" dxfId="7511" priority="510">
      <formula>LEN(TRIM(J86))=0</formula>
    </cfRule>
  </conditionalFormatting>
  <conditionalFormatting sqref="P86:Q86">
    <cfRule type="cellIs" dxfId="7510" priority="509" operator="equal">
      <formula>0</formula>
    </cfRule>
  </conditionalFormatting>
  <conditionalFormatting sqref="P86:Q86">
    <cfRule type="cellIs" dxfId="7509" priority="508" operator="equal">
      <formula>0</formula>
    </cfRule>
  </conditionalFormatting>
  <conditionalFormatting sqref="P86:Q86">
    <cfRule type="containsBlanks" dxfId="7508" priority="507">
      <formula>LEN(TRIM(P86))=0</formula>
    </cfRule>
  </conditionalFormatting>
  <conditionalFormatting sqref="D153:F153 R144:T144 D143:F151 D123:F130 N123:O123 R123:T123 J153:T153 J144:K144 J145:T151 J143:T143 J124:T130">
    <cfRule type="cellIs" dxfId="7507" priority="506" operator="equal">
      <formula>0</formula>
    </cfRule>
  </conditionalFormatting>
  <conditionalFormatting sqref="R123:R125">
    <cfRule type="cellIs" dxfId="7506" priority="505" operator="equal">
      <formula>0</formula>
    </cfRule>
  </conditionalFormatting>
  <conditionalFormatting sqref="R123:T123 N123:O123 D124:F125 J124:T125">
    <cfRule type="cellIs" dxfId="7505" priority="504" operator="equal">
      <formula>0</formula>
    </cfRule>
  </conditionalFormatting>
  <conditionalFormatting sqref="F124:F125">
    <cfRule type="cellIs" dxfId="7504" priority="503" operator="equal">
      <formula>0</formula>
    </cfRule>
  </conditionalFormatting>
  <conditionalFormatting sqref="N123:O123">
    <cfRule type="cellIs" dxfId="7503" priority="502" operator="equal">
      <formula>0</formula>
    </cfRule>
  </conditionalFormatting>
  <conditionalFormatting sqref="L126:L128 L144">
    <cfRule type="cellIs" dxfId="7502" priority="501" operator="equal">
      <formula>0</formula>
    </cfRule>
  </conditionalFormatting>
  <conditionalFormatting sqref="L124:L125">
    <cfRule type="cellIs" dxfId="7501" priority="500" operator="equal">
      <formula>0</formula>
    </cfRule>
  </conditionalFormatting>
  <conditionalFormatting sqref="M126:M128 M144">
    <cfRule type="cellIs" dxfId="7500" priority="499" operator="equal">
      <formula>0</formula>
    </cfRule>
  </conditionalFormatting>
  <conditionalFormatting sqref="M124:M125">
    <cfRule type="cellIs" dxfId="7499" priority="498" operator="equal">
      <formula>0</formula>
    </cfRule>
  </conditionalFormatting>
  <conditionalFormatting sqref="N126:N128 N144">
    <cfRule type="cellIs" dxfId="7498" priority="497" operator="equal">
      <formula>0</formula>
    </cfRule>
  </conditionalFormatting>
  <conditionalFormatting sqref="N123:N125">
    <cfRule type="cellIs" dxfId="7497" priority="496" operator="equal">
      <formula>0</formula>
    </cfRule>
  </conditionalFormatting>
  <conditionalFormatting sqref="O126:O128 O144">
    <cfRule type="cellIs" dxfId="7496" priority="495" operator="equal">
      <formula>0</formula>
    </cfRule>
  </conditionalFormatting>
  <conditionalFormatting sqref="O123:O125">
    <cfRule type="cellIs" dxfId="7495" priority="494" operator="equal">
      <formula>0</formula>
    </cfRule>
  </conditionalFormatting>
  <conditionalFormatting sqref="P126:P128 P144">
    <cfRule type="cellIs" dxfId="7494" priority="493" operator="equal">
      <formula>0</formula>
    </cfRule>
  </conditionalFormatting>
  <conditionalFormatting sqref="P124:P125">
    <cfRule type="cellIs" dxfId="7493" priority="492" operator="equal">
      <formula>0</formula>
    </cfRule>
  </conditionalFormatting>
  <conditionalFormatting sqref="Q126:Q128 Q144">
    <cfRule type="cellIs" dxfId="7492" priority="491" operator="equal">
      <formula>0</formula>
    </cfRule>
  </conditionalFormatting>
  <conditionalFormatting sqref="Q124:Q125">
    <cfRule type="cellIs" dxfId="7491" priority="490" operator="equal">
      <formula>0</formula>
    </cfRule>
  </conditionalFormatting>
  <conditionalFormatting sqref="D152:F152 J152:T152">
    <cfRule type="cellIs" dxfId="7490" priority="489" operator="equal">
      <formula>0</formula>
    </cfRule>
  </conditionalFormatting>
  <conditionalFormatting sqref="D145:F153 D143:F143 D123:F129 N123:O123 R123:T123 J145:T153 J143:T143 J124:T129">
    <cfRule type="containsBlanks" dxfId="7489" priority="488">
      <formula>LEN(TRIM(D123))=0</formula>
    </cfRule>
  </conditionalFormatting>
  <conditionalFormatting sqref="D152:F152 J152:T152">
    <cfRule type="cellIs" dxfId="7488" priority="487" operator="equal">
      <formula>0</formula>
    </cfRule>
  </conditionalFormatting>
  <conditionalFormatting sqref="N126:N127">
    <cfRule type="cellIs" dxfId="7487" priority="486" operator="equal">
      <formula>0</formula>
    </cfRule>
  </conditionalFormatting>
  <conditionalFormatting sqref="O126:O127">
    <cfRule type="cellIs" dxfId="7486" priority="485" operator="equal">
      <formula>0</formula>
    </cfRule>
  </conditionalFormatting>
  <conditionalFormatting sqref="P126:Q126">
    <cfRule type="cellIs" dxfId="7485" priority="484" operator="equal">
      <formula>0</formula>
    </cfRule>
  </conditionalFormatting>
  <conditionalFormatting sqref="P127:Q127">
    <cfRule type="cellIs" dxfId="7484" priority="483" operator="equal">
      <formula>0</formula>
    </cfRule>
  </conditionalFormatting>
  <conditionalFormatting sqref="D131:F142 J131:T142">
    <cfRule type="cellIs" dxfId="7483" priority="482" operator="equal">
      <formula>0</formula>
    </cfRule>
  </conditionalFormatting>
  <conditionalFormatting sqref="D131:F142 J131:T142">
    <cfRule type="containsBlanks" dxfId="7482" priority="481">
      <formula>LEN(TRIM(D131))=0</formula>
    </cfRule>
  </conditionalFormatting>
  <conditionalFormatting sqref="J123">
    <cfRule type="cellIs" dxfId="7481" priority="480" operator="equal">
      <formula>0</formula>
    </cfRule>
  </conditionalFormatting>
  <conditionalFormatting sqref="K123">
    <cfRule type="cellIs" dxfId="7480" priority="479" operator="equal">
      <formula>0</formula>
    </cfRule>
  </conditionalFormatting>
  <conditionalFormatting sqref="L123:M123">
    <cfRule type="cellIs" dxfId="7479" priority="478" operator="equal">
      <formula>0</formula>
    </cfRule>
  </conditionalFormatting>
  <conditionalFormatting sqref="M123">
    <cfRule type="cellIs" dxfId="7478" priority="477" operator="equal">
      <formula>0</formula>
    </cfRule>
  </conditionalFormatting>
  <conditionalFormatting sqref="J123:M123">
    <cfRule type="containsBlanks" dxfId="7477" priority="476">
      <formula>LEN(TRIM(J123))=0</formula>
    </cfRule>
  </conditionalFormatting>
  <conditionalFormatting sqref="P123:Q123">
    <cfRule type="cellIs" dxfId="7476" priority="475" operator="equal">
      <formula>0</formula>
    </cfRule>
  </conditionalFormatting>
  <conditionalFormatting sqref="P123:Q123">
    <cfRule type="cellIs" dxfId="7475" priority="474" operator="equal">
      <formula>0</formula>
    </cfRule>
  </conditionalFormatting>
  <conditionalFormatting sqref="P123:Q123">
    <cfRule type="containsBlanks" dxfId="7474" priority="473">
      <formula>LEN(TRIM(P123))=0</formula>
    </cfRule>
  </conditionalFormatting>
  <conditionalFormatting sqref="D190:F190 R181:T181 D180:F188 D160:F167 N160:O160 R160:T160 J190:T190 J181:K181 J182:T188 J180:T180 J161:T167">
    <cfRule type="cellIs" dxfId="7473" priority="472" operator="equal">
      <formula>0</formula>
    </cfRule>
  </conditionalFormatting>
  <conditionalFormatting sqref="R160:R162">
    <cfRule type="cellIs" dxfId="7472" priority="471" operator="equal">
      <formula>0</formula>
    </cfRule>
  </conditionalFormatting>
  <conditionalFormatting sqref="R160:T160 N160:O160 D161:F162 J161:T162">
    <cfRule type="cellIs" dxfId="7471" priority="470" operator="equal">
      <formula>0</formula>
    </cfRule>
  </conditionalFormatting>
  <conditionalFormatting sqref="F161:F162">
    <cfRule type="cellIs" dxfId="7470" priority="469" operator="equal">
      <formula>0</formula>
    </cfRule>
  </conditionalFormatting>
  <conditionalFormatting sqref="N160:O160">
    <cfRule type="cellIs" dxfId="7469" priority="468" operator="equal">
      <formula>0</formula>
    </cfRule>
  </conditionalFormatting>
  <conditionalFormatting sqref="L163:L165 L181">
    <cfRule type="cellIs" dxfId="7468" priority="467" operator="equal">
      <formula>0</formula>
    </cfRule>
  </conditionalFormatting>
  <conditionalFormatting sqref="L161:L162">
    <cfRule type="cellIs" dxfId="7467" priority="466" operator="equal">
      <formula>0</formula>
    </cfRule>
  </conditionalFormatting>
  <conditionalFormatting sqref="M163:M165 M181">
    <cfRule type="cellIs" dxfId="7466" priority="465" operator="equal">
      <formula>0</formula>
    </cfRule>
  </conditionalFormatting>
  <conditionalFormatting sqref="M161:M162">
    <cfRule type="cellIs" dxfId="7465" priority="464" operator="equal">
      <formula>0</formula>
    </cfRule>
  </conditionalFormatting>
  <conditionalFormatting sqref="N163:N165 N181">
    <cfRule type="cellIs" dxfId="7464" priority="463" operator="equal">
      <formula>0</formula>
    </cfRule>
  </conditionalFormatting>
  <conditionalFormatting sqref="N160:N162">
    <cfRule type="cellIs" dxfId="7463" priority="462" operator="equal">
      <formula>0</formula>
    </cfRule>
  </conditionalFormatting>
  <conditionalFormatting sqref="O163:O165 O181">
    <cfRule type="cellIs" dxfId="7462" priority="461" operator="equal">
      <formula>0</formula>
    </cfRule>
  </conditionalFormatting>
  <conditionalFormatting sqref="O160:O162">
    <cfRule type="cellIs" dxfId="7461" priority="460" operator="equal">
      <formula>0</formula>
    </cfRule>
  </conditionalFormatting>
  <conditionalFormatting sqref="P163:P165 P181">
    <cfRule type="cellIs" dxfId="7460" priority="459" operator="equal">
      <formula>0</formula>
    </cfRule>
  </conditionalFormatting>
  <conditionalFormatting sqref="P161:P162">
    <cfRule type="cellIs" dxfId="7459" priority="458" operator="equal">
      <formula>0</formula>
    </cfRule>
  </conditionalFormatting>
  <conditionalFormatting sqref="Q163:Q165 Q181">
    <cfRule type="cellIs" dxfId="7458" priority="457" operator="equal">
      <formula>0</formula>
    </cfRule>
  </conditionalFormatting>
  <conditionalFormatting sqref="Q161:Q162">
    <cfRule type="cellIs" dxfId="7457" priority="456" operator="equal">
      <formula>0</formula>
    </cfRule>
  </conditionalFormatting>
  <conditionalFormatting sqref="D189:F189 J189:T189">
    <cfRule type="cellIs" dxfId="7456" priority="455" operator="equal">
      <formula>0</formula>
    </cfRule>
  </conditionalFormatting>
  <conditionalFormatting sqref="D182:F190 D180:F180 D160:F166 N160:O160 R160:T160 J182:T190 J180:T180 J161:T166">
    <cfRule type="containsBlanks" dxfId="7455" priority="454">
      <formula>LEN(TRIM(D160))=0</formula>
    </cfRule>
  </conditionalFormatting>
  <conditionalFormatting sqref="D189:F189 J189:T189">
    <cfRule type="cellIs" dxfId="7454" priority="453" operator="equal">
      <formula>0</formula>
    </cfRule>
  </conditionalFormatting>
  <conditionalFormatting sqref="N163:N164">
    <cfRule type="cellIs" dxfId="7453" priority="452" operator="equal">
      <formula>0</formula>
    </cfRule>
  </conditionalFormatting>
  <conditionalFormatting sqref="O163:O164">
    <cfRule type="cellIs" dxfId="7452" priority="451" operator="equal">
      <formula>0</formula>
    </cfRule>
  </conditionalFormatting>
  <conditionalFormatting sqref="P163:Q163">
    <cfRule type="cellIs" dxfId="7451" priority="450" operator="equal">
      <formula>0</formula>
    </cfRule>
  </conditionalFormatting>
  <conditionalFormatting sqref="P164:Q164">
    <cfRule type="cellIs" dxfId="7450" priority="449" operator="equal">
      <formula>0</formula>
    </cfRule>
  </conditionalFormatting>
  <conditionalFormatting sqref="D168:F179 J168:T179">
    <cfRule type="cellIs" dxfId="7449" priority="448" operator="equal">
      <formula>0</formula>
    </cfRule>
  </conditionalFormatting>
  <conditionalFormatting sqref="D168:F179 J168:T179">
    <cfRule type="containsBlanks" dxfId="7448" priority="447">
      <formula>LEN(TRIM(D168))=0</formula>
    </cfRule>
  </conditionalFormatting>
  <conditionalFormatting sqref="J160">
    <cfRule type="cellIs" dxfId="7447" priority="446" operator="equal">
      <formula>0</formula>
    </cfRule>
  </conditionalFormatting>
  <conditionalFormatting sqref="K160">
    <cfRule type="cellIs" dxfId="7446" priority="445" operator="equal">
      <formula>0</formula>
    </cfRule>
  </conditionalFormatting>
  <conditionalFormatting sqref="L160:M160">
    <cfRule type="cellIs" dxfId="7445" priority="444" operator="equal">
      <formula>0</formula>
    </cfRule>
  </conditionalFormatting>
  <conditionalFormatting sqref="M160">
    <cfRule type="cellIs" dxfId="7444" priority="443" operator="equal">
      <formula>0</formula>
    </cfRule>
  </conditionalFormatting>
  <conditionalFormatting sqref="J160:M160">
    <cfRule type="containsBlanks" dxfId="7443" priority="442">
      <formula>LEN(TRIM(J160))=0</formula>
    </cfRule>
  </conditionalFormatting>
  <conditionalFormatting sqref="P160:Q160">
    <cfRule type="cellIs" dxfId="7442" priority="441" operator="equal">
      <formula>0</formula>
    </cfRule>
  </conditionalFormatting>
  <conditionalFormatting sqref="P160:Q160">
    <cfRule type="cellIs" dxfId="7441" priority="440" operator="equal">
      <formula>0</formula>
    </cfRule>
  </conditionalFormatting>
  <conditionalFormatting sqref="P160:Q160">
    <cfRule type="containsBlanks" dxfId="7440" priority="439">
      <formula>LEN(TRIM(P160))=0</formula>
    </cfRule>
  </conditionalFormatting>
  <conditionalFormatting sqref="D227:F227 R218:T218 D217:F225 D197:F204 N197:O197 R197:T197 J227:T227 J218:K218 J219:T225 J217:T217 J198:T204">
    <cfRule type="cellIs" dxfId="7439" priority="438" operator="equal">
      <formula>0</formula>
    </cfRule>
  </conditionalFormatting>
  <conditionalFormatting sqref="R197:R199">
    <cfRule type="cellIs" dxfId="7438" priority="437" operator="equal">
      <formula>0</formula>
    </cfRule>
  </conditionalFormatting>
  <conditionalFormatting sqref="R197:T197 N197:O197 D198:F199 J198:T199">
    <cfRule type="cellIs" dxfId="7437" priority="436" operator="equal">
      <formula>0</formula>
    </cfRule>
  </conditionalFormatting>
  <conditionalFormatting sqref="F198:F199">
    <cfRule type="cellIs" dxfId="7436" priority="435" operator="equal">
      <formula>0</formula>
    </cfRule>
  </conditionalFormatting>
  <conditionalFormatting sqref="N197:O197">
    <cfRule type="cellIs" dxfId="7435" priority="434" operator="equal">
      <formula>0</formula>
    </cfRule>
  </conditionalFormatting>
  <conditionalFormatting sqref="L200:L202 L218">
    <cfRule type="cellIs" dxfId="7434" priority="433" operator="equal">
      <formula>0</formula>
    </cfRule>
  </conditionalFormatting>
  <conditionalFormatting sqref="L198:L199">
    <cfRule type="cellIs" dxfId="7433" priority="432" operator="equal">
      <formula>0</formula>
    </cfRule>
  </conditionalFormatting>
  <conditionalFormatting sqref="M200:M202 M218">
    <cfRule type="cellIs" dxfId="7432" priority="431" operator="equal">
      <formula>0</formula>
    </cfRule>
  </conditionalFormatting>
  <conditionalFormatting sqref="M198:M199">
    <cfRule type="cellIs" dxfId="7431" priority="430" operator="equal">
      <formula>0</formula>
    </cfRule>
  </conditionalFormatting>
  <conditionalFormatting sqref="N200:N202 N218">
    <cfRule type="cellIs" dxfId="7430" priority="429" operator="equal">
      <formula>0</formula>
    </cfRule>
  </conditionalFormatting>
  <conditionalFormatting sqref="N197:N199">
    <cfRule type="cellIs" dxfId="7429" priority="428" operator="equal">
      <formula>0</formula>
    </cfRule>
  </conditionalFormatting>
  <conditionalFormatting sqref="O200:O202 O218">
    <cfRule type="cellIs" dxfId="7428" priority="427" operator="equal">
      <formula>0</formula>
    </cfRule>
  </conditionalFormatting>
  <conditionalFormatting sqref="O197:O199">
    <cfRule type="cellIs" dxfId="7427" priority="426" operator="equal">
      <formula>0</formula>
    </cfRule>
  </conditionalFormatting>
  <conditionalFormatting sqref="P200:P202 P218">
    <cfRule type="cellIs" dxfId="7426" priority="425" operator="equal">
      <formula>0</formula>
    </cfRule>
  </conditionalFormatting>
  <conditionalFormatting sqref="P198:P199">
    <cfRule type="cellIs" dxfId="7425" priority="424" operator="equal">
      <formula>0</formula>
    </cfRule>
  </conditionalFormatting>
  <conditionalFormatting sqref="Q200:Q202 Q218">
    <cfRule type="cellIs" dxfId="7424" priority="423" operator="equal">
      <formula>0</formula>
    </cfRule>
  </conditionalFormatting>
  <conditionalFormatting sqref="Q198:Q199">
    <cfRule type="cellIs" dxfId="7423" priority="422" operator="equal">
      <formula>0</formula>
    </cfRule>
  </conditionalFormatting>
  <conditionalFormatting sqref="D226:F226 J226:T226">
    <cfRule type="cellIs" dxfId="7422" priority="421" operator="equal">
      <formula>0</formula>
    </cfRule>
  </conditionalFormatting>
  <conditionalFormatting sqref="D219:F227 D217:F217 D197:F203 N197:O197 R197:T197 J219:T227 J217:T217 J198:T203">
    <cfRule type="containsBlanks" dxfId="7421" priority="420">
      <formula>LEN(TRIM(D197))=0</formula>
    </cfRule>
  </conditionalFormatting>
  <conditionalFormatting sqref="D226:F226 J226:T226">
    <cfRule type="cellIs" dxfId="7420" priority="419" operator="equal">
      <formula>0</formula>
    </cfRule>
  </conditionalFormatting>
  <conditionalFormatting sqref="N200:N201">
    <cfRule type="cellIs" dxfId="7419" priority="418" operator="equal">
      <formula>0</formula>
    </cfRule>
  </conditionalFormatting>
  <conditionalFormatting sqref="O200:O201">
    <cfRule type="cellIs" dxfId="7418" priority="417" operator="equal">
      <formula>0</formula>
    </cfRule>
  </conditionalFormatting>
  <conditionalFormatting sqref="P200:Q200">
    <cfRule type="cellIs" dxfId="7417" priority="416" operator="equal">
      <formula>0</formula>
    </cfRule>
  </conditionalFormatting>
  <conditionalFormatting sqref="P201:Q201">
    <cfRule type="cellIs" dxfId="7416" priority="415" operator="equal">
      <formula>0</formula>
    </cfRule>
  </conditionalFormatting>
  <conditionalFormatting sqref="D205:F216 J205:T216">
    <cfRule type="cellIs" dxfId="7415" priority="414" operator="equal">
      <formula>0</formula>
    </cfRule>
  </conditionalFormatting>
  <conditionalFormatting sqref="D205:F216 J205:T216">
    <cfRule type="containsBlanks" dxfId="7414" priority="413">
      <formula>LEN(TRIM(D205))=0</formula>
    </cfRule>
  </conditionalFormatting>
  <conditionalFormatting sqref="J197">
    <cfRule type="cellIs" dxfId="7413" priority="412" operator="equal">
      <formula>0</formula>
    </cfRule>
  </conditionalFormatting>
  <conditionalFormatting sqref="K197">
    <cfRule type="cellIs" dxfId="7412" priority="411" operator="equal">
      <formula>0</formula>
    </cfRule>
  </conditionalFormatting>
  <conditionalFormatting sqref="L197:M197">
    <cfRule type="cellIs" dxfId="7411" priority="410" operator="equal">
      <formula>0</formula>
    </cfRule>
  </conditionalFormatting>
  <conditionalFormatting sqref="M197">
    <cfRule type="cellIs" dxfId="7410" priority="409" operator="equal">
      <formula>0</formula>
    </cfRule>
  </conditionalFormatting>
  <conditionalFormatting sqref="J197:M197">
    <cfRule type="containsBlanks" dxfId="7409" priority="408">
      <formula>LEN(TRIM(J197))=0</formula>
    </cfRule>
  </conditionalFormatting>
  <conditionalFormatting sqref="P197:Q197">
    <cfRule type="cellIs" dxfId="7408" priority="407" operator="equal">
      <formula>0</formula>
    </cfRule>
  </conditionalFormatting>
  <conditionalFormatting sqref="P197:Q197">
    <cfRule type="cellIs" dxfId="7407" priority="406" operator="equal">
      <formula>0</formula>
    </cfRule>
  </conditionalFormatting>
  <conditionalFormatting sqref="P197:Q197">
    <cfRule type="containsBlanks" dxfId="7406" priority="405">
      <formula>LEN(TRIM(P197))=0</formula>
    </cfRule>
  </conditionalFormatting>
  <conditionalFormatting sqref="D264:F264 R255:T255 D254:F262 D234:F241 N234:O234 R234:T234 J264:T264 J255:K255 J256:T262 J254:T254 J235:T241">
    <cfRule type="cellIs" dxfId="7405" priority="404" operator="equal">
      <formula>0</formula>
    </cfRule>
  </conditionalFormatting>
  <conditionalFormatting sqref="R234:R236">
    <cfRule type="cellIs" dxfId="7404" priority="403" operator="equal">
      <formula>0</formula>
    </cfRule>
  </conditionalFormatting>
  <conditionalFormatting sqref="R234:T234 N234:O234 D235:F236 J235:T236">
    <cfRule type="cellIs" dxfId="7403" priority="402" operator="equal">
      <formula>0</formula>
    </cfRule>
  </conditionalFormatting>
  <conditionalFormatting sqref="F235:F236">
    <cfRule type="cellIs" dxfId="7402" priority="401" operator="equal">
      <formula>0</formula>
    </cfRule>
  </conditionalFormatting>
  <conditionalFormatting sqref="N234:O234">
    <cfRule type="cellIs" dxfId="7401" priority="400" operator="equal">
      <formula>0</formula>
    </cfRule>
  </conditionalFormatting>
  <conditionalFormatting sqref="L237:L239 L255">
    <cfRule type="cellIs" dxfId="7400" priority="399" operator="equal">
      <formula>0</formula>
    </cfRule>
  </conditionalFormatting>
  <conditionalFormatting sqref="L235:L236">
    <cfRule type="cellIs" dxfId="7399" priority="398" operator="equal">
      <formula>0</formula>
    </cfRule>
  </conditionalFormatting>
  <conditionalFormatting sqref="M237:M239 M255">
    <cfRule type="cellIs" dxfId="7398" priority="397" operator="equal">
      <formula>0</formula>
    </cfRule>
  </conditionalFormatting>
  <conditionalFormatting sqref="M235:M236">
    <cfRule type="cellIs" dxfId="7397" priority="396" operator="equal">
      <formula>0</formula>
    </cfRule>
  </conditionalFormatting>
  <conditionalFormatting sqref="N237:N239 N255">
    <cfRule type="cellIs" dxfId="7396" priority="395" operator="equal">
      <formula>0</formula>
    </cfRule>
  </conditionalFormatting>
  <conditionalFormatting sqref="N234:N236">
    <cfRule type="cellIs" dxfId="7395" priority="394" operator="equal">
      <formula>0</formula>
    </cfRule>
  </conditionalFormatting>
  <conditionalFormatting sqref="O237:O239 O255">
    <cfRule type="cellIs" dxfId="7394" priority="393" operator="equal">
      <formula>0</formula>
    </cfRule>
  </conditionalFormatting>
  <conditionalFormatting sqref="O234:O236">
    <cfRule type="cellIs" dxfId="7393" priority="392" operator="equal">
      <formula>0</formula>
    </cfRule>
  </conditionalFormatting>
  <conditionalFormatting sqref="P237:P239 P255">
    <cfRule type="cellIs" dxfId="7392" priority="391" operator="equal">
      <formula>0</formula>
    </cfRule>
  </conditionalFormatting>
  <conditionalFormatting sqref="P235:P236">
    <cfRule type="cellIs" dxfId="7391" priority="390" operator="equal">
      <formula>0</formula>
    </cfRule>
  </conditionalFormatting>
  <conditionalFormatting sqref="Q237:Q239 Q255">
    <cfRule type="cellIs" dxfId="7390" priority="389" operator="equal">
      <formula>0</formula>
    </cfRule>
  </conditionalFormatting>
  <conditionalFormatting sqref="Q235:Q236">
    <cfRule type="cellIs" dxfId="7389" priority="388" operator="equal">
      <formula>0</formula>
    </cfRule>
  </conditionalFormatting>
  <conditionalFormatting sqref="D263:F263 J263:T263">
    <cfRule type="cellIs" dxfId="7388" priority="387" operator="equal">
      <formula>0</formula>
    </cfRule>
  </conditionalFormatting>
  <conditionalFormatting sqref="D256:F264 D254:F254 D234:F240 N234:O234 R234:T234 J256:T264 J254:T254 J235:T240">
    <cfRule type="containsBlanks" dxfId="7387" priority="386">
      <formula>LEN(TRIM(D234))=0</formula>
    </cfRule>
  </conditionalFormatting>
  <conditionalFormatting sqref="D263:F263 J263:T263">
    <cfRule type="cellIs" dxfId="7386" priority="385" operator="equal">
      <formula>0</formula>
    </cfRule>
  </conditionalFormatting>
  <conditionalFormatting sqref="N237:N238">
    <cfRule type="cellIs" dxfId="7385" priority="384" operator="equal">
      <formula>0</formula>
    </cfRule>
  </conditionalFormatting>
  <conditionalFormatting sqref="O237:O238">
    <cfRule type="cellIs" dxfId="7384" priority="383" operator="equal">
      <formula>0</formula>
    </cfRule>
  </conditionalFormatting>
  <conditionalFormatting sqref="P237:Q237">
    <cfRule type="cellIs" dxfId="7383" priority="382" operator="equal">
      <formula>0</formula>
    </cfRule>
  </conditionalFormatting>
  <conditionalFormatting sqref="P238:Q238">
    <cfRule type="cellIs" dxfId="7382" priority="381" operator="equal">
      <formula>0</formula>
    </cfRule>
  </conditionalFormatting>
  <conditionalFormatting sqref="D242:F253 J242:T253">
    <cfRule type="cellIs" dxfId="7381" priority="380" operator="equal">
      <formula>0</formula>
    </cfRule>
  </conditionalFormatting>
  <conditionalFormatting sqref="D242:F253 J242:T253">
    <cfRule type="containsBlanks" dxfId="7380" priority="379">
      <formula>LEN(TRIM(D242))=0</formula>
    </cfRule>
  </conditionalFormatting>
  <conditionalFormatting sqref="J234">
    <cfRule type="cellIs" dxfId="7379" priority="378" operator="equal">
      <formula>0</formula>
    </cfRule>
  </conditionalFormatting>
  <conditionalFormatting sqref="K234">
    <cfRule type="cellIs" dxfId="7378" priority="377" operator="equal">
      <formula>0</formula>
    </cfRule>
  </conditionalFormatting>
  <conditionalFormatting sqref="L234:M234">
    <cfRule type="cellIs" dxfId="7377" priority="376" operator="equal">
      <formula>0</formula>
    </cfRule>
  </conditionalFormatting>
  <conditionalFormatting sqref="M234">
    <cfRule type="cellIs" dxfId="7376" priority="375" operator="equal">
      <formula>0</formula>
    </cfRule>
  </conditionalFormatting>
  <conditionalFormatting sqref="J234:M234">
    <cfRule type="containsBlanks" dxfId="7375" priority="374">
      <formula>LEN(TRIM(J234))=0</formula>
    </cfRule>
  </conditionalFormatting>
  <conditionalFormatting sqref="P234:Q234">
    <cfRule type="cellIs" dxfId="7374" priority="373" operator="equal">
      <formula>0</formula>
    </cfRule>
  </conditionalFormatting>
  <conditionalFormatting sqref="P234:Q234">
    <cfRule type="cellIs" dxfId="7373" priority="372" operator="equal">
      <formula>0</formula>
    </cfRule>
  </conditionalFormatting>
  <conditionalFormatting sqref="P234:Q234">
    <cfRule type="containsBlanks" dxfId="7372" priority="371">
      <formula>LEN(TRIM(P234))=0</formula>
    </cfRule>
  </conditionalFormatting>
  <conditionalFormatting sqref="D301:F301 R292:T292 D291:F299 D271:F278 N271:O271 R271:T271 J301:T301 J292:K292 J293:T299 J291:T291 J272:T278">
    <cfRule type="cellIs" dxfId="7371" priority="370" operator="equal">
      <formula>0</formula>
    </cfRule>
  </conditionalFormatting>
  <conditionalFormatting sqref="R271:R273">
    <cfRule type="cellIs" dxfId="7370" priority="369" operator="equal">
      <formula>0</formula>
    </cfRule>
  </conditionalFormatting>
  <conditionalFormatting sqref="R271:T271 N271:O271 D272:F273 J272:T273">
    <cfRule type="cellIs" dxfId="7369" priority="368" operator="equal">
      <formula>0</formula>
    </cfRule>
  </conditionalFormatting>
  <conditionalFormatting sqref="F272:F273">
    <cfRule type="cellIs" dxfId="7368" priority="367" operator="equal">
      <formula>0</formula>
    </cfRule>
  </conditionalFormatting>
  <conditionalFormatting sqref="N271:O271">
    <cfRule type="cellIs" dxfId="7367" priority="366" operator="equal">
      <formula>0</formula>
    </cfRule>
  </conditionalFormatting>
  <conditionalFormatting sqref="L274:L276 L292">
    <cfRule type="cellIs" dxfId="7366" priority="365" operator="equal">
      <formula>0</formula>
    </cfRule>
  </conditionalFormatting>
  <conditionalFormatting sqref="L272:L273">
    <cfRule type="cellIs" dxfId="7365" priority="364" operator="equal">
      <formula>0</formula>
    </cfRule>
  </conditionalFormatting>
  <conditionalFormatting sqref="M274:M276 M292">
    <cfRule type="cellIs" dxfId="7364" priority="363" operator="equal">
      <formula>0</formula>
    </cfRule>
  </conditionalFormatting>
  <conditionalFormatting sqref="M272:M273">
    <cfRule type="cellIs" dxfId="7363" priority="362" operator="equal">
      <formula>0</formula>
    </cfRule>
  </conditionalFormatting>
  <conditionalFormatting sqref="N274:N276 N292">
    <cfRule type="cellIs" dxfId="7362" priority="361" operator="equal">
      <formula>0</formula>
    </cfRule>
  </conditionalFormatting>
  <conditionalFormatting sqref="N271:N273">
    <cfRule type="cellIs" dxfId="7361" priority="360" operator="equal">
      <formula>0</formula>
    </cfRule>
  </conditionalFormatting>
  <conditionalFormatting sqref="O274:O276 O292">
    <cfRule type="cellIs" dxfId="7360" priority="359" operator="equal">
      <formula>0</formula>
    </cfRule>
  </conditionalFormatting>
  <conditionalFormatting sqref="O271:O273">
    <cfRule type="cellIs" dxfId="7359" priority="358" operator="equal">
      <formula>0</formula>
    </cfRule>
  </conditionalFormatting>
  <conditionalFormatting sqref="P274:P276 P292">
    <cfRule type="cellIs" dxfId="7358" priority="357" operator="equal">
      <formula>0</formula>
    </cfRule>
  </conditionalFormatting>
  <conditionalFormatting sqref="P272:P273">
    <cfRule type="cellIs" dxfId="7357" priority="356" operator="equal">
      <formula>0</formula>
    </cfRule>
  </conditionalFormatting>
  <conditionalFormatting sqref="Q274:Q276 Q292">
    <cfRule type="cellIs" dxfId="7356" priority="355" operator="equal">
      <formula>0</formula>
    </cfRule>
  </conditionalFormatting>
  <conditionalFormatting sqref="Q272:Q273">
    <cfRule type="cellIs" dxfId="7355" priority="354" operator="equal">
      <formula>0</formula>
    </cfRule>
  </conditionalFormatting>
  <conditionalFormatting sqref="D300:F300 J300:T300">
    <cfRule type="cellIs" dxfId="7354" priority="353" operator="equal">
      <formula>0</formula>
    </cfRule>
  </conditionalFormatting>
  <conditionalFormatting sqref="D293:F301 D291:F291 D271:F277 N271:O271 R271:T271 J293:T301 J291:T291 J272:T277">
    <cfRule type="containsBlanks" dxfId="7353" priority="352">
      <formula>LEN(TRIM(D271))=0</formula>
    </cfRule>
  </conditionalFormatting>
  <conditionalFormatting sqref="D300:F300 J300:T300">
    <cfRule type="cellIs" dxfId="7352" priority="351" operator="equal">
      <formula>0</formula>
    </cfRule>
  </conditionalFormatting>
  <conditionalFormatting sqref="N274:N275">
    <cfRule type="cellIs" dxfId="7351" priority="350" operator="equal">
      <formula>0</formula>
    </cfRule>
  </conditionalFormatting>
  <conditionalFormatting sqref="O274:O275">
    <cfRule type="cellIs" dxfId="7350" priority="349" operator="equal">
      <formula>0</formula>
    </cfRule>
  </conditionalFormatting>
  <conditionalFormatting sqref="P274:Q274">
    <cfRule type="cellIs" dxfId="7349" priority="348" operator="equal">
      <formula>0</formula>
    </cfRule>
  </conditionalFormatting>
  <conditionalFormatting sqref="P275:Q275">
    <cfRule type="cellIs" dxfId="7348" priority="347" operator="equal">
      <formula>0</formula>
    </cfRule>
  </conditionalFormatting>
  <conditionalFormatting sqref="D279:F290 J279:T290">
    <cfRule type="cellIs" dxfId="7347" priority="346" operator="equal">
      <formula>0</formula>
    </cfRule>
  </conditionalFormatting>
  <conditionalFormatting sqref="D279:F290 J279:T290">
    <cfRule type="containsBlanks" dxfId="7346" priority="345">
      <formula>LEN(TRIM(D279))=0</formula>
    </cfRule>
  </conditionalFormatting>
  <conditionalFormatting sqref="J271">
    <cfRule type="cellIs" dxfId="7345" priority="344" operator="equal">
      <formula>0</formula>
    </cfRule>
  </conditionalFormatting>
  <conditionalFormatting sqref="K271">
    <cfRule type="cellIs" dxfId="7344" priority="343" operator="equal">
      <formula>0</formula>
    </cfRule>
  </conditionalFormatting>
  <conditionalFormatting sqref="L271:M271">
    <cfRule type="cellIs" dxfId="7343" priority="342" operator="equal">
      <formula>0</formula>
    </cfRule>
  </conditionalFormatting>
  <conditionalFormatting sqref="M271">
    <cfRule type="cellIs" dxfId="7342" priority="341" operator="equal">
      <formula>0</formula>
    </cfRule>
  </conditionalFormatting>
  <conditionalFormatting sqref="J271:M271">
    <cfRule type="containsBlanks" dxfId="7341" priority="340">
      <formula>LEN(TRIM(J271))=0</formula>
    </cfRule>
  </conditionalFormatting>
  <conditionalFormatting sqref="P271:Q271">
    <cfRule type="cellIs" dxfId="7340" priority="339" operator="equal">
      <formula>0</formula>
    </cfRule>
  </conditionalFormatting>
  <conditionalFormatting sqref="P271:Q271">
    <cfRule type="cellIs" dxfId="7339" priority="338" operator="equal">
      <formula>0</formula>
    </cfRule>
  </conditionalFormatting>
  <conditionalFormatting sqref="P271:Q271">
    <cfRule type="containsBlanks" dxfId="7338" priority="337">
      <formula>LEN(TRIM(P271))=0</formula>
    </cfRule>
  </conditionalFormatting>
  <conditionalFormatting sqref="D338:F338 R329:T329 D328:F336 D308:F315 N308:O308 R308:T308 J338:T338 J329:K329 J330:T336 J328:T328 J309:T315">
    <cfRule type="cellIs" dxfId="7337" priority="336" operator="equal">
      <formula>0</formula>
    </cfRule>
  </conditionalFormatting>
  <conditionalFormatting sqref="R308:R310">
    <cfRule type="cellIs" dxfId="7336" priority="335" operator="equal">
      <formula>0</formula>
    </cfRule>
  </conditionalFormatting>
  <conditionalFormatting sqref="R308:T308 N308:O308 D309:F310 J309:T310">
    <cfRule type="cellIs" dxfId="7335" priority="334" operator="equal">
      <formula>0</formula>
    </cfRule>
  </conditionalFormatting>
  <conditionalFormatting sqref="F309:F310">
    <cfRule type="cellIs" dxfId="7334" priority="333" operator="equal">
      <formula>0</formula>
    </cfRule>
  </conditionalFormatting>
  <conditionalFormatting sqref="N308:O308">
    <cfRule type="cellIs" dxfId="7333" priority="332" operator="equal">
      <formula>0</formula>
    </cfRule>
  </conditionalFormatting>
  <conditionalFormatting sqref="L311:L313 L329">
    <cfRule type="cellIs" dxfId="7332" priority="331" operator="equal">
      <formula>0</formula>
    </cfRule>
  </conditionalFormatting>
  <conditionalFormatting sqref="L309:L310">
    <cfRule type="cellIs" dxfId="7331" priority="330" operator="equal">
      <formula>0</formula>
    </cfRule>
  </conditionalFormatting>
  <conditionalFormatting sqref="M311:M313 M329">
    <cfRule type="cellIs" dxfId="7330" priority="329" operator="equal">
      <formula>0</formula>
    </cfRule>
  </conditionalFormatting>
  <conditionalFormatting sqref="M309:M310">
    <cfRule type="cellIs" dxfId="7329" priority="328" operator="equal">
      <formula>0</formula>
    </cfRule>
  </conditionalFormatting>
  <conditionalFormatting sqref="N311:N313 N329">
    <cfRule type="cellIs" dxfId="7328" priority="327" operator="equal">
      <formula>0</formula>
    </cfRule>
  </conditionalFormatting>
  <conditionalFormatting sqref="N308:N310">
    <cfRule type="cellIs" dxfId="7327" priority="326" operator="equal">
      <formula>0</formula>
    </cfRule>
  </conditionalFormatting>
  <conditionalFormatting sqref="O311:O313 O329">
    <cfRule type="cellIs" dxfId="7326" priority="325" operator="equal">
      <formula>0</formula>
    </cfRule>
  </conditionalFormatting>
  <conditionalFormatting sqref="O308:O310">
    <cfRule type="cellIs" dxfId="7325" priority="324" operator="equal">
      <formula>0</formula>
    </cfRule>
  </conditionalFormatting>
  <conditionalFormatting sqref="P311:P313 P329">
    <cfRule type="cellIs" dxfId="7324" priority="323" operator="equal">
      <formula>0</formula>
    </cfRule>
  </conditionalFormatting>
  <conditionalFormatting sqref="P309:P310">
    <cfRule type="cellIs" dxfId="7323" priority="322" operator="equal">
      <formula>0</formula>
    </cfRule>
  </conditionalFormatting>
  <conditionalFormatting sqref="Q311:Q313 Q329">
    <cfRule type="cellIs" dxfId="7322" priority="321" operator="equal">
      <formula>0</formula>
    </cfRule>
  </conditionalFormatting>
  <conditionalFormatting sqref="Q309:Q310">
    <cfRule type="cellIs" dxfId="7321" priority="320" operator="equal">
      <formula>0</formula>
    </cfRule>
  </conditionalFormatting>
  <conditionalFormatting sqref="D337:F337 J337:T337">
    <cfRule type="cellIs" dxfId="7320" priority="319" operator="equal">
      <formula>0</formula>
    </cfRule>
  </conditionalFormatting>
  <conditionalFormatting sqref="D330:F338 D328:F328 D308:F314 N308:O308 R308:T308 J330:T338 J328:T328 J309:T314">
    <cfRule type="containsBlanks" dxfId="7319" priority="318">
      <formula>LEN(TRIM(D308))=0</formula>
    </cfRule>
  </conditionalFormatting>
  <conditionalFormatting sqref="D337:F337 J337:T337">
    <cfRule type="cellIs" dxfId="7318" priority="317" operator="equal">
      <formula>0</formula>
    </cfRule>
  </conditionalFormatting>
  <conditionalFormatting sqref="N311:N312">
    <cfRule type="cellIs" dxfId="7317" priority="316" operator="equal">
      <formula>0</formula>
    </cfRule>
  </conditionalFormatting>
  <conditionalFormatting sqref="O311:O312">
    <cfRule type="cellIs" dxfId="7316" priority="315" operator="equal">
      <formula>0</formula>
    </cfRule>
  </conditionalFormatting>
  <conditionalFormatting sqref="P311:Q311">
    <cfRule type="cellIs" dxfId="7315" priority="314" operator="equal">
      <formula>0</formula>
    </cfRule>
  </conditionalFormatting>
  <conditionalFormatting sqref="P312:Q312">
    <cfRule type="cellIs" dxfId="7314" priority="313" operator="equal">
      <formula>0</formula>
    </cfRule>
  </conditionalFormatting>
  <conditionalFormatting sqref="D316:F327 J316:T327">
    <cfRule type="cellIs" dxfId="7313" priority="312" operator="equal">
      <formula>0</formula>
    </cfRule>
  </conditionalFormatting>
  <conditionalFormatting sqref="D316:F327 J316:T327">
    <cfRule type="containsBlanks" dxfId="7312" priority="311">
      <formula>LEN(TRIM(D316))=0</formula>
    </cfRule>
  </conditionalFormatting>
  <conditionalFormatting sqref="J308">
    <cfRule type="cellIs" dxfId="7311" priority="310" operator="equal">
      <formula>0</formula>
    </cfRule>
  </conditionalFormatting>
  <conditionalFormatting sqref="K308">
    <cfRule type="cellIs" dxfId="7310" priority="309" operator="equal">
      <formula>0</formula>
    </cfRule>
  </conditionalFormatting>
  <conditionalFormatting sqref="L308:M308">
    <cfRule type="cellIs" dxfId="7309" priority="308" operator="equal">
      <formula>0</formula>
    </cfRule>
  </conditionalFormatting>
  <conditionalFormatting sqref="M308">
    <cfRule type="cellIs" dxfId="7308" priority="307" operator="equal">
      <formula>0</formula>
    </cfRule>
  </conditionalFormatting>
  <conditionalFormatting sqref="J308:M308">
    <cfRule type="containsBlanks" dxfId="7307" priority="306">
      <formula>LEN(TRIM(J308))=0</formula>
    </cfRule>
  </conditionalFormatting>
  <conditionalFormatting sqref="P308:Q308">
    <cfRule type="cellIs" dxfId="7306" priority="305" operator="equal">
      <formula>0</formula>
    </cfRule>
  </conditionalFormatting>
  <conditionalFormatting sqref="P308:Q308">
    <cfRule type="cellIs" dxfId="7305" priority="304" operator="equal">
      <formula>0</formula>
    </cfRule>
  </conditionalFormatting>
  <conditionalFormatting sqref="P308:Q308">
    <cfRule type="containsBlanks" dxfId="7304" priority="303">
      <formula>LEN(TRIM(P308))=0</formula>
    </cfRule>
  </conditionalFormatting>
  <conditionalFormatting sqref="D375:F375 R366:T366 D365:F373 D345:F352 N345:O345 R345:T345 J375:T375 J366:K366 J367:T373 J365:T365 J346:T352">
    <cfRule type="cellIs" dxfId="7303" priority="302" operator="equal">
      <formula>0</formula>
    </cfRule>
  </conditionalFormatting>
  <conditionalFormatting sqref="R345:R347">
    <cfRule type="cellIs" dxfId="7302" priority="301" operator="equal">
      <formula>0</formula>
    </cfRule>
  </conditionalFormatting>
  <conditionalFormatting sqref="R345:T345 N345:O345 D346:F347 J346:T347">
    <cfRule type="cellIs" dxfId="7301" priority="300" operator="equal">
      <formula>0</formula>
    </cfRule>
  </conditionalFormatting>
  <conditionalFormatting sqref="F346:F347">
    <cfRule type="cellIs" dxfId="7300" priority="299" operator="equal">
      <formula>0</formula>
    </cfRule>
  </conditionalFormatting>
  <conditionalFormatting sqref="N345:O345">
    <cfRule type="cellIs" dxfId="7299" priority="298" operator="equal">
      <formula>0</formula>
    </cfRule>
  </conditionalFormatting>
  <conditionalFormatting sqref="L348:L350 L366">
    <cfRule type="cellIs" dxfId="7298" priority="297" operator="equal">
      <formula>0</formula>
    </cfRule>
  </conditionalFormatting>
  <conditionalFormatting sqref="L346:L347">
    <cfRule type="cellIs" dxfId="7297" priority="296" operator="equal">
      <formula>0</formula>
    </cfRule>
  </conditionalFormatting>
  <conditionalFormatting sqref="M348:M350 M366">
    <cfRule type="cellIs" dxfId="7296" priority="295" operator="equal">
      <formula>0</formula>
    </cfRule>
  </conditionalFormatting>
  <conditionalFormatting sqref="M346:M347">
    <cfRule type="cellIs" dxfId="7295" priority="294" operator="equal">
      <formula>0</formula>
    </cfRule>
  </conditionalFormatting>
  <conditionalFormatting sqref="N348:N350 N366">
    <cfRule type="cellIs" dxfId="7294" priority="293" operator="equal">
      <formula>0</formula>
    </cfRule>
  </conditionalFormatting>
  <conditionalFormatting sqref="N345:N347">
    <cfRule type="cellIs" dxfId="7293" priority="292" operator="equal">
      <formula>0</formula>
    </cfRule>
  </conditionalFormatting>
  <conditionalFormatting sqref="O348:O350 O366">
    <cfRule type="cellIs" dxfId="7292" priority="291" operator="equal">
      <formula>0</formula>
    </cfRule>
  </conditionalFormatting>
  <conditionalFormatting sqref="O345:O347">
    <cfRule type="cellIs" dxfId="7291" priority="290" operator="equal">
      <formula>0</formula>
    </cfRule>
  </conditionalFormatting>
  <conditionalFormatting sqref="P348:P350 P366">
    <cfRule type="cellIs" dxfId="7290" priority="289" operator="equal">
      <formula>0</formula>
    </cfRule>
  </conditionalFormatting>
  <conditionalFormatting sqref="P346:P347">
    <cfRule type="cellIs" dxfId="7289" priority="288" operator="equal">
      <formula>0</formula>
    </cfRule>
  </conditionalFormatting>
  <conditionalFormatting sqref="Q348:Q350 Q366">
    <cfRule type="cellIs" dxfId="7288" priority="287" operator="equal">
      <formula>0</formula>
    </cfRule>
  </conditionalFormatting>
  <conditionalFormatting sqref="Q346:Q347">
    <cfRule type="cellIs" dxfId="7287" priority="286" operator="equal">
      <formula>0</formula>
    </cfRule>
  </conditionalFormatting>
  <conditionalFormatting sqref="D374:F374 J374:T374">
    <cfRule type="cellIs" dxfId="7286" priority="285" operator="equal">
      <formula>0</formula>
    </cfRule>
  </conditionalFormatting>
  <conditionalFormatting sqref="D367:F375 D365:F365 D345:F351 N345:O345 R345:T345 J367:T375 J365:T365 J346:T351">
    <cfRule type="containsBlanks" dxfId="7285" priority="284">
      <formula>LEN(TRIM(D345))=0</formula>
    </cfRule>
  </conditionalFormatting>
  <conditionalFormatting sqref="D374:F374 J374:T374">
    <cfRule type="cellIs" dxfId="7284" priority="283" operator="equal">
      <formula>0</formula>
    </cfRule>
  </conditionalFormatting>
  <conditionalFormatting sqref="N348:N349">
    <cfRule type="cellIs" dxfId="7283" priority="282" operator="equal">
      <formula>0</formula>
    </cfRule>
  </conditionalFormatting>
  <conditionalFormatting sqref="O348:O349">
    <cfRule type="cellIs" dxfId="7282" priority="281" operator="equal">
      <formula>0</formula>
    </cfRule>
  </conditionalFormatting>
  <conditionalFormatting sqref="P348:Q348">
    <cfRule type="cellIs" dxfId="7281" priority="280" operator="equal">
      <formula>0</formula>
    </cfRule>
  </conditionalFormatting>
  <conditionalFormatting sqref="P349:Q349">
    <cfRule type="cellIs" dxfId="7280" priority="279" operator="equal">
      <formula>0</formula>
    </cfRule>
  </conditionalFormatting>
  <conditionalFormatting sqref="D353:F364 J353:T364">
    <cfRule type="cellIs" dxfId="7279" priority="278" operator="equal">
      <formula>0</formula>
    </cfRule>
  </conditionalFormatting>
  <conditionalFormatting sqref="D353:F364 J353:T364">
    <cfRule type="containsBlanks" dxfId="7278" priority="277">
      <formula>LEN(TRIM(D353))=0</formula>
    </cfRule>
  </conditionalFormatting>
  <conditionalFormatting sqref="J345">
    <cfRule type="cellIs" dxfId="7277" priority="276" operator="equal">
      <formula>0</formula>
    </cfRule>
  </conditionalFormatting>
  <conditionalFormatting sqref="K345">
    <cfRule type="cellIs" dxfId="7276" priority="275" operator="equal">
      <formula>0</formula>
    </cfRule>
  </conditionalFormatting>
  <conditionalFormatting sqref="L345:M345">
    <cfRule type="cellIs" dxfId="7275" priority="274" operator="equal">
      <formula>0</formula>
    </cfRule>
  </conditionalFormatting>
  <conditionalFormatting sqref="M345">
    <cfRule type="cellIs" dxfId="7274" priority="273" operator="equal">
      <formula>0</formula>
    </cfRule>
  </conditionalFormatting>
  <conditionalFormatting sqref="J345:M345">
    <cfRule type="containsBlanks" dxfId="7273" priority="272">
      <formula>LEN(TRIM(J345))=0</formula>
    </cfRule>
  </conditionalFormatting>
  <conditionalFormatting sqref="P345:Q345">
    <cfRule type="cellIs" dxfId="7272" priority="271" operator="equal">
      <formula>0</formula>
    </cfRule>
  </conditionalFormatting>
  <conditionalFormatting sqref="P345:Q345">
    <cfRule type="cellIs" dxfId="7271" priority="270" operator="equal">
      <formula>0</formula>
    </cfRule>
  </conditionalFormatting>
  <conditionalFormatting sqref="P345:Q345">
    <cfRule type="containsBlanks" dxfId="7270" priority="269">
      <formula>LEN(TRIM(P345))=0</formula>
    </cfRule>
  </conditionalFormatting>
  <conditionalFormatting sqref="H12:H19 H32:H40 H42 G12">
    <cfRule type="cellIs" dxfId="7269" priority="250" operator="equal">
      <formula>0</formula>
    </cfRule>
  </conditionalFormatting>
  <conditionalFormatting sqref="H13:H14">
    <cfRule type="cellIs" dxfId="7268" priority="249" operator="equal">
      <formula>0</formula>
    </cfRule>
  </conditionalFormatting>
  <conditionalFormatting sqref="H41">
    <cfRule type="cellIs" dxfId="7267" priority="248" operator="equal">
      <formula>0</formula>
    </cfRule>
  </conditionalFormatting>
  <conditionalFormatting sqref="H12:H18 H32 H34:H42 G12">
    <cfRule type="containsBlanks" dxfId="7266" priority="247">
      <formula>LEN(TRIM(G12))=0</formula>
    </cfRule>
  </conditionalFormatting>
  <conditionalFormatting sqref="H41">
    <cfRule type="cellIs" dxfId="7265" priority="246" operator="equal">
      <formula>0</formula>
    </cfRule>
  </conditionalFormatting>
  <conditionalFormatting sqref="H20:H31">
    <cfRule type="cellIs" dxfId="7264" priority="245" operator="equal">
      <formula>0</formula>
    </cfRule>
  </conditionalFormatting>
  <conditionalFormatting sqref="H20:H31">
    <cfRule type="containsBlanks" dxfId="7263" priority="244">
      <formula>LEN(TRIM(H20))=0</formula>
    </cfRule>
  </conditionalFormatting>
  <conditionalFormatting sqref="G13:G19 G32:G40 G42">
    <cfRule type="cellIs" dxfId="7262" priority="243" operator="equal">
      <formula>0</formula>
    </cfRule>
  </conditionalFormatting>
  <conditionalFormatting sqref="G13:G14">
    <cfRule type="cellIs" dxfId="7261" priority="242" operator="equal">
      <formula>0</formula>
    </cfRule>
  </conditionalFormatting>
  <conditionalFormatting sqref="G13:G14">
    <cfRule type="cellIs" dxfId="7260" priority="241" operator="equal">
      <formula>0</formula>
    </cfRule>
  </conditionalFormatting>
  <conditionalFormatting sqref="G41">
    <cfRule type="cellIs" dxfId="7259" priority="240" operator="equal">
      <formula>0</formula>
    </cfRule>
  </conditionalFormatting>
  <conditionalFormatting sqref="G13:G18 G34:G42 G32">
    <cfRule type="containsBlanks" dxfId="7258" priority="239">
      <formula>LEN(TRIM(G13))=0</formula>
    </cfRule>
  </conditionalFormatting>
  <conditionalFormatting sqref="G41">
    <cfRule type="cellIs" dxfId="7257" priority="238" operator="equal">
      <formula>0</formula>
    </cfRule>
  </conditionalFormatting>
  <conditionalFormatting sqref="G20:G31">
    <cfRule type="cellIs" dxfId="7256" priority="237" operator="equal">
      <formula>0</formula>
    </cfRule>
  </conditionalFormatting>
  <conditionalFormatting sqref="G20:G31">
    <cfRule type="containsBlanks" dxfId="7255" priority="236">
      <formula>LEN(TRIM(G20))=0</formula>
    </cfRule>
  </conditionalFormatting>
  <conditionalFormatting sqref="I12">
    <cfRule type="cellIs" dxfId="7254" priority="235" operator="equal">
      <formula>0</formula>
    </cfRule>
  </conditionalFormatting>
  <conditionalFormatting sqref="I12">
    <cfRule type="containsBlanks" dxfId="7253" priority="234">
      <formula>LEN(TRIM(I12))=0</formula>
    </cfRule>
  </conditionalFormatting>
  <conditionalFormatting sqref="I13:I19 I32:I40 I42">
    <cfRule type="cellIs" dxfId="7252" priority="233" operator="equal">
      <formula>0</formula>
    </cfRule>
  </conditionalFormatting>
  <conditionalFormatting sqref="I13:I14">
    <cfRule type="cellIs" dxfId="7251" priority="232" operator="equal">
      <formula>0</formula>
    </cfRule>
  </conditionalFormatting>
  <conditionalFormatting sqref="I13:I14">
    <cfRule type="cellIs" dxfId="7250" priority="231" operator="equal">
      <formula>0</formula>
    </cfRule>
  </conditionalFormatting>
  <conditionalFormatting sqref="I41">
    <cfRule type="cellIs" dxfId="7249" priority="230" operator="equal">
      <formula>0</formula>
    </cfRule>
  </conditionalFormatting>
  <conditionalFormatting sqref="I13:I18 I34:I42 I32">
    <cfRule type="containsBlanks" dxfId="7248" priority="229">
      <formula>LEN(TRIM(I13))=0</formula>
    </cfRule>
  </conditionalFormatting>
  <conditionalFormatting sqref="I41">
    <cfRule type="cellIs" dxfId="7247" priority="228" operator="equal">
      <formula>0</formula>
    </cfRule>
  </conditionalFormatting>
  <conditionalFormatting sqref="I20:I31">
    <cfRule type="cellIs" dxfId="7246" priority="227" operator="equal">
      <formula>0</formula>
    </cfRule>
  </conditionalFormatting>
  <conditionalFormatting sqref="I20:I31">
    <cfRule type="containsBlanks" dxfId="7245" priority="226">
      <formula>LEN(TRIM(I20))=0</formula>
    </cfRule>
  </conditionalFormatting>
  <conditionalFormatting sqref="H49:H56 H69:H77 H79 G49">
    <cfRule type="cellIs" dxfId="7244" priority="225" operator="equal">
      <formula>0</formula>
    </cfRule>
  </conditionalFormatting>
  <conditionalFormatting sqref="H50:H51">
    <cfRule type="cellIs" dxfId="7243" priority="224" operator="equal">
      <formula>0</formula>
    </cfRule>
  </conditionalFormatting>
  <conditionalFormatting sqref="H78">
    <cfRule type="cellIs" dxfId="7242" priority="223" operator="equal">
      <formula>0</formula>
    </cfRule>
  </conditionalFormatting>
  <conditionalFormatting sqref="H49:H55 H69 H71:H79 G49">
    <cfRule type="containsBlanks" dxfId="7241" priority="222">
      <formula>LEN(TRIM(G49))=0</formula>
    </cfRule>
  </conditionalFormatting>
  <conditionalFormatting sqref="H78">
    <cfRule type="cellIs" dxfId="7240" priority="221" operator="equal">
      <formula>0</formula>
    </cfRule>
  </conditionalFormatting>
  <conditionalFormatting sqref="H57:H68">
    <cfRule type="cellIs" dxfId="7239" priority="220" operator="equal">
      <formula>0</formula>
    </cfRule>
  </conditionalFormatting>
  <conditionalFormatting sqref="H57:H68">
    <cfRule type="containsBlanks" dxfId="7238" priority="219">
      <formula>LEN(TRIM(H57))=0</formula>
    </cfRule>
  </conditionalFormatting>
  <conditionalFormatting sqref="G50:G56 G69:G77 G79">
    <cfRule type="cellIs" dxfId="7237" priority="218" operator="equal">
      <formula>0</formula>
    </cfRule>
  </conditionalFormatting>
  <conditionalFormatting sqref="G50:G51">
    <cfRule type="cellIs" dxfId="7236" priority="217" operator="equal">
      <formula>0</formula>
    </cfRule>
  </conditionalFormatting>
  <conditionalFormatting sqref="G50:G51">
    <cfRule type="cellIs" dxfId="7235" priority="216" operator="equal">
      <formula>0</formula>
    </cfRule>
  </conditionalFormatting>
  <conditionalFormatting sqref="G78">
    <cfRule type="cellIs" dxfId="7234" priority="215" operator="equal">
      <formula>0</formula>
    </cfRule>
  </conditionalFormatting>
  <conditionalFormatting sqref="G50:G55 G71:G79 G69">
    <cfRule type="containsBlanks" dxfId="7233" priority="214">
      <formula>LEN(TRIM(G50))=0</formula>
    </cfRule>
  </conditionalFormatting>
  <conditionalFormatting sqref="G78">
    <cfRule type="cellIs" dxfId="7232" priority="213" operator="equal">
      <formula>0</formula>
    </cfRule>
  </conditionalFormatting>
  <conditionalFormatting sqref="G57:G68">
    <cfRule type="cellIs" dxfId="7231" priority="212" operator="equal">
      <formula>0</formula>
    </cfRule>
  </conditionalFormatting>
  <conditionalFormatting sqref="G57:G68">
    <cfRule type="containsBlanks" dxfId="7230" priority="211">
      <formula>LEN(TRIM(G57))=0</formula>
    </cfRule>
  </conditionalFormatting>
  <conditionalFormatting sqref="I49">
    <cfRule type="cellIs" dxfId="7229" priority="210" operator="equal">
      <formula>0</formula>
    </cfRule>
  </conditionalFormatting>
  <conditionalFormatting sqref="I49">
    <cfRule type="containsBlanks" dxfId="7228" priority="209">
      <formula>LEN(TRIM(I49))=0</formula>
    </cfRule>
  </conditionalFormatting>
  <conditionalFormatting sqref="I50:I56 I69:I77 I79">
    <cfRule type="cellIs" dxfId="7227" priority="208" operator="equal">
      <formula>0</formula>
    </cfRule>
  </conditionalFormatting>
  <conditionalFormatting sqref="I50:I51">
    <cfRule type="cellIs" dxfId="7226" priority="207" operator="equal">
      <formula>0</formula>
    </cfRule>
  </conditionalFormatting>
  <conditionalFormatting sqref="I50:I51">
    <cfRule type="cellIs" dxfId="7225" priority="206" operator="equal">
      <formula>0</formula>
    </cfRule>
  </conditionalFormatting>
  <conditionalFormatting sqref="I78">
    <cfRule type="cellIs" dxfId="7224" priority="205" operator="equal">
      <formula>0</formula>
    </cfRule>
  </conditionalFormatting>
  <conditionalFormatting sqref="I50:I55 I71:I79 I69">
    <cfRule type="containsBlanks" dxfId="7223" priority="204">
      <formula>LEN(TRIM(I50))=0</formula>
    </cfRule>
  </conditionalFormatting>
  <conditionalFormatting sqref="I78">
    <cfRule type="cellIs" dxfId="7222" priority="203" operator="equal">
      <formula>0</formula>
    </cfRule>
  </conditionalFormatting>
  <conditionalFormatting sqref="I57:I68">
    <cfRule type="cellIs" dxfId="7221" priority="202" operator="equal">
      <formula>0</formula>
    </cfRule>
  </conditionalFormatting>
  <conditionalFormatting sqref="I57:I68">
    <cfRule type="containsBlanks" dxfId="7220" priority="201">
      <formula>LEN(TRIM(I57))=0</formula>
    </cfRule>
  </conditionalFormatting>
  <conditionalFormatting sqref="H86:H93 H106:H114 H116 G86">
    <cfRule type="cellIs" dxfId="7219" priority="200" operator="equal">
      <formula>0</formula>
    </cfRule>
  </conditionalFormatting>
  <conditionalFormatting sqref="H87:H88">
    <cfRule type="cellIs" dxfId="7218" priority="199" operator="equal">
      <formula>0</formula>
    </cfRule>
  </conditionalFormatting>
  <conditionalFormatting sqref="H115">
    <cfRule type="cellIs" dxfId="7217" priority="198" operator="equal">
      <formula>0</formula>
    </cfRule>
  </conditionalFormatting>
  <conditionalFormatting sqref="H86:H92 H106 H108:H116 G86">
    <cfRule type="containsBlanks" dxfId="7216" priority="197">
      <formula>LEN(TRIM(G86))=0</formula>
    </cfRule>
  </conditionalFormatting>
  <conditionalFormatting sqref="H115">
    <cfRule type="cellIs" dxfId="7215" priority="196" operator="equal">
      <formula>0</formula>
    </cfRule>
  </conditionalFormatting>
  <conditionalFormatting sqref="H94:H105">
    <cfRule type="cellIs" dxfId="7214" priority="195" operator="equal">
      <formula>0</formula>
    </cfRule>
  </conditionalFormatting>
  <conditionalFormatting sqref="H94:H105">
    <cfRule type="containsBlanks" dxfId="7213" priority="194">
      <formula>LEN(TRIM(H94))=0</formula>
    </cfRule>
  </conditionalFormatting>
  <conditionalFormatting sqref="G87:G93 G106:G114 G116">
    <cfRule type="cellIs" dxfId="7212" priority="193" operator="equal">
      <formula>0</formula>
    </cfRule>
  </conditionalFormatting>
  <conditionalFormatting sqref="G87:G88">
    <cfRule type="cellIs" dxfId="7211" priority="192" operator="equal">
      <formula>0</formula>
    </cfRule>
  </conditionalFormatting>
  <conditionalFormatting sqref="G87:G88">
    <cfRule type="cellIs" dxfId="7210" priority="191" operator="equal">
      <formula>0</formula>
    </cfRule>
  </conditionalFormatting>
  <conditionalFormatting sqref="G115">
    <cfRule type="cellIs" dxfId="7209" priority="190" operator="equal">
      <formula>0</formula>
    </cfRule>
  </conditionalFormatting>
  <conditionalFormatting sqref="G87:G92 G108:G116 G106">
    <cfRule type="containsBlanks" dxfId="7208" priority="189">
      <formula>LEN(TRIM(G87))=0</formula>
    </cfRule>
  </conditionalFormatting>
  <conditionalFormatting sqref="G115">
    <cfRule type="cellIs" dxfId="7207" priority="188" operator="equal">
      <formula>0</formula>
    </cfRule>
  </conditionalFormatting>
  <conditionalFormatting sqref="G94:G105">
    <cfRule type="cellIs" dxfId="7206" priority="187" operator="equal">
      <formula>0</formula>
    </cfRule>
  </conditionalFormatting>
  <conditionalFormatting sqref="G94:G105">
    <cfRule type="containsBlanks" dxfId="7205" priority="186">
      <formula>LEN(TRIM(G94))=0</formula>
    </cfRule>
  </conditionalFormatting>
  <conditionalFormatting sqref="I86">
    <cfRule type="cellIs" dxfId="7204" priority="185" operator="equal">
      <formula>0</formula>
    </cfRule>
  </conditionalFormatting>
  <conditionalFormatting sqref="I86">
    <cfRule type="containsBlanks" dxfId="7203" priority="184">
      <formula>LEN(TRIM(I86))=0</formula>
    </cfRule>
  </conditionalFormatting>
  <conditionalFormatting sqref="I87:I93 I106:I114 I116">
    <cfRule type="cellIs" dxfId="7202" priority="183" operator="equal">
      <formula>0</formula>
    </cfRule>
  </conditionalFormatting>
  <conditionalFormatting sqref="I87:I88">
    <cfRule type="cellIs" dxfId="7201" priority="182" operator="equal">
      <formula>0</formula>
    </cfRule>
  </conditionalFormatting>
  <conditionalFormatting sqref="I87:I88">
    <cfRule type="cellIs" dxfId="7200" priority="181" operator="equal">
      <formula>0</formula>
    </cfRule>
  </conditionalFormatting>
  <conditionalFormatting sqref="I115">
    <cfRule type="cellIs" dxfId="7199" priority="180" operator="equal">
      <formula>0</formula>
    </cfRule>
  </conditionalFormatting>
  <conditionalFormatting sqref="I87:I92 I108:I116 I106">
    <cfRule type="containsBlanks" dxfId="7198" priority="179">
      <formula>LEN(TRIM(I87))=0</formula>
    </cfRule>
  </conditionalFormatting>
  <conditionalFormatting sqref="I115">
    <cfRule type="cellIs" dxfId="7197" priority="178" operator="equal">
      <formula>0</formula>
    </cfRule>
  </conditionalFormatting>
  <conditionalFormatting sqref="I94:I105">
    <cfRule type="cellIs" dxfId="7196" priority="177" operator="equal">
      <formula>0</formula>
    </cfRule>
  </conditionalFormatting>
  <conditionalFormatting sqref="I94:I105">
    <cfRule type="containsBlanks" dxfId="7195" priority="176">
      <formula>LEN(TRIM(I94))=0</formula>
    </cfRule>
  </conditionalFormatting>
  <conditionalFormatting sqref="H123:H130 H143:H151 H153 G123">
    <cfRule type="cellIs" dxfId="7194" priority="175" operator="equal">
      <formula>0</formula>
    </cfRule>
  </conditionalFormatting>
  <conditionalFormatting sqref="H124:H125">
    <cfRule type="cellIs" dxfId="7193" priority="174" operator="equal">
      <formula>0</formula>
    </cfRule>
  </conditionalFormatting>
  <conditionalFormatting sqref="H152">
    <cfRule type="cellIs" dxfId="7192" priority="173" operator="equal">
      <formula>0</formula>
    </cfRule>
  </conditionalFormatting>
  <conditionalFormatting sqref="H123:H129 H143 H145:H153 G123">
    <cfRule type="containsBlanks" dxfId="7191" priority="172">
      <formula>LEN(TRIM(G123))=0</formula>
    </cfRule>
  </conditionalFormatting>
  <conditionalFormatting sqref="H152">
    <cfRule type="cellIs" dxfId="7190" priority="171" operator="equal">
      <formula>0</formula>
    </cfRule>
  </conditionalFormatting>
  <conditionalFormatting sqref="H131:H142">
    <cfRule type="cellIs" dxfId="7189" priority="170" operator="equal">
      <formula>0</formula>
    </cfRule>
  </conditionalFormatting>
  <conditionalFormatting sqref="H131:H142">
    <cfRule type="containsBlanks" dxfId="7188" priority="169">
      <formula>LEN(TRIM(H131))=0</formula>
    </cfRule>
  </conditionalFormatting>
  <conditionalFormatting sqref="G124:G130 G143:G151 G153">
    <cfRule type="cellIs" dxfId="7187" priority="168" operator="equal">
      <formula>0</formula>
    </cfRule>
  </conditionalFormatting>
  <conditionalFormatting sqref="G124:G125">
    <cfRule type="cellIs" dxfId="7186" priority="167" operator="equal">
      <formula>0</formula>
    </cfRule>
  </conditionalFormatting>
  <conditionalFormatting sqref="G124:G125">
    <cfRule type="cellIs" dxfId="7185" priority="166" operator="equal">
      <formula>0</formula>
    </cfRule>
  </conditionalFormatting>
  <conditionalFormatting sqref="G152">
    <cfRule type="cellIs" dxfId="7184" priority="165" operator="equal">
      <formula>0</formula>
    </cfRule>
  </conditionalFormatting>
  <conditionalFormatting sqref="G124:G129 G145:G153 G143">
    <cfRule type="containsBlanks" dxfId="7183" priority="164">
      <formula>LEN(TRIM(G124))=0</formula>
    </cfRule>
  </conditionalFormatting>
  <conditionalFormatting sqref="G152">
    <cfRule type="cellIs" dxfId="7182" priority="163" operator="equal">
      <formula>0</formula>
    </cfRule>
  </conditionalFormatting>
  <conditionalFormatting sqref="G131:G142">
    <cfRule type="cellIs" dxfId="7181" priority="162" operator="equal">
      <formula>0</formula>
    </cfRule>
  </conditionalFormatting>
  <conditionalFormatting sqref="G131:G142">
    <cfRule type="containsBlanks" dxfId="7180" priority="161">
      <formula>LEN(TRIM(G131))=0</formula>
    </cfRule>
  </conditionalFormatting>
  <conditionalFormatting sqref="I123">
    <cfRule type="cellIs" dxfId="7179" priority="160" operator="equal">
      <formula>0</formula>
    </cfRule>
  </conditionalFormatting>
  <conditionalFormatting sqref="I123">
    <cfRule type="containsBlanks" dxfId="7178" priority="159">
      <formula>LEN(TRIM(I123))=0</formula>
    </cfRule>
  </conditionalFormatting>
  <conditionalFormatting sqref="I124:I130 I143:I151 I153">
    <cfRule type="cellIs" dxfId="7177" priority="158" operator="equal">
      <formula>0</formula>
    </cfRule>
  </conditionalFormatting>
  <conditionalFormatting sqref="I124:I125">
    <cfRule type="cellIs" dxfId="7176" priority="157" operator="equal">
      <formula>0</formula>
    </cfRule>
  </conditionalFormatting>
  <conditionalFormatting sqref="I124:I125">
    <cfRule type="cellIs" dxfId="7175" priority="156" operator="equal">
      <formula>0</formula>
    </cfRule>
  </conditionalFormatting>
  <conditionalFormatting sqref="I152">
    <cfRule type="cellIs" dxfId="7174" priority="155" operator="equal">
      <formula>0</formula>
    </cfRule>
  </conditionalFormatting>
  <conditionalFormatting sqref="I124:I129 I145:I153 I143">
    <cfRule type="containsBlanks" dxfId="7173" priority="154">
      <formula>LEN(TRIM(I124))=0</formula>
    </cfRule>
  </conditionalFormatting>
  <conditionalFormatting sqref="I152">
    <cfRule type="cellIs" dxfId="7172" priority="153" operator="equal">
      <formula>0</formula>
    </cfRule>
  </conditionalFormatting>
  <conditionalFormatting sqref="I131:I142">
    <cfRule type="cellIs" dxfId="7171" priority="152" operator="equal">
      <formula>0</formula>
    </cfRule>
  </conditionalFormatting>
  <conditionalFormatting sqref="I131:I142">
    <cfRule type="containsBlanks" dxfId="7170" priority="151">
      <formula>LEN(TRIM(I131))=0</formula>
    </cfRule>
  </conditionalFormatting>
  <conditionalFormatting sqref="H160:H167 H180:H188 H190 G160">
    <cfRule type="cellIs" dxfId="7169" priority="150" operator="equal">
      <formula>0</formula>
    </cfRule>
  </conditionalFormatting>
  <conditionalFormatting sqref="H161:H162">
    <cfRule type="cellIs" dxfId="7168" priority="149" operator="equal">
      <formula>0</formula>
    </cfRule>
  </conditionalFormatting>
  <conditionalFormatting sqref="H189">
    <cfRule type="cellIs" dxfId="7167" priority="148" operator="equal">
      <formula>0</formula>
    </cfRule>
  </conditionalFormatting>
  <conditionalFormatting sqref="H160:H166 H180 H182:H190 G160">
    <cfRule type="containsBlanks" dxfId="7166" priority="147">
      <formula>LEN(TRIM(G160))=0</formula>
    </cfRule>
  </conditionalFormatting>
  <conditionalFormatting sqref="H189">
    <cfRule type="cellIs" dxfId="7165" priority="146" operator="equal">
      <formula>0</formula>
    </cfRule>
  </conditionalFormatting>
  <conditionalFormatting sqref="H168:H179">
    <cfRule type="cellIs" dxfId="7164" priority="145" operator="equal">
      <formula>0</formula>
    </cfRule>
  </conditionalFormatting>
  <conditionalFormatting sqref="H168:H179">
    <cfRule type="containsBlanks" dxfId="7163" priority="144">
      <formula>LEN(TRIM(H168))=0</formula>
    </cfRule>
  </conditionalFormatting>
  <conditionalFormatting sqref="G161:G167 G180:G188 G190">
    <cfRule type="cellIs" dxfId="7162" priority="143" operator="equal">
      <formula>0</formula>
    </cfRule>
  </conditionalFormatting>
  <conditionalFormatting sqref="G161:G162">
    <cfRule type="cellIs" dxfId="7161" priority="142" operator="equal">
      <formula>0</formula>
    </cfRule>
  </conditionalFormatting>
  <conditionalFormatting sqref="G161:G162">
    <cfRule type="cellIs" dxfId="7160" priority="141" operator="equal">
      <formula>0</formula>
    </cfRule>
  </conditionalFormatting>
  <conditionalFormatting sqref="G189">
    <cfRule type="cellIs" dxfId="7159" priority="140" operator="equal">
      <formula>0</formula>
    </cfRule>
  </conditionalFormatting>
  <conditionalFormatting sqref="G161:G166 G182:G190 G180">
    <cfRule type="containsBlanks" dxfId="7158" priority="139">
      <formula>LEN(TRIM(G161))=0</formula>
    </cfRule>
  </conditionalFormatting>
  <conditionalFormatting sqref="G189">
    <cfRule type="cellIs" dxfId="7157" priority="138" operator="equal">
      <formula>0</formula>
    </cfRule>
  </conditionalFormatting>
  <conditionalFormatting sqref="G168:G179">
    <cfRule type="cellIs" dxfId="7156" priority="137" operator="equal">
      <formula>0</formula>
    </cfRule>
  </conditionalFormatting>
  <conditionalFormatting sqref="G168:G179">
    <cfRule type="containsBlanks" dxfId="7155" priority="136">
      <formula>LEN(TRIM(G168))=0</formula>
    </cfRule>
  </conditionalFormatting>
  <conditionalFormatting sqref="I160">
    <cfRule type="cellIs" dxfId="7154" priority="135" operator="equal">
      <formula>0</formula>
    </cfRule>
  </conditionalFormatting>
  <conditionalFormatting sqref="I160">
    <cfRule type="containsBlanks" dxfId="7153" priority="134">
      <formula>LEN(TRIM(I160))=0</formula>
    </cfRule>
  </conditionalFormatting>
  <conditionalFormatting sqref="I161:I167 I180:I188 I190">
    <cfRule type="cellIs" dxfId="7152" priority="133" operator="equal">
      <formula>0</formula>
    </cfRule>
  </conditionalFormatting>
  <conditionalFormatting sqref="I161:I162">
    <cfRule type="cellIs" dxfId="7151" priority="132" operator="equal">
      <formula>0</formula>
    </cfRule>
  </conditionalFormatting>
  <conditionalFormatting sqref="I161:I162">
    <cfRule type="cellIs" dxfId="7150" priority="131" operator="equal">
      <formula>0</formula>
    </cfRule>
  </conditionalFormatting>
  <conditionalFormatting sqref="I189">
    <cfRule type="cellIs" dxfId="7149" priority="130" operator="equal">
      <formula>0</formula>
    </cfRule>
  </conditionalFormatting>
  <conditionalFormatting sqref="I161:I166 I182:I190 I180">
    <cfRule type="containsBlanks" dxfId="7148" priority="129">
      <formula>LEN(TRIM(I161))=0</formula>
    </cfRule>
  </conditionalFormatting>
  <conditionalFormatting sqref="I189">
    <cfRule type="cellIs" dxfId="7147" priority="128" operator="equal">
      <formula>0</formula>
    </cfRule>
  </conditionalFormatting>
  <conditionalFormatting sqref="I168:I179">
    <cfRule type="cellIs" dxfId="7146" priority="127" operator="equal">
      <formula>0</formula>
    </cfRule>
  </conditionalFormatting>
  <conditionalFormatting sqref="I168:I179">
    <cfRule type="containsBlanks" dxfId="7145" priority="126">
      <formula>LEN(TRIM(I168))=0</formula>
    </cfRule>
  </conditionalFormatting>
  <conditionalFormatting sqref="H197:H204 H217:H225 H227 G197">
    <cfRule type="cellIs" dxfId="7144" priority="125" operator="equal">
      <formula>0</formula>
    </cfRule>
  </conditionalFormatting>
  <conditionalFormatting sqref="H198:H199">
    <cfRule type="cellIs" dxfId="7143" priority="124" operator="equal">
      <formula>0</formula>
    </cfRule>
  </conditionalFormatting>
  <conditionalFormatting sqref="H226">
    <cfRule type="cellIs" dxfId="7142" priority="123" operator="equal">
      <formula>0</formula>
    </cfRule>
  </conditionalFormatting>
  <conditionalFormatting sqref="H197:H203 H217 H219:H227 G197">
    <cfRule type="containsBlanks" dxfId="7141" priority="122">
      <formula>LEN(TRIM(G197))=0</formula>
    </cfRule>
  </conditionalFormatting>
  <conditionalFormatting sqref="H226">
    <cfRule type="cellIs" dxfId="7140" priority="121" operator="equal">
      <formula>0</formula>
    </cfRule>
  </conditionalFormatting>
  <conditionalFormatting sqref="H205:H216">
    <cfRule type="cellIs" dxfId="7139" priority="120" operator="equal">
      <formula>0</formula>
    </cfRule>
  </conditionalFormatting>
  <conditionalFormatting sqref="H205:H216">
    <cfRule type="containsBlanks" dxfId="7138" priority="119">
      <formula>LEN(TRIM(H205))=0</formula>
    </cfRule>
  </conditionalFormatting>
  <conditionalFormatting sqref="G198:G204 G217:G225 G227">
    <cfRule type="cellIs" dxfId="7137" priority="118" operator="equal">
      <formula>0</formula>
    </cfRule>
  </conditionalFormatting>
  <conditionalFormatting sqref="G198:G199">
    <cfRule type="cellIs" dxfId="7136" priority="117" operator="equal">
      <formula>0</formula>
    </cfRule>
  </conditionalFormatting>
  <conditionalFormatting sqref="G198:G199">
    <cfRule type="cellIs" dxfId="7135" priority="116" operator="equal">
      <formula>0</formula>
    </cfRule>
  </conditionalFormatting>
  <conditionalFormatting sqref="G226">
    <cfRule type="cellIs" dxfId="7134" priority="115" operator="equal">
      <formula>0</formula>
    </cfRule>
  </conditionalFormatting>
  <conditionalFormatting sqref="G198:G203 G219:G227 G217">
    <cfRule type="containsBlanks" dxfId="7133" priority="114">
      <formula>LEN(TRIM(G198))=0</formula>
    </cfRule>
  </conditionalFormatting>
  <conditionalFormatting sqref="G226">
    <cfRule type="cellIs" dxfId="7132" priority="113" operator="equal">
      <formula>0</formula>
    </cfRule>
  </conditionalFormatting>
  <conditionalFormatting sqref="G205:G216">
    <cfRule type="cellIs" dxfId="7131" priority="112" operator="equal">
      <formula>0</formula>
    </cfRule>
  </conditionalFormatting>
  <conditionalFormatting sqref="G205:G216">
    <cfRule type="containsBlanks" dxfId="7130" priority="111">
      <formula>LEN(TRIM(G205))=0</formula>
    </cfRule>
  </conditionalFormatting>
  <conditionalFormatting sqref="I197">
    <cfRule type="cellIs" dxfId="7129" priority="110" operator="equal">
      <formula>0</formula>
    </cfRule>
  </conditionalFormatting>
  <conditionalFormatting sqref="I197">
    <cfRule type="containsBlanks" dxfId="7128" priority="109">
      <formula>LEN(TRIM(I197))=0</formula>
    </cfRule>
  </conditionalFormatting>
  <conditionalFormatting sqref="I198:I204 I217:I225 I227">
    <cfRule type="cellIs" dxfId="7127" priority="108" operator="equal">
      <formula>0</formula>
    </cfRule>
  </conditionalFormatting>
  <conditionalFormatting sqref="I198:I199">
    <cfRule type="cellIs" dxfId="7126" priority="107" operator="equal">
      <formula>0</formula>
    </cfRule>
  </conditionalFormatting>
  <conditionalFormatting sqref="I198:I199">
    <cfRule type="cellIs" dxfId="7125" priority="106" operator="equal">
      <formula>0</formula>
    </cfRule>
  </conditionalFormatting>
  <conditionalFormatting sqref="I226">
    <cfRule type="cellIs" dxfId="7124" priority="105" operator="equal">
      <formula>0</formula>
    </cfRule>
  </conditionalFormatting>
  <conditionalFormatting sqref="I198:I203 I219:I227 I217">
    <cfRule type="containsBlanks" dxfId="7123" priority="104">
      <formula>LEN(TRIM(I198))=0</formula>
    </cfRule>
  </conditionalFormatting>
  <conditionalFormatting sqref="I226">
    <cfRule type="cellIs" dxfId="7122" priority="103" operator="equal">
      <formula>0</formula>
    </cfRule>
  </conditionalFormatting>
  <conditionalFormatting sqref="I205:I216">
    <cfRule type="cellIs" dxfId="7121" priority="102" operator="equal">
      <formula>0</formula>
    </cfRule>
  </conditionalFormatting>
  <conditionalFormatting sqref="I205:I216">
    <cfRule type="containsBlanks" dxfId="7120" priority="101">
      <formula>LEN(TRIM(I205))=0</formula>
    </cfRule>
  </conditionalFormatting>
  <conditionalFormatting sqref="H234:H241 H254:H262 H264 G234">
    <cfRule type="cellIs" dxfId="7119" priority="100" operator="equal">
      <formula>0</formula>
    </cfRule>
  </conditionalFormatting>
  <conditionalFormatting sqref="H235:H236">
    <cfRule type="cellIs" dxfId="7118" priority="99" operator="equal">
      <formula>0</formula>
    </cfRule>
  </conditionalFormatting>
  <conditionalFormatting sqref="H263">
    <cfRule type="cellIs" dxfId="7117" priority="98" operator="equal">
      <formula>0</formula>
    </cfRule>
  </conditionalFormatting>
  <conditionalFormatting sqref="H234:H240 H254 H256:H264 G234">
    <cfRule type="containsBlanks" dxfId="7116" priority="97">
      <formula>LEN(TRIM(G234))=0</formula>
    </cfRule>
  </conditionalFormatting>
  <conditionalFormatting sqref="H263">
    <cfRule type="cellIs" dxfId="7115" priority="96" operator="equal">
      <formula>0</formula>
    </cfRule>
  </conditionalFormatting>
  <conditionalFormatting sqref="H242:H253">
    <cfRule type="cellIs" dxfId="7114" priority="95" operator="equal">
      <formula>0</formula>
    </cfRule>
  </conditionalFormatting>
  <conditionalFormatting sqref="H242:H253">
    <cfRule type="containsBlanks" dxfId="7113" priority="94">
      <formula>LEN(TRIM(H242))=0</formula>
    </cfRule>
  </conditionalFormatting>
  <conditionalFormatting sqref="G235:G241 G254:G262 G264">
    <cfRule type="cellIs" dxfId="7112" priority="93" operator="equal">
      <formula>0</formula>
    </cfRule>
  </conditionalFormatting>
  <conditionalFormatting sqref="G235:G236">
    <cfRule type="cellIs" dxfId="7111" priority="92" operator="equal">
      <formula>0</formula>
    </cfRule>
  </conditionalFormatting>
  <conditionalFormatting sqref="G235:G236">
    <cfRule type="cellIs" dxfId="7110" priority="91" operator="equal">
      <formula>0</formula>
    </cfRule>
  </conditionalFormatting>
  <conditionalFormatting sqref="G263">
    <cfRule type="cellIs" dxfId="7109" priority="90" operator="equal">
      <formula>0</formula>
    </cfRule>
  </conditionalFormatting>
  <conditionalFormatting sqref="G235:G240 G256:G264 G254">
    <cfRule type="containsBlanks" dxfId="7108" priority="89">
      <formula>LEN(TRIM(G235))=0</formula>
    </cfRule>
  </conditionalFormatting>
  <conditionalFormatting sqref="G263">
    <cfRule type="cellIs" dxfId="7107" priority="88" operator="equal">
      <formula>0</formula>
    </cfRule>
  </conditionalFormatting>
  <conditionalFormatting sqref="G242:G253">
    <cfRule type="cellIs" dxfId="7106" priority="87" operator="equal">
      <formula>0</formula>
    </cfRule>
  </conditionalFormatting>
  <conditionalFormatting sqref="G242:G253">
    <cfRule type="containsBlanks" dxfId="7105" priority="86">
      <formula>LEN(TRIM(G242))=0</formula>
    </cfRule>
  </conditionalFormatting>
  <conditionalFormatting sqref="I234">
    <cfRule type="cellIs" dxfId="7104" priority="85" operator="equal">
      <formula>0</formula>
    </cfRule>
  </conditionalFormatting>
  <conditionalFormatting sqref="I234">
    <cfRule type="containsBlanks" dxfId="7103" priority="84">
      <formula>LEN(TRIM(I234))=0</formula>
    </cfRule>
  </conditionalFormatting>
  <conditionalFormatting sqref="I235:I241 I254:I262 I264">
    <cfRule type="cellIs" dxfId="7102" priority="83" operator="equal">
      <formula>0</formula>
    </cfRule>
  </conditionalFormatting>
  <conditionalFormatting sqref="I235:I236">
    <cfRule type="cellIs" dxfId="7101" priority="82" operator="equal">
      <formula>0</formula>
    </cfRule>
  </conditionalFormatting>
  <conditionalFormatting sqref="I235:I236">
    <cfRule type="cellIs" dxfId="7100" priority="81" operator="equal">
      <formula>0</formula>
    </cfRule>
  </conditionalFormatting>
  <conditionalFormatting sqref="I263">
    <cfRule type="cellIs" dxfId="7099" priority="80" operator="equal">
      <formula>0</formula>
    </cfRule>
  </conditionalFormatting>
  <conditionalFormatting sqref="I235:I240 I256:I264 I254">
    <cfRule type="containsBlanks" dxfId="7098" priority="79">
      <formula>LEN(TRIM(I235))=0</formula>
    </cfRule>
  </conditionalFormatting>
  <conditionalFormatting sqref="I263">
    <cfRule type="cellIs" dxfId="7097" priority="78" operator="equal">
      <formula>0</formula>
    </cfRule>
  </conditionalFormatting>
  <conditionalFormatting sqref="I242:I253">
    <cfRule type="cellIs" dxfId="7096" priority="77" operator="equal">
      <formula>0</formula>
    </cfRule>
  </conditionalFormatting>
  <conditionalFormatting sqref="I242:I253">
    <cfRule type="containsBlanks" dxfId="7095" priority="76">
      <formula>LEN(TRIM(I242))=0</formula>
    </cfRule>
  </conditionalFormatting>
  <conditionalFormatting sqref="H271:H278 H291:H299 H301 G271">
    <cfRule type="cellIs" dxfId="7094" priority="75" operator="equal">
      <formula>0</formula>
    </cfRule>
  </conditionalFormatting>
  <conditionalFormatting sqref="H272:H273">
    <cfRule type="cellIs" dxfId="7093" priority="74" operator="equal">
      <formula>0</formula>
    </cfRule>
  </conditionalFormatting>
  <conditionalFormatting sqref="H300">
    <cfRule type="cellIs" dxfId="7092" priority="73" operator="equal">
      <formula>0</formula>
    </cfRule>
  </conditionalFormatting>
  <conditionalFormatting sqref="H271:H277 H291 H293:H301 G271">
    <cfRule type="containsBlanks" dxfId="7091" priority="72">
      <formula>LEN(TRIM(G271))=0</formula>
    </cfRule>
  </conditionalFormatting>
  <conditionalFormatting sqref="H300">
    <cfRule type="cellIs" dxfId="7090" priority="71" operator="equal">
      <formula>0</formula>
    </cfRule>
  </conditionalFormatting>
  <conditionalFormatting sqref="H279:H290">
    <cfRule type="cellIs" dxfId="7089" priority="70" operator="equal">
      <formula>0</formula>
    </cfRule>
  </conditionalFormatting>
  <conditionalFormatting sqref="H279:H290">
    <cfRule type="containsBlanks" dxfId="7088" priority="69">
      <formula>LEN(TRIM(H279))=0</formula>
    </cfRule>
  </conditionalFormatting>
  <conditionalFormatting sqref="G272:G278 G291:G299 G301">
    <cfRule type="cellIs" dxfId="7087" priority="68" operator="equal">
      <formula>0</formula>
    </cfRule>
  </conditionalFormatting>
  <conditionalFormatting sqref="G272:G273">
    <cfRule type="cellIs" dxfId="7086" priority="67" operator="equal">
      <formula>0</formula>
    </cfRule>
  </conditionalFormatting>
  <conditionalFormatting sqref="G272:G273">
    <cfRule type="cellIs" dxfId="7085" priority="66" operator="equal">
      <formula>0</formula>
    </cfRule>
  </conditionalFormatting>
  <conditionalFormatting sqref="G300">
    <cfRule type="cellIs" dxfId="7084" priority="65" operator="equal">
      <formula>0</formula>
    </cfRule>
  </conditionalFormatting>
  <conditionalFormatting sqref="G272:G277 G293:G301 G291">
    <cfRule type="containsBlanks" dxfId="7083" priority="64">
      <formula>LEN(TRIM(G272))=0</formula>
    </cfRule>
  </conditionalFormatting>
  <conditionalFormatting sqref="G300">
    <cfRule type="cellIs" dxfId="7082" priority="63" operator="equal">
      <formula>0</formula>
    </cfRule>
  </conditionalFormatting>
  <conditionalFormatting sqref="G279:G290">
    <cfRule type="cellIs" dxfId="7081" priority="62" operator="equal">
      <formula>0</formula>
    </cfRule>
  </conditionalFormatting>
  <conditionalFormatting sqref="G279:G290">
    <cfRule type="containsBlanks" dxfId="7080" priority="61">
      <formula>LEN(TRIM(G279))=0</formula>
    </cfRule>
  </conditionalFormatting>
  <conditionalFormatting sqref="I271">
    <cfRule type="cellIs" dxfId="7079" priority="60" operator="equal">
      <formula>0</formula>
    </cfRule>
  </conditionalFormatting>
  <conditionalFormatting sqref="I271">
    <cfRule type="containsBlanks" dxfId="7078" priority="59">
      <formula>LEN(TRIM(I271))=0</formula>
    </cfRule>
  </conditionalFormatting>
  <conditionalFormatting sqref="I272:I278 I291:I299 I301">
    <cfRule type="cellIs" dxfId="7077" priority="58" operator="equal">
      <formula>0</formula>
    </cfRule>
  </conditionalFormatting>
  <conditionalFormatting sqref="I272:I273">
    <cfRule type="cellIs" dxfId="7076" priority="57" operator="equal">
      <formula>0</formula>
    </cfRule>
  </conditionalFormatting>
  <conditionalFormatting sqref="I272:I273">
    <cfRule type="cellIs" dxfId="7075" priority="56" operator="equal">
      <formula>0</formula>
    </cfRule>
  </conditionalFormatting>
  <conditionalFormatting sqref="I300">
    <cfRule type="cellIs" dxfId="7074" priority="55" operator="equal">
      <formula>0</formula>
    </cfRule>
  </conditionalFormatting>
  <conditionalFormatting sqref="I272:I277 I293:I301 I291">
    <cfRule type="containsBlanks" dxfId="7073" priority="54">
      <formula>LEN(TRIM(I272))=0</formula>
    </cfRule>
  </conditionalFormatting>
  <conditionalFormatting sqref="I300">
    <cfRule type="cellIs" dxfId="7072" priority="53" operator="equal">
      <formula>0</formula>
    </cfRule>
  </conditionalFormatting>
  <conditionalFormatting sqref="I279:I290">
    <cfRule type="cellIs" dxfId="7071" priority="52" operator="equal">
      <formula>0</formula>
    </cfRule>
  </conditionalFormatting>
  <conditionalFormatting sqref="I279:I290">
    <cfRule type="containsBlanks" dxfId="7070" priority="51">
      <formula>LEN(TRIM(I279))=0</formula>
    </cfRule>
  </conditionalFormatting>
  <conditionalFormatting sqref="H308:H315 H328:H336 H338 G308">
    <cfRule type="cellIs" dxfId="7069" priority="50" operator="equal">
      <formula>0</formula>
    </cfRule>
  </conditionalFormatting>
  <conditionalFormatting sqref="H309:H310">
    <cfRule type="cellIs" dxfId="7068" priority="49" operator="equal">
      <formula>0</formula>
    </cfRule>
  </conditionalFormatting>
  <conditionalFormatting sqref="H337">
    <cfRule type="cellIs" dxfId="7067" priority="48" operator="equal">
      <formula>0</formula>
    </cfRule>
  </conditionalFormatting>
  <conditionalFormatting sqref="H308:H314 H328 H330:H338 G308">
    <cfRule type="containsBlanks" dxfId="7066" priority="47">
      <formula>LEN(TRIM(G308))=0</formula>
    </cfRule>
  </conditionalFormatting>
  <conditionalFormatting sqref="H337">
    <cfRule type="cellIs" dxfId="7065" priority="46" operator="equal">
      <formula>0</formula>
    </cfRule>
  </conditionalFormatting>
  <conditionalFormatting sqref="H316:H327">
    <cfRule type="cellIs" dxfId="7064" priority="45" operator="equal">
      <formula>0</formula>
    </cfRule>
  </conditionalFormatting>
  <conditionalFormatting sqref="H316:H327">
    <cfRule type="containsBlanks" dxfId="7063" priority="44">
      <formula>LEN(TRIM(H316))=0</formula>
    </cfRule>
  </conditionalFormatting>
  <conditionalFormatting sqref="G309:G315 G328:G336 G338">
    <cfRule type="cellIs" dxfId="7062" priority="43" operator="equal">
      <formula>0</formula>
    </cfRule>
  </conditionalFormatting>
  <conditionalFormatting sqref="G309:G310">
    <cfRule type="cellIs" dxfId="7061" priority="42" operator="equal">
      <formula>0</formula>
    </cfRule>
  </conditionalFormatting>
  <conditionalFormatting sqref="G309:G310">
    <cfRule type="cellIs" dxfId="7060" priority="41" operator="equal">
      <formula>0</formula>
    </cfRule>
  </conditionalFormatting>
  <conditionalFormatting sqref="G337">
    <cfRule type="cellIs" dxfId="7059" priority="40" operator="equal">
      <formula>0</formula>
    </cfRule>
  </conditionalFormatting>
  <conditionalFormatting sqref="G309:G314 G330:G338 G328">
    <cfRule type="containsBlanks" dxfId="7058" priority="39">
      <formula>LEN(TRIM(G309))=0</formula>
    </cfRule>
  </conditionalFormatting>
  <conditionalFormatting sqref="G337">
    <cfRule type="cellIs" dxfId="7057" priority="38" operator="equal">
      <formula>0</formula>
    </cfRule>
  </conditionalFormatting>
  <conditionalFormatting sqref="G316:G327">
    <cfRule type="cellIs" dxfId="7056" priority="37" operator="equal">
      <formula>0</formula>
    </cfRule>
  </conditionalFormatting>
  <conditionalFormatting sqref="G316:G327">
    <cfRule type="containsBlanks" dxfId="7055" priority="36">
      <formula>LEN(TRIM(G316))=0</formula>
    </cfRule>
  </conditionalFormatting>
  <conditionalFormatting sqref="I308">
    <cfRule type="cellIs" dxfId="7054" priority="35" operator="equal">
      <formula>0</formula>
    </cfRule>
  </conditionalFormatting>
  <conditionalFormatting sqref="I308">
    <cfRule type="containsBlanks" dxfId="7053" priority="34">
      <formula>LEN(TRIM(I308))=0</formula>
    </cfRule>
  </conditionalFormatting>
  <conditionalFormatting sqref="I309:I315 I328:I336 I338">
    <cfRule type="cellIs" dxfId="7052" priority="33" operator="equal">
      <formula>0</formula>
    </cfRule>
  </conditionalFormatting>
  <conditionalFormatting sqref="I309:I310">
    <cfRule type="cellIs" dxfId="7051" priority="32" operator="equal">
      <formula>0</formula>
    </cfRule>
  </conditionalFormatting>
  <conditionalFormatting sqref="I309:I310">
    <cfRule type="cellIs" dxfId="7050" priority="31" operator="equal">
      <formula>0</formula>
    </cfRule>
  </conditionalFormatting>
  <conditionalFormatting sqref="I337">
    <cfRule type="cellIs" dxfId="7049" priority="30" operator="equal">
      <formula>0</formula>
    </cfRule>
  </conditionalFormatting>
  <conditionalFormatting sqref="I309:I314 I330:I338 I328">
    <cfRule type="containsBlanks" dxfId="7048" priority="29">
      <formula>LEN(TRIM(I309))=0</formula>
    </cfRule>
  </conditionalFormatting>
  <conditionalFormatting sqref="I337">
    <cfRule type="cellIs" dxfId="7047" priority="28" operator="equal">
      <formula>0</formula>
    </cfRule>
  </conditionalFormatting>
  <conditionalFormatting sqref="I316:I327">
    <cfRule type="cellIs" dxfId="7046" priority="27" operator="equal">
      <formula>0</formula>
    </cfRule>
  </conditionalFormatting>
  <conditionalFormatting sqref="I316:I327">
    <cfRule type="containsBlanks" dxfId="7045" priority="26">
      <formula>LEN(TRIM(I316))=0</formula>
    </cfRule>
  </conditionalFormatting>
  <conditionalFormatting sqref="H345:H352 H365:H373 H375 G345">
    <cfRule type="cellIs" dxfId="7044" priority="25" operator="equal">
      <formula>0</formula>
    </cfRule>
  </conditionalFormatting>
  <conditionalFormatting sqref="H346:H347">
    <cfRule type="cellIs" dxfId="7043" priority="24" operator="equal">
      <formula>0</formula>
    </cfRule>
  </conditionalFormatting>
  <conditionalFormatting sqref="H374">
    <cfRule type="cellIs" dxfId="7042" priority="23" operator="equal">
      <formula>0</formula>
    </cfRule>
  </conditionalFormatting>
  <conditionalFormatting sqref="H345:H351 H365 H367:H375 G345">
    <cfRule type="containsBlanks" dxfId="7041" priority="22">
      <formula>LEN(TRIM(G345))=0</formula>
    </cfRule>
  </conditionalFormatting>
  <conditionalFormatting sqref="H374">
    <cfRule type="cellIs" dxfId="7040" priority="21" operator="equal">
      <formula>0</formula>
    </cfRule>
  </conditionalFormatting>
  <conditionalFormatting sqref="H353:H364">
    <cfRule type="cellIs" dxfId="7039" priority="20" operator="equal">
      <formula>0</formula>
    </cfRule>
  </conditionalFormatting>
  <conditionalFormatting sqref="H353:H364">
    <cfRule type="containsBlanks" dxfId="7038" priority="19">
      <formula>LEN(TRIM(H353))=0</formula>
    </cfRule>
  </conditionalFormatting>
  <conditionalFormatting sqref="G346:G352 G365:G373 G375">
    <cfRule type="cellIs" dxfId="7037" priority="18" operator="equal">
      <formula>0</formula>
    </cfRule>
  </conditionalFormatting>
  <conditionalFormatting sqref="G346:G347">
    <cfRule type="cellIs" dxfId="7036" priority="17" operator="equal">
      <formula>0</formula>
    </cfRule>
  </conditionalFormatting>
  <conditionalFormatting sqref="G346:G347">
    <cfRule type="cellIs" dxfId="7035" priority="16" operator="equal">
      <formula>0</formula>
    </cfRule>
  </conditionalFormatting>
  <conditionalFormatting sqref="G374">
    <cfRule type="cellIs" dxfId="7034" priority="15" operator="equal">
      <formula>0</formula>
    </cfRule>
  </conditionalFormatting>
  <conditionalFormatting sqref="G346:G351 G367:G375 G365">
    <cfRule type="containsBlanks" dxfId="7033" priority="14">
      <formula>LEN(TRIM(G346))=0</formula>
    </cfRule>
  </conditionalFormatting>
  <conditionalFormatting sqref="G374">
    <cfRule type="cellIs" dxfId="7032" priority="13" operator="equal">
      <formula>0</formula>
    </cfRule>
  </conditionalFormatting>
  <conditionalFormatting sqref="G353:G364">
    <cfRule type="cellIs" dxfId="7031" priority="12" operator="equal">
      <formula>0</formula>
    </cfRule>
  </conditionalFormatting>
  <conditionalFormatting sqref="G353:G364">
    <cfRule type="containsBlanks" dxfId="7030" priority="11">
      <formula>LEN(TRIM(G353))=0</formula>
    </cfRule>
  </conditionalFormatting>
  <conditionalFormatting sqref="I345">
    <cfRule type="cellIs" dxfId="7029" priority="10" operator="equal">
      <formula>0</formula>
    </cfRule>
  </conditionalFormatting>
  <conditionalFormatting sqref="I345">
    <cfRule type="containsBlanks" dxfId="7028" priority="9">
      <formula>LEN(TRIM(I345))=0</formula>
    </cfRule>
  </conditionalFormatting>
  <conditionalFormatting sqref="I346:I352 I365:I373 I375">
    <cfRule type="cellIs" dxfId="7027" priority="8" operator="equal">
      <formula>0</formula>
    </cfRule>
  </conditionalFormatting>
  <conditionalFormatting sqref="I346:I347">
    <cfRule type="cellIs" dxfId="7026" priority="7" operator="equal">
      <formula>0</formula>
    </cfRule>
  </conditionalFormatting>
  <conditionalFormatting sqref="I346:I347">
    <cfRule type="cellIs" dxfId="7025" priority="6" operator="equal">
      <formula>0</formula>
    </cfRule>
  </conditionalFormatting>
  <conditionalFormatting sqref="I374">
    <cfRule type="cellIs" dxfId="7024" priority="5" operator="equal">
      <formula>0</formula>
    </cfRule>
  </conditionalFormatting>
  <conditionalFormatting sqref="I346:I351 I367:I375 I365">
    <cfRule type="containsBlanks" dxfId="7023" priority="4">
      <formula>LEN(TRIM(I346))=0</formula>
    </cfRule>
  </conditionalFormatting>
  <conditionalFormatting sqref="I374">
    <cfRule type="cellIs" dxfId="7022" priority="3" operator="equal">
      <formula>0</formula>
    </cfRule>
  </conditionalFormatting>
  <conditionalFormatting sqref="I353:I364">
    <cfRule type="cellIs" dxfId="7021" priority="2" operator="equal">
      <formula>0</formula>
    </cfRule>
  </conditionalFormatting>
  <conditionalFormatting sqref="I353:I364">
    <cfRule type="containsBlanks" dxfId="7020" priority="1">
      <formula>LEN(TRIM(I353))=0</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58436-D465-46C6-95C8-25AE1A02E602}">
  <dimension ref="C3:U340"/>
  <sheetViews>
    <sheetView topLeftCell="A10" zoomScale="70" zoomScaleNormal="70" workbookViewId="0">
      <selection activeCell="N44" sqref="N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359</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9.7691999999999997</v>
      </c>
      <c r="F12" s="663">
        <v>0</v>
      </c>
      <c r="G12" s="663">
        <v>0</v>
      </c>
      <c r="H12" s="663">
        <v>0.18608000000000002</v>
      </c>
      <c r="I12" s="663">
        <v>0</v>
      </c>
      <c r="J12" s="664">
        <v>1009.7815647558707</v>
      </c>
      <c r="K12" s="664">
        <v>178.80025978042428</v>
      </c>
      <c r="L12" s="664">
        <v>222.2578455105637</v>
      </c>
      <c r="M12" s="664">
        <v>28.55331569033283</v>
      </c>
      <c r="N12" s="663">
        <v>1.6018700034195554</v>
      </c>
      <c r="O12" s="663">
        <v>0.1425306035599459</v>
      </c>
      <c r="P12" s="664">
        <v>79.93802880459161</v>
      </c>
      <c r="Q12" s="664">
        <v>9.9179265849836327</v>
      </c>
      <c r="R12" s="663">
        <v>0</v>
      </c>
      <c r="S12" s="663">
        <v>0</v>
      </c>
      <c r="T12" s="663">
        <v>0</v>
      </c>
      <c r="U12" s="665">
        <v>1540.9486217337462</v>
      </c>
    </row>
    <row r="13" spans="3:21" ht="13">
      <c r="C13" s="662" t="s">
        <v>60</v>
      </c>
      <c r="D13" s="663">
        <v>27.889416993257086</v>
      </c>
      <c r="E13" s="663">
        <v>443.26764285453919</v>
      </c>
      <c r="F13" s="663">
        <v>170.80725067581974</v>
      </c>
      <c r="G13" s="663">
        <v>0.96874110820809101</v>
      </c>
      <c r="H13" s="663">
        <v>278.87550827932449</v>
      </c>
      <c r="I13" s="663">
        <v>0</v>
      </c>
      <c r="J13" s="663">
        <v>0</v>
      </c>
      <c r="K13" s="663">
        <v>0</v>
      </c>
      <c r="L13" s="663">
        <v>2.543202703318971</v>
      </c>
      <c r="M13" s="663">
        <v>0</v>
      </c>
      <c r="N13" s="663">
        <v>3.3840076567254442</v>
      </c>
      <c r="O13" s="663">
        <v>0</v>
      </c>
      <c r="P13" s="663">
        <v>0</v>
      </c>
      <c r="Q13" s="663">
        <v>0</v>
      </c>
      <c r="R13" s="663">
        <v>0</v>
      </c>
      <c r="S13" s="663">
        <v>0</v>
      </c>
      <c r="T13" s="663">
        <v>0</v>
      </c>
      <c r="U13" s="665">
        <v>927.73577027119291</v>
      </c>
    </row>
    <row r="14" spans="3:21" ht="13">
      <c r="C14" s="662" t="s">
        <v>61</v>
      </c>
      <c r="D14" s="663">
        <v>0</v>
      </c>
      <c r="E14" s="663">
        <v>0</v>
      </c>
      <c r="F14" s="663">
        <v>-8.238229290577169E-2</v>
      </c>
      <c r="G14" s="663">
        <v>0</v>
      </c>
      <c r="H14" s="663">
        <v>0</v>
      </c>
      <c r="I14" s="663">
        <v>0</v>
      </c>
      <c r="J14" s="663">
        <v>0</v>
      </c>
      <c r="K14" s="663">
        <v>0</v>
      </c>
      <c r="L14" s="663">
        <v>0</v>
      </c>
      <c r="M14" s="663">
        <v>0</v>
      </c>
      <c r="N14" s="663">
        <v>0</v>
      </c>
      <c r="O14" s="663">
        <v>0</v>
      </c>
      <c r="P14" s="663">
        <v>0</v>
      </c>
      <c r="Q14" s="663">
        <v>0</v>
      </c>
      <c r="R14" s="663">
        <v>-39.63136742270666</v>
      </c>
      <c r="S14" s="663">
        <v>0</v>
      </c>
      <c r="T14" s="663">
        <v>0</v>
      </c>
      <c r="U14" s="665">
        <v>-39.71374971561243</v>
      </c>
    </row>
    <row r="15" spans="3:21" ht="13">
      <c r="C15" s="662" t="s">
        <v>62</v>
      </c>
      <c r="D15" s="663">
        <v>0</v>
      </c>
      <c r="E15" s="663">
        <v>0</v>
      </c>
      <c r="F15" s="663">
        <v>-16.913982362364816</v>
      </c>
      <c r="G15" s="663">
        <v>-0.21068566030958977</v>
      </c>
      <c r="H15" s="663">
        <v>-1.5457950077696609</v>
      </c>
      <c r="I15" s="663">
        <v>0</v>
      </c>
      <c r="J15" s="663">
        <v>0</v>
      </c>
      <c r="K15" s="663">
        <v>0</v>
      </c>
      <c r="L15" s="663">
        <v>0</v>
      </c>
      <c r="M15" s="663">
        <v>0</v>
      </c>
      <c r="N15" s="663">
        <v>-0.46212963965785603</v>
      </c>
      <c r="O15" s="663">
        <v>-0.15662240166829164</v>
      </c>
      <c r="P15" s="663">
        <v>0</v>
      </c>
      <c r="Q15" s="663">
        <v>0</v>
      </c>
      <c r="R15" s="663">
        <v>0</v>
      </c>
      <c r="S15" s="663">
        <v>0</v>
      </c>
      <c r="T15" s="663">
        <v>0</v>
      </c>
      <c r="U15" s="665">
        <v>-19.289215071770215</v>
      </c>
    </row>
    <row r="16" spans="3:21" ht="13">
      <c r="C16" s="662" t="s">
        <v>63</v>
      </c>
      <c r="D16" s="663">
        <v>0</v>
      </c>
      <c r="E16" s="663">
        <v>0</v>
      </c>
      <c r="F16" s="663">
        <v>-74.821470237515427</v>
      </c>
      <c r="G16" s="663">
        <v>-0.43381751781743938</v>
      </c>
      <c r="H16" s="663">
        <v>0</v>
      </c>
      <c r="I16" s="663">
        <v>0</v>
      </c>
      <c r="J16" s="663">
        <v>0</v>
      </c>
      <c r="K16" s="663">
        <v>0</v>
      </c>
      <c r="L16" s="663">
        <v>0</v>
      </c>
      <c r="M16" s="663">
        <v>0</v>
      </c>
      <c r="N16" s="663">
        <v>-2.9848679697644429</v>
      </c>
      <c r="O16" s="663">
        <v>0</v>
      </c>
      <c r="P16" s="663">
        <v>0</v>
      </c>
      <c r="Q16" s="663">
        <v>0</v>
      </c>
      <c r="R16" s="663">
        <v>0</v>
      </c>
      <c r="S16" s="663">
        <v>0</v>
      </c>
      <c r="T16" s="663">
        <v>0</v>
      </c>
      <c r="U16" s="665">
        <v>-78.24015572509731</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27.889416993257086</v>
      </c>
      <c r="E18" s="667">
        <v>453.03684285453915</v>
      </c>
      <c r="F18" s="667">
        <v>78.989415783033735</v>
      </c>
      <c r="G18" s="667">
        <v>0.32423793008106183</v>
      </c>
      <c r="H18" s="675">
        <v>277.51579327155486</v>
      </c>
      <c r="I18" s="667">
        <v>0</v>
      </c>
      <c r="J18" s="667">
        <v>1009.7815647558707</v>
      </c>
      <c r="K18" s="667">
        <v>178.80025978042428</v>
      </c>
      <c r="L18" s="667">
        <v>224.80104821388267</v>
      </c>
      <c r="M18" s="667">
        <v>28.55331569033283</v>
      </c>
      <c r="N18" s="667">
        <v>1.5388800507227005</v>
      </c>
      <c r="O18" s="667">
        <v>-1.4091798108345738E-2</v>
      </c>
      <c r="P18" s="667">
        <v>79.93802880459161</v>
      </c>
      <c r="Q18" s="667">
        <v>9.9179265849836327</v>
      </c>
      <c r="R18" s="667">
        <v>-39.63136742270666</v>
      </c>
      <c r="S18" s="667">
        <v>0</v>
      </c>
      <c r="T18" s="667">
        <v>0</v>
      </c>
      <c r="U18" s="667">
        <v>2331.4412714924588</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2.0126474031919526</v>
      </c>
      <c r="E21" s="663">
        <v>0</v>
      </c>
      <c r="F21" s="663">
        <v>2.4215350266049294</v>
      </c>
      <c r="G21" s="663">
        <v>0</v>
      </c>
      <c r="H21" s="663">
        <v>35.249779280676243</v>
      </c>
      <c r="I21" s="663">
        <v>0</v>
      </c>
      <c r="J21" s="663">
        <v>1009.7815647558707</v>
      </c>
      <c r="K21" s="663">
        <v>178.80025978042428</v>
      </c>
      <c r="L21" s="663">
        <v>29.565327526851199</v>
      </c>
      <c r="M21" s="663">
        <v>10.280381489535124</v>
      </c>
      <c r="N21" s="663">
        <v>4.867247129818443</v>
      </c>
      <c r="O21" s="663">
        <v>5.9376906009360688</v>
      </c>
      <c r="P21" s="663">
        <v>0</v>
      </c>
      <c r="Q21" s="663">
        <v>0.1274458438995901</v>
      </c>
      <c r="R21" s="663">
        <v>-552.22120311009314</v>
      </c>
      <c r="S21" s="663">
        <v>0</v>
      </c>
      <c r="T21" s="663">
        <v>0</v>
      </c>
      <c r="U21" s="671">
        <v>726.82267572771525</v>
      </c>
    </row>
    <row r="22" spans="3:21" ht="13">
      <c r="C22" s="670" t="s">
        <v>351</v>
      </c>
      <c r="D22" s="663">
        <v>7.7272727272727285E-2</v>
      </c>
      <c r="E22" s="663">
        <v>0</v>
      </c>
      <c r="F22" s="663">
        <v>0</v>
      </c>
      <c r="G22" s="663">
        <v>0</v>
      </c>
      <c r="H22" s="663">
        <v>17.872657477712522</v>
      </c>
      <c r="I22" s="663">
        <v>0</v>
      </c>
      <c r="J22" s="663">
        <v>0</v>
      </c>
      <c r="K22" s="663">
        <v>0</v>
      </c>
      <c r="L22" s="663">
        <v>30.795424710415574</v>
      </c>
      <c r="M22" s="663">
        <v>15.788091398661473</v>
      </c>
      <c r="N22" s="663">
        <v>0</v>
      </c>
      <c r="O22" s="663">
        <v>3.9361494776423425</v>
      </c>
      <c r="P22" s="663">
        <v>0</v>
      </c>
      <c r="Q22" s="663">
        <v>6.7289973607209745</v>
      </c>
      <c r="R22" s="663">
        <v>0</v>
      </c>
      <c r="S22" s="663">
        <v>-68.166941269573059</v>
      </c>
      <c r="T22" s="663">
        <v>0</v>
      </c>
      <c r="U22" s="671">
        <v>7.0316518828525636</v>
      </c>
    </row>
    <row r="23" spans="3:21" ht="13">
      <c r="C23" s="670" t="s">
        <v>352</v>
      </c>
      <c r="D23" s="663">
        <v>0</v>
      </c>
      <c r="E23" s="663">
        <v>0</v>
      </c>
      <c r="F23" s="663">
        <v>0</v>
      </c>
      <c r="G23" s="663">
        <v>0</v>
      </c>
      <c r="H23" s="663">
        <v>0</v>
      </c>
      <c r="I23" s="663">
        <v>0</v>
      </c>
      <c r="J23" s="663">
        <v>0</v>
      </c>
      <c r="K23" s="663">
        <v>0</v>
      </c>
      <c r="L23" s="663">
        <v>34.96891347313359</v>
      </c>
      <c r="M23" s="663">
        <v>0</v>
      </c>
      <c r="N23" s="663">
        <v>0</v>
      </c>
      <c r="O23" s="663">
        <v>-32.314513431056241</v>
      </c>
      <c r="P23" s="663">
        <v>0</v>
      </c>
      <c r="Q23" s="663">
        <v>0</v>
      </c>
      <c r="R23" s="663">
        <v>0</v>
      </c>
      <c r="S23" s="663">
        <v>0</v>
      </c>
      <c r="T23" s="663">
        <v>0</v>
      </c>
      <c r="U23" s="671">
        <v>2.6544000420773486</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469.52687715624688</v>
      </c>
      <c r="F25" s="663">
        <v>-464.85369049462497</v>
      </c>
      <c r="G25" s="663">
        <v>0</v>
      </c>
      <c r="H25" s="663">
        <v>0</v>
      </c>
      <c r="I25" s="663">
        <v>0</v>
      </c>
      <c r="J25" s="663">
        <v>0</v>
      </c>
      <c r="K25" s="663">
        <v>0</v>
      </c>
      <c r="L25" s="663">
        <v>0</v>
      </c>
      <c r="M25" s="663">
        <v>0</v>
      </c>
      <c r="N25" s="663">
        <v>0</v>
      </c>
      <c r="O25" s="663">
        <v>0</v>
      </c>
      <c r="P25" s="663">
        <v>0</v>
      </c>
      <c r="Q25" s="663">
        <v>0</v>
      </c>
      <c r="R25" s="663">
        <v>0</v>
      </c>
      <c r="S25" s="663">
        <v>0</v>
      </c>
      <c r="T25" s="663">
        <v>0</v>
      </c>
      <c r="U25" s="671">
        <v>4.6731866616218856</v>
      </c>
    </row>
    <row r="26" spans="3:21" ht="13">
      <c r="C26" s="670" t="s">
        <v>354</v>
      </c>
      <c r="D26" s="663">
        <v>0</v>
      </c>
      <c r="E26" s="663">
        <v>0</v>
      </c>
      <c r="F26" s="663">
        <v>0</v>
      </c>
      <c r="G26" s="663">
        <v>0</v>
      </c>
      <c r="H26" s="663">
        <v>0</v>
      </c>
      <c r="I26" s="663">
        <v>0</v>
      </c>
      <c r="J26" s="663">
        <v>0</v>
      </c>
      <c r="K26" s="663">
        <v>0</v>
      </c>
      <c r="L26" s="663">
        <v>56.146757475987663</v>
      </c>
      <c r="M26" s="663">
        <v>0</v>
      </c>
      <c r="N26" s="663">
        <v>-56.146757475987663</v>
      </c>
      <c r="O26" s="663">
        <v>0</v>
      </c>
      <c r="P26" s="663">
        <v>0</v>
      </c>
      <c r="Q26" s="663">
        <v>0</v>
      </c>
      <c r="R26" s="663">
        <v>0</v>
      </c>
      <c r="S26" s="663">
        <v>0</v>
      </c>
      <c r="T26" s="663">
        <v>0</v>
      </c>
      <c r="U26" s="671">
        <v>0</v>
      </c>
    </row>
    <row r="27" spans="3:21" ht="13">
      <c r="C27" s="670" t="s">
        <v>355</v>
      </c>
      <c r="D27" s="663">
        <v>0</v>
      </c>
      <c r="E27" s="663">
        <v>0</v>
      </c>
      <c r="F27" s="663">
        <v>0</v>
      </c>
      <c r="G27" s="663">
        <v>-0.9610704740785061</v>
      </c>
      <c r="H27" s="663">
        <v>0</v>
      </c>
      <c r="I27" s="663">
        <v>0</v>
      </c>
      <c r="J27" s="663">
        <v>0</v>
      </c>
      <c r="K27" s="663">
        <v>0</v>
      </c>
      <c r="L27" s="663">
        <v>0</v>
      </c>
      <c r="M27" s="663">
        <v>0</v>
      </c>
      <c r="N27" s="663">
        <v>0</v>
      </c>
      <c r="O27" s="663">
        <v>0</v>
      </c>
      <c r="P27" s="663">
        <v>0</v>
      </c>
      <c r="Q27" s="663">
        <v>0</v>
      </c>
      <c r="R27" s="663">
        <v>0</v>
      </c>
      <c r="S27" s="663">
        <v>0</v>
      </c>
      <c r="T27" s="663">
        <v>1.3385382647332955</v>
      </c>
      <c r="U27" s="671">
        <v>0.37746779065478941</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16.613212092757209</v>
      </c>
      <c r="S28" s="663">
        <v>0</v>
      </c>
      <c r="T28" s="663">
        <v>-10.798587860292187</v>
      </c>
      <c r="U28" s="671">
        <v>5.8146242324650217</v>
      </c>
    </row>
    <row r="29" spans="3:21" ht="13">
      <c r="C29" s="670" t="s">
        <v>356</v>
      </c>
      <c r="D29" s="663">
        <v>15.474789843749999</v>
      </c>
      <c r="E29" s="663">
        <v>-16.490034301707698</v>
      </c>
      <c r="F29" s="663">
        <v>21.458462057363484</v>
      </c>
      <c r="G29" s="663">
        <v>0</v>
      </c>
      <c r="H29" s="663">
        <v>0</v>
      </c>
      <c r="I29" s="663">
        <v>0</v>
      </c>
      <c r="J29" s="663">
        <v>0</v>
      </c>
      <c r="K29" s="663">
        <v>0</v>
      </c>
      <c r="L29" s="663">
        <v>0</v>
      </c>
      <c r="M29" s="663">
        <v>0</v>
      </c>
      <c r="N29" s="663">
        <v>0</v>
      </c>
      <c r="O29" s="663">
        <v>0</v>
      </c>
      <c r="P29" s="663">
        <v>0</v>
      </c>
      <c r="Q29" s="663">
        <v>0</v>
      </c>
      <c r="R29" s="663">
        <v>0</v>
      </c>
      <c r="S29" s="663">
        <v>0</v>
      </c>
      <c r="T29" s="663">
        <v>0</v>
      </c>
      <c r="U29" s="671">
        <v>20.443217599405784</v>
      </c>
    </row>
    <row r="30" spans="3:21" ht="13">
      <c r="C30" s="670" t="s">
        <v>75</v>
      </c>
      <c r="D30" s="663">
        <v>6.017973828125001</v>
      </c>
      <c r="E30" s="663">
        <v>0</v>
      </c>
      <c r="F30" s="663">
        <v>19.75864185375092</v>
      </c>
      <c r="G30" s="663">
        <v>0</v>
      </c>
      <c r="H30" s="663">
        <v>5.1351593182183395</v>
      </c>
      <c r="I30" s="663">
        <v>0</v>
      </c>
      <c r="J30" s="663">
        <v>0</v>
      </c>
      <c r="K30" s="663">
        <v>0</v>
      </c>
      <c r="L30" s="663">
        <v>0</v>
      </c>
      <c r="M30" s="663">
        <v>0</v>
      </c>
      <c r="N30" s="663">
        <v>0</v>
      </c>
      <c r="O30" s="663">
        <v>0.52030248598688023</v>
      </c>
      <c r="P30" s="663">
        <v>0</v>
      </c>
      <c r="Q30" s="663">
        <v>0</v>
      </c>
      <c r="R30" s="663">
        <v>26.004010207915542</v>
      </c>
      <c r="S30" s="663">
        <v>0</v>
      </c>
      <c r="T30" s="663">
        <v>0</v>
      </c>
      <c r="U30" s="671">
        <v>57.436087693996683</v>
      </c>
    </row>
    <row r="31" spans="3:21" ht="13">
      <c r="C31" s="670" t="s">
        <v>76</v>
      </c>
      <c r="D31" s="663">
        <v>0</v>
      </c>
      <c r="E31" s="663">
        <v>0</v>
      </c>
      <c r="F31" s="663">
        <v>0</v>
      </c>
      <c r="G31" s="663">
        <v>0</v>
      </c>
      <c r="H31" s="663">
        <v>3.2228770072600459</v>
      </c>
      <c r="I31" s="663">
        <v>0</v>
      </c>
      <c r="J31" s="663">
        <v>0</v>
      </c>
      <c r="K31" s="663">
        <v>0</v>
      </c>
      <c r="L31" s="663">
        <v>0</v>
      </c>
      <c r="M31" s="663">
        <v>0</v>
      </c>
      <c r="N31" s="663">
        <v>0</v>
      </c>
      <c r="O31" s="663">
        <v>0.32654700954617205</v>
      </c>
      <c r="P31" s="663">
        <v>0</v>
      </c>
      <c r="Q31" s="663">
        <v>0</v>
      </c>
      <c r="R31" s="663">
        <v>39.257968517902221</v>
      </c>
      <c r="S31" s="663">
        <v>5.2865527205622431</v>
      </c>
      <c r="T31" s="663">
        <v>0</v>
      </c>
      <c r="U31" s="671">
        <v>48.093945255270683</v>
      </c>
    </row>
    <row r="32" spans="3:21" ht="13">
      <c r="C32" s="666" t="s">
        <v>77</v>
      </c>
      <c r="D32" s="667">
        <v>23.58268380233968</v>
      </c>
      <c r="E32" s="667">
        <v>453.03684285453915</v>
      </c>
      <c r="F32" s="667">
        <v>-421.21505155690562</v>
      </c>
      <c r="G32" s="667">
        <v>-0.9610704740785061</v>
      </c>
      <c r="H32" s="675">
        <v>61.480473083867153</v>
      </c>
      <c r="I32" s="667">
        <v>0</v>
      </c>
      <c r="J32" s="667">
        <v>1009.7815647558707</v>
      </c>
      <c r="K32" s="667">
        <v>178.80025978042428</v>
      </c>
      <c r="L32" s="667">
        <v>151.47642318638805</v>
      </c>
      <c r="M32" s="667">
        <v>26.068472888196599</v>
      </c>
      <c r="N32" s="667">
        <v>-51.279510346169218</v>
      </c>
      <c r="O32" s="667">
        <v>-21.593823856944777</v>
      </c>
      <c r="P32" s="667">
        <v>0</v>
      </c>
      <c r="Q32" s="667">
        <v>6.8564432046205646</v>
      </c>
      <c r="R32" s="667">
        <v>-470.34601229151815</v>
      </c>
      <c r="S32" s="667">
        <v>-62.88038854901081</v>
      </c>
      <c r="T32" s="667">
        <v>-9.4600495955588926</v>
      </c>
      <c r="U32" s="667">
        <v>873.34725688605999</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4.3067331909174058</v>
      </c>
      <c r="E34" s="663">
        <v>0</v>
      </c>
      <c r="F34" s="663">
        <v>15.285550941396558</v>
      </c>
      <c r="G34" s="663">
        <v>0</v>
      </c>
      <c r="H34" s="663">
        <v>81.99673295835025</v>
      </c>
      <c r="I34" s="663">
        <v>0</v>
      </c>
      <c r="J34" s="663">
        <v>0</v>
      </c>
      <c r="K34" s="663">
        <v>0</v>
      </c>
      <c r="L34" s="663">
        <v>19.904086757615648</v>
      </c>
      <c r="M34" s="663">
        <v>2.4842759722515511</v>
      </c>
      <c r="N34" s="663">
        <v>0.94250728115234383</v>
      </c>
      <c r="O34" s="663">
        <v>8.3338753773994174</v>
      </c>
      <c r="P34" s="663">
        <v>2.8483193359375001</v>
      </c>
      <c r="Q34" s="663">
        <v>5.2671642446208732E-4</v>
      </c>
      <c r="R34" s="663">
        <v>124.0609713055903</v>
      </c>
      <c r="S34" s="663">
        <v>18.086756081914288</v>
      </c>
      <c r="T34" s="663">
        <v>1.3772960205078124</v>
      </c>
      <c r="U34" s="671">
        <v>279.62763193945756</v>
      </c>
    </row>
    <row r="35" spans="3:21" ht="13">
      <c r="C35" s="670" t="s">
        <v>79</v>
      </c>
      <c r="D35" s="663">
        <v>0</v>
      </c>
      <c r="E35" s="663">
        <v>0</v>
      </c>
      <c r="F35" s="663">
        <v>335.93998919996596</v>
      </c>
      <c r="G35" s="663">
        <v>9.4771242925738991E-2</v>
      </c>
      <c r="H35" s="663">
        <v>4.5339029695199544</v>
      </c>
      <c r="I35" s="663">
        <v>0</v>
      </c>
      <c r="J35" s="663">
        <v>0</v>
      </c>
      <c r="K35" s="663">
        <v>0</v>
      </c>
      <c r="L35" s="663">
        <v>0</v>
      </c>
      <c r="M35" s="663">
        <v>0</v>
      </c>
      <c r="N35" s="663">
        <v>38.371773390829333</v>
      </c>
      <c r="O35" s="663">
        <v>0.45938223920246229</v>
      </c>
      <c r="P35" s="663">
        <v>0</v>
      </c>
      <c r="Q35" s="663">
        <v>0</v>
      </c>
      <c r="R35" s="663">
        <v>24.830612613321723</v>
      </c>
      <c r="S35" s="663">
        <v>0</v>
      </c>
      <c r="T35" s="663">
        <v>0.39090580497267069</v>
      </c>
      <c r="U35" s="671">
        <v>404.62133746073778</v>
      </c>
    </row>
    <row r="36" spans="3:21" ht="13">
      <c r="C36" s="670" t="s">
        <v>80</v>
      </c>
      <c r="D36" s="663">
        <v>0</v>
      </c>
      <c r="E36" s="663">
        <v>0</v>
      </c>
      <c r="F36" s="663">
        <v>7.6204805429044127</v>
      </c>
      <c r="G36" s="663">
        <v>0</v>
      </c>
      <c r="H36" s="663">
        <v>80.929799495030636</v>
      </c>
      <c r="I36" s="663">
        <v>0</v>
      </c>
      <c r="J36" s="663">
        <v>0</v>
      </c>
      <c r="K36" s="663">
        <v>0</v>
      </c>
      <c r="L36" s="663">
        <v>51.076854442173044</v>
      </c>
      <c r="M36" s="663">
        <v>0</v>
      </c>
      <c r="N36" s="663">
        <v>0</v>
      </c>
      <c r="O36" s="663">
        <v>8.1999356316550855</v>
      </c>
      <c r="P36" s="663">
        <v>62.835725387811195</v>
      </c>
      <c r="Q36" s="663">
        <v>1.6849133946274748</v>
      </c>
      <c r="R36" s="663">
        <v>167.36963395676293</v>
      </c>
      <c r="S36" s="663">
        <v>28.222608960163477</v>
      </c>
      <c r="T36" s="663">
        <v>0</v>
      </c>
      <c r="U36" s="671">
        <v>407.93995181112825</v>
      </c>
    </row>
    <row r="37" spans="3:21" ht="13">
      <c r="C37" s="670" t="s">
        <v>81</v>
      </c>
      <c r="D37" s="663">
        <v>0</v>
      </c>
      <c r="E37" s="663">
        <v>0</v>
      </c>
      <c r="F37" s="663">
        <v>10.491369546862531</v>
      </c>
      <c r="G37" s="663">
        <v>0</v>
      </c>
      <c r="H37" s="663">
        <v>35.36343810232146</v>
      </c>
      <c r="I37" s="663">
        <v>0</v>
      </c>
      <c r="J37" s="663">
        <v>0</v>
      </c>
      <c r="K37" s="663">
        <v>0</v>
      </c>
      <c r="L37" s="663">
        <v>0.41502991649093068</v>
      </c>
      <c r="M37" s="663">
        <v>5.6682988468104167E-4</v>
      </c>
      <c r="N37" s="663">
        <v>0</v>
      </c>
      <c r="O37" s="663">
        <v>3.5830796315127467</v>
      </c>
      <c r="P37" s="663">
        <v>13.853984080842906</v>
      </c>
      <c r="Q37" s="663">
        <v>0.85666800244149366</v>
      </c>
      <c r="R37" s="663">
        <v>106.66141597563889</v>
      </c>
      <c r="S37" s="663">
        <v>16.571023506933056</v>
      </c>
      <c r="T37" s="663">
        <v>0</v>
      </c>
      <c r="U37" s="671">
        <v>187.79657559292866</v>
      </c>
    </row>
    <row r="38" spans="3:21" ht="13">
      <c r="C38" s="670" t="s">
        <v>82</v>
      </c>
      <c r="D38" s="663">
        <v>0</v>
      </c>
      <c r="E38" s="663">
        <v>0</v>
      </c>
      <c r="F38" s="663">
        <v>28.598972580821304</v>
      </c>
      <c r="G38" s="663">
        <v>0</v>
      </c>
      <c r="H38" s="663">
        <v>1.9735950966825975</v>
      </c>
      <c r="I38" s="663">
        <v>0</v>
      </c>
      <c r="J38" s="663">
        <v>0</v>
      </c>
      <c r="K38" s="663">
        <v>0</v>
      </c>
      <c r="L38" s="663">
        <v>1.8335004892905753</v>
      </c>
      <c r="M38" s="663">
        <v>0</v>
      </c>
      <c r="N38" s="663">
        <v>3.9645164071396528</v>
      </c>
      <c r="O38" s="663">
        <v>0.19996778512643057</v>
      </c>
      <c r="P38" s="663">
        <v>0.4</v>
      </c>
      <c r="Q38" s="663">
        <v>0.5193752668696392</v>
      </c>
      <c r="R38" s="663">
        <v>7.7920110174976385</v>
      </c>
      <c r="S38" s="663">
        <v>0</v>
      </c>
      <c r="T38" s="663">
        <v>0.13892990437736891</v>
      </c>
      <c r="U38" s="671">
        <v>45.420868547805206</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v>
      </c>
      <c r="S39" s="663">
        <v>0</v>
      </c>
      <c r="T39" s="663">
        <v>0</v>
      </c>
      <c r="U39" s="671">
        <v>0</v>
      </c>
    </row>
    <row r="40" spans="3:21" ht="13">
      <c r="C40" s="666" t="s">
        <v>83</v>
      </c>
      <c r="D40" s="667">
        <v>4.3067331909174058</v>
      </c>
      <c r="E40" s="667">
        <v>0</v>
      </c>
      <c r="F40" s="667">
        <v>397.93636281195074</v>
      </c>
      <c r="G40" s="667">
        <v>9.4771242925738991E-2</v>
      </c>
      <c r="H40" s="675">
        <v>204.7974686219049</v>
      </c>
      <c r="I40" s="667">
        <v>0</v>
      </c>
      <c r="J40" s="667">
        <v>0</v>
      </c>
      <c r="K40" s="667">
        <v>0</v>
      </c>
      <c r="L40" s="667">
        <v>73.229471605570197</v>
      </c>
      <c r="M40" s="667">
        <v>2.4848428021362321</v>
      </c>
      <c r="N40" s="667">
        <v>43.278797079121333</v>
      </c>
      <c r="O40" s="667">
        <v>20.776240664896143</v>
      </c>
      <c r="P40" s="667">
        <v>79.93802880459161</v>
      </c>
      <c r="Q40" s="667">
        <v>3.0614833803630699</v>
      </c>
      <c r="R40" s="667">
        <v>430.71464486881149</v>
      </c>
      <c r="S40" s="667">
        <v>62.880388549010817</v>
      </c>
      <c r="T40" s="667">
        <v>1.9071317298578518</v>
      </c>
      <c r="U40" s="667">
        <v>1325.4063653520575</v>
      </c>
    </row>
    <row r="41" spans="3:21" ht="13">
      <c r="C41" s="662" t="s">
        <v>84</v>
      </c>
      <c r="D41" s="663">
        <v>0</v>
      </c>
      <c r="E41" s="663">
        <v>0</v>
      </c>
      <c r="F41" s="663">
        <v>102.26810452798878</v>
      </c>
      <c r="G41" s="663">
        <v>1.1905371612338289</v>
      </c>
      <c r="H41" s="663">
        <v>11.237851565782758</v>
      </c>
      <c r="I41" s="663">
        <v>0</v>
      </c>
      <c r="J41" s="663">
        <v>0</v>
      </c>
      <c r="K41" s="663">
        <v>0</v>
      </c>
      <c r="L41" s="663">
        <v>9.5153421924450407E-2</v>
      </c>
      <c r="M41" s="663">
        <v>0</v>
      </c>
      <c r="N41" s="663">
        <v>7.1193346713498897</v>
      </c>
      <c r="O41" s="663">
        <v>0.80349139394028601</v>
      </c>
      <c r="P41" s="663">
        <v>0</v>
      </c>
      <c r="Q41" s="663">
        <v>0</v>
      </c>
      <c r="R41" s="663">
        <v>0</v>
      </c>
      <c r="S41" s="663">
        <v>0</v>
      </c>
      <c r="T41" s="663">
        <v>7.5529178657010396</v>
      </c>
      <c r="U41" s="671">
        <v>130.26739060792104</v>
      </c>
    </row>
    <row r="42" spans="3:21" ht="13">
      <c r="C42" s="666" t="s">
        <v>85</v>
      </c>
      <c r="D42" s="667">
        <v>4.3067331909174058</v>
      </c>
      <c r="E42" s="667">
        <v>0</v>
      </c>
      <c r="F42" s="667">
        <v>500.20446733993958</v>
      </c>
      <c r="G42" s="667">
        <v>1.2853084041595679</v>
      </c>
      <c r="H42" s="675">
        <v>216.03532018768766</v>
      </c>
      <c r="I42" s="667">
        <v>0</v>
      </c>
      <c r="J42" s="667">
        <v>0</v>
      </c>
      <c r="K42" s="667">
        <v>0</v>
      </c>
      <c r="L42" s="667">
        <v>73.324625027494648</v>
      </c>
      <c r="M42" s="667">
        <v>2.4848428021362321</v>
      </c>
      <c r="N42" s="667">
        <v>50.398131750471222</v>
      </c>
      <c r="O42" s="667">
        <v>21.579732058836431</v>
      </c>
      <c r="P42" s="667">
        <v>79.93802880459161</v>
      </c>
      <c r="Q42" s="667">
        <v>3.0614833803630699</v>
      </c>
      <c r="R42" s="667">
        <v>430.71464486881149</v>
      </c>
      <c r="S42" s="667">
        <v>62.880388549010817</v>
      </c>
      <c r="T42" s="667">
        <v>9.4600495955588908</v>
      </c>
      <c r="U42" s="667">
        <v>1455.6737559599785</v>
      </c>
    </row>
    <row r="43" spans="3:21">
      <c r="C43" s="654"/>
      <c r="D43" s="672">
        <v>0</v>
      </c>
      <c r="E43" s="672">
        <v>0</v>
      </c>
      <c r="F43" s="672">
        <v>2.2737367544323206E-13</v>
      </c>
      <c r="G43" s="672">
        <v>0</v>
      </c>
      <c r="H43" s="672">
        <v>0</v>
      </c>
      <c r="I43" s="672">
        <v>0</v>
      </c>
      <c r="J43" s="672">
        <v>0</v>
      </c>
      <c r="K43" s="672">
        <v>0</v>
      </c>
      <c r="L43" s="672">
        <v>0</v>
      </c>
      <c r="M43" s="672">
        <v>0</v>
      </c>
      <c r="N43" s="672">
        <v>-2.4202586464206961</v>
      </c>
      <c r="O43" s="672">
        <v>-4.163336342344337E-16</v>
      </c>
      <c r="P43" s="672">
        <v>0</v>
      </c>
      <c r="Q43" s="672">
        <v>0</v>
      </c>
      <c r="R43" s="672">
        <v>0</v>
      </c>
      <c r="S43" s="672">
        <v>7.1054273576010019E-15</v>
      </c>
      <c r="T43" s="672">
        <v>-1.7763568394002505E-15</v>
      </c>
      <c r="U43" s="672">
        <v>-2.4202586464202795</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88</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9.7691999999999997</v>
      </c>
      <c r="F49" s="663">
        <v>0</v>
      </c>
      <c r="G49" s="663">
        <v>0</v>
      </c>
      <c r="H49" s="663">
        <v>0.18608000000000002</v>
      </c>
      <c r="I49" s="663">
        <v>0</v>
      </c>
      <c r="J49" s="664">
        <v>985.67379798785544</v>
      </c>
      <c r="K49" s="664">
        <v>195.250455173126</v>
      </c>
      <c r="L49" s="664">
        <v>225.73082873869848</v>
      </c>
      <c r="M49" s="664">
        <v>27.969740685177928</v>
      </c>
      <c r="N49" s="663">
        <v>1.4156783371657409</v>
      </c>
      <c r="O49" s="663">
        <v>0.13593700784165794</v>
      </c>
      <c r="P49" s="664">
        <v>91.581907146552624</v>
      </c>
      <c r="Q49" s="664">
        <v>10.82319895117076</v>
      </c>
      <c r="R49" s="663">
        <v>0</v>
      </c>
      <c r="S49" s="663">
        <v>0</v>
      </c>
      <c r="T49" s="663">
        <v>0</v>
      </c>
      <c r="U49" s="665">
        <v>1548.5368240275886</v>
      </c>
    </row>
    <row r="50" spans="3:21" ht="13">
      <c r="C50" s="662" t="s">
        <v>60</v>
      </c>
      <c r="D50" s="663">
        <v>19.500894978355525</v>
      </c>
      <c r="E50" s="663">
        <v>412.35150263166827</v>
      </c>
      <c r="F50" s="663">
        <v>141.77751506797006</v>
      </c>
      <c r="G50" s="663">
        <v>1.1566580598777236</v>
      </c>
      <c r="H50" s="663">
        <v>243.17374959353992</v>
      </c>
      <c r="I50" s="663">
        <v>0</v>
      </c>
      <c r="J50" s="663">
        <v>0</v>
      </c>
      <c r="K50" s="663">
        <v>0</v>
      </c>
      <c r="L50" s="663">
        <v>2.5322527707990741</v>
      </c>
      <c r="M50" s="663">
        <v>0</v>
      </c>
      <c r="N50" s="663">
        <v>3.140572004124202</v>
      </c>
      <c r="O50" s="663">
        <v>0</v>
      </c>
      <c r="P50" s="663">
        <v>0</v>
      </c>
      <c r="Q50" s="663">
        <v>0</v>
      </c>
      <c r="R50" s="663">
        <v>0</v>
      </c>
      <c r="S50" s="663">
        <v>0</v>
      </c>
      <c r="T50" s="663">
        <v>0</v>
      </c>
      <c r="U50" s="665">
        <v>823.63314510633472</v>
      </c>
    </row>
    <row r="51" spans="3:21" ht="13">
      <c r="C51" s="662" t="s">
        <v>61</v>
      </c>
      <c r="D51" s="663">
        <v>0</v>
      </c>
      <c r="E51" s="663">
        <v>0</v>
      </c>
      <c r="F51" s="663">
        <v>-0.13172022897004482</v>
      </c>
      <c r="G51" s="663">
        <v>0</v>
      </c>
      <c r="H51" s="663">
        <v>0</v>
      </c>
      <c r="I51" s="663">
        <v>0</v>
      </c>
      <c r="J51" s="663">
        <v>0</v>
      </c>
      <c r="K51" s="663">
        <v>0</v>
      </c>
      <c r="L51" s="663">
        <v>0</v>
      </c>
      <c r="M51" s="663">
        <v>0</v>
      </c>
      <c r="N51" s="663">
        <v>0</v>
      </c>
      <c r="O51" s="663">
        <v>0</v>
      </c>
      <c r="P51" s="663">
        <v>0</v>
      </c>
      <c r="Q51" s="663">
        <v>0</v>
      </c>
      <c r="R51" s="663">
        <v>-40.000168370113556</v>
      </c>
      <c r="S51" s="663">
        <v>0</v>
      </c>
      <c r="T51" s="663">
        <v>0</v>
      </c>
      <c r="U51" s="665">
        <v>-40.131888599083602</v>
      </c>
    </row>
    <row r="52" spans="3:21" ht="13">
      <c r="C52" s="662" t="s">
        <v>62</v>
      </c>
      <c r="D52" s="663">
        <v>0</v>
      </c>
      <c r="E52" s="663">
        <v>0</v>
      </c>
      <c r="F52" s="663">
        <v>-16.199220216107165</v>
      </c>
      <c r="G52" s="663">
        <v>-0.35114276718264964</v>
      </c>
      <c r="H52" s="663">
        <v>-0.92701690536219505</v>
      </c>
      <c r="I52" s="663">
        <v>0</v>
      </c>
      <c r="J52" s="663">
        <v>0</v>
      </c>
      <c r="K52" s="663">
        <v>0</v>
      </c>
      <c r="L52" s="663">
        <v>0</v>
      </c>
      <c r="M52" s="663">
        <v>0</v>
      </c>
      <c r="N52" s="663">
        <v>-0.52671415077397443</v>
      </c>
      <c r="O52" s="663">
        <v>-0.12641139618575387</v>
      </c>
      <c r="P52" s="663">
        <v>0</v>
      </c>
      <c r="Q52" s="663">
        <v>0</v>
      </c>
      <c r="R52" s="663">
        <v>0</v>
      </c>
      <c r="S52" s="663">
        <v>0</v>
      </c>
      <c r="T52" s="663">
        <v>0</v>
      </c>
      <c r="U52" s="665">
        <v>-18.130505435611738</v>
      </c>
    </row>
    <row r="53" spans="3:21" ht="13">
      <c r="C53" s="662" t="s">
        <v>63</v>
      </c>
      <c r="D53" s="663">
        <v>0</v>
      </c>
      <c r="E53" s="663">
        <v>0</v>
      </c>
      <c r="F53" s="663">
        <v>-73.427503644783499</v>
      </c>
      <c r="G53" s="663">
        <v>-0.69683709307213026</v>
      </c>
      <c r="H53" s="663">
        <v>0</v>
      </c>
      <c r="I53" s="663">
        <v>0</v>
      </c>
      <c r="J53" s="663">
        <v>0</v>
      </c>
      <c r="K53" s="663">
        <v>0</v>
      </c>
      <c r="L53" s="663">
        <v>0</v>
      </c>
      <c r="M53" s="663">
        <v>0</v>
      </c>
      <c r="N53" s="663">
        <v>-3.8742860108991213</v>
      </c>
      <c r="O53" s="663">
        <v>0</v>
      </c>
      <c r="P53" s="663">
        <v>0</v>
      </c>
      <c r="Q53" s="663">
        <v>0</v>
      </c>
      <c r="R53" s="663">
        <v>0</v>
      </c>
      <c r="S53" s="663">
        <v>0</v>
      </c>
      <c r="T53" s="663">
        <v>0</v>
      </c>
      <c r="U53" s="665">
        <v>-77.998626748754759</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19.500894978355525</v>
      </c>
      <c r="E55" s="667">
        <v>422.12070263166828</v>
      </c>
      <c r="F55" s="667">
        <v>52.019070978109362</v>
      </c>
      <c r="G55" s="667">
        <v>0.10867819962294367</v>
      </c>
      <c r="H55" s="675">
        <v>242.43281268817773</v>
      </c>
      <c r="I55" s="667">
        <v>0</v>
      </c>
      <c r="J55" s="667">
        <v>985.67379798785544</v>
      </c>
      <c r="K55" s="667">
        <v>195.250455173126</v>
      </c>
      <c r="L55" s="667">
        <v>228.26308150949754</v>
      </c>
      <c r="M55" s="667">
        <v>27.969740685177928</v>
      </c>
      <c r="N55" s="667">
        <v>0.15525017961684728</v>
      </c>
      <c r="O55" s="667">
        <v>9.5256116559040704E-3</v>
      </c>
      <c r="P55" s="667">
        <v>91.581907146552624</v>
      </c>
      <c r="Q55" s="667">
        <v>10.82319895117076</v>
      </c>
      <c r="R55" s="667">
        <v>-40.000168370113556</v>
      </c>
      <c r="S55" s="667">
        <v>0</v>
      </c>
      <c r="T55" s="667">
        <v>0</v>
      </c>
      <c r="U55" s="667">
        <v>2235.9089483504736</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0.77863803143112786</v>
      </c>
      <c r="G58" s="663">
        <v>0</v>
      </c>
      <c r="H58" s="663">
        <v>34.441359514891516</v>
      </c>
      <c r="I58" s="663">
        <v>0</v>
      </c>
      <c r="J58" s="663">
        <v>985.67379798785544</v>
      </c>
      <c r="K58" s="663">
        <v>195.250455173126</v>
      </c>
      <c r="L58" s="663">
        <v>27.099203250664136</v>
      </c>
      <c r="M58" s="663">
        <v>9.7713809684984927</v>
      </c>
      <c r="N58" s="663">
        <v>4.4112574708908179</v>
      </c>
      <c r="O58" s="663">
        <v>6.1733013975271804</v>
      </c>
      <c r="P58" s="663">
        <v>0</v>
      </c>
      <c r="Q58" s="663">
        <v>0</v>
      </c>
      <c r="R58" s="663">
        <v>-560.02259263001122</v>
      </c>
      <c r="S58" s="663">
        <v>0</v>
      </c>
      <c r="T58" s="663">
        <v>0</v>
      </c>
      <c r="U58" s="671">
        <v>703.57680116487347</v>
      </c>
    </row>
    <row r="59" spans="3:21" ht="13">
      <c r="C59" s="670" t="s">
        <v>351</v>
      </c>
      <c r="D59" s="663">
        <v>0</v>
      </c>
      <c r="E59" s="663">
        <v>0</v>
      </c>
      <c r="F59" s="663">
        <v>0</v>
      </c>
      <c r="G59" s="663">
        <v>0</v>
      </c>
      <c r="H59" s="663">
        <v>17.169661952341983</v>
      </c>
      <c r="I59" s="663">
        <v>0</v>
      </c>
      <c r="J59" s="663">
        <v>0</v>
      </c>
      <c r="K59" s="663">
        <v>0</v>
      </c>
      <c r="L59" s="663">
        <v>33.995499480106155</v>
      </c>
      <c r="M59" s="663">
        <v>15.594965202678805</v>
      </c>
      <c r="N59" s="663">
        <v>0</v>
      </c>
      <c r="O59" s="663">
        <v>4.3055711350701857</v>
      </c>
      <c r="P59" s="663">
        <v>0</v>
      </c>
      <c r="Q59" s="663">
        <v>7.5015461547405717</v>
      </c>
      <c r="R59" s="663">
        <v>0</v>
      </c>
      <c r="S59" s="663">
        <v>-71.517574001012974</v>
      </c>
      <c r="T59" s="663">
        <v>0</v>
      </c>
      <c r="U59" s="671">
        <v>7.0496699239247187</v>
      </c>
    </row>
    <row r="60" spans="3:21" ht="13">
      <c r="C60" s="670" t="s">
        <v>352</v>
      </c>
      <c r="D60" s="663">
        <v>0</v>
      </c>
      <c r="E60" s="663">
        <v>0</v>
      </c>
      <c r="F60" s="663">
        <v>0</v>
      </c>
      <c r="G60" s="663">
        <v>0</v>
      </c>
      <c r="H60" s="663">
        <v>0</v>
      </c>
      <c r="I60" s="663">
        <v>0</v>
      </c>
      <c r="J60" s="663">
        <v>0</v>
      </c>
      <c r="K60" s="663">
        <v>0</v>
      </c>
      <c r="L60" s="663">
        <v>39.786073128569313</v>
      </c>
      <c r="M60" s="663">
        <v>0</v>
      </c>
      <c r="N60" s="663">
        <v>0</v>
      </c>
      <c r="O60" s="663">
        <v>-36.089986767130839</v>
      </c>
      <c r="P60" s="663">
        <v>0</v>
      </c>
      <c r="Q60" s="663">
        <v>0</v>
      </c>
      <c r="R60" s="663">
        <v>0</v>
      </c>
      <c r="S60" s="663">
        <v>0</v>
      </c>
      <c r="T60" s="663">
        <v>0</v>
      </c>
      <c r="U60" s="671">
        <v>3.6960863614384749</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437.4764681269624</v>
      </c>
      <c r="F62" s="663">
        <v>-433.12141449021158</v>
      </c>
      <c r="G62" s="663">
        <v>0</v>
      </c>
      <c r="H62" s="663">
        <v>0</v>
      </c>
      <c r="I62" s="663">
        <v>0</v>
      </c>
      <c r="J62" s="663">
        <v>0</v>
      </c>
      <c r="K62" s="663">
        <v>0</v>
      </c>
      <c r="L62" s="663">
        <v>0</v>
      </c>
      <c r="M62" s="663">
        <v>0</v>
      </c>
      <c r="N62" s="663">
        <v>0</v>
      </c>
      <c r="O62" s="663">
        <v>0</v>
      </c>
      <c r="P62" s="663">
        <v>0</v>
      </c>
      <c r="Q62" s="663">
        <v>0</v>
      </c>
      <c r="R62" s="663">
        <v>0</v>
      </c>
      <c r="S62" s="663">
        <v>0</v>
      </c>
      <c r="T62" s="663">
        <v>0</v>
      </c>
      <c r="U62" s="671">
        <v>4.3550536367508395</v>
      </c>
    </row>
    <row r="63" spans="3:21" ht="13">
      <c r="C63" s="670" t="s">
        <v>354</v>
      </c>
      <c r="D63" s="663">
        <v>0</v>
      </c>
      <c r="E63" s="663">
        <v>0</v>
      </c>
      <c r="F63" s="663">
        <v>0</v>
      </c>
      <c r="G63" s="663">
        <v>0</v>
      </c>
      <c r="H63" s="663">
        <v>0</v>
      </c>
      <c r="I63" s="663">
        <v>0</v>
      </c>
      <c r="J63" s="663">
        <v>0</v>
      </c>
      <c r="K63" s="663">
        <v>0</v>
      </c>
      <c r="L63" s="663">
        <v>58.51202627390122</v>
      </c>
      <c r="M63" s="663">
        <v>0</v>
      </c>
      <c r="N63" s="663">
        <v>-58.51202627390122</v>
      </c>
      <c r="O63" s="663">
        <v>0</v>
      </c>
      <c r="P63" s="663">
        <v>0</v>
      </c>
      <c r="Q63" s="663">
        <v>0</v>
      </c>
      <c r="R63" s="663">
        <v>0</v>
      </c>
      <c r="S63" s="663">
        <v>0</v>
      </c>
      <c r="T63" s="663">
        <v>0</v>
      </c>
      <c r="U63" s="671">
        <v>0</v>
      </c>
    </row>
    <row r="64" spans="3:21" ht="13">
      <c r="C64" s="670" t="s">
        <v>355</v>
      </c>
      <c r="D64" s="663">
        <v>0</v>
      </c>
      <c r="E64" s="663">
        <v>0</v>
      </c>
      <c r="F64" s="663">
        <v>0</v>
      </c>
      <c r="G64" s="663">
        <v>-1.5541621174818701</v>
      </c>
      <c r="H64" s="663">
        <v>0</v>
      </c>
      <c r="I64" s="663">
        <v>0</v>
      </c>
      <c r="J64" s="663">
        <v>0</v>
      </c>
      <c r="K64" s="663">
        <v>0</v>
      </c>
      <c r="L64" s="663">
        <v>0</v>
      </c>
      <c r="M64" s="663">
        <v>0</v>
      </c>
      <c r="N64" s="663">
        <v>0</v>
      </c>
      <c r="O64" s="663">
        <v>0</v>
      </c>
      <c r="P64" s="663">
        <v>0</v>
      </c>
      <c r="Q64" s="663">
        <v>0</v>
      </c>
      <c r="R64" s="663">
        <v>0</v>
      </c>
      <c r="S64" s="663">
        <v>0</v>
      </c>
      <c r="T64" s="663">
        <v>2.1645711942644428</v>
      </c>
      <c r="U64" s="671">
        <v>0.61040907678257272</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22.347786362655235</v>
      </c>
      <c r="S65" s="663">
        <v>0</v>
      </c>
      <c r="T65" s="663">
        <v>-14.526061135725904</v>
      </c>
      <c r="U65" s="671">
        <v>7.8217252269293311</v>
      </c>
    </row>
    <row r="66" spans="3:21" ht="13">
      <c r="C66" s="670" t="s">
        <v>356</v>
      </c>
      <c r="D66" s="663">
        <v>11.574443320312499</v>
      </c>
      <c r="E66" s="663">
        <v>-15.355765495294122</v>
      </c>
      <c r="F66" s="663">
        <v>19.986666106038875</v>
      </c>
      <c r="G66" s="663">
        <v>0</v>
      </c>
      <c r="H66" s="663">
        <v>0</v>
      </c>
      <c r="I66" s="663">
        <v>0</v>
      </c>
      <c r="J66" s="663">
        <v>0</v>
      </c>
      <c r="K66" s="663">
        <v>0</v>
      </c>
      <c r="L66" s="663">
        <v>0</v>
      </c>
      <c r="M66" s="663">
        <v>0</v>
      </c>
      <c r="N66" s="663">
        <v>0</v>
      </c>
      <c r="O66" s="663">
        <v>0</v>
      </c>
      <c r="P66" s="663">
        <v>0</v>
      </c>
      <c r="Q66" s="663">
        <v>0</v>
      </c>
      <c r="R66" s="663">
        <v>0</v>
      </c>
      <c r="S66" s="663">
        <v>0</v>
      </c>
      <c r="T66" s="663">
        <v>0</v>
      </c>
      <c r="U66" s="671">
        <v>16.20534393105725</v>
      </c>
    </row>
    <row r="67" spans="3:21" ht="13">
      <c r="C67" s="670" t="s">
        <v>75</v>
      </c>
      <c r="D67" s="663">
        <v>4.5011724023437498</v>
      </c>
      <c r="E67" s="663">
        <v>0</v>
      </c>
      <c r="F67" s="663">
        <v>19.445088820906506</v>
      </c>
      <c r="G67" s="663">
        <v>0</v>
      </c>
      <c r="H67" s="663">
        <v>4.9057031873641765</v>
      </c>
      <c r="I67" s="663">
        <v>0</v>
      </c>
      <c r="J67" s="663">
        <v>0</v>
      </c>
      <c r="K67" s="663">
        <v>0</v>
      </c>
      <c r="L67" s="663">
        <v>0</v>
      </c>
      <c r="M67" s="663">
        <v>0</v>
      </c>
      <c r="N67" s="663">
        <v>0</v>
      </c>
      <c r="O67" s="663">
        <v>0.66895952554966043</v>
      </c>
      <c r="P67" s="663">
        <v>0</v>
      </c>
      <c r="Q67" s="663">
        <v>0</v>
      </c>
      <c r="R67" s="663">
        <v>25.353860621213894</v>
      </c>
      <c r="S67" s="663">
        <v>0</v>
      </c>
      <c r="T67" s="663">
        <v>0</v>
      </c>
      <c r="U67" s="671">
        <v>54.874784557377978</v>
      </c>
    </row>
    <row r="68" spans="3:21" ht="13">
      <c r="C68" s="670" t="s">
        <v>76</v>
      </c>
      <c r="D68" s="663">
        <v>0</v>
      </c>
      <c r="E68" s="663">
        <v>0</v>
      </c>
      <c r="F68" s="663">
        <v>0</v>
      </c>
      <c r="G68" s="663">
        <v>0</v>
      </c>
      <c r="H68" s="663">
        <v>2.7976613964793451</v>
      </c>
      <c r="I68" s="663">
        <v>0</v>
      </c>
      <c r="J68" s="663">
        <v>0</v>
      </c>
      <c r="K68" s="663">
        <v>0</v>
      </c>
      <c r="L68" s="663">
        <v>0</v>
      </c>
      <c r="M68" s="663">
        <v>0</v>
      </c>
      <c r="N68" s="663">
        <v>0</v>
      </c>
      <c r="O68" s="663">
        <v>0.38149928133809252</v>
      </c>
      <c r="P68" s="663">
        <v>0</v>
      </c>
      <c r="Q68" s="663">
        <v>0</v>
      </c>
      <c r="R68" s="663">
        <v>39.822975779719108</v>
      </c>
      <c r="S68" s="663">
        <v>5.5462664454161024</v>
      </c>
      <c r="T68" s="663">
        <v>0</v>
      </c>
      <c r="U68" s="671">
        <v>48.548402902952645</v>
      </c>
    </row>
    <row r="69" spans="3:21" ht="13">
      <c r="C69" s="666" t="s">
        <v>77</v>
      </c>
      <c r="D69" s="667">
        <v>16.075615722656249</v>
      </c>
      <c r="E69" s="667">
        <v>422.12070263166828</v>
      </c>
      <c r="F69" s="667">
        <v>-392.9110215318351</v>
      </c>
      <c r="G69" s="667">
        <v>-1.5541621174818701</v>
      </c>
      <c r="H69" s="675">
        <v>59.314386051077022</v>
      </c>
      <c r="I69" s="667">
        <v>0</v>
      </c>
      <c r="J69" s="667">
        <v>985.67379798785544</v>
      </c>
      <c r="K69" s="667">
        <v>195.250455173126</v>
      </c>
      <c r="L69" s="667">
        <v>159.39280213324082</v>
      </c>
      <c r="M69" s="667">
        <v>25.366346171177295</v>
      </c>
      <c r="N69" s="667">
        <v>-54.100768803010403</v>
      </c>
      <c r="O69" s="667">
        <v>-24.56065542764572</v>
      </c>
      <c r="P69" s="667">
        <v>0</v>
      </c>
      <c r="Q69" s="667">
        <v>7.5015461547405717</v>
      </c>
      <c r="R69" s="667">
        <v>-472.49796986642292</v>
      </c>
      <c r="S69" s="667">
        <v>-65.971307555596866</v>
      </c>
      <c r="T69" s="667">
        <v>-12.361489941461461</v>
      </c>
      <c r="U69" s="667">
        <v>846.73827678208715</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3.4252792556992748</v>
      </c>
      <c r="E71" s="663">
        <v>0</v>
      </c>
      <c r="F71" s="663">
        <v>12.308271650577865</v>
      </c>
      <c r="G71" s="663">
        <v>0</v>
      </c>
      <c r="H71" s="663">
        <v>73.413026523981316</v>
      </c>
      <c r="I71" s="663">
        <v>0</v>
      </c>
      <c r="J71" s="663">
        <v>0</v>
      </c>
      <c r="K71" s="663">
        <v>0</v>
      </c>
      <c r="L71" s="663">
        <v>20.422417009283894</v>
      </c>
      <c r="M71" s="663">
        <v>2.602859968291809</v>
      </c>
      <c r="N71" s="663">
        <v>1.0285361411132812</v>
      </c>
      <c r="O71" s="663">
        <v>10.038234189816116</v>
      </c>
      <c r="P71" s="663">
        <v>3.4088933105468748</v>
      </c>
      <c r="Q71" s="663">
        <v>5.5791983277925228E-4</v>
      </c>
      <c r="R71" s="663">
        <v>125.34883441740973</v>
      </c>
      <c r="S71" s="663">
        <v>17.986846293297361</v>
      </c>
      <c r="T71" s="663">
        <v>2.0558867187500001</v>
      </c>
      <c r="U71" s="671">
        <v>272.03964339860033</v>
      </c>
    </row>
    <row r="72" spans="3:21" ht="13">
      <c r="C72" s="670" t="s">
        <v>79</v>
      </c>
      <c r="D72" s="663">
        <v>0</v>
      </c>
      <c r="E72" s="663">
        <v>0</v>
      </c>
      <c r="F72" s="663">
        <v>299.68098831610791</v>
      </c>
      <c r="G72" s="663">
        <v>0.15795207154289831</v>
      </c>
      <c r="H72" s="663">
        <v>4.9734474054962678</v>
      </c>
      <c r="I72" s="663">
        <v>0</v>
      </c>
      <c r="J72" s="663">
        <v>0</v>
      </c>
      <c r="K72" s="663">
        <v>0</v>
      </c>
      <c r="L72" s="663">
        <v>0</v>
      </c>
      <c r="M72" s="663">
        <v>0</v>
      </c>
      <c r="N72" s="663">
        <v>36.482323005879891</v>
      </c>
      <c r="O72" s="663">
        <v>0.67819737347676379</v>
      </c>
      <c r="P72" s="663">
        <v>0</v>
      </c>
      <c r="Q72" s="663">
        <v>0</v>
      </c>
      <c r="R72" s="663">
        <v>30.954972159028785</v>
      </c>
      <c r="S72" s="663">
        <v>0</v>
      </c>
      <c r="T72" s="663">
        <v>0.65150967495445122</v>
      </c>
      <c r="U72" s="671">
        <v>373.57939000648707</v>
      </c>
    </row>
    <row r="73" spans="3:21" ht="13">
      <c r="C73" s="670" t="s">
        <v>80</v>
      </c>
      <c r="D73" s="663">
        <v>0</v>
      </c>
      <c r="E73" s="663">
        <v>0</v>
      </c>
      <c r="F73" s="663">
        <v>4.6180690607080663</v>
      </c>
      <c r="G73" s="663">
        <v>0</v>
      </c>
      <c r="H73" s="663">
        <v>64.670833332730624</v>
      </c>
      <c r="I73" s="663">
        <v>0</v>
      </c>
      <c r="J73" s="663">
        <v>0</v>
      </c>
      <c r="K73" s="663">
        <v>0</v>
      </c>
      <c r="L73" s="663">
        <v>45.694565750921086</v>
      </c>
      <c r="M73" s="663">
        <v>0</v>
      </c>
      <c r="N73" s="663">
        <v>0</v>
      </c>
      <c r="O73" s="663">
        <v>8.8187499999178112</v>
      </c>
      <c r="P73" s="663">
        <v>71.668518554839707</v>
      </c>
      <c r="Q73" s="663">
        <v>1.8312707461125663</v>
      </c>
      <c r="R73" s="663">
        <v>167.58037418148072</v>
      </c>
      <c r="S73" s="663">
        <v>29.293864289346555</v>
      </c>
      <c r="T73" s="663">
        <v>0</v>
      </c>
      <c r="U73" s="671">
        <v>394.17624591605716</v>
      </c>
    </row>
    <row r="74" spans="3:21" ht="13">
      <c r="C74" s="670" t="s">
        <v>81</v>
      </c>
      <c r="D74" s="663">
        <v>0</v>
      </c>
      <c r="E74" s="663">
        <v>0</v>
      </c>
      <c r="F74" s="663">
        <v>5.9743988488591224</v>
      </c>
      <c r="G74" s="663">
        <v>0</v>
      </c>
      <c r="H74" s="663">
        <v>27.969082753856803</v>
      </c>
      <c r="I74" s="663">
        <v>0</v>
      </c>
      <c r="J74" s="663">
        <v>0</v>
      </c>
      <c r="K74" s="663">
        <v>0</v>
      </c>
      <c r="L74" s="663">
        <v>0.46314310358360405</v>
      </c>
      <c r="M74" s="663">
        <v>5.3454570882310241E-4</v>
      </c>
      <c r="N74" s="663">
        <v>0</v>
      </c>
      <c r="O74" s="663">
        <v>3.8139658300713819</v>
      </c>
      <c r="P74" s="663">
        <v>16.00449528116604</v>
      </c>
      <c r="Q74" s="663">
        <v>0.86463956078668247</v>
      </c>
      <c r="R74" s="663">
        <v>100.94959269616226</v>
      </c>
      <c r="S74" s="663">
        <v>18.690596972952971</v>
      </c>
      <c r="T74" s="663">
        <v>0</v>
      </c>
      <c r="U74" s="671">
        <v>174.73044959314768</v>
      </c>
    </row>
    <row r="75" spans="3:21" ht="13">
      <c r="C75" s="670" t="s">
        <v>82</v>
      </c>
      <c r="D75" s="663">
        <v>0</v>
      </c>
      <c r="E75" s="663">
        <v>0</v>
      </c>
      <c r="F75" s="663">
        <v>27.024104246708042</v>
      </c>
      <c r="G75" s="663">
        <v>0</v>
      </c>
      <c r="H75" s="663">
        <v>1.735774540709758</v>
      </c>
      <c r="I75" s="663">
        <v>0</v>
      </c>
      <c r="J75" s="663">
        <v>0</v>
      </c>
      <c r="K75" s="663">
        <v>0</v>
      </c>
      <c r="L75" s="663">
        <v>2.1723993471697325</v>
      </c>
      <c r="M75" s="663">
        <v>0</v>
      </c>
      <c r="N75" s="663">
        <v>4.6410977021219679</v>
      </c>
      <c r="O75" s="663">
        <v>0.23669652827860335</v>
      </c>
      <c r="P75" s="663">
        <v>0.5</v>
      </c>
      <c r="Q75" s="663">
        <v>0.62518456969816016</v>
      </c>
      <c r="R75" s="663">
        <v>7.6640280422278524</v>
      </c>
      <c r="S75" s="663">
        <v>0</v>
      </c>
      <c r="T75" s="663">
        <v>0.17366238047171115</v>
      </c>
      <c r="U75" s="671">
        <v>44.772947357385839</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0</v>
      </c>
      <c r="S76" s="663">
        <v>0</v>
      </c>
      <c r="T76" s="663">
        <v>0</v>
      </c>
      <c r="U76" s="671">
        <v>0</v>
      </c>
    </row>
    <row r="77" spans="3:21" ht="13">
      <c r="C77" s="666" t="s">
        <v>83</v>
      </c>
      <c r="D77" s="667">
        <v>3.4252792556992748</v>
      </c>
      <c r="E77" s="667">
        <v>0</v>
      </c>
      <c r="F77" s="667">
        <v>349.60583212296103</v>
      </c>
      <c r="G77" s="667">
        <v>0.15795207154289831</v>
      </c>
      <c r="H77" s="675">
        <v>172.76216455677479</v>
      </c>
      <c r="I77" s="667">
        <v>0</v>
      </c>
      <c r="J77" s="667">
        <v>0</v>
      </c>
      <c r="K77" s="667">
        <v>0</v>
      </c>
      <c r="L77" s="667">
        <v>68.752525210958311</v>
      </c>
      <c r="M77" s="667">
        <v>2.603394514000632</v>
      </c>
      <c r="N77" s="667">
        <v>42.151956849115138</v>
      </c>
      <c r="O77" s="667">
        <v>23.585843921560677</v>
      </c>
      <c r="P77" s="667">
        <v>91.581907146552624</v>
      </c>
      <c r="Q77" s="667">
        <v>3.3216527964301883</v>
      </c>
      <c r="R77" s="667">
        <v>432.49780149630931</v>
      </c>
      <c r="S77" s="667">
        <v>65.97130755559688</v>
      </c>
      <c r="T77" s="667">
        <v>2.8810587741761626</v>
      </c>
      <c r="U77" s="667">
        <v>1259.2986762716782</v>
      </c>
    </row>
    <row r="78" spans="3:21" ht="13">
      <c r="C78" s="662" t="s">
        <v>84</v>
      </c>
      <c r="D78" s="663">
        <v>0</v>
      </c>
      <c r="E78" s="663">
        <v>0</v>
      </c>
      <c r="F78" s="663">
        <v>95.324260386983326</v>
      </c>
      <c r="G78" s="663">
        <v>1.5048882455619152</v>
      </c>
      <c r="H78" s="663">
        <v>10.356262080325934</v>
      </c>
      <c r="I78" s="663">
        <v>0</v>
      </c>
      <c r="J78" s="663">
        <v>0</v>
      </c>
      <c r="K78" s="663">
        <v>0</v>
      </c>
      <c r="L78" s="663">
        <v>0.11775416529838639</v>
      </c>
      <c r="M78" s="663">
        <v>0</v>
      </c>
      <c r="N78" s="663">
        <v>8.0702977228109543</v>
      </c>
      <c r="O78" s="663">
        <v>0.98433711774094745</v>
      </c>
      <c r="P78" s="663">
        <v>0</v>
      </c>
      <c r="Q78" s="663">
        <v>0</v>
      </c>
      <c r="R78" s="663">
        <v>0</v>
      </c>
      <c r="S78" s="663">
        <v>0</v>
      </c>
      <c r="T78" s="663">
        <v>9.4804311672852979</v>
      </c>
      <c r="U78" s="671">
        <v>125.83823088600677</v>
      </c>
    </row>
    <row r="79" spans="3:21" ht="13">
      <c r="C79" s="666" t="s">
        <v>85</v>
      </c>
      <c r="D79" s="667">
        <v>3.4252792556992748</v>
      </c>
      <c r="E79" s="667">
        <v>0</v>
      </c>
      <c r="F79" s="667">
        <v>444.9300925099443</v>
      </c>
      <c r="G79" s="667">
        <v>1.6628403171048136</v>
      </c>
      <c r="H79" s="675">
        <v>183.11842663710073</v>
      </c>
      <c r="I79" s="667">
        <v>0</v>
      </c>
      <c r="J79" s="667">
        <v>0</v>
      </c>
      <c r="K79" s="667">
        <v>0</v>
      </c>
      <c r="L79" s="667">
        <v>68.870279376256704</v>
      </c>
      <c r="M79" s="667">
        <v>2.603394514000632</v>
      </c>
      <c r="N79" s="667">
        <v>50.222254571926094</v>
      </c>
      <c r="O79" s="667">
        <v>24.570181039301623</v>
      </c>
      <c r="P79" s="667">
        <v>91.581907146552624</v>
      </c>
      <c r="Q79" s="667">
        <v>3.3216527964301883</v>
      </c>
      <c r="R79" s="667">
        <v>432.49780149630931</v>
      </c>
      <c r="S79" s="667">
        <v>65.97130755559688</v>
      </c>
      <c r="T79" s="667">
        <v>12.361489941461461</v>
      </c>
      <c r="U79" s="667">
        <v>1385.1369071576848</v>
      </c>
    </row>
    <row r="80" spans="3:21">
      <c r="C80" s="654"/>
      <c r="D80" s="672">
        <v>0</v>
      </c>
      <c r="E80" s="672">
        <v>0</v>
      </c>
      <c r="F80" s="672">
        <v>-1.6342482922482304E-13</v>
      </c>
      <c r="G80" s="672">
        <v>-1.1102230246251565E-16</v>
      </c>
      <c r="H80" s="672">
        <v>0</v>
      </c>
      <c r="I80" s="672">
        <v>0</v>
      </c>
      <c r="J80" s="672">
        <v>0</v>
      </c>
      <c r="K80" s="672">
        <v>0</v>
      </c>
      <c r="L80" s="672">
        <v>0</v>
      </c>
      <c r="M80" s="672">
        <v>0</v>
      </c>
      <c r="N80" s="672">
        <v>-4.0337644107011572</v>
      </c>
      <c r="O80" s="672">
        <v>-1.2490009027033011E-15</v>
      </c>
      <c r="P80" s="672">
        <v>0</v>
      </c>
      <c r="Q80" s="672">
        <v>0</v>
      </c>
      <c r="R80" s="672">
        <v>-5.6843418860808015E-14</v>
      </c>
      <c r="S80" s="672">
        <v>1.4210854715202004E-14</v>
      </c>
      <c r="T80" s="672">
        <v>0</v>
      </c>
      <c r="U80" s="672">
        <v>-4.0337644107016786</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360</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7.3966799999999999</v>
      </c>
      <c r="F86" s="663">
        <v>0</v>
      </c>
      <c r="G86" s="663">
        <v>0</v>
      </c>
      <c r="H86" s="663">
        <v>0.13025600000000001</v>
      </c>
      <c r="I86" s="663">
        <v>0</v>
      </c>
      <c r="J86" s="664">
        <v>971.7407012865051</v>
      </c>
      <c r="K86" s="664">
        <v>238.60019675974834</v>
      </c>
      <c r="L86" s="664">
        <v>253.57041800278802</v>
      </c>
      <c r="M86" s="664">
        <v>27.222029344024044</v>
      </c>
      <c r="N86" s="663">
        <v>1.4753548538560814</v>
      </c>
      <c r="O86" s="663">
        <v>0.15089220372740705</v>
      </c>
      <c r="P86" s="664">
        <v>105.39487042391544</v>
      </c>
      <c r="Q86" s="664">
        <v>15.052128201204939</v>
      </c>
      <c r="R86" s="663">
        <v>0</v>
      </c>
      <c r="S86" s="663">
        <v>0</v>
      </c>
      <c r="T86" s="663">
        <v>0</v>
      </c>
      <c r="U86" s="665">
        <v>1620.7335270757692</v>
      </c>
    </row>
    <row r="87" spans="3:21" ht="13">
      <c r="C87" s="662" t="s">
        <v>60</v>
      </c>
      <c r="D87" s="663">
        <v>17.481730816264069</v>
      </c>
      <c r="E87" s="663">
        <v>368.30859161745235</v>
      </c>
      <c r="F87" s="663">
        <v>88.290951016716463</v>
      </c>
      <c r="G87" s="663">
        <v>0.96271456308499825</v>
      </c>
      <c r="H87" s="663">
        <v>189.89235302255372</v>
      </c>
      <c r="I87" s="663">
        <v>0</v>
      </c>
      <c r="J87" s="663">
        <v>0</v>
      </c>
      <c r="K87" s="663">
        <v>0</v>
      </c>
      <c r="L87" s="663">
        <v>3.0227324829465219</v>
      </c>
      <c r="M87" s="663">
        <v>0</v>
      </c>
      <c r="N87" s="663">
        <v>3.4911647532197585</v>
      </c>
      <c r="O87" s="663">
        <v>0</v>
      </c>
      <c r="P87" s="663">
        <v>0</v>
      </c>
      <c r="Q87" s="663">
        <v>0</v>
      </c>
      <c r="R87" s="663">
        <v>0</v>
      </c>
      <c r="S87" s="663">
        <v>0</v>
      </c>
      <c r="T87" s="663">
        <v>0</v>
      </c>
      <c r="U87" s="665">
        <v>671.45023827223793</v>
      </c>
    </row>
    <row r="88" spans="3:21" ht="13">
      <c r="C88" s="662" t="s">
        <v>61</v>
      </c>
      <c r="D88" s="663">
        <v>0</v>
      </c>
      <c r="E88" s="663">
        <v>0</v>
      </c>
      <c r="F88" s="663">
        <v>-0.25412033446216642</v>
      </c>
      <c r="G88" s="663">
        <v>0</v>
      </c>
      <c r="H88" s="663">
        <v>0</v>
      </c>
      <c r="I88" s="663">
        <v>0</v>
      </c>
      <c r="J88" s="663">
        <v>0</v>
      </c>
      <c r="K88" s="663">
        <v>0</v>
      </c>
      <c r="L88" s="663">
        <v>0</v>
      </c>
      <c r="M88" s="663">
        <v>0</v>
      </c>
      <c r="N88" s="663">
        <v>0</v>
      </c>
      <c r="O88" s="663">
        <v>0</v>
      </c>
      <c r="P88" s="663">
        <v>0</v>
      </c>
      <c r="Q88" s="663">
        <v>0</v>
      </c>
      <c r="R88" s="663">
        <v>-39.430412100204194</v>
      </c>
      <c r="S88" s="663">
        <v>0</v>
      </c>
      <c r="T88" s="663">
        <v>0</v>
      </c>
      <c r="U88" s="665">
        <v>-39.684532434666359</v>
      </c>
    </row>
    <row r="89" spans="3:21" ht="13">
      <c r="C89" s="662" t="s">
        <v>62</v>
      </c>
      <c r="D89" s="663">
        <v>0</v>
      </c>
      <c r="E89" s="663">
        <v>0</v>
      </c>
      <c r="F89" s="663">
        <v>-14.25530176013427</v>
      </c>
      <c r="G89" s="663">
        <v>-0.84519248028876315</v>
      </c>
      <c r="H89" s="663">
        <v>-3.1313337287141003</v>
      </c>
      <c r="I89" s="663">
        <v>0</v>
      </c>
      <c r="J89" s="663">
        <v>0</v>
      </c>
      <c r="K89" s="663">
        <v>0</v>
      </c>
      <c r="L89" s="663">
        <v>0</v>
      </c>
      <c r="M89" s="663">
        <v>0</v>
      </c>
      <c r="N89" s="663">
        <v>-0.51271510605917692</v>
      </c>
      <c r="O89" s="663">
        <v>-0.83237985193665964</v>
      </c>
      <c r="P89" s="663">
        <v>0</v>
      </c>
      <c r="Q89" s="663">
        <v>0</v>
      </c>
      <c r="R89" s="663">
        <v>0</v>
      </c>
      <c r="S89" s="663">
        <v>0</v>
      </c>
      <c r="T89" s="663">
        <v>0</v>
      </c>
      <c r="U89" s="665">
        <v>-19.576922927132969</v>
      </c>
    </row>
    <row r="90" spans="3:21" ht="13">
      <c r="C90" s="662" t="s">
        <v>63</v>
      </c>
      <c r="D90" s="663">
        <v>0</v>
      </c>
      <c r="E90" s="663">
        <v>0</v>
      </c>
      <c r="F90" s="663">
        <v>-65.50346802559632</v>
      </c>
      <c r="G90" s="663">
        <v>-2.6636790811189917</v>
      </c>
      <c r="H90" s="663">
        <v>0</v>
      </c>
      <c r="I90" s="663">
        <v>0</v>
      </c>
      <c r="J90" s="663">
        <v>0</v>
      </c>
      <c r="K90" s="663">
        <v>0</v>
      </c>
      <c r="L90" s="663">
        <v>0</v>
      </c>
      <c r="M90" s="663">
        <v>0</v>
      </c>
      <c r="N90" s="663">
        <v>-8.704547136030067</v>
      </c>
      <c r="O90" s="663">
        <v>0</v>
      </c>
      <c r="P90" s="663">
        <v>0</v>
      </c>
      <c r="Q90" s="663">
        <v>0</v>
      </c>
      <c r="R90" s="663">
        <v>0</v>
      </c>
      <c r="S90" s="663">
        <v>0</v>
      </c>
      <c r="T90" s="663">
        <v>-8.5933245803094055E-2</v>
      </c>
      <c r="U90" s="665">
        <v>-76.957627488548468</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17.481730816264069</v>
      </c>
      <c r="E92" s="667">
        <v>375.70527161745235</v>
      </c>
      <c r="F92" s="667">
        <v>8.2780608965236979</v>
      </c>
      <c r="G92" s="667">
        <v>-2.5461569983227568</v>
      </c>
      <c r="H92" s="675">
        <v>186.89127529383961</v>
      </c>
      <c r="I92" s="667">
        <v>0</v>
      </c>
      <c r="J92" s="667">
        <v>971.7407012865051</v>
      </c>
      <c r="K92" s="667">
        <v>238.60019675974834</v>
      </c>
      <c r="L92" s="667">
        <v>256.59315048573455</v>
      </c>
      <c r="M92" s="667">
        <v>27.222029344024044</v>
      </c>
      <c r="N92" s="667">
        <v>-4.2507426350134043</v>
      </c>
      <c r="O92" s="667">
        <v>-0.68148764820925256</v>
      </c>
      <c r="P92" s="667">
        <v>105.39487042391544</v>
      </c>
      <c r="Q92" s="667">
        <v>15.052128201204939</v>
      </c>
      <c r="R92" s="667">
        <v>-39.430412100204194</v>
      </c>
      <c r="S92" s="667">
        <v>0</v>
      </c>
      <c r="T92" s="667">
        <v>-8.5933245803094055E-2</v>
      </c>
      <c r="U92" s="667">
        <v>2155.9646824976594</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0.79278558393774012</v>
      </c>
      <c r="G95" s="663">
        <v>0</v>
      </c>
      <c r="H95" s="663">
        <v>19.865967473344622</v>
      </c>
      <c r="I95" s="663">
        <v>0</v>
      </c>
      <c r="J95" s="663">
        <v>971.7407012865051</v>
      </c>
      <c r="K95" s="663">
        <v>238.60019675974834</v>
      </c>
      <c r="L95" s="663">
        <v>26.063195396520957</v>
      </c>
      <c r="M95" s="663">
        <v>9.83092180533645</v>
      </c>
      <c r="N95" s="663">
        <v>4.7819832265678626</v>
      </c>
      <c r="O95" s="663">
        <v>4.4668310287108053</v>
      </c>
      <c r="P95" s="663">
        <v>0</v>
      </c>
      <c r="Q95" s="663">
        <v>1.6766395861963883</v>
      </c>
      <c r="R95" s="663">
        <v>-590.46816243021931</v>
      </c>
      <c r="S95" s="663">
        <v>0</v>
      </c>
      <c r="T95" s="663">
        <v>0</v>
      </c>
      <c r="U95" s="671">
        <v>687.35105971664882</v>
      </c>
    </row>
    <row r="96" spans="3:21" ht="13">
      <c r="C96" s="670" t="s">
        <v>351</v>
      </c>
      <c r="D96" s="663">
        <v>0</v>
      </c>
      <c r="E96" s="663">
        <v>0</v>
      </c>
      <c r="F96" s="663">
        <v>0</v>
      </c>
      <c r="G96" s="663">
        <v>0</v>
      </c>
      <c r="H96" s="663">
        <v>14.235464329282825</v>
      </c>
      <c r="I96" s="663">
        <v>0</v>
      </c>
      <c r="J96" s="663">
        <v>0</v>
      </c>
      <c r="K96" s="663">
        <v>0</v>
      </c>
      <c r="L96" s="663">
        <v>35.236777417757288</v>
      </c>
      <c r="M96" s="663">
        <v>14.842062220534972</v>
      </c>
      <c r="N96" s="663">
        <v>0</v>
      </c>
      <c r="O96" s="663">
        <v>4.2657087375224645</v>
      </c>
      <c r="P96" s="663">
        <v>0</v>
      </c>
      <c r="Q96" s="663">
        <v>9.4996550719303219</v>
      </c>
      <c r="R96" s="663">
        <v>0</v>
      </c>
      <c r="S96" s="663">
        <v>-71.457959708478597</v>
      </c>
      <c r="T96" s="663">
        <v>0</v>
      </c>
      <c r="U96" s="671">
        <v>6.6217080685492906</v>
      </c>
    </row>
    <row r="97" spans="3:21" ht="13">
      <c r="C97" s="670" t="s">
        <v>352</v>
      </c>
      <c r="D97" s="663">
        <v>0</v>
      </c>
      <c r="E97" s="663">
        <v>0</v>
      </c>
      <c r="F97" s="663">
        <v>0</v>
      </c>
      <c r="G97" s="663">
        <v>0</v>
      </c>
      <c r="H97" s="663">
        <v>0</v>
      </c>
      <c r="I97" s="663">
        <v>0</v>
      </c>
      <c r="J97" s="663">
        <v>0</v>
      </c>
      <c r="K97" s="663">
        <v>0</v>
      </c>
      <c r="L97" s="663">
        <v>54.240393023043787</v>
      </c>
      <c r="M97" s="663">
        <v>0</v>
      </c>
      <c r="N97" s="663">
        <v>0</v>
      </c>
      <c r="O97" s="663">
        <v>-49.062756106209015</v>
      </c>
      <c r="P97" s="663">
        <v>0</v>
      </c>
      <c r="Q97" s="663">
        <v>0</v>
      </c>
      <c r="R97" s="663">
        <v>0</v>
      </c>
      <c r="S97" s="663">
        <v>0</v>
      </c>
      <c r="T97" s="663">
        <v>0</v>
      </c>
      <c r="U97" s="671">
        <v>5.1776369168347713</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389.35548440642862</v>
      </c>
      <c r="F99" s="663">
        <v>-385.47782639146612</v>
      </c>
      <c r="G99" s="663">
        <v>0</v>
      </c>
      <c r="H99" s="663">
        <v>0</v>
      </c>
      <c r="I99" s="663">
        <v>0</v>
      </c>
      <c r="J99" s="663">
        <v>0</v>
      </c>
      <c r="K99" s="663">
        <v>0</v>
      </c>
      <c r="L99" s="663">
        <v>0</v>
      </c>
      <c r="M99" s="663">
        <v>0</v>
      </c>
      <c r="N99" s="663">
        <v>0</v>
      </c>
      <c r="O99" s="663">
        <v>0</v>
      </c>
      <c r="P99" s="663">
        <v>0</v>
      </c>
      <c r="Q99" s="663">
        <v>0</v>
      </c>
      <c r="R99" s="663">
        <v>0</v>
      </c>
      <c r="S99" s="663">
        <v>0</v>
      </c>
      <c r="T99" s="663">
        <v>0</v>
      </c>
      <c r="U99" s="671">
        <v>3.8776580149625208</v>
      </c>
    </row>
    <row r="100" spans="3:21" ht="13">
      <c r="C100" s="670" t="s">
        <v>354</v>
      </c>
      <c r="D100" s="663">
        <v>0</v>
      </c>
      <c r="E100" s="663">
        <v>0</v>
      </c>
      <c r="F100" s="663">
        <v>0</v>
      </c>
      <c r="G100" s="663">
        <v>0</v>
      </c>
      <c r="H100" s="663">
        <v>0</v>
      </c>
      <c r="I100" s="663">
        <v>0</v>
      </c>
      <c r="J100" s="663">
        <v>0</v>
      </c>
      <c r="K100" s="663">
        <v>0</v>
      </c>
      <c r="L100" s="663">
        <v>76.110674115305528</v>
      </c>
      <c r="M100" s="663">
        <v>0</v>
      </c>
      <c r="N100" s="663">
        <v>-76.110674115305528</v>
      </c>
      <c r="O100" s="663">
        <v>0</v>
      </c>
      <c r="P100" s="663">
        <v>0</v>
      </c>
      <c r="Q100" s="663">
        <v>0</v>
      </c>
      <c r="R100" s="663">
        <v>0</v>
      </c>
      <c r="S100" s="663">
        <v>0</v>
      </c>
      <c r="T100" s="663">
        <v>0</v>
      </c>
      <c r="U100" s="671">
        <v>0</v>
      </c>
    </row>
    <row r="101" spans="3:21" ht="13">
      <c r="C101" s="670" t="s">
        <v>355</v>
      </c>
      <c r="D101" s="663">
        <v>0</v>
      </c>
      <c r="E101" s="663">
        <v>0</v>
      </c>
      <c r="F101" s="663">
        <v>0</v>
      </c>
      <c r="G101" s="663">
        <v>-5.3679652793818873</v>
      </c>
      <c r="H101" s="663">
        <v>0</v>
      </c>
      <c r="I101" s="663">
        <v>0</v>
      </c>
      <c r="J101" s="663">
        <v>0</v>
      </c>
      <c r="K101" s="663">
        <v>0</v>
      </c>
      <c r="L101" s="663">
        <v>0</v>
      </c>
      <c r="M101" s="663">
        <v>0</v>
      </c>
      <c r="N101" s="663">
        <v>0</v>
      </c>
      <c r="O101" s="663">
        <v>0</v>
      </c>
      <c r="P101" s="663">
        <v>0</v>
      </c>
      <c r="Q101" s="663">
        <v>0</v>
      </c>
      <c r="R101" s="663">
        <v>0</v>
      </c>
      <c r="S101" s="663">
        <v>0</v>
      </c>
      <c r="T101" s="663">
        <v>7.4762747623703172</v>
      </c>
      <c r="U101" s="671">
        <v>2.1083094829884299</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40.318919655124205</v>
      </c>
      <c r="S102" s="663">
        <v>0</v>
      </c>
      <c r="T102" s="663">
        <v>-26.630646432209534</v>
      </c>
      <c r="U102" s="671">
        <v>13.68827322291467</v>
      </c>
    </row>
    <row r="103" spans="3:21" ht="13">
      <c r="C103" s="670" t="s">
        <v>356</v>
      </c>
      <c r="D103" s="663">
        <v>10.05823125</v>
      </c>
      <c r="E103" s="663">
        <v>-13.65021278897626</v>
      </c>
      <c r="F103" s="663">
        <v>17.774822682354454</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14.182841143378196</v>
      </c>
    </row>
    <row r="104" spans="3:21" ht="13">
      <c r="C104" s="670" t="s">
        <v>75</v>
      </c>
      <c r="D104" s="663">
        <v>3.9115343750000005</v>
      </c>
      <c r="E104" s="663">
        <v>0</v>
      </c>
      <c r="F104" s="663">
        <v>18.970841206198273</v>
      </c>
      <c r="G104" s="663">
        <v>0</v>
      </c>
      <c r="H104" s="663">
        <v>4.3082366200216411</v>
      </c>
      <c r="I104" s="663">
        <v>0</v>
      </c>
      <c r="J104" s="663">
        <v>0</v>
      </c>
      <c r="K104" s="663">
        <v>0</v>
      </c>
      <c r="L104" s="663">
        <v>0</v>
      </c>
      <c r="M104" s="663">
        <v>0</v>
      </c>
      <c r="N104" s="663">
        <v>0</v>
      </c>
      <c r="O104" s="663">
        <v>1.1452274559551199</v>
      </c>
      <c r="P104" s="663">
        <v>0</v>
      </c>
      <c r="Q104" s="663">
        <v>0</v>
      </c>
      <c r="R104" s="663">
        <v>24.58367294682958</v>
      </c>
      <c r="S104" s="663">
        <v>0</v>
      </c>
      <c r="T104" s="663">
        <v>0</v>
      </c>
      <c r="U104" s="671">
        <v>52.919512604004616</v>
      </c>
    </row>
    <row r="105" spans="3:21" ht="13">
      <c r="C105" s="670" t="s">
        <v>76</v>
      </c>
      <c r="D105" s="663">
        <v>0</v>
      </c>
      <c r="E105" s="663">
        <v>0</v>
      </c>
      <c r="F105" s="663">
        <v>0</v>
      </c>
      <c r="G105" s="663">
        <v>0</v>
      </c>
      <c r="H105" s="663">
        <v>2.138992514097271</v>
      </c>
      <c r="I105" s="663">
        <v>0</v>
      </c>
      <c r="J105" s="663">
        <v>0</v>
      </c>
      <c r="K105" s="663">
        <v>0</v>
      </c>
      <c r="L105" s="663">
        <v>0</v>
      </c>
      <c r="M105" s="663">
        <v>0</v>
      </c>
      <c r="N105" s="663">
        <v>0</v>
      </c>
      <c r="O105" s="663">
        <v>0.56859294678535055</v>
      </c>
      <c r="P105" s="663">
        <v>0</v>
      </c>
      <c r="Q105" s="663">
        <v>0</v>
      </c>
      <c r="R105" s="663">
        <v>42.191455549105193</v>
      </c>
      <c r="S105" s="663">
        <v>5.5417484036628721</v>
      </c>
      <c r="T105" s="663">
        <v>0</v>
      </c>
      <c r="U105" s="671">
        <v>50.440789413650684</v>
      </c>
    </row>
    <row r="106" spans="3:21" ht="13">
      <c r="C106" s="666" t="s">
        <v>77</v>
      </c>
      <c r="D106" s="667">
        <v>13.969765625000001</v>
      </c>
      <c r="E106" s="667">
        <v>375.70527161745235</v>
      </c>
      <c r="F106" s="667">
        <v>-347.93937691897565</v>
      </c>
      <c r="G106" s="667">
        <v>-5.3679652793818873</v>
      </c>
      <c r="H106" s="675">
        <v>40.548660936746352</v>
      </c>
      <c r="I106" s="667">
        <v>0</v>
      </c>
      <c r="J106" s="667">
        <v>971.7407012865051</v>
      </c>
      <c r="K106" s="667">
        <v>238.60019675974834</v>
      </c>
      <c r="L106" s="667">
        <v>191.65103995262757</v>
      </c>
      <c r="M106" s="667">
        <v>24.672984025871422</v>
      </c>
      <c r="N106" s="667">
        <v>-71.328690888737668</v>
      </c>
      <c r="O106" s="667">
        <v>-38.616395937235275</v>
      </c>
      <c r="P106" s="667">
        <v>0</v>
      </c>
      <c r="Q106" s="667">
        <v>11.176294658126709</v>
      </c>
      <c r="R106" s="667">
        <v>-483.37411427916032</v>
      </c>
      <c r="S106" s="667">
        <v>-65.916211304815732</v>
      </c>
      <c r="T106" s="667">
        <v>-19.154371669839218</v>
      </c>
      <c r="U106" s="667">
        <v>836.36778858393188</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3.5119651912640659</v>
      </c>
      <c r="E108" s="663">
        <v>0</v>
      </c>
      <c r="F108" s="663">
        <v>10.329791866978772</v>
      </c>
      <c r="G108" s="663">
        <v>0</v>
      </c>
      <c r="H108" s="663">
        <v>59.22498419444846</v>
      </c>
      <c r="I108" s="663">
        <v>0</v>
      </c>
      <c r="J108" s="663">
        <v>0</v>
      </c>
      <c r="K108" s="663">
        <v>0</v>
      </c>
      <c r="L108" s="663">
        <v>20.32032070760291</v>
      </c>
      <c r="M108" s="663">
        <v>2.5485507721439489</v>
      </c>
      <c r="N108" s="663">
        <v>1.1054608081054689</v>
      </c>
      <c r="O108" s="663">
        <v>15.774676477466111</v>
      </c>
      <c r="P108" s="663">
        <v>4.7115375976562497</v>
      </c>
      <c r="Q108" s="663">
        <v>6.3863689419622622E-4</v>
      </c>
      <c r="R108" s="663">
        <v>128.13338929673023</v>
      </c>
      <c r="S108" s="663">
        <v>18.044740545750674</v>
      </c>
      <c r="T108" s="663">
        <v>2.7711535644531251</v>
      </c>
      <c r="U108" s="671">
        <v>266.47720965949424</v>
      </c>
    </row>
    <row r="109" spans="3:21" ht="13">
      <c r="C109" s="670" t="s">
        <v>79</v>
      </c>
      <c r="D109" s="663">
        <v>0</v>
      </c>
      <c r="E109" s="663">
        <v>0</v>
      </c>
      <c r="F109" s="663">
        <v>230.06398718142972</v>
      </c>
      <c r="G109" s="663">
        <v>0.28870182254104659</v>
      </c>
      <c r="H109" s="663">
        <v>4.7638546223905314</v>
      </c>
      <c r="I109" s="663">
        <v>0</v>
      </c>
      <c r="J109" s="663">
        <v>0</v>
      </c>
      <c r="K109" s="663">
        <v>0</v>
      </c>
      <c r="L109" s="663">
        <v>0</v>
      </c>
      <c r="M109" s="663">
        <v>0</v>
      </c>
      <c r="N109" s="663">
        <v>46.305302929407816</v>
      </c>
      <c r="O109" s="663">
        <v>1.2663411021544451</v>
      </c>
      <c r="P109" s="663">
        <v>0</v>
      </c>
      <c r="Q109" s="663">
        <v>0</v>
      </c>
      <c r="R109" s="663">
        <v>46.787013172975605</v>
      </c>
      <c r="S109" s="663">
        <v>0</v>
      </c>
      <c r="T109" s="663">
        <v>1.4725342358360081</v>
      </c>
      <c r="U109" s="671">
        <v>330.94773506673516</v>
      </c>
    </row>
    <row r="110" spans="3:21" ht="13">
      <c r="C110" s="670" t="s">
        <v>80</v>
      </c>
      <c r="D110" s="663">
        <v>0</v>
      </c>
      <c r="E110" s="663">
        <v>0</v>
      </c>
      <c r="F110" s="663">
        <v>3.8037297943831954</v>
      </c>
      <c r="G110" s="663">
        <v>0</v>
      </c>
      <c r="H110" s="663">
        <v>48.749434252341672</v>
      </c>
      <c r="I110" s="663">
        <v>0</v>
      </c>
      <c r="J110" s="663">
        <v>0</v>
      </c>
      <c r="K110" s="663">
        <v>0</v>
      </c>
      <c r="L110" s="663">
        <v>41.434907608340509</v>
      </c>
      <c r="M110" s="663">
        <v>0</v>
      </c>
      <c r="N110" s="663">
        <v>0</v>
      </c>
      <c r="O110" s="663">
        <v>12.958710370875634</v>
      </c>
      <c r="P110" s="663">
        <v>81.342309221763003</v>
      </c>
      <c r="Q110" s="663">
        <v>2.1381357466702497</v>
      </c>
      <c r="R110" s="663">
        <v>162.42127689265124</v>
      </c>
      <c r="S110" s="663">
        <v>29.067896346898497</v>
      </c>
      <c r="T110" s="663">
        <v>0</v>
      </c>
      <c r="U110" s="671">
        <v>381.91640023392404</v>
      </c>
    </row>
    <row r="111" spans="3:21" ht="13">
      <c r="C111" s="670" t="s">
        <v>81</v>
      </c>
      <c r="D111" s="663">
        <v>0</v>
      </c>
      <c r="E111" s="663">
        <v>0</v>
      </c>
      <c r="F111" s="663">
        <v>4.4549193893901853</v>
      </c>
      <c r="G111" s="663">
        <v>0</v>
      </c>
      <c r="H111" s="663">
        <v>22.809891612288435</v>
      </c>
      <c r="I111" s="663">
        <v>0</v>
      </c>
      <c r="J111" s="663">
        <v>0</v>
      </c>
      <c r="K111" s="663">
        <v>0</v>
      </c>
      <c r="L111" s="663">
        <v>0.44569918061681485</v>
      </c>
      <c r="M111" s="663">
        <v>4.9454600867274027E-4</v>
      </c>
      <c r="N111" s="663">
        <v>0</v>
      </c>
      <c r="O111" s="663">
        <v>6.0633889095956608</v>
      </c>
      <c r="P111" s="663">
        <v>18.691023604496184</v>
      </c>
      <c r="Q111" s="663">
        <v>0.90924384630352406</v>
      </c>
      <c r="R111" s="663">
        <v>98.49757027134045</v>
      </c>
      <c r="S111" s="663">
        <v>18.80357441216654</v>
      </c>
      <c r="T111" s="663">
        <v>0</v>
      </c>
      <c r="U111" s="671">
        <v>170.67580577220647</v>
      </c>
    </row>
    <row r="112" spans="3:21" ht="13">
      <c r="C112" s="670" t="s">
        <v>82</v>
      </c>
      <c r="D112" s="663">
        <v>0</v>
      </c>
      <c r="E112" s="663">
        <v>0</v>
      </c>
      <c r="F112" s="663">
        <v>22.663704600568668</v>
      </c>
      <c r="G112" s="663">
        <v>0</v>
      </c>
      <c r="H112" s="663">
        <v>1.5172607097483775</v>
      </c>
      <c r="I112" s="663">
        <v>0</v>
      </c>
      <c r="J112" s="663">
        <v>0</v>
      </c>
      <c r="K112" s="663">
        <v>0</v>
      </c>
      <c r="L112" s="663">
        <v>2.5327781893790755</v>
      </c>
      <c r="M112" s="663">
        <v>0</v>
      </c>
      <c r="N112" s="663">
        <v>6.9172702223723741</v>
      </c>
      <c r="O112" s="663">
        <v>0.40332246714830289</v>
      </c>
      <c r="P112" s="663">
        <v>0.65</v>
      </c>
      <c r="Q112" s="663">
        <v>0.82781531321025892</v>
      </c>
      <c r="R112" s="663">
        <v>7.6931885452586402</v>
      </c>
      <c r="S112" s="663">
        <v>0</v>
      </c>
      <c r="T112" s="663">
        <v>0.21911019493558448</v>
      </c>
      <c r="U112" s="671">
        <v>43.424450242621276</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0.41126400000000007</v>
      </c>
      <c r="S113" s="663">
        <v>0</v>
      </c>
      <c r="T113" s="663">
        <v>0</v>
      </c>
      <c r="U113" s="671">
        <v>0.41126400000000007</v>
      </c>
    </row>
    <row r="114" spans="3:21" ht="13">
      <c r="C114" s="666" t="s">
        <v>83</v>
      </c>
      <c r="D114" s="667">
        <v>3.5119651912640659</v>
      </c>
      <c r="E114" s="667">
        <v>0</v>
      </c>
      <c r="F114" s="667">
        <v>271.3161328327505</v>
      </c>
      <c r="G114" s="667">
        <v>0.28870182254104659</v>
      </c>
      <c r="H114" s="675">
        <v>137.06542539121747</v>
      </c>
      <c r="I114" s="667">
        <v>0</v>
      </c>
      <c r="J114" s="667">
        <v>0</v>
      </c>
      <c r="K114" s="667">
        <v>0</v>
      </c>
      <c r="L114" s="667">
        <v>64.733705685939313</v>
      </c>
      <c r="M114" s="667">
        <v>2.5490453181526216</v>
      </c>
      <c r="N114" s="667">
        <v>54.328033959885659</v>
      </c>
      <c r="O114" s="667">
        <v>36.466439327240145</v>
      </c>
      <c r="P114" s="667">
        <v>105.39487042391544</v>
      </c>
      <c r="Q114" s="667">
        <v>3.8758335430782287</v>
      </c>
      <c r="R114" s="667">
        <v>443.94370217895619</v>
      </c>
      <c r="S114" s="667">
        <v>65.916211304815718</v>
      </c>
      <c r="T114" s="667">
        <v>4.4627979952247179</v>
      </c>
      <c r="U114" s="667">
        <v>1193.8528649749812</v>
      </c>
    </row>
    <row r="115" spans="3:21" ht="13">
      <c r="C115" s="662" t="s">
        <v>84</v>
      </c>
      <c r="D115" s="663">
        <v>0</v>
      </c>
      <c r="E115" s="663">
        <v>0</v>
      </c>
      <c r="F115" s="663">
        <v>84.901304982748769</v>
      </c>
      <c r="G115" s="663">
        <v>2.533106458518084</v>
      </c>
      <c r="H115" s="663">
        <v>9.2771889658758084</v>
      </c>
      <c r="I115" s="663">
        <v>0</v>
      </c>
      <c r="J115" s="663">
        <v>0</v>
      </c>
      <c r="K115" s="663">
        <v>0</v>
      </c>
      <c r="L115" s="663">
        <v>0.20840484716769062</v>
      </c>
      <c r="M115" s="663">
        <v>0</v>
      </c>
      <c r="N115" s="663">
        <v>11.136408529558132</v>
      </c>
      <c r="O115" s="663">
        <v>1.4684689617858735</v>
      </c>
      <c r="P115" s="663">
        <v>0</v>
      </c>
      <c r="Q115" s="663">
        <v>0</v>
      </c>
      <c r="R115" s="663">
        <v>0</v>
      </c>
      <c r="S115" s="663">
        <v>0</v>
      </c>
      <c r="T115" s="663">
        <v>14.605640428811407</v>
      </c>
      <c r="U115" s="671">
        <v>124.13052317446576</v>
      </c>
    </row>
    <row r="116" spans="3:21" ht="13">
      <c r="C116" s="666" t="s">
        <v>85</v>
      </c>
      <c r="D116" s="667">
        <v>3.5119651912640659</v>
      </c>
      <c r="E116" s="667">
        <v>0</v>
      </c>
      <c r="F116" s="667">
        <v>356.2174378154993</v>
      </c>
      <c r="G116" s="667">
        <v>2.8218082810591305</v>
      </c>
      <c r="H116" s="675">
        <v>146.34261435709328</v>
      </c>
      <c r="I116" s="667">
        <v>0</v>
      </c>
      <c r="J116" s="667">
        <v>0</v>
      </c>
      <c r="K116" s="667">
        <v>0</v>
      </c>
      <c r="L116" s="667">
        <v>64.942110533106998</v>
      </c>
      <c r="M116" s="667">
        <v>2.5490453181526216</v>
      </c>
      <c r="N116" s="667">
        <v>65.464442489443798</v>
      </c>
      <c r="O116" s="667">
        <v>37.934908289026019</v>
      </c>
      <c r="P116" s="667">
        <v>105.39487042391544</v>
      </c>
      <c r="Q116" s="667">
        <v>3.8758335430782287</v>
      </c>
      <c r="R116" s="667">
        <v>443.94370217895619</v>
      </c>
      <c r="S116" s="667">
        <v>65.916211304815718</v>
      </c>
      <c r="T116" s="667">
        <v>19.068438424036124</v>
      </c>
      <c r="U116" s="667">
        <v>1317.9833881494469</v>
      </c>
    </row>
    <row r="117" spans="3:21">
      <c r="C117" s="654"/>
      <c r="D117" s="672">
        <v>0</v>
      </c>
      <c r="E117" s="672">
        <v>0</v>
      </c>
      <c r="F117" s="672">
        <v>-5.6843418860808015E-14</v>
      </c>
      <c r="G117" s="672">
        <v>0</v>
      </c>
      <c r="H117" s="672">
        <v>0</v>
      </c>
      <c r="I117" s="672">
        <v>0</v>
      </c>
      <c r="J117" s="672">
        <v>0</v>
      </c>
      <c r="K117" s="672">
        <v>0</v>
      </c>
      <c r="L117" s="672">
        <v>0</v>
      </c>
      <c r="M117" s="672">
        <v>0</v>
      </c>
      <c r="N117" s="672">
        <v>-1.6135057642804664</v>
      </c>
      <c r="O117" s="672">
        <v>-3.219646771412954E-15</v>
      </c>
      <c r="P117" s="672">
        <v>0</v>
      </c>
      <c r="Q117" s="672">
        <v>0</v>
      </c>
      <c r="R117" s="672">
        <v>5.6843418860808015E-14</v>
      </c>
      <c r="S117" s="672">
        <v>-1.4210854715202004E-14</v>
      </c>
      <c r="T117" s="672">
        <v>0</v>
      </c>
      <c r="U117" s="672">
        <v>-1.6135057642804895</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361</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5.8150000000000004</v>
      </c>
      <c r="F123" s="663">
        <v>0</v>
      </c>
      <c r="G123" s="663">
        <v>0</v>
      </c>
      <c r="H123" s="663">
        <v>9.3040000000000012E-2</v>
      </c>
      <c r="I123" s="663">
        <v>0</v>
      </c>
      <c r="J123" s="664">
        <v>962.45197015227166</v>
      </c>
      <c r="K123" s="664">
        <v>267.5000244841633</v>
      </c>
      <c r="L123" s="664">
        <v>267.72778932192256</v>
      </c>
      <c r="M123" s="664">
        <v>26.714360415666448</v>
      </c>
      <c r="N123" s="663">
        <v>1.5151391983163085</v>
      </c>
      <c r="O123" s="663">
        <v>0.16086233431790645</v>
      </c>
      <c r="P123" s="664">
        <v>114.79412791174752</v>
      </c>
      <c r="Q123" s="664">
        <v>17.865639972874789</v>
      </c>
      <c r="R123" s="663">
        <v>0</v>
      </c>
      <c r="S123" s="663">
        <v>0</v>
      </c>
      <c r="T123" s="663">
        <v>0</v>
      </c>
      <c r="U123" s="665">
        <v>1664.6379537912806</v>
      </c>
    </row>
    <row r="124" spans="3:21" ht="13">
      <c r="C124" s="662" t="s">
        <v>60</v>
      </c>
      <c r="D124" s="663">
        <v>16.178882267256224</v>
      </c>
      <c r="E124" s="663">
        <v>338.94665094130841</v>
      </c>
      <c r="F124" s="663">
        <v>53.154703213153105</v>
      </c>
      <c r="G124" s="663">
        <v>0.84709048921241781</v>
      </c>
      <c r="H124" s="663">
        <v>154.95460842815714</v>
      </c>
      <c r="I124" s="663">
        <v>0</v>
      </c>
      <c r="J124" s="663">
        <v>0</v>
      </c>
      <c r="K124" s="663">
        <v>0</v>
      </c>
      <c r="L124" s="663">
        <v>3.3497189577114872</v>
      </c>
      <c r="M124" s="663">
        <v>0</v>
      </c>
      <c r="N124" s="663">
        <v>3.7248932526167962</v>
      </c>
      <c r="O124" s="663">
        <v>0</v>
      </c>
      <c r="P124" s="663">
        <v>0</v>
      </c>
      <c r="Q124" s="663">
        <v>0</v>
      </c>
      <c r="R124" s="663">
        <v>0</v>
      </c>
      <c r="S124" s="663">
        <v>0</v>
      </c>
      <c r="T124" s="663">
        <v>0</v>
      </c>
      <c r="U124" s="665">
        <v>571.15654754941545</v>
      </c>
    </row>
    <row r="125" spans="3:21" ht="13">
      <c r="C125" s="662" t="s">
        <v>61</v>
      </c>
      <c r="D125" s="663">
        <v>0</v>
      </c>
      <c r="E125" s="663">
        <v>0</v>
      </c>
      <c r="F125" s="663">
        <v>-0.33572040479024756</v>
      </c>
      <c r="G125" s="663">
        <v>0</v>
      </c>
      <c r="H125" s="663">
        <v>0</v>
      </c>
      <c r="I125" s="663">
        <v>0</v>
      </c>
      <c r="J125" s="663">
        <v>0</v>
      </c>
      <c r="K125" s="663">
        <v>0</v>
      </c>
      <c r="L125" s="663">
        <v>0</v>
      </c>
      <c r="M125" s="663">
        <v>0</v>
      </c>
      <c r="N125" s="663">
        <v>0</v>
      </c>
      <c r="O125" s="663">
        <v>0</v>
      </c>
      <c r="P125" s="663">
        <v>0</v>
      </c>
      <c r="Q125" s="663">
        <v>0</v>
      </c>
      <c r="R125" s="663">
        <v>-40.000125067890167</v>
      </c>
      <c r="S125" s="663">
        <v>0</v>
      </c>
      <c r="T125" s="663">
        <v>0</v>
      </c>
      <c r="U125" s="665">
        <v>-40.335845472680411</v>
      </c>
    </row>
    <row r="126" spans="3:21" ht="13">
      <c r="C126" s="662" t="s">
        <v>62</v>
      </c>
      <c r="D126" s="663">
        <v>0</v>
      </c>
      <c r="E126" s="663">
        <v>0</v>
      </c>
      <c r="F126" s="663">
        <v>-12.959356122819004</v>
      </c>
      <c r="G126" s="663">
        <v>-1.1745589556928391</v>
      </c>
      <c r="H126" s="663">
        <v>-1.8985906548092106</v>
      </c>
      <c r="I126" s="663">
        <v>0</v>
      </c>
      <c r="J126" s="663">
        <v>0</v>
      </c>
      <c r="K126" s="663">
        <v>0</v>
      </c>
      <c r="L126" s="663">
        <v>0</v>
      </c>
      <c r="M126" s="663">
        <v>0</v>
      </c>
      <c r="N126" s="663">
        <v>-0.50338240958264524</v>
      </c>
      <c r="O126" s="663">
        <v>-0.70221846136779031</v>
      </c>
      <c r="P126" s="663">
        <v>0</v>
      </c>
      <c r="Q126" s="663">
        <v>0</v>
      </c>
      <c r="R126" s="663">
        <v>0</v>
      </c>
      <c r="S126" s="663">
        <v>0</v>
      </c>
      <c r="T126" s="663">
        <v>0</v>
      </c>
      <c r="U126" s="665">
        <v>-17.23810660427149</v>
      </c>
    </row>
    <row r="127" spans="3:21" ht="13">
      <c r="C127" s="662" t="s">
        <v>63</v>
      </c>
      <c r="D127" s="663">
        <v>0</v>
      </c>
      <c r="E127" s="663">
        <v>0</v>
      </c>
      <c r="F127" s="663">
        <v>-60.220777612804881</v>
      </c>
      <c r="G127" s="663">
        <v>-3.9749070731502325</v>
      </c>
      <c r="H127" s="663">
        <v>0</v>
      </c>
      <c r="I127" s="663">
        <v>0</v>
      </c>
      <c r="J127" s="663">
        <v>0</v>
      </c>
      <c r="K127" s="663">
        <v>0</v>
      </c>
      <c r="L127" s="663">
        <v>0</v>
      </c>
      <c r="M127" s="663">
        <v>0</v>
      </c>
      <c r="N127" s="663">
        <v>-11.924721219450698</v>
      </c>
      <c r="O127" s="663">
        <v>0</v>
      </c>
      <c r="P127" s="663">
        <v>0</v>
      </c>
      <c r="Q127" s="663">
        <v>0</v>
      </c>
      <c r="R127" s="663">
        <v>0</v>
      </c>
      <c r="S127" s="663">
        <v>0</v>
      </c>
      <c r="T127" s="663">
        <v>-0.14322207633849007</v>
      </c>
      <c r="U127" s="665">
        <v>-76.263627981744307</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16.178882267256224</v>
      </c>
      <c r="E129" s="667">
        <v>344.7616509413084</v>
      </c>
      <c r="F129" s="667">
        <v>-20.361150927261026</v>
      </c>
      <c r="G129" s="667">
        <v>-4.3023755396306536</v>
      </c>
      <c r="H129" s="675">
        <v>153.14905777334795</v>
      </c>
      <c r="I129" s="667">
        <v>0</v>
      </c>
      <c r="J129" s="667">
        <v>962.45197015227166</v>
      </c>
      <c r="K129" s="667">
        <v>267.5000244841633</v>
      </c>
      <c r="L129" s="667">
        <v>271.07750827963406</v>
      </c>
      <c r="M129" s="667">
        <v>26.714360415666448</v>
      </c>
      <c r="N129" s="667">
        <v>-7.1880711781002375</v>
      </c>
      <c r="O129" s="667">
        <v>-0.5413561270498839</v>
      </c>
      <c r="P129" s="667">
        <v>114.79412791174752</v>
      </c>
      <c r="Q129" s="667">
        <v>17.865639972874789</v>
      </c>
      <c r="R129" s="667">
        <v>-40.000125067890167</v>
      </c>
      <c r="S129" s="667">
        <v>0</v>
      </c>
      <c r="T129" s="667">
        <v>-0.14322207633849007</v>
      </c>
      <c r="U129" s="667">
        <v>2101.9569212819993</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0.802217285608815</v>
      </c>
      <c r="G132" s="663">
        <v>0</v>
      </c>
      <c r="H132" s="663">
        <v>10.885217127183394</v>
      </c>
      <c r="I132" s="663">
        <v>0</v>
      </c>
      <c r="J132" s="663">
        <v>962.45197015227166</v>
      </c>
      <c r="K132" s="663">
        <v>267.5000244841633</v>
      </c>
      <c r="L132" s="663">
        <v>25.455194099059376</v>
      </c>
      <c r="M132" s="663">
        <v>9.8679572117025351</v>
      </c>
      <c r="N132" s="663">
        <v>5.0291337303525587</v>
      </c>
      <c r="O132" s="663">
        <v>2.8343761662812361</v>
      </c>
      <c r="P132" s="663">
        <v>0</v>
      </c>
      <c r="Q132" s="663">
        <v>2.7943993103273139</v>
      </c>
      <c r="R132" s="663">
        <v>-610.76520896369152</v>
      </c>
      <c r="S132" s="663">
        <v>0</v>
      </c>
      <c r="T132" s="663">
        <v>0</v>
      </c>
      <c r="U132" s="671">
        <v>676.85528060325873</v>
      </c>
    </row>
    <row r="133" spans="3:21" ht="13">
      <c r="C133" s="670" t="s">
        <v>351</v>
      </c>
      <c r="D133" s="663">
        <v>0</v>
      </c>
      <c r="E133" s="663">
        <v>0</v>
      </c>
      <c r="F133" s="663">
        <v>0</v>
      </c>
      <c r="G133" s="663">
        <v>0</v>
      </c>
      <c r="H133" s="663">
        <v>12.378684044888715</v>
      </c>
      <c r="I133" s="663">
        <v>0</v>
      </c>
      <c r="J133" s="663">
        <v>0</v>
      </c>
      <c r="K133" s="663">
        <v>0</v>
      </c>
      <c r="L133" s="663">
        <v>36.0447949504767</v>
      </c>
      <c r="M133" s="663">
        <v>14.339300216640275</v>
      </c>
      <c r="N133" s="663">
        <v>0</v>
      </c>
      <c r="O133" s="663">
        <v>4.1400526748892315</v>
      </c>
      <c r="P133" s="663">
        <v>0</v>
      </c>
      <c r="Q133" s="663">
        <v>10.825953288370551</v>
      </c>
      <c r="R133" s="663">
        <v>0</v>
      </c>
      <c r="S133" s="663">
        <v>-71.400838762535344</v>
      </c>
      <c r="T133" s="663">
        <v>0</v>
      </c>
      <c r="U133" s="671">
        <v>6.3279464127301193</v>
      </c>
    </row>
    <row r="134" spans="3:21" ht="13">
      <c r="C134" s="670" t="s">
        <v>352</v>
      </c>
      <c r="D134" s="663">
        <v>0</v>
      </c>
      <c r="E134" s="663">
        <v>0</v>
      </c>
      <c r="F134" s="663">
        <v>0</v>
      </c>
      <c r="G134" s="663">
        <v>0</v>
      </c>
      <c r="H134" s="663">
        <v>0</v>
      </c>
      <c r="I134" s="663">
        <v>0</v>
      </c>
      <c r="J134" s="663">
        <v>0</v>
      </c>
      <c r="K134" s="663">
        <v>0</v>
      </c>
      <c r="L134" s="663">
        <v>59.794350125101182</v>
      </c>
      <c r="M134" s="663">
        <v>0</v>
      </c>
      <c r="N134" s="663">
        <v>0</v>
      </c>
      <c r="O134" s="663">
        <v>-54.232182762859196</v>
      </c>
      <c r="P134" s="663">
        <v>0</v>
      </c>
      <c r="Q134" s="663">
        <v>0</v>
      </c>
      <c r="R134" s="663">
        <v>0</v>
      </c>
      <c r="S134" s="663">
        <v>0</v>
      </c>
      <c r="T134" s="663">
        <v>0</v>
      </c>
      <c r="U134" s="671">
        <v>5.5621673622419863</v>
      </c>
    </row>
    <row r="135" spans="3:21" ht="13">
      <c r="C135" s="670" t="s">
        <v>353</v>
      </c>
      <c r="D135" s="663">
        <v>0</v>
      </c>
      <c r="E135" s="663">
        <v>0</v>
      </c>
      <c r="F135" s="663">
        <v>0</v>
      </c>
      <c r="G135" s="663">
        <v>0</v>
      </c>
      <c r="H135" s="663">
        <v>0</v>
      </c>
      <c r="I135" s="663">
        <v>0</v>
      </c>
      <c r="J135" s="663">
        <v>0</v>
      </c>
      <c r="K135" s="663">
        <v>0</v>
      </c>
      <c r="L135" s="663">
        <v>0</v>
      </c>
      <c r="M135" s="663">
        <v>0</v>
      </c>
      <c r="N135" s="663">
        <v>0</v>
      </c>
      <c r="O135" s="663">
        <v>0</v>
      </c>
      <c r="P135" s="663">
        <v>0</v>
      </c>
      <c r="Q135" s="663">
        <v>0</v>
      </c>
      <c r="R135" s="663">
        <v>0</v>
      </c>
      <c r="S135" s="663">
        <v>0</v>
      </c>
      <c r="T135" s="663">
        <v>0</v>
      </c>
      <c r="U135" s="671">
        <v>0</v>
      </c>
    </row>
    <row r="136" spans="3:21" ht="13">
      <c r="C136" s="670" t="s">
        <v>72</v>
      </c>
      <c r="D136" s="663">
        <v>0</v>
      </c>
      <c r="E136" s="663">
        <v>357.27482859273942</v>
      </c>
      <c r="F136" s="663">
        <v>-353.71543432563573</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3.5593942671036793</v>
      </c>
    </row>
    <row r="137" spans="3:21" ht="13">
      <c r="C137" s="670" t="s">
        <v>354</v>
      </c>
      <c r="D137" s="663">
        <v>0</v>
      </c>
      <c r="E137" s="663">
        <v>0</v>
      </c>
      <c r="F137" s="663">
        <v>0</v>
      </c>
      <c r="G137" s="663">
        <v>0</v>
      </c>
      <c r="H137" s="663">
        <v>0</v>
      </c>
      <c r="I137" s="663">
        <v>0</v>
      </c>
      <c r="J137" s="663">
        <v>0</v>
      </c>
      <c r="K137" s="663">
        <v>0</v>
      </c>
      <c r="L137" s="663">
        <v>87.509483344344957</v>
      </c>
      <c r="M137" s="663">
        <v>0</v>
      </c>
      <c r="N137" s="663">
        <v>-87.509483344344957</v>
      </c>
      <c r="O137" s="663">
        <v>0</v>
      </c>
      <c r="P137" s="663">
        <v>0</v>
      </c>
      <c r="Q137" s="663">
        <v>0</v>
      </c>
      <c r="R137" s="663">
        <v>0</v>
      </c>
      <c r="S137" s="663">
        <v>0</v>
      </c>
      <c r="T137" s="663">
        <v>0</v>
      </c>
      <c r="U137" s="671">
        <v>0</v>
      </c>
    </row>
    <row r="138" spans="3:21" ht="13">
      <c r="C138" s="670" t="s">
        <v>355</v>
      </c>
      <c r="D138" s="663">
        <v>0</v>
      </c>
      <c r="E138" s="663">
        <v>0</v>
      </c>
      <c r="F138" s="663">
        <v>0</v>
      </c>
      <c r="G138" s="663">
        <v>-7.9105007206485656</v>
      </c>
      <c r="H138" s="663">
        <v>0</v>
      </c>
      <c r="I138" s="663">
        <v>0</v>
      </c>
      <c r="J138" s="663">
        <v>0</v>
      </c>
      <c r="K138" s="663">
        <v>0</v>
      </c>
      <c r="L138" s="663">
        <v>0</v>
      </c>
      <c r="M138" s="663">
        <v>0</v>
      </c>
      <c r="N138" s="663">
        <v>0</v>
      </c>
      <c r="O138" s="663">
        <v>0</v>
      </c>
      <c r="P138" s="663">
        <v>0</v>
      </c>
      <c r="Q138" s="663">
        <v>0</v>
      </c>
      <c r="R138" s="663">
        <v>0</v>
      </c>
      <c r="S138" s="663">
        <v>0</v>
      </c>
      <c r="T138" s="663">
        <v>11.017410474440901</v>
      </c>
      <c r="U138" s="671">
        <v>3.1069097537923351</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51.730551312429718</v>
      </c>
      <c r="S139" s="663">
        <v>0</v>
      </c>
      <c r="T139" s="663">
        <v>-34.530143001046838</v>
      </c>
      <c r="U139" s="671">
        <v>17.20040831138288</v>
      </c>
    </row>
    <row r="140" spans="3:21" ht="13">
      <c r="C140" s="670" t="s">
        <v>356</v>
      </c>
      <c r="D140" s="663">
        <v>9.1080551953124989</v>
      </c>
      <c r="E140" s="663">
        <v>-12.513177651431018</v>
      </c>
      <c r="F140" s="663">
        <v>16.300260399898175</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12.895137943779657</v>
      </c>
    </row>
    <row r="141" spans="3:21" ht="13">
      <c r="C141" s="670" t="s">
        <v>75</v>
      </c>
      <c r="D141" s="663">
        <v>3.5420214648437502</v>
      </c>
      <c r="E141" s="663">
        <v>0</v>
      </c>
      <c r="F141" s="663">
        <v>18.654676129726123</v>
      </c>
      <c r="G141" s="663">
        <v>0</v>
      </c>
      <c r="H141" s="663">
        <v>3.9220454388203256</v>
      </c>
      <c r="I141" s="663">
        <v>0</v>
      </c>
      <c r="J141" s="663">
        <v>0</v>
      </c>
      <c r="K141" s="663">
        <v>0</v>
      </c>
      <c r="L141" s="663">
        <v>0</v>
      </c>
      <c r="M141" s="663">
        <v>0</v>
      </c>
      <c r="N141" s="663">
        <v>0</v>
      </c>
      <c r="O141" s="663">
        <v>1.4506195458650522</v>
      </c>
      <c r="P141" s="663">
        <v>0</v>
      </c>
      <c r="Q141" s="663">
        <v>0</v>
      </c>
      <c r="R141" s="663">
        <v>24.070214497240038</v>
      </c>
      <c r="S141" s="663">
        <v>0</v>
      </c>
      <c r="T141" s="663">
        <v>0</v>
      </c>
      <c r="U141" s="671">
        <v>51.639577076495286</v>
      </c>
    </row>
    <row r="142" spans="3:21" ht="13">
      <c r="C142" s="670" t="s">
        <v>76</v>
      </c>
      <c r="D142" s="663">
        <v>0</v>
      </c>
      <c r="E142" s="663">
        <v>0</v>
      </c>
      <c r="F142" s="663">
        <v>0</v>
      </c>
      <c r="G142" s="663">
        <v>0</v>
      </c>
      <c r="H142" s="663">
        <v>1.7220653905707752</v>
      </c>
      <c r="I142" s="663">
        <v>0</v>
      </c>
      <c r="J142" s="663">
        <v>0</v>
      </c>
      <c r="K142" s="663">
        <v>0</v>
      </c>
      <c r="L142" s="663">
        <v>0</v>
      </c>
      <c r="M142" s="663">
        <v>0</v>
      </c>
      <c r="N142" s="663">
        <v>0</v>
      </c>
      <c r="O142" s="663">
        <v>0.63692829514261562</v>
      </c>
      <c r="P142" s="663">
        <v>0</v>
      </c>
      <c r="Q142" s="663">
        <v>0</v>
      </c>
      <c r="R142" s="663">
        <v>43.697669495159822</v>
      </c>
      <c r="S142" s="663">
        <v>5.5373897346121579</v>
      </c>
      <c r="T142" s="663">
        <v>0</v>
      </c>
      <c r="U142" s="671">
        <v>51.594052915485378</v>
      </c>
    </row>
    <row r="143" spans="3:21" ht="13">
      <c r="C143" s="666" t="s">
        <v>77</v>
      </c>
      <c r="D143" s="667">
        <v>12.650076660156248</v>
      </c>
      <c r="E143" s="667">
        <v>344.7616509413084</v>
      </c>
      <c r="F143" s="667">
        <v>-317.95828051040263</v>
      </c>
      <c r="G143" s="667">
        <v>-7.9105007206485656</v>
      </c>
      <c r="H143" s="675">
        <v>28.908012001463213</v>
      </c>
      <c r="I143" s="667">
        <v>0</v>
      </c>
      <c r="J143" s="667">
        <v>962.45197015227166</v>
      </c>
      <c r="K143" s="667">
        <v>267.5000244841633</v>
      </c>
      <c r="L143" s="667">
        <v>208.80382251898223</v>
      </c>
      <c r="M143" s="667">
        <v>24.207257428342814</v>
      </c>
      <c r="N143" s="667">
        <v>-82.480349613992402</v>
      </c>
      <c r="O143" s="667">
        <v>-45.170206080681055</v>
      </c>
      <c r="P143" s="667">
        <v>0</v>
      </c>
      <c r="Q143" s="667">
        <v>13.620352598697865</v>
      </c>
      <c r="R143" s="667">
        <v>-491.26677365886189</v>
      </c>
      <c r="S143" s="667">
        <v>-65.863449027923181</v>
      </c>
      <c r="T143" s="667">
        <v>-23.512732526605937</v>
      </c>
      <c r="U143" s="667">
        <v>828.74087464627007</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3.5288056070999749</v>
      </c>
      <c r="E145" s="663">
        <v>0</v>
      </c>
      <c r="F145" s="663">
        <v>9.0742751543652709</v>
      </c>
      <c r="G145" s="663">
        <v>0</v>
      </c>
      <c r="H145" s="663">
        <v>50.765702343803007</v>
      </c>
      <c r="I145" s="663">
        <v>0</v>
      </c>
      <c r="J145" s="663">
        <v>0</v>
      </c>
      <c r="K145" s="663">
        <v>0</v>
      </c>
      <c r="L145" s="663">
        <v>20.203559685037114</v>
      </c>
      <c r="M145" s="663">
        <v>2.5066351077817299</v>
      </c>
      <c r="N145" s="663">
        <v>1.1254933974609376</v>
      </c>
      <c r="O145" s="663">
        <v>18.810321451312785</v>
      </c>
      <c r="P145" s="663">
        <v>5.5404179687499999</v>
      </c>
      <c r="Q145" s="663">
        <v>6.9244826847420892E-4</v>
      </c>
      <c r="R145" s="663">
        <v>129.68210517319469</v>
      </c>
      <c r="S145" s="663">
        <v>18.067305271014469</v>
      </c>
      <c r="T145" s="663">
        <v>3.2886369628906249</v>
      </c>
      <c r="U145" s="671">
        <v>262.59395057097908</v>
      </c>
    </row>
    <row r="146" spans="3:21" ht="13">
      <c r="C146" s="670" t="s">
        <v>79</v>
      </c>
      <c r="D146" s="663">
        <v>0</v>
      </c>
      <c r="E146" s="663">
        <v>0</v>
      </c>
      <c r="F146" s="663">
        <v>183.65265309164423</v>
      </c>
      <c r="G146" s="663">
        <v>0.37586832320647884</v>
      </c>
      <c r="H146" s="663">
        <v>4.5862710057628444</v>
      </c>
      <c r="I146" s="663">
        <v>0</v>
      </c>
      <c r="J146" s="663">
        <v>0</v>
      </c>
      <c r="K146" s="663">
        <v>0</v>
      </c>
      <c r="L146" s="663">
        <v>0</v>
      </c>
      <c r="M146" s="663">
        <v>0</v>
      </c>
      <c r="N146" s="663">
        <v>52.853956211759765</v>
      </c>
      <c r="O146" s="663">
        <v>1.6962920158300934</v>
      </c>
      <c r="P146" s="663">
        <v>0</v>
      </c>
      <c r="Q146" s="663">
        <v>0</v>
      </c>
      <c r="R146" s="663">
        <v>57.341707182273488</v>
      </c>
      <c r="S146" s="663">
        <v>0</v>
      </c>
      <c r="T146" s="663">
        <v>2.0198839430903792</v>
      </c>
      <c r="U146" s="671">
        <v>302.52663177356732</v>
      </c>
    </row>
    <row r="147" spans="3:21" ht="13">
      <c r="C147" s="670" t="s">
        <v>80</v>
      </c>
      <c r="D147" s="663">
        <v>0</v>
      </c>
      <c r="E147" s="663">
        <v>0</v>
      </c>
      <c r="F147" s="663">
        <v>3.260836950166615</v>
      </c>
      <c r="G147" s="663">
        <v>0</v>
      </c>
      <c r="H147" s="663">
        <v>39.313312069692138</v>
      </c>
      <c r="I147" s="663">
        <v>0</v>
      </c>
      <c r="J147" s="663">
        <v>0</v>
      </c>
      <c r="K147" s="663">
        <v>0</v>
      </c>
      <c r="L147" s="663">
        <v>38.595135513286785</v>
      </c>
      <c r="M147" s="663">
        <v>0</v>
      </c>
      <c r="N147" s="663">
        <v>0</v>
      </c>
      <c r="O147" s="663">
        <v>14.540540080571066</v>
      </c>
      <c r="P147" s="663">
        <v>88.021667456281236</v>
      </c>
      <c r="Q147" s="663">
        <v>2.3427124137087052</v>
      </c>
      <c r="R147" s="663">
        <v>158.98187870009832</v>
      </c>
      <c r="S147" s="663">
        <v>28.917251051933125</v>
      </c>
      <c r="T147" s="663">
        <v>0</v>
      </c>
      <c r="U147" s="671">
        <v>373.97333423573804</v>
      </c>
    </row>
    <row r="148" spans="3:21" ht="13">
      <c r="C148" s="670" t="s">
        <v>81</v>
      </c>
      <c r="D148" s="663">
        <v>0</v>
      </c>
      <c r="E148" s="663">
        <v>0</v>
      </c>
      <c r="F148" s="663">
        <v>3.4419330830775619</v>
      </c>
      <c r="G148" s="663">
        <v>0</v>
      </c>
      <c r="H148" s="663">
        <v>19.661407657447267</v>
      </c>
      <c r="I148" s="663">
        <v>0</v>
      </c>
      <c r="J148" s="663">
        <v>0</v>
      </c>
      <c r="K148" s="663">
        <v>0</v>
      </c>
      <c r="L148" s="663">
        <v>0.43406989863895534</v>
      </c>
      <c r="M148" s="663">
        <v>4.6787954190583215E-4</v>
      </c>
      <c r="N148" s="663">
        <v>0</v>
      </c>
      <c r="O148" s="663">
        <v>7.2720274897407702</v>
      </c>
      <c r="P148" s="663">
        <v>20.482042486716281</v>
      </c>
      <c r="Q148" s="663">
        <v>0.93898003664808516</v>
      </c>
      <c r="R148" s="663">
        <v>96.862888654792613</v>
      </c>
      <c r="S148" s="663">
        <v>18.878892704975588</v>
      </c>
      <c r="T148" s="663">
        <v>0</v>
      </c>
      <c r="U148" s="671">
        <v>167.97270989157903</v>
      </c>
    </row>
    <row r="149" spans="3:21" ht="13">
      <c r="C149" s="670" t="s">
        <v>82</v>
      </c>
      <c r="D149" s="663">
        <v>0</v>
      </c>
      <c r="E149" s="663">
        <v>0</v>
      </c>
      <c r="F149" s="663">
        <v>19.85629550078999</v>
      </c>
      <c r="G149" s="663">
        <v>0</v>
      </c>
      <c r="H149" s="663">
        <v>1.376773611649958</v>
      </c>
      <c r="I149" s="663">
        <v>0</v>
      </c>
      <c r="J149" s="663">
        <v>0</v>
      </c>
      <c r="K149" s="663">
        <v>0</v>
      </c>
      <c r="L149" s="663">
        <v>2.7730307508519707</v>
      </c>
      <c r="M149" s="663">
        <v>0</v>
      </c>
      <c r="N149" s="663">
        <v>8.3214654409998232</v>
      </c>
      <c r="O149" s="663">
        <v>0.50921763718560098</v>
      </c>
      <c r="P149" s="663">
        <v>0.75</v>
      </c>
      <c r="Q149" s="663">
        <v>0.96290247555165809</v>
      </c>
      <c r="R149" s="663">
        <v>7.7126288806125016</v>
      </c>
      <c r="S149" s="663">
        <v>0</v>
      </c>
      <c r="T149" s="663">
        <v>0.24940873791150003</v>
      </c>
      <c r="U149" s="671">
        <v>42.511723035553004</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0.68544000000000005</v>
      </c>
      <c r="S150" s="663">
        <v>0</v>
      </c>
      <c r="T150" s="663">
        <v>0</v>
      </c>
      <c r="U150" s="671">
        <v>0.68544000000000005</v>
      </c>
    </row>
    <row r="151" spans="3:21" ht="13">
      <c r="C151" s="666" t="s">
        <v>83</v>
      </c>
      <c r="D151" s="667">
        <v>3.5288056070999749</v>
      </c>
      <c r="E151" s="667">
        <v>0</v>
      </c>
      <c r="F151" s="667">
        <v>219.2859937800437</v>
      </c>
      <c r="G151" s="667">
        <v>0.37586832320647884</v>
      </c>
      <c r="H151" s="675">
        <v>115.70346668835522</v>
      </c>
      <c r="I151" s="667">
        <v>0</v>
      </c>
      <c r="J151" s="667">
        <v>0</v>
      </c>
      <c r="K151" s="667">
        <v>0</v>
      </c>
      <c r="L151" s="667">
        <v>62.005795847814824</v>
      </c>
      <c r="M151" s="667">
        <v>2.5071029873236355</v>
      </c>
      <c r="N151" s="667">
        <v>62.300915050220524</v>
      </c>
      <c r="O151" s="667">
        <v>42.828398674640319</v>
      </c>
      <c r="P151" s="667">
        <v>114.79412791174752</v>
      </c>
      <c r="Q151" s="667">
        <v>4.2452873741769226</v>
      </c>
      <c r="R151" s="667">
        <v>451.26664859097167</v>
      </c>
      <c r="S151" s="667">
        <v>65.863449027923181</v>
      </c>
      <c r="T151" s="667">
        <v>5.5579296438925034</v>
      </c>
      <c r="U151" s="667">
        <v>1150.2637895074163</v>
      </c>
    </row>
    <row r="152" spans="3:21" ht="13">
      <c r="C152" s="662" t="s">
        <v>84</v>
      </c>
      <c r="D152" s="663">
        <v>0</v>
      </c>
      <c r="E152" s="663">
        <v>0</v>
      </c>
      <c r="F152" s="663">
        <v>78.311135803097855</v>
      </c>
      <c r="G152" s="663">
        <v>3.2322568578114335</v>
      </c>
      <c r="H152" s="663">
        <v>8.5375790835295255</v>
      </c>
      <c r="I152" s="663">
        <v>0</v>
      </c>
      <c r="J152" s="663">
        <v>0</v>
      </c>
      <c r="K152" s="663">
        <v>0</v>
      </c>
      <c r="L152" s="663">
        <v>0.26788991283700125</v>
      </c>
      <c r="M152" s="663">
        <v>0</v>
      </c>
      <c r="N152" s="663">
        <v>12.991363385671615</v>
      </c>
      <c r="O152" s="663">
        <v>1.800451278990862</v>
      </c>
      <c r="P152" s="663">
        <v>0</v>
      </c>
      <c r="Q152" s="663">
        <v>0</v>
      </c>
      <c r="R152" s="663">
        <v>0</v>
      </c>
      <c r="S152" s="663">
        <v>0</v>
      </c>
      <c r="T152" s="663">
        <v>17.811580806374948</v>
      </c>
      <c r="U152" s="671">
        <v>122.95225712831325</v>
      </c>
    </row>
    <row r="153" spans="3:21" ht="13">
      <c r="C153" s="666" t="s">
        <v>85</v>
      </c>
      <c r="D153" s="667">
        <v>3.5288056070999749</v>
      </c>
      <c r="E153" s="667">
        <v>0</v>
      </c>
      <c r="F153" s="667">
        <v>297.59712958314151</v>
      </c>
      <c r="G153" s="667">
        <v>3.6081251810179125</v>
      </c>
      <c r="H153" s="675">
        <v>124.24104577188474</v>
      </c>
      <c r="I153" s="667">
        <v>0</v>
      </c>
      <c r="J153" s="667">
        <v>0</v>
      </c>
      <c r="K153" s="667">
        <v>0</v>
      </c>
      <c r="L153" s="667">
        <v>62.273685760651823</v>
      </c>
      <c r="M153" s="667">
        <v>2.5071029873236355</v>
      </c>
      <c r="N153" s="667">
        <v>75.292278435892143</v>
      </c>
      <c r="O153" s="667">
        <v>44.628849953631182</v>
      </c>
      <c r="P153" s="667">
        <v>114.79412791174752</v>
      </c>
      <c r="Q153" s="667">
        <v>4.2452873741769226</v>
      </c>
      <c r="R153" s="667">
        <v>451.26664859097167</v>
      </c>
      <c r="S153" s="667">
        <v>65.863449027923181</v>
      </c>
      <c r="T153" s="667">
        <v>23.369510450267452</v>
      </c>
      <c r="U153" s="667">
        <v>1273.2160466357295</v>
      </c>
    </row>
    <row r="154" spans="3:21">
      <c r="C154" s="654"/>
      <c r="D154" s="672">
        <v>0</v>
      </c>
      <c r="E154" s="672">
        <v>0</v>
      </c>
      <c r="F154" s="672">
        <v>-9.5923269327613525E-14</v>
      </c>
      <c r="G154" s="672">
        <v>0</v>
      </c>
      <c r="H154" s="672">
        <v>0</v>
      </c>
      <c r="I154" s="672">
        <v>0</v>
      </c>
      <c r="J154" s="672">
        <v>0</v>
      </c>
      <c r="K154" s="672">
        <v>0</v>
      </c>
      <c r="L154" s="672">
        <v>0</v>
      </c>
      <c r="M154" s="672">
        <v>0</v>
      </c>
      <c r="N154" s="672">
        <v>-2.1316282072803006E-14</v>
      </c>
      <c r="O154" s="672">
        <v>1.0658141036401503E-14</v>
      </c>
      <c r="P154" s="672">
        <v>0</v>
      </c>
      <c r="Q154" s="672">
        <v>0</v>
      </c>
      <c r="R154" s="672">
        <v>-5.6843418860808015E-14</v>
      </c>
      <c r="S154" s="672">
        <v>0</v>
      </c>
      <c r="T154" s="672">
        <v>4.5796699765787707E-15</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362</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2.3260000000000005</v>
      </c>
      <c r="F160" s="663">
        <v>0</v>
      </c>
      <c r="G160" s="663">
        <v>0</v>
      </c>
      <c r="H160" s="663">
        <v>3.7216000000000006E-2</v>
      </c>
      <c r="I160" s="663">
        <v>0</v>
      </c>
      <c r="J160" s="664">
        <v>964.52942056246673</v>
      </c>
      <c r="K160" s="664">
        <v>311.46236031836668</v>
      </c>
      <c r="L160" s="664">
        <v>294.50335183866372</v>
      </c>
      <c r="M160" s="664">
        <v>26.897654847027933</v>
      </c>
      <c r="N160" s="663">
        <v>1.5522078310841105</v>
      </c>
      <c r="O160" s="663">
        <v>0.16457898409976487</v>
      </c>
      <c r="P160" s="664">
        <v>128.43983591306872</v>
      </c>
      <c r="Q160" s="664">
        <v>20.654107927982594</v>
      </c>
      <c r="R160" s="663">
        <v>0</v>
      </c>
      <c r="S160" s="663">
        <v>0</v>
      </c>
      <c r="T160" s="663">
        <v>0</v>
      </c>
      <c r="U160" s="665">
        <v>1750.5667342227598</v>
      </c>
    </row>
    <row r="161" spans="3:21" ht="13">
      <c r="C161" s="662" t="s">
        <v>60</v>
      </c>
      <c r="D161" s="663">
        <v>13.859177019435306</v>
      </c>
      <c r="E161" s="663">
        <v>296.13837759387053</v>
      </c>
      <c r="F161" s="663">
        <v>5.829718761745502</v>
      </c>
      <c r="G161" s="663">
        <v>0.35872125556105416</v>
      </c>
      <c r="H161" s="663">
        <v>120.63288166670617</v>
      </c>
      <c r="I161" s="663">
        <v>0</v>
      </c>
      <c r="J161" s="663">
        <v>0</v>
      </c>
      <c r="K161" s="663">
        <v>0</v>
      </c>
      <c r="L161" s="663">
        <v>3.8185483520995893</v>
      </c>
      <c r="M161" s="663">
        <v>0</v>
      </c>
      <c r="N161" s="663">
        <v>4.0860505945061325</v>
      </c>
      <c r="O161" s="663">
        <v>0</v>
      </c>
      <c r="P161" s="663">
        <v>0</v>
      </c>
      <c r="Q161" s="663">
        <v>0</v>
      </c>
      <c r="R161" s="663">
        <v>0</v>
      </c>
      <c r="S161" s="663">
        <v>0</v>
      </c>
      <c r="T161" s="663">
        <v>0</v>
      </c>
      <c r="U161" s="665">
        <v>444.72347524392433</v>
      </c>
    </row>
    <row r="162" spans="3:21" ht="13">
      <c r="C162" s="662" t="s">
        <v>61</v>
      </c>
      <c r="D162" s="663">
        <v>0</v>
      </c>
      <c r="E162" s="663">
        <v>0</v>
      </c>
      <c r="F162" s="663">
        <v>-11.930293865877704</v>
      </c>
      <c r="G162" s="663">
        <v>0</v>
      </c>
      <c r="H162" s="663">
        <v>0</v>
      </c>
      <c r="I162" s="663">
        <v>0</v>
      </c>
      <c r="J162" s="663">
        <v>0</v>
      </c>
      <c r="K162" s="663">
        <v>0</v>
      </c>
      <c r="L162" s="663">
        <v>0</v>
      </c>
      <c r="M162" s="663">
        <v>0</v>
      </c>
      <c r="N162" s="663">
        <v>0</v>
      </c>
      <c r="O162" s="663">
        <v>0</v>
      </c>
      <c r="P162" s="663">
        <v>0</v>
      </c>
      <c r="Q162" s="663">
        <v>0</v>
      </c>
      <c r="R162" s="663">
        <v>-39.267637363013023</v>
      </c>
      <c r="S162" s="663">
        <v>0</v>
      </c>
      <c r="T162" s="663">
        <v>0</v>
      </c>
      <c r="U162" s="665">
        <v>-51.197931228890724</v>
      </c>
    </row>
    <row r="163" spans="3:21" ht="13">
      <c r="C163" s="662" t="s">
        <v>62</v>
      </c>
      <c r="D163" s="663">
        <v>0</v>
      </c>
      <c r="E163" s="663">
        <v>0</v>
      </c>
      <c r="F163" s="663">
        <v>-10.650864702914385</v>
      </c>
      <c r="G163" s="663">
        <v>-1.9080821969915447</v>
      </c>
      <c r="H163" s="663">
        <v>-4.5147113062781807</v>
      </c>
      <c r="I163" s="663">
        <v>0</v>
      </c>
      <c r="J163" s="663">
        <v>0</v>
      </c>
      <c r="K163" s="663">
        <v>0</v>
      </c>
      <c r="L163" s="663">
        <v>0</v>
      </c>
      <c r="M163" s="663">
        <v>0</v>
      </c>
      <c r="N163" s="663">
        <v>-0.48900468677593995</v>
      </c>
      <c r="O163" s="663">
        <v>-2.7436669996352929</v>
      </c>
      <c r="P163" s="663">
        <v>0</v>
      </c>
      <c r="Q163" s="663">
        <v>0</v>
      </c>
      <c r="R163" s="663">
        <v>0</v>
      </c>
      <c r="S163" s="663">
        <v>0</v>
      </c>
      <c r="T163" s="663">
        <v>0</v>
      </c>
      <c r="U163" s="665">
        <v>-20.306329892595343</v>
      </c>
    </row>
    <row r="164" spans="3:21" ht="13">
      <c r="C164" s="662" t="s">
        <v>63</v>
      </c>
      <c r="D164" s="663">
        <v>0</v>
      </c>
      <c r="E164" s="663">
        <v>0</v>
      </c>
      <c r="F164" s="663">
        <v>-52.2656340821949</v>
      </c>
      <c r="G164" s="663">
        <v>-8.2703034572776399</v>
      </c>
      <c r="H164" s="663">
        <v>0</v>
      </c>
      <c r="I164" s="663">
        <v>0</v>
      </c>
      <c r="J164" s="663">
        <v>0</v>
      </c>
      <c r="K164" s="663">
        <v>0</v>
      </c>
      <c r="L164" s="663">
        <v>0</v>
      </c>
      <c r="M164" s="663">
        <v>0</v>
      </c>
      <c r="N164" s="663">
        <v>-13.213101981709578</v>
      </c>
      <c r="O164" s="663">
        <v>0</v>
      </c>
      <c r="P164" s="663">
        <v>0</v>
      </c>
      <c r="Q164" s="663">
        <v>0</v>
      </c>
      <c r="R164" s="663">
        <v>0</v>
      </c>
      <c r="S164" s="663">
        <v>0</v>
      </c>
      <c r="T164" s="663">
        <v>-0.45605370393256905</v>
      </c>
      <c r="U164" s="665">
        <v>-74.20509322511468</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13.859177019435306</v>
      </c>
      <c r="E166" s="667">
        <v>298.46437759387055</v>
      </c>
      <c r="F166" s="667">
        <v>-69.017073889241487</v>
      </c>
      <c r="G166" s="667">
        <v>-9.8196643987081309</v>
      </c>
      <c r="H166" s="675">
        <v>116.15538636042798</v>
      </c>
      <c r="I166" s="667">
        <v>0</v>
      </c>
      <c r="J166" s="667">
        <v>964.52942056246673</v>
      </c>
      <c r="K166" s="667">
        <v>311.46236031836668</v>
      </c>
      <c r="L166" s="667">
        <v>298.3219001907633</v>
      </c>
      <c r="M166" s="667">
        <v>26.897654847027933</v>
      </c>
      <c r="N166" s="667">
        <v>-8.0638482428952756</v>
      </c>
      <c r="O166" s="667">
        <v>-2.579088015535528</v>
      </c>
      <c r="P166" s="667">
        <v>128.43983591306872</v>
      </c>
      <c r="Q166" s="667">
        <v>20.654107927982594</v>
      </c>
      <c r="R166" s="667">
        <v>-39.267637363013023</v>
      </c>
      <c r="S166" s="667">
        <v>0</v>
      </c>
      <c r="T166" s="667">
        <v>-0.45605370393256905</v>
      </c>
      <c r="U166" s="667">
        <v>2049.5808551200835</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0.36057808628354604</v>
      </c>
      <c r="G169" s="663">
        <v>0</v>
      </c>
      <c r="H169" s="663">
        <v>7.5839969390793698</v>
      </c>
      <c r="I169" s="663">
        <v>0</v>
      </c>
      <c r="J169" s="663">
        <v>964.52942056246673</v>
      </c>
      <c r="K169" s="663">
        <v>311.46236031836668</v>
      </c>
      <c r="L169" s="663">
        <v>22.176349392164049</v>
      </c>
      <c r="M169" s="663">
        <v>10.089931127123995</v>
      </c>
      <c r="N169" s="663">
        <v>5.3878161949008447</v>
      </c>
      <c r="O169" s="663">
        <v>2.0095680781151462</v>
      </c>
      <c r="P169" s="663">
        <v>0</v>
      </c>
      <c r="Q169" s="663">
        <v>4.9774137725284184</v>
      </c>
      <c r="R169" s="663">
        <v>-653.56257887708989</v>
      </c>
      <c r="S169" s="663">
        <v>0</v>
      </c>
      <c r="T169" s="663">
        <v>1.9189703578470259</v>
      </c>
      <c r="U169" s="671">
        <v>676.93382595178593</v>
      </c>
    </row>
    <row r="170" spans="3:21" ht="13">
      <c r="C170" s="670" t="s">
        <v>351</v>
      </c>
      <c r="D170" s="663">
        <v>0</v>
      </c>
      <c r="E170" s="663">
        <v>0</v>
      </c>
      <c r="F170" s="663">
        <v>0</v>
      </c>
      <c r="G170" s="663">
        <v>0</v>
      </c>
      <c r="H170" s="663">
        <v>9.2764090353058375</v>
      </c>
      <c r="I170" s="663">
        <v>0</v>
      </c>
      <c r="J170" s="663">
        <v>0</v>
      </c>
      <c r="K170" s="663">
        <v>0</v>
      </c>
      <c r="L170" s="663">
        <v>35.764224717869801</v>
      </c>
      <c r="M170" s="663">
        <v>14.37233701187753</v>
      </c>
      <c r="N170" s="663">
        <v>0</v>
      </c>
      <c r="O170" s="663">
        <v>5.4622758911360467</v>
      </c>
      <c r="P170" s="663">
        <v>0</v>
      </c>
      <c r="Q170" s="663">
        <v>10.952590418500169</v>
      </c>
      <c r="R170" s="663">
        <v>0</v>
      </c>
      <c r="S170" s="663">
        <v>-70.157887736076944</v>
      </c>
      <c r="T170" s="663">
        <v>0</v>
      </c>
      <c r="U170" s="671">
        <v>5.6699493386124447</v>
      </c>
    </row>
    <row r="171" spans="3:21" ht="13">
      <c r="C171" s="670" t="s">
        <v>352</v>
      </c>
      <c r="D171" s="663">
        <v>0</v>
      </c>
      <c r="E171" s="663">
        <v>0</v>
      </c>
      <c r="F171" s="663">
        <v>0</v>
      </c>
      <c r="G171" s="663">
        <v>0</v>
      </c>
      <c r="H171" s="663">
        <v>0</v>
      </c>
      <c r="I171" s="663">
        <v>0</v>
      </c>
      <c r="J171" s="663">
        <v>0</v>
      </c>
      <c r="K171" s="663">
        <v>0</v>
      </c>
      <c r="L171" s="663">
        <v>74.445335403224831</v>
      </c>
      <c r="M171" s="663">
        <v>0</v>
      </c>
      <c r="N171" s="663">
        <v>0</v>
      </c>
      <c r="O171" s="663">
        <v>-68.22829141881553</v>
      </c>
      <c r="P171" s="663">
        <v>0</v>
      </c>
      <c r="Q171" s="663">
        <v>0</v>
      </c>
      <c r="R171" s="663">
        <v>0</v>
      </c>
      <c r="S171" s="663">
        <v>0</v>
      </c>
      <c r="T171" s="663">
        <v>0</v>
      </c>
      <c r="U171" s="671">
        <v>6.2170439844093011</v>
      </c>
    </row>
    <row r="172" spans="3:21" ht="13">
      <c r="C172" s="670" t="s">
        <v>353</v>
      </c>
      <c r="D172" s="663">
        <v>0</v>
      </c>
      <c r="E172" s="663">
        <v>0</v>
      </c>
      <c r="F172" s="663">
        <v>0</v>
      </c>
      <c r="G172" s="663">
        <v>0</v>
      </c>
      <c r="H172" s="663">
        <v>0</v>
      </c>
      <c r="I172" s="663">
        <v>0</v>
      </c>
      <c r="J172" s="663">
        <v>0</v>
      </c>
      <c r="K172" s="663">
        <v>0</v>
      </c>
      <c r="L172" s="663">
        <v>0</v>
      </c>
      <c r="M172" s="663">
        <v>0</v>
      </c>
      <c r="N172" s="663">
        <v>0</v>
      </c>
      <c r="O172" s="663">
        <v>0</v>
      </c>
      <c r="P172" s="663">
        <v>0</v>
      </c>
      <c r="Q172" s="663">
        <v>0</v>
      </c>
      <c r="R172" s="663">
        <v>0</v>
      </c>
      <c r="S172" s="663">
        <v>0</v>
      </c>
      <c r="T172" s="663">
        <v>0</v>
      </c>
      <c r="U172" s="671">
        <v>0</v>
      </c>
    </row>
    <row r="173" spans="3:21" ht="13">
      <c r="C173" s="670" t="s">
        <v>72</v>
      </c>
      <c r="D173" s="663">
        <v>0</v>
      </c>
      <c r="E173" s="663">
        <v>309.28389692910912</v>
      </c>
      <c r="F173" s="663">
        <v>-306.20133621434456</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3.0825607147645133</v>
      </c>
    </row>
    <row r="174" spans="3:21" ht="13">
      <c r="C174" s="670" t="s">
        <v>354</v>
      </c>
      <c r="D174" s="663">
        <v>0</v>
      </c>
      <c r="E174" s="663">
        <v>0</v>
      </c>
      <c r="F174" s="663">
        <v>0</v>
      </c>
      <c r="G174" s="663">
        <v>0</v>
      </c>
      <c r="H174" s="663">
        <v>0</v>
      </c>
      <c r="I174" s="663">
        <v>0</v>
      </c>
      <c r="J174" s="663">
        <v>0</v>
      </c>
      <c r="K174" s="663">
        <v>0</v>
      </c>
      <c r="L174" s="663">
        <v>106.10331078427467</v>
      </c>
      <c r="M174" s="663">
        <v>0</v>
      </c>
      <c r="N174" s="663">
        <v>-106.10331078427467</v>
      </c>
      <c r="O174" s="663">
        <v>0</v>
      </c>
      <c r="P174" s="663">
        <v>0</v>
      </c>
      <c r="Q174" s="663">
        <v>0</v>
      </c>
      <c r="R174" s="663">
        <v>0</v>
      </c>
      <c r="S174" s="663">
        <v>0</v>
      </c>
      <c r="T174" s="663">
        <v>0</v>
      </c>
      <c r="U174" s="671">
        <v>0</v>
      </c>
    </row>
    <row r="175" spans="3:21" ht="13">
      <c r="C175" s="670" t="s">
        <v>355</v>
      </c>
      <c r="D175" s="663">
        <v>0</v>
      </c>
      <c r="E175" s="663">
        <v>0</v>
      </c>
      <c r="F175" s="663">
        <v>0</v>
      </c>
      <c r="G175" s="663">
        <v>-16.310777823492739</v>
      </c>
      <c r="H175" s="663">
        <v>0</v>
      </c>
      <c r="I175" s="663">
        <v>0</v>
      </c>
      <c r="J175" s="663">
        <v>0</v>
      </c>
      <c r="K175" s="663">
        <v>0</v>
      </c>
      <c r="L175" s="663">
        <v>0</v>
      </c>
      <c r="M175" s="663">
        <v>0</v>
      </c>
      <c r="N175" s="663">
        <v>0</v>
      </c>
      <c r="O175" s="663">
        <v>0</v>
      </c>
      <c r="P175" s="663">
        <v>0</v>
      </c>
      <c r="Q175" s="663">
        <v>0</v>
      </c>
      <c r="R175" s="663">
        <v>0</v>
      </c>
      <c r="S175" s="663">
        <v>0</v>
      </c>
      <c r="T175" s="663">
        <v>22.716960756953675</v>
      </c>
      <c r="U175" s="671">
        <v>6.4061829334609364</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80.747003520407887</v>
      </c>
      <c r="S176" s="663">
        <v>0</v>
      </c>
      <c r="T176" s="663">
        <v>-54.746468386836547</v>
      </c>
      <c r="U176" s="671">
        <v>26.00053513357134</v>
      </c>
    </row>
    <row r="177" spans="3:21" ht="13">
      <c r="C177" s="670" t="s">
        <v>356</v>
      </c>
      <c r="D177" s="663">
        <v>7.7637663281249996</v>
      </c>
      <c r="E177" s="663">
        <v>-10.819519335238569</v>
      </c>
      <c r="F177" s="663">
        <v>14.100311366339174</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11.044558359225604</v>
      </c>
    </row>
    <row r="178" spans="3:21" ht="13">
      <c r="C178" s="670" t="s">
        <v>75</v>
      </c>
      <c r="D178" s="663">
        <v>3.0192424609374999</v>
      </c>
      <c r="E178" s="663">
        <v>0</v>
      </c>
      <c r="F178" s="663">
        <v>18.191659515376916</v>
      </c>
      <c r="G178" s="663">
        <v>0</v>
      </c>
      <c r="H178" s="663">
        <v>3.2664120682994437</v>
      </c>
      <c r="I178" s="663">
        <v>0</v>
      </c>
      <c r="J178" s="663">
        <v>0</v>
      </c>
      <c r="K178" s="663">
        <v>0</v>
      </c>
      <c r="L178" s="663">
        <v>0</v>
      </c>
      <c r="M178" s="663">
        <v>0</v>
      </c>
      <c r="N178" s="663">
        <v>0</v>
      </c>
      <c r="O178" s="663">
        <v>1.9850542794488581</v>
      </c>
      <c r="P178" s="663">
        <v>0</v>
      </c>
      <c r="Q178" s="663">
        <v>0</v>
      </c>
      <c r="R178" s="663">
        <v>23.96590055491529</v>
      </c>
      <c r="S178" s="663">
        <v>0</v>
      </c>
      <c r="T178" s="663">
        <v>0</v>
      </c>
      <c r="U178" s="671">
        <v>50.42826887897801</v>
      </c>
    </row>
    <row r="179" spans="3:21" ht="13">
      <c r="C179" s="670" t="s">
        <v>76</v>
      </c>
      <c r="D179" s="663">
        <v>0</v>
      </c>
      <c r="E179" s="663">
        <v>0</v>
      </c>
      <c r="F179" s="663">
        <v>0</v>
      </c>
      <c r="G179" s="663">
        <v>0</v>
      </c>
      <c r="H179" s="663">
        <v>1.3208205478094497</v>
      </c>
      <c r="I179" s="663">
        <v>0</v>
      </c>
      <c r="J179" s="663">
        <v>0</v>
      </c>
      <c r="K179" s="663">
        <v>0</v>
      </c>
      <c r="L179" s="663">
        <v>0</v>
      </c>
      <c r="M179" s="663">
        <v>0</v>
      </c>
      <c r="N179" s="663">
        <v>0</v>
      </c>
      <c r="O179" s="663">
        <v>0.80268515606426361</v>
      </c>
      <c r="P179" s="663">
        <v>0</v>
      </c>
      <c r="Q179" s="663">
        <v>0</v>
      </c>
      <c r="R179" s="663">
        <v>47.023558909206123</v>
      </c>
      <c r="S179" s="663">
        <v>5.4411740217158124</v>
      </c>
      <c r="T179" s="663">
        <v>0</v>
      </c>
      <c r="U179" s="671">
        <v>54.588238634795651</v>
      </c>
    </row>
    <row r="180" spans="3:21" ht="13">
      <c r="C180" s="666" t="s">
        <v>77</v>
      </c>
      <c r="D180" s="667">
        <v>10.783008789062499</v>
      </c>
      <c r="E180" s="667">
        <v>298.46437759387055</v>
      </c>
      <c r="F180" s="667">
        <v>-273.54878724634494</v>
      </c>
      <c r="G180" s="667">
        <v>-16.310777823492739</v>
      </c>
      <c r="H180" s="675">
        <v>21.447638590494105</v>
      </c>
      <c r="I180" s="667">
        <v>0</v>
      </c>
      <c r="J180" s="667">
        <v>964.52942056246673</v>
      </c>
      <c r="K180" s="667">
        <v>311.46236031836668</v>
      </c>
      <c r="L180" s="667">
        <v>238.48922029753334</v>
      </c>
      <c r="M180" s="667">
        <v>24.462268139001523</v>
      </c>
      <c r="N180" s="667">
        <v>-100.71549458937382</v>
      </c>
      <c r="O180" s="667">
        <v>-57.968708014051209</v>
      </c>
      <c r="P180" s="667">
        <v>0</v>
      </c>
      <c r="Q180" s="667">
        <v>15.930004191028587</v>
      </c>
      <c r="R180" s="667">
        <v>-501.82611589256055</v>
      </c>
      <c r="S180" s="667">
        <v>-64.71671371436112</v>
      </c>
      <c r="T180" s="667">
        <v>-30.110537272035845</v>
      </c>
      <c r="U180" s="667">
        <v>840.37116392960388</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3.0761682303728053</v>
      </c>
      <c r="E182" s="663">
        <v>0</v>
      </c>
      <c r="F182" s="663">
        <v>6.6351508306047968</v>
      </c>
      <c r="G182" s="663">
        <v>0</v>
      </c>
      <c r="H182" s="663">
        <v>38.528321178569939</v>
      </c>
      <c r="I182" s="663">
        <v>0</v>
      </c>
      <c r="J182" s="663">
        <v>0</v>
      </c>
      <c r="K182" s="663">
        <v>0</v>
      </c>
      <c r="L182" s="663">
        <v>20.031105646676835</v>
      </c>
      <c r="M182" s="663">
        <v>2.4349588281846541</v>
      </c>
      <c r="N182" s="663">
        <v>1.8349433718750003</v>
      </c>
      <c r="O182" s="663">
        <v>23.451101372697913</v>
      </c>
      <c r="P182" s="663">
        <v>6.8164926757812498</v>
      </c>
      <c r="Q182" s="663">
        <v>7.4990210834655101E-4</v>
      </c>
      <c r="R182" s="663">
        <v>132.01210341841889</v>
      </c>
      <c r="S182" s="663">
        <v>18.207144124668375</v>
      </c>
      <c r="T182" s="663">
        <v>4.1350366210937501</v>
      </c>
      <c r="U182" s="671">
        <v>257.16327620105255</v>
      </c>
    </row>
    <row r="183" spans="3:21" ht="13">
      <c r="C183" s="670" t="s">
        <v>79</v>
      </c>
      <c r="D183" s="663">
        <v>0</v>
      </c>
      <c r="E183" s="663">
        <v>0</v>
      </c>
      <c r="F183" s="663">
        <v>110.91379205811297</v>
      </c>
      <c r="G183" s="663">
        <v>0.7006243456433674</v>
      </c>
      <c r="H183" s="663">
        <v>3.7872267703464977</v>
      </c>
      <c r="I183" s="663">
        <v>0</v>
      </c>
      <c r="J183" s="663">
        <v>0</v>
      </c>
      <c r="K183" s="663">
        <v>0</v>
      </c>
      <c r="L183" s="663">
        <v>0</v>
      </c>
      <c r="M183" s="663">
        <v>0</v>
      </c>
      <c r="N183" s="663">
        <v>63.547118628094331</v>
      </c>
      <c r="O183" s="663">
        <v>2.3015622495031773</v>
      </c>
      <c r="P183" s="663">
        <v>0</v>
      </c>
      <c r="Q183" s="663">
        <v>0</v>
      </c>
      <c r="R183" s="663">
        <v>74.297767208409297</v>
      </c>
      <c r="S183" s="663">
        <v>0</v>
      </c>
      <c r="T183" s="663">
        <v>2.9567259991236208</v>
      </c>
      <c r="U183" s="671">
        <v>258.50481725923328</v>
      </c>
    </row>
    <row r="184" spans="3:21" ht="13">
      <c r="C184" s="670" t="s">
        <v>80</v>
      </c>
      <c r="D184" s="663">
        <v>0</v>
      </c>
      <c r="E184" s="663">
        <v>0</v>
      </c>
      <c r="F184" s="663">
        <v>2.6564398035767778</v>
      </c>
      <c r="G184" s="663">
        <v>0</v>
      </c>
      <c r="H184" s="663">
        <v>28.69836522821614</v>
      </c>
      <c r="I184" s="663">
        <v>0</v>
      </c>
      <c r="J184" s="663">
        <v>0</v>
      </c>
      <c r="K184" s="663">
        <v>0</v>
      </c>
      <c r="L184" s="663">
        <v>35.896639108009097</v>
      </c>
      <c r="M184" s="663">
        <v>0</v>
      </c>
      <c r="N184" s="663">
        <v>0</v>
      </c>
      <c r="O184" s="663">
        <v>17.440485621005948</v>
      </c>
      <c r="P184" s="663">
        <v>97.288022909546527</v>
      </c>
      <c r="Q184" s="663">
        <v>2.574236293616976</v>
      </c>
      <c r="R184" s="663">
        <v>153.30644884049457</v>
      </c>
      <c r="S184" s="663">
        <v>27.523160685886953</v>
      </c>
      <c r="T184" s="663">
        <v>0</v>
      </c>
      <c r="U184" s="671">
        <v>365.383798490353</v>
      </c>
    </row>
    <row r="185" spans="3:21" ht="13">
      <c r="C185" s="670" t="s">
        <v>81</v>
      </c>
      <c r="D185" s="663">
        <v>0</v>
      </c>
      <c r="E185" s="663">
        <v>0</v>
      </c>
      <c r="F185" s="663">
        <v>2.1807410006338563</v>
      </c>
      <c r="G185" s="663">
        <v>0</v>
      </c>
      <c r="H185" s="663">
        <v>15.077359159365459</v>
      </c>
      <c r="I185" s="663">
        <v>0</v>
      </c>
      <c r="J185" s="663">
        <v>0</v>
      </c>
      <c r="K185" s="663">
        <v>0</v>
      </c>
      <c r="L185" s="663">
        <v>0.41672235765550286</v>
      </c>
      <c r="M185" s="663">
        <v>4.2787984175547016E-4</v>
      </c>
      <c r="N185" s="663">
        <v>0</v>
      </c>
      <c r="O185" s="663">
        <v>9.1627681064954078</v>
      </c>
      <c r="P185" s="663">
        <v>23.435320327740932</v>
      </c>
      <c r="Q185" s="663">
        <v>0.98358432216492664</v>
      </c>
      <c r="R185" s="663">
        <v>94.082065678581444</v>
      </c>
      <c r="S185" s="663">
        <v>18.986408903805792</v>
      </c>
      <c r="T185" s="663">
        <v>0</v>
      </c>
      <c r="U185" s="671">
        <v>164.32539773628508</v>
      </c>
    </row>
    <row r="186" spans="3:21" ht="13">
      <c r="C186" s="670" t="s">
        <v>82</v>
      </c>
      <c r="D186" s="663">
        <v>0</v>
      </c>
      <c r="E186" s="663">
        <v>0</v>
      </c>
      <c r="F186" s="663">
        <v>12.977219358559188</v>
      </c>
      <c r="G186" s="663">
        <v>1</v>
      </c>
      <c r="H186" s="663">
        <v>1.1408122878946925</v>
      </c>
      <c r="I186" s="663">
        <v>0</v>
      </c>
      <c r="J186" s="663">
        <v>0</v>
      </c>
      <c r="K186" s="663">
        <v>0</v>
      </c>
      <c r="L186" s="663">
        <v>3.1334095930613137</v>
      </c>
      <c r="M186" s="663">
        <v>0</v>
      </c>
      <c r="N186" s="663">
        <v>12.27694106679661</v>
      </c>
      <c r="O186" s="663">
        <v>0.69329106884918612</v>
      </c>
      <c r="P186" s="663">
        <v>0.9</v>
      </c>
      <c r="Q186" s="663">
        <v>1.1655332190637568</v>
      </c>
      <c r="R186" s="663">
        <v>7.7417893836432903</v>
      </c>
      <c r="S186" s="663">
        <v>0</v>
      </c>
      <c r="T186" s="663">
        <v>0.29485655237537339</v>
      </c>
      <c r="U186" s="671">
        <v>41.3238525302434</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1.118304</v>
      </c>
      <c r="S187" s="663">
        <v>0</v>
      </c>
      <c r="T187" s="663">
        <v>0</v>
      </c>
      <c r="U187" s="671">
        <v>1.118304</v>
      </c>
    </row>
    <row r="188" spans="3:21" ht="13">
      <c r="C188" s="666" t="s">
        <v>83</v>
      </c>
      <c r="D188" s="667">
        <v>3.0761682303728053</v>
      </c>
      <c r="E188" s="667">
        <v>0</v>
      </c>
      <c r="F188" s="667">
        <v>135.36334305148762</v>
      </c>
      <c r="G188" s="667">
        <v>1.7006243456433674</v>
      </c>
      <c r="H188" s="675">
        <v>87.232084624392726</v>
      </c>
      <c r="I188" s="667">
        <v>0</v>
      </c>
      <c r="J188" s="667">
        <v>0</v>
      </c>
      <c r="K188" s="667">
        <v>0</v>
      </c>
      <c r="L188" s="667">
        <v>59.47787670540275</v>
      </c>
      <c r="M188" s="667">
        <v>2.4353867080264098</v>
      </c>
      <c r="N188" s="667">
        <v>77.659003066765948</v>
      </c>
      <c r="O188" s="667">
        <v>53.049208418551629</v>
      </c>
      <c r="P188" s="667">
        <v>128.43983591306872</v>
      </c>
      <c r="Q188" s="667">
        <v>4.7241037369540066</v>
      </c>
      <c r="R188" s="667">
        <v>462.55847852954759</v>
      </c>
      <c r="S188" s="667">
        <v>64.71671371436112</v>
      </c>
      <c r="T188" s="667">
        <v>7.3866191725927441</v>
      </c>
      <c r="U188" s="667">
        <v>1087.8194462171675</v>
      </c>
    </row>
    <row r="189" spans="3:21" ht="13">
      <c r="C189" s="662" t="s">
        <v>84</v>
      </c>
      <c r="D189" s="663">
        <v>0</v>
      </c>
      <c r="E189" s="663">
        <v>0</v>
      </c>
      <c r="F189" s="663">
        <v>69.168370305615824</v>
      </c>
      <c r="G189" s="663">
        <v>4.7904890791412402</v>
      </c>
      <c r="H189" s="663">
        <v>7.4756631455411453</v>
      </c>
      <c r="I189" s="663">
        <v>0</v>
      </c>
      <c r="J189" s="663">
        <v>0</v>
      </c>
      <c r="K189" s="663">
        <v>0</v>
      </c>
      <c r="L189" s="663">
        <v>0.35480318782723769</v>
      </c>
      <c r="M189" s="663">
        <v>0</v>
      </c>
      <c r="N189" s="663">
        <v>14.992643279712595</v>
      </c>
      <c r="O189" s="663">
        <v>2.3404115799640408</v>
      </c>
      <c r="P189" s="663">
        <v>0</v>
      </c>
      <c r="Q189" s="663">
        <v>0</v>
      </c>
      <c r="R189" s="663">
        <v>0</v>
      </c>
      <c r="S189" s="663">
        <v>0</v>
      </c>
      <c r="T189" s="663">
        <v>22.267864395510532</v>
      </c>
      <c r="U189" s="671">
        <v>121.39024497331262</v>
      </c>
    </row>
    <row r="190" spans="3:21" ht="13">
      <c r="C190" s="666" t="s">
        <v>85</v>
      </c>
      <c r="D190" s="667">
        <v>3.0761682303728053</v>
      </c>
      <c r="E190" s="667">
        <v>0</v>
      </c>
      <c r="F190" s="667">
        <v>204.53171335710346</v>
      </c>
      <c r="G190" s="667">
        <v>6.4911134247846078</v>
      </c>
      <c r="H190" s="675">
        <v>94.707747769933874</v>
      </c>
      <c r="I190" s="667">
        <v>0</v>
      </c>
      <c r="J190" s="667">
        <v>0</v>
      </c>
      <c r="K190" s="667">
        <v>0</v>
      </c>
      <c r="L190" s="667">
        <v>59.832679893229987</v>
      </c>
      <c r="M190" s="667">
        <v>2.4353867080264098</v>
      </c>
      <c r="N190" s="667">
        <v>92.651646346478543</v>
      </c>
      <c r="O190" s="667">
        <v>55.38961999851567</v>
      </c>
      <c r="P190" s="667">
        <v>128.43983591306872</v>
      </c>
      <c r="Q190" s="667">
        <v>4.7241037369540066</v>
      </c>
      <c r="R190" s="667">
        <v>462.55847852954759</v>
      </c>
      <c r="S190" s="667">
        <v>64.71671371436112</v>
      </c>
      <c r="T190" s="667">
        <v>29.654483568103277</v>
      </c>
      <c r="U190" s="667">
        <v>1209.20969119048</v>
      </c>
    </row>
    <row r="191" spans="3:21">
      <c r="C191" s="654"/>
      <c r="D191" s="672">
        <v>0</v>
      </c>
      <c r="E191" s="672">
        <v>0</v>
      </c>
      <c r="F191" s="672">
        <v>0</v>
      </c>
      <c r="G191" s="672">
        <v>0</v>
      </c>
      <c r="H191" s="672">
        <v>0</v>
      </c>
      <c r="I191" s="672">
        <v>0</v>
      </c>
      <c r="J191" s="672">
        <v>0</v>
      </c>
      <c r="K191" s="672">
        <v>0</v>
      </c>
      <c r="L191" s="672">
        <v>0</v>
      </c>
      <c r="M191" s="672">
        <v>0</v>
      </c>
      <c r="N191" s="672">
        <v>0</v>
      </c>
      <c r="O191" s="672">
        <v>-1.1546319456101628E-14</v>
      </c>
      <c r="P191" s="672">
        <v>0</v>
      </c>
      <c r="Q191" s="672">
        <v>0</v>
      </c>
      <c r="R191" s="672">
        <v>5.6843418860808015E-14</v>
      </c>
      <c r="S191" s="672">
        <v>0</v>
      </c>
      <c r="T191" s="672">
        <v>9.9920072216264089E-16</v>
      </c>
      <c r="U191" s="672">
        <v>0</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363</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0</v>
      </c>
      <c r="F197" s="663">
        <v>0</v>
      </c>
      <c r="G197" s="663">
        <v>0</v>
      </c>
      <c r="H197" s="663">
        <v>0</v>
      </c>
      <c r="I197" s="663">
        <v>0</v>
      </c>
      <c r="J197" s="664">
        <v>965.91438750259681</v>
      </c>
      <c r="K197" s="664">
        <v>340.77058420783555</v>
      </c>
      <c r="L197" s="664">
        <v>306.24907142960961</v>
      </c>
      <c r="M197" s="664">
        <v>26.996685887157991</v>
      </c>
      <c r="N197" s="663">
        <v>1.5769202529293118</v>
      </c>
      <c r="O197" s="663">
        <v>0.16705675062100381</v>
      </c>
      <c r="P197" s="664">
        <v>137.63232647396575</v>
      </c>
      <c r="Q197" s="664">
        <v>22.505061443653027</v>
      </c>
      <c r="R197" s="663">
        <v>0</v>
      </c>
      <c r="S197" s="663">
        <v>0</v>
      </c>
      <c r="T197" s="663">
        <v>0</v>
      </c>
      <c r="U197" s="665">
        <v>1801.812093948369</v>
      </c>
    </row>
    <row r="198" spans="3:21" ht="13">
      <c r="C198" s="662" t="s">
        <v>60</v>
      </c>
      <c r="D198" s="663">
        <v>12.402103294712147</v>
      </c>
      <c r="E198" s="663">
        <v>267.59952869557856</v>
      </c>
      <c r="F198" s="663">
        <v>4.6624671135986846</v>
      </c>
      <c r="G198" s="663">
        <v>0</v>
      </c>
      <c r="H198" s="663">
        <v>96.376212667923994</v>
      </c>
      <c r="I198" s="663">
        <v>0</v>
      </c>
      <c r="J198" s="663">
        <v>0</v>
      </c>
      <c r="K198" s="663">
        <v>0</v>
      </c>
      <c r="L198" s="663">
        <v>4.1311012816916577</v>
      </c>
      <c r="M198" s="663">
        <v>0</v>
      </c>
      <c r="N198" s="663">
        <v>4.3268221557656901</v>
      </c>
      <c r="O198" s="663">
        <v>0</v>
      </c>
      <c r="P198" s="663">
        <v>0</v>
      </c>
      <c r="Q198" s="663">
        <v>0</v>
      </c>
      <c r="R198" s="663">
        <v>0</v>
      </c>
      <c r="S198" s="663">
        <v>0</v>
      </c>
      <c r="T198" s="663">
        <v>0</v>
      </c>
      <c r="U198" s="665">
        <v>389.49823520927077</v>
      </c>
    </row>
    <row r="199" spans="3:21" ht="13">
      <c r="C199" s="662" t="s">
        <v>61</v>
      </c>
      <c r="D199" s="663">
        <v>0</v>
      </c>
      <c r="E199" s="663">
        <v>0</v>
      </c>
      <c r="F199" s="663">
        <v>-48.857560720144178</v>
      </c>
      <c r="G199" s="663">
        <v>-1.2901681691857902E-2</v>
      </c>
      <c r="H199" s="663">
        <v>0</v>
      </c>
      <c r="I199" s="663">
        <v>0</v>
      </c>
      <c r="J199" s="663">
        <v>0</v>
      </c>
      <c r="K199" s="663">
        <v>0</v>
      </c>
      <c r="L199" s="663">
        <v>0</v>
      </c>
      <c r="M199" s="663">
        <v>0</v>
      </c>
      <c r="N199" s="663">
        <v>0</v>
      </c>
      <c r="O199" s="663">
        <v>0</v>
      </c>
      <c r="P199" s="663">
        <v>0</v>
      </c>
      <c r="Q199" s="663">
        <v>0</v>
      </c>
      <c r="R199" s="663">
        <v>-40.000273468658179</v>
      </c>
      <c r="S199" s="663">
        <v>0</v>
      </c>
      <c r="T199" s="663">
        <v>0</v>
      </c>
      <c r="U199" s="665">
        <v>-88.870735870494215</v>
      </c>
    </row>
    <row r="200" spans="3:21" ht="13">
      <c r="C200" s="662" t="s">
        <v>62</v>
      </c>
      <c r="D200" s="663">
        <v>0</v>
      </c>
      <c r="E200" s="663">
        <v>0</v>
      </c>
      <c r="F200" s="663">
        <v>-9.1118704229779723</v>
      </c>
      <c r="G200" s="663">
        <v>-2.3970976911906821</v>
      </c>
      <c r="H200" s="663">
        <v>-2.3731267142787753</v>
      </c>
      <c r="I200" s="663">
        <v>0</v>
      </c>
      <c r="J200" s="663">
        <v>0</v>
      </c>
      <c r="K200" s="663">
        <v>0</v>
      </c>
      <c r="L200" s="663">
        <v>0</v>
      </c>
      <c r="M200" s="663">
        <v>0</v>
      </c>
      <c r="N200" s="663">
        <v>-0.47941953823813638</v>
      </c>
      <c r="O200" s="663">
        <v>-1.9416491298644523</v>
      </c>
      <c r="P200" s="663">
        <v>0</v>
      </c>
      <c r="Q200" s="663">
        <v>0</v>
      </c>
      <c r="R200" s="663">
        <v>0</v>
      </c>
      <c r="S200" s="663">
        <v>0</v>
      </c>
      <c r="T200" s="663">
        <v>0</v>
      </c>
      <c r="U200" s="665">
        <v>-16.30316349655002</v>
      </c>
    </row>
    <row r="201" spans="3:21" ht="13">
      <c r="C201" s="662" t="s">
        <v>63</v>
      </c>
      <c r="D201" s="663">
        <v>0</v>
      </c>
      <c r="E201" s="663">
        <v>0</v>
      </c>
      <c r="F201" s="663">
        <v>-46.962205061788246</v>
      </c>
      <c r="G201" s="663">
        <v>-11.133901046695911</v>
      </c>
      <c r="H201" s="663">
        <v>0</v>
      </c>
      <c r="I201" s="663">
        <v>0</v>
      </c>
      <c r="J201" s="663">
        <v>0</v>
      </c>
      <c r="K201" s="663">
        <v>0</v>
      </c>
      <c r="L201" s="663">
        <v>0</v>
      </c>
      <c r="M201" s="663">
        <v>0</v>
      </c>
      <c r="N201" s="663">
        <v>-14.072022489882162</v>
      </c>
      <c r="O201" s="663">
        <v>0</v>
      </c>
      <c r="P201" s="663">
        <v>0</v>
      </c>
      <c r="Q201" s="663">
        <v>0</v>
      </c>
      <c r="R201" s="663">
        <v>0</v>
      </c>
      <c r="S201" s="663">
        <v>0</v>
      </c>
      <c r="T201" s="663">
        <v>-0.66460812232862176</v>
      </c>
      <c r="U201" s="665">
        <v>-72.832736720694939</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12.402103294712147</v>
      </c>
      <c r="E203" s="667">
        <v>267.59952869557856</v>
      </c>
      <c r="F203" s="667">
        <v>-100.26916909131171</v>
      </c>
      <c r="G203" s="667">
        <v>-13.543900419578451</v>
      </c>
      <c r="H203" s="675">
        <v>94.003085953645225</v>
      </c>
      <c r="I203" s="667">
        <v>0</v>
      </c>
      <c r="J203" s="667">
        <v>965.91438750259681</v>
      </c>
      <c r="K203" s="667">
        <v>340.77058420783555</v>
      </c>
      <c r="L203" s="667">
        <v>310.38017271130127</v>
      </c>
      <c r="M203" s="667">
        <v>26.996685887157991</v>
      </c>
      <c r="N203" s="667">
        <v>-8.647699619425298</v>
      </c>
      <c r="O203" s="667">
        <v>-1.7745923792434484</v>
      </c>
      <c r="P203" s="667">
        <v>137.63232647396575</v>
      </c>
      <c r="Q203" s="667">
        <v>22.505061443653027</v>
      </c>
      <c r="R203" s="667">
        <v>-40.000273468658179</v>
      </c>
      <c r="S203" s="667">
        <v>0</v>
      </c>
      <c r="T203" s="667">
        <v>-0.66460812232862176</v>
      </c>
      <c r="U203" s="667">
        <v>2013.3036930699004</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6.6151953400033478E-2</v>
      </c>
      <c r="G206" s="663">
        <v>0</v>
      </c>
      <c r="H206" s="663">
        <v>5.4310272511854434</v>
      </c>
      <c r="I206" s="663">
        <v>0</v>
      </c>
      <c r="J206" s="663">
        <v>965.91438750259681</v>
      </c>
      <c r="K206" s="663">
        <v>340.77058420783555</v>
      </c>
      <c r="L206" s="663">
        <v>20.176267010584041</v>
      </c>
      <c r="M206" s="663">
        <v>10.227645630646329</v>
      </c>
      <c r="N206" s="663">
        <v>5.6269378379330357</v>
      </c>
      <c r="O206" s="663">
        <v>1.4716569620482758</v>
      </c>
      <c r="P206" s="663">
        <v>0</v>
      </c>
      <c r="Q206" s="663">
        <v>6.4327567473291545</v>
      </c>
      <c r="R206" s="663">
        <v>-682.09415881935547</v>
      </c>
      <c r="S206" s="663">
        <v>0</v>
      </c>
      <c r="T206" s="663">
        <v>3.1982839297450432</v>
      </c>
      <c r="U206" s="671">
        <v>677.22154021394851</v>
      </c>
    </row>
    <row r="207" spans="3:21" ht="13">
      <c r="C207" s="670" t="s">
        <v>351</v>
      </c>
      <c r="D207" s="663">
        <v>0</v>
      </c>
      <c r="E207" s="663">
        <v>0</v>
      </c>
      <c r="F207" s="663">
        <v>0</v>
      </c>
      <c r="G207" s="663">
        <v>0</v>
      </c>
      <c r="H207" s="663">
        <v>7.4585129183309293</v>
      </c>
      <c r="I207" s="663">
        <v>0</v>
      </c>
      <c r="J207" s="663">
        <v>0</v>
      </c>
      <c r="K207" s="663">
        <v>0</v>
      </c>
      <c r="L207" s="663">
        <v>35.547730315639996</v>
      </c>
      <c r="M207" s="663">
        <v>14.387113593265058</v>
      </c>
      <c r="N207" s="663">
        <v>0</v>
      </c>
      <c r="O207" s="663">
        <v>6.1169134542385972</v>
      </c>
      <c r="P207" s="663">
        <v>0</v>
      </c>
      <c r="Q207" s="663">
        <v>11.02899005085181</v>
      </c>
      <c r="R207" s="663">
        <v>0</v>
      </c>
      <c r="S207" s="663">
        <v>-69.303608577230833</v>
      </c>
      <c r="T207" s="663">
        <v>0</v>
      </c>
      <c r="U207" s="671">
        <v>5.235651755095569</v>
      </c>
    </row>
    <row r="208" spans="3:21" ht="13">
      <c r="C208" s="670" t="s">
        <v>352</v>
      </c>
      <c r="D208" s="663">
        <v>0</v>
      </c>
      <c r="E208" s="663">
        <v>0</v>
      </c>
      <c r="F208" s="663">
        <v>0</v>
      </c>
      <c r="G208" s="663">
        <v>0</v>
      </c>
      <c r="H208" s="663">
        <v>0</v>
      </c>
      <c r="I208" s="663">
        <v>0</v>
      </c>
      <c r="J208" s="663">
        <v>0</v>
      </c>
      <c r="K208" s="663">
        <v>0</v>
      </c>
      <c r="L208" s="663">
        <v>78.995354979464977</v>
      </c>
      <c r="M208" s="663">
        <v>0</v>
      </c>
      <c r="N208" s="663">
        <v>0</v>
      </c>
      <c r="O208" s="663">
        <v>-72.973515141642281</v>
      </c>
      <c r="P208" s="663">
        <v>0</v>
      </c>
      <c r="Q208" s="663">
        <v>0</v>
      </c>
      <c r="R208" s="663">
        <v>0</v>
      </c>
      <c r="S208" s="663">
        <v>0</v>
      </c>
      <c r="T208" s="663">
        <v>0</v>
      </c>
      <c r="U208" s="671">
        <v>6.0218398378226965</v>
      </c>
    </row>
    <row r="209" spans="3:21" ht="13">
      <c r="C209" s="670" t="s">
        <v>353</v>
      </c>
      <c r="D209" s="663">
        <v>0</v>
      </c>
      <c r="E209" s="663">
        <v>0</v>
      </c>
      <c r="F209" s="663">
        <v>0</v>
      </c>
      <c r="G209" s="663">
        <v>0</v>
      </c>
      <c r="H209" s="663">
        <v>0</v>
      </c>
      <c r="I209" s="663">
        <v>0</v>
      </c>
      <c r="J209" s="663">
        <v>0</v>
      </c>
      <c r="K209" s="663">
        <v>0</v>
      </c>
      <c r="L209" s="663">
        <v>0</v>
      </c>
      <c r="M209" s="663">
        <v>0</v>
      </c>
      <c r="N209" s="663">
        <v>0</v>
      </c>
      <c r="O209" s="663">
        <v>0</v>
      </c>
      <c r="P209" s="663">
        <v>0</v>
      </c>
      <c r="Q209" s="663">
        <v>0</v>
      </c>
      <c r="R209" s="663">
        <v>0</v>
      </c>
      <c r="S209" s="663">
        <v>0</v>
      </c>
      <c r="T209" s="663">
        <v>0</v>
      </c>
      <c r="U209" s="671">
        <v>0</v>
      </c>
    </row>
    <row r="210" spans="3:21" ht="13">
      <c r="C210" s="670" t="s">
        <v>72</v>
      </c>
      <c r="D210" s="663">
        <v>0</v>
      </c>
      <c r="E210" s="663">
        <v>277.28994248668886</v>
      </c>
      <c r="F210" s="663">
        <v>-274.5252708068171</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2.7646716798717357</v>
      </c>
    </row>
    <row r="211" spans="3:21" ht="13">
      <c r="C211" s="670" t="s">
        <v>354</v>
      </c>
      <c r="D211" s="663">
        <v>0</v>
      </c>
      <c r="E211" s="663">
        <v>0</v>
      </c>
      <c r="F211" s="663">
        <v>0</v>
      </c>
      <c r="G211" s="663">
        <v>0</v>
      </c>
      <c r="H211" s="663">
        <v>0</v>
      </c>
      <c r="I211" s="663">
        <v>0</v>
      </c>
      <c r="J211" s="663">
        <v>0</v>
      </c>
      <c r="K211" s="663">
        <v>0</v>
      </c>
      <c r="L211" s="663">
        <v>117.50933865541684</v>
      </c>
      <c r="M211" s="663">
        <v>0</v>
      </c>
      <c r="N211" s="663">
        <v>-117.50933865541684</v>
      </c>
      <c r="O211" s="663">
        <v>0</v>
      </c>
      <c r="P211" s="663">
        <v>0</v>
      </c>
      <c r="Q211" s="663">
        <v>0</v>
      </c>
      <c r="R211" s="663">
        <v>0</v>
      </c>
      <c r="S211" s="663">
        <v>0</v>
      </c>
      <c r="T211" s="663">
        <v>0</v>
      </c>
      <c r="U211" s="671">
        <v>0</v>
      </c>
    </row>
    <row r="212" spans="3:21" ht="13">
      <c r="C212" s="670" t="s">
        <v>355</v>
      </c>
      <c r="D212" s="663">
        <v>0</v>
      </c>
      <c r="E212" s="663">
        <v>0</v>
      </c>
      <c r="F212" s="663">
        <v>0</v>
      </c>
      <c r="G212" s="663">
        <v>-21.910962558722186</v>
      </c>
      <c r="H212" s="663">
        <v>0</v>
      </c>
      <c r="I212" s="663">
        <v>0</v>
      </c>
      <c r="J212" s="663">
        <v>0</v>
      </c>
      <c r="K212" s="663">
        <v>0</v>
      </c>
      <c r="L212" s="663">
        <v>0</v>
      </c>
      <c r="M212" s="663">
        <v>0</v>
      </c>
      <c r="N212" s="663">
        <v>0</v>
      </c>
      <c r="O212" s="663">
        <v>0</v>
      </c>
      <c r="P212" s="663">
        <v>0</v>
      </c>
      <c r="Q212" s="663">
        <v>0</v>
      </c>
      <c r="R212" s="663">
        <v>0</v>
      </c>
      <c r="S212" s="663">
        <v>0</v>
      </c>
      <c r="T212" s="663">
        <v>30.516660945295527</v>
      </c>
      <c r="U212" s="671">
        <v>8.6056983865733407</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99.340394157506324</v>
      </c>
      <c r="S213" s="663">
        <v>0</v>
      </c>
      <c r="T213" s="663">
        <v>-68.048169997891833</v>
      </c>
      <c r="U213" s="671">
        <v>31.292224159614491</v>
      </c>
    </row>
    <row r="214" spans="3:21" ht="13">
      <c r="C214" s="670" t="s">
        <v>356</v>
      </c>
      <c r="D214" s="663">
        <v>6.9248988281249995</v>
      </c>
      <c r="E214" s="663">
        <v>-9.6904137911102683</v>
      </c>
      <c r="F214" s="663">
        <v>12.633678677299837</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9.8681637143145693</v>
      </c>
    </row>
    <row r="215" spans="3:21" ht="13">
      <c r="C215" s="670" t="s">
        <v>75</v>
      </c>
      <c r="D215" s="663">
        <v>2.6930162109375</v>
      </c>
      <c r="E215" s="663">
        <v>0</v>
      </c>
      <c r="F215" s="663">
        <v>17.882981772477446</v>
      </c>
      <c r="G215" s="663">
        <v>0</v>
      </c>
      <c r="H215" s="663">
        <v>2.8438669910513061</v>
      </c>
      <c r="I215" s="663">
        <v>0</v>
      </c>
      <c r="J215" s="663">
        <v>0</v>
      </c>
      <c r="K215" s="663">
        <v>0</v>
      </c>
      <c r="L215" s="663">
        <v>0</v>
      </c>
      <c r="M215" s="663">
        <v>0</v>
      </c>
      <c r="N215" s="663">
        <v>0</v>
      </c>
      <c r="O215" s="663">
        <v>2.3268002654056139</v>
      </c>
      <c r="P215" s="663">
        <v>0</v>
      </c>
      <c r="Q215" s="663">
        <v>0</v>
      </c>
      <c r="R215" s="663">
        <v>23.896357926698794</v>
      </c>
      <c r="S215" s="663">
        <v>0</v>
      </c>
      <c r="T215" s="663">
        <v>0</v>
      </c>
      <c r="U215" s="671">
        <v>49.643023166570657</v>
      </c>
    </row>
    <row r="216" spans="3:21" ht="13">
      <c r="C216" s="670" t="s">
        <v>76</v>
      </c>
      <c r="D216" s="663">
        <v>0</v>
      </c>
      <c r="E216" s="663">
        <v>0</v>
      </c>
      <c r="F216" s="663">
        <v>0</v>
      </c>
      <c r="G216" s="663">
        <v>0</v>
      </c>
      <c r="H216" s="663">
        <v>1.042848686512976</v>
      </c>
      <c r="I216" s="663">
        <v>0</v>
      </c>
      <c r="J216" s="663">
        <v>0</v>
      </c>
      <c r="K216" s="663">
        <v>0</v>
      </c>
      <c r="L216" s="663">
        <v>0</v>
      </c>
      <c r="M216" s="663">
        <v>0</v>
      </c>
      <c r="N216" s="663">
        <v>0</v>
      </c>
      <c r="O216" s="663">
        <v>0.85323983441970752</v>
      </c>
      <c r="P216" s="663">
        <v>0</v>
      </c>
      <c r="Q216" s="663">
        <v>0</v>
      </c>
      <c r="R216" s="663">
        <v>49.147245311640418</v>
      </c>
      <c r="S216" s="663">
        <v>5.3750429512534854</v>
      </c>
      <c r="T216" s="663">
        <v>0</v>
      </c>
      <c r="U216" s="671">
        <v>56.418376783826595</v>
      </c>
    </row>
    <row r="217" spans="3:21" ht="13">
      <c r="C217" s="666" t="s">
        <v>77</v>
      </c>
      <c r="D217" s="667">
        <v>9.617915039062499</v>
      </c>
      <c r="E217" s="667">
        <v>267.59952869557856</v>
      </c>
      <c r="F217" s="667">
        <v>-243.94245840363976</v>
      </c>
      <c r="G217" s="667">
        <v>-21.910962558722186</v>
      </c>
      <c r="H217" s="675">
        <v>16.776255847080655</v>
      </c>
      <c r="I217" s="667">
        <v>0</v>
      </c>
      <c r="J217" s="667">
        <v>965.91438750259681</v>
      </c>
      <c r="K217" s="667">
        <v>340.77058420783555</v>
      </c>
      <c r="L217" s="667">
        <v>252.22869096110585</v>
      </c>
      <c r="M217" s="667">
        <v>24.614759223911388</v>
      </c>
      <c r="N217" s="667">
        <v>-111.8824008174838</v>
      </c>
      <c r="O217" s="667">
        <v>-62.204904625530084</v>
      </c>
      <c r="P217" s="667">
        <v>0</v>
      </c>
      <c r="Q217" s="667">
        <v>17.461746798180965</v>
      </c>
      <c r="R217" s="667">
        <v>-509.71016142350987</v>
      </c>
      <c r="S217" s="667">
        <v>-63.928565625977342</v>
      </c>
      <c r="T217" s="667">
        <v>-34.33322512285126</v>
      </c>
      <c r="U217" s="667">
        <v>847.07118969763815</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2.7841882556496467</v>
      </c>
      <c r="E219" s="663">
        <v>0</v>
      </c>
      <c r="F219" s="663">
        <v>5.1952563518908157</v>
      </c>
      <c r="G219" s="663">
        <v>0</v>
      </c>
      <c r="H219" s="663">
        <v>31.335146641416099</v>
      </c>
      <c r="I219" s="663">
        <v>0</v>
      </c>
      <c r="J219" s="663">
        <v>0</v>
      </c>
      <c r="K219" s="663">
        <v>0</v>
      </c>
      <c r="L219" s="663">
        <v>19.866368456853682</v>
      </c>
      <c r="M219" s="663">
        <v>2.3815254498716123</v>
      </c>
      <c r="N219" s="663">
        <v>2.1415231567382813</v>
      </c>
      <c r="O219" s="663">
        <v>25.676510059650784</v>
      </c>
      <c r="P219" s="663">
        <v>7.6335380859375004</v>
      </c>
      <c r="Q219" s="663">
        <v>7.8820466826144567E-4</v>
      </c>
      <c r="R219" s="663">
        <v>133.1889583814887</v>
      </c>
      <c r="S219" s="663">
        <v>18.276712147761906</v>
      </c>
      <c r="T219" s="663">
        <v>4.7382089843750004</v>
      </c>
      <c r="U219" s="671">
        <v>253.21872417630229</v>
      </c>
    </row>
    <row r="220" spans="3:21" ht="13">
      <c r="C220" s="670" t="s">
        <v>79</v>
      </c>
      <c r="D220" s="663">
        <v>0</v>
      </c>
      <c r="E220" s="663">
        <v>0</v>
      </c>
      <c r="F220" s="663">
        <v>62.42121803575882</v>
      </c>
      <c r="G220" s="663">
        <v>0.9171283606012931</v>
      </c>
      <c r="H220" s="663">
        <v>3.2777834936114583</v>
      </c>
      <c r="I220" s="663">
        <v>0</v>
      </c>
      <c r="J220" s="663">
        <v>0</v>
      </c>
      <c r="K220" s="663">
        <v>0</v>
      </c>
      <c r="L220" s="663">
        <v>0</v>
      </c>
      <c r="M220" s="663">
        <v>0</v>
      </c>
      <c r="N220" s="663">
        <v>70.675893572317364</v>
      </c>
      <c r="O220" s="663">
        <v>2.6818228584093751</v>
      </c>
      <c r="P220" s="663">
        <v>0</v>
      </c>
      <c r="Q220" s="663">
        <v>0</v>
      </c>
      <c r="R220" s="663">
        <v>85.601807225833156</v>
      </c>
      <c r="S220" s="663">
        <v>0</v>
      </c>
      <c r="T220" s="663">
        <v>3.5812873698124483</v>
      </c>
      <c r="U220" s="671">
        <v>229.15694091634393</v>
      </c>
    </row>
    <row r="221" spans="3:21" ht="13">
      <c r="C221" s="670" t="s">
        <v>80</v>
      </c>
      <c r="D221" s="663">
        <v>0</v>
      </c>
      <c r="E221" s="663">
        <v>0</v>
      </c>
      <c r="F221" s="663">
        <v>2.2535083725168867</v>
      </c>
      <c r="G221" s="663">
        <v>0</v>
      </c>
      <c r="H221" s="663">
        <v>22.547534156690407</v>
      </c>
      <c r="I221" s="663">
        <v>0</v>
      </c>
      <c r="J221" s="663">
        <v>0</v>
      </c>
      <c r="K221" s="663">
        <v>0</v>
      </c>
      <c r="L221" s="663">
        <v>34.097641504490639</v>
      </c>
      <c r="M221" s="663">
        <v>0</v>
      </c>
      <c r="N221" s="663">
        <v>0</v>
      </c>
      <c r="O221" s="663">
        <v>18.447982491837607</v>
      </c>
      <c r="P221" s="663">
        <v>103.59461616627088</v>
      </c>
      <c r="Q221" s="663">
        <v>2.7285855468891569</v>
      </c>
      <c r="R221" s="663">
        <v>149.5228289340921</v>
      </c>
      <c r="S221" s="663">
        <v>26.593767108522837</v>
      </c>
      <c r="T221" s="663">
        <v>0</v>
      </c>
      <c r="U221" s="671">
        <v>359.78646428131054</v>
      </c>
    </row>
    <row r="222" spans="3:21" ht="13">
      <c r="C222" s="670" t="s">
        <v>81</v>
      </c>
      <c r="D222" s="663">
        <v>0</v>
      </c>
      <c r="E222" s="663">
        <v>0</v>
      </c>
      <c r="F222" s="663">
        <v>1.3399462790047187</v>
      </c>
      <c r="G222" s="663">
        <v>0</v>
      </c>
      <c r="H222" s="663">
        <v>12.344523773070179</v>
      </c>
      <c r="I222" s="663">
        <v>0</v>
      </c>
      <c r="J222" s="663">
        <v>0</v>
      </c>
      <c r="K222" s="663">
        <v>0</v>
      </c>
      <c r="L222" s="663">
        <v>0.40515733033320123</v>
      </c>
      <c r="M222" s="663">
        <v>4.0121337498856221E-4</v>
      </c>
      <c r="N222" s="663">
        <v>0</v>
      </c>
      <c r="O222" s="663">
        <v>10.100064905239238</v>
      </c>
      <c r="P222" s="663">
        <v>25.404172221757367</v>
      </c>
      <c r="Q222" s="663">
        <v>1.0133205125094877</v>
      </c>
      <c r="R222" s="663">
        <v>92.228183694440688</v>
      </c>
      <c r="S222" s="663">
        <v>19.0580863696926</v>
      </c>
      <c r="T222" s="663">
        <v>0</v>
      </c>
      <c r="U222" s="671">
        <v>161.89385629942248</v>
      </c>
    </row>
    <row r="223" spans="3:21" ht="13">
      <c r="C223" s="670" t="s">
        <v>82</v>
      </c>
      <c r="D223" s="663">
        <v>0</v>
      </c>
      <c r="E223" s="663">
        <v>0</v>
      </c>
      <c r="F223" s="663">
        <v>9.0097391312566604</v>
      </c>
      <c r="G223" s="663">
        <v>1.6</v>
      </c>
      <c r="H223" s="663">
        <v>0.98973128577551672</v>
      </c>
      <c r="I223" s="663">
        <v>0</v>
      </c>
      <c r="J223" s="663">
        <v>0</v>
      </c>
      <c r="K223" s="663">
        <v>0</v>
      </c>
      <c r="L223" s="663">
        <v>3.3736621545342089</v>
      </c>
      <c r="M223" s="663">
        <v>0</v>
      </c>
      <c r="N223" s="663">
        <v>14.289145060057182</v>
      </c>
      <c r="O223" s="663">
        <v>0.80978014290724099</v>
      </c>
      <c r="P223" s="663">
        <v>1</v>
      </c>
      <c r="Q223" s="663">
        <v>1.300620381405156</v>
      </c>
      <c r="R223" s="663">
        <v>7.76122971899715</v>
      </c>
      <c r="S223" s="663">
        <v>0</v>
      </c>
      <c r="T223" s="663">
        <v>0.325155095351289</v>
      </c>
      <c r="U223" s="671">
        <v>40.459062970284407</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1.4068800000000001</v>
      </c>
      <c r="S224" s="663">
        <v>0</v>
      </c>
      <c r="T224" s="663">
        <v>0</v>
      </c>
      <c r="U224" s="671">
        <v>1.4068800000000001</v>
      </c>
    </row>
    <row r="225" spans="3:21" ht="13">
      <c r="C225" s="666" t="s">
        <v>83</v>
      </c>
      <c r="D225" s="667">
        <v>2.7841882556496467</v>
      </c>
      <c r="E225" s="667">
        <v>0</v>
      </c>
      <c r="F225" s="667">
        <v>80.219668170427894</v>
      </c>
      <c r="G225" s="667">
        <v>2.5171283606012933</v>
      </c>
      <c r="H225" s="675">
        <v>70.494719350563656</v>
      </c>
      <c r="I225" s="667">
        <v>0</v>
      </c>
      <c r="J225" s="667">
        <v>0</v>
      </c>
      <c r="K225" s="667">
        <v>0</v>
      </c>
      <c r="L225" s="667">
        <v>57.742829446211736</v>
      </c>
      <c r="M225" s="667">
        <v>2.3819266632466007</v>
      </c>
      <c r="N225" s="667">
        <v>87.106561789112831</v>
      </c>
      <c r="O225" s="667">
        <v>57.71616045804425</v>
      </c>
      <c r="P225" s="667">
        <v>137.63232647396575</v>
      </c>
      <c r="Q225" s="667">
        <v>5.0433146454720621</v>
      </c>
      <c r="R225" s="667">
        <v>469.70988795485181</v>
      </c>
      <c r="S225" s="667">
        <v>63.928565625977342</v>
      </c>
      <c r="T225" s="667">
        <v>8.6446514495387365</v>
      </c>
      <c r="U225" s="667">
        <v>1045.9219286436637</v>
      </c>
    </row>
    <row r="226" spans="3:21" ht="13">
      <c r="C226" s="662" t="s">
        <v>84</v>
      </c>
      <c r="D226" s="663">
        <v>0</v>
      </c>
      <c r="E226" s="663">
        <v>0</v>
      </c>
      <c r="F226" s="663">
        <v>63.453621141900157</v>
      </c>
      <c r="G226" s="663">
        <v>5.849933778542443</v>
      </c>
      <c r="H226" s="663">
        <v>6.7321107560009157</v>
      </c>
      <c r="I226" s="663">
        <v>0</v>
      </c>
      <c r="J226" s="663">
        <v>0</v>
      </c>
      <c r="K226" s="663">
        <v>0</v>
      </c>
      <c r="L226" s="663">
        <v>0.4086523039836884</v>
      </c>
      <c r="M226" s="663">
        <v>0</v>
      </c>
      <c r="N226" s="663">
        <v>16.128139408945682</v>
      </c>
      <c r="O226" s="663">
        <v>2.7141517882424018</v>
      </c>
      <c r="P226" s="663">
        <v>0</v>
      </c>
      <c r="Q226" s="663">
        <v>0</v>
      </c>
      <c r="R226" s="663">
        <v>0</v>
      </c>
      <c r="S226" s="663">
        <v>0</v>
      </c>
      <c r="T226" s="663">
        <v>25.023965550983899</v>
      </c>
      <c r="U226" s="671">
        <v>120.31057472859921</v>
      </c>
    </row>
    <row r="227" spans="3:21" ht="13">
      <c r="C227" s="666" t="s">
        <v>85</v>
      </c>
      <c r="D227" s="667">
        <v>2.7841882556496467</v>
      </c>
      <c r="E227" s="667">
        <v>0</v>
      </c>
      <c r="F227" s="667">
        <v>143.67328931232805</v>
      </c>
      <c r="G227" s="667">
        <v>8.3670621391437372</v>
      </c>
      <c r="H227" s="675">
        <v>77.226830106564577</v>
      </c>
      <c r="I227" s="667">
        <v>0</v>
      </c>
      <c r="J227" s="667">
        <v>0</v>
      </c>
      <c r="K227" s="667">
        <v>0</v>
      </c>
      <c r="L227" s="667">
        <v>58.151481750195423</v>
      </c>
      <c r="M227" s="667">
        <v>2.3819266632466007</v>
      </c>
      <c r="N227" s="667">
        <v>103.23470119805852</v>
      </c>
      <c r="O227" s="667">
        <v>60.430312246286654</v>
      </c>
      <c r="P227" s="667">
        <v>137.63232647396575</v>
      </c>
      <c r="Q227" s="667">
        <v>5.0433146454720621</v>
      </c>
      <c r="R227" s="667">
        <v>469.70988795485181</v>
      </c>
      <c r="S227" s="667">
        <v>63.928565625977342</v>
      </c>
      <c r="T227" s="667">
        <v>33.668617000522637</v>
      </c>
      <c r="U227" s="667">
        <v>1166.2325033722627</v>
      </c>
    </row>
    <row r="228" spans="3:21">
      <c r="C228" s="654"/>
      <c r="D228" s="672">
        <v>0</v>
      </c>
      <c r="E228" s="672">
        <v>0</v>
      </c>
      <c r="F228" s="672">
        <v>0</v>
      </c>
      <c r="G228" s="672">
        <v>0</v>
      </c>
      <c r="H228" s="672">
        <v>0</v>
      </c>
      <c r="I228" s="672">
        <v>0</v>
      </c>
      <c r="J228" s="672">
        <v>0</v>
      </c>
      <c r="K228" s="672">
        <v>0</v>
      </c>
      <c r="L228" s="672">
        <v>0</v>
      </c>
      <c r="M228" s="672">
        <v>0</v>
      </c>
      <c r="N228" s="672">
        <v>1.5987211554602254E-14</v>
      </c>
      <c r="O228" s="672">
        <v>1.865174681370263E-14</v>
      </c>
      <c r="P228" s="672">
        <v>0</v>
      </c>
      <c r="Q228" s="672">
        <v>0</v>
      </c>
      <c r="R228" s="672">
        <v>1.1368683772161603E-13</v>
      </c>
      <c r="S228" s="672">
        <v>0</v>
      </c>
      <c r="T228" s="672">
        <v>-1.3322676295501878E-15</v>
      </c>
      <c r="U228" s="672">
        <v>0</v>
      </c>
    </row>
    <row r="229" spans="3:21">
      <c r="C229" s="654"/>
      <c r="D229" s="654"/>
      <c r="E229" s="654"/>
      <c r="F229" s="654"/>
      <c r="G229" s="654"/>
      <c r="H229" s="654"/>
      <c r="I229" s="654"/>
      <c r="J229" s="654"/>
      <c r="K229" s="654"/>
      <c r="L229" s="654"/>
      <c r="M229" s="654"/>
      <c r="N229" s="654"/>
      <c r="O229" s="654"/>
      <c r="P229" s="654"/>
      <c r="Q229" s="654"/>
      <c r="R229" s="654"/>
      <c r="S229" s="654"/>
      <c r="T229" s="654"/>
      <c r="U229" s="654"/>
    </row>
    <row r="230" spans="3:21" ht="14.5">
      <c r="C230" s="658" t="s">
        <v>523</v>
      </c>
      <c r="D230" s="659"/>
      <c r="E230" s="659"/>
      <c r="F230" s="659"/>
      <c r="G230" s="659"/>
      <c r="H230" s="659"/>
      <c r="I230" s="659"/>
      <c r="J230" s="659"/>
      <c r="K230" s="659"/>
      <c r="L230" s="659"/>
      <c r="M230" s="659"/>
      <c r="N230" s="659"/>
      <c r="O230" s="659"/>
      <c r="P230" s="659"/>
      <c r="Q230" s="659"/>
      <c r="R230" s="659"/>
      <c r="S230" s="659"/>
      <c r="T230" s="659"/>
      <c r="U230" s="659"/>
    </row>
    <row r="231" spans="3:21">
      <c r="C231" s="654"/>
      <c r="D231" s="654"/>
      <c r="E231" s="654"/>
      <c r="F231" s="654"/>
      <c r="G231" s="654"/>
      <c r="H231" s="654"/>
      <c r="I231" s="654"/>
      <c r="J231" s="654"/>
      <c r="K231" s="654"/>
      <c r="L231" s="654"/>
      <c r="M231" s="654"/>
      <c r="N231" s="654"/>
      <c r="O231" s="654"/>
      <c r="P231" s="654"/>
      <c r="Q231" s="654"/>
      <c r="R231" s="654"/>
      <c r="S231" s="654"/>
      <c r="T231" s="654"/>
      <c r="U231" s="654"/>
    </row>
    <row r="232" spans="3:21" ht="13">
      <c r="C232" s="706" t="s">
        <v>128</v>
      </c>
      <c r="D232" s="704" t="s">
        <v>42</v>
      </c>
      <c r="E232" s="704" t="s">
        <v>52</v>
      </c>
      <c r="F232" s="704" t="s">
        <v>53</v>
      </c>
      <c r="G232" s="704" t="s">
        <v>487</v>
      </c>
      <c r="H232" s="704" t="s">
        <v>32</v>
      </c>
      <c r="I232" s="704" t="s">
        <v>488</v>
      </c>
      <c r="J232" s="704" t="s">
        <v>20</v>
      </c>
      <c r="K232" s="704" t="s">
        <v>55</v>
      </c>
      <c r="L232" s="708" t="s">
        <v>56</v>
      </c>
      <c r="M232" s="709"/>
      <c r="N232" s="709"/>
      <c r="O232" s="709"/>
      <c r="P232" s="709"/>
      <c r="Q232" s="710"/>
      <c r="R232" s="704" t="s">
        <v>57</v>
      </c>
      <c r="S232" s="704" t="s">
        <v>58</v>
      </c>
      <c r="T232" s="704" t="s">
        <v>31</v>
      </c>
      <c r="U232" s="704" t="s">
        <v>10</v>
      </c>
    </row>
    <row r="233" spans="3:21" ht="36">
      <c r="C233" s="707"/>
      <c r="D233" s="705"/>
      <c r="E233" s="705"/>
      <c r="F233" s="705"/>
      <c r="G233" s="705"/>
      <c r="H233" s="705"/>
      <c r="I233" s="705"/>
      <c r="J233" s="705"/>
      <c r="K233" s="705"/>
      <c r="L233" s="660" t="s">
        <v>338</v>
      </c>
      <c r="M233" s="660" t="s">
        <v>40</v>
      </c>
      <c r="N233" s="660" t="s">
        <v>346</v>
      </c>
      <c r="O233" s="660" t="s">
        <v>347</v>
      </c>
      <c r="P233" s="661" t="s">
        <v>348</v>
      </c>
      <c r="Q233" s="660" t="s">
        <v>349</v>
      </c>
      <c r="R233" s="705"/>
      <c r="S233" s="705"/>
      <c r="T233" s="705"/>
      <c r="U233" s="705"/>
    </row>
    <row r="234" spans="3:21" ht="13">
      <c r="C234" s="662" t="s">
        <v>59</v>
      </c>
      <c r="D234" s="663">
        <v>0</v>
      </c>
      <c r="E234" s="663">
        <v>0</v>
      </c>
      <c r="F234" s="663">
        <v>0</v>
      </c>
      <c r="G234" s="663">
        <v>0</v>
      </c>
      <c r="H234" s="663">
        <v>0</v>
      </c>
      <c r="I234" s="663">
        <v>0</v>
      </c>
      <c r="J234" s="664">
        <v>887.88984586571985</v>
      </c>
      <c r="K234" s="664">
        <v>396.24410449971316</v>
      </c>
      <c r="L234" s="664">
        <v>299.20080257603973</v>
      </c>
      <c r="M234" s="664">
        <v>23.973968003405336</v>
      </c>
      <c r="N234" s="663">
        <v>1.638642873490971</v>
      </c>
      <c r="O234" s="663">
        <v>0.1692153726460352</v>
      </c>
      <c r="P234" s="664">
        <v>148.52009865212395</v>
      </c>
      <c r="Q234" s="664">
        <v>23.099478079825218</v>
      </c>
      <c r="R234" s="663">
        <v>0</v>
      </c>
      <c r="S234" s="663">
        <v>0</v>
      </c>
      <c r="T234" s="663">
        <v>0</v>
      </c>
      <c r="U234" s="665">
        <v>1780.7361559229641</v>
      </c>
    </row>
    <row r="235" spans="3:21" ht="13">
      <c r="C235" s="662" t="s">
        <v>60</v>
      </c>
      <c r="D235" s="663">
        <v>10.379280707598515</v>
      </c>
      <c r="E235" s="663">
        <v>221.43377158510449</v>
      </c>
      <c r="F235" s="663">
        <v>3.6404081450569747</v>
      </c>
      <c r="G235" s="663">
        <v>0</v>
      </c>
      <c r="H235" s="663">
        <v>71.351673113669463</v>
      </c>
      <c r="I235" s="663">
        <v>0</v>
      </c>
      <c r="J235" s="663">
        <v>0</v>
      </c>
      <c r="K235" s="663">
        <v>0</v>
      </c>
      <c r="L235" s="663">
        <v>4.5400000946661896</v>
      </c>
      <c r="M235" s="663">
        <v>0</v>
      </c>
      <c r="N235" s="663">
        <v>4.7355769449703358</v>
      </c>
      <c r="O235" s="663">
        <v>0</v>
      </c>
      <c r="P235" s="663">
        <v>0</v>
      </c>
      <c r="Q235" s="663">
        <v>0</v>
      </c>
      <c r="R235" s="663">
        <v>0</v>
      </c>
      <c r="S235" s="663">
        <v>0</v>
      </c>
      <c r="T235" s="663">
        <v>0</v>
      </c>
      <c r="U235" s="665">
        <v>316.08071059106601</v>
      </c>
    </row>
    <row r="236" spans="3:21" ht="13">
      <c r="C236" s="662" t="s">
        <v>61</v>
      </c>
      <c r="D236" s="663">
        <v>0</v>
      </c>
      <c r="E236" s="663">
        <v>0</v>
      </c>
      <c r="F236" s="663">
        <v>-61.117649142160822</v>
      </c>
      <c r="G236" s="663">
        <v>0</v>
      </c>
      <c r="H236" s="663">
        <v>0</v>
      </c>
      <c r="I236" s="663">
        <v>0</v>
      </c>
      <c r="J236" s="663">
        <v>0</v>
      </c>
      <c r="K236" s="663">
        <v>0</v>
      </c>
      <c r="L236" s="663">
        <v>0</v>
      </c>
      <c r="M236" s="663">
        <v>0</v>
      </c>
      <c r="N236" s="663">
        <v>0</v>
      </c>
      <c r="O236" s="663">
        <v>0</v>
      </c>
      <c r="P236" s="663">
        <v>0</v>
      </c>
      <c r="Q236" s="663">
        <v>0</v>
      </c>
      <c r="R236" s="663">
        <v>-39.114049370458702</v>
      </c>
      <c r="S236" s="663">
        <v>0</v>
      </c>
      <c r="T236" s="663">
        <v>0</v>
      </c>
      <c r="U236" s="665">
        <v>-100.23169851261953</v>
      </c>
    </row>
    <row r="237" spans="3:21" ht="13">
      <c r="C237" s="662" t="s">
        <v>62</v>
      </c>
      <c r="D237" s="663">
        <v>0</v>
      </c>
      <c r="E237" s="663">
        <v>0</v>
      </c>
      <c r="F237" s="663">
        <v>-6.8572519407668047</v>
      </c>
      <c r="G237" s="663">
        <v>-2.9115063458369059</v>
      </c>
      <c r="H237" s="663">
        <v>-4.556210213526227</v>
      </c>
      <c r="I237" s="663">
        <v>-6.0214231896822394E-2</v>
      </c>
      <c r="J237" s="663">
        <v>0</v>
      </c>
      <c r="K237" s="663">
        <v>0</v>
      </c>
      <c r="L237" s="663">
        <v>0</v>
      </c>
      <c r="M237" s="663">
        <v>0</v>
      </c>
      <c r="N237" s="663">
        <v>-0.36156496915270087</v>
      </c>
      <c r="O237" s="663">
        <v>-5.4192808707140152</v>
      </c>
      <c r="P237" s="663">
        <v>0</v>
      </c>
      <c r="Q237" s="663">
        <v>0</v>
      </c>
      <c r="R237" s="663">
        <v>0</v>
      </c>
      <c r="S237" s="663">
        <v>0</v>
      </c>
      <c r="T237" s="663">
        <v>0</v>
      </c>
      <c r="U237" s="665">
        <v>-20.166028571893477</v>
      </c>
    </row>
    <row r="238" spans="3:21" ht="13">
      <c r="C238" s="662" t="s">
        <v>63</v>
      </c>
      <c r="D238" s="663">
        <v>0</v>
      </c>
      <c r="E238" s="663">
        <v>0</v>
      </c>
      <c r="F238" s="663">
        <v>-41.932075648688581</v>
      </c>
      <c r="G238" s="663">
        <v>-12.789597363010756</v>
      </c>
      <c r="H238" s="663">
        <v>0</v>
      </c>
      <c r="I238" s="663">
        <v>0</v>
      </c>
      <c r="J238" s="663">
        <v>0</v>
      </c>
      <c r="K238" s="663">
        <v>0</v>
      </c>
      <c r="L238" s="663">
        <v>0</v>
      </c>
      <c r="M238" s="663">
        <v>0</v>
      </c>
      <c r="N238" s="663">
        <v>-13.964845940285258</v>
      </c>
      <c r="O238" s="663">
        <v>0</v>
      </c>
      <c r="P238" s="663">
        <v>0</v>
      </c>
      <c r="Q238" s="663">
        <v>0</v>
      </c>
      <c r="R238" s="663">
        <v>0</v>
      </c>
      <c r="S238" s="663">
        <v>0</v>
      </c>
      <c r="T238" s="663">
        <v>-1.1030439884832439</v>
      </c>
      <c r="U238" s="665">
        <v>-69.789562940467846</v>
      </c>
    </row>
    <row r="239" spans="3:21" ht="13">
      <c r="C239" s="662" t="s">
        <v>64</v>
      </c>
      <c r="D239" s="663">
        <v>0</v>
      </c>
      <c r="E239" s="663">
        <v>0</v>
      </c>
      <c r="F239" s="663">
        <v>0</v>
      </c>
      <c r="G239" s="663">
        <v>0</v>
      </c>
      <c r="H239" s="663">
        <v>0</v>
      </c>
      <c r="I239" s="663">
        <v>0</v>
      </c>
      <c r="J239" s="663">
        <v>0</v>
      </c>
      <c r="K239" s="663">
        <v>0</v>
      </c>
      <c r="L239" s="663">
        <v>0</v>
      </c>
      <c r="M239" s="663">
        <v>0</v>
      </c>
      <c r="N239" s="663">
        <v>0</v>
      </c>
      <c r="O239" s="663">
        <v>0</v>
      </c>
      <c r="P239" s="663">
        <v>0</v>
      </c>
      <c r="Q239" s="663">
        <v>0</v>
      </c>
      <c r="R239" s="663">
        <v>0</v>
      </c>
      <c r="S239" s="663">
        <v>0</v>
      </c>
      <c r="T239" s="663">
        <v>0</v>
      </c>
      <c r="U239" s="665">
        <v>0</v>
      </c>
    </row>
    <row r="240" spans="3:21" ht="13">
      <c r="C240" s="666" t="s">
        <v>65</v>
      </c>
      <c r="D240" s="667">
        <v>10.379280707598515</v>
      </c>
      <c r="E240" s="667">
        <v>221.43377158510449</v>
      </c>
      <c r="F240" s="667">
        <v>-106.26656858655923</v>
      </c>
      <c r="G240" s="667">
        <v>-15.701103708847661</v>
      </c>
      <c r="H240" s="675">
        <v>66.795462900143235</v>
      </c>
      <c r="I240" s="667">
        <v>-6.0214231896822394E-2</v>
      </c>
      <c r="J240" s="667">
        <v>887.88984586571985</v>
      </c>
      <c r="K240" s="667">
        <v>396.24410449971316</v>
      </c>
      <c r="L240" s="667">
        <v>303.74080267070593</v>
      </c>
      <c r="M240" s="667">
        <v>23.973968003405336</v>
      </c>
      <c r="N240" s="667">
        <v>-7.952191090976652</v>
      </c>
      <c r="O240" s="667">
        <v>-5.25006549806798</v>
      </c>
      <c r="P240" s="667">
        <v>148.52009865212395</v>
      </c>
      <c r="Q240" s="667">
        <v>23.099478079825218</v>
      </c>
      <c r="R240" s="667">
        <v>-39.114049370458702</v>
      </c>
      <c r="S240" s="667">
        <v>0</v>
      </c>
      <c r="T240" s="667">
        <v>-1.1030439884832439</v>
      </c>
      <c r="U240" s="667">
        <v>1906.629576489049</v>
      </c>
    </row>
    <row r="241" spans="3:21" ht="13">
      <c r="C241" s="668"/>
      <c r="D241" s="669">
        <v>0</v>
      </c>
      <c r="E241" s="669">
        <v>0</v>
      </c>
      <c r="F241" s="669">
        <v>0</v>
      </c>
      <c r="G241" s="669">
        <v>0</v>
      </c>
      <c r="H241" s="676">
        <v>0</v>
      </c>
      <c r="I241" s="669">
        <v>0</v>
      </c>
      <c r="J241" s="669">
        <v>0</v>
      </c>
      <c r="K241" s="669">
        <v>0</v>
      </c>
      <c r="L241" s="669">
        <v>0</v>
      </c>
      <c r="M241" s="669">
        <v>0</v>
      </c>
      <c r="N241" s="669">
        <v>0</v>
      </c>
      <c r="O241" s="669">
        <v>0</v>
      </c>
      <c r="P241" s="669">
        <v>0</v>
      </c>
      <c r="Q241" s="669">
        <v>0</v>
      </c>
      <c r="R241" s="669">
        <v>0</v>
      </c>
      <c r="S241" s="669">
        <v>0</v>
      </c>
      <c r="T241" s="669">
        <v>0</v>
      </c>
      <c r="U241" s="669">
        <v>0</v>
      </c>
    </row>
    <row r="242" spans="3:21" ht="13">
      <c r="C242" s="670" t="s">
        <v>67</v>
      </c>
      <c r="D242" s="663">
        <v>0</v>
      </c>
      <c r="E242" s="663">
        <v>0</v>
      </c>
      <c r="F242" s="663">
        <v>0</v>
      </c>
      <c r="G242" s="663">
        <v>0</v>
      </c>
      <c r="H242" s="663">
        <v>0</v>
      </c>
      <c r="I242" s="663">
        <v>0</v>
      </c>
      <c r="J242" s="663">
        <v>0</v>
      </c>
      <c r="K242" s="663">
        <v>0</v>
      </c>
      <c r="L242" s="663">
        <v>0</v>
      </c>
      <c r="M242" s="663">
        <v>0</v>
      </c>
      <c r="N242" s="663">
        <v>0</v>
      </c>
      <c r="O242" s="663">
        <v>0</v>
      </c>
      <c r="P242" s="663">
        <v>0</v>
      </c>
      <c r="Q242" s="663">
        <v>0</v>
      </c>
      <c r="R242" s="663">
        <v>0</v>
      </c>
      <c r="S242" s="663">
        <v>0</v>
      </c>
      <c r="T242" s="663">
        <v>0</v>
      </c>
      <c r="U242" s="671">
        <v>0</v>
      </c>
    </row>
    <row r="243" spans="3:21" ht="13">
      <c r="C243" s="670" t="s">
        <v>350</v>
      </c>
      <c r="D243" s="663">
        <v>0</v>
      </c>
      <c r="E243" s="663">
        <v>0</v>
      </c>
      <c r="F243" s="663">
        <v>2.6460781360013397E-2</v>
      </c>
      <c r="G243" s="663">
        <v>0</v>
      </c>
      <c r="H243" s="663">
        <v>2.1444399446740805</v>
      </c>
      <c r="I243" s="663">
        <v>0</v>
      </c>
      <c r="J243" s="663">
        <v>887.88984586571985</v>
      </c>
      <c r="K243" s="663">
        <v>396.24410449971316</v>
      </c>
      <c r="L243" s="663">
        <v>15.085804984191999</v>
      </c>
      <c r="M243" s="663">
        <v>7.2357180176402842</v>
      </c>
      <c r="N243" s="663">
        <v>6.0578717375904887</v>
      </c>
      <c r="O243" s="663">
        <v>0.6501857288144991</v>
      </c>
      <c r="P243" s="663">
        <v>0</v>
      </c>
      <c r="Q243" s="663">
        <v>6.4590957564387725</v>
      </c>
      <c r="R243" s="663">
        <v>-708.99943776638747</v>
      </c>
      <c r="S243" s="663">
        <v>0</v>
      </c>
      <c r="T243" s="663">
        <v>8.0586922417708831</v>
      </c>
      <c r="U243" s="671">
        <v>620.85278179152624</v>
      </c>
    </row>
    <row r="244" spans="3:21" ht="13">
      <c r="C244" s="670" t="s">
        <v>351</v>
      </c>
      <c r="D244" s="663">
        <v>0</v>
      </c>
      <c r="E244" s="663">
        <v>0</v>
      </c>
      <c r="F244" s="663">
        <v>0</v>
      </c>
      <c r="G244" s="663">
        <v>0</v>
      </c>
      <c r="H244" s="663">
        <v>4.7815870319860325</v>
      </c>
      <c r="I244" s="663">
        <v>0</v>
      </c>
      <c r="J244" s="663">
        <v>0</v>
      </c>
      <c r="K244" s="663">
        <v>0</v>
      </c>
      <c r="L244" s="663">
        <v>35.214664152844563</v>
      </c>
      <c r="M244" s="663">
        <v>14.445160723039894</v>
      </c>
      <c r="N244" s="663">
        <v>0</v>
      </c>
      <c r="O244" s="663">
        <v>7.1872449307268287</v>
      </c>
      <c r="P244" s="663">
        <v>0</v>
      </c>
      <c r="Q244" s="663">
        <v>11.182341089352812</v>
      </c>
      <c r="R244" s="663">
        <v>0</v>
      </c>
      <c r="S244" s="663">
        <v>-68.236033723831326</v>
      </c>
      <c r="T244" s="663">
        <v>0</v>
      </c>
      <c r="U244" s="671">
        <v>4.574964204118805</v>
      </c>
    </row>
    <row r="245" spans="3:21" ht="13">
      <c r="C245" s="670" t="s">
        <v>352</v>
      </c>
      <c r="D245" s="663">
        <v>0</v>
      </c>
      <c r="E245" s="663">
        <v>0</v>
      </c>
      <c r="F245" s="663">
        <v>0</v>
      </c>
      <c r="G245" s="663">
        <v>0</v>
      </c>
      <c r="H245" s="663">
        <v>0</v>
      </c>
      <c r="I245" s="663">
        <v>0</v>
      </c>
      <c r="J245" s="663">
        <v>0</v>
      </c>
      <c r="K245" s="663">
        <v>0</v>
      </c>
      <c r="L245" s="663">
        <v>86.658949605448655</v>
      </c>
      <c r="M245" s="663">
        <v>0</v>
      </c>
      <c r="N245" s="663">
        <v>0</v>
      </c>
      <c r="O245" s="663">
        <v>-81.004566256753222</v>
      </c>
      <c r="P245" s="663">
        <v>0</v>
      </c>
      <c r="Q245" s="663">
        <v>0</v>
      </c>
      <c r="R245" s="663">
        <v>0</v>
      </c>
      <c r="S245" s="663">
        <v>0</v>
      </c>
      <c r="T245" s="663">
        <v>0</v>
      </c>
      <c r="U245" s="671">
        <v>5.6543833486954327</v>
      </c>
    </row>
    <row r="246" spans="3:21" ht="13">
      <c r="C246" s="670" t="s">
        <v>353</v>
      </c>
      <c r="D246" s="663">
        <v>0</v>
      </c>
      <c r="E246" s="663">
        <v>0</v>
      </c>
      <c r="F246" s="663">
        <v>0</v>
      </c>
      <c r="G246" s="663">
        <v>0</v>
      </c>
      <c r="H246" s="663">
        <v>0</v>
      </c>
      <c r="I246" s="663">
        <v>-0.77766156720631052</v>
      </c>
      <c r="J246" s="663">
        <v>0</v>
      </c>
      <c r="K246" s="663">
        <v>0</v>
      </c>
      <c r="L246" s="663">
        <v>0</v>
      </c>
      <c r="M246" s="663">
        <v>0</v>
      </c>
      <c r="N246" s="663">
        <v>0</v>
      </c>
      <c r="O246" s="663">
        <v>0</v>
      </c>
      <c r="P246" s="663">
        <v>0</v>
      </c>
      <c r="Q246" s="663">
        <v>0</v>
      </c>
      <c r="R246" s="663">
        <v>0</v>
      </c>
      <c r="S246" s="663">
        <v>0</v>
      </c>
      <c r="T246" s="663">
        <v>1.0822986785331616</v>
      </c>
      <c r="U246" s="671">
        <v>0.30463711132685112</v>
      </c>
    </row>
    <row r="247" spans="3:21" ht="13">
      <c r="C247" s="670" t="s">
        <v>72</v>
      </c>
      <c r="D247" s="663">
        <v>0</v>
      </c>
      <c r="E247" s="663">
        <v>229.44376619610998</v>
      </c>
      <c r="F247" s="663">
        <v>-227.15530245315296</v>
      </c>
      <c r="G247" s="663">
        <v>0</v>
      </c>
      <c r="H247" s="663">
        <v>0</v>
      </c>
      <c r="I247" s="663">
        <v>0</v>
      </c>
      <c r="J247" s="663">
        <v>0</v>
      </c>
      <c r="K247" s="663">
        <v>0</v>
      </c>
      <c r="L247" s="663">
        <v>0</v>
      </c>
      <c r="M247" s="663">
        <v>0</v>
      </c>
      <c r="N247" s="663">
        <v>0</v>
      </c>
      <c r="O247" s="663">
        <v>0</v>
      </c>
      <c r="P247" s="663">
        <v>0</v>
      </c>
      <c r="Q247" s="663">
        <v>0</v>
      </c>
      <c r="R247" s="663">
        <v>0</v>
      </c>
      <c r="S247" s="663">
        <v>0</v>
      </c>
      <c r="T247" s="663">
        <v>0</v>
      </c>
      <c r="U247" s="671">
        <v>2.2884637429570258</v>
      </c>
    </row>
    <row r="248" spans="3:21" ht="13">
      <c r="C248" s="670" t="s">
        <v>354</v>
      </c>
      <c r="D248" s="663">
        <v>0</v>
      </c>
      <c r="E248" s="663">
        <v>0</v>
      </c>
      <c r="F248" s="663">
        <v>0</v>
      </c>
      <c r="G248" s="663">
        <v>0</v>
      </c>
      <c r="H248" s="663">
        <v>0</v>
      </c>
      <c r="I248" s="663">
        <v>0</v>
      </c>
      <c r="J248" s="663">
        <v>0</v>
      </c>
      <c r="K248" s="663">
        <v>0</v>
      </c>
      <c r="L248" s="663">
        <v>110.37341937246062</v>
      </c>
      <c r="M248" s="663">
        <v>0</v>
      </c>
      <c r="N248" s="663">
        <v>-110.37341937246062</v>
      </c>
      <c r="O248" s="663">
        <v>0</v>
      </c>
      <c r="P248" s="663">
        <v>0</v>
      </c>
      <c r="Q248" s="663">
        <v>0</v>
      </c>
      <c r="R248" s="663">
        <v>0</v>
      </c>
      <c r="S248" s="663">
        <v>0</v>
      </c>
      <c r="T248" s="663">
        <v>0</v>
      </c>
      <c r="U248" s="671">
        <v>0</v>
      </c>
    </row>
    <row r="249" spans="3:21" ht="13">
      <c r="C249" s="670" t="s">
        <v>355</v>
      </c>
      <c r="D249" s="663">
        <v>0</v>
      </c>
      <c r="E249" s="663">
        <v>0</v>
      </c>
      <c r="F249" s="663">
        <v>0</v>
      </c>
      <c r="G249" s="663">
        <v>-25.838308158403624</v>
      </c>
      <c r="H249" s="663">
        <v>0</v>
      </c>
      <c r="I249" s="663">
        <v>0</v>
      </c>
      <c r="J249" s="663">
        <v>0</v>
      </c>
      <c r="K249" s="663">
        <v>0</v>
      </c>
      <c r="L249" s="663">
        <v>0</v>
      </c>
      <c r="M249" s="663">
        <v>0</v>
      </c>
      <c r="N249" s="663">
        <v>0</v>
      </c>
      <c r="O249" s="663">
        <v>0</v>
      </c>
      <c r="P249" s="663">
        <v>0</v>
      </c>
      <c r="Q249" s="663">
        <v>0</v>
      </c>
      <c r="R249" s="663">
        <v>0</v>
      </c>
      <c r="S249" s="663">
        <v>0</v>
      </c>
      <c r="T249" s="663">
        <v>35.986501613375523</v>
      </c>
      <c r="U249" s="671">
        <v>10.148193454971899</v>
      </c>
    </row>
    <row r="250" spans="3:21" ht="13">
      <c r="C250" s="670" t="s">
        <v>73</v>
      </c>
      <c r="D250" s="663">
        <v>0</v>
      </c>
      <c r="E250" s="663">
        <v>0</v>
      </c>
      <c r="F250" s="663">
        <v>0</v>
      </c>
      <c r="G250" s="663">
        <v>0</v>
      </c>
      <c r="H250" s="663">
        <v>0</v>
      </c>
      <c r="I250" s="663">
        <v>0</v>
      </c>
      <c r="J250" s="663">
        <v>0</v>
      </c>
      <c r="K250" s="663">
        <v>0</v>
      </c>
      <c r="L250" s="663">
        <v>0</v>
      </c>
      <c r="M250" s="663">
        <v>0</v>
      </c>
      <c r="N250" s="663">
        <v>0</v>
      </c>
      <c r="O250" s="663">
        <v>0</v>
      </c>
      <c r="P250" s="663">
        <v>0</v>
      </c>
      <c r="Q250" s="663">
        <v>0</v>
      </c>
      <c r="R250" s="663">
        <v>122.6947271556845</v>
      </c>
      <c r="S250" s="663">
        <v>0</v>
      </c>
      <c r="T250" s="663">
        <v>-85.334182736778573</v>
      </c>
      <c r="U250" s="671">
        <v>37.360544418905931</v>
      </c>
    </row>
    <row r="251" spans="3:21" ht="13">
      <c r="C251" s="670" t="s">
        <v>356</v>
      </c>
      <c r="D251" s="663">
        <v>5.7430949414062491</v>
      </c>
      <c r="E251" s="663">
        <v>-8.0099946110054798</v>
      </c>
      <c r="F251" s="663">
        <v>10.446968779828495</v>
      </c>
      <c r="G251" s="663">
        <v>0</v>
      </c>
      <c r="H251" s="663">
        <v>0</v>
      </c>
      <c r="I251" s="663">
        <v>0</v>
      </c>
      <c r="J251" s="663">
        <v>0</v>
      </c>
      <c r="K251" s="663">
        <v>0</v>
      </c>
      <c r="L251" s="663">
        <v>0</v>
      </c>
      <c r="M251" s="663">
        <v>0</v>
      </c>
      <c r="N251" s="663">
        <v>0</v>
      </c>
      <c r="O251" s="663">
        <v>0</v>
      </c>
      <c r="P251" s="663">
        <v>0</v>
      </c>
      <c r="Q251" s="663">
        <v>0</v>
      </c>
      <c r="R251" s="663">
        <v>0</v>
      </c>
      <c r="S251" s="663">
        <v>0</v>
      </c>
      <c r="T251" s="663">
        <v>0</v>
      </c>
      <c r="U251" s="671">
        <v>8.1800691102292635</v>
      </c>
    </row>
    <row r="252" spans="3:21" ht="13">
      <c r="C252" s="670" t="s">
        <v>75</v>
      </c>
      <c r="D252" s="663">
        <v>2.2334258105468749</v>
      </c>
      <c r="E252" s="663">
        <v>0</v>
      </c>
      <c r="F252" s="663">
        <v>17.43246590348684</v>
      </c>
      <c r="G252" s="663">
        <v>0</v>
      </c>
      <c r="H252" s="663">
        <v>2.2924587532620087</v>
      </c>
      <c r="I252" s="663">
        <v>3.0296811717119062E-2</v>
      </c>
      <c r="J252" s="663">
        <v>0</v>
      </c>
      <c r="K252" s="663">
        <v>0</v>
      </c>
      <c r="L252" s="663">
        <v>0</v>
      </c>
      <c r="M252" s="663">
        <v>0</v>
      </c>
      <c r="N252" s="663">
        <v>0</v>
      </c>
      <c r="O252" s="663">
        <v>2.7267130545407157</v>
      </c>
      <c r="P252" s="663">
        <v>0</v>
      </c>
      <c r="Q252" s="663">
        <v>0</v>
      </c>
      <c r="R252" s="663">
        <v>21.822235808041572</v>
      </c>
      <c r="S252" s="663">
        <v>0</v>
      </c>
      <c r="T252" s="663">
        <v>0</v>
      </c>
      <c r="U252" s="671">
        <v>46.537596141595124</v>
      </c>
    </row>
    <row r="253" spans="3:21" ht="13">
      <c r="C253" s="670" t="s">
        <v>76</v>
      </c>
      <c r="D253" s="663">
        <v>0</v>
      </c>
      <c r="E253" s="663">
        <v>0</v>
      </c>
      <c r="F253" s="663">
        <v>0</v>
      </c>
      <c r="G253" s="663">
        <v>0</v>
      </c>
      <c r="H253" s="663">
        <v>0.77652722768993077</v>
      </c>
      <c r="I253" s="663">
        <v>1.0262474374756796E-2</v>
      </c>
      <c r="J253" s="663">
        <v>0</v>
      </c>
      <c r="K253" s="663">
        <v>0</v>
      </c>
      <c r="L253" s="663">
        <v>0</v>
      </c>
      <c r="M253" s="663">
        <v>0</v>
      </c>
      <c r="N253" s="663">
        <v>0</v>
      </c>
      <c r="O253" s="663">
        <v>0.92362269372811168</v>
      </c>
      <c r="P253" s="663">
        <v>0</v>
      </c>
      <c r="Q253" s="663">
        <v>0</v>
      </c>
      <c r="R253" s="663">
        <v>51.265258018349606</v>
      </c>
      <c r="S253" s="663">
        <v>5.2924074535934169</v>
      </c>
      <c r="T253" s="663">
        <v>0</v>
      </c>
      <c r="U253" s="671">
        <v>58.268077867735826</v>
      </c>
    </row>
    <row r="254" spans="3:21" ht="13">
      <c r="C254" s="666" t="s">
        <v>77</v>
      </c>
      <c r="D254" s="667">
        <v>7.9765207519531245</v>
      </c>
      <c r="E254" s="667">
        <v>221.43377158510449</v>
      </c>
      <c r="F254" s="667">
        <v>-199.24940698847763</v>
      </c>
      <c r="G254" s="667">
        <v>-25.838308158403624</v>
      </c>
      <c r="H254" s="675">
        <v>9.9950129576120528</v>
      </c>
      <c r="I254" s="667">
        <v>-0.73710228111443465</v>
      </c>
      <c r="J254" s="667">
        <v>887.88984586571985</v>
      </c>
      <c r="K254" s="667">
        <v>396.24410449971316</v>
      </c>
      <c r="L254" s="667">
        <v>247.33283811494582</v>
      </c>
      <c r="M254" s="667">
        <v>21.680878740680178</v>
      </c>
      <c r="N254" s="667">
        <v>-104.31554763487013</v>
      </c>
      <c r="O254" s="667">
        <v>-69.51679984894308</v>
      </c>
      <c r="P254" s="667">
        <v>0</v>
      </c>
      <c r="Q254" s="667">
        <v>17.641436845791585</v>
      </c>
      <c r="R254" s="667">
        <v>-513.21721678431186</v>
      </c>
      <c r="S254" s="667">
        <v>-62.943626270237907</v>
      </c>
      <c r="T254" s="667">
        <v>-40.206690203099001</v>
      </c>
      <c r="U254" s="667">
        <v>794.16971119206255</v>
      </c>
    </row>
    <row r="255" spans="3:21" ht="13">
      <c r="C255" s="668"/>
      <c r="D255" s="669">
        <v>0</v>
      </c>
      <c r="E255" s="669">
        <v>0</v>
      </c>
      <c r="F255" s="669">
        <v>0</v>
      </c>
      <c r="G255" s="669">
        <v>0</v>
      </c>
      <c r="H255" s="676">
        <v>0</v>
      </c>
      <c r="I255" s="669">
        <v>0</v>
      </c>
      <c r="J255" s="669">
        <v>0</v>
      </c>
      <c r="K255" s="669">
        <v>0</v>
      </c>
      <c r="L255" s="669">
        <v>0</v>
      </c>
      <c r="M255" s="669">
        <v>0</v>
      </c>
      <c r="N255" s="669">
        <v>0</v>
      </c>
      <c r="O255" s="669">
        <v>0</v>
      </c>
      <c r="P255" s="669">
        <v>0</v>
      </c>
      <c r="Q255" s="669">
        <v>0</v>
      </c>
      <c r="R255" s="669">
        <v>0</v>
      </c>
      <c r="S255" s="669">
        <v>0</v>
      </c>
      <c r="T255" s="669">
        <v>0</v>
      </c>
      <c r="U255" s="669">
        <v>0</v>
      </c>
    </row>
    <row r="256" spans="3:21" ht="13">
      <c r="C256" s="670" t="s">
        <v>78</v>
      </c>
      <c r="D256" s="663">
        <v>2.4027599556453909</v>
      </c>
      <c r="E256" s="663">
        <v>0</v>
      </c>
      <c r="F256" s="663">
        <v>3.114463113040443</v>
      </c>
      <c r="G256" s="663">
        <v>0</v>
      </c>
      <c r="H256" s="663">
        <v>22.626318476237717</v>
      </c>
      <c r="I256" s="663">
        <v>0.29902623536878048</v>
      </c>
      <c r="J256" s="663">
        <v>0</v>
      </c>
      <c r="K256" s="663">
        <v>0</v>
      </c>
      <c r="L256" s="663">
        <v>19.572699923725285</v>
      </c>
      <c r="M256" s="663">
        <v>2.2927206810178133</v>
      </c>
      <c r="N256" s="663">
        <v>2.5907279394531253</v>
      </c>
      <c r="O256" s="663">
        <v>26.952636430442517</v>
      </c>
      <c r="P256" s="663">
        <v>8.8445146484374995</v>
      </c>
      <c r="Q256" s="663">
        <v>8.2107689234467234E-4</v>
      </c>
      <c r="R256" s="663">
        <v>134.99858174444151</v>
      </c>
      <c r="S256" s="663">
        <v>18.388872155735818</v>
      </c>
      <c r="T256" s="663">
        <v>5.7096738281250001</v>
      </c>
      <c r="U256" s="671">
        <v>247.79381620856324</v>
      </c>
    </row>
    <row r="257" spans="3:21" ht="13">
      <c r="C257" s="670" t="s">
        <v>79</v>
      </c>
      <c r="D257" s="663">
        <v>0</v>
      </c>
      <c r="E257" s="663">
        <v>0</v>
      </c>
      <c r="F257" s="663">
        <v>28.084568019979141</v>
      </c>
      <c r="G257" s="663">
        <v>1.421472124111238</v>
      </c>
      <c r="H257" s="663">
        <v>2.5860362638913656</v>
      </c>
      <c r="I257" s="663">
        <v>3.4176690712220695E-2</v>
      </c>
      <c r="J257" s="663">
        <v>0</v>
      </c>
      <c r="K257" s="663">
        <v>0</v>
      </c>
      <c r="L257" s="663">
        <v>0</v>
      </c>
      <c r="M257" s="663">
        <v>0</v>
      </c>
      <c r="N257" s="663">
        <v>58.95620249302754</v>
      </c>
      <c r="O257" s="663">
        <v>3.0759021640998623</v>
      </c>
      <c r="P257" s="663">
        <v>0</v>
      </c>
      <c r="Q257" s="663">
        <v>0</v>
      </c>
      <c r="R257" s="663">
        <v>96.758599927458889</v>
      </c>
      <c r="S257" s="663">
        <v>0</v>
      </c>
      <c r="T257" s="663">
        <v>4.2910115463144054</v>
      </c>
      <c r="U257" s="671">
        <v>195.20796922959462</v>
      </c>
    </row>
    <row r="258" spans="3:21" ht="13">
      <c r="C258" s="670" t="s">
        <v>80</v>
      </c>
      <c r="D258" s="663">
        <v>0</v>
      </c>
      <c r="E258" s="663">
        <v>0</v>
      </c>
      <c r="F258" s="663">
        <v>1.0938828648554826</v>
      </c>
      <c r="G258" s="663">
        <v>0</v>
      </c>
      <c r="H258" s="663">
        <v>16.315204996757775</v>
      </c>
      <c r="I258" s="663">
        <v>0.21561944929635826</v>
      </c>
      <c r="J258" s="663">
        <v>0</v>
      </c>
      <c r="K258" s="663">
        <v>0</v>
      </c>
      <c r="L258" s="663">
        <v>32.232635043857968</v>
      </c>
      <c r="M258" s="663">
        <v>0</v>
      </c>
      <c r="N258" s="663">
        <v>0</v>
      </c>
      <c r="O258" s="663">
        <v>19.405750436672243</v>
      </c>
      <c r="P258" s="663">
        <v>111.91504706113531</v>
      </c>
      <c r="Q258" s="663">
        <v>2.8847164087553931</v>
      </c>
      <c r="R258" s="663">
        <v>143.6282802083233</v>
      </c>
      <c r="S258" s="663">
        <v>25.545428952203935</v>
      </c>
      <c r="T258" s="663">
        <v>0</v>
      </c>
      <c r="U258" s="671">
        <v>353.23656542185773</v>
      </c>
    </row>
    <row r="259" spans="3:21" ht="13">
      <c r="C259" s="670" t="s">
        <v>81</v>
      </c>
      <c r="D259" s="663">
        <v>0</v>
      </c>
      <c r="E259" s="663">
        <v>0</v>
      </c>
      <c r="F259" s="663">
        <v>0.97723127965383472</v>
      </c>
      <c r="G259" s="663">
        <v>0</v>
      </c>
      <c r="H259" s="663">
        <v>8.896881568300115</v>
      </c>
      <c r="I259" s="663">
        <v>0.11757993262070637</v>
      </c>
      <c r="J259" s="663">
        <v>0</v>
      </c>
      <c r="K259" s="663">
        <v>0</v>
      </c>
      <c r="L259" s="663">
        <v>0.3860243395319729</v>
      </c>
      <c r="M259" s="663">
        <v>3.6858170734169985E-4</v>
      </c>
      <c r="N259" s="663">
        <v>0</v>
      </c>
      <c r="O259" s="663">
        <v>10.582193935863573</v>
      </c>
      <c r="P259" s="663">
        <v>26.610536942551132</v>
      </c>
      <c r="Q259" s="663">
        <v>1.0058473798751368</v>
      </c>
      <c r="R259" s="663">
        <v>89.039868511744515</v>
      </c>
      <c r="S259" s="663">
        <v>19.009325162298154</v>
      </c>
      <c r="T259" s="663">
        <v>0</v>
      </c>
      <c r="U259" s="671">
        <v>156.62585763414648</v>
      </c>
    </row>
    <row r="260" spans="3:21" ht="13">
      <c r="C260" s="670" t="s">
        <v>82</v>
      </c>
      <c r="D260" s="663">
        <v>0</v>
      </c>
      <c r="E260" s="663">
        <v>0</v>
      </c>
      <c r="F260" s="663">
        <v>4.1945740406306502</v>
      </c>
      <c r="G260" s="663">
        <v>1.6667279106947781</v>
      </c>
      <c r="H260" s="663">
        <v>0.79342108561234903</v>
      </c>
      <c r="I260" s="663">
        <v>1.0485741219546464E-2</v>
      </c>
      <c r="J260" s="663">
        <v>0</v>
      </c>
      <c r="K260" s="663">
        <v>0</v>
      </c>
      <c r="L260" s="663">
        <v>3.7340409967435519</v>
      </c>
      <c r="M260" s="663">
        <v>0</v>
      </c>
      <c r="N260" s="663">
        <v>16.919952753679041</v>
      </c>
      <c r="O260" s="663">
        <v>0.94371670975918176</v>
      </c>
      <c r="P260" s="663">
        <v>1.1499999999999999</v>
      </c>
      <c r="Q260" s="663">
        <v>1.5666563685107562</v>
      </c>
      <c r="R260" s="663">
        <v>7.7866370218848946</v>
      </c>
      <c r="S260" s="663">
        <v>0</v>
      </c>
      <c r="T260" s="663">
        <v>0.36062656029870238</v>
      </c>
      <c r="U260" s="671">
        <v>39.126839189033454</v>
      </c>
    </row>
    <row r="261" spans="3:21" ht="13">
      <c r="C261" s="670" t="s">
        <v>357</v>
      </c>
      <c r="D261" s="663">
        <v>0</v>
      </c>
      <c r="E261" s="663">
        <v>0</v>
      </c>
      <c r="F261" s="663">
        <v>0</v>
      </c>
      <c r="G261" s="663">
        <v>0</v>
      </c>
      <c r="H261" s="663">
        <v>0</v>
      </c>
      <c r="I261" s="663">
        <v>0</v>
      </c>
      <c r="J261" s="663">
        <v>0</v>
      </c>
      <c r="K261" s="663">
        <v>0</v>
      </c>
      <c r="L261" s="663">
        <v>0</v>
      </c>
      <c r="M261" s="663">
        <v>0</v>
      </c>
      <c r="N261" s="663">
        <v>0</v>
      </c>
      <c r="O261" s="663">
        <v>0</v>
      </c>
      <c r="P261" s="663">
        <v>0</v>
      </c>
      <c r="Q261" s="663">
        <v>0</v>
      </c>
      <c r="R261" s="663">
        <v>1.8912</v>
      </c>
      <c r="S261" s="663">
        <v>0</v>
      </c>
      <c r="T261" s="663">
        <v>0</v>
      </c>
      <c r="U261" s="671">
        <v>1.8912</v>
      </c>
    </row>
    <row r="262" spans="3:21" ht="13">
      <c r="C262" s="666" t="s">
        <v>83</v>
      </c>
      <c r="D262" s="667">
        <v>2.4027599556453909</v>
      </c>
      <c r="E262" s="667">
        <v>0</v>
      </c>
      <c r="F262" s="667">
        <v>37.464719318159553</v>
      </c>
      <c r="G262" s="667">
        <v>3.0882000348060163</v>
      </c>
      <c r="H262" s="675">
        <v>51.217862390799326</v>
      </c>
      <c r="I262" s="667">
        <v>0.67688804921761236</v>
      </c>
      <c r="J262" s="667">
        <v>0</v>
      </c>
      <c r="K262" s="667">
        <v>0</v>
      </c>
      <c r="L262" s="667">
        <v>55.925400303858773</v>
      </c>
      <c r="M262" s="667">
        <v>2.2930892627251551</v>
      </c>
      <c r="N262" s="667">
        <v>78.46688318615972</v>
      </c>
      <c r="O262" s="667">
        <v>60.960199676837377</v>
      </c>
      <c r="P262" s="667">
        <v>148.52009865212395</v>
      </c>
      <c r="Q262" s="667">
        <v>5.4580412340336313</v>
      </c>
      <c r="R262" s="667">
        <v>474.10316741385316</v>
      </c>
      <c r="S262" s="667">
        <v>62.943626270237907</v>
      </c>
      <c r="T262" s="667">
        <v>10.361311934738108</v>
      </c>
      <c r="U262" s="667">
        <v>993.8822476831956</v>
      </c>
    </row>
    <row r="263" spans="3:21" ht="13">
      <c r="C263" s="662" t="s">
        <v>84</v>
      </c>
      <c r="D263" s="663">
        <v>0</v>
      </c>
      <c r="E263" s="663">
        <v>0</v>
      </c>
      <c r="F263" s="663">
        <v>55.51811908375884</v>
      </c>
      <c r="G263" s="663">
        <v>7.0490044147499464</v>
      </c>
      <c r="H263" s="663">
        <v>5.5825875517318595</v>
      </c>
      <c r="I263" s="663">
        <v>0</v>
      </c>
      <c r="J263" s="663">
        <v>0</v>
      </c>
      <c r="K263" s="663">
        <v>0</v>
      </c>
      <c r="L263" s="663">
        <v>0.48256425190137814</v>
      </c>
      <c r="M263" s="663">
        <v>0</v>
      </c>
      <c r="N263" s="663">
        <v>17.896473357733768</v>
      </c>
      <c r="O263" s="663">
        <v>3.3065346740377066</v>
      </c>
      <c r="P263" s="663">
        <v>0</v>
      </c>
      <c r="Q263" s="663">
        <v>0</v>
      </c>
      <c r="R263" s="663">
        <v>0</v>
      </c>
      <c r="S263" s="663">
        <v>0</v>
      </c>
      <c r="T263" s="663">
        <v>28.74233427987765</v>
      </c>
      <c r="U263" s="671">
        <v>118.57761761379115</v>
      </c>
    </row>
    <row r="264" spans="3:21" ht="13">
      <c r="C264" s="666" t="s">
        <v>85</v>
      </c>
      <c r="D264" s="667">
        <v>2.4027599556453909</v>
      </c>
      <c r="E264" s="667">
        <v>0</v>
      </c>
      <c r="F264" s="667">
        <v>92.9828384019184</v>
      </c>
      <c r="G264" s="667">
        <v>10.137204449555963</v>
      </c>
      <c r="H264" s="675">
        <v>56.800449942531188</v>
      </c>
      <c r="I264" s="667">
        <v>0.67688804921761236</v>
      </c>
      <c r="J264" s="667">
        <v>0</v>
      </c>
      <c r="K264" s="667">
        <v>0</v>
      </c>
      <c r="L264" s="667">
        <v>56.407964555760152</v>
      </c>
      <c r="M264" s="667">
        <v>2.2930892627251551</v>
      </c>
      <c r="N264" s="667">
        <v>96.363356543893488</v>
      </c>
      <c r="O264" s="667">
        <v>64.266734350875069</v>
      </c>
      <c r="P264" s="667">
        <v>148.52009865212395</v>
      </c>
      <c r="Q264" s="667">
        <v>5.4580412340336313</v>
      </c>
      <c r="R264" s="667">
        <v>474.10316741385316</v>
      </c>
      <c r="S264" s="667">
        <v>62.943626270237907</v>
      </c>
      <c r="T264" s="667">
        <v>39.103646214615758</v>
      </c>
      <c r="U264" s="667">
        <v>1112.4598652969867</v>
      </c>
    </row>
    <row r="265" spans="3:21">
      <c r="C265" s="654"/>
      <c r="D265" s="672">
        <v>0</v>
      </c>
      <c r="E265" s="672">
        <v>0</v>
      </c>
      <c r="F265" s="672">
        <v>0</v>
      </c>
      <c r="G265" s="672">
        <v>0</v>
      </c>
      <c r="H265" s="672">
        <v>0</v>
      </c>
      <c r="I265" s="672">
        <v>1.0408340855860843E-16</v>
      </c>
      <c r="J265" s="672">
        <v>0</v>
      </c>
      <c r="K265" s="672">
        <v>0</v>
      </c>
      <c r="L265" s="672">
        <v>0</v>
      </c>
      <c r="M265" s="672">
        <v>0</v>
      </c>
      <c r="N265" s="672">
        <v>1.1546319456101628E-14</v>
      </c>
      <c r="O265" s="672">
        <v>-3.1086244689504383E-14</v>
      </c>
      <c r="P265" s="672">
        <v>0</v>
      </c>
      <c r="Q265" s="672">
        <v>0</v>
      </c>
      <c r="R265" s="672">
        <v>0</v>
      </c>
      <c r="S265" s="672">
        <v>0</v>
      </c>
      <c r="T265" s="672">
        <v>0</v>
      </c>
      <c r="U265" s="672">
        <v>0</v>
      </c>
    </row>
    <row r="266" spans="3:21">
      <c r="C266" s="654"/>
      <c r="D266" s="654"/>
      <c r="E266" s="654"/>
      <c r="F266" s="654"/>
      <c r="G266" s="654"/>
      <c r="H266" s="654"/>
      <c r="I266" s="654"/>
      <c r="J266" s="654"/>
      <c r="K266" s="654"/>
      <c r="L266" s="654"/>
      <c r="M266" s="654"/>
      <c r="N266" s="654"/>
      <c r="O266" s="654"/>
      <c r="P266" s="654"/>
      <c r="Q266" s="654"/>
      <c r="R266" s="654"/>
      <c r="S266" s="654"/>
      <c r="T266" s="654"/>
      <c r="U266" s="654"/>
    </row>
    <row r="267" spans="3:21" ht="14.5">
      <c r="C267" s="658" t="s">
        <v>364</v>
      </c>
      <c r="D267" s="659"/>
      <c r="E267" s="659"/>
      <c r="F267" s="659"/>
      <c r="G267" s="659"/>
      <c r="H267" s="659"/>
      <c r="I267" s="659"/>
      <c r="J267" s="659"/>
      <c r="K267" s="659"/>
      <c r="L267" s="659"/>
      <c r="M267" s="659"/>
      <c r="N267" s="659"/>
      <c r="O267" s="659"/>
      <c r="P267" s="659"/>
      <c r="Q267" s="659"/>
      <c r="R267" s="659"/>
      <c r="S267" s="659"/>
      <c r="T267" s="659"/>
      <c r="U267" s="659"/>
    </row>
    <row r="268" spans="3:21">
      <c r="C268" s="654"/>
      <c r="D268" s="654"/>
      <c r="E268" s="654"/>
      <c r="F268" s="654"/>
      <c r="G268" s="654"/>
      <c r="H268" s="654"/>
      <c r="I268" s="654"/>
      <c r="J268" s="654"/>
      <c r="K268" s="654"/>
      <c r="L268" s="654"/>
      <c r="M268" s="654"/>
      <c r="N268" s="654"/>
      <c r="O268" s="654"/>
      <c r="P268" s="654"/>
      <c r="Q268" s="654"/>
      <c r="R268" s="654"/>
      <c r="S268" s="654"/>
      <c r="T268" s="654"/>
      <c r="U268" s="654"/>
    </row>
    <row r="269" spans="3:21" ht="13">
      <c r="C269" s="706" t="s">
        <v>128</v>
      </c>
      <c r="D269" s="704" t="s">
        <v>42</v>
      </c>
      <c r="E269" s="704" t="s">
        <v>52</v>
      </c>
      <c r="F269" s="704" t="s">
        <v>53</v>
      </c>
      <c r="G269" s="704" t="s">
        <v>487</v>
      </c>
      <c r="H269" s="704" t="s">
        <v>32</v>
      </c>
      <c r="I269" s="704" t="s">
        <v>488</v>
      </c>
      <c r="J269" s="704" t="s">
        <v>20</v>
      </c>
      <c r="K269" s="704" t="s">
        <v>55</v>
      </c>
      <c r="L269" s="708" t="s">
        <v>56</v>
      </c>
      <c r="M269" s="709"/>
      <c r="N269" s="709"/>
      <c r="O269" s="709"/>
      <c r="P269" s="709"/>
      <c r="Q269" s="710"/>
      <c r="R269" s="704" t="s">
        <v>57</v>
      </c>
      <c r="S269" s="704" t="s">
        <v>58</v>
      </c>
      <c r="T269" s="704" t="s">
        <v>31</v>
      </c>
      <c r="U269" s="704" t="s">
        <v>10</v>
      </c>
    </row>
    <row r="270" spans="3:21" ht="36">
      <c r="C270" s="707"/>
      <c r="D270" s="705"/>
      <c r="E270" s="705"/>
      <c r="F270" s="705"/>
      <c r="G270" s="705"/>
      <c r="H270" s="705"/>
      <c r="I270" s="705"/>
      <c r="J270" s="705"/>
      <c r="K270" s="705"/>
      <c r="L270" s="660" t="s">
        <v>338</v>
      </c>
      <c r="M270" s="660" t="s">
        <v>40</v>
      </c>
      <c r="N270" s="660" t="s">
        <v>346</v>
      </c>
      <c r="O270" s="660" t="s">
        <v>347</v>
      </c>
      <c r="P270" s="661" t="s">
        <v>348</v>
      </c>
      <c r="Q270" s="660" t="s">
        <v>349</v>
      </c>
      <c r="R270" s="705"/>
      <c r="S270" s="705"/>
      <c r="T270" s="705"/>
      <c r="U270" s="705"/>
    </row>
    <row r="271" spans="3:21" ht="13">
      <c r="C271" s="662" t="s">
        <v>59</v>
      </c>
      <c r="D271" s="663">
        <v>0</v>
      </c>
      <c r="E271" s="663">
        <v>0</v>
      </c>
      <c r="F271" s="663">
        <v>0</v>
      </c>
      <c r="G271" s="663">
        <v>0</v>
      </c>
      <c r="H271" s="663">
        <v>0</v>
      </c>
      <c r="I271" s="663">
        <v>0</v>
      </c>
      <c r="J271" s="664">
        <v>835.87348477446847</v>
      </c>
      <c r="K271" s="664">
        <v>433.2264513609648</v>
      </c>
      <c r="L271" s="664">
        <v>288.88340552324502</v>
      </c>
      <c r="M271" s="664">
        <v>22.07866786794175</v>
      </c>
      <c r="N271" s="663">
        <v>1.6797912871987437</v>
      </c>
      <c r="O271" s="663">
        <v>0.17065445399605614</v>
      </c>
      <c r="P271" s="664">
        <v>155.82057805919561</v>
      </c>
      <c r="Q271" s="664">
        <v>23.487215011212861</v>
      </c>
      <c r="R271" s="663">
        <v>0</v>
      </c>
      <c r="S271" s="663">
        <v>0</v>
      </c>
      <c r="T271" s="663">
        <v>0</v>
      </c>
      <c r="U271" s="665">
        <v>1761.2202483382232</v>
      </c>
    </row>
    <row r="272" spans="3:21" ht="13">
      <c r="C272" s="662" t="s">
        <v>60</v>
      </c>
      <c r="D272" s="663">
        <v>9.1088960408946864</v>
      </c>
      <c r="E272" s="663">
        <v>190.65660017812178</v>
      </c>
      <c r="F272" s="663">
        <v>2.9590354993625017</v>
      </c>
      <c r="G272" s="663">
        <v>0</v>
      </c>
      <c r="H272" s="663">
        <v>52.772371882452688</v>
      </c>
      <c r="I272" s="663">
        <v>0</v>
      </c>
      <c r="J272" s="663">
        <v>0</v>
      </c>
      <c r="K272" s="663">
        <v>0</v>
      </c>
      <c r="L272" s="663">
        <v>4.8125993033158778</v>
      </c>
      <c r="M272" s="663">
        <v>0</v>
      </c>
      <c r="N272" s="663">
        <v>5.0080801377734332</v>
      </c>
      <c r="O272" s="663">
        <v>0</v>
      </c>
      <c r="P272" s="663">
        <v>0</v>
      </c>
      <c r="Q272" s="663">
        <v>0</v>
      </c>
      <c r="R272" s="663">
        <v>0</v>
      </c>
      <c r="S272" s="663">
        <v>0</v>
      </c>
      <c r="T272" s="663">
        <v>0</v>
      </c>
      <c r="U272" s="665">
        <v>265.31758304192095</v>
      </c>
    </row>
    <row r="273" spans="3:21" ht="13">
      <c r="C273" s="662" t="s">
        <v>61</v>
      </c>
      <c r="D273" s="663">
        <v>0</v>
      </c>
      <c r="E273" s="663">
        <v>0</v>
      </c>
      <c r="F273" s="663">
        <v>-67.846394386464354</v>
      </c>
      <c r="G273" s="663">
        <v>-3.5527136788005009E-15</v>
      </c>
      <c r="H273" s="663">
        <v>0</v>
      </c>
      <c r="I273" s="663">
        <v>0</v>
      </c>
      <c r="J273" s="663">
        <v>0</v>
      </c>
      <c r="K273" s="663">
        <v>0</v>
      </c>
      <c r="L273" s="663">
        <v>0</v>
      </c>
      <c r="M273" s="663">
        <v>0</v>
      </c>
      <c r="N273" s="663">
        <v>0</v>
      </c>
      <c r="O273" s="663">
        <v>0</v>
      </c>
      <c r="P273" s="663">
        <v>0</v>
      </c>
      <c r="Q273" s="663">
        <v>0</v>
      </c>
      <c r="R273" s="663">
        <v>-40.00031821738844</v>
      </c>
      <c r="S273" s="663">
        <v>0</v>
      </c>
      <c r="T273" s="663">
        <v>0</v>
      </c>
      <c r="U273" s="665">
        <v>-107.84671260385279</v>
      </c>
    </row>
    <row r="274" spans="3:21" ht="13">
      <c r="C274" s="662" t="s">
        <v>62</v>
      </c>
      <c r="D274" s="663">
        <v>0</v>
      </c>
      <c r="E274" s="663">
        <v>0</v>
      </c>
      <c r="F274" s="663">
        <v>-5.3541729526260253</v>
      </c>
      <c r="G274" s="663">
        <v>-3.2544454489343884</v>
      </c>
      <c r="H274" s="663">
        <v>-2.154938128893316</v>
      </c>
      <c r="I274" s="663">
        <v>-5.5254823817777333E-2</v>
      </c>
      <c r="J274" s="663">
        <v>0</v>
      </c>
      <c r="K274" s="663">
        <v>0</v>
      </c>
      <c r="L274" s="663">
        <v>0</v>
      </c>
      <c r="M274" s="663">
        <v>0</v>
      </c>
      <c r="N274" s="663">
        <v>-0.28299525642907725</v>
      </c>
      <c r="O274" s="663">
        <v>-3.3152894290666399</v>
      </c>
      <c r="P274" s="663">
        <v>0</v>
      </c>
      <c r="Q274" s="663">
        <v>0</v>
      </c>
      <c r="R274" s="663">
        <v>0</v>
      </c>
      <c r="S274" s="663">
        <v>0</v>
      </c>
      <c r="T274" s="663">
        <v>0</v>
      </c>
      <c r="U274" s="665">
        <v>-14.417096039767225</v>
      </c>
    </row>
    <row r="275" spans="3:21" ht="13">
      <c r="C275" s="662" t="s">
        <v>63</v>
      </c>
      <c r="D275" s="663">
        <v>0</v>
      </c>
      <c r="E275" s="663">
        <v>0</v>
      </c>
      <c r="F275" s="663">
        <v>-38.578656039955483</v>
      </c>
      <c r="G275" s="663">
        <v>-13.893394907220655</v>
      </c>
      <c r="H275" s="663">
        <v>0</v>
      </c>
      <c r="I275" s="663">
        <v>0</v>
      </c>
      <c r="J275" s="663">
        <v>0</v>
      </c>
      <c r="K275" s="663">
        <v>0</v>
      </c>
      <c r="L275" s="663">
        <v>0</v>
      </c>
      <c r="M275" s="663">
        <v>0</v>
      </c>
      <c r="N275" s="663">
        <v>-13.893394907220655</v>
      </c>
      <c r="O275" s="663">
        <v>0</v>
      </c>
      <c r="P275" s="663">
        <v>0</v>
      </c>
      <c r="Q275" s="663">
        <v>0</v>
      </c>
      <c r="R275" s="663">
        <v>0</v>
      </c>
      <c r="S275" s="663">
        <v>0</v>
      </c>
      <c r="T275" s="663">
        <v>-1.3953345659196588</v>
      </c>
      <c r="U275" s="665">
        <v>-67.760780420316451</v>
      </c>
    </row>
    <row r="276" spans="3:21" ht="13">
      <c r="C276" s="662" t="s">
        <v>64</v>
      </c>
      <c r="D276" s="663">
        <v>0</v>
      </c>
      <c r="E276" s="663">
        <v>0</v>
      </c>
      <c r="F276" s="663">
        <v>0</v>
      </c>
      <c r="G276" s="663">
        <v>0</v>
      </c>
      <c r="H276" s="663">
        <v>0</v>
      </c>
      <c r="I276" s="663">
        <v>0</v>
      </c>
      <c r="J276" s="663">
        <v>0</v>
      </c>
      <c r="K276" s="663">
        <v>0</v>
      </c>
      <c r="L276" s="663">
        <v>0</v>
      </c>
      <c r="M276" s="663">
        <v>0</v>
      </c>
      <c r="N276" s="663">
        <v>0</v>
      </c>
      <c r="O276" s="663">
        <v>0</v>
      </c>
      <c r="P276" s="663">
        <v>0</v>
      </c>
      <c r="Q276" s="663">
        <v>0</v>
      </c>
      <c r="R276" s="663">
        <v>0</v>
      </c>
      <c r="S276" s="663">
        <v>0</v>
      </c>
      <c r="T276" s="663">
        <v>0</v>
      </c>
      <c r="U276" s="665">
        <v>0</v>
      </c>
    </row>
    <row r="277" spans="3:21" ht="13">
      <c r="C277" s="666" t="s">
        <v>65</v>
      </c>
      <c r="D277" s="667">
        <v>9.1088960408946864</v>
      </c>
      <c r="E277" s="667">
        <v>190.65660017812178</v>
      </c>
      <c r="F277" s="667">
        <v>-108.82018787968336</v>
      </c>
      <c r="G277" s="667">
        <v>-17.147840356155047</v>
      </c>
      <c r="H277" s="675">
        <v>50.617433753559375</v>
      </c>
      <c r="I277" s="667">
        <v>-5.5254823817777333E-2</v>
      </c>
      <c r="J277" s="667">
        <v>835.87348477446847</v>
      </c>
      <c r="K277" s="667">
        <v>433.2264513609648</v>
      </c>
      <c r="L277" s="667">
        <v>293.69600482656091</v>
      </c>
      <c r="M277" s="667">
        <v>22.07866786794175</v>
      </c>
      <c r="N277" s="667">
        <v>-7.4885187386775538</v>
      </c>
      <c r="O277" s="667">
        <v>-3.1446349750705838</v>
      </c>
      <c r="P277" s="667">
        <v>155.82057805919561</v>
      </c>
      <c r="Q277" s="667">
        <v>23.487215011212861</v>
      </c>
      <c r="R277" s="667">
        <v>-40.00031821738844</v>
      </c>
      <c r="S277" s="667">
        <v>0</v>
      </c>
      <c r="T277" s="667">
        <v>-1.3953345659196588</v>
      </c>
      <c r="U277" s="667">
        <v>1836.5132423162074</v>
      </c>
    </row>
    <row r="278" spans="3:21" ht="13">
      <c r="C278" s="668"/>
      <c r="D278" s="669">
        <v>0</v>
      </c>
      <c r="E278" s="669">
        <v>0</v>
      </c>
      <c r="F278" s="669">
        <v>0</v>
      </c>
      <c r="G278" s="669">
        <v>0</v>
      </c>
      <c r="H278" s="676">
        <v>0</v>
      </c>
      <c r="I278" s="669">
        <v>0</v>
      </c>
      <c r="J278" s="669">
        <v>0</v>
      </c>
      <c r="K278" s="669">
        <v>0</v>
      </c>
      <c r="L278" s="669">
        <v>0</v>
      </c>
      <c r="M278" s="669">
        <v>0</v>
      </c>
      <c r="N278" s="669">
        <v>0</v>
      </c>
      <c r="O278" s="669">
        <v>0</v>
      </c>
      <c r="P278" s="669">
        <v>0</v>
      </c>
      <c r="Q278" s="669">
        <v>0</v>
      </c>
      <c r="R278" s="669">
        <v>0</v>
      </c>
      <c r="S278" s="669">
        <v>0</v>
      </c>
      <c r="T278" s="669">
        <v>0</v>
      </c>
      <c r="U278" s="669">
        <v>0</v>
      </c>
    </row>
    <row r="279" spans="3:21" ht="13">
      <c r="C279" s="670" t="s">
        <v>67</v>
      </c>
      <c r="D279" s="663">
        <v>0</v>
      </c>
      <c r="E279" s="663">
        <v>0</v>
      </c>
      <c r="F279" s="663">
        <v>0</v>
      </c>
      <c r="G279" s="663">
        <v>0</v>
      </c>
      <c r="H279" s="663">
        <v>0</v>
      </c>
      <c r="I279" s="663">
        <v>0</v>
      </c>
      <c r="J279" s="663">
        <v>0</v>
      </c>
      <c r="K279" s="663">
        <v>0</v>
      </c>
      <c r="L279" s="663">
        <v>0</v>
      </c>
      <c r="M279" s="663">
        <v>0</v>
      </c>
      <c r="N279" s="663">
        <v>0</v>
      </c>
      <c r="O279" s="663">
        <v>0</v>
      </c>
      <c r="P279" s="663">
        <v>0</v>
      </c>
      <c r="Q279" s="663">
        <v>0</v>
      </c>
      <c r="R279" s="663">
        <v>0</v>
      </c>
      <c r="S279" s="663">
        <v>0</v>
      </c>
      <c r="T279" s="663">
        <v>0</v>
      </c>
      <c r="U279" s="671">
        <v>0</v>
      </c>
    </row>
    <row r="280" spans="3:21" ht="13">
      <c r="C280" s="670" t="s">
        <v>350</v>
      </c>
      <c r="D280" s="663">
        <v>0</v>
      </c>
      <c r="E280" s="663">
        <v>0</v>
      </c>
      <c r="F280" s="663">
        <v>0</v>
      </c>
      <c r="G280" s="663">
        <v>0</v>
      </c>
      <c r="H280" s="663">
        <v>0</v>
      </c>
      <c r="I280" s="663">
        <v>0</v>
      </c>
      <c r="J280" s="663">
        <v>835.87348477446847</v>
      </c>
      <c r="K280" s="663">
        <v>433.2264513609648</v>
      </c>
      <c r="L280" s="663">
        <v>14.188154051569427</v>
      </c>
      <c r="M280" s="663">
        <v>5.3742483693021068</v>
      </c>
      <c r="N280" s="663">
        <v>6.3451610040287907</v>
      </c>
      <c r="O280" s="663">
        <v>0.11419280490868838</v>
      </c>
      <c r="P280" s="663">
        <v>0</v>
      </c>
      <c r="Q280" s="663">
        <v>6.4766550958451852</v>
      </c>
      <c r="R280" s="663">
        <v>-726.93629039774203</v>
      </c>
      <c r="S280" s="663">
        <v>0</v>
      </c>
      <c r="T280" s="663">
        <v>11.298964449788109</v>
      </c>
      <c r="U280" s="671">
        <v>585.96102151313323</v>
      </c>
    </row>
    <row r="281" spans="3:21" ht="13">
      <c r="C281" s="670" t="s">
        <v>351</v>
      </c>
      <c r="D281" s="663">
        <v>0</v>
      </c>
      <c r="E281" s="663">
        <v>0</v>
      </c>
      <c r="F281" s="663">
        <v>0</v>
      </c>
      <c r="G281" s="663">
        <v>0</v>
      </c>
      <c r="H281" s="663">
        <v>3.2711110414405256</v>
      </c>
      <c r="I281" s="663">
        <v>0</v>
      </c>
      <c r="J281" s="663">
        <v>0</v>
      </c>
      <c r="K281" s="663">
        <v>0</v>
      </c>
      <c r="L281" s="663">
        <v>34.963821149394811</v>
      </c>
      <c r="M281" s="663">
        <v>14.476121269049287</v>
      </c>
      <c r="N281" s="663">
        <v>0</v>
      </c>
      <c r="O281" s="663">
        <v>7.6477038720835147</v>
      </c>
      <c r="P281" s="663">
        <v>0</v>
      </c>
      <c r="Q281" s="663">
        <v>11.276034288959668</v>
      </c>
      <c r="R281" s="663">
        <v>0</v>
      </c>
      <c r="S281" s="663">
        <v>-67.494467143680438</v>
      </c>
      <c r="T281" s="663">
        <v>0</v>
      </c>
      <c r="U281" s="671">
        <v>4.1403244772473649</v>
      </c>
    </row>
    <row r="282" spans="3:21" ht="13">
      <c r="C282" s="670" t="s">
        <v>352</v>
      </c>
      <c r="D282" s="663">
        <v>0</v>
      </c>
      <c r="E282" s="663">
        <v>0</v>
      </c>
      <c r="F282" s="663">
        <v>0</v>
      </c>
      <c r="G282" s="663">
        <v>0</v>
      </c>
      <c r="H282" s="663">
        <v>0</v>
      </c>
      <c r="I282" s="663">
        <v>0</v>
      </c>
      <c r="J282" s="663">
        <v>0</v>
      </c>
      <c r="K282" s="663">
        <v>0</v>
      </c>
      <c r="L282" s="663">
        <v>85.030807044207506</v>
      </c>
      <c r="M282" s="663">
        <v>0</v>
      </c>
      <c r="N282" s="663">
        <v>0</v>
      </c>
      <c r="O282" s="663">
        <v>-80.149276434896436</v>
      </c>
      <c r="P282" s="663">
        <v>0</v>
      </c>
      <c r="Q282" s="663">
        <v>0</v>
      </c>
      <c r="R282" s="663">
        <v>0</v>
      </c>
      <c r="S282" s="663">
        <v>0</v>
      </c>
      <c r="T282" s="663">
        <v>0</v>
      </c>
      <c r="U282" s="671">
        <v>4.8815306093110706</v>
      </c>
    </row>
    <row r="283" spans="3:21" ht="13">
      <c r="C283" s="670" t="s">
        <v>353</v>
      </c>
      <c r="D283" s="663">
        <v>0</v>
      </c>
      <c r="E283" s="663">
        <v>0</v>
      </c>
      <c r="F283" s="663">
        <v>0</v>
      </c>
      <c r="G283" s="663">
        <v>0</v>
      </c>
      <c r="H283" s="663">
        <v>0</v>
      </c>
      <c r="I283" s="663">
        <v>-1.1466991714325052</v>
      </c>
      <c r="J283" s="663">
        <v>0</v>
      </c>
      <c r="K283" s="663">
        <v>0</v>
      </c>
      <c r="L283" s="663">
        <v>0</v>
      </c>
      <c r="M283" s="663">
        <v>0</v>
      </c>
      <c r="N283" s="663">
        <v>0</v>
      </c>
      <c r="O283" s="663">
        <v>0</v>
      </c>
      <c r="P283" s="663">
        <v>0</v>
      </c>
      <c r="Q283" s="663">
        <v>0</v>
      </c>
      <c r="R283" s="663">
        <v>0</v>
      </c>
      <c r="S283" s="663">
        <v>0</v>
      </c>
      <c r="T283" s="663">
        <v>1.5966000387788533</v>
      </c>
      <c r="U283" s="671">
        <v>0.44990086734634804</v>
      </c>
    </row>
    <row r="284" spans="3:21" ht="13">
      <c r="C284" s="670" t="s">
        <v>72</v>
      </c>
      <c r="D284" s="663">
        <v>0</v>
      </c>
      <c r="E284" s="663">
        <v>197.54631533572405</v>
      </c>
      <c r="F284" s="663">
        <v>-195.57532355071015</v>
      </c>
      <c r="G284" s="663">
        <v>0</v>
      </c>
      <c r="H284" s="663">
        <v>0</v>
      </c>
      <c r="I284" s="663">
        <v>0</v>
      </c>
      <c r="J284" s="663">
        <v>0</v>
      </c>
      <c r="K284" s="663">
        <v>0</v>
      </c>
      <c r="L284" s="663">
        <v>0</v>
      </c>
      <c r="M284" s="663">
        <v>0</v>
      </c>
      <c r="N284" s="663">
        <v>0</v>
      </c>
      <c r="O284" s="663">
        <v>0</v>
      </c>
      <c r="P284" s="663">
        <v>0</v>
      </c>
      <c r="Q284" s="663">
        <v>0</v>
      </c>
      <c r="R284" s="663">
        <v>0</v>
      </c>
      <c r="S284" s="663">
        <v>0</v>
      </c>
      <c r="T284" s="663">
        <v>0</v>
      </c>
      <c r="U284" s="671">
        <v>1.9709917850139052</v>
      </c>
    </row>
    <row r="285" spans="3:21" ht="13">
      <c r="C285" s="670" t="s">
        <v>354</v>
      </c>
      <c r="D285" s="663">
        <v>0</v>
      </c>
      <c r="E285" s="663">
        <v>0</v>
      </c>
      <c r="F285" s="663">
        <v>0</v>
      </c>
      <c r="G285" s="663">
        <v>0</v>
      </c>
      <c r="H285" s="663">
        <v>0</v>
      </c>
      <c r="I285" s="663">
        <v>0</v>
      </c>
      <c r="J285" s="663">
        <v>0</v>
      </c>
      <c r="K285" s="663">
        <v>0</v>
      </c>
      <c r="L285" s="663">
        <v>104.32434467350188</v>
      </c>
      <c r="M285" s="663">
        <v>0</v>
      </c>
      <c r="N285" s="663">
        <v>-104.32434467350188</v>
      </c>
      <c r="O285" s="663">
        <v>0</v>
      </c>
      <c r="P285" s="663">
        <v>0</v>
      </c>
      <c r="Q285" s="663">
        <v>0</v>
      </c>
      <c r="R285" s="663">
        <v>0</v>
      </c>
      <c r="S285" s="663">
        <v>0</v>
      </c>
      <c r="T285" s="663">
        <v>0</v>
      </c>
      <c r="U285" s="671">
        <v>0</v>
      </c>
    </row>
    <row r="286" spans="3:21" ht="13">
      <c r="C286" s="670" t="s">
        <v>355</v>
      </c>
      <c r="D286" s="663">
        <v>0</v>
      </c>
      <c r="E286" s="663">
        <v>0</v>
      </c>
      <c r="F286" s="663">
        <v>0</v>
      </c>
      <c r="G286" s="663">
        <v>-28.456538558191252</v>
      </c>
      <c r="H286" s="663">
        <v>0</v>
      </c>
      <c r="I286" s="663">
        <v>0</v>
      </c>
      <c r="J286" s="663">
        <v>0</v>
      </c>
      <c r="K286" s="663">
        <v>0</v>
      </c>
      <c r="L286" s="663">
        <v>0</v>
      </c>
      <c r="M286" s="663">
        <v>0</v>
      </c>
      <c r="N286" s="663">
        <v>0</v>
      </c>
      <c r="O286" s="663">
        <v>0</v>
      </c>
      <c r="P286" s="663">
        <v>0</v>
      </c>
      <c r="Q286" s="663">
        <v>0</v>
      </c>
      <c r="R286" s="663">
        <v>0</v>
      </c>
      <c r="S286" s="663">
        <v>0</v>
      </c>
      <c r="T286" s="663">
        <v>39.633062058762192</v>
      </c>
      <c r="U286" s="671">
        <v>11.176523500570941</v>
      </c>
    </row>
    <row r="287" spans="3:21" ht="13">
      <c r="C287" s="670" t="s">
        <v>73</v>
      </c>
      <c r="D287" s="663">
        <v>0</v>
      </c>
      <c r="E287" s="663">
        <v>0</v>
      </c>
      <c r="F287" s="663">
        <v>0</v>
      </c>
      <c r="G287" s="663">
        <v>0</v>
      </c>
      <c r="H287" s="663">
        <v>0</v>
      </c>
      <c r="I287" s="663">
        <v>0</v>
      </c>
      <c r="J287" s="663">
        <v>0</v>
      </c>
      <c r="K287" s="663">
        <v>0</v>
      </c>
      <c r="L287" s="663">
        <v>0</v>
      </c>
      <c r="M287" s="663">
        <v>0</v>
      </c>
      <c r="N287" s="663">
        <v>0</v>
      </c>
      <c r="O287" s="663">
        <v>0</v>
      </c>
      <c r="P287" s="663">
        <v>0</v>
      </c>
      <c r="Q287" s="663">
        <v>0</v>
      </c>
      <c r="R287" s="663">
        <v>137.29765828865015</v>
      </c>
      <c r="S287" s="663">
        <v>0</v>
      </c>
      <c r="T287" s="663">
        <v>-96.451604947776744</v>
      </c>
      <c r="U287" s="671">
        <v>40.846053340873411</v>
      </c>
    </row>
    <row r="288" spans="3:21" ht="13">
      <c r="C288" s="670" t="s">
        <v>356</v>
      </c>
      <c r="D288" s="663">
        <v>5.0092797656249992</v>
      </c>
      <c r="E288" s="663">
        <v>-6.8897151576022866</v>
      </c>
      <c r="F288" s="663">
        <v>8.9891621815142653</v>
      </c>
      <c r="G288" s="663">
        <v>0</v>
      </c>
      <c r="H288" s="663">
        <v>0</v>
      </c>
      <c r="I288" s="663">
        <v>0</v>
      </c>
      <c r="J288" s="663">
        <v>0</v>
      </c>
      <c r="K288" s="663">
        <v>0</v>
      </c>
      <c r="L288" s="663">
        <v>0</v>
      </c>
      <c r="M288" s="663">
        <v>0</v>
      </c>
      <c r="N288" s="663">
        <v>0</v>
      </c>
      <c r="O288" s="663">
        <v>0</v>
      </c>
      <c r="P288" s="663">
        <v>0</v>
      </c>
      <c r="Q288" s="663">
        <v>0</v>
      </c>
      <c r="R288" s="663">
        <v>0</v>
      </c>
      <c r="S288" s="663">
        <v>0</v>
      </c>
      <c r="T288" s="663">
        <v>0</v>
      </c>
      <c r="U288" s="671">
        <v>7.1087267895369788</v>
      </c>
    </row>
    <row r="289" spans="3:21" ht="13">
      <c r="C289" s="670" t="s">
        <v>75</v>
      </c>
      <c r="D289" s="663">
        <v>1.9480532421875001</v>
      </c>
      <c r="E289" s="663">
        <v>0</v>
      </c>
      <c r="F289" s="663">
        <v>17.132121990826434</v>
      </c>
      <c r="G289" s="663">
        <v>0</v>
      </c>
      <c r="H289" s="663">
        <v>1.9377811160090992</v>
      </c>
      <c r="I289" s="663">
        <v>4.9686695282284594E-2</v>
      </c>
      <c r="J289" s="663">
        <v>0</v>
      </c>
      <c r="K289" s="663">
        <v>0</v>
      </c>
      <c r="L289" s="663">
        <v>0</v>
      </c>
      <c r="M289" s="663">
        <v>0</v>
      </c>
      <c r="N289" s="663">
        <v>0</v>
      </c>
      <c r="O289" s="663">
        <v>2.9812017169370755</v>
      </c>
      <c r="P289" s="663">
        <v>0</v>
      </c>
      <c r="Q289" s="663">
        <v>0</v>
      </c>
      <c r="R289" s="663">
        <v>20.439487728936754</v>
      </c>
      <c r="S289" s="663">
        <v>0</v>
      </c>
      <c r="T289" s="663">
        <v>0</v>
      </c>
      <c r="U289" s="671">
        <v>44.488332490179147</v>
      </c>
    </row>
    <row r="290" spans="3:21" ht="13">
      <c r="C290" s="670" t="s">
        <v>76</v>
      </c>
      <c r="D290" s="663">
        <v>0</v>
      </c>
      <c r="E290" s="663">
        <v>0</v>
      </c>
      <c r="F290" s="663">
        <v>0</v>
      </c>
      <c r="G290" s="663">
        <v>0</v>
      </c>
      <c r="H290" s="663">
        <v>0.58071595304039991</v>
      </c>
      <c r="I290" s="663">
        <v>1.4890152642061536E-2</v>
      </c>
      <c r="J290" s="663">
        <v>0</v>
      </c>
      <c r="K290" s="663">
        <v>0</v>
      </c>
      <c r="L290" s="663">
        <v>0</v>
      </c>
      <c r="M290" s="663">
        <v>0</v>
      </c>
      <c r="N290" s="663">
        <v>0</v>
      </c>
      <c r="O290" s="663">
        <v>0.89340915852369218</v>
      </c>
      <c r="P290" s="663">
        <v>0</v>
      </c>
      <c r="Q290" s="663">
        <v>0</v>
      </c>
      <c r="R290" s="663">
        <v>52.564064229351587</v>
      </c>
      <c r="S290" s="663">
        <v>5.2350040213197584</v>
      </c>
      <c r="T290" s="663">
        <v>0</v>
      </c>
      <c r="U290" s="671">
        <v>59.288083514877499</v>
      </c>
    </row>
    <row r="291" spans="3:21" ht="13">
      <c r="C291" s="666" t="s">
        <v>77</v>
      </c>
      <c r="D291" s="667">
        <v>6.9573330078124993</v>
      </c>
      <c r="E291" s="667">
        <v>190.65660017812178</v>
      </c>
      <c r="F291" s="667">
        <v>-169.45403937836946</v>
      </c>
      <c r="G291" s="667">
        <v>-28.456538558191252</v>
      </c>
      <c r="H291" s="675">
        <v>5.7896081104900246</v>
      </c>
      <c r="I291" s="667">
        <v>-1.0821223235081592</v>
      </c>
      <c r="J291" s="667">
        <v>835.87348477446847</v>
      </c>
      <c r="K291" s="667">
        <v>433.2264513609648</v>
      </c>
      <c r="L291" s="667">
        <v>238.50712691867363</v>
      </c>
      <c r="M291" s="667">
        <v>19.850369638351395</v>
      </c>
      <c r="N291" s="667">
        <v>-97.979183669473088</v>
      </c>
      <c r="O291" s="667">
        <v>-68.512768882443467</v>
      </c>
      <c r="P291" s="667">
        <v>0</v>
      </c>
      <c r="Q291" s="667">
        <v>17.752689384804853</v>
      </c>
      <c r="R291" s="667">
        <v>-516.63508015080356</v>
      </c>
      <c r="S291" s="667">
        <v>-62.259463122360671</v>
      </c>
      <c r="T291" s="667">
        <v>-43.92297840044759</v>
      </c>
      <c r="U291" s="667">
        <v>760.31148888809003</v>
      </c>
    </row>
    <row r="292" spans="3:21" ht="13">
      <c r="C292" s="668"/>
      <c r="D292" s="669">
        <v>0</v>
      </c>
      <c r="E292" s="669">
        <v>0</v>
      </c>
      <c r="F292" s="669">
        <v>0</v>
      </c>
      <c r="G292" s="669">
        <v>0</v>
      </c>
      <c r="H292" s="676">
        <v>0</v>
      </c>
      <c r="I292" s="669">
        <v>0</v>
      </c>
      <c r="J292" s="669">
        <v>0</v>
      </c>
      <c r="K292" s="669">
        <v>0</v>
      </c>
      <c r="L292" s="669">
        <v>0</v>
      </c>
      <c r="M292" s="669">
        <v>0</v>
      </c>
      <c r="N292" s="669">
        <v>0</v>
      </c>
      <c r="O292" s="669">
        <v>0</v>
      </c>
      <c r="P292" s="669">
        <v>0</v>
      </c>
      <c r="Q292" s="669">
        <v>0</v>
      </c>
      <c r="R292" s="669">
        <v>0</v>
      </c>
      <c r="S292" s="669">
        <v>0</v>
      </c>
      <c r="T292" s="669">
        <v>0</v>
      </c>
      <c r="U292" s="669">
        <v>0</v>
      </c>
    </row>
    <row r="293" spans="3:21" ht="13">
      <c r="C293" s="670" t="s">
        <v>78</v>
      </c>
      <c r="D293" s="663">
        <v>2.1515630330821871</v>
      </c>
      <c r="E293" s="663">
        <v>0</v>
      </c>
      <c r="F293" s="663">
        <v>1.9729303012498745</v>
      </c>
      <c r="G293" s="663">
        <v>0</v>
      </c>
      <c r="H293" s="663">
        <v>17.624600662262115</v>
      </c>
      <c r="I293" s="663">
        <v>0.45191283749390032</v>
      </c>
      <c r="J293" s="663">
        <v>0</v>
      </c>
      <c r="K293" s="663">
        <v>0</v>
      </c>
      <c r="L293" s="663">
        <v>19.327819378703428</v>
      </c>
      <c r="M293" s="663">
        <v>2.2279514023281117</v>
      </c>
      <c r="N293" s="663">
        <v>2.6644658203125</v>
      </c>
      <c r="O293" s="663">
        <v>27.156120456665761</v>
      </c>
      <c r="P293" s="663">
        <v>9.6085478515625002</v>
      </c>
      <c r="Q293" s="663">
        <v>8.4299170840015686E-4</v>
      </c>
      <c r="R293" s="663">
        <v>135.80773886663795</v>
      </c>
      <c r="S293" s="663">
        <v>18.436108583667494</v>
      </c>
      <c r="T293" s="663">
        <v>6.3938178710937503</v>
      </c>
      <c r="U293" s="671">
        <v>243.82442005676796</v>
      </c>
    </row>
    <row r="294" spans="3:21" ht="13">
      <c r="C294" s="670" t="s">
        <v>79</v>
      </c>
      <c r="D294" s="663">
        <v>0</v>
      </c>
      <c r="E294" s="663">
        <v>0</v>
      </c>
      <c r="F294" s="663">
        <v>5.1934680094593588</v>
      </c>
      <c r="G294" s="663">
        <v>1.7577012997845347</v>
      </c>
      <c r="H294" s="663">
        <v>2.152977175631825</v>
      </c>
      <c r="I294" s="663">
        <v>5.5204542964918585E-2</v>
      </c>
      <c r="J294" s="663">
        <v>0</v>
      </c>
      <c r="K294" s="663">
        <v>0</v>
      </c>
      <c r="L294" s="663">
        <v>0</v>
      </c>
      <c r="M294" s="663">
        <v>0</v>
      </c>
      <c r="N294" s="663">
        <v>51.143075106834317</v>
      </c>
      <c r="O294" s="663">
        <v>3.312272577895115</v>
      </c>
      <c r="P294" s="663">
        <v>0</v>
      </c>
      <c r="Q294" s="663">
        <v>0</v>
      </c>
      <c r="R294" s="663">
        <v>104.19646172854269</v>
      </c>
      <c r="S294" s="663">
        <v>0</v>
      </c>
      <c r="T294" s="663">
        <v>4.7641609973157095</v>
      </c>
      <c r="U294" s="671">
        <v>172.57532143842849</v>
      </c>
    </row>
    <row r="295" spans="3:21" ht="13">
      <c r="C295" s="670" t="s">
        <v>80</v>
      </c>
      <c r="D295" s="663">
        <v>0</v>
      </c>
      <c r="E295" s="663">
        <v>0</v>
      </c>
      <c r="F295" s="663">
        <v>0.32079919308121357</v>
      </c>
      <c r="G295" s="663">
        <v>0</v>
      </c>
      <c r="H295" s="663">
        <v>12.69993934515486</v>
      </c>
      <c r="I295" s="663">
        <v>0.32563947038858615</v>
      </c>
      <c r="J295" s="663">
        <v>0</v>
      </c>
      <c r="K295" s="663">
        <v>0</v>
      </c>
      <c r="L295" s="663">
        <v>30.989297403436193</v>
      </c>
      <c r="M295" s="663">
        <v>0</v>
      </c>
      <c r="N295" s="663">
        <v>0</v>
      </c>
      <c r="O295" s="663">
        <v>19.538368223315167</v>
      </c>
      <c r="P295" s="663">
        <v>117.54725011788614</v>
      </c>
      <c r="Q295" s="663">
        <v>2.9888036499995505</v>
      </c>
      <c r="R295" s="663">
        <v>139.69858105781077</v>
      </c>
      <c r="S295" s="663">
        <v>24.846536847991327</v>
      </c>
      <c r="T295" s="663">
        <v>0</v>
      </c>
      <c r="U295" s="671">
        <v>348.95521530906382</v>
      </c>
    </row>
    <row r="296" spans="3:21" ht="13">
      <c r="C296" s="670" t="s">
        <v>81</v>
      </c>
      <c r="D296" s="663">
        <v>0</v>
      </c>
      <c r="E296" s="663">
        <v>0</v>
      </c>
      <c r="F296" s="663">
        <v>0.73542128008657859</v>
      </c>
      <c r="G296" s="663">
        <v>0</v>
      </c>
      <c r="H296" s="663">
        <v>6.9022329775494073</v>
      </c>
      <c r="I296" s="663">
        <v>0.17698033275767711</v>
      </c>
      <c r="J296" s="663">
        <v>0</v>
      </c>
      <c r="K296" s="663">
        <v>0</v>
      </c>
      <c r="L296" s="663">
        <v>0.37326901233115406</v>
      </c>
      <c r="M296" s="663">
        <v>3.4682726224379159E-4</v>
      </c>
      <c r="N296" s="663">
        <v>0</v>
      </c>
      <c r="O296" s="663">
        <v>10.618819965460625</v>
      </c>
      <c r="P296" s="663">
        <v>27.414780089746973</v>
      </c>
      <c r="Q296" s="663">
        <v>1.0008652914522365</v>
      </c>
      <c r="R296" s="663">
        <v>86.91432505661372</v>
      </c>
      <c r="S296" s="663">
        <v>18.976817690701857</v>
      </c>
      <c r="T296" s="663">
        <v>0</v>
      </c>
      <c r="U296" s="671">
        <v>153.11385852396248</v>
      </c>
    </row>
    <row r="297" spans="3:21" ht="13">
      <c r="C297" s="670" t="s">
        <v>82</v>
      </c>
      <c r="D297" s="663">
        <v>0</v>
      </c>
      <c r="E297" s="663">
        <v>0</v>
      </c>
      <c r="F297" s="663">
        <v>1.7660543125979742</v>
      </c>
      <c r="G297" s="663">
        <v>1.6775006918768405</v>
      </c>
      <c r="H297" s="663">
        <v>0.66808232732668293</v>
      </c>
      <c r="I297" s="663">
        <v>1.7130316085299562E-2</v>
      </c>
      <c r="J297" s="663">
        <v>0</v>
      </c>
      <c r="K297" s="663">
        <v>0</v>
      </c>
      <c r="L297" s="663">
        <v>3.9742935582164471</v>
      </c>
      <c r="M297" s="663">
        <v>0</v>
      </c>
      <c r="N297" s="663">
        <v>17.824426087880788</v>
      </c>
      <c r="O297" s="663">
        <v>1.0278189651179737</v>
      </c>
      <c r="P297" s="663">
        <v>1.25</v>
      </c>
      <c r="Q297" s="663">
        <v>1.7440136932478227</v>
      </c>
      <c r="R297" s="663">
        <v>7.8035752238100597</v>
      </c>
      <c r="S297" s="663">
        <v>0</v>
      </c>
      <c r="T297" s="663">
        <v>0.38427420359697795</v>
      </c>
      <c r="U297" s="671">
        <v>38.13716937975687</v>
      </c>
    </row>
    <row r="298" spans="3:21" ht="13">
      <c r="C298" s="670" t="s">
        <v>357</v>
      </c>
      <c r="D298" s="663">
        <v>0</v>
      </c>
      <c r="E298" s="663">
        <v>0</v>
      </c>
      <c r="F298" s="663">
        <v>0</v>
      </c>
      <c r="G298" s="663">
        <v>0</v>
      </c>
      <c r="H298" s="663">
        <v>0</v>
      </c>
      <c r="I298" s="663">
        <v>0</v>
      </c>
      <c r="J298" s="663">
        <v>0</v>
      </c>
      <c r="K298" s="663">
        <v>0</v>
      </c>
      <c r="L298" s="663">
        <v>0</v>
      </c>
      <c r="M298" s="663">
        <v>0</v>
      </c>
      <c r="N298" s="663">
        <v>0</v>
      </c>
      <c r="O298" s="663">
        <v>0</v>
      </c>
      <c r="P298" s="663">
        <v>0</v>
      </c>
      <c r="Q298" s="663">
        <v>0</v>
      </c>
      <c r="R298" s="663">
        <v>2.21408</v>
      </c>
      <c r="S298" s="663">
        <v>0</v>
      </c>
      <c r="T298" s="663">
        <v>0</v>
      </c>
      <c r="U298" s="671">
        <v>2.21408</v>
      </c>
    </row>
    <row r="299" spans="3:21" ht="13">
      <c r="C299" s="666" t="s">
        <v>83</v>
      </c>
      <c r="D299" s="667">
        <v>2.1515630330821871</v>
      </c>
      <c r="E299" s="667">
        <v>0</v>
      </c>
      <c r="F299" s="667">
        <v>9.9886730964750008</v>
      </c>
      <c r="G299" s="667">
        <v>3.4352019916613754</v>
      </c>
      <c r="H299" s="675">
        <v>40.047832487924893</v>
      </c>
      <c r="I299" s="667">
        <v>1.0268674996903817</v>
      </c>
      <c r="J299" s="667">
        <v>0</v>
      </c>
      <c r="K299" s="667">
        <v>0</v>
      </c>
      <c r="L299" s="667">
        <v>54.664679352687223</v>
      </c>
      <c r="M299" s="667">
        <v>2.2282982295903557</v>
      </c>
      <c r="N299" s="667">
        <v>71.631967015027612</v>
      </c>
      <c r="O299" s="667">
        <v>61.65340018845464</v>
      </c>
      <c r="P299" s="667">
        <v>155.82057805919561</v>
      </c>
      <c r="Q299" s="667">
        <v>5.7345256264080096</v>
      </c>
      <c r="R299" s="667">
        <v>476.63476193341518</v>
      </c>
      <c r="S299" s="667">
        <v>62.259463122360671</v>
      </c>
      <c r="T299" s="667">
        <v>11.542253072006439</v>
      </c>
      <c r="U299" s="667">
        <v>958.82006470797955</v>
      </c>
    </row>
    <row r="300" spans="3:21" ht="13">
      <c r="C300" s="662" t="s">
        <v>84</v>
      </c>
      <c r="D300" s="663">
        <v>0</v>
      </c>
      <c r="E300" s="663">
        <v>0</v>
      </c>
      <c r="F300" s="663">
        <v>50.64517840221108</v>
      </c>
      <c r="G300" s="663">
        <v>7.8734962103748298</v>
      </c>
      <c r="H300" s="663">
        <v>4.7799931551444459</v>
      </c>
      <c r="I300" s="663">
        <v>0</v>
      </c>
      <c r="J300" s="663">
        <v>0</v>
      </c>
      <c r="K300" s="663">
        <v>0</v>
      </c>
      <c r="L300" s="663">
        <v>0.52419855520004055</v>
      </c>
      <c r="M300" s="663">
        <v>0</v>
      </c>
      <c r="N300" s="663">
        <v>18.858697915767927</v>
      </c>
      <c r="O300" s="663">
        <v>3.7147337189182332</v>
      </c>
      <c r="P300" s="663">
        <v>0</v>
      </c>
      <c r="Q300" s="663">
        <v>0</v>
      </c>
      <c r="R300" s="663">
        <v>0</v>
      </c>
      <c r="S300" s="663">
        <v>0</v>
      </c>
      <c r="T300" s="663">
        <v>30.985390762521494</v>
      </c>
      <c r="U300" s="671">
        <v>117.38168872013804</v>
      </c>
    </row>
    <row r="301" spans="3:21" ht="13">
      <c r="C301" s="666" t="s">
        <v>85</v>
      </c>
      <c r="D301" s="667">
        <v>2.1515630330821871</v>
      </c>
      <c r="E301" s="667">
        <v>0</v>
      </c>
      <c r="F301" s="667">
        <v>60.633851498686084</v>
      </c>
      <c r="G301" s="667">
        <v>11.308698202036204</v>
      </c>
      <c r="H301" s="675">
        <v>44.827825643069339</v>
      </c>
      <c r="I301" s="667">
        <v>1.0268674996903817</v>
      </c>
      <c r="J301" s="667">
        <v>0</v>
      </c>
      <c r="K301" s="667">
        <v>0</v>
      </c>
      <c r="L301" s="667">
        <v>55.18887790788726</v>
      </c>
      <c r="M301" s="667">
        <v>2.2282982295903557</v>
      </c>
      <c r="N301" s="667">
        <v>90.490664930795546</v>
      </c>
      <c r="O301" s="667">
        <v>65.368133907372865</v>
      </c>
      <c r="P301" s="667">
        <v>155.82057805919561</v>
      </c>
      <c r="Q301" s="667">
        <v>5.7345256264080096</v>
      </c>
      <c r="R301" s="667">
        <v>476.63476193341518</v>
      </c>
      <c r="S301" s="667">
        <v>62.259463122360671</v>
      </c>
      <c r="T301" s="667">
        <v>42.527643834527936</v>
      </c>
      <c r="U301" s="667">
        <v>1076.2017534281176</v>
      </c>
    </row>
    <row r="302" spans="3:21">
      <c r="C302" s="654"/>
      <c r="D302" s="672">
        <v>0</v>
      </c>
      <c r="E302" s="672">
        <v>0</v>
      </c>
      <c r="F302" s="672">
        <v>0</v>
      </c>
      <c r="G302" s="672">
        <v>0</v>
      </c>
      <c r="H302" s="672">
        <v>0</v>
      </c>
      <c r="I302" s="672">
        <v>-1.3183898417423734E-16</v>
      </c>
      <c r="J302" s="672">
        <v>0</v>
      </c>
      <c r="K302" s="672">
        <v>0</v>
      </c>
      <c r="L302" s="672">
        <v>0</v>
      </c>
      <c r="M302" s="672">
        <v>0</v>
      </c>
      <c r="N302" s="672">
        <v>1.2434497875801753E-14</v>
      </c>
      <c r="O302" s="672">
        <v>-1.8207657603852567E-14</v>
      </c>
      <c r="P302" s="672">
        <v>0</v>
      </c>
      <c r="Q302" s="672">
        <v>0</v>
      </c>
      <c r="R302" s="672">
        <v>5.6843418860808015E-14</v>
      </c>
      <c r="S302" s="672">
        <v>0</v>
      </c>
      <c r="T302" s="672">
        <v>4.4408920985006262E-15</v>
      </c>
      <c r="U302" s="672">
        <v>0</v>
      </c>
    </row>
    <row r="303" spans="3:21">
      <c r="C303" s="654"/>
      <c r="D303" s="654"/>
      <c r="E303" s="654"/>
      <c r="F303" s="654"/>
      <c r="G303" s="654"/>
      <c r="H303" s="654"/>
      <c r="I303" s="654"/>
      <c r="J303" s="654"/>
      <c r="K303" s="654"/>
      <c r="L303" s="654"/>
      <c r="M303" s="654"/>
      <c r="N303" s="654"/>
      <c r="O303" s="654"/>
      <c r="P303" s="654"/>
      <c r="Q303" s="654"/>
      <c r="R303" s="654"/>
      <c r="S303" s="654"/>
      <c r="T303" s="654"/>
      <c r="U303" s="654"/>
    </row>
    <row r="304" spans="3:21" ht="14.5">
      <c r="C304" s="658" t="s">
        <v>89</v>
      </c>
      <c r="D304" s="659"/>
      <c r="E304" s="659"/>
      <c r="F304" s="659"/>
      <c r="G304" s="659"/>
      <c r="H304" s="659"/>
      <c r="I304" s="659"/>
      <c r="J304" s="659"/>
      <c r="K304" s="659"/>
      <c r="L304" s="659"/>
      <c r="M304" s="659"/>
      <c r="N304" s="659"/>
      <c r="O304" s="659"/>
      <c r="P304" s="659"/>
      <c r="Q304" s="659"/>
      <c r="R304" s="659"/>
      <c r="S304" s="659"/>
      <c r="T304" s="659"/>
      <c r="U304" s="659"/>
    </row>
    <row r="305" spans="3:21">
      <c r="C305" s="654"/>
      <c r="D305" s="654"/>
      <c r="E305" s="654"/>
      <c r="F305" s="654"/>
      <c r="G305" s="654"/>
      <c r="H305" s="654"/>
      <c r="I305" s="654"/>
      <c r="J305" s="654"/>
      <c r="K305" s="654"/>
      <c r="L305" s="654"/>
      <c r="M305" s="654"/>
      <c r="N305" s="654"/>
      <c r="O305" s="654"/>
      <c r="P305" s="654"/>
      <c r="Q305" s="654"/>
      <c r="R305" s="654"/>
      <c r="S305" s="654"/>
      <c r="T305" s="654"/>
      <c r="U305" s="654"/>
    </row>
    <row r="306" spans="3:21" ht="13">
      <c r="C306" s="706" t="s">
        <v>128</v>
      </c>
      <c r="D306" s="704" t="s">
        <v>42</v>
      </c>
      <c r="E306" s="704" t="s">
        <v>52</v>
      </c>
      <c r="F306" s="704" t="s">
        <v>53</v>
      </c>
      <c r="G306" s="704" t="s">
        <v>487</v>
      </c>
      <c r="H306" s="704" t="s">
        <v>32</v>
      </c>
      <c r="I306" s="704" t="s">
        <v>488</v>
      </c>
      <c r="J306" s="704" t="s">
        <v>20</v>
      </c>
      <c r="K306" s="704" t="s">
        <v>55</v>
      </c>
      <c r="L306" s="708" t="s">
        <v>56</v>
      </c>
      <c r="M306" s="709"/>
      <c r="N306" s="709"/>
      <c r="O306" s="709"/>
      <c r="P306" s="709"/>
      <c r="Q306" s="710"/>
      <c r="R306" s="704" t="s">
        <v>57</v>
      </c>
      <c r="S306" s="704" t="s">
        <v>58</v>
      </c>
      <c r="T306" s="704" t="s">
        <v>31</v>
      </c>
      <c r="U306" s="704" t="s">
        <v>10</v>
      </c>
    </row>
    <row r="307" spans="3:21" ht="36">
      <c r="C307" s="707"/>
      <c r="D307" s="705"/>
      <c r="E307" s="705"/>
      <c r="F307" s="705"/>
      <c r="G307" s="705"/>
      <c r="H307" s="705"/>
      <c r="I307" s="705"/>
      <c r="J307" s="705"/>
      <c r="K307" s="705"/>
      <c r="L307" s="660" t="s">
        <v>338</v>
      </c>
      <c r="M307" s="660" t="s">
        <v>40</v>
      </c>
      <c r="N307" s="660" t="s">
        <v>346</v>
      </c>
      <c r="O307" s="660" t="s">
        <v>347</v>
      </c>
      <c r="P307" s="661" t="s">
        <v>348</v>
      </c>
      <c r="Q307" s="660" t="s">
        <v>349</v>
      </c>
      <c r="R307" s="705"/>
      <c r="S307" s="705"/>
      <c r="T307" s="705"/>
      <c r="U307" s="705"/>
    </row>
    <row r="308" spans="3:21" ht="13">
      <c r="C308" s="662" t="s">
        <v>59</v>
      </c>
      <c r="D308" s="663">
        <v>0</v>
      </c>
      <c r="E308" s="663">
        <v>0</v>
      </c>
      <c r="F308" s="663">
        <v>0</v>
      </c>
      <c r="G308" s="663">
        <v>0</v>
      </c>
      <c r="H308" s="663">
        <v>0</v>
      </c>
      <c r="I308" s="663">
        <v>0</v>
      </c>
      <c r="J308" s="664">
        <v>712.60987447127138</v>
      </c>
      <c r="K308" s="664">
        <v>556.92135057124881</v>
      </c>
      <c r="L308" s="664">
        <v>261.57522104592402</v>
      </c>
      <c r="M308" s="664">
        <v>19.228684940511499</v>
      </c>
      <c r="N308" s="663">
        <v>1.5563580670349855</v>
      </c>
      <c r="O308" s="663">
        <v>0.17110271620039663</v>
      </c>
      <c r="P308" s="664">
        <v>167.23788927594987</v>
      </c>
      <c r="Q308" s="664">
        <v>24.373068583718577</v>
      </c>
      <c r="R308" s="663">
        <v>0</v>
      </c>
      <c r="S308" s="663">
        <v>0</v>
      </c>
      <c r="T308" s="663">
        <v>0</v>
      </c>
      <c r="U308" s="665">
        <v>1743.6735496718593</v>
      </c>
    </row>
    <row r="309" spans="3:21" ht="13">
      <c r="C309" s="662" t="s">
        <v>60</v>
      </c>
      <c r="D309" s="663">
        <v>5.9311888025037742</v>
      </c>
      <c r="E309" s="663">
        <v>113.95685880900638</v>
      </c>
      <c r="F309" s="663">
        <v>1.9517818504706483</v>
      </c>
      <c r="G309" s="663">
        <v>0</v>
      </c>
      <c r="H309" s="663">
        <v>2.6585092475046008</v>
      </c>
      <c r="I309" s="663">
        <v>0</v>
      </c>
      <c r="J309" s="663">
        <v>0</v>
      </c>
      <c r="K309" s="663">
        <v>0</v>
      </c>
      <c r="L309" s="663">
        <v>5.2309321400654634</v>
      </c>
      <c r="M309" s="663">
        <v>0</v>
      </c>
      <c r="N309" s="663">
        <v>5.4084519189769722</v>
      </c>
      <c r="O309" s="663">
        <v>0</v>
      </c>
      <c r="P309" s="663">
        <v>0</v>
      </c>
      <c r="Q309" s="663">
        <v>0</v>
      </c>
      <c r="R309" s="663">
        <v>0</v>
      </c>
      <c r="S309" s="663">
        <v>0</v>
      </c>
      <c r="T309" s="663">
        <v>0</v>
      </c>
      <c r="U309" s="665">
        <v>135.13772276852782</v>
      </c>
    </row>
    <row r="310" spans="3:21" ht="13">
      <c r="C310" s="662" t="s">
        <v>61</v>
      </c>
      <c r="D310" s="663">
        <v>0</v>
      </c>
      <c r="E310" s="663">
        <v>0</v>
      </c>
      <c r="F310" s="663">
        <v>-33.824093823668861</v>
      </c>
      <c r="G310" s="663">
        <v>-8.545793370460693</v>
      </c>
      <c r="H310" s="663">
        <v>0</v>
      </c>
      <c r="I310" s="663">
        <v>0</v>
      </c>
      <c r="J310" s="663">
        <v>0</v>
      </c>
      <c r="K310" s="663">
        <v>0</v>
      </c>
      <c r="L310" s="663">
        <v>0</v>
      </c>
      <c r="M310" s="663">
        <v>0</v>
      </c>
      <c r="N310" s="663">
        <v>0</v>
      </c>
      <c r="O310" s="663">
        <v>0</v>
      </c>
      <c r="P310" s="663">
        <v>0</v>
      </c>
      <c r="Q310" s="663">
        <v>0</v>
      </c>
      <c r="R310" s="663">
        <v>-40.000075434727478</v>
      </c>
      <c r="S310" s="663">
        <v>0</v>
      </c>
      <c r="T310" s="663">
        <v>0</v>
      </c>
      <c r="U310" s="665">
        <v>-82.369962628857039</v>
      </c>
    </row>
    <row r="311" spans="3:21" ht="13">
      <c r="C311" s="662" t="s">
        <v>62</v>
      </c>
      <c r="D311" s="663">
        <v>0</v>
      </c>
      <c r="E311" s="663">
        <v>0</v>
      </c>
      <c r="F311" s="663">
        <v>-1.6540275032482068</v>
      </c>
      <c r="G311" s="663">
        <v>-4.2955328800984329</v>
      </c>
      <c r="H311" s="663">
        <v>0</v>
      </c>
      <c r="I311" s="663">
        <v>-0.31877375583888373</v>
      </c>
      <c r="J311" s="663">
        <v>0</v>
      </c>
      <c r="K311" s="663">
        <v>0</v>
      </c>
      <c r="L311" s="663">
        <v>0</v>
      </c>
      <c r="M311" s="663">
        <v>0</v>
      </c>
      <c r="N311" s="663">
        <v>-0.24545902171991044</v>
      </c>
      <c r="O311" s="663">
        <v>-6.0567013609387903</v>
      </c>
      <c r="P311" s="663">
        <v>0</v>
      </c>
      <c r="Q311" s="663">
        <v>0</v>
      </c>
      <c r="R311" s="663">
        <v>0</v>
      </c>
      <c r="S311" s="663">
        <v>0</v>
      </c>
      <c r="T311" s="663">
        <v>0</v>
      </c>
      <c r="U311" s="665">
        <v>-12.570494521844225</v>
      </c>
    </row>
    <row r="312" spans="3:21" ht="13">
      <c r="C312" s="662" t="s">
        <v>63</v>
      </c>
      <c r="D312" s="663">
        <v>0</v>
      </c>
      <c r="E312" s="663">
        <v>0</v>
      </c>
      <c r="F312" s="663">
        <v>-18.714774559646315</v>
      </c>
      <c r="G312" s="663">
        <v>-28.257765893495769</v>
      </c>
      <c r="H312" s="663">
        <v>0</v>
      </c>
      <c r="I312" s="663">
        <v>0</v>
      </c>
      <c r="J312" s="663">
        <v>0</v>
      </c>
      <c r="K312" s="663">
        <v>0</v>
      </c>
      <c r="L312" s="663">
        <v>0</v>
      </c>
      <c r="M312" s="663">
        <v>0</v>
      </c>
      <c r="N312" s="663">
        <v>-13.972472121868162</v>
      </c>
      <c r="O312" s="663">
        <v>0</v>
      </c>
      <c r="P312" s="663">
        <v>0</v>
      </c>
      <c r="Q312" s="663">
        <v>0</v>
      </c>
      <c r="R312" s="663">
        <v>0</v>
      </c>
      <c r="S312" s="663">
        <v>0</v>
      </c>
      <c r="T312" s="663">
        <v>-2.6159745910871801</v>
      </c>
      <c r="U312" s="665">
        <v>-63.560987166097433</v>
      </c>
    </row>
    <row r="313" spans="3:21" ht="13">
      <c r="C313" s="662" t="s">
        <v>64</v>
      </c>
      <c r="D313" s="663">
        <v>0</v>
      </c>
      <c r="E313" s="663">
        <v>0</v>
      </c>
      <c r="F313" s="663">
        <v>0</v>
      </c>
      <c r="G313" s="663">
        <v>0</v>
      </c>
      <c r="H313" s="663">
        <v>0</v>
      </c>
      <c r="I313" s="663">
        <v>0</v>
      </c>
      <c r="J313" s="663">
        <v>0</v>
      </c>
      <c r="K313" s="663">
        <v>0</v>
      </c>
      <c r="L313" s="663">
        <v>0</v>
      </c>
      <c r="M313" s="663">
        <v>0</v>
      </c>
      <c r="N313" s="663">
        <v>0</v>
      </c>
      <c r="O313" s="663">
        <v>0</v>
      </c>
      <c r="P313" s="663">
        <v>0</v>
      </c>
      <c r="Q313" s="663">
        <v>0</v>
      </c>
      <c r="R313" s="663">
        <v>0</v>
      </c>
      <c r="S313" s="663">
        <v>0</v>
      </c>
      <c r="T313" s="663">
        <v>0</v>
      </c>
      <c r="U313" s="665">
        <v>0</v>
      </c>
    </row>
    <row r="314" spans="3:21" ht="13">
      <c r="C314" s="666" t="s">
        <v>65</v>
      </c>
      <c r="D314" s="667">
        <v>5.9311888025037742</v>
      </c>
      <c r="E314" s="667">
        <v>113.95685880900638</v>
      </c>
      <c r="F314" s="667">
        <v>-52.241114036092739</v>
      </c>
      <c r="G314" s="667">
        <v>-41.099092144054893</v>
      </c>
      <c r="H314" s="675">
        <v>2.6585092475046008</v>
      </c>
      <c r="I314" s="667">
        <v>-0.31877375583888373</v>
      </c>
      <c r="J314" s="667">
        <v>712.60987447127138</v>
      </c>
      <c r="K314" s="667">
        <v>556.92135057124881</v>
      </c>
      <c r="L314" s="667">
        <v>266.80615318598944</v>
      </c>
      <c r="M314" s="667">
        <v>19.228684940511499</v>
      </c>
      <c r="N314" s="667">
        <v>-7.2531211575761132</v>
      </c>
      <c r="O314" s="667">
        <v>-5.8855986447383941</v>
      </c>
      <c r="P314" s="667">
        <v>167.23788927594987</v>
      </c>
      <c r="Q314" s="667">
        <v>24.373068583718577</v>
      </c>
      <c r="R314" s="667">
        <v>-40.000075434727478</v>
      </c>
      <c r="S314" s="667">
        <v>0</v>
      </c>
      <c r="T314" s="667">
        <v>-2.6159745910871801</v>
      </c>
      <c r="U314" s="667">
        <v>1720.3098281235887</v>
      </c>
    </row>
    <row r="315" spans="3:21" ht="13">
      <c r="C315" s="668"/>
      <c r="D315" s="669">
        <v>0</v>
      </c>
      <c r="E315" s="669">
        <v>0</v>
      </c>
      <c r="F315" s="669">
        <v>0</v>
      </c>
      <c r="G315" s="669">
        <v>0</v>
      </c>
      <c r="H315" s="676">
        <v>0</v>
      </c>
      <c r="I315" s="669">
        <v>0</v>
      </c>
      <c r="J315" s="669">
        <v>0</v>
      </c>
      <c r="K315" s="669">
        <v>0</v>
      </c>
      <c r="L315" s="669">
        <v>0</v>
      </c>
      <c r="M315" s="669">
        <v>0</v>
      </c>
      <c r="N315" s="669">
        <v>0</v>
      </c>
      <c r="O315" s="669">
        <v>0</v>
      </c>
      <c r="P315" s="669">
        <v>0</v>
      </c>
      <c r="Q315" s="669">
        <v>0</v>
      </c>
      <c r="R315" s="669">
        <v>0</v>
      </c>
      <c r="S315" s="669">
        <v>0</v>
      </c>
      <c r="T315" s="669">
        <v>0</v>
      </c>
      <c r="U315" s="669">
        <v>0</v>
      </c>
    </row>
    <row r="316" spans="3:21" ht="13">
      <c r="C316" s="670" t="s">
        <v>67</v>
      </c>
      <c r="D316" s="663">
        <v>0</v>
      </c>
      <c r="E316" s="663">
        <v>0</v>
      </c>
      <c r="F316" s="663">
        <v>0</v>
      </c>
      <c r="G316" s="663">
        <v>0</v>
      </c>
      <c r="H316" s="663">
        <v>0</v>
      </c>
      <c r="I316" s="663">
        <v>0</v>
      </c>
      <c r="J316" s="663">
        <v>0</v>
      </c>
      <c r="K316" s="663">
        <v>0</v>
      </c>
      <c r="L316" s="663">
        <v>0</v>
      </c>
      <c r="M316" s="663">
        <v>0</v>
      </c>
      <c r="N316" s="663">
        <v>0</v>
      </c>
      <c r="O316" s="663">
        <v>0</v>
      </c>
      <c r="P316" s="663">
        <v>0</v>
      </c>
      <c r="Q316" s="663">
        <v>0</v>
      </c>
      <c r="R316" s="663">
        <v>0</v>
      </c>
      <c r="S316" s="663">
        <v>0</v>
      </c>
      <c r="T316" s="663">
        <v>0</v>
      </c>
      <c r="U316" s="671">
        <v>0</v>
      </c>
    </row>
    <row r="317" spans="3:21" ht="13">
      <c r="C317" s="670" t="s">
        <v>350</v>
      </c>
      <c r="D317" s="663">
        <v>0</v>
      </c>
      <c r="E317" s="663">
        <v>0</v>
      </c>
      <c r="F317" s="663">
        <v>0</v>
      </c>
      <c r="G317" s="663">
        <v>0</v>
      </c>
      <c r="H317" s="663">
        <v>0</v>
      </c>
      <c r="I317" s="663">
        <v>0</v>
      </c>
      <c r="J317" s="663">
        <v>712.60987447127138</v>
      </c>
      <c r="K317" s="663">
        <v>556.92135057124881</v>
      </c>
      <c r="L317" s="663">
        <v>14.491283228737107</v>
      </c>
      <c r="M317" s="663">
        <v>2.8053264742296591</v>
      </c>
      <c r="N317" s="663">
        <v>6.5561937148871507</v>
      </c>
      <c r="O317" s="663">
        <v>0.11326810820885491</v>
      </c>
      <c r="P317" s="663">
        <v>0</v>
      </c>
      <c r="Q317" s="663">
        <v>6.7631767445353068</v>
      </c>
      <c r="R317" s="663">
        <v>-809.85847053245573</v>
      </c>
      <c r="S317" s="663">
        <v>0</v>
      </c>
      <c r="T317" s="663">
        <v>25.915656492161155</v>
      </c>
      <c r="U317" s="671">
        <v>516.31765927282356</v>
      </c>
    </row>
    <row r="318" spans="3:21" ht="13">
      <c r="C318" s="670" t="s">
        <v>351</v>
      </c>
      <c r="D318" s="663">
        <v>0</v>
      </c>
      <c r="E318" s="663">
        <v>0</v>
      </c>
      <c r="F318" s="663">
        <v>0</v>
      </c>
      <c r="G318" s="663">
        <v>0</v>
      </c>
      <c r="H318" s="663">
        <v>0</v>
      </c>
      <c r="I318" s="663">
        <v>0</v>
      </c>
      <c r="J318" s="663">
        <v>0</v>
      </c>
      <c r="K318" s="663">
        <v>0</v>
      </c>
      <c r="L318" s="663">
        <v>33.721862056250039</v>
      </c>
      <c r="M318" s="663">
        <v>14.376617363231052</v>
      </c>
      <c r="N318" s="663">
        <v>0</v>
      </c>
      <c r="O318" s="663">
        <v>8.1785673020738106</v>
      </c>
      <c r="P318" s="663">
        <v>0</v>
      </c>
      <c r="Q318" s="663">
        <v>11.316516045102318</v>
      </c>
      <c r="R318" s="663">
        <v>0</v>
      </c>
      <c r="S318" s="663">
        <v>-64.575476384232388</v>
      </c>
      <c r="T318" s="663">
        <v>0</v>
      </c>
      <c r="U318" s="671">
        <v>3.0180863824248352</v>
      </c>
    </row>
    <row r="319" spans="3:21" ht="13">
      <c r="C319" s="670" t="s">
        <v>352</v>
      </c>
      <c r="D319" s="663">
        <v>0</v>
      </c>
      <c r="E319" s="663">
        <v>0</v>
      </c>
      <c r="F319" s="663">
        <v>0</v>
      </c>
      <c r="G319" s="663">
        <v>0</v>
      </c>
      <c r="H319" s="663">
        <v>0</v>
      </c>
      <c r="I319" s="663">
        <v>0</v>
      </c>
      <c r="J319" s="663">
        <v>0</v>
      </c>
      <c r="K319" s="663">
        <v>0</v>
      </c>
      <c r="L319" s="663">
        <v>104.38683240846164</v>
      </c>
      <c r="M319" s="663">
        <v>0</v>
      </c>
      <c r="N319" s="663">
        <v>0</v>
      </c>
      <c r="O319" s="663">
        <v>-100.27188716566127</v>
      </c>
      <c r="P319" s="663">
        <v>0</v>
      </c>
      <c r="Q319" s="663">
        <v>0</v>
      </c>
      <c r="R319" s="663">
        <v>0</v>
      </c>
      <c r="S319" s="663">
        <v>0</v>
      </c>
      <c r="T319" s="663">
        <v>0</v>
      </c>
      <c r="U319" s="671">
        <v>4.1149452428003741</v>
      </c>
    </row>
    <row r="320" spans="3:21" ht="13">
      <c r="C320" s="670" t="s">
        <v>353</v>
      </c>
      <c r="D320" s="663">
        <v>0</v>
      </c>
      <c r="E320" s="663">
        <v>0</v>
      </c>
      <c r="F320" s="663">
        <v>0</v>
      </c>
      <c r="G320" s="663">
        <v>0</v>
      </c>
      <c r="H320" s="663">
        <v>0</v>
      </c>
      <c r="I320" s="663">
        <v>-4.5962253881571415</v>
      </c>
      <c r="J320" s="663">
        <v>0</v>
      </c>
      <c r="K320" s="663">
        <v>0</v>
      </c>
      <c r="L320" s="663">
        <v>0</v>
      </c>
      <c r="M320" s="663">
        <v>0</v>
      </c>
      <c r="N320" s="663">
        <v>0</v>
      </c>
      <c r="O320" s="663">
        <v>0</v>
      </c>
      <c r="P320" s="663">
        <v>0</v>
      </c>
      <c r="Q320" s="663">
        <v>0</v>
      </c>
      <c r="R320" s="663">
        <v>0</v>
      </c>
      <c r="S320" s="663">
        <v>0</v>
      </c>
      <c r="T320" s="663">
        <v>6.4074201765093832</v>
      </c>
      <c r="U320" s="671">
        <v>1.8111947883522417</v>
      </c>
    </row>
    <row r="321" spans="3:21" ht="13">
      <c r="C321" s="670" t="s">
        <v>72</v>
      </c>
      <c r="D321" s="663">
        <v>0</v>
      </c>
      <c r="E321" s="663">
        <v>118.07035586741333</v>
      </c>
      <c r="F321" s="663">
        <v>-116.89188714951831</v>
      </c>
      <c r="G321" s="663">
        <v>0</v>
      </c>
      <c r="H321" s="663">
        <v>0</v>
      </c>
      <c r="I321" s="663">
        <v>0</v>
      </c>
      <c r="J321" s="663">
        <v>0</v>
      </c>
      <c r="K321" s="663">
        <v>0</v>
      </c>
      <c r="L321" s="663">
        <v>0</v>
      </c>
      <c r="M321" s="663">
        <v>0</v>
      </c>
      <c r="N321" s="663">
        <v>0</v>
      </c>
      <c r="O321" s="663">
        <v>0</v>
      </c>
      <c r="P321" s="663">
        <v>0</v>
      </c>
      <c r="Q321" s="663">
        <v>0</v>
      </c>
      <c r="R321" s="663">
        <v>0</v>
      </c>
      <c r="S321" s="663">
        <v>0</v>
      </c>
      <c r="T321" s="663">
        <v>0</v>
      </c>
      <c r="U321" s="671">
        <v>1.1784687178950146</v>
      </c>
    </row>
    <row r="322" spans="3:21" ht="13">
      <c r="C322" s="670" t="s">
        <v>354</v>
      </c>
      <c r="D322" s="663">
        <v>0</v>
      </c>
      <c r="E322" s="663">
        <v>0</v>
      </c>
      <c r="F322" s="663">
        <v>0</v>
      </c>
      <c r="G322" s="663">
        <v>0</v>
      </c>
      <c r="H322" s="663">
        <v>0</v>
      </c>
      <c r="I322" s="663">
        <v>0</v>
      </c>
      <c r="J322" s="663">
        <v>0</v>
      </c>
      <c r="K322" s="663">
        <v>0</v>
      </c>
      <c r="L322" s="663">
        <v>61.244429678974598</v>
      </c>
      <c r="M322" s="663">
        <v>0</v>
      </c>
      <c r="N322" s="663">
        <v>-61.244429678974598</v>
      </c>
      <c r="O322" s="663">
        <v>0</v>
      </c>
      <c r="P322" s="663">
        <v>0</v>
      </c>
      <c r="Q322" s="663">
        <v>0</v>
      </c>
      <c r="R322" s="663">
        <v>0</v>
      </c>
      <c r="S322" s="663">
        <v>0</v>
      </c>
      <c r="T322" s="663">
        <v>0</v>
      </c>
      <c r="U322" s="671">
        <v>0</v>
      </c>
    </row>
    <row r="323" spans="3:21" ht="13">
      <c r="C323" s="670" t="s">
        <v>355</v>
      </c>
      <c r="D323" s="663">
        <v>0</v>
      </c>
      <c r="E323" s="663">
        <v>0</v>
      </c>
      <c r="F323" s="663">
        <v>0</v>
      </c>
      <c r="G323" s="663">
        <v>-56.725829149009897</v>
      </c>
      <c r="H323" s="663">
        <v>0</v>
      </c>
      <c r="I323" s="663">
        <v>0</v>
      </c>
      <c r="J323" s="663">
        <v>0</v>
      </c>
      <c r="K323" s="663">
        <v>0</v>
      </c>
      <c r="L323" s="663">
        <v>0</v>
      </c>
      <c r="M323" s="663">
        <v>0</v>
      </c>
      <c r="N323" s="663">
        <v>0</v>
      </c>
      <c r="O323" s="663">
        <v>0</v>
      </c>
      <c r="P323" s="663">
        <v>0</v>
      </c>
      <c r="Q323" s="663">
        <v>0</v>
      </c>
      <c r="R323" s="663">
        <v>0</v>
      </c>
      <c r="S323" s="663">
        <v>0</v>
      </c>
      <c r="T323" s="663">
        <v>79.005333076615457</v>
      </c>
      <c r="U323" s="671">
        <v>22.27950392760556</v>
      </c>
    </row>
    <row r="324" spans="3:21" ht="13">
      <c r="C324" s="670" t="s">
        <v>73</v>
      </c>
      <c r="D324" s="663">
        <v>0</v>
      </c>
      <c r="E324" s="663">
        <v>0</v>
      </c>
      <c r="F324" s="663">
        <v>0</v>
      </c>
      <c r="G324" s="663">
        <v>0</v>
      </c>
      <c r="H324" s="663">
        <v>0</v>
      </c>
      <c r="I324" s="663">
        <v>0</v>
      </c>
      <c r="J324" s="663">
        <v>0</v>
      </c>
      <c r="K324" s="663">
        <v>0</v>
      </c>
      <c r="L324" s="663">
        <v>0</v>
      </c>
      <c r="M324" s="663">
        <v>0</v>
      </c>
      <c r="N324" s="663">
        <v>0</v>
      </c>
      <c r="O324" s="663">
        <v>0</v>
      </c>
      <c r="P324" s="663">
        <v>0</v>
      </c>
      <c r="Q324" s="663">
        <v>0</v>
      </c>
      <c r="R324" s="663">
        <v>227.10664749932533</v>
      </c>
      <c r="S324" s="663">
        <v>0</v>
      </c>
      <c r="T324" s="663">
        <v>-163.51678619951423</v>
      </c>
      <c r="U324" s="671">
        <v>63.589861299811105</v>
      </c>
    </row>
    <row r="325" spans="3:21" ht="13">
      <c r="C325" s="670" t="s">
        <v>356</v>
      </c>
      <c r="D325" s="663">
        <v>3.3456624609374996</v>
      </c>
      <c r="E325" s="663">
        <v>-4.1134970584069457</v>
      </c>
      <c r="F325" s="663">
        <v>5.3691262200413341</v>
      </c>
      <c r="G325" s="663">
        <v>0</v>
      </c>
      <c r="H325" s="663">
        <v>0</v>
      </c>
      <c r="I325" s="663">
        <v>0</v>
      </c>
      <c r="J325" s="663">
        <v>0</v>
      </c>
      <c r="K325" s="663">
        <v>0</v>
      </c>
      <c r="L325" s="663">
        <v>0</v>
      </c>
      <c r="M325" s="663">
        <v>0</v>
      </c>
      <c r="N325" s="663">
        <v>0</v>
      </c>
      <c r="O325" s="663">
        <v>0</v>
      </c>
      <c r="P325" s="663">
        <v>0</v>
      </c>
      <c r="Q325" s="663">
        <v>0</v>
      </c>
      <c r="R325" s="663">
        <v>0</v>
      </c>
      <c r="S325" s="663">
        <v>0</v>
      </c>
      <c r="T325" s="663">
        <v>0</v>
      </c>
      <c r="U325" s="671">
        <v>4.6012916225718881</v>
      </c>
    </row>
    <row r="326" spans="3:21" ht="13">
      <c r="C326" s="670" t="s">
        <v>75</v>
      </c>
      <c r="D326" s="663">
        <v>1.3010909570312501</v>
      </c>
      <c r="E326" s="663">
        <v>0</v>
      </c>
      <c r="F326" s="663">
        <v>16.404377382526505</v>
      </c>
      <c r="G326" s="663">
        <v>0</v>
      </c>
      <c r="H326" s="663">
        <v>0</v>
      </c>
      <c r="I326" s="663">
        <v>0.23833359000000001</v>
      </c>
      <c r="J326" s="663">
        <v>0</v>
      </c>
      <c r="K326" s="663">
        <v>0</v>
      </c>
      <c r="L326" s="663">
        <v>0</v>
      </c>
      <c r="M326" s="663">
        <v>0</v>
      </c>
      <c r="N326" s="663">
        <v>0</v>
      </c>
      <c r="O326" s="663">
        <v>4.5283382100000003</v>
      </c>
      <c r="P326" s="663">
        <v>0</v>
      </c>
      <c r="Q326" s="663">
        <v>0</v>
      </c>
      <c r="R326" s="663">
        <v>17.221013858771279</v>
      </c>
      <c r="S326" s="663">
        <v>0</v>
      </c>
      <c r="T326" s="663">
        <v>0</v>
      </c>
      <c r="U326" s="671">
        <v>39.693153998329031</v>
      </c>
    </row>
    <row r="327" spans="3:21" ht="13">
      <c r="C327" s="670" t="s">
        <v>76</v>
      </c>
      <c r="D327" s="663">
        <v>0</v>
      </c>
      <c r="E327" s="663">
        <v>0</v>
      </c>
      <c r="F327" s="663">
        <v>0</v>
      </c>
      <c r="G327" s="663">
        <v>0</v>
      </c>
      <c r="H327" s="663">
        <v>0</v>
      </c>
      <c r="I327" s="663">
        <v>5.9340338699632358E-2</v>
      </c>
      <c r="J327" s="663">
        <v>0</v>
      </c>
      <c r="K327" s="663">
        <v>0</v>
      </c>
      <c r="L327" s="663">
        <v>0</v>
      </c>
      <c r="M327" s="663">
        <v>0</v>
      </c>
      <c r="N327" s="663">
        <v>0</v>
      </c>
      <c r="O327" s="663">
        <v>1.1274664352930146</v>
      </c>
      <c r="P327" s="663">
        <v>0</v>
      </c>
      <c r="Q327" s="663">
        <v>0</v>
      </c>
      <c r="R327" s="663">
        <v>58.897580266978245</v>
      </c>
      <c r="S327" s="663">
        <v>5.0089527300753778</v>
      </c>
      <c r="T327" s="663">
        <v>0</v>
      </c>
      <c r="U327" s="671">
        <v>65.093339771046274</v>
      </c>
    </row>
    <row r="328" spans="3:21" ht="13">
      <c r="C328" s="666" t="s">
        <v>77</v>
      </c>
      <c r="D328" s="667">
        <v>4.6467534179687497</v>
      </c>
      <c r="E328" s="667">
        <v>113.95685880900638</v>
      </c>
      <c r="F328" s="667">
        <v>-95.118383546950469</v>
      </c>
      <c r="G328" s="667">
        <v>-56.725829149009897</v>
      </c>
      <c r="H328" s="675">
        <v>0</v>
      </c>
      <c r="I328" s="667">
        <v>-4.2985514594575092</v>
      </c>
      <c r="J328" s="667">
        <v>712.60987447127138</v>
      </c>
      <c r="K328" s="667">
        <v>556.92135057124881</v>
      </c>
      <c r="L328" s="667">
        <v>213.8444073724234</v>
      </c>
      <c r="M328" s="667">
        <v>17.181943837460711</v>
      </c>
      <c r="N328" s="667">
        <v>-54.688235964087447</v>
      </c>
      <c r="O328" s="667">
        <v>-86.324247110085594</v>
      </c>
      <c r="P328" s="667">
        <v>0</v>
      </c>
      <c r="Q328" s="667">
        <v>18.079692789637626</v>
      </c>
      <c r="R328" s="667">
        <v>-506.63322890738101</v>
      </c>
      <c r="S328" s="667">
        <v>-59.56652365415701</v>
      </c>
      <c r="T328" s="667">
        <v>-52.188376454228234</v>
      </c>
      <c r="U328" s="667">
        <v>721.69750502365991</v>
      </c>
    </row>
    <row r="329" spans="3:21" ht="13">
      <c r="C329" s="668"/>
      <c r="D329" s="669">
        <v>0</v>
      </c>
      <c r="E329" s="669">
        <v>0</v>
      </c>
      <c r="F329" s="669">
        <v>0</v>
      </c>
      <c r="G329" s="669">
        <v>0</v>
      </c>
      <c r="H329" s="676">
        <v>0</v>
      </c>
      <c r="I329" s="669">
        <v>0</v>
      </c>
      <c r="J329" s="669">
        <v>0</v>
      </c>
      <c r="K329" s="669">
        <v>0</v>
      </c>
      <c r="L329" s="669">
        <v>0</v>
      </c>
      <c r="M329" s="669">
        <v>0</v>
      </c>
      <c r="N329" s="669">
        <v>0</v>
      </c>
      <c r="O329" s="669">
        <v>0</v>
      </c>
      <c r="P329" s="669">
        <v>0</v>
      </c>
      <c r="Q329" s="669">
        <v>0</v>
      </c>
      <c r="R329" s="669">
        <v>0</v>
      </c>
      <c r="S329" s="669">
        <v>0</v>
      </c>
      <c r="T329" s="669">
        <v>0</v>
      </c>
      <c r="U329" s="669">
        <v>0</v>
      </c>
    </row>
    <row r="330" spans="3:21" ht="13">
      <c r="C330" s="670" t="s">
        <v>78</v>
      </c>
      <c r="D330" s="663">
        <v>1.2844353845350245</v>
      </c>
      <c r="E330" s="663">
        <v>0</v>
      </c>
      <c r="F330" s="663">
        <v>0.671413025716175</v>
      </c>
      <c r="G330" s="663">
        <v>0</v>
      </c>
      <c r="H330" s="663">
        <v>0</v>
      </c>
      <c r="I330" s="663">
        <v>1.6768235413433659</v>
      </c>
      <c r="J330" s="663">
        <v>0</v>
      </c>
      <c r="K330" s="663">
        <v>0</v>
      </c>
      <c r="L330" s="663">
        <v>18.511250218523632</v>
      </c>
      <c r="M330" s="663">
        <v>2.0464486619012869</v>
      </c>
      <c r="N330" s="663">
        <v>1.4169866943359375</v>
      </c>
      <c r="O330" s="663">
        <v>31.901778101678747</v>
      </c>
      <c r="P330" s="663">
        <v>11.306912109375</v>
      </c>
      <c r="Q330" s="663">
        <v>8.5890570413253253E-4</v>
      </c>
      <c r="R330" s="663">
        <v>135.19292998685364</v>
      </c>
      <c r="S330" s="663">
        <v>18.430317312360387</v>
      </c>
      <c r="T330" s="663">
        <v>8.2355947265624998</v>
      </c>
      <c r="U330" s="671">
        <v>230.67574866888981</v>
      </c>
    </row>
    <row r="331" spans="3:21" ht="13">
      <c r="C331" s="670" t="s">
        <v>79</v>
      </c>
      <c r="D331" s="663">
        <v>0</v>
      </c>
      <c r="E331" s="663">
        <v>0</v>
      </c>
      <c r="F331" s="663">
        <v>2.0327553633446804</v>
      </c>
      <c r="G331" s="663">
        <v>2.9414401384596758</v>
      </c>
      <c r="H331" s="663">
        <v>0</v>
      </c>
      <c r="I331" s="663">
        <v>0.25814381907328782</v>
      </c>
      <c r="J331" s="663">
        <v>0</v>
      </c>
      <c r="K331" s="663">
        <v>0</v>
      </c>
      <c r="L331" s="663">
        <v>0</v>
      </c>
      <c r="M331" s="663">
        <v>0</v>
      </c>
      <c r="N331" s="663">
        <v>11.290866079539722</v>
      </c>
      <c r="O331" s="663">
        <v>4.9047325623924678</v>
      </c>
      <c r="P331" s="663">
        <v>0</v>
      </c>
      <c r="Q331" s="663">
        <v>0</v>
      </c>
      <c r="R331" s="663">
        <v>110.4417553978261</v>
      </c>
      <c r="S331" s="663">
        <v>0</v>
      </c>
      <c r="T331" s="663">
        <v>5.3966998641798476</v>
      </c>
      <c r="U331" s="671">
        <v>137.26639322481577</v>
      </c>
    </row>
    <row r="332" spans="3:21" ht="13">
      <c r="C332" s="670" t="s">
        <v>80</v>
      </c>
      <c r="D332" s="663">
        <v>0</v>
      </c>
      <c r="E332" s="663">
        <v>0</v>
      </c>
      <c r="F332" s="663">
        <v>0.19325490667833059</v>
      </c>
      <c r="G332" s="663">
        <v>0</v>
      </c>
      <c r="H332" s="663">
        <v>0</v>
      </c>
      <c r="I332" s="663">
        <v>1.3094987150488224</v>
      </c>
      <c r="J332" s="663">
        <v>0</v>
      </c>
      <c r="K332" s="663">
        <v>0</v>
      </c>
      <c r="L332" s="663">
        <v>28.937300829462252</v>
      </c>
      <c r="M332" s="663">
        <v>0</v>
      </c>
      <c r="N332" s="663">
        <v>0</v>
      </c>
      <c r="O332" s="663">
        <v>24.88047558592762</v>
      </c>
      <c r="P332" s="663">
        <v>124.95584249070536</v>
      </c>
      <c r="Q332" s="663">
        <v>3.1166998128913419</v>
      </c>
      <c r="R332" s="663">
        <v>129.06523934568938</v>
      </c>
      <c r="S332" s="663">
        <v>22.248806062911136</v>
      </c>
      <c r="T332" s="663">
        <v>0</v>
      </c>
      <c r="U332" s="671">
        <v>334.70711774931425</v>
      </c>
    </row>
    <row r="333" spans="3:21" ht="13">
      <c r="C333" s="670" t="s">
        <v>81</v>
      </c>
      <c r="D333" s="663">
        <v>0</v>
      </c>
      <c r="E333" s="663">
        <v>0</v>
      </c>
      <c r="F333" s="663">
        <v>0.13103912510682203</v>
      </c>
      <c r="G333" s="663">
        <v>0</v>
      </c>
      <c r="H333" s="663">
        <v>0</v>
      </c>
      <c r="I333" s="663">
        <v>0.65398403873429223</v>
      </c>
      <c r="J333" s="663">
        <v>0</v>
      </c>
      <c r="K333" s="663">
        <v>0</v>
      </c>
      <c r="L333" s="663">
        <v>0.34200087095620557</v>
      </c>
      <c r="M333" s="663">
        <v>2.9244114949902102E-4</v>
      </c>
      <c r="N333" s="663">
        <v>0</v>
      </c>
      <c r="O333" s="663">
        <v>12.425696735951551</v>
      </c>
      <c r="P333" s="663">
        <v>29.475134675869491</v>
      </c>
      <c r="Q333" s="663">
        <v>0.98841007039498519</v>
      </c>
      <c r="R333" s="663">
        <v>81.567308013661545</v>
      </c>
      <c r="S333" s="663">
        <v>18.887400278885494</v>
      </c>
      <c r="T333" s="663">
        <v>0</v>
      </c>
      <c r="U333" s="671">
        <v>144.4712662507099</v>
      </c>
    </row>
    <row r="334" spans="3:21" ht="13">
      <c r="C334" s="670" t="s">
        <v>82</v>
      </c>
      <c r="D334" s="663">
        <v>0</v>
      </c>
      <c r="E334" s="663">
        <v>0</v>
      </c>
      <c r="F334" s="663">
        <v>0</v>
      </c>
      <c r="G334" s="663">
        <v>0.49546247522038722</v>
      </c>
      <c r="H334" s="663">
        <v>0</v>
      </c>
      <c r="I334" s="663">
        <v>8.1327589418857746E-2</v>
      </c>
      <c r="J334" s="663">
        <v>0</v>
      </c>
      <c r="K334" s="663">
        <v>0</v>
      </c>
      <c r="L334" s="663">
        <v>4.5749249618986854</v>
      </c>
      <c r="M334" s="663">
        <v>0</v>
      </c>
      <c r="N334" s="663">
        <v>16.621294257606131</v>
      </c>
      <c r="O334" s="663">
        <v>1.5452241989582969</v>
      </c>
      <c r="P334" s="663">
        <v>1.5</v>
      </c>
      <c r="Q334" s="663">
        <v>2.1874070050904897</v>
      </c>
      <c r="R334" s="663">
        <v>7.8459207286229669</v>
      </c>
      <c r="S334" s="663">
        <v>0</v>
      </c>
      <c r="T334" s="663">
        <v>0.44339331184266689</v>
      </c>
      <c r="U334" s="671">
        <v>35.294954528658486</v>
      </c>
    </row>
    <row r="335" spans="3:21" ht="13">
      <c r="C335" s="670" t="s">
        <v>357</v>
      </c>
      <c r="D335" s="663">
        <v>0</v>
      </c>
      <c r="E335" s="663">
        <v>0</v>
      </c>
      <c r="F335" s="663">
        <v>0</v>
      </c>
      <c r="G335" s="663">
        <v>0</v>
      </c>
      <c r="H335" s="663">
        <v>0</v>
      </c>
      <c r="I335" s="663">
        <v>0</v>
      </c>
      <c r="J335" s="663">
        <v>0</v>
      </c>
      <c r="K335" s="663">
        <v>0</v>
      </c>
      <c r="L335" s="663">
        <v>0</v>
      </c>
      <c r="M335" s="663">
        <v>0</v>
      </c>
      <c r="N335" s="663">
        <v>0</v>
      </c>
      <c r="O335" s="663">
        <v>0</v>
      </c>
      <c r="P335" s="663">
        <v>0</v>
      </c>
      <c r="Q335" s="663">
        <v>0</v>
      </c>
      <c r="R335" s="663">
        <v>2.5199999999999996</v>
      </c>
      <c r="S335" s="663">
        <v>0</v>
      </c>
      <c r="T335" s="663">
        <v>0</v>
      </c>
      <c r="U335" s="671">
        <v>2.5199999999999996</v>
      </c>
    </row>
    <row r="336" spans="3:21" ht="13">
      <c r="C336" s="666" t="s">
        <v>83</v>
      </c>
      <c r="D336" s="667">
        <v>1.2844353845350245</v>
      </c>
      <c r="E336" s="667">
        <v>0</v>
      </c>
      <c r="F336" s="667">
        <v>3.028462420846008</v>
      </c>
      <c r="G336" s="667">
        <v>3.4369026136800631</v>
      </c>
      <c r="H336" s="675">
        <v>0</v>
      </c>
      <c r="I336" s="667">
        <v>3.9797777036186259</v>
      </c>
      <c r="J336" s="667">
        <v>0</v>
      </c>
      <c r="K336" s="667">
        <v>0</v>
      </c>
      <c r="L336" s="667">
        <v>52.365476880840774</v>
      </c>
      <c r="M336" s="667">
        <v>2.0467411030507856</v>
      </c>
      <c r="N336" s="667">
        <v>29.329147031481789</v>
      </c>
      <c r="O336" s="667">
        <v>75.65790718490868</v>
      </c>
      <c r="P336" s="667">
        <v>167.23788927594987</v>
      </c>
      <c r="Q336" s="667">
        <v>6.2933757940809487</v>
      </c>
      <c r="R336" s="667">
        <v>466.63315347265359</v>
      </c>
      <c r="S336" s="667">
        <v>59.566523654157017</v>
      </c>
      <c r="T336" s="667">
        <v>14.075687902585015</v>
      </c>
      <c r="U336" s="667">
        <v>884.93548042238808</v>
      </c>
    </row>
    <row r="337" spans="3:21" ht="13">
      <c r="C337" s="662" t="s">
        <v>84</v>
      </c>
      <c r="D337" s="663">
        <v>0</v>
      </c>
      <c r="E337" s="663">
        <v>0</v>
      </c>
      <c r="F337" s="663">
        <v>39.848807090011732</v>
      </c>
      <c r="G337" s="663">
        <v>12.189834391274943</v>
      </c>
      <c r="H337" s="663">
        <v>2.6585092475046008</v>
      </c>
      <c r="I337" s="663">
        <v>0</v>
      </c>
      <c r="J337" s="663">
        <v>0</v>
      </c>
      <c r="K337" s="663">
        <v>0</v>
      </c>
      <c r="L337" s="663">
        <v>0.5962689327253029</v>
      </c>
      <c r="M337" s="663">
        <v>0</v>
      </c>
      <c r="N337" s="663">
        <v>18.105967775029544</v>
      </c>
      <c r="O337" s="663">
        <v>4.780741280438523</v>
      </c>
      <c r="P337" s="663">
        <v>0</v>
      </c>
      <c r="Q337" s="663">
        <v>0</v>
      </c>
      <c r="R337" s="663">
        <v>0</v>
      </c>
      <c r="S337" s="663">
        <v>0</v>
      </c>
      <c r="T337" s="663">
        <v>35.496713960556022</v>
      </c>
      <c r="U337" s="671">
        <v>113.67684267754068</v>
      </c>
    </row>
    <row r="338" spans="3:21" ht="13">
      <c r="C338" s="666" t="s">
        <v>85</v>
      </c>
      <c r="D338" s="667">
        <v>1.2844353845350245</v>
      </c>
      <c r="E338" s="667">
        <v>0</v>
      </c>
      <c r="F338" s="667">
        <v>42.877269510857737</v>
      </c>
      <c r="G338" s="667">
        <v>15.626737004955006</v>
      </c>
      <c r="H338" s="675">
        <v>2.6585092475046008</v>
      </c>
      <c r="I338" s="667">
        <v>3.9797777036186259</v>
      </c>
      <c r="J338" s="667">
        <v>0</v>
      </c>
      <c r="K338" s="667">
        <v>0</v>
      </c>
      <c r="L338" s="667">
        <v>52.961745813566075</v>
      </c>
      <c r="M338" s="667">
        <v>2.0467411030507856</v>
      </c>
      <c r="N338" s="667">
        <v>47.435114806511329</v>
      </c>
      <c r="O338" s="667">
        <v>80.4386484653472</v>
      </c>
      <c r="P338" s="667">
        <v>167.23788927594987</v>
      </c>
      <c r="Q338" s="667">
        <v>6.2933757940809487</v>
      </c>
      <c r="R338" s="667">
        <v>466.63315347265359</v>
      </c>
      <c r="S338" s="667">
        <v>59.566523654157017</v>
      </c>
      <c r="T338" s="667">
        <v>49.572401863141039</v>
      </c>
      <c r="U338" s="667">
        <v>998.61232309992874</v>
      </c>
    </row>
    <row r="339" spans="3:21">
      <c r="C339" s="654"/>
      <c r="D339" s="672">
        <v>0</v>
      </c>
      <c r="E339" s="672">
        <v>0</v>
      </c>
      <c r="F339" s="672">
        <v>0</v>
      </c>
      <c r="G339" s="672">
        <v>0</v>
      </c>
      <c r="H339" s="672">
        <v>0</v>
      </c>
      <c r="I339" s="672">
        <v>4.9960036108132044E-16</v>
      </c>
      <c r="J339" s="672">
        <v>0</v>
      </c>
      <c r="K339" s="672">
        <v>0</v>
      </c>
      <c r="L339" s="672">
        <v>0</v>
      </c>
      <c r="M339" s="672">
        <v>0</v>
      </c>
      <c r="N339" s="672">
        <v>0</v>
      </c>
      <c r="O339" s="672">
        <v>0</v>
      </c>
      <c r="P339" s="672">
        <v>0</v>
      </c>
      <c r="Q339" s="672">
        <v>0</v>
      </c>
      <c r="R339" s="672">
        <v>5.6843418860808015E-14</v>
      </c>
      <c r="S339" s="672">
        <v>7.1054273576010019E-15</v>
      </c>
      <c r="T339" s="672">
        <v>-1.4654943925052066E-14</v>
      </c>
      <c r="U339" s="672">
        <v>0</v>
      </c>
    </row>
    <row r="340" spans="3:21">
      <c r="C340" s="654"/>
      <c r="D340" s="654"/>
      <c r="E340" s="654"/>
      <c r="F340" s="654"/>
      <c r="G340" s="654"/>
      <c r="H340" s="654"/>
      <c r="I340" s="654"/>
      <c r="J340" s="654"/>
      <c r="K340" s="654"/>
      <c r="L340" s="654"/>
      <c r="M340" s="654"/>
      <c r="N340" s="654"/>
      <c r="O340" s="654"/>
      <c r="P340" s="654"/>
      <c r="Q340" s="654"/>
      <c r="R340" s="654"/>
      <c r="S340" s="654"/>
      <c r="T340" s="654"/>
      <c r="U340" s="654"/>
    </row>
  </sheetData>
  <mergeCells count="126">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U313:U315 U328:U336">
    <cfRule type="cellIs" dxfId="7019" priority="646" operator="equal">
      <formula>0</formula>
    </cfRule>
  </conditionalFormatting>
  <conditionalFormatting sqref="U328">
    <cfRule type="containsBlanks" dxfId="7018" priority="645">
      <formula>LEN(TRIM(U328))=0</formula>
    </cfRule>
  </conditionalFormatting>
  <conditionalFormatting sqref="L11:P11">
    <cfRule type="cellIs" dxfId="7017" priority="642" operator="equal">
      <formula>0</formula>
    </cfRule>
  </conditionalFormatting>
  <conditionalFormatting sqref="Q11">
    <cfRule type="cellIs" dxfId="7016" priority="641" operator="equal">
      <formula>0</formula>
    </cfRule>
  </conditionalFormatting>
  <conditionalFormatting sqref="L48:P48">
    <cfRule type="cellIs" dxfId="7015" priority="640" operator="equal">
      <formula>0</formula>
    </cfRule>
  </conditionalFormatting>
  <conditionalFormatting sqref="Q48">
    <cfRule type="cellIs" dxfId="7014" priority="639" operator="equal">
      <formula>0</formula>
    </cfRule>
  </conditionalFormatting>
  <conditionalFormatting sqref="L85:P85">
    <cfRule type="cellIs" dxfId="7013" priority="638" operator="equal">
      <formula>0</formula>
    </cfRule>
  </conditionalFormatting>
  <conditionalFormatting sqref="Q85">
    <cfRule type="cellIs" dxfId="7012" priority="637" operator="equal">
      <formula>0</formula>
    </cfRule>
  </conditionalFormatting>
  <conditionalFormatting sqref="L122:P122">
    <cfRule type="cellIs" dxfId="7011" priority="636" operator="equal">
      <formula>0</formula>
    </cfRule>
  </conditionalFormatting>
  <conditionalFormatting sqref="Q122">
    <cfRule type="cellIs" dxfId="7010" priority="635" operator="equal">
      <formula>0</formula>
    </cfRule>
  </conditionalFormatting>
  <conditionalFormatting sqref="L159:P159">
    <cfRule type="cellIs" dxfId="7009" priority="634" operator="equal">
      <formula>0</formula>
    </cfRule>
  </conditionalFormatting>
  <conditionalFormatting sqref="Q159">
    <cfRule type="cellIs" dxfId="7008" priority="633" operator="equal">
      <formula>0</formula>
    </cfRule>
  </conditionalFormatting>
  <conditionalFormatting sqref="L196:P196">
    <cfRule type="cellIs" dxfId="7007" priority="632" operator="equal">
      <formula>0</formula>
    </cfRule>
  </conditionalFormatting>
  <conditionalFormatting sqref="Q196">
    <cfRule type="cellIs" dxfId="7006" priority="631" operator="equal">
      <formula>0</formula>
    </cfRule>
  </conditionalFormatting>
  <conditionalFormatting sqref="L233:P233">
    <cfRule type="cellIs" dxfId="7005" priority="630" operator="equal">
      <formula>0</formula>
    </cfRule>
  </conditionalFormatting>
  <conditionalFormatting sqref="Q233">
    <cfRule type="cellIs" dxfId="7004" priority="629" operator="equal">
      <formula>0</formula>
    </cfRule>
  </conditionalFormatting>
  <conditionalFormatting sqref="L270:P270">
    <cfRule type="cellIs" dxfId="7003" priority="628" operator="equal">
      <formula>0</formula>
    </cfRule>
  </conditionalFormatting>
  <conditionalFormatting sqref="Q270">
    <cfRule type="cellIs" dxfId="7002" priority="627" operator="equal">
      <formula>0</formula>
    </cfRule>
  </conditionalFormatting>
  <conditionalFormatting sqref="L307:P307">
    <cfRule type="cellIs" dxfId="7001" priority="626" operator="equal">
      <formula>0</formula>
    </cfRule>
  </conditionalFormatting>
  <conditionalFormatting sqref="Q307">
    <cfRule type="cellIs" dxfId="7000" priority="625" operator="equal">
      <formula>0</formula>
    </cfRule>
  </conditionalFormatting>
  <conditionalFormatting sqref="U338 U308:U310">
    <cfRule type="cellIs" dxfId="6999" priority="624" operator="equal">
      <formula>0</formula>
    </cfRule>
  </conditionalFormatting>
  <conditionalFormatting sqref="U337">
    <cfRule type="cellIs" dxfId="6998" priority="623" operator="equal">
      <formula>0</formula>
    </cfRule>
  </conditionalFormatting>
  <conditionalFormatting sqref="U330:U338 U308:U310 U313:U314">
    <cfRule type="containsBlanks" dxfId="6997" priority="622">
      <formula>LEN(TRIM(U308))=0</formula>
    </cfRule>
  </conditionalFormatting>
  <conditionalFormatting sqref="U311:U312">
    <cfRule type="cellIs" dxfId="6996" priority="621" operator="equal">
      <formula>0</formula>
    </cfRule>
  </conditionalFormatting>
  <conditionalFormatting sqref="U311:U312">
    <cfRule type="containsBlanks" dxfId="6995" priority="620">
      <formula>LEN(TRIM(U311))=0</formula>
    </cfRule>
  </conditionalFormatting>
  <conditionalFormatting sqref="U316:U327">
    <cfRule type="cellIs" dxfId="6994" priority="619" operator="equal">
      <formula>0</formula>
    </cfRule>
  </conditionalFormatting>
  <conditionalFormatting sqref="U316:U327">
    <cfRule type="containsBlanks" dxfId="6993" priority="618">
      <formula>LEN(TRIM(U316))=0</formula>
    </cfRule>
  </conditionalFormatting>
  <conditionalFormatting sqref="U42 U12:U40">
    <cfRule type="cellIs" dxfId="6992" priority="614" operator="equal">
      <formula>0</formula>
    </cfRule>
  </conditionalFormatting>
  <conditionalFormatting sqref="U41">
    <cfRule type="cellIs" dxfId="6991" priority="613" operator="equal">
      <formula>0</formula>
    </cfRule>
  </conditionalFormatting>
  <conditionalFormatting sqref="U34:U42 U12:U18 U20:U32">
    <cfRule type="containsBlanks" dxfId="6990" priority="612">
      <formula>LEN(TRIM(U12))=0</formula>
    </cfRule>
  </conditionalFormatting>
  <conditionalFormatting sqref="U79 U49:U77">
    <cfRule type="cellIs" dxfId="6989" priority="611" operator="equal">
      <formula>0</formula>
    </cfRule>
  </conditionalFormatting>
  <conditionalFormatting sqref="U78">
    <cfRule type="cellIs" dxfId="6988" priority="610" operator="equal">
      <formula>0</formula>
    </cfRule>
  </conditionalFormatting>
  <conditionalFormatting sqref="U71:U79 U49:U55 U57:U69">
    <cfRule type="containsBlanks" dxfId="6987" priority="609">
      <formula>LEN(TRIM(U49))=0</formula>
    </cfRule>
  </conditionalFormatting>
  <conditionalFormatting sqref="U116 U86:U114">
    <cfRule type="cellIs" dxfId="6986" priority="608" operator="equal">
      <formula>0</formula>
    </cfRule>
  </conditionalFormatting>
  <conditionalFormatting sqref="U115">
    <cfRule type="cellIs" dxfId="6985" priority="607" operator="equal">
      <formula>0</formula>
    </cfRule>
  </conditionalFormatting>
  <conditionalFormatting sqref="U108:U116 U86:U92 U94:U106">
    <cfRule type="containsBlanks" dxfId="6984" priority="606">
      <formula>LEN(TRIM(U86))=0</formula>
    </cfRule>
  </conditionalFormatting>
  <conditionalFormatting sqref="U153 U123:U151">
    <cfRule type="cellIs" dxfId="6983" priority="605" operator="equal">
      <formula>0</formula>
    </cfRule>
  </conditionalFormatting>
  <conditionalFormatting sqref="U152">
    <cfRule type="cellIs" dxfId="6982" priority="604" operator="equal">
      <formula>0</formula>
    </cfRule>
  </conditionalFormatting>
  <conditionalFormatting sqref="U145:U153 U123:U129 U131:U143">
    <cfRule type="containsBlanks" dxfId="6981" priority="603">
      <formula>LEN(TRIM(U123))=0</formula>
    </cfRule>
  </conditionalFormatting>
  <conditionalFormatting sqref="U190 U160:U188">
    <cfRule type="cellIs" dxfId="6980" priority="602" operator="equal">
      <formula>0</formula>
    </cfRule>
  </conditionalFormatting>
  <conditionalFormatting sqref="U189">
    <cfRule type="cellIs" dxfId="6979" priority="601" operator="equal">
      <formula>0</formula>
    </cfRule>
  </conditionalFormatting>
  <conditionalFormatting sqref="U182:U190 U160:U166 U168:U180">
    <cfRule type="containsBlanks" dxfId="6978" priority="600">
      <formula>LEN(TRIM(U160))=0</formula>
    </cfRule>
  </conditionalFormatting>
  <conditionalFormatting sqref="U227 U197:U225">
    <cfRule type="cellIs" dxfId="6977" priority="599" operator="equal">
      <formula>0</formula>
    </cfRule>
  </conditionalFormatting>
  <conditionalFormatting sqref="U226">
    <cfRule type="cellIs" dxfId="6976" priority="598" operator="equal">
      <formula>0</formula>
    </cfRule>
  </conditionalFormatting>
  <conditionalFormatting sqref="U219:U227 U197:U203 U205:U217">
    <cfRule type="containsBlanks" dxfId="6975" priority="597">
      <formula>LEN(TRIM(U197))=0</formula>
    </cfRule>
  </conditionalFormatting>
  <conditionalFormatting sqref="U264 U234:U262">
    <cfRule type="cellIs" dxfId="6974" priority="596" operator="equal">
      <formula>0</formula>
    </cfRule>
  </conditionalFormatting>
  <conditionalFormatting sqref="U263">
    <cfRule type="cellIs" dxfId="6973" priority="595" operator="equal">
      <formula>0</formula>
    </cfRule>
  </conditionalFormatting>
  <conditionalFormatting sqref="U256:U264 U234:U240 U242:U254">
    <cfRule type="containsBlanks" dxfId="6972" priority="594">
      <formula>LEN(TRIM(U234))=0</formula>
    </cfRule>
  </conditionalFormatting>
  <conditionalFormatting sqref="U301 U271:U299">
    <cfRule type="cellIs" dxfId="6971" priority="593" operator="equal">
      <formula>0</formula>
    </cfRule>
  </conditionalFormatting>
  <conditionalFormatting sqref="U300">
    <cfRule type="cellIs" dxfId="6970" priority="592" operator="equal">
      <formula>0</formula>
    </cfRule>
  </conditionalFormatting>
  <conditionalFormatting sqref="U293:U301 U271:U277 U279:U291">
    <cfRule type="containsBlanks" dxfId="6969" priority="591">
      <formula>LEN(TRIM(U271))=0</formula>
    </cfRule>
  </conditionalFormatting>
  <conditionalFormatting sqref="D42:F42 R33:T33 D32:F40 D12:F19 N12:O12 R12:T12 J42:T42 J33:K33 J34:T40 J32:T32 J13:T19">
    <cfRule type="cellIs" dxfId="6968" priority="556" operator="equal">
      <formula>0</formula>
    </cfRule>
  </conditionalFormatting>
  <conditionalFormatting sqref="R12:R14">
    <cfRule type="cellIs" dxfId="6967" priority="555" operator="equal">
      <formula>0</formula>
    </cfRule>
  </conditionalFormatting>
  <conditionalFormatting sqref="R12:T12 N12:O12 D13:F14 J13:T14">
    <cfRule type="cellIs" dxfId="6966" priority="554" operator="equal">
      <formula>0</formula>
    </cfRule>
  </conditionalFormatting>
  <conditionalFormatting sqref="F13:F14">
    <cfRule type="cellIs" dxfId="6965" priority="553" operator="equal">
      <formula>0</formula>
    </cfRule>
  </conditionalFormatting>
  <conditionalFormatting sqref="N12:O12">
    <cfRule type="cellIs" dxfId="6964" priority="552" operator="equal">
      <formula>0</formula>
    </cfRule>
  </conditionalFormatting>
  <conditionalFormatting sqref="L15:L17 L33">
    <cfRule type="cellIs" dxfId="6963" priority="551" operator="equal">
      <formula>0</formula>
    </cfRule>
  </conditionalFormatting>
  <conditionalFormatting sqref="L13:L14">
    <cfRule type="cellIs" dxfId="6962" priority="550" operator="equal">
      <formula>0</formula>
    </cfRule>
  </conditionalFormatting>
  <conditionalFormatting sqref="M15:M17 M33">
    <cfRule type="cellIs" dxfId="6961" priority="549" operator="equal">
      <formula>0</formula>
    </cfRule>
  </conditionalFormatting>
  <conditionalFormatting sqref="M13:M14">
    <cfRule type="cellIs" dxfId="6960" priority="548" operator="equal">
      <formula>0</formula>
    </cfRule>
  </conditionalFormatting>
  <conditionalFormatting sqref="N15:N17 N33">
    <cfRule type="cellIs" dxfId="6959" priority="547" operator="equal">
      <formula>0</formula>
    </cfRule>
  </conditionalFormatting>
  <conditionalFormatting sqref="N12:N14">
    <cfRule type="cellIs" dxfId="6958" priority="546" operator="equal">
      <formula>0</formula>
    </cfRule>
  </conditionalFormatting>
  <conditionalFormatting sqref="O15:O17 O33">
    <cfRule type="cellIs" dxfId="6957" priority="545" operator="equal">
      <formula>0</formula>
    </cfRule>
  </conditionalFormatting>
  <conditionalFormatting sqref="O12:O14">
    <cfRule type="cellIs" dxfId="6956" priority="544" operator="equal">
      <formula>0</formula>
    </cfRule>
  </conditionalFormatting>
  <conditionalFormatting sqref="P15:P17 P33">
    <cfRule type="cellIs" dxfId="6955" priority="543" operator="equal">
      <formula>0</formula>
    </cfRule>
  </conditionalFormatting>
  <conditionalFormatting sqref="P13:P14">
    <cfRule type="cellIs" dxfId="6954" priority="542" operator="equal">
      <formula>0</formula>
    </cfRule>
  </conditionalFormatting>
  <conditionalFormatting sqref="Q15:Q17 Q33">
    <cfRule type="cellIs" dxfId="6953" priority="541" operator="equal">
      <formula>0</formula>
    </cfRule>
  </conditionalFormatting>
  <conditionalFormatting sqref="Q13:Q14">
    <cfRule type="cellIs" dxfId="6952" priority="540" operator="equal">
      <formula>0</formula>
    </cfRule>
  </conditionalFormatting>
  <conditionalFormatting sqref="D41:F41 J41:T41">
    <cfRule type="cellIs" dxfId="6951" priority="539" operator="equal">
      <formula>0</formula>
    </cfRule>
  </conditionalFormatting>
  <conditionalFormatting sqref="D34:F42 D32:F32 D12:F18 N12:O12 R12:T12 J34:T42 J32:T32 J13:T18">
    <cfRule type="containsBlanks" dxfId="6950" priority="538">
      <formula>LEN(TRIM(D12))=0</formula>
    </cfRule>
  </conditionalFormatting>
  <conditionalFormatting sqref="D41:F41 J41:T41">
    <cfRule type="cellIs" dxfId="6949" priority="537" operator="equal">
      <formula>0</formula>
    </cfRule>
  </conditionalFormatting>
  <conditionalFormatting sqref="N15:N16">
    <cfRule type="cellIs" dxfId="6948" priority="536" operator="equal">
      <formula>0</formula>
    </cfRule>
  </conditionalFormatting>
  <conditionalFormatting sqref="O15:O16">
    <cfRule type="cellIs" dxfId="6947" priority="535" operator="equal">
      <formula>0</formula>
    </cfRule>
  </conditionalFormatting>
  <conditionalFormatting sqref="P15:Q15">
    <cfRule type="cellIs" dxfId="6946" priority="534" operator="equal">
      <formula>0</formula>
    </cfRule>
  </conditionalFormatting>
  <conditionalFormatting sqref="P16:Q16">
    <cfRule type="cellIs" dxfId="6945" priority="533" operator="equal">
      <formula>0</formula>
    </cfRule>
  </conditionalFormatting>
  <conditionalFormatting sqref="D20:F31 J20:T31">
    <cfRule type="cellIs" dxfId="6944" priority="532" operator="equal">
      <formula>0</formula>
    </cfRule>
  </conditionalFormatting>
  <conditionalFormatting sqref="D20:F31 J20:T31">
    <cfRule type="containsBlanks" dxfId="6943" priority="531">
      <formula>LEN(TRIM(D20))=0</formula>
    </cfRule>
  </conditionalFormatting>
  <conditionalFormatting sqref="J12">
    <cfRule type="cellIs" dxfId="6942" priority="530" operator="equal">
      <formula>0</formula>
    </cfRule>
  </conditionalFormatting>
  <conditionalFormatting sqref="K12">
    <cfRule type="cellIs" dxfId="6941" priority="529" operator="equal">
      <formula>0</formula>
    </cfRule>
  </conditionalFormatting>
  <conditionalFormatting sqref="L12:M12">
    <cfRule type="cellIs" dxfId="6940" priority="528" operator="equal">
      <formula>0</formula>
    </cfRule>
  </conditionalFormatting>
  <conditionalFormatting sqref="M12">
    <cfRule type="cellIs" dxfId="6939" priority="527" operator="equal">
      <formula>0</formula>
    </cfRule>
  </conditionalFormatting>
  <conditionalFormatting sqref="J12:M12">
    <cfRule type="containsBlanks" dxfId="6938" priority="526">
      <formula>LEN(TRIM(J12))=0</formula>
    </cfRule>
  </conditionalFormatting>
  <conditionalFormatting sqref="P12:Q12">
    <cfRule type="cellIs" dxfId="6937" priority="525" operator="equal">
      <formula>0</formula>
    </cfRule>
  </conditionalFormatting>
  <conditionalFormatting sqref="P12:Q12">
    <cfRule type="cellIs" dxfId="6936" priority="524" operator="equal">
      <formula>0</formula>
    </cfRule>
  </conditionalFormatting>
  <conditionalFormatting sqref="P12:Q12">
    <cfRule type="containsBlanks" dxfId="6935" priority="523">
      <formula>LEN(TRIM(P12))=0</formula>
    </cfRule>
  </conditionalFormatting>
  <conditionalFormatting sqref="D79:F79 R70:T70 D69:F77 D49:F56 N49:O49 R49:T49 J79:T79 J70:K70 J71:T77 J69:T69 J50:T56">
    <cfRule type="cellIs" dxfId="6934" priority="522" operator="equal">
      <formula>0</formula>
    </cfRule>
  </conditionalFormatting>
  <conditionalFormatting sqref="R49:R51">
    <cfRule type="cellIs" dxfId="6933" priority="521" operator="equal">
      <formula>0</formula>
    </cfRule>
  </conditionalFormatting>
  <conditionalFormatting sqref="R49:T49 N49:O49 D50:F51 J50:T51">
    <cfRule type="cellIs" dxfId="6932" priority="520" operator="equal">
      <formula>0</formula>
    </cfRule>
  </conditionalFormatting>
  <conditionalFormatting sqref="F50:F51">
    <cfRule type="cellIs" dxfId="6931" priority="519" operator="equal">
      <formula>0</formula>
    </cfRule>
  </conditionalFormatting>
  <conditionalFormatting sqref="N49:O49">
    <cfRule type="cellIs" dxfId="6930" priority="518" operator="equal">
      <formula>0</formula>
    </cfRule>
  </conditionalFormatting>
  <conditionalFormatting sqref="L52:L54 L70">
    <cfRule type="cellIs" dxfId="6929" priority="517" operator="equal">
      <formula>0</formula>
    </cfRule>
  </conditionalFormatting>
  <conditionalFormatting sqref="L50:L51">
    <cfRule type="cellIs" dxfId="6928" priority="516" operator="equal">
      <formula>0</formula>
    </cfRule>
  </conditionalFormatting>
  <conditionalFormatting sqref="M52:M54 M70">
    <cfRule type="cellIs" dxfId="6927" priority="515" operator="equal">
      <formula>0</formula>
    </cfRule>
  </conditionalFormatting>
  <conditionalFormatting sqref="M50:M51">
    <cfRule type="cellIs" dxfId="6926" priority="514" operator="equal">
      <formula>0</formula>
    </cfRule>
  </conditionalFormatting>
  <conditionalFormatting sqref="N52:N54 N70">
    <cfRule type="cellIs" dxfId="6925" priority="513" operator="equal">
      <formula>0</formula>
    </cfRule>
  </conditionalFormatting>
  <conditionalFormatting sqref="N49:N51">
    <cfRule type="cellIs" dxfId="6924" priority="512" operator="equal">
      <formula>0</formula>
    </cfRule>
  </conditionalFormatting>
  <conditionalFormatting sqref="O52:O54 O70">
    <cfRule type="cellIs" dxfId="6923" priority="511" operator="equal">
      <formula>0</formula>
    </cfRule>
  </conditionalFormatting>
  <conditionalFormatting sqref="O49:O51">
    <cfRule type="cellIs" dxfId="6922" priority="510" operator="equal">
      <formula>0</formula>
    </cfRule>
  </conditionalFormatting>
  <conditionalFormatting sqref="P52:P54 P70">
    <cfRule type="cellIs" dxfId="6921" priority="509" operator="equal">
      <formula>0</formula>
    </cfRule>
  </conditionalFormatting>
  <conditionalFormatting sqref="P50:P51">
    <cfRule type="cellIs" dxfId="6920" priority="508" operator="equal">
      <formula>0</formula>
    </cfRule>
  </conditionalFormatting>
  <conditionalFormatting sqref="Q52:Q54 Q70">
    <cfRule type="cellIs" dxfId="6919" priority="507" operator="equal">
      <formula>0</formula>
    </cfRule>
  </conditionalFormatting>
  <conditionalFormatting sqref="Q50:Q51">
    <cfRule type="cellIs" dxfId="6918" priority="506" operator="equal">
      <formula>0</formula>
    </cfRule>
  </conditionalFormatting>
  <conditionalFormatting sqref="D78:F78 J78:T78">
    <cfRule type="cellIs" dxfId="6917" priority="505" operator="equal">
      <formula>0</formula>
    </cfRule>
  </conditionalFormatting>
  <conditionalFormatting sqref="D71:F79 D69:F69 D49:F55 N49:O49 R49:T49 J71:T79 J69:T69 J50:T55">
    <cfRule type="containsBlanks" dxfId="6916" priority="504">
      <formula>LEN(TRIM(D49))=0</formula>
    </cfRule>
  </conditionalFormatting>
  <conditionalFormatting sqref="D78:F78 J78:T78">
    <cfRule type="cellIs" dxfId="6915" priority="503" operator="equal">
      <formula>0</formula>
    </cfRule>
  </conditionalFormatting>
  <conditionalFormatting sqref="N52:N53">
    <cfRule type="cellIs" dxfId="6914" priority="502" operator="equal">
      <formula>0</formula>
    </cfRule>
  </conditionalFormatting>
  <conditionalFormatting sqref="O52:O53">
    <cfRule type="cellIs" dxfId="6913" priority="501" operator="equal">
      <formula>0</formula>
    </cfRule>
  </conditionalFormatting>
  <conditionalFormatting sqref="P52:Q52">
    <cfRule type="cellIs" dxfId="6912" priority="500" operator="equal">
      <formula>0</formula>
    </cfRule>
  </conditionalFormatting>
  <conditionalFormatting sqref="P53:Q53">
    <cfRule type="cellIs" dxfId="6911" priority="499" operator="equal">
      <formula>0</formula>
    </cfRule>
  </conditionalFormatting>
  <conditionalFormatting sqref="D57:F68 J57:T68">
    <cfRule type="cellIs" dxfId="6910" priority="498" operator="equal">
      <formula>0</formula>
    </cfRule>
  </conditionalFormatting>
  <conditionalFormatting sqref="D57:F68 J57:T68">
    <cfRule type="containsBlanks" dxfId="6909" priority="497">
      <formula>LEN(TRIM(D57))=0</formula>
    </cfRule>
  </conditionalFormatting>
  <conditionalFormatting sqref="J49">
    <cfRule type="cellIs" dxfId="6908" priority="496" operator="equal">
      <formula>0</formula>
    </cfRule>
  </conditionalFormatting>
  <conditionalFormatting sqref="K49">
    <cfRule type="cellIs" dxfId="6907" priority="495" operator="equal">
      <formula>0</formula>
    </cfRule>
  </conditionalFormatting>
  <conditionalFormatting sqref="L49:M49">
    <cfRule type="cellIs" dxfId="6906" priority="494" operator="equal">
      <formula>0</formula>
    </cfRule>
  </conditionalFormatting>
  <conditionalFormatting sqref="M49">
    <cfRule type="cellIs" dxfId="6905" priority="493" operator="equal">
      <formula>0</formula>
    </cfRule>
  </conditionalFormatting>
  <conditionalFormatting sqref="J49:M49">
    <cfRule type="containsBlanks" dxfId="6904" priority="492">
      <formula>LEN(TRIM(J49))=0</formula>
    </cfRule>
  </conditionalFormatting>
  <conditionalFormatting sqref="P49:Q49">
    <cfRule type="cellIs" dxfId="6903" priority="491" operator="equal">
      <formula>0</formula>
    </cfRule>
  </conditionalFormatting>
  <conditionalFormatting sqref="P49:Q49">
    <cfRule type="cellIs" dxfId="6902" priority="490" operator="equal">
      <formula>0</formula>
    </cfRule>
  </conditionalFormatting>
  <conditionalFormatting sqref="P49:Q49">
    <cfRule type="containsBlanks" dxfId="6901" priority="489">
      <formula>LEN(TRIM(P49))=0</formula>
    </cfRule>
  </conditionalFormatting>
  <conditionalFormatting sqref="D116:F116 R107:T107 D106:F114 D86:F93 N86:O86 R86:T86 J116:T116 J107:K107 J108:T114 J106:T106 J87:T93">
    <cfRule type="cellIs" dxfId="6900" priority="488" operator="equal">
      <formula>0</formula>
    </cfRule>
  </conditionalFormatting>
  <conditionalFormatting sqref="R86:R88">
    <cfRule type="cellIs" dxfId="6899" priority="487" operator="equal">
      <formula>0</formula>
    </cfRule>
  </conditionalFormatting>
  <conditionalFormatting sqref="R86:T86 N86:O86 D87:F88 J87:T88">
    <cfRule type="cellIs" dxfId="6898" priority="486" operator="equal">
      <formula>0</formula>
    </cfRule>
  </conditionalFormatting>
  <conditionalFormatting sqref="F87:F88">
    <cfRule type="cellIs" dxfId="6897" priority="485" operator="equal">
      <formula>0</formula>
    </cfRule>
  </conditionalFormatting>
  <conditionalFormatting sqref="N86:O86">
    <cfRule type="cellIs" dxfId="6896" priority="484" operator="equal">
      <formula>0</formula>
    </cfRule>
  </conditionalFormatting>
  <conditionalFormatting sqref="L89:L91 L107">
    <cfRule type="cellIs" dxfId="6895" priority="483" operator="equal">
      <formula>0</formula>
    </cfRule>
  </conditionalFormatting>
  <conditionalFormatting sqref="L87:L88">
    <cfRule type="cellIs" dxfId="6894" priority="482" operator="equal">
      <formula>0</formula>
    </cfRule>
  </conditionalFormatting>
  <conditionalFormatting sqref="M89:M91 M107">
    <cfRule type="cellIs" dxfId="6893" priority="481" operator="equal">
      <formula>0</formula>
    </cfRule>
  </conditionalFormatting>
  <conditionalFormatting sqref="M87:M88">
    <cfRule type="cellIs" dxfId="6892" priority="480" operator="equal">
      <formula>0</formula>
    </cfRule>
  </conditionalFormatting>
  <conditionalFormatting sqref="N89:N91 N107">
    <cfRule type="cellIs" dxfId="6891" priority="479" operator="equal">
      <formula>0</formula>
    </cfRule>
  </conditionalFormatting>
  <conditionalFormatting sqref="N86:N88">
    <cfRule type="cellIs" dxfId="6890" priority="478" operator="equal">
      <formula>0</formula>
    </cfRule>
  </conditionalFormatting>
  <conditionalFormatting sqref="O89:O91 O107">
    <cfRule type="cellIs" dxfId="6889" priority="477" operator="equal">
      <formula>0</formula>
    </cfRule>
  </conditionalFormatting>
  <conditionalFormatting sqref="O86:O88">
    <cfRule type="cellIs" dxfId="6888" priority="476" operator="equal">
      <formula>0</formula>
    </cfRule>
  </conditionalFormatting>
  <conditionalFormatting sqref="P89:P91 P107">
    <cfRule type="cellIs" dxfId="6887" priority="475" operator="equal">
      <formula>0</formula>
    </cfRule>
  </conditionalFormatting>
  <conditionalFormatting sqref="P87:P88">
    <cfRule type="cellIs" dxfId="6886" priority="474" operator="equal">
      <formula>0</formula>
    </cfRule>
  </conditionalFormatting>
  <conditionalFormatting sqref="Q89:Q91 Q107">
    <cfRule type="cellIs" dxfId="6885" priority="473" operator="equal">
      <formula>0</formula>
    </cfRule>
  </conditionalFormatting>
  <conditionalFormatting sqref="Q87:Q88">
    <cfRule type="cellIs" dxfId="6884" priority="472" operator="equal">
      <formula>0</formula>
    </cfRule>
  </conditionalFormatting>
  <conditionalFormatting sqref="D115:F115 J115:T115">
    <cfRule type="cellIs" dxfId="6883" priority="471" operator="equal">
      <formula>0</formula>
    </cfRule>
  </conditionalFormatting>
  <conditionalFormatting sqref="D108:F116 D106:F106 D86:F92 N86:O86 R86:T86 J108:T116 J106:T106 J87:T92">
    <cfRule type="containsBlanks" dxfId="6882" priority="470">
      <formula>LEN(TRIM(D86))=0</formula>
    </cfRule>
  </conditionalFormatting>
  <conditionalFormatting sqref="D115:F115 J115:T115">
    <cfRule type="cellIs" dxfId="6881" priority="469" operator="equal">
      <formula>0</formula>
    </cfRule>
  </conditionalFormatting>
  <conditionalFormatting sqref="N89:N90">
    <cfRule type="cellIs" dxfId="6880" priority="468" operator="equal">
      <formula>0</formula>
    </cfRule>
  </conditionalFormatting>
  <conditionalFormatting sqref="O89:O90">
    <cfRule type="cellIs" dxfId="6879" priority="467" operator="equal">
      <formula>0</formula>
    </cfRule>
  </conditionalFormatting>
  <conditionalFormatting sqref="P89:Q89">
    <cfRule type="cellIs" dxfId="6878" priority="466" operator="equal">
      <formula>0</formula>
    </cfRule>
  </conditionalFormatting>
  <conditionalFormatting sqref="P90:Q90">
    <cfRule type="cellIs" dxfId="6877" priority="465" operator="equal">
      <formula>0</formula>
    </cfRule>
  </conditionalFormatting>
  <conditionalFormatting sqref="D94:F105 J94:T105">
    <cfRule type="cellIs" dxfId="6876" priority="464" operator="equal">
      <formula>0</formula>
    </cfRule>
  </conditionalFormatting>
  <conditionalFormatting sqref="D94:F105 J94:T105">
    <cfRule type="containsBlanks" dxfId="6875" priority="463">
      <formula>LEN(TRIM(D94))=0</formula>
    </cfRule>
  </conditionalFormatting>
  <conditionalFormatting sqref="J86">
    <cfRule type="cellIs" dxfId="6874" priority="462" operator="equal">
      <formula>0</formula>
    </cfRule>
  </conditionalFormatting>
  <conditionalFormatting sqref="K86">
    <cfRule type="cellIs" dxfId="6873" priority="461" operator="equal">
      <formula>0</formula>
    </cfRule>
  </conditionalFormatting>
  <conditionalFormatting sqref="L86:M86">
    <cfRule type="cellIs" dxfId="6872" priority="460" operator="equal">
      <formula>0</formula>
    </cfRule>
  </conditionalFormatting>
  <conditionalFormatting sqref="M86">
    <cfRule type="cellIs" dxfId="6871" priority="459" operator="equal">
      <formula>0</formula>
    </cfRule>
  </conditionalFormatting>
  <conditionalFormatting sqref="J86:M86">
    <cfRule type="containsBlanks" dxfId="6870" priority="458">
      <formula>LEN(TRIM(J86))=0</formula>
    </cfRule>
  </conditionalFormatting>
  <conditionalFormatting sqref="P86:Q86">
    <cfRule type="cellIs" dxfId="6869" priority="457" operator="equal">
      <formula>0</formula>
    </cfRule>
  </conditionalFormatting>
  <conditionalFormatting sqref="P86:Q86">
    <cfRule type="cellIs" dxfId="6868" priority="456" operator="equal">
      <formula>0</formula>
    </cfRule>
  </conditionalFormatting>
  <conditionalFormatting sqref="P86:Q86">
    <cfRule type="containsBlanks" dxfId="6867" priority="455">
      <formula>LEN(TRIM(P86))=0</formula>
    </cfRule>
  </conditionalFormatting>
  <conditionalFormatting sqref="D153:F153 R144:T144 D143:F151 D123:F130 N123:O123 R123:T123 J153:T153 J144:K144 J145:T151 J143:T143 J124:T130">
    <cfRule type="cellIs" dxfId="6866" priority="454" operator="equal">
      <formula>0</formula>
    </cfRule>
  </conditionalFormatting>
  <conditionalFormatting sqref="R123:R125">
    <cfRule type="cellIs" dxfId="6865" priority="453" operator="equal">
      <formula>0</formula>
    </cfRule>
  </conditionalFormatting>
  <conditionalFormatting sqref="R123:T123 N123:O123 D124:F125 J124:T125">
    <cfRule type="cellIs" dxfId="6864" priority="452" operator="equal">
      <formula>0</formula>
    </cfRule>
  </conditionalFormatting>
  <conditionalFormatting sqref="F124:F125">
    <cfRule type="cellIs" dxfId="6863" priority="451" operator="equal">
      <formula>0</formula>
    </cfRule>
  </conditionalFormatting>
  <conditionalFormatting sqref="N123:O123">
    <cfRule type="cellIs" dxfId="6862" priority="450" operator="equal">
      <formula>0</formula>
    </cfRule>
  </conditionalFormatting>
  <conditionalFormatting sqref="L126:L128 L144">
    <cfRule type="cellIs" dxfId="6861" priority="449" operator="equal">
      <formula>0</formula>
    </cfRule>
  </conditionalFormatting>
  <conditionalFormatting sqref="L124:L125">
    <cfRule type="cellIs" dxfId="6860" priority="448" operator="equal">
      <formula>0</formula>
    </cfRule>
  </conditionalFormatting>
  <conditionalFormatting sqref="M126:M128 M144">
    <cfRule type="cellIs" dxfId="6859" priority="447" operator="equal">
      <formula>0</formula>
    </cfRule>
  </conditionalFormatting>
  <conditionalFormatting sqref="M124:M125">
    <cfRule type="cellIs" dxfId="6858" priority="446" operator="equal">
      <formula>0</formula>
    </cfRule>
  </conditionalFormatting>
  <conditionalFormatting sqref="N126:N128 N144">
    <cfRule type="cellIs" dxfId="6857" priority="445" operator="equal">
      <formula>0</formula>
    </cfRule>
  </conditionalFormatting>
  <conditionalFormatting sqref="N123:N125">
    <cfRule type="cellIs" dxfId="6856" priority="444" operator="equal">
      <formula>0</formula>
    </cfRule>
  </conditionalFormatting>
  <conditionalFormatting sqref="O126:O128 O144">
    <cfRule type="cellIs" dxfId="6855" priority="443" operator="equal">
      <formula>0</formula>
    </cfRule>
  </conditionalFormatting>
  <conditionalFormatting sqref="O123:O125">
    <cfRule type="cellIs" dxfId="6854" priority="442" operator="equal">
      <formula>0</formula>
    </cfRule>
  </conditionalFormatting>
  <conditionalFormatting sqref="P126:P128 P144">
    <cfRule type="cellIs" dxfId="6853" priority="441" operator="equal">
      <formula>0</formula>
    </cfRule>
  </conditionalFormatting>
  <conditionalFormatting sqref="P124:P125">
    <cfRule type="cellIs" dxfId="6852" priority="440" operator="equal">
      <formula>0</formula>
    </cfRule>
  </conditionalFormatting>
  <conditionalFormatting sqref="Q126:Q128 Q144">
    <cfRule type="cellIs" dxfId="6851" priority="439" operator="equal">
      <formula>0</formula>
    </cfRule>
  </conditionalFormatting>
  <conditionalFormatting sqref="Q124:Q125">
    <cfRule type="cellIs" dxfId="6850" priority="438" operator="equal">
      <formula>0</formula>
    </cfRule>
  </conditionalFormatting>
  <conditionalFormatting sqref="D152:F152 J152:T152">
    <cfRule type="cellIs" dxfId="6849" priority="437" operator="equal">
      <formula>0</formula>
    </cfRule>
  </conditionalFormatting>
  <conditionalFormatting sqref="D145:F153 D143:F143 D123:F129 N123:O123 R123:T123 J145:T153 J143:T143 J124:T129">
    <cfRule type="containsBlanks" dxfId="6848" priority="436">
      <formula>LEN(TRIM(D123))=0</formula>
    </cfRule>
  </conditionalFormatting>
  <conditionalFormatting sqref="D152:F152 J152:T152">
    <cfRule type="cellIs" dxfId="6847" priority="435" operator="equal">
      <formula>0</formula>
    </cfRule>
  </conditionalFormatting>
  <conditionalFormatting sqref="N126:N127">
    <cfRule type="cellIs" dxfId="6846" priority="434" operator="equal">
      <formula>0</formula>
    </cfRule>
  </conditionalFormatting>
  <conditionalFormatting sqref="O126:O127">
    <cfRule type="cellIs" dxfId="6845" priority="433" operator="equal">
      <formula>0</formula>
    </cfRule>
  </conditionalFormatting>
  <conditionalFormatting sqref="P126:Q126">
    <cfRule type="cellIs" dxfId="6844" priority="432" operator="equal">
      <formula>0</formula>
    </cfRule>
  </conditionalFormatting>
  <conditionalFormatting sqref="P127:Q127">
    <cfRule type="cellIs" dxfId="6843" priority="431" operator="equal">
      <formula>0</formula>
    </cfRule>
  </conditionalFormatting>
  <conditionalFormatting sqref="D131:F142 J131:T142">
    <cfRule type="cellIs" dxfId="6842" priority="430" operator="equal">
      <formula>0</formula>
    </cfRule>
  </conditionalFormatting>
  <conditionalFormatting sqref="D131:F142 J131:T142">
    <cfRule type="containsBlanks" dxfId="6841" priority="429">
      <formula>LEN(TRIM(D131))=0</formula>
    </cfRule>
  </conditionalFormatting>
  <conditionalFormatting sqref="J123">
    <cfRule type="cellIs" dxfId="6840" priority="428" operator="equal">
      <formula>0</formula>
    </cfRule>
  </conditionalFormatting>
  <conditionalFormatting sqref="K123">
    <cfRule type="cellIs" dxfId="6839" priority="427" operator="equal">
      <formula>0</formula>
    </cfRule>
  </conditionalFormatting>
  <conditionalFormatting sqref="L123:M123">
    <cfRule type="cellIs" dxfId="6838" priority="426" operator="equal">
      <formula>0</formula>
    </cfRule>
  </conditionalFormatting>
  <conditionalFormatting sqref="M123">
    <cfRule type="cellIs" dxfId="6837" priority="425" operator="equal">
      <formula>0</formula>
    </cfRule>
  </conditionalFormatting>
  <conditionalFormatting sqref="J123:M123">
    <cfRule type="containsBlanks" dxfId="6836" priority="424">
      <formula>LEN(TRIM(J123))=0</formula>
    </cfRule>
  </conditionalFormatting>
  <conditionalFormatting sqref="P123:Q123">
    <cfRule type="cellIs" dxfId="6835" priority="423" operator="equal">
      <formula>0</formula>
    </cfRule>
  </conditionalFormatting>
  <conditionalFormatting sqref="P123:Q123">
    <cfRule type="cellIs" dxfId="6834" priority="422" operator="equal">
      <formula>0</formula>
    </cfRule>
  </conditionalFormatting>
  <conditionalFormatting sqref="P123:Q123">
    <cfRule type="containsBlanks" dxfId="6833" priority="421">
      <formula>LEN(TRIM(P123))=0</formula>
    </cfRule>
  </conditionalFormatting>
  <conditionalFormatting sqref="D190:F190 R181:T181 D180:F188 D160:F167 N160:O160 R160:T160 J190:T190 J181:K181 J182:T188 J180:T180 J161:T167">
    <cfRule type="cellIs" dxfId="6832" priority="420" operator="equal">
      <formula>0</formula>
    </cfRule>
  </conditionalFormatting>
  <conditionalFormatting sqref="R160:R162">
    <cfRule type="cellIs" dxfId="6831" priority="419" operator="equal">
      <formula>0</formula>
    </cfRule>
  </conditionalFormatting>
  <conditionalFormatting sqref="R160:T160 N160:O160 D161:F162 J161:T162">
    <cfRule type="cellIs" dxfId="6830" priority="418" operator="equal">
      <formula>0</formula>
    </cfRule>
  </conditionalFormatting>
  <conditionalFormatting sqref="F161:F162">
    <cfRule type="cellIs" dxfId="6829" priority="417" operator="equal">
      <formula>0</formula>
    </cfRule>
  </conditionalFormatting>
  <conditionalFormatting sqref="N160:O160">
    <cfRule type="cellIs" dxfId="6828" priority="416" operator="equal">
      <formula>0</formula>
    </cfRule>
  </conditionalFormatting>
  <conditionalFormatting sqref="L163:L165 L181">
    <cfRule type="cellIs" dxfId="6827" priority="415" operator="equal">
      <formula>0</formula>
    </cfRule>
  </conditionalFormatting>
  <conditionalFormatting sqref="L161:L162">
    <cfRule type="cellIs" dxfId="6826" priority="414" operator="equal">
      <formula>0</formula>
    </cfRule>
  </conditionalFormatting>
  <conditionalFormatting sqref="M163:M165 M181">
    <cfRule type="cellIs" dxfId="6825" priority="413" operator="equal">
      <formula>0</formula>
    </cfRule>
  </conditionalFormatting>
  <conditionalFormatting sqref="M161:M162">
    <cfRule type="cellIs" dxfId="6824" priority="412" operator="equal">
      <formula>0</formula>
    </cfRule>
  </conditionalFormatting>
  <conditionalFormatting sqref="N163:N165 N181">
    <cfRule type="cellIs" dxfId="6823" priority="411" operator="equal">
      <formula>0</formula>
    </cfRule>
  </conditionalFormatting>
  <conditionalFormatting sqref="N160:N162">
    <cfRule type="cellIs" dxfId="6822" priority="410" operator="equal">
      <formula>0</formula>
    </cfRule>
  </conditionalFormatting>
  <conditionalFormatting sqref="O163:O165 O181">
    <cfRule type="cellIs" dxfId="6821" priority="409" operator="equal">
      <formula>0</formula>
    </cfRule>
  </conditionalFormatting>
  <conditionalFormatting sqref="O160:O162">
    <cfRule type="cellIs" dxfId="6820" priority="408" operator="equal">
      <formula>0</formula>
    </cfRule>
  </conditionalFormatting>
  <conditionalFormatting sqref="P163:P165 P181">
    <cfRule type="cellIs" dxfId="6819" priority="407" operator="equal">
      <formula>0</formula>
    </cfRule>
  </conditionalFormatting>
  <conditionalFormatting sqref="P161:P162">
    <cfRule type="cellIs" dxfId="6818" priority="406" operator="equal">
      <formula>0</formula>
    </cfRule>
  </conditionalFormatting>
  <conditionalFormatting sqref="Q163:Q165 Q181">
    <cfRule type="cellIs" dxfId="6817" priority="405" operator="equal">
      <formula>0</formula>
    </cfRule>
  </conditionalFormatting>
  <conditionalFormatting sqref="Q161:Q162">
    <cfRule type="cellIs" dxfId="6816" priority="404" operator="equal">
      <formula>0</formula>
    </cfRule>
  </conditionalFormatting>
  <conditionalFormatting sqref="D189:F189 J189:T189">
    <cfRule type="cellIs" dxfId="6815" priority="403" operator="equal">
      <formula>0</formula>
    </cfRule>
  </conditionalFormatting>
  <conditionalFormatting sqref="D182:F190 D180:F180 D160:F166 N160:O160 R160:T160 J182:T190 J180:T180 J161:T166">
    <cfRule type="containsBlanks" dxfId="6814" priority="402">
      <formula>LEN(TRIM(D160))=0</formula>
    </cfRule>
  </conditionalFormatting>
  <conditionalFormatting sqref="D189:F189 J189:T189">
    <cfRule type="cellIs" dxfId="6813" priority="401" operator="equal">
      <formula>0</formula>
    </cfRule>
  </conditionalFormatting>
  <conditionalFormatting sqref="N163:N164">
    <cfRule type="cellIs" dxfId="6812" priority="400" operator="equal">
      <formula>0</formula>
    </cfRule>
  </conditionalFormatting>
  <conditionalFormatting sqref="O163:O164">
    <cfRule type="cellIs" dxfId="6811" priority="399" operator="equal">
      <formula>0</formula>
    </cfRule>
  </conditionalFormatting>
  <conditionalFormatting sqref="P163:Q163">
    <cfRule type="cellIs" dxfId="6810" priority="398" operator="equal">
      <formula>0</formula>
    </cfRule>
  </conditionalFormatting>
  <conditionalFormatting sqref="P164:Q164">
    <cfRule type="cellIs" dxfId="6809" priority="397" operator="equal">
      <formula>0</formula>
    </cfRule>
  </conditionalFormatting>
  <conditionalFormatting sqref="D168:F179 J168:T179">
    <cfRule type="cellIs" dxfId="6808" priority="396" operator="equal">
      <formula>0</formula>
    </cfRule>
  </conditionalFormatting>
  <conditionalFormatting sqref="D168:F179 J168:T179">
    <cfRule type="containsBlanks" dxfId="6807" priority="395">
      <formula>LEN(TRIM(D168))=0</formula>
    </cfRule>
  </conditionalFormatting>
  <conditionalFormatting sqref="J160">
    <cfRule type="cellIs" dxfId="6806" priority="394" operator="equal">
      <formula>0</formula>
    </cfRule>
  </conditionalFormatting>
  <conditionalFormatting sqref="K160">
    <cfRule type="cellIs" dxfId="6805" priority="393" operator="equal">
      <formula>0</formula>
    </cfRule>
  </conditionalFormatting>
  <conditionalFormatting sqref="L160:M160">
    <cfRule type="cellIs" dxfId="6804" priority="392" operator="equal">
      <formula>0</formula>
    </cfRule>
  </conditionalFormatting>
  <conditionalFormatting sqref="M160">
    <cfRule type="cellIs" dxfId="6803" priority="391" operator="equal">
      <formula>0</formula>
    </cfRule>
  </conditionalFormatting>
  <conditionalFormatting sqref="J160:M160">
    <cfRule type="containsBlanks" dxfId="6802" priority="390">
      <formula>LEN(TRIM(J160))=0</formula>
    </cfRule>
  </conditionalFormatting>
  <conditionalFormatting sqref="P160:Q160">
    <cfRule type="cellIs" dxfId="6801" priority="389" operator="equal">
      <formula>0</formula>
    </cfRule>
  </conditionalFormatting>
  <conditionalFormatting sqref="P160:Q160">
    <cfRule type="cellIs" dxfId="6800" priority="388" operator="equal">
      <formula>0</formula>
    </cfRule>
  </conditionalFormatting>
  <conditionalFormatting sqref="P160:Q160">
    <cfRule type="containsBlanks" dxfId="6799" priority="387">
      <formula>LEN(TRIM(P160))=0</formula>
    </cfRule>
  </conditionalFormatting>
  <conditionalFormatting sqref="D227:F227 R218:T218 D217:F225 D197:F204 N197:O197 R197:T197 J227:T227 J218:K218 J219:T225 J217:T217 J198:T204">
    <cfRule type="cellIs" dxfId="6798" priority="386" operator="equal">
      <formula>0</formula>
    </cfRule>
  </conditionalFormatting>
  <conditionalFormatting sqref="R197:R199">
    <cfRule type="cellIs" dxfId="6797" priority="385" operator="equal">
      <formula>0</formula>
    </cfRule>
  </conditionalFormatting>
  <conditionalFormatting sqref="R197:T197 N197:O197 D198:F199 J198:T199">
    <cfRule type="cellIs" dxfId="6796" priority="384" operator="equal">
      <formula>0</formula>
    </cfRule>
  </conditionalFormatting>
  <conditionalFormatting sqref="F198:F199">
    <cfRule type="cellIs" dxfId="6795" priority="383" operator="equal">
      <formula>0</formula>
    </cfRule>
  </conditionalFormatting>
  <conditionalFormatting sqref="N197:O197">
    <cfRule type="cellIs" dxfId="6794" priority="382" operator="equal">
      <formula>0</formula>
    </cfRule>
  </conditionalFormatting>
  <conditionalFormatting sqref="L200:L202 L218">
    <cfRule type="cellIs" dxfId="6793" priority="381" operator="equal">
      <formula>0</formula>
    </cfRule>
  </conditionalFormatting>
  <conditionalFormatting sqref="L198:L199">
    <cfRule type="cellIs" dxfId="6792" priority="380" operator="equal">
      <formula>0</formula>
    </cfRule>
  </conditionalFormatting>
  <conditionalFormatting sqref="M200:M202 M218">
    <cfRule type="cellIs" dxfId="6791" priority="379" operator="equal">
      <formula>0</formula>
    </cfRule>
  </conditionalFormatting>
  <conditionalFormatting sqref="M198:M199">
    <cfRule type="cellIs" dxfId="6790" priority="378" operator="equal">
      <formula>0</formula>
    </cfRule>
  </conditionalFormatting>
  <conditionalFormatting sqref="N200:N202 N218">
    <cfRule type="cellIs" dxfId="6789" priority="377" operator="equal">
      <formula>0</formula>
    </cfRule>
  </conditionalFormatting>
  <conditionalFormatting sqref="N197:N199">
    <cfRule type="cellIs" dxfId="6788" priority="376" operator="equal">
      <formula>0</formula>
    </cfRule>
  </conditionalFormatting>
  <conditionalFormatting sqref="O200:O202 O218">
    <cfRule type="cellIs" dxfId="6787" priority="375" operator="equal">
      <formula>0</formula>
    </cfRule>
  </conditionalFormatting>
  <conditionalFormatting sqref="O197:O199">
    <cfRule type="cellIs" dxfId="6786" priority="374" operator="equal">
      <formula>0</formula>
    </cfRule>
  </conditionalFormatting>
  <conditionalFormatting sqref="P200:P202 P218">
    <cfRule type="cellIs" dxfId="6785" priority="373" operator="equal">
      <formula>0</formula>
    </cfRule>
  </conditionalFormatting>
  <conditionalFormatting sqref="P198:P199">
    <cfRule type="cellIs" dxfId="6784" priority="372" operator="equal">
      <formula>0</formula>
    </cfRule>
  </conditionalFormatting>
  <conditionalFormatting sqref="Q200:Q202 Q218">
    <cfRule type="cellIs" dxfId="6783" priority="371" operator="equal">
      <formula>0</formula>
    </cfRule>
  </conditionalFormatting>
  <conditionalFormatting sqref="Q198:Q199">
    <cfRule type="cellIs" dxfId="6782" priority="370" operator="equal">
      <formula>0</formula>
    </cfRule>
  </conditionalFormatting>
  <conditionalFormatting sqref="D226:F226 J226:T226">
    <cfRule type="cellIs" dxfId="6781" priority="369" operator="equal">
      <formula>0</formula>
    </cfRule>
  </conditionalFormatting>
  <conditionalFormatting sqref="D219:F227 D217:F217 D197:F203 N197:O197 R197:T197 J219:T227 J217:T217 J198:T203">
    <cfRule type="containsBlanks" dxfId="6780" priority="368">
      <formula>LEN(TRIM(D197))=0</formula>
    </cfRule>
  </conditionalFormatting>
  <conditionalFormatting sqref="D226:F226 J226:T226">
    <cfRule type="cellIs" dxfId="6779" priority="367" operator="equal">
      <formula>0</formula>
    </cfRule>
  </conditionalFormatting>
  <conditionalFormatting sqref="N200:N201">
    <cfRule type="cellIs" dxfId="6778" priority="366" operator="equal">
      <formula>0</formula>
    </cfRule>
  </conditionalFormatting>
  <conditionalFormatting sqref="O200:O201">
    <cfRule type="cellIs" dxfId="6777" priority="365" operator="equal">
      <formula>0</formula>
    </cfRule>
  </conditionalFormatting>
  <conditionalFormatting sqref="P200:Q200">
    <cfRule type="cellIs" dxfId="6776" priority="364" operator="equal">
      <formula>0</formula>
    </cfRule>
  </conditionalFormatting>
  <conditionalFormatting sqref="P201:Q201">
    <cfRule type="cellIs" dxfId="6775" priority="363" operator="equal">
      <formula>0</formula>
    </cfRule>
  </conditionalFormatting>
  <conditionalFormatting sqref="D205:F216 J205:T216">
    <cfRule type="cellIs" dxfId="6774" priority="362" operator="equal">
      <formula>0</formula>
    </cfRule>
  </conditionalFormatting>
  <conditionalFormatting sqref="D205:F216 J205:T216">
    <cfRule type="containsBlanks" dxfId="6773" priority="361">
      <formula>LEN(TRIM(D205))=0</formula>
    </cfRule>
  </conditionalFormatting>
  <conditionalFormatting sqref="J197">
    <cfRule type="cellIs" dxfId="6772" priority="360" operator="equal">
      <formula>0</formula>
    </cfRule>
  </conditionalFormatting>
  <conditionalFormatting sqref="K197">
    <cfRule type="cellIs" dxfId="6771" priority="359" operator="equal">
      <formula>0</formula>
    </cfRule>
  </conditionalFormatting>
  <conditionalFormatting sqref="L197:M197">
    <cfRule type="cellIs" dxfId="6770" priority="358" operator="equal">
      <formula>0</formula>
    </cfRule>
  </conditionalFormatting>
  <conditionalFormatting sqref="M197">
    <cfRule type="cellIs" dxfId="6769" priority="357" operator="equal">
      <formula>0</formula>
    </cfRule>
  </conditionalFormatting>
  <conditionalFormatting sqref="J197:M197">
    <cfRule type="containsBlanks" dxfId="6768" priority="356">
      <formula>LEN(TRIM(J197))=0</formula>
    </cfRule>
  </conditionalFormatting>
  <conditionalFormatting sqref="P197:Q197">
    <cfRule type="cellIs" dxfId="6767" priority="355" operator="equal">
      <formula>0</formula>
    </cfRule>
  </conditionalFormatting>
  <conditionalFormatting sqref="P197:Q197">
    <cfRule type="cellIs" dxfId="6766" priority="354" operator="equal">
      <formula>0</formula>
    </cfRule>
  </conditionalFormatting>
  <conditionalFormatting sqref="P197:Q197">
    <cfRule type="containsBlanks" dxfId="6765" priority="353">
      <formula>LEN(TRIM(P197))=0</formula>
    </cfRule>
  </conditionalFormatting>
  <conditionalFormatting sqref="D264:F264 R255:T255 D254:F262 D234:F241 N234:O234 R234:T234 J264:T264 J255:K255 J256:T262 J254:T254 J235:T241">
    <cfRule type="cellIs" dxfId="6764" priority="352" operator="equal">
      <formula>0</formula>
    </cfRule>
  </conditionalFormatting>
  <conditionalFormatting sqref="R234:R236">
    <cfRule type="cellIs" dxfId="6763" priority="351" operator="equal">
      <formula>0</formula>
    </cfRule>
  </conditionalFormatting>
  <conditionalFormatting sqref="R234:T234 N234:O234 D235:F236 J235:T236">
    <cfRule type="cellIs" dxfId="6762" priority="350" operator="equal">
      <formula>0</formula>
    </cfRule>
  </conditionalFormatting>
  <conditionalFormatting sqref="F235:F236">
    <cfRule type="cellIs" dxfId="6761" priority="349" operator="equal">
      <formula>0</formula>
    </cfRule>
  </conditionalFormatting>
  <conditionalFormatting sqref="N234:O234">
    <cfRule type="cellIs" dxfId="6760" priority="348" operator="equal">
      <formula>0</formula>
    </cfRule>
  </conditionalFormatting>
  <conditionalFormatting sqref="L237:L239 L255">
    <cfRule type="cellIs" dxfId="6759" priority="347" operator="equal">
      <formula>0</formula>
    </cfRule>
  </conditionalFormatting>
  <conditionalFormatting sqref="L235:L236">
    <cfRule type="cellIs" dxfId="6758" priority="346" operator="equal">
      <formula>0</formula>
    </cfRule>
  </conditionalFormatting>
  <conditionalFormatting sqref="M237:M239 M255">
    <cfRule type="cellIs" dxfId="6757" priority="345" operator="equal">
      <formula>0</formula>
    </cfRule>
  </conditionalFormatting>
  <conditionalFormatting sqref="M235:M236">
    <cfRule type="cellIs" dxfId="6756" priority="344" operator="equal">
      <formula>0</formula>
    </cfRule>
  </conditionalFormatting>
  <conditionalFormatting sqref="N237:N239 N255">
    <cfRule type="cellIs" dxfId="6755" priority="343" operator="equal">
      <formula>0</formula>
    </cfRule>
  </conditionalFormatting>
  <conditionalFormatting sqref="N234:N236">
    <cfRule type="cellIs" dxfId="6754" priority="342" operator="equal">
      <formula>0</formula>
    </cfRule>
  </conditionalFormatting>
  <conditionalFormatting sqref="O237:O239 O255">
    <cfRule type="cellIs" dxfId="6753" priority="341" operator="equal">
      <formula>0</formula>
    </cfRule>
  </conditionalFormatting>
  <conditionalFormatting sqref="O234:O236">
    <cfRule type="cellIs" dxfId="6752" priority="340" operator="equal">
      <formula>0</formula>
    </cfRule>
  </conditionalFormatting>
  <conditionalFormatting sqref="P237:P239 P255">
    <cfRule type="cellIs" dxfId="6751" priority="339" operator="equal">
      <formula>0</formula>
    </cfRule>
  </conditionalFormatting>
  <conditionalFormatting sqref="P235:P236">
    <cfRule type="cellIs" dxfId="6750" priority="338" operator="equal">
      <formula>0</formula>
    </cfRule>
  </conditionalFormatting>
  <conditionalFormatting sqref="Q237:Q239 Q255">
    <cfRule type="cellIs" dxfId="6749" priority="337" operator="equal">
      <formula>0</formula>
    </cfRule>
  </conditionalFormatting>
  <conditionalFormatting sqref="Q235:Q236">
    <cfRule type="cellIs" dxfId="6748" priority="336" operator="equal">
      <formula>0</formula>
    </cfRule>
  </conditionalFormatting>
  <conditionalFormatting sqref="D263:F263 J263:T263">
    <cfRule type="cellIs" dxfId="6747" priority="335" operator="equal">
      <formula>0</formula>
    </cfRule>
  </conditionalFormatting>
  <conditionalFormatting sqref="D256:F264 D254:F254 D234:F240 N234:O234 R234:T234 J256:T264 J254:T254 J235:T240">
    <cfRule type="containsBlanks" dxfId="6746" priority="334">
      <formula>LEN(TRIM(D234))=0</formula>
    </cfRule>
  </conditionalFormatting>
  <conditionalFormatting sqref="D263:F263 J263:T263">
    <cfRule type="cellIs" dxfId="6745" priority="333" operator="equal">
      <formula>0</formula>
    </cfRule>
  </conditionalFormatting>
  <conditionalFormatting sqref="N237:N238">
    <cfRule type="cellIs" dxfId="6744" priority="332" operator="equal">
      <formula>0</formula>
    </cfRule>
  </conditionalFormatting>
  <conditionalFormatting sqref="O237:O238">
    <cfRule type="cellIs" dxfId="6743" priority="331" operator="equal">
      <formula>0</formula>
    </cfRule>
  </conditionalFormatting>
  <conditionalFormatting sqref="P237:Q237">
    <cfRule type="cellIs" dxfId="6742" priority="330" operator="equal">
      <formula>0</formula>
    </cfRule>
  </conditionalFormatting>
  <conditionalFormatting sqref="P238:Q238">
    <cfRule type="cellIs" dxfId="6741" priority="329" operator="equal">
      <formula>0</formula>
    </cfRule>
  </conditionalFormatting>
  <conditionalFormatting sqref="D242:F253 J242:T253">
    <cfRule type="cellIs" dxfId="6740" priority="328" operator="equal">
      <formula>0</formula>
    </cfRule>
  </conditionalFormatting>
  <conditionalFormatting sqref="D242:F253 J242:T253">
    <cfRule type="containsBlanks" dxfId="6739" priority="327">
      <formula>LEN(TRIM(D242))=0</formula>
    </cfRule>
  </conditionalFormatting>
  <conditionalFormatting sqref="J234">
    <cfRule type="cellIs" dxfId="6738" priority="326" operator="equal">
      <formula>0</formula>
    </cfRule>
  </conditionalFormatting>
  <conditionalFormatting sqref="K234">
    <cfRule type="cellIs" dxfId="6737" priority="325" operator="equal">
      <formula>0</formula>
    </cfRule>
  </conditionalFormatting>
  <conditionalFormatting sqref="L234:M234">
    <cfRule type="cellIs" dxfId="6736" priority="324" operator="equal">
      <formula>0</formula>
    </cfRule>
  </conditionalFormatting>
  <conditionalFormatting sqref="M234">
    <cfRule type="cellIs" dxfId="6735" priority="323" operator="equal">
      <formula>0</formula>
    </cfRule>
  </conditionalFormatting>
  <conditionalFormatting sqref="J234:M234">
    <cfRule type="containsBlanks" dxfId="6734" priority="322">
      <formula>LEN(TRIM(J234))=0</formula>
    </cfRule>
  </conditionalFormatting>
  <conditionalFormatting sqref="P234:Q234">
    <cfRule type="cellIs" dxfId="6733" priority="321" operator="equal">
      <formula>0</formula>
    </cfRule>
  </conditionalFormatting>
  <conditionalFormatting sqref="P234:Q234">
    <cfRule type="cellIs" dxfId="6732" priority="320" operator="equal">
      <formula>0</formula>
    </cfRule>
  </conditionalFormatting>
  <conditionalFormatting sqref="P234:Q234">
    <cfRule type="containsBlanks" dxfId="6731" priority="319">
      <formula>LEN(TRIM(P234))=0</formula>
    </cfRule>
  </conditionalFormatting>
  <conditionalFormatting sqref="D301:F301 R292:T292 D291:F299 D271:F278 N271:O271 R271:T271 J301:T301 J292:K292 J293:T299 J291:T291 J272:T278">
    <cfRule type="cellIs" dxfId="6730" priority="318" operator="equal">
      <formula>0</formula>
    </cfRule>
  </conditionalFormatting>
  <conditionalFormatting sqref="R271:R273">
    <cfRule type="cellIs" dxfId="6729" priority="317" operator="equal">
      <formula>0</formula>
    </cfRule>
  </conditionalFormatting>
  <conditionalFormatting sqref="R271:T271 N271:O271 D272:F273 J272:T273">
    <cfRule type="cellIs" dxfId="6728" priority="316" operator="equal">
      <formula>0</formula>
    </cfRule>
  </conditionalFormatting>
  <conditionalFormatting sqref="F272:F273">
    <cfRule type="cellIs" dxfId="6727" priority="315" operator="equal">
      <formula>0</formula>
    </cfRule>
  </conditionalFormatting>
  <conditionalFormatting sqref="N271:O271">
    <cfRule type="cellIs" dxfId="6726" priority="314" operator="equal">
      <formula>0</formula>
    </cfRule>
  </conditionalFormatting>
  <conditionalFormatting sqref="L274:L276 L292">
    <cfRule type="cellIs" dxfId="6725" priority="313" operator="equal">
      <formula>0</formula>
    </cfRule>
  </conditionalFormatting>
  <conditionalFormatting sqref="L272:L273">
    <cfRule type="cellIs" dxfId="6724" priority="312" operator="equal">
      <formula>0</formula>
    </cfRule>
  </conditionalFormatting>
  <conditionalFormatting sqref="M274:M276 M292">
    <cfRule type="cellIs" dxfId="6723" priority="311" operator="equal">
      <formula>0</formula>
    </cfRule>
  </conditionalFormatting>
  <conditionalFormatting sqref="M272:M273">
    <cfRule type="cellIs" dxfId="6722" priority="310" operator="equal">
      <formula>0</formula>
    </cfRule>
  </conditionalFormatting>
  <conditionalFormatting sqref="N274:N276 N292">
    <cfRule type="cellIs" dxfId="6721" priority="309" operator="equal">
      <formula>0</formula>
    </cfRule>
  </conditionalFormatting>
  <conditionalFormatting sqref="N271:N273">
    <cfRule type="cellIs" dxfId="6720" priority="308" operator="equal">
      <formula>0</formula>
    </cfRule>
  </conditionalFormatting>
  <conditionalFormatting sqref="O274:O276 O292">
    <cfRule type="cellIs" dxfId="6719" priority="307" operator="equal">
      <formula>0</formula>
    </cfRule>
  </conditionalFormatting>
  <conditionalFormatting sqref="O271:O273">
    <cfRule type="cellIs" dxfId="6718" priority="306" operator="equal">
      <formula>0</formula>
    </cfRule>
  </conditionalFormatting>
  <conditionalFormatting sqref="P274:P276 P292">
    <cfRule type="cellIs" dxfId="6717" priority="305" operator="equal">
      <formula>0</formula>
    </cfRule>
  </conditionalFormatting>
  <conditionalFormatting sqref="P272:P273">
    <cfRule type="cellIs" dxfId="6716" priority="304" operator="equal">
      <formula>0</formula>
    </cfRule>
  </conditionalFormatting>
  <conditionalFormatting sqref="Q274:Q276 Q292">
    <cfRule type="cellIs" dxfId="6715" priority="303" operator="equal">
      <formula>0</formula>
    </cfRule>
  </conditionalFormatting>
  <conditionalFormatting sqref="Q272:Q273">
    <cfRule type="cellIs" dxfId="6714" priority="302" operator="equal">
      <formula>0</formula>
    </cfRule>
  </conditionalFormatting>
  <conditionalFormatting sqref="D300:F300 J300:T300">
    <cfRule type="cellIs" dxfId="6713" priority="301" operator="equal">
      <formula>0</formula>
    </cfRule>
  </conditionalFormatting>
  <conditionalFormatting sqref="D293:F301 D291:F291 D271:F277 N271:O271 R271:T271 J293:T301 J291:T291 J272:T277">
    <cfRule type="containsBlanks" dxfId="6712" priority="300">
      <formula>LEN(TRIM(D271))=0</formula>
    </cfRule>
  </conditionalFormatting>
  <conditionalFormatting sqref="D300:F300 J300:T300">
    <cfRule type="cellIs" dxfId="6711" priority="299" operator="equal">
      <formula>0</formula>
    </cfRule>
  </conditionalFormatting>
  <conditionalFormatting sqref="N274:N275">
    <cfRule type="cellIs" dxfId="6710" priority="298" operator="equal">
      <formula>0</formula>
    </cfRule>
  </conditionalFormatting>
  <conditionalFormatting sqref="O274:O275">
    <cfRule type="cellIs" dxfId="6709" priority="297" operator="equal">
      <formula>0</formula>
    </cfRule>
  </conditionalFormatting>
  <conditionalFormatting sqref="P274:Q274">
    <cfRule type="cellIs" dxfId="6708" priority="296" operator="equal">
      <formula>0</formula>
    </cfRule>
  </conditionalFormatting>
  <conditionalFormatting sqref="P275:Q275">
    <cfRule type="cellIs" dxfId="6707" priority="295" operator="equal">
      <formula>0</formula>
    </cfRule>
  </conditionalFormatting>
  <conditionalFormatting sqref="D279:F290 J279:T290">
    <cfRule type="cellIs" dxfId="6706" priority="294" operator="equal">
      <formula>0</formula>
    </cfRule>
  </conditionalFormatting>
  <conditionalFormatting sqref="D279:F290 J279:T290">
    <cfRule type="containsBlanks" dxfId="6705" priority="293">
      <formula>LEN(TRIM(D279))=0</formula>
    </cfRule>
  </conditionalFormatting>
  <conditionalFormatting sqref="J271">
    <cfRule type="cellIs" dxfId="6704" priority="292" operator="equal">
      <formula>0</formula>
    </cfRule>
  </conditionalFormatting>
  <conditionalFormatting sqref="K271">
    <cfRule type="cellIs" dxfId="6703" priority="291" operator="equal">
      <formula>0</formula>
    </cfRule>
  </conditionalFormatting>
  <conditionalFormatting sqref="L271:M271">
    <cfRule type="cellIs" dxfId="6702" priority="290" operator="equal">
      <formula>0</formula>
    </cfRule>
  </conditionalFormatting>
  <conditionalFormatting sqref="M271">
    <cfRule type="cellIs" dxfId="6701" priority="289" operator="equal">
      <formula>0</formula>
    </cfRule>
  </conditionalFormatting>
  <conditionalFormatting sqref="J271:M271">
    <cfRule type="containsBlanks" dxfId="6700" priority="288">
      <formula>LEN(TRIM(J271))=0</formula>
    </cfRule>
  </conditionalFormatting>
  <conditionalFormatting sqref="P271:Q271">
    <cfRule type="cellIs" dxfId="6699" priority="287" operator="equal">
      <formula>0</formula>
    </cfRule>
  </conditionalFormatting>
  <conditionalFormatting sqref="P271:Q271">
    <cfRule type="cellIs" dxfId="6698" priority="286" operator="equal">
      <formula>0</formula>
    </cfRule>
  </conditionalFormatting>
  <conditionalFormatting sqref="P271:Q271">
    <cfRule type="containsBlanks" dxfId="6697" priority="285">
      <formula>LEN(TRIM(P271))=0</formula>
    </cfRule>
  </conditionalFormatting>
  <conditionalFormatting sqref="D338:F338 R329:T329 D328:F336 D308:F315 N308:O308 R308:T308 J338:T338 J329:K329 J330:T336 J328:T328 J309:T315">
    <cfRule type="cellIs" dxfId="6696" priority="284" operator="equal">
      <formula>0</formula>
    </cfRule>
  </conditionalFormatting>
  <conditionalFormatting sqref="R308:R310">
    <cfRule type="cellIs" dxfId="6695" priority="283" operator="equal">
      <formula>0</formula>
    </cfRule>
  </conditionalFormatting>
  <conditionalFormatting sqref="R308:T308 N308:O308 D309:F310 J309:T310">
    <cfRule type="cellIs" dxfId="6694" priority="282" operator="equal">
      <formula>0</formula>
    </cfRule>
  </conditionalFormatting>
  <conditionalFormatting sqref="F309:F310">
    <cfRule type="cellIs" dxfId="6693" priority="281" operator="equal">
      <formula>0</formula>
    </cfRule>
  </conditionalFormatting>
  <conditionalFormatting sqref="N308:O308">
    <cfRule type="cellIs" dxfId="6692" priority="280" operator="equal">
      <formula>0</formula>
    </cfRule>
  </conditionalFormatting>
  <conditionalFormatting sqref="L311:L313 L329">
    <cfRule type="cellIs" dxfId="6691" priority="279" operator="equal">
      <formula>0</formula>
    </cfRule>
  </conditionalFormatting>
  <conditionalFormatting sqref="L309:L310">
    <cfRule type="cellIs" dxfId="6690" priority="278" operator="equal">
      <formula>0</formula>
    </cfRule>
  </conditionalFormatting>
  <conditionalFormatting sqref="M311:M313 M329">
    <cfRule type="cellIs" dxfId="6689" priority="277" operator="equal">
      <formula>0</formula>
    </cfRule>
  </conditionalFormatting>
  <conditionalFormatting sqref="M309:M310">
    <cfRule type="cellIs" dxfId="6688" priority="276" operator="equal">
      <formula>0</formula>
    </cfRule>
  </conditionalFormatting>
  <conditionalFormatting sqref="N311:N313 N329">
    <cfRule type="cellIs" dxfId="6687" priority="275" operator="equal">
      <formula>0</formula>
    </cfRule>
  </conditionalFormatting>
  <conditionalFormatting sqref="N308:N310">
    <cfRule type="cellIs" dxfId="6686" priority="274" operator="equal">
      <formula>0</formula>
    </cfRule>
  </conditionalFormatting>
  <conditionalFormatting sqref="O311:O313 O329">
    <cfRule type="cellIs" dxfId="6685" priority="273" operator="equal">
      <formula>0</formula>
    </cfRule>
  </conditionalFormatting>
  <conditionalFormatting sqref="O308:O310">
    <cfRule type="cellIs" dxfId="6684" priority="272" operator="equal">
      <formula>0</formula>
    </cfRule>
  </conditionalFormatting>
  <conditionalFormatting sqref="P311:P313 P329">
    <cfRule type="cellIs" dxfId="6683" priority="271" operator="equal">
      <formula>0</formula>
    </cfRule>
  </conditionalFormatting>
  <conditionalFormatting sqref="P309:P310">
    <cfRule type="cellIs" dxfId="6682" priority="270" operator="equal">
      <formula>0</formula>
    </cfRule>
  </conditionalFormatting>
  <conditionalFormatting sqref="Q311:Q313 Q329">
    <cfRule type="cellIs" dxfId="6681" priority="269" operator="equal">
      <formula>0</formula>
    </cfRule>
  </conditionalFormatting>
  <conditionalFormatting sqref="Q309:Q310">
    <cfRule type="cellIs" dxfId="6680" priority="268" operator="equal">
      <formula>0</formula>
    </cfRule>
  </conditionalFormatting>
  <conditionalFormatting sqref="D337:F337 J337:T337">
    <cfRule type="cellIs" dxfId="6679" priority="267" operator="equal">
      <formula>0</formula>
    </cfRule>
  </conditionalFormatting>
  <conditionalFormatting sqref="D330:F338 D328:F328 D308:F314 N308:O308 R308:T308 J330:T338 J328:T328 J309:T314">
    <cfRule type="containsBlanks" dxfId="6678" priority="266">
      <formula>LEN(TRIM(D308))=0</formula>
    </cfRule>
  </conditionalFormatting>
  <conditionalFormatting sqref="D337:F337 J337:T337">
    <cfRule type="cellIs" dxfId="6677" priority="265" operator="equal">
      <formula>0</formula>
    </cfRule>
  </conditionalFormatting>
  <conditionalFormatting sqref="N311:N312">
    <cfRule type="cellIs" dxfId="6676" priority="264" operator="equal">
      <formula>0</formula>
    </cfRule>
  </conditionalFormatting>
  <conditionalFormatting sqref="O311:O312">
    <cfRule type="cellIs" dxfId="6675" priority="263" operator="equal">
      <formula>0</formula>
    </cfRule>
  </conditionalFormatting>
  <conditionalFormatting sqref="P311:Q311">
    <cfRule type="cellIs" dxfId="6674" priority="262" operator="equal">
      <formula>0</formula>
    </cfRule>
  </conditionalFormatting>
  <conditionalFormatting sqref="P312:Q312">
    <cfRule type="cellIs" dxfId="6673" priority="261" operator="equal">
      <formula>0</formula>
    </cfRule>
  </conditionalFormatting>
  <conditionalFormatting sqref="D316:F327 J316:T327">
    <cfRule type="cellIs" dxfId="6672" priority="260" operator="equal">
      <formula>0</formula>
    </cfRule>
  </conditionalFormatting>
  <conditionalFormatting sqref="D316:F327 J316:T327">
    <cfRule type="containsBlanks" dxfId="6671" priority="259">
      <formula>LEN(TRIM(D316))=0</formula>
    </cfRule>
  </conditionalFormatting>
  <conditionalFormatting sqref="J308">
    <cfRule type="cellIs" dxfId="6670" priority="258" operator="equal">
      <formula>0</formula>
    </cfRule>
  </conditionalFormatting>
  <conditionalFormatting sqref="K308">
    <cfRule type="cellIs" dxfId="6669" priority="257" operator="equal">
      <formula>0</formula>
    </cfRule>
  </conditionalFormatting>
  <conditionalFormatting sqref="L308:M308">
    <cfRule type="cellIs" dxfId="6668" priority="256" operator="equal">
      <formula>0</formula>
    </cfRule>
  </conditionalFormatting>
  <conditionalFormatting sqref="M308">
    <cfRule type="cellIs" dxfId="6667" priority="255" operator="equal">
      <formula>0</formula>
    </cfRule>
  </conditionalFormatting>
  <conditionalFormatting sqref="J308:M308">
    <cfRule type="containsBlanks" dxfId="6666" priority="254">
      <formula>LEN(TRIM(J308))=0</formula>
    </cfRule>
  </conditionalFormatting>
  <conditionalFormatting sqref="P308:Q308">
    <cfRule type="cellIs" dxfId="6665" priority="253" operator="equal">
      <formula>0</formula>
    </cfRule>
  </conditionalFormatting>
  <conditionalFormatting sqref="P308:Q308">
    <cfRule type="cellIs" dxfId="6664" priority="252" operator="equal">
      <formula>0</formula>
    </cfRule>
  </conditionalFormatting>
  <conditionalFormatting sqref="P308:Q308">
    <cfRule type="containsBlanks" dxfId="6663" priority="251">
      <formula>LEN(TRIM(P308))=0</formula>
    </cfRule>
  </conditionalFormatting>
  <conditionalFormatting sqref="H12:H19 H32:H40 H42 G12">
    <cfRule type="cellIs" dxfId="6662" priority="225" operator="equal">
      <formula>0</formula>
    </cfRule>
  </conditionalFormatting>
  <conditionalFormatting sqref="H13:H14">
    <cfRule type="cellIs" dxfId="6661" priority="224" operator="equal">
      <formula>0</formula>
    </cfRule>
  </conditionalFormatting>
  <conditionalFormatting sqref="H41">
    <cfRule type="cellIs" dxfId="6660" priority="223" operator="equal">
      <formula>0</formula>
    </cfRule>
  </conditionalFormatting>
  <conditionalFormatting sqref="H12:H18 H32 H34:H42 G12">
    <cfRule type="containsBlanks" dxfId="6659" priority="222">
      <formula>LEN(TRIM(G12))=0</formula>
    </cfRule>
  </conditionalFormatting>
  <conditionalFormatting sqref="H41">
    <cfRule type="cellIs" dxfId="6658" priority="221" operator="equal">
      <formula>0</formula>
    </cfRule>
  </conditionalFormatting>
  <conditionalFormatting sqref="H20:H31">
    <cfRule type="cellIs" dxfId="6657" priority="220" operator="equal">
      <formula>0</formula>
    </cfRule>
  </conditionalFormatting>
  <conditionalFormatting sqref="H20:H31">
    <cfRule type="containsBlanks" dxfId="6656" priority="219">
      <formula>LEN(TRIM(H20))=0</formula>
    </cfRule>
  </conditionalFormatting>
  <conditionalFormatting sqref="G13:G19 G32:G40 G42">
    <cfRule type="cellIs" dxfId="6655" priority="218" operator="equal">
      <formula>0</formula>
    </cfRule>
  </conditionalFormatting>
  <conditionalFormatting sqref="G13:G14">
    <cfRule type="cellIs" dxfId="6654" priority="217" operator="equal">
      <formula>0</formula>
    </cfRule>
  </conditionalFormatting>
  <conditionalFormatting sqref="G13:G14">
    <cfRule type="cellIs" dxfId="6653" priority="216" operator="equal">
      <formula>0</formula>
    </cfRule>
  </conditionalFormatting>
  <conditionalFormatting sqref="G41">
    <cfRule type="cellIs" dxfId="6652" priority="215" operator="equal">
      <formula>0</formula>
    </cfRule>
  </conditionalFormatting>
  <conditionalFormatting sqref="G13:G18 G34:G42 G32">
    <cfRule type="containsBlanks" dxfId="6651" priority="214">
      <formula>LEN(TRIM(G13))=0</formula>
    </cfRule>
  </conditionalFormatting>
  <conditionalFormatting sqref="G41">
    <cfRule type="cellIs" dxfId="6650" priority="213" operator="equal">
      <formula>0</formula>
    </cfRule>
  </conditionalFormatting>
  <conditionalFormatting sqref="G20:G31">
    <cfRule type="cellIs" dxfId="6649" priority="212" operator="equal">
      <formula>0</formula>
    </cfRule>
  </conditionalFormatting>
  <conditionalFormatting sqref="G20:G31">
    <cfRule type="containsBlanks" dxfId="6648" priority="211">
      <formula>LEN(TRIM(G20))=0</formula>
    </cfRule>
  </conditionalFormatting>
  <conditionalFormatting sqref="I12">
    <cfRule type="cellIs" dxfId="6647" priority="210" operator="equal">
      <formula>0</formula>
    </cfRule>
  </conditionalFormatting>
  <conditionalFormatting sqref="I12">
    <cfRule type="containsBlanks" dxfId="6646" priority="209">
      <formula>LEN(TRIM(I12))=0</formula>
    </cfRule>
  </conditionalFormatting>
  <conditionalFormatting sqref="I13:I19 I32:I40 I42">
    <cfRule type="cellIs" dxfId="6645" priority="208" operator="equal">
      <formula>0</formula>
    </cfRule>
  </conditionalFormatting>
  <conditionalFormatting sqref="I13:I14">
    <cfRule type="cellIs" dxfId="6644" priority="207" operator="equal">
      <formula>0</formula>
    </cfRule>
  </conditionalFormatting>
  <conditionalFormatting sqref="I13:I14">
    <cfRule type="cellIs" dxfId="6643" priority="206" operator="equal">
      <formula>0</formula>
    </cfRule>
  </conditionalFormatting>
  <conditionalFormatting sqref="I41">
    <cfRule type="cellIs" dxfId="6642" priority="205" operator="equal">
      <formula>0</formula>
    </cfRule>
  </conditionalFormatting>
  <conditionalFormatting sqref="I13:I18 I34:I42 I32">
    <cfRule type="containsBlanks" dxfId="6641" priority="204">
      <formula>LEN(TRIM(I13))=0</formula>
    </cfRule>
  </conditionalFormatting>
  <conditionalFormatting sqref="I41">
    <cfRule type="cellIs" dxfId="6640" priority="203" operator="equal">
      <formula>0</formula>
    </cfRule>
  </conditionalFormatting>
  <conditionalFormatting sqref="I20:I31">
    <cfRule type="cellIs" dxfId="6639" priority="202" operator="equal">
      <formula>0</formula>
    </cfRule>
  </conditionalFormatting>
  <conditionalFormatting sqref="I20:I31">
    <cfRule type="containsBlanks" dxfId="6638" priority="201">
      <formula>LEN(TRIM(I20))=0</formula>
    </cfRule>
  </conditionalFormatting>
  <conditionalFormatting sqref="H49:H56 H69:H77 H79 G49">
    <cfRule type="cellIs" dxfId="6637" priority="200" operator="equal">
      <formula>0</formula>
    </cfRule>
  </conditionalFormatting>
  <conditionalFormatting sqref="H50:H51">
    <cfRule type="cellIs" dxfId="6636" priority="199" operator="equal">
      <formula>0</formula>
    </cfRule>
  </conditionalFormatting>
  <conditionalFormatting sqref="H78">
    <cfRule type="cellIs" dxfId="6635" priority="198" operator="equal">
      <formula>0</formula>
    </cfRule>
  </conditionalFormatting>
  <conditionalFormatting sqref="H49:H55 H69 H71:H79 G49">
    <cfRule type="containsBlanks" dxfId="6634" priority="197">
      <formula>LEN(TRIM(G49))=0</formula>
    </cfRule>
  </conditionalFormatting>
  <conditionalFormatting sqref="H78">
    <cfRule type="cellIs" dxfId="6633" priority="196" operator="equal">
      <formula>0</formula>
    </cfRule>
  </conditionalFormatting>
  <conditionalFormatting sqref="H57:H68">
    <cfRule type="cellIs" dxfId="6632" priority="195" operator="equal">
      <formula>0</formula>
    </cfRule>
  </conditionalFormatting>
  <conditionalFormatting sqref="H57:H68">
    <cfRule type="containsBlanks" dxfId="6631" priority="194">
      <formula>LEN(TRIM(H57))=0</formula>
    </cfRule>
  </conditionalFormatting>
  <conditionalFormatting sqref="G50:G56 G69:G77 G79">
    <cfRule type="cellIs" dxfId="6630" priority="193" operator="equal">
      <formula>0</formula>
    </cfRule>
  </conditionalFormatting>
  <conditionalFormatting sqref="G50:G51">
    <cfRule type="cellIs" dxfId="6629" priority="192" operator="equal">
      <formula>0</formula>
    </cfRule>
  </conditionalFormatting>
  <conditionalFormatting sqref="G50:G51">
    <cfRule type="cellIs" dxfId="6628" priority="191" operator="equal">
      <formula>0</formula>
    </cfRule>
  </conditionalFormatting>
  <conditionalFormatting sqref="G78">
    <cfRule type="cellIs" dxfId="6627" priority="190" operator="equal">
      <formula>0</formula>
    </cfRule>
  </conditionalFormatting>
  <conditionalFormatting sqref="G50:G55 G71:G79 G69">
    <cfRule type="containsBlanks" dxfId="6626" priority="189">
      <formula>LEN(TRIM(G50))=0</formula>
    </cfRule>
  </conditionalFormatting>
  <conditionalFormatting sqref="G78">
    <cfRule type="cellIs" dxfId="6625" priority="188" operator="equal">
      <formula>0</formula>
    </cfRule>
  </conditionalFormatting>
  <conditionalFormatting sqref="G57:G68">
    <cfRule type="cellIs" dxfId="6624" priority="187" operator="equal">
      <formula>0</formula>
    </cfRule>
  </conditionalFormatting>
  <conditionalFormatting sqref="G57:G68">
    <cfRule type="containsBlanks" dxfId="6623" priority="186">
      <formula>LEN(TRIM(G57))=0</formula>
    </cfRule>
  </conditionalFormatting>
  <conditionalFormatting sqref="I49">
    <cfRule type="cellIs" dxfId="6622" priority="185" operator="equal">
      <formula>0</formula>
    </cfRule>
  </conditionalFormatting>
  <conditionalFormatting sqref="I49">
    <cfRule type="containsBlanks" dxfId="6621" priority="184">
      <formula>LEN(TRIM(I49))=0</formula>
    </cfRule>
  </conditionalFormatting>
  <conditionalFormatting sqref="I50:I56 I69:I77 I79">
    <cfRule type="cellIs" dxfId="6620" priority="183" operator="equal">
      <formula>0</formula>
    </cfRule>
  </conditionalFormatting>
  <conditionalFormatting sqref="I50:I51">
    <cfRule type="cellIs" dxfId="6619" priority="182" operator="equal">
      <formula>0</formula>
    </cfRule>
  </conditionalFormatting>
  <conditionalFormatting sqref="I50:I51">
    <cfRule type="cellIs" dxfId="6618" priority="181" operator="equal">
      <formula>0</formula>
    </cfRule>
  </conditionalFormatting>
  <conditionalFormatting sqref="I78">
    <cfRule type="cellIs" dxfId="6617" priority="180" operator="equal">
      <formula>0</formula>
    </cfRule>
  </conditionalFormatting>
  <conditionalFormatting sqref="I50:I55 I71:I79 I69">
    <cfRule type="containsBlanks" dxfId="6616" priority="179">
      <formula>LEN(TRIM(I50))=0</formula>
    </cfRule>
  </conditionalFormatting>
  <conditionalFormatting sqref="I78">
    <cfRule type="cellIs" dxfId="6615" priority="178" operator="equal">
      <formula>0</formula>
    </cfRule>
  </conditionalFormatting>
  <conditionalFormatting sqref="I57:I68">
    <cfRule type="cellIs" dxfId="6614" priority="177" operator="equal">
      <formula>0</formula>
    </cfRule>
  </conditionalFormatting>
  <conditionalFormatting sqref="I57:I68">
    <cfRule type="containsBlanks" dxfId="6613" priority="176">
      <formula>LEN(TRIM(I57))=0</formula>
    </cfRule>
  </conditionalFormatting>
  <conditionalFormatting sqref="H86:H93 H106:H114 H116 G86">
    <cfRule type="cellIs" dxfId="6612" priority="175" operator="equal">
      <formula>0</formula>
    </cfRule>
  </conditionalFormatting>
  <conditionalFormatting sqref="H87:H88">
    <cfRule type="cellIs" dxfId="6611" priority="174" operator="equal">
      <formula>0</formula>
    </cfRule>
  </conditionalFormatting>
  <conditionalFormatting sqref="H115">
    <cfRule type="cellIs" dxfId="6610" priority="173" operator="equal">
      <formula>0</formula>
    </cfRule>
  </conditionalFormatting>
  <conditionalFormatting sqref="H86:H92 H106 H108:H116 G86">
    <cfRule type="containsBlanks" dxfId="6609" priority="172">
      <formula>LEN(TRIM(G86))=0</formula>
    </cfRule>
  </conditionalFormatting>
  <conditionalFormatting sqref="H115">
    <cfRule type="cellIs" dxfId="6608" priority="171" operator="equal">
      <formula>0</formula>
    </cfRule>
  </conditionalFormatting>
  <conditionalFormatting sqref="H94:H105">
    <cfRule type="cellIs" dxfId="6607" priority="170" operator="equal">
      <formula>0</formula>
    </cfRule>
  </conditionalFormatting>
  <conditionalFormatting sqref="H94:H105">
    <cfRule type="containsBlanks" dxfId="6606" priority="169">
      <formula>LEN(TRIM(H94))=0</formula>
    </cfRule>
  </conditionalFormatting>
  <conditionalFormatting sqref="G87:G93 G106:G114 G116">
    <cfRule type="cellIs" dxfId="6605" priority="168" operator="equal">
      <formula>0</formula>
    </cfRule>
  </conditionalFormatting>
  <conditionalFormatting sqref="G87:G88">
    <cfRule type="cellIs" dxfId="6604" priority="167" operator="equal">
      <formula>0</formula>
    </cfRule>
  </conditionalFormatting>
  <conditionalFormatting sqref="G87:G88">
    <cfRule type="cellIs" dxfId="6603" priority="166" operator="equal">
      <formula>0</formula>
    </cfRule>
  </conditionalFormatting>
  <conditionalFormatting sqref="G115">
    <cfRule type="cellIs" dxfId="6602" priority="165" operator="equal">
      <formula>0</formula>
    </cfRule>
  </conditionalFormatting>
  <conditionalFormatting sqref="G87:G92 G108:G116 G106">
    <cfRule type="containsBlanks" dxfId="6601" priority="164">
      <formula>LEN(TRIM(G87))=0</formula>
    </cfRule>
  </conditionalFormatting>
  <conditionalFormatting sqref="G115">
    <cfRule type="cellIs" dxfId="6600" priority="163" operator="equal">
      <formula>0</formula>
    </cfRule>
  </conditionalFormatting>
  <conditionalFormatting sqref="G94:G105">
    <cfRule type="cellIs" dxfId="6599" priority="162" operator="equal">
      <formula>0</formula>
    </cfRule>
  </conditionalFormatting>
  <conditionalFormatting sqref="G94:G105">
    <cfRule type="containsBlanks" dxfId="6598" priority="161">
      <formula>LEN(TRIM(G94))=0</formula>
    </cfRule>
  </conditionalFormatting>
  <conditionalFormatting sqref="I86">
    <cfRule type="cellIs" dxfId="6597" priority="160" operator="equal">
      <formula>0</formula>
    </cfRule>
  </conditionalFormatting>
  <conditionalFormatting sqref="I86">
    <cfRule type="containsBlanks" dxfId="6596" priority="159">
      <formula>LEN(TRIM(I86))=0</formula>
    </cfRule>
  </conditionalFormatting>
  <conditionalFormatting sqref="I87:I93 I106:I114 I116">
    <cfRule type="cellIs" dxfId="6595" priority="158" operator="equal">
      <formula>0</formula>
    </cfRule>
  </conditionalFormatting>
  <conditionalFormatting sqref="I87:I88">
    <cfRule type="cellIs" dxfId="6594" priority="157" operator="equal">
      <formula>0</formula>
    </cfRule>
  </conditionalFormatting>
  <conditionalFormatting sqref="I87:I88">
    <cfRule type="cellIs" dxfId="6593" priority="156" operator="equal">
      <formula>0</formula>
    </cfRule>
  </conditionalFormatting>
  <conditionalFormatting sqref="I115">
    <cfRule type="cellIs" dxfId="6592" priority="155" operator="equal">
      <formula>0</formula>
    </cfRule>
  </conditionalFormatting>
  <conditionalFormatting sqref="I87:I92 I108:I116 I106">
    <cfRule type="containsBlanks" dxfId="6591" priority="154">
      <formula>LEN(TRIM(I87))=0</formula>
    </cfRule>
  </conditionalFormatting>
  <conditionalFormatting sqref="I115">
    <cfRule type="cellIs" dxfId="6590" priority="153" operator="equal">
      <formula>0</formula>
    </cfRule>
  </conditionalFormatting>
  <conditionalFormatting sqref="I94:I105">
    <cfRule type="cellIs" dxfId="6589" priority="152" operator="equal">
      <formula>0</formula>
    </cfRule>
  </conditionalFormatting>
  <conditionalFormatting sqref="I94:I105">
    <cfRule type="containsBlanks" dxfId="6588" priority="151">
      <formula>LEN(TRIM(I94))=0</formula>
    </cfRule>
  </conditionalFormatting>
  <conditionalFormatting sqref="H123:H130 H143:H151 H153 G123">
    <cfRule type="cellIs" dxfId="6587" priority="150" operator="equal">
      <formula>0</formula>
    </cfRule>
  </conditionalFormatting>
  <conditionalFormatting sqref="H124:H125">
    <cfRule type="cellIs" dxfId="6586" priority="149" operator="equal">
      <formula>0</formula>
    </cfRule>
  </conditionalFormatting>
  <conditionalFormatting sqref="H152">
    <cfRule type="cellIs" dxfId="6585" priority="148" operator="equal">
      <formula>0</formula>
    </cfRule>
  </conditionalFormatting>
  <conditionalFormatting sqref="H123:H129 H143 H145:H153 G123">
    <cfRule type="containsBlanks" dxfId="6584" priority="147">
      <formula>LEN(TRIM(G123))=0</formula>
    </cfRule>
  </conditionalFormatting>
  <conditionalFormatting sqref="H152">
    <cfRule type="cellIs" dxfId="6583" priority="146" operator="equal">
      <formula>0</formula>
    </cfRule>
  </conditionalFormatting>
  <conditionalFormatting sqref="H131:H142">
    <cfRule type="cellIs" dxfId="6582" priority="145" operator="equal">
      <formula>0</formula>
    </cfRule>
  </conditionalFormatting>
  <conditionalFormatting sqref="H131:H142">
    <cfRule type="containsBlanks" dxfId="6581" priority="144">
      <formula>LEN(TRIM(H131))=0</formula>
    </cfRule>
  </conditionalFormatting>
  <conditionalFormatting sqref="G124:G130 G143:G151 G153">
    <cfRule type="cellIs" dxfId="6580" priority="143" operator="equal">
      <formula>0</formula>
    </cfRule>
  </conditionalFormatting>
  <conditionalFormatting sqref="G124:G125">
    <cfRule type="cellIs" dxfId="6579" priority="142" operator="equal">
      <formula>0</formula>
    </cfRule>
  </conditionalFormatting>
  <conditionalFormatting sqref="G124:G125">
    <cfRule type="cellIs" dxfId="6578" priority="141" operator="equal">
      <formula>0</formula>
    </cfRule>
  </conditionalFormatting>
  <conditionalFormatting sqref="G152">
    <cfRule type="cellIs" dxfId="6577" priority="140" operator="equal">
      <formula>0</formula>
    </cfRule>
  </conditionalFormatting>
  <conditionalFormatting sqref="G124:G129 G145:G153 G143">
    <cfRule type="containsBlanks" dxfId="6576" priority="139">
      <formula>LEN(TRIM(G124))=0</formula>
    </cfRule>
  </conditionalFormatting>
  <conditionalFormatting sqref="G152">
    <cfRule type="cellIs" dxfId="6575" priority="138" operator="equal">
      <formula>0</formula>
    </cfRule>
  </conditionalFormatting>
  <conditionalFormatting sqref="G131:G142">
    <cfRule type="cellIs" dxfId="6574" priority="137" operator="equal">
      <formula>0</formula>
    </cfRule>
  </conditionalFormatting>
  <conditionalFormatting sqref="G131:G142">
    <cfRule type="containsBlanks" dxfId="6573" priority="136">
      <formula>LEN(TRIM(G131))=0</formula>
    </cfRule>
  </conditionalFormatting>
  <conditionalFormatting sqref="I123">
    <cfRule type="cellIs" dxfId="6572" priority="135" operator="equal">
      <formula>0</formula>
    </cfRule>
  </conditionalFormatting>
  <conditionalFormatting sqref="I123">
    <cfRule type="containsBlanks" dxfId="6571" priority="134">
      <formula>LEN(TRIM(I123))=0</formula>
    </cfRule>
  </conditionalFormatting>
  <conditionalFormatting sqref="I124:I130 I143:I151 I153">
    <cfRule type="cellIs" dxfId="6570" priority="133" operator="equal">
      <formula>0</formula>
    </cfRule>
  </conditionalFormatting>
  <conditionalFormatting sqref="I124:I125">
    <cfRule type="cellIs" dxfId="6569" priority="132" operator="equal">
      <formula>0</formula>
    </cfRule>
  </conditionalFormatting>
  <conditionalFormatting sqref="I124:I125">
    <cfRule type="cellIs" dxfId="6568" priority="131" operator="equal">
      <formula>0</formula>
    </cfRule>
  </conditionalFormatting>
  <conditionalFormatting sqref="I152">
    <cfRule type="cellIs" dxfId="6567" priority="130" operator="equal">
      <formula>0</formula>
    </cfRule>
  </conditionalFormatting>
  <conditionalFormatting sqref="I124:I129 I145:I153 I143">
    <cfRule type="containsBlanks" dxfId="6566" priority="129">
      <formula>LEN(TRIM(I124))=0</formula>
    </cfRule>
  </conditionalFormatting>
  <conditionalFormatting sqref="I152">
    <cfRule type="cellIs" dxfId="6565" priority="128" operator="equal">
      <formula>0</formula>
    </cfRule>
  </conditionalFormatting>
  <conditionalFormatting sqref="I131:I142">
    <cfRule type="cellIs" dxfId="6564" priority="127" operator="equal">
      <formula>0</formula>
    </cfRule>
  </conditionalFormatting>
  <conditionalFormatting sqref="I131:I142">
    <cfRule type="containsBlanks" dxfId="6563" priority="126">
      <formula>LEN(TRIM(I131))=0</formula>
    </cfRule>
  </conditionalFormatting>
  <conditionalFormatting sqref="H160:H167 H180:H188 H190 G160">
    <cfRule type="cellIs" dxfId="6562" priority="125" operator="equal">
      <formula>0</formula>
    </cfRule>
  </conditionalFormatting>
  <conditionalFormatting sqref="H161:H162">
    <cfRule type="cellIs" dxfId="6561" priority="124" operator="equal">
      <formula>0</formula>
    </cfRule>
  </conditionalFormatting>
  <conditionalFormatting sqref="H189">
    <cfRule type="cellIs" dxfId="6560" priority="123" operator="equal">
      <formula>0</formula>
    </cfRule>
  </conditionalFormatting>
  <conditionalFormatting sqref="H160:H166 H180 H182:H190 G160">
    <cfRule type="containsBlanks" dxfId="6559" priority="122">
      <formula>LEN(TRIM(G160))=0</formula>
    </cfRule>
  </conditionalFormatting>
  <conditionalFormatting sqref="H189">
    <cfRule type="cellIs" dxfId="6558" priority="121" operator="equal">
      <formula>0</formula>
    </cfRule>
  </conditionalFormatting>
  <conditionalFormatting sqref="H168:H179">
    <cfRule type="cellIs" dxfId="6557" priority="120" operator="equal">
      <formula>0</formula>
    </cfRule>
  </conditionalFormatting>
  <conditionalFormatting sqref="H168:H179">
    <cfRule type="containsBlanks" dxfId="6556" priority="119">
      <formula>LEN(TRIM(H168))=0</formula>
    </cfRule>
  </conditionalFormatting>
  <conditionalFormatting sqref="G161:G167 G180:G188 G190">
    <cfRule type="cellIs" dxfId="6555" priority="118" operator="equal">
      <formula>0</formula>
    </cfRule>
  </conditionalFormatting>
  <conditionalFormatting sqref="G161:G162">
    <cfRule type="cellIs" dxfId="6554" priority="117" operator="equal">
      <formula>0</formula>
    </cfRule>
  </conditionalFormatting>
  <conditionalFormatting sqref="G161:G162">
    <cfRule type="cellIs" dxfId="6553" priority="116" operator="equal">
      <formula>0</formula>
    </cfRule>
  </conditionalFormatting>
  <conditionalFormatting sqref="G189">
    <cfRule type="cellIs" dxfId="6552" priority="115" operator="equal">
      <formula>0</formula>
    </cfRule>
  </conditionalFormatting>
  <conditionalFormatting sqref="G161:G166 G182:G190 G180">
    <cfRule type="containsBlanks" dxfId="6551" priority="114">
      <formula>LEN(TRIM(G161))=0</formula>
    </cfRule>
  </conditionalFormatting>
  <conditionalFormatting sqref="G189">
    <cfRule type="cellIs" dxfId="6550" priority="113" operator="equal">
      <formula>0</formula>
    </cfRule>
  </conditionalFormatting>
  <conditionalFormatting sqref="G168:G179">
    <cfRule type="cellIs" dxfId="6549" priority="112" operator="equal">
      <formula>0</formula>
    </cfRule>
  </conditionalFormatting>
  <conditionalFormatting sqref="G168:G179">
    <cfRule type="containsBlanks" dxfId="6548" priority="111">
      <formula>LEN(TRIM(G168))=0</formula>
    </cfRule>
  </conditionalFormatting>
  <conditionalFormatting sqref="I160">
    <cfRule type="cellIs" dxfId="6547" priority="110" operator="equal">
      <formula>0</formula>
    </cfRule>
  </conditionalFormatting>
  <conditionalFormatting sqref="I160">
    <cfRule type="containsBlanks" dxfId="6546" priority="109">
      <formula>LEN(TRIM(I160))=0</formula>
    </cfRule>
  </conditionalFormatting>
  <conditionalFormatting sqref="I161:I167 I180:I188 I190">
    <cfRule type="cellIs" dxfId="6545" priority="108" operator="equal">
      <formula>0</formula>
    </cfRule>
  </conditionalFormatting>
  <conditionalFormatting sqref="I161:I162">
    <cfRule type="cellIs" dxfId="6544" priority="107" operator="equal">
      <formula>0</formula>
    </cfRule>
  </conditionalFormatting>
  <conditionalFormatting sqref="I161:I162">
    <cfRule type="cellIs" dxfId="6543" priority="106" operator="equal">
      <formula>0</formula>
    </cfRule>
  </conditionalFormatting>
  <conditionalFormatting sqref="I189">
    <cfRule type="cellIs" dxfId="6542" priority="105" operator="equal">
      <formula>0</formula>
    </cfRule>
  </conditionalFormatting>
  <conditionalFormatting sqref="I161:I166 I182:I190 I180">
    <cfRule type="containsBlanks" dxfId="6541" priority="104">
      <formula>LEN(TRIM(I161))=0</formula>
    </cfRule>
  </conditionalFormatting>
  <conditionalFormatting sqref="I189">
    <cfRule type="cellIs" dxfId="6540" priority="103" operator="equal">
      <formula>0</formula>
    </cfRule>
  </conditionalFormatting>
  <conditionalFormatting sqref="I168:I179">
    <cfRule type="cellIs" dxfId="6539" priority="102" operator="equal">
      <formula>0</formula>
    </cfRule>
  </conditionalFormatting>
  <conditionalFormatting sqref="I168:I179">
    <cfRule type="containsBlanks" dxfId="6538" priority="101">
      <formula>LEN(TRIM(I168))=0</formula>
    </cfRule>
  </conditionalFormatting>
  <conditionalFormatting sqref="H197:H204 H217:H225 H227 G197">
    <cfRule type="cellIs" dxfId="6537" priority="100" operator="equal">
      <formula>0</formula>
    </cfRule>
  </conditionalFormatting>
  <conditionalFormatting sqref="H198:H199">
    <cfRule type="cellIs" dxfId="6536" priority="99" operator="equal">
      <formula>0</formula>
    </cfRule>
  </conditionalFormatting>
  <conditionalFormatting sqref="H226">
    <cfRule type="cellIs" dxfId="6535" priority="98" operator="equal">
      <formula>0</formula>
    </cfRule>
  </conditionalFormatting>
  <conditionalFormatting sqref="H197:H203 H217 H219:H227 G197">
    <cfRule type="containsBlanks" dxfId="6534" priority="97">
      <formula>LEN(TRIM(G197))=0</formula>
    </cfRule>
  </conditionalFormatting>
  <conditionalFormatting sqref="H226">
    <cfRule type="cellIs" dxfId="6533" priority="96" operator="equal">
      <formula>0</formula>
    </cfRule>
  </conditionalFormatting>
  <conditionalFormatting sqref="H205:H216">
    <cfRule type="cellIs" dxfId="6532" priority="95" operator="equal">
      <formula>0</formula>
    </cfRule>
  </conditionalFormatting>
  <conditionalFormatting sqref="H205:H216">
    <cfRule type="containsBlanks" dxfId="6531" priority="94">
      <formula>LEN(TRIM(H205))=0</formula>
    </cfRule>
  </conditionalFormatting>
  <conditionalFormatting sqref="G198:G204 G217:G225 G227">
    <cfRule type="cellIs" dxfId="6530" priority="93" operator="equal">
      <formula>0</formula>
    </cfRule>
  </conditionalFormatting>
  <conditionalFormatting sqref="G198:G199">
    <cfRule type="cellIs" dxfId="6529" priority="92" operator="equal">
      <formula>0</formula>
    </cfRule>
  </conditionalFormatting>
  <conditionalFormatting sqref="G198:G199">
    <cfRule type="cellIs" dxfId="6528" priority="91" operator="equal">
      <formula>0</formula>
    </cfRule>
  </conditionalFormatting>
  <conditionalFormatting sqref="G226">
    <cfRule type="cellIs" dxfId="6527" priority="90" operator="equal">
      <formula>0</formula>
    </cfRule>
  </conditionalFormatting>
  <conditionalFormatting sqref="G198:G203 G219:G227 G217">
    <cfRule type="containsBlanks" dxfId="6526" priority="89">
      <formula>LEN(TRIM(G198))=0</formula>
    </cfRule>
  </conditionalFormatting>
  <conditionalFormatting sqref="G226">
    <cfRule type="cellIs" dxfId="6525" priority="88" operator="equal">
      <formula>0</formula>
    </cfRule>
  </conditionalFormatting>
  <conditionalFormatting sqref="G205:G216">
    <cfRule type="cellIs" dxfId="6524" priority="87" operator="equal">
      <formula>0</formula>
    </cfRule>
  </conditionalFormatting>
  <conditionalFormatting sqref="G205:G216">
    <cfRule type="containsBlanks" dxfId="6523" priority="86">
      <formula>LEN(TRIM(G205))=0</formula>
    </cfRule>
  </conditionalFormatting>
  <conditionalFormatting sqref="I197">
    <cfRule type="cellIs" dxfId="6522" priority="85" operator="equal">
      <formula>0</formula>
    </cfRule>
  </conditionalFormatting>
  <conditionalFormatting sqref="I197">
    <cfRule type="containsBlanks" dxfId="6521" priority="84">
      <formula>LEN(TRIM(I197))=0</formula>
    </cfRule>
  </conditionalFormatting>
  <conditionalFormatting sqref="I198:I204 I217:I225 I227">
    <cfRule type="cellIs" dxfId="6520" priority="83" operator="equal">
      <formula>0</formula>
    </cfRule>
  </conditionalFormatting>
  <conditionalFormatting sqref="I198:I199">
    <cfRule type="cellIs" dxfId="6519" priority="82" operator="equal">
      <formula>0</formula>
    </cfRule>
  </conditionalFormatting>
  <conditionalFormatting sqref="I198:I199">
    <cfRule type="cellIs" dxfId="6518" priority="81" operator="equal">
      <formula>0</formula>
    </cfRule>
  </conditionalFormatting>
  <conditionalFormatting sqref="I226">
    <cfRule type="cellIs" dxfId="6517" priority="80" operator="equal">
      <formula>0</formula>
    </cfRule>
  </conditionalFormatting>
  <conditionalFormatting sqref="I198:I203 I219:I227 I217">
    <cfRule type="containsBlanks" dxfId="6516" priority="79">
      <formula>LEN(TRIM(I198))=0</formula>
    </cfRule>
  </conditionalFormatting>
  <conditionalFormatting sqref="I226">
    <cfRule type="cellIs" dxfId="6515" priority="78" operator="equal">
      <formula>0</formula>
    </cfRule>
  </conditionalFormatting>
  <conditionalFormatting sqref="I205:I216">
    <cfRule type="cellIs" dxfId="6514" priority="77" operator="equal">
      <formula>0</formula>
    </cfRule>
  </conditionalFormatting>
  <conditionalFormatting sqref="I205:I216">
    <cfRule type="containsBlanks" dxfId="6513" priority="76">
      <formula>LEN(TRIM(I205))=0</formula>
    </cfRule>
  </conditionalFormatting>
  <conditionalFormatting sqref="H234:H241 H254:H262 H264 G234">
    <cfRule type="cellIs" dxfId="6512" priority="75" operator="equal">
      <formula>0</formula>
    </cfRule>
  </conditionalFormatting>
  <conditionalFormatting sqref="H235:H236">
    <cfRule type="cellIs" dxfId="6511" priority="74" operator="equal">
      <formula>0</formula>
    </cfRule>
  </conditionalFormatting>
  <conditionalFormatting sqref="H263">
    <cfRule type="cellIs" dxfId="6510" priority="73" operator="equal">
      <formula>0</formula>
    </cfRule>
  </conditionalFormatting>
  <conditionalFormatting sqref="H234:H240 H254 H256:H264 G234">
    <cfRule type="containsBlanks" dxfId="6509" priority="72">
      <formula>LEN(TRIM(G234))=0</formula>
    </cfRule>
  </conditionalFormatting>
  <conditionalFormatting sqref="H263">
    <cfRule type="cellIs" dxfId="6508" priority="71" operator="equal">
      <formula>0</formula>
    </cfRule>
  </conditionalFormatting>
  <conditionalFormatting sqref="H242:H253">
    <cfRule type="cellIs" dxfId="6507" priority="70" operator="equal">
      <formula>0</formula>
    </cfRule>
  </conditionalFormatting>
  <conditionalFormatting sqref="H242:H253">
    <cfRule type="containsBlanks" dxfId="6506" priority="69">
      <formula>LEN(TRIM(H242))=0</formula>
    </cfRule>
  </conditionalFormatting>
  <conditionalFormatting sqref="G235:G241 G254:G262 G264">
    <cfRule type="cellIs" dxfId="6505" priority="68" operator="equal">
      <formula>0</formula>
    </cfRule>
  </conditionalFormatting>
  <conditionalFormatting sqref="G235:G236">
    <cfRule type="cellIs" dxfId="6504" priority="67" operator="equal">
      <formula>0</formula>
    </cfRule>
  </conditionalFormatting>
  <conditionalFormatting sqref="G235:G236">
    <cfRule type="cellIs" dxfId="6503" priority="66" operator="equal">
      <formula>0</formula>
    </cfRule>
  </conditionalFormatting>
  <conditionalFormatting sqref="G263">
    <cfRule type="cellIs" dxfId="6502" priority="65" operator="equal">
      <formula>0</formula>
    </cfRule>
  </conditionalFormatting>
  <conditionalFormatting sqref="G235:G240 G256:G264 G254">
    <cfRule type="containsBlanks" dxfId="6501" priority="64">
      <formula>LEN(TRIM(G235))=0</formula>
    </cfRule>
  </conditionalFormatting>
  <conditionalFormatting sqref="G263">
    <cfRule type="cellIs" dxfId="6500" priority="63" operator="equal">
      <formula>0</formula>
    </cfRule>
  </conditionalFormatting>
  <conditionalFormatting sqref="G242:G253">
    <cfRule type="cellIs" dxfId="6499" priority="62" operator="equal">
      <formula>0</formula>
    </cfRule>
  </conditionalFormatting>
  <conditionalFormatting sqref="G242:G253">
    <cfRule type="containsBlanks" dxfId="6498" priority="61">
      <formula>LEN(TRIM(G242))=0</formula>
    </cfRule>
  </conditionalFormatting>
  <conditionalFormatting sqref="I234">
    <cfRule type="cellIs" dxfId="6497" priority="60" operator="equal">
      <formula>0</formula>
    </cfRule>
  </conditionalFormatting>
  <conditionalFormatting sqref="I234">
    <cfRule type="containsBlanks" dxfId="6496" priority="59">
      <formula>LEN(TRIM(I234))=0</formula>
    </cfRule>
  </conditionalFormatting>
  <conditionalFormatting sqref="I235:I241 I254:I262 I264">
    <cfRule type="cellIs" dxfId="6495" priority="58" operator="equal">
      <formula>0</formula>
    </cfRule>
  </conditionalFormatting>
  <conditionalFormatting sqref="I235:I236">
    <cfRule type="cellIs" dxfId="6494" priority="57" operator="equal">
      <formula>0</formula>
    </cfRule>
  </conditionalFormatting>
  <conditionalFormatting sqref="I235:I236">
    <cfRule type="cellIs" dxfId="6493" priority="56" operator="equal">
      <formula>0</formula>
    </cfRule>
  </conditionalFormatting>
  <conditionalFormatting sqref="I263">
    <cfRule type="cellIs" dxfId="6492" priority="55" operator="equal">
      <formula>0</formula>
    </cfRule>
  </conditionalFormatting>
  <conditionalFormatting sqref="I235:I240 I256:I264 I254">
    <cfRule type="containsBlanks" dxfId="6491" priority="54">
      <formula>LEN(TRIM(I235))=0</formula>
    </cfRule>
  </conditionalFormatting>
  <conditionalFormatting sqref="I263">
    <cfRule type="cellIs" dxfId="6490" priority="53" operator="equal">
      <formula>0</formula>
    </cfRule>
  </conditionalFormatting>
  <conditionalFormatting sqref="I242:I253">
    <cfRule type="cellIs" dxfId="6489" priority="52" operator="equal">
      <formula>0</formula>
    </cfRule>
  </conditionalFormatting>
  <conditionalFormatting sqref="I242:I253">
    <cfRule type="containsBlanks" dxfId="6488" priority="51">
      <formula>LEN(TRIM(I242))=0</formula>
    </cfRule>
  </conditionalFormatting>
  <conditionalFormatting sqref="H271:H278 H291:H299 H301 G271">
    <cfRule type="cellIs" dxfId="6487" priority="50" operator="equal">
      <formula>0</formula>
    </cfRule>
  </conditionalFormatting>
  <conditionalFormatting sqref="H272:H273">
    <cfRule type="cellIs" dxfId="6486" priority="49" operator="equal">
      <formula>0</formula>
    </cfRule>
  </conditionalFormatting>
  <conditionalFormatting sqref="H300">
    <cfRule type="cellIs" dxfId="6485" priority="48" operator="equal">
      <formula>0</formula>
    </cfRule>
  </conditionalFormatting>
  <conditionalFormatting sqref="H271:H277 H291 H293:H301 G271">
    <cfRule type="containsBlanks" dxfId="6484" priority="47">
      <formula>LEN(TRIM(G271))=0</formula>
    </cfRule>
  </conditionalFormatting>
  <conditionalFormatting sqref="H300">
    <cfRule type="cellIs" dxfId="6483" priority="46" operator="equal">
      <formula>0</formula>
    </cfRule>
  </conditionalFormatting>
  <conditionalFormatting sqref="H279:H290">
    <cfRule type="cellIs" dxfId="6482" priority="45" operator="equal">
      <formula>0</formula>
    </cfRule>
  </conditionalFormatting>
  <conditionalFormatting sqref="H279:H290">
    <cfRule type="containsBlanks" dxfId="6481" priority="44">
      <formula>LEN(TRIM(H279))=0</formula>
    </cfRule>
  </conditionalFormatting>
  <conditionalFormatting sqref="G272:G278 G291:G299 G301">
    <cfRule type="cellIs" dxfId="6480" priority="43" operator="equal">
      <formula>0</formula>
    </cfRule>
  </conditionalFormatting>
  <conditionalFormatting sqref="G272:G273">
    <cfRule type="cellIs" dxfId="6479" priority="42" operator="equal">
      <formula>0</formula>
    </cfRule>
  </conditionalFormatting>
  <conditionalFormatting sqref="G272:G273">
    <cfRule type="cellIs" dxfId="6478" priority="41" operator="equal">
      <formula>0</formula>
    </cfRule>
  </conditionalFormatting>
  <conditionalFormatting sqref="G300">
    <cfRule type="cellIs" dxfId="6477" priority="40" operator="equal">
      <formula>0</formula>
    </cfRule>
  </conditionalFormatting>
  <conditionalFormatting sqref="G272:G277 G293:G301 G291">
    <cfRule type="containsBlanks" dxfId="6476" priority="39">
      <formula>LEN(TRIM(G272))=0</formula>
    </cfRule>
  </conditionalFormatting>
  <conditionalFormatting sqref="G300">
    <cfRule type="cellIs" dxfId="6475" priority="38" operator="equal">
      <formula>0</formula>
    </cfRule>
  </conditionalFormatting>
  <conditionalFormatting sqref="G279:G290">
    <cfRule type="cellIs" dxfId="6474" priority="37" operator="equal">
      <formula>0</formula>
    </cfRule>
  </conditionalFormatting>
  <conditionalFormatting sqref="G279:G290">
    <cfRule type="containsBlanks" dxfId="6473" priority="36">
      <formula>LEN(TRIM(G279))=0</formula>
    </cfRule>
  </conditionalFormatting>
  <conditionalFormatting sqref="I271">
    <cfRule type="cellIs" dxfId="6472" priority="35" operator="equal">
      <formula>0</formula>
    </cfRule>
  </conditionalFormatting>
  <conditionalFormatting sqref="I271">
    <cfRule type="containsBlanks" dxfId="6471" priority="34">
      <formula>LEN(TRIM(I271))=0</formula>
    </cfRule>
  </conditionalFormatting>
  <conditionalFormatting sqref="I272:I278 I291:I299 I301">
    <cfRule type="cellIs" dxfId="6470" priority="33" operator="equal">
      <formula>0</formula>
    </cfRule>
  </conditionalFormatting>
  <conditionalFormatting sqref="I272:I273">
    <cfRule type="cellIs" dxfId="6469" priority="32" operator="equal">
      <formula>0</formula>
    </cfRule>
  </conditionalFormatting>
  <conditionalFormatting sqref="I272:I273">
    <cfRule type="cellIs" dxfId="6468" priority="31" operator="equal">
      <formula>0</formula>
    </cfRule>
  </conditionalFormatting>
  <conditionalFormatting sqref="I300">
    <cfRule type="cellIs" dxfId="6467" priority="30" operator="equal">
      <formula>0</formula>
    </cfRule>
  </conditionalFormatting>
  <conditionalFormatting sqref="I272:I277 I293:I301 I291">
    <cfRule type="containsBlanks" dxfId="6466" priority="29">
      <formula>LEN(TRIM(I272))=0</formula>
    </cfRule>
  </conditionalFormatting>
  <conditionalFormatting sqref="I300">
    <cfRule type="cellIs" dxfId="6465" priority="28" operator="equal">
      <formula>0</formula>
    </cfRule>
  </conditionalFormatting>
  <conditionalFormatting sqref="I279:I290">
    <cfRule type="cellIs" dxfId="6464" priority="27" operator="equal">
      <formula>0</formula>
    </cfRule>
  </conditionalFormatting>
  <conditionalFormatting sqref="I279:I290">
    <cfRule type="containsBlanks" dxfId="6463" priority="26">
      <formula>LEN(TRIM(I279))=0</formula>
    </cfRule>
  </conditionalFormatting>
  <conditionalFormatting sqref="H308:H315 H328:H336 H338 G308">
    <cfRule type="cellIs" dxfId="6462" priority="25" operator="equal">
      <formula>0</formula>
    </cfRule>
  </conditionalFormatting>
  <conditionalFormatting sqref="H309:H310">
    <cfRule type="cellIs" dxfId="6461" priority="24" operator="equal">
      <formula>0</formula>
    </cfRule>
  </conditionalFormatting>
  <conditionalFormatting sqref="H337">
    <cfRule type="cellIs" dxfId="6460" priority="23" operator="equal">
      <formula>0</formula>
    </cfRule>
  </conditionalFormatting>
  <conditionalFormatting sqref="H308:H314 H328 H330:H338 G308">
    <cfRule type="containsBlanks" dxfId="6459" priority="22">
      <formula>LEN(TRIM(G308))=0</formula>
    </cfRule>
  </conditionalFormatting>
  <conditionalFormatting sqref="H337">
    <cfRule type="cellIs" dxfId="6458" priority="21" operator="equal">
      <formula>0</formula>
    </cfRule>
  </conditionalFormatting>
  <conditionalFormatting sqref="H316:H327">
    <cfRule type="cellIs" dxfId="6457" priority="20" operator="equal">
      <formula>0</formula>
    </cfRule>
  </conditionalFormatting>
  <conditionalFormatting sqref="H316:H327">
    <cfRule type="containsBlanks" dxfId="6456" priority="19">
      <formula>LEN(TRIM(H316))=0</formula>
    </cfRule>
  </conditionalFormatting>
  <conditionalFormatting sqref="G309:G315 G328:G336 G338">
    <cfRule type="cellIs" dxfId="6455" priority="18" operator="equal">
      <formula>0</formula>
    </cfRule>
  </conditionalFormatting>
  <conditionalFormatting sqref="G309:G310">
    <cfRule type="cellIs" dxfId="6454" priority="17" operator="equal">
      <formula>0</formula>
    </cfRule>
  </conditionalFormatting>
  <conditionalFormatting sqref="G309:G310">
    <cfRule type="cellIs" dxfId="6453" priority="16" operator="equal">
      <formula>0</formula>
    </cfRule>
  </conditionalFormatting>
  <conditionalFormatting sqref="G337">
    <cfRule type="cellIs" dxfId="6452" priority="15" operator="equal">
      <formula>0</formula>
    </cfRule>
  </conditionalFormatting>
  <conditionalFormatting sqref="G309:G314 G330:G338 G328">
    <cfRule type="containsBlanks" dxfId="6451" priority="14">
      <formula>LEN(TRIM(G309))=0</formula>
    </cfRule>
  </conditionalFormatting>
  <conditionalFormatting sqref="G337">
    <cfRule type="cellIs" dxfId="6450" priority="13" operator="equal">
      <formula>0</formula>
    </cfRule>
  </conditionalFormatting>
  <conditionalFormatting sqref="G316:G327">
    <cfRule type="cellIs" dxfId="6449" priority="12" operator="equal">
      <formula>0</formula>
    </cfRule>
  </conditionalFormatting>
  <conditionalFormatting sqref="G316:G327">
    <cfRule type="containsBlanks" dxfId="6448" priority="11">
      <formula>LEN(TRIM(G316))=0</formula>
    </cfRule>
  </conditionalFormatting>
  <conditionalFormatting sqref="I308">
    <cfRule type="cellIs" dxfId="6447" priority="10" operator="equal">
      <formula>0</formula>
    </cfRule>
  </conditionalFormatting>
  <conditionalFormatting sqref="I308">
    <cfRule type="containsBlanks" dxfId="6446" priority="9">
      <formula>LEN(TRIM(I308))=0</formula>
    </cfRule>
  </conditionalFormatting>
  <conditionalFormatting sqref="I309:I315 I328:I336 I338">
    <cfRule type="cellIs" dxfId="6445" priority="8" operator="equal">
      <formula>0</formula>
    </cfRule>
  </conditionalFormatting>
  <conditionalFormatting sqref="I309:I310">
    <cfRule type="cellIs" dxfId="6444" priority="7" operator="equal">
      <formula>0</formula>
    </cfRule>
  </conditionalFormatting>
  <conditionalFormatting sqref="I309:I310">
    <cfRule type="cellIs" dxfId="6443" priority="6" operator="equal">
      <formula>0</formula>
    </cfRule>
  </conditionalFormatting>
  <conditionalFormatting sqref="I337">
    <cfRule type="cellIs" dxfId="6442" priority="5" operator="equal">
      <formula>0</formula>
    </cfRule>
  </conditionalFormatting>
  <conditionalFormatting sqref="I309:I314 I330:I338 I328">
    <cfRule type="containsBlanks" dxfId="6441" priority="4">
      <formula>LEN(TRIM(I309))=0</formula>
    </cfRule>
  </conditionalFormatting>
  <conditionalFormatting sqref="I337">
    <cfRule type="cellIs" dxfId="6440" priority="3" operator="equal">
      <formula>0</formula>
    </cfRule>
  </conditionalFormatting>
  <conditionalFormatting sqref="I316:I327">
    <cfRule type="cellIs" dxfId="6439" priority="2" operator="equal">
      <formula>0</formula>
    </cfRule>
  </conditionalFormatting>
  <conditionalFormatting sqref="I316:I327">
    <cfRule type="containsBlanks" dxfId="6438" priority="1">
      <formula>LEN(TRIM(I316))=0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0555-9441-486F-8A89-0B6C79164A7C}">
  <dimension ref="C3:U303"/>
  <sheetViews>
    <sheetView topLeftCell="A11"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88</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9.7691999999999997</v>
      </c>
      <c r="F12" s="663">
        <v>0</v>
      </c>
      <c r="G12" s="663">
        <v>0</v>
      </c>
      <c r="H12" s="663">
        <v>0.18608000000000002</v>
      </c>
      <c r="I12" s="663">
        <v>0</v>
      </c>
      <c r="J12" s="664">
        <v>985.67379798785544</v>
      </c>
      <c r="K12" s="664">
        <v>195.250455173126</v>
      </c>
      <c r="L12" s="664">
        <v>225.73082873869848</v>
      </c>
      <c r="M12" s="664">
        <v>27.969740685177928</v>
      </c>
      <c r="N12" s="663">
        <v>1.4156783371657409</v>
      </c>
      <c r="O12" s="663">
        <v>0.13593700784165794</v>
      </c>
      <c r="P12" s="664">
        <v>91.581907146552624</v>
      </c>
      <c r="Q12" s="664">
        <v>10.82319895117076</v>
      </c>
      <c r="R12" s="663">
        <v>0</v>
      </c>
      <c r="S12" s="663">
        <v>0</v>
      </c>
      <c r="T12" s="663">
        <v>0</v>
      </c>
      <c r="U12" s="665">
        <v>1548.5368240275886</v>
      </c>
    </row>
    <row r="13" spans="3:21" ht="13">
      <c r="C13" s="662" t="s">
        <v>60</v>
      </c>
      <c r="D13" s="663">
        <v>19.500894978355525</v>
      </c>
      <c r="E13" s="663">
        <v>412.35150263166827</v>
      </c>
      <c r="F13" s="663">
        <v>141.77751506797006</v>
      </c>
      <c r="G13" s="663">
        <v>1.1566580598777236</v>
      </c>
      <c r="H13" s="663">
        <v>243.17374959353992</v>
      </c>
      <c r="I13" s="663">
        <v>0</v>
      </c>
      <c r="J13" s="663">
        <v>0</v>
      </c>
      <c r="K13" s="663">
        <v>0</v>
      </c>
      <c r="L13" s="663">
        <v>2.5322527707990741</v>
      </c>
      <c r="M13" s="663">
        <v>0</v>
      </c>
      <c r="N13" s="663">
        <v>3.140572004124202</v>
      </c>
      <c r="O13" s="663">
        <v>0</v>
      </c>
      <c r="P13" s="663">
        <v>0</v>
      </c>
      <c r="Q13" s="663">
        <v>0</v>
      </c>
      <c r="R13" s="663">
        <v>0</v>
      </c>
      <c r="S13" s="663">
        <v>0</v>
      </c>
      <c r="T13" s="663">
        <v>0</v>
      </c>
      <c r="U13" s="665">
        <v>823.63314510633472</v>
      </c>
    </row>
    <row r="14" spans="3:21" ht="13">
      <c r="C14" s="662" t="s">
        <v>61</v>
      </c>
      <c r="D14" s="663">
        <v>0</v>
      </c>
      <c r="E14" s="663">
        <v>0</v>
      </c>
      <c r="F14" s="663">
        <v>-0.13172022897004482</v>
      </c>
      <c r="G14" s="663">
        <v>0</v>
      </c>
      <c r="H14" s="663">
        <v>0</v>
      </c>
      <c r="I14" s="663">
        <v>0</v>
      </c>
      <c r="J14" s="663">
        <v>0</v>
      </c>
      <c r="K14" s="663">
        <v>0</v>
      </c>
      <c r="L14" s="663">
        <v>0</v>
      </c>
      <c r="M14" s="663">
        <v>0</v>
      </c>
      <c r="N14" s="663">
        <v>0</v>
      </c>
      <c r="O14" s="663">
        <v>0</v>
      </c>
      <c r="P14" s="663">
        <v>0</v>
      </c>
      <c r="Q14" s="663">
        <v>0</v>
      </c>
      <c r="R14" s="663">
        <v>-40.000168370113556</v>
      </c>
      <c r="S14" s="663">
        <v>0</v>
      </c>
      <c r="T14" s="663">
        <v>0</v>
      </c>
      <c r="U14" s="665">
        <v>-40.131888599083602</v>
      </c>
    </row>
    <row r="15" spans="3:21" ht="13">
      <c r="C15" s="662" t="s">
        <v>62</v>
      </c>
      <c r="D15" s="663">
        <v>0</v>
      </c>
      <c r="E15" s="663">
        <v>0</v>
      </c>
      <c r="F15" s="663">
        <v>-16.199220216107165</v>
      </c>
      <c r="G15" s="663">
        <v>-0.35114276718264964</v>
      </c>
      <c r="H15" s="663">
        <v>-0.92701690536219505</v>
      </c>
      <c r="I15" s="663">
        <v>0</v>
      </c>
      <c r="J15" s="663">
        <v>0</v>
      </c>
      <c r="K15" s="663">
        <v>0</v>
      </c>
      <c r="L15" s="663">
        <v>0</v>
      </c>
      <c r="M15" s="663">
        <v>0</v>
      </c>
      <c r="N15" s="663">
        <v>-0.52671415077397443</v>
      </c>
      <c r="O15" s="663">
        <v>-0.12641139618575387</v>
      </c>
      <c r="P15" s="663">
        <v>0</v>
      </c>
      <c r="Q15" s="663">
        <v>0</v>
      </c>
      <c r="R15" s="663">
        <v>0</v>
      </c>
      <c r="S15" s="663">
        <v>0</v>
      </c>
      <c r="T15" s="663">
        <v>0</v>
      </c>
      <c r="U15" s="665">
        <v>-18.130505435611738</v>
      </c>
    </row>
    <row r="16" spans="3:21" ht="13">
      <c r="C16" s="662" t="s">
        <v>63</v>
      </c>
      <c r="D16" s="663">
        <v>0</v>
      </c>
      <c r="E16" s="663">
        <v>0</v>
      </c>
      <c r="F16" s="663">
        <v>-73.427503644783499</v>
      </c>
      <c r="G16" s="663">
        <v>-0.69683709307213026</v>
      </c>
      <c r="H16" s="663">
        <v>0</v>
      </c>
      <c r="I16" s="663">
        <v>0</v>
      </c>
      <c r="J16" s="663">
        <v>0</v>
      </c>
      <c r="K16" s="663">
        <v>0</v>
      </c>
      <c r="L16" s="663">
        <v>0</v>
      </c>
      <c r="M16" s="663">
        <v>0</v>
      </c>
      <c r="N16" s="663">
        <v>-3.8742860108991213</v>
      </c>
      <c r="O16" s="663">
        <v>0</v>
      </c>
      <c r="P16" s="663">
        <v>0</v>
      </c>
      <c r="Q16" s="663">
        <v>0</v>
      </c>
      <c r="R16" s="663">
        <v>0</v>
      </c>
      <c r="S16" s="663">
        <v>0</v>
      </c>
      <c r="T16" s="663">
        <v>0</v>
      </c>
      <c r="U16" s="665">
        <v>-77.998626748754759</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19.500894978355525</v>
      </c>
      <c r="E18" s="667">
        <v>422.12070263166828</v>
      </c>
      <c r="F18" s="667">
        <v>52.019070978109362</v>
      </c>
      <c r="G18" s="667">
        <v>0.10867819962294367</v>
      </c>
      <c r="H18" s="675">
        <v>242.43281268817773</v>
      </c>
      <c r="I18" s="667">
        <v>0</v>
      </c>
      <c r="J18" s="667">
        <v>985.67379798785544</v>
      </c>
      <c r="K18" s="667">
        <v>195.250455173126</v>
      </c>
      <c r="L18" s="667">
        <v>228.26308150949754</v>
      </c>
      <c r="M18" s="667">
        <v>27.969740685177928</v>
      </c>
      <c r="N18" s="667">
        <v>0.15525017961684728</v>
      </c>
      <c r="O18" s="667">
        <v>9.5256116559040704E-3</v>
      </c>
      <c r="P18" s="667">
        <v>91.581907146552624</v>
      </c>
      <c r="Q18" s="667">
        <v>10.82319895117076</v>
      </c>
      <c r="R18" s="667">
        <v>-40.000168370113556</v>
      </c>
      <c r="S18" s="667">
        <v>0</v>
      </c>
      <c r="T18" s="667">
        <v>0</v>
      </c>
      <c r="U18" s="667">
        <v>2235.9089483504736</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0.77863803143112786</v>
      </c>
      <c r="G21" s="663">
        <v>0</v>
      </c>
      <c r="H21" s="663">
        <v>34.441359514891516</v>
      </c>
      <c r="I21" s="663">
        <v>0</v>
      </c>
      <c r="J21" s="663">
        <v>985.67379798785544</v>
      </c>
      <c r="K21" s="663">
        <v>195.250455173126</v>
      </c>
      <c r="L21" s="663">
        <v>27.099203250664136</v>
      </c>
      <c r="M21" s="663">
        <v>9.7713809684984927</v>
      </c>
      <c r="N21" s="663">
        <v>4.4112574708908179</v>
      </c>
      <c r="O21" s="663">
        <v>6.1733013975271804</v>
      </c>
      <c r="P21" s="663">
        <v>0</v>
      </c>
      <c r="Q21" s="663">
        <v>0</v>
      </c>
      <c r="R21" s="663">
        <v>-560.02259263001122</v>
      </c>
      <c r="S21" s="663">
        <v>0</v>
      </c>
      <c r="T21" s="663">
        <v>0</v>
      </c>
      <c r="U21" s="671">
        <v>703.57680116487347</v>
      </c>
    </row>
    <row r="22" spans="3:21" ht="13">
      <c r="C22" s="670" t="s">
        <v>351</v>
      </c>
      <c r="D22" s="663">
        <v>0</v>
      </c>
      <c r="E22" s="663">
        <v>0</v>
      </c>
      <c r="F22" s="663">
        <v>0</v>
      </c>
      <c r="G22" s="663">
        <v>0</v>
      </c>
      <c r="H22" s="663">
        <v>17.169661952341983</v>
      </c>
      <c r="I22" s="663">
        <v>0</v>
      </c>
      <c r="J22" s="663">
        <v>0</v>
      </c>
      <c r="K22" s="663">
        <v>0</v>
      </c>
      <c r="L22" s="663">
        <v>33.995499480106155</v>
      </c>
      <c r="M22" s="663">
        <v>15.594965202678805</v>
      </c>
      <c r="N22" s="663">
        <v>0</v>
      </c>
      <c r="O22" s="663">
        <v>4.3055711350701857</v>
      </c>
      <c r="P22" s="663">
        <v>0</v>
      </c>
      <c r="Q22" s="663">
        <v>7.5015461547405717</v>
      </c>
      <c r="R22" s="663">
        <v>0</v>
      </c>
      <c r="S22" s="663">
        <v>-71.517574001012974</v>
      </c>
      <c r="T22" s="663">
        <v>0</v>
      </c>
      <c r="U22" s="671">
        <v>7.0496699239247187</v>
      </c>
    </row>
    <row r="23" spans="3:21" ht="13">
      <c r="C23" s="670" t="s">
        <v>352</v>
      </c>
      <c r="D23" s="663">
        <v>0</v>
      </c>
      <c r="E23" s="663">
        <v>0</v>
      </c>
      <c r="F23" s="663">
        <v>0</v>
      </c>
      <c r="G23" s="663">
        <v>0</v>
      </c>
      <c r="H23" s="663">
        <v>0</v>
      </c>
      <c r="I23" s="663">
        <v>0</v>
      </c>
      <c r="J23" s="663">
        <v>0</v>
      </c>
      <c r="K23" s="663">
        <v>0</v>
      </c>
      <c r="L23" s="663">
        <v>39.786073128569313</v>
      </c>
      <c r="M23" s="663">
        <v>0</v>
      </c>
      <c r="N23" s="663">
        <v>0</v>
      </c>
      <c r="O23" s="663">
        <v>-36.089986767130839</v>
      </c>
      <c r="P23" s="663">
        <v>0</v>
      </c>
      <c r="Q23" s="663">
        <v>0</v>
      </c>
      <c r="R23" s="663">
        <v>0</v>
      </c>
      <c r="S23" s="663">
        <v>0</v>
      </c>
      <c r="T23" s="663">
        <v>0</v>
      </c>
      <c r="U23" s="671">
        <v>3.6960863614384749</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437.4764681269624</v>
      </c>
      <c r="F25" s="663">
        <v>-433.12141449021158</v>
      </c>
      <c r="G25" s="663">
        <v>0</v>
      </c>
      <c r="H25" s="663">
        <v>0</v>
      </c>
      <c r="I25" s="663">
        <v>0</v>
      </c>
      <c r="J25" s="663">
        <v>0</v>
      </c>
      <c r="K25" s="663">
        <v>0</v>
      </c>
      <c r="L25" s="663">
        <v>0</v>
      </c>
      <c r="M25" s="663">
        <v>0</v>
      </c>
      <c r="N25" s="663">
        <v>0</v>
      </c>
      <c r="O25" s="663">
        <v>0</v>
      </c>
      <c r="P25" s="663">
        <v>0</v>
      </c>
      <c r="Q25" s="663">
        <v>0</v>
      </c>
      <c r="R25" s="663">
        <v>0</v>
      </c>
      <c r="S25" s="663">
        <v>0</v>
      </c>
      <c r="T25" s="663">
        <v>0</v>
      </c>
      <c r="U25" s="671">
        <v>4.3550536367508395</v>
      </c>
    </row>
    <row r="26" spans="3:21" ht="13">
      <c r="C26" s="670" t="s">
        <v>354</v>
      </c>
      <c r="D26" s="663">
        <v>0</v>
      </c>
      <c r="E26" s="663">
        <v>0</v>
      </c>
      <c r="F26" s="663">
        <v>0</v>
      </c>
      <c r="G26" s="663">
        <v>0</v>
      </c>
      <c r="H26" s="663">
        <v>0</v>
      </c>
      <c r="I26" s="663">
        <v>0</v>
      </c>
      <c r="J26" s="663">
        <v>0</v>
      </c>
      <c r="K26" s="663">
        <v>0</v>
      </c>
      <c r="L26" s="663">
        <v>58.51202627390122</v>
      </c>
      <c r="M26" s="663">
        <v>0</v>
      </c>
      <c r="N26" s="663">
        <v>-58.51202627390122</v>
      </c>
      <c r="O26" s="663">
        <v>0</v>
      </c>
      <c r="P26" s="663">
        <v>0</v>
      </c>
      <c r="Q26" s="663">
        <v>0</v>
      </c>
      <c r="R26" s="663">
        <v>0</v>
      </c>
      <c r="S26" s="663">
        <v>0</v>
      </c>
      <c r="T26" s="663">
        <v>0</v>
      </c>
      <c r="U26" s="671">
        <v>0</v>
      </c>
    </row>
    <row r="27" spans="3:21" ht="13">
      <c r="C27" s="670" t="s">
        <v>355</v>
      </c>
      <c r="D27" s="663">
        <v>0</v>
      </c>
      <c r="E27" s="663">
        <v>0</v>
      </c>
      <c r="F27" s="663">
        <v>0</v>
      </c>
      <c r="G27" s="663">
        <v>-1.5541621174818701</v>
      </c>
      <c r="H27" s="663">
        <v>0</v>
      </c>
      <c r="I27" s="663">
        <v>0</v>
      </c>
      <c r="J27" s="663">
        <v>0</v>
      </c>
      <c r="K27" s="663">
        <v>0</v>
      </c>
      <c r="L27" s="663">
        <v>0</v>
      </c>
      <c r="M27" s="663">
        <v>0</v>
      </c>
      <c r="N27" s="663">
        <v>0</v>
      </c>
      <c r="O27" s="663">
        <v>0</v>
      </c>
      <c r="P27" s="663">
        <v>0</v>
      </c>
      <c r="Q27" s="663">
        <v>0</v>
      </c>
      <c r="R27" s="663">
        <v>0</v>
      </c>
      <c r="S27" s="663">
        <v>0</v>
      </c>
      <c r="T27" s="663">
        <v>2.1645711942644428</v>
      </c>
      <c r="U27" s="671">
        <v>0.61040907678257272</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22.347786362655235</v>
      </c>
      <c r="S28" s="663">
        <v>0</v>
      </c>
      <c r="T28" s="663">
        <v>-14.526061135725904</v>
      </c>
      <c r="U28" s="671">
        <v>7.8217252269293311</v>
      </c>
    </row>
    <row r="29" spans="3:21" ht="13">
      <c r="C29" s="670" t="s">
        <v>356</v>
      </c>
      <c r="D29" s="663">
        <v>11.574443320312499</v>
      </c>
      <c r="E29" s="663">
        <v>-15.355765495294122</v>
      </c>
      <c r="F29" s="663">
        <v>19.986666106038875</v>
      </c>
      <c r="G29" s="663">
        <v>0</v>
      </c>
      <c r="H29" s="663">
        <v>0</v>
      </c>
      <c r="I29" s="663">
        <v>0</v>
      </c>
      <c r="J29" s="663">
        <v>0</v>
      </c>
      <c r="K29" s="663">
        <v>0</v>
      </c>
      <c r="L29" s="663">
        <v>0</v>
      </c>
      <c r="M29" s="663">
        <v>0</v>
      </c>
      <c r="N29" s="663">
        <v>0</v>
      </c>
      <c r="O29" s="663">
        <v>0</v>
      </c>
      <c r="P29" s="663">
        <v>0</v>
      </c>
      <c r="Q29" s="663">
        <v>0</v>
      </c>
      <c r="R29" s="663">
        <v>0</v>
      </c>
      <c r="S29" s="663">
        <v>0</v>
      </c>
      <c r="T29" s="663">
        <v>0</v>
      </c>
      <c r="U29" s="671">
        <v>16.20534393105725</v>
      </c>
    </row>
    <row r="30" spans="3:21" ht="13">
      <c r="C30" s="670" t="s">
        <v>75</v>
      </c>
      <c r="D30" s="663">
        <v>4.5011724023437498</v>
      </c>
      <c r="E30" s="663">
        <v>0</v>
      </c>
      <c r="F30" s="663">
        <v>19.445088820906506</v>
      </c>
      <c r="G30" s="663">
        <v>0</v>
      </c>
      <c r="H30" s="663">
        <v>4.9057031873641765</v>
      </c>
      <c r="I30" s="663">
        <v>0</v>
      </c>
      <c r="J30" s="663">
        <v>0</v>
      </c>
      <c r="K30" s="663">
        <v>0</v>
      </c>
      <c r="L30" s="663">
        <v>0</v>
      </c>
      <c r="M30" s="663">
        <v>0</v>
      </c>
      <c r="N30" s="663">
        <v>0</v>
      </c>
      <c r="O30" s="663">
        <v>0.66895952554966043</v>
      </c>
      <c r="P30" s="663">
        <v>0</v>
      </c>
      <c r="Q30" s="663">
        <v>0</v>
      </c>
      <c r="R30" s="663">
        <v>25.353860621213894</v>
      </c>
      <c r="S30" s="663">
        <v>0</v>
      </c>
      <c r="T30" s="663">
        <v>0</v>
      </c>
      <c r="U30" s="671">
        <v>54.874784557377978</v>
      </c>
    </row>
    <row r="31" spans="3:21" ht="13">
      <c r="C31" s="670" t="s">
        <v>76</v>
      </c>
      <c r="D31" s="663">
        <v>0</v>
      </c>
      <c r="E31" s="663">
        <v>0</v>
      </c>
      <c r="F31" s="663">
        <v>0</v>
      </c>
      <c r="G31" s="663">
        <v>0</v>
      </c>
      <c r="H31" s="663">
        <v>2.7976613964793451</v>
      </c>
      <c r="I31" s="663">
        <v>0</v>
      </c>
      <c r="J31" s="663">
        <v>0</v>
      </c>
      <c r="K31" s="663">
        <v>0</v>
      </c>
      <c r="L31" s="663">
        <v>0</v>
      </c>
      <c r="M31" s="663">
        <v>0</v>
      </c>
      <c r="N31" s="663">
        <v>0</v>
      </c>
      <c r="O31" s="663">
        <v>0.38149928133809252</v>
      </c>
      <c r="P31" s="663">
        <v>0</v>
      </c>
      <c r="Q31" s="663">
        <v>0</v>
      </c>
      <c r="R31" s="663">
        <v>39.822975779719108</v>
      </c>
      <c r="S31" s="663">
        <v>5.5462664454161024</v>
      </c>
      <c r="T31" s="663">
        <v>0</v>
      </c>
      <c r="U31" s="671">
        <v>48.548402902952645</v>
      </c>
    </row>
    <row r="32" spans="3:21" ht="13">
      <c r="C32" s="666" t="s">
        <v>77</v>
      </c>
      <c r="D32" s="667">
        <v>16.075615722656249</v>
      </c>
      <c r="E32" s="667">
        <v>422.12070263166828</v>
      </c>
      <c r="F32" s="667">
        <v>-392.9110215318351</v>
      </c>
      <c r="G32" s="667">
        <v>-1.5541621174818701</v>
      </c>
      <c r="H32" s="675">
        <v>59.314386051077022</v>
      </c>
      <c r="I32" s="667">
        <v>0</v>
      </c>
      <c r="J32" s="667">
        <v>985.67379798785544</v>
      </c>
      <c r="K32" s="667">
        <v>195.250455173126</v>
      </c>
      <c r="L32" s="667">
        <v>159.39280213324082</v>
      </c>
      <c r="M32" s="667">
        <v>25.366346171177295</v>
      </c>
      <c r="N32" s="667">
        <v>-54.100768803010403</v>
      </c>
      <c r="O32" s="667">
        <v>-24.56065542764572</v>
      </c>
      <c r="P32" s="667">
        <v>0</v>
      </c>
      <c r="Q32" s="667">
        <v>7.5015461547405717</v>
      </c>
      <c r="R32" s="667">
        <v>-472.49796986642292</v>
      </c>
      <c r="S32" s="667">
        <v>-65.971307555596866</v>
      </c>
      <c r="T32" s="667">
        <v>-12.361489941461461</v>
      </c>
      <c r="U32" s="667">
        <v>846.73827678208715</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3.4252792556992748</v>
      </c>
      <c r="E34" s="663">
        <v>0</v>
      </c>
      <c r="F34" s="663">
        <v>12.308271650577865</v>
      </c>
      <c r="G34" s="663">
        <v>0</v>
      </c>
      <c r="H34" s="663">
        <v>73.413026523981316</v>
      </c>
      <c r="I34" s="663">
        <v>0</v>
      </c>
      <c r="J34" s="663">
        <v>0</v>
      </c>
      <c r="K34" s="663">
        <v>0</v>
      </c>
      <c r="L34" s="663">
        <v>20.422417009283894</v>
      </c>
      <c r="M34" s="663">
        <v>2.602859968291809</v>
      </c>
      <c r="N34" s="663">
        <v>1.0285361411132812</v>
      </c>
      <c r="O34" s="663">
        <v>10.038234189816116</v>
      </c>
      <c r="P34" s="663">
        <v>3.4088933105468748</v>
      </c>
      <c r="Q34" s="663">
        <v>5.5791983277925228E-4</v>
      </c>
      <c r="R34" s="663">
        <v>125.34883441740973</v>
      </c>
      <c r="S34" s="663">
        <v>17.986846293297361</v>
      </c>
      <c r="T34" s="663">
        <v>2.0558867187500001</v>
      </c>
      <c r="U34" s="671">
        <v>272.03964339860033</v>
      </c>
    </row>
    <row r="35" spans="3:21" ht="13">
      <c r="C35" s="670" t="s">
        <v>79</v>
      </c>
      <c r="D35" s="663">
        <v>0</v>
      </c>
      <c r="E35" s="663">
        <v>0</v>
      </c>
      <c r="F35" s="663">
        <v>299.68098831610791</v>
      </c>
      <c r="G35" s="663">
        <v>0.15795207154289831</v>
      </c>
      <c r="H35" s="663">
        <v>4.9734474054962678</v>
      </c>
      <c r="I35" s="663">
        <v>0</v>
      </c>
      <c r="J35" s="663">
        <v>0</v>
      </c>
      <c r="K35" s="663">
        <v>0</v>
      </c>
      <c r="L35" s="663">
        <v>0</v>
      </c>
      <c r="M35" s="663">
        <v>0</v>
      </c>
      <c r="N35" s="663">
        <v>36.482323005879891</v>
      </c>
      <c r="O35" s="663">
        <v>0.67819737347676379</v>
      </c>
      <c r="P35" s="663">
        <v>0</v>
      </c>
      <c r="Q35" s="663">
        <v>0</v>
      </c>
      <c r="R35" s="663">
        <v>30.954972159028785</v>
      </c>
      <c r="S35" s="663">
        <v>0</v>
      </c>
      <c r="T35" s="663">
        <v>0.65150967495445122</v>
      </c>
      <c r="U35" s="671">
        <v>373.57939000648707</v>
      </c>
    </row>
    <row r="36" spans="3:21" ht="13">
      <c r="C36" s="670" t="s">
        <v>80</v>
      </c>
      <c r="D36" s="663">
        <v>0</v>
      </c>
      <c r="E36" s="663">
        <v>0</v>
      </c>
      <c r="F36" s="663">
        <v>4.6180690607080663</v>
      </c>
      <c r="G36" s="663">
        <v>0</v>
      </c>
      <c r="H36" s="663">
        <v>64.670833332730624</v>
      </c>
      <c r="I36" s="663">
        <v>0</v>
      </c>
      <c r="J36" s="663">
        <v>0</v>
      </c>
      <c r="K36" s="663">
        <v>0</v>
      </c>
      <c r="L36" s="663">
        <v>45.694565750921086</v>
      </c>
      <c r="M36" s="663">
        <v>0</v>
      </c>
      <c r="N36" s="663">
        <v>0</v>
      </c>
      <c r="O36" s="663">
        <v>8.8187499999178112</v>
      </c>
      <c r="P36" s="663">
        <v>71.668518554839707</v>
      </c>
      <c r="Q36" s="663">
        <v>1.8312707461125663</v>
      </c>
      <c r="R36" s="663">
        <v>167.58037418148072</v>
      </c>
      <c r="S36" s="663">
        <v>29.293864289346555</v>
      </c>
      <c r="T36" s="663">
        <v>0</v>
      </c>
      <c r="U36" s="671">
        <v>394.17624591605716</v>
      </c>
    </row>
    <row r="37" spans="3:21" ht="13">
      <c r="C37" s="670" t="s">
        <v>81</v>
      </c>
      <c r="D37" s="663">
        <v>0</v>
      </c>
      <c r="E37" s="663">
        <v>0</v>
      </c>
      <c r="F37" s="663">
        <v>5.9743988488591224</v>
      </c>
      <c r="G37" s="663">
        <v>0</v>
      </c>
      <c r="H37" s="663">
        <v>27.969082753856803</v>
      </c>
      <c r="I37" s="663">
        <v>0</v>
      </c>
      <c r="J37" s="663">
        <v>0</v>
      </c>
      <c r="K37" s="663">
        <v>0</v>
      </c>
      <c r="L37" s="663">
        <v>0.46314310358360405</v>
      </c>
      <c r="M37" s="663">
        <v>5.3454570882310241E-4</v>
      </c>
      <c r="N37" s="663">
        <v>0</v>
      </c>
      <c r="O37" s="663">
        <v>3.8139658300713819</v>
      </c>
      <c r="P37" s="663">
        <v>16.00449528116604</v>
      </c>
      <c r="Q37" s="663">
        <v>0.86463956078668247</v>
      </c>
      <c r="R37" s="663">
        <v>100.94959269616226</v>
      </c>
      <c r="S37" s="663">
        <v>18.690596972952971</v>
      </c>
      <c r="T37" s="663">
        <v>0</v>
      </c>
      <c r="U37" s="671">
        <v>174.73044959314768</v>
      </c>
    </row>
    <row r="38" spans="3:21" ht="13">
      <c r="C38" s="670" t="s">
        <v>82</v>
      </c>
      <c r="D38" s="663">
        <v>0</v>
      </c>
      <c r="E38" s="663">
        <v>0</v>
      </c>
      <c r="F38" s="663">
        <v>27.024104246708042</v>
      </c>
      <c r="G38" s="663">
        <v>0</v>
      </c>
      <c r="H38" s="663">
        <v>1.735774540709758</v>
      </c>
      <c r="I38" s="663">
        <v>0</v>
      </c>
      <c r="J38" s="663">
        <v>0</v>
      </c>
      <c r="K38" s="663">
        <v>0</v>
      </c>
      <c r="L38" s="663">
        <v>2.1723993471697325</v>
      </c>
      <c r="M38" s="663">
        <v>0</v>
      </c>
      <c r="N38" s="663">
        <v>4.6410977021219679</v>
      </c>
      <c r="O38" s="663">
        <v>0.23669652827860335</v>
      </c>
      <c r="P38" s="663">
        <v>0.5</v>
      </c>
      <c r="Q38" s="663">
        <v>0.62518456969816016</v>
      </c>
      <c r="R38" s="663">
        <v>7.6640280422278524</v>
      </c>
      <c r="S38" s="663">
        <v>0</v>
      </c>
      <c r="T38" s="663">
        <v>0.17366238047171115</v>
      </c>
      <c r="U38" s="671">
        <v>44.772947357385839</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v>
      </c>
      <c r="S39" s="663">
        <v>0</v>
      </c>
      <c r="T39" s="663">
        <v>0</v>
      </c>
      <c r="U39" s="671">
        <v>0</v>
      </c>
    </row>
    <row r="40" spans="3:21" ht="13">
      <c r="C40" s="666" t="s">
        <v>83</v>
      </c>
      <c r="D40" s="667">
        <v>3.4252792556992748</v>
      </c>
      <c r="E40" s="667">
        <v>0</v>
      </c>
      <c r="F40" s="667">
        <v>349.60583212296103</v>
      </c>
      <c r="G40" s="667">
        <v>0.15795207154289831</v>
      </c>
      <c r="H40" s="675">
        <v>172.76216455677479</v>
      </c>
      <c r="I40" s="667">
        <v>0</v>
      </c>
      <c r="J40" s="667">
        <v>0</v>
      </c>
      <c r="K40" s="667">
        <v>0</v>
      </c>
      <c r="L40" s="667">
        <v>68.752525210958311</v>
      </c>
      <c r="M40" s="667">
        <v>2.603394514000632</v>
      </c>
      <c r="N40" s="667">
        <v>42.151956849115138</v>
      </c>
      <c r="O40" s="667">
        <v>23.585843921560677</v>
      </c>
      <c r="P40" s="667">
        <v>91.581907146552624</v>
      </c>
      <c r="Q40" s="667">
        <v>3.3216527964301883</v>
      </c>
      <c r="R40" s="667">
        <v>432.49780149630931</v>
      </c>
      <c r="S40" s="667">
        <v>65.97130755559688</v>
      </c>
      <c r="T40" s="667">
        <v>2.8810587741761626</v>
      </c>
      <c r="U40" s="667">
        <v>1259.2986762716782</v>
      </c>
    </row>
    <row r="41" spans="3:21" ht="13">
      <c r="C41" s="662" t="s">
        <v>84</v>
      </c>
      <c r="D41" s="663">
        <v>0</v>
      </c>
      <c r="E41" s="663">
        <v>0</v>
      </c>
      <c r="F41" s="663">
        <v>95.324260386983326</v>
      </c>
      <c r="G41" s="663">
        <v>1.5048882455619152</v>
      </c>
      <c r="H41" s="663">
        <v>10.356262080325934</v>
      </c>
      <c r="I41" s="663">
        <v>0</v>
      </c>
      <c r="J41" s="663">
        <v>0</v>
      </c>
      <c r="K41" s="663">
        <v>0</v>
      </c>
      <c r="L41" s="663">
        <v>0.11775416529838639</v>
      </c>
      <c r="M41" s="663">
        <v>0</v>
      </c>
      <c r="N41" s="663">
        <v>8.0702977228109543</v>
      </c>
      <c r="O41" s="663">
        <v>0.98433711774094745</v>
      </c>
      <c r="P41" s="663">
        <v>0</v>
      </c>
      <c r="Q41" s="663">
        <v>0</v>
      </c>
      <c r="R41" s="663">
        <v>0</v>
      </c>
      <c r="S41" s="663">
        <v>0</v>
      </c>
      <c r="T41" s="663">
        <v>9.4804311672852979</v>
      </c>
      <c r="U41" s="671">
        <v>125.83823088600677</v>
      </c>
    </row>
    <row r="42" spans="3:21" ht="13">
      <c r="C42" s="666" t="s">
        <v>85</v>
      </c>
      <c r="D42" s="667">
        <v>3.4252792556992748</v>
      </c>
      <c r="E42" s="667">
        <v>0</v>
      </c>
      <c r="F42" s="667">
        <v>444.9300925099443</v>
      </c>
      <c r="G42" s="667">
        <v>1.6628403171048136</v>
      </c>
      <c r="H42" s="675">
        <v>183.11842663710073</v>
      </c>
      <c r="I42" s="667">
        <v>0</v>
      </c>
      <c r="J42" s="667">
        <v>0</v>
      </c>
      <c r="K42" s="667">
        <v>0</v>
      </c>
      <c r="L42" s="667">
        <v>68.870279376256704</v>
      </c>
      <c r="M42" s="667">
        <v>2.603394514000632</v>
      </c>
      <c r="N42" s="667">
        <v>50.222254571926094</v>
      </c>
      <c r="O42" s="667">
        <v>24.570181039301623</v>
      </c>
      <c r="P42" s="667">
        <v>91.581907146552624</v>
      </c>
      <c r="Q42" s="667">
        <v>3.3216527964301883</v>
      </c>
      <c r="R42" s="667">
        <v>432.49780149630931</v>
      </c>
      <c r="S42" s="667">
        <v>65.97130755559688</v>
      </c>
      <c r="T42" s="667">
        <v>12.361489941461461</v>
      </c>
      <c r="U42" s="667">
        <v>1385.1369071576848</v>
      </c>
    </row>
    <row r="43" spans="3:21">
      <c r="C43" s="654"/>
      <c r="D43" s="672">
        <v>0</v>
      </c>
      <c r="E43" s="672">
        <v>0</v>
      </c>
      <c r="F43" s="672">
        <v>-1.6342482922482304E-13</v>
      </c>
      <c r="G43" s="672">
        <v>-1.1102230246251565E-16</v>
      </c>
      <c r="H43" s="672">
        <v>0</v>
      </c>
      <c r="I43" s="672">
        <v>0</v>
      </c>
      <c r="J43" s="672">
        <v>0</v>
      </c>
      <c r="K43" s="672">
        <v>0</v>
      </c>
      <c r="L43" s="672">
        <v>0</v>
      </c>
      <c r="M43" s="672">
        <v>0</v>
      </c>
      <c r="N43" s="672">
        <v>-4.0337644107011572</v>
      </c>
      <c r="O43" s="672">
        <v>-1.2490009027033011E-15</v>
      </c>
      <c r="P43" s="672">
        <v>0</v>
      </c>
      <c r="Q43" s="672">
        <v>0</v>
      </c>
      <c r="R43" s="672">
        <v>-5.6843418860808015E-14</v>
      </c>
      <c r="S43" s="672">
        <v>1.4210854715202004E-14</v>
      </c>
      <c r="T43" s="672">
        <v>0</v>
      </c>
      <c r="U43" s="672">
        <v>-4.0337644107016786</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360</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7.3966799999999999</v>
      </c>
      <c r="F49" s="663">
        <v>0</v>
      </c>
      <c r="G49" s="663">
        <v>0</v>
      </c>
      <c r="H49" s="663">
        <v>0.13025600000000001</v>
      </c>
      <c r="I49" s="663">
        <v>0</v>
      </c>
      <c r="J49" s="664">
        <v>971.7407012865051</v>
      </c>
      <c r="K49" s="664">
        <v>238.60019675974834</v>
      </c>
      <c r="L49" s="664">
        <v>253.57041800278802</v>
      </c>
      <c r="M49" s="664">
        <v>27.222029344024044</v>
      </c>
      <c r="N49" s="663">
        <v>1.4753548538560814</v>
      </c>
      <c r="O49" s="663">
        <v>0.15089220372740705</v>
      </c>
      <c r="P49" s="664">
        <v>105.39487042391544</v>
      </c>
      <c r="Q49" s="664">
        <v>15.052128201204939</v>
      </c>
      <c r="R49" s="663">
        <v>0</v>
      </c>
      <c r="S49" s="663">
        <v>0</v>
      </c>
      <c r="T49" s="663">
        <v>0</v>
      </c>
      <c r="U49" s="665">
        <v>1620.7335270757692</v>
      </c>
    </row>
    <row r="50" spans="3:21" ht="13">
      <c r="C50" s="662" t="s">
        <v>60</v>
      </c>
      <c r="D50" s="663">
        <v>17.481730816264069</v>
      </c>
      <c r="E50" s="663">
        <v>368.30859161745235</v>
      </c>
      <c r="F50" s="663">
        <v>88.290951016716463</v>
      </c>
      <c r="G50" s="663">
        <v>0.96271456308499825</v>
      </c>
      <c r="H50" s="663">
        <v>189.89235302255372</v>
      </c>
      <c r="I50" s="663">
        <v>0</v>
      </c>
      <c r="J50" s="663">
        <v>0</v>
      </c>
      <c r="K50" s="663">
        <v>0</v>
      </c>
      <c r="L50" s="663">
        <v>3.0227324829465219</v>
      </c>
      <c r="M50" s="663">
        <v>0</v>
      </c>
      <c r="N50" s="663">
        <v>3.4911647532197585</v>
      </c>
      <c r="O50" s="663">
        <v>0</v>
      </c>
      <c r="P50" s="663">
        <v>0</v>
      </c>
      <c r="Q50" s="663">
        <v>0</v>
      </c>
      <c r="R50" s="663">
        <v>0</v>
      </c>
      <c r="S50" s="663">
        <v>0</v>
      </c>
      <c r="T50" s="663">
        <v>0</v>
      </c>
      <c r="U50" s="665">
        <v>671.45023827223793</v>
      </c>
    </row>
    <row r="51" spans="3:21" ht="13">
      <c r="C51" s="662" t="s">
        <v>61</v>
      </c>
      <c r="D51" s="663">
        <v>0</v>
      </c>
      <c r="E51" s="663">
        <v>0</v>
      </c>
      <c r="F51" s="663">
        <v>-0.25412033446216642</v>
      </c>
      <c r="G51" s="663">
        <v>0</v>
      </c>
      <c r="H51" s="663">
        <v>0</v>
      </c>
      <c r="I51" s="663">
        <v>0</v>
      </c>
      <c r="J51" s="663">
        <v>0</v>
      </c>
      <c r="K51" s="663">
        <v>0</v>
      </c>
      <c r="L51" s="663">
        <v>0</v>
      </c>
      <c r="M51" s="663">
        <v>0</v>
      </c>
      <c r="N51" s="663">
        <v>0</v>
      </c>
      <c r="O51" s="663">
        <v>0</v>
      </c>
      <c r="P51" s="663">
        <v>0</v>
      </c>
      <c r="Q51" s="663">
        <v>0</v>
      </c>
      <c r="R51" s="663">
        <v>-39.430412100204194</v>
      </c>
      <c r="S51" s="663">
        <v>0</v>
      </c>
      <c r="T51" s="663">
        <v>0</v>
      </c>
      <c r="U51" s="665">
        <v>-39.684532434666359</v>
      </c>
    </row>
    <row r="52" spans="3:21" ht="13">
      <c r="C52" s="662" t="s">
        <v>62</v>
      </c>
      <c r="D52" s="663">
        <v>0</v>
      </c>
      <c r="E52" s="663">
        <v>0</v>
      </c>
      <c r="F52" s="663">
        <v>-14.25530176013427</v>
      </c>
      <c r="G52" s="663">
        <v>-0.84519248028876315</v>
      </c>
      <c r="H52" s="663">
        <v>-3.1313337287141003</v>
      </c>
      <c r="I52" s="663">
        <v>0</v>
      </c>
      <c r="J52" s="663">
        <v>0</v>
      </c>
      <c r="K52" s="663">
        <v>0</v>
      </c>
      <c r="L52" s="663">
        <v>0</v>
      </c>
      <c r="M52" s="663">
        <v>0</v>
      </c>
      <c r="N52" s="663">
        <v>-0.51271510605917692</v>
      </c>
      <c r="O52" s="663">
        <v>-0.83237985193665964</v>
      </c>
      <c r="P52" s="663">
        <v>0</v>
      </c>
      <c r="Q52" s="663">
        <v>0</v>
      </c>
      <c r="R52" s="663">
        <v>0</v>
      </c>
      <c r="S52" s="663">
        <v>0</v>
      </c>
      <c r="T52" s="663">
        <v>0</v>
      </c>
      <c r="U52" s="665">
        <v>-19.576922927132969</v>
      </c>
    </row>
    <row r="53" spans="3:21" ht="13">
      <c r="C53" s="662" t="s">
        <v>63</v>
      </c>
      <c r="D53" s="663">
        <v>0</v>
      </c>
      <c r="E53" s="663">
        <v>0</v>
      </c>
      <c r="F53" s="663">
        <v>-65.50346802559632</v>
      </c>
      <c r="G53" s="663">
        <v>-2.6636790811189917</v>
      </c>
      <c r="H53" s="663">
        <v>0</v>
      </c>
      <c r="I53" s="663">
        <v>0</v>
      </c>
      <c r="J53" s="663">
        <v>0</v>
      </c>
      <c r="K53" s="663">
        <v>0</v>
      </c>
      <c r="L53" s="663">
        <v>0</v>
      </c>
      <c r="M53" s="663">
        <v>0</v>
      </c>
      <c r="N53" s="663">
        <v>-8.704547136030067</v>
      </c>
      <c r="O53" s="663">
        <v>0</v>
      </c>
      <c r="P53" s="663">
        <v>0</v>
      </c>
      <c r="Q53" s="663">
        <v>0</v>
      </c>
      <c r="R53" s="663">
        <v>0</v>
      </c>
      <c r="S53" s="663">
        <v>0</v>
      </c>
      <c r="T53" s="663">
        <v>-8.5933245803094055E-2</v>
      </c>
      <c r="U53" s="665">
        <v>-76.957627488548468</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17.481730816264069</v>
      </c>
      <c r="E55" s="667">
        <v>375.70527161745235</v>
      </c>
      <c r="F55" s="667">
        <v>8.2780608965236979</v>
      </c>
      <c r="G55" s="667">
        <v>-2.5461569983227568</v>
      </c>
      <c r="H55" s="675">
        <v>186.89127529383961</v>
      </c>
      <c r="I55" s="667">
        <v>0</v>
      </c>
      <c r="J55" s="667">
        <v>971.7407012865051</v>
      </c>
      <c r="K55" s="667">
        <v>238.60019675974834</v>
      </c>
      <c r="L55" s="667">
        <v>256.59315048573455</v>
      </c>
      <c r="M55" s="667">
        <v>27.222029344024044</v>
      </c>
      <c r="N55" s="667">
        <v>-4.2507426350134043</v>
      </c>
      <c r="O55" s="667">
        <v>-0.68148764820925256</v>
      </c>
      <c r="P55" s="667">
        <v>105.39487042391544</v>
      </c>
      <c r="Q55" s="667">
        <v>15.052128201204939</v>
      </c>
      <c r="R55" s="667">
        <v>-39.430412100204194</v>
      </c>
      <c r="S55" s="667">
        <v>0</v>
      </c>
      <c r="T55" s="667">
        <v>-8.5933245803094055E-2</v>
      </c>
      <c r="U55" s="667">
        <v>2155.9646824976594</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0.79278558393774012</v>
      </c>
      <c r="G58" s="663">
        <v>0</v>
      </c>
      <c r="H58" s="663">
        <v>19.865967473344622</v>
      </c>
      <c r="I58" s="663">
        <v>0</v>
      </c>
      <c r="J58" s="663">
        <v>971.7407012865051</v>
      </c>
      <c r="K58" s="663">
        <v>238.60019675974834</v>
      </c>
      <c r="L58" s="663">
        <v>26.063195396520957</v>
      </c>
      <c r="M58" s="663">
        <v>9.83092180533645</v>
      </c>
      <c r="N58" s="663">
        <v>4.7819832265678626</v>
      </c>
      <c r="O58" s="663">
        <v>4.4668310287108053</v>
      </c>
      <c r="P58" s="663">
        <v>0</v>
      </c>
      <c r="Q58" s="663">
        <v>1.6766395861963883</v>
      </c>
      <c r="R58" s="663">
        <v>-590.46816243021931</v>
      </c>
      <c r="S58" s="663">
        <v>0</v>
      </c>
      <c r="T58" s="663">
        <v>0</v>
      </c>
      <c r="U58" s="671">
        <v>687.35105971664882</v>
      </c>
    </row>
    <row r="59" spans="3:21" ht="13">
      <c r="C59" s="670" t="s">
        <v>351</v>
      </c>
      <c r="D59" s="663">
        <v>0</v>
      </c>
      <c r="E59" s="663">
        <v>0</v>
      </c>
      <c r="F59" s="663">
        <v>0</v>
      </c>
      <c r="G59" s="663">
        <v>0</v>
      </c>
      <c r="H59" s="663">
        <v>14.235464329282825</v>
      </c>
      <c r="I59" s="663">
        <v>0</v>
      </c>
      <c r="J59" s="663">
        <v>0</v>
      </c>
      <c r="K59" s="663">
        <v>0</v>
      </c>
      <c r="L59" s="663">
        <v>35.236777417757288</v>
      </c>
      <c r="M59" s="663">
        <v>14.842062220534972</v>
      </c>
      <c r="N59" s="663">
        <v>0</v>
      </c>
      <c r="O59" s="663">
        <v>4.2657087375224645</v>
      </c>
      <c r="P59" s="663">
        <v>0</v>
      </c>
      <c r="Q59" s="663">
        <v>9.4996550719303219</v>
      </c>
      <c r="R59" s="663">
        <v>0</v>
      </c>
      <c r="S59" s="663">
        <v>-71.457959708478597</v>
      </c>
      <c r="T59" s="663">
        <v>0</v>
      </c>
      <c r="U59" s="671">
        <v>6.6217080685492906</v>
      </c>
    </row>
    <row r="60" spans="3:21" ht="13">
      <c r="C60" s="670" t="s">
        <v>352</v>
      </c>
      <c r="D60" s="663">
        <v>0</v>
      </c>
      <c r="E60" s="663">
        <v>0</v>
      </c>
      <c r="F60" s="663">
        <v>0</v>
      </c>
      <c r="G60" s="663">
        <v>0</v>
      </c>
      <c r="H60" s="663">
        <v>0</v>
      </c>
      <c r="I60" s="663">
        <v>0</v>
      </c>
      <c r="J60" s="663">
        <v>0</v>
      </c>
      <c r="K60" s="663">
        <v>0</v>
      </c>
      <c r="L60" s="663">
        <v>54.240393023043787</v>
      </c>
      <c r="M60" s="663">
        <v>0</v>
      </c>
      <c r="N60" s="663">
        <v>0</v>
      </c>
      <c r="O60" s="663">
        <v>-49.062756106209015</v>
      </c>
      <c r="P60" s="663">
        <v>0</v>
      </c>
      <c r="Q60" s="663">
        <v>0</v>
      </c>
      <c r="R60" s="663">
        <v>0</v>
      </c>
      <c r="S60" s="663">
        <v>0</v>
      </c>
      <c r="T60" s="663">
        <v>0</v>
      </c>
      <c r="U60" s="671">
        <v>5.1776369168347713</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389.35548440642862</v>
      </c>
      <c r="F62" s="663">
        <v>-385.47782639146612</v>
      </c>
      <c r="G62" s="663">
        <v>0</v>
      </c>
      <c r="H62" s="663">
        <v>0</v>
      </c>
      <c r="I62" s="663">
        <v>0</v>
      </c>
      <c r="J62" s="663">
        <v>0</v>
      </c>
      <c r="K62" s="663">
        <v>0</v>
      </c>
      <c r="L62" s="663">
        <v>0</v>
      </c>
      <c r="M62" s="663">
        <v>0</v>
      </c>
      <c r="N62" s="663">
        <v>0</v>
      </c>
      <c r="O62" s="663">
        <v>0</v>
      </c>
      <c r="P62" s="663">
        <v>0</v>
      </c>
      <c r="Q62" s="663">
        <v>0</v>
      </c>
      <c r="R62" s="663">
        <v>0</v>
      </c>
      <c r="S62" s="663">
        <v>0</v>
      </c>
      <c r="T62" s="663">
        <v>0</v>
      </c>
      <c r="U62" s="671">
        <v>3.8776580149625208</v>
      </c>
    </row>
    <row r="63" spans="3:21" ht="13">
      <c r="C63" s="670" t="s">
        <v>354</v>
      </c>
      <c r="D63" s="663">
        <v>0</v>
      </c>
      <c r="E63" s="663">
        <v>0</v>
      </c>
      <c r="F63" s="663">
        <v>0</v>
      </c>
      <c r="G63" s="663">
        <v>0</v>
      </c>
      <c r="H63" s="663">
        <v>0</v>
      </c>
      <c r="I63" s="663">
        <v>0</v>
      </c>
      <c r="J63" s="663">
        <v>0</v>
      </c>
      <c r="K63" s="663">
        <v>0</v>
      </c>
      <c r="L63" s="663">
        <v>76.110674115305528</v>
      </c>
      <c r="M63" s="663">
        <v>0</v>
      </c>
      <c r="N63" s="663">
        <v>-76.110674115305528</v>
      </c>
      <c r="O63" s="663">
        <v>0</v>
      </c>
      <c r="P63" s="663">
        <v>0</v>
      </c>
      <c r="Q63" s="663">
        <v>0</v>
      </c>
      <c r="R63" s="663">
        <v>0</v>
      </c>
      <c r="S63" s="663">
        <v>0</v>
      </c>
      <c r="T63" s="663">
        <v>0</v>
      </c>
      <c r="U63" s="671">
        <v>0</v>
      </c>
    </row>
    <row r="64" spans="3:21" ht="13">
      <c r="C64" s="670" t="s">
        <v>355</v>
      </c>
      <c r="D64" s="663">
        <v>0</v>
      </c>
      <c r="E64" s="663">
        <v>0</v>
      </c>
      <c r="F64" s="663">
        <v>0</v>
      </c>
      <c r="G64" s="663">
        <v>-5.3679652793818873</v>
      </c>
      <c r="H64" s="663">
        <v>0</v>
      </c>
      <c r="I64" s="663">
        <v>0</v>
      </c>
      <c r="J64" s="663">
        <v>0</v>
      </c>
      <c r="K64" s="663">
        <v>0</v>
      </c>
      <c r="L64" s="663">
        <v>0</v>
      </c>
      <c r="M64" s="663">
        <v>0</v>
      </c>
      <c r="N64" s="663">
        <v>0</v>
      </c>
      <c r="O64" s="663">
        <v>0</v>
      </c>
      <c r="P64" s="663">
        <v>0</v>
      </c>
      <c r="Q64" s="663">
        <v>0</v>
      </c>
      <c r="R64" s="663">
        <v>0</v>
      </c>
      <c r="S64" s="663">
        <v>0</v>
      </c>
      <c r="T64" s="663">
        <v>7.4762747623703172</v>
      </c>
      <c r="U64" s="671">
        <v>2.1083094829884299</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40.318919655124205</v>
      </c>
      <c r="S65" s="663">
        <v>0</v>
      </c>
      <c r="T65" s="663">
        <v>-26.630646432209534</v>
      </c>
      <c r="U65" s="671">
        <v>13.68827322291467</v>
      </c>
    </row>
    <row r="66" spans="3:21" ht="13">
      <c r="C66" s="670" t="s">
        <v>356</v>
      </c>
      <c r="D66" s="663">
        <v>10.05823125</v>
      </c>
      <c r="E66" s="663">
        <v>-13.65021278897626</v>
      </c>
      <c r="F66" s="663">
        <v>17.774822682354454</v>
      </c>
      <c r="G66" s="663">
        <v>0</v>
      </c>
      <c r="H66" s="663">
        <v>0</v>
      </c>
      <c r="I66" s="663">
        <v>0</v>
      </c>
      <c r="J66" s="663">
        <v>0</v>
      </c>
      <c r="K66" s="663">
        <v>0</v>
      </c>
      <c r="L66" s="663">
        <v>0</v>
      </c>
      <c r="M66" s="663">
        <v>0</v>
      </c>
      <c r="N66" s="663">
        <v>0</v>
      </c>
      <c r="O66" s="663">
        <v>0</v>
      </c>
      <c r="P66" s="663">
        <v>0</v>
      </c>
      <c r="Q66" s="663">
        <v>0</v>
      </c>
      <c r="R66" s="663">
        <v>0</v>
      </c>
      <c r="S66" s="663">
        <v>0</v>
      </c>
      <c r="T66" s="663">
        <v>0</v>
      </c>
      <c r="U66" s="671">
        <v>14.182841143378196</v>
      </c>
    </row>
    <row r="67" spans="3:21" ht="13">
      <c r="C67" s="670" t="s">
        <v>75</v>
      </c>
      <c r="D67" s="663">
        <v>3.9115343750000005</v>
      </c>
      <c r="E67" s="663">
        <v>0</v>
      </c>
      <c r="F67" s="663">
        <v>18.970841206198273</v>
      </c>
      <c r="G67" s="663">
        <v>0</v>
      </c>
      <c r="H67" s="663">
        <v>4.3082366200216411</v>
      </c>
      <c r="I67" s="663">
        <v>0</v>
      </c>
      <c r="J67" s="663">
        <v>0</v>
      </c>
      <c r="K67" s="663">
        <v>0</v>
      </c>
      <c r="L67" s="663">
        <v>0</v>
      </c>
      <c r="M67" s="663">
        <v>0</v>
      </c>
      <c r="N67" s="663">
        <v>0</v>
      </c>
      <c r="O67" s="663">
        <v>1.1452274559551199</v>
      </c>
      <c r="P67" s="663">
        <v>0</v>
      </c>
      <c r="Q67" s="663">
        <v>0</v>
      </c>
      <c r="R67" s="663">
        <v>24.58367294682958</v>
      </c>
      <c r="S67" s="663">
        <v>0</v>
      </c>
      <c r="T67" s="663">
        <v>0</v>
      </c>
      <c r="U67" s="671">
        <v>52.919512604004616</v>
      </c>
    </row>
    <row r="68" spans="3:21" ht="13">
      <c r="C68" s="670" t="s">
        <v>76</v>
      </c>
      <c r="D68" s="663">
        <v>0</v>
      </c>
      <c r="E68" s="663">
        <v>0</v>
      </c>
      <c r="F68" s="663">
        <v>0</v>
      </c>
      <c r="G68" s="663">
        <v>0</v>
      </c>
      <c r="H68" s="663">
        <v>2.138992514097271</v>
      </c>
      <c r="I68" s="663">
        <v>0</v>
      </c>
      <c r="J68" s="663">
        <v>0</v>
      </c>
      <c r="K68" s="663">
        <v>0</v>
      </c>
      <c r="L68" s="663">
        <v>0</v>
      </c>
      <c r="M68" s="663">
        <v>0</v>
      </c>
      <c r="N68" s="663">
        <v>0</v>
      </c>
      <c r="O68" s="663">
        <v>0.56859294678535055</v>
      </c>
      <c r="P68" s="663">
        <v>0</v>
      </c>
      <c r="Q68" s="663">
        <v>0</v>
      </c>
      <c r="R68" s="663">
        <v>42.191455549105193</v>
      </c>
      <c r="S68" s="663">
        <v>5.5417484036628721</v>
      </c>
      <c r="T68" s="663">
        <v>0</v>
      </c>
      <c r="U68" s="671">
        <v>50.440789413650684</v>
      </c>
    </row>
    <row r="69" spans="3:21" ht="13">
      <c r="C69" s="666" t="s">
        <v>77</v>
      </c>
      <c r="D69" s="667">
        <v>13.969765625000001</v>
      </c>
      <c r="E69" s="667">
        <v>375.70527161745235</v>
      </c>
      <c r="F69" s="667">
        <v>-347.93937691897565</v>
      </c>
      <c r="G69" s="667">
        <v>-5.3679652793818873</v>
      </c>
      <c r="H69" s="675">
        <v>40.548660936746352</v>
      </c>
      <c r="I69" s="667">
        <v>0</v>
      </c>
      <c r="J69" s="667">
        <v>971.7407012865051</v>
      </c>
      <c r="K69" s="667">
        <v>238.60019675974834</v>
      </c>
      <c r="L69" s="667">
        <v>191.65103995262757</v>
      </c>
      <c r="M69" s="667">
        <v>24.672984025871422</v>
      </c>
      <c r="N69" s="667">
        <v>-71.328690888737668</v>
      </c>
      <c r="O69" s="667">
        <v>-38.616395937235275</v>
      </c>
      <c r="P69" s="667">
        <v>0</v>
      </c>
      <c r="Q69" s="667">
        <v>11.176294658126709</v>
      </c>
      <c r="R69" s="667">
        <v>-483.37411427916032</v>
      </c>
      <c r="S69" s="667">
        <v>-65.916211304815732</v>
      </c>
      <c r="T69" s="667">
        <v>-19.154371669839218</v>
      </c>
      <c r="U69" s="667">
        <v>836.36778858393188</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3.5119651912640659</v>
      </c>
      <c r="E71" s="663">
        <v>0</v>
      </c>
      <c r="F71" s="663">
        <v>10.329791866978772</v>
      </c>
      <c r="G71" s="663">
        <v>0</v>
      </c>
      <c r="H71" s="663">
        <v>59.22498419444846</v>
      </c>
      <c r="I71" s="663">
        <v>0</v>
      </c>
      <c r="J71" s="663">
        <v>0</v>
      </c>
      <c r="K71" s="663">
        <v>0</v>
      </c>
      <c r="L71" s="663">
        <v>20.32032070760291</v>
      </c>
      <c r="M71" s="663">
        <v>2.5485507721439489</v>
      </c>
      <c r="N71" s="663">
        <v>1.1054608081054689</v>
      </c>
      <c r="O71" s="663">
        <v>15.774676477466111</v>
      </c>
      <c r="P71" s="663">
        <v>4.7115375976562497</v>
      </c>
      <c r="Q71" s="663">
        <v>6.3863689419622622E-4</v>
      </c>
      <c r="R71" s="663">
        <v>128.13338929673023</v>
      </c>
      <c r="S71" s="663">
        <v>18.044740545750674</v>
      </c>
      <c r="T71" s="663">
        <v>2.7711535644531251</v>
      </c>
      <c r="U71" s="671">
        <v>266.47720965949424</v>
      </c>
    </row>
    <row r="72" spans="3:21" ht="13">
      <c r="C72" s="670" t="s">
        <v>79</v>
      </c>
      <c r="D72" s="663">
        <v>0</v>
      </c>
      <c r="E72" s="663">
        <v>0</v>
      </c>
      <c r="F72" s="663">
        <v>230.06398718142972</v>
      </c>
      <c r="G72" s="663">
        <v>0.28870182254104659</v>
      </c>
      <c r="H72" s="663">
        <v>4.7638546223905314</v>
      </c>
      <c r="I72" s="663">
        <v>0</v>
      </c>
      <c r="J72" s="663">
        <v>0</v>
      </c>
      <c r="K72" s="663">
        <v>0</v>
      </c>
      <c r="L72" s="663">
        <v>0</v>
      </c>
      <c r="M72" s="663">
        <v>0</v>
      </c>
      <c r="N72" s="663">
        <v>46.305302929407816</v>
      </c>
      <c r="O72" s="663">
        <v>1.2663411021544451</v>
      </c>
      <c r="P72" s="663">
        <v>0</v>
      </c>
      <c r="Q72" s="663">
        <v>0</v>
      </c>
      <c r="R72" s="663">
        <v>46.787013172975605</v>
      </c>
      <c r="S72" s="663">
        <v>0</v>
      </c>
      <c r="T72" s="663">
        <v>1.4725342358360081</v>
      </c>
      <c r="U72" s="671">
        <v>330.94773506673516</v>
      </c>
    </row>
    <row r="73" spans="3:21" ht="13">
      <c r="C73" s="670" t="s">
        <v>80</v>
      </c>
      <c r="D73" s="663">
        <v>0</v>
      </c>
      <c r="E73" s="663">
        <v>0</v>
      </c>
      <c r="F73" s="663">
        <v>3.8037297943831954</v>
      </c>
      <c r="G73" s="663">
        <v>0</v>
      </c>
      <c r="H73" s="663">
        <v>48.749434252341672</v>
      </c>
      <c r="I73" s="663">
        <v>0</v>
      </c>
      <c r="J73" s="663">
        <v>0</v>
      </c>
      <c r="K73" s="663">
        <v>0</v>
      </c>
      <c r="L73" s="663">
        <v>41.434907608340509</v>
      </c>
      <c r="M73" s="663">
        <v>0</v>
      </c>
      <c r="N73" s="663">
        <v>0</v>
      </c>
      <c r="O73" s="663">
        <v>12.958710370875634</v>
      </c>
      <c r="P73" s="663">
        <v>81.342309221763003</v>
      </c>
      <c r="Q73" s="663">
        <v>2.1381357466702497</v>
      </c>
      <c r="R73" s="663">
        <v>162.42127689265124</v>
      </c>
      <c r="S73" s="663">
        <v>29.067896346898497</v>
      </c>
      <c r="T73" s="663">
        <v>0</v>
      </c>
      <c r="U73" s="671">
        <v>381.91640023392404</v>
      </c>
    </row>
    <row r="74" spans="3:21" ht="13">
      <c r="C74" s="670" t="s">
        <v>81</v>
      </c>
      <c r="D74" s="663">
        <v>0</v>
      </c>
      <c r="E74" s="663">
        <v>0</v>
      </c>
      <c r="F74" s="663">
        <v>4.4549193893901853</v>
      </c>
      <c r="G74" s="663">
        <v>0</v>
      </c>
      <c r="H74" s="663">
        <v>22.809891612288435</v>
      </c>
      <c r="I74" s="663">
        <v>0</v>
      </c>
      <c r="J74" s="663">
        <v>0</v>
      </c>
      <c r="K74" s="663">
        <v>0</v>
      </c>
      <c r="L74" s="663">
        <v>0.44569918061681485</v>
      </c>
      <c r="M74" s="663">
        <v>4.9454600867274027E-4</v>
      </c>
      <c r="N74" s="663">
        <v>0</v>
      </c>
      <c r="O74" s="663">
        <v>6.0633889095956608</v>
      </c>
      <c r="P74" s="663">
        <v>18.691023604496184</v>
      </c>
      <c r="Q74" s="663">
        <v>0.90924384630352406</v>
      </c>
      <c r="R74" s="663">
        <v>98.49757027134045</v>
      </c>
      <c r="S74" s="663">
        <v>18.80357441216654</v>
      </c>
      <c r="T74" s="663">
        <v>0</v>
      </c>
      <c r="U74" s="671">
        <v>170.67580577220647</v>
      </c>
    </row>
    <row r="75" spans="3:21" ht="13">
      <c r="C75" s="670" t="s">
        <v>82</v>
      </c>
      <c r="D75" s="663">
        <v>0</v>
      </c>
      <c r="E75" s="663">
        <v>0</v>
      </c>
      <c r="F75" s="663">
        <v>22.663704600568668</v>
      </c>
      <c r="G75" s="663">
        <v>0</v>
      </c>
      <c r="H75" s="663">
        <v>1.5172607097483775</v>
      </c>
      <c r="I75" s="663">
        <v>0</v>
      </c>
      <c r="J75" s="663">
        <v>0</v>
      </c>
      <c r="K75" s="663">
        <v>0</v>
      </c>
      <c r="L75" s="663">
        <v>2.5327781893790755</v>
      </c>
      <c r="M75" s="663">
        <v>0</v>
      </c>
      <c r="N75" s="663">
        <v>6.9172702223723741</v>
      </c>
      <c r="O75" s="663">
        <v>0.40332246714830289</v>
      </c>
      <c r="P75" s="663">
        <v>0.65</v>
      </c>
      <c r="Q75" s="663">
        <v>0.82781531321025892</v>
      </c>
      <c r="R75" s="663">
        <v>7.6931885452586402</v>
      </c>
      <c r="S75" s="663">
        <v>0</v>
      </c>
      <c r="T75" s="663">
        <v>0.21911019493558448</v>
      </c>
      <c r="U75" s="671">
        <v>43.424450242621276</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0.41126400000000007</v>
      </c>
      <c r="S76" s="663">
        <v>0</v>
      </c>
      <c r="T76" s="663">
        <v>0</v>
      </c>
      <c r="U76" s="671">
        <v>0.41126400000000007</v>
      </c>
    </row>
    <row r="77" spans="3:21" ht="13">
      <c r="C77" s="666" t="s">
        <v>83</v>
      </c>
      <c r="D77" s="667">
        <v>3.5119651912640659</v>
      </c>
      <c r="E77" s="667">
        <v>0</v>
      </c>
      <c r="F77" s="667">
        <v>271.3161328327505</v>
      </c>
      <c r="G77" s="667">
        <v>0.28870182254104659</v>
      </c>
      <c r="H77" s="675">
        <v>137.06542539121747</v>
      </c>
      <c r="I77" s="667">
        <v>0</v>
      </c>
      <c r="J77" s="667">
        <v>0</v>
      </c>
      <c r="K77" s="667">
        <v>0</v>
      </c>
      <c r="L77" s="667">
        <v>64.733705685939313</v>
      </c>
      <c r="M77" s="667">
        <v>2.5490453181526216</v>
      </c>
      <c r="N77" s="667">
        <v>54.328033959885659</v>
      </c>
      <c r="O77" s="667">
        <v>36.466439327240145</v>
      </c>
      <c r="P77" s="667">
        <v>105.39487042391544</v>
      </c>
      <c r="Q77" s="667">
        <v>3.8758335430782287</v>
      </c>
      <c r="R77" s="667">
        <v>443.94370217895619</v>
      </c>
      <c r="S77" s="667">
        <v>65.916211304815718</v>
      </c>
      <c r="T77" s="667">
        <v>4.4627979952247179</v>
      </c>
      <c r="U77" s="667">
        <v>1193.8528649749812</v>
      </c>
    </row>
    <row r="78" spans="3:21" ht="13">
      <c r="C78" s="662" t="s">
        <v>84</v>
      </c>
      <c r="D78" s="663">
        <v>0</v>
      </c>
      <c r="E78" s="663">
        <v>0</v>
      </c>
      <c r="F78" s="663">
        <v>84.901304982748769</v>
      </c>
      <c r="G78" s="663">
        <v>2.533106458518084</v>
      </c>
      <c r="H78" s="663">
        <v>9.2771889658758084</v>
      </c>
      <c r="I78" s="663">
        <v>0</v>
      </c>
      <c r="J78" s="663">
        <v>0</v>
      </c>
      <c r="K78" s="663">
        <v>0</v>
      </c>
      <c r="L78" s="663">
        <v>0.20840484716769062</v>
      </c>
      <c r="M78" s="663">
        <v>0</v>
      </c>
      <c r="N78" s="663">
        <v>11.136408529558132</v>
      </c>
      <c r="O78" s="663">
        <v>1.4684689617858735</v>
      </c>
      <c r="P78" s="663">
        <v>0</v>
      </c>
      <c r="Q78" s="663">
        <v>0</v>
      </c>
      <c r="R78" s="663">
        <v>0</v>
      </c>
      <c r="S78" s="663">
        <v>0</v>
      </c>
      <c r="T78" s="663">
        <v>14.605640428811407</v>
      </c>
      <c r="U78" s="671">
        <v>124.13052317446576</v>
      </c>
    </row>
    <row r="79" spans="3:21" ht="13">
      <c r="C79" s="666" t="s">
        <v>85</v>
      </c>
      <c r="D79" s="667">
        <v>3.5119651912640659</v>
      </c>
      <c r="E79" s="667">
        <v>0</v>
      </c>
      <c r="F79" s="667">
        <v>356.2174378154993</v>
      </c>
      <c r="G79" s="667">
        <v>2.8218082810591305</v>
      </c>
      <c r="H79" s="675">
        <v>146.34261435709328</v>
      </c>
      <c r="I79" s="667">
        <v>0</v>
      </c>
      <c r="J79" s="667">
        <v>0</v>
      </c>
      <c r="K79" s="667">
        <v>0</v>
      </c>
      <c r="L79" s="667">
        <v>64.942110533106998</v>
      </c>
      <c r="M79" s="667">
        <v>2.5490453181526216</v>
      </c>
      <c r="N79" s="667">
        <v>65.464442489443798</v>
      </c>
      <c r="O79" s="667">
        <v>37.934908289026019</v>
      </c>
      <c r="P79" s="667">
        <v>105.39487042391544</v>
      </c>
      <c r="Q79" s="667">
        <v>3.8758335430782287</v>
      </c>
      <c r="R79" s="667">
        <v>443.94370217895619</v>
      </c>
      <c r="S79" s="667">
        <v>65.916211304815718</v>
      </c>
      <c r="T79" s="667">
        <v>19.068438424036124</v>
      </c>
      <c r="U79" s="667">
        <v>1317.9833881494469</v>
      </c>
    </row>
    <row r="80" spans="3:21">
      <c r="C80" s="654"/>
      <c r="D80" s="672">
        <v>0</v>
      </c>
      <c r="E80" s="672">
        <v>0</v>
      </c>
      <c r="F80" s="672">
        <v>-5.6843418860808015E-14</v>
      </c>
      <c r="G80" s="672">
        <v>0</v>
      </c>
      <c r="H80" s="672">
        <v>0</v>
      </c>
      <c r="I80" s="672">
        <v>0</v>
      </c>
      <c r="J80" s="672">
        <v>0</v>
      </c>
      <c r="K80" s="672">
        <v>0</v>
      </c>
      <c r="L80" s="672">
        <v>0</v>
      </c>
      <c r="M80" s="672">
        <v>0</v>
      </c>
      <c r="N80" s="672">
        <v>-1.6135057642804664</v>
      </c>
      <c r="O80" s="672">
        <v>-3.219646771412954E-15</v>
      </c>
      <c r="P80" s="672">
        <v>0</v>
      </c>
      <c r="Q80" s="672">
        <v>0</v>
      </c>
      <c r="R80" s="672">
        <v>5.6843418860808015E-14</v>
      </c>
      <c r="S80" s="672">
        <v>-1.4210854715202004E-14</v>
      </c>
      <c r="T80" s="672">
        <v>0</v>
      </c>
      <c r="U80" s="672">
        <v>-1.6135057642804895</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361</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5.8150000000000004</v>
      </c>
      <c r="F86" s="663">
        <v>0</v>
      </c>
      <c r="G86" s="663">
        <v>0</v>
      </c>
      <c r="H86" s="663">
        <v>9.3040000000000012E-2</v>
      </c>
      <c r="I86" s="663">
        <v>0</v>
      </c>
      <c r="J86" s="664">
        <v>962.45197015227166</v>
      </c>
      <c r="K86" s="664">
        <v>267.5000244841633</v>
      </c>
      <c r="L86" s="664">
        <v>267.72778932192256</v>
      </c>
      <c r="M86" s="664">
        <v>26.714360415666448</v>
      </c>
      <c r="N86" s="663">
        <v>1.5151391983163085</v>
      </c>
      <c r="O86" s="663">
        <v>0.16086233431790645</v>
      </c>
      <c r="P86" s="664">
        <v>114.79412791174752</v>
      </c>
      <c r="Q86" s="664">
        <v>17.865639972874789</v>
      </c>
      <c r="R86" s="663">
        <v>0</v>
      </c>
      <c r="S86" s="663">
        <v>0</v>
      </c>
      <c r="T86" s="663">
        <v>0</v>
      </c>
      <c r="U86" s="665">
        <v>1664.6379537912806</v>
      </c>
    </row>
    <row r="87" spans="3:21" ht="13">
      <c r="C87" s="662" t="s">
        <v>60</v>
      </c>
      <c r="D87" s="663">
        <v>16.178882267256224</v>
      </c>
      <c r="E87" s="663">
        <v>338.94665094130841</v>
      </c>
      <c r="F87" s="663">
        <v>53.154703213153105</v>
      </c>
      <c r="G87" s="663">
        <v>0.84709048921241781</v>
      </c>
      <c r="H87" s="663">
        <v>154.95460842815714</v>
      </c>
      <c r="I87" s="663">
        <v>0</v>
      </c>
      <c r="J87" s="663">
        <v>0</v>
      </c>
      <c r="K87" s="663">
        <v>0</v>
      </c>
      <c r="L87" s="663">
        <v>3.3497189577114872</v>
      </c>
      <c r="M87" s="663">
        <v>0</v>
      </c>
      <c r="N87" s="663">
        <v>3.7248932526167962</v>
      </c>
      <c r="O87" s="663">
        <v>0</v>
      </c>
      <c r="P87" s="663">
        <v>0</v>
      </c>
      <c r="Q87" s="663">
        <v>0</v>
      </c>
      <c r="R87" s="663">
        <v>0</v>
      </c>
      <c r="S87" s="663">
        <v>0</v>
      </c>
      <c r="T87" s="663">
        <v>0</v>
      </c>
      <c r="U87" s="665">
        <v>571.15654754941545</v>
      </c>
    </row>
    <row r="88" spans="3:21" ht="13">
      <c r="C88" s="662" t="s">
        <v>61</v>
      </c>
      <c r="D88" s="663">
        <v>0</v>
      </c>
      <c r="E88" s="663">
        <v>0</v>
      </c>
      <c r="F88" s="663">
        <v>-0.33572040479024756</v>
      </c>
      <c r="G88" s="663">
        <v>0</v>
      </c>
      <c r="H88" s="663">
        <v>0</v>
      </c>
      <c r="I88" s="663">
        <v>0</v>
      </c>
      <c r="J88" s="663">
        <v>0</v>
      </c>
      <c r="K88" s="663">
        <v>0</v>
      </c>
      <c r="L88" s="663">
        <v>0</v>
      </c>
      <c r="M88" s="663">
        <v>0</v>
      </c>
      <c r="N88" s="663">
        <v>0</v>
      </c>
      <c r="O88" s="663">
        <v>0</v>
      </c>
      <c r="P88" s="663">
        <v>0</v>
      </c>
      <c r="Q88" s="663">
        <v>0</v>
      </c>
      <c r="R88" s="663">
        <v>-40.000125067890167</v>
      </c>
      <c r="S88" s="663">
        <v>0</v>
      </c>
      <c r="T88" s="663">
        <v>0</v>
      </c>
      <c r="U88" s="665">
        <v>-40.335845472680411</v>
      </c>
    </row>
    <row r="89" spans="3:21" ht="13">
      <c r="C89" s="662" t="s">
        <v>62</v>
      </c>
      <c r="D89" s="663">
        <v>0</v>
      </c>
      <c r="E89" s="663">
        <v>0</v>
      </c>
      <c r="F89" s="663">
        <v>-12.959356122819004</v>
      </c>
      <c r="G89" s="663">
        <v>-1.1745589556928391</v>
      </c>
      <c r="H89" s="663">
        <v>-1.8985906548092106</v>
      </c>
      <c r="I89" s="663">
        <v>0</v>
      </c>
      <c r="J89" s="663">
        <v>0</v>
      </c>
      <c r="K89" s="663">
        <v>0</v>
      </c>
      <c r="L89" s="663">
        <v>0</v>
      </c>
      <c r="M89" s="663">
        <v>0</v>
      </c>
      <c r="N89" s="663">
        <v>-0.50338240958264524</v>
      </c>
      <c r="O89" s="663">
        <v>-0.70221846136779031</v>
      </c>
      <c r="P89" s="663">
        <v>0</v>
      </c>
      <c r="Q89" s="663">
        <v>0</v>
      </c>
      <c r="R89" s="663">
        <v>0</v>
      </c>
      <c r="S89" s="663">
        <v>0</v>
      </c>
      <c r="T89" s="663">
        <v>0</v>
      </c>
      <c r="U89" s="665">
        <v>-17.23810660427149</v>
      </c>
    </row>
    <row r="90" spans="3:21" ht="13">
      <c r="C90" s="662" t="s">
        <v>63</v>
      </c>
      <c r="D90" s="663">
        <v>0</v>
      </c>
      <c r="E90" s="663">
        <v>0</v>
      </c>
      <c r="F90" s="663">
        <v>-60.220777612804881</v>
      </c>
      <c r="G90" s="663">
        <v>-3.9749070731502325</v>
      </c>
      <c r="H90" s="663">
        <v>0</v>
      </c>
      <c r="I90" s="663">
        <v>0</v>
      </c>
      <c r="J90" s="663">
        <v>0</v>
      </c>
      <c r="K90" s="663">
        <v>0</v>
      </c>
      <c r="L90" s="663">
        <v>0</v>
      </c>
      <c r="M90" s="663">
        <v>0</v>
      </c>
      <c r="N90" s="663">
        <v>-11.924721219450698</v>
      </c>
      <c r="O90" s="663">
        <v>0</v>
      </c>
      <c r="P90" s="663">
        <v>0</v>
      </c>
      <c r="Q90" s="663">
        <v>0</v>
      </c>
      <c r="R90" s="663">
        <v>0</v>
      </c>
      <c r="S90" s="663">
        <v>0</v>
      </c>
      <c r="T90" s="663">
        <v>-0.14322207633849007</v>
      </c>
      <c r="U90" s="665">
        <v>-76.263627981744307</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16.178882267256224</v>
      </c>
      <c r="E92" s="667">
        <v>344.7616509413084</v>
      </c>
      <c r="F92" s="667">
        <v>-20.361150927261026</v>
      </c>
      <c r="G92" s="667">
        <v>-4.3023755396306536</v>
      </c>
      <c r="H92" s="675">
        <v>153.14905777334795</v>
      </c>
      <c r="I92" s="667">
        <v>0</v>
      </c>
      <c r="J92" s="667">
        <v>962.45197015227166</v>
      </c>
      <c r="K92" s="667">
        <v>267.5000244841633</v>
      </c>
      <c r="L92" s="667">
        <v>271.07750827963406</v>
      </c>
      <c r="M92" s="667">
        <v>26.714360415666448</v>
      </c>
      <c r="N92" s="667">
        <v>-7.1880711781002375</v>
      </c>
      <c r="O92" s="667">
        <v>-0.5413561270498839</v>
      </c>
      <c r="P92" s="667">
        <v>114.79412791174752</v>
      </c>
      <c r="Q92" s="667">
        <v>17.865639972874789</v>
      </c>
      <c r="R92" s="667">
        <v>-40.000125067890167</v>
      </c>
      <c r="S92" s="667">
        <v>0</v>
      </c>
      <c r="T92" s="667">
        <v>-0.14322207633849007</v>
      </c>
      <c r="U92" s="667">
        <v>2101.9569212819993</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0.802217285608815</v>
      </c>
      <c r="G95" s="663">
        <v>0</v>
      </c>
      <c r="H95" s="663">
        <v>10.885217127183394</v>
      </c>
      <c r="I95" s="663">
        <v>0</v>
      </c>
      <c r="J95" s="663">
        <v>962.45197015227166</v>
      </c>
      <c r="K95" s="663">
        <v>267.5000244841633</v>
      </c>
      <c r="L95" s="663">
        <v>25.455194099059376</v>
      </c>
      <c r="M95" s="663">
        <v>9.8679572117025351</v>
      </c>
      <c r="N95" s="663">
        <v>5.0291337303525587</v>
      </c>
      <c r="O95" s="663">
        <v>2.8343761662812361</v>
      </c>
      <c r="P95" s="663">
        <v>0</v>
      </c>
      <c r="Q95" s="663">
        <v>2.7943993103273139</v>
      </c>
      <c r="R95" s="663">
        <v>-610.76520896369152</v>
      </c>
      <c r="S95" s="663">
        <v>0</v>
      </c>
      <c r="T95" s="663">
        <v>0</v>
      </c>
      <c r="U95" s="671">
        <v>676.85528060325873</v>
      </c>
    </row>
    <row r="96" spans="3:21" ht="13">
      <c r="C96" s="670" t="s">
        <v>351</v>
      </c>
      <c r="D96" s="663">
        <v>0</v>
      </c>
      <c r="E96" s="663">
        <v>0</v>
      </c>
      <c r="F96" s="663">
        <v>0</v>
      </c>
      <c r="G96" s="663">
        <v>0</v>
      </c>
      <c r="H96" s="663">
        <v>12.378684044888715</v>
      </c>
      <c r="I96" s="663">
        <v>0</v>
      </c>
      <c r="J96" s="663">
        <v>0</v>
      </c>
      <c r="K96" s="663">
        <v>0</v>
      </c>
      <c r="L96" s="663">
        <v>36.0447949504767</v>
      </c>
      <c r="M96" s="663">
        <v>14.339300216640275</v>
      </c>
      <c r="N96" s="663">
        <v>0</v>
      </c>
      <c r="O96" s="663">
        <v>4.1400526748892315</v>
      </c>
      <c r="P96" s="663">
        <v>0</v>
      </c>
      <c r="Q96" s="663">
        <v>10.825953288370551</v>
      </c>
      <c r="R96" s="663">
        <v>0</v>
      </c>
      <c r="S96" s="663">
        <v>-71.400838762535344</v>
      </c>
      <c r="T96" s="663">
        <v>0</v>
      </c>
      <c r="U96" s="671">
        <v>6.3279464127301193</v>
      </c>
    </row>
    <row r="97" spans="3:21" ht="13">
      <c r="C97" s="670" t="s">
        <v>352</v>
      </c>
      <c r="D97" s="663">
        <v>0</v>
      </c>
      <c r="E97" s="663">
        <v>0</v>
      </c>
      <c r="F97" s="663">
        <v>0</v>
      </c>
      <c r="G97" s="663">
        <v>0</v>
      </c>
      <c r="H97" s="663">
        <v>0</v>
      </c>
      <c r="I97" s="663">
        <v>0</v>
      </c>
      <c r="J97" s="663">
        <v>0</v>
      </c>
      <c r="K97" s="663">
        <v>0</v>
      </c>
      <c r="L97" s="663">
        <v>59.794350125101182</v>
      </c>
      <c r="M97" s="663">
        <v>0</v>
      </c>
      <c r="N97" s="663">
        <v>0</v>
      </c>
      <c r="O97" s="663">
        <v>-54.232182762859196</v>
      </c>
      <c r="P97" s="663">
        <v>0</v>
      </c>
      <c r="Q97" s="663">
        <v>0</v>
      </c>
      <c r="R97" s="663">
        <v>0</v>
      </c>
      <c r="S97" s="663">
        <v>0</v>
      </c>
      <c r="T97" s="663">
        <v>0</v>
      </c>
      <c r="U97" s="671">
        <v>5.5621673622419863</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357.27482859273942</v>
      </c>
      <c r="F99" s="663">
        <v>-353.71543432563573</v>
      </c>
      <c r="G99" s="663">
        <v>0</v>
      </c>
      <c r="H99" s="663">
        <v>0</v>
      </c>
      <c r="I99" s="663">
        <v>0</v>
      </c>
      <c r="J99" s="663">
        <v>0</v>
      </c>
      <c r="K99" s="663">
        <v>0</v>
      </c>
      <c r="L99" s="663">
        <v>0</v>
      </c>
      <c r="M99" s="663">
        <v>0</v>
      </c>
      <c r="N99" s="663">
        <v>0</v>
      </c>
      <c r="O99" s="663">
        <v>0</v>
      </c>
      <c r="P99" s="663">
        <v>0</v>
      </c>
      <c r="Q99" s="663">
        <v>0</v>
      </c>
      <c r="R99" s="663">
        <v>0</v>
      </c>
      <c r="S99" s="663">
        <v>0</v>
      </c>
      <c r="T99" s="663">
        <v>0</v>
      </c>
      <c r="U99" s="671">
        <v>3.5593942671036793</v>
      </c>
    </row>
    <row r="100" spans="3:21" ht="13">
      <c r="C100" s="670" t="s">
        <v>354</v>
      </c>
      <c r="D100" s="663">
        <v>0</v>
      </c>
      <c r="E100" s="663">
        <v>0</v>
      </c>
      <c r="F100" s="663">
        <v>0</v>
      </c>
      <c r="G100" s="663">
        <v>0</v>
      </c>
      <c r="H100" s="663">
        <v>0</v>
      </c>
      <c r="I100" s="663">
        <v>0</v>
      </c>
      <c r="J100" s="663">
        <v>0</v>
      </c>
      <c r="K100" s="663">
        <v>0</v>
      </c>
      <c r="L100" s="663">
        <v>87.509483344344957</v>
      </c>
      <c r="M100" s="663">
        <v>0</v>
      </c>
      <c r="N100" s="663">
        <v>-87.509483344344957</v>
      </c>
      <c r="O100" s="663">
        <v>0</v>
      </c>
      <c r="P100" s="663">
        <v>0</v>
      </c>
      <c r="Q100" s="663">
        <v>0</v>
      </c>
      <c r="R100" s="663">
        <v>0</v>
      </c>
      <c r="S100" s="663">
        <v>0</v>
      </c>
      <c r="T100" s="663">
        <v>0</v>
      </c>
      <c r="U100" s="671">
        <v>0</v>
      </c>
    </row>
    <row r="101" spans="3:21" ht="13">
      <c r="C101" s="670" t="s">
        <v>355</v>
      </c>
      <c r="D101" s="663">
        <v>0</v>
      </c>
      <c r="E101" s="663">
        <v>0</v>
      </c>
      <c r="F101" s="663">
        <v>0</v>
      </c>
      <c r="G101" s="663">
        <v>-7.9105007206485656</v>
      </c>
      <c r="H101" s="663">
        <v>0</v>
      </c>
      <c r="I101" s="663">
        <v>0</v>
      </c>
      <c r="J101" s="663">
        <v>0</v>
      </c>
      <c r="K101" s="663">
        <v>0</v>
      </c>
      <c r="L101" s="663">
        <v>0</v>
      </c>
      <c r="M101" s="663">
        <v>0</v>
      </c>
      <c r="N101" s="663">
        <v>0</v>
      </c>
      <c r="O101" s="663">
        <v>0</v>
      </c>
      <c r="P101" s="663">
        <v>0</v>
      </c>
      <c r="Q101" s="663">
        <v>0</v>
      </c>
      <c r="R101" s="663">
        <v>0</v>
      </c>
      <c r="S101" s="663">
        <v>0</v>
      </c>
      <c r="T101" s="663">
        <v>11.017410474440901</v>
      </c>
      <c r="U101" s="671">
        <v>3.1069097537923351</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51.730551312429718</v>
      </c>
      <c r="S102" s="663">
        <v>0</v>
      </c>
      <c r="T102" s="663">
        <v>-34.530143001046838</v>
      </c>
      <c r="U102" s="671">
        <v>17.20040831138288</v>
      </c>
    </row>
    <row r="103" spans="3:21" ht="13">
      <c r="C103" s="670" t="s">
        <v>356</v>
      </c>
      <c r="D103" s="663">
        <v>9.1080551953124989</v>
      </c>
      <c r="E103" s="663">
        <v>-12.513177651431018</v>
      </c>
      <c r="F103" s="663">
        <v>16.300260399898175</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12.895137943779657</v>
      </c>
    </row>
    <row r="104" spans="3:21" ht="13">
      <c r="C104" s="670" t="s">
        <v>75</v>
      </c>
      <c r="D104" s="663">
        <v>3.5420214648437502</v>
      </c>
      <c r="E104" s="663">
        <v>0</v>
      </c>
      <c r="F104" s="663">
        <v>18.654676129726123</v>
      </c>
      <c r="G104" s="663">
        <v>0</v>
      </c>
      <c r="H104" s="663">
        <v>3.9220454388203256</v>
      </c>
      <c r="I104" s="663">
        <v>0</v>
      </c>
      <c r="J104" s="663">
        <v>0</v>
      </c>
      <c r="K104" s="663">
        <v>0</v>
      </c>
      <c r="L104" s="663">
        <v>0</v>
      </c>
      <c r="M104" s="663">
        <v>0</v>
      </c>
      <c r="N104" s="663">
        <v>0</v>
      </c>
      <c r="O104" s="663">
        <v>1.4506195458650522</v>
      </c>
      <c r="P104" s="663">
        <v>0</v>
      </c>
      <c r="Q104" s="663">
        <v>0</v>
      </c>
      <c r="R104" s="663">
        <v>24.070214497240038</v>
      </c>
      <c r="S104" s="663">
        <v>0</v>
      </c>
      <c r="T104" s="663">
        <v>0</v>
      </c>
      <c r="U104" s="671">
        <v>51.639577076495286</v>
      </c>
    </row>
    <row r="105" spans="3:21" ht="13">
      <c r="C105" s="670" t="s">
        <v>76</v>
      </c>
      <c r="D105" s="663">
        <v>0</v>
      </c>
      <c r="E105" s="663">
        <v>0</v>
      </c>
      <c r="F105" s="663">
        <v>0</v>
      </c>
      <c r="G105" s="663">
        <v>0</v>
      </c>
      <c r="H105" s="663">
        <v>1.7220653905707752</v>
      </c>
      <c r="I105" s="663">
        <v>0</v>
      </c>
      <c r="J105" s="663">
        <v>0</v>
      </c>
      <c r="K105" s="663">
        <v>0</v>
      </c>
      <c r="L105" s="663">
        <v>0</v>
      </c>
      <c r="M105" s="663">
        <v>0</v>
      </c>
      <c r="N105" s="663">
        <v>0</v>
      </c>
      <c r="O105" s="663">
        <v>0.63692829514261562</v>
      </c>
      <c r="P105" s="663">
        <v>0</v>
      </c>
      <c r="Q105" s="663">
        <v>0</v>
      </c>
      <c r="R105" s="663">
        <v>43.697669495159822</v>
      </c>
      <c r="S105" s="663">
        <v>5.5373897346121579</v>
      </c>
      <c r="T105" s="663">
        <v>0</v>
      </c>
      <c r="U105" s="671">
        <v>51.594052915485378</v>
      </c>
    </row>
    <row r="106" spans="3:21" ht="13">
      <c r="C106" s="666" t="s">
        <v>77</v>
      </c>
      <c r="D106" s="667">
        <v>12.650076660156248</v>
      </c>
      <c r="E106" s="667">
        <v>344.7616509413084</v>
      </c>
      <c r="F106" s="667">
        <v>-317.95828051040263</v>
      </c>
      <c r="G106" s="667">
        <v>-7.9105007206485656</v>
      </c>
      <c r="H106" s="675">
        <v>28.908012001463213</v>
      </c>
      <c r="I106" s="667">
        <v>0</v>
      </c>
      <c r="J106" s="667">
        <v>962.45197015227166</v>
      </c>
      <c r="K106" s="667">
        <v>267.5000244841633</v>
      </c>
      <c r="L106" s="667">
        <v>208.80382251898223</v>
      </c>
      <c r="M106" s="667">
        <v>24.207257428342814</v>
      </c>
      <c r="N106" s="667">
        <v>-82.480349613992402</v>
      </c>
      <c r="O106" s="667">
        <v>-45.170206080681055</v>
      </c>
      <c r="P106" s="667">
        <v>0</v>
      </c>
      <c r="Q106" s="667">
        <v>13.620352598697865</v>
      </c>
      <c r="R106" s="667">
        <v>-491.26677365886189</v>
      </c>
      <c r="S106" s="667">
        <v>-65.863449027923181</v>
      </c>
      <c r="T106" s="667">
        <v>-23.512732526605937</v>
      </c>
      <c r="U106" s="667">
        <v>828.74087464627007</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3.5288056070999749</v>
      </c>
      <c r="E108" s="663">
        <v>0</v>
      </c>
      <c r="F108" s="663">
        <v>9.0742751543652709</v>
      </c>
      <c r="G108" s="663">
        <v>0</v>
      </c>
      <c r="H108" s="663">
        <v>50.765702343803007</v>
      </c>
      <c r="I108" s="663">
        <v>0</v>
      </c>
      <c r="J108" s="663">
        <v>0</v>
      </c>
      <c r="K108" s="663">
        <v>0</v>
      </c>
      <c r="L108" s="663">
        <v>20.203559685037114</v>
      </c>
      <c r="M108" s="663">
        <v>2.5066351077817299</v>
      </c>
      <c r="N108" s="663">
        <v>1.1254933974609376</v>
      </c>
      <c r="O108" s="663">
        <v>18.810321451312785</v>
      </c>
      <c r="P108" s="663">
        <v>5.5404179687499999</v>
      </c>
      <c r="Q108" s="663">
        <v>6.9244826847420892E-4</v>
      </c>
      <c r="R108" s="663">
        <v>129.68210517319469</v>
      </c>
      <c r="S108" s="663">
        <v>18.067305271014469</v>
      </c>
      <c r="T108" s="663">
        <v>3.2886369628906249</v>
      </c>
      <c r="U108" s="671">
        <v>262.59395057097908</v>
      </c>
    </row>
    <row r="109" spans="3:21" ht="13">
      <c r="C109" s="670" t="s">
        <v>79</v>
      </c>
      <c r="D109" s="663">
        <v>0</v>
      </c>
      <c r="E109" s="663">
        <v>0</v>
      </c>
      <c r="F109" s="663">
        <v>183.65265309164423</v>
      </c>
      <c r="G109" s="663">
        <v>0.37586832320647884</v>
      </c>
      <c r="H109" s="663">
        <v>4.5862710057628444</v>
      </c>
      <c r="I109" s="663">
        <v>0</v>
      </c>
      <c r="J109" s="663">
        <v>0</v>
      </c>
      <c r="K109" s="663">
        <v>0</v>
      </c>
      <c r="L109" s="663">
        <v>0</v>
      </c>
      <c r="M109" s="663">
        <v>0</v>
      </c>
      <c r="N109" s="663">
        <v>52.853956211759765</v>
      </c>
      <c r="O109" s="663">
        <v>1.6962920158300934</v>
      </c>
      <c r="P109" s="663">
        <v>0</v>
      </c>
      <c r="Q109" s="663">
        <v>0</v>
      </c>
      <c r="R109" s="663">
        <v>57.341707182273488</v>
      </c>
      <c r="S109" s="663">
        <v>0</v>
      </c>
      <c r="T109" s="663">
        <v>2.0198839430903792</v>
      </c>
      <c r="U109" s="671">
        <v>302.52663177356732</v>
      </c>
    </row>
    <row r="110" spans="3:21" ht="13">
      <c r="C110" s="670" t="s">
        <v>80</v>
      </c>
      <c r="D110" s="663">
        <v>0</v>
      </c>
      <c r="E110" s="663">
        <v>0</v>
      </c>
      <c r="F110" s="663">
        <v>3.260836950166615</v>
      </c>
      <c r="G110" s="663">
        <v>0</v>
      </c>
      <c r="H110" s="663">
        <v>39.313312069692138</v>
      </c>
      <c r="I110" s="663">
        <v>0</v>
      </c>
      <c r="J110" s="663">
        <v>0</v>
      </c>
      <c r="K110" s="663">
        <v>0</v>
      </c>
      <c r="L110" s="663">
        <v>38.595135513286785</v>
      </c>
      <c r="M110" s="663">
        <v>0</v>
      </c>
      <c r="N110" s="663">
        <v>0</v>
      </c>
      <c r="O110" s="663">
        <v>14.540540080571066</v>
      </c>
      <c r="P110" s="663">
        <v>88.021667456281236</v>
      </c>
      <c r="Q110" s="663">
        <v>2.3427124137087052</v>
      </c>
      <c r="R110" s="663">
        <v>158.98187870009832</v>
      </c>
      <c r="S110" s="663">
        <v>28.917251051933125</v>
      </c>
      <c r="T110" s="663">
        <v>0</v>
      </c>
      <c r="U110" s="671">
        <v>373.97333423573804</v>
      </c>
    </row>
    <row r="111" spans="3:21" ht="13">
      <c r="C111" s="670" t="s">
        <v>81</v>
      </c>
      <c r="D111" s="663">
        <v>0</v>
      </c>
      <c r="E111" s="663">
        <v>0</v>
      </c>
      <c r="F111" s="663">
        <v>3.4419330830775619</v>
      </c>
      <c r="G111" s="663">
        <v>0</v>
      </c>
      <c r="H111" s="663">
        <v>19.661407657447267</v>
      </c>
      <c r="I111" s="663">
        <v>0</v>
      </c>
      <c r="J111" s="663">
        <v>0</v>
      </c>
      <c r="K111" s="663">
        <v>0</v>
      </c>
      <c r="L111" s="663">
        <v>0.43406989863895534</v>
      </c>
      <c r="M111" s="663">
        <v>4.6787954190583215E-4</v>
      </c>
      <c r="N111" s="663">
        <v>0</v>
      </c>
      <c r="O111" s="663">
        <v>7.2720274897407702</v>
      </c>
      <c r="P111" s="663">
        <v>20.482042486716281</v>
      </c>
      <c r="Q111" s="663">
        <v>0.93898003664808516</v>
      </c>
      <c r="R111" s="663">
        <v>96.862888654792613</v>
      </c>
      <c r="S111" s="663">
        <v>18.878892704975588</v>
      </c>
      <c r="T111" s="663">
        <v>0</v>
      </c>
      <c r="U111" s="671">
        <v>167.97270989157903</v>
      </c>
    </row>
    <row r="112" spans="3:21" ht="13">
      <c r="C112" s="670" t="s">
        <v>82</v>
      </c>
      <c r="D112" s="663">
        <v>0</v>
      </c>
      <c r="E112" s="663">
        <v>0</v>
      </c>
      <c r="F112" s="663">
        <v>19.85629550078999</v>
      </c>
      <c r="G112" s="663">
        <v>0</v>
      </c>
      <c r="H112" s="663">
        <v>1.376773611649958</v>
      </c>
      <c r="I112" s="663">
        <v>0</v>
      </c>
      <c r="J112" s="663">
        <v>0</v>
      </c>
      <c r="K112" s="663">
        <v>0</v>
      </c>
      <c r="L112" s="663">
        <v>2.7730307508519707</v>
      </c>
      <c r="M112" s="663">
        <v>0</v>
      </c>
      <c r="N112" s="663">
        <v>8.3214654409998232</v>
      </c>
      <c r="O112" s="663">
        <v>0.50921763718560098</v>
      </c>
      <c r="P112" s="663">
        <v>0.75</v>
      </c>
      <c r="Q112" s="663">
        <v>0.96290247555165809</v>
      </c>
      <c r="R112" s="663">
        <v>7.7126288806125016</v>
      </c>
      <c r="S112" s="663">
        <v>0</v>
      </c>
      <c r="T112" s="663">
        <v>0.24940873791150003</v>
      </c>
      <c r="U112" s="671">
        <v>42.511723035553004</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0.68544000000000005</v>
      </c>
      <c r="S113" s="663">
        <v>0</v>
      </c>
      <c r="T113" s="663">
        <v>0</v>
      </c>
      <c r="U113" s="671">
        <v>0.68544000000000005</v>
      </c>
    </row>
    <row r="114" spans="3:21" ht="13">
      <c r="C114" s="666" t="s">
        <v>83</v>
      </c>
      <c r="D114" s="667">
        <v>3.5288056070999749</v>
      </c>
      <c r="E114" s="667">
        <v>0</v>
      </c>
      <c r="F114" s="667">
        <v>219.2859937800437</v>
      </c>
      <c r="G114" s="667">
        <v>0.37586832320647884</v>
      </c>
      <c r="H114" s="675">
        <v>115.70346668835522</v>
      </c>
      <c r="I114" s="667">
        <v>0</v>
      </c>
      <c r="J114" s="667">
        <v>0</v>
      </c>
      <c r="K114" s="667">
        <v>0</v>
      </c>
      <c r="L114" s="667">
        <v>62.005795847814824</v>
      </c>
      <c r="M114" s="667">
        <v>2.5071029873236355</v>
      </c>
      <c r="N114" s="667">
        <v>62.300915050220524</v>
      </c>
      <c r="O114" s="667">
        <v>42.828398674640319</v>
      </c>
      <c r="P114" s="667">
        <v>114.79412791174752</v>
      </c>
      <c r="Q114" s="667">
        <v>4.2452873741769226</v>
      </c>
      <c r="R114" s="667">
        <v>451.26664859097167</v>
      </c>
      <c r="S114" s="667">
        <v>65.863449027923181</v>
      </c>
      <c r="T114" s="667">
        <v>5.5579296438925034</v>
      </c>
      <c r="U114" s="667">
        <v>1150.2637895074163</v>
      </c>
    </row>
    <row r="115" spans="3:21" ht="13">
      <c r="C115" s="662" t="s">
        <v>84</v>
      </c>
      <c r="D115" s="663">
        <v>0</v>
      </c>
      <c r="E115" s="663">
        <v>0</v>
      </c>
      <c r="F115" s="663">
        <v>78.311135803097855</v>
      </c>
      <c r="G115" s="663">
        <v>3.2322568578114335</v>
      </c>
      <c r="H115" s="663">
        <v>8.5375790835295255</v>
      </c>
      <c r="I115" s="663">
        <v>0</v>
      </c>
      <c r="J115" s="663">
        <v>0</v>
      </c>
      <c r="K115" s="663">
        <v>0</v>
      </c>
      <c r="L115" s="663">
        <v>0.26788991283700125</v>
      </c>
      <c r="M115" s="663">
        <v>0</v>
      </c>
      <c r="N115" s="663">
        <v>12.991363385671615</v>
      </c>
      <c r="O115" s="663">
        <v>1.800451278990862</v>
      </c>
      <c r="P115" s="663">
        <v>0</v>
      </c>
      <c r="Q115" s="663">
        <v>0</v>
      </c>
      <c r="R115" s="663">
        <v>0</v>
      </c>
      <c r="S115" s="663">
        <v>0</v>
      </c>
      <c r="T115" s="663">
        <v>17.811580806374948</v>
      </c>
      <c r="U115" s="671">
        <v>122.95225712831325</v>
      </c>
    </row>
    <row r="116" spans="3:21" ht="13">
      <c r="C116" s="666" t="s">
        <v>85</v>
      </c>
      <c r="D116" s="667">
        <v>3.5288056070999749</v>
      </c>
      <c r="E116" s="667">
        <v>0</v>
      </c>
      <c r="F116" s="667">
        <v>297.59712958314151</v>
      </c>
      <c r="G116" s="667">
        <v>3.6081251810179125</v>
      </c>
      <c r="H116" s="675">
        <v>124.24104577188474</v>
      </c>
      <c r="I116" s="667">
        <v>0</v>
      </c>
      <c r="J116" s="667">
        <v>0</v>
      </c>
      <c r="K116" s="667">
        <v>0</v>
      </c>
      <c r="L116" s="667">
        <v>62.273685760651823</v>
      </c>
      <c r="M116" s="667">
        <v>2.5071029873236355</v>
      </c>
      <c r="N116" s="667">
        <v>75.292278435892143</v>
      </c>
      <c r="O116" s="667">
        <v>44.628849953631182</v>
      </c>
      <c r="P116" s="667">
        <v>114.79412791174752</v>
      </c>
      <c r="Q116" s="667">
        <v>4.2452873741769226</v>
      </c>
      <c r="R116" s="667">
        <v>451.26664859097167</v>
      </c>
      <c r="S116" s="667">
        <v>65.863449027923181</v>
      </c>
      <c r="T116" s="667">
        <v>23.369510450267452</v>
      </c>
      <c r="U116" s="667">
        <v>1273.2160466357295</v>
      </c>
    </row>
    <row r="117" spans="3:21">
      <c r="C117" s="654"/>
      <c r="D117" s="672">
        <v>0</v>
      </c>
      <c r="E117" s="672">
        <v>0</v>
      </c>
      <c r="F117" s="672">
        <v>-9.5923269327613525E-14</v>
      </c>
      <c r="G117" s="672">
        <v>0</v>
      </c>
      <c r="H117" s="672">
        <v>0</v>
      </c>
      <c r="I117" s="672">
        <v>0</v>
      </c>
      <c r="J117" s="672">
        <v>0</v>
      </c>
      <c r="K117" s="672">
        <v>0</v>
      </c>
      <c r="L117" s="672">
        <v>0</v>
      </c>
      <c r="M117" s="672">
        <v>0</v>
      </c>
      <c r="N117" s="672">
        <v>-2.1316282072803006E-14</v>
      </c>
      <c r="O117" s="672">
        <v>1.0658141036401503E-14</v>
      </c>
      <c r="P117" s="672">
        <v>0</v>
      </c>
      <c r="Q117" s="672">
        <v>0</v>
      </c>
      <c r="R117" s="672">
        <v>-5.6843418860808015E-14</v>
      </c>
      <c r="S117" s="672">
        <v>0</v>
      </c>
      <c r="T117" s="672">
        <v>4.5796699765787707E-15</v>
      </c>
      <c r="U117" s="672">
        <v>0</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362</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2.3260000000000005</v>
      </c>
      <c r="F123" s="663">
        <v>0</v>
      </c>
      <c r="G123" s="663">
        <v>0</v>
      </c>
      <c r="H123" s="663">
        <v>3.7216000000000006E-2</v>
      </c>
      <c r="I123" s="663">
        <v>0</v>
      </c>
      <c r="J123" s="664">
        <v>964.52942056246673</v>
      </c>
      <c r="K123" s="664">
        <v>311.46236031836668</v>
      </c>
      <c r="L123" s="664">
        <v>294.50335183866372</v>
      </c>
      <c r="M123" s="664">
        <v>26.897654847027933</v>
      </c>
      <c r="N123" s="663">
        <v>1.5522078310841105</v>
      </c>
      <c r="O123" s="663">
        <v>0.16457898409976487</v>
      </c>
      <c r="P123" s="664">
        <v>128.43983591306872</v>
      </c>
      <c r="Q123" s="664">
        <v>20.654107927982594</v>
      </c>
      <c r="R123" s="663">
        <v>0</v>
      </c>
      <c r="S123" s="663">
        <v>0</v>
      </c>
      <c r="T123" s="663">
        <v>0</v>
      </c>
      <c r="U123" s="665">
        <v>1750.5667342227598</v>
      </c>
    </row>
    <row r="124" spans="3:21" ht="13">
      <c r="C124" s="662" t="s">
        <v>60</v>
      </c>
      <c r="D124" s="663">
        <v>13.859177019435306</v>
      </c>
      <c r="E124" s="663">
        <v>296.13837759387053</v>
      </c>
      <c r="F124" s="663">
        <v>5.829718761745502</v>
      </c>
      <c r="G124" s="663">
        <v>0.35872125556105416</v>
      </c>
      <c r="H124" s="663">
        <v>120.63288166670617</v>
      </c>
      <c r="I124" s="663">
        <v>0</v>
      </c>
      <c r="J124" s="663">
        <v>0</v>
      </c>
      <c r="K124" s="663">
        <v>0</v>
      </c>
      <c r="L124" s="663">
        <v>3.8185483520995893</v>
      </c>
      <c r="M124" s="663">
        <v>0</v>
      </c>
      <c r="N124" s="663">
        <v>4.0860505945061325</v>
      </c>
      <c r="O124" s="663">
        <v>0</v>
      </c>
      <c r="P124" s="663">
        <v>0</v>
      </c>
      <c r="Q124" s="663">
        <v>0</v>
      </c>
      <c r="R124" s="663">
        <v>0</v>
      </c>
      <c r="S124" s="663">
        <v>0</v>
      </c>
      <c r="T124" s="663">
        <v>0</v>
      </c>
      <c r="U124" s="665">
        <v>444.72347524392433</v>
      </c>
    </row>
    <row r="125" spans="3:21" ht="13">
      <c r="C125" s="662" t="s">
        <v>61</v>
      </c>
      <c r="D125" s="663">
        <v>0</v>
      </c>
      <c r="E125" s="663">
        <v>0</v>
      </c>
      <c r="F125" s="663">
        <v>-11.930293865877704</v>
      </c>
      <c r="G125" s="663">
        <v>0</v>
      </c>
      <c r="H125" s="663">
        <v>0</v>
      </c>
      <c r="I125" s="663">
        <v>0</v>
      </c>
      <c r="J125" s="663">
        <v>0</v>
      </c>
      <c r="K125" s="663">
        <v>0</v>
      </c>
      <c r="L125" s="663">
        <v>0</v>
      </c>
      <c r="M125" s="663">
        <v>0</v>
      </c>
      <c r="N125" s="663">
        <v>0</v>
      </c>
      <c r="O125" s="663">
        <v>0</v>
      </c>
      <c r="P125" s="663">
        <v>0</v>
      </c>
      <c r="Q125" s="663">
        <v>0</v>
      </c>
      <c r="R125" s="663">
        <v>-39.267637363013023</v>
      </c>
      <c r="S125" s="663">
        <v>0</v>
      </c>
      <c r="T125" s="663">
        <v>0</v>
      </c>
      <c r="U125" s="665">
        <v>-51.197931228890724</v>
      </c>
    </row>
    <row r="126" spans="3:21" ht="13">
      <c r="C126" s="662" t="s">
        <v>62</v>
      </c>
      <c r="D126" s="663">
        <v>0</v>
      </c>
      <c r="E126" s="663">
        <v>0</v>
      </c>
      <c r="F126" s="663">
        <v>-10.650864702914385</v>
      </c>
      <c r="G126" s="663">
        <v>-1.9080821969915447</v>
      </c>
      <c r="H126" s="663">
        <v>-4.5147113062781807</v>
      </c>
      <c r="I126" s="663">
        <v>0</v>
      </c>
      <c r="J126" s="663">
        <v>0</v>
      </c>
      <c r="K126" s="663">
        <v>0</v>
      </c>
      <c r="L126" s="663">
        <v>0</v>
      </c>
      <c r="M126" s="663">
        <v>0</v>
      </c>
      <c r="N126" s="663">
        <v>-0.48900468677593995</v>
      </c>
      <c r="O126" s="663">
        <v>-2.7436669996352929</v>
      </c>
      <c r="P126" s="663">
        <v>0</v>
      </c>
      <c r="Q126" s="663">
        <v>0</v>
      </c>
      <c r="R126" s="663">
        <v>0</v>
      </c>
      <c r="S126" s="663">
        <v>0</v>
      </c>
      <c r="T126" s="663">
        <v>0</v>
      </c>
      <c r="U126" s="665">
        <v>-20.306329892595343</v>
      </c>
    </row>
    <row r="127" spans="3:21" ht="13">
      <c r="C127" s="662" t="s">
        <v>63</v>
      </c>
      <c r="D127" s="663">
        <v>0</v>
      </c>
      <c r="E127" s="663">
        <v>0</v>
      </c>
      <c r="F127" s="663">
        <v>-52.2656340821949</v>
      </c>
      <c r="G127" s="663">
        <v>-8.2703034572776399</v>
      </c>
      <c r="H127" s="663">
        <v>0</v>
      </c>
      <c r="I127" s="663">
        <v>0</v>
      </c>
      <c r="J127" s="663">
        <v>0</v>
      </c>
      <c r="K127" s="663">
        <v>0</v>
      </c>
      <c r="L127" s="663">
        <v>0</v>
      </c>
      <c r="M127" s="663">
        <v>0</v>
      </c>
      <c r="N127" s="663">
        <v>-13.213101981709578</v>
      </c>
      <c r="O127" s="663">
        <v>0</v>
      </c>
      <c r="P127" s="663">
        <v>0</v>
      </c>
      <c r="Q127" s="663">
        <v>0</v>
      </c>
      <c r="R127" s="663">
        <v>0</v>
      </c>
      <c r="S127" s="663">
        <v>0</v>
      </c>
      <c r="T127" s="663">
        <v>-0.45605370393256905</v>
      </c>
      <c r="U127" s="665">
        <v>-74.20509322511468</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13.859177019435306</v>
      </c>
      <c r="E129" s="667">
        <v>298.46437759387055</v>
      </c>
      <c r="F129" s="667">
        <v>-69.017073889241487</v>
      </c>
      <c r="G129" s="667">
        <v>-9.8196643987081309</v>
      </c>
      <c r="H129" s="675">
        <v>116.15538636042798</v>
      </c>
      <c r="I129" s="667">
        <v>0</v>
      </c>
      <c r="J129" s="667">
        <v>964.52942056246673</v>
      </c>
      <c r="K129" s="667">
        <v>311.46236031836668</v>
      </c>
      <c r="L129" s="667">
        <v>298.3219001907633</v>
      </c>
      <c r="M129" s="667">
        <v>26.897654847027933</v>
      </c>
      <c r="N129" s="667">
        <v>-8.0638482428952756</v>
      </c>
      <c r="O129" s="667">
        <v>-2.579088015535528</v>
      </c>
      <c r="P129" s="667">
        <v>128.43983591306872</v>
      </c>
      <c r="Q129" s="667">
        <v>20.654107927982594</v>
      </c>
      <c r="R129" s="667">
        <v>-39.267637363013023</v>
      </c>
      <c r="S129" s="667">
        <v>0</v>
      </c>
      <c r="T129" s="667">
        <v>-0.45605370393256905</v>
      </c>
      <c r="U129" s="667">
        <v>2049.5808551200835</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0.36057808628354604</v>
      </c>
      <c r="G132" s="663">
        <v>0</v>
      </c>
      <c r="H132" s="663">
        <v>7.5839969390793698</v>
      </c>
      <c r="I132" s="663">
        <v>0</v>
      </c>
      <c r="J132" s="663">
        <v>964.52942056246673</v>
      </c>
      <c r="K132" s="663">
        <v>311.46236031836668</v>
      </c>
      <c r="L132" s="663">
        <v>22.176349392164049</v>
      </c>
      <c r="M132" s="663">
        <v>10.089931127123995</v>
      </c>
      <c r="N132" s="663">
        <v>5.3878161949008447</v>
      </c>
      <c r="O132" s="663">
        <v>2.0095680781151462</v>
      </c>
      <c r="P132" s="663">
        <v>0</v>
      </c>
      <c r="Q132" s="663">
        <v>4.9774137725284184</v>
      </c>
      <c r="R132" s="663">
        <v>-653.56257887708989</v>
      </c>
      <c r="S132" s="663">
        <v>0</v>
      </c>
      <c r="T132" s="663">
        <v>1.9189703578470259</v>
      </c>
      <c r="U132" s="671">
        <v>676.93382595178593</v>
      </c>
    </row>
    <row r="133" spans="3:21" ht="13">
      <c r="C133" s="670" t="s">
        <v>351</v>
      </c>
      <c r="D133" s="663">
        <v>0</v>
      </c>
      <c r="E133" s="663">
        <v>0</v>
      </c>
      <c r="F133" s="663">
        <v>0</v>
      </c>
      <c r="G133" s="663">
        <v>0</v>
      </c>
      <c r="H133" s="663">
        <v>9.2764090353058375</v>
      </c>
      <c r="I133" s="663">
        <v>0</v>
      </c>
      <c r="J133" s="663">
        <v>0</v>
      </c>
      <c r="K133" s="663">
        <v>0</v>
      </c>
      <c r="L133" s="663">
        <v>35.764224717869801</v>
      </c>
      <c r="M133" s="663">
        <v>14.37233701187753</v>
      </c>
      <c r="N133" s="663">
        <v>0</v>
      </c>
      <c r="O133" s="663">
        <v>5.4622758911360467</v>
      </c>
      <c r="P133" s="663">
        <v>0</v>
      </c>
      <c r="Q133" s="663">
        <v>10.952590418500169</v>
      </c>
      <c r="R133" s="663">
        <v>0</v>
      </c>
      <c r="S133" s="663">
        <v>-70.157887736076944</v>
      </c>
      <c r="T133" s="663">
        <v>0</v>
      </c>
      <c r="U133" s="671">
        <v>5.6699493386124447</v>
      </c>
    </row>
    <row r="134" spans="3:21" ht="13">
      <c r="C134" s="670" t="s">
        <v>352</v>
      </c>
      <c r="D134" s="663">
        <v>0</v>
      </c>
      <c r="E134" s="663">
        <v>0</v>
      </c>
      <c r="F134" s="663">
        <v>0</v>
      </c>
      <c r="G134" s="663">
        <v>0</v>
      </c>
      <c r="H134" s="663">
        <v>0</v>
      </c>
      <c r="I134" s="663">
        <v>0</v>
      </c>
      <c r="J134" s="663">
        <v>0</v>
      </c>
      <c r="K134" s="663">
        <v>0</v>
      </c>
      <c r="L134" s="663">
        <v>74.445335403224831</v>
      </c>
      <c r="M134" s="663">
        <v>0</v>
      </c>
      <c r="N134" s="663">
        <v>0</v>
      </c>
      <c r="O134" s="663">
        <v>-68.22829141881553</v>
      </c>
      <c r="P134" s="663">
        <v>0</v>
      </c>
      <c r="Q134" s="663">
        <v>0</v>
      </c>
      <c r="R134" s="663">
        <v>0</v>
      </c>
      <c r="S134" s="663">
        <v>0</v>
      </c>
      <c r="T134" s="663">
        <v>0</v>
      </c>
      <c r="U134" s="671">
        <v>6.2170439844093011</v>
      </c>
    </row>
    <row r="135" spans="3:21" ht="13">
      <c r="C135" s="670" t="s">
        <v>353</v>
      </c>
      <c r="D135" s="663">
        <v>0</v>
      </c>
      <c r="E135" s="663">
        <v>0</v>
      </c>
      <c r="F135" s="663">
        <v>0</v>
      </c>
      <c r="G135" s="663">
        <v>0</v>
      </c>
      <c r="H135" s="663">
        <v>0</v>
      </c>
      <c r="I135" s="663">
        <v>0</v>
      </c>
      <c r="J135" s="663">
        <v>0</v>
      </c>
      <c r="K135" s="663">
        <v>0</v>
      </c>
      <c r="L135" s="663">
        <v>0</v>
      </c>
      <c r="M135" s="663">
        <v>0</v>
      </c>
      <c r="N135" s="663">
        <v>0</v>
      </c>
      <c r="O135" s="663">
        <v>0</v>
      </c>
      <c r="P135" s="663">
        <v>0</v>
      </c>
      <c r="Q135" s="663">
        <v>0</v>
      </c>
      <c r="R135" s="663">
        <v>0</v>
      </c>
      <c r="S135" s="663">
        <v>0</v>
      </c>
      <c r="T135" s="663">
        <v>0</v>
      </c>
      <c r="U135" s="671">
        <v>0</v>
      </c>
    </row>
    <row r="136" spans="3:21" ht="13">
      <c r="C136" s="670" t="s">
        <v>72</v>
      </c>
      <c r="D136" s="663">
        <v>0</v>
      </c>
      <c r="E136" s="663">
        <v>309.28389692910912</v>
      </c>
      <c r="F136" s="663">
        <v>-306.20133621434456</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3.0825607147645133</v>
      </c>
    </row>
    <row r="137" spans="3:21" ht="13">
      <c r="C137" s="670" t="s">
        <v>354</v>
      </c>
      <c r="D137" s="663">
        <v>0</v>
      </c>
      <c r="E137" s="663">
        <v>0</v>
      </c>
      <c r="F137" s="663">
        <v>0</v>
      </c>
      <c r="G137" s="663">
        <v>0</v>
      </c>
      <c r="H137" s="663">
        <v>0</v>
      </c>
      <c r="I137" s="663">
        <v>0</v>
      </c>
      <c r="J137" s="663">
        <v>0</v>
      </c>
      <c r="K137" s="663">
        <v>0</v>
      </c>
      <c r="L137" s="663">
        <v>106.10331078427467</v>
      </c>
      <c r="M137" s="663">
        <v>0</v>
      </c>
      <c r="N137" s="663">
        <v>-106.10331078427467</v>
      </c>
      <c r="O137" s="663">
        <v>0</v>
      </c>
      <c r="P137" s="663">
        <v>0</v>
      </c>
      <c r="Q137" s="663">
        <v>0</v>
      </c>
      <c r="R137" s="663">
        <v>0</v>
      </c>
      <c r="S137" s="663">
        <v>0</v>
      </c>
      <c r="T137" s="663">
        <v>0</v>
      </c>
      <c r="U137" s="671">
        <v>0</v>
      </c>
    </row>
    <row r="138" spans="3:21" ht="13">
      <c r="C138" s="670" t="s">
        <v>355</v>
      </c>
      <c r="D138" s="663">
        <v>0</v>
      </c>
      <c r="E138" s="663">
        <v>0</v>
      </c>
      <c r="F138" s="663">
        <v>0</v>
      </c>
      <c r="G138" s="663">
        <v>-16.310777823492739</v>
      </c>
      <c r="H138" s="663">
        <v>0</v>
      </c>
      <c r="I138" s="663">
        <v>0</v>
      </c>
      <c r="J138" s="663">
        <v>0</v>
      </c>
      <c r="K138" s="663">
        <v>0</v>
      </c>
      <c r="L138" s="663">
        <v>0</v>
      </c>
      <c r="M138" s="663">
        <v>0</v>
      </c>
      <c r="N138" s="663">
        <v>0</v>
      </c>
      <c r="O138" s="663">
        <v>0</v>
      </c>
      <c r="P138" s="663">
        <v>0</v>
      </c>
      <c r="Q138" s="663">
        <v>0</v>
      </c>
      <c r="R138" s="663">
        <v>0</v>
      </c>
      <c r="S138" s="663">
        <v>0</v>
      </c>
      <c r="T138" s="663">
        <v>22.716960756953675</v>
      </c>
      <c r="U138" s="671">
        <v>6.4061829334609364</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80.747003520407887</v>
      </c>
      <c r="S139" s="663">
        <v>0</v>
      </c>
      <c r="T139" s="663">
        <v>-54.746468386836547</v>
      </c>
      <c r="U139" s="671">
        <v>26.00053513357134</v>
      </c>
    </row>
    <row r="140" spans="3:21" ht="13">
      <c r="C140" s="670" t="s">
        <v>356</v>
      </c>
      <c r="D140" s="663">
        <v>7.7637663281249996</v>
      </c>
      <c r="E140" s="663">
        <v>-10.819519335238569</v>
      </c>
      <c r="F140" s="663">
        <v>14.100311366339174</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11.044558359225604</v>
      </c>
    </row>
    <row r="141" spans="3:21" ht="13">
      <c r="C141" s="670" t="s">
        <v>75</v>
      </c>
      <c r="D141" s="663">
        <v>3.0192424609374999</v>
      </c>
      <c r="E141" s="663">
        <v>0</v>
      </c>
      <c r="F141" s="663">
        <v>18.191659515376916</v>
      </c>
      <c r="G141" s="663">
        <v>0</v>
      </c>
      <c r="H141" s="663">
        <v>3.2664120682994437</v>
      </c>
      <c r="I141" s="663">
        <v>0</v>
      </c>
      <c r="J141" s="663">
        <v>0</v>
      </c>
      <c r="K141" s="663">
        <v>0</v>
      </c>
      <c r="L141" s="663">
        <v>0</v>
      </c>
      <c r="M141" s="663">
        <v>0</v>
      </c>
      <c r="N141" s="663">
        <v>0</v>
      </c>
      <c r="O141" s="663">
        <v>1.9850542794488581</v>
      </c>
      <c r="P141" s="663">
        <v>0</v>
      </c>
      <c r="Q141" s="663">
        <v>0</v>
      </c>
      <c r="R141" s="663">
        <v>23.96590055491529</v>
      </c>
      <c r="S141" s="663">
        <v>0</v>
      </c>
      <c r="T141" s="663">
        <v>0</v>
      </c>
      <c r="U141" s="671">
        <v>50.42826887897801</v>
      </c>
    </row>
    <row r="142" spans="3:21" ht="13">
      <c r="C142" s="670" t="s">
        <v>76</v>
      </c>
      <c r="D142" s="663">
        <v>0</v>
      </c>
      <c r="E142" s="663">
        <v>0</v>
      </c>
      <c r="F142" s="663">
        <v>0</v>
      </c>
      <c r="G142" s="663">
        <v>0</v>
      </c>
      <c r="H142" s="663">
        <v>1.3208205478094497</v>
      </c>
      <c r="I142" s="663">
        <v>0</v>
      </c>
      <c r="J142" s="663">
        <v>0</v>
      </c>
      <c r="K142" s="663">
        <v>0</v>
      </c>
      <c r="L142" s="663">
        <v>0</v>
      </c>
      <c r="M142" s="663">
        <v>0</v>
      </c>
      <c r="N142" s="663">
        <v>0</v>
      </c>
      <c r="O142" s="663">
        <v>0.80268515606426361</v>
      </c>
      <c r="P142" s="663">
        <v>0</v>
      </c>
      <c r="Q142" s="663">
        <v>0</v>
      </c>
      <c r="R142" s="663">
        <v>47.023558909206123</v>
      </c>
      <c r="S142" s="663">
        <v>5.4411740217158124</v>
      </c>
      <c r="T142" s="663">
        <v>0</v>
      </c>
      <c r="U142" s="671">
        <v>54.588238634795651</v>
      </c>
    </row>
    <row r="143" spans="3:21" ht="13">
      <c r="C143" s="666" t="s">
        <v>77</v>
      </c>
      <c r="D143" s="667">
        <v>10.783008789062499</v>
      </c>
      <c r="E143" s="667">
        <v>298.46437759387055</v>
      </c>
      <c r="F143" s="667">
        <v>-273.54878724634494</v>
      </c>
      <c r="G143" s="667">
        <v>-16.310777823492739</v>
      </c>
      <c r="H143" s="675">
        <v>21.447638590494105</v>
      </c>
      <c r="I143" s="667">
        <v>0</v>
      </c>
      <c r="J143" s="667">
        <v>964.52942056246673</v>
      </c>
      <c r="K143" s="667">
        <v>311.46236031836668</v>
      </c>
      <c r="L143" s="667">
        <v>238.48922029753334</v>
      </c>
      <c r="M143" s="667">
        <v>24.462268139001523</v>
      </c>
      <c r="N143" s="667">
        <v>-100.71549458937382</v>
      </c>
      <c r="O143" s="667">
        <v>-57.968708014051209</v>
      </c>
      <c r="P143" s="667">
        <v>0</v>
      </c>
      <c r="Q143" s="667">
        <v>15.930004191028587</v>
      </c>
      <c r="R143" s="667">
        <v>-501.82611589256055</v>
      </c>
      <c r="S143" s="667">
        <v>-64.71671371436112</v>
      </c>
      <c r="T143" s="667">
        <v>-30.110537272035845</v>
      </c>
      <c r="U143" s="667">
        <v>840.37116392960388</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3.0761682303728053</v>
      </c>
      <c r="E145" s="663">
        <v>0</v>
      </c>
      <c r="F145" s="663">
        <v>6.6351508306047968</v>
      </c>
      <c r="G145" s="663">
        <v>0</v>
      </c>
      <c r="H145" s="663">
        <v>38.528321178569939</v>
      </c>
      <c r="I145" s="663">
        <v>0</v>
      </c>
      <c r="J145" s="663">
        <v>0</v>
      </c>
      <c r="K145" s="663">
        <v>0</v>
      </c>
      <c r="L145" s="663">
        <v>20.031105646676835</v>
      </c>
      <c r="M145" s="663">
        <v>2.4349588281846541</v>
      </c>
      <c r="N145" s="663">
        <v>1.8349433718750003</v>
      </c>
      <c r="O145" s="663">
        <v>23.451101372697913</v>
      </c>
      <c r="P145" s="663">
        <v>6.8164926757812498</v>
      </c>
      <c r="Q145" s="663">
        <v>7.4990210834655101E-4</v>
      </c>
      <c r="R145" s="663">
        <v>132.01210341841889</v>
      </c>
      <c r="S145" s="663">
        <v>18.207144124668375</v>
      </c>
      <c r="T145" s="663">
        <v>4.1350366210937501</v>
      </c>
      <c r="U145" s="671">
        <v>257.16327620105255</v>
      </c>
    </row>
    <row r="146" spans="3:21" ht="13">
      <c r="C146" s="670" t="s">
        <v>79</v>
      </c>
      <c r="D146" s="663">
        <v>0</v>
      </c>
      <c r="E146" s="663">
        <v>0</v>
      </c>
      <c r="F146" s="663">
        <v>110.91379205811297</v>
      </c>
      <c r="G146" s="663">
        <v>0.7006243456433674</v>
      </c>
      <c r="H146" s="663">
        <v>3.7872267703464977</v>
      </c>
      <c r="I146" s="663">
        <v>0</v>
      </c>
      <c r="J146" s="663">
        <v>0</v>
      </c>
      <c r="K146" s="663">
        <v>0</v>
      </c>
      <c r="L146" s="663">
        <v>0</v>
      </c>
      <c r="M146" s="663">
        <v>0</v>
      </c>
      <c r="N146" s="663">
        <v>63.547118628094331</v>
      </c>
      <c r="O146" s="663">
        <v>2.3015622495031773</v>
      </c>
      <c r="P146" s="663">
        <v>0</v>
      </c>
      <c r="Q146" s="663">
        <v>0</v>
      </c>
      <c r="R146" s="663">
        <v>74.297767208409297</v>
      </c>
      <c r="S146" s="663">
        <v>0</v>
      </c>
      <c r="T146" s="663">
        <v>2.9567259991236208</v>
      </c>
      <c r="U146" s="671">
        <v>258.50481725923328</v>
      </c>
    </row>
    <row r="147" spans="3:21" ht="13">
      <c r="C147" s="670" t="s">
        <v>80</v>
      </c>
      <c r="D147" s="663">
        <v>0</v>
      </c>
      <c r="E147" s="663">
        <v>0</v>
      </c>
      <c r="F147" s="663">
        <v>2.6564398035767778</v>
      </c>
      <c r="G147" s="663">
        <v>0</v>
      </c>
      <c r="H147" s="663">
        <v>28.69836522821614</v>
      </c>
      <c r="I147" s="663">
        <v>0</v>
      </c>
      <c r="J147" s="663">
        <v>0</v>
      </c>
      <c r="K147" s="663">
        <v>0</v>
      </c>
      <c r="L147" s="663">
        <v>35.896639108009097</v>
      </c>
      <c r="M147" s="663">
        <v>0</v>
      </c>
      <c r="N147" s="663">
        <v>0</v>
      </c>
      <c r="O147" s="663">
        <v>17.440485621005948</v>
      </c>
      <c r="P147" s="663">
        <v>97.288022909546527</v>
      </c>
      <c r="Q147" s="663">
        <v>2.574236293616976</v>
      </c>
      <c r="R147" s="663">
        <v>153.30644884049457</v>
      </c>
      <c r="S147" s="663">
        <v>27.523160685886953</v>
      </c>
      <c r="T147" s="663">
        <v>0</v>
      </c>
      <c r="U147" s="671">
        <v>365.383798490353</v>
      </c>
    </row>
    <row r="148" spans="3:21" ht="13">
      <c r="C148" s="670" t="s">
        <v>81</v>
      </c>
      <c r="D148" s="663">
        <v>0</v>
      </c>
      <c r="E148" s="663">
        <v>0</v>
      </c>
      <c r="F148" s="663">
        <v>2.1807410006338563</v>
      </c>
      <c r="G148" s="663">
        <v>0</v>
      </c>
      <c r="H148" s="663">
        <v>15.077359159365459</v>
      </c>
      <c r="I148" s="663">
        <v>0</v>
      </c>
      <c r="J148" s="663">
        <v>0</v>
      </c>
      <c r="K148" s="663">
        <v>0</v>
      </c>
      <c r="L148" s="663">
        <v>0.41672235765550286</v>
      </c>
      <c r="M148" s="663">
        <v>4.2787984175547016E-4</v>
      </c>
      <c r="N148" s="663">
        <v>0</v>
      </c>
      <c r="O148" s="663">
        <v>9.1627681064954078</v>
      </c>
      <c r="P148" s="663">
        <v>23.435320327740932</v>
      </c>
      <c r="Q148" s="663">
        <v>0.98358432216492664</v>
      </c>
      <c r="R148" s="663">
        <v>94.082065678581444</v>
      </c>
      <c r="S148" s="663">
        <v>18.986408903805792</v>
      </c>
      <c r="T148" s="663">
        <v>0</v>
      </c>
      <c r="U148" s="671">
        <v>164.32539773628508</v>
      </c>
    </row>
    <row r="149" spans="3:21" ht="13">
      <c r="C149" s="670" t="s">
        <v>82</v>
      </c>
      <c r="D149" s="663">
        <v>0</v>
      </c>
      <c r="E149" s="663">
        <v>0</v>
      </c>
      <c r="F149" s="663">
        <v>12.977219358559188</v>
      </c>
      <c r="G149" s="663">
        <v>1</v>
      </c>
      <c r="H149" s="663">
        <v>1.1408122878946925</v>
      </c>
      <c r="I149" s="663">
        <v>0</v>
      </c>
      <c r="J149" s="663">
        <v>0</v>
      </c>
      <c r="K149" s="663">
        <v>0</v>
      </c>
      <c r="L149" s="663">
        <v>3.1334095930613137</v>
      </c>
      <c r="M149" s="663">
        <v>0</v>
      </c>
      <c r="N149" s="663">
        <v>12.27694106679661</v>
      </c>
      <c r="O149" s="663">
        <v>0.69329106884918612</v>
      </c>
      <c r="P149" s="663">
        <v>0.9</v>
      </c>
      <c r="Q149" s="663">
        <v>1.1655332190637568</v>
      </c>
      <c r="R149" s="663">
        <v>7.7417893836432903</v>
      </c>
      <c r="S149" s="663">
        <v>0</v>
      </c>
      <c r="T149" s="663">
        <v>0.29485655237537339</v>
      </c>
      <c r="U149" s="671">
        <v>41.3238525302434</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1.118304</v>
      </c>
      <c r="S150" s="663">
        <v>0</v>
      </c>
      <c r="T150" s="663">
        <v>0</v>
      </c>
      <c r="U150" s="671">
        <v>1.118304</v>
      </c>
    </row>
    <row r="151" spans="3:21" ht="13">
      <c r="C151" s="666" t="s">
        <v>83</v>
      </c>
      <c r="D151" s="667">
        <v>3.0761682303728053</v>
      </c>
      <c r="E151" s="667">
        <v>0</v>
      </c>
      <c r="F151" s="667">
        <v>135.36334305148762</v>
      </c>
      <c r="G151" s="667">
        <v>1.7006243456433674</v>
      </c>
      <c r="H151" s="675">
        <v>87.232084624392726</v>
      </c>
      <c r="I151" s="667">
        <v>0</v>
      </c>
      <c r="J151" s="667">
        <v>0</v>
      </c>
      <c r="K151" s="667">
        <v>0</v>
      </c>
      <c r="L151" s="667">
        <v>59.47787670540275</v>
      </c>
      <c r="M151" s="667">
        <v>2.4353867080264098</v>
      </c>
      <c r="N151" s="667">
        <v>77.659003066765948</v>
      </c>
      <c r="O151" s="667">
        <v>53.049208418551629</v>
      </c>
      <c r="P151" s="667">
        <v>128.43983591306872</v>
      </c>
      <c r="Q151" s="667">
        <v>4.7241037369540066</v>
      </c>
      <c r="R151" s="667">
        <v>462.55847852954759</v>
      </c>
      <c r="S151" s="667">
        <v>64.71671371436112</v>
      </c>
      <c r="T151" s="667">
        <v>7.3866191725927441</v>
      </c>
      <c r="U151" s="667">
        <v>1087.8194462171675</v>
      </c>
    </row>
    <row r="152" spans="3:21" ht="13">
      <c r="C152" s="662" t="s">
        <v>84</v>
      </c>
      <c r="D152" s="663">
        <v>0</v>
      </c>
      <c r="E152" s="663">
        <v>0</v>
      </c>
      <c r="F152" s="663">
        <v>69.168370305615824</v>
      </c>
      <c r="G152" s="663">
        <v>4.7904890791412402</v>
      </c>
      <c r="H152" s="663">
        <v>7.4756631455411453</v>
      </c>
      <c r="I152" s="663">
        <v>0</v>
      </c>
      <c r="J152" s="663">
        <v>0</v>
      </c>
      <c r="K152" s="663">
        <v>0</v>
      </c>
      <c r="L152" s="663">
        <v>0.35480318782723769</v>
      </c>
      <c r="M152" s="663">
        <v>0</v>
      </c>
      <c r="N152" s="663">
        <v>14.992643279712595</v>
      </c>
      <c r="O152" s="663">
        <v>2.3404115799640408</v>
      </c>
      <c r="P152" s="663">
        <v>0</v>
      </c>
      <c r="Q152" s="663">
        <v>0</v>
      </c>
      <c r="R152" s="663">
        <v>0</v>
      </c>
      <c r="S152" s="663">
        <v>0</v>
      </c>
      <c r="T152" s="663">
        <v>22.267864395510532</v>
      </c>
      <c r="U152" s="671">
        <v>121.39024497331262</v>
      </c>
    </row>
    <row r="153" spans="3:21" ht="13">
      <c r="C153" s="666" t="s">
        <v>85</v>
      </c>
      <c r="D153" s="667">
        <v>3.0761682303728053</v>
      </c>
      <c r="E153" s="667">
        <v>0</v>
      </c>
      <c r="F153" s="667">
        <v>204.53171335710346</v>
      </c>
      <c r="G153" s="667">
        <v>6.4911134247846078</v>
      </c>
      <c r="H153" s="675">
        <v>94.707747769933874</v>
      </c>
      <c r="I153" s="667">
        <v>0</v>
      </c>
      <c r="J153" s="667">
        <v>0</v>
      </c>
      <c r="K153" s="667">
        <v>0</v>
      </c>
      <c r="L153" s="667">
        <v>59.832679893229987</v>
      </c>
      <c r="M153" s="667">
        <v>2.4353867080264098</v>
      </c>
      <c r="N153" s="667">
        <v>92.651646346478543</v>
      </c>
      <c r="O153" s="667">
        <v>55.38961999851567</v>
      </c>
      <c r="P153" s="667">
        <v>128.43983591306872</v>
      </c>
      <c r="Q153" s="667">
        <v>4.7241037369540066</v>
      </c>
      <c r="R153" s="667">
        <v>462.55847852954759</v>
      </c>
      <c r="S153" s="667">
        <v>64.71671371436112</v>
      </c>
      <c r="T153" s="667">
        <v>29.654483568103277</v>
      </c>
      <c r="U153" s="667">
        <v>1209.20969119048</v>
      </c>
    </row>
    <row r="154" spans="3:21">
      <c r="C154" s="654"/>
      <c r="D154" s="672">
        <v>0</v>
      </c>
      <c r="E154" s="672">
        <v>0</v>
      </c>
      <c r="F154" s="672">
        <v>0</v>
      </c>
      <c r="G154" s="672">
        <v>0</v>
      </c>
      <c r="H154" s="672">
        <v>0</v>
      </c>
      <c r="I154" s="672">
        <v>0</v>
      </c>
      <c r="J154" s="672">
        <v>0</v>
      </c>
      <c r="K154" s="672">
        <v>0</v>
      </c>
      <c r="L154" s="672">
        <v>0</v>
      </c>
      <c r="M154" s="672">
        <v>0</v>
      </c>
      <c r="N154" s="672">
        <v>0</v>
      </c>
      <c r="O154" s="672">
        <v>-1.1546319456101628E-14</v>
      </c>
      <c r="P154" s="672">
        <v>0</v>
      </c>
      <c r="Q154" s="672">
        <v>0</v>
      </c>
      <c r="R154" s="672">
        <v>5.6843418860808015E-14</v>
      </c>
      <c r="S154" s="672">
        <v>0</v>
      </c>
      <c r="T154" s="672">
        <v>9.9920072216264089E-16</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363</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0</v>
      </c>
      <c r="F160" s="663">
        <v>0</v>
      </c>
      <c r="G160" s="663">
        <v>0</v>
      </c>
      <c r="H160" s="663">
        <v>0</v>
      </c>
      <c r="I160" s="663">
        <v>0</v>
      </c>
      <c r="J160" s="664">
        <v>965.91438750259681</v>
      </c>
      <c r="K160" s="664">
        <v>340.77058420783555</v>
      </c>
      <c r="L160" s="664">
        <v>306.24907142960961</v>
      </c>
      <c r="M160" s="664">
        <v>26.996685887157991</v>
      </c>
      <c r="N160" s="663">
        <v>1.5769202529293118</v>
      </c>
      <c r="O160" s="663">
        <v>0.16705675062100381</v>
      </c>
      <c r="P160" s="664">
        <v>137.63232647396575</v>
      </c>
      <c r="Q160" s="664">
        <v>22.505061443653027</v>
      </c>
      <c r="R160" s="663">
        <v>0</v>
      </c>
      <c r="S160" s="663">
        <v>0</v>
      </c>
      <c r="T160" s="663">
        <v>0</v>
      </c>
      <c r="U160" s="665">
        <v>1801.812093948369</v>
      </c>
    </row>
    <row r="161" spans="3:21" ht="13">
      <c r="C161" s="662" t="s">
        <v>60</v>
      </c>
      <c r="D161" s="663">
        <v>12.402103294712147</v>
      </c>
      <c r="E161" s="663">
        <v>267.59952869557856</v>
      </c>
      <c r="F161" s="663">
        <v>4.6624671135986846</v>
      </c>
      <c r="G161" s="663">
        <v>0</v>
      </c>
      <c r="H161" s="663">
        <v>96.376212667923994</v>
      </c>
      <c r="I161" s="663">
        <v>0</v>
      </c>
      <c r="J161" s="663">
        <v>0</v>
      </c>
      <c r="K161" s="663">
        <v>0</v>
      </c>
      <c r="L161" s="663">
        <v>4.1311012816916577</v>
      </c>
      <c r="M161" s="663">
        <v>0</v>
      </c>
      <c r="N161" s="663">
        <v>4.3268221557656901</v>
      </c>
      <c r="O161" s="663">
        <v>0</v>
      </c>
      <c r="P161" s="663">
        <v>0</v>
      </c>
      <c r="Q161" s="663">
        <v>0</v>
      </c>
      <c r="R161" s="663">
        <v>0</v>
      </c>
      <c r="S161" s="663">
        <v>0</v>
      </c>
      <c r="T161" s="663">
        <v>0</v>
      </c>
      <c r="U161" s="665">
        <v>389.49823520927077</v>
      </c>
    </row>
    <row r="162" spans="3:21" ht="13">
      <c r="C162" s="662" t="s">
        <v>61</v>
      </c>
      <c r="D162" s="663">
        <v>0</v>
      </c>
      <c r="E162" s="663">
        <v>0</v>
      </c>
      <c r="F162" s="663">
        <v>-48.857560720144178</v>
      </c>
      <c r="G162" s="663">
        <v>-1.2901681691857902E-2</v>
      </c>
      <c r="H162" s="663">
        <v>0</v>
      </c>
      <c r="I162" s="663">
        <v>0</v>
      </c>
      <c r="J162" s="663">
        <v>0</v>
      </c>
      <c r="K162" s="663">
        <v>0</v>
      </c>
      <c r="L162" s="663">
        <v>0</v>
      </c>
      <c r="M162" s="663">
        <v>0</v>
      </c>
      <c r="N162" s="663">
        <v>0</v>
      </c>
      <c r="O162" s="663">
        <v>0</v>
      </c>
      <c r="P162" s="663">
        <v>0</v>
      </c>
      <c r="Q162" s="663">
        <v>0</v>
      </c>
      <c r="R162" s="663">
        <v>-40.000273468658179</v>
      </c>
      <c r="S162" s="663">
        <v>0</v>
      </c>
      <c r="T162" s="663">
        <v>0</v>
      </c>
      <c r="U162" s="665">
        <v>-88.870735870494215</v>
      </c>
    </row>
    <row r="163" spans="3:21" ht="13">
      <c r="C163" s="662" t="s">
        <v>62</v>
      </c>
      <c r="D163" s="663">
        <v>0</v>
      </c>
      <c r="E163" s="663">
        <v>0</v>
      </c>
      <c r="F163" s="663">
        <v>-9.1118704229779723</v>
      </c>
      <c r="G163" s="663">
        <v>-2.3970976911906821</v>
      </c>
      <c r="H163" s="663">
        <v>-2.3731267142787753</v>
      </c>
      <c r="I163" s="663">
        <v>0</v>
      </c>
      <c r="J163" s="663">
        <v>0</v>
      </c>
      <c r="K163" s="663">
        <v>0</v>
      </c>
      <c r="L163" s="663">
        <v>0</v>
      </c>
      <c r="M163" s="663">
        <v>0</v>
      </c>
      <c r="N163" s="663">
        <v>-0.47941953823813638</v>
      </c>
      <c r="O163" s="663">
        <v>-1.9416491298644523</v>
      </c>
      <c r="P163" s="663">
        <v>0</v>
      </c>
      <c r="Q163" s="663">
        <v>0</v>
      </c>
      <c r="R163" s="663">
        <v>0</v>
      </c>
      <c r="S163" s="663">
        <v>0</v>
      </c>
      <c r="T163" s="663">
        <v>0</v>
      </c>
      <c r="U163" s="665">
        <v>-16.30316349655002</v>
      </c>
    </row>
    <row r="164" spans="3:21" ht="13">
      <c r="C164" s="662" t="s">
        <v>63</v>
      </c>
      <c r="D164" s="663">
        <v>0</v>
      </c>
      <c r="E164" s="663">
        <v>0</v>
      </c>
      <c r="F164" s="663">
        <v>-46.962205061788246</v>
      </c>
      <c r="G164" s="663">
        <v>-11.133901046695911</v>
      </c>
      <c r="H164" s="663">
        <v>0</v>
      </c>
      <c r="I164" s="663">
        <v>0</v>
      </c>
      <c r="J164" s="663">
        <v>0</v>
      </c>
      <c r="K164" s="663">
        <v>0</v>
      </c>
      <c r="L164" s="663">
        <v>0</v>
      </c>
      <c r="M164" s="663">
        <v>0</v>
      </c>
      <c r="N164" s="663">
        <v>-14.072022489882162</v>
      </c>
      <c r="O164" s="663">
        <v>0</v>
      </c>
      <c r="P164" s="663">
        <v>0</v>
      </c>
      <c r="Q164" s="663">
        <v>0</v>
      </c>
      <c r="R164" s="663">
        <v>0</v>
      </c>
      <c r="S164" s="663">
        <v>0</v>
      </c>
      <c r="T164" s="663">
        <v>-0.66460812232862176</v>
      </c>
      <c r="U164" s="665">
        <v>-72.832736720694939</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12.402103294712147</v>
      </c>
      <c r="E166" s="667">
        <v>267.59952869557856</v>
      </c>
      <c r="F166" s="667">
        <v>-100.26916909131171</v>
      </c>
      <c r="G166" s="667">
        <v>-13.543900419578451</v>
      </c>
      <c r="H166" s="675">
        <v>94.003085953645225</v>
      </c>
      <c r="I166" s="667">
        <v>0</v>
      </c>
      <c r="J166" s="667">
        <v>965.91438750259681</v>
      </c>
      <c r="K166" s="667">
        <v>340.77058420783555</v>
      </c>
      <c r="L166" s="667">
        <v>310.38017271130127</v>
      </c>
      <c r="M166" s="667">
        <v>26.996685887157991</v>
      </c>
      <c r="N166" s="667">
        <v>-8.647699619425298</v>
      </c>
      <c r="O166" s="667">
        <v>-1.7745923792434484</v>
      </c>
      <c r="P166" s="667">
        <v>137.63232647396575</v>
      </c>
      <c r="Q166" s="667">
        <v>22.505061443653027</v>
      </c>
      <c r="R166" s="667">
        <v>-40.000273468658179</v>
      </c>
      <c r="S166" s="667">
        <v>0</v>
      </c>
      <c r="T166" s="667">
        <v>-0.66460812232862176</v>
      </c>
      <c r="U166" s="667">
        <v>2013.3036930699004</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6.6151953400033478E-2</v>
      </c>
      <c r="G169" s="663">
        <v>0</v>
      </c>
      <c r="H169" s="663">
        <v>5.4310272511854434</v>
      </c>
      <c r="I169" s="663">
        <v>0</v>
      </c>
      <c r="J169" s="663">
        <v>965.91438750259681</v>
      </c>
      <c r="K169" s="663">
        <v>340.77058420783555</v>
      </c>
      <c r="L169" s="663">
        <v>20.176267010584041</v>
      </c>
      <c r="M169" s="663">
        <v>10.227645630646329</v>
      </c>
      <c r="N169" s="663">
        <v>5.6269378379330357</v>
      </c>
      <c r="O169" s="663">
        <v>1.4716569620482758</v>
      </c>
      <c r="P169" s="663">
        <v>0</v>
      </c>
      <c r="Q169" s="663">
        <v>6.4327567473291545</v>
      </c>
      <c r="R169" s="663">
        <v>-682.09415881935547</v>
      </c>
      <c r="S169" s="663">
        <v>0</v>
      </c>
      <c r="T169" s="663">
        <v>3.1982839297450432</v>
      </c>
      <c r="U169" s="671">
        <v>677.22154021394851</v>
      </c>
    </row>
    <row r="170" spans="3:21" ht="13">
      <c r="C170" s="670" t="s">
        <v>351</v>
      </c>
      <c r="D170" s="663">
        <v>0</v>
      </c>
      <c r="E170" s="663">
        <v>0</v>
      </c>
      <c r="F170" s="663">
        <v>0</v>
      </c>
      <c r="G170" s="663">
        <v>0</v>
      </c>
      <c r="H170" s="663">
        <v>7.4585129183309293</v>
      </c>
      <c r="I170" s="663">
        <v>0</v>
      </c>
      <c r="J170" s="663">
        <v>0</v>
      </c>
      <c r="K170" s="663">
        <v>0</v>
      </c>
      <c r="L170" s="663">
        <v>35.547730315639996</v>
      </c>
      <c r="M170" s="663">
        <v>14.387113593265058</v>
      </c>
      <c r="N170" s="663">
        <v>0</v>
      </c>
      <c r="O170" s="663">
        <v>6.1169134542385972</v>
      </c>
      <c r="P170" s="663">
        <v>0</v>
      </c>
      <c r="Q170" s="663">
        <v>11.02899005085181</v>
      </c>
      <c r="R170" s="663">
        <v>0</v>
      </c>
      <c r="S170" s="663">
        <v>-69.303608577230833</v>
      </c>
      <c r="T170" s="663">
        <v>0</v>
      </c>
      <c r="U170" s="671">
        <v>5.235651755095569</v>
      </c>
    </row>
    <row r="171" spans="3:21" ht="13">
      <c r="C171" s="670" t="s">
        <v>352</v>
      </c>
      <c r="D171" s="663">
        <v>0</v>
      </c>
      <c r="E171" s="663">
        <v>0</v>
      </c>
      <c r="F171" s="663">
        <v>0</v>
      </c>
      <c r="G171" s="663">
        <v>0</v>
      </c>
      <c r="H171" s="663">
        <v>0</v>
      </c>
      <c r="I171" s="663">
        <v>0</v>
      </c>
      <c r="J171" s="663">
        <v>0</v>
      </c>
      <c r="K171" s="663">
        <v>0</v>
      </c>
      <c r="L171" s="663">
        <v>78.995354979464977</v>
      </c>
      <c r="M171" s="663">
        <v>0</v>
      </c>
      <c r="N171" s="663">
        <v>0</v>
      </c>
      <c r="O171" s="663">
        <v>-72.973515141642281</v>
      </c>
      <c r="P171" s="663">
        <v>0</v>
      </c>
      <c r="Q171" s="663">
        <v>0</v>
      </c>
      <c r="R171" s="663">
        <v>0</v>
      </c>
      <c r="S171" s="663">
        <v>0</v>
      </c>
      <c r="T171" s="663">
        <v>0</v>
      </c>
      <c r="U171" s="671">
        <v>6.0218398378226965</v>
      </c>
    </row>
    <row r="172" spans="3:21" ht="13">
      <c r="C172" s="670" t="s">
        <v>353</v>
      </c>
      <c r="D172" s="663">
        <v>0</v>
      </c>
      <c r="E172" s="663">
        <v>0</v>
      </c>
      <c r="F172" s="663">
        <v>0</v>
      </c>
      <c r="G172" s="663">
        <v>0</v>
      </c>
      <c r="H172" s="663">
        <v>0</v>
      </c>
      <c r="I172" s="663">
        <v>0</v>
      </c>
      <c r="J172" s="663">
        <v>0</v>
      </c>
      <c r="K172" s="663">
        <v>0</v>
      </c>
      <c r="L172" s="663">
        <v>0</v>
      </c>
      <c r="M172" s="663">
        <v>0</v>
      </c>
      <c r="N172" s="663">
        <v>0</v>
      </c>
      <c r="O172" s="663">
        <v>0</v>
      </c>
      <c r="P172" s="663">
        <v>0</v>
      </c>
      <c r="Q172" s="663">
        <v>0</v>
      </c>
      <c r="R172" s="663">
        <v>0</v>
      </c>
      <c r="S172" s="663">
        <v>0</v>
      </c>
      <c r="T172" s="663">
        <v>0</v>
      </c>
      <c r="U172" s="671">
        <v>0</v>
      </c>
    </row>
    <row r="173" spans="3:21" ht="13">
      <c r="C173" s="670" t="s">
        <v>72</v>
      </c>
      <c r="D173" s="663">
        <v>0</v>
      </c>
      <c r="E173" s="663">
        <v>277.28994248668886</v>
      </c>
      <c r="F173" s="663">
        <v>-274.5252708068171</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2.7646716798717357</v>
      </c>
    </row>
    <row r="174" spans="3:21" ht="13">
      <c r="C174" s="670" t="s">
        <v>354</v>
      </c>
      <c r="D174" s="663">
        <v>0</v>
      </c>
      <c r="E174" s="663">
        <v>0</v>
      </c>
      <c r="F174" s="663">
        <v>0</v>
      </c>
      <c r="G174" s="663">
        <v>0</v>
      </c>
      <c r="H174" s="663">
        <v>0</v>
      </c>
      <c r="I174" s="663">
        <v>0</v>
      </c>
      <c r="J174" s="663">
        <v>0</v>
      </c>
      <c r="K174" s="663">
        <v>0</v>
      </c>
      <c r="L174" s="663">
        <v>117.50933865541684</v>
      </c>
      <c r="M174" s="663">
        <v>0</v>
      </c>
      <c r="N174" s="663">
        <v>-117.50933865541684</v>
      </c>
      <c r="O174" s="663">
        <v>0</v>
      </c>
      <c r="P174" s="663">
        <v>0</v>
      </c>
      <c r="Q174" s="663">
        <v>0</v>
      </c>
      <c r="R174" s="663">
        <v>0</v>
      </c>
      <c r="S174" s="663">
        <v>0</v>
      </c>
      <c r="T174" s="663">
        <v>0</v>
      </c>
      <c r="U174" s="671">
        <v>0</v>
      </c>
    </row>
    <row r="175" spans="3:21" ht="13">
      <c r="C175" s="670" t="s">
        <v>355</v>
      </c>
      <c r="D175" s="663">
        <v>0</v>
      </c>
      <c r="E175" s="663">
        <v>0</v>
      </c>
      <c r="F175" s="663">
        <v>0</v>
      </c>
      <c r="G175" s="663">
        <v>-21.910962558722186</v>
      </c>
      <c r="H175" s="663">
        <v>0</v>
      </c>
      <c r="I175" s="663">
        <v>0</v>
      </c>
      <c r="J175" s="663">
        <v>0</v>
      </c>
      <c r="K175" s="663">
        <v>0</v>
      </c>
      <c r="L175" s="663">
        <v>0</v>
      </c>
      <c r="M175" s="663">
        <v>0</v>
      </c>
      <c r="N175" s="663">
        <v>0</v>
      </c>
      <c r="O175" s="663">
        <v>0</v>
      </c>
      <c r="P175" s="663">
        <v>0</v>
      </c>
      <c r="Q175" s="663">
        <v>0</v>
      </c>
      <c r="R175" s="663">
        <v>0</v>
      </c>
      <c r="S175" s="663">
        <v>0</v>
      </c>
      <c r="T175" s="663">
        <v>30.516660945295527</v>
      </c>
      <c r="U175" s="671">
        <v>8.6056983865733407</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99.340394157506324</v>
      </c>
      <c r="S176" s="663">
        <v>0</v>
      </c>
      <c r="T176" s="663">
        <v>-68.048169997891833</v>
      </c>
      <c r="U176" s="671">
        <v>31.292224159614491</v>
      </c>
    </row>
    <row r="177" spans="3:21" ht="13">
      <c r="C177" s="670" t="s">
        <v>356</v>
      </c>
      <c r="D177" s="663">
        <v>6.9248988281249995</v>
      </c>
      <c r="E177" s="663">
        <v>-9.6904137911102683</v>
      </c>
      <c r="F177" s="663">
        <v>12.633678677299837</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9.8681637143145693</v>
      </c>
    </row>
    <row r="178" spans="3:21" ht="13">
      <c r="C178" s="670" t="s">
        <v>75</v>
      </c>
      <c r="D178" s="663">
        <v>2.6930162109375</v>
      </c>
      <c r="E178" s="663">
        <v>0</v>
      </c>
      <c r="F178" s="663">
        <v>17.882981772477446</v>
      </c>
      <c r="G178" s="663">
        <v>0</v>
      </c>
      <c r="H178" s="663">
        <v>2.8438669910513061</v>
      </c>
      <c r="I178" s="663">
        <v>0</v>
      </c>
      <c r="J178" s="663">
        <v>0</v>
      </c>
      <c r="K178" s="663">
        <v>0</v>
      </c>
      <c r="L178" s="663">
        <v>0</v>
      </c>
      <c r="M178" s="663">
        <v>0</v>
      </c>
      <c r="N178" s="663">
        <v>0</v>
      </c>
      <c r="O178" s="663">
        <v>2.3268002654056139</v>
      </c>
      <c r="P178" s="663">
        <v>0</v>
      </c>
      <c r="Q178" s="663">
        <v>0</v>
      </c>
      <c r="R178" s="663">
        <v>23.896357926698794</v>
      </c>
      <c r="S178" s="663">
        <v>0</v>
      </c>
      <c r="T178" s="663">
        <v>0</v>
      </c>
      <c r="U178" s="671">
        <v>49.643023166570657</v>
      </c>
    </row>
    <row r="179" spans="3:21" ht="13">
      <c r="C179" s="670" t="s">
        <v>76</v>
      </c>
      <c r="D179" s="663">
        <v>0</v>
      </c>
      <c r="E179" s="663">
        <v>0</v>
      </c>
      <c r="F179" s="663">
        <v>0</v>
      </c>
      <c r="G179" s="663">
        <v>0</v>
      </c>
      <c r="H179" s="663">
        <v>1.042848686512976</v>
      </c>
      <c r="I179" s="663">
        <v>0</v>
      </c>
      <c r="J179" s="663">
        <v>0</v>
      </c>
      <c r="K179" s="663">
        <v>0</v>
      </c>
      <c r="L179" s="663">
        <v>0</v>
      </c>
      <c r="M179" s="663">
        <v>0</v>
      </c>
      <c r="N179" s="663">
        <v>0</v>
      </c>
      <c r="O179" s="663">
        <v>0.85323983441970752</v>
      </c>
      <c r="P179" s="663">
        <v>0</v>
      </c>
      <c r="Q179" s="663">
        <v>0</v>
      </c>
      <c r="R179" s="663">
        <v>49.147245311640418</v>
      </c>
      <c r="S179" s="663">
        <v>5.3750429512534854</v>
      </c>
      <c r="T179" s="663">
        <v>0</v>
      </c>
      <c r="U179" s="671">
        <v>56.418376783826595</v>
      </c>
    </row>
    <row r="180" spans="3:21" ht="13">
      <c r="C180" s="666" t="s">
        <v>77</v>
      </c>
      <c r="D180" s="667">
        <v>9.617915039062499</v>
      </c>
      <c r="E180" s="667">
        <v>267.59952869557856</v>
      </c>
      <c r="F180" s="667">
        <v>-243.94245840363976</v>
      </c>
      <c r="G180" s="667">
        <v>-21.910962558722186</v>
      </c>
      <c r="H180" s="675">
        <v>16.776255847080655</v>
      </c>
      <c r="I180" s="667">
        <v>0</v>
      </c>
      <c r="J180" s="667">
        <v>965.91438750259681</v>
      </c>
      <c r="K180" s="667">
        <v>340.77058420783555</v>
      </c>
      <c r="L180" s="667">
        <v>252.22869096110585</v>
      </c>
      <c r="M180" s="667">
        <v>24.614759223911388</v>
      </c>
      <c r="N180" s="667">
        <v>-111.8824008174838</v>
      </c>
      <c r="O180" s="667">
        <v>-62.204904625530084</v>
      </c>
      <c r="P180" s="667">
        <v>0</v>
      </c>
      <c r="Q180" s="667">
        <v>17.461746798180965</v>
      </c>
      <c r="R180" s="667">
        <v>-509.71016142350987</v>
      </c>
      <c r="S180" s="667">
        <v>-63.928565625977342</v>
      </c>
      <c r="T180" s="667">
        <v>-34.33322512285126</v>
      </c>
      <c r="U180" s="667">
        <v>847.07118969763815</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2.7841882556496467</v>
      </c>
      <c r="E182" s="663">
        <v>0</v>
      </c>
      <c r="F182" s="663">
        <v>5.1952563518908157</v>
      </c>
      <c r="G182" s="663">
        <v>0</v>
      </c>
      <c r="H182" s="663">
        <v>31.335146641416099</v>
      </c>
      <c r="I182" s="663">
        <v>0</v>
      </c>
      <c r="J182" s="663">
        <v>0</v>
      </c>
      <c r="K182" s="663">
        <v>0</v>
      </c>
      <c r="L182" s="663">
        <v>19.866368456853682</v>
      </c>
      <c r="M182" s="663">
        <v>2.3815254498716123</v>
      </c>
      <c r="N182" s="663">
        <v>2.1415231567382813</v>
      </c>
      <c r="O182" s="663">
        <v>25.676510059650784</v>
      </c>
      <c r="P182" s="663">
        <v>7.6335380859375004</v>
      </c>
      <c r="Q182" s="663">
        <v>7.8820466826144567E-4</v>
      </c>
      <c r="R182" s="663">
        <v>133.1889583814887</v>
      </c>
      <c r="S182" s="663">
        <v>18.276712147761906</v>
      </c>
      <c r="T182" s="663">
        <v>4.7382089843750004</v>
      </c>
      <c r="U182" s="671">
        <v>253.21872417630229</v>
      </c>
    </row>
    <row r="183" spans="3:21" ht="13">
      <c r="C183" s="670" t="s">
        <v>79</v>
      </c>
      <c r="D183" s="663">
        <v>0</v>
      </c>
      <c r="E183" s="663">
        <v>0</v>
      </c>
      <c r="F183" s="663">
        <v>62.42121803575882</v>
      </c>
      <c r="G183" s="663">
        <v>0.9171283606012931</v>
      </c>
      <c r="H183" s="663">
        <v>3.2777834936114583</v>
      </c>
      <c r="I183" s="663">
        <v>0</v>
      </c>
      <c r="J183" s="663">
        <v>0</v>
      </c>
      <c r="K183" s="663">
        <v>0</v>
      </c>
      <c r="L183" s="663">
        <v>0</v>
      </c>
      <c r="M183" s="663">
        <v>0</v>
      </c>
      <c r="N183" s="663">
        <v>70.675893572317364</v>
      </c>
      <c r="O183" s="663">
        <v>2.6818228584093751</v>
      </c>
      <c r="P183" s="663">
        <v>0</v>
      </c>
      <c r="Q183" s="663">
        <v>0</v>
      </c>
      <c r="R183" s="663">
        <v>85.601807225833156</v>
      </c>
      <c r="S183" s="663">
        <v>0</v>
      </c>
      <c r="T183" s="663">
        <v>3.5812873698124483</v>
      </c>
      <c r="U183" s="671">
        <v>229.15694091634393</v>
      </c>
    </row>
    <row r="184" spans="3:21" ht="13">
      <c r="C184" s="670" t="s">
        <v>80</v>
      </c>
      <c r="D184" s="663">
        <v>0</v>
      </c>
      <c r="E184" s="663">
        <v>0</v>
      </c>
      <c r="F184" s="663">
        <v>2.2535083725168867</v>
      </c>
      <c r="G184" s="663">
        <v>0</v>
      </c>
      <c r="H184" s="663">
        <v>22.547534156690407</v>
      </c>
      <c r="I184" s="663">
        <v>0</v>
      </c>
      <c r="J184" s="663">
        <v>0</v>
      </c>
      <c r="K184" s="663">
        <v>0</v>
      </c>
      <c r="L184" s="663">
        <v>34.097641504490639</v>
      </c>
      <c r="M184" s="663">
        <v>0</v>
      </c>
      <c r="N184" s="663">
        <v>0</v>
      </c>
      <c r="O184" s="663">
        <v>18.447982491837607</v>
      </c>
      <c r="P184" s="663">
        <v>103.59461616627088</v>
      </c>
      <c r="Q184" s="663">
        <v>2.7285855468891569</v>
      </c>
      <c r="R184" s="663">
        <v>149.5228289340921</v>
      </c>
      <c r="S184" s="663">
        <v>26.593767108522837</v>
      </c>
      <c r="T184" s="663">
        <v>0</v>
      </c>
      <c r="U184" s="671">
        <v>359.78646428131054</v>
      </c>
    </row>
    <row r="185" spans="3:21" ht="13">
      <c r="C185" s="670" t="s">
        <v>81</v>
      </c>
      <c r="D185" s="663">
        <v>0</v>
      </c>
      <c r="E185" s="663">
        <v>0</v>
      </c>
      <c r="F185" s="663">
        <v>1.3399462790047187</v>
      </c>
      <c r="G185" s="663">
        <v>0</v>
      </c>
      <c r="H185" s="663">
        <v>12.344523773070179</v>
      </c>
      <c r="I185" s="663">
        <v>0</v>
      </c>
      <c r="J185" s="663">
        <v>0</v>
      </c>
      <c r="K185" s="663">
        <v>0</v>
      </c>
      <c r="L185" s="663">
        <v>0.40515733033320123</v>
      </c>
      <c r="M185" s="663">
        <v>4.0121337498856221E-4</v>
      </c>
      <c r="N185" s="663">
        <v>0</v>
      </c>
      <c r="O185" s="663">
        <v>10.100064905239238</v>
      </c>
      <c r="P185" s="663">
        <v>25.404172221757367</v>
      </c>
      <c r="Q185" s="663">
        <v>1.0133205125094877</v>
      </c>
      <c r="R185" s="663">
        <v>92.228183694440688</v>
      </c>
      <c r="S185" s="663">
        <v>19.0580863696926</v>
      </c>
      <c r="T185" s="663">
        <v>0</v>
      </c>
      <c r="U185" s="671">
        <v>161.89385629942248</v>
      </c>
    </row>
    <row r="186" spans="3:21" ht="13">
      <c r="C186" s="670" t="s">
        <v>82</v>
      </c>
      <c r="D186" s="663">
        <v>0</v>
      </c>
      <c r="E186" s="663">
        <v>0</v>
      </c>
      <c r="F186" s="663">
        <v>9.0097391312566604</v>
      </c>
      <c r="G186" s="663">
        <v>1.6</v>
      </c>
      <c r="H186" s="663">
        <v>0.98973128577551672</v>
      </c>
      <c r="I186" s="663">
        <v>0</v>
      </c>
      <c r="J186" s="663">
        <v>0</v>
      </c>
      <c r="K186" s="663">
        <v>0</v>
      </c>
      <c r="L186" s="663">
        <v>3.3736621545342089</v>
      </c>
      <c r="M186" s="663">
        <v>0</v>
      </c>
      <c r="N186" s="663">
        <v>14.289145060057182</v>
      </c>
      <c r="O186" s="663">
        <v>0.80978014290724099</v>
      </c>
      <c r="P186" s="663">
        <v>1</v>
      </c>
      <c r="Q186" s="663">
        <v>1.300620381405156</v>
      </c>
      <c r="R186" s="663">
        <v>7.76122971899715</v>
      </c>
      <c r="S186" s="663">
        <v>0</v>
      </c>
      <c r="T186" s="663">
        <v>0.325155095351289</v>
      </c>
      <c r="U186" s="671">
        <v>40.459062970284407</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1.4068800000000001</v>
      </c>
      <c r="S187" s="663">
        <v>0</v>
      </c>
      <c r="T187" s="663">
        <v>0</v>
      </c>
      <c r="U187" s="671">
        <v>1.4068800000000001</v>
      </c>
    </row>
    <row r="188" spans="3:21" ht="13">
      <c r="C188" s="666" t="s">
        <v>83</v>
      </c>
      <c r="D188" s="667">
        <v>2.7841882556496467</v>
      </c>
      <c r="E188" s="667">
        <v>0</v>
      </c>
      <c r="F188" s="667">
        <v>80.219668170427894</v>
      </c>
      <c r="G188" s="667">
        <v>2.5171283606012933</v>
      </c>
      <c r="H188" s="675">
        <v>70.494719350563656</v>
      </c>
      <c r="I188" s="667">
        <v>0</v>
      </c>
      <c r="J188" s="667">
        <v>0</v>
      </c>
      <c r="K188" s="667">
        <v>0</v>
      </c>
      <c r="L188" s="667">
        <v>57.742829446211736</v>
      </c>
      <c r="M188" s="667">
        <v>2.3819266632466007</v>
      </c>
      <c r="N188" s="667">
        <v>87.106561789112831</v>
      </c>
      <c r="O188" s="667">
        <v>57.71616045804425</v>
      </c>
      <c r="P188" s="667">
        <v>137.63232647396575</v>
      </c>
      <c r="Q188" s="667">
        <v>5.0433146454720621</v>
      </c>
      <c r="R188" s="667">
        <v>469.70988795485181</v>
      </c>
      <c r="S188" s="667">
        <v>63.928565625977342</v>
      </c>
      <c r="T188" s="667">
        <v>8.6446514495387365</v>
      </c>
      <c r="U188" s="667">
        <v>1045.9219286436637</v>
      </c>
    </row>
    <row r="189" spans="3:21" ht="13">
      <c r="C189" s="662" t="s">
        <v>84</v>
      </c>
      <c r="D189" s="663">
        <v>0</v>
      </c>
      <c r="E189" s="663">
        <v>0</v>
      </c>
      <c r="F189" s="663">
        <v>63.453621141900157</v>
      </c>
      <c r="G189" s="663">
        <v>5.849933778542443</v>
      </c>
      <c r="H189" s="663">
        <v>6.7321107560009157</v>
      </c>
      <c r="I189" s="663">
        <v>0</v>
      </c>
      <c r="J189" s="663">
        <v>0</v>
      </c>
      <c r="K189" s="663">
        <v>0</v>
      </c>
      <c r="L189" s="663">
        <v>0.4086523039836884</v>
      </c>
      <c r="M189" s="663">
        <v>0</v>
      </c>
      <c r="N189" s="663">
        <v>16.128139408945682</v>
      </c>
      <c r="O189" s="663">
        <v>2.7141517882424018</v>
      </c>
      <c r="P189" s="663">
        <v>0</v>
      </c>
      <c r="Q189" s="663">
        <v>0</v>
      </c>
      <c r="R189" s="663">
        <v>0</v>
      </c>
      <c r="S189" s="663">
        <v>0</v>
      </c>
      <c r="T189" s="663">
        <v>25.023965550983899</v>
      </c>
      <c r="U189" s="671">
        <v>120.31057472859921</v>
      </c>
    </row>
    <row r="190" spans="3:21" ht="13">
      <c r="C190" s="666" t="s">
        <v>85</v>
      </c>
      <c r="D190" s="667">
        <v>2.7841882556496467</v>
      </c>
      <c r="E190" s="667">
        <v>0</v>
      </c>
      <c r="F190" s="667">
        <v>143.67328931232805</v>
      </c>
      <c r="G190" s="667">
        <v>8.3670621391437372</v>
      </c>
      <c r="H190" s="675">
        <v>77.226830106564577</v>
      </c>
      <c r="I190" s="667">
        <v>0</v>
      </c>
      <c r="J190" s="667">
        <v>0</v>
      </c>
      <c r="K190" s="667">
        <v>0</v>
      </c>
      <c r="L190" s="667">
        <v>58.151481750195423</v>
      </c>
      <c r="M190" s="667">
        <v>2.3819266632466007</v>
      </c>
      <c r="N190" s="667">
        <v>103.23470119805852</v>
      </c>
      <c r="O190" s="667">
        <v>60.430312246286654</v>
      </c>
      <c r="P190" s="667">
        <v>137.63232647396575</v>
      </c>
      <c r="Q190" s="667">
        <v>5.0433146454720621</v>
      </c>
      <c r="R190" s="667">
        <v>469.70988795485181</v>
      </c>
      <c r="S190" s="667">
        <v>63.928565625977342</v>
      </c>
      <c r="T190" s="667">
        <v>33.668617000522637</v>
      </c>
      <c r="U190" s="667">
        <v>1166.2325033722627</v>
      </c>
    </row>
    <row r="191" spans="3:21">
      <c r="C191" s="654"/>
      <c r="D191" s="672">
        <v>0</v>
      </c>
      <c r="E191" s="672">
        <v>0</v>
      </c>
      <c r="F191" s="672">
        <v>0</v>
      </c>
      <c r="G191" s="672">
        <v>0</v>
      </c>
      <c r="H191" s="672">
        <v>0</v>
      </c>
      <c r="I191" s="672">
        <v>0</v>
      </c>
      <c r="J191" s="672">
        <v>0</v>
      </c>
      <c r="K191" s="672">
        <v>0</v>
      </c>
      <c r="L191" s="672">
        <v>0</v>
      </c>
      <c r="M191" s="672">
        <v>0</v>
      </c>
      <c r="N191" s="672">
        <v>1.5987211554602254E-14</v>
      </c>
      <c r="O191" s="672">
        <v>1.865174681370263E-14</v>
      </c>
      <c r="P191" s="672">
        <v>0</v>
      </c>
      <c r="Q191" s="672">
        <v>0</v>
      </c>
      <c r="R191" s="672">
        <v>1.1368683772161603E-13</v>
      </c>
      <c r="S191" s="672">
        <v>0</v>
      </c>
      <c r="T191" s="672">
        <v>-1.3322676295501878E-15</v>
      </c>
      <c r="U191" s="672">
        <v>0</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523</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0</v>
      </c>
      <c r="F197" s="663">
        <v>0</v>
      </c>
      <c r="G197" s="663">
        <v>0</v>
      </c>
      <c r="H197" s="663">
        <v>0</v>
      </c>
      <c r="I197" s="663">
        <v>0</v>
      </c>
      <c r="J197" s="664">
        <v>887.88984586571985</v>
      </c>
      <c r="K197" s="664">
        <v>396.24410449971316</v>
      </c>
      <c r="L197" s="664">
        <v>299.20080257603973</v>
      </c>
      <c r="M197" s="664">
        <v>23.973968003405336</v>
      </c>
      <c r="N197" s="663">
        <v>1.638642873490971</v>
      </c>
      <c r="O197" s="663">
        <v>0.1692153726460352</v>
      </c>
      <c r="P197" s="664">
        <v>148.52009865212395</v>
      </c>
      <c r="Q197" s="664">
        <v>23.099478079825218</v>
      </c>
      <c r="R197" s="663">
        <v>0</v>
      </c>
      <c r="S197" s="663">
        <v>0</v>
      </c>
      <c r="T197" s="663">
        <v>0</v>
      </c>
      <c r="U197" s="665">
        <v>1780.7361559229641</v>
      </c>
    </row>
    <row r="198" spans="3:21" ht="13">
      <c r="C198" s="662" t="s">
        <v>60</v>
      </c>
      <c r="D198" s="663">
        <v>10.379280707598515</v>
      </c>
      <c r="E198" s="663">
        <v>221.43377158510449</v>
      </c>
      <c r="F198" s="663">
        <v>3.6404081450569747</v>
      </c>
      <c r="G198" s="663">
        <v>0</v>
      </c>
      <c r="H198" s="663">
        <v>71.351673113669463</v>
      </c>
      <c r="I198" s="663">
        <v>0</v>
      </c>
      <c r="J198" s="663">
        <v>0</v>
      </c>
      <c r="K198" s="663">
        <v>0</v>
      </c>
      <c r="L198" s="663">
        <v>4.5400000946661896</v>
      </c>
      <c r="M198" s="663">
        <v>0</v>
      </c>
      <c r="N198" s="663">
        <v>4.7355769449703358</v>
      </c>
      <c r="O198" s="663">
        <v>0</v>
      </c>
      <c r="P198" s="663">
        <v>0</v>
      </c>
      <c r="Q198" s="663">
        <v>0</v>
      </c>
      <c r="R198" s="663">
        <v>0</v>
      </c>
      <c r="S198" s="663">
        <v>0</v>
      </c>
      <c r="T198" s="663">
        <v>0</v>
      </c>
      <c r="U198" s="665">
        <v>316.08071059106601</v>
      </c>
    </row>
    <row r="199" spans="3:21" ht="13">
      <c r="C199" s="662" t="s">
        <v>61</v>
      </c>
      <c r="D199" s="663">
        <v>0</v>
      </c>
      <c r="E199" s="663">
        <v>0</v>
      </c>
      <c r="F199" s="663">
        <v>-61.117649142160822</v>
      </c>
      <c r="G199" s="663">
        <v>0</v>
      </c>
      <c r="H199" s="663">
        <v>0</v>
      </c>
      <c r="I199" s="663">
        <v>0</v>
      </c>
      <c r="J199" s="663">
        <v>0</v>
      </c>
      <c r="K199" s="663">
        <v>0</v>
      </c>
      <c r="L199" s="663">
        <v>0</v>
      </c>
      <c r="M199" s="663">
        <v>0</v>
      </c>
      <c r="N199" s="663">
        <v>0</v>
      </c>
      <c r="O199" s="663">
        <v>0</v>
      </c>
      <c r="P199" s="663">
        <v>0</v>
      </c>
      <c r="Q199" s="663">
        <v>0</v>
      </c>
      <c r="R199" s="663">
        <v>-39.114049370458702</v>
      </c>
      <c r="S199" s="663">
        <v>0</v>
      </c>
      <c r="T199" s="663">
        <v>0</v>
      </c>
      <c r="U199" s="665">
        <v>-100.23169851261953</v>
      </c>
    </row>
    <row r="200" spans="3:21" ht="13">
      <c r="C200" s="662" t="s">
        <v>62</v>
      </c>
      <c r="D200" s="663">
        <v>0</v>
      </c>
      <c r="E200" s="663">
        <v>0</v>
      </c>
      <c r="F200" s="663">
        <v>-6.8572519407668047</v>
      </c>
      <c r="G200" s="663">
        <v>-2.9115063458369059</v>
      </c>
      <c r="H200" s="663">
        <v>-4.556210213526227</v>
      </c>
      <c r="I200" s="663">
        <v>-6.0214231896822394E-2</v>
      </c>
      <c r="J200" s="663">
        <v>0</v>
      </c>
      <c r="K200" s="663">
        <v>0</v>
      </c>
      <c r="L200" s="663">
        <v>0</v>
      </c>
      <c r="M200" s="663">
        <v>0</v>
      </c>
      <c r="N200" s="663">
        <v>-0.36156496915270087</v>
      </c>
      <c r="O200" s="663">
        <v>-5.4192808707140152</v>
      </c>
      <c r="P200" s="663">
        <v>0</v>
      </c>
      <c r="Q200" s="663">
        <v>0</v>
      </c>
      <c r="R200" s="663">
        <v>0</v>
      </c>
      <c r="S200" s="663">
        <v>0</v>
      </c>
      <c r="T200" s="663">
        <v>0</v>
      </c>
      <c r="U200" s="665">
        <v>-20.166028571893477</v>
      </c>
    </row>
    <row r="201" spans="3:21" ht="13">
      <c r="C201" s="662" t="s">
        <v>63</v>
      </c>
      <c r="D201" s="663">
        <v>0</v>
      </c>
      <c r="E201" s="663">
        <v>0</v>
      </c>
      <c r="F201" s="663">
        <v>-41.932075648688581</v>
      </c>
      <c r="G201" s="663">
        <v>-12.789597363010756</v>
      </c>
      <c r="H201" s="663">
        <v>0</v>
      </c>
      <c r="I201" s="663">
        <v>0</v>
      </c>
      <c r="J201" s="663">
        <v>0</v>
      </c>
      <c r="K201" s="663">
        <v>0</v>
      </c>
      <c r="L201" s="663">
        <v>0</v>
      </c>
      <c r="M201" s="663">
        <v>0</v>
      </c>
      <c r="N201" s="663">
        <v>-13.964845940285258</v>
      </c>
      <c r="O201" s="663">
        <v>0</v>
      </c>
      <c r="P201" s="663">
        <v>0</v>
      </c>
      <c r="Q201" s="663">
        <v>0</v>
      </c>
      <c r="R201" s="663">
        <v>0</v>
      </c>
      <c r="S201" s="663">
        <v>0</v>
      </c>
      <c r="T201" s="663">
        <v>-1.1030439884832439</v>
      </c>
      <c r="U201" s="665">
        <v>-69.789562940467846</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10.379280707598515</v>
      </c>
      <c r="E203" s="667">
        <v>221.43377158510449</v>
      </c>
      <c r="F203" s="667">
        <v>-106.26656858655923</v>
      </c>
      <c r="G203" s="667">
        <v>-15.701103708847661</v>
      </c>
      <c r="H203" s="675">
        <v>66.795462900143235</v>
      </c>
      <c r="I203" s="667">
        <v>-6.0214231896822394E-2</v>
      </c>
      <c r="J203" s="667">
        <v>887.88984586571985</v>
      </c>
      <c r="K203" s="667">
        <v>396.24410449971316</v>
      </c>
      <c r="L203" s="667">
        <v>303.74080267070593</v>
      </c>
      <c r="M203" s="667">
        <v>23.973968003405336</v>
      </c>
      <c r="N203" s="667">
        <v>-7.952191090976652</v>
      </c>
      <c r="O203" s="667">
        <v>-5.25006549806798</v>
      </c>
      <c r="P203" s="667">
        <v>148.52009865212395</v>
      </c>
      <c r="Q203" s="667">
        <v>23.099478079825218</v>
      </c>
      <c r="R203" s="667">
        <v>-39.114049370458702</v>
      </c>
      <c r="S203" s="667">
        <v>0</v>
      </c>
      <c r="T203" s="667">
        <v>-1.1030439884832439</v>
      </c>
      <c r="U203" s="667">
        <v>1906.629576489049</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2.6460781360013397E-2</v>
      </c>
      <c r="G206" s="663">
        <v>0</v>
      </c>
      <c r="H206" s="663">
        <v>2.1444399446740805</v>
      </c>
      <c r="I206" s="663">
        <v>0</v>
      </c>
      <c r="J206" s="663">
        <v>887.88984586571985</v>
      </c>
      <c r="K206" s="663">
        <v>396.24410449971316</v>
      </c>
      <c r="L206" s="663">
        <v>15.085804984191999</v>
      </c>
      <c r="M206" s="663">
        <v>7.2357180176402842</v>
      </c>
      <c r="N206" s="663">
        <v>6.0578717375904887</v>
      </c>
      <c r="O206" s="663">
        <v>0.6501857288144991</v>
      </c>
      <c r="P206" s="663">
        <v>0</v>
      </c>
      <c r="Q206" s="663">
        <v>6.4590957564387725</v>
      </c>
      <c r="R206" s="663">
        <v>-708.99943776638747</v>
      </c>
      <c r="S206" s="663">
        <v>0</v>
      </c>
      <c r="T206" s="663">
        <v>8.0586922417708831</v>
      </c>
      <c r="U206" s="671">
        <v>620.85278179152624</v>
      </c>
    </row>
    <row r="207" spans="3:21" ht="13">
      <c r="C207" s="670" t="s">
        <v>351</v>
      </c>
      <c r="D207" s="663">
        <v>0</v>
      </c>
      <c r="E207" s="663">
        <v>0</v>
      </c>
      <c r="F207" s="663">
        <v>0</v>
      </c>
      <c r="G207" s="663">
        <v>0</v>
      </c>
      <c r="H207" s="663">
        <v>4.7815870319860325</v>
      </c>
      <c r="I207" s="663">
        <v>0</v>
      </c>
      <c r="J207" s="663">
        <v>0</v>
      </c>
      <c r="K207" s="663">
        <v>0</v>
      </c>
      <c r="L207" s="663">
        <v>35.214664152844563</v>
      </c>
      <c r="M207" s="663">
        <v>14.445160723039894</v>
      </c>
      <c r="N207" s="663">
        <v>0</v>
      </c>
      <c r="O207" s="663">
        <v>7.1872449307268287</v>
      </c>
      <c r="P207" s="663">
        <v>0</v>
      </c>
      <c r="Q207" s="663">
        <v>11.182341089352812</v>
      </c>
      <c r="R207" s="663">
        <v>0</v>
      </c>
      <c r="S207" s="663">
        <v>-68.236033723831326</v>
      </c>
      <c r="T207" s="663">
        <v>0</v>
      </c>
      <c r="U207" s="671">
        <v>4.574964204118805</v>
      </c>
    </row>
    <row r="208" spans="3:21" ht="13">
      <c r="C208" s="670" t="s">
        <v>352</v>
      </c>
      <c r="D208" s="663">
        <v>0</v>
      </c>
      <c r="E208" s="663">
        <v>0</v>
      </c>
      <c r="F208" s="663">
        <v>0</v>
      </c>
      <c r="G208" s="663">
        <v>0</v>
      </c>
      <c r="H208" s="663">
        <v>0</v>
      </c>
      <c r="I208" s="663">
        <v>0</v>
      </c>
      <c r="J208" s="663">
        <v>0</v>
      </c>
      <c r="K208" s="663">
        <v>0</v>
      </c>
      <c r="L208" s="663">
        <v>86.658949605448655</v>
      </c>
      <c r="M208" s="663">
        <v>0</v>
      </c>
      <c r="N208" s="663">
        <v>0</v>
      </c>
      <c r="O208" s="663">
        <v>-81.004566256753222</v>
      </c>
      <c r="P208" s="663">
        <v>0</v>
      </c>
      <c r="Q208" s="663">
        <v>0</v>
      </c>
      <c r="R208" s="663">
        <v>0</v>
      </c>
      <c r="S208" s="663">
        <v>0</v>
      </c>
      <c r="T208" s="663">
        <v>0</v>
      </c>
      <c r="U208" s="671">
        <v>5.6543833486954327</v>
      </c>
    </row>
    <row r="209" spans="3:21" ht="13">
      <c r="C209" s="670" t="s">
        <v>353</v>
      </c>
      <c r="D209" s="663">
        <v>0</v>
      </c>
      <c r="E209" s="663">
        <v>0</v>
      </c>
      <c r="F209" s="663">
        <v>0</v>
      </c>
      <c r="G209" s="663">
        <v>0</v>
      </c>
      <c r="H209" s="663">
        <v>0</v>
      </c>
      <c r="I209" s="663">
        <v>-0.77766156720631052</v>
      </c>
      <c r="J209" s="663">
        <v>0</v>
      </c>
      <c r="K209" s="663">
        <v>0</v>
      </c>
      <c r="L209" s="663">
        <v>0</v>
      </c>
      <c r="M209" s="663">
        <v>0</v>
      </c>
      <c r="N209" s="663">
        <v>0</v>
      </c>
      <c r="O209" s="663">
        <v>0</v>
      </c>
      <c r="P209" s="663">
        <v>0</v>
      </c>
      <c r="Q209" s="663">
        <v>0</v>
      </c>
      <c r="R209" s="663">
        <v>0</v>
      </c>
      <c r="S209" s="663">
        <v>0</v>
      </c>
      <c r="T209" s="663">
        <v>1.0822986785331616</v>
      </c>
      <c r="U209" s="671">
        <v>0.30463711132685112</v>
      </c>
    </row>
    <row r="210" spans="3:21" ht="13">
      <c r="C210" s="670" t="s">
        <v>72</v>
      </c>
      <c r="D210" s="663">
        <v>0</v>
      </c>
      <c r="E210" s="663">
        <v>229.44376619610998</v>
      </c>
      <c r="F210" s="663">
        <v>-227.15530245315296</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2.2884637429570258</v>
      </c>
    </row>
    <row r="211" spans="3:21" ht="13">
      <c r="C211" s="670" t="s">
        <v>354</v>
      </c>
      <c r="D211" s="663">
        <v>0</v>
      </c>
      <c r="E211" s="663">
        <v>0</v>
      </c>
      <c r="F211" s="663">
        <v>0</v>
      </c>
      <c r="G211" s="663">
        <v>0</v>
      </c>
      <c r="H211" s="663">
        <v>0</v>
      </c>
      <c r="I211" s="663">
        <v>0</v>
      </c>
      <c r="J211" s="663">
        <v>0</v>
      </c>
      <c r="K211" s="663">
        <v>0</v>
      </c>
      <c r="L211" s="663">
        <v>110.37341937246062</v>
      </c>
      <c r="M211" s="663">
        <v>0</v>
      </c>
      <c r="N211" s="663">
        <v>-110.37341937246062</v>
      </c>
      <c r="O211" s="663">
        <v>0</v>
      </c>
      <c r="P211" s="663">
        <v>0</v>
      </c>
      <c r="Q211" s="663">
        <v>0</v>
      </c>
      <c r="R211" s="663">
        <v>0</v>
      </c>
      <c r="S211" s="663">
        <v>0</v>
      </c>
      <c r="T211" s="663">
        <v>0</v>
      </c>
      <c r="U211" s="671">
        <v>0</v>
      </c>
    </row>
    <row r="212" spans="3:21" ht="13">
      <c r="C212" s="670" t="s">
        <v>355</v>
      </c>
      <c r="D212" s="663">
        <v>0</v>
      </c>
      <c r="E212" s="663">
        <v>0</v>
      </c>
      <c r="F212" s="663">
        <v>0</v>
      </c>
      <c r="G212" s="663">
        <v>-25.838308158403624</v>
      </c>
      <c r="H212" s="663">
        <v>0</v>
      </c>
      <c r="I212" s="663">
        <v>0</v>
      </c>
      <c r="J212" s="663">
        <v>0</v>
      </c>
      <c r="K212" s="663">
        <v>0</v>
      </c>
      <c r="L212" s="663">
        <v>0</v>
      </c>
      <c r="M212" s="663">
        <v>0</v>
      </c>
      <c r="N212" s="663">
        <v>0</v>
      </c>
      <c r="O212" s="663">
        <v>0</v>
      </c>
      <c r="P212" s="663">
        <v>0</v>
      </c>
      <c r="Q212" s="663">
        <v>0</v>
      </c>
      <c r="R212" s="663">
        <v>0</v>
      </c>
      <c r="S212" s="663">
        <v>0</v>
      </c>
      <c r="T212" s="663">
        <v>35.986501613375523</v>
      </c>
      <c r="U212" s="671">
        <v>10.148193454971899</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122.6947271556845</v>
      </c>
      <c r="S213" s="663">
        <v>0</v>
      </c>
      <c r="T213" s="663">
        <v>-85.334182736778573</v>
      </c>
      <c r="U213" s="671">
        <v>37.360544418905931</v>
      </c>
    </row>
    <row r="214" spans="3:21" ht="13">
      <c r="C214" s="670" t="s">
        <v>356</v>
      </c>
      <c r="D214" s="663">
        <v>5.7430949414062491</v>
      </c>
      <c r="E214" s="663">
        <v>-8.0099946110054798</v>
      </c>
      <c r="F214" s="663">
        <v>10.446968779828495</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8.1800691102292635</v>
      </c>
    </row>
    <row r="215" spans="3:21" ht="13">
      <c r="C215" s="670" t="s">
        <v>75</v>
      </c>
      <c r="D215" s="663">
        <v>2.2334258105468749</v>
      </c>
      <c r="E215" s="663">
        <v>0</v>
      </c>
      <c r="F215" s="663">
        <v>17.43246590348684</v>
      </c>
      <c r="G215" s="663">
        <v>0</v>
      </c>
      <c r="H215" s="663">
        <v>2.2924587532620087</v>
      </c>
      <c r="I215" s="663">
        <v>3.0296811717119062E-2</v>
      </c>
      <c r="J215" s="663">
        <v>0</v>
      </c>
      <c r="K215" s="663">
        <v>0</v>
      </c>
      <c r="L215" s="663">
        <v>0</v>
      </c>
      <c r="M215" s="663">
        <v>0</v>
      </c>
      <c r="N215" s="663">
        <v>0</v>
      </c>
      <c r="O215" s="663">
        <v>2.7267130545407157</v>
      </c>
      <c r="P215" s="663">
        <v>0</v>
      </c>
      <c r="Q215" s="663">
        <v>0</v>
      </c>
      <c r="R215" s="663">
        <v>21.822235808041572</v>
      </c>
      <c r="S215" s="663">
        <v>0</v>
      </c>
      <c r="T215" s="663">
        <v>0</v>
      </c>
      <c r="U215" s="671">
        <v>46.537596141595124</v>
      </c>
    </row>
    <row r="216" spans="3:21" ht="13">
      <c r="C216" s="670" t="s">
        <v>76</v>
      </c>
      <c r="D216" s="663">
        <v>0</v>
      </c>
      <c r="E216" s="663">
        <v>0</v>
      </c>
      <c r="F216" s="663">
        <v>0</v>
      </c>
      <c r="G216" s="663">
        <v>0</v>
      </c>
      <c r="H216" s="663">
        <v>0.77652722768993077</v>
      </c>
      <c r="I216" s="663">
        <v>1.0262474374756796E-2</v>
      </c>
      <c r="J216" s="663">
        <v>0</v>
      </c>
      <c r="K216" s="663">
        <v>0</v>
      </c>
      <c r="L216" s="663">
        <v>0</v>
      </c>
      <c r="M216" s="663">
        <v>0</v>
      </c>
      <c r="N216" s="663">
        <v>0</v>
      </c>
      <c r="O216" s="663">
        <v>0.92362269372811168</v>
      </c>
      <c r="P216" s="663">
        <v>0</v>
      </c>
      <c r="Q216" s="663">
        <v>0</v>
      </c>
      <c r="R216" s="663">
        <v>51.265258018349606</v>
      </c>
      <c r="S216" s="663">
        <v>5.2924074535934169</v>
      </c>
      <c r="T216" s="663">
        <v>0</v>
      </c>
      <c r="U216" s="671">
        <v>58.268077867735826</v>
      </c>
    </row>
    <row r="217" spans="3:21" ht="13">
      <c r="C217" s="666" t="s">
        <v>77</v>
      </c>
      <c r="D217" s="667">
        <v>7.9765207519531245</v>
      </c>
      <c r="E217" s="667">
        <v>221.43377158510449</v>
      </c>
      <c r="F217" s="667">
        <v>-199.24940698847763</v>
      </c>
      <c r="G217" s="667">
        <v>-25.838308158403624</v>
      </c>
      <c r="H217" s="675">
        <v>9.9950129576120528</v>
      </c>
      <c r="I217" s="667">
        <v>-0.73710228111443465</v>
      </c>
      <c r="J217" s="667">
        <v>887.88984586571985</v>
      </c>
      <c r="K217" s="667">
        <v>396.24410449971316</v>
      </c>
      <c r="L217" s="667">
        <v>247.33283811494582</v>
      </c>
      <c r="M217" s="667">
        <v>21.680878740680178</v>
      </c>
      <c r="N217" s="667">
        <v>-104.31554763487013</v>
      </c>
      <c r="O217" s="667">
        <v>-69.51679984894308</v>
      </c>
      <c r="P217" s="667">
        <v>0</v>
      </c>
      <c r="Q217" s="667">
        <v>17.641436845791585</v>
      </c>
      <c r="R217" s="667">
        <v>-513.21721678431186</v>
      </c>
      <c r="S217" s="667">
        <v>-62.943626270237907</v>
      </c>
      <c r="T217" s="667">
        <v>-40.206690203099001</v>
      </c>
      <c r="U217" s="667">
        <v>794.16971119206255</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2.4027599556453909</v>
      </c>
      <c r="E219" s="663">
        <v>0</v>
      </c>
      <c r="F219" s="663">
        <v>3.114463113040443</v>
      </c>
      <c r="G219" s="663">
        <v>0</v>
      </c>
      <c r="H219" s="663">
        <v>22.626318476237717</v>
      </c>
      <c r="I219" s="663">
        <v>0.29902623536878048</v>
      </c>
      <c r="J219" s="663">
        <v>0</v>
      </c>
      <c r="K219" s="663">
        <v>0</v>
      </c>
      <c r="L219" s="663">
        <v>19.572699923725285</v>
      </c>
      <c r="M219" s="663">
        <v>2.2927206810178133</v>
      </c>
      <c r="N219" s="663">
        <v>2.5907279394531253</v>
      </c>
      <c r="O219" s="663">
        <v>26.952636430442517</v>
      </c>
      <c r="P219" s="663">
        <v>8.8445146484374995</v>
      </c>
      <c r="Q219" s="663">
        <v>8.2107689234467234E-4</v>
      </c>
      <c r="R219" s="663">
        <v>134.99858174444151</v>
      </c>
      <c r="S219" s="663">
        <v>18.388872155735818</v>
      </c>
      <c r="T219" s="663">
        <v>5.7096738281250001</v>
      </c>
      <c r="U219" s="671">
        <v>247.79381620856324</v>
      </c>
    </row>
    <row r="220" spans="3:21" ht="13">
      <c r="C220" s="670" t="s">
        <v>79</v>
      </c>
      <c r="D220" s="663">
        <v>0</v>
      </c>
      <c r="E220" s="663">
        <v>0</v>
      </c>
      <c r="F220" s="663">
        <v>28.084568019979141</v>
      </c>
      <c r="G220" s="663">
        <v>1.421472124111238</v>
      </c>
      <c r="H220" s="663">
        <v>2.5860362638913656</v>
      </c>
      <c r="I220" s="663">
        <v>3.4176690712220695E-2</v>
      </c>
      <c r="J220" s="663">
        <v>0</v>
      </c>
      <c r="K220" s="663">
        <v>0</v>
      </c>
      <c r="L220" s="663">
        <v>0</v>
      </c>
      <c r="M220" s="663">
        <v>0</v>
      </c>
      <c r="N220" s="663">
        <v>58.95620249302754</v>
      </c>
      <c r="O220" s="663">
        <v>3.0759021640998623</v>
      </c>
      <c r="P220" s="663">
        <v>0</v>
      </c>
      <c r="Q220" s="663">
        <v>0</v>
      </c>
      <c r="R220" s="663">
        <v>96.758599927458889</v>
      </c>
      <c r="S220" s="663">
        <v>0</v>
      </c>
      <c r="T220" s="663">
        <v>4.2910115463144054</v>
      </c>
      <c r="U220" s="671">
        <v>195.20796922959462</v>
      </c>
    </row>
    <row r="221" spans="3:21" ht="13">
      <c r="C221" s="670" t="s">
        <v>80</v>
      </c>
      <c r="D221" s="663">
        <v>0</v>
      </c>
      <c r="E221" s="663">
        <v>0</v>
      </c>
      <c r="F221" s="663">
        <v>1.0938828648554826</v>
      </c>
      <c r="G221" s="663">
        <v>0</v>
      </c>
      <c r="H221" s="663">
        <v>16.315204996757775</v>
      </c>
      <c r="I221" s="663">
        <v>0.21561944929635826</v>
      </c>
      <c r="J221" s="663">
        <v>0</v>
      </c>
      <c r="K221" s="663">
        <v>0</v>
      </c>
      <c r="L221" s="663">
        <v>32.232635043857968</v>
      </c>
      <c r="M221" s="663">
        <v>0</v>
      </c>
      <c r="N221" s="663">
        <v>0</v>
      </c>
      <c r="O221" s="663">
        <v>19.405750436672243</v>
      </c>
      <c r="P221" s="663">
        <v>111.91504706113531</v>
      </c>
      <c r="Q221" s="663">
        <v>2.8847164087553931</v>
      </c>
      <c r="R221" s="663">
        <v>143.6282802083233</v>
      </c>
      <c r="S221" s="663">
        <v>25.545428952203935</v>
      </c>
      <c r="T221" s="663">
        <v>0</v>
      </c>
      <c r="U221" s="671">
        <v>353.23656542185773</v>
      </c>
    </row>
    <row r="222" spans="3:21" ht="13">
      <c r="C222" s="670" t="s">
        <v>81</v>
      </c>
      <c r="D222" s="663">
        <v>0</v>
      </c>
      <c r="E222" s="663">
        <v>0</v>
      </c>
      <c r="F222" s="663">
        <v>0.97723127965383472</v>
      </c>
      <c r="G222" s="663">
        <v>0</v>
      </c>
      <c r="H222" s="663">
        <v>8.896881568300115</v>
      </c>
      <c r="I222" s="663">
        <v>0.11757993262070637</v>
      </c>
      <c r="J222" s="663">
        <v>0</v>
      </c>
      <c r="K222" s="663">
        <v>0</v>
      </c>
      <c r="L222" s="663">
        <v>0.3860243395319729</v>
      </c>
      <c r="M222" s="663">
        <v>3.6858170734169985E-4</v>
      </c>
      <c r="N222" s="663">
        <v>0</v>
      </c>
      <c r="O222" s="663">
        <v>10.582193935863573</v>
      </c>
      <c r="P222" s="663">
        <v>26.610536942551132</v>
      </c>
      <c r="Q222" s="663">
        <v>1.0058473798751368</v>
      </c>
      <c r="R222" s="663">
        <v>89.039868511744515</v>
      </c>
      <c r="S222" s="663">
        <v>19.009325162298154</v>
      </c>
      <c r="T222" s="663">
        <v>0</v>
      </c>
      <c r="U222" s="671">
        <v>156.62585763414648</v>
      </c>
    </row>
    <row r="223" spans="3:21" ht="13">
      <c r="C223" s="670" t="s">
        <v>82</v>
      </c>
      <c r="D223" s="663">
        <v>0</v>
      </c>
      <c r="E223" s="663">
        <v>0</v>
      </c>
      <c r="F223" s="663">
        <v>4.1945740406306502</v>
      </c>
      <c r="G223" s="663">
        <v>1.6667279106947781</v>
      </c>
      <c r="H223" s="663">
        <v>0.79342108561234903</v>
      </c>
      <c r="I223" s="663">
        <v>1.0485741219546464E-2</v>
      </c>
      <c r="J223" s="663">
        <v>0</v>
      </c>
      <c r="K223" s="663">
        <v>0</v>
      </c>
      <c r="L223" s="663">
        <v>3.7340409967435519</v>
      </c>
      <c r="M223" s="663">
        <v>0</v>
      </c>
      <c r="N223" s="663">
        <v>16.919952753679041</v>
      </c>
      <c r="O223" s="663">
        <v>0.94371670975918176</v>
      </c>
      <c r="P223" s="663">
        <v>1.1499999999999999</v>
      </c>
      <c r="Q223" s="663">
        <v>1.5666563685107562</v>
      </c>
      <c r="R223" s="663">
        <v>7.7866370218848946</v>
      </c>
      <c r="S223" s="663">
        <v>0</v>
      </c>
      <c r="T223" s="663">
        <v>0.36062656029870238</v>
      </c>
      <c r="U223" s="671">
        <v>39.126839189033454</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1.8912</v>
      </c>
      <c r="S224" s="663">
        <v>0</v>
      </c>
      <c r="T224" s="663">
        <v>0</v>
      </c>
      <c r="U224" s="671">
        <v>1.8912</v>
      </c>
    </row>
    <row r="225" spans="3:21" ht="13">
      <c r="C225" s="666" t="s">
        <v>83</v>
      </c>
      <c r="D225" s="667">
        <v>2.4027599556453909</v>
      </c>
      <c r="E225" s="667">
        <v>0</v>
      </c>
      <c r="F225" s="667">
        <v>37.464719318159553</v>
      </c>
      <c r="G225" s="667">
        <v>3.0882000348060163</v>
      </c>
      <c r="H225" s="675">
        <v>51.217862390799326</v>
      </c>
      <c r="I225" s="667">
        <v>0.67688804921761236</v>
      </c>
      <c r="J225" s="667">
        <v>0</v>
      </c>
      <c r="K225" s="667">
        <v>0</v>
      </c>
      <c r="L225" s="667">
        <v>55.925400303858773</v>
      </c>
      <c r="M225" s="667">
        <v>2.2930892627251551</v>
      </c>
      <c r="N225" s="667">
        <v>78.46688318615972</v>
      </c>
      <c r="O225" s="667">
        <v>60.960199676837377</v>
      </c>
      <c r="P225" s="667">
        <v>148.52009865212395</v>
      </c>
      <c r="Q225" s="667">
        <v>5.4580412340336313</v>
      </c>
      <c r="R225" s="667">
        <v>474.10316741385316</v>
      </c>
      <c r="S225" s="667">
        <v>62.943626270237907</v>
      </c>
      <c r="T225" s="667">
        <v>10.361311934738108</v>
      </c>
      <c r="U225" s="667">
        <v>993.8822476831956</v>
      </c>
    </row>
    <row r="226" spans="3:21" ht="13">
      <c r="C226" s="662" t="s">
        <v>84</v>
      </c>
      <c r="D226" s="663">
        <v>0</v>
      </c>
      <c r="E226" s="663">
        <v>0</v>
      </c>
      <c r="F226" s="663">
        <v>55.51811908375884</v>
      </c>
      <c r="G226" s="663">
        <v>7.0490044147499464</v>
      </c>
      <c r="H226" s="663">
        <v>5.5825875517318595</v>
      </c>
      <c r="I226" s="663">
        <v>0</v>
      </c>
      <c r="J226" s="663">
        <v>0</v>
      </c>
      <c r="K226" s="663">
        <v>0</v>
      </c>
      <c r="L226" s="663">
        <v>0.48256425190137814</v>
      </c>
      <c r="M226" s="663">
        <v>0</v>
      </c>
      <c r="N226" s="663">
        <v>17.896473357733768</v>
      </c>
      <c r="O226" s="663">
        <v>3.3065346740377066</v>
      </c>
      <c r="P226" s="663">
        <v>0</v>
      </c>
      <c r="Q226" s="663">
        <v>0</v>
      </c>
      <c r="R226" s="663">
        <v>0</v>
      </c>
      <c r="S226" s="663">
        <v>0</v>
      </c>
      <c r="T226" s="663">
        <v>28.74233427987765</v>
      </c>
      <c r="U226" s="671">
        <v>118.57761761379115</v>
      </c>
    </row>
    <row r="227" spans="3:21" ht="13">
      <c r="C227" s="666" t="s">
        <v>85</v>
      </c>
      <c r="D227" s="667">
        <v>2.4027599556453909</v>
      </c>
      <c r="E227" s="667">
        <v>0</v>
      </c>
      <c r="F227" s="667">
        <v>92.9828384019184</v>
      </c>
      <c r="G227" s="667">
        <v>10.137204449555963</v>
      </c>
      <c r="H227" s="675">
        <v>56.800449942531188</v>
      </c>
      <c r="I227" s="667">
        <v>0.67688804921761236</v>
      </c>
      <c r="J227" s="667">
        <v>0</v>
      </c>
      <c r="K227" s="667">
        <v>0</v>
      </c>
      <c r="L227" s="667">
        <v>56.407964555760152</v>
      </c>
      <c r="M227" s="667">
        <v>2.2930892627251551</v>
      </c>
      <c r="N227" s="667">
        <v>96.363356543893488</v>
      </c>
      <c r="O227" s="667">
        <v>64.266734350875069</v>
      </c>
      <c r="P227" s="667">
        <v>148.52009865212395</v>
      </c>
      <c r="Q227" s="667">
        <v>5.4580412340336313</v>
      </c>
      <c r="R227" s="667">
        <v>474.10316741385316</v>
      </c>
      <c r="S227" s="667">
        <v>62.943626270237907</v>
      </c>
      <c r="T227" s="667">
        <v>39.103646214615758</v>
      </c>
      <c r="U227" s="667">
        <v>1112.4598652969867</v>
      </c>
    </row>
    <row r="228" spans="3:21">
      <c r="C228" s="654"/>
      <c r="D228" s="672">
        <v>0</v>
      </c>
      <c r="E228" s="672">
        <v>0</v>
      </c>
      <c r="F228" s="672">
        <v>0</v>
      </c>
      <c r="G228" s="672">
        <v>0</v>
      </c>
      <c r="H228" s="672">
        <v>0</v>
      </c>
      <c r="I228" s="672">
        <v>1.0408340855860843E-16</v>
      </c>
      <c r="J228" s="672">
        <v>0</v>
      </c>
      <c r="K228" s="672">
        <v>0</v>
      </c>
      <c r="L228" s="672">
        <v>0</v>
      </c>
      <c r="M228" s="672">
        <v>0</v>
      </c>
      <c r="N228" s="672">
        <v>1.1546319456101628E-14</v>
      </c>
      <c r="O228" s="672">
        <v>-3.1086244689504383E-14</v>
      </c>
      <c r="P228" s="672">
        <v>0</v>
      </c>
      <c r="Q228" s="672">
        <v>0</v>
      </c>
      <c r="R228" s="672">
        <v>0</v>
      </c>
      <c r="S228" s="672">
        <v>0</v>
      </c>
      <c r="T228" s="672">
        <v>0</v>
      </c>
      <c r="U228" s="672">
        <v>0</v>
      </c>
    </row>
    <row r="229" spans="3:21">
      <c r="C229" s="654"/>
      <c r="D229" s="654"/>
      <c r="E229" s="654"/>
      <c r="F229" s="654"/>
      <c r="G229" s="654"/>
      <c r="H229" s="654"/>
      <c r="I229" s="654"/>
      <c r="J229" s="654"/>
      <c r="K229" s="654"/>
      <c r="L229" s="654"/>
      <c r="M229" s="654"/>
      <c r="N229" s="654"/>
      <c r="O229" s="654"/>
      <c r="P229" s="654"/>
      <c r="Q229" s="654"/>
      <c r="R229" s="654"/>
      <c r="S229" s="654"/>
      <c r="T229" s="654"/>
      <c r="U229" s="654"/>
    </row>
    <row r="230" spans="3:21" ht="14.5">
      <c r="C230" s="658" t="s">
        <v>364</v>
      </c>
      <c r="D230" s="659"/>
      <c r="E230" s="659"/>
      <c r="F230" s="659"/>
      <c r="G230" s="659"/>
      <c r="H230" s="659"/>
      <c r="I230" s="659"/>
      <c r="J230" s="659"/>
      <c r="K230" s="659"/>
      <c r="L230" s="659"/>
      <c r="M230" s="659"/>
      <c r="N230" s="659"/>
      <c r="O230" s="659"/>
      <c r="P230" s="659"/>
      <c r="Q230" s="659"/>
      <c r="R230" s="659"/>
      <c r="S230" s="659"/>
      <c r="T230" s="659"/>
      <c r="U230" s="659"/>
    </row>
    <row r="231" spans="3:21">
      <c r="C231" s="654"/>
      <c r="D231" s="654"/>
      <c r="E231" s="654"/>
      <c r="F231" s="654"/>
      <c r="G231" s="654"/>
      <c r="H231" s="654"/>
      <c r="I231" s="654"/>
      <c r="J231" s="654"/>
      <c r="K231" s="654"/>
      <c r="L231" s="654"/>
      <c r="M231" s="654"/>
      <c r="N231" s="654"/>
      <c r="O231" s="654"/>
      <c r="P231" s="654"/>
      <c r="Q231" s="654"/>
      <c r="R231" s="654"/>
      <c r="S231" s="654"/>
      <c r="T231" s="654"/>
      <c r="U231" s="654"/>
    </row>
    <row r="232" spans="3:21" ht="13">
      <c r="C232" s="706" t="s">
        <v>128</v>
      </c>
      <c r="D232" s="704" t="s">
        <v>42</v>
      </c>
      <c r="E232" s="704" t="s">
        <v>52</v>
      </c>
      <c r="F232" s="704" t="s">
        <v>53</v>
      </c>
      <c r="G232" s="704" t="s">
        <v>487</v>
      </c>
      <c r="H232" s="704" t="s">
        <v>32</v>
      </c>
      <c r="I232" s="704" t="s">
        <v>488</v>
      </c>
      <c r="J232" s="704" t="s">
        <v>20</v>
      </c>
      <c r="K232" s="704" t="s">
        <v>55</v>
      </c>
      <c r="L232" s="708" t="s">
        <v>56</v>
      </c>
      <c r="M232" s="709"/>
      <c r="N232" s="709"/>
      <c r="O232" s="709"/>
      <c r="P232" s="709"/>
      <c r="Q232" s="710"/>
      <c r="R232" s="704" t="s">
        <v>57</v>
      </c>
      <c r="S232" s="704" t="s">
        <v>58</v>
      </c>
      <c r="T232" s="704" t="s">
        <v>31</v>
      </c>
      <c r="U232" s="704" t="s">
        <v>10</v>
      </c>
    </row>
    <row r="233" spans="3:21" ht="36">
      <c r="C233" s="707"/>
      <c r="D233" s="705"/>
      <c r="E233" s="705"/>
      <c r="F233" s="705"/>
      <c r="G233" s="705"/>
      <c r="H233" s="705"/>
      <c r="I233" s="705"/>
      <c r="J233" s="705"/>
      <c r="K233" s="705"/>
      <c r="L233" s="660" t="s">
        <v>338</v>
      </c>
      <c r="M233" s="660" t="s">
        <v>40</v>
      </c>
      <c r="N233" s="660" t="s">
        <v>346</v>
      </c>
      <c r="O233" s="660" t="s">
        <v>347</v>
      </c>
      <c r="P233" s="661" t="s">
        <v>348</v>
      </c>
      <c r="Q233" s="660" t="s">
        <v>349</v>
      </c>
      <c r="R233" s="705"/>
      <c r="S233" s="705"/>
      <c r="T233" s="705"/>
      <c r="U233" s="705"/>
    </row>
    <row r="234" spans="3:21" ht="13">
      <c r="C234" s="662" t="s">
        <v>59</v>
      </c>
      <c r="D234" s="663">
        <v>0</v>
      </c>
      <c r="E234" s="663">
        <v>0</v>
      </c>
      <c r="F234" s="663">
        <v>0</v>
      </c>
      <c r="G234" s="663">
        <v>0</v>
      </c>
      <c r="H234" s="663">
        <v>0</v>
      </c>
      <c r="I234" s="663">
        <v>0</v>
      </c>
      <c r="J234" s="664">
        <v>835.87348477446847</v>
      </c>
      <c r="K234" s="664">
        <v>433.2264513609648</v>
      </c>
      <c r="L234" s="664">
        <v>288.88340552324502</v>
      </c>
      <c r="M234" s="664">
        <v>22.07866786794175</v>
      </c>
      <c r="N234" s="663">
        <v>1.6797912871987437</v>
      </c>
      <c r="O234" s="663">
        <v>0.17065445399605614</v>
      </c>
      <c r="P234" s="664">
        <v>155.82057805919561</v>
      </c>
      <c r="Q234" s="664">
        <v>23.487215011212861</v>
      </c>
      <c r="R234" s="663">
        <v>0</v>
      </c>
      <c r="S234" s="663">
        <v>0</v>
      </c>
      <c r="T234" s="663">
        <v>0</v>
      </c>
      <c r="U234" s="665">
        <v>1761.2202483382232</v>
      </c>
    </row>
    <row r="235" spans="3:21" ht="13">
      <c r="C235" s="662" t="s">
        <v>60</v>
      </c>
      <c r="D235" s="663">
        <v>9.1088960408946864</v>
      </c>
      <c r="E235" s="663">
        <v>190.65660017812178</v>
      </c>
      <c r="F235" s="663">
        <v>2.9590354993625017</v>
      </c>
      <c r="G235" s="663">
        <v>0</v>
      </c>
      <c r="H235" s="663">
        <v>52.772371882452688</v>
      </c>
      <c r="I235" s="663">
        <v>0</v>
      </c>
      <c r="J235" s="663">
        <v>0</v>
      </c>
      <c r="K235" s="663">
        <v>0</v>
      </c>
      <c r="L235" s="663">
        <v>4.8125993033158778</v>
      </c>
      <c r="M235" s="663">
        <v>0</v>
      </c>
      <c r="N235" s="663">
        <v>5.0080801377734332</v>
      </c>
      <c r="O235" s="663">
        <v>0</v>
      </c>
      <c r="P235" s="663">
        <v>0</v>
      </c>
      <c r="Q235" s="663">
        <v>0</v>
      </c>
      <c r="R235" s="663">
        <v>0</v>
      </c>
      <c r="S235" s="663">
        <v>0</v>
      </c>
      <c r="T235" s="663">
        <v>0</v>
      </c>
      <c r="U235" s="665">
        <v>265.31758304192095</v>
      </c>
    </row>
    <row r="236" spans="3:21" ht="13">
      <c r="C236" s="662" t="s">
        <v>61</v>
      </c>
      <c r="D236" s="663">
        <v>0</v>
      </c>
      <c r="E236" s="663">
        <v>0</v>
      </c>
      <c r="F236" s="663">
        <v>-67.846394386464354</v>
      </c>
      <c r="G236" s="663">
        <v>-3.5527136788005009E-15</v>
      </c>
      <c r="H236" s="663">
        <v>0</v>
      </c>
      <c r="I236" s="663">
        <v>0</v>
      </c>
      <c r="J236" s="663">
        <v>0</v>
      </c>
      <c r="K236" s="663">
        <v>0</v>
      </c>
      <c r="L236" s="663">
        <v>0</v>
      </c>
      <c r="M236" s="663">
        <v>0</v>
      </c>
      <c r="N236" s="663">
        <v>0</v>
      </c>
      <c r="O236" s="663">
        <v>0</v>
      </c>
      <c r="P236" s="663">
        <v>0</v>
      </c>
      <c r="Q236" s="663">
        <v>0</v>
      </c>
      <c r="R236" s="663">
        <v>-40.00031821738844</v>
      </c>
      <c r="S236" s="663">
        <v>0</v>
      </c>
      <c r="T236" s="663">
        <v>0</v>
      </c>
      <c r="U236" s="665">
        <v>-107.84671260385279</v>
      </c>
    </row>
    <row r="237" spans="3:21" ht="13">
      <c r="C237" s="662" t="s">
        <v>62</v>
      </c>
      <c r="D237" s="663">
        <v>0</v>
      </c>
      <c r="E237" s="663">
        <v>0</v>
      </c>
      <c r="F237" s="663">
        <v>-5.3541729526260253</v>
      </c>
      <c r="G237" s="663">
        <v>-3.2544454489343884</v>
      </c>
      <c r="H237" s="663">
        <v>-2.154938128893316</v>
      </c>
      <c r="I237" s="663">
        <v>-5.5254823817777333E-2</v>
      </c>
      <c r="J237" s="663">
        <v>0</v>
      </c>
      <c r="K237" s="663">
        <v>0</v>
      </c>
      <c r="L237" s="663">
        <v>0</v>
      </c>
      <c r="M237" s="663">
        <v>0</v>
      </c>
      <c r="N237" s="663">
        <v>-0.28299525642907725</v>
      </c>
      <c r="O237" s="663">
        <v>-3.3152894290666399</v>
      </c>
      <c r="P237" s="663">
        <v>0</v>
      </c>
      <c r="Q237" s="663">
        <v>0</v>
      </c>
      <c r="R237" s="663">
        <v>0</v>
      </c>
      <c r="S237" s="663">
        <v>0</v>
      </c>
      <c r="T237" s="663">
        <v>0</v>
      </c>
      <c r="U237" s="665">
        <v>-14.417096039767225</v>
      </c>
    </row>
    <row r="238" spans="3:21" ht="13">
      <c r="C238" s="662" t="s">
        <v>63</v>
      </c>
      <c r="D238" s="663">
        <v>0</v>
      </c>
      <c r="E238" s="663">
        <v>0</v>
      </c>
      <c r="F238" s="663">
        <v>-38.578656039955483</v>
      </c>
      <c r="G238" s="663">
        <v>-13.893394907220655</v>
      </c>
      <c r="H238" s="663">
        <v>0</v>
      </c>
      <c r="I238" s="663">
        <v>0</v>
      </c>
      <c r="J238" s="663">
        <v>0</v>
      </c>
      <c r="K238" s="663">
        <v>0</v>
      </c>
      <c r="L238" s="663">
        <v>0</v>
      </c>
      <c r="M238" s="663">
        <v>0</v>
      </c>
      <c r="N238" s="663">
        <v>-13.893394907220655</v>
      </c>
      <c r="O238" s="663">
        <v>0</v>
      </c>
      <c r="P238" s="663">
        <v>0</v>
      </c>
      <c r="Q238" s="663">
        <v>0</v>
      </c>
      <c r="R238" s="663">
        <v>0</v>
      </c>
      <c r="S238" s="663">
        <v>0</v>
      </c>
      <c r="T238" s="663">
        <v>-1.3953345659196588</v>
      </c>
      <c r="U238" s="665">
        <v>-67.760780420316451</v>
      </c>
    </row>
    <row r="239" spans="3:21" ht="13">
      <c r="C239" s="662" t="s">
        <v>64</v>
      </c>
      <c r="D239" s="663">
        <v>0</v>
      </c>
      <c r="E239" s="663">
        <v>0</v>
      </c>
      <c r="F239" s="663">
        <v>0</v>
      </c>
      <c r="G239" s="663">
        <v>0</v>
      </c>
      <c r="H239" s="663">
        <v>0</v>
      </c>
      <c r="I239" s="663">
        <v>0</v>
      </c>
      <c r="J239" s="663">
        <v>0</v>
      </c>
      <c r="K239" s="663">
        <v>0</v>
      </c>
      <c r="L239" s="663">
        <v>0</v>
      </c>
      <c r="M239" s="663">
        <v>0</v>
      </c>
      <c r="N239" s="663">
        <v>0</v>
      </c>
      <c r="O239" s="663">
        <v>0</v>
      </c>
      <c r="P239" s="663">
        <v>0</v>
      </c>
      <c r="Q239" s="663">
        <v>0</v>
      </c>
      <c r="R239" s="663">
        <v>0</v>
      </c>
      <c r="S239" s="663">
        <v>0</v>
      </c>
      <c r="T239" s="663">
        <v>0</v>
      </c>
      <c r="U239" s="665">
        <v>0</v>
      </c>
    </row>
    <row r="240" spans="3:21" ht="13">
      <c r="C240" s="666" t="s">
        <v>65</v>
      </c>
      <c r="D240" s="667">
        <v>9.1088960408946864</v>
      </c>
      <c r="E240" s="667">
        <v>190.65660017812178</v>
      </c>
      <c r="F240" s="667">
        <v>-108.82018787968336</v>
      </c>
      <c r="G240" s="667">
        <v>-17.147840356155047</v>
      </c>
      <c r="H240" s="675">
        <v>50.617433753559375</v>
      </c>
      <c r="I240" s="667">
        <v>-5.5254823817777333E-2</v>
      </c>
      <c r="J240" s="667">
        <v>835.87348477446847</v>
      </c>
      <c r="K240" s="667">
        <v>433.2264513609648</v>
      </c>
      <c r="L240" s="667">
        <v>293.69600482656091</v>
      </c>
      <c r="M240" s="667">
        <v>22.07866786794175</v>
      </c>
      <c r="N240" s="667">
        <v>-7.4885187386775538</v>
      </c>
      <c r="O240" s="667">
        <v>-3.1446349750705838</v>
      </c>
      <c r="P240" s="667">
        <v>155.82057805919561</v>
      </c>
      <c r="Q240" s="667">
        <v>23.487215011212861</v>
      </c>
      <c r="R240" s="667">
        <v>-40.00031821738844</v>
      </c>
      <c r="S240" s="667">
        <v>0</v>
      </c>
      <c r="T240" s="667">
        <v>-1.3953345659196588</v>
      </c>
      <c r="U240" s="667">
        <v>1836.5132423162074</v>
      </c>
    </row>
    <row r="241" spans="3:21" ht="13">
      <c r="C241" s="668"/>
      <c r="D241" s="669">
        <v>0</v>
      </c>
      <c r="E241" s="669">
        <v>0</v>
      </c>
      <c r="F241" s="669">
        <v>0</v>
      </c>
      <c r="G241" s="669">
        <v>0</v>
      </c>
      <c r="H241" s="676">
        <v>0</v>
      </c>
      <c r="I241" s="669">
        <v>0</v>
      </c>
      <c r="J241" s="669">
        <v>0</v>
      </c>
      <c r="K241" s="669">
        <v>0</v>
      </c>
      <c r="L241" s="669">
        <v>0</v>
      </c>
      <c r="M241" s="669">
        <v>0</v>
      </c>
      <c r="N241" s="669">
        <v>0</v>
      </c>
      <c r="O241" s="669">
        <v>0</v>
      </c>
      <c r="P241" s="669">
        <v>0</v>
      </c>
      <c r="Q241" s="669">
        <v>0</v>
      </c>
      <c r="R241" s="669">
        <v>0</v>
      </c>
      <c r="S241" s="669">
        <v>0</v>
      </c>
      <c r="T241" s="669">
        <v>0</v>
      </c>
      <c r="U241" s="669">
        <v>0</v>
      </c>
    </row>
    <row r="242" spans="3:21" ht="13">
      <c r="C242" s="670" t="s">
        <v>67</v>
      </c>
      <c r="D242" s="663">
        <v>0</v>
      </c>
      <c r="E242" s="663">
        <v>0</v>
      </c>
      <c r="F242" s="663">
        <v>0</v>
      </c>
      <c r="G242" s="663">
        <v>0</v>
      </c>
      <c r="H242" s="663">
        <v>0</v>
      </c>
      <c r="I242" s="663">
        <v>0</v>
      </c>
      <c r="J242" s="663">
        <v>0</v>
      </c>
      <c r="K242" s="663">
        <v>0</v>
      </c>
      <c r="L242" s="663">
        <v>0</v>
      </c>
      <c r="M242" s="663">
        <v>0</v>
      </c>
      <c r="N242" s="663">
        <v>0</v>
      </c>
      <c r="O242" s="663">
        <v>0</v>
      </c>
      <c r="P242" s="663">
        <v>0</v>
      </c>
      <c r="Q242" s="663">
        <v>0</v>
      </c>
      <c r="R242" s="663">
        <v>0</v>
      </c>
      <c r="S242" s="663">
        <v>0</v>
      </c>
      <c r="T242" s="663">
        <v>0</v>
      </c>
      <c r="U242" s="671">
        <v>0</v>
      </c>
    </row>
    <row r="243" spans="3:21" ht="13">
      <c r="C243" s="670" t="s">
        <v>350</v>
      </c>
      <c r="D243" s="663">
        <v>0</v>
      </c>
      <c r="E243" s="663">
        <v>0</v>
      </c>
      <c r="F243" s="663">
        <v>0</v>
      </c>
      <c r="G243" s="663">
        <v>0</v>
      </c>
      <c r="H243" s="663">
        <v>0</v>
      </c>
      <c r="I243" s="663">
        <v>0</v>
      </c>
      <c r="J243" s="663">
        <v>835.87348477446847</v>
      </c>
      <c r="K243" s="663">
        <v>433.2264513609648</v>
      </c>
      <c r="L243" s="663">
        <v>14.188154051569427</v>
      </c>
      <c r="M243" s="663">
        <v>5.3742483693021068</v>
      </c>
      <c r="N243" s="663">
        <v>6.3451610040287907</v>
      </c>
      <c r="O243" s="663">
        <v>0.11419280490868838</v>
      </c>
      <c r="P243" s="663">
        <v>0</v>
      </c>
      <c r="Q243" s="663">
        <v>6.4766550958451852</v>
      </c>
      <c r="R243" s="663">
        <v>-726.93629039774203</v>
      </c>
      <c r="S243" s="663">
        <v>0</v>
      </c>
      <c r="T243" s="663">
        <v>11.298964449788109</v>
      </c>
      <c r="U243" s="671">
        <v>585.96102151313323</v>
      </c>
    </row>
    <row r="244" spans="3:21" ht="13">
      <c r="C244" s="670" t="s">
        <v>351</v>
      </c>
      <c r="D244" s="663">
        <v>0</v>
      </c>
      <c r="E244" s="663">
        <v>0</v>
      </c>
      <c r="F244" s="663">
        <v>0</v>
      </c>
      <c r="G244" s="663">
        <v>0</v>
      </c>
      <c r="H244" s="663">
        <v>3.2711110414405256</v>
      </c>
      <c r="I244" s="663">
        <v>0</v>
      </c>
      <c r="J244" s="663">
        <v>0</v>
      </c>
      <c r="K244" s="663">
        <v>0</v>
      </c>
      <c r="L244" s="663">
        <v>34.963821149394811</v>
      </c>
      <c r="M244" s="663">
        <v>14.476121269049287</v>
      </c>
      <c r="N244" s="663">
        <v>0</v>
      </c>
      <c r="O244" s="663">
        <v>7.6477038720835147</v>
      </c>
      <c r="P244" s="663">
        <v>0</v>
      </c>
      <c r="Q244" s="663">
        <v>11.276034288959668</v>
      </c>
      <c r="R244" s="663">
        <v>0</v>
      </c>
      <c r="S244" s="663">
        <v>-67.494467143680438</v>
      </c>
      <c r="T244" s="663">
        <v>0</v>
      </c>
      <c r="U244" s="671">
        <v>4.1403244772473649</v>
      </c>
    </row>
    <row r="245" spans="3:21" ht="13">
      <c r="C245" s="670" t="s">
        <v>352</v>
      </c>
      <c r="D245" s="663">
        <v>0</v>
      </c>
      <c r="E245" s="663">
        <v>0</v>
      </c>
      <c r="F245" s="663">
        <v>0</v>
      </c>
      <c r="G245" s="663">
        <v>0</v>
      </c>
      <c r="H245" s="663">
        <v>0</v>
      </c>
      <c r="I245" s="663">
        <v>0</v>
      </c>
      <c r="J245" s="663">
        <v>0</v>
      </c>
      <c r="K245" s="663">
        <v>0</v>
      </c>
      <c r="L245" s="663">
        <v>85.030807044207506</v>
      </c>
      <c r="M245" s="663">
        <v>0</v>
      </c>
      <c r="N245" s="663">
        <v>0</v>
      </c>
      <c r="O245" s="663">
        <v>-80.149276434896436</v>
      </c>
      <c r="P245" s="663">
        <v>0</v>
      </c>
      <c r="Q245" s="663">
        <v>0</v>
      </c>
      <c r="R245" s="663">
        <v>0</v>
      </c>
      <c r="S245" s="663">
        <v>0</v>
      </c>
      <c r="T245" s="663">
        <v>0</v>
      </c>
      <c r="U245" s="671">
        <v>4.8815306093110706</v>
      </c>
    </row>
    <row r="246" spans="3:21" ht="13">
      <c r="C246" s="670" t="s">
        <v>353</v>
      </c>
      <c r="D246" s="663">
        <v>0</v>
      </c>
      <c r="E246" s="663">
        <v>0</v>
      </c>
      <c r="F246" s="663">
        <v>0</v>
      </c>
      <c r="G246" s="663">
        <v>0</v>
      </c>
      <c r="H246" s="663">
        <v>0</v>
      </c>
      <c r="I246" s="663">
        <v>-1.1466991714325052</v>
      </c>
      <c r="J246" s="663">
        <v>0</v>
      </c>
      <c r="K246" s="663">
        <v>0</v>
      </c>
      <c r="L246" s="663">
        <v>0</v>
      </c>
      <c r="M246" s="663">
        <v>0</v>
      </c>
      <c r="N246" s="663">
        <v>0</v>
      </c>
      <c r="O246" s="663">
        <v>0</v>
      </c>
      <c r="P246" s="663">
        <v>0</v>
      </c>
      <c r="Q246" s="663">
        <v>0</v>
      </c>
      <c r="R246" s="663">
        <v>0</v>
      </c>
      <c r="S246" s="663">
        <v>0</v>
      </c>
      <c r="T246" s="663">
        <v>1.5966000387788533</v>
      </c>
      <c r="U246" s="671">
        <v>0.44990086734634804</v>
      </c>
    </row>
    <row r="247" spans="3:21" ht="13">
      <c r="C247" s="670" t="s">
        <v>72</v>
      </c>
      <c r="D247" s="663">
        <v>0</v>
      </c>
      <c r="E247" s="663">
        <v>197.54631533572405</v>
      </c>
      <c r="F247" s="663">
        <v>-195.57532355071015</v>
      </c>
      <c r="G247" s="663">
        <v>0</v>
      </c>
      <c r="H247" s="663">
        <v>0</v>
      </c>
      <c r="I247" s="663">
        <v>0</v>
      </c>
      <c r="J247" s="663">
        <v>0</v>
      </c>
      <c r="K247" s="663">
        <v>0</v>
      </c>
      <c r="L247" s="663">
        <v>0</v>
      </c>
      <c r="M247" s="663">
        <v>0</v>
      </c>
      <c r="N247" s="663">
        <v>0</v>
      </c>
      <c r="O247" s="663">
        <v>0</v>
      </c>
      <c r="P247" s="663">
        <v>0</v>
      </c>
      <c r="Q247" s="663">
        <v>0</v>
      </c>
      <c r="R247" s="663">
        <v>0</v>
      </c>
      <c r="S247" s="663">
        <v>0</v>
      </c>
      <c r="T247" s="663">
        <v>0</v>
      </c>
      <c r="U247" s="671">
        <v>1.9709917850139052</v>
      </c>
    </row>
    <row r="248" spans="3:21" ht="13">
      <c r="C248" s="670" t="s">
        <v>354</v>
      </c>
      <c r="D248" s="663">
        <v>0</v>
      </c>
      <c r="E248" s="663">
        <v>0</v>
      </c>
      <c r="F248" s="663">
        <v>0</v>
      </c>
      <c r="G248" s="663">
        <v>0</v>
      </c>
      <c r="H248" s="663">
        <v>0</v>
      </c>
      <c r="I248" s="663">
        <v>0</v>
      </c>
      <c r="J248" s="663">
        <v>0</v>
      </c>
      <c r="K248" s="663">
        <v>0</v>
      </c>
      <c r="L248" s="663">
        <v>104.32434467350188</v>
      </c>
      <c r="M248" s="663">
        <v>0</v>
      </c>
      <c r="N248" s="663">
        <v>-104.32434467350188</v>
      </c>
      <c r="O248" s="663">
        <v>0</v>
      </c>
      <c r="P248" s="663">
        <v>0</v>
      </c>
      <c r="Q248" s="663">
        <v>0</v>
      </c>
      <c r="R248" s="663">
        <v>0</v>
      </c>
      <c r="S248" s="663">
        <v>0</v>
      </c>
      <c r="T248" s="663">
        <v>0</v>
      </c>
      <c r="U248" s="671">
        <v>0</v>
      </c>
    </row>
    <row r="249" spans="3:21" ht="13">
      <c r="C249" s="670" t="s">
        <v>355</v>
      </c>
      <c r="D249" s="663">
        <v>0</v>
      </c>
      <c r="E249" s="663">
        <v>0</v>
      </c>
      <c r="F249" s="663">
        <v>0</v>
      </c>
      <c r="G249" s="663">
        <v>-28.456538558191252</v>
      </c>
      <c r="H249" s="663">
        <v>0</v>
      </c>
      <c r="I249" s="663">
        <v>0</v>
      </c>
      <c r="J249" s="663">
        <v>0</v>
      </c>
      <c r="K249" s="663">
        <v>0</v>
      </c>
      <c r="L249" s="663">
        <v>0</v>
      </c>
      <c r="M249" s="663">
        <v>0</v>
      </c>
      <c r="N249" s="663">
        <v>0</v>
      </c>
      <c r="O249" s="663">
        <v>0</v>
      </c>
      <c r="P249" s="663">
        <v>0</v>
      </c>
      <c r="Q249" s="663">
        <v>0</v>
      </c>
      <c r="R249" s="663">
        <v>0</v>
      </c>
      <c r="S249" s="663">
        <v>0</v>
      </c>
      <c r="T249" s="663">
        <v>39.633062058762192</v>
      </c>
      <c r="U249" s="671">
        <v>11.176523500570941</v>
      </c>
    </row>
    <row r="250" spans="3:21" ht="13">
      <c r="C250" s="670" t="s">
        <v>73</v>
      </c>
      <c r="D250" s="663">
        <v>0</v>
      </c>
      <c r="E250" s="663">
        <v>0</v>
      </c>
      <c r="F250" s="663">
        <v>0</v>
      </c>
      <c r="G250" s="663">
        <v>0</v>
      </c>
      <c r="H250" s="663">
        <v>0</v>
      </c>
      <c r="I250" s="663">
        <v>0</v>
      </c>
      <c r="J250" s="663">
        <v>0</v>
      </c>
      <c r="K250" s="663">
        <v>0</v>
      </c>
      <c r="L250" s="663">
        <v>0</v>
      </c>
      <c r="M250" s="663">
        <v>0</v>
      </c>
      <c r="N250" s="663">
        <v>0</v>
      </c>
      <c r="O250" s="663">
        <v>0</v>
      </c>
      <c r="P250" s="663">
        <v>0</v>
      </c>
      <c r="Q250" s="663">
        <v>0</v>
      </c>
      <c r="R250" s="663">
        <v>137.29765828865015</v>
      </c>
      <c r="S250" s="663">
        <v>0</v>
      </c>
      <c r="T250" s="663">
        <v>-96.451604947776744</v>
      </c>
      <c r="U250" s="671">
        <v>40.846053340873411</v>
      </c>
    </row>
    <row r="251" spans="3:21" ht="13">
      <c r="C251" s="670" t="s">
        <v>356</v>
      </c>
      <c r="D251" s="663">
        <v>5.0092797656249992</v>
      </c>
      <c r="E251" s="663">
        <v>-6.8897151576022866</v>
      </c>
      <c r="F251" s="663">
        <v>8.9891621815142653</v>
      </c>
      <c r="G251" s="663">
        <v>0</v>
      </c>
      <c r="H251" s="663">
        <v>0</v>
      </c>
      <c r="I251" s="663">
        <v>0</v>
      </c>
      <c r="J251" s="663">
        <v>0</v>
      </c>
      <c r="K251" s="663">
        <v>0</v>
      </c>
      <c r="L251" s="663">
        <v>0</v>
      </c>
      <c r="M251" s="663">
        <v>0</v>
      </c>
      <c r="N251" s="663">
        <v>0</v>
      </c>
      <c r="O251" s="663">
        <v>0</v>
      </c>
      <c r="P251" s="663">
        <v>0</v>
      </c>
      <c r="Q251" s="663">
        <v>0</v>
      </c>
      <c r="R251" s="663">
        <v>0</v>
      </c>
      <c r="S251" s="663">
        <v>0</v>
      </c>
      <c r="T251" s="663">
        <v>0</v>
      </c>
      <c r="U251" s="671">
        <v>7.1087267895369788</v>
      </c>
    </row>
    <row r="252" spans="3:21" ht="13">
      <c r="C252" s="670" t="s">
        <v>75</v>
      </c>
      <c r="D252" s="663">
        <v>1.9480532421875001</v>
      </c>
      <c r="E252" s="663">
        <v>0</v>
      </c>
      <c r="F252" s="663">
        <v>17.132121990826434</v>
      </c>
      <c r="G252" s="663">
        <v>0</v>
      </c>
      <c r="H252" s="663">
        <v>1.9377811160090992</v>
      </c>
      <c r="I252" s="663">
        <v>4.9686695282284594E-2</v>
      </c>
      <c r="J252" s="663">
        <v>0</v>
      </c>
      <c r="K252" s="663">
        <v>0</v>
      </c>
      <c r="L252" s="663">
        <v>0</v>
      </c>
      <c r="M252" s="663">
        <v>0</v>
      </c>
      <c r="N252" s="663">
        <v>0</v>
      </c>
      <c r="O252" s="663">
        <v>2.9812017169370755</v>
      </c>
      <c r="P252" s="663">
        <v>0</v>
      </c>
      <c r="Q252" s="663">
        <v>0</v>
      </c>
      <c r="R252" s="663">
        <v>20.439487728936754</v>
      </c>
      <c r="S252" s="663">
        <v>0</v>
      </c>
      <c r="T252" s="663">
        <v>0</v>
      </c>
      <c r="U252" s="671">
        <v>44.488332490179147</v>
      </c>
    </row>
    <row r="253" spans="3:21" ht="13">
      <c r="C253" s="670" t="s">
        <v>76</v>
      </c>
      <c r="D253" s="663">
        <v>0</v>
      </c>
      <c r="E253" s="663">
        <v>0</v>
      </c>
      <c r="F253" s="663">
        <v>0</v>
      </c>
      <c r="G253" s="663">
        <v>0</v>
      </c>
      <c r="H253" s="663">
        <v>0.58071595304039991</v>
      </c>
      <c r="I253" s="663">
        <v>1.4890152642061536E-2</v>
      </c>
      <c r="J253" s="663">
        <v>0</v>
      </c>
      <c r="K253" s="663">
        <v>0</v>
      </c>
      <c r="L253" s="663">
        <v>0</v>
      </c>
      <c r="M253" s="663">
        <v>0</v>
      </c>
      <c r="N253" s="663">
        <v>0</v>
      </c>
      <c r="O253" s="663">
        <v>0.89340915852369218</v>
      </c>
      <c r="P253" s="663">
        <v>0</v>
      </c>
      <c r="Q253" s="663">
        <v>0</v>
      </c>
      <c r="R253" s="663">
        <v>52.564064229351587</v>
      </c>
      <c r="S253" s="663">
        <v>5.2350040213197584</v>
      </c>
      <c r="T253" s="663">
        <v>0</v>
      </c>
      <c r="U253" s="671">
        <v>59.288083514877499</v>
      </c>
    </row>
    <row r="254" spans="3:21" ht="13">
      <c r="C254" s="666" t="s">
        <v>77</v>
      </c>
      <c r="D254" s="667">
        <v>6.9573330078124993</v>
      </c>
      <c r="E254" s="667">
        <v>190.65660017812178</v>
      </c>
      <c r="F254" s="667">
        <v>-169.45403937836946</v>
      </c>
      <c r="G254" s="667">
        <v>-28.456538558191252</v>
      </c>
      <c r="H254" s="675">
        <v>5.7896081104900246</v>
      </c>
      <c r="I254" s="667">
        <v>-1.0821223235081592</v>
      </c>
      <c r="J254" s="667">
        <v>835.87348477446847</v>
      </c>
      <c r="K254" s="667">
        <v>433.2264513609648</v>
      </c>
      <c r="L254" s="667">
        <v>238.50712691867363</v>
      </c>
      <c r="M254" s="667">
        <v>19.850369638351395</v>
      </c>
      <c r="N254" s="667">
        <v>-97.979183669473088</v>
      </c>
      <c r="O254" s="667">
        <v>-68.512768882443467</v>
      </c>
      <c r="P254" s="667">
        <v>0</v>
      </c>
      <c r="Q254" s="667">
        <v>17.752689384804853</v>
      </c>
      <c r="R254" s="667">
        <v>-516.63508015080356</v>
      </c>
      <c r="S254" s="667">
        <v>-62.259463122360671</v>
      </c>
      <c r="T254" s="667">
        <v>-43.92297840044759</v>
      </c>
      <c r="U254" s="667">
        <v>760.31148888809003</v>
      </c>
    </row>
    <row r="255" spans="3:21" ht="13">
      <c r="C255" s="668"/>
      <c r="D255" s="669">
        <v>0</v>
      </c>
      <c r="E255" s="669">
        <v>0</v>
      </c>
      <c r="F255" s="669">
        <v>0</v>
      </c>
      <c r="G255" s="669">
        <v>0</v>
      </c>
      <c r="H255" s="676">
        <v>0</v>
      </c>
      <c r="I255" s="669">
        <v>0</v>
      </c>
      <c r="J255" s="669">
        <v>0</v>
      </c>
      <c r="K255" s="669">
        <v>0</v>
      </c>
      <c r="L255" s="669">
        <v>0</v>
      </c>
      <c r="M255" s="669">
        <v>0</v>
      </c>
      <c r="N255" s="669">
        <v>0</v>
      </c>
      <c r="O255" s="669">
        <v>0</v>
      </c>
      <c r="P255" s="669">
        <v>0</v>
      </c>
      <c r="Q255" s="669">
        <v>0</v>
      </c>
      <c r="R255" s="669">
        <v>0</v>
      </c>
      <c r="S255" s="669">
        <v>0</v>
      </c>
      <c r="T255" s="669">
        <v>0</v>
      </c>
      <c r="U255" s="669">
        <v>0</v>
      </c>
    </row>
    <row r="256" spans="3:21" ht="13">
      <c r="C256" s="670" t="s">
        <v>78</v>
      </c>
      <c r="D256" s="663">
        <v>2.1515630330821871</v>
      </c>
      <c r="E256" s="663">
        <v>0</v>
      </c>
      <c r="F256" s="663">
        <v>1.9729303012498745</v>
      </c>
      <c r="G256" s="663">
        <v>0</v>
      </c>
      <c r="H256" s="663">
        <v>17.624600662262115</v>
      </c>
      <c r="I256" s="663">
        <v>0.45191283749390032</v>
      </c>
      <c r="J256" s="663">
        <v>0</v>
      </c>
      <c r="K256" s="663">
        <v>0</v>
      </c>
      <c r="L256" s="663">
        <v>19.327819378703428</v>
      </c>
      <c r="M256" s="663">
        <v>2.2279514023281117</v>
      </c>
      <c r="N256" s="663">
        <v>2.6644658203125</v>
      </c>
      <c r="O256" s="663">
        <v>27.156120456665761</v>
      </c>
      <c r="P256" s="663">
        <v>9.6085478515625002</v>
      </c>
      <c r="Q256" s="663">
        <v>8.4299170840015686E-4</v>
      </c>
      <c r="R256" s="663">
        <v>135.80773886663795</v>
      </c>
      <c r="S256" s="663">
        <v>18.436108583667494</v>
      </c>
      <c r="T256" s="663">
        <v>6.3938178710937503</v>
      </c>
      <c r="U256" s="671">
        <v>243.82442005676796</v>
      </c>
    </row>
    <row r="257" spans="3:21" ht="13">
      <c r="C257" s="670" t="s">
        <v>79</v>
      </c>
      <c r="D257" s="663">
        <v>0</v>
      </c>
      <c r="E257" s="663">
        <v>0</v>
      </c>
      <c r="F257" s="663">
        <v>5.1934680094593588</v>
      </c>
      <c r="G257" s="663">
        <v>1.7577012997845347</v>
      </c>
      <c r="H257" s="663">
        <v>2.152977175631825</v>
      </c>
      <c r="I257" s="663">
        <v>5.5204542964918585E-2</v>
      </c>
      <c r="J257" s="663">
        <v>0</v>
      </c>
      <c r="K257" s="663">
        <v>0</v>
      </c>
      <c r="L257" s="663">
        <v>0</v>
      </c>
      <c r="M257" s="663">
        <v>0</v>
      </c>
      <c r="N257" s="663">
        <v>51.143075106834317</v>
      </c>
      <c r="O257" s="663">
        <v>3.312272577895115</v>
      </c>
      <c r="P257" s="663">
        <v>0</v>
      </c>
      <c r="Q257" s="663">
        <v>0</v>
      </c>
      <c r="R257" s="663">
        <v>104.19646172854269</v>
      </c>
      <c r="S257" s="663">
        <v>0</v>
      </c>
      <c r="T257" s="663">
        <v>4.7641609973157095</v>
      </c>
      <c r="U257" s="671">
        <v>172.57532143842849</v>
      </c>
    </row>
    <row r="258" spans="3:21" ht="13">
      <c r="C258" s="670" t="s">
        <v>80</v>
      </c>
      <c r="D258" s="663">
        <v>0</v>
      </c>
      <c r="E258" s="663">
        <v>0</v>
      </c>
      <c r="F258" s="663">
        <v>0.32079919308121357</v>
      </c>
      <c r="G258" s="663">
        <v>0</v>
      </c>
      <c r="H258" s="663">
        <v>12.69993934515486</v>
      </c>
      <c r="I258" s="663">
        <v>0.32563947038858615</v>
      </c>
      <c r="J258" s="663">
        <v>0</v>
      </c>
      <c r="K258" s="663">
        <v>0</v>
      </c>
      <c r="L258" s="663">
        <v>30.989297403436193</v>
      </c>
      <c r="M258" s="663">
        <v>0</v>
      </c>
      <c r="N258" s="663">
        <v>0</v>
      </c>
      <c r="O258" s="663">
        <v>19.538368223315167</v>
      </c>
      <c r="P258" s="663">
        <v>117.54725011788614</v>
      </c>
      <c r="Q258" s="663">
        <v>2.9888036499995505</v>
      </c>
      <c r="R258" s="663">
        <v>139.69858105781077</v>
      </c>
      <c r="S258" s="663">
        <v>24.846536847991327</v>
      </c>
      <c r="T258" s="663">
        <v>0</v>
      </c>
      <c r="U258" s="671">
        <v>348.95521530906382</v>
      </c>
    </row>
    <row r="259" spans="3:21" ht="13">
      <c r="C259" s="670" t="s">
        <v>81</v>
      </c>
      <c r="D259" s="663">
        <v>0</v>
      </c>
      <c r="E259" s="663">
        <v>0</v>
      </c>
      <c r="F259" s="663">
        <v>0.73542128008657859</v>
      </c>
      <c r="G259" s="663">
        <v>0</v>
      </c>
      <c r="H259" s="663">
        <v>6.9022329775494073</v>
      </c>
      <c r="I259" s="663">
        <v>0.17698033275767711</v>
      </c>
      <c r="J259" s="663">
        <v>0</v>
      </c>
      <c r="K259" s="663">
        <v>0</v>
      </c>
      <c r="L259" s="663">
        <v>0.37326901233115406</v>
      </c>
      <c r="M259" s="663">
        <v>3.4682726224379159E-4</v>
      </c>
      <c r="N259" s="663">
        <v>0</v>
      </c>
      <c r="O259" s="663">
        <v>10.618819965460625</v>
      </c>
      <c r="P259" s="663">
        <v>27.414780089746973</v>
      </c>
      <c r="Q259" s="663">
        <v>1.0008652914522365</v>
      </c>
      <c r="R259" s="663">
        <v>86.91432505661372</v>
      </c>
      <c r="S259" s="663">
        <v>18.976817690701857</v>
      </c>
      <c r="T259" s="663">
        <v>0</v>
      </c>
      <c r="U259" s="671">
        <v>153.11385852396248</v>
      </c>
    </row>
    <row r="260" spans="3:21" ht="13">
      <c r="C260" s="670" t="s">
        <v>82</v>
      </c>
      <c r="D260" s="663">
        <v>0</v>
      </c>
      <c r="E260" s="663">
        <v>0</v>
      </c>
      <c r="F260" s="663">
        <v>1.7660543125979742</v>
      </c>
      <c r="G260" s="663">
        <v>1.6775006918768405</v>
      </c>
      <c r="H260" s="663">
        <v>0.66808232732668293</v>
      </c>
      <c r="I260" s="663">
        <v>1.7130316085299562E-2</v>
      </c>
      <c r="J260" s="663">
        <v>0</v>
      </c>
      <c r="K260" s="663">
        <v>0</v>
      </c>
      <c r="L260" s="663">
        <v>3.9742935582164471</v>
      </c>
      <c r="M260" s="663">
        <v>0</v>
      </c>
      <c r="N260" s="663">
        <v>17.824426087880788</v>
      </c>
      <c r="O260" s="663">
        <v>1.0278189651179737</v>
      </c>
      <c r="P260" s="663">
        <v>1.25</v>
      </c>
      <c r="Q260" s="663">
        <v>1.7440136932478227</v>
      </c>
      <c r="R260" s="663">
        <v>7.8035752238100597</v>
      </c>
      <c r="S260" s="663">
        <v>0</v>
      </c>
      <c r="T260" s="663">
        <v>0.38427420359697795</v>
      </c>
      <c r="U260" s="671">
        <v>38.13716937975687</v>
      </c>
    </row>
    <row r="261" spans="3:21" ht="13">
      <c r="C261" s="670" t="s">
        <v>357</v>
      </c>
      <c r="D261" s="663">
        <v>0</v>
      </c>
      <c r="E261" s="663">
        <v>0</v>
      </c>
      <c r="F261" s="663">
        <v>0</v>
      </c>
      <c r="G261" s="663">
        <v>0</v>
      </c>
      <c r="H261" s="663">
        <v>0</v>
      </c>
      <c r="I261" s="663">
        <v>0</v>
      </c>
      <c r="J261" s="663">
        <v>0</v>
      </c>
      <c r="K261" s="663">
        <v>0</v>
      </c>
      <c r="L261" s="663">
        <v>0</v>
      </c>
      <c r="M261" s="663">
        <v>0</v>
      </c>
      <c r="N261" s="663">
        <v>0</v>
      </c>
      <c r="O261" s="663">
        <v>0</v>
      </c>
      <c r="P261" s="663">
        <v>0</v>
      </c>
      <c r="Q261" s="663">
        <v>0</v>
      </c>
      <c r="R261" s="663">
        <v>2.21408</v>
      </c>
      <c r="S261" s="663">
        <v>0</v>
      </c>
      <c r="T261" s="663">
        <v>0</v>
      </c>
      <c r="U261" s="671">
        <v>2.21408</v>
      </c>
    </row>
    <row r="262" spans="3:21" ht="13">
      <c r="C262" s="666" t="s">
        <v>83</v>
      </c>
      <c r="D262" s="667">
        <v>2.1515630330821871</v>
      </c>
      <c r="E262" s="667">
        <v>0</v>
      </c>
      <c r="F262" s="667">
        <v>9.9886730964750008</v>
      </c>
      <c r="G262" s="667">
        <v>3.4352019916613754</v>
      </c>
      <c r="H262" s="675">
        <v>40.047832487924893</v>
      </c>
      <c r="I262" s="667">
        <v>1.0268674996903817</v>
      </c>
      <c r="J262" s="667">
        <v>0</v>
      </c>
      <c r="K262" s="667">
        <v>0</v>
      </c>
      <c r="L262" s="667">
        <v>54.664679352687223</v>
      </c>
      <c r="M262" s="667">
        <v>2.2282982295903557</v>
      </c>
      <c r="N262" s="667">
        <v>71.631967015027612</v>
      </c>
      <c r="O262" s="667">
        <v>61.65340018845464</v>
      </c>
      <c r="P262" s="667">
        <v>155.82057805919561</v>
      </c>
      <c r="Q262" s="667">
        <v>5.7345256264080096</v>
      </c>
      <c r="R262" s="667">
        <v>476.63476193341518</v>
      </c>
      <c r="S262" s="667">
        <v>62.259463122360671</v>
      </c>
      <c r="T262" s="667">
        <v>11.542253072006439</v>
      </c>
      <c r="U262" s="667">
        <v>958.82006470797955</v>
      </c>
    </row>
    <row r="263" spans="3:21" ht="13">
      <c r="C263" s="662" t="s">
        <v>84</v>
      </c>
      <c r="D263" s="663">
        <v>0</v>
      </c>
      <c r="E263" s="663">
        <v>0</v>
      </c>
      <c r="F263" s="663">
        <v>50.64517840221108</v>
      </c>
      <c r="G263" s="663">
        <v>7.8734962103748298</v>
      </c>
      <c r="H263" s="663">
        <v>4.7799931551444459</v>
      </c>
      <c r="I263" s="663">
        <v>0</v>
      </c>
      <c r="J263" s="663">
        <v>0</v>
      </c>
      <c r="K263" s="663">
        <v>0</v>
      </c>
      <c r="L263" s="663">
        <v>0.52419855520004055</v>
      </c>
      <c r="M263" s="663">
        <v>0</v>
      </c>
      <c r="N263" s="663">
        <v>18.858697915767927</v>
      </c>
      <c r="O263" s="663">
        <v>3.7147337189182332</v>
      </c>
      <c r="P263" s="663">
        <v>0</v>
      </c>
      <c r="Q263" s="663">
        <v>0</v>
      </c>
      <c r="R263" s="663">
        <v>0</v>
      </c>
      <c r="S263" s="663">
        <v>0</v>
      </c>
      <c r="T263" s="663">
        <v>30.985390762521494</v>
      </c>
      <c r="U263" s="671">
        <v>117.38168872013804</v>
      </c>
    </row>
    <row r="264" spans="3:21" ht="13">
      <c r="C264" s="666" t="s">
        <v>85</v>
      </c>
      <c r="D264" s="667">
        <v>2.1515630330821871</v>
      </c>
      <c r="E264" s="667">
        <v>0</v>
      </c>
      <c r="F264" s="667">
        <v>60.633851498686084</v>
      </c>
      <c r="G264" s="667">
        <v>11.308698202036204</v>
      </c>
      <c r="H264" s="675">
        <v>44.827825643069339</v>
      </c>
      <c r="I264" s="667">
        <v>1.0268674996903817</v>
      </c>
      <c r="J264" s="667">
        <v>0</v>
      </c>
      <c r="K264" s="667">
        <v>0</v>
      </c>
      <c r="L264" s="667">
        <v>55.18887790788726</v>
      </c>
      <c r="M264" s="667">
        <v>2.2282982295903557</v>
      </c>
      <c r="N264" s="667">
        <v>90.490664930795546</v>
      </c>
      <c r="O264" s="667">
        <v>65.368133907372865</v>
      </c>
      <c r="P264" s="667">
        <v>155.82057805919561</v>
      </c>
      <c r="Q264" s="667">
        <v>5.7345256264080096</v>
      </c>
      <c r="R264" s="667">
        <v>476.63476193341518</v>
      </c>
      <c r="S264" s="667">
        <v>62.259463122360671</v>
      </c>
      <c r="T264" s="667">
        <v>42.527643834527936</v>
      </c>
      <c r="U264" s="667">
        <v>1076.2017534281176</v>
      </c>
    </row>
    <row r="265" spans="3:21">
      <c r="C265" s="654"/>
      <c r="D265" s="672">
        <v>0</v>
      </c>
      <c r="E265" s="672">
        <v>0</v>
      </c>
      <c r="F265" s="672">
        <v>0</v>
      </c>
      <c r="G265" s="672">
        <v>0</v>
      </c>
      <c r="H265" s="672">
        <v>0</v>
      </c>
      <c r="I265" s="672">
        <v>-1.3183898417423734E-16</v>
      </c>
      <c r="J265" s="672">
        <v>0</v>
      </c>
      <c r="K265" s="672">
        <v>0</v>
      </c>
      <c r="L265" s="672">
        <v>0</v>
      </c>
      <c r="M265" s="672">
        <v>0</v>
      </c>
      <c r="N265" s="672">
        <v>1.2434497875801753E-14</v>
      </c>
      <c r="O265" s="672">
        <v>-1.8207657603852567E-14</v>
      </c>
      <c r="P265" s="672">
        <v>0</v>
      </c>
      <c r="Q265" s="672">
        <v>0</v>
      </c>
      <c r="R265" s="672">
        <v>5.6843418860808015E-14</v>
      </c>
      <c r="S265" s="672">
        <v>0</v>
      </c>
      <c r="T265" s="672">
        <v>4.4408920985006262E-15</v>
      </c>
      <c r="U265" s="672">
        <v>0</v>
      </c>
    </row>
    <row r="266" spans="3:21">
      <c r="C266" s="654"/>
      <c r="D266" s="654"/>
      <c r="E266" s="654"/>
      <c r="F266" s="654"/>
      <c r="G266" s="654"/>
      <c r="H266" s="654"/>
      <c r="I266" s="654"/>
      <c r="J266" s="654"/>
      <c r="K266" s="654"/>
      <c r="L266" s="654"/>
      <c r="M266" s="654"/>
      <c r="N266" s="654"/>
      <c r="O266" s="654"/>
      <c r="P266" s="654"/>
      <c r="Q266" s="654"/>
      <c r="R266" s="654"/>
      <c r="S266" s="654"/>
      <c r="T266" s="654"/>
      <c r="U266" s="654"/>
    </row>
    <row r="267" spans="3:21" ht="14.5">
      <c r="C267" s="658" t="s">
        <v>89</v>
      </c>
      <c r="D267" s="659"/>
      <c r="E267" s="659"/>
      <c r="F267" s="659"/>
      <c r="G267" s="659"/>
      <c r="H267" s="659"/>
      <c r="I267" s="659"/>
      <c r="J267" s="659"/>
      <c r="K267" s="659"/>
      <c r="L267" s="659"/>
      <c r="M267" s="659"/>
      <c r="N267" s="659"/>
      <c r="O267" s="659"/>
      <c r="P267" s="659"/>
      <c r="Q267" s="659"/>
      <c r="R267" s="659"/>
      <c r="S267" s="659"/>
      <c r="T267" s="659"/>
      <c r="U267" s="659"/>
    </row>
    <row r="268" spans="3:21">
      <c r="C268" s="654"/>
      <c r="D268" s="654"/>
      <c r="E268" s="654"/>
      <c r="F268" s="654"/>
      <c r="G268" s="654"/>
      <c r="H268" s="654"/>
      <c r="I268" s="654"/>
      <c r="J268" s="654"/>
      <c r="K268" s="654"/>
      <c r="L268" s="654"/>
      <c r="M268" s="654"/>
      <c r="N268" s="654"/>
      <c r="O268" s="654"/>
      <c r="P268" s="654"/>
      <c r="Q268" s="654"/>
      <c r="R268" s="654"/>
      <c r="S268" s="654"/>
      <c r="T268" s="654"/>
      <c r="U268" s="654"/>
    </row>
    <row r="269" spans="3:21" ht="13">
      <c r="C269" s="706" t="s">
        <v>128</v>
      </c>
      <c r="D269" s="704" t="s">
        <v>42</v>
      </c>
      <c r="E269" s="704" t="s">
        <v>52</v>
      </c>
      <c r="F269" s="704" t="s">
        <v>53</v>
      </c>
      <c r="G269" s="704" t="s">
        <v>487</v>
      </c>
      <c r="H269" s="704" t="s">
        <v>32</v>
      </c>
      <c r="I269" s="704" t="s">
        <v>488</v>
      </c>
      <c r="J269" s="704" t="s">
        <v>20</v>
      </c>
      <c r="K269" s="704" t="s">
        <v>55</v>
      </c>
      <c r="L269" s="708" t="s">
        <v>56</v>
      </c>
      <c r="M269" s="709"/>
      <c r="N269" s="709"/>
      <c r="O269" s="709"/>
      <c r="P269" s="709"/>
      <c r="Q269" s="710"/>
      <c r="R269" s="704" t="s">
        <v>57</v>
      </c>
      <c r="S269" s="704" t="s">
        <v>58</v>
      </c>
      <c r="T269" s="704" t="s">
        <v>31</v>
      </c>
      <c r="U269" s="704" t="s">
        <v>10</v>
      </c>
    </row>
    <row r="270" spans="3:21" ht="36">
      <c r="C270" s="707"/>
      <c r="D270" s="705"/>
      <c r="E270" s="705"/>
      <c r="F270" s="705"/>
      <c r="G270" s="705"/>
      <c r="H270" s="705"/>
      <c r="I270" s="705"/>
      <c r="J270" s="705"/>
      <c r="K270" s="705"/>
      <c r="L270" s="660" t="s">
        <v>338</v>
      </c>
      <c r="M270" s="660" t="s">
        <v>40</v>
      </c>
      <c r="N270" s="660" t="s">
        <v>346</v>
      </c>
      <c r="O270" s="660" t="s">
        <v>347</v>
      </c>
      <c r="P270" s="661" t="s">
        <v>348</v>
      </c>
      <c r="Q270" s="660" t="s">
        <v>349</v>
      </c>
      <c r="R270" s="705"/>
      <c r="S270" s="705"/>
      <c r="T270" s="705"/>
      <c r="U270" s="705"/>
    </row>
    <row r="271" spans="3:21" ht="13">
      <c r="C271" s="662" t="s">
        <v>59</v>
      </c>
      <c r="D271" s="663">
        <v>0</v>
      </c>
      <c r="E271" s="663">
        <v>0</v>
      </c>
      <c r="F271" s="663">
        <v>0</v>
      </c>
      <c r="G271" s="663">
        <v>0</v>
      </c>
      <c r="H271" s="663">
        <v>0</v>
      </c>
      <c r="I271" s="663">
        <v>0</v>
      </c>
      <c r="J271" s="664">
        <v>712.60987447127138</v>
      </c>
      <c r="K271" s="664">
        <v>556.92135057124881</v>
      </c>
      <c r="L271" s="664">
        <v>261.57522104592402</v>
      </c>
      <c r="M271" s="664">
        <v>19.228684940511499</v>
      </c>
      <c r="N271" s="663">
        <v>1.5563580670349855</v>
      </c>
      <c r="O271" s="663">
        <v>0.17110271620039663</v>
      </c>
      <c r="P271" s="664">
        <v>167.23788927594987</v>
      </c>
      <c r="Q271" s="664">
        <v>24.373068583718577</v>
      </c>
      <c r="R271" s="663">
        <v>0</v>
      </c>
      <c r="S271" s="663">
        <v>0</v>
      </c>
      <c r="T271" s="663">
        <v>0</v>
      </c>
      <c r="U271" s="665">
        <v>1743.6735496718593</v>
      </c>
    </row>
    <row r="272" spans="3:21" ht="13">
      <c r="C272" s="662" t="s">
        <v>60</v>
      </c>
      <c r="D272" s="663">
        <v>5.9311888025037742</v>
      </c>
      <c r="E272" s="663">
        <v>113.95685880900638</v>
      </c>
      <c r="F272" s="663">
        <v>1.9517818504706483</v>
      </c>
      <c r="G272" s="663">
        <v>0</v>
      </c>
      <c r="H272" s="663">
        <v>2.6585092475046008</v>
      </c>
      <c r="I272" s="663">
        <v>0</v>
      </c>
      <c r="J272" s="663">
        <v>0</v>
      </c>
      <c r="K272" s="663">
        <v>0</v>
      </c>
      <c r="L272" s="663">
        <v>5.2309321400654634</v>
      </c>
      <c r="M272" s="663">
        <v>0</v>
      </c>
      <c r="N272" s="663">
        <v>5.4084519189769722</v>
      </c>
      <c r="O272" s="663">
        <v>0</v>
      </c>
      <c r="P272" s="663">
        <v>0</v>
      </c>
      <c r="Q272" s="663">
        <v>0</v>
      </c>
      <c r="R272" s="663">
        <v>0</v>
      </c>
      <c r="S272" s="663">
        <v>0</v>
      </c>
      <c r="T272" s="663">
        <v>0</v>
      </c>
      <c r="U272" s="665">
        <v>135.13772276852782</v>
      </c>
    </row>
    <row r="273" spans="3:21" ht="13">
      <c r="C273" s="662" t="s">
        <v>61</v>
      </c>
      <c r="D273" s="663">
        <v>0</v>
      </c>
      <c r="E273" s="663">
        <v>0</v>
      </c>
      <c r="F273" s="663">
        <v>-33.824093823668861</v>
      </c>
      <c r="G273" s="663">
        <v>-8.545793370460693</v>
      </c>
      <c r="H273" s="663">
        <v>0</v>
      </c>
      <c r="I273" s="663">
        <v>0</v>
      </c>
      <c r="J273" s="663">
        <v>0</v>
      </c>
      <c r="K273" s="663">
        <v>0</v>
      </c>
      <c r="L273" s="663">
        <v>0</v>
      </c>
      <c r="M273" s="663">
        <v>0</v>
      </c>
      <c r="N273" s="663">
        <v>0</v>
      </c>
      <c r="O273" s="663">
        <v>0</v>
      </c>
      <c r="P273" s="663">
        <v>0</v>
      </c>
      <c r="Q273" s="663">
        <v>0</v>
      </c>
      <c r="R273" s="663">
        <v>-40.000075434727478</v>
      </c>
      <c r="S273" s="663">
        <v>0</v>
      </c>
      <c r="T273" s="663">
        <v>0</v>
      </c>
      <c r="U273" s="665">
        <v>-82.369962628857039</v>
      </c>
    </row>
    <row r="274" spans="3:21" ht="13">
      <c r="C274" s="662" t="s">
        <v>62</v>
      </c>
      <c r="D274" s="663">
        <v>0</v>
      </c>
      <c r="E274" s="663">
        <v>0</v>
      </c>
      <c r="F274" s="663">
        <v>-1.6540275032482068</v>
      </c>
      <c r="G274" s="663">
        <v>-4.2955328800984329</v>
      </c>
      <c r="H274" s="663">
        <v>0</v>
      </c>
      <c r="I274" s="663">
        <v>-0.31877375583888373</v>
      </c>
      <c r="J274" s="663">
        <v>0</v>
      </c>
      <c r="K274" s="663">
        <v>0</v>
      </c>
      <c r="L274" s="663">
        <v>0</v>
      </c>
      <c r="M274" s="663">
        <v>0</v>
      </c>
      <c r="N274" s="663">
        <v>-0.24545902171991044</v>
      </c>
      <c r="O274" s="663">
        <v>-6.0567013609387903</v>
      </c>
      <c r="P274" s="663">
        <v>0</v>
      </c>
      <c r="Q274" s="663">
        <v>0</v>
      </c>
      <c r="R274" s="663">
        <v>0</v>
      </c>
      <c r="S274" s="663">
        <v>0</v>
      </c>
      <c r="T274" s="663">
        <v>0</v>
      </c>
      <c r="U274" s="665">
        <v>-12.570494521844225</v>
      </c>
    </row>
    <row r="275" spans="3:21" ht="13">
      <c r="C275" s="662" t="s">
        <v>63</v>
      </c>
      <c r="D275" s="663">
        <v>0</v>
      </c>
      <c r="E275" s="663">
        <v>0</v>
      </c>
      <c r="F275" s="663">
        <v>-18.714774559646315</v>
      </c>
      <c r="G275" s="663">
        <v>-28.257765893495769</v>
      </c>
      <c r="H275" s="663">
        <v>0</v>
      </c>
      <c r="I275" s="663">
        <v>0</v>
      </c>
      <c r="J275" s="663">
        <v>0</v>
      </c>
      <c r="K275" s="663">
        <v>0</v>
      </c>
      <c r="L275" s="663">
        <v>0</v>
      </c>
      <c r="M275" s="663">
        <v>0</v>
      </c>
      <c r="N275" s="663">
        <v>-13.972472121868162</v>
      </c>
      <c r="O275" s="663">
        <v>0</v>
      </c>
      <c r="P275" s="663">
        <v>0</v>
      </c>
      <c r="Q275" s="663">
        <v>0</v>
      </c>
      <c r="R275" s="663">
        <v>0</v>
      </c>
      <c r="S275" s="663">
        <v>0</v>
      </c>
      <c r="T275" s="663">
        <v>-2.6159745910871801</v>
      </c>
      <c r="U275" s="665">
        <v>-63.560987166097433</v>
      </c>
    </row>
    <row r="276" spans="3:21" ht="13">
      <c r="C276" s="662" t="s">
        <v>64</v>
      </c>
      <c r="D276" s="663">
        <v>0</v>
      </c>
      <c r="E276" s="663">
        <v>0</v>
      </c>
      <c r="F276" s="663">
        <v>0</v>
      </c>
      <c r="G276" s="663">
        <v>0</v>
      </c>
      <c r="H276" s="663">
        <v>0</v>
      </c>
      <c r="I276" s="663">
        <v>0</v>
      </c>
      <c r="J276" s="663">
        <v>0</v>
      </c>
      <c r="K276" s="663">
        <v>0</v>
      </c>
      <c r="L276" s="663">
        <v>0</v>
      </c>
      <c r="M276" s="663">
        <v>0</v>
      </c>
      <c r="N276" s="663">
        <v>0</v>
      </c>
      <c r="O276" s="663">
        <v>0</v>
      </c>
      <c r="P276" s="663">
        <v>0</v>
      </c>
      <c r="Q276" s="663">
        <v>0</v>
      </c>
      <c r="R276" s="663">
        <v>0</v>
      </c>
      <c r="S276" s="663">
        <v>0</v>
      </c>
      <c r="T276" s="663">
        <v>0</v>
      </c>
      <c r="U276" s="665">
        <v>0</v>
      </c>
    </row>
    <row r="277" spans="3:21" ht="13">
      <c r="C277" s="666" t="s">
        <v>65</v>
      </c>
      <c r="D277" s="667">
        <v>5.9311888025037742</v>
      </c>
      <c r="E277" s="667">
        <v>113.95685880900638</v>
      </c>
      <c r="F277" s="667">
        <v>-52.241114036092739</v>
      </c>
      <c r="G277" s="667">
        <v>-41.099092144054893</v>
      </c>
      <c r="H277" s="675">
        <v>2.6585092475046008</v>
      </c>
      <c r="I277" s="667">
        <v>-0.31877375583888373</v>
      </c>
      <c r="J277" s="667">
        <v>712.60987447127138</v>
      </c>
      <c r="K277" s="667">
        <v>556.92135057124881</v>
      </c>
      <c r="L277" s="667">
        <v>266.80615318598944</v>
      </c>
      <c r="M277" s="667">
        <v>19.228684940511499</v>
      </c>
      <c r="N277" s="667">
        <v>-7.2531211575761132</v>
      </c>
      <c r="O277" s="667">
        <v>-5.8855986447383941</v>
      </c>
      <c r="P277" s="667">
        <v>167.23788927594987</v>
      </c>
      <c r="Q277" s="667">
        <v>24.373068583718577</v>
      </c>
      <c r="R277" s="667">
        <v>-40.000075434727478</v>
      </c>
      <c r="S277" s="667">
        <v>0</v>
      </c>
      <c r="T277" s="667">
        <v>-2.6159745910871801</v>
      </c>
      <c r="U277" s="667">
        <v>1720.3098281235887</v>
      </c>
    </row>
    <row r="278" spans="3:21" ht="13">
      <c r="C278" s="668"/>
      <c r="D278" s="669">
        <v>0</v>
      </c>
      <c r="E278" s="669">
        <v>0</v>
      </c>
      <c r="F278" s="669">
        <v>0</v>
      </c>
      <c r="G278" s="669">
        <v>0</v>
      </c>
      <c r="H278" s="676">
        <v>0</v>
      </c>
      <c r="I278" s="669">
        <v>0</v>
      </c>
      <c r="J278" s="669">
        <v>0</v>
      </c>
      <c r="K278" s="669">
        <v>0</v>
      </c>
      <c r="L278" s="669">
        <v>0</v>
      </c>
      <c r="M278" s="669">
        <v>0</v>
      </c>
      <c r="N278" s="669">
        <v>0</v>
      </c>
      <c r="O278" s="669">
        <v>0</v>
      </c>
      <c r="P278" s="669">
        <v>0</v>
      </c>
      <c r="Q278" s="669">
        <v>0</v>
      </c>
      <c r="R278" s="669">
        <v>0</v>
      </c>
      <c r="S278" s="669">
        <v>0</v>
      </c>
      <c r="T278" s="669">
        <v>0</v>
      </c>
      <c r="U278" s="669">
        <v>0</v>
      </c>
    </row>
    <row r="279" spans="3:21" ht="13">
      <c r="C279" s="670" t="s">
        <v>67</v>
      </c>
      <c r="D279" s="663">
        <v>0</v>
      </c>
      <c r="E279" s="663">
        <v>0</v>
      </c>
      <c r="F279" s="663">
        <v>0</v>
      </c>
      <c r="G279" s="663">
        <v>0</v>
      </c>
      <c r="H279" s="663">
        <v>0</v>
      </c>
      <c r="I279" s="663">
        <v>0</v>
      </c>
      <c r="J279" s="663">
        <v>0</v>
      </c>
      <c r="K279" s="663">
        <v>0</v>
      </c>
      <c r="L279" s="663">
        <v>0</v>
      </c>
      <c r="M279" s="663">
        <v>0</v>
      </c>
      <c r="N279" s="663">
        <v>0</v>
      </c>
      <c r="O279" s="663">
        <v>0</v>
      </c>
      <c r="P279" s="663">
        <v>0</v>
      </c>
      <c r="Q279" s="663">
        <v>0</v>
      </c>
      <c r="R279" s="663">
        <v>0</v>
      </c>
      <c r="S279" s="663">
        <v>0</v>
      </c>
      <c r="T279" s="663">
        <v>0</v>
      </c>
      <c r="U279" s="671">
        <v>0</v>
      </c>
    </row>
    <row r="280" spans="3:21" ht="13">
      <c r="C280" s="670" t="s">
        <v>350</v>
      </c>
      <c r="D280" s="663">
        <v>0</v>
      </c>
      <c r="E280" s="663">
        <v>0</v>
      </c>
      <c r="F280" s="663">
        <v>0</v>
      </c>
      <c r="G280" s="663">
        <v>0</v>
      </c>
      <c r="H280" s="663">
        <v>0</v>
      </c>
      <c r="I280" s="663">
        <v>0</v>
      </c>
      <c r="J280" s="663">
        <v>712.60987447127138</v>
      </c>
      <c r="K280" s="663">
        <v>556.92135057124881</v>
      </c>
      <c r="L280" s="663">
        <v>14.491283228737107</v>
      </c>
      <c r="M280" s="663">
        <v>2.8053264742296591</v>
      </c>
      <c r="N280" s="663">
        <v>6.5561937148871507</v>
      </c>
      <c r="O280" s="663">
        <v>0.11326810820885491</v>
      </c>
      <c r="P280" s="663">
        <v>0</v>
      </c>
      <c r="Q280" s="663">
        <v>6.7631767445353068</v>
      </c>
      <c r="R280" s="663">
        <v>-809.85847053245573</v>
      </c>
      <c r="S280" s="663">
        <v>0</v>
      </c>
      <c r="T280" s="663">
        <v>25.915656492161155</v>
      </c>
      <c r="U280" s="671">
        <v>516.31765927282356</v>
      </c>
    </row>
    <row r="281" spans="3:21" ht="13">
      <c r="C281" s="670" t="s">
        <v>351</v>
      </c>
      <c r="D281" s="663">
        <v>0</v>
      </c>
      <c r="E281" s="663">
        <v>0</v>
      </c>
      <c r="F281" s="663">
        <v>0</v>
      </c>
      <c r="G281" s="663">
        <v>0</v>
      </c>
      <c r="H281" s="663">
        <v>0</v>
      </c>
      <c r="I281" s="663">
        <v>0</v>
      </c>
      <c r="J281" s="663">
        <v>0</v>
      </c>
      <c r="K281" s="663">
        <v>0</v>
      </c>
      <c r="L281" s="663">
        <v>33.721862056250039</v>
      </c>
      <c r="M281" s="663">
        <v>14.376617363231052</v>
      </c>
      <c r="N281" s="663">
        <v>0</v>
      </c>
      <c r="O281" s="663">
        <v>8.1785673020738106</v>
      </c>
      <c r="P281" s="663">
        <v>0</v>
      </c>
      <c r="Q281" s="663">
        <v>11.316516045102318</v>
      </c>
      <c r="R281" s="663">
        <v>0</v>
      </c>
      <c r="S281" s="663">
        <v>-64.575476384232388</v>
      </c>
      <c r="T281" s="663">
        <v>0</v>
      </c>
      <c r="U281" s="671">
        <v>3.0180863824248352</v>
      </c>
    </row>
    <row r="282" spans="3:21" ht="13">
      <c r="C282" s="670" t="s">
        <v>352</v>
      </c>
      <c r="D282" s="663">
        <v>0</v>
      </c>
      <c r="E282" s="663">
        <v>0</v>
      </c>
      <c r="F282" s="663">
        <v>0</v>
      </c>
      <c r="G282" s="663">
        <v>0</v>
      </c>
      <c r="H282" s="663">
        <v>0</v>
      </c>
      <c r="I282" s="663">
        <v>0</v>
      </c>
      <c r="J282" s="663">
        <v>0</v>
      </c>
      <c r="K282" s="663">
        <v>0</v>
      </c>
      <c r="L282" s="663">
        <v>104.38683240846164</v>
      </c>
      <c r="M282" s="663">
        <v>0</v>
      </c>
      <c r="N282" s="663">
        <v>0</v>
      </c>
      <c r="O282" s="663">
        <v>-100.27188716566127</v>
      </c>
      <c r="P282" s="663">
        <v>0</v>
      </c>
      <c r="Q282" s="663">
        <v>0</v>
      </c>
      <c r="R282" s="663">
        <v>0</v>
      </c>
      <c r="S282" s="663">
        <v>0</v>
      </c>
      <c r="T282" s="663">
        <v>0</v>
      </c>
      <c r="U282" s="671">
        <v>4.1149452428003741</v>
      </c>
    </row>
    <row r="283" spans="3:21" ht="13">
      <c r="C283" s="670" t="s">
        <v>353</v>
      </c>
      <c r="D283" s="663">
        <v>0</v>
      </c>
      <c r="E283" s="663">
        <v>0</v>
      </c>
      <c r="F283" s="663">
        <v>0</v>
      </c>
      <c r="G283" s="663">
        <v>0</v>
      </c>
      <c r="H283" s="663">
        <v>0</v>
      </c>
      <c r="I283" s="663">
        <v>-4.5962253881571415</v>
      </c>
      <c r="J283" s="663">
        <v>0</v>
      </c>
      <c r="K283" s="663">
        <v>0</v>
      </c>
      <c r="L283" s="663">
        <v>0</v>
      </c>
      <c r="M283" s="663">
        <v>0</v>
      </c>
      <c r="N283" s="663">
        <v>0</v>
      </c>
      <c r="O283" s="663">
        <v>0</v>
      </c>
      <c r="P283" s="663">
        <v>0</v>
      </c>
      <c r="Q283" s="663">
        <v>0</v>
      </c>
      <c r="R283" s="663">
        <v>0</v>
      </c>
      <c r="S283" s="663">
        <v>0</v>
      </c>
      <c r="T283" s="663">
        <v>6.4074201765093832</v>
      </c>
      <c r="U283" s="671">
        <v>1.8111947883522417</v>
      </c>
    </row>
    <row r="284" spans="3:21" ht="13">
      <c r="C284" s="670" t="s">
        <v>72</v>
      </c>
      <c r="D284" s="663">
        <v>0</v>
      </c>
      <c r="E284" s="663">
        <v>118.07035586741333</v>
      </c>
      <c r="F284" s="663">
        <v>-116.89188714951831</v>
      </c>
      <c r="G284" s="663">
        <v>0</v>
      </c>
      <c r="H284" s="663">
        <v>0</v>
      </c>
      <c r="I284" s="663">
        <v>0</v>
      </c>
      <c r="J284" s="663">
        <v>0</v>
      </c>
      <c r="K284" s="663">
        <v>0</v>
      </c>
      <c r="L284" s="663">
        <v>0</v>
      </c>
      <c r="M284" s="663">
        <v>0</v>
      </c>
      <c r="N284" s="663">
        <v>0</v>
      </c>
      <c r="O284" s="663">
        <v>0</v>
      </c>
      <c r="P284" s="663">
        <v>0</v>
      </c>
      <c r="Q284" s="663">
        <v>0</v>
      </c>
      <c r="R284" s="663">
        <v>0</v>
      </c>
      <c r="S284" s="663">
        <v>0</v>
      </c>
      <c r="T284" s="663">
        <v>0</v>
      </c>
      <c r="U284" s="671">
        <v>1.1784687178950146</v>
      </c>
    </row>
    <row r="285" spans="3:21" ht="13">
      <c r="C285" s="670" t="s">
        <v>354</v>
      </c>
      <c r="D285" s="663">
        <v>0</v>
      </c>
      <c r="E285" s="663">
        <v>0</v>
      </c>
      <c r="F285" s="663">
        <v>0</v>
      </c>
      <c r="G285" s="663">
        <v>0</v>
      </c>
      <c r="H285" s="663">
        <v>0</v>
      </c>
      <c r="I285" s="663">
        <v>0</v>
      </c>
      <c r="J285" s="663">
        <v>0</v>
      </c>
      <c r="K285" s="663">
        <v>0</v>
      </c>
      <c r="L285" s="663">
        <v>61.244429678974598</v>
      </c>
      <c r="M285" s="663">
        <v>0</v>
      </c>
      <c r="N285" s="663">
        <v>-61.244429678974598</v>
      </c>
      <c r="O285" s="663">
        <v>0</v>
      </c>
      <c r="P285" s="663">
        <v>0</v>
      </c>
      <c r="Q285" s="663">
        <v>0</v>
      </c>
      <c r="R285" s="663">
        <v>0</v>
      </c>
      <c r="S285" s="663">
        <v>0</v>
      </c>
      <c r="T285" s="663">
        <v>0</v>
      </c>
      <c r="U285" s="671">
        <v>0</v>
      </c>
    </row>
    <row r="286" spans="3:21" ht="13">
      <c r="C286" s="670" t="s">
        <v>355</v>
      </c>
      <c r="D286" s="663">
        <v>0</v>
      </c>
      <c r="E286" s="663">
        <v>0</v>
      </c>
      <c r="F286" s="663">
        <v>0</v>
      </c>
      <c r="G286" s="663">
        <v>-56.725829149009897</v>
      </c>
      <c r="H286" s="663">
        <v>0</v>
      </c>
      <c r="I286" s="663">
        <v>0</v>
      </c>
      <c r="J286" s="663">
        <v>0</v>
      </c>
      <c r="K286" s="663">
        <v>0</v>
      </c>
      <c r="L286" s="663">
        <v>0</v>
      </c>
      <c r="M286" s="663">
        <v>0</v>
      </c>
      <c r="N286" s="663">
        <v>0</v>
      </c>
      <c r="O286" s="663">
        <v>0</v>
      </c>
      <c r="P286" s="663">
        <v>0</v>
      </c>
      <c r="Q286" s="663">
        <v>0</v>
      </c>
      <c r="R286" s="663">
        <v>0</v>
      </c>
      <c r="S286" s="663">
        <v>0</v>
      </c>
      <c r="T286" s="663">
        <v>79.005333076615457</v>
      </c>
      <c r="U286" s="671">
        <v>22.27950392760556</v>
      </c>
    </row>
    <row r="287" spans="3:21" ht="13">
      <c r="C287" s="670" t="s">
        <v>73</v>
      </c>
      <c r="D287" s="663">
        <v>0</v>
      </c>
      <c r="E287" s="663">
        <v>0</v>
      </c>
      <c r="F287" s="663">
        <v>0</v>
      </c>
      <c r="G287" s="663">
        <v>0</v>
      </c>
      <c r="H287" s="663">
        <v>0</v>
      </c>
      <c r="I287" s="663">
        <v>0</v>
      </c>
      <c r="J287" s="663">
        <v>0</v>
      </c>
      <c r="K287" s="663">
        <v>0</v>
      </c>
      <c r="L287" s="663">
        <v>0</v>
      </c>
      <c r="M287" s="663">
        <v>0</v>
      </c>
      <c r="N287" s="663">
        <v>0</v>
      </c>
      <c r="O287" s="663">
        <v>0</v>
      </c>
      <c r="P287" s="663">
        <v>0</v>
      </c>
      <c r="Q287" s="663">
        <v>0</v>
      </c>
      <c r="R287" s="663">
        <v>227.10664749932533</v>
      </c>
      <c r="S287" s="663">
        <v>0</v>
      </c>
      <c r="T287" s="663">
        <v>-163.51678619951423</v>
      </c>
      <c r="U287" s="671">
        <v>63.589861299811105</v>
      </c>
    </row>
    <row r="288" spans="3:21" ht="13">
      <c r="C288" s="670" t="s">
        <v>356</v>
      </c>
      <c r="D288" s="663">
        <v>3.3456624609374996</v>
      </c>
      <c r="E288" s="663">
        <v>-4.1134970584069457</v>
      </c>
      <c r="F288" s="663">
        <v>5.3691262200413341</v>
      </c>
      <c r="G288" s="663">
        <v>0</v>
      </c>
      <c r="H288" s="663">
        <v>0</v>
      </c>
      <c r="I288" s="663">
        <v>0</v>
      </c>
      <c r="J288" s="663">
        <v>0</v>
      </c>
      <c r="K288" s="663">
        <v>0</v>
      </c>
      <c r="L288" s="663">
        <v>0</v>
      </c>
      <c r="M288" s="663">
        <v>0</v>
      </c>
      <c r="N288" s="663">
        <v>0</v>
      </c>
      <c r="O288" s="663">
        <v>0</v>
      </c>
      <c r="P288" s="663">
        <v>0</v>
      </c>
      <c r="Q288" s="663">
        <v>0</v>
      </c>
      <c r="R288" s="663">
        <v>0</v>
      </c>
      <c r="S288" s="663">
        <v>0</v>
      </c>
      <c r="T288" s="663">
        <v>0</v>
      </c>
      <c r="U288" s="671">
        <v>4.6012916225718881</v>
      </c>
    </row>
    <row r="289" spans="3:21" ht="13">
      <c r="C289" s="670" t="s">
        <v>75</v>
      </c>
      <c r="D289" s="663">
        <v>1.3010909570312501</v>
      </c>
      <c r="E289" s="663">
        <v>0</v>
      </c>
      <c r="F289" s="663">
        <v>16.404377382526505</v>
      </c>
      <c r="G289" s="663">
        <v>0</v>
      </c>
      <c r="H289" s="663">
        <v>0</v>
      </c>
      <c r="I289" s="663">
        <v>0.23833359000000001</v>
      </c>
      <c r="J289" s="663">
        <v>0</v>
      </c>
      <c r="K289" s="663">
        <v>0</v>
      </c>
      <c r="L289" s="663">
        <v>0</v>
      </c>
      <c r="M289" s="663">
        <v>0</v>
      </c>
      <c r="N289" s="663">
        <v>0</v>
      </c>
      <c r="O289" s="663">
        <v>4.5283382100000003</v>
      </c>
      <c r="P289" s="663">
        <v>0</v>
      </c>
      <c r="Q289" s="663">
        <v>0</v>
      </c>
      <c r="R289" s="663">
        <v>17.221013858771279</v>
      </c>
      <c r="S289" s="663">
        <v>0</v>
      </c>
      <c r="T289" s="663">
        <v>0</v>
      </c>
      <c r="U289" s="671">
        <v>39.693153998329031</v>
      </c>
    </row>
    <row r="290" spans="3:21" ht="13">
      <c r="C290" s="670" t="s">
        <v>76</v>
      </c>
      <c r="D290" s="663">
        <v>0</v>
      </c>
      <c r="E290" s="663">
        <v>0</v>
      </c>
      <c r="F290" s="663">
        <v>0</v>
      </c>
      <c r="G290" s="663">
        <v>0</v>
      </c>
      <c r="H290" s="663">
        <v>0</v>
      </c>
      <c r="I290" s="663">
        <v>5.9340338699632358E-2</v>
      </c>
      <c r="J290" s="663">
        <v>0</v>
      </c>
      <c r="K290" s="663">
        <v>0</v>
      </c>
      <c r="L290" s="663">
        <v>0</v>
      </c>
      <c r="M290" s="663">
        <v>0</v>
      </c>
      <c r="N290" s="663">
        <v>0</v>
      </c>
      <c r="O290" s="663">
        <v>1.1274664352930146</v>
      </c>
      <c r="P290" s="663">
        <v>0</v>
      </c>
      <c r="Q290" s="663">
        <v>0</v>
      </c>
      <c r="R290" s="663">
        <v>58.897580266978245</v>
      </c>
      <c r="S290" s="663">
        <v>5.0089527300753778</v>
      </c>
      <c r="T290" s="663">
        <v>0</v>
      </c>
      <c r="U290" s="671">
        <v>65.093339771046274</v>
      </c>
    </row>
    <row r="291" spans="3:21" ht="13">
      <c r="C291" s="666" t="s">
        <v>77</v>
      </c>
      <c r="D291" s="667">
        <v>4.6467534179687497</v>
      </c>
      <c r="E291" s="667">
        <v>113.95685880900638</v>
      </c>
      <c r="F291" s="667">
        <v>-95.118383546950469</v>
      </c>
      <c r="G291" s="667">
        <v>-56.725829149009897</v>
      </c>
      <c r="H291" s="675">
        <v>0</v>
      </c>
      <c r="I291" s="667">
        <v>-4.2985514594575092</v>
      </c>
      <c r="J291" s="667">
        <v>712.60987447127138</v>
      </c>
      <c r="K291" s="667">
        <v>556.92135057124881</v>
      </c>
      <c r="L291" s="667">
        <v>213.8444073724234</v>
      </c>
      <c r="M291" s="667">
        <v>17.181943837460711</v>
      </c>
      <c r="N291" s="667">
        <v>-54.688235964087447</v>
      </c>
      <c r="O291" s="667">
        <v>-86.324247110085594</v>
      </c>
      <c r="P291" s="667">
        <v>0</v>
      </c>
      <c r="Q291" s="667">
        <v>18.079692789637626</v>
      </c>
      <c r="R291" s="667">
        <v>-506.63322890738101</v>
      </c>
      <c r="S291" s="667">
        <v>-59.56652365415701</v>
      </c>
      <c r="T291" s="667">
        <v>-52.188376454228234</v>
      </c>
      <c r="U291" s="667">
        <v>721.69750502365991</v>
      </c>
    </row>
    <row r="292" spans="3:21" ht="13">
      <c r="C292" s="668"/>
      <c r="D292" s="669">
        <v>0</v>
      </c>
      <c r="E292" s="669">
        <v>0</v>
      </c>
      <c r="F292" s="669">
        <v>0</v>
      </c>
      <c r="G292" s="669">
        <v>0</v>
      </c>
      <c r="H292" s="676">
        <v>0</v>
      </c>
      <c r="I292" s="669">
        <v>0</v>
      </c>
      <c r="J292" s="669">
        <v>0</v>
      </c>
      <c r="K292" s="669">
        <v>0</v>
      </c>
      <c r="L292" s="669">
        <v>0</v>
      </c>
      <c r="M292" s="669">
        <v>0</v>
      </c>
      <c r="N292" s="669">
        <v>0</v>
      </c>
      <c r="O292" s="669">
        <v>0</v>
      </c>
      <c r="P292" s="669">
        <v>0</v>
      </c>
      <c r="Q292" s="669">
        <v>0</v>
      </c>
      <c r="R292" s="669">
        <v>0</v>
      </c>
      <c r="S292" s="669">
        <v>0</v>
      </c>
      <c r="T292" s="669">
        <v>0</v>
      </c>
      <c r="U292" s="669">
        <v>0</v>
      </c>
    </row>
    <row r="293" spans="3:21" ht="13">
      <c r="C293" s="670" t="s">
        <v>78</v>
      </c>
      <c r="D293" s="663">
        <v>1.2844353845350245</v>
      </c>
      <c r="E293" s="663">
        <v>0</v>
      </c>
      <c r="F293" s="663">
        <v>0.671413025716175</v>
      </c>
      <c r="G293" s="663">
        <v>0</v>
      </c>
      <c r="H293" s="663">
        <v>0</v>
      </c>
      <c r="I293" s="663">
        <v>1.6768235413433659</v>
      </c>
      <c r="J293" s="663">
        <v>0</v>
      </c>
      <c r="K293" s="663">
        <v>0</v>
      </c>
      <c r="L293" s="663">
        <v>18.511250218523632</v>
      </c>
      <c r="M293" s="663">
        <v>2.0464486619012869</v>
      </c>
      <c r="N293" s="663">
        <v>1.4169866943359375</v>
      </c>
      <c r="O293" s="663">
        <v>31.901778101678747</v>
      </c>
      <c r="P293" s="663">
        <v>11.306912109375</v>
      </c>
      <c r="Q293" s="663">
        <v>8.5890570413253253E-4</v>
      </c>
      <c r="R293" s="663">
        <v>135.19292998685364</v>
      </c>
      <c r="S293" s="663">
        <v>18.430317312360387</v>
      </c>
      <c r="T293" s="663">
        <v>8.2355947265624998</v>
      </c>
      <c r="U293" s="671">
        <v>230.67574866888981</v>
      </c>
    </row>
    <row r="294" spans="3:21" ht="13">
      <c r="C294" s="670" t="s">
        <v>79</v>
      </c>
      <c r="D294" s="663">
        <v>0</v>
      </c>
      <c r="E294" s="663">
        <v>0</v>
      </c>
      <c r="F294" s="663">
        <v>2.0327553633446804</v>
      </c>
      <c r="G294" s="663">
        <v>2.9414401384596758</v>
      </c>
      <c r="H294" s="663">
        <v>0</v>
      </c>
      <c r="I294" s="663">
        <v>0.25814381907328782</v>
      </c>
      <c r="J294" s="663">
        <v>0</v>
      </c>
      <c r="K294" s="663">
        <v>0</v>
      </c>
      <c r="L294" s="663">
        <v>0</v>
      </c>
      <c r="M294" s="663">
        <v>0</v>
      </c>
      <c r="N294" s="663">
        <v>11.290866079539722</v>
      </c>
      <c r="O294" s="663">
        <v>4.9047325623924678</v>
      </c>
      <c r="P294" s="663">
        <v>0</v>
      </c>
      <c r="Q294" s="663">
        <v>0</v>
      </c>
      <c r="R294" s="663">
        <v>110.4417553978261</v>
      </c>
      <c r="S294" s="663">
        <v>0</v>
      </c>
      <c r="T294" s="663">
        <v>5.3966998641798476</v>
      </c>
      <c r="U294" s="671">
        <v>137.26639322481577</v>
      </c>
    </row>
    <row r="295" spans="3:21" ht="13">
      <c r="C295" s="670" t="s">
        <v>80</v>
      </c>
      <c r="D295" s="663">
        <v>0</v>
      </c>
      <c r="E295" s="663">
        <v>0</v>
      </c>
      <c r="F295" s="663">
        <v>0.19325490667833059</v>
      </c>
      <c r="G295" s="663">
        <v>0</v>
      </c>
      <c r="H295" s="663">
        <v>0</v>
      </c>
      <c r="I295" s="663">
        <v>1.3094987150488224</v>
      </c>
      <c r="J295" s="663">
        <v>0</v>
      </c>
      <c r="K295" s="663">
        <v>0</v>
      </c>
      <c r="L295" s="663">
        <v>28.937300829462252</v>
      </c>
      <c r="M295" s="663">
        <v>0</v>
      </c>
      <c r="N295" s="663">
        <v>0</v>
      </c>
      <c r="O295" s="663">
        <v>24.88047558592762</v>
      </c>
      <c r="P295" s="663">
        <v>124.95584249070536</v>
      </c>
      <c r="Q295" s="663">
        <v>3.1166998128913419</v>
      </c>
      <c r="R295" s="663">
        <v>129.06523934568938</v>
      </c>
      <c r="S295" s="663">
        <v>22.248806062911136</v>
      </c>
      <c r="T295" s="663">
        <v>0</v>
      </c>
      <c r="U295" s="671">
        <v>334.70711774931425</v>
      </c>
    </row>
    <row r="296" spans="3:21" ht="13">
      <c r="C296" s="670" t="s">
        <v>81</v>
      </c>
      <c r="D296" s="663">
        <v>0</v>
      </c>
      <c r="E296" s="663">
        <v>0</v>
      </c>
      <c r="F296" s="663">
        <v>0.13103912510682203</v>
      </c>
      <c r="G296" s="663">
        <v>0</v>
      </c>
      <c r="H296" s="663">
        <v>0</v>
      </c>
      <c r="I296" s="663">
        <v>0.65398403873429223</v>
      </c>
      <c r="J296" s="663">
        <v>0</v>
      </c>
      <c r="K296" s="663">
        <v>0</v>
      </c>
      <c r="L296" s="663">
        <v>0.34200087095620557</v>
      </c>
      <c r="M296" s="663">
        <v>2.9244114949902102E-4</v>
      </c>
      <c r="N296" s="663">
        <v>0</v>
      </c>
      <c r="O296" s="663">
        <v>12.425696735951551</v>
      </c>
      <c r="P296" s="663">
        <v>29.475134675869491</v>
      </c>
      <c r="Q296" s="663">
        <v>0.98841007039498519</v>
      </c>
      <c r="R296" s="663">
        <v>81.567308013661545</v>
      </c>
      <c r="S296" s="663">
        <v>18.887400278885494</v>
      </c>
      <c r="T296" s="663">
        <v>0</v>
      </c>
      <c r="U296" s="671">
        <v>144.4712662507099</v>
      </c>
    </row>
    <row r="297" spans="3:21" ht="13">
      <c r="C297" s="670" t="s">
        <v>82</v>
      </c>
      <c r="D297" s="663">
        <v>0</v>
      </c>
      <c r="E297" s="663">
        <v>0</v>
      </c>
      <c r="F297" s="663">
        <v>0</v>
      </c>
      <c r="G297" s="663">
        <v>0.49546247522038722</v>
      </c>
      <c r="H297" s="663">
        <v>0</v>
      </c>
      <c r="I297" s="663">
        <v>8.1327589418857746E-2</v>
      </c>
      <c r="J297" s="663">
        <v>0</v>
      </c>
      <c r="K297" s="663">
        <v>0</v>
      </c>
      <c r="L297" s="663">
        <v>4.5749249618986854</v>
      </c>
      <c r="M297" s="663">
        <v>0</v>
      </c>
      <c r="N297" s="663">
        <v>16.621294257606131</v>
      </c>
      <c r="O297" s="663">
        <v>1.5452241989582969</v>
      </c>
      <c r="P297" s="663">
        <v>1.5</v>
      </c>
      <c r="Q297" s="663">
        <v>2.1874070050904897</v>
      </c>
      <c r="R297" s="663">
        <v>7.8459207286229669</v>
      </c>
      <c r="S297" s="663">
        <v>0</v>
      </c>
      <c r="T297" s="663">
        <v>0.44339331184266689</v>
      </c>
      <c r="U297" s="671">
        <v>35.294954528658486</v>
      </c>
    </row>
    <row r="298" spans="3:21" ht="13">
      <c r="C298" s="670" t="s">
        <v>357</v>
      </c>
      <c r="D298" s="663">
        <v>0</v>
      </c>
      <c r="E298" s="663">
        <v>0</v>
      </c>
      <c r="F298" s="663">
        <v>0</v>
      </c>
      <c r="G298" s="663">
        <v>0</v>
      </c>
      <c r="H298" s="663">
        <v>0</v>
      </c>
      <c r="I298" s="663">
        <v>0</v>
      </c>
      <c r="J298" s="663">
        <v>0</v>
      </c>
      <c r="K298" s="663">
        <v>0</v>
      </c>
      <c r="L298" s="663">
        <v>0</v>
      </c>
      <c r="M298" s="663">
        <v>0</v>
      </c>
      <c r="N298" s="663">
        <v>0</v>
      </c>
      <c r="O298" s="663">
        <v>0</v>
      </c>
      <c r="P298" s="663">
        <v>0</v>
      </c>
      <c r="Q298" s="663">
        <v>0</v>
      </c>
      <c r="R298" s="663">
        <v>2.5199999999999996</v>
      </c>
      <c r="S298" s="663">
        <v>0</v>
      </c>
      <c r="T298" s="663">
        <v>0</v>
      </c>
      <c r="U298" s="671">
        <v>2.5199999999999996</v>
      </c>
    </row>
    <row r="299" spans="3:21" ht="13">
      <c r="C299" s="666" t="s">
        <v>83</v>
      </c>
      <c r="D299" s="667">
        <v>1.2844353845350245</v>
      </c>
      <c r="E299" s="667">
        <v>0</v>
      </c>
      <c r="F299" s="667">
        <v>3.028462420846008</v>
      </c>
      <c r="G299" s="667">
        <v>3.4369026136800631</v>
      </c>
      <c r="H299" s="675">
        <v>0</v>
      </c>
      <c r="I299" s="667">
        <v>3.9797777036186259</v>
      </c>
      <c r="J299" s="667">
        <v>0</v>
      </c>
      <c r="K299" s="667">
        <v>0</v>
      </c>
      <c r="L299" s="667">
        <v>52.365476880840774</v>
      </c>
      <c r="M299" s="667">
        <v>2.0467411030507856</v>
      </c>
      <c r="N299" s="667">
        <v>29.329147031481789</v>
      </c>
      <c r="O299" s="667">
        <v>75.65790718490868</v>
      </c>
      <c r="P299" s="667">
        <v>167.23788927594987</v>
      </c>
      <c r="Q299" s="667">
        <v>6.2933757940809487</v>
      </c>
      <c r="R299" s="667">
        <v>466.63315347265359</v>
      </c>
      <c r="S299" s="667">
        <v>59.566523654157017</v>
      </c>
      <c r="T299" s="667">
        <v>14.075687902585015</v>
      </c>
      <c r="U299" s="667">
        <v>884.93548042238808</v>
      </c>
    </row>
    <row r="300" spans="3:21" ht="13">
      <c r="C300" s="662" t="s">
        <v>84</v>
      </c>
      <c r="D300" s="663">
        <v>0</v>
      </c>
      <c r="E300" s="663">
        <v>0</v>
      </c>
      <c r="F300" s="663">
        <v>39.848807090011732</v>
      </c>
      <c r="G300" s="663">
        <v>12.189834391274943</v>
      </c>
      <c r="H300" s="663">
        <v>2.6585092475046008</v>
      </c>
      <c r="I300" s="663">
        <v>0</v>
      </c>
      <c r="J300" s="663">
        <v>0</v>
      </c>
      <c r="K300" s="663">
        <v>0</v>
      </c>
      <c r="L300" s="663">
        <v>0.5962689327253029</v>
      </c>
      <c r="M300" s="663">
        <v>0</v>
      </c>
      <c r="N300" s="663">
        <v>18.105967775029544</v>
      </c>
      <c r="O300" s="663">
        <v>4.780741280438523</v>
      </c>
      <c r="P300" s="663">
        <v>0</v>
      </c>
      <c r="Q300" s="663">
        <v>0</v>
      </c>
      <c r="R300" s="663">
        <v>0</v>
      </c>
      <c r="S300" s="663">
        <v>0</v>
      </c>
      <c r="T300" s="663">
        <v>35.496713960556022</v>
      </c>
      <c r="U300" s="671">
        <v>113.67684267754068</v>
      </c>
    </row>
    <row r="301" spans="3:21" ht="13">
      <c r="C301" s="666" t="s">
        <v>85</v>
      </c>
      <c r="D301" s="667">
        <v>1.2844353845350245</v>
      </c>
      <c r="E301" s="667">
        <v>0</v>
      </c>
      <c r="F301" s="667">
        <v>42.877269510857737</v>
      </c>
      <c r="G301" s="667">
        <v>15.626737004955006</v>
      </c>
      <c r="H301" s="675">
        <v>2.6585092475046008</v>
      </c>
      <c r="I301" s="667">
        <v>3.9797777036186259</v>
      </c>
      <c r="J301" s="667">
        <v>0</v>
      </c>
      <c r="K301" s="667">
        <v>0</v>
      </c>
      <c r="L301" s="667">
        <v>52.961745813566075</v>
      </c>
      <c r="M301" s="667">
        <v>2.0467411030507856</v>
      </c>
      <c r="N301" s="667">
        <v>47.435114806511329</v>
      </c>
      <c r="O301" s="667">
        <v>80.4386484653472</v>
      </c>
      <c r="P301" s="667">
        <v>167.23788927594987</v>
      </c>
      <c r="Q301" s="667">
        <v>6.2933757940809487</v>
      </c>
      <c r="R301" s="667">
        <v>466.63315347265359</v>
      </c>
      <c r="S301" s="667">
        <v>59.566523654157017</v>
      </c>
      <c r="T301" s="667">
        <v>49.572401863141039</v>
      </c>
      <c r="U301" s="667">
        <v>998.61232309992874</v>
      </c>
    </row>
    <row r="302" spans="3:21">
      <c r="C302" s="654"/>
      <c r="D302" s="672">
        <v>0</v>
      </c>
      <c r="E302" s="672">
        <v>0</v>
      </c>
      <c r="F302" s="672">
        <v>0</v>
      </c>
      <c r="G302" s="672">
        <v>0</v>
      </c>
      <c r="H302" s="672">
        <v>0</v>
      </c>
      <c r="I302" s="672">
        <v>4.9960036108132044E-16</v>
      </c>
      <c r="J302" s="672">
        <v>0</v>
      </c>
      <c r="K302" s="672">
        <v>0</v>
      </c>
      <c r="L302" s="672">
        <v>0</v>
      </c>
      <c r="M302" s="672">
        <v>0</v>
      </c>
      <c r="N302" s="672">
        <v>0</v>
      </c>
      <c r="O302" s="672">
        <v>0</v>
      </c>
      <c r="P302" s="672">
        <v>0</v>
      </c>
      <c r="Q302" s="672">
        <v>0</v>
      </c>
      <c r="R302" s="672">
        <v>5.6843418860808015E-14</v>
      </c>
      <c r="S302" s="672">
        <v>7.1054273576010019E-15</v>
      </c>
      <c r="T302" s="672">
        <v>-1.4654943925052066E-14</v>
      </c>
      <c r="U302" s="672">
        <v>0</v>
      </c>
    </row>
    <row r="303" spans="3:21">
      <c r="C303" s="654"/>
      <c r="D303" s="654"/>
      <c r="E303" s="654"/>
      <c r="F303" s="654"/>
      <c r="G303" s="654"/>
      <c r="H303" s="654"/>
      <c r="I303" s="654"/>
      <c r="J303" s="654"/>
      <c r="K303" s="654"/>
      <c r="L303" s="654"/>
      <c r="M303" s="654"/>
      <c r="N303" s="654"/>
      <c r="O303" s="654"/>
      <c r="P303" s="654"/>
      <c r="Q303" s="654"/>
      <c r="R303" s="654"/>
      <c r="S303" s="654"/>
      <c r="T303" s="654"/>
      <c r="U303" s="654"/>
    </row>
  </sheetData>
  <mergeCells count="112">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U276:U278 U291:U299">
    <cfRule type="cellIs" dxfId="6437" priority="582" operator="equal">
      <formula>0</formula>
    </cfRule>
  </conditionalFormatting>
  <conditionalFormatting sqref="U291">
    <cfRule type="containsBlanks" dxfId="6436" priority="581">
      <formula>LEN(TRIM(U291))=0</formula>
    </cfRule>
  </conditionalFormatting>
  <conditionalFormatting sqref="L11:P11">
    <cfRule type="cellIs" dxfId="6435" priority="578" operator="equal">
      <formula>0</formula>
    </cfRule>
  </conditionalFormatting>
  <conditionalFormatting sqref="Q11">
    <cfRule type="cellIs" dxfId="6434" priority="577" operator="equal">
      <formula>0</formula>
    </cfRule>
  </conditionalFormatting>
  <conditionalFormatting sqref="L48:P48">
    <cfRule type="cellIs" dxfId="6433" priority="576" operator="equal">
      <formula>0</formula>
    </cfRule>
  </conditionalFormatting>
  <conditionalFormatting sqref="Q48">
    <cfRule type="cellIs" dxfId="6432" priority="575" operator="equal">
      <formula>0</formula>
    </cfRule>
  </conditionalFormatting>
  <conditionalFormatting sqref="L85:P85">
    <cfRule type="cellIs" dxfId="6431" priority="574" operator="equal">
      <formula>0</formula>
    </cfRule>
  </conditionalFormatting>
  <conditionalFormatting sqref="Q85">
    <cfRule type="cellIs" dxfId="6430" priority="573" operator="equal">
      <formula>0</formula>
    </cfRule>
  </conditionalFormatting>
  <conditionalFormatting sqref="L122:P122">
    <cfRule type="cellIs" dxfId="6429" priority="572" operator="equal">
      <formula>0</formula>
    </cfRule>
  </conditionalFormatting>
  <conditionalFormatting sqref="Q122">
    <cfRule type="cellIs" dxfId="6428" priority="571" operator="equal">
      <formula>0</formula>
    </cfRule>
  </conditionalFormatting>
  <conditionalFormatting sqref="L159:P159">
    <cfRule type="cellIs" dxfId="6427" priority="570" operator="equal">
      <formula>0</formula>
    </cfRule>
  </conditionalFormatting>
  <conditionalFormatting sqref="Q159">
    <cfRule type="cellIs" dxfId="6426" priority="569" operator="equal">
      <formula>0</formula>
    </cfRule>
  </conditionalFormatting>
  <conditionalFormatting sqref="L196:P196">
    <cfRule type="cellIs" dxfId="6425" priority="568" operator="equal">
      <formula>0</formula>
    </cfRule>
  </conditionalFormatting>
  <conditionalFormatting sqref="Q196">
    <cfRule type="cellIs" dxfId="6424" priority="567" operator="equal">
      <formula>0</formula>
    </cfRule>
  </conditionalFormatting>
  <conditionalFormatting sqref="L233:P233">
    <cfRule type="cellIs" dxfId="6423" priority="566" operator="equal">
      <formula>0</formula>
    </cfRule>
  </conditionalFormatting>
  <conditionalFormatting sqref="Q233">
    <cfRule type="cellIs" dxfId="6422" priority="565" operator="equal">
      <formula>0</formula>
    </cfRule>
  </conditionalFormatting>
  <conditionalFormatting sqref="L270:P270">
    <cfRule type="cellIs" dxfId="6421" priority="564" operator="equal">
      <formula>0</formula>
    </cfRule>
  </conditionalFormatting>
  <conditionalFormatting sqref="Q270">
    <cfRule type="cellIs" dxfId="6420" priority="563" operator="equal">
      <formula>0</formula>
    </cfRule>
  </conditionalFormatting>
  <conditionalFormatting sqref="U301 U271:U273">
    <cfRule type="cellIs" dxfId="6419" priority="562" operator="equal">
      <formula>0</formula>
    </cfRule>
  </conditionalFormatting>
  <conditionalFormatting sqref="U300">
    <cfRule type="cellIs" dxfId="6418" priority="561" operator="equal">
      <formula>0</formula>
    </cfRule>
  </conditionalFormatting>
  <conditionalFormatting sqref="U293:U301 U271:U273 U276:U277">
    <cfRule type="containsBlanks" dxfId="6417" priority="560">
      <formula>LEN(TRIM(U271))=0</formula>
    </cfRule>
  </conditionalFormatting>
  <conditionalFormatting sqref="U274:U275">
    <cfRule type="cellIs" dxfId="6416" priority="559" operator="equal">
      <formula>0</formula>
    </cfRule>
  </conditionalFormatting>
  <conditionalFormatting sqref="U274:U275">
    <cfRule type="containsBlanks" dxfId="6415" priority="558">
      <formula>LEN(TRIM(U274))=0</formula>
    </cfRule>
  </conditionalFormatting>
  <conditionalFormatting sqref="U279:U290">
    <cfRule type="cellIs" dxfId="6414" priority="557" operator="equal">
      <formula>0</formula>
    </cfRule>
  </conditionalFormatting>
  <conditionalFormatting sqref="U279:U290">
    <cfRule type="containsBlanks" dxfId="6413" priority="556">
      <formula>LEN(TRIM(U279))=0</formula>
    </cfRule>
  </conditionalFormatting>
  <conditionalFormatting sqref="U42 U12:U40">
    <cfRule type="cellIs" dxfId="6412" priority="552" operator="equal">
      <formula>0</formula>
    </cfRule>
  </conditionalFormatting>
  <conditionalFormatting sqref="U41">
    <cfRule type="cellIs" dxfId="6411" priority="551" operator="equal">
      <formula>0</formula>
    </cfRule>
  </conditionalFormatting>
  <conditionalFormatting sqref="U34:U42 U12:U18 U20:U32">
    <cfRule type="containsBlanks" dxfId="6410" priority="550">
      <formula>LEN(TRIM(U12))=0</formula>
    </cfRule>
  </conditionalFormatting>
  <conditionalFormatting sqref="U79 U49:U77">
    <cfRule type="cellIs" dxfId="6409" priority="549" operator="equal">
      <formula>0</formula>
    </cfRule>
  </conditionalFormatting>
  <conditionalFormatting sqref="U78">
    <cfRule type="cellIs" dxfId="6408" priority="548" operator="equal">
      <formula>0</formula>
    </cfRule>
  </conditionalFormatting>
  <conditionalFormatting sqref="U71:U79 U49:U55 U57:U69">
    <cfRule type="containsBlanks" dxfId="6407" priority="547">
      <formula>LEN(TRIM(U49))=0</formula>
    </cfRule>
  </conditionalFormatting>
  <conditionalFormatting sqref="U116 U86:U114">
    <cfRule type="cellIs" dxfId="6406" priority="546" operator="equal">
      <formula>0</formula>
    </cfRule>
  </conditionalFormatting>
  <conditionalFormatting sqref="U115">
    <cfRule type="cellIs" dxfId="6405" priority="545" operator="equal">
      <formula>0</formula>
    </cfRule>
  </conditionalFormatting>
  <conditionalFormatting sqref="U108:U116 U86:U92 U94:U106">
    <cfRule type="containsBlanks" dxfId="6404" priority="544">
      <formula>LEN(TRIM(U86))=0</formula>
    </cfRule>
  </conditionalFormatting>
  <conditionalFormatting sqref="U153 U123:U151">
    <cfRule type="cellIs" dxfId="6403" priority="543" operator="equal">
      <formula>0</formula>
    </cfRule>
  </conditionalFormatting>
  <conditionalFormatting sqref="U152">
    <cfRule type="cellIs" dxfId="6402" priority="542" operator="equal">
      <formula>0</formula>
    </cfRule>
  </conditionalFormatting>
  <conditionalFormatting sqref="U145:U153 U123:U129 U131:U143">
    <cfRule type="containsBlanks" dxfId="6401" priority="541">
      <formula>LEN(TRIM(U123))=0</formula>
    </cfRule>
  </conditionalFormatting>
  <conditionalFormatting sqref="U190 U160:U188">
    <cfRule type="cellIs" dxfId="6400" priority="540" operator="equal">
      <formula>0</formula>
    </cfRule>
  </conditionalFormatting>
  <conditionalFormatting sqref="U189">
    <cfRule type="cellIs" dxfId="6399" priority="539" operator="equal">
      <formula>0</formula>
    </cfRule>
  </conditionalFormatting>
  <conditionalFormatting sqref="U182:U190 U160:U166 U168:U180">
    <cfRule type="containsBlanks" dxfId="6398" priority="538">
      <formula>LEN(TRIM(U160))=0</formula>
    </cfRule>
  </conditionalFormatting>
  <conditionalFormatting sqref="U227 U197:U225">
    <cfRule type="cellIs" dxfId="6397" priority="537" operator="equal">
      <formula>0</formula>
    </cfRule>
  </conditionalFormatting>
  <conditionalFormatting sqref="U226">
    <cfRule type="cellIs" dxfId="6396" priority="536" operator="equal">
      <formula>0</formula>
    </cfRule>
  </conditionalFormatting>
  <conditionalFormatting sqref="U219:U227 U197:U203 U205:U217">
    <cfRule type="containsBlanks" dxfId="6395" priority="535">
      <formula>LEN(TRIM(U197))=0</formula>
    </cfRule>
  </conditionalFormatting>
  <conditionalFormatting sqref="U264 U234:U262">
    <cfRule type="cellIs" dxfId="6394" priority="534" operator="equal">
      <formula>0</formula>
    </cfRule>
  </conditionalFormatting>
  <conditionalFormatting sqref="U263">
    <cfRule type="cellIs" dxfId="6393" priority="533" operator="equal">
      <formula>0</formula>
    </cfRule>
  </conditionalFormatting>
  <conditionalFormatting sqref="U256:U264 U234:U240 U242:U254">
    <cfRule type="containsBlanks" dxfId="6392" priority="532">
      <formula>LEN(TRIM(U234))=0</formula>
    </cfRule>
  </conditionalFormatting>
  <conditionalFormatting sqref="D42:F42 R33:T33 D32:F40 D12:F19 N12:O12 R12:T12 J42:T42 J33:K33 J34:T40 J32:T32 J13:T19">
    <cfRule type="cellIs" dxfId="6391" priority="497" operator="equal">
      <formula>0</formula>
    </cfRule>
  </conditionalFormatting>
  <conditionalFormatting sqref="R12:R14">
    <cfRule type="cellIs" dxfId="6390" priority="496" operator="equal">
      <formula>0</formula>
    </cfRule>
  </conditionalFormatting>
  <conditionalFormatting sqref="R12:T12 N12:O12 D13:F14 J13:T14">
    <cfRule type="cellIs" dxfId="6389" priority="495" operator="equal">
      <formula>0</formula>
    </cfRule>
  </conditionalFormatting>
  <conditionalFormatting sqref="F13:F14">
    <cfRule type="cellIs" dxfId="6388" priority="494" operator="equal">
      <formula>0</formula>
    </cfRule>
  </conditionalFormatting>
  <conditionalFormatting sqref="N12:O12">
    <cfRule type="cellIs" dxfId="6387" priority="493" operator="equal">
      <formula>0</formula>
    </cfRule>
  </conditionalFormatting>
  <conditionalFormatting sqref="L15:L17 L33">
    <cfRule type="cellIs" dxfId="6386" priority="492" operator="equal">
      <formula>0</formula>
    </cfRule>
  </conditionalFormatting>
  <conditionalFormatting sqref="L13:L14">
    <cfRule type="cellIs" dxfId="6385" priority="491" operator="equal">
      <formula>0</formula>
    </cfRule>
  </conditionalFormatting>
  <conditionalFormatting sqref="M15:M17 M33">
    <cfRule type="cellIs" dxfId="6384" priority="490" operator="equal">
      <formula>0</formula>
    </cfRule>
  </conditionalFormatting>
  <conditionalFormatting sqref="M13:M14">
    <cfRule type="cellIs" dxfId="6383" priority="489" operator="equal">
      <formula>0</formula>
    </cfRule>
  </conditionalFormatting>
  <conditionalFormatting sqref="N15:N17 N33">
    <cfRule type="cellIs" dxfId="6382" priority="488" operator="equal">
      <formula>0</formula>
    </cfRule>
  </conditionalFormatting>
  <conditionalFormatting sqref="N12:N14">
    <cfRule type="cellIs" dxfId="6381" priority="487" operator="equal">
      <formula>0</formula>
    </cfRule>
  </conditionalFormatting>
  <conditionalFormatting sqref="O15:O17 O33">
    <cfRule type="cellIs" dxfId="6380" priority="486" operator="equal">
      <formula>0</formula>
    </cfRule>
  </conditionalFormatting>
  <conditionalFormatting sqref="O12:O14">
    <cfRule type="cellIs" dxfId="6379" priority="485" operator="equal">
      <formula>0</formula>
    </cfRule>
  </conditionalFormatting>
  <conditionalFormatting sqref="P15:P17 P33">
    <cfRule type="cellIs" dxfId="6378" priority="484" operator="equal">
      <formula>0</formula>
    </cfRule>
  </conditionalFormatting>
  <conditionalFormatting sqref="P13:P14">
    <cfRule type="cellIs" dxfId="6377" priority="483" operator="equal">
      <formula>0</formula>
    </cfRule>
  </conditionalFormatting>
  <conditionalFormatting sqref="Q15:Q17 Q33">
    <cfRule type="cellIs" dxfId="6376" priority="482" operator="equal">
      <formula>0</formula>
    </cfRule>
  </conditionalFormatting>
  <conditionalFormatting sqref="Q13:Q14">
    <cfRule type="cellIs" dxfId="6375" priority="481" operator="equal">
      <formula>0</formula>
    </cfRule>
  </conditionalFormatting>
  <conditionalFormatting sqref="D41:F41 J41:T41">
    <cfRule type="cellIs" dxfId="6374" priority="480" operator="equal">
      <formula>0</formula>
    </cfRule>
  </conditionalFormatting>
  <conditionalFormatting sqref="D34:F42 D32:F32 D12:F18 N12:O12 R12:T12 J34:T42 J32:T32 J13:T18">
    <cfRule type="containsBlanks" dxfId="6373" priority="479">
      <formula>LEN(TRIM(D12))=0</formula>
    </cfRule>
  </conditionalFormatting>
  <conditionalFormatting sqref="D41:F41 J41:T41">
    <cfRule type="cellIs" dxfId="6372" priority="478" operator="equal">
      <formula>0</formula>
    </cfRule>
  </conditionalFormatting>
  <conditionalFormatting sqref="N15:N16">
    <cfRule type="cellIs" dxfId="6371" priority="477" operator="equal">
      <formula>0</formula>
    </cfRule>
  </conditionalFormatting>
  <conditionalFormatting sqref="O15:O16">
    <cfRule type="cellIs" dxfId="6370" priority="476" operator="equal">
      <formula>0</formula>
    </cfRule>
  </conditionalFormatting>
  <conditionalFormatting sqref="P15:Q15">
    <cfRule type="cellIs" dxfId="6369" priority="475" operator="equal">
      <formula>0</formula>
    </cfRule>
  </conditionalFormatting>
  <conditionalFormatting sqref="P16:Q16">
    <cfRule type="cellIs" dxfId="6368" priority="474" operator="equal">
      <formula>0</formula>
    </cfRule>
  </conditionalFormatting>
  <conditionalFormatting sqref="D20:F31 J20:T31">
    <cfRule type="cellIs" dxfId="6367" priority="473" operator="equal">
      <formula>0</formula>
    </cfRule>
  </conditionalFormatting>
  <conditionalFormatting sqref="D20:F31 J20:T31">
    <cfRule type="containsBlanks" dxfId="6366" priority="472">
      <formula>LEN(TRIM(D20))=0</formula>
    </cfRule>
  </conditionalFormatting>
  <conditionalFormatting sqref="J12">
    <cfRule type="cellIs" dxfId="6365" priority="471" operator="equal">
      <formula>0</formula>
    </cfRule>
  </conditionalFormatting>
  <conditionalFormatting sqref="K12">
    <cfRule type="cellIs" dxfId="6364" priority="470" operator="equal">
      <formula>0</formula>
    </cfRule>
  </conditionalFormatting>
  <conditionalFormatting sqref="L12:M12">
    <cfRule type="cellIs" dxfId="6363" priority="469" operator="equal">
      <formula>0</formula>
    </cfRule>
  </conditionalFormatting>
  <conditionalFormatting sqref="M12">
    <cfRule type="cellIs" dxfId="6362" priority="468" operator="equal">
      <formula>0</formula>
    </cfRule>
  </conditionalFormatting>
  <conditionalFormatting sqref="J12:M12">
    <cfRule type="containsBlanks" dxfId="6361" priority="467">
      <formula>LEN(TRIM(J12))=0</formula>
    </cfRule>
  </conditionalFormatting>
  <conditionalFormatting sqref="P12:Q12">
    <cfRule type="cellIs" dxfId="6360" priority="466" operator="equal">
      <formula>0</formula>
    </cfRule>
  </conditionalFormatting>
  <conditionalFormatting sqref="P12:Q12">
    <cfRule type="cellIs" dxfId="6359" priority="465" operator="equal">
      <formula>0</formula>
    </cfRule>
  </conditionalFormatting>
  <conditionalFormatting sqref="P12:Q12">
    <cfRule type="containsBlanks" dxfId="6358" priority="464">
      <formula>LEN(TRIM(P12))=0</formula>
    </cfRule>
  </conditionalFormatting>
  <conditionalFormatting sqref="D79:F79 R70:T70 D69:F77 D49:F56 N49:O49 R49:T49 J79:T79 J70:K70 J71:T77 J69:T69 J50:T56">
    <cfRule type="cellIs" dxfId="6357" priority="463" operator="equal">
      <formula>0</formula>
    </cfRule>
  </conditionalFormatting>
  <conditionalFormatting sqref="R49:R51">
    <cfRule type="cellIs" dxfId="6356" priority="462" operator="equal">
      <formula>0</formula>
    </cfRule>
  </conditionalFormatting>
  <conditionalFormatting sqref="R49:T49 N49:O49 D50:F51 J50:T51">
    <cfRule type="cellIs" dxfId="6355" priority="461" operator="equal">
      <formula>0</formula>
    </cfRule>
  </conditionalFormatting>
  <conditionalFormatting sqref="F50:F51">
    <cfRule type="cellIs" dxfId="6354" priority="460" operator="equal">
      <formula>0</formula>
    </cfRule>
  </conditionalFormatting>
  <conditionalFormatting sqref="N49:O49">
    <cfRule type="cellIs" dxfId="6353" priority="459" operator="equal">
      <formula>0</formula>
    </cfRule>
  </conditionalFormatting>
  <conditionalFormatting sqref="L52:L54 L70">
    <cfRule type="cellIs" dxfId="6352" priority="458" operator="equal">
      <formula>0</formula>
    </cfRule>
  </conditionalFormatting>
  <conditionalFormatting sqref="L50:L51">
    <cfRule type="cellIs" dxfId="6351" priority="457" operator="equal">
      <formula>0</formula>
    </cfRule>
  </conditionalFormatting>
  <conditionalFormatting sqref="M52:M54 M70">
    <cfRule type="cellIs" dxfId="6350" priority="456" operator="equal">
      <formula>0</formula>
    </cfRule>
  </conditionalFormatting>
  <conditionalFormatting sqref="M50:M51">
    <cfRule type="cellIs" dxfId="6349" priority="455" operator="equal">
      <formula>0</formula>
    </cfRule>
  </conditionalFormatting>
  <conditionalFormatting sqref="N52:N54 N70">
    <cfRule type="cellIs" dxfId="6348" priority="454" operator="equal">
      <formula>0</formula>
    </cfRule>
  </conditionalFormatting>
  <conditionalFormatting sqref="N49:N51">
    <cfRule type="cellIs" dxfId="6347" priority="453" operator="equal">
      <formula>0</formula>
    </cfRule>
  </conditionalFormatting>
  <conditionalFormatting sqref="O52:O54 O70">
    <cfRule type="cellIs" dxfId="6346" priority="452" operator="equal">
      <formula>0</formula>
    </cfRule>
  </conditionalFormatting>
  <conditionalFormatting sqref="O49:O51">
    <cfRule type="cellIs" dxfId="6345" priority="451" operator="equal">
      <formula>0</formula>
    </cfRule>
  </conditionalFormatting>
  <conditionalFormatting sqref="P52:P54 P70">
    <cfRule type="cellIs" dxfId="6344" priority="450" operator="equal">
      <formula>0</formula>
    </cfRule>
  </conditionalFormatting>
  <conditionalFormatting sqref="P50:P51">
    <cfRule type="cellIs" dxfId="6343" priority="449" operator="equal">
      <formula>0</formula>
    </cfRule>
  </conditionalFormatting>
  <conditionalFormatting sqref="Q52:Q54 Q70">
    <cfRule type="cellIs" dxfId="6342" priority="448" operator="equal">
      <formula>0</formula>
    </cfRule>
  </conditionalFormatting>
  <conditionalFormatting sqref="Q50:Q51">
    <cfRule type="cellIs" dxfId="6341" priority="447" operator="equal">
      <formula>0</formula>
    </cfRule>
  </conditionalFormatting>
  <conditionalFormatting sqref="D78:F78 J78:T78">
    <cfRule type="cellIs" dxfId="6340" priority="446" operator="equal">
      <formula>0</formula>
    </cfRule>
  </conditionalFormatting>
  <conditionalFormatting sqref="D71:F79 D69:F69 D49:F55 N49:O49 R49:T49 J71:T79 J69:T69 J50:T55">
    <cfRule type="containsBlanks" dxfId="6339" priority="445">
      <formula>LEN(TRIM(D49))=0</formula>
    </cfRule>
  </conditionalFormatting>
  <conditionalFormatting sqref="D78:F78 J78:T78">
    <cfRule type="cellIs" dxfId="6338" priority="444" operator="equal">
      <formula>0</formula>
    </cfRule>
  </conditionalFormatting>
  <conditionalFormatting sqref="N52:N53">
    <cfRule type="cellIs" dxfId="6337" priority="443" operator="equal">
      <formula>0</formula>
    </cfRule>
  </conditionalFormatting>
  <conditionalFormatting sqref="O52:O53">
    <cfRule type="cellIs" dxfId="6336" priority="442" operator="equal">
      <formula>0</formula>
    </cfRule>
  </conditionalFormatting>
  <conditionalFormatting sqref="P52:Q52">
    <cfRule type="cellIs" dxfId="6335" priority="441" operator="equal">
      <formula>0</formula>
    </cfRule>
  </conditionalFormatting>
  <conditionalFormatting sqref="P53:Q53">
    <cfRule type="cellIs" dxfId="6334" priority="440" operator="equal">
      <formula>0</formula>
    </cfRule>
  </conditionalFormatting>
  <conditionalFormatting sqref="D57:F68 J57:T68">
    <cfRule type="cellIs" dxfId="6333" priority="439" operator="equal">
      <formula>0</formula>
    </cfRule>
  </conditionalFormatting>
  <conditionalFormatting sqref="D57:F68 J57:T68">
    <cfRule type="containsBlanks" dxfId="6332" priority="438">
      <formula>LEN(TRIM(D57))=0</formula>
    </cfRule>
  </conditionalFormatting>
  <conditionalFormatting sqref="J49">
    <cfRule type="cellIs" dxfId="6331" priority="437" operator="equal">
      <formula>0</formula>
    </cfRule>
  </conditionalFormatting>
  <conditionalFormatting sqref="K49">
    <cfRule type="cellIs" dxfId="6330" priority="436" operator="equal">
      <formula>0</formula>
    </cfRule>
  </conditionalFormatting>
  <conditionalFormatting sqref="L49:M49">
    <cfRule type="cellIs" dxfId="6329" priority="435" operator="equal">
      <formula>0</formula>
    </cfRule>
  </conditionalFormatting>
  <conditionalFormatting sqref="M49">
    <cfRule type="cellIs" dxfId="6328" priority="434" operator="equal">
      <formula>0</formula>
    </cfRule>
  </conditionalFormatting>
  <conditionalFormatting sqref="J49:M49">
    <cfRule type="containsBlanks" dxfId="6327" priority="433">
      <formula>LEN(TRIM(J49))=0</formula>
    </cfRule>
  </conditionalFormatting>
  <conditionalFormatting sqref="P49:Q49">
    <cfRule type="cellIs" dxfId="6326" priority="432" operator="equal">
      <formula>0</formula>
    </cfRule>
  </conditionalFormatting>
  <conditionalFormatting sqref="P49:Q49">
    <cfRule type="cellIs" dxfId="6325" priority="431" operator="equal">
      <formula>0</formula>
    </cfRule>
  </conditionalFormatting>
  <conditionalFormatting sqref="P49:Q49">
    <cfRule type="containsBlanks" dxfId="6324" priority="430">
      <formula>LEN(TRIM(P49))=0</formula>
    </cfRule>
  </conditionalFormatting>
  <conditionalFormatting sqref="D116:F116 R107:T107 D106:F114 D86:F93 N86:O86 R86:T86 J116:T116 J107:K107 J108:T114 J106:T106 J87:T93">
    <cfRule type="cellIs" dxfId="6323" priority="429" operator="equal">
      <formula>0</formula>
    </cfRule>
  </conditionalFormatting>
  <conditionalFormatting sqref="R86:R88">
    <cfRule type="cellIs" dxfId="6322" priority="428" operator="equal">
      <formula>0</formula>
    </cfRule>
  </conditionalFormatting>
  <conditionalFormatting sqref="R86:T86 N86:O86 D87:F88 J87:T88">
    <cfRule type="cellIs" dxfId="6321" priority="427" operator="equal">
      <formula>0</formula>
    </cfRule>
  </conditionalFormatting>
  <conditionalFormatting sqref="F87:F88">
    <cfRule type="cellIs" dxfId="6320" priority="426" operator="equal">
      <formula>0</formula>
    </cfRule>
  </conditionalFormatting>
  <conditionalFormatting sqref="N86:O86">
    <cfRule type="cellIs" dxfId="6319" priority="425" operator="equal">
      <formula>0</formula>
    </cfRule>
  </conditionalFormatting>
  <conditionalFormatting sqref="L89:L91 L107">
    <cfRule type="cellIs" dxfId="6318" priority="424" operator="equal">
      <formula>0</formula>
    </cfRule>
  </conditionalFormatting>
  <conditionalFormatting sqref="L87:L88">
    <cfRule type="cellIs" dxfId="6317" priority="423" operator="equal">
      <formula>0</formula>
    </cfRule>
  </conditionalFormatting>
  <conditionalFormatting sqref="M89:M91 M107">
    <cfRule type="cellIs" dxfId="6316" priority="422" operator="equal">
      <formula>0</formula>
    </cfRule>
  </conditionalFormatting>
  <conditionalFormatting sqref="M87:M88">
    <cfRule type="cellIs" dxfId="6315" priority="421" operator="equal">
      <formula>0</formula>
    </cfRule>
  </conditionalFormatting>
  <conditionalFormatting sqref="N89:N91 N107">
    <cfRule type="cellIs" dxfId="6314" priority="420" operator="equal">
      <formula>0</formula>
    </cfRule>
  </conditionalFormatting>
  <conditionalFormatting sqref="N86:N88">
    <cfRule type="cellIs" dxfId="6313" priority="419" operator="equal">
      <formula>0</formula>
    </cfRule>
  </conditionalFormatting>
  <conditionalFormatting sqref="O89:O91 O107">
    <cfRule type="cellIs" dxfId="6312" priority="418" operator="equal">
      <formula>0</formula>
    </cfRule>
  </conditionalFormatting>
  <conditionalFormatting sqref="O86:O88">
    <cfRule type="cellIs" dxfId="6311" priority="417" operator="equal">
      <formula>0</formula>
    </cfRule>
  </conditionalFormatting>
  <conditionalFormatting sqref="P89:P91 P107">
    <cfRule type="cellIs" dxfId="6310" priority="416" operator="equal">
      <formula>0</formula>
    </cfRule>
  </conditionalFormatting>
  <conditionalFormatting sqref="P87:P88">
    <cfRule type="cellIs" dxfId="6309" priority="415" operator="equal">
      <formula>0</formula>
    </cfRule>
  </conditionalFormatting>
  <conditionalFormatting sqref="Q89:Q91 Q107">
    <cfRule type="cellIs" dxfId="6308" priority="414" operator="equal">
      <formula>0</formula>
    </cfRule>
  </conditionalFormatting>
  <conditionalFormatting sqref="Q87:Q88">
    <cfRule type="cellIs" dxfId="6307" priority="413" operator="equal">
      <formula>0</formula>
    </cfRule>
  </conditionalFormatting>
  <conditionalFormatting sqref="D115:F115 J115:T115">
    <cfRule type="cellIs" dxfId="6306" priority="412" operator="equal">
      <formula>0</formula>
    </cfRule>
  </conditionalFormatting>
  <conditionalFormatting sqref="D108:F116 D106:F106 D86:F92 N86:O86 R86:T86 J108:T116 J106:T106 J87:T92">
    <cfRule type="containsBlanks" dxfId="6305" priority="411">
      <formula>LEN(TRIM(D86))=0</formula>
    </cfRule>
  </conditionalFormatting>
  <conditionalFormatting sqref="D115:F115 J115:T115">
    <cfRule type="cellIs" dxfId="6304" priority="410" operator="equal">
      <formula>0</formula>
    </cfRule>
  </conditionalFormatting>
  <conditionalFormatting sqref="N89:N90">
    <cfRule type="cellIs" dxfId="6303" priority="409" operator="equal">
      <formula>0</formula>
    </cfRule>
  </conditionalFormatting>
  <conditionalFormatting sqref="O89:O90">
    <cfRule type="cellIs" dxfId="6302" priority="408" operator="equal">
      <formula>0</formula>
    </cfRule>
  </conditionalFormatting>
  <conditionalFormatting sqref="P89:Q89">
    <cfRule type="cellIs" dxfId="6301" priority="407" operator="equal">
      <formula>0</formula>
    </cfRule>
  </conditionalFormatting>
  <conditionalFormatting sqref="P90:Q90">
    <cfRule type="cellIs" dxfId="6300" priority="406" operator="equal">
      <formula>0</formula>
    </cfRule>
  </conditionalFormatting>
  <conditionalFormatting sqref="D94:F105 J94:T105">
    <cfRule type="cellIs" dxfId="6299" priority="405" operator="equal">
      <formula>0</formula>
    </cfRule>
  </conditionalFormatting>
  <conditionalFormatting sqref="D94:F105 J94:T105">
    <cfRule type="containsBlanks" dxfId="6298" priority="404">
      <formula>LEN(TRIM(D94))=0</formula>
    </cfRule>
  </conditionalFormatting>
  <conditionalFormatting sqref="J86">
    <cfRule type="cellIs" dxfId="6297" priority="403" operator="equal">
      <formula>0</formula>
    </cfRule>
  </conditionalFormatting>
  <conditionalFormatting sqref="K86">
    <cfRule type="cellIs" dxfId="6296" priority="402" operator="equal">
      <formula>0</formula>
    </cfRule>
  </conditionalFormatting>
  <conditionalFormatting sqref="L86:M86">
    <cfRule type="cellIs" dxfId="6295" priority="401" operator="equal">
      <formula>0</formula>
    </cfRule>
  </conditionalFormatting>
  <conditionalFormatting sqref="M86">
    <cfRule type="cellIs" dxfId="6294" priority="400" operator="equal">
      <formula>0</formula>
    </cfRule>
  </conditionalFormatting>
  <conditionalFormatting sqref="J86:M86">
    <cfRule type="containsBlanks" dxfId="6293" priority="399">
      <formula>LEN(TRIM(J86))=0</formula>
    </cfRule>
  </conditionalFormatting>
  <conditionalFormatting sqref="P86:Q86">
    <cfRule type="cellIs" dxfId="6292" priority="398" operator="equal">
      <formula>0</formula>
    </cfRule>
  </conditionalFormatting>
  <conditionalFormatting sqref="P86:Q86">
    <cfRule type="cellIs" dxfId="6291" priority="397" operator="equal">
      <formula>0</formula>
    </cfRule>
  </conditionalFormatting>
  <conditionalFormatting sqref="P86:Q86">
    <cfRule type="containsBlanks" dxfId="6290" priority="396">
      <formula>LEN(TRIM(P86))=0</formula>
    </cfRule>
  </conditionalFormatting>
  <conditionalFormatting sqref="D153:F153 R144:T144 D143:F151 D123:F130 N123:O123 R123:T123 J153:T153 J144:K144 J145:T151 J143:T143 J124:T130">
    <cfRule type="cellIs" dxfId="6289" priority="395" operator="equal">
      <formula>0</formula>
    </cfRule>
  </conditionalFormatting>
  <conditionalFormatting sqref="R123:R125">
    <cfRule type="cellIs" dxfId="6288" priority="394" operator="equal">
      <formula>0</formula>
    </cfRule>
  </conditionalFormatting>
  <conditionalFormatting sqref="R123:T123 N123:O123 D124:F125 J124:T125">
    <cfRule type="cellIs" dxfId="6287" priority="393" operator="equal">
      <formula>0</formula>
    </cfRule>
  </conditionalFormatting>
  <conditionalFormatting sqref="F124:F125">
    <cfRule type="cellIs" dxfId="6286" priority="392" operator="equal">
      <formula>0</formula>
    </cfRule>
  </conditionalFormatting>
  <conditionalFormatting sqref="N123:O123">
    <cfRule type="cellIs" dxfId="6285" priority="391" operator="equal">
      <formula>0</formula>
    </cfRule>
  </conditionalFormatting>
  <conditionalFormatting sqref="L126:L128 L144">
    <cfRule type="cellIs" dxfId="6284" priority="390" operator="equal">
      <formula>0</formula>
    </cfRule>
  </conditionalFormatting>
  <conditionalFormatting sqref="L124:L125">
    <cfRule type="cellIs" dxfId="6283" priority="389" operator="equal">
      <formula>0</formula>
    </cfRule>
  </conditionalFormatting>
  <conditionalFormatting sqref="M126:M128 M144">
    <cfRule type="cellIs" dxfId="6282" priority="388" operator="equal">
      <formula>0</formula>
    </cfRule>
  </conditionalFormatting>
  <conditionalFormatting sqref="M124:M125">
    <cfRule type="cellIs" dxfId="6281" priority="387" operator="equal">
      <formula>0</formula>
    </cfRule>
  </conditionalFormatting>
  <conditionalFormatting sqref="N126:N128 N144">
    <cfRule type="cellIs" dxfId="6280" priority="386" operator="equal">
      <formula>0</formula>
    </cfRule>
  </conditionalFormatting>
  <conditionalFormatting sqref="N123:N125">
    <cfRule type="cellIs" dxfId="6279" priority="385" operator="equal">
      <formula>0</formula>
    </cfRule>
  </conditionalFormatting>
  <conditionalFormatting sqref="O126:O128 O144">
    <cfRule type="cellIs" dxfId="6278" priority="384" operator="equal">
      <formula>0</formula>
    </cfRule>
  </conditionalFormatting>
  <conditionalFormatting sqref="O123:O125">
    <cfRule type="cellIs" dxfId="6277" priority="383" operator="equal">
      <formula>0</formula>
    </cfRule>
  </conditionalFormatting>
  <conditionalFormatting sqref="P126:P128 P144">
    <cfRule type="cellIs" dxfId="6276" priority="382" operator="equal">
      <formula>0</formula>
    </cfRule>
  </conditionalFormatting>
  <conditionalFormatting sqref="P124:P125">
    <cfRule type="cellIs" dxfId="6275" priority="381" operator="equal">
      <formula>0</formula>
    </cfRule>
  </conditionalFormatting>
  <conditionalFormatting sqref="Q126:Q128 Q144">
    <cfRule type="cellIs" dxfId="6274" priority="380" operator="equal">
      <formula>0</formula>
    </cfRule>
  </conditionalFormatting>
  <conditionalFormatting sqref="Q124:Q125">
    <cfRule type="cellIs" dxfId="6273" priority="379" operator="equal">
      <formula>0</formula>
    </cfRule>
  </conditionalFormatting>
  <conditionalFormatting sqref="D152:F152 J152:T152">
    <cfRule type="cellIs" dxfId="6272" priority="378" operator="equal">
      <formula>0</formula>
    </cfRule>
  </conditionalFormatting>
  <conditionalFormatting sqref="D145:F153 D143:F143 D123:F129 N123:O123 R123:T123 J145:T153 J143:T143 J124:T129">
    <cfRule type="containsBlanks" dxfId="6271" priority="377">
      <formula>LEN(TRIM(D123))=0</formula>
    </cfRule>
  </conditionalFormatting>
  <conditionalFormatting sqref="D152:F152 J152:T152">
    <cfRule type="cellIs" dxfId="6270" priority="376" operator="equal">
      <formula>0</formula>
    </cfRule>
  </conditionalFormatting>
  <conditionalFormatting sqref="N126:N127">
    <cfRule type="cellIs" dxfId="6269" priority="375" operator="equal">
      <formula>0</formula>
    </cfRule>
  </conditionalFormatting>
  <conditionalFormatting sqref="O126:O127">
    <cfRule type="cellIs" dxfId="6268" priority="374" operator="equal">
      <formula>0</formula>
    </cfRule>
  </conditionalFormatting>
  <conditionalFormatting sqref="P126:Q126">
    <cfRule type="cellIs" dxfId="6267" priority="373" operator="equal">
      <formula>0</formula>
    </cfRule>
  </conditionalFormatting>
  <conditionalFormatting sqref="P127:Q127">
    <cfRule type="cellIs" dxfId="6266" priority="372" operator="equal">
      <formula>0</formula>
    </cfRule>
  </conditionalFormatting>
  <conditionalFormatting sqref="D131:F142 J131:T142">
    <cfRule type="cellIs" dxfId="6265" priority="371" operator="equal">
      <formula>0</formula>
    </cfRule>
  </conditionalFormatting>
  <conditionalFormatting sqref="D131:F142 J131:T142">
    <cfRule type="containsBlanks" dxfId="6264" priority="370">
      <formula>LEN(TRIM(D131))=0</formula>
    </cfRule>
  </conditionalFormatting>
  <conditionalFormatting sqref="J123">
    <cfRule type="cellIs" dxfId="6263" priority="369" operator="equal">
      <formula>0</formula>
    </cfRule>
  </conditionalFormatting>
  <conditionalFormatting sqref="K123">
    <cfRule type="cellIs" dxfId="6262" priority="368" operator="equal">
      <formula>0</formula>
    </cfRule>
  </conditionalFormatting>
  <conditionalFormatting sqref="L123:M123">
    <cfRule type="cellIs" dxfId="6261" priority="367" operator="equal">
      <formula>0</formula>
    </cfRule>
  </conditionalFormatting>
  <conditionalFormatting sqref="M123">
    <cfRule type="cellIs" dxfId="6260" priority="366" operator="equal">
      <formula>0</formula>
    </cfRule>
  </conditionalFormatting>
  <conditionalFormatting sqref="J123:M123">
    <cfRule type="containsBlanks" dxfId="6259" priority="365">
      <formula>LEN(TRIM(J123))=0</formula>
    </cfRule>
  </conditionalFormatting>
  <conditionalFormatting sqref="P123:Q123">
    <cfRule type="cellIs" dxfId="6258" priority="364" operator="equal">
      <formula>0</formula>
    </cfRule>
  </conditionalFormatting>
  <conditionalFormatting sqref="P123:Q123">
    <cfRule type="cellIs" dxfId="6257" priority="363" operator="equal">
      <formula>0</formula>
    </cfRule>
  </conditionalFormatting>
  <conditionalFormatting sqref="P123:Q123">
    <cfRule type="containsBlanks" dxfId="6256" priority="362">
      <formula>LEN(TRIM(P123))=0</formula>
    </cfRule>
  </conditionalFormatting>
  <conditionalFormatting sqref="D190:F190 R181:T181 D180:F188 D160:F167 N160:O160 R160:T160 J190:T190 J181:K181 J182:T188 J180:T180 J161:T167">
    <cfRule type="cellIs" dxfId="6255" priority="361" operator="equal">
      <formula>0</formula>
    </cfRule>
  </conditionalFormatting>
  <conditionalFormatting sqref="R160:R162">
    <cfRule type="cellIs" dxfId="6254" priority="360" operator="equal">
      <formula>0</formula>
    </cfRule>
  </conditionalFormatting>
  <conditionalFormatting sqref="R160:T160 N160:O160 D161:F162 J161:T162">
    <cfRule type="cellIs" dxfId="6253" priority="359" operator="equal">
      <formula>0</formula>
    </cfRule>
  </conditionalFormatting>
  <conditionalFormatting sqref="F161:F162">
    <cfRule type="cellIs" dxfId="6252" priority="358" operator="equal">
      <formula>0</formula>
    </cfRule>
  </conditionalFormatting>
  <conditionalFormatting sqref="N160:O160">
    <cfRule type="cellIs" dxfId="6251" priority="357" operator="equal">
      <formula>0</formula>
    </cfRule>
  </conditionalFormatting>
  <conditionalFormatting sqref="L163:L165 L181">
    <cfRule type="cellIs" dxfId="6250" priority="356" operator="equal">
      <formula>0</formula>
    </cfRule>
  </conditionalFormatting>
  <conditionalFormatting sqref="L161:L162">
    <cfRule type="cellIs" dxfId="6249" priority="355" operator="equal">
      <formula>0</formula>
    </cfRule>
  </conditionalFormatting>
  <conditionalFormatting sqref="M163:M165 M181">
    <cfRule type="cellIs" dxfId="6248" priority="354" operator="equal">
      <formula>0</formula>
    </cfRule>
  </conditionalFormatting>
  <conditionalFormatting sqref="M161:M162">
    <cfRule type="cellIs" dxfId="6247" priority="353" operator="equal">
      <formula>0</formula>
    </cfRule>
  </conditionalFormatting>
  <conditionalFormatting sqref="N163:N165 N181">
    <cfRule type="cellIs" dxfId="6246" priority="352" operator="equal">
      <formula>0</formula>
    </cfRule>
  </conditionalFormatting>
  <conditionalFormatting sqref="N160:N162">
    <cfRule type="cellIs" dxfId="6245" priority="351" operator="equal">
      <formula>0</formula>
    </cfRule>
  </conditionalFormatting>
  <conditionalFormatting sqref="O163:O165 O181">
    <cfRule type="cellIs" dxfId="6244" priority="350" operator="equal">
      <formula>0</formula>
    </cfRule>
  </conditionalFormatting>
  <conditionalFormatting sqref="O160:O162">
    <cfRule type="cellIs" dxfId="6243" priority="349" operator="equal">
      <formula>0</formula>
    </cfRule>
  </conditionalFormatting>
  <conditionalFormatting sqref="P163:P165 P181">
    <cfRule type="cellIs" dxfId="6242" priority="348" operator="equal">
      <formula>0</formula>
    </cfRule>
  </conditionalFormatting>
  <conditionalFormatting sqref="P161:P162">
    <cfRule type="cellIs" dxfId="6241" priority="347" operator="equal">
      <formula>0</formula>
    </cfRule>
  </conditionalFormatting>
  <conditionalFormatting sqref="Q163:Q165 Q181">
    <cfRule type="cellIs" dxfId="6240" priority="346" operator="equal">
      <formula>0</formula>
    </cfRule>
  </conditionalFormatting>
  <conditionalFormatting sqref="Q161:Q162">
    <cfRule type="cellIs" dxfId="6239" priority="345" operator="equal">
      <formula>0</formula>
    </cfRule>
  </conditionalFormatting>
  <conditionalFormatting sqref="D189:F189 J189:T189">
    <cfRule type="cellIs" dxfId="6238" priority="344" operator="equal">
      <formula>0</formula>
    </cfRule>
  </conditionalFormatting>
  <conditionalFormatting sqref="D182:F190 D180:F180 D160:F166 N160:O160 R160:T160 J182:T190 J180:T180 J161:T166">
    <cfRule type="containsBlanks" dxfId="6237" priority="343">
      <formula>LEN(TRIM(D160))=0</formula>
    </cfRule>
  </conditionalFormatting>
  <conditionalFormatting sqref="D189:F189 J189:T189">
    <cfRule type="cellIs" dxfId="6236" priority="342" operator="equal">
      <formula>0</formula>
    </cfRule>
  </conditionalFormatting>
  <conditionalFormatting sqref="N163:N164">
    <cfRule type="cellIs" dxfId="6235" priority="341" operator="equal">
      <formula>0</formula>
    </cfRule>
  </conditionalFormatting>
  <conditionalFormatting sqref="O163:O164">
    <cfRule type="cellIs" dxfId="6234" priority="340" operator="equal">
      <formula>0</formula>
    </cfRule>
  </conditionalFormatting>
  <conditionalFormatting sqref="P163:Q163">
    <cfRule type="cellIs" dxfId="6233" priority="339" operator="equal">
      <formula>0</formula>
    </cfRule>
  </conditionalFormatting>
  <conditionalFormatting sqref="P164:Q164">
    <cfRule type="cellIs" dxfId="6232" priority="338" operator="equal">
      <formula>0</formula>
    </cfRule>
  </conditionalFormatting>
  <conditionalFormatting sqref="D168:F179 J168:T179">
    <cfRule type="cellIs" dxfId="6231" priority="337" operator="equal">
      <formula>0</formula>
    </cfRule>
  </conditionalFormatting>
  <conditionalFormatting sqref="D168:F179 J168:T179">
    <cfRule type="containsBlanks" dxfId="6230" priority="336">
      <formula>LEN(TRIM(D168))=0</formula>
    </cfRule>
  </conditionalFormatting>
  <conditionalFormatting sqref="J160">
    <cfRule type="cellIs" dxfId="6229" priority="335" operator="equal">
      <formula>0</formula>
    </cfRule>
  </conditionalFormatting>
  <conditionalFormatting sqref="K160">
    <cfRule type="cellIs" dxfId="6228" priority="334" operator="equal">
      <formula>0</formula>
    </cfRule>
  </conditionalFormatting>
  <conditionalFormatting sqref="L160:M160">
    <cfRule type="cellIs" dxfId="6227" priority="333" operator="equal">
      <formula>0</formula>
    </cfRule>
  </conditionalFormatting>
  <conditionalFormatting sqref="M160">
    <cfRule type="cellIs" dxfId="6226" priority="332" operator="equal">
      <formula>0</formula>
    </cfRule>
  </conditionalFormatting>
  <conditionalFormatting sqref="J160:M160">
    <cfRule type="containsBlanks" dxfId="6225" priority="331">
      <formula>LEN(TRIM(J160))=0</formula>
    </cfRule>
  </conditionalFormatting>
  <conditionalFormatting sqref="P160:Q160">
    <cfRule type="cellIs" dxfId="6224" priority="330" operator="equal">
      <formula>0</formula>
    </cfRule>
  </conditionalFormatting>
  <conditionalFormatting sqref="P160:Q160">
    <cfRule type="cellIs" dxfId="6223" priority="329" operator="equal">
      <formula>0</formula>
    </cfRule>
  </conditionalFormatting>
  <conditionalFormatting sqref="P160:Q160">
    <cfRule type="containsBlanks" dxfId="6222" priority="328">
      <formula>LEN(TRIM(P160))=0</formula>
    </cfRule>
  </conditionalFormatting>
  <conditionalFormatting sqref="D227:F227 R218:T218 D217:F225 D197:F204 N197:O197 R197:T197 J227:T227 J218:K218 J219:T225 J217:T217 J198:T204">
    <cfRule type="cellIs" dxfId="6221" priority="327" operator="equal">
      <formula>0</formula>
    </cfRule>
  </conditionalFormatting>
  <conditionalFormatting sqref="R197:R199">
    <cfRule type="cellIs" dxfId="6220" priority="326" operator="equal">
      <formula>0</formula>
    </cfRule>
  </conditionalFormatting>
  <conditionalFormatting sqref="R197:T197 N197:O197 D198:F199 J198:T199">
    <cfRule type="cellIs" dxfId="6219" priority="325" operator="equal">
      <formula>0</formula>
    </cfRule>
  </conditionalFormatting>
  <conditionalFormatting sqref="F198:F199">
    <cfRule type="cellIs" dxfId="6218" priority="324" operator="equal">
      <formula>0</formula>
    </cfRule>
  </conditionalFormatting>
  <conditionalFormatting sqref="N197:O197">
    <cfRule type="cellIs" dxfId="6217" priority="323" operator="equal">
      <formula>0</formula>
    </cfRule>
  </conditionalFormatting>
  <conditionalFormatting sqref="L200:L202 L218">
    <cfRule type="cellIs" dxfId="6216" priority="322" operator="equal">
      <formula>0</formula>
    </cfRule>
  </conditionalFormatting>
  <conditionalFormatting sqref="L198:L199">
    <cfRule type="cellIs" dxfId="6215" priority="321" operator="equal">
      <formula>0</formula>
    </cfRule>
  </conditionalFormatting>
  <conditionalFormatting sqref="M200:M202 M218">
    <cfRule type="cellIs" dxfId="6214" priority="320" operator="equal">
      <formula>0</formula>
    </cfRule>
  </conditionalFormatting>
  <conditionalFormatting sqref="M198:M199">
    <cfRule type="cellIs" dxfId="6213" priority="319" operator="equal">
      <formula>0</formula>
    </cfRule>
  </conditionalFormatting>
  <conditionalFormatting sqref="N200:N202 N218">
    <cfRule type="cellIs" dxfId="6212" priority="318" operator="equal">
      <formula>0</formula>
    </cfRule>
  </conditionalFormatting>
  <conditionalFormatting sqref="N197:N199">
    <cfRule type="cellIs" dxfId="6211" priority="317" operator="equal">
      <formula>0</formula>
    </cfRule>
  </conditionalFormatting>
  <conditionalFormatting sqref="O200:O202 O218">
    <cfRule type="cellIs" dxfId="6210" priority="316" operator="equal">
      <formula>0</formula>
    </cfRule>
  </conditionalFormatting>
  <conditionalFormatting sqref="O197:O199">
    <cfRule type="cellIs" dxfId="6209" priority="315" operator="equal">
      <formula>0</formula>
    </cfRule>
  </conditionalFormatting>
  <conditionalFormatting sqref="P200:P202 P218">
    <cfRule type="cellIs" dxfId="6208" priority="314" operator="equal">
      <formula>0</formula>
    </cfRule>
  </conditionalFormatting>
  <conditionalFormatting sqref="P198:P199">
    <cfRule type="cellIs" dxfId="6207" priority="313" operator="equal">
      <formula>0</formula>
    </cfRule>
  </conditionalFormatting>
  <conditionalFormatting sqref="Q200:Q202 Q218">
    <cfRule type="cellIs" dxfId="6206" priority="312" operator="equal">
      <formula>0</formula>
    </cfRule>
  </conditionalFormatting>
  <conditionalFormatting sqref="Q198:Q199">
    <cfRule type="cellIs" dxfId="6205" priority="311" operator="equal">
      <formula>0</formula>
    </cfRule>
  </conditionalFormatting>
  <conditionalFormatting sqref="D226:F226 J226:T226">
    <cfRule type="cellIs" dxfId="6204" priority="310" operator="equal">
      <formula>0</formula>
    </cfRule>
  </conditionalFormatting>
  <conditionalFormatting sqref="D219:F227 D217:F217 D197:F203 N197:O197 R197:T197 J219:T227 J217:T217 J198:T203">
    <cfRule type="containsBlanks" dxfId="6203" priority="309">
      <formula>LEN(TRIM(D197))=0</formula>
    </cfRule>
  </conditionalFormatting>
  <conditionalFormatting sqref="D226:F226 J226:T226">
    <cfRule type="cellIs" dxfId="6202" priority="308" operator="equal">
      <formula>0</formula>
    </cfRule>
  </conditionalFormatting>
  <conditionalFormatting sqref="N200:N201">
    <cfRule type="cellIs" dxfId="6201" priority="307" operator="equal">
      <formula>0</formula>
    </cfRule>
  </conditionalFormatting>
  <conditionalFormatting sqref="O200:O201">
    <cfRule type="cellIs" dxfId="6200" priority="306" operator="equal">
      <formula>0</formula>
    </cfRule>
  </conditionalFormatting>
  <conditionalFormatting sqref="P200:Q200">
    <cfRule type="cellIs" dxfId="6199" priority="305" operator="equal">
      <formula>0</formula>
    </cfRule>
  </conditionalFormatting>
  <conditionalFormatting sqref="P201:Q201">
    <cfRule type="cellIs" dxfId="6198" priority="304" operator="equal">
      <formula>0</formula>
    </cfRule>
  </conditionalFormatting>
  <conditionalFormatting sqref="D205:F216 J205:T216">
    <cfRule type="cellIs" dxfId="6197" priority="303" operator="equal">
      <formula>0</formula>
    </cfRule>
  </conditionalFormatting>
  <conditionalFormatting sqref="D205:F216 J205:T216">
    <cfRule type="containsBlanks" dxfId="6196" priority="302">
      <formula>LEN(TRIM(D205))=0</formula>
    </cfRule>
  </conditionalFormatting>
  <conditionalFormatting sqref="J197">
    <cfRule type="cellIs" dxfId="6195" priority="301" operator="equal">
      <formula>0</formula>
    </cfRule>
  </conditionalFormatting>
  <conditionalFormatting sqref="K197">
    <cfRule type="cellIs" dxfId="6194" priority="300" operator="equal">
      <formula>0</formula>
    </cfRule>
  </conditionalFormatting>
  <conditionalFormatting sqref="L197:M197">
    <cfRule type="cellIs" dxfId="6193" priority="299" operator="equal">
      <formula>0</formula>
    </cfRule>
  </conditionalFormatting>
  <conditionalFormatting sqref="M197">
    <cfRule type="cellIs" dxfId="6192" priority="298" operator="equal">
      <formula>0</formula>
    </cfRule>
  </conditionalFormatting>
  <conditionalFormatting sqref="J197:M197">
    <cfRule type="containsBlanks" dxfId="6191" priority="297">
      <formula>LEN(TRIM(J197))=0</formula>
    </cfRule>
  </conditionalFormatting>
  <conditionalFormatting sqref="P197:Q197">
    <cfRule type="cellIs" dxfId="6190" priority="296" operator="equal">
      <formula>0</formula>
    </cfRule>
  </conditionalFormatting>
  <conditionalFormatting sqref="P197:Q197">
    <cfRule type="cellIs" dxfId="6189" priority="295" operator="equal">
      <formula>0</formula>
    </cfRule>
  </conditionalFormatting>
  <conditionalFormatting sqref="P197:Q197">
    <cfRule type="containsBlanks" dxfId="6188" priority="294">
      <formula>LEN(TRIM(P197))=0</formula>
    </cfRule>
  </conditionalFormatting>
  <conditionalFormatting sqref="D264:F264 R255:T255 D254:F262 D234:F241 N234:O234 R234:T234 J264:T264 J255:K255 J256:T262 J254:T254 J235:T241">
    <cfRule type="cellIs" dxfId="6187" priority="293" operator="equal">
      <formula>0</formula>
    </cfRule>
  </conditionalFormatting>
  <conditionalFormatting sqref="R234:R236">
    <cfRule type="cellIs" dxfId="6186" priority="292" operator="equal">
      <formula>0</formula>
    </cfRule>
  </conditionalFormatting>
  <conditionalFormatting sqref="R234:T234 N234:O234 D235:F236 J235:T236">
    <cfRule type="cellIs" dxfId="6185" priority="291" operator="equal">
      <formula>0</formula>
    </cfRule>
  </conditionalFormatting>
  <conditionalFormatting sqref="F235:F236">
    <cfRule type="cellIs" dxfId="6184" priority="290" operator="equal">
      <formula>0</formula>
    </cfRule>
  </conditionalFormatting>
  <conditionalFormatting sqref="N234:O234">
    <cfRule type="cellIs" dxfId="6183" priority="289" operator="equal">
      <formula>0</formula>
    </cfRule>
  </conditionalFormatting>
  <conditionalFormatting sqref="L237:L239 L255">
    <cfRule type="cellIs" dxfId="6182" priority="288" operator="equal">
      <formula>0</formula>
    </cfRule>
  </conditionalFormatting>
  <conditionalFormatting sqref="L235:L236">
    <cfRule type="cellIs" dxfId="6181" priority="287" operator="equal">
      <formula>0</formula>
    </cfRule>
  </conditionalFormatting>
  <conditionalFormatting sqref="M237:M239 M255">
    <cfRule type="cellIs" dxfId="6180" priority="286" operator="equal">
      <formula>0</formula>
    </cfRule>
  </conditionalFormatting>
  <conditionalFormatting sqref="M235:M236">
    <cfRule type="cellIs" dxfId="6179" priority="285" operator="equal">
      <formula>0</formula>
    </cfRule>
  </conditionalFormatting>
  <conditionalFormatting sqref="N237:N239 N255">
    <cfRule type="cellIs" dxfId="6178" priority="284" operator="equal">
      <formula>0</formula>
    </cfRule>
  </conditionalFormatting>
  <conditionalFormatting sqref="N234:N236">
    <cfRule type="cellIs" dxfId="6177" priority="283" operator="equal">
      <formula>0</formula>
    </cfRule>
  </conditionalFormatting>
  <conditionalFormatting sqref="O237:O239 O255">
    <cfRule type="cellIs" dxfId="6176" priority="282" operator="equal">
      <formula>0</formula>
    </cfRule>
  </conditionalFormatting>
  <conditionalFormatting sqref="O234:O236">
    <cfRule type="cellIs" dxfId="6175" priority="281" operator="equal">
      <formula>0</formula>
    </cfRule>
  </conditionalFormatting>
  <conditionalFormatting sqref="P237:P239 P255">
    <cfRule type="cellIs" dxfId="6174" priority="280" operator="equal">
      <formula>0</formula>
    </cfRule>
  </conditionalFormatting>
  <conditionalFormatting sqref="P235:P236">
    <cfRule type="cellIs" dxfId="6173" priority="279" operator="equal">
      <formula>0</formula>
    </cfRule>
  </conditionalFormatting>
  <conditionalFormatting sqref="Q237:Q239 Q255">
    <cfRule type="cellIs" dxfId="6172" priority="278" operator="equal">
      <formula>0</formula>
    </cfRule>
  </conditionalFormatting>
  <conditionalFormatting sqref="Q235:Q236">
    <cfRule type="cellIs" dxfId="6171" priority="277" operator="equal">
      <formula>0</formula>
    </cfRule>
  </conditionalFormatting>
  <conditionalFormatting sqref="D263:F263 J263:T263">
    <cfRule type="cellIs" dxfId="6170" priority="276" operator="equal">
      <formula>0</formula>
    </cfRule>
  </conditionalFormatting>
  <conditionalFormatting sqref="D256:F264 D254:F254 D234:F240 N234:O234 R234:T234 J256:T264 J254:T254 J235:T240">
    <cfRule type="containsBlanks" dxfId="6169" priority="275">
      <formula>LEN(TRIM(D234))=0</formula>
    </cfRule>
  </conditionalFormatting>
  <conditionalFormatting sqref="D263:F263 J263:T263">
    <cfRule type="cellIs" dxfId="6168" priority="274" operator="equal">
      <formula>0</formula>
    </cfRule>
  </conditionalFormatting>
  <conditionalFormatting sqref="N237:N238">
    <cfRule type="cellIs" dxfId="6167" priority="273" operator="equal">
      <formula>0</formula>
    </cfRule>
  </conditionalFormatting>
  <conditionalFormatting sqref="O237:O238">
    <cfRule type="cellIs" dxfId="6166" priority="272" operator="equal">
      <formula>0</formula>
    </cfRule>
  </conditionalFormatting>
  <conditionalFormatting sqref="P237:Q237">
    <cfRule type="cellIs" dxfId="6165" priority="271" operator="equal">
      <formula>0</formula>
    </cfRule>
  </conditionalFormatting>
  <conditionalFormatting sqref="P238:Q238">
    <cfRule type="cellIs" dxfId="6164" priority="270" operator="equal">
      <formula>0</formula>
    </cfRule>
  </conditionalFormatting>
  <conditionalFormatting sqref="D242:F253 J242:T253">
    <cfRule type="cellIs" dxfId="6163" priority="269" operator="equal">
      <formula>0</formula>
    </cfRule>
  </conditionalFormatting>
  <conditionalFormatting sqref="D242:F253 J242:T253">
    <cfRule type="containsBlanks" dxfId="6162" priority="268">
      <formula>LEN(TRIM(D242))=0</formula>
    </cfRule>
  </conditionalFormatting>
  <conditionalFormatting sqref="J234">
    <cfRule type="cellIs" dxfId="6161" priority="267" operator="equal">
      <formula>0</formula>
    </cfRule>
  </conditionalFormatting>
  <conditionalFormatting sqref="K234">
    <cfRule type="cellIs" dxfId="6160" priority="266" operator="equal">
      <formula>0</formula>
    </cfRule>
  </conditionalFormatting>
  <conditionalFormatting sqref="L234:M234">
    <cfRule type="cellIs" dxfId="6159" priority="265" operator="equal">
      <formula>0</formula>
    </cfRule>
  </conditionalFormatting>
  <conditionalFormatting sqref="M234">
    <cfRule type="cellIs" dxfId="6158" priority="264" operator="equal">
      <formula>0</formula>
    </cfRule>
  </conditionalFormatting>
  <conditionalFormatting sqref="J234:M234">
    <cfRule type="containsBlanks" dxfId="6157" priority="263">
      <formula>LEN(TRIM(J234))=0</formula>
    </cfRule>
  </conditionalFormatting>
  <conditionalFormatting sqref="P234:Q234">
    <cfRule type="cellIs" dxfId="6156" priority="262" operator="equal">
      <formula>0</formula>
    </cfRule>
  </conditionalFormatting>
  <conditionalFormatting sqref="P234:Q234">
    <cfRule type="cellIs" dxfId="6155" priority="261" operator="equal">
      <formula>0</formula>
    </cfRule>
  </conditionalFormatting>
  <conditionalFormatting sqref="P234:Q234">
    <cfRule type="containsBlanks" dxfId="6154" priority="260">
      <formula>LEN(TRIM(P234))=0</formula>
    </cfRule>
  </conditionalFormatting>
  <conditionalFormatting sqref="D301:F301 R292:T292 D291:F299 D271:F278 N271:O271 R271:T271 J301:T301 J292:K292 J293:T299 J291:T291 J272:T278">
    <cfRule type="cellIs" dxfId="6153" priority="259" operator="equal">
      <formula>0</formula>
    </cfRule>
  </conditionalFormatting>
  <conditionalFormatting sqref="R271:R273">
    <cfRule type="cellIs" dxfId="6152" priority="258" operator="equal">
      <formula>0</formula>
    </cfRule>
  </conditionalFormatting>
  <conditionalFormatting sqref="R271:T271 N271:O271 D272:F273 J272:T273">
    <cfRule type="cellIs" dxfId="6151" priority="257" operator="equal">
      <formula>0</formula>
    </cfRule>
  </conditionalFormatting>
  <conditionalFormatting sqref="F272:F273">
    <cfRule type="cellIs" dxfId="6150" priority="256" operator="equal">
      <formula>0</formula>
    </cfRule>
  </conditionalFormatting>
  <conditionalFormatting sqref="N271:O271">
    <cfRule type="cellIs" dxfId="6149" priority="255" operator="equal">
      <formula>0</formula>
    </cfRule>
  </conditionalFormatting>
  <conditionalFormatting sqref="L274:L276 L292">
    <cfRule type="cellIs" dxfId="6148" priority="254" operator="equal">
      <formula>0</formula>
    </cfRule>
  </conditionalFormatting>
  <conditionalFormatting sqref="L272:L273">
    <cfRule type="cellIs" dxfId="6147" priority="253" operator="equal">
      <formula>0</formula>
    </cfRule>
  </conditionalFormatting>
  <conditionalFormatting sqref="M274:M276 M292">
    <cfRule type="cellIs" dxfId="6146" priority="252" operator="equal">
      <formula>0</formula>
    </cfRule>
  </conditionalFormatting>
  <conditionalFormatting sqref="M272:M273">
    <cfRule type="cellIs" dxfId="6145" priority="251" operator="equal">
      <formula>0</formula>
    </cfRule>
  </conditionalFormatting>
  <conditionalFormatting sqref="N274:N276 N292">
    <cfRule type="cellIs" dxfId="6144" priority="250" operator="equal">
      <formula>0</formula>
    </cfRule>
  </conditionalFormatting>
  <conditionalFormatting sqref="N271:N273">
    <cfRule type="cellIs" dxfId="6143" priority="249" operator="equal">
      <formula>0</formula>
    </cfRule>
  </conditionalFormatting>
  <conditionalFormatting sqref="O274:O276 O292">
    <cfRule type="cellIs" dxfId="6142" priority="248" operator="equal">
      <formula>0</formula>
    </cfRule>
  </conditionalFormatting>
  <conditionalFormatting sqref="O271:O273">
    <cfRule type="cellIs" dxfId="6141" priority="247" operator="equal">
      <formula>0</formula>
    </cfRule>
  </conditionalFormatting>
  <conditionalFormatting sqref="P274:P276 P292">
    <cfRule type="cellIs" dxfId="6140" priority="246" operator="equal">
      <formula>0</formula>
    </cfRule>
  </conditionalFormatting>
  <conditionalFormatting sqref="P272:P273">
    <cfRule type="cellIs" dxfId="6139" priority="245" operator="equal">
      <formula>0</formula>
    </cfRule>
  </conditionalFormatting>
  <conditionalFormatting sqref="Q274:Q276 Q292">
    <cfRule type="cellIs" dxfId="6138" priority="244" operator="equal">
      <formula>0</formula>
    </cfRule>
  </conditionalFormatting>
  <conditionalFormatting sqref="Q272:Q273">
    <cfRule type="cellIs" dxfId="6137" priority="243" operator="equal">
      <formula>0</formula>
    </cfRule>
  </conditionalFormatting>
  <conditionalFormatting sqref="D300:F300 J300:T300">
    <cfRule type="cellIs" dxfId="6136" priority="242" operator="equal">
      <formula>0</formula>
    </cfRule>
  </conditionalFormatting>
  <conditionalFormatting sqref="D293:F301 D291:F291 D271:F277 N271:O271 R271:T271 J293:T301 J291:T291 J272:T277">
    <cfRule type="containsBlanks" dxfId="6135" priority="241">
      <formula>LEN(TRIM(D271))=0</formula>
    </cfRule>
  </conditionalFormatting>
  <conditionalFormatting sqref="D300:F300 J300:T300">
    <cfRule type="cellIs" dxfId="6134" priority="240" operator="equal">
      <formula>0</formula>
    </cfRule>
  </conditionalFormatting>
  <conditionalFormatting sqref="N274:N275">
    <cfRule type="cellIs" dxfId="6133" priority="239" operator="equal">
      <formula>0</formula>
    </cfRule>
  </conditionalFormatting>
  <conditionalFormatting sqref="O274:O275">
    <cfRule type="cellIs" dxfId="6132" priority="238" operator="equal">
      <formula>0</formula>
    </cfRule>
  </conditionalFormatting>
  <conditionalFormatting sqref="P274:Q274">
    <cfRule type="cellIs" dxfId="6131" priority="237" operator="equal">
      <formula>0</formula>
    </cfRule>
  </conditionalFormatting>
  <conditionalFormatting sqref="P275:Q275">
    <cfRule type="cellIs" dxfId="6130" priority="236" operator="equal">
      <formula>0</formula>
    </cfRule>
  </conditionalFormatting>
  <conditionalFormatting sqref="D279:F290 J279:T290">
    <cfRule type="cellIs" dxfId="6129" priority="235" operator="equal">
      <formula>0</formula>
    </cfRule>
  </conditionalFormatting>
  <conditionalFormatting sqref="D279:F290 J279:T290">
    <cfRule type="containsBlanks" dxfId="6128" priority="234">
      <formula>LEN(TRIM(D279))=0</formula>
    </cfRule>
  </conditionalFormatting>
  <conditionalFormatting sqref="J271">
    <cfRule type="cellIs" dxfId="6127" priority="233" operator="equal">
      <formula>0</formula>
    </cfRule>
  </conditionalFormatting>
  <conditionalFormatting sqref="K271">
    <cfRule type="cellIs" dxfId="6126" priority="232" operator="equal">
      <formula>0</formula>
    </cfRule>
  </conditionalFormatting>
  <conditionalFormatting sqref="L271:M271">
    <cfRule type="cellIs" dxfId="6125" priority="231" operator="equal">
      <formula>0</formula>
    </cfRule>
  </conditionalFormatting>
  <conditionalFormatting sqref="M271">
    <cfRule type="cellIs" dxfId="6124" priority="230" operator="equal">
      <formula>0</formula>
    </cfRule>
  </conditionalFormatting>
  <conditionalFormatting sqref="J271:M271">
    <cfRule type="containsBlanks" dxfId="6123" priority="229">
      <formula>LEN(TRIM(J271))=0</formula>
    </cfRule>
  </conditionalFormatting>
  <conditionalFormatting sqref="P271:Q271">
    <cfRule type="cellIs" dxfId="6122" priority="228" operator="equal">
      <formula>0</formula>
    </cfRule>
  </conditionalFormatting>
  <conditionalFormatting sqref="P271:Q271">
    <cfRule type="cellIs" dxfId="6121" priority="227" operator="equal">
      <formula>0</formula>
    </cfRule>
  </conditionalFormatting>
  <conditionalFormatting sqref="P271:Q271">
    <cfRule type="containsBlanks" dxfId="6120" priority="226">
      <formula>LEN(TRIM(P271))=0</formula>
    </cfRule>
  </conditionalFormatting>
  <conditionalFormatting sqref="H12:H19 H32:H40 H42 G12">
    <cfRule type="cellIs" dxfId="6119" priority="200" operator="equal">
      <formula>0</formula>
    </cfRule>
  </conditionalFormatting>
  <conditionalFormatting sqref="H13:H14">
    <cfRule type="cellIs" dxfId="6118" priority="199" operator="equal">
      <formula>0</formula>
    </cfRule>
  </conditionalFormatting>
  <conditionalFormatting sqref="H41">
    <cfRule type="cellIs" dxfId="6117" priority="198" operator="equal">
      <formula>0</formula>
    </cfRule>
  </conditionalFormatting>
  <conditionalFormatting sqref="H12:H18 H32 H34:H42 G12">
    <cfRule type="containsBlanks" dxfId="6116" priority="197">
      <formula>LEN(TRIM(G12))=0</formula>
    </cfRule>
  </conditionalFormatting>
  <conditionalFormatting sqref="H41">
    <cfRule type="cellIs" dxfId="6115" priority="196" operator="equal">
      <formula>0</formula>
    </cfRule>
  </conditionalFormatting>
  <conditionalFormatting sqref="H20:H31">
    <cfRule type="cellIs" dxfId="6114" priority="195" operator="equal">
      <formula>0</formula>
    </cfRule>
  </conditionalFormatting>
  <conditionalFormatting sqref="H20:H31">
    <cfRule type="containsBlanks" dxfId="6113" priority="194">
      <formula>LEN(TRIM(H20))=0</formula>
    </cfRule>
  </conditionalFormatting>
  <conditionalFormatting sqref="G13:G19 G32:G40 G42">
    <cfRule type="cellIs" dxfId="6112" priority="193" operator="equal">
      <formula>0</formula>
    </cfRule>
  </conditionalFormatting>
  <conditionalFormatting sqref="G13:G14">
    <cfRule type="cellIs" dxfId="6111" priority="192" operator="equal">
      <formula>0</formula>
    </cfRule>
  </conditionalFormatting>
  <conditionalFormatting sqref="G13:G14">
    <cfRule type="cellIs" dxfId="6110" priority="191" operator="equal">
      <formula>0</formula>
    </cfRule>
  </conditionalFormatting>
  <conditionalFormatting sqref="G41">
    <cfRule type="cellIs" dxfId="6109" priority="190" operator="equal">
      <formula>0</formula>
    </cfRule>
  </conditionalFormatting>
  <conditionalFormatting sqref="G13:G18 G34:G42 G32">
    <cfRule type="containsBlanks" dxfId="6108" priority="189">
      <formula>LEN(TRIM(G13))=0</formula>
    </cfRule>
  </conditionalFormatting>
  <conditionalFormatting sqref="G41">
    <cfRule type="cellIs" dxfId="6107" priority="188" operator="equal">
      <formula>0</formula>
    </cfRule>
  </conditionalFormatting>
  <conditionalFormatting sqref="G20:G31">
    <cfRule type="cellIs" dxfId="6106" priority="187" operator="equal">
      <formula>0</formula>
    </cfRule>
  </conditionalFormatting>
  <conditionalFormatting sqref="G20:G31">
    <cfRule type="containsBlanks" dxfId="6105" priority="186">
      <formula>LEN(TRIM(G20))=0</formula>
    </cfRule>
  </conditionalFormatting>
  <conditionalFormatting sqref="I12">
    <cfRule type="cellIs" dxfId="6104" priority="185" operator="equal">
      <formula>0</formula>
    </cfRule>
  </conditionalFormatting>
  <conditionalFormatting sqref="I12">
    <cfRule type="containsBlanks" dxfId="6103" priority="184">
      <formula>LEN(TRIM(I12))=0</formula>
    </cfRule>
  </conditionalFormatting>
  <conditionalFormatting sqref="I13:I19 I32:I40 I42">
    <cfRule type="cellIs" dxfId="6102" priority="183" operator="equal">
      <formula>0</formula>
    </cfRule>
  </conditionalFormatting>
  <conditionalFormatting sqref="I13:I14">
    <cfRule type="cellIs" dxfId="6101" priority="182" operator="equal">
      <formula>0</formula>
    </cfRule>
  </conditionalFormatting>
  <conditionalFormatting sqref="I13:I14">
    <cfRule type="cellIs" dxfId="6100" priority="181" operator="equal">
      <formula>0</formula>
    </cfRule>
  </conditionalFormatting>
  <conditionalFormatting sqref="I41">
    <cfRule type="cellIs" dxfId="6099" priority="180" operator="equal">
      <formula>0</formula>
    </cfRule>
  </conditionalFormatting>
  <conditionalFormatting sqref="I13:I18 I34:I42 I32">
    <cfRule type="containsBlanks" dxfId="6098" priority="179">
      <formula>LEN(TRIM(I13))=0</formula>
    </cfRule>
  </conditionalFormatting>
  <conditionalFormatting sqref="I41">
    <cfRule type="cellIs" dxfId="6097" priority="178" operator="equal">
      <formula>0</formula>
    </cfRule>
  </conditionalFormatting>
  <conditionalFormatting sqref="I20:I31">
    <cfRule type="cellIs" dxfId="6096" priority="177" operator="equal">
      <formula>0</formula>
    </cfRule>
  </conditionalFormatting>
  <conditionalFormatting sqref="I20:I31">
    <cfRule type="containsBlanks" dxfId="6095" priority="176">
      <formula>LEN(TRIM(I20))=0</formula>
    </cfRule>
  </conditionalFormatting>
  <conditionalFormatting sqref="H49:H56 H69:H77 H79 G49">
    <cfRule type="cellIs" dxfId="6094" priority="175" operator="equal">
      <formula>0</formula>
    </cfRule>
  </conditionalFormatting>
  <conditionalFormatting sqref="H50:H51">
    <cfRule type="cellIs" dxfId="6093" priority="174" operator="equal">
      <formula>0</formula>
    </cfRule>
  </conditionalFormatting>
  <conditionalFormatting sqref="H78">
    <cfRule type="cellIs" dxfId="6092" priority="173" operator="equal">
      <formula>0</formula>
    </cfRule>
  </conditionalFormatting>
  <conditionalFormatting sqref="H49:H55 H69 H71:H79 G49">
    <cfRule type="containsBlanks" dxfId="6091" priority="172">
      <formula>LEN(TRIM(G49))=0</formula>
    </cfRule>
  </conditionalFormatting>
  <conditionalFormatting sqref="H78">
    <cfRule type="cellIs" dxfId="6090" priority="171" operator="equal">
      <formula>0</formula>
    </cfRule>
  </conditionalFormatting>
  <conditionalFormatting sqref="H57:H68">
    <cfRule type="cellIs" dxfId="6089" priority="170" operator="equal">
      <formula>0</formula>
    </cfRule>
  </conditionalFormatting>
  <conditionalFormatting sqref="H57:H68">
    <cfRule type="containsBlanks" dxfId="6088" priority="169">
      <formula>LEN(TRIM(H57))=0</formula>
    </cfRule>
  </conditionalFormatting>
  <conditionalFormatting sqref="G50:G56 G69:G77 G79">
    <cfRule type="cellIs" dxfId="6087" priority="168" operator="equal">
      <formula>0</formula>
    </cfRule>
  </conditionalFormatting>
  <conditionalFormatting sqref="G50:G51">
    <cfRule type="cellIs" dxfId="6086" priority="167" operator="equal">
      <formula>0</formula>
    </cfRule>
  </conditionalFormatting>
  <conditionalFormatting sqref="G50:G51">
    <cfRule type="cellIs" dxfId="6085" priority="166" operator="equal">
      <formula>0</formula>
    </cfRule>
  </conditionalFormatting>
  <conditionalFormatting sqref="G78">
    <cfRule type="cellIs" dxfId="6084" priority="165" operator="equal">
      <formula>0</formula>
    </cfRule>
  </conditionalFormatting>
  <conditionalFormatting sqref="G50:G55 G71:G79 G69">
    <cfRule type="containsBlanks" dxfId="6083" priority="164">
      <formula>LEN(TRIM(G50))=0</formula>
    </cfRule>
  </conditionalFormatting>
  <conditionalFormatting sqref="G78">
    <cfRule type="cellIs" dxfId="6082" priority="163" operator="equal">
      <formula>0</formula>
    </cfRule>
  </conditionalFormatting>
  <conditionalFormatting sqref="G57:G68">
    <cfRule type="cellIs" dxfId="6081" priority="162" operator="equal">
      <formula>0</formula>
    </cfRule>
  </conditionalFormatting>
  <conditionalFormatting sqref="G57:G68">
    <cfRule type="containsBlanks" dxfId="6080" priority="161">
      <formula>LEN(TRIM(G57))=0</formula>
    </cfRule>
  </conditionalFormatting>
  <conditionalFormatting sqref="I49">
    <cfRule type="cellIs" dxfId="6079" priority="160" operator="equal">
      <formula>0</formula>
    </cfRule>
  </conditionalFormatting>
  <conditionalFormatting sqref="I49">
    <cfRule type="containsBlanks" dxfId="6078" priority="159">
      <formula>LEN(TRIM(I49))=0</formula>
    </cfRule>
  </conditionalFormatting>
  <conditionalFormatting sqref="I50:I56 I69:I77 I79">
    <cfRule type="cellIs" dxfId="6077" priority="158" operator="equal">
      <formula>0</formula>
    </cfRule>
  </conditionalFormatting>
  <conditionalFormatting sqref="I50:I51">
    <cfRule type="cellIs" dxfId="6076" priority="157" operator="equal">
      <formula>0</formula>
    </cfRule>
  </conditionalFormatting>
  <conditionalFormatting sqref="I50:I51">
    <cfRule type="cellIs" dxfId="6075" priority="156" operator="equal">
      <formula>0</formula>
    </cfRule>
  </conditionalFormatting>
  <conditionalFormatting sqref="I78">
    <cfRule type="cellIs" dxfId="6074" priority="155" operator="equal">
      <formula>0</formula>
    </cfRule>
  </conditionalFormatting>
  <conditionalFormatting sqref="I50:I55 I71:I79 I69">
    <cfRule type="containsBlanks" dxfId="6073" priority="154">
      <formula>LEN(TRIM(I50))=0</formula>
    </cfRule>
  </conditionalFormatting>
  <conditionalFormatting sqref="I78">
    <cfRule type="cellIs" dxfId="6072" priority="153" operator="equal">
      <formula>0</formula>
    </cfRule>
  </conditionalFormatting>
  <conditionalFormatting sqref="I57:I68">
    <cfRule type="cellIs" dxfId="6071" priority="152" operator="equal">
      <formula>0</formula>
    </cfRule>
  </conditionalFormatting>
  <conditionalFormatting sqref="I57:I68">
    <cfRule type="containsBlanks" dxfId="6070" priority="151">
      <formula>LEN(TRIM(I57))=0</formula>
    </cfRule>
  </conditionalFormatting>
  <conditionalFormatting sqref="H86:H93 H106:H114 H116 G86">
    <cfRule type="cellIs" dxfId="6069" priority="150" operator="equal">
      <formula>0</formula>
    </cfRule>
  </conditionalFormatting>
  <conditionalFormatting sqref="H87:H88">
    <cfRule type="cellIs" dxfId="6068" priority="149" operator="equal">
      <formula>0</formula>
    </cfRule>
  </conditionalFormatting>
  <conditionalFormatting sqref="H115">
    <cfRule type="cellIs" dxfId="6067" priority="148" operator="equal">
      <formula>0</formula>
    </cfRule>
  </conditionalFormatting>
  <conditionalFormatting sqref="H86:H92 H106 H108:H116 G86">
    <cfRule type="containsBlanks" dxfId="6066" priority="147">
      <formula>LEN(TRIM(G86))=0</formula>
    </cfRule>
  </conditionalFormatting>
  <conditionalFormatting sqref="H115">
    <cfRule type="cellIs" dxfId="6065" priority="146" operator="equal">
      <formula>0</formula>
    </cfRule>
  </conditionalFormatting>
  <conditionalFormatting sqref="H94:H105">
    <cfRule type="cellIs" dxfId="6064" priority="145" operator="equal">
      <formula>0</formula>
    </cfRule>
  </conditionalFormatting>
  <conditionalFormatting sqref="H94:H105">
    <cfRule type="containsBlanks" dxfId="6063" priority="144">
      <formula>LEN(TRIM(H94))=0</formula>
    </cfRule>
  </conditionalFormatting>
  <conditionalFormatting sqref="G87:G93 G106:G114 G116">
    <cfRule type="cellIs" dxfId="6062" priority="143" operator="equal">
      <formula>0</formula>
    </cfRule>
  </conditionalFormatting>
  <conditionalFormatting sqref="G87:G88">
    <cfRule type="cellIs" dxfId="6061" priority="142" operator="equal">
      <formula>0</formula>
    </cfRule>
  </conditionalFormatting>
  <conditionalFormatting sqref="G87:G88">
    <cfRule type="cellIs" dxfId="6060" priority="141" operator="equal">
      <formula>0</formula>
    </cfRule>
  </conditionalFormatting>
  <conditionalFormatting sqref="G115">
    <cfRule type="cellIs" dxfId="6059" priority="140" operator="equal">
      <formula>0</formula>
    </cfRule>
  </conditionalFormatting>
  <conditionalFormatting sqref="G87:G92 G108:G116 G106">
    <cfRule type="containsBlanks" dxfId="6058" priority="139">
      <formula>LEN(TRIM(G87))=0</formula>
    </cfRule>
  </conditionalFormatting>
  <conditionalFormatting sqref="G115">
    <cfRule type="cellIs" dxfId="6057" priority="138" operator="equal">
      <formula>0</formula>
    </cfRule>
  </conditionalFormatting>
  <conditionalFormatting sqref="G94:G105">
    <cfRule type="cellIs" dxfId="6056" priority="137" operator="equal">
      <formula>0</formula>
    </cfRule>
  </conditionalFormatting>
  <conditionalFormatting sqref="G94:G105">
    <cfRule type="containsBlanks" dxfId="6055" priority="136">
      <formula>LEN(TRIM(G94))=0</formula>
    </cfRule>
  </conditionalFormatting>
  <conditionalFormatting sqref="I86">
    <cfRule type="cellIs" dxfId="6054" priority="135" operator="equal">
      <formula>0</formula>
    </cfRule>
  </conditionalFormatting>
  <conditionalFormatting sqref="I86">
    <cfRule type="containsBlanks" dxfId="6053" priority="134">
      <formula>LEN(TRIM(I86))=0</formula>
    </cfRule>
  </conditionalFormatting>
  <conditionalFormatting sqref="I87:I93 I106:I114 I116">
    <cfRule type="cellIs" dxfId="6052" priority="133" operator="equal">
      <formula>0</formula>
    </cfRule>
  </conditionalFormatting>
  <conditionalFormatting sqref="I87:I88">
    <cfRule type="cellIs" dxfId="6051" priority="132" operator="equal">
      <formula>0</formula>
    </cfRule>
  </conditionalFormatting>
  <conditionalFormatting sqref="I87:I88">
    <cfRule type="cellIs" dxfId="6050" priority="131" operator="equal">
      <formula>0</formula>
    </cfRule>
  </conditionalFormatting>
  <conditionalFormatting sqref="I115">
    <cfRule type="cellIs" dxfId="6049" priority="130" operator="equal">
      <formula>0</formula>
    </cfRule>
  </conditionalFormatting>
  <conditionalFormatting sqref="I87:I92 I108:I116 I106">
    <cfRule type="containsBlanks" dxfId="6048" priority="129">
      <formula>LEN(TRIM(I87))=0</formula>
    </cfRule>
  </conditionalFormatting>
  <conditionalFormatting sqref="I115">
    <cfRule type="cellIs" dxfId="6047" priority="128" operator="equal">
      <formula>0</formula>
    </cfRule>
  </conditionalFormatting>
  <conditionalFormatting sqref="I94:I105">
    <cfRule type="cellIs" dxfId="6046" priority="127" operator="equal">
      <formula>0</formula>
    </cfRule>
  </conditionalFormatting>
  <conditionalFormatting sqref="I94:I105">
    <cfRule type="containsBlanks" dxfId="6045" priority="126">
      <formula>LEN(TRIM(I94))=0</formula>
    </cfRule>
  </conditionalFormatting>
  <conditionalFormatting sqref="H123:H130 H143:H151 H153 G123">
    <cfRule type="cellIs" dxfId="6044" priority="125" operator="equal">
      <formula>0</formula>
    </cfRule>
  </conditionalFormatting>
  <conditionalFormatting sqref="H124:H125">
    <cfRule type="cellIs" dxfId="6043" priority="124" operator="equal">
      <formula>0</formula>
    </cfRule>
  </conditionalFormatting>
  <conditionalFormatting sqref="H152">
    <cfRule type="cellIs" dxfId="6042" priority="123" operator="equal">
      <formula>0</formula>
    </cfRule>
  </conditionalFormatting>
  <conditionalFormatting sqref="H123:H129 H143 H145:H153 G123">
    <cfRule type="containsBlanks" dxfId="6041" priority="122">
      <formula>LEN(TRIM(G123))=0</formula>
    </cfRule>
  </conditionalFormatting>
  <conditionalFormatting sqref="H152">
    <cfRule type="cellIs" dxfId="6040" priority="121" operator="equal">
      <formula>0</formula>
    </cfRule>
  </conditionalFormatting>
  <conditionalFormatting sqref="H131:H142">
    <cfRule type="cellIs" dxfId="6039" priority="120" operator="equal">
      <formula>0</formula>
    </cfRule>
  </conditionalFormatting>
  <conditionalFormatting sqref="H131:H142">
    <cfRule type="containsBlanks" dxfId="6038" priority="119">
      <formula>LEN(TRIM(H131))=0</formula>
    </cfRule>
  </conditionalFormatting>
  <conditionalFormatting sqref="G124:G130 G143:G151 G153">
    <cfRule type="cellIs" dxfId="6037" priority="118" operator="equal">
      <formula>0</formula>
    </cfRule>
  </conditionalFormatting>
  <conditionalFormatting sqref="G124:G125">
    <cfRule type="cellIs" dxfId="6036" priority="117" operator="equal">
      <formula>0</formula>
    </cfRule>
  </conditionalFormatting>
  <conditionalFormatting sqref="G124:G125">
    <cfRule type="cellIs" dxfId="6035" priority="116" operator="equal">
      <formula>0</formula>
    </cfRule>
  </conditionalFormatting>
  <conditionalFormatting sqref="G152">
    <cfRule type="cellIs" dxfId="6034" priority="115" operator="equal">
      <formula>0</formula>
    </cfRule>
  </conditionalFormatting>
  <conditionalFormatting sqref="G124:G129 G145:G153 G143">
    <cfRule type="containsBlanks" dxfId="6033" priority="114">
      <formula>LEN(TRIM(G124))=0</formula>
    </cfRule>
  </conditionalFormatting>
  <conditionalFormatting sqref="G152">
    <cfRule type="cellIs" dxfId="6032" priority="113" operator="equal">
      <formula>0</formula>
    </cfRule>
  </conditionalFormatting>
  <conditionalFormatting sqref="G131:G142">
    <cfRule type="cellIs" dxfId="6031" priority="112" operator="equal">
      <formula>0</formula>
    </cfRule>
  </conditionalFormatting>
  <conditionalFormatting sqref="G131:G142">
    <cfRule type="containsBlanks" dxfId="6030" priority="111">
      <formula>LEN(TRIM(G131))=0</formula>
    </cfRule>
  </conditionalFormatting>
  <conditionalFormatting sqref="I123">
    <cfRule type="cellIs" dxfId="6029" priority="110" operator="equal">
      <formula>0</formula>
    </cfRule>
  </conditionalFormatting>
  <conditionalFormatting sqref="I123">
    <cfRule type="containsBlanks" dxfId="6028" priority="109">
      <formula>LEN(TRIM(I123))=0</formula>
    </cfRule>
  </conditionalFormatting>
  <conditionalFormatting sqref="I124:I130 I143:I151 I153">
    <cfRule type="cellIs" dxfId="6027" priority="108" operator="equal">
      <formula>0</formula>
    </cfRule>
  </conditionalFormatting>
  <conditionalFormatting sqref="I124:I125">
    <cfRule type="cellIs" dxfId="6026" priority="107" operator="equal">
      <formula>0</formula>
    </cfRule>
  </conditionalFormatting>
  <conditionalFormatting sqref="I124:I125">
    <cfRule type="cellIs" dxfId="6025" priority="106" operator="equal">
      <formula>0</formula>
    </cfRule>
  </conditionalFormatting>
  <conditionalFormatting sqref="I152">
    <cfRule type="cellIs" dxfId="6024" priority="105" operator="equal">
      <formula>0</formula>
    </cfRule>
  </conditionalFormatting>
  <conditionalFormatting sqref="I124:I129 I145:I153 I143">
    <cfRule type="containsBlanks" dxfId="6023" priority="104">
      <formula>LEN(TRIM(I124))=0</formula>
    </cfRule>
  </conditionalFormatting>
  <conditionalFormatting sqref="I152">
    <cfRule type="cellIs" dxfId="6022" priority="103" operator="equal">
      <formula>0</formula>
    </cfRule>
  </conditionalFormatting>
  <conditionalFormatting sqref="I131:I142">
    <cfRule type="cellIs" dxfId="6021" priority="102" operator="equal">
      <formula>0</formula>
    </cfRule>
  </conditionalFormatting>
  <conditionalFormatting sqref="I131:I142">
    <cfRule type="containsBlanks" dxfId="6020" priority="101">
      <formula>LEN(TRIM(I131))=0</formula>
    </cfRule>
  </conditionalFormatting>
  <conditionalFormatting sqref="H160:H167 H180:H188 H190 G160">
    <cfRule type="cellIs" dxfId="6019" priority="100" operator="equal">
      <formula>0</formula>
    </cfRule>
  </conditionalFormatting>
  <conditionalFormatting sqref="H161:H162">
    <cfRule type="cellIs" dxfId="6018" priority="99" operator="equal">
      <formula>0</formula>
    </cfRule>
  </conditionalFormatting>
  <conditionalFormatting sqref="H189">
    <cfRule type="cellIs" dxfId="6017" priority="98" operator="equal">
      <formula>0</formula>
    </cfRule>
  </conditionalFormatting>
  <conditionalFormatting sqref="H160:H166 H180 H182:H190 G160">
    <cfRule type="containsBlanks" dxfId="6016" priority="97">
      <formula>LEN(TRIM(G160))=0</formula>
    </cfRule>
  </conditionalFormatting>
  <conditionalFormatting sqref="H189">
    <cfRule type="cellIs" dxfId="6015" priority="96" operator="equal">
      <formula>0</formula>
    </cfRule>
  </conditionalFormatting>
  <conditionalFormatting sqref="H168:H179">
    <cfRule type="cellIs" dxfId="6014" priority="95" operator="equal">
      <formula>0</formula>
    </cfRule>
  </conditionalFormatting>
  <conditionalFormatting sqref="H168:H179">
    <cfRule type="containsBlanks" dxfId="6013" priority="94">
      <formula>LEN(TRIM(H168))=0</formula>
    </cfRule>
  </conditionalFormatting>
  <conditionalFormatting sqref="G161:G167 G180:G188 G190">
    <cfRule type="cellIs" dxfId="6012" priority="93" operator="equal">
      <formula>0</formula>
    </cfRule>
  </conditionalFormatting>
  <conditionalFormatting sqref="G161:G162">
    <cfRule type="cellIs" dxfId="6011" priority="92" operator="equal">
      <formula>0</formula>
    </cfRule>
  </conditionalFormatting>
  <conditionalFormatting sqref="G161:G162">
    <cfRule type="cellIs" dxfId="6010" priority="91" operator="equal">
      <formula>0</formula>
    </cfRule>
  </conditionalFormatting>
  <conditionalFormatting sqref="G189">
    <cfRule type="cellIs" dxfId="6009" priority="90" operator="equal">
      <formula>0</formula>
    </cfRule>
  </conditionalFormatting>
  <conditionalFormatting sqref="G161:G166 G182:G190 G180">
    <cfRule type="containsBlanks" dxfId="6008" priority="89">
      <formula>LEN(TRIM(G161))=0</formula>
    </cfRule>
  </conditionalFormatting>
  <conditionalFormatting sqref="G189">
    <cfRule type="cellIs" dxfId="6007" priority="88" operator="equal">
      <formula>0</formula>
    </cfRule>
  </conditionalFormatting>
  <conditionalFormatting sqref="G168:G179">
    <cfRule type="cellIs" dxfId="6006" priority="87" operator="equal">
      <formula>0</formula>
    </cfRule>
  </conditionalFormatting>
  <conditionalFormatting sqref="G168:G179">
    <cfRule type="containsBlanks" dxfId="6005" priority="86">
      <formula>LEN(TRIM(G168))=0</formula>
    </cfRule>
  </conditionalFormatting>
  <conditionalFormatting sqref="I160">
    <cfRule type="cellIs" dxfId="6004" priority="85" operator="equal">
      <formula>0</formula>
    </cfRule>
  </conditionalFormatting>
  <conditionalFormatting sqref="I160">
    <cfRule type="containsBlanks" dxfId="6003" priority="84">
      <formula>LEN(TRIM(I160))=0</formula>
    </cfRule>
  </conditionalFormatting>
  <conditionalFormatting sqref="I161:I167 I180:I188 I190">
    <cfRule type="cellIs" dxfId="6002" priority="83" operator="equal">
      <formula>0</formula>
    </cfRule>
  </conditionalFormatting>
  <conditionalFormatting sqref="I161:I162">
    <cfRule type="cellIs" dxfId="6001" priority="82" operator="equal">
      <formula>0</formula>
    </cfRule>
  </conditionalFormatting>
  <conditionalFormatting sqref="I161:I162">
    <cfRule type="cellIs" dxfId="6000" priority="81" operator="equal">
      <formula>0</formula>
    </cfRule>
  </conditionalFormatting>
  <conditionalFormatting sqref="I189">
    <cfRule type="cellIs" dxfId="5999" priority="80" operator="equal">
      <formula>0</formula>
    </cfRule>
  </conditionalFormatting>
  <conditionalFormatting sqref="I161:I166 I182:I190 I180">
    <cfRule type="containsBlanks" dxfId="5998" priority="79">
      <formula>LEN(TRIM(I161))=0</formula>
    </cfRule>
  </conditionalFormatting>
  <conditionalFormatting sqref="I189">
    <cfRule type="cellIs" dxfId="5997" priority="78" operator="equal">
      <formula>0</formula>
    </cfRule>
  </conditionalFormatting>
  <conditionalFormatting sqref="I168:I179">
    <cfRule type="cellIs" dxfId="5996" priority="77" operator="equal">
      <formula>0</formula>
    </cfRule>
  </conditionalFormatting>
  <conditionalFormatting sqref="I168:I179">
    <cfRule type="containsBlanks" dxfId="5995" priority="76">
      <formula>LEN(TRIM(I168))=0</formula>
    </cfRule>
  </conditionalFormatting>
  <conditionalFormatting sqref="H197:H204 H217:H225 H227 G197">
    <cfRule type="cellIs" dxfId="5994" priority="75" operator="equal">
      <formula>0</formula>
    </cfRule>
  </conditionalFormatting>
  <conditionalFormatting sqref="H198:H199">
    <cfRule type="cellIs" dxfId="5993" priority="74" operator="equal">
      <formula>0</formula>
    </cfRule>
  </conditionalFormatting>
  <conditionalFormatting sqref="H226">
    <cfRule type="cellIs" dxfId="5992" priority="73" operator="equal">
      <formula>0</formula>
    </cfRule>
  </conditionalFormatting>
  <conditionalFormatting sqref="H197:H203 H217 H219:H227 G197">
    <cfRule type="containsBlanks" dxfId="5991" priority="72">
      <formula>LEN(TRIM(G197))=0</formula>
    </cfRule>
  </conditionalFormatting>
  <conditionalFormatting sqref="H226">
    <cfRule type="cellIs" dxfId="5990" priority="71" operator="equal">
      <formula>0</formula>
    </cfRule>
  </conditionalFormatting>
  <conditionalFormatting sqref="H205:H216">
    <cfRule type="cellIs" dxfId="5989" priority="70" operator="equal">
      <formula>0</formula>
    </cfRule>
  </conditionalFormatting>
  <conditionalFormatting sqref="H205:H216">
    <cfRule type="containsBlanks" dxfId="5988" priority="69">
      <formula>LEN(TRIM(H205))=0</formula>
    </cfRule>
  </conditionalFormatting>
  <conditionalFormatting sqref="G198:G204 G217:G225 G227">
    <cfRule type="cellIs" dxfId="5987" priority="68" operator="equal">
      <formula>0</formula>
    </cfRule>
  </conditionalFormatting>
  <conditionalFormatting sqref="G198:G199">
    <cfRule type="cellIs" dxfId="5986" priority="67" operator="equal">
      <formula>0</formula>
    </cfRule>
  </conditionalFormatting>
  <conditionalFormatting sqref="G198:G199">
    <cfRule type="cellIs" dxfId="5985" priority="66" operator="equal">
      <formula>0</formula>
    </cfRule>
  </conditionalFormatting>
  <conditionalFormatting sqref="G226">
    <cfRule type="cellIs" dxfId="5984" priority="65" operator="equal">
      <formula>0</formula>
    </cfRule>
  </conditionalFormatting>
  <conditionalFormatting sqref="G198:G203 G219:G227 G217">
    <cfRule type="containsBlanks" dxfId="5983" priority="64">
      <formula>LEN(TRIM(G198))=0</formula>
    </cfRule>
  </conditionalFormatting>
  <conditionalFormatting sqref="G226">
    <cfRule type="cellIs" dxfId="5982" priority="63" operator="equal">
      <formula>0</formula>
    </cfRule>
  </conditionalFormatting>
  <conditionalFormatting sqref="G205:G216">
    <cfRule type="cellIs" dxfId="5981" priority="62" operator="equal">
      <formula>0</formula>
    </cfRule>
  </conditionalFormatting>
  <conditionalFormatting sqref="G205:G216">
    <cfRule type="containsBlanks" dxfId="5980" priority="61">
      <formula>LEN(TRIM(G205))=0</formula>
    </cfRule>
  </conditionalFormatting>
  <conditionalFormatting sqref="I197">
    <cfRule type="cellIs" dxfId="5979" priority="60" operator="equal">
      <formula>0</formula>
    </cfRule>
  </conditionalFormatting>
  <conditionalFormatting sqref="I197">
    <cfRule type="containsBlanks" dxfId="5978" priority="59">
      <formula>LEN(TRIM(I197))=0</formula>
    </cfRule>
  </conditionalFormatting>
  <conditionalFormatting sqref="I198:I204 I217:I225 I227">
    <cfRule type="cellIs" dxfId="5977" priority="58" operator="equal">
      <formula>0</formula>
    </cfRule>
  </conditionalFormatting>
  <conditionalFormatting sqref="I198:I199">
    <cfRule type="cellIs" dxfId="5976" priority="57" operator="equal">
      <formula>0</formula>
    </cfRule>
  </conditionalFormatting>
  <conditionalFormatting sqref="I198:I199">
    <cfRule type="cellIs" dxfId="5975" priority="56" operator="equal">
      <formula>0</formula>
    </cfRule>
  </conditionalFormatting>
  <conditionalFormatting sqref="I226">
    <cfRule type="cellIs" dxfId="5974" priority="55" operator="equal">
      <formula>0</formula>
    </cfRule>
  </conditionalFormatting>
  <conditionalFormatting sqref="I198:I203 I219:I227 I217">
    <cfRule type="containsBlanks" dxfId="5973" priority="54">
      <formula>LEN(TRIM(I198))=0</formula>
    </cfRule>
  </conditionalFormatting>
  <conditionalFormatting sqref="I226">
    <cfRule type="cellIs" dxfId="5972" priority="53" operator="equal">
      <formula>0</formula>
    </cfRule>
  </conditionalFormatting>
  <conditionalFormatting sqref="I205:I216">
    <cfRule type="cellIs" dxfId="5971" priority="52" operator="equal">
      <formula>0</formula>
    </cfRule>
  </conditionalFormatting>
  <conditionalFormatting sqref="I205:I216">
    <cfRule type="containsBlanks" dxfId="5970" priority="51">
      <formula>LEN(TRIM(I205))=0</formula>
    </cfRule>
  </conditionalFormatting>
  <conditionalFormatting sqref="H234:H241 H254:H262 H264 G234">
    <cfRule type="cellIs" dxfId="5969" priority="50" operator="equal">
      <formula>0</formula>
    </cfRule>
  </conditionalFormatting>
  <conditionalFormatting sqref="H235:H236">
    <cfRule type="cellIs" dxfId="5968" priority="49" operator="equal">
      <formula>0</formula>
    </cfRule>
  </conditionalFormatting>
  <conditionalFormatting sqref="H263">
    <cfRule type="cellIs" dxfId="5967" priority="48" operator="equal">
      <formula>0</formula>
    </cfRule>
  </conditionalFormatting>
  <conditionalFormatting sqref="H234:H240 H254 H256:H264 G234">
    <cfRule type="containsBlanks" dxfId="5966" priority="47">
      <formula>LEN(TRIM(G234))=0</formula>
    </cfRule>
  </conditionalFormatting>
  <conditionalFormatting sqref="H263">
    <cfRule type="cellIs" dxfId="5965" priority="46" operator="equal">
      <formula>0</formula>
    </cfRule>
  </conditionalFormatting>
  <conditionalFormatting sqref="H242:H253">
    <cfRule type="cellIs" dxfId="5964" priority="45" operator="equal">
      <formula>0</formula>
    </cfRule>
  </conditionalFormatting>
  <conditionalFormatting sqref="H242:H253">
    <cfRule type="containsBlanks" dxfId="5963" priority="44">
      <formula>LEN(TRIM(H242))=0</formula>
    </cfRule>
  </conditionalFormatting>
  <conditionalFormatting sqref="G235:G241 G254:G262 G264">
    <cfRule type="cellIs" dxfId="5962" priority="43" operator="equal">
      <formula>0</formula>
    </cfRule>
  </conditionalFormatting>
  <conditionalFormatting sqref="G235:G236">
    <cfRule type="cellIs" dxfId="5961" priority="42" operator="equal">
      <formula>0</formula>
    </cfRule>
  </conditionalFormatting>
  <conditionalFormatting sqref="G235:G236">
    <cfRule type="cellIs" dxfId="5960" priority="41" operator="equal">
      <formula>0</formula>
    </cfRule>
  </conditionalFormatting>
  <conditionalFormatting sqref="G263">
    <cfRule type="cellIs" dxfId="5959" priority="40" operator="equal">
      <formula>0</formula>
    </cfRule>
  </conditionalFormatting>
  <conditionalFormatting sqref="G235:G240 G256:G264 G254">
    <cfRule type="containsBlanks" dxfId="5958" priority="39">
      <formula>LEN(TRIM(G235))=0</formula>
    </cfRule>
  </conditionalFormatting>
  <conditionalFormatting sqref="G263">
    <cfRule type="cellIs" dxfId="5957" priority="38" operator="equal">
      <formula>0</formula>
    </cfRule>
  </conditionalFormatting>
  <conditionalFormatting sqref="G242:G253">
    <cfRule type="cellIs" dxfId="5956" priority="37" operator="equal">
      <formula>0</formula>
    </cfRule>
  </conditionalFormatting>
  <conditionalFormatting sqref="G242:G253">
    <cfRule type="containsBlanks" dxfId="5955" priority="36">
      <formula>LEN(TRIM(G242))=0</formula>
    </cfRule>
  </conditionalFormatting>
  <conditionalFormatting sqref="I234">
    <cfRule type="cellIs" dxfId="5954" priority="35" operator="equal">
      <formula>0</formula>
    </cfRule>
  </conditionalFormatting>
  <conditionalFormatting sqref="I234">
    <cfRule type="containsBlanks" dxfId="5953" priority="34">
      <formula>LEN(TRIM(I234))=0</formula>
    </cfRule>
  </conditionalFormatting>
  <conditionalFormatting sqref="I235:I241 I254:I262 I264">
    <cfRule type="cellIs" dxfId="5952" priority="33" operator="equal">
      <formula>0</formula>
    </cfRule>
  </conditionalFormatting>
  <conditionalFormatting sqref="I235:I236">
    <cfRule type="cellIs" dxfId="5951" priority="32" operator="equal">
      <formula>0</formula>
    </cfRule>
  </conditionalFormatting>
  <conditionalFormatting sqref="I235:I236">
    <cfRule type="cellIs" dxfId="5950" priority="31" operator="equal">
      <formula>0</formula>
    </cfRule>
  </conditionalFormatting>
  <conditionalFormatting sqref="I263">
    <cfRule type="cellIs" dxfId="5949" priority="30" operator="equal">
      <formula>0</formula>
    </cfRule>
  </conditionalFormatting>
  <conditionalFormatting sqref="I235:I240 I256:I264 I254">
    <cfRule type="containsBlanks" dxfId="5948" priority="29">
      <formula>LEN(TRIM(I235))=0</formula>
    </cfRule>
  </conditionalFormatting>
  <conditionalFormatting sqref="I263">
    <cfRule type="cellIs" dxfId="5947" priority="28" operator="equal">
      <formula>0</formula>
    </cfRule>
  </conditionalFormatting>
  <conditionalFormatting sqref="I242:I253">
    <cfRule type="cellIs" dxfId="5946" priority="27" operator="equal">
      <formula>0</formula>
    </cfRule>
  </conditionalFormatting>
  <conditionalFormatting sqref="I242:I253">
    <cfRule type="containsBlanks" dxfId="5945" priority="26">
      <formula>LEN(TRIM(I242))=0</formula>
    </cfRule>
  </conditionalFormatting>
  <conditionalFormatting sqref="H271:H278 H291:H299 H301 G271">
    <cfRule type="cellIs" dxfId="5944" priority="25" operator="equal">
      <formula>0</formula>
    </cfRule>
  </conditionalFormatting>
  <conditionalFormatting sqref="H272:H273">
    <cfRule type="cellIs" dxfId="5943" priority="24" operator="equal">
      <formula>0</formula>
    </cfRule>
  </conditionalFormatting>
  <conditionalFormatting sqref="H300">
    <cfRule type="cellIs" dxfId="5942" priority="23" operator="equal">
      <formula>0</formula>
    </cfRule>
  </conditionalFormatting>
  <conditionalFormatting sqref="H271:H277 H291 H293:H301 G271">
    <cfRule type="containsBlanks" dxfId="5941" priority="22">
      <formula>LEN(TRIM(G271))=0</formula>
    </cfRule>
  </conditionalFormatting>
  <conditionalFormatting sqref="H300">
    <cfRule type="cellIs" dxfId="5940" priority="21" operator="equal">
      <formula>0</formula>
    </cfRule>
  </conditionalFormatting>
  <conditionalFormatting sqref="H279:H290">
    <cfRule type="cellIs" dxfId="5939" priority="20" operator="equal">
      <formula>0</formula>
    </cfRule>
  </conditionalFormatting>
  <conditionalFormatting sqref="H279:H290">
    <cfRule type="containsBlanks" dxfId="5938" priority="19">
      <formula>LEN(TRIM(H279))=0</formula>
    </cfRule>
  </conditionalFormatting>
  <conditionalFormatting sqref="G272:G278 G291:G299 G301">
    <cfRule type="cellIs" dxfId="5937" priority="18" operator="equal">
      <formula>0</formula>
    </cfRule>
  </conditionalFormatting>
  <conditionalFormatting sqref="G272:G273">
    <cfRule type="cellIs" dxfId="5936" priority="17" operator="equal">
      <formula>0</formula>
    </cfRule>
  </conditionalFormatting>
  <conditionalFormatting sqref="G272:G273">
    <cfRule type="cellIs" dxfId="5935" priority="16" operator="equal">
      <formula>0</formula>
    </cfRule>
  </conditionalFormatting>
  <conditionalFormatting sqref="G300">
    <cfRule type="cellIs" dxfId="5934" priority="15" operator="equal">
      <formula>0</formula>
    </cfRule>
  </conditionalFormatting>
  <conditionalFormatting sqref="G272:G277 G293:G301 G291">
    <cfRule type="containsBlanks" dxfId="5933" priority="14">
      <formula>LEN(TRIM(G272))=0</formula>
    </cfRule>
  </conditionalFormatting>
  <conditionalFormatting sqref="G300">
    <cfRule type="cellIs" dxfId="5932" priority="13" operator="equal">
      <formula>0</formula>
    </cfRule>
  </conditionalFormatting>
  <conditionalFormatting sqref="G279:G290">
    <cfRule type="cellIs" dxfId="5931" priority="12" operator="equal">
      <formula>0</formula>
    </cfRule>
  </conditionalFormatting>
  <conditionalFormatting sqref="G279:G290">
    <cfRule type="containsBlanks" dxfId="5930" priority="11">
      <formula>LEN(TRIM(G279))=0</formula>
    </cfRule>
  </conditionalFormatting>
  <conditionalFormatting sqref="I271">
    <cfRule type="cellIs" dxfId="5929" priority="10" operator="equal">
      <formula>0</formula>
    </cfRule>
  </conditionalFormatting>
  <conditionalFormatting sqref="I271">
    <cfRule type="containsBlanks" dxfId="5928" priority="9">
      <formula>LEN(TRIM(I271))=0</formula>
    </cfRule>
  </conditionalFormatting>
  <conditionalFormatting sqref="I272:I278 I291:I299 I301">
    <cfRule type="cellIs" dxfId="5927" priority="8" operator="equal">
      <formula>0</formula>
    </cfRule>
  </conditionalFormatting>
  <conditionalFormatting sqref="I272:I273">
    <cfRule type="cellIs" dxfId="5926" priority="7" operator="equal">
      <formula>0</formula>
    </cfRule>
  </conditionalFormatting>
  <conditionalFormatting sqref="I272:I273">
    <cfRule type="cellIs" dxfId="5925" priority="6" operator="equal">
      <formula>0</formula>
    </cfRule>
  </conditionalFormatting>
  <conditionalFormatting sqref="I300">
    <cfRule type="cellIs" dxfId="5924" priority="5" operator="equal">
      <formula>0</formula>
    </cfRule>
  </conditionalFormatting>
  <conditionalFormatting sqref="I272:I277 I293:I301 I291">
    <cfRule type="containsBlanks" dxfId="5923" priority="4">
      <formula>LEN(TRIM(I272))=0</formula>
    </cfRule>
  </conditionalFormatting>
  <conditionalFormatting sqref="I300">
    <cfRule type="cellIs" dxfId="5922" priority="3" operator="equal">
      <formula>0</formula>
    </cfRule>
  </conditionalFormatting>
  <conditionalFormatting sqref="I279:I290">
    <cfRule type="cellIs" dxfId="5921" priority="2" operator="equal">
      <formula>0</formula>
    </cfRule>
  </conditionalFormatting>
  <conditionalFormatting sqref="I279:I290">
    <cfRule type="containsBlanks" dxfId="5920" priority="1">
      <formula>LEN(TRIM(I279))=0</formula>
    </cfRule>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5FDE-462A-4FB4-A67F-FDA4026EC7D2}">
  <dimension ref="C3:U266"/>
  <sheetViews>
    <sheetView topLeftCell="A11"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360</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7.3966799999999999</v>
      </c>
      <c r="F12" s="663">
        <v>0</v>
      </c>
      <c r="G12" s="663">
        <v>0</v>
      </c>
      <c r="H12" s="663">
        <v>0.13025600000000001</v>
      </c>
      <c r="I12" s="663">
        <v>0</v>
      </c>
      <c r="J12" s="664">
        <v>971.7407012865051</v>
      </c>
      <c r="K12" s="664">
        <v>238.60019675974834</v>
      </c>
      <c r="L12" s="664">
        <v>253.57041800278802</v>
      </c>
      <c r="M12" s="664">
        <v>27.222029344024044</v>
      </c>
      <c r="N12" s="663">
        <v>1.4753548538560814</v>
      </c>
      <c r="O12" s="663">
        <v>0.15089220372740705</v>
      </c>
      <c r="P12" s="664">
        <v>105.39487042391544</v>
      </c>
      <c r="Q12" s="664">
        <v>15.052128201204939</v>
      </c>
      <c r="R12" s="663">
        <v>0</v>
      </c>
      <c r="S12" s="663">
        <v>0</v>
      </c>
      <c r="T12" s="663">
        <v>0</v>
      </c>
      <c r="U12" s="665">
        <v>1620.7335270757692</v>
      </c>
    </row>
    <row r="13" spans="3:21" ht="13">
      <c r="C13" s="662" t="s">
        <v>60</v>
      </c>
      <c r="D13" s="663">
        <v>17.481730816264069</v>
      </c>
      <c r="E13" s="663">
        <v>368.30859161745235</v>
      </c>
      <c r="F13" s="663">
        <v>88.290951016716463</v>
      </c>
      <c r="G13" s="663">
        <v>0.96271456308499825</v>
      </c>
      <c r="H13" s="663">
        <v>189.89235302255372</v>
      </c>
      <c r="I13" s="663">
        <v>0</v>
      </c>
      <c r="J13" s="663">
        <v>0</v>
      </c>
      <c r="K13" s="663">
        <v>0</v>
      </c>
      <c r="L13" s="663">
        <v>3.0227324829465219</v>
      </c>
      <c r="M13" s="663">
        <v>0</v>
      </c>
      <c r="N13" s="663">
        <v>3.4911647532197585</v>
      </c>
      <c r="O13" s="663">
        <v>0</v>
      </c>
      <c r="P13" s="663">
        <v>0</v>
      </c>
      <c r="Q13" s="663">
        <v>0</v>
      </c>
      <c r="R13" s="663">
        <v>0</v>
      </c>
      <c r="S13" s="663">
        <v>0</v>
      </c>
      <c r="T13" s="663">
        <v>0</v>
      </c>
      <c r="U13" s="665">
        <v>671.45023827223793</v>
      </c>
    </row>
    <row r="14" spans="3:21" ht="13">
      <c r="C14" s="662" t="s">
        <v>61</v>
      </c>
      <c r="D14" s="663">
        <v>0</v>
      </c>
      <c r="E14" s="663">
        <v>0</v>
      </c>
      <c r="F14" s="663">
        <v>-0.25412033446216642</v>
      </c>
      <c r="G14" s="663">
        <v>0</v>
      </c>
      <c r="H14" s="663">
        <v>0</v>
      </c>
      <c r="I14" s="663">
        <v>0</v>
      </c>
      <c r="J14" s="663">
        <v>0</v>
      </c>
      <c r="K14" s="663">
        <v>0</v>
      </c>
      <c r="L14" s="663">
        <v>0</v>
      </c>
      <c r="M14" s="663">
        <v>0</v>
      </c>
      <c r="N14" s="663">
        <v>0</v>
      </c>
      <c r="O14" s="663">
        <v>0</v>
      </c>
      <c r="P14" s="663">
        <v>0</v>
      </c>
      <c r="Q14" s="663">
        <v>0</v>
      </c>
      <c r="R14" s="663">
        <v>-39.430412100204194</v>
      </c>
      <c r="S14" s="663">
        <v>0</v>
      </c>
      <c r="T14" s="663">
        <v>0</v>
      </c>
      <c r="U14" s="665">
        <v>-39.684532434666359</v>
      </c>
    </row>
    <row r="15" spans="3:21" ht="13">
      <c r="C15" s="662" t="s">
        <v>62</v>
      </c>
      <c r="D15" s="663">
        <v>0</v>
      </c>
      <c r="E15" s="663">
        <v>0</v>
      </c>
      <c r="F15" s="663">
        <v>-14.25530176013427</v>
      </c>
      <c r="G15" s="663">
        <v>-0.84519248028876315</v>
      </c>
      <c r="H15" s="663">
        <v>-3.1313337287141003</v>
      </c>
      <c r="I15" s="663">
        <v>0</v>
      </c>
      <c r="J15" s="663">
        <v>0</v>
      </c>
      <c r="K15" s="663">
        <v>0</v>
      </c>
      <c r="L15" s="663">
        <v>0</v>
      </c>
      <c r="M15" s="663">
        <v>0</v>
      </c>
      <c r="N15" s="663">
        <v>-0.51271510605917692</v>
      </c>
      <c r="O15" s="663">
        <v>-0.83237985193665964</v>
      </c>
      <c r="P15" s="663">
        <v>0</v>
      </c>
      <c r="Q15" s="663">
        <v>0</v>
      </c>
      <c r="R15" s="663">
        <v>0</v>
      </c>
      <c r="S15" s="663">
        <v>0</v>
      </c>
      <c r="T15" s="663">
        <v>0</v>
      </c>
      <c r="U15" s="665">
        <v>-19.576922927132969</v>
      </c>
    </row>
    <row r="16" spans="3:21" ht="13">
      <c r="C16" s="662" t="s">
        <v>63</v>
      </c>
      <c r="D16" s="663">
        <v>0</v>
      </c>
      <c r="E16" s="663">
        <v>0</v>
      </c>
      <c r="F16" s="663">
        <v>-65.50346802559632</v>
      </c>
      <c r="G16" s="663">
        <v>-2.6636790811189917</v>
      </c>
      <c r="H16" s="663">
        <v>0</v>
      </c>
      <c r="I16" s="663">
        <v>0</v>
      </c>
      <c r="J16" s="663">
        <v>0</v>
      </c>
      <c r="K16" s="663">
        <v>0</v>
      </c>
      <c r="L16" s="663">
        <v>0</v>
      </c>
      <c r="M16" s="663">
        <v>0</v>
      </c>
      <c r="N16" s="663">
        <v>-8.704547136030067</v>
      </c>
      <c r="O16" s="663">
        <v>0</v>
      </c>
      <c r="P16" s="663">
        <v>0</v>
      </c>
      <c r="Q16" s="663">
        <v>0</v>
      </c>
      <c r="R16" s="663">
        <v>0</v>
      </c>
      <c r="S16" s="663">
        <v>0</v>
      </c>
      <c r="T16" s="663">
        <v>-8.5933245803094055E-2</v>
      </c>
      <c r="U16" s="665">
        <v>-76.957627488548468</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17.481730816264069</v>
      </c>
      <c r="E18" s="667">
        <v>375.70527161745235</v>
      </c>
      <c r="F18" s="667">
        <v>8.2780608965236979</v>
      </c>
      <c r="G18" s="667">
        <v>-2.5461569983227568</v>
      </c>
      <c r="H18" s="675">
        <v>186.89127529383961</v>
      </c>
      <c r="I18" s="667">
        <v>0</v>
      </c>
      <c r="J18" s="667">
        <v>971.7407012865051</v>
      </c>
      <c r="K18" s="667">
        <v>238.60019675974834</v>
      </c>
      <c r="L18" s="667">
        <v>256.59315048573455</v>
      </c>
      <c r="M18" s="667">
        <v>27.222029344024044</v>
      </c>
      <c r="N18" s="667">
        <v>-4.2507426350134043</v>
      </c>
      <c r="O18" s="667">
        <v>-0.68148764820925256</v>
      </c>
      <c r="P18" s="667">
        <v>105.39487042391544</v>
      </c>
      <c r="Q18" s="667">
        <v>15.052128201204939</v>
      </c>
      <c r="R18" s="667">
        <v>-39.430412100204194</v>
      </c>
      <c r="S18" s="667">
        <v>0</v>
      </c>
      <c r="T18" s="667">
        <v>-8.5933245803094055E-2</v>
      </c>
      <c r="U18" s="667">
        <v>2155.9646824976594</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0.79278558393774012</v>
      </c>
      <c r="G21" s="663">
        <v>0</v>
      </c>
      <c r="H21" s="663">
        <v>19.865967473344622</v>
      </c>
      <c r="I21" s="663">
        <v>0</v>
      </c>
      <c r="J21" s="663">
        <v>971.7407012865051</v>
      </c>
      <c r="K21" s="663">
        <v>238.60019675974834</v>
      </c>
      <c r="L21" s="663">
        <v>26.063195396520957</v>
      </c>
      <c r="M21" s="663">
        <v>9.83092180533645</v>
      </c>
      <c r="N21" s="663">
        <v>4.7819832265678626</v>
      </c>
      <c r="O21" s="663">
        <v>4.4668310287108053</v>
      </c>
      <c r="P21" s="663">
        <v>0</v>
      </c>
      <c r="Q21" s="663">
        <v>1.6766395861963883</v>
      </c>
      <c r="R21" s="663">
        <v>-590.46816243021931</v>
      </c>
      <c r="S21" s="663">
        <v>0</v>
      </c>
      <c r="T21" s="663">
        <v>0</v>
      </c>
      <c r="U21" s="671">
        <v>687.35105971664882</v>
      </c>
    </row>
    <row r="22" spans="3:21" ht="13">
      <c r="C22" s="670" t="s">
        <v>351</v>
      </c>
      <c r="D22" s="663">
        <v>0</v>
      </c>
      <c r="E22" s="663">
        <v>0</v>
      </c>
      <c r="F22" s="663">
        <v>0</v>
      </c>
      <c r="G22" s="663">
        <v>0</v>
      </c>
      <c r="H22" s="663">
        <v>14.235464329282825</v>
      </c>
      <c r="I22" s="663">
        <v>0</v>
      </c>
      <c r="J22" s="663">
        <v>0</v>
      </c>
      <c r="K22" s="663">
        <v>0</v>
      </c>
      <c r="L22" s="663">
        <v>35.236777417757288</v>
      </c>
      <c r="M22" s="663">
        <v>14.842062220534972</v>
      </c>
      <c r="N22" s="663">
        <v>0</v>
      </c>
      <c r="O22" s="663">
        <v>4.2657087375224645</v>
      </c>
      <c r="P22" s="663">
        <v>0</v>
      </c>
      <c r="Q22" s="663">
        <v>9.4996550719303219</v>
      </c>
      <c r="R22" s="663">
        <v>0</v>
      </c>
      <c r="S22" s="663">
        <v>-71.457959708478597</v>
      </c>
      <c r="T22" s="663">
        <v>0</v>
      </c>
      <c r="U22" s="671">
        <v>6.6217080685492906</v>
      </c>
    </row>
    <row r="23" spans="3:21" ht="13">
      <c r="C23" s="670" t="s">
        <v>352</v>
      </c>
      <c r="D23" s="663">
        <v>0</v>
      </c>
      <c r="E23" s="663">
        <v>0</v>
      </c>
      <c r="F23" s="663">
        <v>0</v>
      </c>
      <c r="G23" s="663">
        <v>0</v>
      </c>
      <c r="H23" s="663">
        <v>0</v>
      </c>
      <c r="I23" s="663">
        <v>0</v>
      </c>
      <c r="J23" s="663">
        <v>0</v>
      </c>
      <c r="K23" s="663">
        <v>0</v>
      </c>
      <c r="L23" s="663">
        <v>54.240393023043787</v>
      </c>
      <c r="M23" s="663">
        <v>0</v>
      </c>
      <c r="N23" s="663">
        <v>0</v>
      </c>
      <c r="O23" s="663">
        <v>-49.062756106209015</v>
      </c>
      <c r="P23" s="663">
        <v>0</v>
      </c>
      <c r="Q23" s="663">
        <v>0</v>
      </c>
      <c r="R23" s="663">
        <v>0</v>
      </c>
      <c r="S23" s="663">
        <v>0</v>
      </c>
      <c r="T23" s="663">
        <v>0</v>
      </c>
      <c r="U23" s="671">
        <v>5.1776369168347713</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389.35548440642862</v>
      </c>
      <c r="F25" s="663">
        <v>-385.47782639146612</v>
      </c>
      <c r="G25" s="663">
        <v>0</v>
      </c>
      <c r="H25" s="663">
        <v>0</v>
      </c>
      <c r="I25" s="663">
        <v>0</v>
      </c>
      <c r="J25" s="663">
        <v>0</v>
      </c>
      <c r="K25" s="663">
        <v>0</v>
      </c>
      <c r="L25" s="663">
        <v>0</v>
      </c>
      <c r="M25" s="663">
        <v>0</v>
      </c>
      <c r="N25" s="663">
        <v>0</v>
      </c>
      <c r="O25" s="663">
        <v>0</v>
      </c>
      <c r="P25" s="663">
        <v>0</v>
      </c>
      <c r="Q25" s="663">
        <v>0</v>
      </c>
      <c r="R25" s="663">
        <v>0</v>
      </c>
      <c r="S25" s="663">
        <v>0</v>
      </c>
      <c r="T25" s="663">
        <v>0</v>
      </c>
      <c r="U25" s="671">
        <v>3.8776580149625208</v>
      </c>
    </row>
    <row r="26" spans="3:21" ht="13">
      <c r="C26" s="670" t="s">
        <v>354</v>
      </c>
      <c r="D26" s="663">
        <v>0</v>
      </c>
      <c r="E26" s="663">
        <v>0</v>
      </c>
      <c r="F26" s="663">
        <v>0</v>
      </c>
      <c r="G26" s="663">
        <v>0</v>
      </c>
      <c r="H26" s="663">
        <v>0</v>
      </c>
      <c r="I26" s="663">
        <v>0</v>
      </c>
      <c r="J26" s="663">
        <v>0</v>
      </c>
      <c r="K26" s="663">
        <v>0</v>
      </c>
      <c r="L26" s="663">
        <v>76.110674115305528</v>
      </c>
      <c r="M26" s="663">
        <v>0</v>
      </c>
      <c r="N26" s="663">
        <v>-76.110674115305528</v>
      </c>
      <c r="O26" s="663">
        <v>0</v>
      </c>
      <c r="P26" s="663">
        <v>0</v>
      </c>
      <c r="Q26" s="663">
        <v>0</v>
      </c>
      <c r="R26" s="663">
        <v>0</v>
      </c>
      <c r="S26" s="663">
        <v>0</v>
      </c>
      <c r="T26" s="663">
        <v>0</v>
      </c>
      <c r="U26" s="671">
        <v>0</v>
      </c>
    </row>
    <row r="27" spans="3:21" ht="13">
      <c r="C27" s="670" t="s">
        <v>355</v>
      </c>
      <c r="D27" s="663">
        <v>0</v>
      </c>
      <c r="E27" s="663">
        <v>0</v>
      </c>
      <c r="F27" s="663">
        <v>0</v>
      </c>
      <c r="G27" s="663">
        <v>-5.3679652793818873</v>
      </c>
      <c r="H27" s="663">
        <v>0</v>
      </c>
      <c r="I27" s="663">
        <v>0</v>
      </c>
      <c r="J27" s="663">
        <v>0</v>
      </c>
      <c r="K27" s="663">
        <v>0</v>
      </c>
      <c r="L27" s="663">
        <v>0</v>
      </c>
      <c r="M27" s="663">
        <v>0</v>
      </c>
      <c r="N27" s="663">
        <v>0</v>
      </c>
      <c r="O27" s="663">
        <v>0</v>
      </c>
      <c r="P27" s="663">
        <v>0</v>
      </c>
      <c r="Q27" s="663">
        <v>0</v>
      </c>
      <c r="R27" s="663">
        <v>0</v>
      </c>
      <c r="S27" s="663">
        <v>0</v>
      </c>
      <c r="T27" s="663">
        <v>7.4762747623703172</v>
      </c>
      <c r="U27" s="671">
        <v>2.1083094829884299</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40.318919655124205</v>
      </c>
      <c r="S28" s="663">
        <v>0</v>
      </c>
      <c r="T28" s="663">
        <v>-26.630646432209534</v>
      </c>
      <c r="U28" s="671">
        <v>13.68827322291467</v>
      </c>
    </row>
    <row r="29" spans="3:21" ht="13">
      <c r="C29" s="670" t="s">
        <v>356</v>
      </c>
      <c r="D29" s="663">
        <v>10.05823125</v>
      </c>
      <c r="E29" s="663">
        <v>-13.65021278897626</v>
      </c>
      <c r="F29" s="663">
        <v>17.774822682354454</v>
      </c>
      <c r="G29" s="663">
        <v>0</v>
      </c>
      <c r="H29" s="663">
        <v>0</v>
      </c>
      <c r="I29" s="663">
        <v>0</v>
      </c>
      <c r="J29" s="663">
        <v>0</v>
      </c>
      <c r="K29" s="663">
        <v>0</v>
      </c>
      <c r="L29" s="663">
        <v>0</v>
      </c>
      <c r="M29" s="663">
        <v>0</v>
      </c>
      <c r="N29" s="663">
        <v>0</v>
      </c>
      <c r="O29" s="663">
        <v>0</v>
      </c>
      <c r="P29" s="663">
        <v>0</v>
      </c>
      <c r="Q29" s="663">
        <v>0</v>
      </c>
      <c r="R29" s="663">
        <v>0</v>
      </c>
      <c r="S29" s="663">
        <v>0</v>
      </c>
      <c r="T29" s="663">
        <v>0</v>
      </c>
      <c r="U29" s="671">
        <v>14.182841143378196</v>
      </c>
    </row>
    <row r="30" spans="3:21" ht="13">
      <c r="C30" s="670" t="s">
        <v>75</v>
      </c>
      <c r="D30" s="663">
        <v>3.9115343750000005</v>
      </c>
      <c r="E30" s="663">
        <v>0</v>
      </c>
      <c r="F30" s="663">
        <v>18.970841206198273</v>
      </c>
      <c r="G30" s="663">
        <v>0</v>
      </c>
      <c r="H30" s="663">
        <v>4.3082366200216411</v>
      </c>
      <c r="I30" s="663">
        <v>0</v>
      </c>
      <c r="J30" s="663">
        <v>0</v>
      </c>
      <c r="K30" s="663">
        <v>0</v>
      </c>
      <c r="L30" s="663">
        <v>0</v>
      </c>
      <c r="M30" s="663">
        <v>0</v>
      </c>
      <c r="N30" s="663">
        <v>0</v>
      </c>
      <c r="O30" s="663">
        <v>1.1452274559551199</v>
      </c>
      <c r="P30" s="663">
        <v>0</v>
      </c>
      <c r="Q30" s="663">
        <v>0</v>
      </c>
      <c r="R30" s="663">
        <v>24.58367294682958</v>
      </c>
      <c r="S30" s="663">
        <v>0</v>
      </c>
      <c r="T30" s="663">
        <v>0</v>
      </c>
      <c r="U30" s="671">
        <v>52.919512604004616</v>
      </c>
    </row>
    <row r="31" spans="3:21" ht="13">
      <c r="C31" s="670" t="s">
        <v>76</v>
      </c>
      <c r="D31" s="663">
        <v>0</v>
      </c>
      <c r="E31" s="663">
        <v>0</v>
      </c>
      <c r="F31" s="663">
        <v>0</v>
      </c>
      <c r="G31" s="663">
        <v>0</v>
      </c>
      <c r="H31" s="663">
        <v>2.138992514097271</v>
      </c>
      <c r="I31" s="663">
        <v>0</v>
      </c>
      <c r="J31" s="663">
        <v>0</v>
      </c>
      <c r="K31" s="663">
        <v>0</v>
      </c>
      <c r="L31" s="663">
        <v>0</v>
      </c>
      <c r="M31" s="663">
        <v>0</v>
      </c>
      <c r="N31" s="663">
        <v>0</v>
      </c>
      <c r="O31" s="663">
        <v>0.56859294678535055</v>
      </c>
      <c r="P31" s="663">
        <v>0</v>
      </c>
      <c r="Q31" s="663">
        <v>0</v>
      </c>
      <c r="R31" s="663">
        <v>42.191455549105193</v>
      </c>
      <c r="S31" s="663">
        <v>5.5417484036628721</v>
      </c>
      <c r="T31" s="663">
        <v>0</v>
      </c>
      <c r="U31" s="671">
        <v>50.440789413650684</v>
      </c>
    </row>
    <row r="32" spans="3:21" ht="13">
      <c r="C32" s="666" t="s">
        <v>77</v>
      </c>
      <c r="D32" s="667">
        <v>13.969765625000001</v>
      </c>
      <c r="E32" s="667">
        <v>375.70527161745235</v>
      </c>
      <c r="F32" s="667">
        <v>-347.93937691897565</v>
      </c>
      <c r="G32" s="667">
        <v>-5.3679652793818873</v>
      </c>
      <c r="H32" s="675">
        <v>40.548660936746352</v>
      </c>
      <c r="I32" s="667">
        <v>0</v>
      </c>
      <c r="J32" s="667">
        <v>971.7407012865051</v>
      </c>
      <c r="K32" s="667">
        <v>238.60019675974834</v>
      </c>
      <c r="L32" s="667">
        <v>191.65103995262757</v>
      </c>
      <c r="M32" s="667">
        <v>24.672984025871422</v>
      </c>
      <c r="N32" s="667">
        <v>-71.328690888737668</v>
      </c>
      <c r="O32" s="667">
        <v>-38.616395937235275</v>
      </c>
      <c r="P32" s="667">
        <v>0</v>
      </c>
      <c r="Q32" s="667">
        <v>11.176294658126709</v>
      </c>
      <c r="R32" s="667">
        <v>-483.37411427916032</v>
      </c>
      <c r="S32" s="667">
        <v>-65.916211304815732</v>
      </c>
      <c r="T32" s="667">
        <v>-19.154371669839218</v>
      </c>
      <c r="U32" s="667">
        <v>836.36778858393188</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3.5119651912640659</v>
      </c>
      <c r="E34" s="663">
        <v>0</v>
      </c>
      <c r="F34" s="663">
        <v>10.329791866978772</v>
      </c>
      <c r="G34" s="663">
        <v>0</v>
      </c>
      <c r="H34" s="663">
        <v>59.22498419444846</v>
      </c>
      <c r="I34" s="663">
        <v>0</v>
      </c>
      <c r="J34" s="663">
        <v>0</v>
      </c>
      <c r="K34" s="663">
        <v>0</v>
      </c>
      <c r="L34" s="663">
        <v>20.32032070760291</v>
      </c>
      <c r="M34" s="663">
        <v>2.5485507721439489</v>
      </c>
      <c r="N34" s="663">
        <v>1.1054608081054689</v>
      </c>
      <c r="O34" s="663">
        <v>15.774676477466111</v>
      </c>
      <c r="P34" s="663">
        <v>4.7115375976562497</v>
      </c>
      <c r="Q34" s="663">
        <v>6.3863689419622622E-4</v>
      </c>
      <c r="R34" s="663">
        <v>128.13338929673023</v>
      </c>
      <c r="S34" s="663">
        <v>18.044740545750674</v>
      </c>
      <c r="T34" s="663">
        <v>2.7711535644531251</v>
      </c>
      <c r="U34" s="671">
        <v>266.47720965949424</v>
      </c>
    </row>
    <row r="35" spans="3:21" ht="13">
      <c r="C35" s="670" t="s">
        <v>79</v>
      </c>
      <c r="D35" s="663">
        <v>0</v>
      </c>
      <c r="E35" s="663">
        <v>0</v>
      </c>
      <c r="F35" s="663">
        <v>230.06398718142972</v>
      </c>
      <c r="G35" s="663">
        <v>0.28870182254104659</v>
      </c>
      <c r="H35" s="663">
        <v>4.7638546223905314</v>
      </c>
      <c r="I35" s="663">
        <v>0</v>
      </c>
      <c r="J35" s="663">
        <v>0</v>
      </c>
      <c r="K35" s="663">
        <v>0</v>
      </c>
      <c r="L35" s="663">
        <v>0</v>
      </c>
      <c r="M35" s="663">
        <v>0</v>
      </c>
      <c r="N35" s="663">
        <v>46.305302929407816</v>
      </c>
      <c r="O35" s="663">
        <v>1.2663411021544451</v>
      </c>
      <c r="P35" s="663">
        <v>0</v>
      </c>
      <c r="Q35" s="663">
        <v>0</v>
      </c>
      <c r="R35" s="663">
        <v>46.787013172975605</v>
      </c>
      <c r="S35" s="663">
        <v>0</v>
      </c>
      <c r="T35" s="663">
        <v>1.4725342358360081</v>
      </c>
      <c r="U35" s="671">
        <v>330.94773506673516</v>
      </c>
    </row>
    <row r="36" spans="3:21" ht="13">
      <c r="C36" s="670" t="s">
        <v>80</v>
      </c>
      <c r="D36" s="663">
        <v>0</v>
      </c>
      <c r="E36" s="663">
        <v>0</v>
      </c>
      <c r="F36" s="663">
        <v>3.8037297943831954</v>
      </c>
      <c r="G36" s="663">
        <v>0</v>
      </c>
      <c r="H36" s="663">
        <v>48.749434252341672</v>
      </c>
      <c r="I36" s="663">
        <v>0</v>
      </c>
      <c r="J36" s="663">
        <v>0</v>
      </c>
      <c r="K36" s="663">
        <v>0</v>
      </c>
      <c r="L36" s="663">
        <v>41.434907608340509</v>
      </c>
      <c r="M36" s="663">
        <v>0</v>
      </c>
      <c r="N36" s="663">
        <v>0</v>
      </c>
      <c r="O36" s="663">
        <v>12.958710370875634</v>
      </c>
      <c r="P36" s="663">
        <v>81.342309221763003</v>
      </c>
      <c r="Q36" s="663">
        <v>2.1381357466702497</v>
      </c>
      <c r="R36" s="663">
        <v>162.42127689265124</v>
      </c>
      <c r="S36" s="663">
        <v>29.067896346898497</v>
      </c>
      <c r="T36" s="663">
        <v>0</v>
      </c>
      <c r="U36" s="671">
        <v>381.91640023392404</v>
      </c>
    </row>
    <row r="37" spans="3:21" ht="13">
      <c r="C37" s="670" t="s">
        <v>81</v>
      </c>
      <c r="D37" s="663">
        <v>0</v>
      </c>
      <c r="E37" s="663">
        <v>0</v>
      </c>
      <c r="F37" s="663">
        <v>4.4549193893901853</v>
      </c>
      <c r="G37" s="663">
        <v>0</v>
      </c>
      <c r="H37" s="663">
        <v>22.809891612288435</v>
      </c>
      <c r="I37" s="663">
        <v>0</v>
      </c>
      <c r="J37" s="663">
        <v>0</v>
      </c>
      <c r="K37" s="663">
        <v>0</v>
      </c>
      <c r="L37" s="663">
        <v>0.44569918061681485</v>
      </c>
      <c r="M37" s="663">
        <v>4.9454600867274027E-4</v>
      </c>
      <c r="N37" s="663">
        <v>0</v>
      </c>
      <c r="O37" s="663">
        <v>6.0633889095956608</v>
      </c>
      <c r="P37" s="663">
        <v>18.691023604496184</v>
      </c>
      <c r="Q37" s="663">
        <v>0.90924384630352406</v>
      </c>
      <c r="R37" s="663">
        <v>98.49757027134045</v>
      </c>
      <c r="S37" s="663">
        <v>18.80357441216654</v>
      </c>
      <c r="T37" s="663">
        <v>0</v>
      </c>
      <c r="U37" s="671">
        <v>170.67580577220647</v>
      </c>
    </row>
    <row r="38" spans="3:21" ht="13">
      <c r="C38" s="670" t="s">
        <v>82</v>
      </c>
      <c r="D38" s="663">
        <v>0</v>
      </c>
      <c r="E38" s="663">
        <v>0</v>
      </c>
      <c r="F38" s="663">
        <v>22.663704600568668</v>
      </c>
      <c r="G38" s="663">
        <v>0</v>
      </c>
      <c r="H38" s="663">
        <v>1.5172607097483775</v>
      </c>
      <c r="I38" s="663">
        <v>0</v>
      </c>
      <c r="J38" s="663">
        <v>0</v>
      </c>
      <c r="K38" s="663">
        <v>0</v>
      </c>
      <c r="L38" s="663">
        <v>2.5327781893790755</v>
      </c>
      <c r="M38" s="663">
        <v>0</v>
      </c>
      <c r="N38" s="663">
        <v>6.9172702223723741</v>
      </c>
      <c r="O38" s="663">
        <v>0.40332246714830289</v>
      </c>
      <c r="P38" s="663">
        <v>0.65</v>
      </c>
      <c r="Q38" s="663">
        <v>0.82781531321025892</v>
      </c>
      <c r="R38" s="663">
        <v>7.6931885452586402</v>
      </c>
      <c r="S38" s="663">
        <v>0</v>
      </c>
      <c r="T38" s="663">
        <v>0.21911019493558448</v>
      </c>
      <c r="U38" s="671">
        <v>43.424450242621276</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0.41126400000000007</v>
      </c>
      <c r="S39" s="663">
        <v>0</v>
      </c>
      <c r="T39" s="663">
        <v>0</v>
      </c>
      <c r="U39" s="671">
        <v>0.41126400000000007</v>
      </c>
    </row>
    <row r="40" spans="3:21" ht="13">
      <c r="C40" s="666" t="s">
        <v>83</v>
      </c>
      <c r="D40" s="667">
        <v>3.5119651912640659</v>
      </c>
      <c r="E40" s="667">
        <v>0</v>
      </c>
      <c r="F40" s="667">
        <v>271.3161328327505</v>
      </c>
      <c r="G40" s="667">
        <v>0.28870182254104659</v>
      </c>
      <c r="H40" s="675">
        <v>137.06542539121747</v>
      </c>
      <c r="I40" s="667">
        <v>0</v>
      </c>
      <c r="J40" s="667">
        <v>0</v>
      </c>
      <c r="K40" s="667">
        <v>0</v>
      </c>
      <c r="L40" s="667">
        <v>64.733705685939313</v>
      </c>
      <c r="M40" s="667">
        <v>2.5490453181526216</v>
      </c>
      <c r="N40" s="667">
        <v>54.328033959885659</v>
      </c>
      <c r="O40" s="667">
        <v>36.466439327240145</v>
      </c>
      <c r="P40" s="667">
        <v>105.39487042391544</v>
      </c>
      <c r="Q40" s="667">
        <v>3.8758335430782287</v>
      </c>
      <c r="R40" s="667">
        <v>443.94370217895619</v>
      </c>
      <c r="S40" s="667">
        <v>65.916211304815718</v>
      </c>
      <c r="T40" s="667">
        <v>4.4627979952247179</v>
      </c>
      <c r="U40" s="667">
        <v>1193.8528649749812</v>
      </c>
    </row>
    <row r="41" spans="3:21" ht="13">
      <c r="C41" s="662" t="s">
        <v>84</v>
      </c>
      <c r="D41" s="663">
        <v>0</v>
      </c>
      <c r="E41" s="663">
        <v>0</v>
      </c>
      <c r="F41" s="663">
        <v>84.901304982748769</v>
      </c>
      <c r="G41" s="663">
        <v>2.533106458518084</v>
      </c>
      <c r="H41" s="663">
        <v>9.2771889658758084</v>
      </c>
      <c r="I41" s="663">
        <v>0</v>
      </c>
      <c r="J41" s="663">
        <v>0</v>
      </c>
      <c r="K41" s="663">
        <v>0</v>
      </c>
      <c r="L41" s="663">
        <v>0.20840484716769062</v>
      </c>
      <c r="M41" s="663">
        <v>0</v>
      </c>
      <c r="N41" s="663">
        <v>11.136408529558132</v>
      </c>
      <c r="O41" s="663">
        <v>1.4684689617858735</v>
      </c>
      <c r="P41" s="663">
        <v>0</v>
      </c>
      <c r="Q41" s="663">
        <v>0</v>
      </c>
      <c r="R41" s="663">
        <v>0</v>
      </c>
      <c r="S41" s="663">
        <v>0</v>
      </c>
      <c r="T41" s="663">
        <v>14.605640428811407</v>
      </c>
      <c r="U41" s="671">
        <v>124.13052317446576</v>
      </c>
    </row>
    <row r="42" spans="3:21" ht="13">
      <c r="C42" s="666" t="s">
        <v>85</v>
      </c>
      <c r="D42" s="667">
        <v>3.5119651912640659</v>
      </c>
      <c r="E42" s="667">
        <v>0</v>
      </c>
      <c r="F42" s="667">
        <v>356.2174378154993</v>
      </c>
      <c r="G42" s="667">
        <v>2.8218082810591305</v>
      </c>
      <c r="H42" s="675">
        <v>146.34261435709328</v>
      </c>
      <c r="I42" s="667">
        <v>0</v>
      </c>
      <c r="J42" s="667">
        <v>0</v>
      </c>
      <c r="K42" s="667">
        <v>0</v>
      </c>
      <c r="L42" s="667">
        <v>64.942110533106998</v>
      </c>
      <c r="M42" s="667">
        <v>2.5490453181526216</v>
      </c>
      <c r="N42" s="667">
        <v>65.464442489443798</v>
      </c>
      <c r="O42" s="667">
        <v>37.934908289026019</v>
      </c>
      <c r="P42" s="667">
        <v>105.39487042391544</v>
      </c>
      <c r="Q42" s="667">
        <v>3.8758335430782287</v>
      </c>
      <c r="R42" s="667">
        <v>443.94370217895619</v>
      </c>
      <c r="S42" s="667">
        <v>65.916211304815718</v>
      </c>
      <c r="T42" s="667">
        <v>19.068438424036124</v>
      </c>
      <c r="U42" s="667">
        <v>1317.9833881494469</v>
      </c>
    </row>
    <row r="43" spans="3:21">
      <c r="C43" s="654"/>
      <c r="D43" s="672">
        <v>0</v>
      </c>
      <c r="E43" s="672">
        <v>0</v>
      </c>
      <c r="F43" s="672">
        <v>-5.6843418860808015E-14</v>
      </c>
      <c r="G43" s="672">
        <v>0</v>
      </c>
      <c r="H43" s="672">
        <v>0</v>
      </c>
      <c r="I43" s="672">
        <v>0</v>
      </c>
      <c r="J43" s="672">
        <v>0</v>
      </c>
      <c r="K43" s="672">
        <v>0</v>
      </c>
      <c r="L43" s="672">
        <v>0</v>
      </c>
      <c r="M43" s="672">
        <v>0</v>
      </c>
      <c r="N43" s="672">
        <v>-1.6135057642804664</v>
      </c>
      <c r="O43" s="672">
        <v>-3.219646771412954E-15</v>
      </c>
      <c r="P43" s="672">
        <v>0</v>
      </c>
      <c r="Q43" s="672">
        <v>0</v>
      </c>
      <c r="R43" s="672">
        <v>5.6843418860808015E-14</v>
      </c>
      <c r="S43" s="672">
        <v>-1.4210854715202004E-14</v>
      </c>
      <c r="T43" s="672">
        <v>0</v>
      </c>
      <c r="U43" s="672">
        <v>-1.6135057642804895</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361</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5.8150000000000004</v>
      </c>
      <c r="F49" s="663">
        <v>0</v>
      </c>
      <c r="G49" s="663">
        <v>0</v>
      </c>
      <c r="H49" s="663">
        <v>9.3040000000000012E-2</v>
      </c>
      <c r="I49" s="663">
        <v>0</v>
      </c>
      <c r="J49" s="664">
        <v>962.45197015227166</v>
      </c>
      <c r="K49" s="664">
        <v>267.5000244841633</v>
      </c>
      <c r="L49" s="664">
        <v>267.72778932192256</v>
      </c>
      <c r="M49" s="664">
        <v>26.714360415666448</v>
      </c>
      <c r="N49" s="663">
        <v>1.5151391983163085</v>
      </c>
      <c r="O49" s="663">
        <v>0.16086233431790645</v>
      </c>
      <c r="P49" s="664">
        <v>114.79412791174752</v>
      </c>
      <c r="Q49" s="664">
        <v>17.865639972874789</v>
      </c>
      <c r="R49" s="663">
        <v>0</v>
      </c>
      <c r="S49" s="663">
        <v>0</v>
      </c>
      <c r="T49" s="663">
        <v>0</v>
      </c>
      <c r="U49" s="665">
        <v>1664.6379537912806</v>
      </c>
    </row>
    <row r="50" spans="3:21" ht="13">
      <c r="C50" s="662" t="s">
        <v>60</v>
      </c>
      <c r="D50" s="663">
        <v>16.178882267256224</v>
      </c>
      <c r="E50" s="663">
        <v>338.94665094130841</v>
      </c>
      <c r="F50" s="663">
        <v>53.154703213153105</v>
      </c>
      <c r="G50" s="663">
        <v>0.84709048921241781</v>
      </c>
      <c r="H50" s="663">
        <v>154.95460842815714</v>
      </c>
      <c r="I50" s="663">
        <v>0</v>
      </c>
      <c r="J50" s="663">
        <v>0</v>
      </c>
      <c r="K50" s="663">
        <v>0</v>
      </c>
      <c r="L50" s="663">
        <v>3.3497189577114872</v>
      </c>
      <c r="M50" s="663">
        <v>0</v>
      </c>
      <c r="N50" s="663">
        <v>3.7248932526167962</v>
      </c>
      <c r="O50" s="663">
        <v>0</v>
      </c>
      <c r="P50" s="663">
        <v>0</v>
      </c>
      <c r="Q50" s="663">
        <v>0</v>
      </c>
      <c r="R50" s="663">
        <v>0</v>
      </c>
      <c r="S50" s="663">
        <v>0</v>
      </c>
      <c r="T50" s="663">
        <v>0</v>
      </c>
      <c r="U50" s="665">
        <v>571.15654754941545</v>
      </c>
    </row>
    <row r="51" spans="3:21" ht="13">
      <c r="C51" s="662" t="s">
        <v>61</v>
      </c>
      <c r="D51" s="663">
        <v>0</v>
      </c>
      <c r="E51" s="663">
        <v>0</v>
      </c>
      <c r="F51" s="663">
        <v>-0.33572040479024756</v>
      </c>
      <c r="G51" s="663">
        <v>0</v>
      </c>
      <c r="H51" s="663">
        <v>0</v>
      </c>
      <c r="I51" s="663">
        <v>0</v>
      </c>
      <c r="J51" s="663">
        <v>0</v>
      </c>
      <c r="K51" s="663">
        <v>0</v>
      </c>
      <c r="L51" s="663">
        <v>0</v>
      </c>
      <c r="M51" s="663">
        <v>0</v>
      </c>
      <c r="N51" s="663">
        <v>0</v>
      </c>
      <c r="O51" s="663">
        <v>0</v>
      </c>
      <c r="P51" s="663">
        <v>0</v>
      </c>
      <c r="Q51" s="663">
        <v>0</v>
      </c>
      <c r="R51" s="663">
        <v>-40.000125067890167</v>
      </c>
      <c r="S51" s="663">
        <v>0</v>
      </c>
      <c r="T51" s="663">
        <v>0</v>
      </c>
      <c r="U51" s="665">
        <v>-40.335845472680411</v>
      </c>
    </row>
    <row r="52" spans="3:21" ht="13">
      <c r="C52" s="662" t="s">
        <v>62</v>
      </c>
      <c r="D52" s="663">
        <v>0</v>
      </c>
      <c r="E52" s="663">
        <v>0</v>
      </c>
      <c r="F52" s="663">
        <v>-12.959356122819004</v>
      </c>
      <c r="G52" s="663">
        <v>-1.1745589556928391</v>
      </c>
      <c r="H52" s="663">
        <v>-1.8985906548092106</v>
      </c>
      <c r="I52" s="663">
        <v>0</v>
      </c>
      <c r="J52" s="663">
        <v>0</v>
      </c>
      <c r="K52" s="663">
        <v>0</v>
      </c>
      <c r="L52" s="663">
        <v>0</v>
      </c>
      <c r="M52" s="663">
        <v>0</v>
      </c>
      <c r="N52" s="663">
        <v>-0.50338240958264524</v>
      </c>
      <c r="O52" s="663">
        <v>-0.70221846136779031</v>
      </c>
      <c r="P52" s="663">
        <v>0</v>
      </c>
      <c r="Q52" s="663">
        <v>0</v>
      </c>
      <c r="R52" s="663">
        <v>0</v>
      </c>
      <c r="S52" s="663">
        <v>0</v>
      </c>
      <c r="T52" s="663">
        <v>0</v>
      </c>
      <c r="U52" s="665">
        <v>-17.23810660427149</v>
      </c>
    </row>
    <row r="53" spans="3:21" ht="13">
      <c r="C53" s="662" t="s">
        <v>63</v>
      </c>
      <c r="D53" s="663">
        <v>0</v>
      </c>
      <c r="E53" s="663">
        <v>0</v>
      </c>
      <c r="F53" s="663">
        <v>-60.220777612804881</v>
      </c>
      <c r="G53" s="663">
        <v>-3.9749070731502325</v>
      </c>
      <c r="H53" s="663">
        <v>0</v>
      </c>
      <c r="I53" s="663">
        <v>0</v>
      </c>
      <c r="J53" s="663">
        <v>0</v>
      </c>
      <c r="K53" s="663">
        <v>0</v>
      </c>
      <c r="L53" s="663">
        <v>0</v>
      </c>
      <c r="M53" s="663">
        <v>0</v>
      </c>
      <c r="N53" s="663">
        <v>-11.924721219450698</v>
      </c>
      <c r="O53" s="663">
        <v>0</v>
      </c>
      <c r="P53" s="663">
        <v>0</v>
      </c>
      <c r="Q53" s="663">
        <v>0</v>
      </c>
      <c r="R53" s="663">
        <v>0</v>
      </c>
      <c r="S53" s="663">
        <v>0</v>
      </c>
      <c r="T53" s="663">
        <v>-0.14322207633849007</v>
      </c>
      <c r="U53" s="665">
        <v>-76.263627981744307</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16.178882267256224</v>
      </c>
      <c r="E55" s="667">
        <v>344.7616509413084</v>
      </c>
      <c r="F55" s="667">
        <v>-20.361150927261026</v>
      </c>
      <c r="G55" s="667">
        <v>-4.3023755396306536</v>
      </c>
      <c r="H55" s="675">
        <v>153.14905777334795</v>
      </c>
      <c r="I55" s="667">
        <v>0</v>
      </c>
      <c r="J55" s="667">
        <v>962.45197015227166</v>
      </c>
      <c r="K55" s="667">
        <v>267.5000244841633</v>
      </c>
      <c r="L55" s="667">
        <v>271.07750827963406</v>
      </c>
      <c r="M55" s="667">
        <v>26.714360415666448</v>
      </c>
      <c r="N55" s="667">
        <v>-7.1880711781002375</v>
      </c>
      <c r="O55" s="667">
        <v>-0.5413561270498839</v>
      </c>
      <c r="P55" s="667">
        <v>114.79412791174752</v>
      </c>
      <c r="Q55" s="667">
        <v>17.865639972874789</v>
      </c>
      <c r="R55" s="667">
        <v>-40.000125067890167</v>
      </c>
      <c r="S55" s="667">
        <v>0</v>
      </c>
      <c r="T55" s="667">
        <v>-0.14322207633849007</v>
      </c>
      <c r="U55" s="667">
        <v>2101.9569212819993</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0.802217285608815</v>
      </c>
      <c r="G58" s="663">
        <v>0</v>
      </c>
      <c r="H58" s="663">
        <v>10.885217127183394</v>
      </c>
      <c r="I58" s="663">
        <v>0</v>
      </c>
      <c r="J58" s="663">
        <v>962.45197015227166</v>
      </c>
      <c r="K58" s="663">
        <v>267.5000244841633</v>
      </c>
      <c r="L58" s="663">
        <v>25.455194099059376</v>
      </c>
      <c r="M58" s="663">
        <v>9.8679572117025351</v>
      </c>
      <c r="N58" s="663">
        <v>5.0291337303525587</v>
      </c>
      <c r="O58" s="663">
        <v>2.8343761662812361</v>
      </c>
      <c r="P58" s="663">
        <v>0</v>
      </c>
      <c r="Q58" s="663">
        <v>2.7943993103273139</v>
      </c>
      <c r="R58" s="663">
        <v>-610.76520896369152</v>
      </c>
      <c r="S58" s="663">
        <v>0</v>
      </c>
      <c r="T58" s="663">
        <v>0</v>
      </c>
      <c r="U58" s="671">
        <v>676.85528060325873</v>
      </c>
    </row>
    <row r="59" spans="3:21" ht="13">
      <c r="C59" s="670" t="s">
        <v>351</v>
      </c>
      <c r="D59" s="663">
        <v>0</v>
      </c>
      <c r="E59" s="663">
        <v>0</v>
      </c>
      <c r="F59" s="663">
        <v>0</v>
      </c>
      <c r="G59" s="663">
        <v>0</v>
      </c>
      <c r="H59" s="663">
        <v>12.378684044888715</v>
      </c>
      <c r="I59" s="663">
        <v>0</v>
      </c>
      <c r="J59" s="663">
        <v>0</v>
      </c>
      <c r="K59" s="663">
        <v>0</v>
      </c>
      <c r="L59" s="663">
        <v>36.0447949504767</v>
      </c>
      <c r="M59" s="663">
        <v>14.339300216640275</v>
      </c>
      <c r="N59" s="663">
        <v>0</v>
      </c>
      <c r="O59" s="663">
        <v>4.1400526748892315</v>
      </c>
      <c r="P59" s="663">
        <v>0</v>
      </c>
      <c r="Q59" s="663">
        <v>10.825953288370551</v>
      </c>
      <c r="R59" s="663">
        <v>0</v>
      </c>
      <c r="S59" s="663">
        <v>-71.400838762535344</v>
      </c>
      <c r="T59" s="663">
        <v>0</v>
      </c>
      <c r="U59" s="671">
        <v>6.3279464127301193</v>
      </c>
    </row>
    <row r="60" spans="3:21" ht="13">
      <c r="C60" s="670" t="s">
        <v>352</v>
      </c>
      <c r="D60" s="663">
        <v>0</v>
      </c>
      <c r="E60" s="663">
        <v>0</v>
      </c>
      <c r="F60" s="663">
        <v>0</v>
      </c>
      <c r="G60" s="663">
        <v>0</v>
      </c>
      <c r="H60" s="663">
        <v>0</v>
      </c>
      <c r="I60" s="663">
        <v>0</v>
      </c>
      <c r="J60" s="663">
        <v>0</v>
      </c>
      <c r="K60" s="663">
        <v>0</v>
      </c>
      <c r="L60" s="663">
        <v>59.794350125101182</v>
      </c>
      <c r="M60" s="663">
        <v>0</v>
      </c>
      <c r="N60" s="663">
        <v>0</v>
      </c>
      <c r="O60" s="663">
        <v>-54.232182762859196</v>
      </c>
      <c r="P60" s="663">
        <v>0</v>
      </c>
      <c r="Q60" s="663">
        <v>0</v>
      </c>
      <c r="R60" s="663">
        <v>0</v>
      </c>
      <c r="S60" s="663">
        <v>0</v>
      </c>
      <c r="T60" s="663">
        <v>0</v>
      </c>
      <c r="U60" s="671">
        <v>5.5621673622419863</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357.27482859273942</v>
      </c>
      <c r="F62" s="663">
        <v>-353.71543432563573</v>
      </c>
      <c r="G62" s="663">
        <v>0</v>
      </c>
      <c r="H62" s="663">
        <v>0</v>
      </c>
      <c r="I62" s="663">
        <v>0</v>
      </c>
      <c r="J62" s="663">
        <v>0</v>
      </c>
      <c r="K62" s="663">
        <v>0</v>
      </c>
      <c r="L62" s="663">
        <v>0</v>
      </c>
      <c r="M62" s="663">
        <v>0</v>
      </c>
      <c r="N62" s="663">
        <v>0</v>
      </c>
      <c r="O62" s="663">
        <v>0</v>
      </c>
      <c r="P62" s="663">
        <v>0</v>
      </c>
      <c r="Q62" s="663">
        <v>0</v>
      </c>
      <c r="R62" s="663">
        <v>0</v>
      </c>
      <c r="S62" s="663">
        <v>0</v>
      </c>
      <c r="T62" s="663">
        <v>0</v>
      </c>
      <c r="U62" s="671">
        <v>3.5593942671036793</v>
      </c>
    </row>
    <row r="63" spans="3:21" ht="13">
      <c r="C63" s="670" t="s">
        <v>354</v>
      </c>
      <c r="D63" s="663">
        <v>0</v>
      </c>
      <c r="E63" s="663">
        <v>0</v>
      </c>
      <c r="F63" s="663">
        <v>0</v>
      </c>
      <c r="G63" s="663">
        <v>0</v>
      </c>
      <c r="H63" s="663">
        <v>0</v>
      </c>
      <c r="I63" s="663">
        <v>0</v>
      </c>
      <c r="J63" s="663">
        <v>0</v>
      </c>
      <c r="K63" s="663">
        <v>0</v>
      </c>
      <c r="L63" s="663">
        <v>87.509483344344957</v>
      </c>
      <c r="M63" s="663">
        <v>0</v>
      </c>
      <c r="N63" s="663">
        <v>-87.509483344344957</v>
      </c>
      <c r="O63" s="663">
        <v>0</v>
      </c>
      <c r="P63" s="663">
        <v>0</v>
      </c>
      <c r="Q63" s="663">
        <v>0</v>
      </c>
      <c r="R63" s="663">
        <v>0</v>
      </c>
      <c r="S63" s="663">
        <v>0</v>
      </c>
      <c r="T63" s="663">
        <v>0</v>
      </c>
      <c r="U63" s="671">
        <v>0</v>
      </c>
    </row>
    <row r="64" spans="3:21" ht="13">
      <c r="C64" s="670" t="s">
        <v>355</v>
      </c>
      <c r="D64" s="663">
        <v>0</v>
      </c>
      <c r="E64" s="663">
        <v>0</v>
      </c>
      <c r="F64" s="663">
        <v>0</v>
      </c>
      <c r="G64" s="663">
        <v>-7.9105007206485656</v>
      </c>
      <c r="H64" s="663">
        <v>0</v>
      </c>
      <c r="I64" s="663">
        <v>0</v>
      </c>
      <c r="J64" s="663">
        <v>0</v>
      </c>
      <c r="K64" s="663">
        <v>0</v>
      </c>
      <c r="L64" s="663">
        <v>0</v>
      </c>
      <c r="M64" s="663">
        <v>0</v>
      </c>
      <c r="N64" s="663">
        <v>0</v>
      </c>
      <c r="O64" s="663">
        <v>0</v>
      </c>
      <c r="P64" s="663">
        <v>0</v>
      </c>
      <c r="Q64" s="663">
        <v>0</v>
      </c>
      <c r="R64" s="663">
        <v>0</v>
      </c>
      <c r="S64" s="663">
        <v>0</v>
      </c>
      <c r="T64" s="663">
        <v>11.017410474440901</v>
      </c>
      <c r="U64" s="671">
        <v>3.1069097537923351</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51.730551312429718</v>
      </c>
      <c r="S65" s="663">
        <v>0</v>
      </c>
      <c r="T65" s="663">
        <v>-34.530143001046838</v>
      </c>
      <c r="U65" s="671">
        <v>17.20040831138288</v>
      </c>
    </row>
    <row r="66" spans="3:21" ht="13">
      <c r="C66" s="670" t="s">
        <v>356</v>
      </c>
      <c r="D66" s="663">
        <v>9.1080551953124989</v>
      </c>
      <c r="E66" s="663">
        <v>-12.513177651431018</v>
      </c>
      <c r="F66" s="663">
        <v>16.300260399898175</v>
      </c>
      <c r="G66" s="663">
        <v>0</v>
      </c>
      <c r="H66" s="663">
        <v>0</v>
      </c>
      <c r="I66" s="663">
        <v>0</v>
      </c>
      <c r="J66" s="663">
        <v>0</v>
      </c>
      <c r="K66" s="663">
        <v>0</v>
      </c>
      <c r="L66" s="663">
        <v>0</v>
      </c>
      <c r="M66" s="663">
        <v>0</v>
      </c>
      <c r="N66" s="663">
        <v>0</v>
      </c>
      <c r="O66" s="663">
        <v>0</v>
      </c>
      <c r="P66" s="663">
        <v>0</v>
      </c>
      <c r="Q66" s="663">
        <v>0</v>
      </c>
      <c r="R66" s="663">
        <v>0</v>
      </c>
      <c r="S66" s="663">
        <v>0</v>
      </c>
      <c r="T66" s="663">
        <v>0</v>
      </c>
      <c r="U66" s="671">
        <v>12.895137943779657</v>
      </c>
    </row>
    <row r="67" spans="3:21" ht="13">
      <c r="C67" s="670" t="s">
        <v>75</v>
      </c>
      <c r="D67" s="663">
        <v>3.5420214648437502</v>
      </c>
      <c r="E67" s="663">
        <v>0</v>
      </c>
      <c r="F67" s="663">
        <v>18.654676129726123</v>
      </c>
      <c r="G67" s="663">
        <v>0</v>
      </c>
      <c r="H67" s="663">
        <v>3.9220454388203256</v>
      </c>
      <c r="I67" s="663">
        <v>0</v>
      </c>
      <c r="J67" s="663">
        <v>0</v>
      </c>
      <c r="K67" s="663">
        <v>0</v>
      </c>
      <c r="L67" s="663">
        <v>0</v>
      </c>
      <c r="M67" s="663">
        <v>0</v>
      </c>
      <c r="N67" s="663">
        <v>0</v>
      </c>
      <c r="O67" s="663">
        <v>1.4506195458650522</v>
      </c>
      <c r="P67" s="663">
        <v>0</v>
      </c>
      <c r="Q67" s="663">
        <v>0</v>
      </c>
      <c r="R67" s="663">
        <v>24.070214497240038</v>
      </c>
      <c r="S67" s="663">
        <v>0</v>
      </c>
      <c r="T67" s="663">
        <v>0</v>
      </c>
      <c r="U67" s="671">
        <v>51.639577076495286</v>
      </c>
    </row>
    <row r="68" spans="3:21" ht="13">
      <c r="C68" s="670" t="s">
        <v>76</v>
      </c>
      <c r="D68" s="663">
        <v>0</v>
      </c>
      <c r="E68" s="663">
        <v>0</v>
      </c>
      <c r="F68" s="663">
        <v>0</v>
      </c>
      <c r="G68" s="663">
        <v>0</v>
      </c>
      <c r="H68" s="663">
        <v>1.7220653905707752</v>
      </c>
      <c r="I68" s="663">
        <v>0</v>
      </c>
      <c r="J68" s="663">
        <v>0</v>
      </c>
      <c r="K68" s="663">
        <v>0</v>
      </c>
      <c r="L68" s="663">
        <v>0</v>
      </c>
      <c r="M68" s="663">
        <v>0</v>
      </c>
      <c r="N68" s="663">
        <v>0</v>
      </c>
      <c r="O68" s="663">
        <v>0.63692829514261562</v>
      </c>
      <c r="P68" s="663">
        <v>0</v>
      </c>
      <c r="Q68" s="663">
        <v>0</v>
      </c>
      <c r="R68" s="663">
        <v>43.697669495159822</v>
      </c>
      <c r="S68" s="663">
        <v>5.5373897346121579</v>
      </c>
      <c r="T68" s="663">
        <v>0</v>
      </c>
      <c r="U68" s="671">
        <v>51.594052915485378</v>
      </c>
    </row>
    <row r="69" spans="3:21" ht="13">
      <c r="C69" s="666" t="s">
        <v>77</v>
      </c>
      <c r="D69" s="667">
        <v>12.650076660156248</v>
      </c>
      <c r="E69" s="667">
        <v>344.7616509413084</v>
      </c>
      <c r="F69" s="667">
        <v>-317.95828051040263</v>
      </c>
      <c r="G69" s="667">
        <v>-7.9105007206485656</v>
      </c>
      <c r="H69" s="675">
        <v>28.908012001463213</v>
      </c>
      <c r="I69" s="667">
        <v>0</v>
      </c>
      <c r="J69" s="667">
        <v>962.45197015227166</v>
      </c>
      <c r="K69" s="667">
        <v>267.5000244841633</v>
      </c>
      <c r="L69" s="667">
        <v>208.80382251898223</v>
      </c>
      <c r="M69" s="667">
        <v>24.207257428342814</v>
      </c>
      <c r="N69" s="667">
        <v>-82.480349613992402</v>
      </c>
      <c r="O69" s="667">
        <v>-45.170206080681055</v>
      </c>
      <c r="P69" s="667">
        <v>0</v>
      </c>
      <c r="Q69" s="667">
        <v>13.620352598697865</v>
      </c>
      <c r="R69" s="667">
        <v>-491.26677365886189</v>
      </c>
      <c r="S69" s="667">
        <v>-65.863449027923181</v>
      </c>
      <c r="T69" s="667">
        <v>-23.512732526605937</v>
      </c>
      <c r="U69" s="667">
        <v>828.74087464627007</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3.5288056070999749</v>
      </c>
      <c r="E71" s="663">
        <v>0</v>
      </c>
      <c r="F71" s="663">
        <v>9.0742751543652709</v>
      </c>
      <c r="G71" s="663">
        <v>0</v>
      </c>
      <c r="H71" s="663">
        <v>50.765702343803007</v>
      </c>
      <c r="I71" s="663">
        <v>0</v>
      </c>
      <c r="J71" s="663">
        <v>0</v>
      </c>
      <c r="K71" s="663">
        <v>0</v>
      </c>
      <c r="L71" s="663">
        <v>20.203559685037114</v>
      </c>
      <c r="M71" s="663">
        <v>2.5066351077817299</v>
      </c>
      <c r="N71" s="663">
        <v>1.1254933974609376</v>
      </c>
      <c r="O71" s="663">
        <v>18.810321451312785</v>
      </c>
      <c r="P71" s="663">
        <v>5.5404179687499999</v>
      </c>
      <c r="Q71" s="663">
        <v>6.9244826847420892E-4</v>
      </c>
      <c r="R71" s="663">
        <v>129.68210517319469</v>
      </c>
      <c r="S71" s="663">
        <v>18.067305271014469</v>
      </c>
      <c r="T71" s="663">
        <v>3.2886369628906249</v>
      </c>
      <c r="U71" s="671">
        <v>262.59395057097908</v>
      </c>
    </row>
    <row r="72" spans="3:21" ht="13">
      <c r="C72" s="670" t="s">
        <v>79</v>
      </c>
      <c r="D72" s="663">
        <v>0</v>
      </c>
      <c r="E72" s="663">
        <v>0</v>
      </c>
      <c r="F72" s="663">
        <v>183.65265309164423</v>
      </c>
      <c r="G72" s="663">
        <v>0.37586832320647884</v>
      </c>
      <c r="H72" s="663">
        <v>4.5862710057628444</v>
      </c>
      <c r="I72" s="663">
        <v>0</v>
      </c>
      <c r="J72" s="663">
        <v>0</v>
      </c>
      <c r="K72" s="663">
        <v>0</v>
      </c>
      <c r="L72" s="663">
        <v>0</v>
      </c>
      <c r="M72" s="663">
        <v>0</v>
      </c>
      <c r="N72" s="663">
        <v>52.853956211759765</v>
      </c>
      <c r="O72" s="663">
        <v>1.6962920158300934</v>
      </c>
      <c r="P72" s="663">
        <v>0</v>
      </c>
      <c r="Q72" s="663">
        <v>0</v>
      </c>
      <c r="R72" s="663">
        <v>57.341707182273488</v>
      </c>
      <c r="S72" s="663">
        <v>0</v>
      </c>
      <c r="T72" s="663">
        <v>2.0198839430903792</v>
      </c>
      <c r="U72" s="671">
        <v>302.52663177356732</v>
      </c>
    </row>
    <row r="73" spans="3:21" ht="13">
      <c r="C73" s="670" t="s">
        <v>80</v>
      </c>
      <c r="D73" s="663">
        <v>0</v>
      </c>
      <c r="E73" s="663">
        <v>0</v>
      </c>
      <c r="F73" s="663">
        <v>3.260836950166615</v>
      </c>
      <c r="G73" s="663">
        <v>0</v>
      </c>
      <c r="H73" s="663">
        <v>39.313312069692138</v>
      </c>
      <c r="I73" s="663">
        <v>0</v>
      </c>
      <c r="J73" s="663">
        <v>0</v>
      </c>
      <c r="K73" s="663">
        <v>0</v>
      </c>
      <c r="L73" s="663">
        <v>38.595135513286785</v>
      </c>
      <c r="M73" s="663">
        <v>0</v>
      </c>
      <c r="N73" s="663">
        <v>0</v>
      </c>
      <c r="O73" s="663">
        <v>14.540540080571066</v>
      </c>
      <c r="P73" s="663">
        <v>88.021667456281236</v>
      </c>
      <c r="Q73" s="663">
        <v>2.3427124137087052</v>
      </c>
      <c r="R73" s="663">
        <v>158.98187870009832</v>
      </c>
      <c r="S73" s="663">
        <v>28.917251051933125</v>
      </c>
      <c r="T73" s="663">
        <v>0</v>
      </c>
      <c r="U73" s="671">
        <v>373.97333423573804</v>
      </c>
    </row>
    <row r="74" spans="3:21" ht="13">
      <c r="C74" s="670" t="s">
        <v>81</v>
      </c>
      <c r="D74" s="663">
        <v>0</v>
      </c>
      <c r="E74" s="663">
        <v>0</v>
      </c>
      <c r="F74" s="663">
        <v>3.4419330830775619</v>
      </c>
      <c r="G74" s="663">
        <v>0</v>
      </c>
      <c r="H74" s="663">
        <v>19.661407657447267</v>
      </c>
      <c r="I74" s="663">
        <v>0</v>
      </c>
      <c r="J74" s="663">
        <v>0</v>
      </c>
      <c r="K74" s="663">
        <v>0</v>
      </c>
      <c r="L74" s="663">
        <v>0.43406989863895534</v>
      </c>
      <c r="M74" s="663">
        <v>4.6787954190583215E-4</v>
      </c>
      <c r="N74" s="663">
        <v>0</v>
      </c>
      <c r="O74" s="663">
        <v>7.2720274897407702</v>
      </c>
      <c r="P74" s="663">
        <v>20.482042486716281</v>
      </c>
      <c r="Q74" s="663">
        <v>0.93898003664808516</v>
      </c>
      <c r="R74" s="663">
        <v>96.862888654792613</v>
      </c>
      <c r="S74" s="663">
        <v>18.878892704975588</v>
      </c>
      <c r="T74" s="663">
        <v>0</v>
      </c>
      <c r="U74" s="671">
        <v>167.97270989157903</v>
      </c>
    </row>
    <row r="75" spans="3:21" ht="13">
      <c r="C75" s="670" t="s">
        <v>82</v>
      </c>
      <c r="D75" s="663">
        <v>0</v>
      </c>
      <c r="E75" s="663">
        <v>0</v>
      </c>
      <c r="F75" s="663">
        <v>19.85629550078999</v>
      </c>
      <c r="G75" s="663">
        <v>0</v>
      </c>
      <c r="H75" s="663">
        <v>1.376773611649958</v>
      </c>
      <c r="I75" s="663">
        <v>0</v>
      </c>
      <c r="J75" s="663">
        <v>0</v>
      </c>
      <c r="K75" s="663">
        <v>0</v>
      </c>
      <c r="L75" s="663">
        <v>2.7730307508519707</v>
      </c>
      <c r="M75" s="663">
        <v>0</v>
      </c>
      <c r="N75" s="663">
        <v>8.3214654409998232</v>
      </c>
      <c r="O75" s="663">
        <v>0.50921763718560098</v>
      </c>
      <c r="P75" s="663">
        <v>0.75</v>
      </c>
      <c r="Q75" s="663">
        <v>0.96290247555165809</v>
      </c>
      <c r="R75" s="663">
        <v>7.7126288806125016</v>
      </c>
      <c r="S75" s="663">
        <v>0</v>
      </c>
      <c r="T75" s="663">
        <v>0.24940873791150003</v>
      </c>
      <c r="U75" s="671">
        <v>42.511723035553004</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0.68544000000000005</v>
      </c>
      <c r="S76" s="663">
        <v>0</v>
      </c>
      <c r="T76" s="663">
        <v>0</v>
      </c>
      <c r="U76" s="671">
        <v>0.68544000000000005</v>
      </c>
    </row>
    <row r="77" spans="3:21" ht="13">
      <c r="C77" s="666" t="s">
        <v>83</v>
      </c>
      <c r="D77" s="667">
        <v>3.5288056070999749</v>
      </c>
      <c r="E77" s="667">
        <v>0</v>
      </c>
      <c r="F77" s="667">
        <v>219.2859937800437</v>
      </c>
      <c r="G77" s="667">
        <v>0.37586832320647884</v>
      </c>
      <c r="H77" s="675">
        <v>115.70346668835522</v>
      </c>
      <c r="I77" s="667">
        <v>0</v>
      </c>
      <c r="J77" s="667">
        <v>0</v>
      </c>
      <c r="K77" s="667">
        <v>0</v>
      </c>
      <c r="L77" s="667">
        <v>62.005795847814824</v>
      </c>
      <c r="M77" s="667">
        <v>2.5071029873236355</v>
      </c>
      <c r="N77" s="667">
        <v>62.300915050220524</v>
      </c>
      <c r="O77" s="667">
        <v>42.828398674640319</v>
      </c>
      <c r="P77" s="667">
        <v>114.79412791174752</v>
      </c>
      <c r="Q77" s="667">
        <v>4.2452873741769226</v>
      </c>
      <c r="R77" s="667">
        <v>451.26664859097167</v>
      </c>
      <c r="S77" s="667">
        <v>65.863449027923181</v>
      </c>
      <c r="T77" s="667">
        <v>5.5579296438925034</v>
      </c>
      <c r="U77" s="667">
        <v>1150.2637895074163</v>
      </c>
    </row>
    <row r="78" spans="3:21" ht="13">
      <c r="C78" s="662" t="s">
        <v>84</v>
      </c>
      <c r="D78" s="663">
        <v>0</v>
      </c>
      <c r="E78" s="663">
        <v>0</v>
      </c>
      <c r="F78" s="663">
        <v>78.311135803097855</v>
      </c>
      <c r="G78" s="663">
        <v>3.2322568578114335</v>
      </c>
      <c r="H78" s="663">
        <v>8.5375790835295255</v>
      </c>
      <c r="I78" s="663">
        <v>0</v>
      </c>
      <c r="J78" s="663">
        <v>0</v>
      </c>
      <c r="K78" s="663">
        <v>0</v>
      </c>
      <c r="L78" s="663">
        <v>0.26788991283700125</v>
      </c>
      <c r="M78" s="663">
        <v>0</v>
      </c>
      <c r="N78" s="663">
        <v>12.991363385671615</v>
      </c>
      <c r="O78" s="663">
        <v>1.800451278990862</v>
      </c>
      <c r="P78" s="663">
        <v>0</v>
      </c>
      <c r="Q78" s="663">
        <v>0</v>
      </c>
      <c r="R78" s="663">
        <v>0</v>
      </c>
      <c r="S78" s="663">
        <v>0</v>
      </c>
      <c r="T78" s="663">
        <v>17.811580806374948</v>
      </c>
      <c r="U78" s="671">
        <v>122.95225712831325</v>
      </c>
    </row>
    <row r="79" spans="3:21" ht="13">
      <c r="C79" s="666" t="s">
        <v>85</v>
      </c>
      <c r="D79" s="667">
        <v>3.5288056070999749</v>
      </c>
      <c r="E79" s="667">
        <v>0</v>
      </c>
      <c r="F79" s="667">
        <v>297.59712958314151</v>
      </c>
      <c r="G79" s="667">
        <v>3.6081251810179125</v>
      </c>
      <c r="H79" s="675">
        <v>124.24104577188474</v>
      </c>
      <c r="I79" s="667">
        <v>0</v>
      </c>
      <c r="J79" s="667">
        <v>0</v>
      </c>
      <c r="K79" s="667">
        <v>0</v>
      </c>
      <c r="L79" s="667">
        <v>62.273685760651823</v>
      </c>
      <c r="M79" s="667">
        <v>2.5071029873236355</v>
      </c>
      <c r="N79" s="667">
        <v>75.292278435892143</v>
      </c>
      <c r="O79" s="667">
        <v>44.628849953631182</v>
      </c>
      <c r="P79" s="667">
        <v>114.79412791174752</v>
      </c>
      <c r="Q79" s="667">
        <v>4.2452873741769226</v>
      </c>
      <c r="R79" s="667">
        <v>451.26664859097167</v>
      </c>
      <c r="S79" s="667">
        <v>65.863449027923181</v>
      </c>
      <c r="T79" s="667">
        <v>23.369510450267452</v>
      </c>
      <c r="U79" s="667">
        <v>1273.2160466357295</v>
      </c>
    </row>
    <row r="80" spans="3:21">
      <c r="C80" s="654"/>
      <c r="D80" s="672">
        <v>0</v>
      </c>
      <c r="E80" s="672">
        <v>0</v>
      </c>
      <c r="F80" s="672">
        <v>-9.5923269327613525E-14</v>
      </c>
      <c r="G80" s="672">
        <v>0</v>
      </c>
      <c r="H80" s="672">
        <v>0</v>
      </c>
      <c r="I80" s="672">
        <v>0</v>
      </c>
      <c r="J80" s="672">
        <v>0</v>
      </c>
      <c r="K80" s="672">
        <v>0</v>
      </c>
      <c r="L80" s="672">
        <v>0</v>
      </c>
      <c r="M80" s="672">
        <v>0</v>
      </c>
      <c r="N80" s="672">
        <v>-2.1316282072803006E-14</v>
      </c>
      <c r="O80" s="672">
        <v>1.0658141036401503E-14</v>
      </c>
      <c r="P80" s="672">
        <v>0</v>
      </c>
      <c r="Q80" s="672">
        <v>0</v>
      </c>
      <c r="R80" s="672">
        <v>-5.6843418860808015E-14</v>
      </c>
      <c r="S80" s="672">
        <v>0</v>
      </c>
      <c r="T80" s="672">
        <v>4.5796699765787707E-15</v>
      </c>
      <c r="U80" s="672">
        <v>0</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362</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2.3260000000000005</v>
      </c>
      <c r="F86" s="663">
        <v>0</v>
      </c>
      <c r="G86" s="663">
        <v>0</v>
      </c>
      <c r="H86" s="663">
        <v>3.7216000000000006E-2</v>
      </c>
      <c r="I86" s="663">
        <v>0</v>
      </c>
      <c r="J86" s="664">
        <v>964.52942056246673</v>
      </c>
      <c r="K86" s="664">
        <v>311.46236031836668</v>
      </c>
      <c r="L86" s="664">
        <v>294.50335183866372</v>
      </c>
      <c r="M86" s="664">
        <v>26.897654847027933</v>
      </c>
      <c r="N86" s="663">
        <v>1.5522078310841105</v>
      </c>
      <c r="O86" s="663">
        <v>0.16457898409976487</v>
      </c>
      <c r="P86" s="664">
        <v>128.43983591306872</v>
      </c>
      <c r="Q86" s="664">
        <v>20.654107927982594</v>
      </c>
      <c r="R86" s="663">
        <v>0</v>
      </c>
      <c r="S86" s="663">
        <v>0</v>
      </c>
      <c r="T86" s="663">
        <v>0</v>
      </c>
      <c r="U86" s="665">
        <v>1750.5667342227598</v>
      </c>
    </row>
    <row r="87" spans="3:21" ht="13">
      <c r="C87" s="662" t="s">
        <v>60</v>
      </c>
      <c r="D87" s="663">
        <v>13.859177019435306</v>
      </c>
      <c r="E87" s="663">
        <v>296.13837759387053</v>
      </c>
      <c r="F87" s="663">
        <v>5.829718761745502</v>
      </c>
      <c r="G87" s="663">
        <v>0.35872125556105416</v>
      </c>
      <c r="H87" s="663">
        <v>120.63288166670617</v>
      </c>
      <c r="I87" s="663">
        <v>0</v>
      </c>
      <c r="J87" s="663">
        <v>0</v>
      </c>
      <c r="K87" s="663">
        <v>0</v>
      </c>
      <c r="L87" s="663">
        <v>3.8185483520995893</v>
      </c>
      <c r="M87" s="663">
        <v>0</v>
      </c>
      <c r="N87" s="663">
        <v>4.0860505945061325</v>
      </c>
      <c r="O87" s="663">
        <v>0</v>
      </c>
      <c r="P87" s="663">
        <v>0</v>
      </c>
      <c r="Q87" s="663">
        <v>0</v>
      </c>
      <c r="R87" s="663">
        <v>0</v>
      </c>
      <c r="S87" s="663">
        <v>0</v>
      </c>
      <c r="T87" s="663">
        <v>0</v>
      </c>
      <c r="U87" s="665">
        <v>444.72347524392433</v>
      </c>
    </row>
    <row r="88" spans="3:21" ht="13">
      <c r="C88" s="662" t="s">
        <v>61</v>
      </c>
      <c r="D88" s="663">
        <v>0</v>
      </c>
      <c r="E88" s="663">
        <v>0</v>
      </c>
      <c r="F88" s="663">
        <v>-11.930293865877704</v>
      </c>
      <c r="G88" s="663">
        <v>0</v>
      </c>
      <c r="H88" s="663">
        <v>0</v>
      </c>
      <c r="I88" s="663">
        <v>0</v>
      </c>
      <c r="J88" s="663">
        <v>0</v>
      </c>
      <c r="K88" s="663">
        <v>0</v>
      </c>
      <c r="L88" s="663">
        <v>0</v>
      </c>
      <c r="M88" s="663">
        <v>0</v>
      </c>
      <c r="N88" s="663">
        <v>0</v>
      </c>
      <c r="O88" s="663">
        <v>0</v>
      </c>
      <c r="P88" s="663">
        <v>0</v>
      </c>
      <c r="Q88" s="663">
        <v>0</v>
      </c>
      <c r="R88" s="663">
        <v>-39.267637363013023</v>
      </c>
      <c r="S88" s="663">
        <v>0</v>
      </c>
      <c r="T88" s="663">
        <v>0</v>
      </c>
      <c r="U88" s="665">
        <v>-51.197931228890724</v>
      </c>
    </row>
    <row r="89" spans="3:21" ht="13">
      <c r="C89" s="662" t="s">
        <v>62</v>
      </c>
      <c r="D89" s="663">
        <v>0</v>
      </c>
      <c r="E89" s="663">
        <v>0</v>
      </c>
      <c r="F89" s="663">
        <v>-10.650864702914385</v>
      </c>
      <c r="G89" s="663">
        <v>-1.9080821969915447</v>
      </c>
      <c r="H89" s="663">
        <v>-4.5147113062781807</v>
      </c>
      <c r="I89" s="663">
        <v>0</v>
      </c>
      <c r="J89" s="663">
        <v>0</v>
      </c>
      <c r="K89" s="663">
        <v>0</v>
      </c>
      <c r="L89" s="663">
        <v>0</v>
      </c>
      <c r="M89" s="663">
        <v>0</v>
      </c>
      <c r="N89" s="663">
        <v>-0.48900468677593995</v>
      </c>
      <c r="O89" s="663">
        <v>-2.7436669996352929</v>
      </c>
      <c r="P89" s="663">
        <v>0</v>
      </c>
      <c r="Q89" s="663">
        <v>0</v>
      </c>
      <c r="R89" s="663">
        <v>0</v>
      </c>
      <c r="S89" s="663">
        <v>0</v>
      </c>
      <c r="T89" s="663">
        <v>0</v>
      </c>
      <c r="U89" s="665">
        <v>-20.306329892595343</v>
      </c>
    </row>
    <row r="90" spans="3:21" ht="13">
      <c r="C90" s="662" t="s">
        <v>63</v>
      </c>
      <c r="D90" s="663">
        <v>0</v>
      </c>
      <c r="E90" s="663">
        <v>0</v>
      </c>
      <c r="F90" s="663">
        <v>-52.2656340821949</v>
      </c>
      <c r="G90" s="663">
        <v>-8.2703034572776399</v>
      </c>
      <c r="H90" s="663">
        <v>0</v>
      </c>
      <c r="I90" s="663">
        <v>0</v>
      </c>
      <c r="J90" s="663">
        <v>0</v>
      </c>
      <c r="K90" s="663">
        <v>0</v>
      </c>
      <c r="L90" s="663">
        <v>0</v>
      </c>
      <c r="M90" s="663">
        <v>0</v>
      </c>
      <c r="N90" s="663">
        <v>-13.213101981709578</v>
      </c>
      <c r="O90" s="663">
        <v>0</v>
      </c>
      <c r="P90" s="663">
        <v>0</v>
      </c>
      <c r="Q90" s="663">
        <v>0</v>
      </c>
      <c r="R90" s="663">
        <v>0</v>
      </c>
      <c r="S90" s="663">
        <v>0</v>
      </c>
      <c r="T90" s="663">
        <v>-0.45605370393256905</v>
      </c>
      <c r="U90" s="665">
        <v>-74.20509322511468</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13.859177019435306</v>
      </c>
      <c r="E92" s="667">
        <v>298.46437759387055</v>
      </c>
      <c r="F92" s="667">
        <v>-69.017073889241487</v>
      </c>
      <c r="G92" s="667">
        <v>-9.8196643987081309</v>
      </c>
      <c r="H92" s="675">
        <v>116.15538636042798</v>
      </c>
      <c r="I92" s="667">
        <v>0</v>
      </c>
      <c r="J92" s="667">
        <v>964.52942056246673</v>
      </c>
      <c r="K92" s="667">
        <v>311.46236031836668</v>
      </c>
      <c r="L92" s="667">
        <v>298.3219001907633</v>
      </c>
      <c r="M92" s="667">
        <v>26.897654847027933</v>
      </c>
      <c r="N92" s="667">
        <v>-8.0638482428952756</v>
      </c>
      <c r="O92" s="667">
        <v>-2.579088015535528</v>
      </c>
      <c r="P92" s="667">
        <v>128.43983591306872</v>
      </c>
      <c r="Q92" s="667">
        <v>20.654107927982594</v>
      </c>
      <c r="R92" s="667">
        <v>-39.267637363013023</v>
      </c>
      <c r="S92" s="667">
        <v>0</v>
      </c>
      <c r="T92" s="667">
        <v>-0.45605370393256905</v>
      </c>
      <c r="U92" s="667">
        <v>2049.5808551200835</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0.36057808628354604</v>
      </c>
      <c r="G95" s="663">
        <v>0</v>
      </c>
      <c r="H95" s="663">
        <v>7.5839969390793698</v>
      </c>
      <c r="I95" s="663">
        <v>0</v>
      </c>
      <c r="J95" s="663">
        <v>964.52942056246673</v>
      </c>
      <c r="K95" s="663">
        <v>311.46236031836668</v>
      </c>
      <c r="L95" s="663">
        <v>22.176349392164049</v>
      </c>
      <c r="M95" s="663">
        <v>10.089931127123995</v>
      </c>
      <c r="N95" s="663">
        <v>5.3878161949008447</v>
      </c>
      <c r="O95" s="663">
        <v>2.0095680781151462</v>
      </c>
      <c r="P95" s="663">
        <v>0</v>
      </c>
      <c r="Q95" s="663">
        <v>4.9774137725284184</v>
      </c>
      <c r="R95" s="663">
        <v>-653.56257887708989</v>
      </c>
      <c r="S95" s="663">
        <v>0</v>
      </c>
      <c r="T95" s="663">
        <v>1.9189703578470259</v>
      </c>
      <c r="U95" s="671">
        <v>676.93382595178593</v>
      </c>
    </row>
    <row r="96" spans="3:21" ht="13">
      <c r="C96" s="670" t="s">
        <v>351</v>
      </c>
      <c r="D96" s="663">
        <v>0</v>
      </c>
      <c r="E96" s="663">
        <v>0</v>
      </c>
      <c r="F96" s="663">
        <v>0</v>
      </c>
      <c r="G96" s="663">
        <v>0</v>
      </c>
      <c r="H96" s="663">
        <v>9.2764090353058375</v>
      </c>
      <c r="I96" s="663">
        <v>0</v>
      </c>
      <c r="J96" s="663">
        <v>0</v>
      </c>
      <c r="K96" s="663">
        <v>0</v>
      </c>
      <c r="L96" s="663">
        <v>35.764224717869801</v>
      </c>
      <c r="M96" s="663">
        <v>14.37233701187753</v>
      </c>
      <c r="N96" s="663">
        <v>0</v>
      </c>
      <c r="O96" s="663">
        <v>5.4622758911360467</v>
      </c>
      <c r="P96" s="663">
        <v>0</v>
      </c>
      <c r="Q96" s="663">
        <v>10.952590418500169</v>
      </c>
      <c r="R96" s="663">
        <v>0</v>
      </c>
      <c r="S96" s="663">
        <v>-70.157887736076944</v>
      </c>
      <c r="T96" s="663">
        <v>0</v>
      </c>
      <c r="U96" s="671">
        <v>5.6699493386124447</v>
      </c>
    </row>
    <row r="97" spans="3:21" ht="13">
      <c r="C97" s="670" t="s">
        <v>352</v>
      </c>
      <c r="D97" s="663">
        <v>0</v>
      </c>
      <c r="E97" s="663">
        <v>0</v>
      </c>
      <c r="F97" s="663">
        <v>0</v>
      </c>
      <c r="G97" s="663">
        <v>0</v>
      </c>
      <c r="H97" s="663">
        <v>0</v>
      </c>
      <c r="I97" s="663">
        <v>0</v>
      </c>
      <c r="J97" s="663">
        <v>0</v>
      </c>
      <c r="K97" s="663">
        <v>0</v>
      </c>
      <c r="L97" s="663">
        <v>74.445335403224831</v>
      </c>
      <c r="M97" s="663">
        <v>0</v>
      </c>
      <c r="N97" s="663">
        <v>0</v>
      </c>
      <c r="O97" s="663">
        <v>-68.22829141881553</v>
      </c>
      <c r="P97" s="663">
        <v>0</v>
      </c>
      <c r="Q97" s="663">
        <v>0</v>
      </c>
      <c r="R97" s="663">
        <v>0</v>
      </c>
      <c r="S97" s="663">
        <v>0</v>
      </c>
      <c r="T97" s="663">
        <v>0</v>
      </c>
      <c r="U97" s="671">
        <v>6.2170439844093011</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309.28389692910912</v>
      </c>
      <c r="F99" s="663">
        <v>-306.20133621434456</v>
      </c>
      <c r="G99" s="663">
        <v>0</v>
      </c>
      <c r="H99" s="663">
        <v>0</v>
      </c>
      <c r="I99" s="663">
        <v>0</v>
      </c>
      <c r="J99" s="663">
        <v>0</v>
      </c>
      <c r="K99" s="663">
        <v>0</v>
      </c>
      <c r="L99" s="663">
        <v>0</v>
      </c>
      <c r="M99" s="663">
        <v>0</v>
      </c>
      <c r="N99" s="663">
        <v>0</v>
      </c>
      <c r="O99" s="663">
        <v>0</v>
      </c>
      <c r="P99" s="663">
        <v>0</v>
      </c>
      <c r="Q99" s="663">
        <v>0</v>
      </c>
      <c r="R99" s="663">
        <v>0</v>
      </c>
      <c r="S99" s="663">
        <v>0</v>
      </c>
      <c r="T99" s="663">
        <v>0</v>
      </c>
      <c r="U99" s="671">
        <v>3.0825607147645133</v>
      </c>
    </row>
    <row r="100" spans="3:21" ht="13">
      <c r="C100" s="670" t="s">
        <v>354</v>
      </c>
      <c r="D100" s="663">
        <v>0</v>
      </c>
      <c r="E100" s="663">
        <v>0</v>
      </c>
      <c r="F100" s="663">
        <v>0</v>
      </c>
      <c r="G100" s="663">
        <v>0</v>
      </c>
      <c r="H100" s="663">
        <v>0</v>
      </c>
      <c r="I100" s="663">
        <v>0</v>
      </c>
      <c r="J100" s="663">
        <v>0</v>
      </c>
      <c r="K100" s="663">
        <v>0</v>
      </c>
      <c r="L100" s="663">
        <v>106.10331078427467</v>
      </c>
      <c r="M100" s="663">
        <v>0</v>
      </c>
      <c r="N100" s="663">
        <v>-106.10331078427467</v>
      </c>
      <c r="O100" s="663">
        <v>0</v>
      </c>
      <c r="P100" s="663">
        <v>0</v>
      </c>
      <c r="Q100" s="663">
        <v>0</v>
      </c>
      <c r="R100" s="663">
        <v>0</v>
      </c>
      <c r="S100" s="663">
        <v>0</v>
      </c>
      <c r="T100" s="663">
        <v>0</v>
      </c>
      <c r="U100" s="671">
        <v>0</v>
      </c>
    </row>
    <row r="101" spans="3:21" ht="13">
      <c r="C101" s="670" t="s">
        <v>355</v>
      </c>
      <c r="D101" s="663">
        <v>0</v>
      </c>
      <c r="E101" s="663">
        <v>0</v>
      </c>
      <c r="F101" s="663">
        <v>0</v>
      </c>
      <c r="G101" s="663">
        <v>-16.310777823492739</v>
      </c>
      <c r="H101" s="663">
        <v>0</v>
      </c>
      <c r="I101" s="663">
        <v>0</v>
      </c>
      <c r="J101" s="663">
        <v>0</v>
      </c>
      <c r="K101" s="663">
        <v>0</v>
      </c>
      <c r="L101" s="663">
        <v>0</v>
      </c>
      <c r="M101" s="663">
        <v>0</v>
      </c>
      <c r="N101" s="663">
        <v>0</v>
      </c>
      <c r="O101" s="663">
        <v>0</v>
      </c>
      <c r="P101" s="663">
        <v>0</v>
      </c>
      <c r="Q101" s="663">
        <v>0</v>
      </c>
      <c r="R101" s="663">
        <v>0</v>
      </c>
      <c r="S101" s="663">
        <v>0</v>
      </c>
      <c r="T101" s="663">
        <v>22.716960756953675</v>
      </c>
      <c r="U101" s="671">
        <v>6.4061829334609364</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80.747003520407887</v>
      </c>
      <c r="S102" s="663">
        <v>0</v>
      </c>
      <c r="T102" s="663">
        <v>-54.746468386836547</v>
      </c>
      <c r="U102" s="671">
        <v>26.00053513357134</v>
      </c>
    </row>
    <row r="103" spans="3:21" ht="13">
      <c r="C103" s="670" t="s">
        <v>356</v>
      </c>
      <c r="D103" s="663">
        <v>7.7637663281249996</v>
      </c>
      <c r="E103" s="663">
        <v>-10.819519335238569</v>
      </c>
      <c r="F103" s="663">
        <v>14.100311366339174</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11.044558359225604</v>
      </c>
    </row>
    <row r="104" spans="3:21" ht="13">
      <c r="C104" s="670" t="s">
        <v>75</v>
      </c>
      <c r="D104" s="663">
        <v>3.0192424609374999</v>
      </c>
      <c r="E104" s="663">
        <v>0</v>
      </c>
      <c r="F104" s="663">
        <v>18.191659515376916</v>
      </c>
      <c r="G104" s="663">
        <v>0</v>
      </c>
      <c r="H104" s="663">
        <v>3.2664120682994437</v>
      </c>
      <c r="I104" s="663">
        <v>0</v>
      </c>
      <c r="J104" s="663">
        <v>0</v>
      </c>
      <c r="K104" s="663">
        <v>0</v>
      </c>
      <c r="L104" s="663">
        <v>0</v>
      </c>
      <c r="M104" s="663">
        <v>0</v>
      </c>
      <c r="N104" s="663">
        <v>0</v>
      </c>
      <c r="O104" s="663">
        <v>1.9850542794488581</v>
      </c>
      <c r="P104" s="663">
        <v>0</v>
      </c>
      <c r="Q104" s="663">
        <v>0</v>
      </c>
      <c r="R104" s="663">
        <v>23.96590055491529</v>
      </c>
      <c r="S104" s="663">
        <v>0</v>
      </c>
      <c r="T104" s="663">
        <v>0</v>
      </c>
      <c r="U104" s="671">
        <v>50.42826887897801</v>
      </c>
    </row>
    <row r="105" spans="3:21" ht="13">
      <c r="C105" s="670" t="s">
        <v>76</v>
      </c>
      <c r="D105" s="663">
        <v>0</v>
      </c>
      <c r="E105" s="663">
        <v>0</v>
      </c>
      <c r="F105" s="663">
        <v>0</v>
      </c>
      <c r="G105" s="663">
        <v>0</v>
      </c>
      <c r="H105" s="663">
        <v>1.3208205478094497</v>
      </c>
      <c r="I105" s="663">
        <v>0</v>
      </c>
      <c r="J105" s="663">
        <v>0</v>
      </c>
      <c r="K105" s="663">
        <v>0</v>
      </c>
      <c r="L105" s="663">
        <v>0</v>
      </c>
      <c r="M105" s="663">
        <v>0</v>
      </c>
      <c r="N105" s="663">
        <v>0</v>
      </c>
      <c r="O105" s="663">
        <v>0.80268515606426361</v>
      </c>
      <c r="P105" s="663">
        <v>0</v>
      </c>
      <c r="Q105" s="663">
        <v>0</v>
      </c>
      <c r="R105" s="663">
        <v>47.023558909206123</v>
      </c>
      <c r="S105" s="663">
        <v>5.4411740217158124</v>
      </c>
      <c r="T105" s="663">
        <v>0</v>
      </c>
      <c r="U105" s="671">
        <v>54.588238634795651</v>
      </c>
    </row>
    <row r="106" spans="3:21" ht="13">
      <c r="C106" s="666" t="s">
        <v>77</v>
      </c>
      <c r="D106" s="667">
        <v>10.783008789062499</v>
      </c>
      <c r="E106" s="667">
        <v>298.46437759387055</v>
      </c>
      <c r="F106" s="667">
        <v>-273.54878724634494</v>
      </c>
      <c r="G106" s="667">
        <v>-16.310777823492739</v>
      </c>
      <c r="H106" s="675">
        <v>21.447638590494105</v>
      </c>
      <c r="I106" s="667">
        <v>0</v>
      </c>
      <c r="J106" s="667">
        <v>964.52942056246673</v>
      </c>
      <c r="K106" s="667">
        <v>311.46236031836668</v>
      </c>
      <c r="L106" s="667">
        <v>238.48922029753334</v>
      </c>
      <c r="M106" s="667">
        <v>24.462268139001523</v>
      </c>
      <c r="N106" s="667">
        <v>-100.71549458937382</v>
      </c>
      <c r="O106" s="667">
        <v>-57.968708014051209</v>
      </c>
      <c r="P106" s="667">
        <v>0</v>
      </c>
      <c r="Q106" s="667">
        <v>15.930004191028587</v>
      </c>
      <c r="R106" s="667">
        <v>-501.82611589256055</v>
      </c>
      <c r="S106" s="667">
        <v>-64.71671371436112</v>
      </c>
      <c r="T106" s="667">
        <v>-30.110537272035845</v>
      </c>
      <c r="U106" s="667">
        <v>840.37116392960388</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3.0761682303728053</v>
      </c>
      <c r="E108" s="663">
        <v>0</v>
      </c>
      <c r="F108" s="663">
        <v>6.6351508306047968</v>
      </c>
      <c r="G108" s="663">
        <v>0</v>
      </c>
      <c r="H108" s="663">
        <v>38.528321178569939</v>
      </c>
      <c r="I108" s="663">
        <v>0</v>
      </c>
      <c r="J108" s="663">
        <v>0</v>
      </c>
      <c r="K108" s="663">
        <v>0</v>
      </c>
      <c r="L108" s="663">
        <v>20.031105646676835</v>
      </c>
      <c r="M108" s="663">
        <v>2.4349588281846541</v>
      </c>
      <c r="N108" s="663">
        <v>1.8349433718750003</v>
      </c>
      <c r="O108" s="663">
        <v>23.451101372697913</v>
      </c>
      <c r="P108" s="663">
        <v>6.8164926757812498</v>
      </c>
      <c r="Q108" s="663">
        <v>7.4990210834655101E-4</v>
      </c>
      <c r="R108" s="663">
        <v>132.01210341841889</v>
      </c>
      <c r="S108" s="663">
        <v>18.207144124668375</v>
      </c>
      <c r="T108" s="663">
        <v>4.1350366210937501</v>
      </c>
      <c r="U108" s="671">
        <v>257.16327620105255</v>
      </c>
    </row>
    <row r="109" spans="3:21" ht="13">
      <c r="C109" s="670" t="s">
        <v>79</v>
      </c>
      <c r="D109" s="663">
        <v>0</v>
      </c>
      <c r="E109" s="663">
        <v>0</v>
      </c>
      <c r="F109" s="663">
        <v>110.91379205811297</v>
      </c>
      <c r="G109" s="663">
        <v>0.7006243456433674</v>
      </c>
      <c r="H109" s="663">
        <v>3.7872267703464977</v>
      </c>
      <c r="I109" s="663">
        <v>0</v>
      </c>
      <c r="J109" s="663">
        <v>0</v>
      </c>
      <c r="K109" s="663">
        <v>0</v>
      </c>
      <c r="L109" s="663">
        <v>0</v>
      </c>
      <c r="M109" s="663">
        <v>0</v>
      </c>
      <c r="N109" s="663">
        <v>63.547118628094331</v>
      </c>
      <c r="O109" s="663">
        <v>2.3015622495031773</v>
      </c>
      <c r="P109" s="663">
        <v>0</v>
      </c>
      <c r="Q109" s="663">
        <v>0</v>
      </c>
      <c r="R109" s="663">
        <v>74.297767208409297</v>
      </c>
      <c r="S109" s="663">
        <v>0</v>
      </c>
      <c r="T109" s="663">
        <v>2.9567259991236208</v>
      </c>
      <c r="U109" s="671">
        <v>258.50481725923328</v>
      </c>
    </row>
    <row r="110" spans="3:21" ht="13">
      <c r="C110" s="670" t="s">
        <v>80</v>
      </c>
      <c r="D110" s="663">
        <v>0</v>
      </c>
      <c r="E110" s="663">
        <v>0</v>
      </c>
      <c r="F110" s="663">
        <v>2.6564398035767778</v>
      </c>
      <c r="G110" s="663">
        <v>0</v>
      </c>
      <c r="H110" s="663">
        <v>28.69836522821614</v>
      </c>
      <c r="I110" s="663">
        <v>0</v>
      </c>
      <c r="J110" s="663">
        <v>0</v>
      </c>
      <c r="K110" s="663">
        <v>0</v>
      </c>
      <c r="L110" s="663">
        <v>35.896639108009097</v>
      </c>
      <c r="M110" s="663">
        <v>0</v>
      </c>
      <c r="N110" s="663">
        <v>0</v>
      </c>
      <c r="O110" s="663">
        <v>17.440485621005948</v>
      </c>
      <c r="P110" s="663">
        <v>97.288022909546527</v>
      </c>
      <c r="Q110" s="663">
        <v>2.574236293616976</v>
      </c>
      <c r="R110" s="663">
        <v>153.30644884049457</v>
      </c>
      <c r="S110" s="663">
        <v>27.523160685886953</v>
      </c>
      <c r="T110" s="663">
        <v>0</v>
      </c>
      <c r="U110" s="671">
        <v>365.383798490353</v>
      </c>
    </row>
    <row r="111" spans="3:21" ht="13">
      <c r="C111" s="670" t="s">
        <v>81</v>
      </c>
      <c r="D111" s="663">
        <v>0</v>
      </c>
      <c r="E111" s="663">
        <v>0</v>
      </c>
      <c r="F111" s="663">
        <v>2.1807410006338563</v>
      </c>
      <c r="G111" s="663">
        <v>0</v>
      </c>
      <c r="H111" s="663">
        <v>15.077359159365459</v>
      </c>
      <c r="I111" s="663">
        <v>0</v>
      </c>
      <c r="J111" s="663">
        <v>0</v>
      </c>
      <c r="K111" s="663">
        <v>0</v>
      </c>
      <c r="L111" s="663">
        <v>0.41672235765550286</v>
      </c>
      <c r="M111" s="663">
        <v>4.2787984175547016E-4</v>
      </c>
      <c r="N111" s="663">
        <v>0</v>
      </c>
      <c r="O111" s="663">
        <v>9.1627681064954078</v>
      </c>
      <c r="P111" s="663">
        <v>23.435320327740932</v>
      </c>
      <c r="Q111" s="663">
        <v>0.98358432216492664</v>
      </c>
      <c r="R111" s="663">
        <v>94.082065678581444</v>
      </c>
      <c r="S111" s="663">
        <v>18.986408903805792</v>
      </c>
      <c r="T111" s="663">
        <v>0</v>
      </c>
      <c r="U111" s="671">
        <v>164.32539773628508</v>
      </c>
    </row>
    <row r="112" spans="3:21" ht="13">
      <c r="C112" s="670" t="s">
        <v>82</v>
      </c>
      <c r="D112" s="663">
        <v>0</v>
      </c>
      <c r="E112" s="663">
        <v>0</v>
      </c>
      <c r="F112" s="663">
        <v>12.977219358559188</v>
      </c>
      <c r="G112" s="663">
        <v>1</v>
      </c>
      <c r="H112" s="663">
        <v>1.1408122878946925</v>
      </c>
      <c r="I112" s="663">
        <v>0</v>
      </c>
      <c r="J112" s="663">
        <v>0</v>
      </c>
      <c r="K112" s="663">
        <v>0</v>
      </c>
      <c r="L112" s="663">
        <v>3.1334095930613137</v>
      </c>
      <c r="M112" s="663">
        <v>0</v>
      </c>
      <c r="N112" s="663">
        <v>12.27694106679661</v>
      </c>
      <c r="O112" s="663">
        <v>0.69329106884918612</v>
      </c>
      <c r="P112" s="663">
        <v>0.9</v>
      </c>
      <c r="Q112" s="663">
        <v>1.1655332190637568</v>
      </c>
      <c r="R112" s="663">
        <v>7.7417893836432903</v>
      </c>
      <c r="S112" s="663">
        <v>0</v>
      </c>
      <c r="T112" s="663">
        <v>0.29485655237537339</v>
      </c>
      <c r="U112" s="671">
        <v>41.3238525302434</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1.118304</v>
      </c>
      <c r="S113" s="663">
        <v>0</v>
      </c>
      <c r="T113" s="663">
        <v>0</v>
      </c>
      <c r="U113" s="671">
        <v>1.118304</v>
      </c>
    </row>
    <row r="114" spans="3:21" ht="13">
      <c r="C114" s="666" t="s">
        <v>83</v>
      </c>
      <c r="D114" s="667">
        <v>3.0761682303728053</v>
      </c>
      <c r="E114" s="667">
        <v>0</v>
      </c>
      <c r="F114" s="667">
        <v>135.36334305148762</v>
      </c>
      <c r="G114" s="667">
        <v>1.7006243456433674</v>
      </c>
      <c r="H114" s="675">
        <v>87.232084624392726</v>
      </c>
      <c r="I114" s="667">
        <v>0</v>
      </c>
      <c r="J114" s="667">
        <v>0</v>
      </c>
      <c r="K114" s="667">
        <v>0</v>
      </c>
      <c r="L114" s="667">
        <v>59.47787670540275</v>
      </c>
      <c r="M114" s="667">
        <v>2.4353867080264098</v>
      </c>
      <c r="N114" s="667">
        <v>77.659003066765948</v>
      </c>
      <c r="O114" s="667">
        <v>53.049208418551629</v>
      </c>
      <c r="P114" s="667">
        <v>128.43983591306872</v>
      </c>
      <c r="Q114" s="667">
        <v>4.7241037369540066</v>
      </c>
      <c r="R114" s="667">
        <v>462.55847852954759</v>
      </c>
      <c r="S114" s="667">
        <v>64.71671371436112</v>
      </c>
      <c r="T114" s="667">
        <v>7.3866191725927441</v>
      </c>
      <c r="U114" s="667">
        <v>1087.8194462171675</v>
      </c>
    </row>
    <row r="115" spans="3:21" ht="13">
      <c r="C115" s="662" t="s">
        <v>84</v>
      </c>
      <c r="D115" s="663">
        <v>0</v>
      </c>
      <c r="E115" s="663">
        <v>0</v>
      </c>
      <c r="F115" s="663">
        <v>69.168370305615824</v>
      </c>
      <c r="G115" s="663">
        <v>4.7904890791412402</v>
      </c>
      <c r="H115" s="663">
        <v>7.4756631455411453</v>
      </c>
      <c r="I115" s="663">
        <v>0</v>
      </c>
      <c r="J115" s="663">
        <v>0</v>
      </c>
      <c r="K115" s="663">
        <v>0</v>
      </c>
      <c r="L115" s="663">
        <v>0.35480318782723769</v>
      </c>
      <c r="M115" s="663">
        <v>0</v>
      </c>
      <c r="N115" s="663">
        <v>14.992643279712595</v>
      </c>
      <c r="O115" s="663">
        <v>2.3404115799640408</v>
      </c>
      <c r="P115" s="663">
        <v>0</v>
      </c>
      <c r="Q115" s="663">
        <v>0</v>
      </c>
      <c r="R115" s="663">
        <v>0</v>
      </c>
      <c r="S115" s="663">
        <v>0</v>
      </c>
      <c r="T115" s="663">
        <v>22.267864395510532</v>
      </c>
      <c r="U115" s="671">
        <v>121.39024497331262</v>
      </c>
    </row>
    <row r="116" spans="3:21" ht="13">
      <c r="C116" s="666" t="s">
        <v>85</v>
      </c>
      <c r="D116" s="667">
        <v>3.0761682303728053</v>
      </c>
      <c r="E116" s="667">
        <v>0</v>
      </c>
      <c r="F116" s="667">
        <v>204.53171335710346</v>
      </c>
      <c r="G116" s="667">
        <v>6.4911134247846078</v>
      </c>
      <c r="H116" s="675">
        <v>94.707747769933874</v>
      </c>
      <c r="I116" s="667">
        <v>0</v>
      </c>
      <c r="J116" s="667">
        <v>0</v>
      </c>
      <c r="K116" s="667">
        <v>0</v>
      </c>
      <c r="L116" s="667">
        <v>59.832679893229987</v>
      </c>
      <c r="M116" s="667">
        <v>2.4353867080264098</v>
      </c>
      <c r="N116" s="667">
        <v>92.651646346478543</v>
      </c>
      <c r="O116" s="667">
        <v>55.38961999851567</v>
      </c>
      <c r="P116" s="667">
        <v>128.43983591306872</v>
      </c>
      <c r="Q116" s="667">
        <v>4.7241037369540066</v>
      </c>
      <c r="R116" s="667">
        <v>462.55847852954759</v>
      </c>
      <c r="S116" s="667">
        <v>64.71671371436112</v>
      </c>
      <c r="T116" s="667">
        <v>29.654483568103277</v>
      </c>
      <c r="U116" s="667">
        <v>1209.20969119048</v>
      </c>
    </row>
    <row r="117" spans="3:21">
      <c r="C117" s="654"/>
      <c r="D117" s="672">
        <v>0</v>
      </c>
      <c r="E117" s="672">
        <v>0</v>
      </c>
      <c r="F117" s="672">
        <v>0</v>
      </c>
      <c r="G117" s="672">
        <v>0</v>
      </c>
      <c r="H117" s="672">
        <v>0</v>
      </c>
      <c r="I117" s="672">
        <v>0</v>
      </c>
      <c r="J117" s="672">
        <v>0</v>
      </c>
      <c r="K117" s="672">
        <v>0</v>
      </c>
      <c r="L117" s="672">
        <v>0</v>
      </c>
      <c r="M117" s="672">
        <v>0</v>
      </c>
      <c r="N117" s="672">
        <v>0</v>
      </c>
      <c r="O117" s="672">
        <v>-1.1546319456101628E-14</v>
      </c>
      <c r="P117" s="672">
        <v>0</v>
      </c>
      <c r="Q117" s="672">
        <v>0</v>
      </c>
      <c r="R117" s="672">
        <v>5.6843418860808015E-14</v>
      </c>
      <c r="S117" s="672">
        <v>0</v>
      </c>
      <c r="T117" s="672">
        <v>9.9920072216264089E-16</v>
      </c>
      <c r="U117" s="672">
        <v>0</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363</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0</v>
      </c>
      <c r="F123" s="663">
        <v>0</v>
      </c>
      <c r="G123" s="663">
        <v>0</v>
      </c>
      <c r="H123" s="663">
        <v>0</v>
      </c>
      <c r="I123" s="663">
        <v>0</v>
      </c>
      <c r="J123" s="664">
        <v>965.91438750259681</v>
      </c>
      <c r="K123" s="664">
        <v>340.77058420783555</v>
      </c>
      <c r="L123" s="664">
        <v>306.24907142960961</v>
      </c>
      <c r="M123" s="664">
        <v>26.996685887157991</v>
      </c>
      <c r="N123" s="663">
        <v>1.5769202529293118</v>
      </c>
      <c r="O123" s="663">
        <v>0.16705675062100381</v>
      </c>
      <c r="P123" s="664">
        <v>137.63232647396575</v>
      </c>
      <c r="Q123" s="664">
        <v>22.505061443653027</v>
      </c>
      <c r="R123" s="663">
        <v>0</v>
      </c>
      <c r="S123" s="663">
        <v>0</v>
      </c>
      <c r="T123" s="663">
        <v>0</v>
      </c>
      <c r="U123" s="665">
        <v>1801.812093948369</v>
      </c>
    </row>
    <row r="124" spans="3:21" ht="13">
      <c r="C124" s="662" t="s">
        <v>60</v>
      </c>
      <c r="D124" s="663">
        <v>12.402103294712147</v>
      </c>
      <c r="E124" s="663">
        <v>267.59952869557856</v>
      </c>
      <c r="F124" s="663">
        <v>4.6624671135986846</v>
      </c>
      <c r="G124" s="663">
        <v>0</v>
      </c>
      <c r="H124" s="663">
        <v>96.376212667923994</v>
      </c>
      <c r="I124" s="663">
        <v>0</v>
      </c>
      <c r="J124" s="663">
        <v>0</v>
      </c>
      <c r="K124" s="663">
        <v>0</v>
      </c>
      <c r="L124" s="663">
        <v>4.1311012816916577</v>
      </c>
      <c r="M124" s="663">
        <v>0</v>
      </c>
      <c r="N124" s="663">
        <v>4.3268221557656901</v>
      </c>
      <c r="O124" s="663">
        <v>0</v>
      </c>
      <c r="P124" s="663">
        <v>0</v>
      </c>
      <c r="Q124" s="663">
        <v>0</v>
      </c>
      <c r="R124" s="663">
        <v>0</v>
      </c>
      <c r="S124" s="663">
        <v>0</v>
      </c>
      <c r="T124" s="663">
        <v>0</v>
      </c>
      <c r="U124" s="665">
        <v>389.49823520927077</v>
      </c>
    </row>
    <row r="125" spans="3:21" ht="13">
      <c r="C125" s="662" t="s">
        <v>61</v>
      </c>
      <c r="D125" s="663">
        <v>0</v>
      </c>
      <c r="E125" s="663">
        <v>0</v>
      </c>
      <c r="F125" s="663">
        <v>-48.857560720144178</v>
      </c>
      <c r="G125" s="663">
        <v>-1.2901681691857902E-2</v>
      </c>
      <c r="H125" s="663">
        <v>0</v>
      </c>
      <c r="I125" s="663">
        <v>0</v>
      </c>
      <c r="J125" s="663">
        <v>0</v>
      </c>
      <c r="K125" s="663">
        <v>0</v>
      </c>
      <c r="L125" s="663">
        <v>0</v>
      </c>
      <c r="M125" s="663">
        <v>0</v>
      </c>
      <c r="N125" s="663">
        <v>0</v>
      </c>
      <c r="O125" s="663">
        <v>0</v>
      </c>
      <c r="P125" s="663">
        <v>0</v>
      </c>
      <c r="Q125" s="663">
        <v>0</v>
      </c>
      <c r="R125" s="663">
        <v>-40.000273468658179</v>
      </c>
      <c r="S125" s="663">
        <v>0</v>
      </c>
      <c r="T125" s="663">
        <v>0</v>
      </c>
      <c r="U125" s="665">
        <v>-88.870735870494215</v>
      </c>
    </row>
    <row r="126" spans="3:21" ht="13">
      <c r="C126" s="662" t="s">
        <v>62</v>
      </c>
      <c r="D126" s="663">
        <v>0</v>
      </c>
      <c r="E126" s="663">
        <v>0</v>
      </c>
      <c r="F126" s="663">
        <v>-9.1118704229779723</v>
      </c>
      <c r="G126" s="663">
        <v>-2.3970976911906821</v>
      </c>
      <c r="H126" s="663">
        <v>-2.3731267142787753</v>
      </c>
      <c r="I126" s="663">
        <v>0</v>
      </c>
      <c r="J126" s="663">
        <v>0</v>
      </c>
      <c r="K126" s="663">
        <v>0</v>
      </c>
      <c r="L126" s="663">
        <v>0</v>
      </c>
      <c r="M126" s="663">
        <v>0</v>
      </c>
      <c r="N126" s="663">
        <v>-0.47941953823813638</v>
      </c>
      <c r="O126" s="663">
        <v>-1.9416491298644523</v>
      </c>
      <c r="P126" s="663">
        <v>0</v>
      </c>
      <c r="Q126" s="663">
        <v>0</v>
      </c>
      <c r="R126" s="663">
        <v>0</v>
      </c>
      <c r="S126" s="663">
        <v>0</v>
      </c>
      <c r="T126" s="663">
        <v>0</v>
      </c>
      <c r="U126" s="665">
        <v>-16.30316349655002</v>
      </c>
    </row>
    <row r="127" spans="3:21" ht="13">
      <c r="C127" s="662" t="s">
        <v>63</v>
      </c>
      <c r="D127" s="663">
        <v>0</v>
      </c>
      <c r="E127" s="663">
        <v>0</v>
      </c>
      <c r="F127" s="663">
        <v>-46.962205061788246</v>
      </c>
      <c r="G127" s="663">
        <v>-11.133901046695911</v>
      </c>
      <c r="H127" s="663">
        <v>0</v>
      </c>
      <c r="I127" s="663">
        <v>0</v>
      </c>
      <c r="J127" s="663">
        <v>0</v>
      </c>
      <c r="K127" s="663">
        <v>0</v>
      </c>
      <c r="L127" s="663">
        <v>0</v>
      </c>
      <c r="M127" s="663">
        <v>0</v>
      </c>
      <c r="N127" s="663">
        <v>-14.072022489882162</v>
      </c>
      <c r="O127" s="663">
        <v>0</v>
      </c>
      <c r="P127" s="663">
        <v>0</v>
      </c>
      <c r="Q127" s="663">
        <v>0</v>
      </c>
      <c r="R127" s="663">
        <v>0</v>
      </c>
      <c r="S127" s="663">
        <v>0</v>
      </c>
      <c r="T127" s="663">
        <v>-0.66460812232862176</v>
      </c>
      <c r="U127" s="665">
        <v>-72.832736720694939</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12.402103294712147</v>
      </c>
      <c r="E129" s="667">
        <v>267.59952869557856</v>
      </c>
      <c r="F129" s="667">
        <v>-100.26916909131171</v>
      </c>
      <c r="G129" s="667">
        <v>-13.543900419578451</v>
      </c>
      <c r="H129" s="675">
        <v>94.003085953645225</v>
      </c>
      <c r="I129" s="667">
        <v>0</v>
      </c>
      <c r="J129" s="667">
        <v>965.91438750259681</v>
      </c>
      <c r="K129" s="667">
        <v>340.77058420783555</v>
      </c>
      <c r="L129" s="667">
        <v>310.38017271130127</v>
      </c>
      <c r="M129" s="667">
        <v>26.996685887157991</v>
      </c>
      <c r="N129" s="667">
        <v>-8.647699619425298</v>
      </c>
      <c r="O129" s="667">
        <v>-1.7745923792434484</v>
      </c>
      <c r="P129" s="667">
        <v>137.63232647396575</v>
      </c>
      <c r="Q129" s="667">
        <v>22.505061443653027</v>
      </c>
      <c r="R129" s="667">
        <v>-40.000273468658179</v>
      </c>
      <c r="S129" s="667">
        <v>0</v>
      </c>
      <c r="T129" s="667">
        <v>-0.66460812232862176</v>
      </c>
      <c r="U129" s="667">
        <v>2013.3036930699004</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6.6151953400033478E-2</v>
      </c>
      <c r="G132" s="663">
        <v>0</v>
      </c>
      <c r="H132" s="663">
        <v>5.4310272511854434</v>
      </c>
      <c r="I132" s="663">
        <v>0</v>
      </c>
      <c r="J132" s="663">
        <v>965.91438750259681</v>
      </c>
      <c r="K132" s="663">
        <v>340.77058420783555</v>
      </c>
      <c r="L132" s="663">
        <v>20.176267010584041</v>
      </c>
      <c r="M132" s="663">
        <v>10.227645630646329</v>
      </c>
      <c r="N132" s="663">
        <v>5.6269378379330357</v>
      </c>
      <c r="O132" s="663">
        <v>1.4716569620482758</v>
      </c>
      <c r="P132" s="663">
        <v>0</v>
      </c>
      <c r="Q132" s="663">
        <v>6.4327567473291545</v>
      </c>
      <c r="R132" s="663">
        <v>-682.09415881935547</v>
      </c>
      <c r="S132" s="663">
        <v>0</v>
      </c>
      <c r="T132" s="663">
        <v>3.1982839297450432</v>
      </c>
      <c r="U132" s="671">
        <v>677.22154021394851</v>
      </c>
    </row>
    <row r="133" spans="3:21" ht="13">
      <c r="C133" s="670" t="s">
        <v>351</v>
      </c>
      <c r="D133" s="663">
        <v>0</v>
      </c>
      <c r="E133" s="663">
        <v>0</v>
      </c>
      <c r="F133" s="663">
        <v>0</v>
      </c>
      <c r="G133" s="663">
        <v>0</v>
      </c>
      <c r="H133" s="663">
        <v>7.4585129183309293</v>
      </c>
      <c r="I133" s="663">
        <v>0</v>
      </c>
      <c r="J133" s="663">
        <v>0</v>
      </c>
      <c r="K133" s="663">
        <v>0</v>
      </c>
      <c r="L133" s="663">
        <v>35.547730315639996</v>
      </c>
      <c r="M133" s="663">
        <v>14.387113593265058</v>
      </c>
      <c r="N133" s="663">
        <v>0</v>
      </c>
      <c r="O133" s="663">
        <v>6.1169134542385972</v>
      </c>
      <c r="P133" s="663">
        <v>0</v>
      </c>
      <c r="Q133" s="663">
        <v>11.02899005085181</v>
      </c>
      <c r="R133" s="663">
        <v>0</v>
      </c>
      <c r="S133" s="663">
        <v>-69.303608577230833</v>
      </c>
      <c r="T133" s="663">
        <v>0</v>
      </c>
      <c r="U133" s="671">
        <v>5.235651755095569</v>
      </c>
    </row>
    <row r="134" spans="3:21" ht="13">
      <c r="C134" s="670" t="s">
        <v>352</v>
      </c>
      <c r="D134" s="663">
        <v>0</v>
      </c>
      <c r="E134" s="663">
        <v>0</v>
      </c>
      <c r="F134" s="663">
        <v>0</v>
      </c>
      <c r="G134" s="663">
        <v>0</v>
      </c>
      <c r="H134" s="663">
        <v>0</v>
      </c>
      <c r="I134" s="663">
        <v>0</v>
      </c>
      <c r="J134" s="663">
        <v>0</v>
      </c>
      <c r="K134" s="663">
        <v>0</v>
      </c>
      <c r="L134" s="663">
        <v>78.995354979464977</v>
      </c>
      <c r="M134" s="663">
        <v>0</v>
      </c>
      <c r="N134" s="663">
        <v>0</v>
      </c>
      <c r="O134" s="663">
        <v>-72.973515141642281</v>
      </c>
      <c r="P134" s="663">
        <v>0</v>
      </c>
      <c r="Q134" s="663">
        <v>0</v>
      </c>
      <c r="R134" s="663">
        <v>0</v>
      </c>
      <c r="S134" s="663">
        <v>0</v>
      </c>
      <c r="T134" s="663">
        <v>0</v>
      </c>
      <c r="U134" s="671">
        <v>6.0218398378226965</v>
      </c>
    </row>
    <row r="135" spans="3:21" ht="13">
      <c r="C135" s="670" t="s">
        <v>353</v>
      </c>
      <c r="D135" s="663">
        <v>0</v>
      </c>
      <c r="E135" s="663">
        <v>0</v>
      </c>
      <c r="F135" s="663">
        <v>0</v>
      </c>
      <c r="G135" s="663">
        <v>0</v>
      </c>
      <c r="H135" s="663">
        <v>0</v>
      </c>
      <c r="I135" s="663">
        <v>0</v>
      </c>
      <c r="J135" s="663">
        <v>0</v>
      </c>
      <c r="K135" s="663">
        <v>0</v>
      </c>
      <c r="L135" s="663">
        <v>0</v>
      </c>
      <c r="M135" s="663">
        <v>0</v>
      </c>
      <c r="N135" s="663">
        <v>0</v>
      </c>
      <c r="O135" s="663">
        <v>0</v>
      </c>
      <c r="P135" s="663">
        <v>0</v>
      </c>
      <c r="Q135" s="663">
        <v>0</v>
      </c>
      <c r="R135" s="663">
        <v>0</v>
      </c>
      <c r="S135" s="663">
        <v>0</v>
      </c>
      <c r="T135" s="663">
        <v>0</v>
      </c>
      <c r="U135" s="671">
        <v>0</v>
      </c>
    </row>
    <row r="136" spans="3:21" ht="13">
      <c r="C136" s="670" t="s">
        <v>72</v>
      </c>
      <c r="D136" s="663">
        <v>0</v>
      </c>
      <c r="E136" s="663">
        <v>277.28994248668886</v>
      </c>
      <c r="F136" s="663">
        <v>-274.5252708068171</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2.7646716798717357</v>
      </c>
    </row>
    <row r="137" spans="3:21" ht="13">
      <c r="C137" s="670" t="s">
        <v>354</v>
      </c>
      <c r="D137" s="663">
        <v>0</v>
      </c>
      <c r="E137" s="663">
        <v>0</v>
      </c>
      <c r="F137" s="663">
        <v>0</v>
      </c>
      <c r="G137" s="663">
        <v>0</v>
      </c>
      <c r="H137" s="663">
        <v>0</v>
      </c>
      <c r="I137" s="663">
        <v>0</v>
      </c>
      <c r="J137" s="663">
        <v>0</v>
      </c>
      <c r="K137" s="663">
        <v>0</v>
      </c>
      <c r="L137" s="663">
        <v>117.50933865541684</v>
      </c>
      <c r="M137" s="663">
        <v>0</v>
      </c>
      <c r="N137" s="663">
        <v>-117.50933865541684</v>
      </c>
      <c r="O137" s="663">
        <v>0</v>
      </c>
      <c r="P137" s="663">
        <v>0</v>
      </c>
      <c r="Q137" s="663">
        <v>0</v>
      </c>
      <c r="R137" s="663">
        <v>0</v>
      </c>
      <c r="S137" s="663">
        <v>0</v>
      </c>
      <c r="T137" s="663">
        <v>0</v>
      </c>
      <c r="U137" s="671">
        <v>0</v>
      </c>
    </row>
    <row r="138" spans="3:21" ht="13">
      <c r="C138" s="670" t="s">
        <v>355</v>
      </c>
      <c r="D138" s="663">
        <v>0</v>
      </c>
      <c r="E138" s="663">
        <v>0</v>
      </c>
      <c r="F138" s="663">
        <v>0</v>
      </c>
      <c r="G138" s="663">
        <v>-21.910962558722186</v>
      </c>
      <c r="H138" s="663">
        <v>0</v>
      </c>
      <c r="I138" s="663">
        <v>0</v>
      </c>
      <c r="J138" s="663">
        <v>0</v>
      </c>
      <c r="K138" s="663">
        <v>0</v>
      </c>
      <c r="L138" s="663">
        <v>0</v>
      </c>
      <c r="M138" s="663">
        <v>0</v>
      </c>
      <c r="N138" s="663">
        <v>0</v>
      </c>
      <c r="O138" s="663">
        <v>0</v>
      </c>
      <c r="P138" s="663">
        <v>0</v>
      </c>
      <c r="Q138" s="663">
        <v>0</v>
      </c>
      <c r="R138" s="663">
        <v>0</v>
      </c>
      <c r="S138" s="663">
        <v>0</v>
      </c>
      <c r="T138" s="663">
        <v>30.516660945295527</v>
      </c>
      <c r="U138" s="671">
        <v>8.6056983865733407</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99.340394157506324</v>
      </c>
      <c r="S139" s="663">
        <v>0</v>
      </c>
      <c r="T139" s="663">
        <v>-68.048169997891833</v>
      </c>
      <c r="U139" s="671">
        <v>31.292224159614491</v>
      </c>
    </row>
    <row r="140" spans="3:21" ht="13">
      <c r="C140" s="670" t="s">
        <v>356</v>
      </c>
      <c r="D140" s="663">
        <v>6.9248988281249995</v>
      </c>
      <c r="E140" s="663">
        <v>-9.6904137911102683</v>
      </c>
      <c r="F140" s="663">
        <v>12.633678677299837</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9.8681637143145693</v>
      </c>
    </row>
    <row r="141" spans="3:21" ht="13">
      <c r="C141" s="670" t="s">
        <v>75</v>
      </c>
      <c r="D141" s="663">
        <v>2.6930162109375</v>
      </c>
      <c r="E141" s="663">
        <v>0</v>
      </c>
      <c r="F141" s="663">
        <v>17.882981772477446</v>
      </c>
      <c r="G141" s="663">
        <v>0</v>
      </c>
      <c r="H141" s="663">
        <v>2.8438669910513061</v>
      </c>
      <c r="I141" s="663">
        <v>0</v>
      </c>
      <c r="J141" s="663">
        <v>0</v>
      </c>
      <c r="K141" s="663">
        <v>0</v>
      </c>
      <c r="L141" s="663">
        <v>0</v>
      </c>
      <c r="M141" s="663">
        <v>0</v>
      </c>
      <c r="N141" s="663">
        <v>0</v>
      </c>
      <c r="O141" s="663">
        <v>2.3268002654056139</v>
      </c>
      <c r="P141" s="663">
        <v>0</v>
      </c>
      <c r="Q141" s="663">
        <v>0</v>
      </c>
      <c r="R141" s="663">
        <v>23.896357926698794</v>
      </c>
      <c r="S141" s="663">
        <v>0</v>
      </c>
      <c r="T141" s="663">
        <v>0</v>
      </c>
      <c r="U141" s="671">
        <v>49.643023166570657</v>
      </c>
    </row>
    <row r="142" spans="3:21" ht="13">
      <c r="C142" s="670" t="s">
        <v>76</v>
      </c>
      <c r="D142" s="663">
        <v>0</v>
      </c>
      <c r="E142" s="663">
        <v>0</v>
      </c>
      <c r="F142" s="663">
        <v>0</v>
      </c>
      <c r="G142" s="663">
        <v>0</v>
      </c>
      <c r="H142" s="663">
        <v>1.042848686512976</v>
      </c>
      <c r="I142" s="663">
        <v>0</v>
      </c>
      <c r="J142" s="663">
        <v>0</v>
      </c>
      <c r="K142" s="663">
        <v>0</v>
      </c>
      <c r="L142" s="663">
        <v>0</v>
      </c>
      <c r="M142" s="663">
        <v>0</v>
      </c>
      <c r="N142" s="663">
        <v>0</v>
      </c>
      <c r="O142" s="663">
        <v>0.85323983441970752</v>
      </c>
      <c r="P142" s="663">
        <v>0</v>
      </c>
      <c r="Q142" s="663">
        <v>0</v>
      </c>
      <c r="R142" s="663">
        <v>49.147245311640418</v>
      </c>
      <c r="S142" s="663">
        <v>5.3750429512534854</v>
      </c>
      <c r="T142" s="663">
        <v>0</v>
      </c>
      <c r="U142" s="671">
        <v>56.418376783826595</v>
      </c>
    </row>
    <row r="143" spans="3:21" ht="13">
      <c r="C143" s="666" t="s">
        <v>77</v>
      </c>
      <c r="D143" s="667">
        <v>9.617915039062499</v>
      </c>
      <c r="E143" s="667">
        <v>267.59952869557856</v>
      </c>
      <c r="F143" s="667">
        <v>-243.94245840363976</v>
      </c>
      <c r="G143" s="667">
        <v>-21.910962558722186</v>
      </c>
      <c r="H143" s="675">
        <v>16.776255847080655</v>
      </c>
      <c r="I143" s="667">
        <v>0</v>
      </c>
      <c r="J143" s="667">
        <v>965.91438750259681</v>
      </c>
      <c r="K143" s="667">
        <v>340.77058420783555</v>
      </c>
      <c r="L143" s="667">
        <v>252.22869096110585</v>
      </c>
      <c r="M143" s="667">
        <v>24.614759223911388</v>
      </c>
      <c r="N143" s="667">
        <v>-111.8824008174838</v>
      </c>
      <c r="O143" s="667">
        <v>-62.204904625530084</v>
      </c>
      <c r="P143" s="667">
        <v>0</v>
      </c>
      <c r="Q143" s="667">
        <v>17.461746798180965</v>
      </c>
      <c r="R143" s="667">
        <v>-509.71016142350987</v>
      </c>
      <c r="S143" s="667">
        <v>-63.928565625977342</v>
      </c>
      <c r="T143" s="667">
        <v>-34.33322512285126</v>
      </c>
      <c r="U143" s="667">
        <v>847.07118969763815</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2.7841882556496467</v>
      </c>
      <c r="E145" s="663">
        <v>0</v>
      </c>
      <c r="F145" s="663">
        <v>5.1952563518908157</v>
      </c>
      <c r="G145" s="663">
        <v>0</v>
      </c>
      <c r="H145" s="663">
        <v>31.335146641416099</v>
      </c>
      <c r="I145" s="663">
        <v>0</v>
      </c>
      <c r="J145" s="663">
        <v>0</v>
      </c>
      <c r="K145" s="663">
        <v>0</v>
      </c>
      <c r="L145" s="663">
        <v>19.866368456853682</v>
      </c>
      <c r="M145" s="663">
        <v>2.3815254498716123</v>
      </c>
      <c r="N145" s="663">
        <v>2.1415231567382813</v>
      </c>
      <c r="O145" s="663">
        <v>25.676510059650784</v>
      </c>
      <c r="P145" s="663">
        <v>7.6335380859375004</v>
      </c>
      <c r="Q145" s="663">
        <v>7.8820466826144567E-4</v>
      </c>
      <c r="R145" s="663">
        <v>133.1889583814887</v>
      </c>
      <c r="S145" s="663">
        <v>18.276712147761906</v>
      </c>
      <c r="T145" s="663">
        <v>4.7382089843750004</v>
      </c>
      <c r="U145" s="671">
        <v>253.21872417630229</v>
      </c>
    </row>
    <row r="146" spans="3:21" ht="13">
      <c r="C146" s="670" t="s">
        <v>79</v>
      </c>
      <c r="D146" s="663">
        <v>0</v>
      </c>
      <c r="E146" s="663">
        <v>0</v>
      </c>
      <c r="F146" s="663">
        <v>62.42121803575882</v>
      </c>
      <c r="G146" s="663">
        <v>0.9171283606012931</v>
      </c>
      <c r="H146" s="663">
        <v>3.2777834936114583</v>
      </c>
      <c r="I146" s="663">
        <v>0</v>
      </c>
      <c r="J146" s="663">
        <v>0</v>
      </c>
      <c r="K146" s="663">
        <v>0</v>
      </c>
      <c r="L146" s="663">
        <v>0</v>
      </c>
      <c r="M146" s="663">
        <v>0</v>
      </c>
      <c r="N146" s="663">
        <v>70.675893572317364</v>
      </c>
      <c r="O146" s="663">
        <v>2.6818228584093751</v>
      </c>
      <c r="P146" s="663">
        <v>0</v>
      </c>
      <c r="Q146" s="663">
        <v>0</v>
      </c>
      <c r="R146" s="663">
        <v>85.601807225833156</v>
      </c>
      <c r="S146" s="663">
        <v>0</v>
      </c>
      <c r="T146" s="663">
        <v>3.5812873698124483</v>
      </c>
      <c r="U146" s="671">
        <v>229.15694091634393</v>
      </c>
    </row>
    <row r="147" spans="3:21" ht="13">
      <c r="C147" s="670" t="s">
        <v>80</v>
      </c>
      <c r="D147" s="663">
        <v>0</v>
      </c>
      <c r="E147" s="663">
        <v>0</v>
      </c>
      <c r="F147" s="663">
        <v>2.2535083725168867</v>
      </c>
      <c r="G147" s="663">
        <v>0</v>
      </c>
      <c r="H147" s="663">
        <v>22.547534156690407</v>
      </c>
      <c r="I147" s="663">
        <v>0</v>
      </c>
      <c r="J147" s="663">
        <v>0</v>
      </c>
      <c r="K147" s="663">
        <v>0</v>
      </c>
      <c r="L147" s="663">
        <v>34.097641504490639</v>
      </c>
      <c r="M147" s="663">
        <v>0</v>
      </c>
      <c r="N147" s="663">
        <v>0</v>
      </c>
      <c r="O147" s="663">
        <v>18.447982491837607</v>
      </c>
      <c r="P147" s="663">
        <v>103.59461616627088</v>
      </c>
      <c r="Q147" s="663">
        <v>2.7285855468891569</v>
      </c>
      <c r="R147" s="663">
        <v>149.5228289340921</v>
      </c>
      <c r="S147" s="663">
        <v>26.593767108522837</v>
      </c>
      <c r="T147" s="663">
        <v>0</v>
      </c>
      <c r="U147" s="671">
        <v>359.78646428131054</v>
      </c>
    </row>
    <row r="148" spans="3:21" ht="13">
      <c r="C148" s="670" t="s">
        <v>81</v>
      </c>
      <c r="D148" s="663">
        <v>0</v>
      </c>
      <c r="E148" s="663">
        <v>0</v>
      </c>
      <c r="F148" s="663">
        <v>1.3399462790047187</v>
      </c>
      <c r="G148" s="663">
        <v>0</v>
      </c>
      <c r="H148" s="663">
        <v>12.344523773070179</v>
      </c>
      <c r="I148" s="663">
        <v>0</v>
      </c>
      <c r="J148" s="663">
        <v>0</v>
      </c>
      <c r="K148" s="663">
        <v>0</v>
      </c>
      <c r="L148" s="663">
        <v>0.40515733033320123</v>
      </c>
      <c r="M148" s="663">
        <v>4.0121337498856221E-4</v>
      </c>
      <c r="N148" s="663">
        <v>0</v>
      </c>
      <c r="O148" s="663">
        <v>10.100064905239238</v>
      </c>
      <c r="P148" s="663">
        <v>25.404172221757367</v>
      </c>
      <c r="Q148" s="663">
        <v>1.0133205125094877</v>
      </c>
      <c r="R148" s="663">
        <v>92.228183694440688</v>
      </c>
      <c r="S148" s="663">
        <v>19.0580863696926</v>
      </c>
      <c r="T148" s="663">
        <v>0</v>
      </c>
      <c r="U148" s="671">
        <v>161.89385629942248</v>
      </c>
    </row>
    <row r="149" spans="3:21" ht="13">
      <c r="C149" s="670" t="s">
        <v>82</v>
      </c>
      <c r="D149" s="663">
        <v>0</v>
      </c>
      <c r="E149" s="663">
        <v>0</v>
      </c>
      <c r="F149" s="663">
        <v>9.0097391312566604</v>
      </c>
      <c r="G149" s="663">
        <v>1.6</v>
      </c>
      <c r="H149" s="663">
        <v>0.98973128577551672</v>
      </c>
      <c r="I149" s="663">
        <v>0</v>
      </c>
      <c r="J149" s="663">
        <v>0</v>
      </c>
      <c r="K149" s="663">
        <v>0</v>
      </c>
      <c r="L149" s="663">
        <v>3.3736621545342089</v>
      </c>
      <c r="M149" s="663">
        <v>0</v>
      </c>
      <c r="N149" s="663">
        <v>14.289145060057182</v>
      </c>
      <c r="O149" s="663">
        <v>0.80978014290724099</v>
      </c>
      <c r="P149" s="663">
        <v>1</v>
      </c>
      <c r="Q149" s="663">
        <v>1.300620381405156</v>
      </c>
      <c r="R149" s="663">
        <v>7.76122971899715</v>
      </c>
      <c r="S149" s="663">
        <v>0</v>
      </c>
      <c r="T149" s="663">
        <v>0.325155095351289</v>
      </c>
      <c r="U149" s="671">
        <v>40.459062970284407</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1.4068800000000001</v>
      </c>
      <c r="S150" s="663">
        <v>0</v>
      </c>
      <c r="T150" s="663">
        <v>0</v>
      </c>
      <c r="U150" s="671">
        <v>1.4068800000000001</v>
      </c>
    </row>
    <row r="151" spans="3:21" ht="13">
      <c r="C151" s="666" t="s">
        <v>83</v>
      </c>
      <c r="D151" s="667">
        <v>2.7841882556496467</v>
      </c>
      <c r="E151" s="667">
        <v>0</v>
      </c>
      <c r="F151" s="667">
        <v>80.219668170427894</v>
      </c>
      <c r="G151" s="667">
        <v>2.5171283606012933</v>
      </c>
      <c r="H151" s="675">
        <v>70.494719350563656</v>
      </c>
      <c r="I151" s="667">
        <v>0</v>
      </c>
      <c r="J151" s="667">
        <v>0</v>
      </c>
      <c r="K151" s="667">
        <v>0</v>
      </c>
      <c r="L151" s="667">
        <v>57.742829446211736</v>
      </c>
      <c r="M151" s="667">
        <v>2.3819266632466007</v>
      </c>
      <c r="N151" s="667">
        <v>87.106561789112831</v>
      </c>
      <c r="O151" s="667">
        <v>57.71616045804425</v>
      </c>
      <c r="P151" s="667">
        <v>137.63232647396575</v>
      </c>
      <c r="Q151" s="667">
        <v>5.0433146454720621</v>
      </c>
      <c r="R151" s="667">
        <v>469.70988795485181</v>
      </c>
      <c r="S151" s="667">
        <v>63.928565625977342</v>
      </c>
      <c r="T151" s="667">
        <v>8.6446514495387365</v>
      </c>
      <c r="U151" s="667">
        <v>1045.9219286436637</v>
      </c>
    </row>
    <row r="152" spans="3:21" ht="13">
      <c r="C152" s="662" t="s">
        <v>84</v>
      </c>
      <c r="D152" s="663">
        <v>0</v>
      </c>
      <c r="E152" s="663">
        <v>0</v>
      </c>
      <c r="F152" s="663">
        <v>63.453621141900157</v>
      </c>
      <c r="G152" s="663">
        <v>5.849933778542443</v>
      </c>
      <c r="H152" s="663">
        <v>6.7321107560009157</v>
      </c>
      <c r="I152" s="663">
        <v>0</v>
      </c>
      <c r="J152" s="663">
        <v>0</v>
      </c>
      <c r="K152" s="663">
        <v>0</v>
      </c>
      <c r="L152" s="663">
        <v>0.4086523039836884</v>
      </c>
      <c r="M152" s="663">
        <v>0</v>
      </c>
      <c r="N152" s="663">
        <v>16.128139408945682</v>
      </c>
      <c r="O152" s="663">
        <v>2.7141517882424018</v>
      </c>
      <c r="P152" s="663">
        <v>0</v>
      </c>
      <c r="Q152" s="663">
        <v>0</v>
      </c>
      <c r="R152" s="663">
        <v>0</v>
      </c>
      <c r="S152" s="663">
        <v>0</v>
      </c>
      <c r="T152" s="663">
        <v>25.023965550983899</v>
      </c>
      <c r="U152" s="671">
        <v>120.31057472859921</v>
      </c>
    </row>
    <row r="153" spans="3:21" ht="13">
      <c r="C153" s="666" t="s">
        <v>85</v>
      </c>
      <c r="D153" s="667">
        <v>2.7841882556496467</v>
      </c>
      <c r="E153" s="667">
        <v>0</v>
      </c>
      <c r="F153" s="667">
        <v>143.67328931232805</v>
      </c>
      <c r="G153" s="667">
        <v>8.3670621391437372</v>
      </c>
      <c r="H153" s="675">
        <v>77.226830106564577</v>
      </c>
      <c r="I153" s="667">
        <v>0</v>
      </c>
      <c r="J153" s="667">
        <v>0</v>
      </c>
      <c r="K153" s="667">
        <v>0</v>
      </c>
      <c r="L153" s="667">
        <v>58.151481750195423</v>
      </c>
      <c r="M153" s="667">
        <v>2.3819266632466007</v>
      </c>
      <c r="N153" s="667">
        <v>103.23470119805852</v>
      </c>
      <c r="O153" s="667">
        <v>60.430312246286654</v>
      </c>
      <c r="P153" s="667">
        <v>137.63232647396575</v>
      </c>
      <c r="Q153" s="667">
        <v>5.0433146454720621</v>
      </c>
      <c r="R153" s="667">
        <v>469.70988795485181</v>
      </c>
      <c r="S153" s="667">
        <v>63.928565625977342</v>
      </c>
      <c r="T153" s="667">
        <v>33.668617000522637</v>
      </c>
      <c r="U153" s="667">
        <v>1166.2325033722627</v>
      </c>
    </row>
    <row r="154" spans="3:21">
      <c r="C154" s="654"/>
      <c r="D154" s="672">
        <v>0</v>
      </c>
      <c r="E154" s="672">
        <v>0</v>
      </c>
      <c r="F154" s="672">
        <v>0</v>
      </c>
      <c r="G154" s="672">
        <v>0</v>
      </c>
      <c r="H154" s="672">
        <v>0</v>
      </c>
      <c r="I154" s="672">
        <v>0</v>
      </c>
      <c r="J154" s="672">
        <v>0</v>
      </c>
      <c r="K154" s="672">
        <v>0</v>
      </c>
      <c r="L154" s="672">
        <v>0</v>
      </c>
      <c r="M154" s="672">
        <v>0</v>
      </c>
      <c r="N154" s="672">
        <v>1.5987211554602254E-14</v>
      </c>
      <c r="O154" s="672">
        <v>1.865174681370263E-14</v>
      </c>
      <c r="P154" s="672">
        <v>0</v>
      </c>
      <c r="Q154" s="672">
        <v>0</v>
      </c>
      <c r="R154" s="672">
        <v>1.1368683772161603E-13</v>
      </c>
      <c r="S154" s="672">
        <v>0</v>
      </c>
      <c r="T154" s="672">
        <v>-1.3322676295501878E-15</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523</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0</v>
      </c>
      <c r="F160" s="663">
        <v>0</v>
      </c>
      <c r="G160" s="663">
        <v>0</v>
      </c>
      <c r="H160" s="663">
        <v>0</v>
      </c>
      <c r="I160" s="663">
        <v>0</v>
      </c>
      <c r="J160" s="664">
        <v>887.88984586571985</v>
      </c>
      <c r="K160" s="664">
        <v>396.24410449971316</v>
      </c>
      <c r="L160" s="664">
        <v>299.20080257603973</v>
      </c>
      <c r="M160" s="664">
        <v>23.973968003405336</v>
      </c>
      <c r="N160" s="663">
        <v>1.638642873490971</v>
      </c>
      <c r="O160" s="663">
        <v>0.1692153726460352</v>
      </c>
      <c r="P160" s="664">
        <v>148.52009865212395</v>
      </c>
      <c r="Q160" s="664">
        <v>23.099478079825218</v>
      </c>
      <c r="R160" s="663">
        <v>0</v>
      </c>
      <c r="S160" s="663">
        <v>0</v>
      </c>
      <c r="T160" s="663">
        <v>0</v>
      </c>
      <c r="U160" s="665">
        <v>1780.7361559229641</v>
      </c>
    </row>
    <row r="161" spans="3:21" ht="13">
      <c r="C161" s="662" t="s">
        <v>60</v>
      </c>
      <c r="D161" s="663">
        <v>10.379280707598515</v>
      </c>
      <c r="E161" s="663">
        <v>221.43377158510449</v>
      </c>
      <c r="F161" s="663">
        <v>3.6404081450569747</v>
      </c>
      <c r="G161" s="663">
        <v>0</v>
      </c>
      <c r="H161" s="663">
        <v>71.351673113669463</v>
      </c>
      <c r="I161" s="663">
        <v>0</v>
      </c>
      <c r="J161" s="663">
        <v>0</v>
      </c>
      <c r="K161" s="663">
        <v>0</v>
      </c>
      <c r="L161" s="663">
        <v>4.5400000946661896</v>
      </c>
      <c r="M161" s="663">
        <v>0</v>
      </c>
      <c r="N161" s="663">
        <v>4.7355769449703358</v>
      </c>
      <c r="O161" s="663">
        <v>0</v>
      </c>
      <c r="P161" s="663">
        <v>0</v>
      </c>
      <c r="Q161" s="663">
        <v>0</v>
      </c>
      <c r="R161" s="663">
        <v>0</v>
      </c>
      <c r="S161" s="663">
        <v>0</v>
      </c>
      <c r="T161" s="663">
        <v>0</v>
      </c>
      <c r="U161" s="665">
        <v>316.08071059106601</v>
      </c>
    </row>
    <row r="162" spans="3:21" ht="13">
      <c r="C162" s="662" t="s">
        <v>61</v>
      </c>
      <c r="D162" s="663">
        <v>0</v>
      </c>
      <c r="E162" s="663">
        <v>0</v>
      </c>
      <c r="F162" s="663">
        <v>-61.117649142160822</v>
      </c>
      <c r="G162" s="663">
        <v>0</v>
      </c>
      <c r="H162" s="663">
        <v>0</v>
      </c>
      <c r="I162" s="663">
        <v>0</v>
      </c>
      <c r="J162" s="663">
        <v>0</v>
      </c>
      <c r="K162" s="663">
        <v>0</v>
      </c>
      <c r="L162" s="663">
        <v>0</v>
      </c>
      <c r="M162" s="663">
        <v>0</v>
      </c>
      <c r="N162" s="663">
        <v>0</v>
      </c>
      <c r="O162" s="663">
        <v>0</v>
      </c>
      <c r="P162" s="663">
        <v>0</v>
      </c>
      <c r="Q162" s="663">
        <v>0</v>
      </c>
      <c r="R162" s="663">
        <v>-39.114049370458702</v>
      </c>
      <c r="S162" s="663">
        <v>0</v>
      </c>
      <c r="T162" s="663">
        <v>0</v>
      </c>
      <c r="U162" s="665">
        <v>-100.23169851261953</v>
      </c>
    </row>
    <row r="163" spans="3:21" ht="13">
      <c r="C163" s="662" t="s">
        <v>62</v>
      </c>
      <c r="D163" s="663">
        <v>0</v>
      </c>
      <c r="E163" s="663">
        <v>0</v>
      </c>
      <c r="F163" s="663">
        <v>-6.8572519407668047</v>
      </c>
      <c r="G163" s="663">
        <v>-2.9115063458369059</v>
      </c>
      <c r="H163" s="663">
        <v>-4.556210213526227</v>
      </c>
      <c r="I163" s="663">
        <v>-6.0214231896822394E-2</v>
      </c>
      <c r="J163" s="663">
        <v>0</v>
      </c>
      <c r="K163" s="663">
        <v>0</v>
      </c>
      <c r="L163" s="663">
        <v>0</v>
      </c>
      <c r="M163" s="663">
        <v>0</v>
      </c>
      <c r="N163" s="663">
        <v>-0.36156496915270087</v>
      </c>
      <c r="O163" s="663">
        <v>-5.4192808707140152</v>
      </c>
      <c r="P163" s="663">
        <v>0</v>
      </c>
      <c r="Q163" s="663">
        <v>0</v>
      </c>
      <c r="R163" s="663">
        <v>0</v>
      </c>
      <c r="S163" s="663">
        <v>0</v>
      </c>
      <c r="T163" s="663">
        <v>0</v>
      </c>
      <c r="U163" s="665">
        <v>-20.166028571893477</v>
      </c>
    </row>
    <row r="164" spans="3:21" ht="13">
      <c r="C164" s="662" t="s">
        <v>63</v>
      </c>
      <c r="D164" s="663">
        <v>0</v>
      </c>
      <c r="E164" s="663">
        <v>0</v>
      </c>
      <c r="F164" s="663">
        <v>-41.932075648688581</v>
      </c>
      <c r="G164" s="663">
        <v>-12.789597363010756</v>
      </c>
      <c r="H164" s="663">
        <v>0</v>
      </c>
      <c r="I164" s="663">
        <v>0</v>
      </c>
      <c r="J164" s="663">
        <v>0</v>
      </c>
      <c r="K164" s="663">
        <v>0</v>
      </c>
      <c r="L164" s="663">
        <v>0</v>
      </c>
      <c r="M164" s="663">
        <v>0</v>
      </c>
      <c r="N164" s="663">
        <v>-13.964845940285258</v>
      </c>
      <c r="O164" s="663">
        <v>0</v>
      </c>
      <c r="P164" s="663">
        <v>0</v>
      </c>
      <c r="Q164" s="663">
        <v>0</v>
      </c>
      <c r="R164" s="663">
        <v>0</v>
      </c>
      <c r="S164" s="663">
        <v>0</v>
      </c>
      <c r="T164" s="663">
        <v>-1.1030439884832439</v>
      </c>
      <c r="U164" s="665">
        <v>-69.789562940467846</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10.379280707598515</v>
      </c>
      <c r="E166" s="667">
        <v>221.43377158510449</v>
      </c>
      <c r="F166" s="667">
        <v>-106.26656858655923</v>
      </c>
      <c r="G166" s="667">
        <v>-15.701103708847661</v>
      </c>
      <c r="H166" s="675">
        <v>66.795462900143235</v>
      </c>
      <c r="I166" s="667">
        <v>-6.0214231896822394E-2</v>
      </c>
      <c r="J166" s="667">
        <v>887.88984586571985</v>
      </c>
      <c r="K166" s="667">
        <v>396.24410449971316</v>
      </c>
      <c r="L166" s="667">
        <v>303.74080267070593</v>
      </c>
      <c r="M166" s="667">
        <v>23.973968003405336</v>
      </c>
      <c r="N166" s="667">
        <v>-7.952191090976652</v>
      </c>
      <c r="O166" s="667">
        <v>-5.25006549806798</v>
      </c>
      <c r="P166" s="667">
        <v>148.52009865212395</v>
      </c>
      <c r="Q166" s="667">
        <v>23.099478079825218</v>
      </c>
      <c r="R166" s="667">
        <v>-39.114049370458702</v>
      </c>
      <c r="S166" s="667">
        <v>0</v>
      </c>
      <c r="T166" s="667">
        <v>-1.1030439884832439</v>
      </c>
      <c r="U166" s="667">
        <v>1906.629576489049</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2.6460781360013397E-2</v>
      </c>
      <c r="G169" s="663">
        <v>0</v>
      </c>
      <c r="H169" s="663">
        <v>2.1444399446740805</v>
      </c>
      <c r="I169" s="663">
        <v>0</v>
      </c>
      <c r="J169" s="663">
        <v>887.88984586571985</v>
      </c>
      <c r="K169" s="663">
        <v>396.24410449971316</v>
      </c>
      <c r="L169" s="663">
        <v>15.085804984191999</v>
      </c>
      <c r="M169" s="663">
        <v>7.2357180176402842</v>
      </c>
      <c r="N169" s="663">
        <v>6.0578717375904887</v>
      </c>
      <c r="O169" s="663">
        <v>0.6501857288144991</v>
      </c>
      <c r="P169" s="663">
        <v>0</v>
      </c>
      <c r="Q169" s="663">
        <v>6.4590957564387725</v>
      </c>
      <c r="R169" s="663">
        <v>-708.99943776638747</v>
      </c>
      <c r="S169" s="663">
        <v>0</v>
      </c>
      <c r="T169" s="663">
        <v>8.0586922417708831</v>
      </c>
      <c r="U169" s="671">
        <v>620.85278179152624</v>
      </c>
    </row>
    <row r="170" spans="3:21" ht="13">
      <c r="C170" s="670" t="s">
        <v>351</v>
      </c>
      <c r="D170" s="663">
        <v>0</v>
      </c>
      <c r="E170" s="663">
        <v>0</v>
      </c>
      <c r="F170" s="663">
        <v>0</v>
      </c>
      <c r="G170" s="663">
        <v>0</v>
      </c>
      <c r="H170" s="663">
        <v>4.7815870319860325</v>
      </c>
      <c r="I170" s="663">
        <v>0</v>
      </c>
      <c r="J170" s="663">
        <v>0</v>
      </c>
      <c r="K170" s="663">
        <v>0</v>
      </c>
      <c r="L170" s="663">
        <v>35.214664152844563</v>
      </c>
      <c r="M170" s="663">
        <v>14.445160723039894</v>
      </c>
      <c r="N170" s="663">
        <v>0</v>
      </c>
      <c r="O170" s="663">
        <v>7.1872449307268287</v>
      </c>
      <c r="P170" s="663">
        <v>0</v>
      </c>
      <c r="Q170" s="663">
        <v>11.182341089352812</v>
      </c>
      <c r="R170" s="663">
        <v>0</v>
      </c>
      <c r="S170" s="663">
        <v>-68.236033723831326</v>
      </c>
      <c r="T170" s="663">
        <v>0</v>
      </c>
      <c r="U170" s="671">
        <v>4.574964204118805</v>
      </c>
    </row>
    <row r="171" spans="3:21" ht="13">
      <c r="C171" s="670" t="s">
        <v>352</v>
      </c>
      <c r="D171" s="663">
        <v>0</v>
      </c>
      <c r="E171" s="663">
        <v>0</v>
      </c>
      <c r="F171" s="663">
        <v>0</v>
      </c>
      <c r="G171" s="663">
        <v>0</v>
      </c>
      <c r="H171" s="663">
        <v>0</v>
      </c>
      <c r="I171" s="663">
        <v>0</v>
      </c>
      <c r="J171" s="663">
        <v>0</v>
      </c>
      <c r="K171" s="663">
        <v>0</v>
      </c>
      <c r="L171" s="663">
        <v>86.658949605448655</v>
      </c>
      <c r="M171" s="663">
        <v>0</v>
      </c>
      <c r="N171" s="663">
        <v>0</v>
      </c>
      <c r="O171" s="663">
        <v>-81.004566256753222</v>
      </c>
      <c r="P171" s="663">
        <v>0</v>
      </c>
      <c r="Q171" s="663">
        <v>0</v>
      </c>
      <c r="R171" s="663">
        <v>0</v>
      </c>
      <c r="S171" s="663">
        <v>0</v>
      </c>
      <c r="T171" s="663">
        <v>0</v>
      </c>
      <c r="U171" s="671">
        <v>5.6543833486954327</v>
      </c>
    </row>
    <row r="172" spans="3:21" ht="13">
      <c r="C172" s="670" t="s">
        <v>353</v>
      </c>
      <c r="D172" s="663">
        <v>0</v>
      </c>
      <c r="E172" s="663">
        <v>0</v>
      </c>
      <c r="F172" s="663">
        <v>0</v>
      </c>
      <c r="G172" s="663">
        <v>0</v>
      </c>
      <c r="H172" s="663">
        <v>0</v>
      </c>
      <c r="I172" s="663">
        <v>-0.77766156720631052</v>
      </c>
      <c r="J172" s="663">
        <v>0</v>
      </c>
      <c r="K172" s="663">
        <v>0</v>
      </c>
      <c r="L172" s="663">
        <v>0</v>
      </c>
      <c r="M172" s="663">
        <v>0</v>
      </c>
      <c r="N172" s="663">
        <v>0</v>
      </c>
      <c r="O172" s="663">
        <v>0</v>
      </c>
      <c r="P172" s="663">
        <v>0</v>
      </c>
      <c r="Q172" s="663">
        <v>0</v>
      </c>
      <c r="R172" s="663">
        <v>0</v>
      </c>
      <c r="S172" s="663">
        <v>0</v>
      </c>
      <c r="T172" s="663">
        <v>1.0822986785331616</v>
      </c>
      <c r="U172" s="671">
        <v>0.30463711132685112</v>
      </c>
    </row>
    <row r="173" spans="3:21" ht="13">
      <c r="C173" s="670" t="s">
        <v>72</v>
      </c>
      <c r="D173" s="663">
        <v>0</v>
      </c>
      <c r="E173" s="663">
        <v>229.44376619610998</v>
      </c>
      <c r="F173" s="663">
        <v>-227.15530245315296</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2.2884637429570258</v>
      </c>
    </row>
    <row r="174" spans="3:21" ht="13">
      <c r="C174" s="670" t="s">
        <v>354</v>
      </c>
      <c r="D174" s="663">
        <v>0</v>
      </c>
      <c r="E174" s="663">
        <v>0</v>
      </c>
      <c r="F174" s="663">
        <v>0</v>
      </c>
      <c r="G174" s="663">
        <v>0</v>
      </c>
      <c r="H174" s="663">
        <v>0</v>
      </c>
      <c r="I174" s="663">
        <v>0</v>
      </c>
      <c r="J174" s="663">
        <v>0</v>
      </c>
      <c r="K174" s="663">
        <v>0</v>
      </c>
      <c r="L174" s="663">
        <v>110.37341937246062</v>
      </c>
      <c r="M174" s="663">
        <v>0</v>
      </c>
      <c r="N174" s="663">
        <v>-110.37341937246062</v>
      </c>
      <c r="O174" s="663">
        <v>0</v>
      </c>
      <c r="P174" s="663">
        <v>0</v>
      </c>
      <c r="Q174" s="663">
        <v>0</v>
      </c>
      <c r="R174" s="663">
        <v>0</v>
      </c>
      <c r="S174" s="663">
        <v>0</v>
      </c>
      <c r="T174" s="663">
        <v>0</v>
      </c>
      <c r="U174" s="671">
        <v>0</v>
      </c>
    </row>
    <row r="175" spans="3:21" ht="13">
      <c r="C175" s="670" t="s">
        <v>355</v>
      </c>
      <c r="D175" s="663">
        <v>0</v>
      </c>
      <c r="E175" s="663">
        <v>0</v>
      </c>
      <c r="F175" s="663">
        <v>0</v>
      </c>
      <c r="G175" s="663">
        <v>-25.838308158403624</v>
      </c>
      <c r="H175" s="663">
        <v>0</v>
      </c>
      <c r="I175" s="663">
        <v>0</v>
      </c>
      <c r="J175" s="663">
        <v>0</v>
      </c>
      <c r="K175" s="663">
        <v>0</v>
      </c>
      <c r="L175" s="663">
        <v>0</v>
      </c>
      <c r="M175" s="663">
        <v>0</v>
      </c>
      <c r="N175" s="663">
        <v>0</v>
      </c>
      <c r="O175" s="663">
        <v>0</v>
      </c>
      <c r="P175" s="663">
        <v>0</v>
      </c>
      <c r="Q175" s="663">
        <v>0</v>
      </c>
      <c r="R175" s="663">
        <v>0</v>
      </c>
      <c r="S175" s="663">
        <v>0</v>
      </c>
      <c r="T175" s="663">
        <v>35.986501613375523</v>
      </c>
      <c r="U175" s="671">
        <v>10.148193454971899</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122.6947271556845</v>
      </c>
      <c r="S176" s="663">
        <v>0</v>
      </c>
      <c r="T176" s="663">
        <v>-85.334182736778573</v>
      </c>
      <c r="U176" s="671">
        <v>37.360544418905931</v>
      </c>
    </row>
    <row r="177" spans="3:21" ht="13">
      <c r="C177" s="670" t="s">
        <v>356</v>
      </c>
      <c r="D177" s="663">
        <v>5.7430949414062491</v>
      </c>
      <c r="E177" s="663">
        <v>-8.0099946110054798</v>
      </c>
      <c r="F177" s="663">
        <v>10.446968779828495</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8.1800691102292635</v>
      </c>
    </row>
    <row r="178" spans="3:21" ht="13">
      <c r="C178" s="670" t="s">
        <v>75</v>
      </c>
      <c r="D178" s="663">
        <v>2.2334258105468749</v>
      </c>
      <c r="E178" s="663">
        <v>0</v>
      </c>
      <c r="F178" s="663">
        <v>17.43246590348684</v>
      </c>
      <c r="G178" s="663">
        <v>0</v>
      </c>
      <c r="H178" s="663">
        <v>2.2924587532620087</v>
      </c>
      <c r="I178" s="663">
        <v>3.0296811717119062E-2</v>
      </c>
      <c r="J178" s="663">
        <v>0</v>
      </c>
      <c r="K178" s="663">
        <v>0</v>
      </c>
      <c r="L178" s="663">
        <v>0</v>
      </c>
      <c r="M178" s="663">
        <v>0</v>
      </c>
      <c r="N178" s="663">
        <v>0</v>
      </c>
      <c r="O178" s="663">
        <v>2.7267130545407157</v>
      </c>
      <c r="P178" s="663">
        <v>0</v>
      </c>
      <c r="Q178" s="663">
        <v>0</v>
      </c>
      <c r="R178" s="663">
        <v>21.822235808041572</v>
      </c>
      <c r="S178" s="663">
        <v>0</v>
      </c>
      <c r="T178" s="663">
        <v>0</v>
      </c>
      <c r="U178" s="671">
        <v>46.537596141595124</v>
      </c>
    </row>
    <row r="179" spans="3:21" ht="13">
      <c r="C179" s="670" t="s">
        <v>76</v>
      </c>
      <c r="D179" s="663">
        <v>0</v>
      </c>
      <c r="E179" s="663">
        <v>0</v>
      </c>
      <c r="F179" s="663">
        <v>0</v>
      </c>
      <c r="G179" s="663">
        <v>0</v>
      </c>
      <c r="H179" s="663">
        <v>0.77652722768993077</v>
      </c>
      <c r="I179" s="663">
        <v>1.0262474374756796E-2</v>
      </c>
      <c r="J179" s="663">
        <v>0</v>
      </c>
      <c r="K179" s="663">
        <v>0</v>
      </c>
      <c r="L179" s="663">
        <v>0</v>
      </c>
      <c r="M179" s="663">
        <v>0</v>
      </c>
      <c r="N179" s="663">
        <v>0</v>
      </c>
      <c r="O179" s="663">
        <v>0.92362269372811168</v>
      </c>
      <c r="P179" s="663">
        <v>0</v>
      </c>
      <c r="Q179" s="663">
        <v>0</v>
      </c>
      <c r="R179" s="663">
        <v>51.265258018349606</v>
      </c>
      <c r="S179" s="663">
        <v>5.2924074535934169</v>
      </c>
      <c r="T179" s="663">
        <v>0</v>
      </c>
      <c r="U179" s="671">
        <v>58.268077867735826</v>
      </c>
    </row>
    <row r="180" spans="3:21" ht="13">
      <c r="C180" s="666" t="s">
        <v>77</v>
      </c>
      <c r="D180" s="667">
        <v>7.9765207519531245</v>
      </c>
      <c r="E180" s="667">
        <v>221.43377158510449</v>
      </c>
      <c r="F180" s="667">
        <v>-199.24940698847763</v>
      </c>
      <c r="G180" s="667">
        <v>-25.838308158403624</v>
      </c>
      <c r="H180" s="675">
        <v>9.9950129576120528</v>
      </c>
      <c r="I180" s="667">
        <v>-0.73710228111443465</v>
      </c>
      <c r="J180" s="667">
        <v>887.88984586571985</v>
      </c>
      <c r="K180" s="667">
        <v>396.24410449971316</v>
      </c>
      <c r="L180" s="667">
        <v>247.33283811494582</v>
      </c>
      <c r="M180" s="667">
        <v>21.680878740680178</v>
      </c>
      <c r="N180" s="667">
        <v>-104.31554763487013</v>
      </c>
      <c r="O180" s="667">
        <v>-69.51679984894308</v>
      </c>
      <c r="P180" s="667">
        <v>0</v>
      </c>
      <c r="Q180" s="667">
        <v>17.641436845791585</v>
      </c>
      <c r="R180" s="667">
        <v>-513.21721678431186</v>
      </c>
      <c r="S180" s="667">
        <v>-62.943626270237907</v>
      </c>
      <c r="T180" s="667">
        <v>-40.206690203099001</v>
      </c>
      <c r="U180" s="667">
        <v>794.16971119206255</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2.4027599556453909</v>
      </c>
      <c r="E182" s="663">
        <v>0</v>
      </c>
      <c r="F182" s="663">
        <v>3.114463113040443</v>
      </c>
      <c r="G182" s="663">
        <v>0</v>
      </c>
      <c r="H182" s="663">
        <v>22.626318476237717</v>
      </c>
      <c r="I182" s="663">
        <v>0.29902623536878048</v>
      </c>
      <c r="J182" s="663">
        <v>0</v>
      </c>
      <c r="K182" s="663">
        <v>0</v>
      </c>
      <c r="L182" s="663">
        <v>19.572699923725285</v>
      </c>
      <c r="M182" s="663">
        <v>2.2927206810178133</v>
      </c>
      <c r="N182" s="663">
        <v>2.5907279394531253</v>
      </c>
      <c r="O182" s="663">
        <v>26.952636430442517</v>
      </c>
      <c r="P182" s="663">
        <v>8.8445146484374995</v>
      </c>
      <c r="Q182" s="663">
        <v>8.2107689234467234E-4</v>
      </c>
      <c r="R182" s="663">
        <v>134.99858174444151</v>
      </c>
      <c r="S182" s="663">
        <v>18.388872155735818</v>
      </c>
      <c r="T182" s="663">
        <v>5.7096738281250001</v>
      </c>
      <c r="U182" s="671">
        <v>247.79381620856324</v>
      </c>
    </row>
    <row r="183" spans="3:21" ht="13">
      <c r="C183" s="670" t="s">
        <v>79</v>
      </c>
      <c r="D183" s="663">
        <v>0</v>
      </c>
      <c r="E183" s="663">
        <v>0</v>
      </c>
      <c r="F183" s="663">
        <v>28.084568019979141</v>
      </c>
      <c r="G183" s="663">
        <v>1.421472124111238</v>
      </c>
      <c r="H183" s="663">
        <v>2.5860362638913656</v>
      </c>
      <c r="I183" s="663">
        <v>3.4176690712220695E-2</v>
      </c>
      <c r="J183" s="663">
        <v>0</v>
      </c>
      <c r="K183" s="663">
        <v>0</v>
      </c>
      <c r="L183" s="663">
        <v>0</v>
      </c>
      <c r="M183" s="663">
        <v>0</v>
      </c>
      <c r="N183" s="663">
        <v>58.95620249302754</v>
      </c>
      <c r="O183" s="663">
        <v>3.0759021640998623</v>
      </c>
      <c r="P183" s="663">
        <v>0</v>
      </c>
      <c r="Q183" s="663">
        <v>0</v>
      </c>
      <c r="R183" s="663">
        <v>96.758599927458889</v>
      </c>
      <c r="S183" s="663">
        <v>0</v>
      </c>
      <c r="T183" s="663">
        <v>4.2910115463144054</v>
      </c>
      <c r="U183" s="671">
        <v>195.20796922959462</v>
      </c>
    </row>
    <row r="184" spans="3:21" ht="13">
      <c r="C184" s="670" t="s">
        <v>80</v>
      </c>
      <c r="D184" s="663">
        <v>0</v>
      </c>
      <c r="E184" s="663">
        <v>0</v>
      </c>
      <c r="F184" s="663">
        <v>1.0938828648554826</v>
      </c>
      <c r="G184" s="663">
        <v>0</v>
      </c>
      <c r="H184" s="663">
        <v>16.315204996757775</v>
      </c>
      <c r="I184" s="663">
        <v>0.21561944929635826</v>
      </c>
      <c r="J184" s="663">
        <v>0</v>
      </c>
      <c r="K184" s="663">
        <v>0</v>
      </c>
      <c r="L184" s="663">
        <v>32.232635043857968</v>
      </c>
      <c r="M184" s="663">
        <v>0</v>
      </c>
      <c r="N184" s="663">
        <v>0</v>
      </c>
      <c r="O184" s="663">
        <v>19.405750436672243</v>
      </c>
      <c r="P184" s="663">
        <v>111.91504706113531</v>
      </c>
      <c r="Q184" s="663">
        <v>2.8847164087553931</v>
      </c>
      <c r="R184" s="663">
        <v>143.6282802083233</v>
      </c>
      <c r="S184" s="663">
        <v>25.545428952203935</v>
      </c>
      <c r="T184" s="663">
        <v>0</v>
      </c>
      <c r="U184" s="671">
        <v>353.23656542185773</v>
      </c>
    </row>
    <row r="185" spans="3:21" ht="13">
      <c r="C185" s="670" t="s">
        <v>81</v>
      </c>
      <c r="D185" s="663">
        <v>0</v>
      </c>
      <c r="E185" s="663">
        <v>0</v>
      </c>
      <c r="F185" s="663">
        <v>0.97723127965383472</v>
      </c>
      <c r="G185" s="663">
        <v>0</v>
      </c>
      <c r="H185" s="663">
        <v>8.896881568300115</v>
      </c>
      <c r="I185" s="663">
        <v>0.11757993262070637</v>
      </c>
      <c r="J185" s="663">
        <v>0</v>
      </c>
      <c r="K185" s="663">
        <v>0</v>
      </c>
      <c r="L185" s="663">
        <v>0.3860243395319729</v>
      </c>
      <c r="M185" s="663">
        <v>3.6858170734169985E-4</v>
      </c>
      <c r="N185" s="663">
        <v>0</v>
      </c>
      <c r="O185" s="663">
        <v>10.582193935863573</v>
      </c>
      <c r="P185" s="663">
        <v>26.610536942551132</v>
      </c>
      <c r="Q185" s="663">
        <v>1.0058473798751368</v>
      </c>
      <c r="R185" s="663">
        <v>89.039868511744515</v>
      </c>
      <c r="S185" s="663">
        <v>19.009325162298154</v>
      </c>
      <c r="T185" s="663">
        <v>0</v>
      </c>
      <c r="U185" s="671">
        <v>156.62585763414648</v>
      </c>
    </row>
    <row r="186" spans="3:21" ht="13">
      <c r="C186" s="670" t="s">
        <v>82</v>
      </c>
      <c r="D186" s="663">
        <v>0</v>
      </c>
      <c r="E186" s="663">
        <v>0</v>
      </c>
      <c r="F186" s="663">
        <v>4.1945740406306502</v>
      </c>
      <c r="G186" s="663">
        <v>1.6667279106947781</v>
      </c>
      <c r="H186" s="663">
        <v>0.79342108561234903</v>
      </c>
      <c r="I186" s="663">
        <v>1.0485741219546464E-2</v>
      </c>
      <c r="J186" s="663">
        <v>0</v>
      </c>
      <c r="K186" s="663">
        <v>0</v>
      </c>
      <c r="L186" s="663">
        <v>3.7340409967435519</v>
      </c>
      <c r="M186" s="663">
        <v>0</v>
      </c>
      <c r="N186" s="663">
        <v>16.919952753679041</v>
      </c>
      <c r="O186" s="663">
        <v>0.94371670975918176</v>
      </c>
      <c r="P186" s="663">
        <v>1.1499999999999999</v>
      </c>
      <c r="Q186" s="663">
        <v>1.5666563685107562</v>
      </c>
      <c r="R186" s="663">
        <v>7.7866370218848946</v>
      </c>
      <c r="S186" s="663">
        <v>0</v>
      </c>
      <c r="T186" s="663">
        <v>0.36062656029870238</v>
      </c>
      <c r="U186" s="671">
        <v>39.126839189033454</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1.8912</v>
      </c>
      <c r="S187" s="663">
        <v>0</v>
      </c>
      <c r="T187" s="663">
        <v>0</v>
      </c>
      <c r="U187" s="671">
        <v>1.8912</v>
      </c>
    </row>
    <row r="188" spans="3:21" ht="13">
      <c r="C188" s="666" t="s">
        <v>83</v>
      </c>
      <c r="D188" s="667">
        <v>2.4027599556453909</v>
      </c>
      <c r="E188" s="667">
        <v>0</v>
      </c>
      <c r="F188" s="667">
        <v>37.464719318159553</v>
      </c>
      <c r="G188" s="667">
        <v>3.0882000348060163</v>
      </c>
      <c r="H188" s="675">
        <v>51.217862390799326</v>
      </c>
      <c r="I188" s="667">
        <v>0.67688804921761236</v>
      </c>
      <c r="J188" s="667">
        <v>0</v>
      </c>
      <c r="K188" s="667">
        <v>0</v>
      </c>
      <c r="L188" s="667">
        <v>55.925400303858773</v>
      </c>
      <c r="M188" s="667">
        <v>2.2930892627251551</v>
      </c>
      <c r="N188" s="667">
        <v>78.46688318615972</v>
      </c>
      <c r="O188" s="667">
        <v>60.960199676837377</v>
      </c>
      <c r="P188" s="667">
        <v>148.52009865212395</v>
      </c>
      <c r="Q188" s="667">
        <v>5.4580412340336313</v>
      </c>
      <c r="R188" s="667">
        <v>474.10316741385316</v>
      </c>
      <c r="S188" s="667">
        <v>62.943626270237907</v>
      </c>
      <c r="T188" s="667">
        <v>10.361311934738108</v>
      </c>
      <c r="U188" s="667">
        <v>993.8822476831956</v>
      </c>
    </row>
    <row r="189" spans="3:21" ht="13">
      <c r="C189" s="662" t="s">
        <v>84</v>
      </c>
      <c r="D189" s="663">
        <v>0</v>
      </c>
      <c r="E189" s="663">
        <v>0</v>
      </c>
      <c r="F189" s="663">
        <v>55.51811908375884</v>
      </c>
      <c r="G189" s="663">
        <v>7.0490044147499464</v>
      </c>
      <c r="H189" s="663">
        <v>5.5825875517318595</v>
      </c>
      <c r="I189" s="663">
        <v>0</v>
      </c>
      <c r="J189" s="663">
        <v>0</v>
      </c>
      <c r="K189" s="663">
        <v>0</v>
      </c>
      <c r="L189" s="663">
        <v>0.48256425190137814</v>
      </c>
      <c r="M189" s="663">
        <v>0</v>
      </c>
      <c r="N189" s="663">
        <v>17.896473357733768</v>
      </c>
      <c r="O189" s="663">
        <v>3.3065346740377066</v>
      </c>
      <c r="P189" s="663">
        <v>0</v>
      </c>
      <c r="Q189" s="663">
        <v>0</v>
      </c>
      <c r="R189" s="663">
        <v>0</v>
      </c>
      <c r="S189" s="663">
        <v>0</v>
      </c>
      <c r="T189" s="663">
        <v>28.74233427987765</v>
      </c>
      <c r="U189" s="671">
        <v>118.57761761379115</v>
      </c>
    </row>
    <row r="190" spans="3:21" ht="13">
      <c r="C190" s="666" t="s">
        <v>85</v>
      </c>
      <c r="D190" s="667">
        <v>2.4027599556453909</v>
      </c>
      <c r="E190" s="667">
        <v>0</v>
      </c>
      <c r="F190" s="667">
        <v>92.9828384019184</v>
      </c>
      <c r="G190" s="667">
        <v>10.137204449555963</v>
      </c>
      <c r="H190" s="675">
        <v>56.800449942531188</v>
      </c>
      <c r="I190" s="667">
        <v>0.67688804921761236</v>
      </c>
      <c r="J190" s="667">
        <v>0</v>
      </c>
      <c r="K190" s="667">
        <v>0</v>
      </c>
      <c r="L190" s="667">
        <v>56.407964555760152</v>
      </c>
      <c r="M190" s="667">
        <v>2.2930892627251551</v>
      </c>
      <c r="N190" s="667">
        <v>96.363356543893488</v>
      </c>
      <c r="O190" s="667">
        <v>64.266734350875069</v>
      </c>
      <c r="P190" s="667">
        <v>148.52009865212395</v>
      </c>
      <c r="Q190" s="667">
        <v>5.4580412340336313</v>
      </c>
      <c r="R190" s="667">
        <v>474.10316741385316</v>
      </c>
      <c r="S190" s="667">
        <v>62.943626270237907</v>
      </c>
      <c r="T190" s="667">
        <v>39.103646214615758</v>
      </c>
      <c r="U190" s="667">
        <v>1112.4598652969867</v>
      </c>
    </row>
    <row r="191" spans="3:21">
      <c r="C191" s="654"/>
      <c r="D191" s="672">
        <v>0</v>
      </c>
      <c r="E191" s="672">
        <v>0</v>
      </c>
      <c r="F191" s="672">
        <v>0</v>
      </c>
      <c r="G191" s="672">
        <v>0</v>
      </c>
      <c r="H191" s="672">
        <v>0</v>
      </c>
      <c r="I191" s="672">
        <v>1.0408340855860843E-16</v>
      </c>
      <c r="J191" s="672">
        <v>0</v>
      </c>
      <c r="K191" s="672">
        <v>0</v>
      </c>
      <c r="L191" s="672">
        <v>0</v>
      </c>
      <c r="M191" s="672">
        <v>0</v>
      </c>
      <c r="N191" s="672">
        <v>1.1546319456101628E-14</v>
      </c>
      <c r="O191" s="672">
        <v>-3.1086244689504383E-14</v>
      </c>
      <c r="P191" s="672">
        <v>0</v>
      </c>
      <c r="Q191" s="672">
        <v>0</v>
      </c>
      <c r="R191" s="672">
        <v>0</v>
      </c>
      <c r="S191" s="672">
        <v>0</v>
      </c>
      <c r="T191" s="672">
        <v>0</v>
      </c>
      <c r="U191" s="672">
        <v>0</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364</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0</v>
      </c>
      <c r="F197" s="663">
        <v>0</v>
      </c>
      <c r="G197" s="663">
        <v>0</v>
      </c>
      <c r="H197" s="663">
        <v>0</v>
      </c>
      <c r="I197" s="663">
        <v>0</v>
      </c>
      <c r="J197" s="664">
        <v>835.87348477446847</v>
      </c>
      <c r="K197" s="664">
        <v>433.2264513609648</v>
      </c>
      <c r="L197" s="664">
        <v>288.88340552324502</v>
      </c>
      <c r="M197" s="664">
        <v>22.07866786794175</v>
      </c>
      <c r="N197" s="663">
        <v>1.6797912871987437</v>
      </c>
      <c r="O197" s="663">
        <v>0.17065445399605614</v>
      </c>
      <c r="P197" s="664">
        <v>155.82057805919561</v>
      </c>
      <c r="Q197" s="664">
        <v>23.487215011212861</v>
      </c>
      <c r="R197" s="663">
        <v>0</v>
      </c>
      <c r="S197" s="663">
        <v>0</v>
      </c>
      <c r="T197" s="663">
        <v>0</v>
      </c>
      <c r="U197" s="665">
        <v>1761.2202483382232</v>
      </c>
    </row>
    <row r="198" spans="3:21" ht="13">
      <c r="C198" s="662" t="s">
        <v>60</v>
      </c>
      <c r="D198" s="663">
        <v>9.1088960408946864</v>
      </c>
      <c r="E198" s="663">
        <v>190.65660017812178</v>
      </c>
      <c r="F198" s="663">
        <v>2.9590354993625017</v>
      </c>
      <c r="G198" s="663">
        <v>0</v>
      </c>
      <c r="H198" s="663">
        <v>52.772371882452688</v>
      </c>
      <c r="I198" s="663">
        <v>0</v>
      </c>
      <c r="J198" s="663">
        <v>0</v>
      </c>
      <c r="K198" s="663">
        <v>0</v>
      </c>
      <c r="L198" s="663">
        <v>4.8125993033158778</v>
      </c>
      <c r="M198" s="663">
        <v>0</v>
      </c>
      <c r="N198" s="663">
        <v>5.0080801377734332</v>
      </c>
      <c r="O198" s="663">
        <v>0</v>
      </c>
      <c r="P198" s="663">
        <v>0</v>
      </c>
      <c r="Q198" s="663">
        <v>0</v>
      </c>
      <c r="R198" s="663">
        <v>0</v>
      </c>
      <c r="S198" s="663">
        <v>0</v>
      </c>
      <c r="T198" s="663">
        <v>0</v>
      </c>
      <c r="U198" s="665">
        <v>265.31758304192095</v>
      </c>
    </row>
    <row r="199" spans="3:21" ht="13">
      <c r="C199" s="662" t="s">
        <v>61</v>
      </c>
      <c r="D199" s="663">
        <v>0</v>
      </c>
      <c r="E199" s="663">
        <v>0</v>
      </c>
      <c r="F199" s="663">
        <v>-67.846394386464354</v>
      </c>
      <c r="G199" s="663">
        <v>-3.5527136788005009E-15</v>
      </c>
      <c r="H199" s="663">
        <v>0</v>
      </c>
      <c r="I199" s="663">
        <v>0</v>
      </c>
      <c r="J199" s="663">
        <v>0</v>
      </c>
      <c r="K199" s="663">
        <v>0</v>
      </c>
      <c r="L199" s="663">
        <v>0</v>
      </c>
      <c r="M199" s="663">
        <v>0</v>
      </c>
      <c r="N199" s="663">
        <v>0</v>
      </c>
      <c r="O199" s="663">
        <v>0</v>
      </c>
      <c r="P199" s="663">
        <v>0</v>
      </c>
      <c r="Q199" s="663">
        <v>0</v>
      </c>
      <c r="R199" s="663">
        <v>-40.00031821738844</v>
      </c>
      <c r="S199" s="663">
        <v>0</v>
      </c>
      <c r="T199" s="663">
        <v>0</v>
      </c>
      <c r="U199" s="665">
        <v>-107.84671260385279</v>
      </c>
    </row>
    <row r="200" spans="3:21" ht="13">
      <c r="C200" s="662" t="s">
        <v>62</v>
      </c>
      <c r="D200" s="663">
        <v>0</v>
      </c>
      <c r="E200" s="663">
        <v>0</v>
      </c>
      <c r="F200" s="663">
        <v>-5.3541729526260253</v>
      </c>
      <c r="G200" s="663">
        <v>-3.2544454489343884</v>
      </c>
      <c r="H200" s="663">
        <v>-2.154938128893316</v>
      </c>
      <c r="I200" s="663">
        <v>-5.5254823817777333E-2</v>
      </c>
      <c r="J200" s="663">
        <v>0</v>
      </c>
      <c r="K200" s="663">
        <v>0</v>
      </c>
      <c r="L200" s="663">
        <v>0</v>
      </c>
      <c r="M200" s="663">
        <v>0</v>
      </c>
      <c r="N200" s="663">
        <v>-0.28299525642907725</v>
      </c>
      <c r="O200" s="663">
        <v>-3.3152894290666399</v>
      </c>
      <c r="P200" s="663">
        <v>0</v>
      </c>
      <c r="Q200" s="663">
        <v>0</v>
      </c>
      <c r="R200" s="663">
        <v>0</v>
      </c>
      <c r="S200" s="663">
        <v>0</v>
      </c>
      <c r="T200" s="663">
        <v>0</v>
      </c>
      <c r="U200" s="665">
        <v>-14.417096039767225</v>
      </c>
    </row>
    <row r="201" spans="3:21" ht="13">
      <c r="C201" s="662" t="s">
        <v>63</v>
      </c>
      <c r="D201" s="663">
        <v>0</v>
      </c>
      <c r="E201" s="663">
        <v>0</v>
      </c>
      <c r="F201" s="663">
        <v>-38.578656039955483</v>
      </c>
      <c r="G201" s="663">
        <v>-13.893394907220655</v>
      </c>
      <c r="H201" s="663">
        <v>0</v>
      </c>
      <c r="I201" s="663">
        <v>0</v>
      </c>
      <c r="J201" s="663">
        <v>0</v>
      </c>
      <c r="K201" s="663">
        <v>0</v>
      </c>
      <c r="L201" s="663">
        <v>0</v>
      </c>
      <c r="M201" s="663">
        <v>0</v>
      </c>
      <c r="N201" s="663">
        <v>-13.893394907220655</v>
      </c>
      <c r="O201" s="663">
        <v>0</v>
      </c>
      <c r="P201" s="663">
        <v>0</v>
      </c>
      <c r="Q201" s="663">
        <v>0</v>
      </c>
      <c r="R201" s="663">
        <v>0</v>
      </c>
      <c r="S201" s="663">
        <v>0</v>
      </c>
      <c r="T201" s="663">
        <v>-1.3953345659196588</v>
      </c>
      <c r="U201" s="665">
        <v>-67.760780420316451</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9.1088960408946864</v>
      </c>
      <c r="E203" s="667">
        <v>190.65660017812178</v>
      </c>
      <c r="F203" s="667">
        <v>-108.82018787968336</v>
      </c>
      <c r="G203" s="667">
        <v>-17.147840356155047</v>
      </c>
      <c r="H203" s="675">
        <v>50.617433753559375</v>
      </c>
      <c r="I203" s="667">
        <v>-5.5254823817777333E-2</v>
      </c>
      <c r="J203" s="667">
        <v>835.87348477446847</v>
      </c>
      <c r="K203" s="667">
        <v>433.2264513609648</v>
      </c>
      <c r="L203" s="667">
        <v>293.69600482656091</v>
      </c>
      <c r="M203" s="667">
        <v>22.07866786794175</v>
      </c>
      <c r="N203" s="667">
        <v>-7.4885187386775538</v>
      </c>
      <c r="O203" s="667">
        <v>-3.1446349750705838</v>
      </c>
      <c r="P203" s="667">
        <v>155.82057805919561</v>
      </c>
      <c r="Q203" s="667">
        <v>23.487215011212861</v>
      </c>
      <c r="R203" s="667">
        <v>-40.00031821738844</v>
      </c>
      <c r="S203" s="667">
        <v>0</v>
      </c>
      <c r="T203" s="667">
        <v>-1.3953345659196588</v>
      </c>
      <c r="U203" s="667">
        <v>1836.5132423162074</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0</v>
      </c>
      <c r="G206" s="663">
        <v>0</v>
      </c>
      <c r="H206" s="663">
        <v>0</v>
      </c>
      <c r="I206" s="663">
        <v>0</v>
      </c>
      <c r="J206" s="663">
        <v>835.87348477446847</v>
      </c>
      <c r="K206" s="663">
        <v>433.2264513609648</v>
      </c>
      <c r="L206" s="663">
        <v>14.188154051569427</v>
      </c>
      <c r="M206" s="663">
        <v>5.3742483693021068</v>
      </c>
      <c r="N206" s="663">
        <v>6.3451610040287907</v>
      </c>
      <c r="O206" s="663">
        <v>0.11419280490868838</v>
      </c>
      <c r="P206" s="663">
        <v>0</v>
      </c>
      <c r="Q206" s="663">
        <v>6.4766550958451852</v>
      </c>
      <c r="R206" s="663">
        <v>-726.93629039774203</v>
      </c>
      <c r="S206" s="663">
        <v>0</v>
      </c>
      <c r="T206" s="663">
        <v>11.298964449788109</v>
      </c>
      <c r="U206" s="671">
        <v>585.96102151313323</v>
      </c>
    </row>
    <row r="207" spans="3:21" ht="13">
      <c r="C207" s="670" t="s">
        <v>351</v>
      </c>
      <c r="D207" s="663">
        <v>0</v>
      </c>
      <c r="E207" s="663">
        <v>0</v>
      </c>
      <c r="F207" s="663">
        <v>0</v>
      </c>
      <c r="G207" s="663">
        <v>0</v>
      </c>
      <c r="H207" s="663">
        <v>3.2711110414405256</v>
      </c>
      <c r="I207" s="663">
        <v>0</v>
      </c>
      <c r="J207" s="663">
        <v>0</v>
      </c>
      <c r="K207" s="663">
        <v>0</v>
      </c>
      <c r="L207" s="663">
        <v>34.963821149394811</v>
      </c>
      <c r="M207" s="663">
        <v>14.476121269049287</v>
      </c>
      <c r="N207" s="663">
        <v>0</v>
      </c>
      <c r="O207" s="663">
        <v>7.6477038720835147</v>
      </c>
      <c r="P207" s="663">
        <v>0</v>
      </c>
      <c r="Q207" s="663">
        <v>11.276034288959668</v>
      </c>
      <c r="R207" s="663">
        <v>0</v>
      </c>
      <c r="S207" s="663">
        <v>-67.494467143680438</v>
      </c>
      <c r="T207" s="663">
        <v>0</v>
      </c>
      <c r="U207" s="671">
        <v>4.1403244772473649</v>
      </c>
    </row>
    <row r="208" spans="3:21" ht="13">
      <c r="C208" s="670" t="s">
        <v>352</v>
      </c>
      <c r="D208" s="663">
        <v>0</v>
      </c>
      <c r="E208" s="663">
        <v>0</v>
      </c>
      <c r="F208" s="663">
        <v>0</v>
      </c>
      <c r="G208" s="663">
        <v>0</v>
      </c>
      <c r="H208" s="663">
        <v>0</v>
      </c>
      <c r="I208" s="663">
        <v>0</v>
      </c>
      <c r="J208" s="663">
        <v>0</v>
      </c>
      <c r="K208" s="663">
        <v>0</v>
      </c>
      <c r="L208" s="663">
        <v>85.030807044207506</v>
      </c>
      <c r="M208" s="663">
        <v>0</v>
      </c>
      <c r="N208" s="663">
        <v>0</v>
      </c>
      <c r="O208" s="663">
        <v>-80.149276434896436</v>
      </c>
      <c r="P208" s="663">
        <v>0</v>
      </c>
      <c r="Q208" s="663">
        <v>0</v>
      </c>
      <c r="R208" s="663">
        <v>0</v>
      </c>
      <c r="S208" s="663">
        <v>0</v>
      </c>
      <c r="T208" s="663">
        <v>0</v>
      </c>
      <c r="U208" s="671">
        <v>4.8815306093110706</v>
      </c>
    </row>
    <row r="209" spans="3:21" ht="13">
      <c r="C209" s="670" t="s">
        <v>353</v>
      </c>
      <c r="D209" s="663">
        <v>0</v>
      </c>
      <c r="E209" s="663">
        <v>0</v>
      </c>
      <c r="F209" s="663">
        <v>0</v>
      </c>
      <c r="G209" s="663">
        <v>0</v>
      </c>
      <c r="H209" s="663">
        <v>0</v>
      </c>
      <c r="I209" s="663">
        <v>-1.1466991714325052</v>
      </c>
      <c r="J209" s="663">
        <v>0</v>
      </c>
      <c r="K209" s="663">
        <v>0</v>
      </c>
      <c r="L209" s="663">
        <v>0</v>
      </c>
      <c r="M209" s="663">
        <v>0</v>
      </c>
      <c r="N209" s="663">
        <v>0</v>
      </c>
      <c r="O209" s="663">
        <v>0</v>
      </c>
      <c r="P209" s="663">
        <v>0</v>
      </c>
      <c r="Q209" s="663">
        <v>0</v>
      </c>
      <c r="R209" s="663">
        <v>0</v>
      </c>
      <c r="S209" s="663">
        <v>0</v>
      </c>
      <c r="T209" s="663">
        <v>1.5966000387788533</v>
      </c>
      <c r="U209" s="671">
        <v>0.44990086734634804</v>
      </c>
    </row>
    <row r="210" spans="3:21" ht="13">
      <c r="C210" s="670" t="s">
        <v>72</v>
      </c>
      <c r="D210" s="663">
        <v>0</v>
      </c>
      <c r="E210" s="663">
        <v>197.54631533572405</v>
      </c>
      <c r="F210" s="663">
        <v>-195.57532355071015</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1.9709917850139052</v>
      </c>
    </row>
    <row r="211" spans="3:21" ht="13">
      <c r="C211" s="670" t="s">
        <v>354</v>
      </c>
      <c r="D211" s="663">
        <v>0</v>
      </c>
      <c r="E211" s="663">
        <v>0</v>
      </c>
      <c r="F211" s="663">
        <v>0</v>
      </c>
      <c r="G211" s="663">
        <v>0</v>
      </c>
      <c r="H211" s="663">
        <v>0</v>
      </c>
      <c r="I211" s="663">
        <v>0</v>
      </c>
      <c r="J211" s="663">
        <v>0</v>
      </c>
      <c r="K211" s="663">
        <v>0</v>
      </c>
      <c r="L211" s="663">
        <v>104.32434467350188</v>
      </c>
      <c r="M211" s="663">
        <v>0</v>
      </c>
      <c r="N211" s="663">
        <v>-104.32434467350188</v>
      </c>
      <c r="O211" s="663">
        <v>0</v>
      </c>
      <c r="P211" s="663">
        <v>0</v>
      </c>
      <c r="Q211" s="663">
        <v>0</v>
      </c>
      <c r="R211" s="663">
        <v>0</v>
      </c>
      <c r="S211" s="663">
        <v>0</v>
      </c>
      <c r="T211" s="663">
        <v>0</v>
      </c>
      <c r="U211" s="671">
        <v>0</v>
      </c>
    </row>
    <row r="212" spans="3:21" ht="13">
      <c r="C212" s="670" t="s">
        <v>355</v>
      </c>
      <c r="D212" s="663">
        <v>0</v>
      </c>
      <c r="E212" s="663">
        <v>0</v>
      </c>
      <c r="F212" s="663">
        <v>0</v>
      </c>
      <c r="G212" s="663">
        <v>-28.456538558191252</v>
      </c>
      <c r="H212" s="663">
        <v>0</v>
      </c>
      <c r="I212" s="663">
        <v>0</v>
      </c>
      <c r="J212" s="663">
        <v>0</v>
      </c>
      <c r="K212" s="663">
        <v>0</v>
      </c>
      <c r="L212" s="663">
        <v>0</v>
      </c>
      <c r="M212" s="663">
        <v>0</v>
      </c>
      <c r="N212" s="663">
        <v>0</v>
      </c>
      <c r="O212" s="663">
        <v>0</v>
      </c>
      <c r="P212" s="663">
        <v>0</v>
      </c>
      <c r="Q212" s="663">
        <v>0</v>
      </c>
      <c r="R212" s="663">
        <v>0</v>
      </c>
      <c r="S212" s="663">
        <v>0</v>
      </c>
      <c r="T212" s="663">
        <v>39.633062058762192</v>
      </c>
      <c r="U212" s="671">
        <v>11.176523500570941</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137.29765828865015</v>
      </c>
      <c r="S213" s="663">
        <v>0</v>
      </c>
      <c r="T213" s="663">
        <v>-96.451604947776744</v>
      </c>
      <c r="U213" s="671">
        <v>40.846053340873411</v>
      </c>
    </row>
    <row r="214" spans="3:21" ht="13">
      <c r="C214" s="670" t="s">
        <v>356</v>
      </c>
      <c r="D214" s="663">
        <v>5.0092797656249992</v>
      </c>
      <c r="E214" s="663">
        <v>-6.8897151576022866</v>
      </c>
      <c r="F214" s="663">
        <v>8.9891621815142653</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7.1087267895369788</v>
      </c>
    </row>
    <row r="215" spans="3:21" ht="13">
      <c r="C215" s="670" t="s">
        <v>75</v>
      </c>
      <c r="D215" s="663">
        <v>1.9480532421875001</v>
      </c>
      <c r="E215" s="663">
        <v>0</v>
      </c>
      <c r="F215" s="663">
        <v>17.132121990826434</v>
      </c>
      <c r="G215" s="663">
        <v>0</v>
      </c>
      <c r="H215" s="663">
        <v>1.9377811160090992</v>
      </c>
      <c r="I215" s="663">
        <v>4.9686695282284594E-2</v>
      </c>
      <c r="J215" s="663">
        <v>0</v>
      </c>
      <c r="K215" s="663">
        <v>0</v>
      </c>
      <c r="L215" s="663">
        <v>0</v>
      </c>
      <c r="M215" s="663">
        <v>0</v>
      </c>
      <c r="N215" s="663">
        <v>0</v>
      </c>
      <c r="O215" s="663">
        <v>2.9812017169370755</v>
      </c>
      <c r="P215" s="663">
        <v>0</v>
      </c>
      <c r="Q215" s="663">
        <v>0</v>
      </c>
      <c r="R215" s="663">
        <v>20.439487728936754</v>
      </c>
      <c r="S215" s="663">
        <v>0</v>
      </c>
      <c r="T215" s="663">
        <v>0</v>
      </c>
      <c r="U215" s="671">
        <v>44.488332490179147</v>
      </c>
    </row>
    <row r="216" spans="3:21" ht="13">
      <c r="C216" s="670" t="s">
        <v>76</v>
      </c>
      <c r="D216" s="663">
        <v>0</v>
      </c>
      <c r="E216" s="663">
        <v>0</v>
      </c>
      <c r="F216" s="663">
        <v>0</v>
      </c>
      <c r="G216" s="663">
        <v>0</v>
      </c>
      <c r="H216" s="663">
        <v>0.58071595304039991</v>
      </c>
      <c r="I216" s="663">
        <v>1.4890152642061536E-2</v>
      </c>
      <c r="J216" s="663">
        <v>0</v>
      </c>
      <c r="K216" s="663">
        <v>0</v>
      </c>
      <c r="L216" s="663">
        <v>0</v>
      </c>
      <c r="M216" s="663">
        <v>0</v>
      </c>
      <c r="N216" s="663">
        <v>0</v>
      </c>
      <c r="O216" s="663">
        <v>0.89340915852369218</v>
      </c>
      <c r="P216" s="663">
        <v>0</v>
      </c>
      <c r="Q216" s="663">
        <v>0</v>
      </c>
      <c r="R216" s="663">
        <v>52.564064229351587</v>
      </c>
      <c r="S216" s="663">
        <v>5.2350040213197584</v>
      </c>
      <c r="T216" s="663">
        <v>0</v>
      </c>
      <c r="U216" s="671">
        <v>59.288083514877499</v>
      </c>
    </row>
    <row r="217" spans="3:21" ht="13">
      <c r="C217" s="666" t="s">
        <v>77</v>
      </c>
      <c r="D217" s="667">
        <v>6.9573330078124993</v>
      </c>
      <c r="E217" s="667">
        <v>190.65660017812178</v>
      </c>
      <c r="F217" s="667">
        <v>-169.45403937836946</v>
      </c>
      <c r="G217" s="667">
        <v>-28.456538558191252</v>
      </c>
      <c r="H217" s="675">
        <v>5.7896081104900246</v>
      </c>
      <c r="I217" s="667">
        <v>-1.0821223235081592</v>
      </c>
      <c r="J217" s="667">
        <v>835.87348477446847</v>
      </c>
      <c r="K217" s="667">
        <v>433.2264513609648</v>
      </c>
      <c r="L217" s="667">
        <v>238.50712691867363</v>
      </c>
      <c r="M217" s="667">
        <v>19.850369638351395</v>
      </c>
      <c r="N217" s="667">
        <v>-97.979183669473088</v>
      </c>
      <c r="O217" s="667">
        <v>-68.512768882443467</v>
      </c>
      <c r="P217" s="667">
        <v>0</v>
      </c>
      <c r="Q217" s="667">
        <v>17.752689384804853</v>
      </c>
      <c r="R217" s="667">
        <v>-516.63508015080356</v>
      </c>
      <c r="S217" s="667">
        <v>-62.259463122360671</v>
      </c>
      <c r="T217" s="667">
        <v>-43.92297840044759</v>
      </c>
      <c r="U217" s="667">
        <v>760.31148888809003</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2.1515630330821871</v>
      </c>
      <c r="E219" s="663">
        <v>0</v>
      </c>
      <c r="F219" s="663">
        <v>1.9729303012498745</v>
      </c>
      <c r="G219" s="663">
        <v>0</v>
      </c>
      <c r="H219" s="663">
        <v>17.624600662262115</v>
      </c>
      <c r="I219" s="663">
        <v>0.45191283749390032</v>
      </c>
      <c r="J219" s="663">
        <v>0</v>
      </c>
      <c r="K219" s="663">
        <v>0</v>
      </c>
      <c r="L219" s="663">
        <v>19.327819378703428</v>
      </c>
      <c r="M219" s="663">
        <v>2.2279514023281117</v>
      </c>
      <c r="N219" s="663">
        <v>2.6644658203125</v>
      </c>
      <c r="O219" s="663">
        <v>27.156120456665761</v>
      </c>
      <c r="P219" s="663">
        <v>9.6085478515625002</v>
      </c>
      <c r="Q219" s="663">
        <v>8.4299170840015686E-4</v>
      </c>
      <c r="R219" s="663">
        <v>135.80773886663795</v>
      </c>
      <c r="S219" s="663">
        <v>18.436108583667494</v>
      </c>
      <c r="T219" s="663">
        <v>6.3938178710937503</v>
      </c>
      <c r="U219" s="671">
        <v>243.82442005676796</v>
      </c>
    </row>
    <row r="220" spans="3:21" ht="13">
      <c r="C220" s="670" t="s">
        <v>79</v>
      </c>
      <c r="D220" s="663">
        <v>0</v>
      </c>
      <c r="E220" s="663">
        <v>0</v>
      </c>
      <c r="F220" s="663">
        <v>5.1934680094593588</v>
      </c>
      <c r="G220" s="663">
        <v>1.7577012997845347</v>
      </c>
      <c r="H220" s="663">
        <v>2.152977175631825</v>
      </c>
      <c r="I220" s="663">
        <v>5.5204542964918585E-2</v>
      </c>
      <c r="J220" s="663">
        <v>0</v>
      </c>
      <c r="K220" s="663">
        <v>0</v>
      </c>
      <c r="L220" s="663">
        <v>0</v>
      </c>
      <c r="M220" s="663">
        <v>0</v>
      </c>
      <c r="N220" s="663">
        <v>51.143075106834317</v>
      </c>
      <c r="O220" s="663">
        <v>3.312272577895115</v>
      </c>
      <c r="P220" s="663">
        <v>0</v>
      </c>
      <c r="Q220" s="663">
        <v>0</v>
      </c>
      <c r="R220" s="663">
        <v>104.19646172854269</v>
      </c>
      <c r="S220" s="663">
        <v>0</v>
      </c>
      <c r="T220" s="663">
        <v>4.7641609973157095</v>
      </c>
      <c r="U220" s="671">
        <v>172.57532143842849</v>
      </c>
    </row>
    <row r="221" spans="3:21" ht="13">
      <c r="C221" s="670" t="s">
        <v>80</v>
      </c>
      <c r="D221" s="663">
        <v>0</v>
      </c>
      <c r="E221" s="663">
        <v>0</v>
      </c>
      <c r="F221" s="663">
        <v>0.32079919308121357</v>
      </c>
      <c r="G221" s="663">
        <v>0</v>
      </c>
      <c r="H221" s="663">
        <v>12.69993934515486</v>
      </c>
      <c r="I221" s="663">
        <v>0.32563947038858615</v>
      </c>
      <c r="J221" s="663">
        <v>0</v>
      </c>
      <c r="K221" s="663">
        <v>0</v>
      </c>
      <c r="L221" s="663">
        <v>30.989297403436193</v>
      </c>
      <c r="M221" s="663">
        <v>0</v>
      </c>
      <c r="N221" s="663">
        <v>0</v>
      </c>
      <c r="O221" s="663">
        <v>19.538368223315167</v>
      </c>
      <c r="P221" s="663">
        <v>117.54725011788614</v>
      </c>
      <c r="Q221" s="663">
        <v>2.9888036499995505</v>
      </c>
      <c r="R221" s="663">
        <v>139.69858105781077</v>
      </c>
      <c r="S221" s="663">
        <v>24.846536847991327</v>
      </c>
      <c r="T221" s="663">
        <v>0</v>
      </c>
      <c r="U221" s="671">
        <v>348.95521530906382</v>
      </c>
    </row>
    <row r="222" spans="3:21" ht="13">
      <c r="C222" s="670" t="s">
        <v>81</v>
      </c>
      <c r="D222" s="663">
        <v>0</v>
      </c>
      <c r="E222" s="663">
        <v>0</v>
      </c>
      <c r="F222" s="663">
        <v>0.73542128008657859</v>
      </c>
      <c r="G222" s="663">
        <v>0</v>
      </c>
      <c r="H222" s="663">
        <v>6.9022329775494073</v>
      </c>
      <c r="I222" s="663">
        <v>0.17698033275767711</v>
      </c>
      <c r="J222" s="663">
        <v>0</v>
      </c>
      <c r="K222" s="663">
        <v>0</v>
      </c>
      <c r="L222" s="663">
        <v>0.37326901233115406</v>
      </c>
      <c r="M222" s="663">
        <v>3.4682726224379159E-4</v>
      </c>
      <c r="N222" s="663">
        <v>0</v>
      </c>
      <c r="O222" s="663">
        <v>10.618819965460625</v>
      </c>
      <c r="P222" s="663">
        <v>27.414780089746973</v>
      </c>
      <c r="Q222" s="663">
        <v>1.0008652914522365</v>
      </c>
      <c r="R222" s="663">
        <v>86.91432505661372</v>
      </c>
      <c r="S222" s="663">
        <v>18.976817690701857</v>
      </c>
      <c r="T222" s="663">
        <v>0</v>
      </c>
      <c r="U222" s="671">
        <v>153.11385852396248</v>
      </c>
    </row>
    <row r="223" spans="3:21" ht="13">
      <c r="C223" s="670" t="s">
        <v>82</v>
      </c>
      <c r="D223" s="663">
        <v>0</v>
      </c>
      <c r="E223" s="663">
        <v>0</v>
      </c>
      <c r="F223" s="663">
        <v>1.7660543125979742</v>
      </c>
      <c r="G223" s="663">
        <v>1.6775006918768405</v>
      </c>
      <c r="H223" s="663">
        <v>0.66808232732668293</v>
      </c>
      <c r="I223" s="663">
        <v>1.7130316085299562E-2</v>
      </c>
      <c r="J223" s="663">
        <v>0</v>
      </c>
      <c r="K223" s="663">
        <v>0</v>
      </c>
      <c r="L223" s="663">
        <v>3.9742935582164471</v>
      </c>
      <c r="M223" s="663">
        <v>0</v>
      </c>
      <c r="N223" s="663">
        <v>17.824426087880788</v>
      </c>
      <c r="O223" s="663">
        <v>1.0278189651179737</v>
      </c>
      <c r="P223" s="663">
        <v>1.25</v>
      </c>
      <c r="Q223" s="663">
        <v>1.7440136932478227</v>
      </c>
      <c r="R223" s="663">
        <v>7.8035752238100597</v>
      </c>
      <c r="S223" s="663">
        <v>0</v>
      </c>
      <c r="T223" s="663">
        <v>0.38427420359697795</v>
      </c>
      <c r="U223" s="671">
        <v>38.13716937975687</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2.21408</v>
      </c>
      <c r="S224" s="663">
        <v>0</v>
      </c>
      <c r="T224" s="663">
        <v>0</v>
      </c>
      <c r="U224" s="671">
        <v>2.21408</v>
      </c>
    </row>
    <row r="225" spans="3:21" ht="13">
      <c r="C225" s="666" t="s">
        <v>83</v>
      </c>
      <c r="D225" s="667">
        <v>2.1515630330821871</v>
      </c>
      <c r="E225" s="667">
        <v>0</v>
      </c>
      <c r="F225" s="667">
        <v>9.9886730964750008</v>
      </c>
      <c r="G225" s="667">
        <v>3.4352019916613754</v>
      </c>
      <c r="H225" s="675">
        <v>40.047832487924893</v>
      </c>
      <c r="I225" s="667">
        <v>1.0268674996903817</v>
      </c>
      <c r="J225" s="667">
        <v>0</v>
      </c>
      <c r="K225" s="667">
        <v>0</v>
      </c>
      <c r="L225" s="667">
        <v>54.664679352687223</v>
      </c>
      <c r="M225" s="667">
        <v>2.2282982295903557</v>
      </c>
      <c r="N225" s="667">
        <v>71.631967015027612</v>
      </c>
      <c r="O225" s="667">
        <v>61.65340018845464</v>
      </c>
      <c r="P225" s="667">
        <v>155.82057805919561</v>
      </c>
      <c r="Q225" s="667">
        <v>5.7345256264080096</v>
      </c>
      <c r="R225" s="667">
        <v>476.63476193341518</v>
      </c>
      <c r="S225" s="667">
        <v>62.259463122360671</v>
      </c>
      <c r="T225" s="667">
        <v>11.542253072006439</v>
      </c>
      <c r="U225" s="667">
        <v>958.82006470797955</v>
      </c>
    </row>
    <row r="226" spans="3:21" ht="13">
      <c r="C226" s="662" t="s">
        <v>84</v>
      </c>
      <c r="D226" s="663">
        <v>0</v>
      </c>
      <c r="E226" s="663">
        <v>0</v>
      </c>
      <c r="F226" s="663">
        <v>50.64517840221108</v>
      </c>
      <c r="G226" s="663">
        <v>7.8734962103748298</v>
      </c>
      <c r="H226" s="663">
        <v>4.7799931551444459</v>
      </c>
      <c r="I226" s="663">
        <v>0</v>
      </c>
      <c r="J226" s="663">
        <v>0</v>
      </c>
      <c r="K226" s="663">
        <v>0</v>
      </c>
      <c r="L226" s="663">
        <v>0.52419855520004055</v>
      </c>
      <c r="M226" s="663">
        <v>0</v>
      </c>
      <c r="N226" s="663">
        <v>18.858697915767927</v>
      </c>
      <c r="O226" s="663">
        <v>3.7147337189182332</v>
      </c>
      <c r="P226" s="663">
        <v>0</v>
      </c>
      <c r="Q226" s="663">
        <v>0</v>
      </c>
      <c r="R226" s="663">
        <v>0</v>
      </c>
      <c r="S226" s="663">
        <v>0</v>
      </c>
      <c r="T226" s="663">
        <v>30.985390762521494</v>
      </c>
      <c r="U226" s="671">
        <v>117.38168872013804</v>
      </c>
    </row>
    <row r="227" spans="3:21" ht="13">
      <c r="C227" s="666" t="s">
        <v>85</v>
      </c>
      <c r="D227" s="667">
        <v>2.1515630330821871</v>
      </c>
      <c r="E227" s="667">
        <v>0</v>
      </c>
      <c r="F227" s="667">
        <v>60.633851498686084</v>
      </c>
      <c r="G227" s="667">
        <v>11.308698202036204</v>
      </c>
      <c r="H227" s="675">
        <v>44.827825643069339</v>
      </c>
      <c r="I227" s="667">
        <v>1.0268674996903817</v>
      </c>
      <c r="J227" s="667">
        <v>0</v>
      </c>
      <c r="K227" s="667">
        <v>0</v>
      </c>
      <c r="L227" s="667">
        <v>55.18887790788726</v>
      </c>
      <c r="M227" s="667">
        <v>2.2282982295903557</v>
      </c>
      <c r="N227" s="667">
        <v>90.490664930795546</v>
      </c>
      <c r="O227" s="667">
        <v>65.368133907372865</v>
      </c>
      <c r="P227" s="667">
        <v>155.82057805919561</v>
      </c>
      <c r="Q227" s="667">
        <v>5.7345256264080096</v>
      </c>
      <c r="R227" s="667">
        <v>476.63476193341518</v>
      </c>
      <c r="S227" s="667">
        <v>62.259463122360671</v>
      </c>
      <c r="T227" s="667">
        <v>42.527643834527936</v>
      </c>
      <c r="U227" s="667">
        <v>1076.2017534281176</v>
      </c>
    </row>
    <row r="228" spans="3:21">
      <c r="C228" s="654"/>
      <c r="D228" s="672">
        <v>0</v>
      </c>
      <c r="E228" s="672">
        <v>0</v>
      </c>
      <c r="F228" s="672">
        <v>0</v>
      </c>
      <c r="G228" s="672">
        <v>0</v>
      </c>
      <c r="H228" s="672">
        <v>0</v>
      </c>
      <c r="I228" s="672">
        <v>-1.3183898417423734E-16</v>
      </c>
      <c r="J228" s="672">
        <v>0</v>
      </c>
      <c r="K228" s="672">
        <v>0</v>
      </c>
      <c r="L228" s="672">
        <v>0</v>
      </c>
      <c r="M228" s="672">
        <v>0</v>
      </c>
      <c r="N228" s="672">
        <v>1.2434497875801753E-14</v>
      </c>
      <c r="O228" s="672">
        <v>-1.8207657603852567E-14</v>
      </c>
      <c r="P228" s="672">
        <v>0</v>
      </c>
      <c r="Q228" s="672">
        <v>0</v>
      </c>
      <c r="R228" s="672">
        <v>5.6843418860808015E-14</v>
      </c>
      <c r="S228" s="672">
        <v>0</v>
      </c>
      <c r="T228" s="672">
        <v>4.4408920985006262E-15</v>
      </c>
      <c r="U228" s="672">
        <v>0</v>
      </c>
    </row>
    <row r="229" spans="3:21">
      <c r="C229" s="654"/>
      <c r="D229" s="654"/>
      <c r="E229" s="654"/>
      <c r="F229" s="654"/>
      <c r="G229" s="654"/>
      <c r="H229" s="654"/>
      <c r="I229" s="654"/>
      <c r="J229" s="654"/>
      <c r="K229" s="654"/>
      <c r="L229" s="654"/>
      <c r="M229" s="654"/>
      <c r="N229" s="654"/>
      <c r="O229" s="654"/>
      <c r="P229" s="654"/>
      <c r="Q229" s="654"/>
      <c r="R229" s="654"/>
      <c r="S229" s="654"/>
      <c r="T229" s="654"/>
      <c r="U229" s="654"/>
    </row>
    <row r="230" spans="3:21" ht="14.5">
      <c r="C230" s="658" t="s">
        <v>89</v>
      </c>
      <c r="D230" s="659"/>
      <c r="E230" s="659"/>
      <c r="F230" s="659"/>
      <c r="G230" s="659"/>
      <c r="H230" s="659"/>
      <c r="I230" s="659"/>
      <c r="J230" s="659"/>
      <c r="K230" s="659"/>
      <c r="L230" s="659"/>
      <c r="M230" s="659"/>
      <c r="N230" s="659"/>
      <c r="O230" s="659"/>
      <c r="P230" s="659"/>
      <c r="Q230" s="659"/>
      <c r="R230" s="659"/>
      <c r="S230" s="659"/>
      <c r="T230" s="659"/>
      <c r="U230" s="659"/>
    </row>
    <row r="231" spans="3:21">
      <c r="C231" s="654"/>
      <c r="D231" s="654"/>
      <c r="E231" s="654"/>
      <c r="F231" s="654"/>
      <c r="G231" s="654"/>
      <c r="H231" s="654"/>
      <c r="I231" s="654"/>
      <c r="J231" s="654"/>
      <c r="K231" s="654"/>
      <c r="L231" s="654"/>
      <c r="M231" s="654"/>
      <c r="N231" s="654"/>
      <c r="O231" s="654"/>
      <c r="P231" s="654"/>
      <c r="Q231" s="654"/>
      <c r="R231" s="654"/>
      <c r="S231" s="654"/>
      <c r="T231" s="654"/>
      <c r="U231" s="654"/>
    </row>
    <row r="232" spans="3:21" ht="13">
      <c r="C232" s="706" t="s">
        <v>128</v>
      </c>
      <c r="D232" s="704" t="s">
        <v>42</v>
      </c>
      <c r="E232" s="704" t="s">
        <v>52</v>
      </c>
      <c r="F232" s="704" t="s">
        <v>53</v>
      </c>
      <c r="G232" s="704" t="s">
        <v>487</v>
      </c>
      <c r="H232" s="704" t="s">
        <v>32</v>
      </c>
      <c r="I232" s="704" t="s">
        <v>488</v>
      </c>
      <c r="J232" s="704" t="s">
        <v>20</v>
      </c>
      <c r="K232" s="704" t="s">
        <v>55</v>
      </c>
      <c r="L232" s="708" t="s">
        <v>56</v>
      </c>
      <c r="M232" s="709"/>
      <c r="N232" s="709"/>
      <c r="O232" s="709"/>
      <c r="P232" s="709"/>
      <c r="Q232" s="710"/>
      <c r="R232" s="704" t="s">
        <v>57</v>
      </c>
      <c r="S232" s="704" t="s">
        <v>58</v>
      </c>
      <c r="T232" s="704" t="s">
        <v>31</v>
      </c>
      <c r="U232" s="704" t="s">
        <v>10</v>
      </c>
    </row>
    <row r="233" spans="3:21" ht="36">
      <c r="C233" s="707"/>
      <c r="D233" s="705"/>
      <c r="E233" s="705"/>
      <c r="F233" s="705"/>
      <c r="G233" s="705"/>
      <c r="H233" s="705"/>
      <c r="I233" s="705"/>
      <c r="J233" s="705"/>
      <c r="K233" s="705"/>
      <c r="L233" s="660" t="s">
        <v>338</v>
      </c>
      <c r="M233" s="660" t="s">
        <v>40</v>
      </c>
      <c r="N233" s="660" t="s">
        <v>346</v>
      </c>
      <c r="O233" s="660" t="s">
        <v>347</v>
      </c>
      <c r="P233" s="661" t="s">
        <v>348</v>
      </c>
      <c r="Q233" s="660" t="s">
        <v>349</v>
      </c>
      <c r="R233" s="705"/>
      <c r="S233" s="705"/>
      <c r="T233" s="705"/>
      <c r="U233" s="705"/>
    </row>
    <row r="234" spans="3:21" ht="13">
      <c r="C234" s="662" t="s">
        <v>59</v>
      </c>
      <c r="D234" s="663">
        <v>0</v>
      </c>
      <c r="E234" s="663">
        <v>0</v>
      </c>
      <c r="F234" s="663">
        <v>0</v>
      </c>
      <c r="G234" s="663">
        <v>0</v>
      </c>
      <c r="H234" s="663">
        <v>0</v>
      </c>
      <c r="I234" s="663">
        <v>0</v>
      </c>
      <c r="J234" s="664">
        <v>712.60987447127138</v>
      </c>
      <c r="K234" s="664">
        <v>556.92135057124881</v>
      </c>
      <c r="L234" s="664">
        <v>261.57522104592402</v>
      </c>
      <c r="M234" s="664">
        <v>19.228684940511499</v>
      </c>
      <c r="N234" s="663">
        <v>1.5563580670349855</v>
      </c>
      <c r="O234" s="663">
        <v>0.17110271620039663</v>
      </c>
      <c r="P234" s="664">
        <v>167.23788927594987</v>
      </c>
      <c r="Q234" s="664">
        <v>24.373068583718577</v>
      </c>
      <c r="R234" s="663">
        <v>0</v>
      </c>
      <c r="S234" s="663">
        <v>0</v>
      </c>
      <c r="T234" s="663">
        <v>0</v>
      </c>
      <c r="U234" s="665">
        <v>1743.6735496718593</v>
      </c>
    </row>
    <row r="235" spans="3:21" ht="13">
      <c r="C235" s="662" t="s">
        <v>60</v>
      </c>
      <c r="D235" s="663">
        <v>5.9311888025037742</v>
      </c>
      <c r="E235" s="663">
        <v>113.95685880900638</v>
      </c>
      <c r="F235" s="663">
        <v>1.9517818504706483</v>
      </c>
      <c r="G235" s="663">
        <v>0</v>
      </c>
      <c r="H235" s="663">
        <v>2.6585092475046008</v>
      </c>
      <c r="I235" s="663">
        <v>0</v>
      </c>
      <c r="J235" s="663">
        <v>0</v>
      </c>
      <c r="K235" s="663">
        <v>0</v>
      </c>
      <c r="L235" s="663">
        <v>5.2309321400654634</v>
      </c>
      <c r="M235" s="663">
        <v>0</v>
      </c>
      <c r="N235" s="663">
        <v>5.4084519189769722</v>
      </c>
      <c r="O235" s="663">
        <v>0</v>
      </c>
      <c r="P235" s="663">
        <v>0</v>
      </c>
      <c r="Q235" s="663">
        <v>0</v>
      </c>
      <c r="R235" s="663">
        <v>0</v>
      </c>
      <c r="S235" s="663">
        <v>0</v>
      </c>
      <c r="T235" s="663">
        <v>0</v>
      </c>
      <c r="U235" s="665">
        <v>135.13772276852782</v>
      </c>
    </row>
    <row r="236" spans="3:21" ht="13">
      <c r="C236" s="662" t="s">
        <v>61</v>
      </c>
      <c r="D236" s="663">
        <v>0</v>
      </c>
      <c r="E236" s="663">
        <v>0</v>
      </c>
      <c r="F236" s="663">
        <v>-33.824093823668861</v>
      </c>
      <c r="G236" s="663">
        <v>-8.545793370460693</v>
      </c>
      <c r="H236" s="663">
        <v>0</v>
      </c>
      <c r="I236" s="663">
        <v>0</v>
      </c>
      <c r="J236" s="663">
        <v>0</v>
      </c>
      <c r="K236" s="663">
        <v>0</v>
      </c>
      <c r="L236" s="663">
        <v>0</v>
      </c>
      <c r="M236" s="663">
        <v>0</v>
      </c>
      <c r="N236" s="663">
        <v>0</v>
      </c>
      <c r="O236" s="663">
        <v>0</v>
      </c>
      <c r="P236" s="663">
        <v>0</v>
      </c>
      <c r="Q236" s="663">
        <v>0</v>
      </c>
      <c r="R236" s="663">
        <v>-40.000075434727478</v>
      </c>
      <c r="S236" s="663">
        <v>0</v>
      </c>
      <c r="T236" s="663">
        <v>0</v>
      </c>
      <c r="U236" s="665">
        <v>-82.369962628857039</v>
      </c>
    </row>
    <row r="237" spans="3:21" ht="13">
      <c r="C237" s="662" t="s">
        <v>62</v>
      </c>
      <c r="D237" s="663">
        <v>0</v>
      </c>
      <c r="E237" s="663">
        <v>0</v>
      </c>
      <c r="F237" s="663">
        <v>-1.6540275032482068</v>
      </c>
      <c r="G237" s="663">
        <v>-4.2955328800984329</v>
      </c>
      <c r="H237" s="663">
        <v>0</v>
      </c>
      <c r="I237" s="663">
        <v>-0.31877375583888373</v>
      </c>
      <c r="J237" s="663">
        <v>0</v>
      </c>
      <c r="K237" s="663">
        <v>0</v>
      </c>
      <c r="L237" s="663">
        <v>0</v>
      </c>
      <c r="M237" s="663">
        <v>0</v>
      </c>
      <c r="N237" s="663">
        <v>-0.24545902171991044</v>
      </c>
      <c r="O237" s="663">
        <v>-6.0567013609387903</v>
      </c>
      <c r="P237" s="663">
        <v>0</v>
      </c>
      <c r="Q237" s="663">
        <v>0</v>
      </c>
      <c r="R237" s="663">
        <v>0</v>
      </c>
      <c r="S237" s="663">
        <v>0</v>
      </c>
      <c r="T237" s="663">
        <v>0</v>
      </c>
      <c r="U237" s="665">
        <v>-12.570494521844225</v>
      </c>
    </row>
    <row r="238" spans="3:21" ht="13">
      <c r="C238" s="662" t="s">
        <v>63</v>
      </c>
      <c r="D238" s="663">
        <v>0</v>
      </c>
      <c r="E238" s="663">
        <v>0</v>
      </c>
      <c r="F238" s="663">
        <v>-18.714774559646315</v>
      </c>
      <c r="G238" s="663">
        <v>-28.257765893495769</v>
      </c>
      <c r="H238" s="663">
        <v>0</v>
      </c>
      <c r="I238" s="663">
        <v>0</v>
      </c>
      <c r="J238" s="663">
        <v>0</v>
      </c>
      <c r="K238" s="663">
        <v>0</v>
      </c>
      <c r="L238" s="663">
        <v>0</v>
      </c>
      <c r="M238" s="663">
        <v>0</v>
      </c>
      <c r="N238" s="663">
        <v>-13.972472121868162</v>
      </c>
      <c r="O238" s="663">
        <v>0</v>
      </c>
      <c r="P238" s="663">
        <v>0</v>
      </c>
      <c r="Q238" s="663">
        <v>0</v>
      </c>
      <c r="R238" s="663">
        <v>0</v>
      </c>
      <c r="S238" s="663">
        <v>0</v>
      </c>
      <c r="T238" s="663">
        <v>-2.6159745910871801</v>
      </c>
      <c r="U238" s="665">
        <v>-63.560987166097433</v>
      </c>
    </row>
    <row r="239" spans="3:21" ht="13">
      <c r="C239" s="662" t="s">
        <v>64</v>
      </c>
      <c r="D239" s="663">
        <v>0</v>
      </c>
      <c r="E239" s="663">
        <v>0</v>
      </c>
      <c r="F239" s="663">
        <v>0</v>
      </c>
      <c r="G239" s="663">
        <v>0</v>
      </c>
      <c r="H239" s="663">
        <v>0</v>
      </c>
      <c r="I239" s="663">
        <v>0</v>
      </c>
      <c r="J239" s="663">
        <v>0</v>
      </c>
      <c r="K239" s="663">
        <v>0</v>
      </c>
      <c r="L239" s="663">
        <v>0</v>
      </c>
      <c r="M239" s="663">
        <v>0</v>
      </c>
      <c r="N239" s="663">
        <v>0</v>
      </c>
      <c r="O239" s="663">
        <v>0</v>
      </c>
      <c r="P239" s="663">
        <v>0</v>
      </c>
      <c r="Q239" s="663">
        <v>0</v>
      </c>
      <c r="R239" s="663">
        <v>0</v>
      </c>
      <c r="S239" s="663">
        <v>0</v>
      </c>
      <c r="T239" s="663">
        <v>0</v>
      </c>
      <c r="U239" s="665">
        <v>0</v>
      </c>
    </row>
    <row r="240" spans="3:21" ht="13">
      <c r="C240" s="666" t="s">
        <v>65</v>
      </c>
      <c r="D240" s="667">
        <v>5.9311888025037742</v>
      </c>
      <c r="E240" s="667">
        <v>113.95685880900638</v>
      </c>
      <c r="F240" s="667">
        <v>-52.241114036092739</v>
      </c>
      <c r="G240" s="667">
        <v>-41.099092144054893</v>
      </c>
      <c r="H240" s="675">
        <v>2.6585092475046008</v>
      </c>
      <c r="I240" s="667">
        <v>-0.31877375583888373</v>
      </c>
      <c r="J240" s="667">
        <v>712.60987447127138</v>
      </c>
      <c r="K240" s="667">
        <v>556.92135057124881</v>
      </c>
      <c r="L240" s="667">
        <v>266.80615318598944</v>
      </c>
      <c r="M240" s="667">
        <v>19.228684940511499</v>
      </c>
      <c r="N240" s="667">
        <v>-7.2531211575761132</v>
      </c>
      <c r="O240" s="667">
        <v>-5.8855986447383941</v>
      </c>
      <c r="P240" s="667">
        <v>167.23788927594987</v>
      </c>
      <c r="Q240" s="667">
        <v>24.373068583718577</v>
      </c>
      <c r="R240" s="667">
        <v>-40.000075434727478</v>
      </c>
      <c r="S240" s="667">
        <v>0</v>
      </c>
      <c r="T240" s="667">
        <v>-2.6159745910871801</v>
      </c>
      <c r="U240" s="667">
        <v>1720.3098281235887</v>
      </c>
    </row>
    <row r="241" spans="3:21" ht="13">
      <c r="C241" s="668"/>
      <c r="D241" s="669">
        <v>0</v>
      </c>
      <c r="E241" s="669">
        <v>0</v>
      </c>
      <c r="F241" s="669">
        <v>0</v>
      </c>
      <c r="G241" s="669">
        <v>0</v>
      </c>
      <c r="H241" s="676">
        <v>0</v>
      </c>
      <c r="I241" s="669">
        <v>0</v>
      </c>
      <c r="J241" s="669">
        <v>0</v>
      </c>
      <c r="K241" s="669">
        <v>0</v>
      </c>
      <c r="L241" s="669">
        <v>0</v>
      </c>
      <c r="M241" s="669">
        <v>0</v>
      </c>
      <c r="N241" s="669">
        <v>0</v>
      </c>
      <c r="O241" s="669">
        <v>0</v>
      </c>
      <c r="P241" s="669">
        <v>0</v>
      </c>
      <c r="Q241" s="669">
        <v>0</v>
      </c>
      <c r="R241" s="669">
        <v>0</v>
      </c>
      <c r="S241" s="669">
        <v>0</v>
      </c>
      <c r="T241" s="669">
        <v>0</v>
      </c>
      <c r="U241" s="669">
        <v>0</v>
      </c>
    </row>
    <row r="242" spans="3:21" ht="13">
      <c r="C242" s="670" t="s">
        <v>67</v>
      </c>
      <c r="D242" s="663">
        <v>0</v>
      </c>
      <c r="E242" s="663">
        <v>0</v>
      </c>
      <c r="F242" s="663">
        <v>0</v>
      </c>
      <c r="G242" s="663">
        <v>0</v>
      </c>
      <c r="H242" s="663">
        <v>0</v>
      </c>
      <c r="I242" s="663">
        <v>0</v>
      </c>
      <c r="J242" s="663">
        <v>0</v>
      </c>
      <c r="K242" s="663">
        <v>0</v>
      </c>
      <c r="L242" s="663">
        <v>0</v>
      </c>
      <c r="M242" s="663">
        <v>0</v>
      </c>
      <c r="N242" s="663">
        <v>0</v>
      </c>
      <c r="O242" s="663">
        <v>0</v>
      </c>
      <c r="P242" s="663">
        <v>0</v>
      </c>
      <c r="Q242" s="663">
        <v>0</v>
      </c>
      <c r="R242" s="663">
        <v>0</v>
      </c>
      <c r="S242" s="663">
        <v>0</v>
      </c>
      <c r="T242" s="663">
        <v>0</v>
      </c>
      <c r="U242" s="671">
        <v>0</v>
      </c>
    </row>
    <row r="243" spans="3:21" ht="13">
      <c r="C243" s="670" t="s">
        <v>350</v>
      </c>
      <c r="D243" s="663">
        <v>0</v>
      </c>
      <c r="E243" s="663">
        <v>0</v>
      </c>
      <c r="F243" s="663">
        <v>0</v>
      </c>
      <c r="G243" s="663">
        <v>0</v>
      </c>
      <c r="H243" s="663">
        <v>0</v>
      </c>
      <c r="I243" s="663">
        <v>0</v>
      </c>
      <c r="J243" s="663">
        <v>712.60987447127138</v>
      </c>
      <c r="K243" s="663">
        <v>556.92135057124881</v>
      </c>
      <c r="L243" s="663">
        <v>14.491283228737107</v>
      </c>
      <c r="M243" s="663">
        <v>2.8053264742296591</v>
      </c>
      <c r="N243" s="663">
        <v>6.5561937148871507</v>
      </c>
      <c r="O243" s="663">
        <v>0.11326810820885491</v>
      </c>
      <c r="P243" s="663">
        <v>0</v>
      </c>
      <c r="Q243" s="663">
        <v>6.7631767445353068</v>
      </c>
      <c r="R243" s="663">
        <v>-809.85847053245573</v>
      </c>
      <c r="S243" s="663">
        <v>0</v>
      </c>
      <c r="T243" s="663">
        <v>25.915656492161155</v>
      </c>
      <c r="U243" s="671">
        <v>516.31765927282356</v>
      </c>
    </row>
    <row r="244" spans="3:21" ht="13">
      <c r="C244" s="670" t="s">
        <v>351</v>
      </c>
      <c r="D244" s="663">
        <v>0</v>
      </c>
      <c r="E244" s="663">
        <v>0</v>
      </c>
      <c r="F244" s="663">
        <v>0</v>
      </c>
      <c r="G244" s="663">
        <v>0</v>
      </c>
      <c r="H244" s="663">
        <v>0</v>
      </c>
      <c r="I244" s="663">
        <v>0</v>
      </c>
      <c r="J244" s="663">
        <v>0</v>
      </c>
      <c r="K244" s="663">
        <v>0</v>
      </c>
      <c r="L244" s="663">
        <v>33.721862056250039</v>
      </c>
      <c r="M244" s="663">
        <v>14.376617363231052</v>
      </c>
      <c r="N244" s="663">
        <v>0</v>
      </c>
      <c r="O244" s="663">
        <v>8.1785673020738106</v>
      </c>
      <c r="P244" s="663">
        <v>0</v>
      </c>
      <c r="Q244" s="663">
        <v>11.316516045102318</v>
      </c>
      <c r="R244" s="663">
        <v>0</v>
      </c>
      <c r="S244" s="663">
        <v>-64.575476384232388</v>
      </c>
      <c r="T244" s="663">
        <v>0</v>
      </c>
      <c r="U244" s="671">
        <v>3.0180863824248352</v>
      </c>
    </row>
    <row r="245" spans="3:21" ht="13">
      <c r="C245" s="670" t="s">
        <v>352</v>
      </c>
      <c r="D245" s="663">
        <v>0</v>
      </c>
      <c r="E245" s="663">
        <v>0</v>
      </c>
      <c r="F245" s="663">
        <v>0</v>
      </c>
      <c r="G245" s="663">
        <v>0</v>
      </c>
      <c r="H245" s="663">
        <v>0</v>
      </c>
      <c r="I245" s="663">
        <v>0</v>
      </c>
      <c r="J245" s="663">
        <v>0</v>
      </c>
      <c r="K245" s="663">
        <v>0</v>
      </c>
      <c r="L245" s="663">
        <v>104.38683240846164</v>
      </c>
      <c r="M245" s="663">
        <v>0</v>
      </c>
      <c r="N245" s="663">
        <v>0</v>
      </c>
      <c r="O245" s="663">
        <v>-100.27188716566127</v>
      </c>
      <c r="P245" s="663">
        <v>0</v>
      </c>
      <c r="Q245" s="663">
        <v>0</v>
      </c>
      <c r="R245" s="663">
        <v>0</v>
      </c>
      <c r="S245" s="663">
        <v>0</v>
      </c>
      <c r="T245" s="663">
        <v>0</v>
      </c>
      <c r="U245" s="671">
        <v>4.1149452428003741</v>
      </c>
    </row>
    <row r="246" spans="3:21" ht="13">
      <c r="C246" s="670" t="s">
        <v>353</v>
      </c>
      <c r="D246" s="663">
        <v>0</v>
      </c>
      <c r="E246" s="663">
        <v>0</v>
      </c>
      <c r="F246" s="663">
        <v>0</v>
      </c>
      <c r="G246" s="663">
        <v>0</v>
      </c>
      <c r="H246" s="663">
        <v>0</v>
      </c>
      <c r="I246" s="663">
        <v>-4.5962253881571415</v>
      </c>
      <c r="J246" s="663">
        <v>0</v>
      </c>
      <c r="K246" s="663">
        <v>0</v>
      </c>
      <c r="L246" s="663">
        <v>0</v>
      </c>
      <c r="M246" s="663">
        <v>0</v>
      </c>
      <c r="N246" s="663">
        <v>0</v>
      </c>
      <c r="O246" s="663">
        <v>0</v>
      </c>
      <c r="P246" s="663">
        <v>0</v>
      </c>
      <c r="Q246" s="663">
        <v>0</v>
      </c>
      <c r="R246" s="663">
        <v>0</v>
      </c>
      <c r="S246" s="663">
        <v>0</v>
      </c>
      <c r="T246" s="663">
        <v>6.4074201765093832</v>
      </c>
      <c r="U246" s="671">
        <v>1.8111947883522417</v>
      </c>
    </row>
    <row r="247" spans="3:21" ht="13">
      <c r="C247" s="670" t="s">
        <v>72</v>
      </c>
      <c r="D247" s="663">
        <v>0</v>
      </c>
      <c r="E247" s="663">
        <v>118.07035586741333</v>
      </c>
      <c r="F247" s="663">
        <v>-116.89188714951831</v>
      </c>
      <c r="G247" s="663">
        <v>0</v>
      </c>
      <c r="H247" s="663">
        <v>0</v>
      </c>
      <c r="I247" s="663">
        <v>0</v>
      </c>
      <c r="J247" s="663">
        <v>0</v>
      </c>
      <c r="K247" s="663">
        <v>0</v>
      </c>
      <c r="L247" s="663">
        <v>0</v>
      </c>
      <c r="M247" s="663">
        <v>0</v>
      </c>
      <c r="N247" s="663">
        <v>0</v>
      </c>
      <c r="O247" s="663">
        <v>0</v>
      </c>
      <c r="P247" s="663">
        <v>0</v>
      </c>
      <c r="Q247" s="663">
        <v>0</v>
      </c>
      <c r="R247" s="663">
        <v>0</v>
      </c>
      <c r="S247" s="663">
        <v>0</v>
      </c>
      <c r="T247" s="663">
        <v>0</v>
      </c>
      <c r="U247" s="671">
        <v>1.1784687178950146</v>
      </c>
    </row>
    <row r="248" spans="3:21" ht="13">
      <c r="C248" s="670" t="s">
        <v>354</v>
      </c>
      <c r="D248" s="663">
        <v>0</v>
      </c>
      <c r="E248" s="663">
        <v>0</v>
      </c>
      <c r="F248" s="663">
        <v>0</v>
      </c>
      <c r="G248" s="663">
        <v>0</v>
      </c>
      <c r="H248" s="663">
        <v>0</v>
      </c>
      <c r="I248" s="663">
        <v>0</v>
      </c>
      <c r="J248" s="663">
        <v>0</v>
      </c>
      <c r="K248" s="663">
        <v>0</v>
      </c>
      <c r="L248" s="663">
        <v>61.244429678974598</v>
      </c>
      <c r="M248" s="663">
        <v>0</v>
      </c>
      <c r="N248" s="663">
        <v>-61.244429678974598</v>
      </c>
      <c r="O248" s="663">
        <v>0</v>
      </c>
      <c r="P248" s="663">
        <v>0</v>
      </c>
      <c r="Q248" s="663">
        <v>0</v>
      </c>
      <c r="R248" s="663">
        <v>0</v>
      </c>
      <c r="S248" s="663">
        <v>0</v>
      </c>
      <c r="T248" s="663">
        <v>0</v>
      </c>
      <c r="U248" s="671">
        <v>0</v>
      </c>
    </row>
    <row r="249" spans="3:21" ht="13">
      <c r="C249" s="670" t="s">
        <v>355</v>
      </c>
      <c r="D249" s="663">
        <v>0</v>
      </c>
      <c r="E249" s="663">
        <v>0</v>
      </c>
      <c r="F249" s="663">
        <v>0</v>
      </c>
      <c r="G249" s="663">
        <v>-56.725829149009897</v>
      </c>
      <c r="H249" s="663">
        <v>0</v>
      </c>
      <c r="I249" s="663">
        <v>0</v>
      </c>
      <c r="J249" s="663">
        <v>0</v>
      </c>
      <c r="K249" s="663">
        <v>0</v>
      </c>
      <c r="L249" s="663">
        <v>0</v>
      </c>
      <c r="M249" s="663">
        <v>0</v>
      </c>
      <c r="N249" s="663">
        <v>0</v>
      </c>
      <c r="O249" s="663">
        <v>0</v>
      </c>
      <c r="P249" s="663">
        <v>0</v>
      </c>
      <c r="Q249" s="663">
        <v>0</v>
      </c>
      <c r="R249" s="663">
        <v>0</v>
      </c>
      <c r="S249" s="663">
        <v>0</v>
      </c>
      <c r="T249" s="663">
        <v>79.005333076615457</v>
      </c>
      <c r="U249" s="671">
        <v>22.27950392760556</v>
      </c>
    </row>
    <row r="250" spans="3:21" ht="13">
      <c r="C250" s="670" t="s">
        <v>73</v>
      </c>
      <c r="D250" s="663">
        <v>0</v>
      </c>
      <c r="E250" s="663">
        <v>0</v>
      </c>
      <c r="F250" s="663">
        <v>0</v>
      </c>
      <c r="G250" s="663">
        <v>0</v>
      </c>
      <c r="H250" s="663">
        <v>0</v>
      </c>
      <c r="I250" s="663">
        <v>0</v>
      </c>
      <c r="J250" s="663">
        <v>0</v>
      </c>
      <c r="K250" s="663">
        <v>0</v>
      </c>
      <c r="L250" s="663">
        <v>0</v>
      </c>
      <c r="M250" s="663">
        <v>0</v>
      </c>
      <c r="N250" s="663">
        <v>0</v>
      </c>
      <c r="O250" s="663">
        <v>0</v>
      </c>
      <c r="P250" s="663">
        <v>0</v>
      </c>
      <c r="Q250" s="663">
        <v>0</v>
      </c>
      <c r="R250" s="663">
        <v>227.10664749932533</v>
      </c>
      <c r="S250" s="663">
        <v>0</v>
      </c>
      <c r="T250" s="663">
        <v>-163.51678619951423</v>
      </c>
      <c r="U250" s="671">
        <v>63.589861299811105</v>
      </c>
    </row>
    <row r="251" spans="3:21" ht="13">
      <c r="C251" s="670" t="s">
        <v>356</v>
      </c>
      <c r="D251" s="663">
        <v>3.3456624609374996</v>
      </c>
      <c r="E251" s="663">
        <v>-4.1134970584069457</v>
      </c>
      <c r="F251" s="663">
        <v>5.3691262200413341</v>
      </c>
      <c r="G251" s="663">
        <v>0</v>
      </c>
      <c r="H251" s="663">
        <v>0</v>
      </c>
      <c r="I251" s="663">
        <v>0</v>
      </c>
      <c r="J251" s="663">
        <v>0</v>
      </c>
      <c r="K251" s="663">
        <v>0</v>
      </c>
      <c r="L251" s="663">
        <v>0</v>
      </c>
      <c r="M251" s="663">
        <v>0</v>
      </c>
      <c r="N251" s="663">
        <v>0</v>
      </c>
      <c r="O251" s="663">
        <v>0</v>
      </c>
      <c r="P251" s="663">
        <v>0</v>
      </c>
      <c r="Q251" s="663">
        <v>0</v>
      </c>
      <c r="R251" s="663">
        <v>0</v>
      </c>
      <c r="S251" s="663">
        <v>0</v>
      </c>
      <c r="T251" s="663">
        <v>0</v>
      </c>
      <c r="U251" s="671">
        <v>4.6012916225718881</v>
      </c>
    </row>
    <row r="252" spans="3:21" ht="13">
      <c r="C252" s="670" t="s">
        <v>75</v>
      </c>
      <c r="D252" s="663">
        <v>1.3010909570312501</v>
      </c>
      <c r="E252" s="663">
        <v>0</v>
      </c>
      <c r="F252" s="663">
        <v>16.404377382526505</v>
      </c>
      <c r="G252" s="663">
        <v>0</v>
      </c>
      <c r="H252" s="663">
        <v>0</v>
      </c>
      <c r="I252" s="663">
        <v>0.23833359000000001</v>
      </c>
      <c r="J252" s="663">
        <v>0</v>
      </c>
      <c r="K252" s="663">
        <v>0</v>
      </c>
      <c r="L252" s="663">
        <v>0</v>
      </c>
      <c r="M252" s="663">
        <v>0</v>
      </c>
      <c r="N252" s="663">
        <v>0</v>
      </c>
      <c r="O252" s="663">
        <v>4.5283382100000003</v>
      </c>
      <c r="P252" s="663">
        <v>0</v>
      </c>
      <c r="Q252" s="663">
        <v>0</v>
      </c>
      <c r="R252" s="663">
        <v>17.221013858771279</v>
      </c>
      <c r="S252" s="663">
        <v>0</v>
      </c>
      <c r="T252" s="663">
        <v>0</v>
      </c>
      <c r="U252" s="671">
        <v>39.693153998329031</v>
      </c>
    </row>
    <row r="253" spans="3:21" ht="13">
      <c r="C253" s="670" t="s">
        <v>76</v>
      </c>
      <c r="D253" s="663">
        <v>0</v>
      </c>
      <c r="E253" s="663">
        <v>0</v>
      </c>
      <c r="F253" s="663">
        <v>0</v>
      </c>
      <c r="G253" s="663">
        <v>0</v>
      </c>
      <c r="H253" s="663">
        <v>0</v>
      </c>
      <c r="I253" s="663">
        <v>5.9340338699632358E-2</v>
      </c>
      <c r="J253" s="663">
        <v>0</v>
      </c>
      <c r="K253" s="663">
        <v>0</v>
      </c>
      <c r="L253" s="663">
        <v>0</v>
      </c>
      <c r="M253" s="663">
        <v>0</v>
      </c>
      <c r="N253" s="663">
        <v>0</v>
      </c>
      <c r="O253" s="663">
        <v>1.1274664352930146</v>
      </c>
      <c r="P253" s="663">
        <v>0</v>
      </c>
      <c r="Q253" s="663">
        <v>0</v>
      </c>
      <c r="R253" s="663">
        <v>58.897580266978245</v>
      </c>
      <c r="S253" s="663">
        <v>5.0089527300753778</v>
      </c>
      <c r="T253" s="663">
        <v>0</v>
      </c>
      <c r="U253" s="671">
        <v>65.093339771046274</v>
      </c>
    </row>
    <row r="254" spans="3:21" ht="13">
      <c r="C254" s="666" t="s">
        <v>77</v>
      </c>
      <c r="D254" s="667">
        <v>4.6467534179687497</v>
      </c>
      <c r="E254" s="667">
        <v>113.95685880900638</v>
      </c>
      <c r="F254" s="667">
        <v>-95.118383546950469</v>
      </c>
      <c r="G254" s="667">
        <v>-56.725829149009897</v>
      </c>
      <c r="H254" s="675">
        <v>0</v>
      </c>
      <c r="I254" s="667">
        <v>-4.2985514594575092</v>
      </c>
      <c r="J254" s="667">
        <v>712.60987447127138</v>
      </c>
      <c r="K254" s="667">
        <v>556.92135057124881</v>
      </c>
      <c r="L254" s="667">
        <v>213.8444073724234</v>
      </c>
      <c r="M254" s="667">
        <v>17.181943837460711</v>
      </c>
      <c r="N254" s="667">
        <v>-54.688235964087447</v>
      </c>
      <c r="O254" s="667">
        <v>-86.324247110085594</v>
      </c>
      <c r="P254" s="667">
        <v>0</v>
      </c>
      <c r="Q254" s="667">
        <v>18.079692789637626</v>
      </c>
      <c r="R254" s="667">
        <v>-506.63322890738101</v>
      </c>
      <c r="S254" s="667">
        <v>-59.56652365415701</v>
      </c>
      <c r="T254" s="667">
        <v>-52.188376454228234</v>
      </c>
      <c r="U254" s="667">
        <v>721.69750502365991</v>
      </c>
    </row>
    <row r="255" spans="3:21" ht="13">
      <c r="C255" s="668"/>
      <c r="D255" s="669">
        <v>0</v>
      </c>
      <c r="E255" s="669">
        <v>0</v>
      </c>
      <c r="F255" s="669">
        <v>0</v>
      </c>
      <c r="G255" s="669">
        <v>0</v>
      </c>
      <c r="H255" s="676">
        <v>0</v>
      </c>
      <c r="I255" s="669">
        <v>0</v>
      </c>
      <c r="J255" s="669">
        <v>0</v>
      </c>
      <c r="K255" s="669">
        <v>0</v>
      </c>
      <c r="L255" s="669">
        <v>0</v>
      </c>
      <c r="M255" s="669">
        <v>0</v>
      </c>
      <c r="N255" s="669">
        <v>0</v>
      </c>
      <c r="O255" s="669">
        <v>0</v>
      </c>
      <c r="P255" s="669">
        <v>0</v>
      </c>
      <c r="Q255" s="669">
        <v>0</v>
      </c>
      <c r="R255" s="669">
        <v>0</v>
      </c>
      <c r="S255" s="669">
        <v>0</v>
      </c>
      <c r="T255" s="669">
        <v>0</v>
      </c>
      <c r="U255" s="669">
        <v>0</v>
      </c>
    </row>
    <row r="256" spans="3:21" ht="13">
      <c r="C256" s="670" t="s">
        <v>78</v>
      </c>
      <c r="D256" s="663">
        <v>1.2844353845350245</v>
      </c>
      <c r="E256" s="663">
        <v>0</v>
      </c>
      <c r="F256" s="663">
        <v>0.671413025716175</v>
      </c>
      <c r="G256" s="663">
        <v>0</v>
      </c>
      <c r="H256" s="663">
        <v>0</v>
      </c>
      <c r="I256" s="663">
        <v>1.6768235413433659</v>
      </c>
      <c r="J256" s="663">
        <v>0</v>
      </c>
      <c r="K256" s="663">
        <v>0</v>
      </c>
      <c r="L256" s="663">
        <v>18.511250218523632</v>
      </c>
      <c r="M256" s="663">
        <v>2.0464486619012869</v>
      </c>
      <c r="N256" s="663">
        <v>1.4169866943359375</v>
      </c>
      <c r="O256" s="663">
        <v>31.901778101678747</v>
      </c>
      <c r="P256" s="663">
        <v>11.306912109375</v>
      </c>
      <c r="Q256" s="663">
        <v>8.5890570413253253E-4</v>
      </c>
      <c r="R256" s="663">
        <v>135.19292998685364</v>
      </c>
      <c r="S256" s="663">
        <v>18.430317312360387</v>
      </c>
      <c r="T256" s="663">
        <v>8.2355947265624998</v>
      </c>
      <c r="U256" s="671">
        <v>230.67574866888981</v>
      </c>
    </row>
    <row r="257" spans="3:21" ht="13">
      <c r="C257" s="670" t="s">
        <v>79</v>
      </c>
      <c r="D257" s="663">
        <v>0</v>
      </c>
      <c r="E257" s="663">
        <v>0</v>
      </c>
      <c r="F257" s="663">
        <v>2.0327553633446804</v>
      </c>
      <c r="G257" s="663">
        <v>2.9414401384596758</v>
      </c>
      <c r="H257" s="663">
        <v>0</v>
      </c>
      <c r="I257" s="663">
        <v>0.25814381907328782</v>
      </c>
      <c r="J257" s="663">
        <v>0</v>
      </c>
      <c r="K257" s="663">
        <v>0</v>
      </c>
      <c r="L257" s="663">
        <v>0</v>
      </c>
      <c r="M257" s="663">
        <v>0</v>
      </c>
      <c r="N257" s="663">
        <v>11.290866079539722</v>
      </c>
      <c r="O257" s="663">
        <v>4.9047325623924678</v>
      </c>
      <c r="P257" s="663">
        <v>0</v>
      </c>
      <c r="Q257" s="663">
        <v>0</v>
      </c>
      <c r="R257" s="663">
        <v>110.4417553978261</v>
      </c>
      <c r="S257" s="663">
        <v>0</v>
      </c>
      <c r="T257" s="663">
        <v>5.3966998641798476</v>
      </c>
      <c r="U257" s="671">
        <v>137.26639322481577</v>
      </c>
    </row>
    <row r="258" spans="3:21" ht="13">
      <c r="C258" s="670" t="s">
        <v>80</v>
      </c>
      <c r="D258" s="663">
        <v>0</v>
      </c>
      <c r="E258" s="663">
        <v>0</v>
      </c>
      <c r="F258" s="663">
        <v>0.19325490667833059</v>
      </c>
      <c r="G258" s="663">
        <v>0</v>
      </c>
      <c r="H258" s="663">
        <v>0</v>
      </c>
      <c r="I258" s="663">
        <v>1.3094987150488224</v>
      </c>
      <c r="J258" s="663">
        <v>0</v>
      </c>
      <c r="K258" s="663">
        <v>0</v>
      </c>
      <c r="L258" s="663">
        <v>28.937300829462252</v>
      </c>
      <c r="M258" s="663">
        <v>0</v>
      </c>
      <c r="N258" s="663">
        <v>0</v>
      </c>
      <c r="O258" s="663">
        <v>24.88047558592762</v>
      </c>
      <c r="P258" s="663">
        <v>124.95584249070536</v>
      </c>
      <c r="Q258" s="663">
        <v>3.1166998128913419</v>
      </c>
      <c r="R258" s="663">
        <v>129.06523934568938</v>
      </c>
      <c r="S258" s="663">
        <v>22.248806062911136</v>
      </c>
      <c r="T258" s="663">
        <v>0</v>
      </c>
      <c r="U258" s="671">
        <v>334.70711774931425</v>
      </c>
    </row>
    <row r="259" spans="3:21" ht="13">
      <c r="C259" s="670" t="s">
        <v>81</v>
      </c>
      <c r="D259" s="663">
        <v>0</v>
      </c>
      <c r="E259" s="663">
        <v>0</v>
      </c>
      <c r="F259" s="663">
        <v>0.13103912510682203</v>
      </c>
      <c r="G259" s="663">
        <v>0</v>
      </c>
      <c r="H259" s="663">
        <v>0</v>
      </c>
      <c r="I259" s="663">
        <v>0.65398403873429223</v>
      </c>
      <c r="J259" s="663">
        <v>0</v>
      </c>
      <c r="K259" s="663">
        <v>0</v>
      </c>
      <c r="L259" s="663">
        <v>0.34200087095620557</v>
      </c>
      <c r="M259" s="663">
        <v>2.9244114949902102E-4</v>
      </c>
      <c r="N259" s="663">
        <v>0</v>
      </c>
      <c r="O259" s="663">
        <v>12.425696735951551</v>
      </c>
      <c r="P259" s="663">
        <v>29.475134675869491</v>
      </c>
      <c r="Q259" s="663">
        <v>0.98841007039498519</v>
      </c>
      <c r="R259" s="663">
        <v>81.567308013661545</v>
      </c>
      <c r="S259" s="663">
        <v>18.887400278885494</v>
      </c>
      <c r="T259" s="663">
        <v>0</v>
      </c>
      <c r="U259" s="671">
        <v>144.4712662507099</v>
      </c>
    </row>
    <row r="260" spans="3:21" ht="13">
      <c r="C260" s="670" t="s">
        <v>82</v>
      </c>
      <c r="D260" s="663">
        <v>0</v>
      </c>
      <c r="E260" s="663">
        <v>0</v>
      </c>
      <c r="F260" s="663">
        <v>0</v>
      </c>
      <c r="G260" s="663">
        <v>0.49546247522038722</v>
      </c>
      <c r="H260" s="663">
        <v>0</v>
      </c>
      <c r="I260" s="663">
        <v>8.1327589418857746E-2</v>
      </c>
      <c r="J260" s="663">
        <v>0</v>
      </c>
      <c r="K260" s="663">
        <v>0</v>
      </c>
      <c r="L260" s="663">
        <v>4.5749249618986854</v>
      </c>
      <c r="M260" s="663">
        <v>0</v>
      </c>
      <c r="N260" s="663">
        <v>16.621294257606131</v>
      </c>
      <c r="O260" s="663">
        <v>1.5452241989582969</v>
      </c>
      <c r="P260" s="663">
        <v>1.5</v>
      </c>
      <c r="Q260" s="663">
        <v>2.1874070050904897</v>
      </c>
      <c r="R260" s="663">
        <v>7.8459207286229669</v>
      </c>
      <c r="S260" s="663">
        <v>0</v>
      </c>
      <c r="T260" s="663">
        <v>0.44339331184266689</v>
      </c>
      <c r="U260" s="671">
        <v>35.294954528658486</v>
      </c>
    </row>
    <row r="261" spans="3:21" ht="13">
      <c r="C261" s="670" t="s">
        <v>357</v>
      </c>
      <c r="D261" s="663">
        <v>0</v>
      </c>
      <c r="E261" s="663">
        <v>0</v>
      </c>
      <c r="F261" s="663">
        <v>0</v>
      </c>
      <c r="G261" s="663">
        <v>0</v>
      </c>
      <c r="H261" s="663">
        <v>0</v>
      </c>
      <c r="I261" s="663">
        <v>0</v>
      </c>
      <c r="J261" s="663">
        <v>0</v>
      </c>
      <c r="K261" s="663">
        <v>0</v>
      </c>
      <c r="L261" s="663">
        <v>0</v>
      </c>
      <c r="M261" s="663">
        <v>0</v>
      </c>
      <c r="N261" s="663">
        <v>0</v>
      </c>
      <c r="O261" s="663">
        <v>0</v>
      </c>
      <c r="P261" s="663">
        <v>0</v>
      </c>
      <c r="Q261" s="663">
        <v>0</v>
      </c>
      <c r="R261" s="663">
        <v>2.5199999999999996</v>
      </c>
      <c r="S261" s="663">
        <v>0</v>
      </c>
      <c r="T261" s="663">
        <v>0</v>
      </c>
      <c r="U261" s="671">
        <v>2.5199999999999996</v>
      </c>
    </row>
    <row r="262" spans="3:21" ht="13">
      <c r="C262" s="666" t="s">
        <v>83</v>
      </c>
      <c r="D262" s="667">
        <v>1.2844353845350245</v>
      </c>
      <c r="E262" s="667">
        <v>0</v>
      </c>
      <c r="F262" s="667">
        <v>3.028462420846008</v>
      </c>
      <c r="G262" s="667">
        <v>3.4369026136800631</v>
      </c>
      <c r="H262" s="675">
        <v>0</v>
      </c>
      <c r="I262" s="667">
        <v>3.9797777036186259</v>
      </c>
      <c r="J262" s="667">
        <v>0</v>
      </c>
      <c r="K262" s="667">
        <v>0</v>
      </c>
      <c r="L262" s="667">
        <v>52.365476880840774</v>
      </c>
      <c r="M262" s="667">
        <v>2.0467411030507856</v>
      </c>
      <c r="N262" s="667">
        <v>29.329147031481789</v>
      </c>
      <c r="O262" s="667">
        <v>75.65790718490868</v>
      </c>
      <c r="P262" s="667">
        <v>167.23788927594987</v>
      </c>
      <c r="Q262" s="667">
        <v>6.2933757940809487</v>
      </c>
      <c r="R262" s="667">
        <v>466.63315347265359</v>
      </c>
      <c r="S262" s="667">
        <v>59.566523654157017</v>
      </c>
      <c r="T262" s="667">
        <v>14.075687902585015</v>
      </c>
      <c r="U262" s="667">
        <v>884.93548042238808</v>
      </c>
    </row>
    <row r="263" spans="3:21" ht="13">
      <c r="C263" s="662" t="s">
        <v>84</v>
      </c>
      <c r="D263" s="663">
        <v>0</v>
      </c>
      <c r="E263" s="663">
        <v>0</v>
      </c>
      <c r="F263" s="663">
        <v>39.848807090011732</v>
      </c>
      <c r="G263" s="663">
        <v>12.189834391274943</v>
      </c>
      <c r="H263" s="663">
        <v>2.6585092475046008</v>
      </c>
      <c r="I263" s="663">
        <v>0</v>
      </c>
      <c r="J263" s="663">
        <v>0</v>
      </c>
      <c r="K263" s="663">
        <v>0</v>
      </c>
      <c r="L263" s="663">
        <v>0.5962689327253029</v>
      </c>
      <c r="M263" s="663">
        <v>0</v>
      </c>
      <c r="N263" s="663">
        <v>18.105967775029544</v>
      </c>
      <c r="O263" s="663">
        <v>4.780741280438523</v>
      </c>
      <c r="P263" s="663">
        <v>0</v>
      </c>
      <c r="Q263" s="663">
        <v>0</v>
      </c>
      <c r="R263" s="663">
        <v>0</v>
      </c>
      <c r="S263" s="663">
        <v>0</v>
      </c>
      <c r="T263" s="663">
        <v>35.496713960556022</v>
      </c>
      <c r="U263" s="671">
        <v>113.67684267754068</v>
      </c>
    </row>
    <row r="264" spans="3:21" ht="13">
      <c r="C264" s="666" t="s">
        <v>85</v>
      </c>
      <c r="D264" s="667">
        <v>1.2844353845350245</v>
      </c>
      <c r="E264" s="667">
        <v>0</v>
      </c>
      <c r="F264" s="667">
        <v>42.877269510857737</v>
      </c>
      <c r="G264" s="667">
        <v>15.626737004955006</v>
      </c>
      <c r="H264" s="675">
        <v>2.6585092475046008</v>
      </c>
      <c r="I264" s="667">
        <v>3.9797777036186259</v>
      </c>
      <c r="J264" s="667">
        <v>0</v>
      </c>
      <c r="K264" s="667">
        <v>0</v>
      </c>
      <c r="L264" s="667">
        <v>52.961745813566075</v>
      </c>
      <c r="M264" s="667">
        <v>2.0467411030507856</v>
      </c>
      <c r="N264" s="667">
        <v>47.435114806511329</v>
      </c>
      <c r="O264" s="667">
        <v>80.4386484653472</v>
      </c>
      <c r="P264" s="667">
        <v>167.23788927594987</v>
      </c>
      <c r="Q264" s="667">
        <v>6.2933757940809487</v>
      </c>
      <c r="R264" s="667">
        <v>466.63315347265359</v>
      </c>
      <c r="S264" s="667">
        <v>59.566523654157017</v>
      </c>
      <c r="T264" s="667">
        <v>49.572401863141039</v>
      </c>
      <c r="U264" s="667">
        <v>998.61232309992874</v>
      </c>
    </row>
    <row r="265" spans="3:21">
      <c r="C265" s="654"/>
      <c r="D265" s="672">
        <v>0</v>
      </c>
      <c r="E265" s="672">
        <v>0</v>
      </c>
      <c r="F265" s="672">
        <v>0</v>
      </c>
      <c r="G265" s="672">
        <v>0</v>
      </c>
      <c r="H265" s="672">
        <v>0</v>
      </c>
      <c r="I265" s="672">
        <v>4.9960036108132044E-16</v>
      </c>
      <c r="J265" s="672">
        <v>0</v>
      </c>
      <c r="K265" s="672">
        <v>0</v>
      </c>
      <c r="L265" s="672">
        <v>0</v>
      </c>
      <c r="M265" s="672">
        <v>0</v>
      </c>
      <c r="N265" s="672">
        <v>0</v>
      </c>
      <c r="O265" s="672">
        <v>0</v>
      </c>
      <c r="P265" s="672">
        <v>0</v>
      </c>
      <c r="Q265" s="672">
        <v>0</v>
      </c>
      <c r="R265" s="672">
        <v>5.6843418860808015E-14</v>
      </c>
      <c r="S265" s="672">
        <v>7.1054273576010019E-15</v>
      </c>
      <c r="T265" s="672">
        <v>-1.4654943925052066E-14</v>
      </c>
      <c r="U265" s="672">
        <v>0</v>
      </c>
    </row>
    <row r="266" spans="3:21">
      <c r="C266" s="654"/>
      <c r="D266" s="654"/>
      <c r="E266" s="654"/>
      <c r="F266" s="654"/>
      <c r="G266" s="654"/>
      <c r="H266" s="654"/>
      <c r="I266" s="654"/>
      <c r="J266" s="654"/>
      <c r="K266" s="654"/>
      <c r="L266" s="654"/>
      <c r="M266" s="654"/>
      <c r="N266" s="654"/>
      <c r="O266" s="654"/>
      <c r="P266" s="654"/>
      <c r="Q266" s="654"/>
      <c r="R266" s="654"/>
      <c r="S266" s="654"/>
      <c r="T266" s="654"/>
      <c r="U266" s="654"/>
    </row>
  </sheetData>
  <mergeCells count="98">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U239:U241 U254:U262">
    <cfRule type="cellIs" dxfId="5919" priority="518" operator="equal">
      <formula>0</formula>
    </cfRule>
  </conditionalFormatting>
  <conditionalFormatting sqref="U254">
    <cfRule type="containsBlanks" dxfId="5918" priority="517">
      <formula>LEN(TRIM(U254))=0</formula>
    </cfRule>
  </conditionalFormatting>
  <conditionalFormatting sqref="L11:P11">
    <cfRule type="cellIs" dxfId="5917" priority="514" operator="equal">
      <formula>0</formula>
    </cfRule>
  </conditionalFormatting>
  <conditionalFormatting sqref="Q11">
    <cfRule type="cellIs" dxfId="5916" priority="513" operator="equal">
      <formula>0</formula>
    </cfRule>
  </conditionalFormatting>
  <conditionalFormatting sqref="L48:P48">
    <cfRule type="cellIs" dxfId="5915" priority="512" operator="equal">
      <formula>0</formula>
    </cfRule>
  </conditionalFormatting>
  <conditionalFormatting sqref="Q48">
    <cfRule type="cellIs" dxfId="5914" priority="511" operator="equal">
      <formula>0</formula>
    </cfRule>
  </conditionalFormatting>
  <conditionalFormatting sqref="L85:P85">
    <cfRule type="cellIs" dxfId="5913" priority="510" operator="equal">
      <formula>0</formula>
    </cfRule>
  </conditionalFormatting>
  <conditionalFormatting sqref="Q85">
    <cfRule type="cellIs" dxfId="5912" priority="509" operator="equal">
      <formula>0</formula>
    </cfRule>
  </conditionalFormatting>
  <conditionalFormatting sqref="L122:P122">
    <cfRule type="cellIs" dxfId="5911" priority="508" operator="equal">
      <formula>0</formula>
    </cfRule>
  </conditionalFormatting>
  <conditionalFormatting sqref="Q122">
    <cfRule type="cellIs" dxfId="5910" priority="507" operator="equal">
      <formula>0</formula>
    </cfRule>
  </conditionalFormatting>
  <conditionalFormatting sqref="L159:P159">
    <cfRule type="cellIs" dxfId="5909" priority="506" operator="equal">
      <formula>0</formula>
    </cfRule>
  </conditionalFormatting>
  <conditionalFormatting sqref="Q159">
    <cfRule type="cellIs" dxfId="5908" priority="505" operator="equal">
      <formula>0</formula>
    </cfRule>
  </conditionalFormatting>
  <conditionalFormatting sqref="L196:P196">
    <cfRule type="cellIs" dxfId="5907" priority="504" operator="equal">
      <formula>0</formula>
    </cfRule>
  </conditionalFormatting>
  <conditionalFormatting sqref="Q196">
    <cfRule type="cellIs" dxfId="5906" priority="503" operator="equal">
      <formula>0</formula>
    </cfRule>
  </conditionalFormatting>
  <conditionalFormatting sqref="L233:P233">
    <cfRule type="cellIs" dxfId="5905" priority="502" operator="equal">
      <formula>0</formula>
    </cfRule>
  </conditionalFormatting>
  <conditionalFormatting sqref="Q233">
    <cfRule type="cellIs" dxfId="5904" priority="501" operator="equal">
      <formula>0</formula>
    </cfRule>
  </conditionalFormatting>
  <conditionalFormatting sqref="U264 U234:U236">
    <cfRule type="cellIs" dxfId="5903" priority="500" operator="equal">
      <formula>0</formula>
    </cfRule>
  </conditionalFormatting>
  <conditionalFormatting sqref="U263">
    <cfRule type="cellIs" dxfId="5902" priority="499" operator="equal">
      <formula>0</formula>
    </cfRule>
  </conditionalFormatting>
  <conditionalFormatting sqref="U256:U264 U234:U236 U239:U240">
    <cfRule type="containsBlanks" dxfId="5901" priority="498">
      <formula>LEN(TRIM(U234))=0</formula>
    </cfRule>
  </conditionalFormatting>
  <conditionalFormatting sqref="U237:U238">
    <cfRule type="cellIs" dxfId="5900" priority="497" operator="equal">
      <formula>0</formula>
    </cfRule>
  </conditionalFormatting>
  <conditionalFormatting sqref="U237:U238">
    <cfRule type="containsBlanks" dxfId="5899" priority="496">
      <formula>LEN(TRIM(U237))=0</formula>
    </cfRule>
  </conditionalFormatting>
  <conditionalFormatting sqref="U242:U253">
    <cfRule type="cellIs" dxfId="5898" priority="495" operator="equal">
      <formula>0</formula>
    </cfRule>
  </conditionalFormatting>
  <conditionalFormatting sqref="U242:U253">
    <cfRule type="containsBlanks" dxfId="5897" priority="494">
      <formula>LEN(TRIM(U242))=0</formula>
    </cfRule>
  </conditionalFormatting>
  <conditionalFormatting sqref="U42 U12:U40">
    <cfRule type="cellIs" dxfId="5896" priority="490" operator="equal">
      <formula>0</formula>
    </cfRule>
  </conditionalFormatting>
  <conditionalFormatting sqref="U41">
    <cfRule type="cellIs" dxfId="5895" priority="489" operator="equal">
      <formula>0</formula>
    </cfRule>
  </conditionalFormatting>
  <conditionalFormatting sqref="U34:U42 U12:U18 U20:U32">
    <cfRule type="containsBlanks" dxfId="5894" priority="488">
      <formula>LEN(TRIM(U12))=0</formula>
    </cfRule>
  </conditionalFormatting>
  <conditionalFormatting sqref="U79 U49:U77">
    <cfRule type="cellIs" dxfId="5893" priority="487" operator="equal">
      <formula>0</formula>
    </cfRule>
  </conditionalFormatting>
  <conditionalFormatting sqref="U78">
    <cfRule type="cellIs" dxfId="5892" priority="486" operator="equal">
      <formula>0</formula>
    </cfRule>
  </conditionalFormatting>
  <conditionalFormatting sqref="U71:U79 U49:U55 U57:U69">
    <cfRule type="containsBlanks" dxfId="5891" priority="485">
      <formula>LEN(TRIM(U49))=0</formula>
    </cfRule>
  </conditionalFormatting>
  <conditionalFormatting sqref="U116 U86:U114">
    <cfRule type="cellIs" dxfId="5890" priority="484" operator="equal">
      <formula>0</formula>
    </cfRule>
  </conditionalFormatting>
  <conditionalFormatting sqref="U115">
    <cfRule type="cellIs" dxfId="5889" priority="483" operator="equal">
      <formula>0</formula>
    </cfRule>
  </conditionalFormatting>
  <conditionalFormatting sqref="U108:U116 U86:U92 U94:U106">
    <cfRule type="containsBlanks" dxfId="5888" priority="482">
      <formula>LEN(TRIM(U86))=0</formula>
    </cfRule>
  </conditionalFormatting>
  <conditionalFormatting sqref="U153 U123:U151">
    <cfRule type="cellIs" dxfId="5887" priority="481" operator="equal">
      <formula>0</formula>
    </cfRule>
  </conditionalFormatting>
  <conditionalFormatting sqref="U152">
    <cfRule type="cellIs" dxfId="5886" priority="480" operator="equal">
      <formula>0</formula>
    </cfRule>
  </conditionalFormatting>
  <conditionalFormatting sqref="U145:U153 U123:U129 U131:U143">
    <cfRule type="containsBlanks" dxfId="5885" priority="479">
      <formula>LEN(TRIM(U123))=0</formula>
    </cfRule>
  </conditionalFormatting>
  <conditionalFormatting sqref="U190 U160:U188">
    <cfRule type="cellIs" dxfId="5884" priority="478" operator="equal">
      <formula>0</formula>
    </cfRule>
  </conditionalFormatting>
  <conditionalFormatting sqref="U189">
    <cfRule type="cellIs" dxfId="5883" priority="477" operator="equal">
      <formula>0</formula>
    </cfRule>
  </conditionalFormatting>
  <conditionalFormatting sqref="U182:U190 U160:U166 U168:U180">
    <cfRule type="containsBlanks" dxfId="5882" priority="476">
      <formula>LEN(TRIM(U160))=0</formula>
    </cfRule>
  </conditionalFormatting>
  <conditionalFormatting sqref="U227 U197:U225">
    <cfRule type="cellIs" dxfId="5881" priority="475" operator="equal">
      <formula>0</formula>
    </cfRule>
  </conditionalFormatting>
  <conditionalFormatting sqref="U226">
    <cfRule type="cellIs" dxfId="5880" priority="474" operator="equal">
      <formula>0</formula>
    </cfRule>
  </conditionalFormatting>
  <conditionalFormatting sqref="U219:U227 U197:U203 U205:U217">
    <cfRule type="containsBlanks" dxfId="5879" priority="473">
      <formula>LEN(TRIM(U197))=0</formula>
    </cfRule>
  </conditionalFormatting>
  <conditionalFormatting sqref="D42:F42 R33:T33 D32:F40 D12:F19 N12:O12 R12:T12 J42:T42 J33:K33 J34:T40 J32:T32 J13:T19">
    <cfRule type="cellIs" dxfId="5878" priority="438" operator="equal">
      <formula>0</formula>
    </cfRule>
  </conditionalFormatting>
  <conditionalFormatting sqref="R12:R14">
    <cfRule type="cellIs" dxfId="5877" priority="437" operator="equal">
      <formula>0</formula>
    </cfRule>
  </conditionalFormatting>
  <conditionalFormatting sqref="R12:T12 N12:O12 D13:F14 J13:T14">
    <cfRule type="cellIs" dxfId="5876" priority="436" operator="equal">
      <formula>0</formula>
    </cfRule>
  </conditionalFormatting>
  <conditionalFormatting sqref="F13:F14">
    <cfRule type="cellIs" dxfId="5875" priority="435" operator="equal">
      <formula>0</formula>
    </cfRule>
  </conditionalFormatting>
  <conditionalFormatting sqref="N12:O12">
    <cfRule type="cellIs" dxfId="5874" priority="434" operator="equal">
      <formula>0</formula>
    </cfRule>
  </conditionalFormatting>
  <conditionalFormatting sqref="L15:L17 L33">
    <cfRule type="cellIs" dxfId="5873" priority="433" operator="equal">
      <formula>0</formula>
    </cfRule>
  </conditionalFormatting>
  <conditionalFormatting sqref="L13:L14">
    <cfRule type="cellIs" dxfId="5872" priority="432" operator="equal">
      <formula>0</formula>
    </cfRule>
  </conditionalFormatting>
  <conditionalFormatting sqref="M15:M17 M33">
    <cfRule type="cellIs" dxfId="5871" priority="431" operator="equal">
      <formula>0</formula>
    </cfRule>
  </conditionalFormatting>
  <conditionalFormatting sqref="M13:M14">
    <cfRule type="cellIs" dxfId="5870" priority="430" operator="equal">
      <formula>0</formula>
    </cfRule>
  </conditionalFormatting>
  <conditionalFormatting sqref="N15:N17 N33">
    <cfRule type="cellIs" dxfId="5869" priority="429" operator="equal">
      <formula>0</formula>
    </cfRule>
  </conditionalFormatting>
  <conditionalFormatting sqref="N12:N14">
    <cfRule type="cellIs" dxfId="5868" priority="428" operator="equal">
      <formula>0</formula>
    </cfRule>
  </conditionalFormatting>
  <conditionalFormatting sqref="O15:O17 O33">
    <cfRule type="cellIs" dxfId="5867" priority="427" operator="equal">
      <formula>0</formula>
    </cfRule>
  </conditionalFormatting>
  <conditionalFormatting sqref="O12:O14">
    <cfRule type="cellIs" dxfId="5866" priority="426" operator="equal">
      <formula>0</formula>
    </cfRule>
  </conditionalFormatting>
  <conditionalFormatting sqref="P15:P17 P33">
    <cfRule type="cellIs" dxfId="5865" priority="425" operator="equal">
      <formula>0</formula>
    </cfRule>
  </conditionalFormatting>
  <conditionalFormatting sqref="P13:P14">
    <cfRule type="cellIs" dxfId="5864" priority="424" operator="equal">
      <formula>0</formula>
    </cfRule>
  </conditionalFormatting>
  <conditionalFormatting sqref="Q15:Q17 Q33">
    <cfRule type="cellIs" dxfId="5863" priority="423" operator="equal">
      <formula>0</formula>
    </cfRule>
  </conditionalFormatting>
  <conditionalFormatting sqref="Q13:Q14">
    <cfRule type="cellIs" dxfId="5862" priority="422" operator="equal">
      <formula>0</formula>
    </cfRule>
  </conditionalFormatting>
  <conditionalFormatting sqref="D41:F41 J41:T41">
    <cfRule type="cellIs" dxfId="5861" priority="421" operator="equal">
      <formula>0</formula>
    </cfRule>
  </conditionalFormatting>
  <conditionalFormatting sqref="D34:F42 D32:F32 D12:F18 N12:O12 R12:T12 J34:T42 J32:T32 J13:T18">
    <cfRule type="containsBlanks" dxfId="5860" priority="420">
      <formula>LEN(TRIM(D12))=0</formula>
    </cfRule>
  </conditionalFormatting>
  <conditionalFormatting sqref="D41:F41 J41:T41">
    <cfRule type="cellIs" dxfId="5859" priority="419" operator="equal">
      <formula>0</formula>
    </cfRule>
  </conditionalFormatting>
  <conditionalFormatting sqref="N15:N16">
    <cfRule type="cellIs" dxfId="5858" priority="418" operator="equal">
      <formula>0</formula>
    </cfRule>
  </conditionalFormatting>
  <conditionalFormatting sqref="O15:O16">
    <cfRule type="cellIs" dxfId="5857" priority="417" operator="equal">
      <formula>0</formula>
    </cfRule>
  </conditionalFormatting>
  <conditionalFormatting sqref="P15:Q15">
    <cfRule type="cellIs" dxfId="5856" priority="416" operator="equal">
      <formula>0</formula>
    </cfRule>
  </conditionalFormatting>
  <conditionalFormatting sqref="P16:Q16">
    <cfRule type="cellIs" dxfId="5855" priority="415" operator="equal">
      <formula>0</formula>
    </cfRule>
  </conditionalFormatting>
  <conditionalFormatting sqref="D20:F31 J20:T31">
    <cfRule type="cellIs" dxfId="5854" priority="414" operator="equal">
      <formula>0</formula>
    </cfRule>
  </conditionalFormatting>
  <conditionalFormatting sqref="D20:F31 J20:T31">
    <cfRule type="containsBlanks" dxfId="5853" priority="413">
      <formula>LEN(TRIM(D20))=0</formula>
    </cfRule>
  </conditionalFormatting>
  <conditionalFormatting sqref="J12">
    <cfRule type="cellIs" dxfId="5852" priority="412" operator="equal">
      <formula>0</formula>
    </cfRule>
  </conditionalFormatting>
  <conditionalFormatting sqref="K12">
    <cfRule type="cellIs" dxfId="5851" priority="411" operator="equal">
      <formula>0</formula>
    </cfRule>
  </conditionalFormatting>
  <conditionalFormatting sqref="L12:M12">
    <cfRule type="cellIs" dxfId="5850" priority="410" operator="equal">
      <formula>0</formula>
    </cfRule>
  </conditionalFormatting>
  <conditionalFormatting sqref="M12">
    <cfRule type="cellIs" dxfId="5849" priority="409" operator="equal">
      <formula>0</formula>
    </cfRule>
  </conditionalFormatting>
  <conditionalFormatting sqref="J12:M12">
    <cfRule type="containsBlanks" dxfId="5848" priority="408">
      <formula>LEN(TRIM(J12))=0</formula>
    </cfRule>
  </conditionalFormatting>
  <conditionalFormatting sqref="P12:Q12">
    <cfRule type="cellIs" dxfId="5847" priority="407" operator="equal">
      <formula>0</formula>
    </cfRule>
  </conditionalFormatting>
  <conditionalFormatting sqref="P12:Q12">
    <cfRule type="cellIs" dxfId="5846" priority="406" operator="equal">
      <formula>0</formula>
    </cfRule>
  </conditionalFormatting>
  <conditionalFormatting sqref="P12:Q12">
    <cfRule type="containsBlanks" dxfId="5845" priority="405">
      <formula>LEN(TRIM(P12))=0</formula>
    </cfRule>
  </conditionalFormatting>
  <conditionalFormatting sqref="D79:F79 R70:T70 D69:F77 D49:F56 N49:O49 R49:T49 J79:T79 J70:K70 J71:T77 J69:T69 J50:T56">
    <cfRule type="cellIs" dxfId="5844" priority="404" operator="equal">
      <formula>0</formula>
    </cfRule>
  </conditionalFormatting>
  <conditionalFormatting sqref="R49:R51">
    <cfRule type="cellIs" dxfId="5843" priority="403" operator="equal">
      <formula>0</formula>
    </cfRule>
  </conditionalFormatting>
  <conditionalFormatting sqref="R49:T49 N49:O49 D50:F51 J50:T51">
    <cfRule type="cellIs" dxfId="5842" priority="402" operator="equal">
      <formula>0</formula>
    </cfRule>
  </conditionalFormatting>
  <conditionalFormatting sqref="F50:F51">
    <cfRule type="cellIs" dxfId="5841" priority="401" operator="equal">
      <formula>0</formula>
    </cfRule>
  </conditionalFormatting>
  <conditionalFormatting sqref="N49:O49">
    <cfRule type="cellIs" dxfId="5840" priority="400" operator="equal">
      <formula>0</formula>
    </cfRule>
  </conditionalFormatting>
  <conditionalFormatting sqref="L52:L54 L70">
    <cfRule type="cellIs" dxfId="5839" priority="399" operator="equal">
      <formula>0</formula>
    </cfRule>
  </conditionalFormatting>
  <conditionalFormatting sqref="L50:L51">
    <cfRule type="cellIs" dxfId="5838" priority="398" operator="equal">
      <formula>0</formula>
    </cfRule>
  </conditionalFormatting>
  <conditionalFormatting sqref="M52:M54 M70">
    <cfRule type="cellIs" dxfId="5837" priority="397" operator="equal">
      <formula>0</formula>
    </cfRule>
  </conditionalFormatting>
  <conditionalFormatting sqref="M50:M51">
    <cfRule type="cellIs" dxfId="5836" priority="396" operator="equal">
      <formula>0</formula>
    </cfRule>
  </conditionalFormatting>
  <conditionalFormatting sqref="N52:N54 N70">
    <cfRule type="cellIs" dxfId="5835" priority="395" operator="equal">
      <formula>0</formula>
    </cfRule>
  </conditionalFormatting>
  <conditionalFormatting sqref="N49:N51">
    <cfRule type="cellIs" dxfId="5834" priority="394" operator="equal">
      <formula>0</formula>
    </cfRule>
  </conditionalFormatting>
  <conditionalFormatting sqref="O52:O54 O70">
    <cfRule type="cellIs" dxfId="5833" priority="393" operator="equal">
      <formula>0</formula>
    </cfRule>
  </conditionalFormatting>
  <conditionalFormatting sqref="O49:O51">
    <cfRule type="cellIs" dxfId="5832" priority="392" operator="equal">
      <formula>0</formula>
    </cfRule>
  </conditionalFormatting>
  <conditionalFormatting sqref="P52:P54 P70">
    <cfRule type="cellIs" dxfId="5831" priority="391" operator="equal">
      <formula>0</formula>
    </cfRule>
  </conditionalFormatting>
  <conditionalFormatting sqref="P50:P51">
    <cfRule type="cellIs" dxfId="5830" priority="390" operator="equal">
      <formula>0</formula>
    </cfRule>
  </conditionalFormatting>
  <conditionalFormatting sqref="Q52:Q54 Q70">
    <cfRule type="cellIs" dxfId="5829" priority="389" operator="equal">
      <formula>0</formula>
    </cfRule>
  </conditionalFormatting>
  <conditionalFormatting sqref="Q50:Q51">
    <cfRule type="cellIs" dxfId="5828" priority="388" operator="equal">
      <formula>0</formula>
    </cfRule>
  </conditionalFormatting>
  <conditionalFormatting sqref="D78:F78 J78:T78">
    <cfRule type="cellIs" dxfId="5827" priority="387" operator="equal">
      <formula>0</formula>
    </cfRule>
  </conditionalFormatting>
  <conditionalFormatting sqref="D71:F79 D69:F69 D49:F55 N49:O49 R49:T49 J71:T79 J69:T69 J50:T55">
    <cfRule type="containsBlanks" dxfId="5826" priority="386">
      <formula>LEN(TRIM(D49))=0</formula>
    </cfRule>
  </conditionalFormatting>
  <conditionalFormatting sqref="D78:F78 J78:T78">
    <cfRule type="cellIs" dxfId="5825" priority="385" operator="equal">
      <formula>0</formula>
    </cfRule>
  </conditionalFormatting>
  <conditionalFormatting sqref="N52:N53">
    <cfRule type="cellIs" dxfId="5824" priority="384" operator="equal">
      <formula>0</formula>
    </cfRule>
  </conditionalFormatting>
  <conditionalFormatting sqref="O52:O53">
    <cfRule type="cellIs" dxfId="5823" priority="383" operator="equal">
      <formula>0</formula>
    </cfRule>
  </conditionalFormatting>
  <conditionalFormatting sqref="P52:Q52">
    <cfRule type="cellIs" dxfId="5822" priority="382" operator="equal">
      <formula>0</formula>
    </cfRule>
  </conditionalFormatting>
  <conditionalFormatting sqref="P53:Q53">
    <cfRule type="cellIs" dxfId="5821" priority="381" operator="equal">
      <formula>0</formula>
    </cfRule>
  </conditionalFormatting>
  <conditionalFormatting sqref="D57:F68 J57:T68">
    <cfRule type="cellIs" dxfId="5820" priority="380" operator="equal">
      <formula>0</formula>
    </cfRule>
  </conditionalFormatting>
  <conditionalFormatting sqref="D57:F68 J57:T68">
    <cfRule type="containsBlanks" dxfId="5819" priority="379">
      <formula>LEN(TRIM(D57))=0</formula>
    </cfRule>
  </conditionalFormatting>
  <conditionalFormatting sqref="J49">
    <cfRule type="cellIs" dxfId="5818" priority="378" operator="equal">
      <formula>0</formula>
    </cfRule>
  </conditionalFormatting>
  <conditionalFormatting sqref="K49">
    <cfRule type="cellIs" dxfId="5817" priority="377" operator="equal">
      <formula>0</formula>
    </cfRule>
  </conditionalFormatting>
  <conditionalFormatting sqref="L49:M49">
    <cfRule type="cellIs" dxfId="5816" priority="376" operator="equal">
      <formula>0</formula>
    </cfRule>
  </conditionalFormatting>
  <conditionalFormatting sqref="M49">
    <cfRule type="cellIs" dxfId="5815" priority="375" operator="equal">
      <formula>0</formula>
    </cfRule>
  </conditionalFormatting>
  <conditionalFormatting sqref="J49:M49">
    <cfRule type="containsBlanks" dxfId="5814" priority="374">
      <formula>LEN(TRIM(J49))=0</formula>
    </cfRule>
  </conditionalFormatting>
  <conditionalFormatting sqref="P49:Q49">
    <cfRule type="cellIs" dxfId="5813" priority="373" operator="equal">
      <formula>0</formula>
    </cfRule>
  </conditionalFormatting>
  <conditionalFormatting sqref="P49:Q49">
    <cfRule type="cellIs" dxfId="5812" priority="372" operator="equal">
      <formula>0</formula>
    </cfRule>
  </conditionalFormatting>
  <conditionalFormatting sqref="P49:Q49">
    <cfRule type="containsBlanks" dxfId="5811" priority="371">
      <formula>LEN(TRIM(P49))=0</formula>
    </cfRule>
  </conditionalFormatting>
  <conditionalFormatting sqref="D116:F116 R107:T107 D106:F114 D86:F93 N86:O86 R86:T86 J116:T116 J107:K107 J108:T114 J106:T106 J87:T93">
    <cfRule type="cellIs" dxfId="5810" priority="370" operator="equal">
      <formula>0</formula>
    </cfRule>
  </conditionalFormatting>
  <conditionalFormatting sqref="R86:R88">
    <cfRule type="cellIs" dxfId="5809" priority="369" operator="equal">
      <formula>0</formula>
    </cfRule>
  </conditionalFormatting>
  <conditionalFormatting sqref="R86:T86 N86:O86 D87:F88 J87:T88">
    <cfRule type="cellIs" dxfId="5808" priority="368" operator="equal">
      <formula>0</formula>
    </cfRule>
  </conditionalFormatting>
  <conditionalFormatting sqref="F87:F88">
    <cfRule type="cellIs" dxfId="5807" priority="367" operator="equal">
      <formula>0</formula>
    </cfRule>
  </conditionalFormatting>
  <conditionalFormatting sqref="N86:O86">
    <cfRule type="cellIs" dxfId="5806" priority="366" operator="equal">
      <formula>0</formula>
    </cfRule>
  </conditionalFormatting>
  <conditionalFormatting sqref="L89:L91 L107">
    <cfRule type="cellIs" dxfId="5805" priority="365" operator="equal">
      <formula>0</formula>
    </cfRule>
  </conditionalFormatting>
  <conditionalFormatting sqref="L87:L88">
    <cfRule type="cellIs" dxfId="5804" priority="364" operator="equal">
      <formula>0</formula>
    </cfRule>
  </conditionalFormatting>
  <conditionalFormatting sqref="M89:M91 M107">
    <cfRule type="cellIs" dxfId="5803" priority="363" operator="equal">
      <formula>0</formula>
    </cfRule>
  </conditionalFormatting>
  <conditionalFormatting sqref="M87:M88">
    <cfRule type="cellIs" dxfId="5802" priority="362" operator="equal">
      <formula>0</formula>
    </cfRule>
  </conditionalFormatting>
  <conditionalFormatting sqref="N89:N91 N107">
    <cfRule type="cellIs" dxfId="5801" priority="361" operator="equal">
      <formula>0</formula>
    </cfRule>
  </conditionalFormatting>
  <conditionalFormatting sqref="N86:N88">
    <cfRule type="cellIs" dxfId="5800" priority="360" operator="equal">
      <formula>0</formula>
    </cfRule>
  </conditionalFormatting>
  <conditionalFormatting sqref="O89:O91 O107">
    <cfRule type="cellIs" dxfId="5799" priority="359" operator="equal">
      <formula>0</formula>
    </cfRule>
  </conditionalFormatting>
  <conditionalFormatting sqref="O86:O88">
    <cfRule type="cellIs" dxfId="5798" priority="358" operator="equal">
      <formula>0</formula>
    </cfRule>
  </conditionalFormatting>
  <conditionalFormatting sqref="P89:P91 P107">
    <cfRule type="cellIs" dxfId="5797" priority="357" operator="equal">
      <formula>0</formula>
    </cfRule>
  </conditionalFormatting>
  <conditionalFormatting sqref="P87:P88">
    <cfRule type="cellIs" dxfId="5796" priority="356" operator="equal">
      <formula>0</formula>
    </cfRule>
  </conditionalFormatting>
  <conditionalFormatting sqref="Q89:Q91 Q107">
    <cfRule type="cellIs" dxfId="5795" priority="355" operator="equal">
      <formula>0</formula>
    </cfRule>
  </conditionalFormatting>
  <conditionalFormatting sqref="Q87:Q88">
    <cfRule type="cellIs" dxfId="5794" priority="354" operator="equal">
      <formula>0</formula>
    </cfRule>
  </conditionalFormatting>
  <conditionalFormatting sqref="D115:F115 J115:T115">
    <cfRule type="cellIs" dxfId="5793" priority="353" operator="equal">
      <formula>0</formula>
    </cfRule>
  </conditionalFormatting>
  <conditionalFormatting sqref="D108:F116 D106:F106 D86:F92 N86:O86 R86:T86 J108:T116 J106:T106 J87:T92">
    <cfRule type="containsBlanks" dxfId="5792" priority="352">
      <formula>LEN(TRIM(D86))=0</formula>
    </cfRule>
  </conditionalFormatting>
  <conditionalFormatting sqref="D115:F115 J115:T115">
    <cfRule type="cellIs" dxfId="5791" priority="351" operator="equal">
      <formula>0</formula>
    </cfRule>
  </conditionalFormatting>
  <conditionalFormatting sqref="N89:N90">
    <cfRule type="cellIs" dxfId="5790" priority="350" operator="equal">
      <formula>0</formula>
    </cfRule>
  </conditionalFormatting>
  <conditionalFormatting sqref="O89:O90">
    <cfRule type="cellIs" dxfId="5789" priority="349" operator="equal">
      <formula>0</formula>
    </cfRule>
  </conditionalFormatting>
  <conditionalFormatting sqref="P89:Q89">
    <cfRule type="cellIs" dxfId="5788" priority="348" operator="equal">
      <formula>0</formula>
    </cfRule>
  </conditionalFormatting>
  <conditionalFormatting sqref="P90:Q90">
    <cfRule type="cellIs" dxfId="5787" priority="347" operator="equal">
      <formula>0</formula>
    </cfRule>
  </conditionalFormatting>
  <conditionalFormatting sqref="D94:F105 J94:T105">
    <cfRule type="cellIs" dxfId="5786" priority="346" operator="equal">
      <formula>0</formula>
    </cfRule>
  </conditionalFormatting>
  <conditionalFormatting sqref="D94:F105 J94:T105">
    <cfRule type="containsBlanks" dxfId="5785" priority="345">
      <formula>LEN(TRIM(D94))=0</formula>
    </cfRule>
  </conditionalFormatting>
  <conditionalFormatting sqref="J86">
    <cfRule type="cellIs" dxfId="5784" priority="344" operator="equal">
      <formula>0</formula>
    </cfRule>
  </conditionalFormatting>
  <conditionalFormatting sqref="K86">
    <cfRule type="cellIs" dxfId="5783" priority="343" operator="equal">
      <formula>0</formula>
    </cfRule>
  </conditionalFormatting>
  <conditionalFormatting sqref="L86:M86">
    <cfRule type="cellIs" dxfId="5782" priority="342" operator="equal">
      <formula>0</formula>
    </cfRule>
  </conditionalFormatting>
  <conditionalFormatting sqref="M86">
    <cfRule type="cellIs" dxfId="5781" priority="341" operator="equal">
      <formula>0</formula>
    </cfRule>
  </conditionalFormatting>
  <conditionalFormatting sqref="J86:M86">
    <cfRule type="containsBlanks" dxfId="5780" priority="340">
      <formula>LEN(TRIM(J86))=0</formula>
    </cfRule>
  </conditionalFormatting>
  <conditionalFormatting sqref="P86:Q86">
    <cfRule type="cellIs" dxfId="5779" priority="339" operator="equal">
      <formula>0</formula>
    </cfRule>
  </conditionalFormatting>
  <conditionalFormatting sqref="P86:Q86">
    <cfRule type="cellIs" dxfId="5778" priority="338" operator="equal">
      <formula>0</formula>
    </cfRule>
  </conditionalFormatting>
  <conditionalFormatting sqref="P86:Q86">
    <cfRule type="containsBlanks" dxfId="5777" priority="337">
      <formula>LEN(TRIM(P86))=0</formula>
    </cfRule>
  </conditionalFormatting>
  <conditionalFormatting sqref="D153:F153 R144:T144 D143:F151 D123:F130 N123:O123 R123:T123 J153:T153 J144:K144 J145:T151 J143:T143 J124:T130">
    <cfRule type="cellIs" dxfId="5776" priority="336" operator="equal">
      <formula>0</formula>
    </cfRule>
  </conditionalFormatting>
  <conditionalFormatting sqref="R123:R125">
    <cfRule type="cellIs" dxfId="5775" priority="335" operator="equal">
      <formula>0</formula>
    </cfRule>
  </conditionalFormatting>
  <conditionalFormatting sqref="R123:T123 N123:O123 D124:F125 J124:T125">
    <cfRule type="cellIs" dxfId="5774" priority="334" operator="equal">
      <formula>0</formula>
    </cfRule>
  </conditionalFormatting>
  <conditionalFormatting sqref="F124:F125">
    <cfRule type="cellIs" dxfId="5773" priority="333" operator="equal">
      <formula>0</formula>
    </cfRule>
  </conditionalFormatting>
  <conditionalFormatting sqref="N123:O123">
    <cfRule type="cellIs" dxfId="5772" priority="332" operator="equal">
      <formula>0</formula>
    </cfRule>
  </conditionalFormatting>
  <conditionalFormatting sqref="L126:L128 L144">
    <cfRule type="cellIs" dxfId="5771" priority="331" operator="equal">
      <formula>0</formula>
    </cfRule>
  </conditionalFormatting>
  <conditionalFormatting sqref="L124:L125">
    <cfRule type="cellIs" dxfId="5770" priority="330" operator="equal">
      <formula>0</formula>
    </cfRule>
  </conditionalFormatting>
  <conditionalFormatting sqref="M126:M128 M144">
    <cfRule type="cellIs" dxfId="5769" priority="329" operator="equal">
      <formula>0</formula>
    </cfRule>
  </conditionalFormatting>
  <conditionalFormatting sqref="M124:M125">
    <cfRule type="cellIs" dxfId="5768" priority="328" operator="equal">
      <formula>0</formula>
    </cfRule>
  </conditionalFormatting>
  <conditionalFormatting sqref="N126:N128 N144">
    <cfRule type="cellIs" dxfId="5767" priority="327" operator="equal">
      <formula>0</formula>
    </cfRule>
  </conditionalFormatting>
  <conditionalFormatting sqref="N123:N125">
    <cfRule type="cellIs" dxfId="5766" priority="326" operator="equal">
      <formula>0</formula>
    </cfRule>
  </conditionalFormatting>
  <conditionalFormatting sqref="O126:O128 O144">
    <cfRule type="cellIs" dxfId="5765" priority="325" operator="equal">
      <formula>0</formula>
    </cfRule>
  </conditionalFormatting>
  <conditionalFormatting sqref="O123:O125">
    <cfRule type="cellIs" dxfId="5764" priority="324" operator="equal">
      <formula>0</formula>
    </cfRule>
  </conditionalFormatting>
  <conditionalFormatting sqref="P126:P128 P144">
    <cfRule type="cellIs" dxfId="5763" priority="323" operator="equal">
      <formula>0</formula>
    </cfRule>
  </conditionalFormatting>
  <conditionalFormatting sqref="P124:P125">
    <cfRule type="cellIs" dxfId="5762" priority="322" operator="equal">
      <formula>0</formula>
    </cfRule>
  </conditionalFormatting>
  <conditionalFormatting sqref="Q126:Q128 Q144">
    <cfRule type="cellIs" dxfId="5761" priority="321" operator="equal">
      <formula>0</formula>
    </cfRule>
  </conditionalFormatting>
  <conditionalFormatting sqref="Q124:Q125">
    <cfRule type="cellIs" dxfId="5760" priority="320" operator="equal">
      <formula>0</formula>
    </cfRule>
  </conditionalFormatting>
  <conditionalFormatting sqref="D152:F152 J152:T152">
    <cfRule type="cellIs" dxfId="5759" priority="319" operator="equal">
      <formula>0</formula>
    </cfRule>
  </conditionalFormatting>
  <conditionalFormatting sqref="D145:F153 D143:F143 D123:F129 N123:O123 R123:T123 J145:T153 J143:T143 J124:T129">
    <cfRule type="containsBlanks" dxfId="5758" priority="318">
      <formula>LEN(TRIM(D123))=0</formula>
    </cfRule>
  </conditionalFormatting>
  <conditionalFormatting sqref="D152:F152 J152:T152">
    <cfRule type="cellIs" dxfId="5757" priority="317" operator="equal">
      <formula>0</formula>
    </cfRule>
  </conditionalFormatting>
  <conditionalFormatting sqref="N126:N127">
    <cfRule type="cellIs" dxfId="5756" priority="316" operator="equal">
      <formula>0</formula>
    </cfRule>
  </conditionalFormatting>
  <conditionalFormatting sqref="O126:O127">
    <cfRule type="cellIs" dxfId="5755" priority="315" operator="equal">
      <formula>0</formula>
    </cfRule>
  </conditionalFormatting>
  <conditionalFormatting sqref="P126:Q126">
    <cfRule type="cellIs" dxfId="5754" priority="314" operator="equal">
      <formula>0</formula>
    </cfRule>
  </conditionalFormatting>
  <conditionalFormatting sqref="P127:Q127">
    <cfRule type="cellIs" dxfId="5753" priority="313" operator="equal">
      <formula>0</formula>
    </cfRule>
  </conditionalFormatting>
  <conditionalFormatting sqref="D131:F142 J131:T142">
    <cfRule type="cellIs" dxfId="5752" priority="312" operator="equal">
      <formula>0</formula>
    </cfRule>
  </conditionalFormatting>
  <conditionalFormatting sqref="D131:F142 J131:T142">
    <cfRule type="containsBlanks" dxfId="5751" priority="311">
      <formula>LEN(TRIM(D131))=0</formula>
    </cfRule>
  </conditionalFormatting>
  <conditionalFormatting sqref="J123">
    <cfRule type="cellIs" dxfId="5750" priority="310" operator="equal">
      <formula>0</formula>
    </cfRule>
  </conditionalFormatting>
  <conditionalFormatting sqref="K123">
    <cfRule type="cellIs" dxfId="5749" priority="309" operator="equal">
      <formula>0</formula>
    </cfRule>
  </conditionalFormatting>
  <conditionalFormatting sqref="L123:M123">
    <cfRule type="cellIs" dxfId="5748" priority="308" operator="equal">
      <formula>0</formula>
    </cfRule>
  </conditionalFormatting>
  <conditionalFormatting sqref="M123">
    <cfRule type="cellIs" dxfId="5747" priority="307" operator="equal">
      <formula>0</formula>
    </cfRule>
  </conditionalFormatting>
  <conditionalFormatting sqref="J123:M123">
    <cfRule type="containsBlanks" dxfId="5746" priority="306">
      <formula>LEN(TRIM(J123))=0</formula>
    </cfRule>
  </conditionalFormatting>
  <conditionalFormatting sqref="P123:Q123">
    <cfRule type="cellIs" dxfId="5745" priority="305" operator="equal">
      <formula>0</formula>
    </cfRule>
  </conditionalFormatting>
  <conditionalFormatting sqref="P123:Q123">
    <cfRule type="cellIs" dxfId="5744" priority="304" operator="equal">
      <formula>0</formula>
    </cfRule>
  </conditionalFormatting>
  <conditionalFormatting sqref="P123:Q123">
    <cfRule type="containsBlanks" dxfId="5743" priority="303">
      <formula>LEN(TRIM(P123))=0</formula>
    </cfRule>
  </conditionalFormatting>
  <conditionalFormatting sqref="D190:F190 R181:T181 D180:F188 D160:F167 N160:O160 R160:T160 J190:T190 J181:K181 J182:T188 J180:T180 J161:T167">
    <cfRule type="cellIs" dxfId="5742" priority="302" operator="equal">
      <formula>0</formula>
    </cfRule>
  </conditionalFormatting>
  <conditionalFormatting sqref="R160:R162">
    <cfRule type="cellIs" dxfId="5741" priority="301" operator="equal">
      <formula>0</formula>
    </cfRule>
  </conditionalFormatting>
  <conditionalFormatting sqref="R160:T160 N160:O160 D161:F162 J161:T162">
    <cfRule type="cellIs" dxfId="5740" priority="300" operator="equal">
      <formula>0</formula>
    </cfRule>
  </conditionalFormatting>
  <conditionalFormatting sqref="F161:F162">
    <cfRule type="cellIs" dxfId="5739" priority="299" operator="equal">
      <formula>0</formula>
    </cfRule>
  </conditionalFormatting>
  <conditionalFormatting sqref="N160:O160">
    <cfRule type="cellIs" dxfId="5738" priority="298" operator="equal">
      <formula>0</formula>
    </cfRule>
  </conditionalFormatting>
  <conditionalFormatting sqref="L163:L165 L181">
    <cfRule type="cellIs" dxfId="5737" priority="297" operator="equal">
      <formula>0</formula>
    </cfRule>
  </conditionalFormatting>
  <conditionalFormatting sqref="L161:L162">
    <cfRule type="cellIs" dxfId="5736" priority="296" operator="equal">
      <formula>0</formula>
    </cfRule>
  </conditionalFormatting>
  <conditionalFormatting sqref="M163:M165 M181">
    <cfRule type="cellIs" dxfId="5735" priority="295" operator="equal">
      <formula>0</formula>
    </cfRule>
  </conditionalFormatting>
  <conditionalFormatting sqref="M161:M162">
    <cfRule type="cellIs" dxfId="5734" priority="294" operator="equal">
      <formula>0</formula>
    </cfRule>
  </conditionalFormatting>
  <conditionalFormatting sqref="N163:N165 N181">
    <cfRule type="cellIs" dxfId="5733" priority="293" operator="equal">
      <formula>0</formula>
    </cfRule>
  </conditionalFormatting>
  <conditionalFormatting sqref="N160:N162">
    <cfRule type="cellIs" dxfId="5732" priority="292" operator="equal">
      <formula>0</formula>
    </cfRule>
  </conditionalFormatting>
  <conditionalFormatting sqref="O163:O165 O181">
    <cfRule type="cellIs" dxfId="5731" priority="291" operator="equal">
      <formula>0</formula>
    </cfRule>
  </conditionalFormatting>
  <conditionalFormatting sqref="O160:O162">
    <cfRule type="cellIs" dxfId="5730" priority="290" operator="equal">
      <formula>0</formula>
    </cfRule>
  </conditionalFormatting>
  <conditionalFormatting sqref="P163:P165 P181">
    <cfRule type="cellIs" dxfId="5729" priority="289" operator="equal">
      <formula>0</formula>
    </cfRule>
  </conditionalFormatting>
  <conditionalFormatting sqref="P161:P162">
    <cfRule type="cellIs" dxfId="5728" priority="288" operator="equal">
      <formula>0</formula>
    </cfRule>
  </conditionalFormatting>
  <conditionalFormatting sqref="Q163:Q165 Q181">
    <cfRule type="cellIs" dxfId="5727" priority="287" operator="equal">
      <formula>0</formula>
    </cfRule>
  </conditionalFormatting>
  <conditionalFormatting sqref="Q161:Q162">
    <cfRule type="cellIs" dxfId="5726" priority="286" operator="equal">
      <formula>0</formula>
    </cfRule>
  </conditionalFormatting>
  <conditionalFormatting sqref="D189:F189 J189:T189">
    <cfRule type="cellIs" dxfId="5725" priority="285" operator="equal">
      <formula>0</formula>
    </cfRule>
  </conditionalFormatting>
  <conditionalFormatting sqref="D182:F190 D180:F180 D160:F166 N160:O160 R160:T160 J182:T190 J180:T180 J161:T166">
    <cfRule type="containsBlanks" dxfId="5724" priority="284">
      <formula>LEN(TRIM(D160))=0</formula>
    </cfRule>
  </conditionalFormatting>
  <conditionalFormatting sqref="D189:F189 J189:T189">
    <cfRule type="cellIs" dxfId="5723" priority="283" operator="equal">
      <formula>0</formula>
    </cfRule>
  </conditionalFormatting>
  <conditionalFormatting sqref="N163:N164">
    <cfRule type="cellIs" dxfId="5722" priority="282" operator="equal">
      <formula>0</formula>
    </cfRule>
  </conditionalFormatting>
  <conditionalFormatting sqref="O163:O164">
    <cfRule type="cellIs" dxfId="5721" priority="281" operator="equal">
      <formula>0</formula>
    </cfRule>
  </conditionalFormatting>
  <conditionalFormatting sqref="P163:Q163">
    <cfRule type="cellIs" dxfId="5720" priority="280" operator="equal">
      <formula>0</formula>
    </cfRule>
  </conditionalFormatting>
  <conditionalFormatting sqref="P164:Q164">
    <cfRule type="cellIs" dxfId="5719" priority="279" operator="equal">
      <formula>0</formula>
    </cfRule>
  </conditionalFormatting>
  <conditionalFormatting sqref="D168:F179 J168:T179">
    <cfRule type="cellIs" dxfId="5718" priority="278" operator="equal">
      <formula>0</formula>
    </cfRule>
  </conditionalFormatting>
  <conditionalFormatting sqref="D168:F179 J168:T179">
    <cfRule type="containsBlanks" dxfId="5717" priority="277">
      <formula>LEN(TRIM(D168))=0</formula>
    </cfRule>
  </conditionalFormatting>
  <conditionalFormatting sqref="J160">
    <cfRule type="cellIs" dxfId="5716" priority="276" operator="equal">
      <formula>0</formula>
    </cfRule>
  </conditionalFormatting>
  <conditionalFormatting sqref="K160">
    <cfRule type="cellIs" dxfId="5715" priority="275" operator="equal">
      <formula>0</formula>
    </cfRule>
  </conditionalFormatting>
  <conditionalFormatting sqref="L160:M160">
    <cfRule type="cellIs" dxfId="5714" priority="274" operator="equal">
      <formula>0</formula>
    </cfRule>
  </conditionalFormatting>
  <conditionalFormatting sqref="M160">
    <cfRule type="cellIs" dxfId="5713" priority="273" operator="equal">
      <formula>0</formula>
    </cfRule>
  </conditionalFormatting>
  <conditionalFormatting sqref="J160:M160">
    <cfRule type="containsBlanks" dxfId="5712" priority="272">
      <formula>LEN(TRIM(J160))=0</formula>
    </cfRule>
  </conditionalFormatting>
  <conditionalFormatting sqref="P160:Q160">
    <cfRule type="cellIs" dxfId="5711" priority="271" operator="equal">
      <formula>0</formula>
    </cfRule>
  </conditionalFormatting>
  <conditionalFormatting sqref="P160:Q160">
    <cfRule type="cellIs" dxfId="5710" priority="270" operator="equal">
      <formula>0</formula>
    </cfRule>
  </conditionalFormatting>
  <conditionalFormatting sqref="P160:Q160">
    <cfRule type="containsBlanks" dxfId="5709" priority="269">
      <formula>LEN(TRIM(P160))=0</formula>
    </cfRule>
  </conditionalFormatting>
  <conditionalFormatting sqref="D227:F227 R218:T218 D217:F225 D197:F204 N197:O197 R197:T197 J227:T227 J218:K218 J219:T225 J217:T217 J198:T204">
    <cfRule type="cellIs" dxfId="5708" priority="268" operator="equal">
      <formula>0</formula>
    </cfRule>
  </conditionalFormatting>
  <conditionalFormatting sqref="R197:R199">
    <cfRule type="cellIs" dxfId="5707" priority="267" operator="equal">
      <formula>0</formula>
    </cfRule>
  </conditionalFormatting>
  <conditionalFormatting sqref="R197:T197 N197:O197 D198:F199 J198:T199">
    <cfRule type="cellIs" dxfId="5706" priority="266" operator="equal">
      <formula>0</formula>
    </cfRule>
  </conditionalFormatting>
  <conditionalFormatting sqref="F198:F199">
    <cfRule type="cellIs" dxfId="5705" priority="265" operator="equal">
      <formula>0</formula>
    </cfRule>
  </conditionalFormatting>
  <conditionalFormatting sqref="N197:O197">
    <cfRule type="cellIs" dxfId="5704" priority="264" operator="equal">
      <formula>0</formula>
    </cfRule>
  </conditionalFormatting>
  <conditionalFormatting sqref="L200:L202 L218">
    <cfRule type="cellIs" dxfId="5703" priority="263" operator="equal">
      <formula>0</formula>
    </cfRule>
  </conditionalFormatting>
  <conditionalFormatting sqref="L198:L199">
    <cfRule type="cellIs" dxfId="5702" priority="262" operator="equal">
      <formula>0</formula>
    </cfRule>
  </conditionalFormatting>
  <conditionalFormatting sqref="M200:M202 M218">
    <cfRule type="cellIs" dxfId="5701" priority="261" operator="equal">
      <formula>0</formula>
    </cfRule>
  </conditionalFormatting>
  <conditionalFormatting sqref="M198:M199">
    <cfRule type="cellIs" dxfId="5700" priority="260" operator="equal">
      <formula>0</formula>
    </cfRule>
  </conditionalFormatting>
  <conditionalFormatting sqref="N200:N202 N218">
    <cfRule type="cellIs" dxfId="5699" priority="259" operator="equal">
      <formula>0</formula>
    </cfRule>
  </conditionalFormatting>
  <conditionalFormatting sqref="N197:N199">
    <cfRule type="cellIs" dxfId="5698" priority="258" operator="equal">
      <formula>0</formula>
    </cfRule>
  </conditionalFormatting>
  <conditionalFormatting sqref="O200:O202 O218">
    <cfRule type="cellIs" dxfId="5697" priority="257" operator="equal">
      <formula>0</formula>
    </cfRule>
  </conditionalFormatting>
  <conditionalFormatting sqref="O197:O199">
    <cfRule type="cellIs" dxfId="5696" priority="256" operator="equal">
      <formula>0</formula>
    </cfRule>
  </conditionalFormatting>
  <conditionalFormatting sqref="P200:P202 P218">
    <cfRule type="cellIs" dxfId="5695" priority="255" operator="equal">
      <formula>0</formula>
    </cfRule>
  </conditionalFormatting>
  <conditionalFormatting sqref="P198:P199">
    <cfRule type="cellIs" dxfId="5694" priority="254" operator="equal">
      <formula>0</formula>
    </cfRule>
  </conditionalFormatting>
  <conditionalFormatting sqref="Q200:Q202 Q218">
    <cfRule type="cellIs" dxfId="5693" priority="253" operator="equal">
      <formula>0</formula>
    </cfRule>
  </conditionalFormatting>
  <conditionalFormatting sqref="Q198:Q199">
    <cfRule type="cellIs" dxfId="5692" priority="252" operator="equal">
      <formula>0</formula>
    </cfRule>
  </conditionalFormatting>
  <conditionalFormatting sqref="D226:F226 J226:T226">
    <cfRule type="cellIs" dxfId="5691" priority="251" operator="equal">
      <formula>0</formula>
    </cfRule>
  </conditionalFormatting>
  <conditionalFormatting sqref="D219:F227 D217:F217 D197:F203 N197:O197 R197:T197 J219:T227 J217:T217 J198:T203">
    <cfRule type="containsBlanks" dxfId="5690" priority="250">
      <formula>LEN(TRIM(D197))=0</formula>
    </cfRule>
  </conditionalFormatting>
  <conditionalFormatting sqref="D226:F226 J226:T226">
    <cfRule type="cellIs" dxfId="5689" priority="249" operator="equal">
      <formula>0</formula>
    </cfRule>
  </conditionalFormatting>
  <conditionalFormatting sqref="N200:N201">
    <cfRule type="cellIs" dxfId="5688" priority="248" operator="equal">
      <formula>0</formula>
    </cfRule>
  </conditionalFormatting>
  <conditionalFormatting sqref="O200:O201">
    <cfRule type="cellIs" dxfId="5687" priority="247" operator="equal">
      <formula>0</formula>
    </cfRule>
  </conditionalFormatting>
  <conditionalFormatting sqref="P200:Q200">
    <cfRule type="cellIs" dxfId="5686" priority="246" operator="equal">
      <formula>0</formula>
    </cfRule>
  </conditionalFormatting>
  <conditionalFormatting sqref="P201:Q201">
    <cfRule type="cellIs" dxfId="5685" priority="245" operator="equal">
      <formula>0</formula>
    </cfRule>
  </conditionalFormatting>
  <conditionalFormatting sqref="D205:F216 J205:T216">
    <cfRule type="cellIs" dxfId="5684" priority="244" operator="equal">
      <formula>0</formula>
    </cfRule>
  </conditionalFormatting>
  <conditionalFormatting sqref="D205:F216 J205:T216">
    <cfRule type="containsBlanks" dxfId="5683" priority="243">
      <formula>LEN(TRIM(D205))=0</formula>
    </cfRule>
  </conditionalFormatting>
  <conditionalFormatting sqref="J197">
    <cfRule type="cellIs" dxfId="5682" priority="242" operator="equal">
      <formula>0</formula>
    </cfRule>
  </conditionalFormatting>
  <conditionalFormatting sqref="K197">
    <cfRule type="cellIs" dxfId="5681" priority="241" operator="equal">
      <formula>0</formula>
    </cfRule>
  </conditionalFormatting>
  <conditionalFormatting sqref="L197:M197">
    <cfRule type="cellIs" dxfId="5680" priority="240" operator="equal">
      <formula>0</formula>
    </cfRule>
  </conditionalFormatting>
  <conditionalFormatting sqref="M197">
    <cfRule type="cellIs" dxfId="5679" priority="239" operator="equal">
      <formula>0</formula>
    </cfRule>
  </conditionalFormatting>
  <conditionalFormatting sqref="J197:M197">
    <cfRule type="containsBlanks" dxfId="5678" priority="238">
      <formula>LEN(TRIM(J197))=0</formula>
    </cfRule>
  </conditionalFormatting>
  <conditionalFormatting sqref="P197:Q197">
    <cfRule type="cellIs" dxfId="5677" priority="237" operator="equal">
      <formula>0</formula>
    </cfRule>
  </conditionalFormatting>
  <conditionalFormatting sqref="P197:Q197">
    <cfRule type="cellIs" dxfId="5676" priority="236" operator="equal">
      <formula>0</formula>
    </cfRule>
  </conditionalFormatting>
  <conditionalFormatting sqref="P197:Q197">
    <cfRule type="containsBlanks" dxfId="5675" priority="235">
      <formula>LEN(TRIM(P197))=0</formula>
    </cfRule>
  </conditionalFormatting>
  <conditionalFormatting sqref="D264:F264 R255:T255 D254:F262 D234:F241 N234:O234 R234:T234 J264:T264 J255:K255 J256:T262 J254:T254 J235:T241">
    <cfRule type="cellIs" dxfId="5674" priority="234" operator="equal">
      <formula>0</formula>
    </cfRule>
  </conditionalFormatting>
  <conditionalFormatting sqref="R234:R236">
    <cfRule type="cellIs" dxfId="5673" priority="233" operator="equal">
      <formula>0</formula>
    </cfRule>
  </conditionalFormatting>
  <conditionalFormatting sqref="R234:T234 N234:O234 D235:F236 J235:T236">
    <cfRule type="cellIs" dxfId="5672" priority="232" operator="equal">
      <formula>0</formula>
    </cfRule>
  </conditionalFormatting>
  <conditionalFormatting sqref="F235:F236">
    <cfRule type="cellIs" dxfId="5671" priority="231" operator="equal">
      <formula>0</formula>
    </cfRule>
  </conditionalFormatting>
  <conditionalFormatting sqref="N234:O234">
    <cfRule type="cellIs" dxfId="5670" priority="230" operator="equal">
      <formula>0</formula>
    </cfRule>
  </conditionalFormatting>
  <conditionalFormatting sqref="L237:L239 L255">
    <cfRule type="cellIs" dxfId="5669" priority="229" operator="equal">
      <formula>0</formula>
    </cfRule>
  </conditionalFormatting>
  <conditionalFormatting sqref="L235:L236">
    <cfRule type="cellIs" dxfId="5668" priority="228" operator="equal">
      <formula>0</formula>
    </cfRule>
  </conditionalFormatting>
  <conditionalFormatting sqref="M237:M239 M255">
    <cfRule type="cellIs" dxfId="5667" priority="227" operator="equal">
      <formula>0</formula>
    </cfRule>
  </conditionalFormatting>
  <conditionalFormatting sqref="M235:M236">
    <cfRule type="cellIs" dxfId="5666" priority="226" operator="equal">
      <formula>0</formula>
    </cfRule>
  </conditionalFormatting>
  <conditionalFormatting sqref="N237:N239 N255">
    <cfRule type="cellIs" dxfId="5665" priority="225" operator="equal">
      <formula>0</formula>
    </cfRule>
  </conditionalFormatting>
  <conditionalFormatting sqref="N234:N236">
    <cfRule type="cellIs" dxfId="5664" priority="224" operator="equal">
      <formula>0</formula>
    </cfRule>
  </conditionalFormatting>
  <conditionalFormatting sqref="O237:O239 O255">
    <cfRule type="cellIs" dxfId="5663" priority="223" operator="equal">
      <formula>0</formula>
    </cfRule>
  </conditionalFormatting>
  <conditionalFormatting sqref="O234:O236">
    <cfRule type="cellIs" dxfId="5662" priority="222" operator="equal">
      <formula>0</formula>
    </cfRule>
  </conditionalFormatting>
  <conditionalFormatting sqref="P237:P239 P255">
    <cfRule type="cellIs" dxfId="5661" priority="221" operator="equal">
      <formula>0</formula>
    </cfRule>
  </conditionalFormatting>
  <conditionalFormatting sqref="P235:P236">
    <cfRule type="cellIs" dxfId="5660" priority="220" operator="equal">
      <formula>0</formula>
    </cfRule>
  </conditionalFormatting>
  <conditionalFormatting sqref="Q237:Q239 Q255">
    <cfRule type="cellIs" dxfId="5659" priority="219" operator="equal">
      <formula>0</formula>
    </cfRule>
  </conditionalFormatting>
  <conditionalFormatting sqref="Q235:Q236">
    <cfRule type="cellIs" dxfId="5658" priority="218" operator="equal">
      <formula>0</formula>
    </cfRule>
  </conditionalFormatting>
  <conditionalFormatting sqref="D263:F263 J263:T263">
    <cfRule type="cellIs" dxfId="5657" priority="217" operator="equal">
      <formula>0</formula>
    </cfRule>
  </conditionalFormatting>
  <conditionalFormatting sqref="D256:F264 D254:F254 D234:F240 N234:O234 R234:T234 J256:T264 J254:T254 J235:T240">
    <cfRule type="containsBlanks" dxfId="5656" priority="216">
      <formula>LEN(TRIM(D234))=0</formula>
    </cfRule>
  </conditionalFormatting>
  <conditionalFormatting sqref="D263:F263 J263:T263">
    <cfRule type="cellIs" dxfId="5655" priority="215" operator="equal">
      <formula>0</formula>
    </cfRule>
  </conditionalFormatting>
  <conditionalFormatting sqref="N237:N238">
    <cfRule type="cellIs" dxfId="5654" priority="214" operator="equal">
      <formula>0</formula>
    </cfRule>
  </conditionalFormatting>
  <conditionalFormatting sqref="O237:O238">
    <cfRule type="cellIs" dxfId="5653" priority="213" operator="equal">
      <formula>0</formula>
    </cfRule>
  </conditionalFormatting>
  <conditionalFormatting sqref="P237:Q237">
    <cfRule type="cellIs" dxfId="5652" priority="212" operator="equal">
      <formula>0</formula>
    </cfRule>
  </conditionalFormatting>
  <conditionalFormatting sqref="P238:Q238">
    <cfRule type="cellIs" dxfId="5651" priority="211" operator="equal">
      <formula>0</formula>
    </cfRule>
  </conditionalFormatting>
  <conditionalFormatting sqref="D242:F253 J242:T253">
    <cfRule type="cellIs" dxfId="5650" priority="210" operator="equal">
      <formula>0</formula>
    </cfRule>
  </conditionalFormatting>
  <conditionalFormatting sqref="D242:F253 J242:T253">
    <cfRule type="containsBlanks" dxfId="5649" priority="209">
      <formula>LEN(TRIM(D242))=0</formula>
    </cfRule>
  </conditionalFormatting>
  <conditionalFormatting sqref="J234">
    <cfRule type="cellIs" dxfId="5648" priority="208" operator="equal">
      <formula>0</formula>
    </cfRule>
  </conditionalFormatting>
  <conditionalFormatting sqref="K234">
    <cfRule type="cellIs" dxfId="5647" priority="207" operator="equal">
      <formula>0</formula>
    </cfRule>
  </conditionalFormatting>
  <conditionalFormatting sqref="L234:M234">
    <cfRule type="cellIs" dxfId="5646" priority="206" operator="equal">
      <formula>0</formula>
    </cfRule>
  </conditionalFormatting>
  <conditionalFormatting sqref="M234">
    <cfRule type="cellIs" dxfId="5645" priority="205" operator="equal">
      <formula>0</formula>
    </cfRule>
  </conditionalFormatting>
  <conditionalFormatting sqref="J234:M234">
    <cfRule type="containsBlanks" dxfId="5644" priority="204">
      <formula>LEN(TRIM(J234))=0</formula>
    </cfRule>
  </conditionalFormatting>
  <conditionalFormatting sqref="P234:Q234">
    <cfRule type="cellIs" dxfId="5643" priority="203" operator="equal">
      <formula>0</formula>
    </cfRule>
  </conditionalFormatting>
  <conditionalFormatting sqref="P234:Q234">
    <cfRule type="cellIs" dxfId="5642" priority="202" operator="equal">
      <formula>0</formula>
    </cfRule>
  </conditionalFormatting>
  <conditionalFormatting sqref="P234:Q234">
    <cfRule type="containsBlanks" dxfId="5641" priority="201">
      <formula>LEN(TRIM(P234))=0</formula>
    </cfRule>
  </conditionalFormatting>
  <conditionalFormatting sqref="H12:H19 H32:H40 H42 G12">
    <cfRule type="cellIs" dxfId="5640" priority="175" operator="equal">
      <formula>0</formula>
    </cfRule>
  </conditionalFormatting>
  <conditionalFormatting sqref="H13:H14">
    <cfRule type="cellIs" dxfId="5639" priority="174" operator="equal">
      <formula>0</formula>
    </cfRule>
  </conditionalFormatting>
  <conditionalFormatting sqref="H41">
    <cfRule type="cellIs" dxfId="5638" priority="173" operator="equal">
      <formula>0</formula>
    </cfRule>
  </conditionalFormatting>
  <conditionalFormatting sqref="H12:H18 H32 H34:H42 G12">
    <cfRule type="containsBlanks" dxfId="5637" priority="172">
      <formula>LEN(TRIM(G12))=0</formula>
    </cfRule>
  </conditionalFormatting>
  <conditionalFormatting sqref="H41">
    <cfRule type="cellIs" dxfId="5636" priority="171" operator="equal">
      <formula>0</formula>
    </cfRule>
  </conditionalFormatting>
  <conditionalFormatting sqref="H20:H31">
    <cfRule type="cellIs" dxfId="5635" priority="170" operator="equal">
      <formula>0</formula>
    </cfRule>
  </conditionalFormatting>
  <conditionalFormatting sqref="H20:H31">
    <cfRule type="containsBlanks" dxfId="5634" priority="169">
      <formula>LEN(TRIM(H20))=0</formula>
    </cfRule>
  </conditionalFormatting>
  <conditionalFormatting sqref="G13:G19 G32:G40 G42">
    <cfRule type="cellIs" dxfId="5633" priority="168" operator="equal">
      <formula>0</formula>
    </cfRule>
  </conditionalFormatting>
  <conditionalFormatting sqref="G13:G14">
    <cfRule type="cellIs" dxfId="5632" priority="167" operator="equal">
      <formula>0</formula>
    </cfRule>
  </conditionalFormatting>
  <conditionalFormatting sqref="G13:G14">
    <cfRule type="cellIs" dxfId="5631" priority="166" operator="equal">
      <formula>0</formula>
    </cfRule>
  </conditionalFormatting>
  <conditionalFormatting sqref="G41">
    <cfRule type="cellIs" dxfId="5630" priority="165" operator="equal">
      <formula>0</formula>
    </cfRule>
  </conditionalFormatting>
  <conditionalFormatting sqref="G13:G18 G34:G42 G32">
    <cfRule type="containsBlanks" dxfId="5629" priority="164">
      <formula>LEN(TRIM(G13))=0</formula>
    </cfRule>
  </conditionalFormatting>
  <conditionalFormatting sqref="G41">
    <cfRule type="cellIs" dxfId="5628" priority="163" operator="equal">
      <formula>0</formula>
    </cfRule>
  </conditionalFormatting>
  <conditionalFormatting sqref="G20:G31">
    <cfRule type="cellIs" dxfId="5627" priority="162" operator="equal">
      <formula>0</formula>
    </cfRule>
  </conditionalFormatting>
  <conditionalFormatting sqref="G20:G31">
    <cfRule type="containsBlanks" dxfId="5626" priority="161">
      <formula>LEN(TRIM(G20))=0</formula>
    </cfRule>
  </conditionalFormatting>
  <conditionalFormatting sqref="I12">
    <cfRule type="cellIs" dxfId="5625" priority="160" operator="equal">
      <formula>0</formula>
    </cfRule>
  </conditionalFormatting>
  <conditionalFormatting sqref="I12">
    <cfRule type="containsBlanks" dxfId="5624" priority="159">
      <formula>LEN(TRIM(I12))=0</formula>
    </cfRule>
  </conditionalFormatting>
  <conditionalFormatting sqref="I13:I19 I32:I40 I42">
    <cfRule type="cellIs" dxfId="5623" priority="158" operator="equal">
      <formula>0</formula>
    </cfRule>
  </conditionalFormatting>
  <conditionalFormatting sqref="I13:I14">
    <cfRule type="cellIs" dxfId="5622" priority="157" operator="equal">
      <formula>0</formula>
    </cfRule>
  </conditionalFormatting>
  <conditionalFormatting sqref="I13:I14">
    <cfRule type="cellIs" dxfId="5621" priority="156" operator="equal">
      <formula>0</formula>
    </cfRule>
  </conditionalFormatting>
  <conditionalFormatting sqref="I41">
    <cfRule type="cellIs" dxfId="5620" priority="155" operator="equal">
      <formula>0</formula>
    </cfRule>
  </conditionalFormatting>
  <conditionalFormatting sqref="I13:I18 I34:I42 I32">
    <cfRule type="containsBlanks" dxfId="5619" priority="154">
      <formula>LEN(TRIM(I13))=0</formula>
    </cfRule>
  </conditionalFormatting>
  <conditionalFormatting sqref="I41">
    <cfRule type="cellIs" dxfId="5618" priority="153" operator="equal">
      <formula>0</formula>
    </cfRule>
  </conditionalFormatting>
  <conditionalFormatting sqref="I20:I31">
    <cfRule type="cellIs" dxfId="5617" priority="152" operator="equal">
      <formula>0</formula>
    </cfRule>
  </conditionalFormatting>
  <conditionalFormatting sqref="I20:I31">
    <cfRule type="containsBlanks" dxfId="5616" priority="151">
      <formula>LEN(TRIM(I20))=0</formula>
    </cfRule>
  </conditionalFormatting>
  <conditionalFormatting sqref="H49:H56 H69:H77 H79 G49">
    <cfRule type="cellIs" dxfId="5615" priority="150" operator="equal">
      <formula>0</formula>
    </cfRule>
  </conditionalFormatting>
  <conditionalFormatting sqref="H50:H51">
    <cfRule type="cellIs" dxfId="5614" priority="149" operator="equal">
      <formula>0</formula>
    </cfRule>
  </conditionalFormatting>
  <conditionalFormatting sqref="H78">
    <cfRule type="cellIs" dxfId="5613" priority="148" operator="equal">
      <formula>0</formula>
    </cfRule>
  </conditionalFormatting>
  <conditionalFormatting sqref="H49:H55 H69 H71:H79 G49">
    <cfRule type="containsBlanks" dxfId="5612" priority="147">
      <formula>LEN(TRIM(G49))=0</formula>
    </cfRule>
  </conditionalFormatting>
  <conditionalFormatting sqref="H78">
    <cfRule type="cellIs" dxfId="5611" priority="146" operator="equal">
      <formula>0</formula>
    </cfRule>
  </conditionalFormatting>
  <conditionalFormatting sqref="H57:H68">
    <cfRule type="cellIs" dxfId="5610" priority="145" operator="equal">
      <formula>0</formula>
    </cfRule>
  </conditionalFormatting>
  <conditionalFormatting sqref="H57:H68">
    <cfRule type="containsBlanks" dxfId="5609" priority="144">
      <formula>LEN(TRIM(H57))=0</formula>
    </cfRule>
  </conditionalFormatting>
  <conditionalFormatting sqref="G50:G56 G69:G77 G79">
    <cfRule type="cellIs" dxfId="5608" priority="143" operator="equal">
      <formula>0</formula>
    </cfRule>
  </conditionalFormatting>
  <conditionalFormatting sqref="G50:G51">
    <cfRule type="cellIs" dxfId="5607" priority="142" operator="equal">
      <formula>0</formula>
    </cfRule>
  </conditionalFormatting>
  <conditionalFormatting sqref="G50:G51">
    <cfRule type="cellIs" dxfId="5606" priority="141" operator="equal">
      <formula>0</formula>
    </cfRule>
  </conditionalFormatting>
  <conditionalFormatting sqref="G78">
    <cfRule type="cellIs" dxfId="5605" priority="140" operator="equal">
      <formula>0</formula>
    </cfRule>
  </conditionalFormatting>
  <conditionalFormatting sqref="G50:G55 G71:G79 G69">
    <cfRule type="containsBlanks" dxfId="5604" priority="139">
      <formula>LEN(TRIM(G50))=0</formula>
    </cfRule>
  </conditionalFormatting>
  <conditionalFormatting sqref="G78">
    <cfRule type="cellIs" dxfId="5603" priority="138" operator="equal">
      <formula>0</formula>
    </cfRule>
  </conditionalFormatting>
  <conditionalFormatting sqref="G57:G68">
    <cfRule type="cellIs" dxfId="5602" priority="137" operator="equal">
      <formula>0</formula>
    </cfRule>
  </conditionalFormatting>
  <conditionalFormatting sqref="G57:G68">
    <cfRule type="containsBlanks" dxfId="5601" priority="136">
      <formula>LEN(TRIM(G57))=0</formula>
    </cfRule>
  </conditionalFormatting>
  <conditionalFormatting sqref="I49">
    <cfRule type="cellIs" dxfId="5600" priority="135" operator="equal">
      <formula>0</formula>
    </cfRule>
  </conditionalFormatting>
  <conditionalFormatting sqref="I49">
    <cfRule type="containsBlanks" dxfId="5599" priority="134">
      <formula>LEN(TRIM(I49))=0</formula>
    </cfRule>
  </conditionalFormatting>
  <conditionalFormatting sqref="I50:I56 I69:I77 I79">
    <cfRule type="cellIs" dxfId="5598" priority="133" operator="equal">
      <formula>0</formula>
    </cfRule>
  </conditionalFormatting>
  <conditionalFormatting sqref="I50:I51">
    <cfRule type="cellIs" dxfId="5597" priority="132" operator="equal">
      <formula>0</formula>
    </cfRule>
  </conditionalFormatting>
  <conditionalFormatting sqref="I50:I51">
    <cfRule type="cellIs" dxfId="5596" priority="131" operator="equal">
      <formula>0</formula>
    </cfRule>
  </conditionalFormatting>
  <conditionalFormatting sqref="I78">
    <cfRule type="cellIs" dxfId="5595" priority="130" operator="equal">
      <formula>0</formula>
    </cfRule>
  </conditionalFormatting>
  <conditionalFormatting sqref="I50:I55 I71:I79 I69">
    <cfRule type="containsBlanks" dxfId="5594" priority="129">
      <formula>LEN(TRIM(I50))=0</formula>
    </cfRule>
  </conditionalFormatting>
  <conditionalFormatting sqref="I78">
    <cfRule type="cellIs" dxfId="5593" priority="128" operator="equal">
      <formula>0</formula>
    </cfRule>
  </conditionalFormatting>
  <conditionalFormatting sqref="I57:I68">
    <cfRule type="cellIs" dxfId="5592" priority="127" operator="equal">
      <formula>0</formula>
    </cfRule>
  </conditionalFormatting>
  <conditionalFormatting sqref="I57:I68">
    <cfRule type="containsBlanks" dxfId="5591" priority="126">
      <formula>LEN(TRIM(I57))=0</formula>
    </cfRule>
  </conditionalFormatting>
  <conditionalFormatting sqref="H86:H93 H106:H114 H116 G86">
    <cfRule type="cellIs" dxfId="5590" priority="125" operator="equal">
      <formula>0</formula>
    </cfRule>
  </conditionalFormatting>
  <conditionalFormatting sqref="H87:H88">
    <cfRule type="cellIs" dxfId="5589" priority="124" operator="equal">
      <formula>0</formula>
    </cfRule>
  </conditionalFormatting>
  <conditionalFormatting sqref="H115">
    <cfRule type="cellIs" dxfId="5588" priority="123" operator="equal">
      <formula>0</formula>
    </cfRule>
  </conditionalFormatting>
  <conditionalFormatting sqref="H86:H92 H106 H108:H116 G86">
    <cfRule type="containsBlanks" dxfId="5587" priority="122">
      <formula>LEN(TRIM(G86))=0</formula>
    </cfRule>
  </conditionalFormatting>
  <conditionalFormatting sqref="H115">
    <cfRule type="cellIs" dxfId="5586" priority="121" operator="equal">
      <formula>0</formula>
    </cfRule>
  </conditionalFormatting>
  <conditionalFormatting sqref="H94:H105">
    <cfRule type="cellIs" dxfId="5585" priority="120" operator="equal">
      <formula>0</formula>
    </cfRule>
  </conditionalFormatting>
  <conditionalFormatting sqref="H94:H105">
    <cfRule type="containsBlanks" dxfId="5584" priority="119">
      <formula>LEN(TRIM(H94))=0</formula>
    </cfRule>
  </conditionalFormatting>
  <conditionalFormatting sqref="G87:G93 G106:G114 G116">
    <cfRule type="cellIs" dxfId="5583" priority="118" operator="equal">
      <formula>0</formula>
    </cfRule>
  </conditionalFormatting>
  <conditionalFormatting sqref="G87:G88">
    <cfRule type="cellIs" dxfId="5582" priority="117" operator="equal">
      <formula>0</formula>
    </cfRule>
  </conditionalFormatting>
  <conditionalFormatting sqref="G87:G88">
    <cfRule type="cellIs" dxfId="5581" priority="116" operator="equal">
      <formula>0</formula>
    </cfRule>
  </conditionalFormatting>
  <conditionalFormatting sqref="G115">
    <cfRule type="cellIs" dxfId="5580" priority="115" operator="equal">
      <formula>0</formula>
    </cfRule>
  </conditionalFormatting>
  <conditionalFormatting sqref="G87:G92 G108:G116 G106">
    <cfRule type="containsBlanks" dxfId="5579" priority="114">
      <formula>LEN(TRIM(G87))=0</formula>
    </cfRule>
  </conditionalFormatting>
  <conditionalFormatting sqref="G115">
    <cfRule type="cellIs" dxfId="5578" priority="113" operator="equal">
      <formula>0</formula>
    </cfRule>
  </conditionalFormatting>
  <conditionalFormatting sqref="G94:G105">
    <cfRule type="cellIs" dxfId="5577" priority="112" operator="equal">
      <formula>0</formula>
    </cfRule>
  </conditionalFormatting>
  <conditionalFormatting sqref="G94:G105">
    <cfRule type="containsBlanks" dxfId="5576" priority="111">
      <formula>LEN(TRIM(G94))=0</formula>
    </cfRule>
  </conditionalFormatting>
  <conditionalFormatting sqref="I86">
    <cfRule type="cellIs" dxfId="5575" priority="110" operator="equal">
      <formula>0</formula>
    </cfRule>
  </conditionalFormatting>
  <conditionalFormatting sqref="I86">
    <cfRule type="containsBlanks" dxfId="5574" priority="109">
      <formula>LEN(TRIM(I86))=0</formula>
    </cfRule>
  </conditionalFormatting>
  <conditionalFormatting sqref="I87:I93 I106:I114 I116">
    <cfRule type="cellIs" dxfId="5573" priority="108" operator="equal">
      <formula>0</formula>
    </cfRule>
  </conditionalFormatting>
  <conditionalFormatting sqref="I87:I88">
    <cfRule type="cellIs" dxfId="5572" priority="107" operator="equal">
      <formula>0</formula>
    </cfRule>
  </conditionalFormatting>
  <conditionalFormatting sqref="I87:I88">
    <cfRule type="cellIs" dxfId="5571" priority="106" operator="equal">
      <formula>0</formula>
    </cfRule>
  </conditionalFormatting>
  <conditionalFormatting sqref="I115">
    <cfRule type="cellIs" dxfId="5570" priority="105" operator="equal">
      <formula>0</formula>
    </cfRule>
  </conditionalFormatting>
  <conditionalFormatting sqref="I87:I92 I108:I116 I106">
    <cfRule type="containsBlanks" dxfId="5569" priority="104">
      <formula>LEN(TRIM(I87))=0</formula>
    </cfRule>
  </conditionalFormatting>
  <conditionalFormatting sqref="I115">
    <cfRule type="cellIs" dxfId="5568" priority="103" operator="equal">
      <formula>0</formula>
    </cfRule>
  </conditionalFormatting>
  <conditionalFormatting sqref="I94:I105">
    <cfRule type="cellIs" dxfId="5567" priority="102" operator="equal">
      <formula>0</formula>
    </cfRule>
  </conditionalFormatting>
  <conditionalFormatting sqref="I94:I105">
    <cfRule type="containsBlanks" dxfId="5566" priority="101">
      <formula>LEN(TRIM(I94))=0</formula>
    </cfRule>
  </conditionalFormatting>
  <conditionalFormatting sqref="H123:H130 H143:H151 H153 G123">
    <cfRule type="cellIs" dxfId="5565" priority="100" operator="equal">
      <formula>0</formula>
    </cfRule>
  </conditionalFormatting>
  <conditionalFormatting sqref="H124:H125">
    <cfRule type="cellIs" dxfId="5564" priority="99" operator="equal">
      <formula>0</formula>
    </cfRule>
  </conditionalFormatting>
  <conditionalFormatting sqref="H152">
    <cfRule type="cellIs" dxfId="5563" priority="98" operator="equal">
      <formula>0</formula>
    </cfRule>
  </conditionalFormatting>
  <conditionalFormatting sqref="H123:H129 H143 H145:H153 G123">
    <cfRule type="containsBlanks" dxfId="5562" priority="97">
      <formula>LEN(TRIM(G123))=0</formula>
    </cfRule>
  </conditionalFormatting>
  <conditionalFormatting sqref="H152">
    <cfRule type="cellIs" dxfId="5561" priority="96" operator="equal">
      <formula>0</formula>
    </cfRule>
  </conditionalFormatting>
  <conditionalFormatting sqref="H131:H142">
    <cfRule type="cellIs" dxfId="5560" priority="95" operator="equal">
      <formula>0</formula>
    </cfRule>
  </conditionalFormatting>
  <conditionalFormatting sqref="H131:H142">
    <cfRule type="containsBlanks" dxfId="5559" priority="94">
      <formula>LEN(TRIM(H131))=0</formula>
    </cfRule>
  </conditionalFormatting>
  <conditionalFormatting sqref="G124:G130 G143:G151 G153">
    <cfRule type="cellIs" dxfId="5558" priority="93" operator="equal">
      <formula>0</formula>
    </cfRule>
  </conditionalFormatting>
  <conditionalFormatting sqref="G124:G125">
    <cfRule type="cellIs" dxfId="5557" priority="92" operator="equal">
      <formula>0</formula>
    </cfRule>
  </conditionalFormatting>
  <conditionalFormatting sqref="G124:G125">
    <cfRule type="cellIs" dxfId="5556" priority="91" operator="equal">
      <formula>0</formula>
    </cfRule>
  </conditionalFormatting>
  <conditionalFormatting sqref="G152">
    <cfRule type="cellIs" dxfId="5555" priority="90" operator="equal">
      <formula>0</formula>
    </cfRule>
  </conditionalFormatting>
  <conditionalFormatting sqref="G124:G129 G145:G153 G143">
    <cfRule type="containsBlanks" dxfId="5554" priority="89">
      <formula>LEN(TRIM(G124))=0</formula>
    </cfRule>
  </conditionalFormatting>
  <conditionalFormatting sqref="G152">
    <cfRule type="cellIs" dxfId="5553" priority="88" operator="equal">
      <formula>0</formula>
    </cfRule>
  </conditionalFormatting>
  <conditionalFormatting sqref="G131:G142">
    <cfRule type="cellIs" dxfId="5552" priority="87" operator="equal">
      <formula>0</formula>
    </cfRule>
  </conditionalFormatting>
  <conditionalFormatting sqref="G131:G142">
    <cfRule type="containsBlanks" dxfId="5551" priority="86">
      <formula>LEN(TRIM(G131))=0</formula>
    </cfRule>
  </conditionalFormatting>
  <conditionalFormatting sqref="I123">
    <cfRule type="cellIs" dxfId="5550" priority="85" operator="equal">
      <formula>0</formula>
    </cfRule>
  </conditionalFormatting>
  <conditionalFormatting sqref="I123">
    <cfRule type="containsBlanks" dxfId="5549" priority="84">
      <formula>LEN(TRIM(I123))=0</formula>
    </cfRule>
  </conditionalFormatting>
  <conditionalFormatting sqref="I124:I130 I143:I151 I153">
    <cfRule type="cellIs" dxfId="5548" priority="83" operator="equal">
      <formula>0</formula>
    </cfRule>
  </conditionalFormatting>
  <conditionalFormatting sqref="I124:I125">
    <cfRule type="cellIs" dxfId="5547" priority="82" operator="equal">
      <formula>0</formula>
    </cfRule>
  </conditionalFormatting>
  <conditionalFormatting sqref="I124:I125">
    <cfRule type="cellIs" dxfId="5546" priority="81" operator="equal">
      <formula>0</formula>
    </cfRule>
  </conditionalFormatting>
  <conditionalFormatting sqref="I152">
    <cfRule type="cellIs" dxfId="5545" priority="80" operator="equal">
      <formula>0</formula>
    </cfRule>
  </conditionalFormatting>
  <conditionalFormatting sqref="I124:I129 I145:I153 I143">
    <cfRule type="containsBlanks" dxfId="5544" priority="79">
      <formula>LEN(TRIM(I124))=0</formula>
    </cfRule>
  </conditionalFormatting>
  <conditionalFormatting sqref="I152">
    <cfRule type="cellIs" dxfId="5543" priority="78" operator="equal">
      <formula>0</formula>
    </cfRule>
  </conditionalFormatting>
  <conditionalFormatting sqref="I131:I142">
    <cfRule type="cellIs" dxfId="5542" priority="77" operator="equal">
      <formula>0</formula>
    </cfRule>
  </conditionalFormatting>
  <conditionalFormatting sqref="I131:I142">
    <cfRule type="containsBlanks" dxfId="5541" priority="76">
      <formula>LEN(TRIM(I131))=0</formula>
    </cfRule>
  </conditionalFormatting>
  <conditionalFormatting sqref="H160:H167 H180:H188 H190 G160">
    <cfRule type="cellIs" dxfId="5540" priority="75" operator="equal">
      <formula>0</formula>
    </cfRule>
  </conditionalFormatting>
  <conditionalFormatting sqref="H161:H162">
    <cfRule type="cellIs" dxfId="5539" priority="74" operator="equal">
      <formula>0</formula>
    </cfRule>
  </conditionalFormatting>
  <conditionalFormatting sqref="H189">
    <cfRule type="cellIs" dxfId="5538" priority="73" operator="equal">
      <formula>0</formula>
    </cfRule>
  </conditionalFormatting>
  <conditionalFormatting sqref="H160:H166 H180 H182:H190 G160">
    <cfRule type="containsBlanks" dxfId="5537" priority="72">
      <formula>LEN(TRIM(G160))=0</formula>
    </cfRule>
  </conditionalFormatting>
  <conditionalFormatting sqref="H189">
    <cfRule type="cellIs" dxfId="5536" priority="71" operator="equal">
      <formula>0</formula>
    </cfRule>
  </conditionalFormatting>
  <conditionalFormatting sqref="H168:H179">
    <cfRule type="cellIs" dxfId="5535" priority="70" operator="equal">
      <formula>0</formula>
    </cfRule>
  </conditionalFormatting>
  <conditionalFormatting sqref="H168:H179">
    <cfRule type="containsBlanks" dxfId="5534" priority="69">
      <formula>LEN(TRIM(H168))=0</formula>
    </cfRule>
  </conditionalFormatting>
  <conditionalFormatting sqref="G161:G167 G180:G188 G190">
    <cfRule type="cellIs" dxfId="5533" priority="68" operator="equal">
      <formula>0</formula>
    </cfRule>
  </conditionalFormatting>
  <conditionalFormatting sqref="G161:G162">
    <cfRule type="cellIs" dxfId="5532" priority="67" operator="equal">
      <formula>0</formula>
    </cfRule>
  </conditionalFormatting>
  <conditionalFormatting sqref="G161:G162">
    <cfRule type="cellIs" dxfId="5531" priority="66" operator="equal">
      <formula>0</formula>
    </cfRule>
  </conditionalFormatting>
  <conditionalFormatting sqref="G189">
    <cfRule type="cellIs" dxfId="5530" priority="65" operator="equal">
      <formula>0</formula>
    </cfRule>
  </conditionalFormatting>
  <conditionalFormatting sqref="G161:G166 G182:G190 G180">
    <cfRule type="containsBlanks" dxfId="5529" priority="64">
      <formula>LEN(TRIM(G161))=0</formula>
    </cfRule>
  </conditionalFormatting>
  <conditionalFormatting sqref="G189">
    <cfRule type="cellIs" dxfId="5528" priority="63" operator="equal">
      <formula>0</formula>
    </cfRule>
  </conditionalFormatting>
  <conditionalFormatting sqref="G168:G179">
    <cfRule type="cellIs" dxfId="5527" priority="62" operator="equal">
      <formula>0</formula>
    </cfRule>
  </conditionalFormatting>
  <conditionalFormatting sqref="G168:G179">
    <cfRule type="containsBlanks" dxfId="5526" priority="61">
      <formula>LEN(TRIM(G168))=0</formula>
    </cfRule>
  </conditionalFormatting>
  <conditionalFormatting sqref="I160">
    <cfRule type="cellIs" dxfId="5525" priority="60" operator="equal">
      <formula>0</formula>
    </cfRule>
  </conditionalFormatting>
  <conditionalFormatting sqref="I160">
    <cfRule type="containsBlanks" dxfId="5524" priority="59">
      <formula>LEN(TRIM(I160))=0</formula>
    </cfRule>
  </conditionalFormatting>
  <conditionalFormatting sqref="I161:I167 I180:I188 I190">
    <cfRule type="cellIs" dxfId="5523" priority="58" operator="equal">
      <formula>0</formula>
    </cfRule>
  </conditionalFormatting>
  <conditionalFormatting sqref="I161:I162">
    <cfRule type="cellIs" dxfId="5522" priority="57" operator="equal">
      <formula>0</formula>
    </cfRule>
  </conditionalFormatting>
  <conditionalFormatting sqref="I161:I162">
    <cfRule type="cellIs" dxfId="5521" priority="56" operator="equal">
      <formula>0</formula>
    </cfRule>
  </conditionalFormatting>
  <conditionalFormatting sqref="I189">
    <cfRule type="cellIs" dxfId="5520" priority="55" operator="equal">
      <formula>0</formula>
    </cfRule>
  </conditionalFormatting>
  <conditionalFormatting sqref="I161:I166 I182:I190 I180">
    <cfRule type="containsBlanks" dxfId="5519" priority="54">
      <formula>LEN(TRIM(I161))=0</formula>
    </cfRule>
  </conditionalFormatting>
  <conditionalFormatting sqref="I189">
    <cfRule type="cellIs" dxfId="5518" priority="53" operator="equal">
      <formula>0</formula>
    </cfRule>
  </conditionalFormatting>
  <conditionalFormatting sqref="I168:I179">
    <cfRule type="cellIs" dxfId="5517" priority="52" operator="equal">
      <formula>0</formula>
    </cfRule>
  </conditionalFormatting>
  <conditionalFormatting sqref="I168:I179">
    <cfRule type="containsBlanks" dxfId="5516" priority="51">
      <formula>LEN(TRIM(I168))=0</formula>
    </cfRule>
  </conditionalFormatting>
  <conditionalFormatting sqref="H197:H204 H217:H225 H227 G197">
    <cfRule type="cellIs" dxfId="5515" priority="50" operator="equal">
      <formula>0</formula>
    </cfRule>
  </conditionalFormatting>
  <conditionalFormatting sqref="H198:H199">
    <cfRule type="cellIs" dxfId="5514" priority="49" operator="equal">
      <formula>0</formula>
    </cfRule>
  </conditionalFormatting>
  <conditionalFormatting sqref="H226">
    <cfRule type="cellIs" dxfId="5513" priority="48" operator="equal">
      <formula>0</formula>
    </cfRule>
  </conditionalFormatting>
  <conditionalFormatting sqref="H197:H203 H217 H219:H227 G197">
    <cfRule type="containsBlanks" dxfId="5512" priority="47">
      <formula>LEN(TRIM(G197))=0</formula>
    </cfRule>
  </conditionalFormatting>
  <conditionalFormatting sqref="H226">
    <cfRule type="cellIs" dxfId="5511" priority="46" operator="equal">
      <formula>0</formula>
    </cfRule>
  </conditionalFormatting>
  <conditionalFormatting sqref="H205:H216">
    <cfRule type="cellIs" dxfId="5510" priority="45" operator="equal">
      <formula>0</formula>
    </cfRule>
  </conditionalFormatting>
  <conditionalFormatting sqref="H205:H216">
    <cfRule type="containsBlanks" dxfId="5509" priority="44">
      <formula>LEN(TRIM(H205))=0</formula>
    </cfRule>
  </conditionalFormatting>
  <conditionalFormatting sqref="G198:G204 G217:G225 G227">
    <cfRule type="cellIs" dxfId="5508" priority="43" operator="equal">
      <formula>0</formula>
    </cfRule>
  </conditionalFormatting>
  <conditionalFormatting sqref="G198:G199">
    <cfRule type="cellIs" dxfId="5507" priority="42" operator="equal">
      <formula>0</formula>
    </cfRule>
  </conditionalFormatting>
  <conditionalFormatting sqref="G198:G199">
    <cfRule type="cellIs" dxfId="5506" priority="41" operator="equal">
      <formula>0</formula>
    </cfRule>
  </conditionalFormatting>
  <conditionalFormatting sqref="G226">
    <cfRule type="cellIs" dxfId="5505" priority="40" operator="equal">
      <formula>0</formula>
    </cfRule>
  </conditionalFormatting>
  <conditionalFormatting sqref="G198:G203 G219:G227 G217">
    <cfRule type="containsBlanks" dxfId="5504" priority="39">
      <formula>LEN(TRIM(G198))=0</formula>
    </cfRule>
  </conditionalFormatting>
  <conditionalFormatting sqref="G226">
    <cfRule type="cellIs" dxfId="5503" priority="38" operator="equal">
      <formula>0</formula>
    </cfRule>
  </conditionalFormatting>
  <conditionalFormatting sqref="G205:G216">
    <cfRule type="cellIs" dxfId="5502" priority="37" operator="equal">
      <formula>0</formula>
    </cfRule>
  </conditionalFormatting>
  <conditionalFormatting sqref="G205:G216">
    <cfRule type="containsBlanks" dxfId="5501" priority="36">
      <formula>LEN(TRIM(G205))=0</formula>
    </cfRule>
  </conditionalFormatting>
  <conditionalFormatting sqref="I197">
    <cfRule type="cellIs" dxfId="5500" priority="35" operator="equal">
      <formula>0</formula>
    </cfRule>
  </conditionalFormatting>
  <conditionalFormatting sqref="I197">
    <cfRule type="containsBlanks" dxfId="5499" priority="34">
      <formula>LEN(TRIM(I197))=0</formula>
    </cfRule>
  </conditionalFormatting>
  <conditionalFormatting sqref="I198:I204 I217:I225 I227">
    <cfRule type="cellIs" dxfId="5498" priority="33" operator="equal">
      <formula>0</formula>
    </cfRule>
  </conditionalFormatting>
  <conditionalFormatting sqref="I198:I199">
    <cfRule type="cellIs" dxfId="5497" priority="32" operator="equal">
      <formula>0</formula>
    </cfRule>
  </conditionalFormatting>
  <conditionalFormatting sqref="I198:I199">
    <cfRule type="cellIs" dxfId="5496" priority="31" operator="equal">
      <formula>0</formula>
    </cfRule>
  </conditionalFormatting>
  <conditionalFormatting sqref="I226">
    <cfRule type="cellIs" dxfId="5495" priority="30" operator="equal">
      <formula>0</formula>
    </cfRule>
  </conditionalFormatting>
  <conditionalFormatting sqref="I198:I203 I219:I227 I217">
    <cfRule type="containsBlanks" dxfId="5494" priority="29">
      <formula>LEN(TRIM(I198))=0</formula>
    </cfRule>
  </conditionalFormatting>
  <conditionalFormatting sqref="I226">
    <cfRule type="cellIs" dxfId="5493" priority="28" operator="equal">
      <formula>0</formula>
    </cfRule>
  </conditionalFormatting>
  <conditionalFormatting sqref="I205:I216">
    <cfRule type="cellIs" dxfId="5492" priority="27" operator="equal">
      <formula>0</formula>
    </cfRule>
  </conditionalFormatting>
  <conditionalFormatting sqref="I205:I216">
    <cfRule type="containsBlanks" dxfId="5491" priority="26">
      <formula>LEN(TRIM(I205))=0</formula>
    </cfRule>
  </conditionalFormatting>
  <conditionalFormatting sqref="H234:H241 H254:H262 H264 G234">
    <cfRule type="cellIs" dxfId="5490" priority="25" operator="equal">
      <formula>0</formula>
    </cfRule>
  </conditionalFormatting>
  <conditionalFormatting sqref="H235:H236">
    <cfRule type="cellIs" dxfId="5489" priority="24" operator="equal">
      <formula>0</formula>
    </cfRule>
  </conditionalFormatting>
  <conditionalFormatting sqref="H263">
    <cfRule type="cellIs" dxfId="5488" priority="23" operator="equal">
      <formula>0</formula>
    </cfRule>
  </conditionalFormatting>
  <conditionalFormatting sqref="H234:H240 H254 H256:H264 G234">
    <cfRule type="containsBlanks" dxfId="5487" priority="22">
      <formula>LEN(TRIM(G234))=0</formula>
    </cfRule>
  </conditionalFormatting>
  <conditionalFormatting sqref="H263">
    <cfRule type="cellIs" dxfId="5486" priority="21" operator="equal">
      <formula>0</formula>
    </cfRule>
  </conditionalFormatting>
  <conditionalFormatting sqref="H242:H253">
    <cfRule type="cellIs" dxfId="5485" priority="20" operator="equal">
      <formula>0</formula>
    </cfRule>
  </conditionalFormatting>
  <conditionalFormatting sqref="H242:H253">
    <cfRule type="containsBlanks" dxfId="5484" priority="19">
      <formula>LEN(TRIM(H242))=0</formula>
    </cfRule>
  </conditionalFormatting>
  <conditionalFormatting sqref="G235:G241 G254:G262 G264">
    <cfRule type="cellIs" dxfId="5483" priority="18" operator="equal">
      <formula>0</formula>
    </cfRule>
  </conditionalFormatting>
  <conditionalFormatting sqref="G235:G236">
    <cfRule type="cellIs" dxfId="5482" priority="17" operator="equal">
      <formula>0</formula>
    </cfRule>
  </conditionalFormatting>
  <conditionalFormatting sqref="G235:G236">
    <cfRule type="cellIs" dxfId="5481" priority="16" operator="equal">
      <formula>0</formula>
    </cfRule>
  </conditionalFormatting>
  <conditionalFormatting sqref="G263">
    <cfRule type="cellIs" dxfId="5480" priority="15" operator="equal">
      <formula>0</formula>
    </cfRule>
  </conditionalFormatting>
  <conditionalFormatting sqref="G235:G240 G256:G264 G254">
    <cfRule type="containsBlanks" dxfId="5479" priority="14">
      <formula>LEN(TRIM(G235))=0</formula>
    </cfRule>
  </conditionalFormatting>
  <conditionalFormatting sqref="G263">
    <cfRule type="cellIs" dxfId="5478" priority="13" operator="equal">
      <formula>0</formula>
    </cfRule>
  </conditionalFormatting>
  <conditionalFormatting sqref="G242:G253">
    <cfRule type="cellIs" dxfId="5477" priority="12" operator="equal">
      <formula>0</formula>
    </cfRule>
  </conditionalFormatting>
  <conditionalFormatting sqref="G242:G253">
    <cfRule type="containsBlanks" dxfId="5476" priority="11">
      <formula>LEN(TRIM(G242))=0</formula>
    </cfRule>
  </conditionalFormatting>
  <conditionalFormatting sqref="I234">
    <cfRule type="cellIs" dxfId="5475" priority="10" operator="equal">
      <formula>0</formula>
    </cfRule>
  </conditionalFormatting>
  <conditionalFormatting sqref="I234">
    <cfRule type="containsBlanks" dxfId="5474" priority="9">
      <formula>LEN(TRIM(I234))=0</formula>
    </cfRule>
  </conditionalFormatting>
  <conditionalFormatting sqref="I235:I241 I254:I262 I264">
    <cfRule type="cellIs" dxfId="5473" priority="8" operator="equal">
      <formula>0</formula>
    </cfRule>
  </conditionalFormatting>
  <conditionalFormatting sqref="I235:I236">
    <cfRule type="cellIs" dxfId="5472" priority="7" operator="equal">
      <formula>0</formula>
    </cfRule>
  </conditionalFormatting>
  <conditionalFormatting sqref="I235:I236">
    <cfRule type="cellIs" dxfId="5471" priority="6" operator="equal">
      <formula>0</formula>
    </cfRule>
  </conditionalFormatting>
  <conditionalFormatting sqref="I263">
    <cfRule type="cellIs" dxfId="5470" priority="5" operator="equal">
      <formula>0</formula>
    </cfRule>
  </conditionalFormatting>
  <conditionalFormatting sqref="I235:I240 I256:I264 I254">
    <cfRule type="containsBlanks" dxfId="5469" priority="4">
      <formula>LEN(TRIM(I235))=0</formula>
    </cfRule>
  </conditionalFormatting>
  <conditionalFormatting sqref="I263">
    <cfRule type="cellIs" dxfId="5468" priority="3" operator="equal">
      <formula>0</formula>
    </cfRule>
  </conditionalFormatting>
  <conditionalFormatting sqref="I242:I253">
    <cfRule type="cellIs" dxfId="5467" priority="2" operator="equal">
      <formula>0</formula>
    </cfRule>
  </conditionalFormatting>
  <conditionalFormatting sqref="I242:I253">
    <cfRule type="containsBlanks" dxfId="5466" priority="1">
      <formula>LEN(TRIM(I242))=0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4D7D-CB4B-4B8B-9FF5-B471B1F0A682}">
  <dimension ref="C3:U229"/>
  <sheetViews>
    <sheetView topLeftCell="A9"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361</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5.8150000000000004</v>
      </c>
      <c r="F12" s="663">
        <v>0</v>
      </c>
      <c r="G12" s="663">
        <v>0</v>
      </c>
      <c r="H12" s="663">
        <v>9.3040000000000012E-2</v>
      </c>
      <c r="I12" s="663">
        <v>0</v>
      </c>
      <c r="J12" s="664">
        <v>962.45197015227166</v>
      </c>
      <c r="K12" s="664">
        <v>267.5000244841633</v>
      </c>
      <c r="L12" s="664">
        <v>267.72778932192256</v>
      </c>
      <c r="M12" s="664">
        <v>26.714360415666448</v>
      </c>
      <c r="N12" s="663">
        <v>1.5151391983163085</v>
      </c>
      <c r="O12" s="663">
        <v>0.16086233431790645</v>
      </c>
      <c r="P12" s="664">
        <v>114.79412791174752</v>
      </c>
      <c r="Q12" s="664">
        <v>17.865639972874789</v>
      </c>
      <c r="R12" s="663">
        <v>0</v>
      </c>
      <c r="S12" s="663">
        <v>0</v>
      </c>
      <c r="T12" s="663">
        <v>0</v>
      </c>
      <c r="U12" s="665">
        <v>1664.6379537912806</v>
      </c>
    </row>
    <row r="13" spans="3:21" ht="13">
      <c r="C13" s="662" t="s">
        <v>60</v>
      </c>
      <c r="D13" s="663">
        <v>16.178882267256224</v>
      </c>
      <c r="E13" s="663">
        <v>338.94665094130841</v>
      </c>
      <c r="F13" s="663">
        <v>53.154703213153105</v>
      </c>
      <c r="G13" s="663">
        <v>0.84709048921241781</v>
      </c>
      <c r="H13" s="663">
        <v>154.95460842815714</v>
      </c>
      <c r="I13" s="663">
        <v>0</v>
      </c>
      <c r="J13" s="663">
        <v>0</v>
      </c>
      <c r="K13" s="663">
        <v>0</v>
      </c>
      <c r="L13" s="663">
        <v>3.3497189577114872</v>
      </c>
      <c r="M13" s="663">
        <v>0</v>
      </c>
      <c r="N13" s="663">
        <v>3.7248932526167962</v>
      </c>
      <c r="O13" s="663">
        <v>0</v>
      </c>
      <c r="P13" s="663">
        <v>0</v>
      </c>
      <c r="Q13" s="663">
        <v>0</v>
      </c>
      <c r="R13" s="663">
        <v>0</v>
      </c>
      <c r="S13" s="663">
        <v>0</v>
      </c>
      <c r="T13" s="663">
        <v>0</v>
      </c>
      <c r="U13" s="665">
        <v>571.15654754941545</v>
      </c>
    </row>
    <row r="14" spans="3:21" ht="13">
      <c r="C14" s="662" t="s">
        <v>61</v>
      </c>
      <c r="D14" s="663">
        <v>0</v>
      </c>
      <c r="E14" s="663">
        <v>0</v>
      </c>
      <c r="F14" s="663">
        <v>-0.33572040479024756</v>
      </c>
      <c r="G14" s="663">
        <v>0</v>
      </c>
      <c r="H14" s="663">
        <v>0</v>
      </c>
      <c r="I14" s="663">
        <v>0</v>
      </c>
      <c r="J14" s="663">
        <v>0</v>
      </c>
      <c r="K14" s="663">
        <v>0</v>
      </c>
      <c r="L14" s="663">
        <v>0</v>
      </c>
      <c r="M14" s="663">
        <v>0</v>
      </c>
      <c r="N14" s="663">
        <v>0</v>
      </c>
      <c r="O14" s="663">
        <v>0</v>
      </c>
      <c r="P14" s="663">
        <v>0</v>
      </c>
      <c r="Q14" s="663">
        <v>0</v>
      </c>
      <c r="R14" s="663">
        <v>-40.000125067890167</v>
      </c>
      <c r="S14" s="663">
        <v>0</v>
      </c>
      <c r="T14" s="663">
        <v>0</v>
      </c>
      <c r="U14" s="665">
        <v>-40.335845472680411</v>
      </c>
    </row>
    <row r="15" spans="3:21" ht="13">
      <c r="C15" s="662" t="s">
        <v>62</v>
      </c>
      <c r="D15" s="663">
        <v>0</v>
      </c>
      <c r="E15" s="663">
        <v>0</v>
      </c>
      <c r="F15" s="663">
        <v>-12.959356122819004</v>
      </c>
      <c r="G15" s="663">
        <v>-1.1745589556928391</v>
      </c>
      <c r="H15" s="663">
        <v>-1.8985906548092106</v>
      </c>
      <c r="I15" s="663">
        <v>0</v>
      </c>
      <c r="J15" s="663">
        <v>0</v>
      </c>
      <c r="K15" s="663">
        <v>0</v>
      </c>
      <c r="L15" s="663">
        <v>0</v>
      </c>
      <c r="M15" s="663">
        <v>0</v>
      </c>
      <c r="N15" s="663">
        <v>-0.50338240958264524</v>
      </c>
      <c r="O15" s="663">
        <v>-0.70221846136779031</v>
      </c>
      <c r="P15" s="663">
        <v>0</v>
      </c>
      <c r="Q15" s="663">
        <v>0</v>
      </c>
      <c r="R15" s="663">
        <v>0</v>
      </c>
      <c r="S15" s="663">
        <v>0</v>
      </c>
      <c r="T15" s="663">
        <v>0</v>
      </c>
      <c r="U15" s="665">
        <v>-17.23810660427149</v>
      </c>
    </row>
    <row r="16" spans="3:21" ht="13">
      <c r="C16" s="662" t="s">
        <v>63</v>
      </c>
      <c r="D16" s="663">
        <v>0</v>
      </c>
      <c r="E16" s="663">
        <v>0</v>
      </c>
      <c r="F16" s="663">
        <v>-60.220777612804881</v>
      </c>
      <c r="G16" s="663">
        <v>-3.9749070731502325</v>
      </c>
      <c r="H16" s="663">
        <v>0</v>
      </c>
      <c r="I16" s="663">
        <v>0</v>
      </c>
      <c r="J16" s="663">
        <v>0</v>
      </c>
      <c r="K16" s="663">
        <v>0</v>
      </c>
      <c r="L16" s="663">
        <v>0</v>
      </c>
      <c r="M16" s="663">
        <v>0</v>
      </c>
      <c r="N16" s="663">
        <v>-11.924721219450698</v>
      </c>
      <c r="O16" s="663">
        <v>0</v>
      </c>
      <c r="P16" s="663">
        <v>0</v>
      </c>
      <c r="Q16" s="663">
        <v>0</v>
      </c>
      <c r="R16" s="663">
        <v>0</v>
      </c>
      <c r="S16" s="663">
        <v>0</v>
      </c>
      <c r="T16" s="663">
        <v>-0.14322207633849007</v>
      </c>
      <c r="U16" s="665">
        <v>-76.263627981744307</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16.178882267256224</v>
      </c>
      <c r="E18" s="667">
        <v>344.7616509413084</v>
      </c>
      <c r="F18" s="667">
        <v>-20.361150927261026</v>
      </c>
      <c r="G18" s="667">
        <v>-4.3023755396306536</v>
      </c>
      <c r="H18" s="675">
        <v>153.14905777334795</v>
      </c>
      <c r="I18" s="667">
        <v>0</v>
      </c>
      <c r="J18" s="667">
        <v>962.45197015227166</v>
      </c>
      <c r="K18" s="667">
        <v>267.5000244841633</v>
      </c>
      <c r="L18" s="667">
        <v>271.07750827963406</v>
      </c>
      <c r="M18" s="667">
        <v>26.714360415666448</v>
      </c>
      <c r="N18" s="667">
        <v>-7.1880711781002375</v>
      </c>
      <c r="O18" s="667">
        <v>-0.5413561270498839</v>
      </c>
      <c r="P18" s="667">
        <v>114.79412791174752</v>
      </c>
      <c r="Q18" s="667">
        <v>17.865639972874789</v>
      </c>
      <c r="R18" s="667">
        <v>-40.000125067890167</v>
      </c>
      <c r="S18" s="667">
        <v>0</v>
      </c>
      <c r="T18" s="667">
        <v>-0.14322207633849007</v>
      </c>
      <c r="U18" s="667">
        <v>2101.9569212819993</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0.802217285608815</v>
      </c>
      <c r="G21" s="663">
        <v>0</v>
      </c>
      <c r="H21" s="663">
        <v>10.885217127183394</v>
      </c>
      <c r="I21" s="663">
        <v>0</v>
      </c>
      <c r="J21" s="663">
        <v>962.45197015227166</v>
      </c>
      <c r="K21" s="663">
        <v>267.5000244841633</v>
      </c>
      <c r="L21" s="663">
        <v>25.455194099059376</v>
      </c>
      <c r="M21" s="663">
        <v>9.8679572117025351</v>
      </c>
      <c r="N21" s="663">
        <v>5.0291337303525587</v>
      </c>
      <c r="O21" s="663">
        <v>2.8343761662812361</v>
      </c>
      <c r="P21" s="663">
        <v>0</v>
      </c>
      <c r="Q21" s="663">
        <v>2.7943993103273139</v>
      </c>
      <c r="R21" s="663">
        <v>-610.76520896369152</v>
      </c>
      <c r="S21" s="663">
        <v>0</v>
      </c>
      <c r="T21" s="663">
        <v>0</v>
      </c>
      <c r="U21" s="671">
        <v>676.85528060325873</v>
      </c>
    </row>
    <row r="22" spans="3:21" ht="13">
      <c r="C22" s="670" t="s">
        <v>351</v>
      </c>
      <c r="D22" s="663">
        <v>0</v>
      </c>
      <c r="E22" s="663">
        <v>0</v>
      </c>
      <c r="F22" s="663">
        <v>0</v>
      </c>
      <c r="G22" s="663">
        <v>0</v>
      </c>
      <c r="H22" s="663">
        <v>12.378684044888715</v>
      </c>
      <c r="I22" s="663">
        <v>0</v>
      </c>
      <c r="J22" s="663">
        <v>0</v>
      </c>
      <c r="K22" s="663">
        <v>0</v>
      </c>
      <c r="L22" s="663">
        <v>36.0447949504767</v>
      </c>
      <c r="M22" s="663">
        <v>14.339300216640275</v>
      </c>
      <c r="N22" s="663">
        <v>0</v>
      </c>
      <c r="O22" s="663">
        <v>4.1400526748892315</v>
      </c>
      <c r="P22" s="663">
        <v>0</v>
      </c>
      <c r="Q22" s="663">
        <v>10.825953288370551</v>
      </c>
      <c r="R22" s="663">
        <v>0</v>
      </c>
      <c r="S22" s="663">
        <v>-71.400838762535344</v>
      </c>
      <c r="T22" s="663">
        <v>0</v>
      </c>
      <c r="U22" s="671">
        <v>6.3279464127301193</v>
      </c>
    </row>
    <row r="23" spans="3:21" ht="13">
      <c r="C23" s="670" t="s">
        <v>352</v>
      </c>
      <c r="D23" s="663">
        <v>0</v>
      </c>
      <c r="E23" s="663">
        <v>0</v>
      </c>
      <c r="F23" s="663">
        <v>0</v>
      </c>
      <c r="G23" s="663">
        <v>0</v>
      </c>
      <c r="H23" s="663">
        <v>0</v>
      </c>
      <c r="I23" s="663">
        <v>0</v>
      </c>
      <c r="J23" s="663">
        <v>0</v>
      </c>
      <c r="K23" s="663">
        <v>0</v>
      </c>
      <c r="L23" s="663">
        <v>59.794350125101182</v>
      </c>
      <c r="M23" s="663">
        <v>0</v>
      </c>
      <c r="N23" s="663">
        <v>0</v>
      </c>
      <c r="O23" s="663">
        <v>-54.232182762859196</v>
      </c>
      <c r="P23" s="663">
        <v>0</v>
      </c>
      <c r="Q23" s="663">
        <v>0</v>
      </c>
      <c r="R23" s="663">
        <v>0</v>
      </c>
      <c r="S23" s="663">
        <v>0</v>
      </c>
      <c r="T23" s="663">
        <v>0</v>
      </c>
      <c r="U23" s="671">
        <v>5.5621673622419863</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357.27482859273942</v>
      </c>
      <c r="F25" s="663">
        <v>-353.71543432563573</v>
      </c>
      <c r="G25" s="663">
        <v>0</v>
      </c>
      <c r="H25" s="663">
        <v>0</v>
      </c>
      <c r="I25" s="663">
        <v>0</v>
      </c>
      <c r="J25" s="663">
        <v>0</v>
      </c>
      <c r="K25" s="663">
        <v>0</v>
      </c>
      <c r="L25" s="663">
        <v>0</v>
      </c>
      <c r="M25" s="663">
        <v>0</v>
      </c>
      <c r="N25" s="663">
        <v>0</v>
      </c>
      <c r="O25" s="663">
        <v>0</v>
      </c>
      <c r="P25" s="663">
        <v>0</v>
      </c>
      <c r="Q25" s="663">
        <v>0</v>
      </c>
      <c r="R25" s="663">
        <v>0</v>
      </c>
      <c r="S25" s="663">
        <v>0</v>
      </c>
      <c r="T25" s="663">
        <v>0</v>
      </c>
      <c r="U25" s="671">
        <v>3.5593942671036793</v>
      </c>
    </row>
    <row r="26" spans="3:21" ht="13">
      <c r="C26" s="670" t="s">
        <v>354</v>
      </c>
      <c r="D26" s="663">
        <v>0</v>
      </c>
      <c r="E26" s="663">
        <v>0</v>
      </c>
      <c r="F26" s="663">
        <v>0</v>
      </c>
      <c r="G26" s="663">
        <v>0</v>
      </c>
      <c r="H26" s="663">
        <v>0</v>
      </c>
      <c r="I26" s="663">
        <v>0</v>
      </c>
      <c r="J26" s="663">
        <v>0</v>
      </c>
      <c r="K26" s="663">
        <v>0</v>
      </c>
      <c r="L26" s="663">
        <v>87.509483344344957</v>
      </c>
      <c r="M26" s="663">
        <v>0</v>
      </c>
      <c r="N26" s="663">
        <v>-87.509483344344957</v>
      </c>
      <c r="O26" s="663">
        <v>0</v>
      </c>
      <c r="P26" s="663">
        <v>0</v>
      </c>
      <c r="Q26" s="663">
        <v>0</v>
      </c>
      <c r="R26" s="663">
        <v>0</v>
      </c>
      <c r="S26" s="663">
        <v>0</v>
      </c>
      <c r="T26" s="663">
        <v>0</v>
      </c>
      <c r="U26" s="671">
        <v>0</v>
      </c>
    </row>
    <row r="27" spans="3:21" ht="13">
      <c r="C27" s="670" t="s">
        <v>355</v>
      </c>
      <c r="D27" s="663">
        <v>0</v>
      </c>
      <c r="E27" s="663">
        <v>0</v>
      </c>
      <c r="F27" s="663">
        <v>0</v>
      </c>
      <c r="G27" s="663">
        <v>-7.9105007206485656</v>
      </c>
      <c r="H27" s="663">
        <v>0</v>
      </c>
      <c r="I27" s="663">
        <v>0</v>
      </c>
      <c r="J27" s="663">
        <v>0</v>
      </c>
      <c r="K27" s="663">
        <v>0</v>
      </c>
      <c r="L27" s="663">
        <v>0</v>
      </c>
      <c r="M27" s="663">
        <v>0</v>
      </c>
      <c r="N27" s="663">
        <v>0</v>
      </c>
      <c r="O27" s="663">
        <v>0</v>
      </c>
      <c r="P27" s="663">
        <v>0</v>
      </c>
      <c r="Q27" s="663">
        <v>0</v>
      </c>
      <c r="R27" s="663">
        <v>0</v>
      </c>
      <c r="S27" s="663">
        <v>0</v>
      </c>
      <c r="T27" s="663">
        <v>11.017410474440901</v>
      </c>
      <c r="U27" s="671">
        <v>3.1069097537923351</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51.730551312429718</v>
      </c>
      <c r="S28" s="663">
        <v>0</v>
      </c>
      <c r="T28" s="663">
        <v>-34.530143001046838</v>
      </c>
      <c r="U28" s="671">
        <v>17.20040831138288</v>
      </c>
    </row>
    <row r="29" spans="3:21" ht="13">
      <c r="C29" s="670" t="s">
        <v>356</v>
      </c>
      <c r="D29" s="663">
        <v>9.1080551953124989</v>
      </c>
      <c r="E29" s="663">
        <v>-12.513177651431018</v>
      </c>
      <c r="F29" s="663">
        <v>16.300260399898175</v>
      </c>
      <c r="G29" s="663">
        <v>0</v>
      </c>
      <c r="H29" s="663">
        <v>0</v>
      </c>
      <c r="I29" s="663">
        <v>0</v>
      </c>
      <c r="J29" s="663">
        <v>0</v>
      </c>
      <c r="K29" s="663">
        <v>0</v>
      </c>
      <c r="L29" s="663">
        <v>0</v>
      </c>
      <c r="M29" s="663">
        <v>0</v>
      </c>
      <c r="N29" s="663">
        <v>0</v>
      </c>
      <c r="O29" s="663">
        <v>0</v>
      </c>
      <c r="P29" s="663">
        <v>0</v>
      </c>
      <c r="Q29" s="663">
        <v>0</v>
      </c>
      <c r="R29" s="663">
        <v>0</v>
      </c>
      <c r="S29" s="663">
        <v>0</v>
      </c>
      <c r="T29" s="663">
        <v>0</v>
      </c>
      <c r="U29" s="671">
        <v>12.895137943779657</v>
      </c>
    </row>
    <row r="30" spans="3:21" ht="13">
      <c r="C30" s="670" t="s">
        <v>75</v>
      </c>
      <c r="D30" s="663">
        <v>3.5420214648437502</v>
      </c>
      <c r="E30" s="663">
        <v>0</v>
      </c>
      <c r="F30" s="663">
        <v>18.654676129726123</v>
      </c>
      <c r="G30" s="663">
        <v>0</v>
      </c>
      <c r="H30" s="663">
        <v>3.9220454388203256</v>
      </c>
      <c r="I30" s="663">
        <v>0</v>
      </c>
      <c r="J30" s="663">
        <v>0</v>
      </c>
      <c r="K30" s="663">
        <v>0</v>
      </c>
      <c r="L30" s="663">
        <v>0</v>
      </c>
      <c r="M30" s="663">
        <v>0</v>
      </c>
      <c r="N30" s="663">
        <v>0</v>
      </c>
      <c r="O30" s="663">
        <v>1.4506195458650522</v>
      </c>
      <c r="P30" s="663">
        <v>0</v>
      </c>
      <c r="Q30" s="663">
        <v>0</v>
      </c>
      <c r="R30" s="663">
        <v>24.070214497240038</v>
      </c>
      <c r="S30" s="663">
        <v>0</v>
      </c>
      <c r="T30" s="663">
        <v>0</v>
      </c>
      <c r="U30" s="671">
        <v>51.639577076495286</v>
      </c>
    </row>
    <row r="31" spans="3:21" ht="13">
      <c r="C31" s="670" t="s">
        <v>76</v>
      </c>
      <c r="D31" s="663">
        <v>0</v>
      </c>
      <c r="E31" s="663">
        <v>0</v>
      </c>
      <c r="F31" s="663">
        <v>0</v>
      </c>
      <c r="G31" s="663">
        <v>0</v>
      </c>
      <c r="H31" s="663">
        <v>1.7220653905707752</v>
      </c>
      <c r="I31" s="663">
        <v>0</v>
      </c>
      <c r="J31" s="663">
        <v>0</v>
      </c>
      <c r="K31" s="663">
        <v>0</v>
      </c>
      <c r="L31" s="663">
        <v>0</v>
      </c>
      <c r="M31" s="663">
        <v>0</v>
      </c>
      <c r="N31" s="663">
        <v>0</v>
      </c>
      <c r="O31" s="663">
        <v>0.63692829514261562</v>
      </c>
      <c r="P31" s="663">
        <v>0</v>
      </c>
      <c r="Q31" s="663">
        <v>0</v>
      </c>
      <c r="R31" s="663">
        <v>43.697669495159822</v>
      </c>
      <c r="S31" s="663">
        <v>5.5373897346121579</v>
      </c>
      <c r="T31" s="663">
        <v>0</v>
      </c>
      <c r="U31" s="671">
        <v>51.594052915485378</v>
      </c>
    </row>
    <row r="32" spans="3:21" ht="13">
      <c r="C32" s="666" t="s">
        <v>77</v>
      </c>
      <c r="D32" s="667">
        <v>12.650076660156248</v>
      </c>
      <c r="E32" s="667">
        <v>344.7616509413084</v>
      </c>
      <c r="F32" s="667">
        <v>-317.95828051040263</v>
      </c>
      <c r="G32" s="667">
        <v>-7.9105007206485656</v>
      </c>
      <c r="H32" s="675">
        <v>28.908012001463213</v>
      </c>
      <c r="I32" s="667">
        <v>0</v>
      </c>
      <c r="J32" s="667">
        <v>962.45197015227166</v>
      </c>
      <c r="K32" s="667">
        <v>267.5000244841633</v>
      </c>
      <c r="L32" s="667">
        <v>208.80382251898223</v>
      </c>
      <c r="M32" s="667">
        <v>24.207257428342814</v>
      </c>
      <c r="N32" s="667">
        <v>-82.480349613992402</v>
      </c>
      <c r="O32" s="667">
        <v>-45.170206080681055</v>
      </c>
      <c r="P32" s="667">
        <v>0</v>
      </c>
      <c r="Q32" s="667">
        <v>13.620352598697865</v>
      </c>
      <c r="R32" s="667">
        <v>-491.26677365886189</v>
      </c>
      <c r="S32" s="667">
        <v>-65.863449027923181</v>
      </c>
      <c r="T32" s="667">
        <v>-23.512732526605937</v>
      </c>
      <c r="U32" s="667">
        <v>828.74087464627007</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3.5288056070999749</v>
      </c>
      <c r="E34" s="663">
        <v>0</v>
      </c>
      <c r="F34" s="663">
        <v>9.0742751543652709</v>
      </c>
      <c r="G34" s="663">
        <v>0</v>
      </c>
      <c r="H34" s="663">
        <v>50.765702343803007</v>
      </c>
      <c r="I34" s="663">
        <v>0</v>
      </c>
      <c r="J34" s="663">
        <v>0</v>
      </c>
      <c r="K34" s="663">
        <v>0</v>
      </c>
      <c r="L34" s="663">
        <v>20.203559685037114</v>
      </c>
      <c r="M34" s="663">
        <v>2.5066351077817299</v>
      </c>
      <c r="N34" s="663">
        <v>1.1254933974609376</v>
      </c>
      <c r="O34" s="663">
        <v>18.810321451312785</v>
      </c>
      <c r="P34" s="663">
        <v>5.5404179687499999</v>
      </c>
      <c r="Q34" s="663">
        <v>6.9244826847420892E-4</v>
      </c>
      <c r="R34" s="663">
        <v>129.68210517319469</v>
      </c>
      <c r="S34" s="663">
        <v>18.067305271014469</v>
      </c>
      <c r="T34" s="663">
        <v>3.2886369628906249</v>
      </c>
      <c r="U34" s="671">
        <v>262.59395057097908</v>
      </c>
    </row>
    <row r="35" spans="3:21" ht="13">
      <c r="C35" s="670" t="s">
        <v>79</v>
      </c>
      <c r="D35" s="663">
        <v>0</v>
      </c>
      <c r="E35" s="663">
        <v>0</v>
      </c>
      <c r="F35" s="663">
        <v>183.65265309164423</v>
      </c>
      <c r="G35" s="663">
        <v>0.37586832320647884</v>
      </c>
      <c r="H35" s="663">
        <v>4.5862710057628444</v>
      </c>
      <c r="I35" s="663">
        <v>0</v>
      </c>
      <c r="J35" s="663">
        <v>0</v>
      </c>
      <c r="K35" s="663">
        <v>0</v>
      </c>
      <c r="L35" s="663">
        <v>0</v>
      </c>
      <c r="M35" s="663">
        <v>0</v>
      </c>
      <c r="N35" s="663">
        <v>52.853956211759765</v>
      </c>
      <c r="O35" s="663">
        <v>1.6962920158300934</v>
      </c>
      <c r="P35" s="663">
        <v>0</v>
      </c>
      <c r="Q35" s="663">
        <v>0</v>
      </c>
      <c r="R35" s="663">
        <v>57.341707182273488</v>
      </c>
      <c r="S35" s="663">
        <v>0</v>
      </c>
      <c r="T35" s="663">
        <v>2.0198839430903792</v>
      </c>
      <c r="U35" s="671">
        <v>302.52663177356732</v>
      </c>
    </row>
    <row r="36" spans="3:21" ht="13">
      <c r="C36" s="670" t="s">
        <v>80</v>
      </c>
      <c r="D36" s="663">
        <v>0</v>
      </c>
      <c r="E36" s="663">
        <v>0</v>
      </c>
      <c r="F36" s="663">
        <v>3.260836950166615</v>
      </c>
      <c r="G36" s="663">
        <v>0</v>
      </c>
      <c r="H36" s="663">
        <v>39.313312069692138</v>
      </c>
      <c r="I36" s="663">
        <v>0</v>
      </c>
      <c r="J36" s="663">
        <v>0</v>
      </c>
      <c r="K36" s="663">
        <v>0</v>
      </c>
      <c r="L36" s="663">
        <v>38.595135513286785</v>
      </c>
      <c r="M36" s="663">
        <v>0</v>
      </c>
      <c r="N36" s="663">
        <v>0</v>
      </c>
      <c r="O36" s="663">
        <v>14.540540080571066</v>
      </c>
      <c r="P36" s="663">
        <v>88.021667456281236</v>
      </c>
      <c r="Q36" s="663">
        <v>2.3427124137087052</v>
      </c>
      <c r="R36" s="663">
        <v>158.98187870009832</v>
      </c>
      <c r="S36" s="663">
        <v>28.917251051933125</v>
      </c>
      <c r="T36" s="663">
        <v>0</v>
      </c>
      <c r="U36" s="671">
        <v>373.97333423573804</v>
      </c>
    </row>
    <row r="37" spans="3:21" ht="13">
      <c r="C37" s="670" t="s">
        <v>81</v>
      </c>
      <c r="D37" s="663">
        <v>0</v>
      </c>
      <c r="E37" s="663">
        <v>0</v>
      </c>
      <c r="F37" s="663">
        <v>3.4419330830775619</v>
      </c>
      <c r="G37" s="663">
        <v>0</v>
      </c>
      <c r="H37" s="663">
        <v>19.661407657447267</v>
      </c>
      <c r="I37" s="663">
        <v>0</v>
      </c>
      <c r="J37" s="663">
        <v>0</v>
      </c>
      <c r="K37" s="663">
        <v>0</v>
      </c>
      <c r="L37" s="663">
        <v>0.43406989863895534</v>
      </c>
      <c r="M37" s="663">
        <v>4.6787954190583215E-4</v>
      </c>
      <c r="N37" s="663">
        <v>0</v>
      </c>
      <c r="O37" s="663">
        <v>7.2720274897407702</v>
      </c>
      <c r="P37" s="663">
        <v>20.482042486716281</v>
      </c>
      <c r="Q37" s="663">
        <v>0.93898003664808516</v>
      </c>
      <c r="R37" s="663">
        <v>96.862888654792613</v>
      </c>
      <c r="S37" s="663">
        <v>18.878892704975588</v>
      </c>
      <c r="T37" s="663">
        <v>0</v>
      </c>
      <c r="U37" s="671">
        <v>167.97270989157903</v>
      </c>
    </row>
    <row r="38" spans="3:21" ht="13">
      <c r="C38" s="670" t="s">
        <v>82</v>
      </c>
      <c r="D38" s="663">
        <v>0</v>
      </c>
      <c r="E38" s="663">
        <v>0</v>
      </c>
      <c r="F38" s="663">
        <v>19.85629550078999</v>
      </c>
      <c r="G38" s="663">
        <v>0</v>
      </c>
      <c r="H38" s="663">
        <v>1.376773611649958</v>
      </c>
      <c r="I38" s="663">
        <v>0</v>
      </c>
      <c r="J38" s="663">
        <v>0</v>
      </c>
      <c r="K38" s="663">
        <v>0</v>
      </c>
      <c r="L38" s="663">
        <v>2.7730307508519707</v>
      </c>
      <c r="M38" s="663">
        <v>0</v>
      </c>
      <c r="N38" s="663">
        <v>8.3214654409998232</v>
      </c>
      <c r="O38" s="663">
        <v>0.50921763718560098</v>
      </c>
      <c r="P38" s="663">
        <v>0.75</v>
      </c>
      <c r="Q38" s="663">
        <v>0.96290247555165809</v>
      </c>
      <c r="R38" s="663">
        <v>7.7126288806125016</v>
      </c>
      <c r="S38" s="663">
        <v>0</v>
      </c>
      <c r="T38" s="663">
        <v>0.24940873791150003</v>
      </c>
      <c r="U38" s="671">
        <v>42.511723035553004</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0.68544000000000005</v>
      </c>
      <c r="S39" s="663">
        <v>0</v>
      </c>
      <c r="T39" s="663">
        <v>0</v>
      </c>
      <c r="U39" s="671">
        <v>0.68544000000000005</v>
      </c>
    </row>
    <row r="40" spans="3:21" ht="13">
      <c r="C40" s="666" t="s">
        <v>83</v>
      </c>
      <c r="D40" s="667">
        <v>3.5288056070999749</v>
      </c>
      <c r="E40" s="667">
        <v>0</v>
      </c>
      <c r="F40" s="667">
        <v>219.2859937800437</v>
      </c>
      <c r="G40" s="667">
        <v>0.37586832320647884</v>
      </c>
      <c r="H40" s="675">
        <v>115.70346668835522</v>
      </c>
      <c r="I40" s="667">
        <v>0</v>
      </c>
      <c r="J40" s="667">
        <v>0</v>
      </c>
      <c r="K40" s="667">
        <v>0</v>
      </c>
      <c r="L40" s="667">
        <v>62.005795847814824</v>
      </c>
      <c r="M40" s="667">
        <v>2.5071029873236355</v>
      </c>
      <c r="N40" s="667">
        <v>62.300915050220524</v>
      </c>
      <c r="O40" s="667">
        <v>42.828398674640319</v>
      </c>
      <c r="P40" s="667">
        <v>114.79412791174752</v>
      </c>
      <c r="Q40" s="667">
        <v>4.2452873741769226</v>
      </c>
      <c r="R40" s="667">
        <v>451.26664859097167</v>
      </c>
      <c r="S40" s="667">
        <v>65.863449027923181</v>
      </c>
      <c r="T40" s="667">
        <v>5.5579296438925034</v>
      </c>
      <c r="U40" s="667">
        <v>1150.2637895074163</v>
      </c>
    </row>
    <row r="41" spans="3:21" ht="13">
      <c r="C41" s="662" t="s">
        <v>84</v>
      </c>
      <c r="D41" s="663">
        <v>0</v>
      </c>
      <c r="E41" s="663">
        <v>0</v>
      </c>
      <c r="F41" s="663">
        <v>78.311135803097855</v>
      </c>
      <c r="G41" s="663">
        <v>3.2322568578114335</v>
      </c>
      <c r="H41" s="663">
        <v>8.5375790835295255</v>
      </c>
      <c r="I41" s="663">
        <v>0</v>
      </c>
      <c r="J41" s="663">
        <v>0</v>
      </c>
      <c r="K41" s="663">
        <v>0</v>
      </c>
      <c r="L41" s="663">
        <v>0.26788991283700125</v>
      </c>
      <c r="M41" s="663">
        <v>0</v>
      </c>
      <c r="N41" s="663">
        <v>12.991363385671615</v>
      </c>
      <c r="O41" s="663">
        <v>1.800451278990862</v>
      </c>
      <c r="P41" s="663">
        <v>0</v>
      </c>
      <c r="Q41" s="663">
        <v>0</v>
      </c>
      <c r="R41" s="663">
        <v>0</v>
      </c>
      <c r="S41" s="663">
        <v>0</v>
      </c>
      <c r="T41" s="663">
        <v>17.811580806374948</v>
      </c>
      <c r="U41" s="671">
        <v>122.95225712831325</v>
      </c>
    </row>
    <row r="42" spans="3:21" ht="13">
      <c r="C42" s="666" t="s">
        <v>85</v>
      </c>
      <c r="D42" s="667">
        <v>3.5288056070999749</v>
      </c>
      <c r="E42" s="667">
        <v>0</v>
      </c>
      <c r="F42" s="667">
        <v>297.59712958314151</v>
      </c>
      <c r="G42" s="667">
        <v>3.6081251810179125</v>
      </c>
      <c r="H42" s="675">
        <v>124.24104577188474</v>
      </c>
      <c r="I42" s="667">
        <v>0</v>
      </c>
      <c r="J42" s="667">
        <v>0</v>
      </c>
      <c r="K42" s="667">
        <v>0</v>
      </c>
      <c r="L42" s="667">
        <v>62.273685760651823</v>
      </c>
      <c r="M42" s="667">
        <v>2.5071029873236355</v>
      </c>
      <c r="N42" s="667">
        <v>75.292278435892143</v>
      </c>
      <c r="O42" s="667">
        <v>44.628849953631182</v>
      </c>
      <c r="P42" s="667">
        <v>114.79412791174752</v>
      </c>
      <c r="Q42" s="667">
        <v>4.2452873741769226</v>
      </c>
      <c r="R42" s="667">
        <v>451.26664859097167</v>
      </c>
      <c r="S42" s="667">
        <v>65.863449027923181</v>
      </c>
      <c r="T42" s="667">
        <v>23.369510450267452</v>
      </c>
      <c r="U42" s="667">
        <v>1273.2160466357295</v>
      </c>
    </row>
    <row r="43" spans="3:21">
      <c r="C43" s="654"/>
      <c r="D43" s="672">
        <v>0</v>
      </c>
      <c r="E43" s="672">
        <v>0</v>
      </c>
      <c r="F43" s="672">
        <v>-9.5923269327613525E-14</v>
      </c>
      <c r="G43" s="672">
        <v>0</v>
      </c>
      <c r="H43" s="672">
        <v>0</v>
      </c>
      <c r="I43" s="672">
        <v>0</v>
      </c>
      <c r="J43" s="672">
        <v>0</v>
      </c>
      <c r="K43" s="672">
        <v>0</v>
      </c>
      <c r="L43" s="672">
        <v>0</v>
      </c>
      <c r="M43" s="672">
        <v>0</v>
      </c>
      <c r="N43" s="672">
        <v>-2.1316282072803006E-14</v>
      </c>
      <c r="O43" s="672">
        <v>1.0658141036401503E-14</v>
      </c>
      <c r="P43" s="672">
        <v>0</v>
      </c>
      <c r="Q43" s="672">
        <v>0</v>
      </c>
      <c r="R43" s="672">
        <v>-5.6843418860808015E-14</v>
      </c>
      <c r="S43" s="672">
        <v>0</v>
      </c>
      <c r="T43" s="672">
        <v>4.5796699765787707E-15</v>
      </c>
      <c r="U43" s="672">
        <v>0</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362</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2.3260000000000005</v>
      </c>
      <c r="F49" s="663">
        <v>0</v>
      </c>
      <c r="G49" s="663">
        <v>0</v>
      </c>
      <c r="H49" s="663">
        <v>3.7216000000000006E-2</v>
      </c>
      <c r="I49" s="663">
        <v>0</v>
      </c>
      <c r="J49" s="664">
        <v>964.52942056246673</v>
      </c>
      <c r="K49" s="664">
        <v>311.46236031836668</v>
      </c>
      <c r="L49" s="664">
        <v>294.50335183866372</v>
      </c>
      <c r="M49" s="664">
        <v>26.897654847027933</v>
      </c>
      <c r="N49" s="663">
        <v>1.5522078310841105</v>
      </c>
      <c r="O49" s="663">
        <v>0.16457898409976487</v>
      </c>
      <c r="P49" s="664">
        <v>128.43983591306872</v>
      </c>
      <c r="Q49" s="664">
        <v>20.654107927982594</v>
      </c>
      <c r="R49" s="663">
        <v>0</v>
      </c>
      <c r="S49" s="663">
        <v>0</v>
      </c>
      <c r="T49" s="663">
        <v>0</v>
      </c>
      <c r="U49" s="665">
        <v>1750.5667342227598</v>
      </c>
    </row>
    <row r="50" spans="3:21" ht="13">
      <c r="C50" s="662" t="s">
        <v>60</v>
      </c>
      <c r="D50" s="663">
        <v>13.859177019435306</v>
      </c>
      <c r="E50" s="663">
        <v>296.13837759387053</v>
      </c>
      <c r="F50" s="663">
        <v>5.829718761745502</v>
      </c>
      <c r="G50" s="663">
        <v>0.35872125556105416</v>
      </c>
      <c r="H50" s="663">
        <v>120.63288166670617</v>
      </c>
      <c r="I50" s="663">
        <v>0</v>
      </c>
      <c r="J50" s="663">
        <v>0</v>
      </c>
      <c r="K50" s="663">
        <v>0</v>
      </c>
      <c r="L50" s="663">
        <v>3.8185483520995893</v>
      </c>
      <c r="M50" s="663">
        <v>0</v>
      </c>
      <c r="N50" s="663">
        <v>4.0860505945061325</v>
      </c>
      <c r="O50" s="663">
        <v>0</v>
      </c>
      <c r="P50" s="663">
        <v>0</v>
      </c>
      <c r="Q50" s="663">
        <v>0</v>
      </c>
      <c r="R50" s="663">
        <v>0</v>
      </c>
      <c r="S50" s="663">
        <v>0</v>
      </c>
      <c r="T50" s="663">
        <v>0</v>
      </c>
      <c r="U50" s="665">
        <v>444.72347524392433</v>
      </c>
    </row>
    <row r="51" spans="3:21" ht="13">
      <c r="C51" s="662" t="s">
        <v>61</v>
      </c>
      <c r="D51" s="663">
        <v>0</v>
      </c>
      <c r="E51" s="663">
        <v>0</v>
      </c>
      <c r="F51" s="663">
        <v>-11.930293865877704</v>
      </c>
      <c r="G51" s="663">
        <v>0</v>
      </c>
      <c r="H51" s="663">
        <v>0</v>
      </c>
      <c r="I51" s="663">
        <v>0</v>
      </c>
      <c r="J51" s="663">
        <v>0</v>
      </c>
      <c r="K51" s="663">
        <v>0</v>
      </c>
      <c r="L51" s="663">
        <v>0</v>
      </c>
      <c r="M51" s="663">
        <v>0</v>
      </c>
      <c r="N51" s="663">
        <v>0</v>
      </c>
      <c r="O51" s="663">
        <v>0</v>
      </c>
      <c r="P51" s="663">
        <v>0</v>
      </c>
      <c r="Q51" s="663">
        <v>0</v>
      </c>
      <c r="R51" s="663">
        <v>-39.267637363013023</v>
      </c>
      <c r="S51" s="663">
        <v>0</v>
      </c>
      <c r="T51" s="663">
        <v>0</v>
      </c>
      <c r="U51" s="665">
        <v>-51.197931228890724</v>
      </c>
    </row>
    <row r="52" spans="3:21" ht="13">
      <c r="C52" s="662" t="s">
        <v>62</v>
      </c>
      <c r="D52" s="663">
        <v>0</v>
      </c>
      <c r="E52" s="663">
        <v>0</v>
      </c>
      <c r="F52" s="663">
        <v>-10.650864702914385</v>
      </c>
      <c r="G52" s="663">
        <v>-1.9080821969915447</v>
      </c>
      <c r="H52" s="663">
        <v>-4.5147113062781807</v>
      </c>
      <c r="I52" s="663">
        <v>0</v>
      </c>
      <c r="J52" s="663">
        <v>0</v>
      </c>
      <c r="K52" s="663">
        <v>0</v>
      </c>
      <c r="L52" s="663">
        <v>0</v>
      </c>
      <c r="M52" s="663">
        <v>0</v>
      </c>
      <c r="N52" s="663">
        <v>-0.48900468677593995</v>
      </c>
      <c r="O52" s="663">
        <v>-2.7436669996352929</v>
      </c>
      <c r="P52" s="663">
        <v>0</v>
      </c>
      <c r="Q52" s="663">
        <v>0</v>
      </c>
      <c r="R52" s="663">
        <v>0</v>
      </c>
      <c r="S52" s="663">
        <v>0</v>
      </c>
      <c r="T52" s="663">
        <v>0</v>
      </c>
      <c r="U52" s="665">
        <v>-20.306329892595343</v>
      </c>
    </row>
    <row r="53" spans="3:21" ht="13">
      <c r="C53" s="662" t="s">
        <v>63</v>
      </c>
      <c r="D53" s="663">
        <v>0</v>
      </c>
      <c r="E53" s="663">
        <v>0</v>
      </c>
      <c r="F53" s="663">
        <v>-52.2656340821949</v>
      </c>
      <c r="G53" s="663">
        <v>-8.2703034572776399</v>
      </c>
      <c r="H53" s="663">
        <v>0</v>
      </c>
      <c r="I53" s="663">
        <v>0</v>
      </c>
      <c r="J53" s="663">
        <v>0</v>
      </c>
      <c r="K53" s="663">
        <v>0</v>
      </c>
      <c r="L53" s="663">
        <v>0</v>
      </c>
      <c r="M53" s="663">
        <v>0</v>
      </c>
      <c r="N53" s="663">
        <v>-13.213101981709578</v>
      </c>
      <c r="O53" s="663">
        <v>0</v>
      </c>
      <c r="P53" s="663">
        <v>0</v>
      </c>
      <c r="Q53" s="663">
        <v>0</v>
      </c>
      <c r="R53" s="663">
        <v>0</v>
      </c>
      <c r="S53" s="663">
        <v>0</v>
      </c>
      <c r="T53" s="663">
        <v>-0.45605370393256905</v>
      </c>
      <c r="U53" s="665">
        <v>-74.20509322511468</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13.859177019435306</v>
      </c>
      <c r="E55" s="667">
        <v>298.46437759387055</v>
      </c>
      <c r="F55" s="667">
        <v>-69.017073889241487</v>
      </c>
      <c r="G55" s="667">
        <v>-9.8196643987081309</v>
      </c>
      <c r="H55" s="675">
        <v>116.15538636042798</v>
      </c>
      <c r="I55" s="667">
        <v>0</v>
      </c>
      <c r="J55" s="667">
        <v>964.52942056246673</v>
      </c>
      <c r="K55" s="667">
        <v>311.46236031836668</v>
      </c>
      <c r="L55" s="667">
        <v>298.3219001907633</v>
      </c>
      <c r="M55" s="667">
        <v>26.897654847027933</v>
      </c>
      <c r="N55" s="667">
        <v>-8.0638482428952756</v>
      </c>
      <c r="O55" s="667">
        <v>-2.579088015535528</v>
      </c>
      <c r="P55" s="667">
        <v>128.43983591306872</v>
      </c>
      <c r="Q55" s="667">
        <v>20.654107927982594</v>
      </c>
      <c r="R55" s="667">
        <v>-39.267637363013023</v>
      </c>
      <c r="S55" s="667">
        <v>0</v>
      </c>
      <c r="T55" s="667">
        <v>-0.45605370393256905</v>
      </c>
      <c r="U55" s="667">
        <v>2049.5808551200835</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0.36057808628354604</v>
      </c>
      <c r="G58" s="663">
        <v>0</v>
      </c>
      <c r="H58" s="663">
        <v>7.5839969390793698</v>
      </c>
      <c r="I58" s="663">
        <v>0</v>
      </c>
      <c r="J58" s="663">
        <v>964.52942056246673</v>
      </c>
      <c r="K58" s="663">
        <v>311.46236031836668</v>
      </c>
      <c r="L58" s="663">
        <v>22.176349392164049</v>
      </c>
      <c r="M58" s="663">
        <v>10.089931127123995</v>
      </c>
      <c r="N58" s="663">
        <v>5.3878161949008447</v>
      </c>
      <c r="O58" s="663">
        <v>2.0095680781151462</v>
      </c>
      <c r="P58" s="663">
        <v>0</v>
      </c>
      <c r="Q58" s="663">
        <v>4.9774137725284184</v>
      </c>
      <c r="R58" s="663">
        <v>-653.56257887708989</v>
      </c>
      <c r="S58" s="663">
        <v>0</v>
      </c>
      <c r="T58" s="663">
        <v>1.9189703578470259</v>
      </c>
      <c r="U58" s="671">
        <v>676.93382595178593</v>
      </c>
    </row>
    <row r="59" spans="3:21" ht="13">
      <c r="C59" s="670" t="s">
        <v>351</v>
      </c>
      <c r="D59" s="663">
        <v>0</v>
      </c>
      <c r="E59" s="663">
        <v>0</v>
      </c>
      <c r="F59" s="663">
        <v>0</v>
      </c>
      <c r="G59" s="663">
        <v>0</v>
      </c>
      <c r="H59" s="663">
        <v>9.2764090353058375</v>
      </c>
      <c r="I59" s="663">
        <v>0</v>
      </c>
      <c r="J59" s="663">
        <v>0</v>
      </c>
      <c r="K59" s="663">
        <v>0</v>
      </c>
      <c r="L59" s="663">
        <v>35.764224717869801</v>
      </c>
      <c r="M59" s="663">
        <v>14.37233701187753</v>
      </c>
      <c r="N59" s="663">
        <v>0</v>
      </c>
      <c r="O59" s="663">
        <v>5.4622758911360467</v>
      </c>
      <c r="P59" s="663">
        <v>0</v>
      </c>
      <c r="Q59" s="663">
        <v>10.952590418500169</v>
      </c>
      <c r="R59" s="663">
        <v>0</v>
      </c>
      <c r="S59" s="663">
        <v>-70.157887736076944</v>
      </c>
      <c r="T59" s="663">
        <v>0</v>
      </c>
      <c r="U59" s="671">
        <v>5.6699493386124447</v>
      </c>
    </row>
    <row r="60" spans="3:21" ht="13">
      <c r="C60" s="670" t="s">
        <v>352</v>
      </c>
      <c r="D60" s="663">
        <v>0</v>
      </c>
      <c r="E60" s="663">
        <v>0</v>
      </c>
      <c r="F60" s="663">
        <v>0</v>
      </c>
      <c r="G60" s="663">
        <v>0</v>
      </c>
      <c r="H60" s="663">
        <v>0</v>
      </c>
      <c r="I60" s="663">
        <v>0</v>
      </c>
      <c r="J60" s="663">
        <v>0</v>
      </c>
      <c r="K60" s="663">
        <v>0</v>
      </c>
      <c r="L60" s="663">
        <v>74.445335403224831</v>
      </c>
      <c r="M60" s="663">
        <v>0</v>
      </c>
      <c r="N60" s="663">
        <v>0</v>
      </c>
      <c r="O60" s="663">
        <v>-68.22829141881553</v>
      </c>
      <c r="P60" s="663">
        <v>0</v>
      </c>
      <c r="Q60" s="663">
        <v>0</v>
      </c>
      <c r="R60" s="663">
        <v>0</v>
      </c>
      <c r="S60" s="663">
        <v>0</v>
      </c>
      <c r="T60" s="663">
        <v>0</v>
      </c>
      <c r="U60" s="671">
        <v>6.2170439844093011</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309.28389692910912</v>
      </c>
      <c r="F62" s="663">
        <v>-306.20133621434456</v>
      </c>
      <c r="G62" s="663">
        <v>0</v>
      </c>
      <c r="H62" s="663">
        <v>0</v>
      </c>
      <c r="I62" s="663">
        <v>0</v>
      </c>
      <c r="J62" s="663">
        <v>0</v>
      </c>
      <c r="K62" s="663">
        <v>0</v>
      </c>
      <c r="L62" s="663">
        <v>0</v>
      </c>
      <c r="M62" s="663">
        <v>0</v>
      </c>
      <c r="N62" s="663">
        <v>0</v>
      </c>
      <c r="O62" s="663">
        <v>0</v>
      </c>
      <c r="P62" s="663">
        <v>0</v>
      </c>
      <c r="Q62" s="663">
        <v>0</v>
      </c>
      <c r="R62" s="663">
        <v>0</v>
      </c>
      <c r="S62" s="663">
        <v>0</v>
      </c>
      <c r="T62" s="663">
        <v>0</v>
      </c>
      <c r="U62" s="671">
        <v>3.0825607147645133</v>
      </c>
    </row>
    <row r="63" spans="3:21" ht="13">
      <c r="C63" s="670" t="s">
        <v>354</v>
      </c>
      <c r="D63" s="663">
        <v>0</v>
      </c>
      <c r="E63" s="663">
        <v>0</v>
      </c>
      <c r="F63" s="663">
        <v>0</v>
      </c>
      <c r="G63" s="663">
        <v>0</v>
      </c>
      <c r="H63" s="663">
        <v>0</v>
      </c>
      <c r="I63" s="663">
        <v>0</v>
      </c>
      <c r="J63" s="663">
        <v>0</v>
      </c>
      <c r="K63" s="663">
        <v>0</v>
      </c>
      <c r="L63" s="663">
        <v>106.10331078427467</v>
      </c>
      <c r="M63" s="663">
        <v>0</v>
      </c>
      <c r="N63" s="663">
        <v>-106.10331078427467</v>
      </c>
      <c r="O63" s="663">
        <v>0</v>
      </c>
      <c r="P63" s="663">
        <v>0</v>
      </c>
      <c r="Q63" s="663">
        <v>0</v>
      </c>
      <c r="R63" s="663">
        <v>0</v>
      </c>
      <c r="S63" s="663">
        <v>0</v>
      </c>
      <c r="T63" s="663">
        <v>0</v>
      </c>
      <c r="U63" s="671">
        <v>0</v>
      </c>
    </row>
    <row r="64" spans="3:21" ht="13">
      <c r="C64" s="670" t="s">
        <v>355</v>
      </c>
      <c r="D64" s="663">
        <v>0</v>
      </c>
      <c r="E64" s="663">
        <v>0</v>
      </c>
      <c r="F64" s="663">
        <v>0</v>
      </c>
      <c r="G64" s="663">
        <v>-16.310777823492739</v>
      </c>
      <c r="H64" s="663">
        <v>0</v>
      </c>
      <c r="I64" s="663">
        <v>0</v>
      </c>
      <c r="J64" s="663">
        <v>0</v>
      </c>
      <c r="K64" s="663">
        <v>0</v>
      </c>
      <c r="L64" s="663">
        <v>0</v>
      </c>
      <c r="M64" s="663">
        <v>0</v>
      </c>
      <c r="N64" s="663">
        <v>0</v>
      </c>
      <c r="O64" s="663">
        <v>0</v>
      </c>
      <c r="P64" s="663">
        <v>0</v>
      </c>
      <c r="Q64" s="663">
        <v>0</v>
      </c>
      <c r="R64" s="663">
        <v>0</v>
      </c>
      <c r="S64" s="663">
        <v>0</v>
      </c>
      <c r="T64" s="663">
        <v>22.716960756953675</v>
      </c>
      <c r="U64" s="671">
        <v>6.4061829334609364</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80.747003520407887</v>
      </c>
      <c r="S65" s="663">
        <v>0</v>
      </c>
      <c r="T65" s="663">
        <v>-54.746468386836547</v>
      </c>
      <c r="U65" s="671">
        <v>26.00053513357134</v>
      </c>
    </row>
    <row r="66" spans="3:21" ht="13">
      <c r="C66" s="670" t="s">
        <v>356</v>
      </c>
      <c r="D66" s="663">
        <v>7.7637663281249996</v>
      </c>
      <c r="E66" s="663">
        <v>-10.819519335238569</v>
      </c>
      <c r="F66" s="663">
        <v>14.100311366339174</v>
      </c>
      <c r="G66" s="663">
        <v>0</v>
      </c>
      <c r="H66" s="663">
        <v>0</v>
      </c>
      <c r="I66" s="663">
        <v>0</v>
      </c>
      <c r="J66" s="663">
        <v>0</v>
      </c>
      <c r="K66" s="663">
        <v>0</v>
      </c>
      <c r="L66" s="663">
        <v>0</v>
      </c>
      <c r="M66" s="663">
        <v>0</v>
      </c>
      <c r="N66" s="663">
        <v>0</v>
      </c>
      <c r="O66" s="663">
        <v>0</v>
      </c>
      <c r="P66" s="663">
        <v>0</v>
      </c>
      <c r="Q66" s="663">
        <v>0</v>
      </c>
      <c r="R66" s="663">
        <v>0</v>
      </c>
      <c r="S66" s="663">
        <v>0</v>
      </c>
      <c r="T66" s="663">
        <v>0</v>
      </c>
      <c r="U66" s="671">
        <v>11.044558359225604</v>
      </c>
    </row>
    <row r="67" spans="3:21" ht="13">
      <c r="C67" s="670" t="s">
        <v>75</v>
      </c>
      <c r="D67" s="663">
        <v>3.0192424609374999</v>
      </c>
      <c r="E67" s="663">
        <v>0</v>
      </c>
      <c r="F67" s="663">
        <v>18.191659515376916</v>
      </c>
      <c r="G67" s="663">
        <v>0</v>
      </c>
      <c r="H67" s="663">
        <v>3.2664120682994437</v>
      </c>
      <c r="I67" s="663">
        <v>0</v>
      </c>
      <c r="J67" s="663">
        <v>0</v>
      </c>
      <c r="K67" s="663">
        <v>0</v>
      </c>
      <c r="L67" s="663">
        <v>0</v>
      </c>
      <c r="M67" s="663">
        <v>0</v>
      </c>
      <c r="N67" s="663">
        <v>0</v>
      </c>
      <c r="O67" s="663">
        <v>1.9850542794488581</v>
      </c>
      <c r="P67" s="663">
        <v>0</v>
      </c>
      <c r="Q67" s="663">
        <v>0</v>
      </c>
      <c r="R67" s="663">
        <v>23.96590055491529</v>
      </c>
      <c r="S67" s="663">
        <v>0</v>
      </c>
      <c r="T67" s="663">
        <v>0</v>
      </c>
      <c r="U67" s="671">
        <v>50.42826887897801</v>
      </c>
    </row>
    <row r="68" spans="3:21" ht="13">
      <c r="C68" s="670" t="s">
        <v>76</v>
      </c>
      <c r="D68" s="663">
        <v>0</v>
      </c>
      <c r="E68" s="663">
        <v>0</v>
      </c>
      <c r="F68" s="663">
        <v>0</v>
      </c>
      <c r="G68" s="663">
        <v>0</v>
      </c>
      <c r="H68" s="663">
        <v>1.3208205478094497</v>
      </c>
      <c r="I68" s="663">
        <v>0</v>
      </c>
      <c r="J68" s="663">
        <v>0</v>
      </c>
      <c r="K68" s="663">
        <v>0</v>
      </c>
      <c r="L68" s="663">
        <v>0</v>
      </c>
      <c r="M68" s="663">
        <v>0</v>
      </c>
      <c r="N68" s="663">
        <v>0</v>
      </c>
      <c r="O68" s="663">
        <v>0.80268515606426361</v>
      </c>
      <c r="P68" s="663">
        <v>0</v>
      </c>
      <c r="Q68" s="663">
        <v>0</v>
      </c>
      <c r="R68" s="663">
        <v>47.023558909206123</v>
      </c>
      <c r="S68" s="663">
        <v>5.4411740217158124</v>
      </c>
      <c r="T68" s="663">
        <v>0</v>
      </c>
      <c r="U68" s="671">
        <v>54.588238634795651</v>
      </c>
    </row>
    <row r="69" spans="3:21" ht="13">
      <c r="C69" s="666" t="s">
        <v>77</v>
      </c>
      <c r="D69" s="667">
        <v>10.783008789062499</v>
      </c>
      <c r="E69" s="667">
        <v>298.46437759387055</v>
      </c>
      <c r="F69" s="667">
        <v>-273.54878724634494</v>
      </c>
      <c r="G69" s="667">
        <v>-16.310777823492739</v>
      </c>
      <c r="H69" s="675">
        <v>21.447638590494105</v>
      </c>
      <c r="I69" s="667">
        <v>0</v>
      </c>
      <c r="J69" s="667">
        <v>964.52942056246673</v>
      </c>
      <c r="K69" s="667">
        <v>311.46236031836668</v>
      </c>
      <c r="L69" s="667">
        <v>238.48922029753334</v>
      </c>
      <c r="M69" s="667">
        <v>24.462268139001523</v>
      </c>
      <c r="N69" s="667">
        <v>-100.71549458937382</v>
      </c>
      <c r="O69" s="667">
        <v>-57.968708014051209</v>
      </c>
      <c r="P69" s="667">
        <v>0</v>
      </c>
      <c r="Q69" s="667">
        <v>15.930004191028587</v>
      </c>
      <c r="R69" s="667">
        <v>-501.82611589256055</v>
      </c>
      <c r="S69" s="667">
        <v>-64.71671371436112</v>
      </c>
      <c r="T69" s="667">
        <v>-30.110537272035845</v>
      </c>
      <c r="U69" s="667">
        <v>840.37116392960388</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3.0761682303728053</v>
      </c>
      <c r="E71" s="663">
        <v>0</v>
      </c>
      <c r="F71" s="663">
        <v>6.6351508306047968</v>
      </c>
      <c r="G71" s="663">
        <v>0</v>
      </c>
      <c r="H71" s="663">
        <v>38.528321178569939</v>
      </c>
      <c r="I71" s="663">
        <v>0</v>
      </c>
      <c r="J71" s="663">
        <v>0</v>
      </c>
      <c r="K71" s="663">
        <v>0</v>
      </c>
      <c r="L71" s="663">
        <v>20.031105646676835</v>
      </c>
      <c r="M71" s="663">
        <v>2.4349588281846541</v>
      </c>
      <c r="N71" s="663">
        <v>1.8349433718750003</v>
      </c>
      <c r="O71" s="663">
        <v>23.451101372697913</v>
      </c>
      <c r="P71" s="663">
        <v>6.8164926757812498</v>
      </c>
      <c r="Q71" s="663">
        <v>7.4990210834655101E-4</v>
      </c>
      <c r="R71" s="663">
        <v>132.01210341841889</v>
      </c>
      <c r="S71" s="663">
        <v>18.207144124668375</v>
      </c>
      <c r="T71" s="663">
        <v>4.1350366210937501</v>
      </c>
      <c r="U71" s="671">
        <v>257.16327620105255</v>
      </c>
    </row>
    <row r="72" spans="3:21" ht="13">
      <c r="C72" s="670" t="s">
        <v>79</v>
      </c>
      <c r="D72" s="663">
        <v>0</v>
      </c>
      <c r="E72" s="663">
        <v>0</v>
      </c>
      <c r="F72" s="663">
        <v>110.91379205811297</v>
      </c>
      <c r="G72" s="663">
        <v>0.7006243456433674</v>
      </c>
      <c r="H72" s="663">
        <v>3.7872267703464977</v>
      </c>
      <c r="I72" s="663">
        <v>0</v>
      </c>
      <c r="J72" s="663">
        <v>0</v>
      </c>
      <c r="K72" s="663">
        <v>0</v>
      </c>
      <c r="L72" s="663">
        <v>0</v>
      </c>
      <c r="M72" s="663">
        <v>0</v>
      </c>
      <c r="N72" s="663">
        <v>63.547118628094331</v>
      </c>
      <c r="O72" s="663">
        <v>2.3015622495031773</v>
      </c>
      <c r="P72" s="663">
        <v>0</v>
      </c>
      <c r="Q72" s="663">
        <v>0</v>
      </c>
      <c r="R72" s="663">
        <v>74.297767208409297</v>
      </c>
      <c r="S72" s="663">
        <v>0</v>
      </c>
      <c r="T72" s="663">
        <v>2.9567259991236208</v>
      </c>
      <c r="U72" s="671">
        <v>258.50481725923328</v>
      </c>
    </row>
    <row r="73" spans="3:21" ht="13">
      <c r="C73" s="670" t="s">
        <v>80</v>
      </c>
      <c r="D73" s="663">
        <v>0</v>
      </c>
      <c r="E73" s="663">
        <v>0</v>
      </c>
      <c r="F73" s="663">
        <v>2.6564398035767778</v>
      </c>
      <c r="G73" s="663">
        <v>0</v>
      </c>
      <c r="H73" s="663">
        <v>28.69836522821614</v>
      </c>
      <c r="I73" s="663">
        <v>0</v>
      </c>
      <c r="J73" s="663">
        <v>0</v>
      </c>
      <c r="K73" s="663">
        <v>0</v>
      </c>
      <c r="L73" s="663">
        <v>35.896639108009097</v>
      </c>
      <c r="M73" s="663">
        <v>0</v>
      </c>
      <c r="N73" s="663">
        <v>0</v>
      </c>
      <c r="O73" s="663">
        <v>17.440485621005948</v>
      </c>
      <c r="P73" s="663">
        <v>97.288022909546527</v>
      </c>
      <c r="Q73" s="663">
        <v>2.574236293616976</v>
      </c>
      <c r="R73" s="663">
        <v>153.30644884049457</v>
      </c>
      <c r="S73" s="663">
        <v>27.523160685886953</v>
      </c>
      <c r="T73" s="663">
        <v>0</v>
      </c>
      <c r="U73" s="671">
        <v>365.383798490353</v>
      </c>
    </row>
    <row r="74" spans="3:21" ht="13">
      <c r="C74" s="670" t="s">
        <v>81</v>
      </c>
      <c r="D74" s="663">
        <v>0</v>
      </c>
      <c r="E74" s="663">
        <v>0</v>
      </c>
      <c r="F74" s="663">
        <v>2.1807410006338563</v>
      </c>
      <c r="G74" s="663">
        <v>0</v>
      </c>
      <c r="H74" s="663">
        <v>15.077359159365459</v>
      </c>
      <c r="I74" s="663">
        <v>0</v>
      </c>
      <c r="J74" s="663">
        <v>0</v>
      </c>
      <c r="K74" s="663">
        <v>0</v>
      </c>
      <c r="L74" s="663">
        <v>0.41672235765550286</v>
      </c>
      <c r="M74" s="663">
        <v>4.2787984175547016E-4</v>
      </c>
      <c r="N74" s="663">
        <v>0</v>
      </c>
      <c r="O74" s="663">
        <v>9.1627681064954078</v>
      </c>
      <c r="P74" s="663">
        <v>23.435320327740932</v>
      </c>
      <c r="Q74" s="663">
        <v>0.98358432216492664</v>
      </c>
      <c r="R74" s="663">
        <v>94.082065678581444</v>
      </c>
      <c r="S74" s="663">
        <v>18.986408903805792</v>
      </c>
      <c r="T74" s="663">
        <v>0</v>
      </c>
      <c r="U74" s="671">
        <v>164.32539773628508</v>
      </c>
    </row>
    <row r="75" spans="3:21" ht="13">
      <c r="C75" s="670" t="s">
        <v>82</v>
      </c>
      <c r="D75" s="663">
        <v>0</v>
      </c>
      <c r="E75" s="663">
        <v>0</v>
      </c>
      <c r="F75" s="663">
        <v>12.977219358559188</v>
      </c>
      <c r="G75" s="663">
        <v>1</v>
      </c>
      <c r="H75" s="663">
        <v>1.1408122878946925</v>
      </c>
      <c r="I75" s="663">
        <v>0</v>
      </c>
      <c r="J75" s="663">
        <v>0</v>
      </c>
      <c r="K75" s="663">
        <v>0</v>
      </c>
      <c r="L75" s="663">
        <v>3.1334095930613137</v>
      </c>
      <c r="M75" s="663">
        <v>0</v>
      </c>
      <c r="N75" s="663">
        <v>12.27694106679661</v>
      </c>
      <c r="O75" s="663">
        <v>0.69329106884918612</v>
      </c>
      <c r="P75" s="663">
        <v>0.9</v>
      </c>
      <c r="Q75" s="663">
        <v>1.1655332190637568</v>
      </c>
      <c r="R75" s="663">
        <v>7.7417893836432903</v>
      </c>
      <c r="S75" s="663">
        <v>0</v>
      </c>
      <c r="T75" s="663">
        <v>0.29485655237537339</v>
      </c>
      <c r="U75" s="671">
        <v>41.3238525302434</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1.118304</v>
      </c>
      <c r="S76" s="663">
        <v>0</v>
      </c>
      <c r="T76" s="663">
        <v>0</v>
      </c>
      <c r="U76" s="671">
        <v>1.118304</v>
      </c>
    </row>
    <row r="77" spans="3:21" ht="13">
      <c r="C77" s="666" t="s">
        <v>83</v>
      </c>
      <c r="D77" s="667">
        <v>3.0761682303728053</v>
      </c>
      <c r="E77" s="667">
        <v>0</v>
      </c>
      <c r="F77" s="667">
        <v>135.36334305148762</v>
      </c>
      <c r="G77" s="667">
        <v>1.7006243456433674</v>
      </c>
      <c r="H77" s="675">
        <v>87.232084624392726</v>
      </c>
      <c r="I77" s="667">
        <v>0</v>
      </c>
      <c r="J77" s="667">
        <v>0</v>
      </c>
      <c r="K77" s="667">
        <v>0</v>
      </c>
      <c r="L77" s="667">
        <v>59.47787670540275</v>
      </c>
      <c r="M77" s="667">
        <v>2.4353867080264098</v>
      </c>
      <c r="N77" s="667">
        <v>77.659003066765948</v>
      </c>
      <c r="O77" s="667">
        <v>53.049208418551629</v>
      </c>
      <c r="P77" s="667">
        <v>128.43983591306872</v>
      </c>
      <c r="Q77" s="667">
        <v>4.7241037369540066</v>
      </c>
      <c r="R77" s="667">
        <v>462.55847852954759</v>
      </c>
      <c r="S77" s="667">
        <v>64.71671371436112</v>
      </c>
      <c r="T77" s="667">
        <v>7.3866191725927441</v>
      </c>
      <c r="U77" s="667">
        <v>1087.8194462171675</v>
      </c>
    </row>
    <row r="78" spans="3:21" ht="13">
      <c r="C78" s="662" t="s">
        <v>84</v>
      </c>
      <c r="D78" s="663">
        <v>0</v>
      </c>
      <c r="E78" s="663">
        <v>0</v>
      </c>
      <c r="F78" s="663">
        <v>69.168370305615824</v>
      </c>
      <c r="G78" s="663">
        <v>4.7904890791412402</v>
      </c>
      <c r="H78" s="663">
        <v>7.4756631455411453</v>
      </c>
      <c r="I78" s="663">
        <v>0</v>
      </c>
      <c r="J78" s="663">
        <v>0</v>
      </c>
      <c r="K78" s="663">
        <v>0</v>
      </c>
      <c r="L78" s="663">
        <v>0.35480318782723769</v>
      </c>
      <c r="M78" s="663">
        <v>0</v>
      </c>
      <c r="N78" s="663">
        <v>14.992643279712595</v>
      </c>
      <c r="O78" s="663">
        <v>2.3404115799640408</v>
      </c>
      <c r="P78" s="663">
        <v>0</v>
      </c>
      <c r="Q78" s="663">
        <v>0</v>
      </c>
      <c r="R78" s="663">
        <v>0</v>
      </c>
      <c r="S78" s="663">
        <v>0</v>
      </c>
      <c r="T78" s="663">
        <v>22.267864395510532</v>
      </c>
      <c r="U78" s="671">
        <v>121.39024497331262</v>
      </c>
    </row>
    <row r="79" spans="3:21" ht="13">
      <c r="C79" s="666" t="s">
        <v>85</v>
      </c>
      <c r="D79" s="667">
        <v>3.0761682303728053</v>
      </c>
      <c r="E79" s="667">
        <v>0</v>
      </c>
      <c r="F79" s="667">
        <v>204.53171335710346</v>
      </c>
      <c r="G79" s="667">
        <v>6.4911134247846078</v>
      </c>
      <c r="H79" s="675">
        <v>94.707747769933874</v>
      </c>
      <c r="I79" s="667">
        <v>0</v>
      </c>
      <c r="J79" s="667">
        <v>0</v>
      </c>
      <c r="K79" s="667">
        <v>0</v>
      </c>
      <c r="L79" s="667">
        <v>59.832679893229987</v>
      </c>
      <c r="M79" s="667">
        <v>2.4353867080264098</v>
      </c>
      <c r="N79" s="667">
        <v>92.651646346478543</v>
      </c>
      <c r="O79" s="667">
        <v>55.38961999851567</v>
      </c>
      <c r="P79" s="667">
        <v>128.43983591306872</v>
      </c>
      <c r="Q79" s="667">
        <v>4.7241037369540066</v>
      </c>
      <c r="R79" s="667">
        <v>462.55847852954759</v>
      </c>
      <c r="S79" s="667">
        <v>64.71671371436112</v>
      </c>
      <c r="T79" s="667">
        <v>29.654483568103277</v>
      </c>
      <c r="U79" s="667">
        <v>1209.20969119048</v>
      </c>
    </row>
    <row r="80" spans="3:21">
      <c r="C80" s="654"/>
      <c r="D80" s="672">
        <v>0</v>
      </c>
      <c r="E80" s="672">
        <v>0</v>
      </c>
      <c r="F80" s="672">
        <v>0</v>
      </c>
      <c r="G80" s="672">
        <v>0</v>
      </c>
      <c r="H80" s="672">
        <v>0</v>
      </c>
      <c r="I80" s="672">
        <v>0</v>
      </c>
      <c r="J80" s="672">
        <v>0</v>
      </c>
      <c r="K80" s="672">
        <v>0</v>
      </c>
      <c r="L80" s="672">
        <v>0</v>
      </c>
      <c r="M80" s="672">
        <v>0</v>
      </c>
      <c r="N80" s="672">
        <v>0</v>
      </c>
      <c r="O80" s="672">
        <v>-1.1546319456101628E-14</v>
      </c>
      <c r="P80" s="672">
        <v>0</v>
      </c>
      <c r="Q80" s="672">
        <v>0</v>
      </c>
      <c r="R80" s="672">
        <v>5.6843418860808015E-14</v>
      </c>
      <c r="S80" s="672">
        <v>0</v>
      </c>
      <c r="T80" s="672">
        <v>9.9920072216264089E-16</v>
      </c>
      <c r="U80" s="672">
        <v>0</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363</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0</v>
      </c>
      <c r="F86" s="663">
        <v>0</v>
      </c>
      <c r="G86" s="663">
        <v>0</v>
      </c>
      <c r="H86" s="663">
        <v>0</v>
      </c>
      <c r="I86" s="663">
        <v>0</v>
      </c>
      <c r="J86" s="664">
        <v>965.91438750259681</v>
      </c>
      <c r="K86" s="664">
        <v>340.77058420783555</v>
      </c>
      <c r="L86" s="664">
        <v>306.24907142960961</v>
      </c>
      <c r="M86" s="664">
        <v>26.996685887157991</v>
      </c>
      <c r="N86" s="663">
        <v>1.5769202529293118</v>
      </c>
      <c r="O86" s="663">
        <v>0.16705675062100381</v>
      </c>
      <c r="P86" s="664">
        <v>137.63232647396575</v>
      </c>
      <c r="Q86" s="664">
        <v>22.505061443653027</v>
      </c>
      <c r="R86" s="663">
        <v>0</v>
      </c>
      <c r="S86" s="663">
        <v>0</v>
      </c>
      <c r="T86" s="663">
        <v>0</v>
      </c>
      <c r="U86" s="665">
        <v>1801.812093948369</v>
      </c>
    </row>
    <row r="87" spans="3:21" ht="13">
      <c r="C87" s="662" t="s">
        <v>60</v>
      </c>
      <c r="D87" s="663">
        <v>12.402103294712147</v>
      </c>
      <c r="E87" s="663">
        <v>267.59952869557856</v>
      </c>
      <c r="F87" s="663">
        <v>4.6624671135986846</v>
      </c>
      <c r="G87" s="663">
        <v>0</v>
      </c>
      <c r="H87" s="663">
        <v>96.376212667923994</v>
      </c>
      <c r="I87" s="663">
        <v>0</v>
      </c>
      <c r="J87" s="663">
        <v>0</v>
      </c>
      <c r="K87" s="663">
        <v>0</v>
      </c>
      <c r="L87" s="663">
        <v>4.1311012816916577</v>
      </c>
      <c r="M87" s="663">
        <v>0</v>
      </c>
      <c r="N87" s="663">
        <v>4.3268221557656901</v>
      </c>
      <c r="O87" s="663">
        <v>0</v>
      </c>
      <c r="P87" s="663">
        <v>0</v>
      </c>
      <c r="Q87" s="663">
        <v>0</v>
      </c>
      <c r="R87" s="663">
        <v>0</v>
      </c>
      <c r="S87" s="663">
        <v>0</v>
      </c>
      <c r="T87" s="663">
        <v>0</v>
      </c>
      <c r="U87" s="665">
        <v>389.49823520927077</v>
      </c>
    </row>
    <row r="88" spans="3:21" ht="13">
      <c r="C88" s="662" t="s">
        <v>61</v>
      </c>
      <c r="D88" s="663">
        <v>0</v>
      </c>
      <c r="E88" s="663">
        <v>0</v>
      </c>
      <c r="F88" s="663">
        <v>-48.857560720144178</v>
      </c>
      <c r="G88" s="663">
        <v>-1.2901681691857902E-2</v>
      </c>
      <c r="H88" s="663">
        <v>0</v>
      </c>
      <c r="I88" s="663">
        <v>0</v>
      </c>
      <c r="J88" s="663">
        <v>0</v>
      </c>
      <c r="K88" s="663">
        <v>0</v>
      </c>
      <c r="L88" s="663">
        <v>0</v>
      </c>
      <c r="M88" s="663">
        <v>0</v>
      </c>
      <c r="N88" s="663">
        <v>0</v>
      </c>
      <c r="O88" s="663">
        <v>0</v>
      </c>
      <c r="P88" s="663">
        <v>0</v>
      </c>
      <c r="Q88" s="663">
        <v>0</v>
      </c>
      <c r="R88" s="663">
        <v>-40.000273468658179</v>
      </c>
      <c r="S88" s="663">
        <v>0</v>
      </c>
      <c r="T88" s="663">
        <v>0</v>
      </c>
      <c r="U88" s="665">
        <v>-88.870735870494215</v>
      </c>
    </row>
    <row r="89" spans="3:21" ht="13">
      <c r="C89" s="662" t="s">
        <v>62</v>
      </c>
      <c r="D89" s="663">
        <v>0</v>
      </c>
      <c r="E89" s="663">
        <v>0</v>
      </c>
      <c r="F89" s="663">
        <v>-9.1118704229779723</v>
      </c>
      <c r="G89" s="663">
        <v>-2.3970976911906821</v>
      </c>
      <c r="H89" s="663">
        <v>-2.3731267142787753</v>
      </c>
      <c r="I89" s="663">
        <v>0</v>
      </c>
      <c r="J89" s="663">
        <v>0</v>
      </c>
      <c r="K89" s="663">
        <v>0</v>
      </c>
      <c r="L89" s="663">
        <v>0</v>
      </c>
      <c r="M89" s="663">
        <v>0</v>
      </c>
      <c r="N89" s="663">
        <v>-0.47941953823813638</v>
      </c>
      <c r="O89" s="663">
        <v>-1.9416491298644523</v>
      </c>
      <c r="P89" s="663">
        <v>0</v>
      </c>
      <c r="Q89" s="663">
        <v>0</v>
      </c>
      <c r="R89" s="663">
        <v>0</v>
      </c>
      <c r="S89" s="663">
        <v>0</v>
      </c>
      <c r="T89" s="663">
        <v>0</v>
      </c>
      <c r="U89" s="665">
        <v>-16.30316349655002</v>
      </c>
    </row>
    <row r="90" spans="3:21" ht="13">
      <c r="C90" s="662" t="s">
        <v>63</v>
      </c>
      <c r="D90" s="663">
        <v>0</v>
      </c>
      <c r="E90" s="663">
        <v>0</v>
      </c>
      <c r="F90" s="663">
        <v>-46.962205061788246</v>
      </c>
      <c r="G90" s="663">
        <v>-11.133901046695911</v>
      </c>
      <c r="H90" s="663">
        <v>0</v>
      </c>
      <c r="I90" s="663">
        <v>0</v>
      </c>
      <c r="J90" s="663">
        <v>0</v>
      </c>
      <c r="K90" s="663">
        <v>0</v>
      </c>
      <c r="L90" s="663">
        <v>0</v>
      </c>
      <c r="M90" s="663">
        <v>0</v>
      </c>
      <c r="N90" s="663">
        <v>-14.072022489882162</v>
      </c>
      <c r="O90" s="663">
        <v>0</v>
      </c>
      <c r="P90" s="663">
        <v>0</v>
      </c>
      <c r="Q90" s="663">
        <v>0</v>
      </c>
      <c r="R90" s="663">
        <v>0</v>
      </c>
      <c r="S90" s="663">
        <v>0</v>
      </c>
      <c r="T90" s="663">
        <v>-0.66460812232862176</v>
      </c>
      <c r="U90" s="665">
        <v>-72.832736720694939</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12.402103294712147</v>
      </c>
      <c r="E92" s="667">
        <v>267.59952869557856</v>
      </c>
      <c r="F92" s="667">
        <v>-100.26916909131171</v>
      </c>
      <c r="G92" s="667">
        <v>-13.543900419578451</v>
      </c>
      <c r="H92" s="675">
        <v>94.003085953645225</v>
      </c>
      <c r="I92" s="667">
        <v>0</v>
      </c>
      <c r="J92" s="667">
        <v>965.91438750259681</v>
      </c>
      <c r="K92" s="667">
        <v>340.77058420783555</v>
      </c>
      <c r="L92" s="667">
        <v>310.38017271130127</v>
      </c>
      <c r="M92" s="667">
        <v>26.996685887157991</v>
      </c>
      <c r="N92" s="667">
        <v>-8.647699619425298</v>
      </c>
      <c r="O92" s="667">
        <v>-1.7745923792434484</v>
      </c>
      <c r="P92" s="667">
        <v>137.63232647396575</v>
      </c>
      <c r="Q92" s="667">
        <v>22.505061443653027</v>
      </c>
      <c r="R92" s="667">
        <v>-40.000273468658179</v>
      </c>
      <c r="S92" s="667">
        <v>0</v>
      </c>
      <c r="T92" s="667">
        <v>-0.66460812232862176</v>
      </c>
      <c r="U92" s="667">
        <v>2013.3036930699004</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6.6151953400033478E-2</v>
      </c>
      <c r="G95" s="663">
        <v>0</v>
      </c>
      <c r="H95" s="663">
        <v>5.4310272511854434</v>
      </c>
      <c r="I95" s="663">
        <v>0</v>
      </c>
      <c r="J95" s="663">
        <v>965.91438750259681</v>
      </c>
      <c r="K95" s="663">
        <v>340.77058420783555</v>
      </c>
      <c r="L95" s="663">
        <v>20.176267010584041</v>
      </c>
      <c r="M95" s="663">
        <v>10.227645630646329</v>
      </c>
      <c r="N95" s="663">
        <v>5.6269378379330357</v>
      </c>
      <c r="O95" s="663">
        <v>1.4716569620482758</v>
      </c>
      <c r="P95" s="663">
        <v>0</v>
      </c>
      <c r="Q95" s="663">
        <v>6.4327567473291545</v>
      </c>
      <c r="R95" s="663">
        <v>-682.09415881935547</v>
      </c>
      <c r="S95" s="663">
        <v>0</v>
      </c>
      <c r="T95" s="663">
        <v>3.1982839297450432</v>
      </c>
      <c r="U95" s="671">
        <v>677.22154021394851</v>
      </c>
    </row>
    <row r="96" spans="3:21" ht="13">
      <c r="C96" s="670" t="s">
        <v>351</v>
      </c>
      <c r="D96" s="663">
        <v>0</v>
      </c>
      <c r="E96" s="663">
        <v>0</v>
      </c>
      <c r="F96" s="663">
        <v>0</v>
      </c>
      <c r="G96" s="663">
        <v>0</v>
      </c>
      <c r="H96" s="663">
        <v>7.4585129183309293</v>
      </c>
      <c r="I96" s="663">
        <v>0</v>
      </c>
      <c r="J96" s="663">
        <v>0</v>
      </c>
      <c r="K96" s="663">
        <v>0</v>
      </c>
      <c r="L96" s="663">
        <v>35.547730315639996</v>
      </c>
      <c r="M96" s="663">
        <v>14.387113593265058</v>
      </c>
      <c r="N96" s="663">
        <v>0</v>
      </c>
      <c r="O96" s="663">
        <v>6.1169134542385972</v>
      </c>
      <c r="P96" s="663">
        <v>0</v>
      </c>
      <c r="Q96" s="663">
        <v>11.02899005085181</v>
      </c>
      <c r="R96" s="663">
        <v>0</v>
      </c>
      <c r="S96" s="663">
        <v>-69.303608577230833</v>
      </c>
      <c r="T96" s="663">
        <v>0</v>
      </c>
      <c r="U96" s="671">
        <v>5.235651755095569</v>
      </c>
    </row>
    <row r="97" spans="3:21" ht="13">
      <c r="C97" s="670" t="s">
        <v>352</v>
      </c>
      <c r="D97" s="663">
        <v>0</v>
      </c>
      <c r="E97" s="663">
        <v>0</v>
      </c>
      <c r="F97" s="663">
        <v>0</v>
      </c>
      <c r="G97" s="663">
        <v>0</v>
      </c>
      <c r="H97" s="663">
        <v>0</v>
      </c>
      <c r="I97" s="663">
        <v>0</v>
      </c>
      <c r="J97" s="663">
        <v>0</v>
      </c>
      <c r="K97" s="663">
        <v>0</v>
      </c>
      <c r="L97" s="663">
        <v>78.995354979464977</v>
      </c>
      <c r="M97" s="663">
        <v>0</v>
      </c>
      <c r="N97" s="663">
        <v>0</v>
      </c>
      <c r="O97" s="663">
        <v>-72.973515141642281</v>
      </c>
      <c r="P97" s="663">
        <v>0</v>
      </c>
      <c r="Q97" s="663">
        <v>0</v>
      </c>
      <c r="R97" s="663">
        <v>0</v>
      </c>
      <c r="S97" s="663">
        <v>0</v>
      </c>
      <c r="T97" s="663">
        <v>0</v>
      </c>
      <c r="U97" s="671">
        <v>6.0218398378226965</v>
      </c>
    </row>
    <row r="98" spans="3:21" ht="13">
      <c r="C98" s="670" t="s">
        <v>353</v>
      </c>
      <c r="D98" s="663">
        <v>0</v>
      </c>
      <c r="E98" s="663">
        <v>0</v>
      </c>
      <c r="F98" s="663">
        <v>0</v>
      </c>
      <c r="G98" s="663">
        <v>0</v>
      </c>
      <c r="H98" s="663">
        <v>0</v>
      </c>
      <c r="I98" s="663">
        <v>0</v>
      </c>
      <c r="J98" s="663">
        <v>0</v>
      </c>
      <c r="K98" s="663">
        <v>0</v>
      </c>
      <c r="L98" s="663">
        <v>0</v>
      </c>
      <c r="M98" s="663">
        <v>0</v>
      </c>
      <c r="N98" s="663">
        <v>0</v>
      </c>
      <c r="O98" s="663">
        <v>0</v>
      </c>
      <c r="P98" s="663">
        <v>0</v>
      </c>
      <c r="Q98" s="663">
        <v>0</v>
      </c>
      <c r="R98" s="663">
        <v>0</v>
      </c>
      <c r="S98" s="663">
        <v>0</v>
      </c>
      <c r="T98" s="663">
        <v>0</v>
      </c>
      <c r="U98" s="671">
        <v>0</v>
      </c>
    </row>
    <row r="99" spans="3:21" ht="13">
      <c r="C99" s="670" t="s">
        <v>72</v>
      </c>
      <c r="D99" s="663">
        <v>0</v>
      </c>
      <c r="E99" s="663">
        <v>277.28994248668886</v>
      </c>
      <c r="F99" s="663">
        <v>-274.5252708068171</v>
      </c>
      <c r="G99" s="663">
        <v>0</v>
      </c>
      <c r="H99" s="663">
        <v>0</v>
      </c>
      <c r="I99" s="663">
        <v>0</v>
      </c>
      <c r="J99" s="663">
        <v>0</v>
      </c>
      <c r="K99" s="663">
        <v>0</v>
      </c>
      <c r="L99" s="663">
        <v>0</v>
      </c>
      <c r="M99" s="663">
        <v>0</v>
      </c>
      <c r="N99" s="663">
        <v>0</v>
      </c>
      <c r="O99" s="663">
        <v>0</v>
      </c>
      <c r="P99" s="663">
        <v>0</v>
      </c>
      <c r="Q99" s="663">
        <v>0</v>
      </c>
      <c r="R99" s="663">
        <v>0</v>
      </c>
      <c r="S99" s="663">
        <v>0</v>
      </c>
      <c r="T99" s="663">
        <v>0</v>
      </c>
      <c r="U99" s="671">
        <v>2.7646716798717357</v>
      </c>
    </row>
    <row r="100" spans="3:21" ht="13">
      <c r="C100" s="670" t="s">
        <v>354</v>
      </c>
      <c r="D100" s="663">
        <v>0</v>
      </c>
      <c r="E100" s="663">
        <v>0</v>
      </c>
      <c r="F100" s="663">
        <v>0</v>
      </c>
      <c r="G100" s="663">
        <v>0</v>
      </c>
      <c r="H100" s="663">
        <v>0</v>
      </c>
      <c r="I100" s="663">
        <v>0</v>
      </c>
      <c r="J100" s="663">
        <v>0</v>
      </c>
      <c r="K100" s="663">
        <v>0</v>
      </c>
      <c r="L100" s="663">
        <v>117.50933865541684</v>
      </c>
      <c r="M100" s="663">
        <v>0</v>
      </c>
      <c r="N100" s="663">
        <v>-117.50933865541684</v>
      </c>
      <c r="O100" s="663">
        <v>0</v>
      </c>
      <c r="P100" s="663">
        <v>0</v>
      </c>
      <c r="Q100" s="663">
        <v>0</v>
      </c>
      <c r="R100" s="663">
        <v>0</v>
      </c>
      <c r="S100" s="663">
        <v>0</v>
      </c>
      <c r="T100" s="663">
        <v>0</v>
      </c>
      <c r="U100" s="671">
        <v>0</v>
      </c>
    </row>
    <row r="101" spans="3:21" ht="13">
      <c r="C101" s="670" t="s">
        <v>355</v>
      </c>
      <c r="D101" s="663">
        <v>0</v>
      </c>
      <c r="E101" s="663">
        <v>0</v>
      </c>
      <c r="F101" s="663">
        <v>0</v>
      </c>
      <c r="G101" s="663">
        <v>-21.910962558722186</v>
      </c>
      <c r="H101" s="663">
        <v>0</v>
      </c>
      <c r="I101" s="663">
        <v>0</v>
      </c>
      <c r="J101" s="663">
        <v>0</v>
      </c>
      <c r="K101" s="663">
        <v>0</v>
      </c>
      <c r="L101" s="663">
        <v>0</v>
      </c>
      <c r="M101" s="663">
        <v>0</v>
      </c>
      <c r="N101" s="663">
        <v>0</v>
      </c>
      <c r="O101" s="663">
        <v>0</v>
      </c>
      <c r="P101" s="663">
        <v>0</v>
      </c>
      <c r="Q101" s="663">
        <v>0</v>
      </c>
      <c r="R101" s="663">
        <v>0</v>
      </c>
      <c r="S101" s="663">
        <v>0</v>
      </c>
      <c r="T101" s="663">
        <v>30.516660945295527</v>
      </c>
      <c r="U101" s="671">
        <v>8.6056983865733407</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99.340394157506324</v>
      </c>
      <c r="S102" s="663">
        <v>0</v>
      </c>
      <c r="T102" s="663">
        <v>-68.048169997891833</v>
      </c>
      <c r="U102" s="671">
        <v>31.292224159614491</v>
      </c>
    </row>
    <row r="103" spans="3:21" ht="13">
      <c r="C103" s="670" t="s">
        <v>356</v>
      </c>
      <c r="D103" s="663">
        <v>6.9248988281249995</v>
      </c>
      <c r="E103" s="663">
        <v>-9.6904137911102683</v>
      </c>
      <c r="F103" s="663">
        <v>12.633678677299837</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9.8681637143145693</v>
      </c>
    </row>
    <row r="104" spans="3:21" ht="13">
      <c r="C104" s="670" t="s">
        <v>75</v>
      </c>
      <c r="D104" s="663">
        <v>2.6930162109375</v>
      </c>
      <c r="E104" s="663">
        <v>0</v>
      </c>
      <c r="F104" s="663">
        <v>17.882981772477446</v>
      </c>
      <c r="G104" s="663">
        <v>0</v>
      </c>
      <c r="H104" s="663">
        <v>2.8438669910513061</v>
      </c>
      <c r="I104" s="663">
        <v>0</v>
      </c>
      <c r="J104" s="663">
        <v>0</v>
      </c>
      <c r="K104" s="663">
        <v>0</v>
      </c>
      <c r="L104" s="663">
        <v>0</v>
      </c>
      <c r="M104" s="663">
        <v>0</v>
      </c>
      <c r="N104" s="663">
        <v>0</v>
      </c>
      <c r="O104" s="663">
        <v>2.3268002654056139</v>
      </c>
      <c r="P104" s="663">
        <v>0</v>
      </c>
      <c r="Q104" s="663">
        <v>0</v>
      </c>
      <c r="R104" s="663">
        <v>23.896357926698794</v>
      </c>
      <c r="S104" s="663">
        <v>0</v>
      </c>
      <c r="T104" s="663">
        <v>0</v>
      </c>
      <c r="U104" s="671">
        <v>49.643023166570657</v>
      </c>
    </row>
    <row r="105" spans="3:21" ht="13">
      <c r="C105" s="670" t="s">
        <v>76</v>
      </c>
      <c r="D105" s="663">
        <v>0</v>
      </c>
      <c r="E105" s="663">
        <v>0</v>
      </c>
      <c r="F105" s="663">
        <v>0</v>
      </c>
      <c r="G105" s="663">
        <v>0</v>
      </c>
      <c r="H105" s="663">
        <v>1.042848686512976</v>
      </c>
      <c r="I105" s="663">
        <v>0</v>
      </c>
      <c r="J105" s="663">
        <v>0</v>
      </c>
      <c r="K105" s="663">
        <v>0</v>
      </c>
      <c r="L105" s="663">
        <v>0</v>
      </c>
      <c r="M105" s="663">
        <v>0</v>
      </c>
      <c r="N105" s="663">
        <v>0</v>
      </c>
      <c r="O105" s="663">
        <v>0.85323983441970752</v>
      </c>
      <c r="P105" s="663">
        <v>0</v>
      </c>
      <c r="Q105" s="663">
        <v>0</v>
      </c>
      <c r="R105" s="663">
        <v>49.147245311640418</v>
      </c>
      <c r="S105" s="663">
        <v>5.3750429512534854</v>
      </c>
      <c r="T105" s="663">
        <v>0</v>
      </c>
      <c r="U105" s="671">
        <v>56.418376783826595</v>
      </c>
    </row>
    <row r="106" spans="3:21" ht="13">
      <c r="C106" s="666" t="s">
        <v>77</v>
      </c>
      <c r="D106" s="667">
        <v>9.617915039062499</v>
      </c>
      <c r="E106" s="667">
        <v>267.59952869557856</v>
      </c>
      <c r="F106" s="667">
        <v>-243.94245840363976</v>
      </c>
      <c r="G106" s="667">
        <v>-21.910962558722186</v>
      </c>
      <c r="H106" s="675">
        <v>16.776255847080655</v>
      </c>
      <c r="I106" s="667">
        <v>0</v>
      </c>
      <c r="J106" s="667">
        <v>965.91438750259681</v>
      </c>
      <c r="K106" s="667">
        <v>340.77058420783555</v>
      </c>
      <c r="L106" s="667">
        <v>252.22869096110585</v>
      </c>
      <c r="M106" s="667">
        <v>24.614759223911388</v>
      </c>
      <c r="N106" s="667">
        <v>-111.8824008174838</v>
      </c>
      <c r="O106" s="667">
        <v>-62.204904625530084</v>
      </c>
      <c r="P106" s="667">
        <v>0</v>
      </c>
      <c r="Q106" s="667">
        <v>17.461746798180965</v>
      </c>
      <c r="R106" s="667">
        <v>-509.71016142350987</v>
      </c>
      <c r="S106" s="667">
        <v>-63.928565625977342</v>
      </c>
      <c r="T106" s="667">
        <v>-34.33322512285126</v>
      </c>
      <c r="U106" s="667">
        <v>847.07118969763815</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2.7841882556496467</v>
      </c>
      <c r="E108" s="663">
        <v>0</v>
      </c>
      <c r="F108" s="663">
        <v>5.1952563518908157</v>
      </c>
      <c r="G108" s="663">
        <v>0</v>
      </c>
      <c r="H108" s="663">
        <v>31.335146641416099</v>
      </c>
      <c r="I108" s="663">
        <v>0</v>
      </c>
      <c r="J108" s="663">
        <v>0</v>
      </c>
      <c r="K108" s="663">
        <v>0</v>
      </c>
      <c r="L108" s="663">
        <v>19.866368456853682</v>
      </c>
      <c r="M108" s="663">
        <v>2.3815254498716123</v>
      </c>
      <c r="N108" s="663">
        <v>2.1415231567382813</v>
      </c>
      <c r="O108" s="663">
        <v>25.676510059650784</v>
      </c>
      <c r="P108" s="663">
        <v>7.6335380859375004</v>
      </c>
      <c r="Q108" s="663">
        <v>7.8820466826144567E-4</v>
      </c>
      <c r="R108" s="663">
        <v>133.1889583814887</v>
      </c>
      <c r="S108" s="663">
        <v>18.276712147761906</v>
      </c>
      <c r="T108" s="663">
        <v>4.7382089843750004</v>
      </c>
      <c r="U108" s="671">
        <v>253.21872417630229</v>
      </c>
    </row>
    <row r="109" spans="3:21" ht="13">
      <c r="C109" s="670" t="s">
        <v>79</v>
      </c>
      <c r="D109" s="663">
        <v>0</v>
      </c>
      <c r="E109" s="663">
        <v>0</v>
      </c>
      <c r="F109" s="663">
        <v>62.42121803575882</v>
      </c>
      <c r="G109" s="663">
        <v>0.9171283606012931</v>
      </c>
      <c r="H109" s="663">
        <v>3.2777834936114583</v>
      </c>
      <c r="I109" s="663">
        <v>0</v>
      </c>
      <c r="J109" s="663">
        <v>0</v>
      </c>
      <c r="K109" s="663">
        <v>0</v>
      </c>
      <c r="L109" s="663">
        <v>0</v>
      </c>
      <c r="M109" s="663">
        <v>0</v>
      </c>
      <c r="N109" s="663">
        <v>70.675893572317364</v>
      </c>
      <c r="O109" s="663">
        <v>2.6818228584093751</v>
      </c>
      <c r="P109" s="663">
        <v>0</v>
      </c>
      <c r="Q109" s="663">
        <v>0</v>
      </c>
      <c r="R109" s="663">
        <v>85.601807225833156</v>
      </c>
      <c r="S109" s="663">
        <v>0</v>
      </c>
      <c r="T109" s="663">
        <v>3.5812873698124483</v>
      </c>
      <c r="U109" s="671">
        <v>229.15694091634393</v>
      </c>
    </row>
    <row r="110" spans="3:21" ht="13">
      <c r="C110" s="670" t="s">
        <v>80</v>
      </c>
      <c r="D110" s="663">
        <v>0</v>
      </c>
      <c r="E110" s="663">
        <v>0</v>
      </c>
      <c r="F110" s="663">
        <v>2.2535083725168867</v>
      </c>
      <c r="G110" s="663">
        <v>0</v>
      </c>
      <c r="H110" s="663">
        <v>22.547534156690407</v>
      </c>
      <c r="I110" s="663">
        <v>0</v>
      </c>
      <c r="J110" s="663">
        <v>0</v>
      </c>
      <c r="K110" s="663">
        <v>0</v>
      </c>
      <c r="L110" s="663">
        <v>34.097641504490639</v>
      </c>
      <c r="M110" s="663">
        <v>0</v>
      </c>
      <c r="N110" s="663">
        <v>0</v>
      </c>
      <c r="O110" s="663">
        <v>18.447982491837607</v>
      </c>
      <c r="P110" s="663">
        <v>103.59461616627088</v>
      </c>
      <c r="Q110" s="663">
        <v>2.7285855468891569</v>
      </c>
      <c r="R110" s="663">
        <v>149.5228289340921</v>
      </c>
      <c r="S110" s="663">
        <v>26.593767108522837</v>
      </c>
      <c r="T110" s="663">
        <v>0</v>
      </c>
      <c r="U110" s="671">
        <v>359.78646428131054</v>
      </c>
    </row>
    <row r="111" spans="3:21" ht="13">
      <c r="C111" s="670" t="s">
        <v>81</v>
      </c>
      <c r="D111" s="663">
        <v>0</v>
      </c>
      <c r="E111" s="663">
        <v>0</v>
      </c>
      <c r="F111" s="663">
        <v>1.3399462790047187</v>
      </c>
      <c r="G111" s="663">
        <v>0</v>
      </c>
      <c r="H111" s="663">
        <v>12.344523773070179</v>
      </c>
      <c r="I111" s="663">
        <v>0</v>
      </c>
      <c r="J111" s="663">
        <v>0</v>
      </c>
      <c r="K111" s="663">
        <v>0</v>
      </c>
      <c r="L111" s="663">
        <v>0.40515733033320123</v>
      </c>
      <c r="M111" s="663">
        <v>4.0121337498856221E-4</v>
      </c>
      <c r="N111" s="663">
        <v>0</v>
      </c>
      <c r="O111" s="663">
        <v>10.100064905239238</v>
      </c>
      <c r="P111" s="663">
        <v>25.404172221757367</v>
      </c>
      <c r="Q111" s="663">
        <v>1.0133205125094877</v>
      </c>
      <c r="R111" s="663">
        <v>92.228183694440688</v>
      </c>
      <c r="S111" s="663">
        <v>19.0580863696926</v>
      </c>
      <c r="T111" s="663">
        <v>0</v>
      </c>
      <c r="U111" s="671">
        <v>161.89385629942248</v>
      </c>
    </row>
    <row r="112" spans="3:21" ht="13">
      <c r="C112" s="670" t="s">
        <v>82</v>
      </c>
      <c r="D112" s="663">
        <v>0</v>
      </c>
      <c r="E112" s="663">
        <v>0</v>
      </c>
      <c r="F112" s="663">
        <v>9.0097391312566604</v>
      </c>
      <c r="G112" s="663">
        <v>1.6</v>
      </c>
      <c r="H112" s="663">
        <v>0.98973128577551672</v>
      </c>
      <c r="I112" s="663">
        <v>0</v>
      </c>
      <c r="J112" s="663">
        <v>0</v>
      </c>
      <c r="K112" s="663">
        <v>0</v>
      </c>
      <c r="L112" s="663">
        <v>3.3736621545342089</v>
      </c>
      <c r="M112" s="663">
        <v>0</v>
      </c>
      <c r="N112" s="663">
        <v>14.289145060057182</v>
      </c>
      <c r="O112" s="663">
        <v>0.80978014290724099</v>
      </c>
      <c r="P112" s="663">
        <v>1</v>
      </c>
      <c r="Q112" s="663">
        <v>1.300620381405156</v>
      </c>
      <c r="R112" s="663">
        <v>7.76122971899715</v>
      </c>
      <c r="S112" s="663">
        <v>0</v>
      </c>
      <c r="T112" s="663">
        <v>0.325155095351289</v>
      </c>
      <c r="U112" s="671">
        <v>40.459062970284407</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1.4068800000000001</v>
      </c>
      <c r="S113" s="663">
        <v>0</v>
      </c>
      <c r="T113" s="663">
        <v>0</v>
      </c>
      <c r="U113" s="671">
        <v>1.4068800000000001</v>
      </c>
    </row>
    <row r="114" spans="3:21" ht="13">
      <c r="C114" s="666" t="s">
        <v>83</v>
      </c>
      <c r="D114" s="667">
        <v>2.7841882556496467</v>
      </c>
      <c r="E114" s="667">
        <v>0</v>
      </c>
      <c r="F114" s="667">
        <v>80.219668170427894</v>
      </c>
      <c r="G114" s="667">
        <v>2.5171283606012933</v>
      </c>
      <c r="H114" s="675">
        <v>70.494719350563656</v>
      </c>
      <c r="I114" s="667">
        <v>0</v>
      </c>
      <c r="J114" s="667">
        <v>0</v>
      </c>
      <c r="K114" s="667">
        <v>0</v>
      </c>
      <c r="L114" s="667">
        <v>57.742829446211736</v>
      </c>
      <c r="M114" s="667">
        <v>2.3819266632466007</v>
      </c>
      <c r="N114" s="667">
        <v>87.106561789112831</v>
      </c>
      <c r="O114" s="667">
        <v>57.71616045804425</v>
      </c>
      <c r="P114" s="667">
        <v>137.63232647396575</v>
      </c>
      <c r="Q114" s="667">
        <v>5.0433146454720621</v>
      </c>
      <c r="R114" s="667">
        <v>469.70988795485181</v>
      </c>
      <c r="S114" s="667">
        <v>63.928565625977342</v>
      </c>
      <c r="T114" s="667">
        <v>8.6446514495387365</v>
      </c>
      <c r="U114" s="667">
        <v>1045.9219286436637</v>
      </c>
    </row>
    <row r="115" spans="3:21" ht="13">
      <c r="C115" s="662" t="s">
        <v>84</v>
      </c>
      <c r="D115" s="663">
        <v>0</v>
      </c>
      <c r="E115" s="663">
        <v>0</v>
      </c>
      <c r="F115" s="663">
        <v>63.453621141900157</v>
      </c>
      <c r="G115" s="663">
        <v>5.849933778542443</v>
      </c>
      <c r="H115" s="663">
        <v>6.7321107560009157</v>
      </c>
      <c r="I115" s="663">
        <v>0</v>
      </c>
      <c r="J115" s="663">
        <v>0</v>
      </c>
      <c r="K115" s="663">
        <v>0</v>
      </c>
      <c r="L115" s="663">
        <v>0.4086523039836884</v>
      </c>
      <c r="M115" s="663">
        <v>0</v>
      </c>
      <c r="N115" s="663">
        <v>16.128139408945682</v>
      </c>
      <c r="O115" s="663">
        <v>2.7141517882424018</v>
      </c>
      <c r="P115" s="663">
        <v>0</v>
      </c>
      <c r="Q115" s="663">
        <v>0</v>
      </c>
      <c r="R115" s="663">
        <v>0</v>
      </c>
      <c r="S115" s="663">
        <v>0</v>
      </c>
      <c r="T115" s="663">
        <v>25.023965550983899</v>
      </c>
      <c r="U115" s="671">
        <v>120.31057472859921</v>
      </c>
    </row>
    <row r="116" spans="3:21" ht="13">
      <c r="C116" s="666" t="s">
        <v>85</v>
      </c>
      <c r="D116" s="667">
        <v>2.7841882556496467</v>
      </c>
      <c r="E116" s="667">
        <v>0</v>
      </c>
      <c r="F116" s="667">
        <v>143.67328931232805</v>
      </c>
      <c r="G116" s="667">
        <v>8.3670621391437372</v>
      </c>
      <c r="H116" s="675">
        <v>77.226830106564577</v>
      </c>
      <c r="I116" s="667">
        <v>0</v>
      </c>
      <c r="J116" s="667">
        <v>0</v>
      </c>
      <c r="K116" s="667">
        <v>0</v>
      </c>
      <c r="L116" s="667">
        <v>58.151481750195423</v>
      </c>
      <c r="M116" s="667">
        <v>2.3819266632466007</v>
      </c>
      <c r="N116" s="667">
        <v>103.23470119805852</v>
      </c>
      <c r="O116" s="667">
        <v>60.430312246286654</v>
      </c>
      <c r="P116" s="667">
        <v>137.63232647396575</v>
      </c>
      <c r="Q116" s="667">
        <v>5.0433146454720621</v>
      </c>
      <c r="R116" s="667">
        <v>469.70988795485181</v>
      </c>
      <c r="S116" s="667">
        <v>63.928565625977342</v>
      </c>
      <c r="T116" s="667">
        <v>33.668617000522637</v>
      </c>
      <c r="U116" s="667">
        <v>1166.2325033722627</v>
      </c>
    </row>
    <row r="117" spans="3:21">
      <c r="C117" s="654"/>
      <c r="D117" s="672">
        <v>0</v>
      </c>
      <c r="E117" s="672">
        <v>0</v>
      </c>
      <c r="F117" s="672">
        <v>0</v>
      </c>
      <c r="G117" s="672">
        <v>0</v>
      </c>
      <c r="H117" s="672">
        <v>0</v>
      </c>
      <c r="I117" s="672">
        <v>0</v>
      </c>
      <c r="J117" s="672">
        <v>0</v>
      </c>
      <c r="K117" s="672">
        <v>0</v>
      </c>
      <c r="L117" s="672">
        <v>0</v>
      </c>
      <c r="M117" s="672">
        <v>0</v>
      </c>
      <c r="N117" s="672">
        <v>1.5987211554602254E-14</v>
      </c>
      <c r="O117" s="672">
        <v>1.865174681370263E-14</v>
      </c>
      <c r="P117" s="672">
        <v>0</v>
      </c>
      <c r="Q117" s="672">
        <v>0</v>
      </c>
      <c r="R117" s="672">
        <v>1.1368683772161603E-13</v>
      </c>
      <c r="S117" s="672">
        <v>0</v>
      </c>
      <c r="T117" s="672">
        <v>-1.3322676295501878E-15</v>
      </c>
      <c r="U117" s="672">
        <v>0</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523</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0</v>
      </c>
      <c r="F123" s="663">
        <v>0</v>
      </c>
      <c r="G123" s="663">
        <v>0</v>
      </c>
      <c r="H123" s="663">
        <v>0</v>
      </c>
      <c r="I123" s="663">
        <v>0</v>
      </c>
      <c r="J123" s="664">
        <v>887.88984586571985</v>
      </c>
      <c r="K123" s="664">
        <v>396.24410449971316</v>
      </c>
      <c r="L123" s="664">
        <v>299.20080257603973</v>
      </c>
      <c r="M123" s="664">
        <v>23.973968003405336</v>
      </c>
      <c r="N123" s="663">
        <v>1.638642873490971</v>
      </c>
      <c r="O123" s="663">
        <v>0.1692153726460352</v>
      </c>
      <c r="P123" s="664">
        <v>148.52009865212395</v>
      </c>
      <c r="Q123" s="664">
        <v>23.099478079825218</v>
      </c>
      <c r="R123" s="663">
        <v>0</v>
      </c>
      <c r="S123" s="663">
        <v>0</v>
      </c>
      <c r="T123" s="663">
        <v>0</v>
      </c>
      <c r="U123" s="665">
        <v>1780.7361559229641</v>
      </c>
    </row>
    <row r="124" spans="3:21" ht="13">
      <c r="C124" s="662" t="s">
        <v>60</v>
      </c>
      <c r="D124" s="663">
        <v>10.379280707598515</v>
      </c>
      <c r="E124" s="663">
        <v>221.43377158510449</v>
      </c>
      <c r="F124" s="663">
        <v>3.6404081450569747</v>
      </c>
      <c r="G124" s="663">
        <v>0</v>
      </c>
      <c r="H124" s="663">
        <v>71.351673113669463</v>
      </c>
      <c r="I124" s="663">
        <v>0</v>
      </c>
      <c r="J124" s="663">
        <v>0</v>
      </c>
      <c r="K124" s="663">
        <v>0</v>
      </c>
      <c r="L124" s="663">
        <v>4.5400000946661896</v>
      </c>
      <c r="M124" s="663">
        <v>0</v>
      </c>
      <c r="N124" s="663">
        <v>4.7355769449703358</v>
      </c>
      <c r="O124" s="663">
        <v>0</v>
      </c>
      <c r="P124" s="663">
        <v>0</v>
      </c>
      <c r="Q124" s="663">
        <v>0</v>
      </c>
      <c r="R124" s="663">
        <v>0</v>
      </c>
      <c r="S124" s="663">
        <v>0</v>
      </c>
      <c r="T124" s="663">
        <v>0</v>
      </c>
      <c r="U124" s="665">
        <v>316.08071059106601</v>
      </c>
    </row>
    <row r="125" spans="3:21" ht="13">
      <c r="C125" s="662" t="s">
        <v>61</v>
      </c>
      <c r="D125" s="663">
        <v>0</v>
      </c>
      <c r="E125" s="663">
        <v>0</v>
      </c>
      <c r="F125" s="663">
        <v>-61.117649142160822</v>
      </c>
      <c r="G125" s="663">
        <v>0</v>
      </c>
      <c r="H125" s="663">
        <v>0</v>
      </c>
      <c r="I125" s="663">
        <v>0</v>
      </c>
      <c r="J125" s="663">
        <v>0</v>
      </c>
      <c r="K125" s="663">
        <v>0</v>
      </c>
      <c r="L125" s="663">
        <v>0</v>
      </c>
      <c r="M125" s="663">
        <v>0</v>
      </c>
      <c r="N125" s="663">
        <v>0</v>
      </c>
      <c r="O125" s="663">
        <v>0</v>
      </c>
      <c r="P125" s="663">
        <v>0</v>
      </c>
      <c r="Q125" s="663">
        <v>0</v>
      </c>
      <c r="R125" s="663">
        <v>-39.114049370458702</v>
      </c>
      <c r="S125" s="663">
        <v>0</v>
      </c>
      <c r="T125" s="663">
        <v>0</v>
      </c>
      <c r="U125" s="665">
        <v>-100.23169851261953</v>
      </c>
    </row>
    <row r="126" spans="3:21" ht="13">
      <c r="C126" s="662" t="s">
        <v>62</v>
      </c>
      <c r="D126" s="663">
        <v>0</v>
      </c>
      <c r="E126" s="663">
        <v>0</v>
      </c>
      <c r="F126" s="663">
        <v>-6.8572519407668047</v>
      </c>
      <c r="G126" s="663">
        <v>-2.9115063458369059</v>
      </c>
      <c r="H126" s="663">
        <v>-4.556210213526227</v>
      </c>
      <c r="I126" s="663">
        <v>-6.0214231896822394E-2</v>
      </c>
      <c r="J126" s="663">
        <v>0</v>
      </c>
      <c r="K126" s="663">
        <v>0</v>
      </c>
      <c r="L126" s="663">
        <v>0</v>
      </c>
      <c r="M126" s="663">
        <v>0</v>
      </c>
      <c r="N126" s="663">
        <v>-0.36156496915270087</v>
      </c>
      <c r="O126" s="663">
        <v>-5.4192808707140152</v>
      </c>
      <c r="P126" s="663">
        <v>0</v>
      </c>
      <c r="Q126" s="663">
        <v>0</v>
      </c>
      <c r="R126" s="663">
        <v>0</v>
      </c>
      <c r="S126" s="663">
        <v>0</v>
      </c>
      <c r="T126" s="663">
        <v>0</v>
      </c>
      <c r="U126" s="665">
        <v>-20.166028571893477</v>
      </c>
    </row>
    <row r="127" spans="3:21" ht="13">
      <c r="C127" s="662" t="s">
        <v>63</v>
      </c>
      <c r="D127" s="663">
        <v>0</v>
      </c>
      <c r="E127" s="663">
        <v>0</v>
      </c>
      <c r="F127" s="663">
        <v>-41.932075648688581</v>
      </c>
      <c r="G127" s="663">
        <v>-12.789597363010756</v>
      </c>
      <c r="H127" s="663">
        <v>0</v>
      </c>
      <c r="I127" s="663">
        <v>0</v>
      </c>
      <c r="J127" s="663">
        <v>0</v>
      </c>
      <c r="K127" s="663">
        <v>0</v>
      </c>
      <c r="L127" s="663">
        <v>0</v>
      </c>
      <c r="M127" s="663">
        <v>0</v>
      </c>
      <c r="N127" s="663">
        <v>-13.964845940285258</v>
      </c>
      <c r="O127" s="663">
        <v>0</v>
      </c>
      <c r="P127" s="663">
        <v>0</v>
      </c>
      <c r="Q127" s="663">
        <v>0</v>
      </c>
      <c r="R127" s="663">
        <v>0</v>
      </c>
      <c r="S127" s="663">
        <v>0</v>
      </c>
      <c r="T127" s="663">
        <v>-1.1030439884832439</v>
      </c>
      <c r="U127" s="665">
        <v>-69.789562940467846</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10.379280707598515</v>
      </c>
      <c r="E129" s="667">
        <v>221.43377158510449</v>
      </c>
      <c r="F129" s="667">
        <v>-106.26656858655923</v>
      </c>
      <c r="G129" s="667">
        <v>-15.701103708847661</v>
      </c>
      <c r="H129" s="675">
        <v>66.795462900143235</v>
      </c>
      <c r="I129" s="667">
        <v>-6.0214231896822394E-2</v>
      </c>
      <c r="J129" s="667">
        <v>887.88984586571985</v>
      </c>
      <c r="K129" s="667">
        <v>396.24410449971316</v>
      </c>
      <c r="L129" s="667">
        <v>303.74080267070593</v>
      </c>
      <c r="M129" s="667">
        <v>23.973968003405336</v>
      </c>
      <c r="N129" s="667">
        <v>-7.952191090976652</v>
      </c>
      <c r="O129" s="667">
        <v>-5.25006549806798</v>
      </c>
      <c r="P129" s="667">
        <v>148.52009865212395</v>
      </c>
      <c r="Q129" s="667">
        <v>23.099478079825218</v>
      </c>
      <c r="R129" s="667">
        <v>-39.114049370458702</v>
      </c>
      <c r="S129" s="667">
        <v>0</v>
      </c>
      <c r="T129" s="667">
        <v>-1.1030439884832439</v>
      </c>
      <c r="U129" s="667">
        <v>1906.629576489049</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2.6460781360013397E-2</v>
      </c>
      <c r="G132" s="663">
        <v>0</v>
      </c>
      <c r="H132" s="663">
        <v>2.1444399446740805</v>
      </c>
      <c r="I132" s="663">
        <v>0</v>
      </c>
      <c r="J132" s="663">
        <v>887.88984586571985</v>
      </c>
      <c r="K132" s="663">
        <v>396.24410449971316</v>
      </c>
      <c r="L132" s="663">
        <v>15.085804984191999</v>
      </c>
      <c r="M132" s="663">
        <v>7.2357180176402842</v>
      </c>
      <c r="N132" s="663">
        <v>6.0578717375904887</v>
      </c>
      <c r="O132" s="663">
        <v>0.6501857288144991</v>
      </c>
      <c r="P132" s="663">
        <v>0</v>
      </c>
      <c r="Q132" s="663">
        <v>6.4590957564387725</v>
      </c>
      <c r="R132" s="663">
        <v>-708.99943776638747</v>
      </c>
      <c r="S132" s="663">
        <v>0</v>
      </c>
      <c r="T132" s="663">
        <v>8.0586922417708831</v>
      </c>
      <c r="U132" s="671">
        <v>620.85278179152624</v>
      </c>
    </row>
    <row r="133" spans="3:21" ht="13">
      <c r="C133" s="670" t="s">
        <v>351</v>
      </c>
      <c r="D133" s="663">
        <v>0</v>
      </c>
      <c r="E133" s="663">
        <v>0</v>
      </c>
      <c r="F133" s="663">
        <v>0</v>
      </c>
      <c r="G133" s="663">
        <v>0</v>
      </c>
      <c r="H133" s="663">
        <v>4.7815870319860325</v>
      </c>
      <c r="I133" s="663">
        <v>0</v>
      </c>
      <c r="J133" s="663">
        <v>0</v>
      </c>
      <c r="K133" s="663">
        <v>0</v>
      </c>
      <c r="L133" s="663">
        <v>35.214664152844563</v>
      </c>
      <c r="M133" s="663">
        <v>14.445160723039894</v>
      </c>
      <c r="N133" s="663">
        <v>0</v>
      </c>
      <c r="O133" s="663">
        <v>7.1872449307268287</v>
      </c>
      <c r="P133" s="663">
        <v>0</v>
      </c>
      <c r="Q133" s="663">
        <v>11.182341089352812</v>
      </c>
      <c r="R133" s="663">
        <v>0</v>
      </c>
      <c r="S133" s="663">
        <v>-68.236033723831326</v>
      </c>
      <c r="T133" s="663">
        <v>0</v>
      </c>
      <c r="U133" s="671">
        <v>4.574964204118805</v>
      </c>
    </row>
    <row r="134" spans="3:21" ht="13">
      <c r="C134" s="670" t="s">
        <v>352</v>
      </c>
      <c r="D134" s="663">
        <v>0</v>
      </c>
      <c r="E134" s="663">
        <v>0</v>
      </c>
      <c r="F134" s="663">
        <v>0</v>
      </c>
      <c r="G134" s="663">
        <v>0</v>
      </c>
      <c r="H134" s="663">
        <v>0</v>
      </c>
      <c r="I134" s="663">
        <v>0</v>
      </c>
      <c r="J134" s="663">
        <v>0</v>
      </c>
      <c r="K134" s="663">
        <v>0</v>
      </c>
      <c r="L134" s="663">
        <v>86.658949605448655</v>
      </c>
      <c r="M134" s="663">
        <v>0</v>
      </c>
      <c r="N134" s="663">
        <v>0</v>
      </c>
      <c r="O134" s="663">
        <v>-81.004566256753222</v>
      </c>
      <c r="P134" s="663">
        <v>0</v>
      </c>
      <c r="Q134" s="663">
        <v>0</v>
      </c>
      <c r="R134" s="663">
        <v>0</v>
      </c>
      <c r="S134" s="663">
        <v>0</v>
      </c>
      <c r="T134" s="663">
        <v>0</v>
      </c>
      <c r="U134" s="671">
        <v>5.6543833486954327</v>
      </c>
    </row>
    <row r="135" spans="3:21" ht="13">
      <c r="C135" s="670" t="s">
        <v>353</v>
      </c>
      <c r="D135" s="663">
        <v>0</v>
      </c>
      <c r="E135" s="663">
        <v>0</v>
      </c>
      <c r="F135" s="663">
        <v>0</v>
      </c>
      <c r="G135" s="663">
        <v>0</v>
      </c>
      <c r="H135" s="663">
        <v>0</v>
      </c>
      <c r="I135" s="663">
        <v>-0.77766156720631052</v>
      </c>
      <c r="J135" s="663">
        <v>0</v>
      </c>
      <c r="K135" s="663">
        <v>0</v>
      </c>
      <c r="L135" s="663">
        <v>0</v>
      </c>
      <c r="M135" s="663">
        <v>0</v>
      </c>
      <c r="N135" s="663">
        <v>0</v>
      </c>
      <c r="O135" s="663">
        <v>0</v>
      </c>
      <c r="P135" s="663">
        <v>0</v>
      </c>
      <c r="Q135" s="663">
        <v>0</v>
      </c>
      <c r="R135" s="663">
        <v>0</v>
      </c>
      <c r="S135" s="663">
        <v>0</v>
      </c>
      <c r="T135" s="663">
        <v>1.0822986785331616</v>
      </c>
      <c r="U135" s="671">
        <v>0.30463711132685112</v>
      </c>
    </row>
    <row r="136" spans="3:21" ht="13">
      <c r="C136" s="670" t="s">
        <v>72</v>
      </c>
      <c r="D136" s="663">
        <v>0</v>
      </c>
      <c r="E136" s="663">
        <v>229.44376619610998</v>
      </c>
      <c r="F136" s="663">
        <v>-227.15530245315296</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2.2884637429570258</v>
      </c>
    </row>
    <row r="137" spans="3:21" ht="13">
      <c r="C137" s="670" t="s">
        <v>354</v>
      </c>
      <c r="D137" s="663">
        <v>0</v>
      </c>
      <c r="E137" s="663">
        <v>0</v>
      </c>
      <c r="F137" s="663">
        <v>0</v>
      </c>
      <c r="G137" s="663">
        <v>0</v>
      </c>
      <c r="H137" s="663">
        <v>0</v>
      </c>
      <c r="I137" s="663">
        <v>0</v>
      </c>
      <c r="J137" s="663">
        <v>0</v>
      </c>
      <c r="K137" s="663">
        <v>0</v>
      </c>
      <c r="L137" s="663">
        <v>110.37341937246062</v>
      </c>
      <c r="M137" s="663">
        <v>0</v>
      </c>
      <c r="N137" s="663">
        <v>-110.37341937246062</v>
      </c>
      <c r="O137" s="663">
        <v>0</v>
      </c>
      <c r="P137" s="663">
        <v>0</v>
      </c>
      <c r="Q137" s="663">
        <v>0</v>
      </c>
      <c r="R137" s="663">
        <v>0</v>
      </c>
      <c r="S137" s="663">
        <v>0</v>
      </c>
      <c r="T137" s="663">
        <v>0</v>
      </c>
      <c r="U137" s="671">
        <v>0</v>
      </c>
    </row>
    <row r="138" spans="3:21" ht="13">
      <c r="C138" s="670" t="s">
        <v>355</v>
      </c>
      <c r="D138" s="663">
        <v>0</v>
      </c>
      <c r="E138" s="663">
        <v>0</v>
      </c>
      <c r="F138" s="663">
        <v>0</v>
      </c>
      <c r="G138" s="663">
        <v>-25.838308158403624</v>
      </c>
      <c r="H138" s="663">
        <v>0</v>
      </c>
      <c r="I138" s="663">
        <v>0</v>
      </c>
      <c r="J138" s="663">
        <v>0</v>
      </c>
      <c r="K138" s="663">
        <v>0</v>
      </c>
      <c r="L138" s="663">
        <v>0</v>
      </c>
      <c r="M138" s="663">
        <v>0</v>
      </c>
      <c r="N138" s="663">
        <v>0</v>
      </c>
      <c r="O138" s="663">
        <v>0</v>
      </c>
      <c r="P138" s="663">
        <v>0</v>
      </c>
      <c r="Q138" s="663">
        <v>0</v>
      </c>
      <c r="R138" s="663">
        <v>0</v>
      </c>
      <c r="S138" s="663">
        <v>0</v>
      </c>
      <c r="T138" s="663">
        <v>35.986501613375523</v>
      </c>
      <c r="U138" s="671">
        <v>10.148193454971899</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122.6947271556845</v>
      </c>
      <c r="S139" s="663">
        <v>0</v>
      </c>
      <c r="T139" s="663">
        <v>-85.334182736778573</v>
      </c>
      <c r="U139" s="671">
        <v>37.360544418905931</v>
      </c>
    </row>
    <row r="140" spans="3:21" ht="13">
      <c r="C140" s="670" t="s">
        <v>356</v>
      </c>
      <c r="D140" s="663">
        <v>5.7430949414062491</v>
      </c>
      <c r="E140" s="663">
        <v>-8.0099946110054798</v>
      </c>
      <c r="F140" s="663">
        <v>10.446968779828495</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8.1800691102292635</v>
      </c>
    </row>
    <row r="141" spans="3:21" ht="13">
      <c r="C141" s="670" t="s">
        <v>75</v>
      </c>
      <c r="D141" s="663">
        <v>2.2334258105468749</v>
      </c>
      <c r="E141" s="663">
        <v>0</v>
      </c>
      <c r="F141" s="663">
        <v>17.43246590348684</v>
      </c>
      <c r="G141" s="663">
        <v>0</v>
      </c>
      <c r="H141" s="663">
        <v>2.2924587532620087</v>
      </c>
      <c r="I141" s="663">
        <v>3.0296811717119062E-2</v>
      </c>
      <c r="J141" s="663">
        <v>0</v>
      </c>
      <c r="K141" s="663">
        <v>0</v>
      </c>
      <c r="L141" s="663">
        <v>0</v>
      </c>
      <c r="M141" s="663">
        <v>0</v>
      </c>
      <c r="N141" s="663">
        <v>0</v>
      </c>
      <c r="O141" s="663">
        <v>2.7267130545407157</v>
      </c>
      <c r="P141" s="663">
        <v>0</v>
      </c>
      <c r="Q141" s="663">
        <v>0</v>
      </c>
      <c r="R141" s="663">
        <v>21.822235808041572</v>
      </c>
      <c r="S141" s="663">
        <v>0</v>
      </c>
      <c r="T141" s="663">
        <v>0</v>
      </c>
      <c r="U141" s="671">
        <v>46.537596141595124</v>
      </c>
    </row>
    <row r="142" spans="3:21" ht="13">
      <c r="C142" s="670" t="s">
        <v>76</v>
      </c>
      <c r="D142" s="663">
        <v>0</v>
      </c>
      <c r="E142" s="663">
        <v>0</v>
      </c>
      <c r="F142" s="663">
        <v>0</v>
      </c>
      <c r="G142" s="663">
        <v>0</v>
      </c>
      <c r="H142" s="663">
        <v>0.77652722768993077</v>
      </c>
      <c r="I142" s="663">
        <v>1.0262474374756796E-2</v>
      </c>
      <c r="J142" s="663">
        <v>0</v>
      </c>
      <c r="K142" s="663">
        <v>0</v>
      </c>
      <c r="L142" s="663">
        <v>0</v>
      </c>
      <c r="M142" s="663">
        <v>0</v>
      </c>
      <c r="N142" s="663">
        <v>0</v>
      </c>
      <c r="O142" s="663">
        <v>0.92362269372811168</v>
      </c>
      <c r="P142" s="663">
        <v>0</v>
      </c>
      <c r="Q142" s="663">
        <v>0</v>
      </c>
      <c r="R142" s="663">
        <v>51.265258018349606</v>
      </c>
      <c r="S142" s="663">
        <v>5.2924074535934169</v>
      </c>
      <c r="T142" s="663">
        <v>0</v>
      </c>
      <c r="U142" s="671">
        <v>58.268077867735826</v>
      </c>
    </row>
    <row r="143" spans="3:21" ht="13">
      <c r="C143" s="666" t="s">
        <v>77</v>
      </c>
      <c r="D143" s="667">
        <v>7.9765207519531245</v>
      </c>
      <c r="E143" s="667">
        <v>221.43377158510449</v>
      </c>
      <c r="F143" s="667">
        <v>-199.24940698847763</v>
      </c>
      <c r="G143" s="667">
        <v>-25.838308158403624</v>
      </c>
      <c r="H143" s="675">
        <v>9.9950129576120528</v>
      </c>
      <c r="I143" s="667">
        <v>-0.73710228111443465</v>
      </c>
      <c r="J143" s="667">
        <v>887.88984586571985</v>
      </c>
      <c r="K143" s="667">
        <v>396.24410449971316</v>
      </c>
      <c r="L143" s="667">
        <v>247.33283811494582</v>
      </c>
      <c r="M143" s="667">
        <v>21.680878740680178</v>
      </c>
      <c r="N143" s="667">
        <v>-104.31554763487013</v>
      </c>
      <c r="O143" s="667">
        <v>-69.51679984894308</v>
      </c>
      <c r="P143" s="667">
        <v>0</v>
      </c>
      <c r="Q143" s="667">
        <v>17.641436845791585</v>
      </c>
      <c r="R143" s="667">
        <v>-513.21721678431186</v>
      </c>
      <c r="S143" s="667">
        <v>-62.943626270237907</v>
      </c>
      <c r="T143" s="667">
        <v>-40.206690203099001</v>
      </c>
      <c r="U143" s="667">
        <v>794.16971119206255</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2.4027599556453909</v>
      </c>
      <c r="E145" s="663">
        <v>0</v>
      </c>
      <c r="F145" s="663">
        <v>3.114463113040443</v>
      </c>
      <c r="G145" s="663">
        <v>0</v>
      </c>
      <c r="H145" s="663">
        <v>22.626318476237717</v>
      </c>
      <c r="I145" s="663">
        <v>0.29902623536878048</v>
      </c>
      <c r="J145" s="663">
        <v>0</v>
      </c>
      <c r="K145" s="663">
        <v>0</v>
      </c>
      <c r="L145" s="663">
        <v>19.572699923725285</v>
      </c>
      <c r="M145" s="663">
        <v>2.2927206810178133</v>
      </c>
      <c r="N145" s="663">
        <v>2.5907279394531253</v>
      </c>
      <c r="O145" s="663">
        <v>26.952636430442517</v>
      </c>
      <c r="P145" s="663">
        <v>8.8445146484374995</v>
      </c>
      <c r="Q145" s="663">
        <v>8.2107689234467234E-4</v>
      </c>
      <c r="R145" s="663">
        <v>134.99858174444151</v>
      </c>
      <c r="S145" s="663">
        <v>18.388872155735818</v>
      </c>
      <c r="T145" s="663">
        <v>5.7096738281250001</v>
      </c>
      <c r="U145" s="671">
        <v>247.79381620856324</v>
      </c>
    </row>
    <row r="146" spans="3:21" ht="13">
      <c r="C146" s="670" t="s">
        <v>79</v>
      </c>
      <c r="D146" s="663">
        <v>0</v>
      </c>
      <c r="E146" s="663">
        <v>0</v>
      </c>
      <c r="F146" s="663">
        <v>28.084568019979141</v>
      </c>
      <c r="G146" s="663">
        <v>1.421472124111238</v>
      </c>
      <c r="H146" s="663">
        <v>2.5860362638913656</v>
      </c>
      <c r="I146" s="663">
        <v>3.4176690712220695E-2</v>
      </c>
      <c r="J146" s="663">
        <v>0</v>
      </c>
      <c r="K146" s="663">
        <v>0</v>
      </c>
      <c r="L146" s="663">
        <v>0</v>
      </c>
      <c r="M146" s="663">
        <v>0</v>
      </c>
      <c r="N146" s="663">
        <v>58.95620249302754</v>
      </c>
      <c r="O146" s="663">
        <v>3.0759021640998623</v>
      </c>
      <c r="P146" s="663">
        <v>0</v>
      </c>
      <c r="Q146" s="663">
        <v>0</v>
      </c>
      <c r="R146" s="663">
        <v>96.758599927458889</v>
      </c>
      <c r="S146" s="663">
        <v>0</v>
      </c>
      <c r="T146" s="663">
        <v>4.2910115463144054</v>
      </c>
      <c r="U146" s="671">
        <v>195.20796922959462</v>
      </c>
    </row>
    <row r="147" spans="3:21" ht="13">
      <c r="C147" s="670" t="s">
        <v>80</v>
      </c>
      <c r="D147" s="663">
        <v>0</v>
      </c>
      <c r="E147" s="663">
        <v>0</v>
      </c>
      <c r="F147" s="663">
        <v>1.0938828648554826</v>
      </c>
      <c r="G147" s="663">
        <v>0</v>
      </c>
      <c r="H147" s="663">
        <v>16.315204996757775</v>
      </c>
      <c r="I147" s="663">
        <v>0.21561944929635826</v>
      </c>
      <c r="J147" s="663">
        <v>0</v>
      </c>
      <c r="K147" s="663">
        <v>0</v>
      </c>
      <c r="L147" s="663">
        <v>32.232635043857968</v>
      </c>
      <c r="M147" s="663">
        <v>0</v>
      </c>
      <c r="N147" s="663">
        <v>0</v>
      </c>
      <c r="O147" s="663">
        <v>19.405750436672243</v>
      </c>
      <c r="P147" s="663">
        <v>111.91504706113531</v>
      </c>
      <c r="Q147" s="663">
        <v>2.8847164087553931</v>
      </c>
      <c r="R147" s="663">
        <v>143.6282802083233</v>
      </c>
      <c r="S147" s="663">
        <v>25.545428952203935</v>
      </c>
      <c r="T147" s="663">
        <v>0</v>
      </c>
      <c r="U147" s="671">
        <v>353.23656542185773</v>
      </c>
    </row>
    <row r="148" spans="3:21" ht="13">
      <c r="C148" s="670" t="s">
        <v>81</v>
      </c>
      <c r="D148" s="663">
        <v>0</v>
      </c>
      <c r="E148" s="663">
        <v>0</v>
      </c>
      <c r="F148" s="663">
        <v>0.97723127965383472</v>
      </c>
      <c r="G148" s="663">
        <v>0</v>
      </c>
      <c r="H148" s="663">
        <v>8.896881568300115</v>
      </c>
      <c r="I148" s="663">
        <v>0.11757993262070637</v>
      </c>
      <c r="J148" s="663">
        <v>0</v>
      </c>
      <c r="K148" s="663">
        <v>0</v>
      </c>
      <c r="L148" s="663">
        <v>0.3860243395319729</v>
      </c>
      <c r="M148" s="663">
        <v>3.6858170734169985E-4</v>
      </c>
      <c r="N148" s="663">
        <v>0</v>
      </c>
      <c r="O148" s="663">
        <v>10.582193935863573</v>
      </c>
      <c r="P148" s="663">
        <v>26.610536942551132</v>
      </c>
      <c r="Q148" s="663">
        <v>1.0058473798751368</v>
      </c>
      <c r="R148" s="663">
        <v>89.039868511744515</v>
      </c>
      <c r="S148" s="663">
        <v>19.009325162298154</v>
      </c>
      <c r="T148" s="663">
        <v>0</v>
      </c>
      <c r="U148" s="671">
        <v>156.62585763414648</v>
      </c>
    </row>
    <row r="149" spans="3:21" ht="13">
      <c r="C149" s="670" t="s">
        <v>82</v>
      </c>
      <c r="D149" s="663">
        <v>0</v>
      </c>
      <c r="E149" s="663">
        <v>0</v>
      </c>
      <c r="F149" s="663">
        <v>4.1945740406306502</v>
      </c>
      <c r="G149" s="663">
        <v>1.6667279106947781</v>
      </c>
      <c r="H149" s="663">
        <v>0.79342108561234903</v>
      </c>
      <c r="I149" s="663">
        <v>1.0485741219546464E-2</v>
      </c>
      <c r="J149" s="663">
        <v>0</v>
      </c>
      <c r="K149" s="663">
        <v>0</v>
      </c>
      <c r="L149" s="663">
        <v>3.7340409967435519</v>
      </c>
      <c r="M149" s="663">
        <v>0</v>
      </c>
      <c r="N149" s="663">
        <v>16.919952753679041</v>
      </c>
      <c r="O149" s="663">
        <v>0.94371670975918176</v>
      </c>
      <c r="P149" s="663">
        <v>1.1499999999999999</v>
      </c>
      <c r="Q149" s="663">
        <v>1.5666563685107562</v>
      </c>
      <c r="R149" s="663">
        <v>7.7866370218848946</v>
      </c>
      <c r="S149" s="663">
        <v>0</v>
      </c>
      <c r="T149" s="663">
        <v>0.36062656029870238</v>
      </c>
      <c r="U149" s="671">
        <v>39.126839189033454</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1.8912</v>
      </c>
      <c r="S150" s="663">
        <v>0</v>
      </c>
      <c r="T150" s="663">
        <v>0</v>
      </c>
      <c r="U150" s="671">
        <v>1.8912</v>
      </c>
    </row>
    <row r="151" spans="3:21" ht="13">
      <c r="C151" s="666" t="s">
        <v>83</v>
      </c>
      <c r="D151" s="667">
        <v>2.4027599556453909</v>
      </c>
      <c r="E151" s="667">
        <v>0</v>
      </c>
      <c r="F151" s="667">
        <v>37.464719318159553</v>
      </c>
      <c r="G151" s="667">
        <v>3.0882000348060163</v>
      </c>
      <c r="H151" s="675">
        <v>51.217862390799326</v>
      </c>
      <c r="I151" s="667">
        <v>0.67688804921761236</v>
      </c>
      <c r="J151" s="667">
        <v>0</v>
      </c>
      <c r="K151" s="667">
        <v>0</v>
      </c>
      <c r="L151" s="667">
        <v>55.925400303858773</v>
      </c>
      <c r="M151" s="667">
        <v>2.2930892627251551</v>
      </c>
      <c r="N151" s="667">
        <v>78.46688318615972</v>
      </c>
      <c r="O151" s="667">
        <v>60.960199676837377</v>
      </c>
      <c r="P151" s="667">
        <v>148.52009865212395</v>
      </c>
      <c r="Q151" s="667">
        <v>5.4580412340336313</v>
      </c>
      <c r="R151" s="667">
        <v>474.10316741385316</v>
      </c>
      <c r="S151" s="667">
        <v>62.943626270237907</v>
      </c>
      <c r="T151" s="667">
        <v>10.361311934738108</v>
      </c>
      <c r="U151" s="667">
        <v>993.8822476831956</v>
      </c>
    </row>
    <row r="152" spans="3:21" ht="13">
      <c r="C152" s="662" t="s">
        <v>84</v>
      </c>
      <c r="D152" s="663">
        <v>0</v>
      </c>
      <c r="E152" s="663">
        <v>0</v>
      </c>
      <c r="F152" s="663">
        <v>55.51811908375884</v>
      </c>
      <c r="G152" s="663">
        <v>7.0490044147499464</v>
      </c>
      <c r="H152" s="663">
        <v>5.5825875517318595</v>
      </c>
      <c r="I152" s="663">
        <v>0</v>
      </c>
      <c r="J152" s="663">
        <v>0</v>
      </c>
      <c r="K152" s="663">
        <v>0</v>
      </c>
      <c r="L152" s="663">
        <v>0.48256425190137814</v>
      </c>
      <c r="M152" s="663">
        <v>0</v>
      </c>
      <c r="N152" s="663">
        <v>17.896473357733768</v>
      </c>
      <c r="O152" s="663">
        <v>3.3065346740377066</v>
      </c>
      <c r="P152" s="663">
        <v>0</v>
      </c>
      <c r="Q152" s="663">
        <v>0</v>
      </c>
      <c r="R152" s="663">
        <v>0</v>
      </c>
      <c r="S152" s="663">
        <v>0</v>
      </c>
      <c r="T152" s="663">
        <v>28.74233427987765</v>
      </c>
      <c r="U152" s="671">
        <v>118.57761761379115</v>
      </c>
    </row>
    <row r="153" spans="3:21" ht="13">
      <c r="C153" s="666" t="s">
        <v>85</v>
      </c>
      <c r="D153" s="667">
        <v>2.4027599556453909</v>
      </c>
      <c r="E153" s="667">
        <v>0</v>
      </c>
      <c r="F153" s="667">
        <v>92.9828384019184</v>
      </c>
      <c r="G153" s="667">
        <v>10.137204449555963</v>
      </c>
      <c r="H153" s="675">
        <v>56.800449942531188</v>
      </c>
      <c r="I153" s="667">
        <v>0.67688804921761236</v>
      </c>
      <c r="J153" s="667">
        <v>0</v>
      </c>
      <c r="K153" s="667">
        <v>0</v>
      </c>
      <c r="L153" s="667">
        <v>56.407964555760152</v>
      </c>
      <c r="M153" s="667">
        <v>2.2930892627251551</v>
      </c>
      <c r="N153" s="667">
        <v>96.363356543893488</v>
      </c>
      <c r="O153" s="667">
        <v>64.266734350875069</v>
      </c>
      <c r="P153" s="667">
        <v>148.52009865212395</v>
      </c>
      <c r="Q153" s="667">
        <v>5.4580412340336313</v>
      </c>
      <c r="R153" s="667">
        <v>474.10316741385316</v>
      </c>
      <c r="S153" s="667">
        <v>62.943626270237907</v>
      </c>
      <c r="T153" s="667">
        <v>39.103646214615758</v>
      </c>
      <c r="U153" s="667">
        <v>1112.4598652969867</v>
      </c>
    </row>
    <row r="154" spans="3:21">
      <c r="C154" s="654"/>
      <c r="D154" s="672">
        <v>0</v>
      </c>
      <c r="E154" s="672">
        <v>0</v>
      </c>
      <c r="F154" s="672">
        <v>0</v>
      </c>
      <c r="G154" s="672">
        <v>0</v>
      </c>
      <c r="H154" s="672">
        <v>0</v>
      </c>
      <c r="I154" s="672">
        <v>1.0408340855860843E-16</v>
      </c>
      <c r="J154" s="672">
        <v>0</v>
      </c>
      <c r="K154" s="672">
        <v>0</v>
      </c>
      <c r="L154" s="672">
        <v>0</v>
      </c>
      <c r="M154" s="672">
        <v>0</v>
      </c>
      <c r="N154" s="672">
        <v>1.1546319456101628E-14</v>
      </c>
      <c r="O154" s="672">
        <v>-3.1086244689504383E-14</v>
      </c>
      <c r="P154" s="672">
        <v>0</v>
      </c>
      <c r="Q154" s="672">
        <v>0</v>
      </c>
      <c r="R154" s="672">
        <v>0</v>
      </c>
      <c r="S154" s="672">
        <v>0</v>
      </c>
      <c r="T154" s="672">
        <v>0</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364</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0</v>
      </c>
      <c r="F160" s="663">
        <v>0</v>
      </c>
      <c r="G160" s="663">
        <v>0</v>
      </c>
      <c r="H160" s="663">
        <v>0</v>
      </c>
      <c r="I160" s="663">
        <v>0</v>
      </c>
      <c r="J160" s="664">
        <v>835.87348477446847</v>
      </c>
      <c r="K160" s="664">
        <v>433.2264513609648</v>
      </c>
      <c r="L160" s="664">
        <v>288.88340552324502</v>
      </c>
      <c r="M160" s="664">
        <v>22.07866786794175</v>
      </c>
      <c r="N160" s="663">
        <v>1.6797912871987437</v>
      </c>
      <c r="O160" s="663">
        <v>0.17065445399605614</v>
      </c>
      <c r="P160" s="664">
        <v>155.82057805919561</v>
      </c>
      <c r="Q160" s="664">
        <v>23.487215011212861</v>
      </c>
      <c r="R160" s="663">
        <v>0</v>
      </c>
      <c r="S160" s="663">
        <v>0</v>
      </c>
      <c r="T160" s="663">
        <v>0</v>
      </c>
      <c r="U160" s="665">
        <v>1761.2202483382232</v>
      </c>
    </row>
    <row r="161" spans="3:21" ht="13">
      <c r="C161" s="662" t="s">
        <v>60</v>
      </c>
      <c r="D161" s="663">
        <v>9.1088960408946864</v>
      </c>
      <c r="E161" s="663">
        <v>190.65660017812178</v>
      </c>
      <c r="F161" s="663">
        <v>2.9590354993625017</v>
      </c>
      <c r="G161" s="663">
        <v>0</v>
      </c>
      <c r="H161" s="663">
        <v>52.772371882452688</v>
      </c>
      <c r="I161" s="663">
        <v>0</v>
      </c>
      <c r="J161" s="663">
        <v>0</v>
      </c>
      <c r="K161" s="663">
        <v>0</v>
      </c>
      <c r="L161" s="663">
        <v>4.8125993033158778</v>
      </c>
      <c r="M161" s="663">
        <v>0</v>
      </c>
      <c r="N161" s="663">
        <v>5.0080801377734332</v>
      </c>
      <c r="O161" s="663">
        <v>0</v>
      </c>
      <c r="P161" s="663">
        <v>0</v>
      </c>
      <c r="Q161" s="663">
        <v>0</v>
      </c>
      <c r="R161" s="663">
        <v>0</v>
      </c>
      <c r="S161" s="663">
        <v>0</v>
      </c>
      <c r="T161" s="663">
        <v>0</v>
      </c>
      <c r="U161" s="665">
        <v>265.31758304192095</v>
      </c>
    </row>
    <row r="162" spans="3:21" ht="13">
      <c r="C162" s="662" t="s">
        <v>61</v>
      </c>
      <c r="D162" s="663">
        <v>0</v>
      </c>
      <c r="E162" s="663">
        <v>0</v>
      </c>
      <c r="F162" s="663">
        <v>-67.846394386464354</v>
      </c>
      <c r="G162" s="663">
        <v>-3.5527136788005009E-15</v>
      </c>
      <c r="H162" s="663">
        <v>0</v>
      </c>
      <c r="I162" s="663">
        <v>0</v>
      </c>
      <c r="J162" s="663">
        <v>0</v>
      </c>
      <c r="K162" s="663">
        <v>0</v>
      </c>
      <c r="L162" s="663">
        <v>0</v>
      </c>
      <c r="M162" s="663">
        <v>0</v>
      </c>
      <c r="N162" s="663">
        <v>0</v>
      </c>
      <c r="O162" s="663">
        <v>0</v>
      </c>
      <c r="P162" s="663">
        <v>0</v>
      </c>
      <c r="Q162" s="663">
        <v>0</v>
      </c>
      <c r="R162" s="663">
        <v>-40.00031821738844</v>
      </c>
      <c r="S162" s="663">
        <v>0</v>
      </c>
      <c r="T162" s="663">
        <v>0</v>
      </c>
      <c r="U162" s="665">
        <v>-107.84671260385279</v>
      </c>
    </row>
    <row r="163" spans="3:21" ht="13">
      <c r="C163" s="662" t="s">
        <v>62</v>
      </c>
      <c r="D163" s="663">
        <v>0</v>
      </c>
      <c r="E163" s="663">
        <v>0</v>
      </c>
      <c r="F163" s="663">
        <v>-5.3541729526260253</v>
      </c>
      <c r="G163" s="663">
        <v>-3.2544454489343884</v>
      </c>
      <c r="H163" s="663">
        <v>-2.154938128893316</v>
      </c>
      <c r="I163" s="663">
        <v>-5.5254823817777333E-2</v>
      </c>
      <c r="J163" s="663">
        <v>0</v>
      </c>
      <c r="K163" s="663">
        <v>0</v>
      </c>
      <c r="L163" s="663">
        <v>0</v>
      </c>
      <c r="M163" s="663">
        <v>0</v>
      </c>
      <c r="N163" s="663">
        <v>-0.28299525642907725</v>
      </c>
      <c r="O163" s="663">
        <v>-3.3152894290666399</v>
      </c>
      <c r="P163" s="663">
        <v>0</v>
      </c>
      <c r="Q163" s="663">
        <v>0</v>
      </c>
      <c r="R163" s="663">
        <v>0</v>
      </c>
      <c r="S163" s="663">
        <v>0</v>
      </c>
      <c r="T163" s="663">
        <v>0</v>
      </c>
      <c r="U163" s="665">
        <v>-14.417096039767225</v>
      </c>
    </row>
    <row r="164" spans="3:21" ht="13">
      <c r="C164" s="662" t="s">
        <v>63</v>
      </c>
      <c r="D164" s="663">
        <v>0</v>
      </c>
      <c r="E164" s="663">
        <v>0</v>
      </c>
      <c r="F164" s="663">
        <v>-38.578656039955483</v>
      </c>
      <c r="G164" s="663">
        <v>-13.893394907220655</v>
      </c>
      <c r="H164" s="663">
        <v>0</v>
      </c>
      <c r="I164" s="663">
        <v>0</v>
      </c>
      <c r="J164" s="663">
        <v>0</v>
      </c>
      <c r="K164" s="663">
        <v>0</v>
      </c>
      <c r="L164" s="663">
        <v>0</v>
      </c>
      <c r="M164" s="663">
        <v>0</v>
      </c>
      <c r="N164" s="663">
        <v>-13.893394907220655</v>
      </c>
      <c r="O164" s="663">
        <v>0</v>
      </c>
      <c r="P164" s="663">
        <v>0</v>
      </c>
      <c r="Q164" s="663">
        <v>0</v>
      </c>
      <c r="R164" s="663">
        <v>0</v>
      </c>
      <c r="S164" s="663">
        <v>0</v>
      </c>
      <c r="T164" s="663">
        <v>-1.3953345659196588</v>
      </c>
      <c r="U164" s="665">
        <v>-67.760780420316451</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9.1088960408946864</v>
      </c>
      <c r="E166" s="667">
        <v>190.65660017812178</v>
      </c>
      <c r="F166" s="667">
        <v>-108.82018787968336</v>
      </c>
      <c r="G166" s="667">
        <v>-17.147840356155047</v>
      </c>
      <c r="H166" s="675">
        <v>50.617433753559375</v>
      </c>
      <c r="I166" s="667">
        <v>-5.5254823817777333E-2</v>
      </c>
      <c r="J166" s="667">
        <v>835.87348477446847</v>
      </c>
      <c r="K166" s="667">
        <v>433.2264513609648</v>
      </c>
      <c r="L166" s="667">
        <v>293.69600482656091</v>
      </c>
      <c r="M166" s="667">
        <v>22.07866786794175</v>
      </c>
      <c r="N166" s="667">
        <v>-7.4885187386775538</v>
      </c>
      <c r="O166" s="667">
        <v>-3.1446349750705838</v>
      </c>
      <c r="P166" s="667">
        <v>155.82057805919561</v>
      </c>
      <c r="Q166" s="667">
        <v>23.487215011212861</v>
      </c>
      <c r="R166" s="667">
        <v>-40.00031821738844</v>
      </c>
      <c r="S166" s="667">
        <v>0</v>
      </c>
      <c r="T166" s="667">
        <v>-1.3953345659196588</v>
      </c>
      <c r="U166" s="667">
        <v>1836.5132423162074</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0</v>
      </c>
      <c r="G169" s="663">
        <v>0</v>
      </c>
      <c r="H169" s="663">
        <v>0</v>
      </c>
      <c r="I169" s="663">
        <v>0</v>
      </c>
      <c r="J169" s="663">
        <v>835.87348477446847</v>
      </c>
      <c r="K169" s="663">
        <v>433.2264513609648</v>
      </c>
      <c r="L169" s="663">
        <v>14.188154051569427</v>
      </c>
      <c r="M169" s="663">
        <v>5.3742483693021068</v>
      </c>
      <c r="N169" s="663">
        <v>6.3451610040287907</v>
      </c>
      <c r="O169" s="663">
        <v>0.11419280490868838</v>
      </c>
      <c r="P169" s="663">
        <v>0</v>
      </c>
      <c r="Q169" s="663">
        <v>6.4766550958451852</v>
      </c>
      <c r="R169" s="663">
        <v>-726.93629039774203</v>
      </c>
      <c r="S169" s="663">
        <v>0</v>
      </c>
      <c r="T169" s="663">
        <v>11.298964449788109</v>
      </c>
      <c r="U169" s="671">
        <v>585.96102151313323</v>
      </c>
    </row>
    <row r="170" spans="3:21" ht="13">
      <c r="C170" s="670" t="s">
        <v>351</v>
      </c>
      <c r="D170" s="663">
        <v>0</v>
      </c>
      <c r="E170" s="663">
        <v>0</v>
      </c>
      <c r="F170" s="663">
        <v>0</v>
      </c>
      <c r="G170" s="663">
        <v>0</v>
      </c>
      <c r="H170" s="663">
        <v>3.2711110414405256</v>
      </c>
      <c r="I170" s="663">
        <v>0</v>
      </c>
      <c r="J170" s="663">
        <v>0</v>
      </c>
      <c r="K170" s="663">
        <v>0</v>
      </c>
      <c r="L170" s="663">
        <v>34.963821149394811</v>
      </c>
      <c r="M170" s="663">
        <v>14.476121269049287</v>
      </c>
      <c r="N170" s="663">
        <v>0</v>
      </c>
      <c r="O170" s="663">
        <v>7.6477038720835147</v>
      </c>
      <c r="P170" s="663">
        <v>0</v>
      </c>
      <c r="Q170" s="663">
        <v>11.276034288959668</v>
      </c>
      <c r="R170" s="663">
        <v>0</v>
      </c>
      <c r="S170" s="663">
        <v>-67.494467143680438</v>
      </c>
      <c r="T170" s="663">
        <v>0</v>
      </c>
      <c r="U170" s="671">
        <v>4.1403244772473649</v>
      </c>
    </row>
    <row r="171" spans="3:21" ht="13">
      <c r="C171" s="670" t="s">
        <v>352</v>
      </c>
      <c r="D171" s="663">
        <v>0</v>
      </c>
      <c r="E171" s="663">
        <v>0</v>
      </c>
      <c r="F171" s="663">
        <v>0</v>
      </c>
      <c r="G171" s="663">
        <v>0</v>
      </c>
      <c r="H171" s="663">
        <v>0</v>
      </c>
      <c r="I171" s="663">
        <v>0</v>
      </c>
      <c r="J171" s="663">
        <v>0</v>
      </c>
      <c r="K171" s="663">
        <v>0</v>
      </c>
      <c r="L171" s="663">
        <v>85.030807044207506</v>
      </c>
      <c r="M171" s="663">
        <v>0</v>
      </c>
      <c r="N171" s="663">
        <v>0</v>
      </c>
      <c r="O171" s="663">
        <v>-80.149276434896436</v>
      </c>
      <c r="P171" s="663">
        <v>0</v>
      </c>
      <c r="Q171" s="663">
        <v>0</v>
      </c>
      <c r="R171" s="663">
        <v>0</v>
      </c>
      <c r="S171" s="663">
        <v>0</v>
      </c>
      <c r="T171" s="663">
        <v>0</v>
      </c>
      <c r="U171" s="671">
        <v>4.8815306093110706</v>
      </c>
    </row>
    <row r="172" spans="3:21" ht="13">
      <c r="C172" s="670" t="s">
        <v>353</v>
      </c>
      <c r="D172" s="663">
        <v>0</v>
      </c>
      <c r="E172" s="663">
        <v>0</v>
      </c>
      <c r="F172" s="663">
        <v>0</v>
      </c>
      <c r="G172" s="663">
        <v>0</v>
      </c>
      <c r="H172" s="663">
        <v>0</v>
      </c>
      <c r="I172" s="663">
        <v>-1.1466991714325052</v>
      </c>
      <c r="J172" s="663">
        <v>0</v>
      </c>
      <c r="K172" s="663">
        <v>0</v>
      </c>
      <c r="L172" s="663">
        <v>0</v>
      </c>
      <c r="M172" s="663">
        <v>0</v>
      </c>
      <c r="N172" s="663">
        <v>0</v>
      </c>
      <c r="O172" s="663">
        <v>0</v>
      </c>
      <c r="P172" s="663">
        <v>0</v>
      </c>
      <c r="Q172" s="663">
        <v>0</v>
      </c>
      <c r="R172" s="663">
        <v>0</v>
      </c>
      <c r="S172" s="663">
        <v>0</v>
      </c>
      <c r="T172" s="663">
        <v>1.5966000387788533</v>
      </c>
      <c r="U172" s="671">
        <v>0.44990086734634804</v>
      </c>
    </row>
    <row r="173" spans="3:21" ht="13">
      <c r="C173" s="670" t="s">
        <v>72</v>
      </c>
      <c r="D173" s="663">
        <v>0</v>
      </c>
      <c r="E173" s="663">
        <v>197.54631533572405</v>
      </c>
      <c r="F173" s="663">
        <v>-195.57532355071015</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1.9709917850139052</v>
      </c>
    </row>
    <row r="174" spans="3:21" ht="13">
      <c r="C174" s="670" t="s">
        <v>354</v>
      </c>
      <c r="D174" s="663">
        <v>0</v>
      </c>
      <c r="E174" s="663">
        <v>0</v>
      </c>
      <c r="F174" s="663">
        <v>0</v>
      </c>
      <c r="G174" s="663">
        <v>0</v>
      </c>
      <c r="H174" s="663">
        <v>0</v>
      </c>
      <c r="I174" s="663">
        <v>0</v>
      </c>
      <c r="J174" s="663">
        <v>0</v>
      </c>
      <c r="K174" s="663">
        <v>0</v>
      </c>
      <c r="L174" s="663">
        <v>104.32434467350188</v>
      </c>
      <c r="M174" s="663">
        <v>0</v>
      </c>
      <c r="N174" s="663">
        <v>-104.32434467350188</v>
      </c>
      <c r="O174" s="663">
        <v>0</v>
      </c>
      <c r="P174" s="663">
        <v>0</v>
      </c>
      <c r="Q174" s="663">
        <v>0</v>
      </c>
      <c r="R174" s="663">
        <v>0</v>
      </c>
      <c r="S174" s="663">
        <v>0</v>
      </c>
      <c r="T174" s="663">
        <v>0</v>
      </c>
      <c r="U174" s="671">
        <v>0</v>
      </c>
    </row>
    <row r="175" spans="3:21" ht="13">
      <c r="C175" s="670" t="s">
        <v>355</v>
      </c>
      <c r="D175" s="663">
        <v>0</v>
      </c>
      <c r="E175" s="663">
        <v>0</v>
      </c>
      <c r="F175" s="663">
        <v>0</v>
      </c>
      <c r="G175" s="663">
        <v>-28.456538558191252</v>
      </c>
      <c r="H175" s="663">
        <v>0</v>
      </c>
      <c r="I175" s="663">
        <v>0</v>
      </c>
      <c r="J175" s="663">
        <v>0</v>
      </c>
      <c r="K175" s="663">
        <v>0</v>
      </c>
      <c r="L175" s="663">
        <v>0</v>
      </c>
      <c r="M175" s="663">
        <v>0</v>
      </c>
      <c r="N175" s="663">
        <v>0</v>
      </c>
      <c r="O175" s="663">
        <v>0</v>
      </c>
      <c r="P175" s="663">
        <v>0</v>
      </c>
      <c r="Q175" s="663">
        <v>0</v>
      </c>
      <c r="R175" s="663">
        <v>0</v>
      </c>
      <c r="S175" s="663">
        <v>0</v>
      </c>
      <c r="T175" s="663">
        <v>39.633062058762192</v>
      </c>
      <c r="U175" s="671">
        <v>11.176523500570941</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137.29765828865015</v>
      </c>
      <c r="S176" s="663">
        <v>0</v>
      </c>
      <c r="T176" s="663">
        <v>-96.451604947776744</v>
      </c>
      <c r="U176" s="671">
        <v>40.846053340873411</v>
      </c>
    </row>
    <row r="177" spans="3:21" ht="13">
      <c r="C177" s="670" t="s">
        <v>356</v>
      </c>
      <c r="D177" s="663">
        <v>5.0092797656249992</v>
      </c>
      <c r="E177" s="663">
        <v>-6.8897151576022866</v>
      </c>
      <c r="F177" s="663">
        <v>8.9891621815142653</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7.1087267895369788</v>
      </c>
    </row>
    <row r="178" spans="3:21" ht="13">
      <c r="C178" s="670" t="s">
        <v>75</v>
      </c>
      <c r="D178" s="663">
        <v>1.9480532421875001</v>
      </c>
      <c r="E178" s="663">
        <v>0</v>
      </c>
      <c r="F178" s="663">
        <v>17.132121990826434</v>
      </c>
      <c r="G178" s="663">
        <v>0</v>
      </c>
      <c r="H178" s="663">
        <v>1.9377811160090992</v>
      </c>
      <c r="I178" s="663">
        <v>4.9686695282284594E-2</v>
      </c>
      <c r="J178" s="663">
        <v>0</v>
      </c>
      <c r="K178" s="663">
        <v>0</v>
      </c>
      <c r="L178" s="663">
        <v>0</v>
      </c>
      <c r="M178" s="663">
        <v>0</v>
      </c>
      <c r="N178" s="663">
        <v>0</v>
      </c>
      <c r="O178" s="663">
        <v>2.9812017169370755</v>
      </c>
      <c r="P178" s="663">
        <v>0</v>
      </c>
      <c r="Q178" s="663">
        <v>0</v>
      </c>
      <c r="R178" s="663">
        <v>20.439487728936754</v>
      </c>
      <c r="S178" s="663">
        <v>0</v>
      </c>
      <c r="T178" s="663">
        <v>0</v>
      </c>
      <c r="U178" s="671">
        <v>44.488332490179147</v>
      </c>
    </row>
    <row r="179" spans="3:21" ht="13">
      <c r="C179" s="670" t="s">
        <v>76</v>
      </c>
      <c r="D179" s="663">
        <v>0</v>
      </c>
      <c r="E179" s="663">
        <v>0</v>
      </c>
      <c r="F179" s="663">
        <v>0</v>
      </c>
      <c r="G179" s="663">
        <v>0</v>
      </c>
      <c r="H179" s="663">
        <v>0.58071595304039991</v>
      </c>
      <c r="I179" s="663">
        <v>1.4890152642061536E-2</v>
      </c>
      <c r="J179" s="663">
        <v>0</v>
      </c>
      <c r="K179" s="663">
        <v>0</v>
      </c>
      <c r="L179" s="663">
        <v>0</v>
      </c>
      <c r="M179" s="663">
        <v>0</v>
      </c>
      <c r="N179" s="663">
        <v>0</v>
      </c>
      <c r="O179" s="663">
        <v>0.89340915852369218</v>
      </c>
      <c r="P179" s="663">
        <v>0</v>
      </c>
      <c r="Q179" s="663">
        <v>0</v>
      </c>
      <c r="R179" s="663">
        <v>52.564064229351587</v>
      </c>
      <c r="S179" s="663">
        <v>5.2350040213197584</v>
      </c>
      <c r="T179" s="663">
        <v>0</v>
      </c>
      <c r="U179" s="671">
        <v>59.288083514877499</v>
      </c>
    </row>
    <row r="180" spans="3:21" ht="13">
      <c r="C180" s="666" t="s">
        <v>77</v>
      </c>
      <c r="D180" s="667">
        <v>6.9573330078124993</v>
      </c>
      <c r="E180" s="667">
        <v>190.65660017812178</v>
      </c>
      <c r="F180" s="667">
        <v>-169.45403937836946</v>
      </c>
      <c r="G180" s="667">
        <v>-28.456538558191252</v>
      </c>
      <c r="H180" s="675">
        <v>5.7896081104900246</v>
      </c>
      <c r="I180" s="667">
        <v>-1.0821223235081592</v>
      </c>
      <c r="J180" s="667">
        <v>835.87348477446847</v>
      </c>
      <c r="K180" s="667">
        <v>433.2264513609648</v>
      </c>
      <c r="L180" s="667">
        <v>238.50712691867363</v>
      </c>
      <c r="M180" s="667">
        <v>19.850369638351395</v>
      </c>
      <c r="N180" s="667">
        <v>-97.979183669473088</v>
      </c>
      <c r="O180" s="667">
        <v>-68.512768882443467</v>
      </c>
      <c r="P180" s="667">
        <v>0</v>
      </c>
      <c r="Q180" s="667">
        <v>17.752689384804853</v>
      </c>
      <c r="R180" s="667">
        <v>-516.63508015080356</v>
      </c>
      <c r="S180" s="667">
        <v>-62.259463122360671</v>
      </c>
      <c r="T180" s="667">
        <v>-43.92297840044759</v>
      </c>
      <c r="U180" s="667">
        <v>760.31148888809003</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2.1515630330821871</v>
      </c>
      <c r="E182" s="663">
        <v>0</v>
      </c>
      <c r="F182" s="663">
        <v>1.9729303012498745</v>
      </c>
      <c r="G182" s="663">
        <v>0</v>
      </c>
      <c r="H182" s="663">
        <v>17.624600662262115</v>
      </c>
      <c r="I182" s="663">
        <v>0.45191283749390032</v>
      </c>
      <c r="J182" s="663">
        <v>0</v>
      </c>
      <c r="K182" s="663">
        <v>0</v>
      </c>
      <c r="L182" s="663">
        <v>19.327819378703428</v>
      </c>
      <c r="M182" s="663">
        <v>2.2279514023281117</v>
      </c>
      <c r="N182" s="663">
        <v>2.6644658203125</v>
      </c>
      <c r="O182" s="663">
        <v>27.156120456665761</v>
      </c>
      <c r="P182" s="663">
        <v>9.6085478515625002</v>
      </c>
      <c r="Q182" s="663">
        <v>8.4299170840015686E-4</v>
      </c>
      <c r="R182" s="663">
        <v>135.80773886663795</v>
      </c>
      <c r="S182" s="663">
        <v>18.436108583667494</v>
      </c>
      <c r="T182" s="663">
        <v>6.3938178710937503</v>
      </c>
      <c r="U182" s="671">
        <v>243.82442005676796</v>
      </c>
    </row>
    <row r="183" spans="3:21" ht="13">
      <c r="C183" s="670" t="s">
        <v>79</v>
      </c>
      <c r="D183" s="663">
        <v>0</v>
      </c>
      <c r="E183" s="663">
        <v>0</v>
      </c>
      <c r="F183" s="663">
        <v>5.1934680094593588</v>
      </c>
      <c r="G183" s="663">
        <v>1.7577012997845347</v>
      </c>
      <c r="H183" s="663">
        <v>2.152977175631825</v>
      </c>
      <c r="I183" s="663">
        <v>5.5204542964918585E-2</v>
      </c>
      <c r="J183" s="663">
        <v>0</v>
      </c>
      <c r="K183" s="663">
        <v>0</v>
      </c>
      <c r="L183" s="663">
        <v>0</v>
      </c>
      <c r="M183" s="663">
        <v>0</v>
      </c>
      <c r="N183" s="663">
        <v>51.143075106834317</v>
      </c>
      <c r="O183" s="663">
        <v>3.312272577895115</v>
      </c>
      <c r="P183" s="663">
        <v>0</v>
      </c>
      <c r="Q183" s="663">
        <v>0</v>
      </c>
      <c r="R183" s="663">
        <v>104.19646172854269</v>
      </c>
      <c r="S183" s="663">
        <v>0</v>
      </c>
      <c r="T183" s="663">
        <v>4.7641609973157095</v>
      </c>
      <c r="U183" s="671">
        <v>172.57532143842849</v>
      </c>
    </row>
    <row r="184" spans="3:21" ht="13">
      <c r="C184" s="670" t="s">
        <v>80</v>
      </c>
      <c r="D184" s="663">
        <v>0</v>
      </c>
      <c r="E184" s="663">
        <v>0</v>
      </c>
      <c r="F184" s="663">
        <v>0.32079919308121357</v>
      </c>
      <c r="G184" s="663">
        <v>0</v>
      </c>
      <c r="H184" s="663">
        <v>12.69993934515486</v>
      </c>
      <c r="I184" s="663">
        <v>0.32563947038858615</v>
      </c>
      <c r="J184" s="663">
        <v>0</v>
      </c>
      <c r="K184" s="663">
        <v>0</v>
      </c>
      <c r="L184" s="663">
        <v>30.989297403436193</v>
      </c>
      <c r="M184" s="663">
        <v>0</v>
      </c>
      <c r="N184" s="663">
        <v>0</v>
      </c>
      <c r="O184" s="663">
        <v>19.538368223315167</v>
      </c>
      <c r="P184" s="663">
        <v>117.54725011788614</v>
      </c>
      <c r="Q184" s="663">
        <v>2.9888036499995505</v>
      </c>
      <c r="R184" s="663">
        <v>139.69858105781077</v>
      </c>
      <c r="S184" s="663">
        <v>24.846536847991327</v>
      </c>
      <c r="T184" s="663">
        <v>0</v>
      </c>
      <c r="U184" s="671">
        <v>348.95521530906382</v>
      </c>
    </row>
    <row r="185" spans="3:21" ht="13">
      <c r="C185" s="670" t="s">
        <v>81</v>
      </c>
      <c r="D185" s="663">
        <v>0</v>
      </c>
      <c r="E185" s="663">
        <v>0</v>
      </c>
      <c r="F185" s="663">
        <v>0.73542128008657859</v>
      </c>
      <c r="G185" s="663">
        <v>0</v>
      </c>
      <c r="H185" s="663">
        <v>6.9022329775494073</v>
      </c>
      <c r="I185" s="663">
        <v>0.17698033275767711</v>
      </c>
      <c r="J185" s="663">
        <v>0</v>
      </c>
      <c r="K185" s="663">
        <v>0</v>
      </c>
      <c r="L185" s="663">
        <v>0.37326901233115406</v>
      </c>
      <c r="M185" s="663">
        <v>3.4682726224379159E-4</v>
      </c>
      <c r="N185" s="663">
        <v>0</v>
      </c>
      <c r="O185" s="663">
        <v>10.618819965460625</v>
      </c>
      <c r="P185" s="663">
        <v>27.414780089746973</v>
      </c>
      <c r="Q185" s="663">
        <v>1.0008652914522365</v>
      </c>
      <c r="R185" s="663">
        <v>86.91432505661372</v>
      </c>
      <c r="S185" s="663">
        <v>18.976817690701857</v>
      </c>
      <c r="T185" s="663">
        <v>0</v>
      </c>
      <c r="U185" s="671">
        <v>153.11385852396248</v>
      </c>
    </row>
    <row r="186" spans="3:21" ht="13">
      <c r="C186" s="670" t="s">
        <v>82</v>
      </c>
      <c r="D186" s="663">
        <v>0</v>
      </c>
      <c r="E186" s="663">
        <v>0</v>
      </c>
      <c r="F186" s="663">
        <v>1.7660543125979742</v>
      </c>
      <c r="G186" s="663">
        <v>1.6775006918768405</v>
      </c>
      <c r="H186" s="663">
        <v>0.66808232732668293</v>
      </c>
      <c r="I186" s="663">
        <v>1.7130316085299562E-2</v>
      </c>
      <c r="J186" s="663">
        <v>0</v>
      </c>
      <c r="K186" s="663">
        <v>0</v>
      </c>
      <c r="L186" s="663">
        <v>3.9742935582164471</v>
      </c>
      <c r="M186" s="663">
        <v>0</v>
      </c>
      <c r="N186" s="663">
        <v>17.824426087880788</v>
      </c>
      <c r="O186" s="663">
        <v>1.0278189651179737</v>
      </c>
      <c r="P186" s="663">
        <v>1.25</v>
      </c>
      <c r="Q186" s="663">
        <v>1.7440136932478227</v>
      </c>
      <c r="R186" s="663">
        <v>7.8035752238100597</v>
      </c>
      <c r="S186" s="663">
        <v>0</v>
      </c>
      <c r="T186" s="663">
        <v>0.38427420359697795</v>
      </c>
      <c r="U186" s="671">
        <v>38.13716937975687</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2.21408</v>
      </c>
      <c r="S187" s="663">
        <v>0</v>
      </c>
      <c r="T187" s="663">
        <v>0</v>
      </c>
      <c r="U187" s="671">
        <v>2.21408</v>
      </c>
    </row>
    <row r="188" spans="3:21" ht="13">
      <c r="C188" s="666" t="s">
        <v>83</v>
      </c>
      <c r="D188" s="667">
        <v>2.1515630330821871</v>
      </c>
      <c r="E188" s="667">
        <v>0</v>
      </c>
      <c r="F188" s="667">
        <v>9.9886730964750008</v>
      </c>
      <c r="G188" s="667">
        <v>3.4352019916613754</v>
      </c>
      <c r="H188" s="675">
        <v>40.047832487924893</v>
      </c>
      <c r="I188" s="667">
        <v>1.0268674996903817</v>
      </c>
      <c r="J188" s="667">
        <v>0</v>
      </c>
      <c r="K188" s="667">
        <v>0</v>
      </c>
      <c r="L188" s="667">
        <v>54.664679352687223</v>
      </c>
      <c r="M188" s="667">
        <v>2.2282982295903557</v>
      </c>
      <c r="N188" s="667">
        <v>71.631967015027612</v>
      </c>
      <c r="O188" s="667">
        <v>61.65340018845464</v>
      </c>
      <c r="P188" s="667">
        <v>155.82057805919561</v>
      </c>
      <c r="Q188" s="667">
        <v>5.7345256264080096</v>
      </c>
      <c r="R188" s="667">
        <v>476.63476193341518</v>
      </c>
      <c r="S188" s="667">
        <v>62.259463122360671</v>
      </c>
      <c r="T188" s="667">
        <v>11.542253072006439</v>
      </c>
      <c r="U188" s="667">
        <v>958.82006470797955</v>
      </c>
    </row>
    <row r="189" spans="3:21" ht="13">
      <c r="C189" s="662" t="s">
        <v>84</v>
      </c>
      <c r="D189" s="663">
        <v>0</v>
      </c>
      <c r="E189" s="663">
        <v>0</v>
      </c>
      <c r="F189" s="663">
        <v>50.64517840221108</v>
      </c>
      <c r="G189" s="663">
        <v>7.8734962103748298</v>
      </c>
      <c r="H189" s="663">
        <v>4.7799931551444459</v>
      </c>
      <c r="I189" s="663">
        <v>0</v>
      </c>
      <c r="J189" s="663">
        <v>0</v>
      </c>
      <c r="K189" s="663">
        <v>0</v>
      </c>
      <c r="L189" s="663">
        <v>0.52419855520004055</v>
      </c>
      <c r="M189" s="663">
        <v>0</v>
      </c>
      <c r="N189" s="663">
        <v>18.858697915767927</v>
      </c>
      <c r="O189" s="663">
        <v>3.7147337189182332</v>
      </c>
      <c r="P189" s="663">
        <v>0</v>
      </c>
      <c r="Q189" s="663">
        <v>0</v>
      </c>
      <c r="R189" s="663">
        <v>0</v>
      </c>
      <c r="S189" s="663">
        <v>0</v>
      </c>
      <c r="T189" s="663">
        <v>30.985390762521494</v>
      </c>
      <c r="U189" s="671">
        <v>117.38168872013804</v>
      </c>
    </row>
    <row r="190" spans="3:21" ht="13">
      <c r="C190" s="666" t="s">
        <v>85</v>
      </c>
      <c r="D190" s="667">
        <v>2.1515630330821871</v>
      </c>
      <c r="E190" s="667">
        <v>0</v>
      </c>
      <c r="F190" s="667">
        <v>60.633851498686084</v>
      </c>
      <c r="G190" s="667">
        <v>11.308698202036204</v>
      </c>
      <c r="H190" s="675">
        <v>44.827825643069339</v>
      </c>
      <c r="I190" s="667">
        <v>1.0268674996903817</v>
      </c>
      <c r="J190" s="667">
        <v>0</v>
      </c>
      <c r="K190" s="667">
        <v>0</v>
      </c>
      <c r="L190" s="667">
        <v>55.18887790788726</v>
      </c>
      <c r="M190" s="667">
        <v>2.2282982295903557</v>
      </c>
      <c r="N190" s="667">
        <v>90.490664930795546</v>
      </c>
      <c r="O190" s="667">
        <v>65.368133907372865</v>
      </c>
      <c r="P190" s="667">
        <v>155.82057805919561</v>
      </c>
      <c r="Q190" s="667">
        <v>5.7345256264080096</v>
      </c>
      <c r="R190" s="667">
        <v>476.63476193341518</v>
      </c>
      <c r="S190" s="667">
        <v>62.259463122360671</v>
      </c>
      <c r="T190" s="667">
        <v>42.527643834527936</v>
      </c>
      <c r="U190" s="667">
        <v>1076.2017534281176</v>
      </c>
    </row>
    <row r="191" spans="3:21">
      <c r="C191" s="654"/>
      <c r="D191" s="672">
        <v>0</v>
      </c>
      <c r="E191" s="672">
        <v>0</v>
      </c>
      <c r="F191" s="672">
        <v>0</v>
      </c>
      <c r="G191" s="672">
        <v>0</v>
      </c>
      <c r="H191" s="672">
        <v>0</v>
      </c>
      <c r="I191" s="672">
        <v>-1.3183898417423734E-16</v>
      </c>
      <c r="J191" s="672">
        <v>0</v>
      </c>
      <c r="K191" s="672">
        <v>0</v>
      </c>
      <c r="L191" s="672">
        <v>0</v>
      </c>
      <c r="M191" s="672">
        <v>0</v>
      </c>
      <c r="N191" s="672">
        <v>1.2434497875801753E-14</v>
      </c>
      <c r="O191" s="672">
        <v>-1.8207657603852567E-14</v>
      </c>
      <c r="P191" s="672">
        <v>0</v>
      </c>
      <c r="Q191" s="672">
        <v>0</v>
      </c>
      <c r="R191" s="672">
        <v>5.6843418860808015E-14</v>
      </c>
      <c r="S191" s="672">
        <v>0</v>
      </c>
      <c r="T191" s="672">
        <v>4.4408920985006262E-15</v>
      </c>
      <c r="U191" s="672">
        <v>0</v>
      </c>
    </row>
    <row r="192" spans="3:21">
      <c r="C192" s="654"/>
      <c r="D192" s="654"/>
      <c r="E192" s="654"/>
      <c r="F192" s="654"/>
      <c r="G192" s="654"/>
      <c r="H192" s="654"/>
      <c r="I192" s="654"/>
      <c r="J192" s="654"/>
      <c r="K192" s="654"/>
      <c r="L192" s="654"/>
      <c r="M192" s="654"/>
      <c r="N192" s="654"/>
      <c r="O192" s="654"/>
      <c r="P192" s="654"/>
      <c r="Q192" s="654"/>
      <c r="R192" s="654"/>
      <c r="S192" s="654"/>
      <c r="T192" s="654"/>
      <c r="U192" s="654"/>
    </row>
    <row r="193" spans="3:21" ht="14.5">
      <c r="C193" s="658" t="s">
        <v>89</v>
      </c>
      <c r="D193" s="659"/>
      <c r="E193" s="659"/>
      <c r="F193" s="659"/>
      <c r="G193" s="659"/>
      <c r="H193" s="659"/>
      <c r="I193" s="659"/>
      <c r="J193" s="659"/>
      <c r="K193" s="659"/>
      <c r="L193" s="659"/>
      <c r="M193" s="659"/>
      <c r="N193" s="659"/>
      <c r="O193" s="659"/>
      <c r="P193" s="659"/>
      <c r="Q193" s="659"/>
      <c r="R193" s="659"/>
      <c r="S193" s="659"/>
      <c r="T193" s="659"/>
      <c r="U193" s="659"/>
    </row>
    <row r="194" spans="3:21">
      <c r="C194" s="654"/>
      <c r="D194" s="654"/>
      <c r="E194" s="654"/>
      <c r="F194" s="654"/>
      <c r="G194" s="654"/>
      <c r="H194" s="654"/>
      <c r="I194" s="654"/>
      <c r="J194" s="654"/>
      <c r="K194" s="654"/>
      <c r="L194" s="654"/>
      <c r="M194" s="654"/>
      <c r="N194" s="654"/>
      <c r="O194" s="654"/>
      <c r="P194" s="654"/>
      <c r="Q194" s="654"/>
      <c r="R194" s="654"/>
      <c r="S194" s="654"/>
      <c r="T194" s="654"/>
      <c r="U194" s="654"/>
    </row>
    <row r="195" spans="3:21" ht="13">
      <c r="C195" s="706" t="s">
        <v>128</v>
      </c>
      <c r="D195" s="704" t="s">
        <v>42</v>
      </c>
      <c r="E195" s="704" t="s">
        <v>52</v>
      </c>
      <c r="F195" s="704" t="s">
        <v>53</v>
      </c>
      <c r="G195" s="704" t="s">
        <v>487</v>
      </c>
      <c r="H195" s="704" t="s">
        <v>32</v>
      </c>
      <c r="I195" s="704" t="s">
        <v>488</v>
      </c>
      <c r="J195" s="704" t="s">
        <v>20</v>
      </c>
      <c r="K195" s="704" t="s">
        <v>55</v>
      </c>
      <c r="L195" s="708" t="s">
        <v>56</v>
      </c>
      <c r="M195" s="709"/>
      <c r="N195" s="709"/>
      <c r="O195" s="709"/>
      <c r="P195" s="709"/>
      <c r="Q195" s="710"/>
      <c r="R195" s="704" t="s">
        <v>57</v>
      </c>
      <c r="S195" s="704" t="s">
        <v>58</v>
      </c>
      <c r="T195" s="704" t="s">
        <v>31</v>
      </c>
      <c r="U195" s="704" t="s">
        <v>10</v>
      </c>
    </row>
    <row r="196" spans="3:21" ht="36">
      <c r="C196" s="707"/>
      <c r="D196" s="705"/>
      <c r="E196" s="705"/>
      <c r="F196" s="705"/>
      <c r="G196" s="705"/>
      <c r="H196" s="705"/>
      <c r="I196" s="705"/>
      <c r="J196" s="705"/>
      <c r="K196" s="705"/>
      <c r="L196" s="660" t="s">
        <v>338</v>
      </c>
      <c r="M196" s="660" t="s">
        <v>40</v>
      </c>
      <c r="N196" s="660" t="s">
        <v>346</v>
      </c>
      <c r="O196" s="660" t="s">
        <v>347</v>
      </c>
      <c r="P196" s="661" t="s">
        <v>348</v>
      </c>
      <c r="Q196" s="660" t="s">
        <v>349</v>
      </c>
      <c r="R196" s="705"/>
      <c r="S196" s="705"/>
      <c r="T196" s="705"/>
      <c r="U196" s="705"/>
    </row>
    <row r="197" spans="3:21" ht="13">
      <c r="C197" s="662" t="s">
        <v>59</v>
      </c>
      <c r="D197" s="663">
        <v>0</v>
      </c>
      <c r="E197" s="663">
        <v>0</v>
      </c>
      <c r="F197" s="663">
        <v>0</v>
      </c>
      <c r="G197" s="663">
        <v>0</v>
      </c>
      <c r="H197" s="663">
        <v>0</v>
      </c>
      <c r="I197" s="663">
        <v>0</v>
      </c>
      <c r="J197" s="664">
        <v>712.60987447127138</v>
      </c>
      <c r="K197" s="664">
        <v>556.92135057124881</v>
      </c>
      <c r="L197" s="664">
        <v>261.57522104592402</v>
      </c>
      <c r="M197" s="664">
        <v>19.228684940511499</v>
      </c>
      <c r="N197" s="663">
        <v>1.5563580670349855</v>
      </c>
      <c r="O197" s="663">
        <v>0.17110271620039663</v>
      </c>
      <c r="P197" s="664">
        <v>167.23788927594987</v>
      </c>
      <c r="Q197" s="664">
        <v>24.373068583718577</v>
      </c>
      <c r="R197" s="663">
        <v>0</v>
      </c>
      <c r="S197" s="663">
        <v>0</v>
      </c>
      <c r="T197" s="663">
        <v>0</v>
      </c>
      <c r="U197" s="665">
        <v>1743.6735496718593</v>
      </c>
    </row>
    <row r="198" spans="3:21" ht="13">
      <c r="C198" s="662" t="s">
        <v>60</v>
      </c>
      <c r="D198" s="663">
        <v>5.9311888025037742</v>
      </c>
      <c r="E198" s="663">
        <v>113.95685880900638</v>
      </c>
      <c r="F198" s="663">
        <v>1.9517818504706483</v>
      </c>
      <c r="G198" s="663">
        <v>0</v>
      </c>
      <c r="H198" s="663">
        <v>2.6585092475046008</v>
      </c>
      <c r="I198" s="663">
        <v>0</v>
      </c>
      <c r="J198" s="663">
        <v>0</v>
      </c>
      <c r="K198" s="663">
        <v>0</v>
      </c>
      <c r="L198" s="663">
        <v>5.2309321400654634</v>
      </c>
      <c r="M198" s="663">
        <v>0</v>
      </c>
      <c r="N198" s="663">
        <v>5.4084519189769722</v>
      </c>
      <c r="O198" s="663">
        <v>0</v>
      </c>
      <c r="P198" s="663">
        <v>0</v>
      </c>
      <c r="Q198" s="663">
        <v>0</v>
      </c>
      <c r="R198" s="663">
        <v>0</v>
      </c>
      <c r="S198" s="663">
        <v>0</v>
      </c>
      <c r="T198" s="663">
        <v>0</v>
      </c>
      <c r="U198" s="665">
        <v>135.13772276852782</v>
      </c>
    </row>
    <row r="199" spans="3:21" ht="13">
      <c r="C199" s="662" t="s">
        <v>61</v>
      </c>
      <c r="D199" s="663">
        <v>0</v>
      </c>
      <c r="E199" s="663">
        <v>0</v>
      </c>
      <c r="F199" s="663">
        <v>-33.824093823668861</v>
      </c>
      <c r="G199" s="663">
        <v>-8.545793370460693</v>
      </c>
      <c r="H199" s="663">
        <v>0</v>
      </c>
      <c r="I199" s="663">
        <v>0</v>
      </c>
      <c r="J199" s="663">
        <v>0</v>
      </c>
      <c r="K199" s="663">
        <v>0</v>
      </c>
      <c r="L199" s="663">
        <v>0</v>
      </c>
      <c r="M199" s="663">
        <v>0</v>
      </c>
      <c r="N199" s="663">
        <v>0</v>
      </c>
      <c r="O199" s="663">
        <v>0</v>
      </c>
      <c r="P199" s="663">
        <v>0</v>
      </c>
      <c r="Q199" s="663">
        <v>0</v>
      </c>
      <c r="R199" s="663">
        <v>-40.000075434727478</v>
      </c>
      <c r="S199" s="663">
        <v>0</v>
      </c>
      <c r="T199" s="663">
        <v>0</v>
      </c>
      <c r="U199" s="665">
        <v>-82.369962628857039</v>
      </c>
    </row>
    <row r="200" spans="3:21" ht="13">
      <c r="C200" s="662" t="s">
        <v>62</v>
      </c>
      <c r="D200" s="663">
        <v>0</v>
      </c>
      <c r="E200" s="663">
        <v>0</v>
      </c>
      <c r="F200" s="663">
        <v>-1.6540275032482068</v>
      </c>
      <c r="G200" s="663">
        <v>-4.2955328800984329</v>
      </c>
      <c r="H200" s="663">
        <v>0</v>
      </c>
      <c r="I200" s="663">
        <v>-0.31877375583888373</v>
      </c>
      <c r="J200" s="663">
        <v>0</v>
      </c>
      <c r="K200" s="663">
        <v>0</v>
      </c>
      <c r="L200" s="663">
        <v>0</v>
      </c>
      <c r="M200" s="663">
        <v>0</v>
      </c>
      <c r="N200" s="663">
        <v>-0.24545902171991044</v>
      </c>
      <c r="O200" s="663">
        <v>-6.0567013609387903</v>
      </c>
      <c r="P200" s="663">
        <v>0</v>
      </c>
      <c r="Q200" s="663">
        <v>0</v>
      </c>
      <c r="R200" s="663">
        <v>0</v>
      </c>
      <c r="S200" s="663">
        <v>0</v>
      </c>
      <c r="T200" s="663">
        <v>0</v>
      </c>
      <c r="U200" s="665">
        <v>-12.570494521844225</v>
      </c>
    </row>
    <row r="201" spans="3:21" ht="13">
      <c r="C201" s="662" t="s">
        <v>63</v>
      </c>
      <c r="D201" s="663">
        <v>0</v>
      </c>
      <c r="E201" s="663">
        <v>0</v>
      </c>
      <c r="F201" s="663">
        <v>-18.714774559646315</v>
      </c>
      <c r="G201" s="663">
        <v>-28.257765893495769</v>
      </c>
      <c r="H201" s="663">
        <v>0</v>
      </c>
      <c r="I201" s="663">
        <v>0</v>
      </c>
      <c r="J201" s="663">
        <v>0</v>
      </c>
      <c r="K201" s="663">
        <v>0</v>
      </c>
      <c r="L201" s="663">
        <v>0</v>
      </c>
      <c r="M201" s="663">
        <v>0</v>
      </c>
      <c r="N201" s="663">
        <v>-13.972472121868162</v>
      </c>
      <c r="O201" s="663">
        <v>0</v>
      </c>
      <c r="P201" s="663">
        <v>0</v>
      </c>
      <c r="Q201" s="663">
        <v>0</v>
      </c>
      <c r="R201" s="663">
        <v>0</v>
      </c>
      <c r="S201" s="663">
        <v>0</v>
      </c>
      <c r="T201" s="663">
        <v>-2.6159745910871801</v>
      </c>
      <c r="U201" s="665">
        <v>-63.560987166097433</v>
      </c>
    </row>
    <row r="202" spans="3:21" ht="13">
      <c r="C202" s="662" t="s">
        <v>64</v>
      </c>
      <c r="D202" s="663">
        <v>0</v>
      </c>
      <c r="E202" s="663">
        <v>0</v>
      </c>
      <c r="F202" s="663">
        <v>0</v>
      </c>
      <c r="G202" s="663">
        <v>0</v>
      </c>
      <c r="H202" s="663">
        <v>0</v>
      </c>
      <c r="I202" s="663">
        <v>0</v>
      </c>
      <c r="J202" s="663">
        <v>0</v>
      </c>
      <c r="K202" s="663">
        <v>0</v>
      </c>
      <c r="L202" s="663">
        <v>0</v>
      </c>
      <c r="M202" s="663">
        <v>0</v>
      </c>
      <c r="N202" s="663">
        <v>0</v>
      </c>
      <c r="O202" s="663">
        <v>0</v>
      </c>
      <c r="P202" s="663">
        <v>0</v>
      </c>
      <c r="Q202" s="663">
        <v>0</v>
      </c>
      <c r="R202" s="663">
        <v>0</v>
      </c>
      <c r="S202" s="663">
        <v>0</v>
      </c>
      <c r="T202" s="663">
        <v>0</v>
      </c>
      <c r="U202" s="665">
        <v>0</v>
      </c>
    </row>
    <row r="203" spans="3:21" ht="13">
      <c r="C203" s="666" t="s">
        <v>65</v>
      </c>
      <c r="D203" s="667">
        <v>5.9311888025037742</v>
      </c>
      <c r="E203" s="667">
        <v>113.95685880900638</v>
      </c>
      <c r="F203" s="667">
        <v>-52.241114036092739</v>
      </c>
      <c r="G203" s="667">
        <v>-41.099092144054893</v>
      </c>
      <c r="H203" s="675">
        <v>2.6585092475046008</v>
      </c>
      <c r="I203" s="667">
        <v>-0.31877375583888373</v>
      </c>
      <c r="J203" s="667">
        <v>712.60987447127138</v>
      </c>
      <c r="K203" s="667">
        <v>556.92135057124881</v>
      </c>
      <c r="L203" s="667">
        <v>266.80615318598944</v>
      </c>
      <c r="M203" s="667">
        <v>19.228684940511499</v>
      </c>
      <c r="N203" s="667">
        <v>-7.2531211575761132</v>
      </c>
      <c r="O203" s="667">
        <v>-5.8855986447383941</v>
      </c>
      <c r="P203" s="667">
        <v>167.23788927594987</v>
      </c>
      <c r="Q203" s="667">
        <v>24.373068583718577</v>
      </c>
      <c r="R203" s="667">
        <v>-40.000075434727478</v>
      </c>
      <c r="S203" s="667">
        <v>0</v>
      </c>
      <c r="T203" s="667">
        <v>-2.6159745910871801</v>
      </c>
      <c r="U203" s="667">
        <v>1720.3098281235887</v>
      </c>
    </row>
    <row r="204" spans="3:21" ht="13">
      <c r="C204" s="668"/>
      <c r="D204" s="669">
        <v>0</v>
      </c>
      <c r="E204" s="669">
        <v>0</v>
      </c>
      <c r="F204" s="669">
        <v>0</v>
      </c>
      <c r="G204" s="669">
        <v>0</v>
      </c>
      <c r="H204" s="676">
        <v>0</v>
      </c>
      <c r="I204" s="669">
        <v>0</v>
      </c>
      <c r="J204" s="669">
        <v>0</v>
      </c>
      <c r="K204" s="669">
        <v>0</v>
      </c>
      <c r="L204" s="669">
        <v>0</v>
      </c>
      <c r="M204" s="669">
        <v>0</v>
      </c>
      <c r="N204" s="669">
        <v>0</v>
      </c>
      <c r="O204" s="669">
        <v>0</v>
      </c>
      <c r="P204" s="669">
        <v>0</v>
      </c>
      <c r="Q204" s="669">
        <v>0</v>
      </c>
      <c r="R204" s="669">
        <v>0</v>
      </c>
      <c r="S204" s="669">
        <v>0</v>
      </c>
      <c r="T204" s="669">
        <v>0</v>
      </c>
      <c r="U204" s="669">
        <v>0</v>
      </c>
    </row>
    <row r="205" spans="3:21" ht="13">
      <c r="C205" s="670" t="s">
        <v>67</v>
      </c>
      <c r="D205" s="663">
        <v>0</v>
      </c>
      <c r="E205" s="663">
        <v>0</v>
      </c>
      <c r="F205" s="663">
        <v>0</v>
      </c>
      <c r="G205" s="663">
        <v>0</v>
      </c>
      <c r="H205" s="663">
        <v>0</v>
      </c>
      <c r="I205" s="663">
        <v>0</v>
      </c>
      <c r="J205" s="663">
        <v>0</v>
      </c>
      <c r="K205" s="663">
        <v>0</v>
      </c>
      <c r="L205" s="663">
        <v>0</v>
      </c>
      <c r="M205" s="663">
        <v>0</v>
      </c>
      <c r="N205" s="663">
        <v>0</v>
      </c>
      <c r="O205" s="663">
        <v>0</v>
      </c>
      <c r="P205" s="663">
        <v>0</v>
      </c>
      <c r="Q205" s="663">
        <v>0</v>
      </c>
      <c r="R205" s="663">
        <v>0</v>
      </c>
      <c r="S205" s="663">
        <v>0</v>
      </c>
      <c r="T205" s="663">
        <v>0</v>
      </c>
      <c r="U205" s="671">
        <v>0</v>
      </c>
    </row>
    <row r="206" spans="3:21" ht="13">
      <c r="C206" s="670" t="s">
        <v>350</v>
      </c>
      <c r="D206" s="663">
        <v>0</v>
      </c>
      <c r="E206" s="663">
        <v>0</v>
      </c>
      <c r="F206" s="663">
        <v>0</v>
      </c>
      <c r="G206" s="663">
        <v>0</v>
      </c>
      <c r="H206" s="663">
        <v>0</v>
      </c>
      <c r="I206" s="663">
        <v>0</v>
      </c>
      <c r="J206" s="663">
        <v>712.60987447127138</v>
      </c>
      <c r="K206" s="663">
        <v>556.92135057124881</v>
      </c>
      <c r="L206" s="663">
        <v>14.491283228737107</v>
      </c>
      <c r="M206" s="663">
        <v>2.8053264742296591</v>
      </c>
      <c r="N206" s="663">
        <v>6.5561937148871507</v>
      </c>
      <c r="O206" s="663">
        <v>0.11326810820885491</v>
      </c>
      <c r="P206" s="663">
        <v>0</v>
      </c>
      <c r="Q206" s="663">
        <v>6.7631767445353068</v>
      </c>
      <c r="R206" s="663">
        <v>-809.85847053245573</v>
      </c>
      <c r="S206" s="663">
        <v>0</v>
      </c>
      <c r="T206" s="663">
        <v>25.915656492161155</v>
      </c>
      <c r="U206" s="671">
        <v>516.31765927282356</v>
      </c>
    </row>
    <row r="207" spans="3:21" ht="13">
      <c r="C207" s="670" t="s">
        <v>351</v>
      </c>
      <c r="D207" s="663">
        <v>0</v>
      </c>
      <c r="E207" s="663">
        <v>0</v>
      </c>
      <c r="F207" s="663">
        <v>0</v>
      </c>
      <c r="G207" s="663">
        <v>0</v>
      </c>
      <c r="H207" s="663">
        <v>0</v>
      </c>
      <c r="I207" s="663">
        <v>0</v>
      </c>
      <c r="J207" s="663">
        <v>0</v>
      </c>
      <c r="K207" s="663">
        <v>0</v>
      </c>
      <c r="L207" s="663">
        <v>33.721862056250039</v>
      </c>
      <c r="M207" s="663">
        <v>14.376617363231052</v>
      </c>
      <c r="N207" s="663">
        <v>0</v>
      </c>
      <c r="O207" s="663">
        <v>8.1785673020738106</v>
      </c>
      <c r="P207" s="663">
        <v>0</v>
      </c>
      <c r="Q207" s="663">
        <v>11.316516045102318</v>
      </c>
      <c r="R207" s="663">
        <v>0</v>
      </c>
      <c r="S207" s="663">
        <v>-64.575476384232388</v>
      </c>
      <c r="T207" s="663">
        <v>0</v>
      </c>
      <c r="U207" s="671">
        <v>3.0180863824248352</v>
      </c>
    </row>
    <row r="208" spans="3:21" ht="13">
      <c r="C208" s="670" t="s">
        <v>352</v>
      </c>
      <c r="D208" s="663">
        <v>0</v>
      </c>
      <c r="E208" s="663">
        <v>0</v>
      </c>
      <c r="F208" s="663">
        <v>0</v>
      </c>
      <c r="G208" s="663">
        <v>0</v>
      </c>
      <c r="H208" s="663">
        <v>0</v>
      </c>
      <c r="I208" s="663">
        <v>0</v>
      </c>
      <c r="J208" s="663">
        <v>0</v>
      </c>
      <c r="K208" s="663">
        <v>0</v>
      </c>
      <c r="L208" s="663">
        <v>104.38683240846164</v>
      </c>
      <c r="M208" s="663">
        <v>0</v>
      </c>
      <c r="N208" s="663">
        <v>0</v>
      </c>
      <c r="O208" s="663">
        <v>-100.27188716566127</v>
      </c>
      <c r="P208" s="663">
        <v>0</v>
      </c>
      <c r="Q208" s="663">
        <v>0</v>
      </c>
      <c r="R208" s="663">
        <v>0</v>
      </c>
      <c r="S208" s="663">
        <v>0</v>
      </c>
      <c r="T208" s="663">
        <v>0</v>
      </c>
      <c r="U208" s="671">
        <v>4.1149452428003741</v>
      </c>
    </row>
    <row r="209" spans="3:21" ht="13">
      <c r="C209" s="670" t="s">
        <v>353</v>
      </c>
      <c r="D209" s="663">
        <v>0</v>
      </c>
      <c r="E209" s="663">
        <v>0</v>
      </c>
      <c r="F209" s="663">
        <v>0</v>
      </c>
      <c r="G209" s="663">
        <v>0</v>
      </c>
      <c r="H209" s="663">
        <v>0</v>
      </c>
      <c r="I209" s="663">
        <v>-4.5962253881571415</v>
      </c>
      <c r="J209" s="663">
        <v>0</v>
      </c>
      <c r="K209" s="663">
        <v>0</v>
      </c>
      <c r="L209" s="663">
        <v>0</v>
      </c>
      <c r="M209" s="663">
        <v>0</v>
      </c>
      <c r="N209" s="663">
        <v>0</v>
      </c>
      <c r="O209" s="663">
        <v>0</v>
      </c>
      <c r="P209" s="663">
        <v>0</v>
      </c>
      <c r="Q209" s="663">
        <v>0</v>
      </c>
      <c r="R209" s="663">
        <v>0</v>
      </c>
      <c r="S209" s="663">
        <v>0</v>
      </c>
      <c r="T209" s="663">
        <v>6.4074201765093832</v>
      </c>
      <c r="U209" s="671">
        <v>1.8111947883522417</v>
      </c>
    </row>
    <row r="210" spans="3:21" ht="13">
      <c r="C210" s="670" t="s">
        <v>72</v>
      </c>
      <c r="D210" s="663">
        <v>0</v>
      </c>
      <c r="E210" s="663">
        <v>118.07035586741333</v>
      </c>
      <c r="F210" s="663">
        <v>-116.89188714951831</v>
      </c>
      <c r="G210" s="663">
        <v>0</v>
      </c>
      <c r="H210" s="663">
        <v>0</v>
      </c>
      <c r="I210" s="663">
        <v>0</v>
      </c>
      <c r="J210" s="663">
        <v>0</v>
      </c>
      <c r="K210" s="663">
        <v>0</v>
      </c>
      <c r="L210" s="663">
        <v>0</v>
      </c>
      <c r="M210" s="663">
        <v>0</v>
      </c>
      <c r="N210" s="663">
        <v>0</v>
      </c>
      <c r="O210" s="663">
        <v>0</v>
      </c>
      <c r="P210" s="663">
        <v>0</v>
      </c>
      <c r="Q210" s="663">
        <v>0</v>
      </c>
      <c r="R210" s="663">
        <v>0</v>
      </c>
      <c r="S210" s="663">
        <v>0</v>
      </c>
      <c r="T210" s="663">
        <v>0</v>
      </c>
      <c r="U210" s="671">
        <v>1.1784687178950146</v>
      </c>
    </row>
    <row r="211" spans="3:21" ht="13">
      <c r="C211" s="670" t="s">
        <v>354</v>
      </c>
      <c r="D211" s="663">
        <v>0</v>
      </c>
      <c r="E211" s="663">
        <v>0</v>
      </c>
      <c r="F211" s="663">
        <v>0</v>
      </c>
      <c r="G211" s="663">
        <v>0</v>
      </c>
      <c r="H211" s="663">
        <v>0</v>
      </c>
      <c r="I211" s="663">
        <v>0</v>
      </c>
      <c r="J211" s="663">
        <v>0</v>
      </c>
      <c r="K211" s="663">
        <v>0</v>
      </c>
      <c r="L211" s="663">
        <v>61.244429678974598</v>
      </c>
      <c r="M211" s="663">
        <v>0</v>
      </c>
      <c r="N211" s="663">
        <v>-61.244429678974598</v>
      </c>
      <c r="O211" s="663">
        <v>0</v>
      </c>
      <c r="P211" s="663">
        <v>0</v>
      </c>
      <c r="Q211" s="663">
        <v>0</v>
      </c>
      <c r="R211" s="663">
        <v>0</v>
      </c>
      <c r="S211" s="663">
        <v>0</v>
      </c>
      <c r="T211" s="663">
        <v>0</v>
      </c>
      <c r="U211" s="671">
        <v>0</v>
      </c>
    </row>
    <row r="212" spans="3:21" ht="13">
      <c r="C212" s="670" t="s">
        <v>355</v>
      </c>
      <c r="D212" s="663">
        <v>0</v>
      </c>
      <c r="E212" s="663">
        <v>0</v>
      </c>
      <c r="F212" s="663">
        <v>0</v>
      </c>
      <c r="G212" s="663">
        <v>-56.725829149009897</v>
      </c>
      <c r="H212" s="663">
        <v>0</v>
      </c>
      <c r="I212" s="663">
        <v>0</v>
      </c>
      <c r="J212" s="663">
        <v>0</v>
      </c>
      <c r="K212" s="663">
        <v>0</v>
      </c>
      <c r="L212" s="663">
        <v>0</v>
      </c>
      <c r="M212" s="663">
        <v>0</v>
      </c>
      <c r="N212" s="663">
        <v>0</v>
      </c>
      <c r="O212" s="663">
        <v>0</v>
      </c>
      <c r="P212" s="663">
        <v>0</v>
      </c>
      <c r="Q212" s="663">
        <v>0</v>
      </c>
      <c r="R212" s="663">
        <v>0</v>
      </c>
      <c r="S212" s="663">
        <v>0</v>
      </c>
      <c r="T212" s="663">
        <v>79.005333076615457</v>
      </c>
      <c r="U212" s="671">
        <v>22.27950392760556</v>
      </c>
    </row>
    <row r="213" spans="3:21" ht="13">
      <c r="C213" s="670" t="s">
        <v>73</v>
      </c>
      <c r="D213" s="663">
        <v>0</v>
      </c>
      <c r="E213" s="663">
        <v>0</v>
      </c>
      <c r="F213" s="663">
        <v>0</v>
      </c>
      <c r="G213" s="663">
        <v>0</v>
      </c>
      <c r="H213" s="663">
        <v>0</v>
      </c>
      <c r="I213" s="663">
        <v>0</v>
      </c>
      <c r="J213" s="663">
        <v>0</v>
      </c>
      <c r="K213" s="663">
        <v>0</v>
      </c>
      <c r="L213" s="663">
        <v>0</v>
      </c>
      <c r="M213" s="663">
        <v>0</v>
      </c>
      <c r="N213" s="663">
        <v>0</v>
      </c>
      <c r="O213" s="663">
        <v>0</v>
      </c>
      <c r="P213" s="663">
        <v>0</v>
      </c>
      <c r="Q213" s="663">
        <v>0</v>
      </c>
      <c r="R213" s="663">
        <v>227.10664749932533</v>
      </c>
      <c r="S213" s="663">
        <v>0</v>
      </c>
      <c r="T213" s="663">
        <v>-163.51678619951423</v>
      </c>
      <c r="U213" s="671">
        <v>63.589861299811105</v>
      </c>
    </row>
    <row r="214" spans="3:21" ht="13">
      <c r="C214" s="670" t="s">
        <v>356</v>
      </c>
      <c r="D214" s="663">
        <v>3.3456624609374996</v>
      </c>
      <c r="E214" s="663">
        <v>-4.1134970584069457</v>
      </c>
      <c r="F214" s="663">
        <v>5.3691262200413341</v>
      </c>
      <c r="G214" s="663">
        <v>0</v>
      </c>
      <c r="H214" s="663">
        <v>0</v>
      </c>
      <c r="I214" s="663">
        <v>0</v>
      </c>
      <c r="J214" s="663">
        <v>0</v>
      </c>
      <c r="K214" s="663">
        <v>0</v>
      </c>
      <c r="L214" s="663">
        <v>0</v>
      </c>
      <c r="M214" s="663">
        <v>0</v>
      </c>
      <c r="N214" s="663">
        <v>0</v>
      </c>
      <c r="O214" s="663">
        <v>0</v>
      </c>
      <c r="P214" s="663">
        <v>0</v>
      </c>
      <c r="Q214" s="663">
        <v>0</v>
      </c>
      <c r="R214" s="663">
        <v>0</v>
      </c>
      <c r="S214" s="663">
        <v>0</v>
      </c>
      <c r="T214" s="663">
        <v>0</v>
      </c>
      <c r="U214" s="671">
        <v>4.6012916225718881</v>
      </c>
    </row>
    <row r="215" spans="3:21" ht="13">
      <c r="C215" s="670" t="s">
        <v>75</v>
      </c>
      <c r="D215" s="663">
        <v>1.3010909570312501</v>
      </c>
      <c r="E215" s="663">
        <v>0</v>
      </c>
      <c r="F215" s="663">
        <v>16.404377382526505</v>
      </c>
      <c r="G215" s="663">
        <v>0</v>
      </c>
      <c r="H215" s="663">
        <v>0</v>
      </c>
      <c r="I215" s="663">
        <v>0.23833359000000001</v>
      </c>
      <c r="J215" s="663">
        <v>0</v>
      </c>
      <c r="K215" s="663">
        <v>0</v>
      </c>
      <c r="L215" s="663">
        <v>0</v>
      </c>
      <c r="M215" s="663">
        <v>0</v>
      </c>
      <c r="N215" s="663">
        <v>0</v>
      </c>
      <c r="O215" s="663">
        <v>4.5283382100000003</v>
      </c>
      <c r="P215" s="663">
        <v>0</v>
      </c>
      <c r="Q215" s="663">
        <v>0</v>
      </c>
      <c r="R215" s="663">
        <v>17.221013858771279</v>
      </c>
      <c r="S215" s="663">
        <v>0</v>
      </c>
      <c r="T215" s="663">
        <v>0</v>
      </c>
      <c r="U215" s="671">
        <v>39.693153998329031</v>
      </c>
    </row>
    <row r="216" spans="3:21" ht="13">
      <c r="C216" s="670" t="s">
        <v>76</v>
      </c>
      <c r="D216" s="663">
        <v>0</v>
      </c>
      <c r="E216" s="663">
        <v>0</v>
      </c>
      <c r="F216" s="663">
        <v>0</v>
      </c>
      <c r="G216" s="663">
        <v>0</v>
      </c>
      <c r="H216" s="663">
        <v>0</v>
      </c>
      <c r="I216" s="663">
        <v>5.9340338699632358E-2</v>
      </c>
      <c r="J216" s="663">
        <v>0</v>
      </c>
      <c r="K216" s="663">
        <v>0</v>
      </c>
      <c r="L216" s="663">
        <v>0</v>
      </c>
      <c r="M216" s="663">
        <v>0</v>
      </c>
      <c r="N216" s="663">
        <v>0</v>
      </c>
      <c r="O216" s="663">
        <v>1.1274664352930146</v>
      </c>
      <c r="P216" s="663">
        <v>0</v>
      </c>
      <c r="Q216" s="663">
        <v>0</v>
      </c>
      <c r="R216" s="663">
        <v>58.897580266978245</v>
      </c>
      <c r="S216" s="663">
        <v>5.0089527300753778</v>
      </c>
      <c r="T216" s="663">
        <v>0</v>
      </c>
      <c r="U216" s="671">
        <v>65.093339771046274</v>
      </c>
    </row>
    <row r="217" spans="3:21" ht="13">
      <c r="C217" s="666" t="s">
        <v>77</v>
      </c>
      <c r="D217" s="667">
        <v>4.6467534179687497</v>
      </c>
      <c r="E217" s="667">
        <v>113.95685880900638</v>
      </c>
      <c r="F217" s="667">
        <v>-95.118383546950469</v>
      </c>
      <c r="G217" s="667">
        <v>-56.725829149009897</v>
      </c>
      <c r="H217" s="675">
        <v>0</v>
      </c>
      <c r="I217" s="667">
        <v>-4.2985514594575092</v>
      </c>
      <c r="J217" s="667">
        <v>712.60987447127138</v>
      </c>
      <c r="K217" s="667">
        <v>556.92135057124881</v>
      </c>
      <c r="L217" s="667">
        <v>213.8444073724234</v>
      </c>
      <c r="M217" s="667">
        <v>17.181943837460711</v>
      </c>
      <c r="N217" s="667">
        <v>-54.688235964087447</v>
      </c>
      <c r="O217" s="667">
        <v>-86.324247110085594</v>
      </c>
      <c r="P217" s="667">
        <v>0</v>
      </c>
      <c r="Q217" s="667">
        <v>18.079692789637626</v>
      </c>
      <c r="R217" s="667">
        <v>-506.63322890738101</v>
      </c>
      <c r="S217" s="667">
        <v>-59.56652365415701</v>
      </c>
      <c r="T217" s="667">
        <v>-52.188376454228234</v>
      </c>
      <c r="U217" s="667">
        <v>721.69750502365991</v>
      </c>
    </row>
    <row r="218" spans="3:21" ht="13">
      <c r="C218" s="668"/>
      <c r="D218" s="669">
        <v>0</v>
      </c>
      <c r="E218" s="669">
        <v>0</v>
      </c>
      <c r="F218" s="669">
        <v>0</v>
      </c>
      <c r="G218" s="669">
        <v>0</v>
      </c>
      <c r="H218" s="676">
        <v>0</v>
      </c>
      <c r="I218" s="669">
        <v>0</v>
      </c>
      <c r="J218" s="669">
        <v>0</v>
      </c>
      <c r="K218" s="669">
        <v>0</v>
      </c>
      <c r="L218" s="669">
        <v>0</v>
      </c>
      <c r="M218" s="669">
        <v>0</v>
      </c>
      <c r="N218" s="669">
        <v>0</v>
      </c>
      <c r="O218" s="669">
        <v>0</v>
      </c>
      <c r="P218" s="669">
        <v>0</v>
      </c>
      <c r="Q218" s="669">
        <v>0</v>
      </c>
      <c r="R218" s="669">
        <v>0</v>
      </c>
      <c r="S218" s="669">
        <v>0</v>
      </c>
      <c r="T218" s="669">
        <v>0</v>
      </c>
      <c r="U218" s="669">
        <v>0</v>
      </c>
    </row>
    <row r="219" spans="3:21" ht="13">
      <c r="C219" s="670" t="s">
        <v>78</v>
      </c>
      <c r="D219" s="663">
        <v>1.2844353845350245</v>
      </c>
      <c r="E219" s="663">
        <v>0</v>
      </c>
      <c r="F219" s="663">
        <v>0.671413025716175</v>
      </c>
      <c r="G219" s="663">
        <v>0</v>
      </c>
      <c r="H219" s="663">
        <v>0</v>
      </c>
      <c r="I219" s="663">
        <v>1.6768235413433659</v>
      </c>
      <c r="J219" s="663">
        <v>0</v>
      </c>
      <c r="K219" s="663">
        <v>0</v>
      </c>
      <c r="L219" s="663">
        <v>18.511250218523632</v>
      </c>
      <c r="M219" s="663">
        <v>2.0464486619012869</v>
      </c>
      <c r="N219" s="663">
        <v>1.4169866943359375</v>
      </c>
      <c r="O219" s="663">
        <v>31.901778101678747</v>
      </c>
      <c r="P219" s="663">
        <v>11.306912109375</v>
      </c>
      <c r="Q219" s="663">
        <v>8.5890570413253253E-4</v>
      </c>
      <c r="R219" s="663">
        <v>135.19292998685364</v>
      </c>
      <c r="S219" s="663">
        <v>18.430317312360387</v>
      </c>
      <c r="T219" s="663">
        <v>8.2355947265624998</v>
      </c>
      <c r="U219" s="671">
        <v>230.67574866888981</v>
      </c>
    </row>
    <row r="220" spans="3:21" ht="13">
      <c r="C220" s="670" t="s">
        <v>79</v>
      </c>
      <c r="D220" s="663">
        <v>0</v>
      </c>
      <c r="E220" s="663">
        <v>0</v>
      </c>
      <c r="F220" s="663">
        <v>2.0327553633446804</v>
      </c>
      <c r="G220" s="663">
        <v>2.9414401384596758</v>
      </c>
      <c r="H220" s="663">
        <v>0</v>
      </c>
      <c r="I220" s="663">
        <v>0.25814381907328782</v>
      </c>
      <c r="J220" s="663">
        <v>0</v>
      </c>
      <c r="K220" s="663">
        <v>0</v>
      </c>
      <c r="L220" s="663">
        <v>0</v>
      </c>
      <c r="M220" s="663">
        <v>0</v>
      </c>
      <c r="N220" s="663">
        <v>11.290866079539722</v>
      </c>
      <c r="O220" s="663">
        <v>4.9047325623924678</v>
      </c>
      <c r="P220" s="663">
        <v>0</v>
      </c>
      <c r="Q220" s="663">
        <v>0</v>
      </c>
      <c r="R220" s="663">
        <v>110.4417553978261</v>
      </c>
      <c r="S220" s="663">
        <v>0</v>
      </c>
      <c r="T220" s="663">
        <v>5.3966998641798476</v>
      </c>
      <c r="U220" s="671">
        <v>137.26639322481577</v>
      </c>
    </row>
    <row r="221" spans="3:21" ht="13">
      <c r="C221" s="670" t="s">
        <v>80</v>
      </c>
      <c r="D221" s="663">
        <v>0</v>
      </c>
      <c r="E221" s="663">
        <v>0</v>
      </c>
      <c r="F221" s="663">
        <v>0.19325490667833059</v>
      </c>
      <c r="G221" s="663">
        <v>0</v>
      </c>
      <c r="H221" s="663">
        <v>0</v>
      </c>
      <c r="I221" s="663">
        <v>1.3094987150488224</v>
      </c>
      <c r="J221" s="663">
        <v>0</v>
      </c>
      <c r="K221" s="663">
        <v>0</v>
      </c>
      <c r="L221" s="663">
        <v>28.937300829462252</v>
      </c>
      <c r="M221" s="663">
        <v>0</v>
      </c>
      <c r="N221" s="663">
        <v>0</v>
      </c>
      <c r="O221" s="663">
        <v>24.88047558592762</v>
      </c>
      <c r="P221" s="663">
        <v>124.95584249070536</v>
      </c>
      <c r="Q221" s="663">
        <v>3.1166998128913419</v>
      </c>
      <c r="R221" s="663">
        <v>129.06523934568938</v>
      </c>
      <c r="S221" s="663">
        <v>22.248806062911136</v>
      </c>
      <c r="T221" s="663">
        <v>0</v>
      </c>
      <c r="U221" s="671">
        <v>334.70711774931425</v>
      </c>
    </row>
    <row r="222" spans="3:21" ht="13">
      <c r="C222" s="670" t="s">
        <v>81</v>
      </c>
      <c r="D222" s="663">
        <v>0</v>
      </c>
      <c r="E222" s="663">
        <v>0</v>
      </c>
      <c r="F222" s="663">
        <v>0.13103912510682203</v>
      </c>
      <c r="G222" s="663">
        <v>0</v>
      </c>
      <c r="H222" s="663">
        <v>0</v>
      </c>
      <c r="I222" s="663">
        <v>0.65398403873429223</v>
      </c>
      <c r="J222" s="663">
        <v>0</v>
      </c>
      <c r="K222" s="663">
        <v>0</v>
      </c>
      <c r="L222" s="663">
        <v>0.34200087095620557</v>
      </c>
      <c r="M222" s="663">
        <v>2.9244114949902102E-4</v>
      </c>
      <c r="N222" s="663">
        <v>0</v>
      </c>
      <c r="O222" s="663">
        <v>12.425696735951551</v>
      </c>
      <c r="P222" s="663">
        <v>29.475134675869491</v>
      </c>
      <c r="Q222" s="663">
        <v>0.98841007039498519</v>
      </c>
      <c r="R222" s="663">
        <v>81.567308013661545</v>
      </c>
      <c r="S222" s="663">
        <v>18.887400278885494</v>
      </c>
      <c r="T222" s="663">
        <v>0</v>
      </c>
      <c r="U222" s="671">
        <v>144.4712662507099</v>
      </c>
    </row>
    <row r="223" spans="3:21" ht="13">
      <c r="C223" s="670" t="s">
        <v>82</v>
      </c>
      <c r="D223" s="663">
        <v>0</v>
      </c>
      <c r="E223" s="663">
        <v>0</v>
      </c>
      <c r="F223" s="663">
        <v>0</v>
      </c>
      <c r="G223" s="663">
        <v>0.49546247522038722</v>
      </c>
      <c r="H223" s="663">
        <v>0</v>
      </c>
      <c r="I223" s="663">
        <v>8.1327589418857746E-2</v>
      </c>
      <c r="J223" s="663">
        <v>0</v>
      </c>
      <c r="K223" s="663">
        <v>0</v>
      </c>
      <c r="L223" s="663">
        <v>4.5749249618986854</v>
      </c>
      <c r="M223" s="663">
        <v>0</v>
      </c>
      <c r="N223" s="663">
        <v>16.621294257606131</v>
      </c>
      <c r="O223" s="663">
        <v>1.5452241989582969</v>
      </c>
      <c r="P223" s="663">
        <v>1.5</v>
      </c>
      <c r="Q223" s="663">
        <v>2.1874070050904897</v>
      </c>
      <c r="R223" s="663">
        <v>7.8459207286229669</v>
      </c>
      <c r="S223" s="663">
        <v>0</v>
      </c>
      <c r="T223" s="663">
        <v>0.44339331184266689</v>
      </c>
      <c r="U223" s="671">
        <v>35.294954528658486</v>
      </c>
    </row>
    <row r="224" spans="3:21" ht="13">
      <c r="C224" s="670" t="s">
        <v>357</v>
      </c>
      <c r="D224" s="663">
        <v>0</v>
      </c>
      <c r="E224" s="663">
        <v>0</v>
      </c>
      <c r="F224" s="663">
        <v>0</v>
      </c>
      <c r="G224" s="663">
        <v>0</v>
      </c>
      <c r="H224" s="663">
        <v>0</v>
      </c>
      <c r="I224" s="663">
        <v>0</v>
      </c>
      <c r="J224" s="663">
        <v>0</v>
      </c>
      <c r="K224" s="663">
        <v>0</v>
      </c>
      <c r="L224" s="663">
        <v>0</v>
      </c>
      <c r="M224" s="663">
        <v>0</v>
      </c>
      <c r="N224" s="663">
        <v>0</v>
      </c>
      <c r="O224" s="663">
        <v>0</v>
      </c>
      <c r="P224" s="663">
        <v>0</v>
      </c>
      <c r="Q224" s="663">
        <v>0</v>
      </c>
      <c r="R224" s="663">
        <v>2.5199999999999996</v>
      </c>
      <c r="S224" s="663">
        <v>0</v>
      </c>
      <c r="T224" s="663">
        <v>0</v>
      </c>
      <c r="U224" s="671">
        <v>2.5199999999999996</v>
      </c>
    </row>
    <row r="225" spans="3:21" ht="13">
      <c r="C225" s="666" t="s">
        <v>83</v>
      </c>
      <c r="D225" s="667">
        <v>1.2844353845350245</v>
      </c>
      <c r="E225" s="667">
        <v>0</v>
      </c>
      <c r="F225" s="667">
        <v>3.028462420846008</v>
      </c>
      <c r="G225" s="667">
        <v>3.4369026136800631</v>
      </c>
      <c r="H225" s="675">
        <v>0</v>
      </c>
      <c r="I225" s="667">
        <v>3.9797777036186259</v>
      </c>
      <c r="J225" s="667">
        <v>0</v>
      </c>
      <c r="K225" s="667">
        <v>0</v>
      </c>
      <c r="L225" s="667">
        <v>52.365476880840774</v>
      </c>
      <c r="M225" s="667">
        <v>2.0467411030507856</v>
      </c>
      <c r="N225" s="667">
        <v>29.329147031481789</v>
      </c>
      <c r="O225" s="667">
        <v>75.65790718490868</v>
      </c>
      <c r="P225" s="667">
        <v>167.23788927594987</v>
      </c>
      <c r="Q225" s="667">
        <v>6.2933757940809487</v>
      </c>
      <c r="R225" s="667">
        <v>466.63315347265359</v>
      </c>
      <c r="S225" s="667">
        <v>59.566523654157017</v>
      </c>
      <c r="T225" s="667">
        <v>14.075687902585015</v>
      </c>
      <c r="U225" s="667">
        <v>884.93548042238808</v>
      </c>
    </row>
    <row r="226" spans="3:21" ht="13">
      <c r="C226" s="662" t="s">
        <v>84</v>
      </c>
      <c r="D226" s="663">
        <v>0</v>
      </c>
      <c r="E226" s="663">
        <v>0</v>
      </c>
      <c r="F226" s="663">
        <v>39.848807090011732</v>
      </c>
      <c r="G226" s="663">
        <v>12.189834391274943</v>
      </c>
      <c r="H226" s="663">
        <v>2.6585092475046008</v>
      </c>
      <c r="I226" s="663">
        <v>0</v>
      </c>
      <c r="J226" s="663">
        <v>0</v>
      </c>
      <c r="K226" s="663">
        <v>0</v>
      </c>
      <c r="L226" s="663">
        <v>0.5962689327253029</v>
      </c>
      <c r="M226" s="663">
        <v>0</v>
      </c>
      <c r="N226" s="663">
        <v>18.105967775029544</v>
      </c>
      <c r="O226" s="663">
        <v>4.780741280438523</v>
      </c>
      <c r="P226" s="663">
        <v>0</v>
      </c>
      <c r="Q226" s="663">
        <v>0</v>
      </c>
      <c r="R226" s="663">
        <v>0</v>
      </c>
      <c r="S226" s="663">
        <v>0</v>
      </c>
      <c r="T226" s="663">
        <v>35.496713960556022</v>
      </c>
      <c r="U226" s="671">
        <v>113.67684267754068</v>
      </c>
    </row>
    <row r="227" spans="3:21" ht="13">
      <c r="C227" s="666" t="s">
        <v>85</v>
      </c>
      <c r="D227" s="667">
        <v>1.2844353845350245</v>
      </c>
      <c r="E227" s="667">
        <v>0</v>
      </c>
      <c r="F227" s="667">
        <v>42.877269510857737</v>
      </c>
      <c r="G227" s="667">
        <v>15.626737004955006</v>
      </c>
      <c r="H227" s="675">
        <v>2.6585092475046008</v>
      </c>
      <c r="I227" s="667">
        <v>3.9797777036186259</v>
      </c>
      <c r="J227" s="667">
        <v>0</v>
      </c>
      <c r="K227" s="667">
        <v>0</v>
      </c>
      <c r="L227" s="667">
        <v>52.961745813566075</v>
      </c>
      <c r="M227" s="667">
        <v>2.0467411030507856</v>
      </c>
      <c r="N227" s="667">
        <v>47.435114806511329</v>
      </c>
      <c r="O227" s="667">
        <v>80.4386484653472</v>
      </c>
      <c r="P227" s="667">
        <v>167.23788927594987</v>
      </c>
      <c r="Q227" s="667">
        <v>6.2933757940809487</v>
      </c>
      <c r="R227" s="667">
        <v>466.63315347265359</v>
      </c>
      <c r="S227" s="667">
        <v>59.566523654157017</v>
      </c>
      <c r="T227" s="667">
        <v>49.572401863141039</v>
      </c>
      <c r="U227" s="667">
        <v>998.61232309992874</v>
      </c>
    </row>
    <row r="228" spans="3:21">
      <c r="C228" s="654"/>
      <c r="D228" s="672">
        <v>0</v>
      </c>
      <c r="E228" s="672">
        <v>0</v>
      </c>
      <c r="F228" s="672">
        <v>0</v>
      </c>
      <c r="G228" s="672">
        <v>0</v>
      </c>
      <c r="H228" s="672">
        <v>0</v>
      </c>
      <c r="I228" s="672">
        <v>4.9960036108132044E-16</v>
      </c>
      <c r="J228" s="672">
        <v>0</v>
      </c>
      <c r="K228" s="672">
        <v>0</v>
      </c>
      <c r="L228" s="672">
        <v>0</v>
      </c>
      <c r="M228" s="672">
        <v>0</v>
      </c>
      <c r="N228" s="672">
        <v>0</v>
      </c>
      <c r="O228" s="672">
        <v>0</v>
      </c>
      <c r="P228" s="672">
        <v>0</v>
      </c>
      <c r="Q228" s="672">
        <v>0</v>
      </c>
      <c r="R228" s="672">
        <v>5.6843418860808015E-14</v>
      </c>
      <c r="S228" s="672">
        <v>7.1054273576010019E-15</v>
      </c>
      <c r="T228" s="672">
        <v>-1.4654943925052066E-14</v>
      </c>
      <c r="U228" s="672">
        <v>0</v>
      </c>
    </row>
    <row r="229" spans="3:21">
      <c r="C229" s="654"/>
      <c r="D229" s="654"/>
      <c r="E229" s="654"/>
      <c r="F229" s="654"/>
      <c r="G229" s="654"/>
      <c r="H229" s="654"/>
      <c r="I229" s="654"/>
      <c r="J229" s="654"/>
      <c r="K229" s="654"/>
      <c r="L229" s="654"/>
      <c r="M229" s="654"/>
      <c r="N229" s="654"/>
      <c r="O229" s="654"/>
      <c r="P229" s="654"/>
      <c r="Q229" s="654"/>
      <c r="R229" s="654"/>
      <c r="S229" s="654"/>
      <c r="T229" s="654"/>
      <c r="U229" s="654"/>
    </row>
  </sheetData>
  <mergeCells count="84">
    <mergeCell ref="T195:T196"/>
    <mergeCell ref="U195:U196"/>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U202:U204 U217:U225">
    <cfRule type="cellIs" dxfId="5465" priority="454" operator="equal">
      <formula>0</formula>
    </cfRule>
  </conditionalFormatting>
  <conditionalFormatting sqref="U217">
    <cfRule type="containsBlanks" dxfId="5464" priority="453">
      <formula>LEN(TRIM(U217))=0</formula>
    </cfRule>
  </conditionalFormatting>
  <conditionalFormatting sqref="L11:P11">
    <cfRule type="cellIs" dxfId="5463" priority="450" operator="equal">
      <formula>0</formula>
    </cfRule>
  </conditionalFormatting>
  <conditionalFormatting sqref="Q11">
    <cfRule type="cellIs" dxfId="5462" priority="449" operator="equal">
      <formula>0</formula>
    </cfRule>
  </conditionalFormatting>
  <conditionalFormatting sqref="L48:P48">
    <cfRule type="cellIs" dxfId="5461" priority="448" operator="equal">
      <formula>0</formula>
    </cfRule>
  </conditionalFormatting>
  <conditionalFormatting sqref="Q48">
    <cfRule type="cellIs" dxfId="5460" priority="447" operator="equal">
      <formula>0</formula>
    </cfRule>
  </conditionalFormatting>
  <conditionalFormatting sqref="L85:P85">
    <cfRule type="cellIs" dxfId="5459" priority="446" operator="equal">
      <formula>0</formula>
    </cfRule>
  </conditionalFormatting>
  <conditionalFormatting sqref="Q85">
    <cfRule type="cellIs" dxfId="5458" priority="445" operator="equal">
      <formula>0</formula>
    </cfRule>
  </conditionalFormatting>
  <conditionalFormatting sqref="L122:P122">
    <cfRule type="cellIs" dxfId="5457" priority="444" operator="equal">
      <formula>0</formula>
    </cfRule>
  </conditionalFormatting>
  <conditionalFormatting sqref="Q122">
    <cfRule type="cellIs" dxfId="5456" priority="443" operator="equal">
      <formula>0</formula>
    </cfRule>
  </conditionalFormatting>
  <conditionalFormatting sqref="L159:P159">
    <cfRule type="cellIs" dxfId="5455" priority="442" operator="equal">
      <formula>0</formula>
    </cfRule>
  </conditionalFormatting>
  <conditionalFormatting sqref="Q159">
    <cfRule type="cellIs" dxfId="5454" priority="441" operator="equal">
      <formula>0</formula>
    </cfRule>
  </conditionalFormatting>
  <conditionalFormatting sqref="L196:P196">
    <cfRule type="cellIs" dxfId="5453" priority="440" operator="equal">
      <formula>0</formula>
    </cfRule>
  </conditionalFormatting>
  <conditionalFormatting sqref="Q196">
    <cfRule type="cellIs" dxfId="5452" priority="439" operator="equal">
      <formula>0</formula>
    </cfRule>
  </conditionalFormatting>
  <conditionalFormatting sqref="U227 U197:U199">
    <cfRule type="cellIs" dxfId="5451" priority="438" operator="equal">
      <formula>0</formula>
    </cfRule>
  </conditionalFormatting>
  <conditionalFormatting sqref="U226">
    <cfRule type="cellIs" dxfId="5450" priority="437" operator="equal">
      <formula>0</formula>
    </cfRule>
  </conditionalFormatting>
  <conditionalFormatting sqref="U219:U227 U197:U199 U202:U203">
    <cfRule type="containsBlanks" dxfId="5449" priority="436">
      <formula>LEN(TRIM(U197))=0</formula>
    </cfRule>
  </conditionalFormatting>
  <conditionalFormatting sqref="U200:U201">
    <cfRule type="cellIs" dxfId="5448" priority="435" operator="equal">
      <formula>0</formula>
    </cfRule>
  </conditionalFormatting>
  <conditionalFormatting sqref="U200:U201">
    <cfRule type="containsBlanks" dxfId="5447" priority="434">
      <formula>LEN(TRIM(U200))=0</formula>
    </cfRule>
  </conditionalFormatting>
  <conditionalFormatting sqref="U205:U216">
    <cfRule type="cellIs" dxfId="5446" priority="433" operator="equal">
      <formula>0</formula>
    </cfRule>
  </conditionalFormatting>
  <conditionalFormatting sqref="U205:U216">
    <cfRule type="containsBlanks" dxfId="5445" priority="432">
      <formula>LEN(TRIM(U205))=0</formula>
    </cfRule>
  </conditionalFormatting>
  <conditionalFormatting sqref="U42 U12:U40">
    <cfRule type="cellIs" dxfId="5444" priority="428" operator="equal">
      <formula>0</formula>
    </cfRule>
  </conditionalFormatting>
  <conditionalFormatting sqref="U41">
    <cfRule type="cellIs" dxfId="5443" priority="427" operator="equal">
      <formula>0</formula>
    </cfRule>
  </conditionalFormatting>
  <conditionalFormatting sqref="U34:U42 U12:U18 U20:U32">
    <cfRule type="containsBlanks" dxfId="5442" priority="426">
      <formula>LEN(TRIM(U12))=0</formula>
    </cfRule>
  </conditionalFormatting>
  <conditionalFormatting sqref="U79 U49:U77">
    <cfRule type="cellIs" dxfId="5441" priority="425" operator="equal">
      <formula>0</formula>
    </cfRule>
  </conditionalFormatting>
  <conditionalFormatting sqref="U78">
    <cfRule type="cellIs" dxfId="5440" priority="424" operator="equal">
      <formula>0</formula>
    </cfRule>
  </conditionalFormatting>
  <conditionalFormatting sqref="U71:U79 U49:U55 U57:U69">
    <cfRule type="containsBlanks" dxfId="5439" priority="423">
      <formula>LEN(TRIM(U49))=0</formula>
    </cfRule>
  </conditionalFormatting>
  <conditionalFormatting sqref="U116 U86:U114">
    <cfRule type="cellIs" dxfId="5438" priority="422" operator="equal">
      <formula>0</formula>
    </cfRule>
  </conditionalFormatting>
  <conditionalFormatting sqref="U115">
    <cfRule type="cellIs" dxfId="5437" priority="421" operator="equal">
      <formula>0</formula>
    </cfRule>
  </conditionalFormatting>
  <conditionalFormatting sqref="U108:U116 U86:U92 U94:U106">
    <cfRule type="containsBlanks" dxfId="5436" priority="420">
      <formula>LEN(TRIM(U86))=0</formula>
    </cfRule>
  </conditionalFormatting>
  <conditionalFormatting sqref="U153 U123:U151">
    <cfRule type="cellIs" dxfId="5435" priority="419" operator="equal">
      <formula>0</formula>
    </cfRule>
  </conditionalFormatting>
  <conditionalFormatting sqref="U152">
    <cfRule type="cellIs" dxfId="5434" priority="418" operator="equal">
      <formula>0</formula>
    </cfRule>
  </conditionalFormatting>
  <conditionalFormatting sqref="U145:U153 U123:U129 U131:U143">
    <cfRule type="containsBlanks" dxfId="5433" priority="417">
      <formula>LEN(TRIM(U123))=0</formula>
    </cfRule>
  </conditionalFormatting>
  <conditionalFormatting sqref="U190 U160:U188">
    <cfRule type="cellIs" dxfId="5432" priority="416" operator="equal">
      <formula>0</formula>
    </cfRule>
  </conditionalFormatting>
  <conditionalFormatting sqref="U189">
    <cfRule type="cellIs" dxfId="5431" priority="415" operator="equal">
      <formula>0</formula>
    </cfRule>
  </conditionalFormatting>
  <conditionalFormatting sqref="U182:U190 U160:U166 U168:U180">
    <cfRule type="containsBlanks" dxfId="5430" priority="414">
      <formula>LEN(TRIM(U160))=0</formula>
    </cfRule>
  </conditionalFormatting>
  <conditionalFormatting sqref="D42:F42 R33:T33 D32:F40 D12:F19 N12:O12 R12:T12 J42:T42 J33:K33 J34:T40 J32:T32 J13:T19">
    <cfRule type="cellIs" dxfId="5429" priority="379" operator="equal">
      <formula>0</formula>
    </cfRule>
  </conditionalFormatting>
  <conditionalFormatting sqref="R12:R14">
    <cfRule type="cellIs" dxfId="5428" priority="378" operator="equal">
      <formula>0</formula>
    </cfRule>
  </conditionalFormatting>
  <conditionalFormatting sqref="R12:T12 N12:O12 D13:F14 J13:T14">
    <cfRule type="cellIs" dxfId="5427" priority="377" operator="equal">
      <formula>0</formula>
    </cfRule>
  </conditionalFormatting>
  <conditionalFormatting sqref="F13:F14">
    <cfRule type="cellIs" dxfId="5426" priority="376" operator="equal">
      <formula>0</formula>
    </cfRule>
  </conditionalFormatting>
  <conditionalFormatting sqref="N12:O12">
    <cfRule type="cellIs" dxfId="5425" priority="375" operator="equal">
      <formula>0</formula>
    </cfRule>
  </conditionalFormatting>
  <conditionalFormatting sqref="L15:L17 L33">
    <cfRule type="cellIs" dxfId="5424" priority="374" operator="equal">
      <formula>0</formula>
    </cfRule>
  </conditionalFormatting>
  <conditionalFormatting sqref="L13:L14">
    <cfRule type="cellIs" dxfId="5423" priority="373" operator="equal">
      <formula>0</formula>
    </cfRule>
  </conditionalFormatting>
  <conditionalFormatting sqref="M15:M17 M33">
    <cfRule type="cellIs" dxfId="5422" priority="372" operator="equal">
      <formula>0</formula>
    </cfRule>
  </conditionalFormatting>
  <conditionalFormatting sqref="M13:M14">
    <cfRule type="cellIs" dxfId="5421" priority="371" operator="equal">
      <formula>0</formula>
    </cfRule>
  </conditionalFormatting>
  <conditionalFormatting sqref="N15:N17 N33">
    <cfRule type="cellIs" dxfId="5420" priority="370" operator="equal">
      <formula>0</formula>
    </cfRule>
  </conditionalFormatting>
  <conditionalFormatting sqref="N12:N14">
    <cfRule type="cellIs" dxfId="5419" priority="369" operator="equal">
      <formula>0</formula>
    </cfRule>
  </conditionalFormatting>
  <conditionalFormatting sqref="O15:O17 O33">
    <cfRule type="cellIs" dxfId="5418" priority="368" operator="equal">
      <formula>0</formula>
    </cfRule>
  </conditionalFormatting>
  <conditionalFormatting sqref="O12:O14">
    <cfRule type="cellIs" dxfId="5417" priority="367" operator="equal">
      <formula>0</formula>
    </cfRule>
  </conditionalFormatting>
  <conditionalFormatting sqref="P15:P17 P33">
    <cfRule type="cellIs" dxfId="5416" priority="366" operator="equal">
      <formula>0</formula>
    </cfRule>
  </conditionalFormatting>
  <conditionalFormatting sqref="P13:P14">
    <cfRule type="cellIs" dxfId="5415" priority="365" operator="equal">
      <formula>0</formula>
    </cfRule>
  </conditionalFormatting>
  <conditionalFormatting sqref="Q15:Q17 Q33">
    <cfRule type="cellIs" dxfId="5414" priority="364" operator="equal">
      <formula>0</formula>
    </cfRule>
  </conditionalFormatting>
  <conditionalFormatting sqref="Q13:Q14">
    <cfRule type="cellIs" dxfId="5413" priority="363" operator="equal">
      <formula>0</formula>
    </cfRule>
  </conditionalFormatting>
  <conditionalFormatting sqref="D41:F41 J41:T41">
    <cfRule type="cellIs" dxfId="5412" priority="362" operator="equal">
      <formula>0</formula>
    </cfRule>
  </conditionalFormatting>
  <conditionalFormatting sqref="D34:F42 D32:F32 D12:F18 N12:O12 R12:T12 J34:T42 J32:T32 J13:T18">
    <cfRule type="containsBlanks" dxfId="5411" priority="361">
      <formula>LEN(TRIM(D12))=0</formula>
    </cfRule>
  </conditionalFormatting>
  <conditionalFormatting sqref="D41:F41 J41:T41">
    <cfRule type="cellIs" dxfId="5410" priority="360" operator="equal">
      <formula>0</formula>
    </cfRule>
  </conditionalFormatting>
  <conditionalFormatting sqref="N15:N16">
    <cfRule type="cellIs" dxfId="5409" priority="359" operator="equal">
      <formula>0</formula>
    </cfRule>
  </conditionalFormatting>
  <conditionalFormatting sqref="O15:O16">
    <cfRule type="cellIs" dxfId="5408" priority="358" operator="equal">
      <formula>0</formula>
    </cfRule>
  </conditionalFormatting>
  <conditionalFormatting sqref="P15:Q15">
    <cfRule type="cellIs" dxfId="5407" priority="357" operator="equal">
      <formula>0</formula>
    </cfRule>
  </conditionalFormatting>
  <conditionalFormatting sqref="P16:Q16">
    <cfRule type="cellIs" dxfId="5406" priority="356" operator="equal">
      <formula>0</formula>
    </cfRule>
  </conditionalFormatting>
  <conditionalFormatting sqref="D20:F31 J20:T31">
    <cfRule type="cellIs" dxfId="5405" priority="355" operator="equal">
      <formula>0</formula>
    </cfRule>
  </conditionalFormatting>
  <conditionalFormatting sqref="D20:F31 J20:T31">
    <cfRule type="containsBlanks" dxfId="5404" priority="354">
      <formula>LEN(TRIM(D20))=0</formula>
    </cfRule>
  </conditionalFormatting>
  <conditionalFormatting sqref="J12">
    <cfRule type="cellIs" dxfId="5403" priority="353" operator="equal">
      <formula>0</formula>
    </cfRule>
  </conditionalFormatting>
  <conditionalFormatting sqref="K12">
    <cfRule type="cellIs" dxfId="5402" priority="352" operator="equal">
      <formula>0</formula>
    </cfRule>
  </conditionalFormatting>
  <conditionalFormatting sqref="L12:M12">
    <cfRule type="cellIs" dxfId="5401" priority="351" operator="equal">
      <formula>0</formula>
    </cfRule>
  </conditionalFormatting>
  <conditionalFormatting sqref="M12">
    <cfRule type="cellIs" dxfId="5400" priority="350" operator="equal">
      <formula>0</formula>
    </cfRule>
  </conditionalFormatting>
  <conditionalFormatting sqref="J12:M12">
    <cfRule type="containsBlanks" dxfId="5399" priority="349">
      <formula>LEN(TRIM(J12))=0</formula>
    </cfRule>
  </conditionalFormatting>
  <conditionalFormatting sqref="P12:Q12">
    <cfRule type="cellIs" dxfId="5398" priority="348" operator="equal">
      <formula>0</formula>
    </cfRule>
  </conditionalFormatting>
  <conditionalFormatting sqref="P12:Q12">
    <cfRule type="cellIs" dxfId="5397" priority="347" operator="equal">
      <formula>0</formula>
    </cfRule>
  </conditionalFormatting>
  <conditionalFormatting sqref="P12:Q12">
    <cfRule type="containsBlanks" dxfId="5396" priority="346">
      <formula>LEN(TRIM(P12))=0</formula>
    </cfRule>
  </conditionalFormatting>
  <conditionalFormatting sqref="D79:F79 R70:T70 D69:F77 D49:F56 N49:O49 R49:T49 J79:T79 J70:K70 J71:T77 J69:T69 J50:T56">
    <cfRule type="cellIs" dxfId="5395" priority="345" operator="equal">
      <formula>0</formula>
    </cfRule>
  </conditionalFormatting>
  <conditionalFormatting sqref="R49:R51">
    <cfRule type="cellIs" dxfId="5394" priority="344" operator="equal">
      <formula>0</formula>
    </cfRule>
  </conditionalFormatting>
  <conditionalFormatting sqref="R49:T49 N49:O49 D50:F51 J50:T51">
    <cfRule type="cellIs" dxfId="5393" priority="343" operator="equal">
      <formula>0</formula>
    </cfRule>
  </conditionalFormatting>
  <conditionalFormatting sqref="F50:F51">
    <cfRule type="cellIs" dxfId="5392" priority="342" operator="equal">
      <formula>0</formula>
    </cfRule>
  </conditionalFormatting>
  <conditionalFormatting sqref="N49:O49">
    <cfRule type="cellIs" dxfId="5391" priority="341" operator="equal">
      <formula>0</formula>
    </cfRule>
  </conditionalFormatting>
  <conditionalFormatting sqref="L52:L54 L70">
    <cfRule type="cellIs" dxfId="5390" priority="340" operator="equal">
      <formula>0</formula>
    </cfRule>
  </conditionalFormatting>
  <conditionalFormatting sqref="L50:L51">
    <cfRule type="cellIs" dxfId="5389" priority="339" operator="equal">
      <formula>0</formula>
    </cfRule>
  </conditionalFormatting>
  <conditionalFormatting sqref="M52:M54 M70">
    <cfRule type="cellIs" dxfId="5388" priority="338" operator="equal">
      <formula>0</formula>
    </cfRule>
  </conditionalFormatting>
  <conditionalFormatting sqref="M50:M51">
    <cfRule type="cellIs" dxfId="5387" priority="337" operator="equal">
      <formula>0</formula>
    </cfRule>
  </conditionalFormatting>
  <conditionalFormatting sqref="N52:N54 N70">
    <cfRule type="cellIs" dxfId="5386" priority="336" operator="equal">
      <formula>0</formula>
    </cfRule>
  </conditionalFormatting>
  <conditionalFormatting sqref="N49:N51">
    <cfRule type="cellIs" dxfId="5385" priority="335" operator="equal">
      <formula>0</formula>
    </cfRule>
  </conditionalFormatting>
  <conditionalFormatting sqref="O52:O54 O70">
    <cfRule type="cellIs" dxfId="5384" priority="334" operator="equal">
      <formula>0</formula>
    </cfRule>
  </conditionalFormatting>
  <conditionalFormatting sqref="O49:O51">
    <cfRule type="cellIs" dxfId="5383" priority="333" operator="equal">
      <formula>0</formula>
    </cfRule>
  </conditionalFormatting>
  <conditionalFormatting sqref="P52:P54 P70">
    <cfRule type="cellIs" dxfId="5382" priority="332" operator="equal">
      <formula>0</formula>
    </cfRule>
  </conditionalFormatting>
  <conditionalFormatting sqref="P50:P51">
    <cfRule type="cellIs" dxfId="5381" priority="331" operator="equal">
      <formula>0</formula>
    </cfRule>
  </conditionalFormatting>
  <conditionalFormatting sqref="Q52:Q54 Q70">
    <cfRule type="cellIs" dxfId="5380" priority="330" operator="equal">
      <formula>0</formula>
    </cfRule>
  </conditionalFormatting>
  <conditionalFormatting sqref="Q50:Q51">
    <cfRule type="cellIs" dxfId="5379" priority="329" operator="equal">
      <formula>0</formula>
    </cfRule>
  </conditionalFormatting>
  <conditionalFormatting sqref="D78:F78 J78:T78">
    <cfRule type="cellIs" dxfId="5378" priority="328" operator="equal">
      <formula>0</formula>
    </cfRule>
  </conditionalFormatting>
  <conditionalFormatting sqref="D71:F79 D69:F69 D49:F55 N49:O49 R49:T49 J71:T79 J69:T69 J50:T55">
    <cfRule type="containsBlanks" dxfId="5377" priority="327">
      <formula>LEN(TRIM(D49))=0</formula>
    </cfRule>
  </conditionalFormatting>
  <conditionalFormatting sqref="D78:F78 J78:T78">
    <cfRule type="cellIs" dxfId="5376" priority="326" operator="equal">
      <formula>0</formula>
    </cfRule>
  </conditionalFormatting>
  <conditionalFormatting sqref="N52:N53">
    <cfRule type="cellIs" dxfId="5375" priority="325" operator="equal">
      <formula>0</formula>
    </cfRule>
  </conditionalFormatting>
  <conditionalFormatting sqref="O52:O53">
    <cfRule type="cellIs" dxfId="5374" priority="324" operator="equal">
      <formula>0</formula>
    </cfRule>
  </conditionalFormatting>
  <conditionalFormatting sqref="P52:Q52">
    <cfRule type="cellIs" dxfId="5373" priority="323" operator="equal">
      <formula>0</formula>
    </cfRule>
  </conditionalFormatting>
  <conditionalFormatting sqref="P53:Q53">
    <cfRule type="cellIs" dxfId="5372" priority="322" operator="equal">
      <formula>0</formula>
    </cfRule>
  </conditionalFormatting>
  <conditionalFormatting sqref="D57:F68 J57:T68">
    <cfRule type="cellIs" dxfId="5371" priority="321" operator="equal">
      <formula>0</formula>
    </cfRule>
  </conditionalFormatting>
  <conditionalFormatting sqref="D57:F68 J57:T68">
    <cfRule type="containsBlanks" dxfId="5370" priority="320">
      <formula>LEN(TRIM(D57))=0</formula>
    </cfRule>
  </conditionalFormatting>
  <conditionalFormatting sqref="J49">
    <cfRule type="cellIs" dxfId="5369" priority="319" operator="equal">
      <formula>0</formula>
    </cfRule>
  </conditionalFormatting>
  <conditionalFormatting sqref="K49">
    <cfRule type="cellIs" dxfId="5368" priority="318" operator="equal">
      <formula>0</formula>
    </cfRule>
  </conditionalFormatting>
  <conditionalFormatting sqref="L49:M49">
    <cfRule type="cellIs" dxfId="5367" priority="317" operator="equal">
      <formula>0</formula>
    </cfRule>
  </conditionalFormatting>
  <conditionalFormatting sqref="M49">
    <cfRule type="cellIs" dxfId="5366" priority="316" operator="equal">
      <formula>0</formula>
    </cfRule>
  </conditionalFormatting>
  <conditionalFormatting sqref="J49:M49">
    <cfRule type="containsBlanks" dxfId="5365" priority="315">
      <formula>LEN(TRIM(J49))=0</formula>
    </cfRule>
  </conditionalFormatting>
  <conditionalFormatting sqref="P49:Q49">
    <cfRule type="cellIs" dxfId="5364" priority="314" operator="equal">
      <formula>0</formula>
    </cfRule>
  </conditionalFormatting>
  <conditionalFormatting sqref="P49:Q49">
    <cfRule type="cellIs" dxfId="5363" priority="313" operator="equal">
      <formula>0</formula>
    </cfRule>
  </conditionalFormatting>
  <conditionalFormatting sqref="P49:Q49">
    <cfRule type="containsBlanks" dxfId="5362" priority="312">
      <formula>LEN(TRIM(P49))=0</formula>
    </cfRule>
  </conditionalFormatting>
  <conditionalFormatting sqref="D116:F116 R107:T107 D106:F114 D86:F93 N86:O86 R86:T86 J116:T116 J107:K107 J108:T114 J106:T106 J87:T93">
    <cfRule type="cellIs" dxfId="5361" priority="311" operator="equal">
      <formula>0</formula>
    </cfRule>
  </conditionalFormatting>
  <conditionalFormatting sqref="R86:R88">
    <cfRule type="cellIs" dxfId="5360" priority="310" operator="equal">
      <formula>0</formula>
    </cfRule>
  </conditionalFormatting>
  <conditionalFormatting sqref="R86:T86 N86:O86 D87:F88 J87:T88">
    <cfRule type="cellIs" dxfId="5359" priority="309" operator="equal">
      <formula>0</formula>
    </cfRule>
  </conditionalFormatting>
  <conditionalFormatting sqref="F87:F88">
    <cfRule type="cellIs" dxfId="5358" priority="308" operator="equal">
      <formula>0</formula>
    </cfRule>
  </conditionalFormatting>
  <conditionalFormatting sqref="N86:O86">
    <cfRule type="cellIs" dxfId="5357" priority="307" operator="equal">
      <formula>0</formula>
    </cfRule>
  </conditionalFormatting>
  <conditionalFormatting sqref="L89:L91 L107">
    <cfRule type="cellIs" dxfId="5356" priority="306" operator="equal">
      <formula>0</formula>
    </cfRule>
  </conditionalFormatting>
  <conditionalFormatting sqref="L87:L88">
    <cfRule type="cellIs" dxfId="5355" priority="305" operator="equal">
      <formula>0</formula>
    </cfRule>
  </conditionalFormatting>
  <conditionalFormatting sqref="M89:M91 M107">
    <cfRule type="cellIs" dxfId="5354" priority="304" operator="equal">
      <formula>0</formula>
    </cfRule>
  </conditionalFormatting>
  <conditionalFormatting sqref="M87:M88">
    <cfRule type="cellIs" dxfId="5353" priority="303" operator="equal">
      <formula>0</formula>
    </cfRule>
  </conditionalFormatting>
  <conditionalFormatting sqref="N89:N91 N107">
    <cfRule type="cellIs" dxfId="5352" priority="302" operator="equal">
      <formula>0</formula>
    </cfRule>
  </conditionalFormatting>
  <conditionalFormatting sqref="N86:N88">
    <cfRule type="cellIs" dxfId="5351" priority="301" operator="equal">
      <formula>0</formula>
    </cfRule>
  </conditionalFormatting>
  <conditionalFormatting sqref="O89:O91 O107">
    <cfRule type="cellIs" dxfId="5350" priority="300" operator="equal">
      <formula>0</formula>
    </cfRule>
  </conditionalFormatting>
  <conditionalFormatting sqref="O86:O88">
    <cfRule type="cellIs" dxfId="5349" priority="299" operator="equal">
      <formula>0</formula>
    </cfRule>
  </conditionalFormatting>
  <conditionalFormatting sqref="P89:P91 P107">
    <cfRule type="cellIs" dxfId="5348" priority="298" operator="equal">
      <formula>0</formula>
    </cfRule>
  </conditionalFormatting>
  <conditionalFormatting sqref="P87:P88">
    <cfRule type="cellIs" dxfId="5347" priority="297" operator="equal">
      <formula>0</formula>
    </cfRule>
  </conditionalFormatting>
  <conditionalFormatting sqref="Q89:Q91 Q107">
    <cfRule type="cellIs" dxfId="5346" priority="296" operator="equal">
      <formula>0</formula>
    </cfRule>
  </conditionalFormatting>
  <conditionalFormatting sqref="Q87:Q88">
    <cfRule type="cellIs" dxfId="5345" priority="295" operator="equal">
      <formula>0</formula>
    </cfRule>
  </conditionalFormatting>
  <conditionalFormatting sqref="D115:F115 J115:T115">
    <cfRule type="cellIs" dxfId="5344" priority="294" operator="equal">
      <formula>0</formula>
    </cfRule>
  </conditionalFormatting>
  <conditionalFormatting sqref="D108:F116 D106:F106 D86:F92 N86:O86 R86:T86 J108:T116 J106:T106 J87:T92">
    <cfRule type="containsBlanks" dxfId="5343" priority="293">
      <formula>LEN(TRIM(D86))=0</formula>
    </cfRule>
  </conditionalFormatting>
  <conditionalFormatting sqref="D115:F115 J115:T115">
    <cfRule type="cellIs" dxfId="5342" priority="292" operator="equal">
      <formula>0</formula>
    </cfRule>
  </conditionalFormatting>
  <conditionalFormatting sqref="N89:N90">
    <cfRule type="cellIs" dxfId="5341" priority="291" operator="equal">
      <formula>0</formula>
    </cfRule>
  </conditionalFormatting>
  <conditionalFormatting sqref="O89:O90">
    <cfRule type="cellIs" dxfId="5340" priority="290" operator="equal">
      <formula>0</formula>
    </cfRule>
  </conditionalFormatting>
  <conditionalFormatting sqref="P89:Q89">
    <cfRule type="cellIs" dxfId="5339" priority="289" operator="equal">
      <formula>0</formula>
    </cfRule>
  </conditionalFormatting>
  <conditionalFormatting sqref="P90:Q90">
    <cfRule type="cellIs" dxfId="5338" priority="288" operator="equal">
      <formula>0</formula>
    </cfRule>
  </conditionalFormatting>
  <conditionalFormatting sqref="D94:F105 J94:T105">
    <cfRule type="cellIs" dxfId="5337" priority="287" operator="equal">
      <formula>0</formula>
    </cfRule>
  </conditionalFormatting>
  <conditionalFormatting sqref="D94:F105 J94:T105">
    <cfRule type="containsBlanks" dxfId="5336" priority="286">
      <formula>LEN(TRIM(D94))=0</formula>
    </cfRule>
  </conditionalFormatting>
  <conditionalFormatting sqref="J86">
    <cfRule type="cellIs" dxfId="5335" priority="285" operator="equal">
      <formula>0</formula>
    </cfRule>
  </conditionalFormatting>
  <conditionalFormatting sqref="K86">
    <cfRule type="cellIs" dxfId="5334" priority="284" operator="equal">
      <formula>0</formula>
    </cfRule>
  </conditionalFormatting>
  <conditionalFormatting sqref="L86:M86">
    <cfRule type="cellIs" dxfId="5333" priority="283" operator="equal">
      <formula>0</formula>
    </cfRule>
  </conditionalFormatting>
  <conditionalFormatting sqref="M86">
    <cfRule type="cellIs" dxfId="5332" priority="282" operator="equal">
      <formula>0</formula>
    </cfRule>
  </conditionalFormatting>
  <conditionalFormatting sqref="J86:M86">
    <cfRule type="containsBlanks" dxfId="5331" priority="281">
      <formula>LEN(TRIM(J86))=0</formula>
    </cfRule>
  </conditionalFormatting>
  <conditionalFormatting sqref="P86:Q86">
    <cfRule type="cellIs" dxfId="5330" priority="280" operator="equal">
      <formula>0</formula>
    </cfRule>
  </conditionalFormatting>
  <conditionalFormatting sqref="P86:Q86">
    <cfRule type="cellIs" dxfId="5329" priority="279" operator="equal">
      <formula>0</formula>
    </cfRule>
  </conditionalFormatting>
  <conditionalFormatting sqref="P86:Q86">
    <cfRule type="containsBlanks" dxfId="5328" priority="278">
      <formula>LEN(TRIM(P86))=0</formula>
    </cfRule>
  </conditionalFormatting>
  <conditionalFormatting sqref="D153:F153 R144:T144 D143:F151 D123:F130 N123:O123 R123:T123 J153:T153 J144:K144 J145:T151 J143:T143 J124:T130">
    <cfRule type="cellIs" dxfId="5327" priority="277" operator="equal">
      <formula>0</formula>
    </cfRule>
  </conditionalFormatting>
  <conditionalFormatting sqref="R123:R125">
    <cfRule type="cellIs" dxfId="5326" priority="276" operator="equal">
      <formula>0</formula>
    </cfRule>
  </conditionalFormatting>
  <conditionalFormatting sqref="R123:T123 N123:O123 D124:F125 J124:T125">
    <cfRule type="cellIs" dxfId="5325" priority="275" operator="equal">
      <formula>0</formula>
    </cfRule>
  </conditionalFormatting>
  <conditionalFormatting sqref="F124:F125">
    <cfRule type="cellIs" dxfId="5324" priority="274" operator="equal">
      <formula>0</formula>
    </cfRule>
  </conditionalFormatting>
  <conditionalFormatting sqref="N123:O123">
    <cfRule type="cellIs" dxfId="5323" priority="273" operator="equal">
      <formula>0</formula>
    </cfRule>
  </conditionalFormatting>
  <conditionalFormatting sqref="L126:L128 L144">
    <cfRule type="cellIs" dxfId="5322" priority="272" operator="equal">
      <formula>0</formula>
    </cfRule>
  </conditionalFormatting>
  <conditionalFormatting sqref="L124:L125">
    <cfRule type="cellIs" dxfId="5321" priority="271" operator="equal">
      <formula>0</formula>
    </cfRule>
  </conditionalFormatting>
  <conditionalFormatting sqref="M126:M128 M144">
    <cfRule type="cellIs" dxfId="5320" priority="270" operator="equal">
      <formula>0</formula>
    </cfRule>
  </conditionalFormatting>
  <conditionalFormatting sqref="M124:M125">
    <cfRule type="cellIs" dxfId="5319" priority="269" operator="equal">
      <formula>0</formula>
    </cfRule>
  </conditionalFormatting>
  <conditionalFormatting sqref="N126:N128 N144">
    <cfRule type="cellIs" dxfId="5318" priority="268" operator="equal">
      <formula>0</formula>
    </cfRule>
  </conditionalFormatting>
  <conditionalFormatting sqref="N123:N125">
    <cfRule type="cellIs" dxfId="5317" priority="267" operator="equal">
      <formula>0</formula>
    </cfRule>
  </conditionalFormatting>
  <conditionalFormatting sqref="O126:O128 O144">
    <cfRule type="cellIs" dxfId="5316" priority="266" operator="equal">
      <formula>0</formula>
    </cfRule>
  </conditionalFormatting>
  <conditionalFormatting sqref="O123:O125">
    <cfRule type="cellIs" dxfId="5315" priority="265" operator="equal">
      <formula>0</formula>
    </cfRule>
  </conditionalFormatting>
  <conditionalFormatting sqref="P126:P128 P144">
    <cfRule type="cellIs" dxfId="5314" priority="264" operator="equal">
      <formula>0</formula>
    </cfRule>
  </conditionalFormatting>
  <conditionalFormatting sqref="P124:P125">
    <cfRule type="cellIs" dxfId="5313" priority="263" operator="equal">
      <formula>0</formula>
    </cfRule>
  </conditionalFormatting>
  <conditionalFormatting sqref="Q126:Q128 Q144">
    <cfRule type="cellIs" dxfId="5312" priority="262" operator="equal">
      <formula>0</formula>
    </cfRule>
  </conditionalFormatting>
  <conditionalFormatting sqref="Q124:Q125">
    <cfRule type="cellIs" dxfId="5311" priority="261" operator="equal">
      <formula>0</formula>
    </cfRule>
  </conditionalFormatting>
  <conditionalFormatting sqref="D152:F152 J152:T152">
    <cfRule type="cellIs" dxfId="5310" priority="260" operator="equal">
      <formula>0</formula>
    </cfRule>
  </conditionalFormatting>
  <conditionalFormatting sqref="D145:F153 D143:F143 D123:F129 N123:O123 R123:T123 J145:T153 J143:T143 J124:T129">
    <cfRule type="containsBlanks" dxfId="5309" priority="259">
      <formula>LEN(TRIM(D123))=0</formula>
    </cfRule>
  </conditionalFormatting>
  <conditionalFormatting sqref="D152:F152 J152:T152">
    <cfRule type="cellIs" dxfId="5308" priority="258" operator="equal">
      <formula>0</formula>
    </cfRule>
  </conditionalFormatting>
  <conditionalFormatting sqref="N126:N127">
    <cfRule type="cellIs" dxfId="5307" priority="257" operator="equal">
      <formula>0</formula>
    </cfRule>
  </conditionalFormatting>
  <conditionalFormatting sqref="O126:O127">
    <cfRule type="cellIs" dxfId="5306" priority="256" operator="equal">
      <formula>0</formula>
    </cfRule>
  </conditionalFormatting>
  <conditionalFormatting sqref="P126:Q126">
    <cfRule type="cellIs" dxfId="5305" priority="255" operator="equal">
      <formula>0</formula>
    </cfRule>
  </conditionalFormatting>
  <conditionalFormatting sqref="P127:Q127">
    <cfRule type="cellIs" dxfId="5304" priority="254" operator="equal">
      <formula>0</formula>
    </cfRule>
  </conditionalFormatting>
  <conditionalFormatting sqref="D131:F142 J131:T142">
    <cfRule type="cellIs" dxfId="5303" priority="253" operator="equal">
      <formula>0</formula>
    </cfRule>
  </conditionalFormatting>
  <conditionalFormatting sqref="D131:F142 J131:T142">
    <cfRule type="containsBlanks" dxfId="5302" priority="252">
      <formula>LEN(TRIM(D131))=0</formula>
    </cfRule>
  </conditionalFormatting>
  <conditionalFormatting sqref="J123">
    <cfRule type="cellIs" dxfId="5301" priority="251" operator="equal">
      <formula>0</formula>
    </cfRule>
  </conditionalFormatting>
  <conditionalFormatting sqref="K123">
    <cfRule type="cellIs" dxfId="5300" priority="250" operator="equal">
      <formula>0</formula>
    </cfRule>
  </conditionalFormatting>
  <conditionalFormatting sqref="L123:M123">
    <cfRule type="cellIs" dxfId="5299" priority="249" operator="equal">
      <formula>0</formula>
    </cfRule>
  </conditionalFormatting>
  <conditionalFormatting sqref="M123">
    <cfRule type="cellIs" dxfId="5298" priority="248" operator="equal">
      <formula>0</formula>
    </cfRule>
  </conditionalFormatting>
  <conditionalFormatting sqref="J123:M123">
    <cfRule type="containsBlanks" dxfId="5297" priority="247">
      <formula>LEN(TRIM(J123))=0</formula>
    </cfRule>
  </conditionalFormatting>
  <conditionalFormatting sqref="P123:Q123">
    <cfRule type="cellIs" dxfId="5296" priority="246" operator="equal">
      <formula>0</formula>
    </cfRule>
  </conditionalFormatting>
  <conditionalFormatting sqref="P123:Q123">
    <cfRule type="cellIs" dxfId="5295" priority="245" operator="equal">
      <formula>0</formula>
    </cfRule>
  </conditionalFormatting>
  <conditionalFormatting sqref="P123:Q123">
    <cfRule type="containsBlanks" dxfId="5294" priority="244">
      <formula>LEN(TRIM(P123))=0</formula>
    </cfRule>
  </conditionalFormatting>
  <conditionalFormatting sqref="D190:F190 R181:T181 D180:F188 D160:F167 N160:O160 R160:T160 J190:T190 J181:K181 J182:T188 J180:T180 J161:T167">
    <cfRule type="cellIs" dxfId="5293" priority="243" operator="equal">
      <formula>0</formula>
    </cfRule>
  </conditionalFormatting>
  <conditionalFormatting sqref="R160:R162">
    <cfRule type="cellIs" dxfId="5292" priority="242" operator="equal">
      <formula>0</formula>
    </cfRule>
  </conditionalFormatting>
  <conditionalFormatting sqref="R160:T160 N160:O160 D161:F162 J161:T162">
    <cfRule type="cellIs" dxfId="5291" priority="241" operator="equal">
      <formula>0</formula>
    </cfRule>
  </conditionalFormatting>
  <conditionalFormatting sqref="F161:F162">
    <cfRule type="cellIs" dxfId="5290" priority="240" operator="equal">
      <formula>0</formula>
    </cfRule>
  </conditionalFormatting>
  <conditionalFormatting sqref="N160:O160">
    <cfRule type="cellIs" dxfId="5289" priority="239" operator="equal">
      <formula>0</formula>
    </cfRule>
  </conditionalFormatting>
  <conditionalFormatting sqref="L163:L165 L181">
    <cfRule type="cellIs" dxfId="5288" priority="238" operator="equal">
      <formula>0</formula>
    </cfRule>
  </conditionalFormatting>
  <conditionalFormatting sqref="L161:L162">
    <cfRule type="cellIs" dxfId="5287" priority="237" operator="equal">
      <formula>0</formula>
    </cfRule>
  </conditionalFormatting>
  <conditionalFormatting sqref="M163:M165 M181">
    <cfRule type="cellIs" dxfId="5286" priority="236" operator="equal">
      <formula>0</formula>
    </cfRule>
  </conditionalFormatting>
  <conditionalFormatting sqref="M161:M162">
    <cfRule type="cellIs" dxfId="5285" priority="235" operator="equal">
      <formula>0</formula>
    </cfRule>
  </conditionalFormatting>
  <conditionalFormatting sqref="N163:N165 N181">
    <cfRule type="cellIs" dxfId="5284" priority="234" operator="equal">
      <formula>0</formula>
    </cfRule>
  </conditionalFormatting>
  <conditionalFormatting sqref="N160:N162">
    <cfRule type="cellIs" dxfId="5283" priority="233" operator="equal">
      <formula>0</formula>
    </cfRule>
  </conditionalFormatting>
  <conditionalFormatting sqref="O163:O165 O181">
    <cfRule type="cellIs" dxfId="5282" priority="232" operator="equal">
      <formula>0</formula>
    </cfRule>
  </conditionalFormatting>
  <conditionalFormatting sqref="O160:O162">
    <cfRule type="cellIs" dxfId="5281" priority="231" operator="equal">
      <formula>0</formula>
    </cfRule>
  </conditionalFormatting>
  <conditionalFormatting sqref="P163:P165 P181">
    <cfRule type="cellIs" dxfId="5280" priority="230" operator="equal">
      <formula>0</formula>
    </cfRule>
  </conditionalFormatting>
  <conditionalFormatting sqref="P161:P162">
    <cfRule type="cellIs" dxfId="5279" priority="229" operator="equal">
      <formula>0</formula>
    </cfRule>
  </conditionalFormatting>
  <conditionalFormatting sqref="Q163:Q165 Q181">
    <cfRule type="cellIs" dxfId="5278" priority="228" operator="equal">
      <formula>0</formula>
    </cfRule>
  </conditionalFormatting>
  <conditionalFormatting sqref="Q161:Q162">
    <cfRule type="cellIs" dxfId="5277" priority="227" operator="equal">
      <formula>0</formula>
    </cfRule>
  </conditionalFormatting>
  <conditionalFormatting sqref="D189:F189 J189:T189">
    <cfRule type="cellIs" dxfId="5276" priority="226" operator="equal">
      <formula>0</formula>
    </cfRule>
  </conditionalFormatting>
  <conditionalFormatting sqref="D182:F190 D180:F180 D160:F166 N160:O160 R160:T160 J182:T190 J180:T180 J161:T166">
    <cfRule type="containsBlanks" dxfId="5275" priority="225">
      <formula>LEN(TRIM(D160))=0</formula>
    </cfRule>
  </conditionalFormatting>
  <conditionalFormatting sqref="D189:F189 J189:T189">
    <cfRule type="cellIs" dxfId="5274" priority="224" operator="equal">
      <formula>0</formula>
    </cfRule>
  </conditionalFormatting>
  <conditionalFormatting sqref="N163:N164">
    <cfRule type="cellIs" dxfId="5273" priority="223" operator="equal">
      <formula>0</formula>
    </cfRule>
  </conditionalFormatting>
  <conditionalFormatting sqref="O163:O164">
    <cfRule type="cellIs" dxfId="5272" priority="222" operator="equal">
      <formula>0</formula>
    </cfRule>
  </conditionalFormatting>
  <conditionalFormatting sqref="P163:Q163">
    <cfRule type="cellIs" dxfId="5271" priority="221" operator="equal">
      <formula>0</formula>
    </cfRule>
  </conditionalFormatting>
  <conditionalFormatting sqref="P164:Q164">
    <cfRule type="cellIs" dxfId="5270" priority="220" operator="equal">
      <formula>0</formula>
    </cfRule>
  </conditionalFormatting>
  <conditionalFormatting sqref="D168:F179 J168:T179">
    <cfRule type="cellIs" dxfId="5269" priority="219" operator="equal">
      <formula>0</formula>
    </cfRule>
  </conditionalFormatting>
  <conditionalFormatting sqref="D168:F179 J168:T179">
    <cfRule type="containsBlanks" dxfId="5268" priority="218">
      <formula>LEN(TRIM(D168))=0</formula>
    </cfRule>
  </conditionalFormatting>
  <conditionalFormatting sqref="J160">
    <cfRule type="cellIs" dxfId="5267" priority="217" operator="equal">
      <formula>0</formula>
    </cfRule>
  </conditionalFormatting>
  <conditionalFormatting sqref="K160">
    <cfRule type="cellIs" dxfId="5266" priority="216" operator="equal">
      <formula>0</formula>
    </cfRule>
  </conditionalFormatting>
  <conditionalFormatting sqref="L160:M160">
    <cfRule type="cellIs" dxfId="5265" priority="215" operator="equal">
      <formula>0</formula>
    </cfRule>
  </conditionalFormatting>
  <conditionalFormatting sqref="M160">
    <cfRule type="cellIs" dxfId="5264" priority="214" operator="equal">
      <formula>0</formula>
    </cfRule>
  </conditionalFormatting>
  <conditionalFormatting sqref="J160:M160">
    <cfRule type="containsBlanks" dxfId="5263" priority="213">
      <formula>LEN(TRIM(J160))=0</formula>
    </cfRule>
  </conditionalFormatting>
  <conditionalFormatting sqref="P160:Q160">
    <cfRule type="cellIs" dxfId="5262" priority="212" operator="equal">
      <formula>0</formula>
    </cfRule>
  </conditionalFormatting>
  <conditionalFormatting sqref="P160:Q160">
    <cfRule type="cellIs" dxfId="5261" priority="211" operator="equal">
      <formula>0</formula>
    </cfRule>
  </conditionalFormatting>
  <conditionalFormatting sqref="P160:Q160">
    <cfRule type="containsBlanks" dxfId="5260" priority="210">
      <formula>LEN(TRIM(P160))=0</formula>
    </cfRule>
  </conditionalFormatting>
  <conditionalFormatting sqref="D227:F227 R218:T218 D217:F225 D197:F204 N197:O197 R197:T197 J227:T227 J218:K218 J219:T225 J217:T217 J198:T204">
    <cfRule type="cellIs" dxfId="5259" priority="209" operator="equal">
      <formula>0</formula>
    </cfRule>
  </conditionalFormatting>
  <conditionalFormatting sqref="R197:R199">
    <cfRule type="cellIs" dxfId="5258" priority="208" operator="equal">
      <formula>0</formula>
    </cfRule>
  </conditionalFormatting>
  <conditionalFormatting sqref="R197:T197 N197:O197 D198:F199 J198:T199">
    <cfRule type="cellIs" dxfId="5257" priority="207" operator="equal">
      <formula>0</formula>
    </cfRule>
  </conditionalFormatting>
  <conditionalFormatting sqref="F198:F199">
    <cfRule type="cellIs" dxfId="5256" priority="206" operator="equal">
      <formula>0</formula>
    </cfRule>
  </conditionalFormatting>
  <conditionalFormatting sqref="N197:O197">
    <cfRule type="cellIs" dxfId="5255" priority="205" operator="equal">
      <formula>0</formula>
    </cfRule>
  </conditionalFormatting>
  <conditionalFormatting sqref="L200:L202 L218">
    <cfRule type="cellIs" dxfId="5254" priority="204" operator="equal">
      <formula>0</formula>
    </cfRule>
  </conditionalFormatting>
  <conditionalFormatting sqref="L198:L199">
    <cfRule type="cellIs" dxfId="5253" priority="203" operator="equal">
      <formula>0</formula>
    </cfRule>
  </conditionalFormatting>
  <conditionalFormatting sqref="M200:M202 M218">
    <cfRule type="cellIs" dxfId="5252" priority="202" operator="equal">
      <formula>0</formula>
    </cfRule>
  </conditionalFormatting>
  <conditionalFormatting sqref="M198:M199">
    <cfRule type="cellIs" dxfId="5251" priority="201" operator="equal">
      <formula>0</formula>
    </cfRule>
  </conditionalFormatting>
  <conditionalFormatting sqref="N200:N202 N218">
    <cfRule type="cellIs" dxfId="5250" priority="200" operator="equal">
      <formula>0</formula>
    </cfRule>
  </conditionalFormatting>
  <conditionalFormatting sqref="N197:N199">
    <cfRule type="cellIs" dxfId="5249" priority="199" operator="equal">
      <formula>0</formula>
    </cfRule>
  </conditionalFormatting>
  <conditionalFormatting sqref="O200:O202 O218">
    <cfRule type="cellIs" dxfId="5248" priority="198" operator="equal">
      <formula>0</formula>
    </cfRule>
  </conditionalFormatting>
  <conditionalFormatting sqref="O197:O199">
    <cfRule type="cellIs" dxfId="5247" priority="197" operator="equal">
      <formula>0</formula>
    </cfRule>
  </conditionalFormatting>
  <conditionalFormatting sqref="P200:P202 P218">
    <cfRule type="cellIs" dxfId="5246" priority="196" operator="equal">
      <formula>0</formula>
    </cfRule>
  </conditionalFormatting>
  <conditionalFormatting sqref="P198:P199">
    <cfRule type="cellIs" dxfId="5245" priority="195" operator="equal">
      <formula>0</formula>
    </cfRule>
  </conditionalFormatting>
  <conditionalFormatting sqref="Q200:Q202 Q218">
    <cfRule type="cellIs" dxfId="5244" priority="194" operator="equal">
      <formula>0</formula>
    </cfRule>
  </conditionalFormatting>
  <conditionalFormatting sqref="Q198:Q199">
    <cfRule type="cellIs" dxfId="5243" priority="193" operator="equal">
      <formula>0</formula>
    </cfRule>
  </conditionalFormatting>
  <conditionalFormatting sqref="D226:F226 J226:T226">
    <cfRule type="cellIs" dxfId="5242" priority="192" operator="equal">
      <formula>0</formula>
    </cfRule>
  </conditionalFormatting>
  <conditionalFormatting sqref="D219:F227 D217:F217 D197:F203 N197:O197 R197:T197 J219:T227 J217:T217 J198:T203">
    <cfRule type="containsBlanks" dxfId="5241" priority="191">
      <formula>LEN(TRIM(D197))=0</formula>
    </cfRule>
  </conditionalFormatting>
  <conditionalFormatting sqref="D226:F226 J226:T226">
    <cfRule type="cellIs" dxfId="5240" priority="190" operator="equal">
      <formula>0</formula>
    </cfRule>
  </conditionalFormatting>
  <conditionalFormatting sqref="N200:N201">
    <cfRule type="cellIs" dxfId="5239" priority="189" operator="equal">
      <formula>0</formula>
    </cfRule>
  </conditionalFormatting>
  <conditionalFormatting sqref="O200:O201">
    <cfRule type="cellIs" dxfId="5238" priority="188" operator="equal">
      <formula>0</formula>
    </cfRule>
  </conditionalFormatting>
  <conditionalFormatting sqref="P200:Q200">
    <cfRule type="cellIs" dxfId="5237" priority="187" operator="equal">
      <formula>0</formula>
    </cfRule>
  </conditionalFormatting>
  <conditionalFormatting sqref="P201:Q201">
    <cfRule type="cellIs" dxfId="5236" priority="186" operator="equal">
      <formula>0</formula>
    </cfRule>
  </conditionalFormatting>
  <conditionalFormatting sqref="D205:F216 J205:T216">
    <cfRule type="cellIs" dxfId="5235" priority="185" operator="equal">
      <formula>0</formula>
    </cfRule>
  </conditionalFormatting>
  <conditionalFormatting sqref="D205:F216 J205:T216">
    <cfRule type="containsBlanks" dxfId="5234" priority="184">
      <formula>LEN(TRIM(D205))=0</formula>
    </cfRule>
  </conditionalFormatting>
  <conditionalFormatting sqref="J197">
    <cfRule type="cellIs" dxfId="5233" priority="183" operator="equal">
      <formula>0</formula>
    </cfRule>
  </conditionalFormatting>
  <conditionalFormatting sqref="K197">
    <cfRule type="cellIs" dxfId="5232" priority="182" operator="equal">
      <formula>0</formula>
    </cfRule>
  </conditionalFormatting>
  <conditionalFormatting sqref="L197:M197">
    <cfRule type="cellIs" dxfId="5231" priority="181" operator="equal">
      <formula>0</formula>
    </cfRule>
  </conditionalFormatting>
  <conditionalFormatting sqref="M197">
    <cfRule type="cellIs" dxfId="5230" priority="180" operator="equal">
      <formula>0</formula>
    </cfRule>
  </conditionalFormatting>
  <conditionalFormatting sqref="J197:M197">
    <cfRule type="containsBlanks" dxfId="5229" priority="179">
      <formula>LEN(TRIM(J197))=0</formula>
    </cfRule>
  </conditionalFormatting>
  <conditionalFormatting sqref="P197:Q197">
    <cfRule type="cellIs" dxfId="5228" priority="178" operator="equal">
      <formula>0</formula>
    </cfRule>
  </conditionalFormatting>
  <conditionalFormatting sqref="P197:Q197">
    <cfRule type="cellIs" dxfId="5227" priority="177" operator="equal">
      <formula>0</formula>
    </cfRule>
  </conditionalFormatting>
  <conditionalFormatting sqref="P197:Q197">
    <cfRule type="containsBlanks" dxfId="5226" priority="176">
      <formula>LEN(TRIM(P197))=0</formula>
    </cfRule>
  </conditionalFormatting>
  <conditionalFormatting sqref="H12:H19 H32:H40 H42 G12">
    <cfRule type="cellIs" dxfId="5225" priority="150" operator="equal">
      <formula>0</formula>
    </cfRule>
  </conditionalFormatting>
  <conditionalFormatting sqref="H13:H14">
    <cfRule type="cellIs" dxfId="5224" priority="149" operator="equal">
      <formula>0</formula>
    </cfRule>
  </conditionalFormatting>
  <conditionalFormatting sqref="H41">
    <cfRule type="cellIs" dxfId="5223" priority="148" operator="equal">
      <formula>0</formula>
    </cfRule>
  </conditionalFormatting>
  <conditionalFormatting sqref="H12:H18 H32 H34:H42 G12">
    <cfRule type="containsBlanks" dxfId="5222" priority="147">
      <formula>LEN(TRIM(G12))=0</formula>
    </cfRule>
  </conditionalFormatting>
  <conditionalFormatting sqref="H41">
    <cfRule type="cellIs" dxfId="5221" priority="146" operator="equal">
      <formula>0</formula>
    </cfRule>
  </conditionalFormatting>
  <conditionalFormatting sqref="H20:H31">
    <cfRule type="cellIs" dxfId="5220" priority="145" operator="equal">
      <formula>0</formula>
    </cfRule>
  </conditionalFormatting>
  <conditionalFormatting sqref="H20:H31">
    <cfRule type="containsBlanks" dxfId="5219" priority="144">
      <formula>LEN(TRIM(H20))=0</formula>
    </cfRule>
  </conditionalFormatting>
  <conditionalFormatting sqref="G13:G19 G32:G40 G42">
    <cfRule type="cellIs" dxfId="5218" priority="143" operator="equal">
      <formula>0</formula>
    </cfRule>
  </conditionalFormatting>
  <conditionalFormatting sqref="G13:G14">
    <cfRule type="cellIs" dxfId="5217" priority="142" operator="equal">
      <formula>0</formula>
    </cfRule>
  </conditionalFormatting>
  <conditionalFormatting sqref="G13:G14">
    <cfRule type="cellIs" dxfId="5216" priority="141" operator="equal">
      <formula>0</formula>
    </cfRule>
  </conditionalFormatting>
  <conditionalFormatting sqref="G41">
    <cfRule type="cellIs" dxfId="5215" priority="140" operator="equal">
      <formula>0</formula>
    </cfRule>
  </conditionalFormatting>
  <conditionalFormatting sqref="G13:G18 G34:G42 G32">
    <cfRule type="containsBlanks" dxfId="5214" priority="139">
      <formula>LEN(TRIM(G13))=0</formula>
    </cfRule>
  </conditionalFormatting>
  <conditionalFormatting sqref="G41">
    <cfRule type="cellIs" dxfId="5213" priority="138" operator="equal">
      <formula>0</formula>
    </cfRule>
  </conditionalFormatting>
  <conditionalFormatting sqref="G20:G31">
    <cfRule type="cellIs" dxfId="5212" priority="137" operator="equal">
      <formula>0</formula>
    </cfRule>
  </conditionalFormatting>
  <conditionalFormatting sqref="G20:G31">
    <cfRule type="containsBlanks" dxfId="5211" priority="136">
      <formula>LEN(TRIM(G20))=0</formula>
    </cfRule>
  </conditionalFormatting>
  <conditionalFormatting sqref="I12">
    <cfRule type="cellIs" dxfId="5210" priority="135" operator="equal">
      <formula>0</formula>
    </cfRule>
  </conditionalFormatting>
  <conditionalFormatting sqref="I12">
    <cfRule type="containsBlanks" dxfId="5209" priority="134">
      <formula>LEN(TRIM(I12))=0</formula>
    </cfRule>
  </conditionalFormatting>
  <conditionalFormatting sqref="I13:I19 I32:I40 I42">
    <cfRule type="cellIs" dxfId="5208" priority="133" operator="equal">
      <formula>0</formula>
    </cfRule>
  </conditionalFormatting>
  <conditionalFormatting sqref="I13:I14">
    <cfRule type="cellIs" dxfId="5207" priority="132" operator="equal">
      <formula>0</formula>
    </cfRule>
  </conditionalFormatting>
  <conditionalFormatting sqref="I13:I14">
    <cfRule type="cellIs" dxfId="5206" priority="131" operator="equal">
      <formula>0</formula>
    </cfRule>
  </conditionalFormatting>
  <conditionalFormatting sqref="I41">
    <cfRule type="cellIs" dxfId="5205" priority="130" operator="equal">
      <formula>0</formula>
    </cfRule>
  </conditionalFormatting>
  <conditionalFormatting sqref="I13:I18 I34:I42 I32">
    <cfRule type="containsBlanks" dxfId="5204" priority="129">
      <formula>LEN(TRIM(I13))=0</formula>
    </cfRule>
  </conditionalFormatting>
  <conditionalFormatting sqref="I41">
    <cfRule type="cellIs" dxfId="5203" priority="128" operator="equal">
      <formula>0</formula>
    </cfRule>
  </conditionalFormatting>
  <conditionalFormatting sqref="I20:I31">
    <cfRule type="cellIs" dxfId="5202" priority="127" operator="equal">
      <formula>0</formula>
    </cfRule>
  </conditionalFormatting>
  <conditionalFormatting sqref="I20:I31">
    <cfRule type="containsBlanks" dxfId="5201" priority="126">
      <formula>LEN(TRIM(I20))=0</formula>
    </cfRule>
  </conditionalFormatting>
  <conditionalFormatting sqref="H49:H56 H69:H77 H79 G49">
    <cfRule type="cellIs" dxfId="5200" priority="125" operator="equal">
      <formula>0</formula>
    </cfRule>
  </conditionalFormatting>
  <conditionalFormatting sqref="H50:H51">
    <cfRule type="cellIs" dxfId="5199" priority="124" operator="equal">
      <formula>0</formula>
    </cfRule>
  </conditionalFormatting>
  <conditionalFormatting sqref="H78">
    <cfRule type="cellIs" dxfId="5198" priority="123" operator="equal">
      <formula>0</formula>
    </cfRule>
  </conditionalFormatting>
  <conditionalFormatting sqref="H49:H55 H69 H71:H79 G49">
    <cfRule type="containsBlanks" dxfId="5197" priority="122">
      <formula>LEN(TRIM(G49))=0</formula>
    </cfRule>
  </conditionalFormatting>
  <conditionalFormatting sqref="H78">
    <cfRule type="cellIs" dxfId="5196" priority="121" operator="equal">
      <formula>0</formula>
    </cfRule>
  </conditionalFormatting>
  <conditionalFormatting sqref="H57:H68">
    <cfRule type="cellIs" dxfId="5195" priority="120" operator="equal">
      <formula>0</formula>
    </cfRule>
  </conditionalFormatting>
  <conditionalFormatting sqref="H57:H68">
    <cfRule type="containsBlanks" dxfId="5194" priority="119">
      <formula>LEN(TRIM(H57))=0</formula>
    </cfRule>
  </conditionalFormatting>
  <conditionalFormatting sqref="G50:G56 G69:G77 G79">
    <cfRule type="cellIs" dxfId="5193" priority="118" operator="equal">
      <formula>0</formula>
    </cfRule>
  </conditionalFormatting>
  <conditionalFormatting sqref="G50:G51">
    <cfRule type="cellIs" dxfId="5192" priority="117" operator="equal">
      <formula>0</formula>
    </cfRule>
  </conditionalFormatting>
  <conditionalFormatting sqref="G50:G51">
    <cfRule type="cellIs" dxfId="5191" priority="116" operator="equal">
      <formula>0</formula>
    </cfRule>
  </conditionalFormatting>
  <conditionalFormatting sqref="G78">
    <cfRule type="cellIs" dxfId="5190" priority="115" operator="equal">
      <formula>0</formula>
    </cfRule>
  </conditionalFormatting>
  <conditionalFormatting sqref="G50:G55 G71:G79 G69">
    <cfRule type="containsBlanks" dxfId="5189" priority="114">
      <formula>LEN(TRIM(G50))=0</formula>
    </cfRule>
  </conditionalFormatting>
  <conditionalFormatting sqref="G78">
    <cfRule type="cellIs" dxfId="5188" priority="113" operator="equal">
      <formula>0</formula>
    </cfRule>
  </conditionalFormatting>
  <conditionalFormatting sqref="G57:G68">
    <cfRule type="cellIs" dxfId="5187" priority="112" operator="equal">
      <formula>0</formula>
    </cfRule>
  </conditionalFormatting>
  <conditionalFormatting sqref="G57:G68">
    <cfRule type="containsBlanks" dxfId="5186" priority="111">
      <formula>LEN(TRIM(G57))=0</formula>
    </cfRule>
  </conditionalFormatting>
  <conditionalFormatting sqref="I49">
    <cfRule type="cellIs" dxfId="5185" priority="110" operator="equal">
      <formula>0</formula>
    </cfRule>
  </conditionalFormatting>
  <conditionalFormatting sqref="I49">
    <cfRule type="containsBlanks" dxfId="5184" priority="109">
      <formula>LEN(TRIM(I49))=0</formula>
    </cfRule>
  </conditionalFormatting>
  <conditionalFormatting sqref="I50:I56 I69:I77 I79">
    <cfRule type="cellIs" dxfId="5183" priority="108" operator="equal">
      <formula>0</formula>
    </cfRule>
  </conditionalFormatting>
  <conditionalFormatting sqref="I50:I51">
    <cfRule type="cellIs" dxfId="5182" priority="107" operator="equal">
      <formula>0</formula>
    </cfRule>
  </conditionalFormatting>
  <conditionalFormatting sqref="I50:I51">
    <cfRule type="cellIs" dxfId="5181" priority="106" operator="equal">
      <formula>0</formula>
    </cfRule>
  </conditionalFormatting>
  <conditionalFormatting sqref="I78">
    <cfRule type="cellIs" dxfId="5180" priority="105" operator="equal">
      <formula>0</formula>
    </cfRule>
  </conditionalFormatting>
  <conditionalFormatting sqref="I50:I55 I71:I79 I69">
    <cfRule type="containsBlanks" dxfId="5179" priority="104">
      <formula>LEN(TRIM(I50))=0</formula>
    </cfRule>
  </conditionalFormatting>
  <conditionalFormatting sqref="I78">
    <cfRule type="cellIs" dxfId="5178" priority="103" operator="equal">
      <formula>0</formula>
    </cfRule>
  </conditionalFormatting>
  <conditionalFormatting sqref="I57:I68">
    <cfRule type="cellIs" dxfId="5177" priority="102" operator="equal">
      <formula>0</formula>
    </cfRule>
  </conditionalFormatting>
  <conditionalFormatting sqref="I57:I68">
    <cfRule type="containsBlanks" dxfId="5176" priority="101">
      <formula>LEN(TRIM(I57))=0</formula>
    </cfRule>
  </conditionalFormatting>
  <conditionalFormatting sqref="H86:H93 H106:H114 H116 G86">
    <cfRule type="cellIs" dxfId="5175" priority="100" operator="equal">
      <formula>0</formula>
    </cfRule>
  </conditionalFormatting>
  <conditionalFormatting sqref="H87:H88">
    <cfRule type="cellIs" dxfId="5174" priority="99" operator="equal">
      <formula>0</formula>
    </cfRule>
  </conditionalFormatting>
  <conditionalFormatting sqref="H115">
    <cfRule type="cellIs" dxfId="5173" priority="98" operator="equal">
      <formula>0</formula>
    </cfRule>
  </conditionalFormatting>
  <conditionalFormatting sqref="H86:H92 H106 H108:H116 G86">
    <cfRule type="containsBlanks" dxfId="5172" priority="97">
      <formula>LEN(TRIM(G86))=0</formula>
    </cfRule>
  </conditionalFormatting>
  <conditionalFormatting sqref="H115">
    <cfRule type="cellIs" dxfId="5171" priority="96" operator="equal">
      <formula>0</formula>
    </cfRule>
  </conditionalFormatting>
  <conditionalFormatting sqref="H94:H105">
    <cfRule type="cellIs" dxfId="5170" priority="95" operator="equal">
      <formula>0</formula>
    </cfRule>
  </conditionalFormatting>
  <conditionalFormatting sqref="H94:H105">
    <cfRule type="containsBlanks" dxfId="5169" priority="94">
      <formula>LEN(TRIM(H94))=0</formula>
    </cfRule>
  </conditionalFormatting>
  <conditionalFormatting sqref="G87:G93 G106:G114 G116">
    <cfRule type="cellIs" dxfId="5168" priority="93" operator="equal">
      <formula>0</formula>
    </cfRule>
  </conditionalFormatting>
  <conditionalFormatting sqref="G87:G88">
    <cfRule type="cellIs" dxfId="5167" priority="92" operator="equal">
      <formula>0</formula>
    </cfRule>
  </conditionalFormatting>
  <conditionalFormatting sqref="G87:G88">
    <cfRule type="cellIs" dxfId="5166" priority="91" operator="equal">
      <formula>0</formula>
    </cfRule>
  </conditionalFormatting>
  <conditionalFormatting sqref="G115">
    <cfRule type="cellIs" dxfId="5165" priority="90" operator="equal">
      <formula>0</formula>
    </cfRule>
  </conditionalFormatting>
  <conditionalFormatting sqref="G87:G92 G108:G116 G106">
    <cfRule type="containsBlanks" dxfId="5164" priority="89">
      <formula>LEN(TRIM(G87))=0</formula>
    </cfRule>
  </conditionalFormatting>
  <conditionalFormatting sqref="G115">
    <cfRule type="cellIs" dxfId="5163" priority="88" operator="equal">
      <formula>0</formula>
    </cfRule>
  </conditionalFormatting>
  <conditionalFormatting sqref="G94:G105">
    <cfRule type="cellIs" dxfId="5162" priority="87" operator="equal">
      <formula>0</formula>
    </cfRule>
  </conditionalFormatting>
  <conditionalFormatting sqref="G94:G105">
    <cfRule type="containsBlanks" dxfId="5161" priority="86">
      <formula>LEN(TRIM(G94))=0</formula>
    </cfRule>
  </conditionalFormatting>
  <conditionalFormatting sqref="I86">
    <cfRule type="cellIs" dxfId="5160" priority="85" operator="equal">
      <formula>0</formula>
    </cfRule>
  </conditionalFormatting>
  <conditionalFormatting sqref="I86">
    <cfRule type="containsBlanks" dxfId="5159" priority="84">
      <formula>LEN(TRIM(I86))=0</formula>
    </cfRule>
  </conditionalFormatting>
  <conditionalFormatting sqref="I87:I93 I106:I114 I116">
    <cfRule type="cellIs" dxfId="5158" priority="83" operator="equal">
      <formula>0</formula>
    </cfRule>
  </conditionalFormatting>
  <conditionalFormatting sqref="I87:I88">
    <cfRule type="cellIs" dxfId="5157" priority="82" operator="equal">
      <formula>0</formula>
    </cfRule>
  </conditionalFormatting>
  <conditionalFormatting sqref="I87:I88">
    <cfRule type="cellIs" dxfId="5156" priority="81" operator="equal">
      <formula>0</formula>
    </cfRule>
  </conditionalFormatting>
  <conditionalFormatting sqref="I115">
    <cfRule type="cellIs" dxfId="5155" priority="80" operator="equal">
      <formula>0</formula>
    </cfRule>
  </conditionalFormatting>
  <conditionalFormatting sqref="I87:I92 I108:I116 I106">
    <cfRule type="containsBlanks" dxfId="5154" priority="79">
      <formula>LEN(TRIM(I87))=0</formula>
    </cfRule>
  </conditionalFormatting>
  <conditionalFormatting sqref="I115">
    <cfRule type="cellIs" dxfId="5153" priority="78" operator="equal">
      <formula>0</formula>
    </cfRule>
  </conditionalFormatting>
  <conditionalFormatting sqref="I94:I105">
    <cfRule type="cellIs" dxfId="5152" priority="77" operator="equal">
      <formula>0</formula>
    </cfRule>
  </conditionalFormatting>
  <conditionalFormatting sqref="I94:I105">
    <cfRule type="containsBlanks" dxfId="5151" priority="76">
      <formula>LEN(TRIM(I94))=0</formula>
    </cfRule>
  </conditionalFormatting>
  <conditionalFormatting sqref="H123:H130 H143:H151 H153 G123">
    <cfRule type="cellIs" dxfId="5150" priority="75" operator="equal">
      <formula>0</formula>
    </cfRule>
  </conditionalFormatting>
  <conditionalFormatting sqref="H124:H125">
    <cfRule type="cellIs" dxfId="5149" priority="74" operator="equal">
      <formula>0</formula>
    </cfRule>
  </conditionalFormatting>
  <conditionalFormatting sqref="H152">
    <cfRule type="cellIs" dxfId="5148" priority="73" operator="equal">
      <formula>0</formula>
    </cfRule>
  </conditionalFormatting>
  <conditionalFormatting sqref="H123:H129 H143 H145:H153 G123">
    <cfRule type="containsBlanks" dxfId="5147" priority="72">
      <formula>LEN(TRIM(G123))=0</formula>
    </cfRule>
  </conditionalFormatting>
  <conditionalFormatting sqref="H152">
    <cfRule type="cellIs" dxfId="5146" priority="71" operator="equal">
      <formula>0</formula>
    </cfRule>
  </conditionalFormatting>
  <conditionalFormatting sqref="H131:H142">
    <cfRule type="cellIs" dxfId="5145" priority="70" operator="equal">
      <formula>0</formula>
    </cfRule>
  </conditionalFormatting>
  <conditionalFormatting sqref="H131:H142">
    <cfRule type="containsBlanks" dxfId="5144" priority="69">
      <formula>LEN(TRIM(H131))=0</formula>
    </cfRule>
  </conditionalFormatting>
  <conditionalFormatting sqref="G124:G130 G143:G151 G153">
    <cfRule type="cellIs" dxfId="5143" priority="68" operator="equal">
      <formula>0</formula>
    </cfRule>
  </conditionalFormatting>
  <conditionalFormatting sqref="G124:G125">
    <cfRule type="cellIs" dxfId="5142" priority="67" operator="equal">
      <formula>0</formula>
    </cfRule>
  </conditionalFormatting>
  <conditionalFormatting sqref="G124:G125">
    <cfRule type="cellIs" dxfId="5141" priority="66" operator="equal">
      <formula>0</formula>
    </cfRule>
  </conditionalFormatting>
  <conditionalFormatting sqref="G152">
    <cfRule type="cellIs" dxfId="5140" priority="65" operator="equal">
      <formula>0</formula>
    </cfRule>
  </conditionalFormatting>
  <conditionalFormatting sqref="G124:G129 G145:G153 G143">
    <cfRule type="containsBlanks" dxfId="5139" priority="64">
      <formula>LEN(TRIM(G124))=0</formula>
    </cfRule>
  </conditionalFormatting>
  <conditionalFormatting sqref="G152">
    <cfRule type="cellIs" dxfId="5138" priority="63" operator="equal">
      <formula>0</formula>
    </cfRule>
  </conditionalFormatting>
  <conditionalFormatting sqref="G131:G142">
    <cfRule type="cellIs" dxfId="5137" priority="62" operator="equal">
      <formula>0</formula>
    </cfRule>
  </conditionalFormatting>
  <conditionalFormatting sqref="G131:G142">
    <cfRule type="containsBlanks" dxfId="5136" priority="61">
      <formula>LEN(TRIM(G131))=0</formula>
    </cfRule>
  </conditionalFormatting>
  <conditionalFormatting sqref="I123">
    <cfRule type="cellIs" dxfId="5135" priority="60" operator="equal">
      <formula>0</formula>
    </cfRule>
  </conditionalFormatting>
  <conditionalFormatting sqref="I123">
    <cfRule type="containsBlanks" dxfId="5134" priority="59">
      <formula>LEN(TRIM(I123))=0</formula>
    </cfRule>
  </conditionalFormatting>
  <conditionalFormatting sqref="I124:I130 I143:I151 I153">
    <cfRule type="cellIs" dxfId="5133" priority="58" operator="equal">
      <formula>0</formula>
    </cfRule>
  </conditionalFormatting>
  <conditionalFormatting sqref="I124:I125">
    <cfRule type="cellIs" dxfId="5132" priority="57" operator="equal">
      <formula>0</formula>
    </cfRule>
  </conditionalFormatting>
  <conditionalFormatting sqref="I124:I125">
    <cfRule type="cellIs" dxfId="5131" priority="56" operator="equal">
      <formula>0</formula>
    </cfRule>
  </conditionalFormatting>
  <conditionalFormatting sqref="I152">
    <cfRule type="cellIs" dxfId="5130" priority="55" operator="equal">
      <formula>0</formula>
    </cfRule>
  </conditionalFormatting>
  <conditionalFormatting sqref="I124:I129 I145:I153 I143">
    <cfRule type="containsBlanks" dxfId="5129" priority="54">
      <formula>LEN(TRIM(I124))=0</formula>
    </cfRule>
  </conditionalFormatting>
  <conditionalFormatting sqref="I152">
    <cfRule type="cellIs" dxfId="5128" priority="53" operator="equal">
      <formula>0</formula>
    </cfRule>
  </conditionalFormatting>
  <conditionalFormatting sqref="I131:I142">
    <cfRule type="cellIs" dxfId="5127" priority="52" operator="equal">
      <formula>0</formula>
    </cfRule>
  </conditionalFormatting>
  <conditionalFormatting sqref="I131:I142">
    <cfRule type="containsBlanks" dxfId="5126" priority="51">
      <formula>LEN(TRIM(I131))=0</formula>
    </cfRule>
  </conditionalFormatting>
  <conditionalFormatting sqref="H160:H167 H180:H188 H190 G160">
    <cfRule type="cellIs" dxfId="5125" priority="50" operator="equal">
      <formula>0</formula>
    </cfRule>
  </conditionalFormatting>
  <conditionalFormatting sqref="H161:H162">
    <cfRule type="cellIs" dxfId="5124" priority="49" operator="equal">
      <formula>0</formula>
    </cfRule>
  </conditionalFormatting>
  <conditionalFormatting sqref="H189">
    <cfRule type="cellIs" dxfId="5123" priority="48" operator="equal">
      <formula>0</formula>
    </cfRule>
  </conditionalFormatting>
  <conditionalFormatting sqref="H160:H166 H180 H182:H190 G160">
    <cfRule type="containsBlanks" dxfId="5122" priority="47">
      <formula>LEN(TRIM(G160))=0</formula>
    </cfRule>
  </conditionalFormatting>
  <conditionalFormatting sqref="H189">
    <cfRule type="cellIs" dxfId="5121" priority="46" operator="equal">
      <formula>0</formula>
    </cfRule>
  </conditionalFormatting>
  <conditionalFormatting sqref="H168:H179">
    <cfRule type="cellIs" dxfId="5120" priority="45" operator="equal">
      <formula>0</formula>
    </cfRule>
  </conditionalFormatting>
  <conditionalFormatting sqref="H168:H179">
    <cfRule type="containsBlanks" dxfId="5119" priority="44">
      <formula>LEN(TRIM(H168))=0</formula>
    </cfRule>
  </conditionalFormatting>
  <conditionalFormatting sqref="G161:G167 G180:G188 G190">
    <cfRule type="cellIs" dxfId="5118" priority="43" operator="equal">
      <formula>0</formula>
    </cfRule>
  </conditionalFormatting>
  <conditionalFormatting sqref="G161:G162">
    <cfRule type="cellIs" dxfId="5117" priority="42" operator="equal">
      <formula>0</formula>
    </cfRule>
  </conditionalFormatting>
  <conditionalFormatting sqref="G161:G162">
    <cfRule type="cellIs" dxfId="5116" priority="41" operator="equal">
      <formula>0</formula>
    </cfRule>
  </conditionalFormatting>
  <conditionalFormatting sqref="G189">
    <cfRule type="cellIs" dxfId="5115" priority="40" operator="equal">
      <formula>0</formula>
    </cfRule>
  </conditionalFormatting>
  <conditionalFormatting sqref="G161:G166 G182:G190 G180">
    <cfRule type="containsBlanks" dxfId="5114" priority="39">
      <formula>LEN(TRIM(G161))=0</formula>
    </cfRule>
  </conditionalFormatting>
  <conditionalFormatting sqref="G189">
    <cfRule type="cellIs" dxfId="5113" priority="38" operator="equal">
      <formula>0</formula>
    </cfRule>
  </conditionalFormatting>
  <conditionalFormatting sqref="G168:G179">
    <cfRule type="cellIs" dxfId="5112" priority="37" operator="equal">
      <formula>0</formula>
    </cfRule>
  </conditionalFormatting>
  <conditionalFormatting sqref="G168:G179">
    <cfRule type="containsBlanks" dxfId="5111" priority="36">
      <formula>LEN(TRIM(G168))=0</formula>
    </cfRule>
  </conditionalFormatting>
  <conditionalFormatting sqref="I160">
    <cfRule type="cellIs" dxfId="5110" priority="35" operator="equal">
      <formula>0</formula>
    </cfRule>
  </conditionalFormatting>
  <conditionalFormatting sqref="I160">
    <cfRule type="containsBlanks" dxfId="5109" priority="34">
      <formula>LEN(TRIM(I160))=0</formula>
    </cfRule>
  </conditionalFormatting>
  <conditionalFormatting sqref="I161:I167 I180:I188 I190">
    <cfRule type="cellIs" dxfId="5108" priority="33" operator="equal">
      <formula>0</formula>
    </cfRule>
  </conditionalFormatting>
  <conditionalFormatting sqref="I161:I162">
    <cfRule type="cellIs" dxfId="5107" priority="32" operator="equal">
      <formula>0</formula>
    </cfRule>
  </conditionalFormatting>
  <conditionalFormatting sqref="I161:I162">
    <cfRule type="cellIs" dxfId="5106" priority="31" operator="equal">
      <formula>0</formula>
    </cfRule>
  </conditionalFormatting>
  <conditionalFormatting sqref="I189">
    <cfRule type="cellIs" dxfId="5105" priority="30" operator="equal">
      <formula>0</formula>
    </cfRule>
  </conditionalFormatting>
  <conditionalFormatting sqref="I161:I166 I182:I190 I180">
    <cfRule type="containsBlanks" dxfId="5104" priority="29">
      <formula>LEN(TRIM(I161))=0</formula>
    </cfRule>
  </conditionalFormatting>
  <conditionalFormatting sqref="I189">
    <cfRule type="cellIs" dxfId="5103" priority="28" operator="equal">
      <formula>0</formula>
    </cfRule>
  </conditionalFormatting>
  <conditionalFormatting sqref="I168:I179">
    <cfRule type="cellIs" dxfId="5102" priority="27" operator="equal">
      <formula>0</formula>
    </cfRule>
  </conditionalFormatting>
  <conditionalFormatting sqref="I168:I179">
    <cfRule type="containsBlanks" dxfId="5101" priority="26">
      <formula>LEN(TRIM(I168))=0</formula>
    </cfRule>
  </conditionalFormatting>
  <conditionalFormatting sqref="H197:H204 H217:H225 H227 G197">
    <cfRule type="cellIs" dxfId="5100" priority="25" operator="equal">
      <formula>0</formula>
    </cfRule>
  </conditionalFormatting>
  <conditionalFormatting sqref="H198:H199">
    <cfRule type="cellIs" dxfId="5099" priority="24" operator="equal">
      <formula>0</formula>
    </cfRule>
  </conditionalFormatting>
  <conditionalFormatting sqref="H226">
    <cfRule type="cellIs" dxfId="5098" priority="23" operator="equal">
      <formula>0</formula>
    </cfRule>
  </conditionalFormatting>
  <conditionalFormatting sqref="H197:H203 H217 H219:H227 G197">
    <cfRule type="containsBlanks" dxfId="5097" priority="22">
      <formula>LEN(TRIM(G197))=0</formula>
    </cfRule>
  </conditionalFormatting>
  <conditionalFormatting sqref="H226">
    <cfRule type="cellIs" dxfId="5096" priority="21" operator="equal">
      <formula>0</formula>
    </cfRule>
  </conditionalFormatting>
  <conditionalFormatting sqref="H205:H216">
    <cfRule type="cellIs" dxfId="5095" priority="20" operator="equal">
      <formula>0</formula>
    </cfRule>
  </conditionalFormatting>
  <conditionalFormatting sqref="H205:H216">
    <cfRule type="containsBlanks" dxfId="5094" priority="19">
      <formula>LEN(TRIM(H205))=0</formula>
    </cfRule>
  </conditionalFormatting>
  <conditionalFormatting sqref="G198:G204 G217:G225 G227">
    <cfRule type="cellIs" dxfId="5093" priority="18" operator="equal">
      <formula>0</formula>
    </cfRule>
  </conditionalFormatting>
  <conditionalFormatting sqref="G198:G199">
    <cfRule type="cellIs" dxfId="5092" priority="17" operator="equal">
      <formula>0</formula>
    </cfRule>
  </conditionalFormatting>
  <conditionalFormatting sqref="G198:G199">
    <cfRule type="cellIs" dxfId="5091" priority="16" operator="equal">
      <formula>0</formula>
    </cfRule>
  </conditionalFormatting>
  <conditionalFormatting sqref="G226">
    <cfRule type="cellIs" dxfId="5090" priority="15" operator="equal">
      <formula>0</formula>
    </cfRule>
  </conditionalFormatting>
  <conditionalFormatting sqref="G198:G203 G219:G227 G217">
    <cfRule type="containsBlanks" dxfId="5089" priority="14">
      <formula>LEN(TRIM(G198))=0</formula>
    </cfRule>
  </conditionalFormatting>
  <conditionalFormatting sqref="G226">
    <cfRule type="cellIs" dxfId="5088" priority="13" operator="equal">
      <formula>0</formula>
    </cfRule>
  </conditionalFormatting>
  <conditionalFormatting sqref="G205:G216">
    <cfRule type="cellIs" dxfId="5087" priority="12" operator="equal">
      <formula>0</formula>
    </cfRule>
  </conditionalFormatting>
  <conditionalFormatting sqref="G205:G216">
    <cfRule type="containsBlanks" dxfId="5086" priority="11">
      <formula>LEN(TRIM(G205))=0</formula>
    </cfRule>
  </conditionalFormatting>
  <conditionalFormatting sqref="I197">
    <cfRule type="cellIs" dxfId="5085" priority="10" operator="equal">
      <formula>0</formula>
    </cfRule>
  </conditionalFormatting>
  <conditionalFormatting sqref="I197">
    <cfRule type="containsBlanks" dxfId="5084" priority="9">
      <formula>LEN(TRIM(I197))=0</formula>
    </cfRule>
  </conditionalFormatting>
  <conditionalFormatting sqref="I198:I204 I217:I225 I227">
    <cfRule type="cellIs" dxfId="5083" priority="8" operator="equal">
      <formula>0</formula>
    </cfRule>
  </conditionalFormatting>
  <conditionalFormatting sqref="I198:I199">
    <cfRule type="cellIs" dxfId="5082" priority="7" operator="equal">
      <formula>0</formula>
    </cfRule>
  </conditionalFormatting>
  <conditionalFormatting sqref="I198:I199">
    <cfRule type="cellIs" dxfId="5081" priority="6" operator="equal">
      <formula>0</formula>
    </cfRule>
  </conditionalFormatting>
  <conditionalFormatting sqref="I226">
    <cfRule type="cellIs" dxfId="5080" priority="5" operator="equal">
      <formula>0</formula>
    </cfRule>
  </conditionalFormatting>
  <conditionalFormatting sqref="I198:I203 I219:I227 I217">
    <cfRule type="containsBlanks" dxfId="5079" priority="4">
      <formula>LEN(TRIM(I198))=0</formula>
    </cfRule>
  </conditionalFormatting>
  <conditionalFormatting sqref="I226">
    <cfRule type="cellIs" dxfId="5078" priority="3" operator="equal">
      <formula>0</formula>
    </cfRule>
  </conditionalFormatting>
  <conditionalFormatting sqref="I205:I216">
    <cfRule type="cellIs" dxfId="5077" priority="2" operator="equal">
      <formula>0</formula>
    </cfRule>
  </conditionalFormatting>
  <conditionalFormatting sqref="I205:I216">
    <cfRule type="containsBlanks" dxfId="5076" priority="1">
      <formula>LEN(TRIM(I205))=0</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B712-A0E7-41E6-9795-BEAFBC71F342}">
  <dimension ref="C3:U192"/>
  <sheetViews>
    <sheetView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362</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2.3260000000000005</v>
      </c>
      <c r="F12" s="663">
        <v>0</v>
      </c>
      <c r="G12" s="663">
        <v>0</v>
      </c>
      <c r="H12" s="663">
        <v>3.7216000000000006E-2</v>
      </c>
      <c r="I12" s="663">
        <v>0</v>
      </c>
      <c r="J12" s="664">
        <v>964.52942056246673</v>
      </c>
      <c r="K12" s="664">
        <v>311.46236031836668</v>
      </c>
      <c r="L12" s="664">
        <v>294.50335183866372</v>
      </c>
      <c r="M12" s="664">
        <v>26.897654847027933</v>
      </c>
      <c r="N12" s="663">
        <v>1.5522078310841105</v>
      </c>
      <c r="O12" s="663">
        <v>0.16457898409976487</v>
      </c>
      <c r="P12" s="664">
        <v>128.43983591306872</v>
      </c>
      <c r="Q12" s="664">
        <v>20.654107927982594</v>
      </c>
      <c r="R12" s="663">
        <v>0</v>
      </c>
      <c r="S12" s="663">
        <v>0</v>
      </c>
      <c r="T12" s="663">
        <v>0</v>
      </c>
      <c r="U12" s="665">
        <v>1750.5667342227598</v>
      </c>
    </row>
    <row r="13" spans="3:21" ht="13">
      <c r="C13" s="662" t="s">
        <v>60</v>
      </c>
      <c r="D13" s="663">
        <v>13.859177019435306</v>
      </c>
      <c r="E13" s="663">
        <v>296.13837759387053</v>
      </c>
      <c r="F13" s="663">
        <v>5.829718761745502</v>
      </c>
      <c r="G13" s="663">
        <v>0.35872125556105416</v>
      </c>
      <c r="H13" s="663">
        <v>120.63288166670617</v>
      </c>
      <c r="I13" s="663">
        <v>0</v>
      </c>
      <c r="J13" s="663">
        <v>0</v>
      </c>
      <c r="K13" s="663">
        <v>0</v>
      </c>
      <c r="L13" s="663">
        <v>3.8185483520995893</v>
      </c>
      <c r="M13" s="663">
        <v>0</v>
      </c>
      <c r="N13" s="663">
        <v>4.0860505945061325</v>
      </c>
      <c r="O13" s="663">
        <v>0</v>
      </c>
      <c r="P13" s="663">
        <v>0</v>
      </c>
      <c r="Q13" s="663">
        <v>0</v>
      </c>
      <c r="R13" s="663">
        <v>0</v>
      </c>
      <c r="S13" s="663">
        <v>0</v>
      </c>
      <c r="T13" s="663">
        <v>0</v>
      </c>
      <c r="U13" s="665">
        <v>444.72347524392433</v>
      </c>
    </row>
    <row r="14" spans="3:21" ht="13">
      <c r="C14" s="662" t="s">
        <v>61</v>
      </c>
      <c r="D14" s="663">
        <v>0</v>
      </c>
      <c r="E14" s="663">
        <v>0</v>
      </c>
      <c r="F14" s="663">
        <v>-11.930293865877704</v>
      </c>
      <c r="G14" s="663">
        <v>0</v>
      </c>
      <c r="H14" s="663">
        <v>0</v>
      </c>
      <c r="I14" s="663">
        <v>0</v>
      </c>
      <c r="J14" s="663">
        <v>0</v>
      </c>
      <c r="K14" s="663">
        <v>0</v>
      </c>
      <c r="L14" s="663">
        <v>0</v>
      </c>
      <c r="M14" s="663">
        <v>0</v>
      </c>
      <c r="N14" s="663">
        <v>0</v>
      </c>
      <c r="O14" s="663">
        <v>0</v>
      </c>
      <c r="P14" s="663">
        <v>0</v>
      </c>
      <c r="Q14" s="663">
        <v>0</v>
      </c>
      <c r="R14" s="663">
        <v>-39.267637363013023</v>
      </c>
      <c r="S14" s="663">
        <v>0</v>
      </c>
      <c r="T14" s="663">
        <v>0</v>
      </c>
      <c r="U14" s="665">
        <v>-51.197931228890724</v>
      </c>
    </row>
    <row r="15" spans="3:21" ht="13">
      <c r="C15" s="662" t="s">
        <v>62</v>
      </c>
      <c r="D15" s="663">
        <v>0</v>
      </c>
      <c r="E15" s="663">
        <v>0</v>
      </c>
      <c r="F15" s="663">
        <v>-10.650864702914385</v>
      </c>
      <c r="G15" s="663">
        <v>-1.9080821969915447</v>
      </c>
      <c r="H15" s="663">
        <v>-4.5147113062781807</v>
      </c>
      <c r="I15" s="663">
        <v>0</v>
      </c>
      <c r="J15" s="663">
        <v>0</v>
      </c>
      <c r="K15" s="663">
        <v>0</v>
      </c>
      <c r="L15" s="663">
        <v>0</v>
      </c>
      <c r="M15" s="663">
        <v>0</v>
      </c>
      <c r="N15" s="663">
        <v>-0.48900468677593995</v>
      </c>
      <c r="O15" s="663">
        <v>-2.7436669996352929</v>
      </c>
      <c r="P15" s="663">
        <v>0</v>
      </c>
      <c r="Q15" s="663">
        <v>0</v>
      </c>
      <c r="R15" s="663">
        <v>0</v>
      </c>
      <c r="S15" s="663">
        <v>0</v>
      </c>
      <c r="T15" s="663">
        <v>0</v>
      </c>
      <c r="U15" s="665">
        <v>-20.306329892595343</v>
      </c>
    </row>
    <row r="16" spans="3:21" ht="13">
      <c r="C16" s="662" t="s">
        <v>63</v>
      </c>
      <c r="D16" s="663">
        <v>0</v>
      </c>
      <c r="E16" s="663">
        <v>0</v>
      </c>
      <c r="F16" s="663">
        <v>-52.2656340821949</v>
      </c>
      <c r="G16" s="663">
        <v>-8.2703034572776399</v>
      </c>
      <c r="H16" s="663">
        <v>0</v>
      </c>
      <c r="I16" s="663">
        <v>0</v>
      </c>
      <c r="J16" s="663">
        <v>0</v>
      </c>
      <c r="K16" s="663">
        <v>0</v>
      </c>
      <c r="L16" s="663">
        <v>0</v>
      </c>
      <c r="M16" s="663">
        <v>0</v>
      </c>
      <c r="N16" s="663">
        <v>-13.213101981709578</v>
      </c>
      <c r="O16" s="663">
        <v>0</v>
      </c>
      <c r="P16" s="663">
        <v>0</v>
      </c>
      <c r="Q16" s="663">
        <v>0</v>
      </c>
      <c r="R16" s="663">
        <v>0</v>
      </c>
      <c r="S16" s="663">
        <v>0</v>
      </c>
      <c r="T16" s="663">
        <v>-0.45605370393256905</v>
      </c>
      <c r="U16" s="665">
        <v>-74.20509322511468</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13.859177019435306</v>
      </c>
      <c r="E18" s="667">
        <v>298.46437759387055</v>
      </c>
      <c r="F18" s="667">
        <v>-69.017073889241487</v>
      </c>
      <c r="G18" s="667">
        <v>-9.8196643987081309</v>
      </c>
      <c r="H18" s="675">
        <v>116.15538636042798</v>
      </c>
      <c r="I18" s="667">
        <v>0</v>
      </c>
      <c r="J18" s="667">
        <v>964.52942056246673</v>
      </c>
      <c r="K18" s="667">
        <v>311.46236031836668</v>
      </c>
      <c r="L18" s="667">
        <v>298.3219001907633</v>
      </c>
      <c r="M18" s="667">
        <v>26.897654847027933</v>
      </c>
      <c r="N18" s="667">
        <v>-8.0638482428952756</v>
      </c>
      <c r="O18" s="667">
        <v>-2.579088015535528</v>
      </c>
      <c r="P18" s="667">
        <v>128.43983591306872</v>
      </c>
      <c r="Q18" s="667">
        <v>20.654107927982594</v>
      </c>
      <c r="R18" s="667">
        <v>-39.267637363013023</v>
      </c>
      <c r="S18" s="667">
        <v>0</v>
      </c>
      <c r="T18" s="667">
        <v>-0.45605370393256905</v>
      </c>
      <c r="U18" s="667">
        <v>2049.5808551200835</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0.36057808628354604</v>
      </c>
      <c r="G21" s="663">
        <v>0</v>
      </c>
      <c r="H21" s="663">
        <v>7.5839969390793698</v>
      </c>
      <c r="I21" s="663">
        <v>0</v>
      </c>
      <c r="J21" s="663">
        <v>964.52942056246673</v>
      </c>
      <c r="K21" s="663">
        <v>311.46236031836668</v>
      </c>
      <c r="L21" s="663">
        <v>22.176349392164049</v>
      </c>
      <c r="M21" s="663">
        <v>10.089931127123995</v>
      </c>
      <c r="N21" s="663">
        <v>5.3878161949008447</v>
      </c>
      <c r="O21" s="663">
        <v>2.0095680781151462</v>
      </c>
      <c r="P21" s="663">
        <v>0</v>
      </c>
      <c r="Q21" s="663">
        <v>4.9774137725284184</v>
      </c>
      <c r="R21" s="663">
        <v>-653.56257887708989</v>
      </c>
      <c r="S21" s="663">
        <v>0</v>
      </c>
      <c r="T21" s="663">
        <v>1.9189703578470259</v>
      </c>
      <c r="U21" s="671">
        <v>676.93382595178593</v>
      </c>
    </row>
    <row r="22" spans="3:21" ht="13">
      <c r="C22" s="670" t="s">
        <v>351</v>
      </c>
      <c r="D22" s="663">
        <v>0</v>
      </c>
      <c r="E22" s="663">
        <v>0</v>
      </c>
      <c r="F22" s="663">
        <v>0</v>
      </c>
      <c r="G22" s="663">
        <v>0</v>
      </c>
      <c r="H22" s="663">
        <v>9.2764090353058375</v>
      </c>
      <c r="I22" s="663">
        <v>0</v>
      </c>
      <c r="J22" s="663">
        <v>0</v>
      </c>
      <c r="K22" s="663">
        <v>0</v>
      </c>
      <c r="L22" s="663">
        <v>35.764224717869801</v>
      </c>
      <c r="M22" s="663">
        <v>14.37233701187753</v>
      </c>
      <c r="N22" s="663">
        <v>0</v>
      </c>
      <c r="O22" s="663">
        <v>5.4622758911360467</v>
      </c>
      <c r="P22" s="663">
        <v>0</v>
      </c>
      <c r="Q22" s="663">
        <v>10.952590418500169</v>
      </c>
      <c r="R22" s="663">
        <v>0</v>
      </c>
      <c r="S22" s="663">
        <v>-70.157887736076944</v>
      </c>
      <c r="T22" s="663">
        <v>0</v>
      </c>
      <c r="U22" s="671">
        <v>5.6699493386124447</v>
      </c>
    </row>
    <row r="23" spans="3:21" ht="13">
      <c r="C23" s="670" t="s">
        <v>352</v>
      </c>
      <c r="D23" s="663">
        <v>0</v>
      </c>
      <c r="E23" s="663">
        <v>0</v>
      </c>
      <c r="F23" s="663">
        <v>0</v>
      </c>
      <c r="G23" s="663">
        <v>0</v>
      </c>
      <c r="H23" s="663">
        <v>0</v>
      </c>
      <c r="I23" s="663">
        <v>0</v>
      </c>
      <c r="J23" s="663">
        <v>0</v>
      </c>
      <c r="K23" s="663">
        <v>0</v>
      </c>
      <c r="L23" s="663">
        <v>74.445335403224831</v>
      </c>
      <c r="M23" s="663">
        <v>0</v>
      </c>
      <c r="N23" s="663">
        <v>0</v>
      </c>
      <c r="O23" s="663">
        <v>-68.22829141881553</v>
      </c>
      <c r="P23" s="663">
        <v>0</v>
      </c>
      <c r="Q23" s="663">
        <v>0</v>
      </c>
      <c r="R23" s="663">
        <v>0</v>
      </c>
      <c r="S23" s="663">
        <v>0</v>
      </c>
      <c r="T23" s="663">
        <v>0</v>
      </c>
      <c r="U23" s="671">
        <v>6.2170439844093011</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309.28389692910912</v>
      </c>
      <c r="F25" s="663">
        <v>-306.20133621434456</v>
      </c>
      <c r="G25" s="663">
        <v>0</v>
      </c>
      <c r="H25" s="663">
        <v>0</v>
      </c>
      <c r="I25" s="663">
        <v>0</v>
      </c>
      <c r="J25" s="663">
        <v>0</v>
      </c>
      <c r="K25" s="663">
        <v>0</v>
      </c>
      <c r="L25" s="663">
        <v>0</v>
      </c>
      <c r="M25" s="663">
        <v>0</v>
      </c>
      <c r="N25" s="663">
        <v>0</v>
      </c>
      <c r="O25" s="663">
        <v>0</v>
      </c>
      <c r="P25" s="663">
        <v>0</v>
      </c>
      <c r="Q25" s="663">
        <v>0</v>
      </c>
      <c r="R25" s="663">
        <v>0</v>
      </c>
      <c r="S25" s="663">
        <v>0</v>
      </c>
      <c r="T25" s="663">
        <v>0</v>
      </c>
      <c r="U25" s="671">
        <v>3.0825607147645133</v>
      </c>
    </row>
    <row r="26" spans="3:21" ht="13">
      <c r="C26" s="670" t="s">
        <v>354</v>
      </c>
      <c r="D26" s="663">
        <v>0</v>
      </c>
      <c r="E26" s="663">
        <v>0</v>
      </c>
      <c r="F26" s="663">
        <v>0</v>
      </c>
      <c r="G26" s="663">
        <v>0</v>
      </c>
      <c r="H26" s="663">
        <v>0</v>
      </c>
      <c r="I26" s="663">
        <v>0</v>
      </c>
      <c r="J26" s="663">
        <v>0</v>
      </c>
      <c r="K26" s="663">
        <v>0</v>
      </c>
      <c r="L26" s="663">
        <v>106.10331078427467</v>
      </c>
      <c r="M26" s="663">
        <v>0</v>
      </c>
      <c r="N26" s="663">
        <v>-106.10331078427467</v>
      </c>
      <c r="O26" s="663">
        <v>0</v>
      </c>
      <c r="P26" s="663">
        <v>0</v>
      </c>
      <c r="Q26" s="663">
        <v>0</v>
      </c>
      <c r="R26" s="663">
        <v>0</v>
      </c>
      <c r="S26" s="663">
        <v>0</v>
      </c>
      <c r="T26" s="663">
        <v>0</v>
      </c>
      <c r="U26" s="671">
        <v>0</v>
      </c>
    </row>
    <row r="27" spans="3:21" ht="13">
      <c r="C27" s="670" t="s">
        <v>355</v>
      </c>
      <c r="D27" s="663">
        <v>0</v>
      </c>
      <c r="E27" s="663">
        <v>0</v>
      </c>
      <c r="F27" s="663">
        <v>0</v>
      </c>
      <c r="G27" s="663">
        <v>-16.310777823492739</v>
      </c>
      <c r="H27" s="663">
        <v>0</v>
      </c>
      <c r="I27" s="663">
        <v>0</v>
      </c>
      <c r="J27" s="663">
        <v>0</v>
      </c>
      <c r="K27" s="663">
        <v>0</v>
      </c>
      <c r="L27" s="663">
        <v>0</v>
      </c>
      <c r="M27" s="663">
        <v>0</v>
      </c>
      <c r="N27" s="663">
        <v>0</v>
      </c>
      <c r="O27" s="663">
        <v>0</v>
      </c>
      <c r="P27" s="663">
        <v>0</v>
      </c>
      <c r="Q27" s="663">
        <v>0</v>
      </c>
      <c r="R27" s="663">
        <v>0</v>
      </c>
      <c r="S27" s="663">
        <v>0</v>
      </c>
      <c r="T27" s="663">
        <v>22.716960756953675</v>
      </c>
      <c r="U27" s="671">
        <v>6.4061829334609364</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80.747003520407887</v>
      </c>
      <c r="S28" s="663">
        <v>0</v>
      </c>
      <c r="T28" s="663">
        <v>-54.746468386836547</v>
      </c>
      <c r="U28" s="671">
        <v>26.00053513357134</v>
      </c>
    </row>
    <row r="29" spans="3:21" ht="13">
      <c r="C29" s="670" t="s">
        <v>356</v>
      </c>
      <c r="D29" s="663">
        <v>7.7637663281249996</v>
      </c>
      <c r="E29" s="663">
        <v>-10.819519335238569</v>
      </c>
      <c r="F29" s="663">
        <v>14.100311366339174</v>
      </c>
      <c r="G29" s="663">
        <v>0</v>
      </c>
      <c r="H29" s="663">
        <v>0</v>
      </c>
      <c r="I29" s="663">
        <v>0</v>
      </c>
      <c r="J29" s="663">
        <v>0</v>
      </c>
      <c r="K29" s="663">
        <v>0</v>
      </c>
      <c r="L29" s="663">
        <v>0</v>
      </c>
      <c r="M29" s="663">
        <v>0</v>
      </c>
      <c r="N29" s="663">
        <v>0</v>
      </c>
      <c r="O29" s="663">
        <v>0</v>
      </c>
      <c r="P29" s="663">
        <v>0</v>
      </c>
      <c r="Q29" s="663">
        <v>0</v>
      </c>
      <c r="R29" s="663">
        <v>0</v>
      </c>
      <c r="S29" s="663">
        <v>0</v>
      </c>
      <c r="T29" s="663">
        <v>0</v>
      </c>
      <c r="U29" s="671">
        <v>11.044558359225604</v>
      </c>
    </row>
    <row r="30" spans="3:21" ht="13">
      <c r="C30" s="670" t="s">
        <v>75</v>
      </c>
      <c r="D30" s="663">
        <v>3.0192424609374999</v>
      </c>
      <c r="E30" s="663">
        <v>0</v>
      </c>
      <c r="F30" s="663">
        <v>18.191659515376916</v>
      </c>
      <c r="G30" s="663">
        <v>0</v>
      </c>
      <c r="H30" s="663">
        <v>3.2664120682994437</v>
      </c>
      <c r="I30" s="663">
        <v>0</v>
      </c>
      <c r="J30" s="663">
        <v>0</v>
      </c>
      <c r="K30" s="663">
        <v>0</v>
      </c>
      <c r="L30" s="663">
        <v>0</v>
      </c>
      <c r="M30" s="663">
        <v>0</v>
      </c>
      <c r="N30" s="663">
        <v>0</v>
      </c>
      <c r="O30" s="663">
        <v>1.9850542794488581</v>
      </c>
      <c r="P30" s="663">
        <v>0</v>
      </c>
      <c r="Q30" s="663">
        <v>0</v>
      </c>
      <c r="R30" s="663">
        <v>23.96590055491529</v>
      </c>
      <c r="S30" s="663">
        <v>0</v>
      </c>
      <c r="T30" s="663">
        <v>0</v>
      </c>
      <c r="U30" s="671">
        <v>50.42826887897801</v>
      </c>
    </row>
    <row r="31" spans="3:21" ht="13">
      <c r="C31" s="670" t="s">
        <v>76</v>
      </c>
      <c r="D31" s="663">
        <v>0</v>
      </c>
      <c r="E31" s="663">
        <v>0</v>
      </c>
      <c r="F31" s="663">
        <v>0</v>
      </c>
      <c r="G31" s="663">
        <v>0</v>
      </c>
      <c r="H31" s="663">
        <v>1.3208205478094497</v>
      </c>
      <c r="I31" s="663">
        <v>0</v>
      </c>
      <c r="J31" s="663">
        <v>0</v>
      </c>
      <c r="K31" s="663">
        <v>0</v>
      </c>
      <c r="L31" s="663">
        <v>0</v>
      </c>
      <c r="M31" s="663">
        <v>0</v>
      </c>
      <c r="N31" s="663">
        <v>0</v>
      </c>
      <c r="O31" s="663">
        <v>0.80268515606426361</v>
      </c>
      <c r="P31" s="663">
        <v>0</v>
      </c>
      <c r="Q31" s="663">
        <v>0</v>
      </c>
      <c r="R31" s="663">
        <v>47.023558909206123</v>
      </c>
      <c r="S31" s="663">
        <v>5.4411740217158124</v>
      </c>
      <c r="T31" s="663">
        <v>0</v>
      </c>
      <c r="U31" s="671">
        <v>54.588238634795651</v>
      </c>
    </row>
    <row r="32" spans="3:21" ht="13">
      <c r="C32" s="666" t="s">
        <v>77</v>
      </c>
      <c r="D32" s="667">
        <v>10.783008789062499</v>
      </c>
      <c r="E32" s="667">
        <v>298.46437759387055</v>
      </c>
      <c r="F32" s="667">
        <v>-273.54878724634494</v>
      </c>
      <c r="G32" s="667">
        <v>-16.310777823492739</v>
      </c>
      <c r="H32" s="675">
        <v>21.447638590494105</v>
      </c>
      <c r="I32" s="667">
        <v>0</v>
      </c>
      <c r="J32" s="667">
        <v>964.52942056246673</v>
      </c>
      <c r="K32" s="667">
        <v>311.46236031836668</v>
      </c>
      <c r="L32" s="667">
        <v>238.48922029753334</v>
      </c>
      <c r="M32" s="667">
        <v>24.462268139001523</v>
      </c>
      <c r="N32" s="667">
        <v>-100.71549458937382</v>
      </c>
      <c r="O32" s="667">
        <v>-57.968708014051209</v>
      </c>
      <c r="P32" s="667">
        <v>0</v>
      </c>
      <c r="Q32" s="667">
        <v>15.930004191028587</v>
      </c>
      <c r="R32" s="667">
        <v>-501.82611589256055</v>
      </c>
      <c r="S32" s="667">
        <v>-64.71671371436112</v>
      </c>
      <c r="T32" s="667">
        <v>-30.110537272035845</v>
      </c>
      <c r="U32" s="667">
        <v>840.37116392960388</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3.0761682303728053</v>
      </c>
      <c r="E34" s="663">
        <v>0</v>
      </c>
      <c r="F34" s="663">
        <v>6.6351508306047968</v>
      </c>
      <c r="G34" s="663">
        <v>0</v>
      </c>
      <c r="H34" s="663">
        <v>38.528321178569939</v>
      </c>
      <c r="I34" s="663">
        <v>0</v>
      </c>
      <c r="J34" s="663">
        <v>0</v>
      </c>
      <c r="K34" s="663">
        <v>0</v>
      </c>
      <c r="L34" s="663">
        <v>20.031105646676835</v>
      </c>
      <c r="M34" s="663">
        <v>2.4349588281846541</v>
      </c>
      <c r="N34" s="663">
        <v>1.8349433718750003</v>
      </c>
      <c r="O34" s="663">
        <v>23.451101372697913</v>
      </c>
      <c r="P34" s="663">
        <v>6.8164926757812498</v>
      </c>
      <c r="Q34" s="663">
        <v>7.4990210834655101E-4</v>
      </c>
      <c r="R34" s="663">
        <v>132.01210341841889</v>
      </c>
      <c r="S34" s="663">
        <v>18.207144124668375</v>
      </c>
      <c r="T34" s="663">
        <v>4.1350366210937501</v>
      </c>
      <c r="U34" s="671">
        <v>257.16327620105255</v>
      </c>
    </row>
    <row r="35" spans="3:21" ht="13">
      <c r="C35" s="670" t="s">
        <v>79</v>
      </c>
      <c r="D35" s="663">
        <v>0</v>
      </c>
      <c r="E35" s="663">
        <v>0</v>
      </c>
      <c r="F35" s="663">
        <v>110.91379205811297</v>
      </c>
      <c r="G35" s="663">
        <v>0.7006243456433674</v>
      </c>
      <c r="H35" s="663">
        <v>3.7872267703464977</v>
      </c>
      <c r="I35" s="663">
        <v>0</v>
      </c>
      <c r="J35" s="663">
        <v>0</v>
      </c>
      <c r="K35" s="663">
        <v>0</v>
      </c>
      <c r="L35" s="663">
        <v>0</v>
      </c>
      <c r="M35" s="663">
        <v>0</v>
      </c>
      <c r="N35" s="663">
        <v>63.547118628094331</v>
      </c>
      <c r="O35" s="663">
        <v>2.3015622495031773</v>
      </c>
      <c r="P35" s="663">
        <v>0</v>
      </c>
      <c r="Q35" s="663">
        <v>0</v>
      </c>
      <c r="R35" s="663">
        <v>74.297767208409297</v>
      </c>
      <c r="S35" s="663">
        <v>0</v>
      </c>
      <c r="T35" s="663">
        <v>2.9567259991236208</v>
      </c>
      <c r="U35" s="671">
        <v>258.50481725923328</v>
      </c>
    </row>
    <row r="36" spans="3:21" ht="13">
      <c r="C36" s="670" t="s">
        <v>80</v>
      </c>
      <c r="D36" s="663">
        <v>0</v>
      </c>
      <c r="E36" s="663">
        <v>0</v>
      </c>
      <c r="F36" s="663">
        <v>2.6564398035767778</v>
      </c>
      <c r="G36" s="663">
        <v>0</v>
      </c>
      <c r="H36" s="663">
        <v>28.69836522821614</v>
      </c>
      <c r="I36" s="663">
        <v>0</v>
      </c>
      <c r="J36" s="663">
        <v>0</v>
      </c>
      <c r="K36" s="663">
        <v>0</v>
      </c>
      <c r="L36" s="663">
        <v>35.896639108009097</v>
      </c>
      <c r="M36" s="663">
        <v>0</v>
      </c>
      <c r="N36" s="663">
        <v>0</v>
      </c>
      <c r="O36" s="663">
        <v>17.440485621005948</v>
      </c>
      <c r="P36" s="663">
        <v>97.288022909546527</v>
      </c>
      <c r="Q36" s="663">
        <v>2.574236293616976</v>
      </c>
      <c r="R36" s="663">
        <v>153.30644884049457</v>
      </c>
      <c r="S36" s="663">
        <v>27.523160685886953</v>
      </c>
      <c r="T36" s="663">
        <v>0</v>
      </c>
      <c r="U36" s="671">
        <v>365.383798490353</v>
      </c>
    </row>
    <row r="37" spans="3:21" ht="13">
      <c r="C37" s="670" t="s">
        <v>81</v>
      </c>
      <c r="D37" s="663">
        <v>0</v>
      </c>
      <c r="E37" s="663">
        <v>0</v>
      </c>
      <c r="F37" s="663">
        <v>2.1807410006338563</v>
      </c>
      <c r="G37" s="663">
        <v>0</v>
      </c>
      <c r="H37" s="663">
        <v>15.077359159365459</v>
      </c>
      <c r="I37" s="663">
        <v>0</v>
      </c>
      <c r="J37" s="663">
        <v>0</v>
      </c>
      <c r="K37" s="663">
        <v>0</v>
      </c>
      <c r="L37" s="663">
        <v>0.41672235765550286</v>
      </c>
      <c r="M37" s="663">
        <v>4.2787984175547016E-4</v>
      </c>
      <c r="N37" s="663">
        <v>0</v>
      </c>
      <c r="O37" s="663">
        <v>9.1627681064954078</v>
      </c>
      <c r="P37" s="663">
        <v>23.435320327740932</v>
      </c>
      <c r="Q37" s="663">
        <v>0.98358432216492664</v>
      </c>
      <c r="R37" s="663">
        <v>94.082065678581444</v>
      </c>
      <c r="S37" s="663">
        <v>18.986408903805792</v>
      </c>
      <c r="T37" s="663">
        <v>0</v>
      </c>
      <c r="U37" s="671">
        <v>164.32539773628508</v>
      </c>
    </row>
    <row r="38" spans="3:21" ht="13">
      <c r="C38" s="670" t="s">
        <v>82</v>
      </c>
      <c r="D38" s="663">
        <v>0</v>
      </c>
      <c r="E38" s="663">
        <v>0</v>
      </c>
      <c r="F38" s="663">
        <v>12.977219358559188</v>
      </c>
      <c r="G38" s="663">
        <v>1</v>
      </c>
      <c r="H38" s="663">
        <v>1.1408122878946925</v>
      </c>
      <c r="I38" s="663">
        <v>0</v>
      </c>
      <c r="J38" s="663">
        <v>0</v>
      </c>
      <c r="K38" s="663">
        <v>0</v>
      </c>
      <c r="L38" s="663">
        <v>3.1334095930613137</v>
      </c>
      <c r="M38" s="663">
        <v>0</v>
      </c>
      <c r="N38" s="663">
        <v>12.27694106679661</v>
      </c>
      <c r="O38" s="663">
        <v>0.69329106884918612</v>
      </c>
      <c r="P38" s="663">
        <v>0.9</v>
      </c>
      <c r="Q38" s="663">
        <v>1.1655332190637568</v>
      </c>
      <c r="R38" s="663">
        <v>7.7417893836432903</v>
      </c>
      <c r="S38" s="663">
        <v>0</v>
      </c>
      <c r="T38" s="663">
        <v>0.29485655237537339</v>
      </c>
      <c r="U38" s="671">
        <v>41.3238525302434</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1.118304</v>
      </c>
      <c r="S39" s="663">
        <v>0</v>
      </c>
      <c r="T39" s="663">
        <v>0</v>
      </c>
      <c r="U39" s="671">
        <v>1.118304</v>
      </c>
    </row>
    <row r="40" spans="3:21" ht="13">
      <c r="C40" s="666" t="s">
        <v>83</v>
      </c>
      <c r="D40" s="667">
        <v>3.0761682303728053</v>
      </c>
      <c r="E40" s="667">
        <v>0</v>
      </c>
      <c r="F40" s="667">
        <v>135.36334305148762</v>
      </c>
      <c r="G40" s="667">
        <v>1.7006243456433674</v>
      </c>
      <c r="H40" s="675">
        <v>87.232084624392726</v>
      </c>
      <c r="I40" s="667">
        <v>0</v>
      </c>
      <c r="J40" s="667">
        <v>0</v>
      </c>
      <c r="K40" s="667">
        <v>0</v>
      </c>
      <c r="L40" s="667">
        <v>59.47787670540275</v>
      </c>
      <c r="M40" s="667">
        <v>2.4353867080264098</v>
      </c>
      <c r="N40" s="667">
        <v>77.659003066765948</v>
      </c>
      <c r="O40" s="667">
        <v>53.049208418551629</v>
      </c>
      <c r="P40" s="667">
        <v>128.43983591306872</v>
      </c>
      <c r="Q40" s="667">
        <v>4.7241037369540066</v>
      </c>
      <c r="R40" s="667">
        <v>462.55847852954759</v>
      </c>
      <c r="S40" s="667">
        <v>64.71671371436112</v>
      </c>
      <c r="T40" s="667">
        <v>7.3866191725927441</v>
      </c>
      <c r="U40" s="667">
        <v>1087.8194462171675</v>
      </c>
    </row>
    <row r="41" spans="3:21" ht="13">
      <c r="C41" s="662" t="s">
        <v>84</v>
      </c>
      <c r="D41" s="663">
        <v>0</v>
      </c>
      <c r="E41" s="663">
        <v>0</v>
      </c>
      <c r="F41" s="663">
        <v>69.168370305615824</v>
      </c>
      <c r="G41" s="663">
        <v>4.7904890791412402</v>
      </c>
      <c r="H41" s="663">
        <v>7.4756631455411453</v>
      </c>
      <c r="I41" s="663">
        <v>0</v>
      </c>
      <c r="J41" s="663">
        <v>0</v>
      </c>
      <c r="K41" s="663">
        <v>0</v>
      </c>
      <c r="L41" s="663">
        <v>0.35480318782723769</v>
      </c>
      <c r="M41" s="663">
        <v>0</v>
      </c>
      <c r="N41" s="663">
        <v>14.992643279712595</v>
      </c>
      <c r="O41" s="663">
        <v>2.3404115799640408</v>
      </c>
      <c r="P41" s="663">
        <v>0</v>
      </c>
      <c r="Q41" s="663">
        <v>0</v>
      </c>
      <c r="R41" s="663">
        <v>0</v>
      </c>
      <c r="S41" s="663">
        <v>0</v>
      </c>
      <c r="T41" s="663">
        <v>22.267864395510532</v>
      </c>
      <c r="U41" s="671">
        <v>121.39024497331262</v>
      </c>
    </row>
    <row r="42" spans="3:21" ht="13">
      <c r="C42" s="666" t="s">
        <v>85</v>
      </c>
      <c r="D42" s="667">
        <v>3.0761682303728053</v>
      </c>
      <c r="E42" s="667">
        <v>0</v>
      </c>
      <c r="F42" s="667">
        <v>204.53171335710346</v>
      </c>
      <c r="G42" s="667">
        <v>6.4911134247846078</v>
      </c>
      <c r="H42" s="675">
        <v>94.707747769933874</v>
      </c>
      <c r="I42" s="667">
        <v>0</v>
      </c>
      <c r="J42" s="667">
        <v>0</v>
      </c>
      <c r="K42" s="667">
        <v>0</v>
      </c>
      <c r="L42" s="667">
        <v>59.832679893229987</v>
      </c>
      <c r="M42" s="667">
        <v>2.4353867080264098</v>
      </c>
      <c r="N42" s="667">
        <v>92.651646346478543</v>
      </c>
      <c r="O42" s="667">
        <v>55.38961999851567</v>
      </c>
      <c r="P42" s="667">
        <v>128.43983591306872</v>
      </c>
      <c r="Q42" s="667">
        <v>4.7241037369540066</v>
      </c>
      <c r="R42" s="667">
        <v>462.55847852954759</v>
      </c>
      <c r="S42" s="667">
        <v>64.71671371436112</v>
      </c>
      <c r="T42" s="667">
        <v>29.654483568103277</v>
      </c>
      <c r="U42" s="667">
        <v>1209.20969119048</v>
      </c>
    </row>
    <row r="43" spans="3:21">
      <c r="C43" s="654"/>
      <c r="D43" s="672">
        <v>0</v>
      </c>
      <c r="E43" s="672">
        <v>0</v>
      </c>
      <c r="F43" s="672">
        <v>0</v>
      </c>
      <c r="G43" s="672">
        <v>0</v>
      </c>
      <c r="H43" s="672">
        <v>0</v>
      </c>
      <c r="I43" s="672">
        <v>0</v>
      </c>
      <c r="J43" s="672">
        <v>0</v>
      </c>
      <c r="K43" s="672">
        <v>0</v>
      </c>
      <c r="L43" s="672">
        <v>0</v>
      </c>
      <c r="M43" s="672">
        <v>0</v>
      </c>
      <c r="N43" s="672">
        <v>0</v>
      </c>
      <c r="O43" s="672">
        <v>-1.1546319456101628E-14</v>
      </c>
      <c r="P43" s="672">
        <v>0</v>
      </c>
      <c r="Q43" s="672">
        <v>0</v>
      </c>
      <c r="R43" s="672">
        <v>5.6843418860808015E-14</v>
      </c>
      <c r="S43" s="672">
        <v>0</v>
      </c>
      <c r="T43" s="672">
        <v>9.9920072216264089E-16</v>
      </c>
      <c r="U43" s="672">
        <v>0</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363</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0</v>
      </c>
      <c r="F49" s="663">
        <v>0</v>
      </c>
      <c r="G49" s="663">
        <v>0</v>
      </c>
      <c r="H49" s="663">
        <v>0</v>
      </c>
      <c r="I49" s="663">
        <v>0</v>
      </c>
      <c r="J49" s="664">
        <v>965.91438750259681</v>
      </c>
      <c r="K49" s="664">
        <v>340.77058420783555</v>
      </c>
      <c r="L49" s="664">
        <v>306.24907142960961</v>
      </c>
      <c r="M49" s="664">
        <v>26.996685887157991</v>
      </c>
      <c r="N49" s="663">
        <v>1.5769202529293118</v>
      </c>
      <c r="O49" s="663">
        <v>0.16705675062100381</v>
      </c>
      <c r="P49" s="664">
        <v>137.63232647396575</v>
      </c>
      <c r="Q49" s="664">
        <v>22.505061443653027</v>
      </c>
      <c r="R49" s="663">
        <v>0</v>
      </c>
      <c r="S49" s="663">
        <v>0</v>
      </c>
      <c r="T49" s="663">
        <v>0</v>
      </c>
      <c r="U49" s="665">
        <v>1801.812093948369</v>
      </c>
    </row>
    <row r="50" spans="3:21" ht="13">
      <c r="C50" s="662" t="s">
        <v>60</v>
      </c>
      <c r="D50" s="663">
        <v>12.402103294712147</v>
      </c>
      <c r="E50" s="663">
        <v>267.59952869557856</v>
      </c>
      <c r="F50" s="663">
        <v>4.6624671135986846</v>
      </c>
      <c r="G50" s="663">
        <v>0</v>
      </c>
      <c r="H50" s="663">
        <v>96.376212667923994</v>
      </c>
      <c r="I50" s="663">
        <v>0</v>
      </c>
      <c r="J50" s="663">
        <v>0</v>
      </c>
      <c r="K50" s="663">
        <v>0</v>
      </c>
      <c r="L50" s="663">
        <v>4.1311012816916577</v>
      </c>
      <c r="M50" s="663">
        <v>0</v>
      </c>
      <c r="N50" s="663">
        <v>4.3268221557656901</v>
      </c>
      <c r="O50" s="663">
        <v>0</v>
      </c>
      <c r="P50" s="663">
        <v>0</v>
      </c>
      <c r="Q50" s="663">
        <v>0</v>
      </c>
      <c r="R50" s="663">
        <v>0</v>
      </c>
      <c r="S50" s="663">
        <v>0</v>
      </c>
      <c r="T50" s="663">
        <v>0</v>
      </c>
      <c r="U50" s="665">
        <v>389.49823520927077</v>
      </c>
    </row>
    <row r="51" spans="3:21" ht="13">
      <c r="C51" s="662" t="s">
        <v>61</v>
      </c>
      <c r="D51" s="663">
        <v>0</v>
      </c>
      <c r="E51" s="663">
        <v>0</v>
      </c>
      <c r="F51" s="663">
        <v>-48.857560720144178</v>
      </c>
      <c r="G51" s="663">
        <v>-1.2901681691857902E-2</v>
      </c>
      <c r="H51" s="663">
        <v>0</v>
      </c>
      <c r="I51" s="663">
        <v>0</v>
      </c>
      <c r="J51" s="663">
        <v>0</v>
      </c>
      <c r="K51" s="663">
        <v>0</v>
      </c>
      <c r="L51" s="663">
        <v>0</v>
      </c>
      <c r="M51" s="663">
        <v>0</v>
      </c>
      <c r="N51" s="663">
        <v>0</v>
      </c>
      <c r="O51" s="663">
        <v>0</v>
      </c>
      <c r="P51" s="663">
        <v>0</v>
      </c>
      <c r="Q51" s="663">
        <v>0</v>
      </c>
      <c r="R51" s="663">
        <v>-40.000273468658179</v>
      </c>
      <c r="S51" s="663">
        <v>0</v>
      </c>
      <c r="T51" s="663">
        <v>0</v>
      </c>
      <c r="U51" s="665">
        <v>-88.870735870494215</v>
      </c>
    </row>
    <row r="52" spans="3:21" ht="13">
      <c r="C52" s="662" t="s">
        <v>62</v>
      </c>
      <c r="D52" s="663">
        <v>0</v>
      </c>
      <c r="E52" s="663">
        <v>0</v>
      </c>
      <c r="F52" s="663">
        <v>-9.1118704229779723</v>
      </c>
      <c r="G52" s="663">
        <v>-2.3970976911906821</v>
      </c>
      <c r="H52" s="663">
        <v>-2.3731267142787753</v>
      </c>
      <c r="I52" s="663">
        <v>0</v>
      </c>
      <c r="J52" s="663">
        <v>0</v>
      </c>
      <c r="K52" s="663">
        <v>0</v>
      </c>
      <c r="L52" s="663">
        <v>0</v>
      </c>
      <c r="M52" s="663">
        <v>0</v>
      </c>
      <c r="N52" s="663">
        <v>-0.47941953823813638</v>
      </c>
      <c r="O52" s="663">
        <v>-1.9416491298644523</v>
      </c>
      <c r="P52" s="663">
        <v>0</v>
      </c>
      <c r="Q52" s="663">
        <v>0</v>
      </c>
      <c r="R52" s="663">
        <v>0</v>
      </c>
      <c r="S52" s="663">
        <v>0</v>
      </c>
      <c r="T52" s="663">
        <v>0</v>
      </c>
      <c r="U52" s="665">
        <v>-16.30316349655002</v>
      </c>
    </row>
    <row r="53" spans="3:21" ht="13">
      <c r="C53" s="662" t="s">
        <v>63</v>
      </c>
      <c r="D53" s="663">
        <v>0</v>
      </c>
      <c r="E53" s="663">
        <v>0</v>
      </c>
      <c r="F53" s="663">
        <v>-46.962205061788246</v>
      </c>
      <c r="G53" s="663">
        <v>-11.133901046695911</v>
      </c>
      <c r="H53" s="663">
        <v>0</v>
      </c>
      <c r="I53" s="663">
        <v>0</v>
      </c>
      <c r="J53" s="663">
        <v>0</v>
      </c>
      <c r="K53" s="663">
        <v>0</v>
      </c>
      <c r="L53" s="663">
        <v>0</v>
      </c>
      <c r="M53" s="663">
        <v>0</v>
      </c>
      <c r="N53" s="663">
        <v>-14.072022489882162</v>
      </c>
      <c r="O53" s="663">
        <v>0</v>
      </c>
      <c r="P53" s="663">
        <v>0</v>
      </c>
      <c r="Q53" s="663">
        <v>0</v>
      </c>
      <c r="R53" s="663">
        <v>0</v>
      </c>
      <c r="S53" s="663">
        <v>0</v>
      </c>
      <c r="T53" s="663">
        <v>-0.66460812232862176</v>
      </c>
      <c r="U53" s="665">
        <v>-72.832736720694939</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12.402103294712147</v>
      </c>
      <c r="E55" s="667">
        <v>267.59952869557856</v>
      </c>
      <c r="F55" s="667">
        <v>-100.26916909131171</v>
      </c>
      <c r="G55" s="667">
        <v>-13.543900419578451</v>
      </c>
      <c r="H55" s="675">
        <v>94.003085953645225</v>
      </c>
      <c r="I55" s="667">
        <v>0</v>
      </c>
      <c r="J55" s="667">
        <v>965.91438750259681</v>
      </c>
      <c r="K55" s="667">
        <v>340.77058420783555</v>
      </c>
      <c r="L55" s="667">
        <v>310.38017271130127</v>
      </c>
      <c r="M55" s="667">
        <v>26.996685887157991</v>
      </c>
      <c r="N55" s="667">
        <v>-8.647699619425298</v>
      </c>
      <c r="O55" s="667">
        <v>-1.7745923792434484</v>
      </c>
      <c r="P55" s="667">
        <v>137.63232647396575</v>
      </c>
      <c r="Q55" s="667">
        <v>22.505061443653027</v>
      </c>
      <c r="R55" s="667">
        <v>-40.000273468658179</v>
      </c>
      <c r="S55" s="667">
        <v>0</v>
      </c>
      <c r="T55" s="667">
        <v>-0.66460812232862176</v>
      </c>
      <c r="U55" s="667">
        <v>2013.3036930699004</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6.6151953400033478E-2</v>
      </c>
      <c r="G58" s="663">
        <v>0</v>
      </c>
      <c r="H58" s="663">
        <v>5.4310272511854434</v>
      </c>
      <c r="I58" s="663">
        <v>0</v>
      </c>
      <c r="J58" s="663">
        <v>965.91438750259681</v>
      </c>
      <c r="K58" s="663">
        <v>340.77058420783555</v>
      </c>
      <c r="L58" s="663">
        <v>20.176267010584041</v>
      </c>
      <c r="M58" s="663">
        <v>10.227645630646329</v>
      </c>
      <c r="N58" s="663">
        <v>5.6269378379330357</v>
      </c>
      <c r="O58" s="663">
        <v>1.4716569620482758</v>
      </c>
      <c r="P58" s="663">
        <v>0</v>
      </c>
      <c r="Q58" s="663">
        <v>6.4327567473291545</v>
      </c>
      <c r="R58" s="663">
        <v>-682.09415881935547</v>
      </c>
      <c r="S58" s="663">
        <v>0</v>
      </c>
      <c r="T58" s="663">
        <v>3.1982839297450432</v>
      </c>
      <c r="U58" s="671">
        <v>677.22154021394851</v>
      </c>
    </row>
    <row r="59" spans="3:21" ht="13">
      <c r="C59" s="670" t="s">
        <v>351</v>
      </c>
      <c r="D59" s="663">
        <v>0</v>
      </c>
      <c r="E59" s="663">
        <v>0</v>
      </c>
      <c r="F59" s="663">
        <v>0</v>
      </c>
      <c r="G59" s="663">
        <v>0</v>
      </c>
      <c r="H59" s="663">
        <v>7.4585129183309293</v>
      </c>
      <c r="I59" s="663">
        <v>0</v>
      </c>
      <c r="J59" s="663">
        <v>0</v>
      </c>
      <c r="K59" s="663">
        <v>0</v>
      </c>
      <c r="L59" s="663">
        <v>35.547730315639996</v>
      </c>
      <c r="M59" s="663">
        <v>14.387113593265058</v>
      </c>
      <c r="N59" s="663">
        <v>0</v>
      </c>
      <c r="O59" s="663">
        <v>6.1169134542385972</v>
      </c>
      <c r="P59" s="663">
        <v>0</v>
      </c>
      <c r="Q59" s="663">
        <v>11.02899005085181</v>
      </c>
      <c r="R59" s="663">
        <v>0</v>
      </c>
      <c r="S59" s="663">
        <v>-69.303608577230833</v>
      </c>
      <c r="T59" s="663">
        <v>0</v>
      </c>
      <c r="U59" s="671">
        <v>5.235651755095569</v>
      </c>
    </row>
    <row r="60" spans="3:21" ht="13">
      <c r="C60" s="670" t="s">
        <v>352</v>
      </c>
      <c r="D60" s="663">
        <v>0</v>
      </c>
      <c r="E60" s="663">
        <v>0</v>
      </c>
      <c r="F60" s="663">
        <v>0</v>
      </c>
      <c r="G60" s="663">
        <v>0</v>
      </c>
      <c r="H60" s="663">
        <v>0</v>
      </c>
      <c r="I60" s="663">
        <v>0</v>
      </c>
      <c r="J60" s="663">
        <v>0</v>
      </c>
      <c r="K60" s="663">
        <v>0</v>
      </c>
      <c r="L60" s="663">
        <v>78.995354979464977</v>
      </c>
      <c r="M60" s="663">
        <v>0</v>
      </c>
      <c r="N60" s="663">
        <v>0</v>
      </c>
      <c r="O60" s="663">
        <v>-72.973515141642281</v>
      </c>
      <c r="P60" s="663">
        <v>0</v>
      </c>
      <c r="Q60" s="663">
        <v>0</v>
      </c>
      <c r="R60" s="663">
        <v>0</v>
      </c>
      <c r="S60" s="663">
        <v>0</v>
      </c>
      <c r="T60" s="663">
        <v>0</v>
      </c>
      <c r="U60" s="671">
        <v>6.0218398378226965</v>
      </c>
    </row>
    <row r="61" spans="3:21" ht="13">
      <c r="C61" s="670" t="s">
        <v>353</v>
      </c>
      <c r="D61" s="663">
        <v>0</v>
      </c>
      <c r="E61" s="663">
        <v>0</v>
      </c>
      <c r="F61" s="663">
        <v>0</v>
      </c>
      <c r="G61" s="663">
        <v>0</v>
      </c>
      <c r="H61" s="663">
        <v>0</v>
      </c>
      <c r="I61" s="663">
        <v>0</v>
      </c>
      <c r="J61" s="663">
        <v>0</v>
      </c>
      <c r="K61" s="663">
        <v>0</v>
      </c>
      <c r="L61" s="663">
        <v>0</v>
      </c>
      <c r="M61" s="663">
        <v>0</v>
      </c>
      <c r="N61" s="663">
        <v>0</v>
      </c>
      <c r="O61" s="663">
        <v>0</v>
      </c>
      <c r="P61" s="663">
        <v>0</v>
      </c>
      <c r="Q61" s="663">
        <v>0</v>
      </c>
      <c r="R61" s="663">
        <v>0</v>
      </c>
      <c r="S61" s="663">
        <v>0</v>
      </c>
      <c r="T61" s="663">
        <v>0</v>
      </c>
      <c r="U61" s="671">
        <v>0</v>
      </c>
    </row>
    <row r="62" spans="3:21" ht="13">
      <c r="C62" s="670" t="s">
        <v>72</v>
      </c>
      <c r="D62" s="663">
        <v>0</v>
      </c>
      <c r="E62" s="663">
        <v>277.28994248668886</v>
      </c>
      <c r="F62" s="663">
        <v>-274.5252708068171</v>
      </c>
      <c r="G62" s="663">
        <v>0</v>
      </c>
      <c r="H62" s="663">
        <v>0</v>
      </c>
      <c r="I62" s="663">
        <v>0</v>
      </c>
      <c r="J62" s="663">
        <v>0</v>
      </c>
      <c r="K62" s="663">
        <v>0</v>
      </c>
      <c r="L62" s="663">
        <v>0</v>
      </c>
      <c r="M62" s="663">
        <v>0</v>
      </c>
      <c r="N62" s="663">
        <v>0</v>
      </c>
      <c r="O62" s="663">
        <v>0</v>
      </c>
      <c r="P62" s="663">
        <v>0</v>
      </c>
      <c r="Q62" s="663">
        <v>0</v>
      </c>
      <c r="R62" s="663">
        <v>0</v>
      </c>
      <c r="S62" s="663">
        <v>0</v>
      </c>
      <c r="T62" s="663">
        <v>0</v>
      </c>
      <c r="U62" s="671">
        <v>2.7646716798717357</v>
      </c>
    </row>
    <row r="63" spans="3:21" ht="13">
      <c r="C63" s="670" t="s">
        <v>354</v>
      </c>
      <c r="D63" s="663">
        <v>0</v>
      </c>
      <c r="E63" s="663">
        <v>0</v>
      </c>
      <c r="F63" s="663">
        <v>0</v>
      </c>
      <c r="G63" s="663">
        <v>0</v>
      </c>
      <c r="H63" s="663">
        <v>0</v>
      </c>
      <c r="I63" s="663">
        <v>0</v>
      </c>
      <c r="J63" s="663">
        <v>0</v>
      </c>
      <c r="K63" s="663">
        <v>0</v>
      </c>
      <c r="L63" s="663">
        <v>117.50933865541684</v>
      </c>
      <c r="M63" s="663">
        <v>0</v>
      </c>
      <c r="N63" s="663">
        <v>-117.50933865541684</v>
      </c>
      <c r="O63" s="663">
        <v>0</v>
      </c>
      <c r="P63" s="663">
        <v>0</v>
      </c>
      <c r="Q63" s="663">
        <v>0</v>
      </c>
      <c r="R63" s="663">
        <v>0</v>
      </c>
      <c r="S63" s="663">
        <v>0</v>
      </c>
      <c r="T63" s="663">
        <v>0</v>
      </c>
      <c r="U63" s="671">
        <v>0</v>
      </c>
    </row>
    <row r="64" spans="3:21" ht="13">
      <c r="C64" s="670" t="s">
        <v>355</v>
      </c>
      <c r="D64" s="663">
        <v>0</v>
      </c>
      <c r="E64" s="663">
        <v>0</v>
      </c>
      <c r="F64" s="663">
        <v>0</v>
      </c>
      <c r="G64" s="663">
        <v>-21.910962558722186</v>
      </c>
      <c r="H64" s="663">
        <v>0</v>
      </c>
      <c r="I64" s="663">
        <v>0</v>
      </c>
      <c r="J64" s="663">
        <v>0</v>
      </c>
      <c r="K64" s="663">
        <v>0</v>
      </c>
      <c r="L64" s="663">
        <v>0</v>
      </c>
      <c r="M64" s="663">
        <v>0</v>
      </c>
      <c r="N64" s="663">
        <v>0</v>
      </c>
      <c r="O64" s="663">
        <v>0</v>
      </c>
      <c r="P64" s="663">
        <v>0</v>
      </c>
      <c r="Q64" s="663">
        <v>0</v>
      </c>
      <c r="R64" s="663">
        <v>0</v>
      </c>
      <c r="S64" s="663">
        <v>0</v>
      </c>
      <c r="T64" s="663">
        <v>30.516660945295527</v>
      </c>
      <c r="U64" s="671">
        <v>8.6056983865733407</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99.340394157506324</v>
      </c>
      <c r="S65" s="663">
        <v>0</v>
      </c>
      <c r="T65" s="663">
        <v>-68.048169997891833</v>
      </c>
      <c r="U65" s="671">
        <v>31.292224159614491</v>
      </c>
    </row>
    <row r="66" spans="3:21" ht="13">
      <c r="C66" s="670" t="s">
        <v>356</v>
      </c>
      <c r="D66" s="663">
        <v>6.9248988281249995</v>
      </c>
      <c r="E66" s="663">
        <v>-9.6904137911102683</v>
      </c>
      <c r="F66" s="663">
        <v>12.633678677299837</v>
      </c>
      <c r="G66" s="663">
        <v>0</v>
      </c>
      <c r="H66" s="663">
        <v>0</v>
      </c>
      <c r="I66" s="663">
        <v>0</v>
      </c>
      <c r="J66" s="663">
        <v>0</v>
      </c>
      <c r="K66" s="663">
        <v>0</v>
      </c>
      <c r="L66" s="663">
        <v>0</v>
      </c>
      <c r="M66" s="663">
        <v>0</v>
      </c>
      <c r="N66" s="663">
        <v>0</v>
      </c>
      <c r="O66" s="663">
        <v>0</v>
      </c>
      <c r="P66" s="663">
        <v>0</v>
      </c>
      <c r="Q66" s="663">
        <v>0</v>
      </c>
      <c r="R66" s="663">
        <v>0</v>
      </c>
      <c r="S66" s="663">
        <v>0</v>
      </c>
      <c r="T66" s="663">
        <v>0</v>
      </c>
      <c r="U66" s="671">
        <v>9.8681637143145693</v>
      </c>
    </row>
    <row r="67" spans="3:21" ht="13">
      <c r="C67" s="670" t="s">
        <v>75</v>
      </c>
      <c r="D67" s="663">
        <v>2.6930162109375</v>
      </c>
      <c r="E67" s="663">
        <v>0</v>
      </c>
      <c r="F67" s="663">
        <v>17.882981772477446</v>
      </c>
      <c r="G67" s="663">
        <v>0</v>
      </c>
      <c r="H67" s="663">
        <v>2.8438669910513061</v>
      </c>
      <c r="I67" s="663">
        <v>0</v>
      </c>
      <c r="J67" s="663">
        <v>0</v>
      </c>
      <c r="K67" s="663">
        <v>0</v>
      </c>
      <c r="L67" s="663">
        <v>0</v>
      </c>
      <c r="M67" s="663">
        <v>0</v>
      </c>
      <c r="N67" s="663">
        <v>0</v>
      </c>
      <c r="O67" s="663">
        <v>2.3268002654056139</v>
      </c>
      <c r="P67" s="663">
        <v>0</v>
      </c>
      <c r="Q67" s="663">
        <v>0</v>
      </c>
      <c r="R67" s="663">
        <v>23.896357926698794</v>
      </c>
      <c r="S67" s="663">
        <v>0</v>
      </c>
      <c r="T67" s="663">
        <v>0</v>
      </c>
      <c r="U67" s="671">
        <v>49.643023166570657</v>
      </c>
    </row>
    <row r="68" spans="3:21" ht="13">
      <c r="C68" s="670" t="s">
        <v>76</v>
      </c>
      <c r="D68" s="663">
        <v>0</v>
      </c>
      <c r="E68" s="663">
        <v>0</v>
      </c>
      <c r="F68" s="663">
        <v>0</v>
      </c>
      <c r="G68" s="663">
        <v>0</v>
      </c>
      <c r="H68" s="663">
        <v>1.042848686512976</v>
      </c>
      <c r="I68" s="663">
        <v>0</v>
      </c>
      <c r="J68" s="663">
        <v>0</v>
      </c>
      <c r="K68" s="663">
        <v>0</v>
      </c>
      <c r="L68" s="663">
        <v>0</v>
      </c>
      <c r="M68" s="663">
        <v>0</v>
      </c>
      <c r="N68" s="663">
        <v>0</v>
      </c>
      <c r="O68" s="663">
        <v>0.85323983441970752</v>
      </c>
      <c r="P68" s="663">
        <v>0</v>
      </c>
      <c r="Q68" s="663">
        <v>0</v>
      </c>
      <c r="R68" s="663">
        <v>49.147245311640418</v>
      </c>
      <c r="S68" s="663">
        <v>5.3750429512534854</v>
      </c>
      <c r="T68" s="663">
        <v>0</v>
      </c>
      <c r="U68" s="671">
        <v>56.418376783826595</v>
      </c>
    </row>
    <row r="69" spans="3:21" ht="13">
      <c r="C69" s="666" t="s">
        <v>77</v>
      </c>
      <c r="D69" s="667">
        <v>9.617915039062499</v>
      </c>
      <c r="E69" s="667">
        <v>267.59952869557856</v>
      </c>
      <c r="F69" s="667">
        <v>-243.94245840363976</v>
      </c>
      <c r="G69" s="667">
        <v>-21.910962558722186</v>
      </c>
      <c r="H69" s="675">
        <v>16.776255847080655</v>
      </c>
      <c r="I69" s="667">
        <v>0</v>
      </c>
      <c r="J69" s="667">
        <v>965.91438750259681</v>
      </c>
      <c r="K69" s="667">
        <v>340.77058420783555</v>
      </c>
      <c r="L69" s="667">
        <v>252.22869096110585</v>
      </c>
      <c r="M69" s="667">
        <v>24.614759223911388</v>
      </c>
      <c r="N69" s="667">
        <v>-111.8824008174838</v>
      </c>
      <c r="O69" s="667">
        <v>-62.204904625530084</v>
      </c>
      <c r="P69" s="667">
        <v>0</v>
      </c>
      <c r="Q69" s="667">
        <v>17.461746798180965</v>
      </c>
      <c r="R69" s="667">
        <v>-509.71016142350987</v>
      </c>
      <c r="S69" s="667">
        <v>-63.928565625977342</v>
      </c>
      <c r="T69" s="667">
        <v>-34.33322512285126</v>
      </c>
      <c r="U69" s="667">
        <v>847.07118969763815</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2.7841882556496467</v>
      </c>
      <c r="E71" s="663">
        <v>0</v>
      </c>
      <c r="F71" s="663">
        <v>5.1952563518908157</v>
      </c>
      <c r="G71" s="663">
        <v>0</v>
      </c>
      <c r="H71" s="663">
        <v>31.335146641416099</v>
      </c>
      <c r="I71" s="663">
        <v>0</v>
      </c>
      <c r="J71" s="663">
        <v>0</v>
      </c>
      <c r="K71" s="663">
        <v>0</v>
      </c>
      <c r="L71" s="663">
        <v>19.866368456853682</v>
      </c>
      <c r="M71" s="663">
        <v>2.3815254498716123</v>
      </c>
      <c r="N71" s="663">
        <v>2.1415231567382813</v>
      </c>
      <c r="O71" s="663">
        <v>25.676510059650784</v>
      </c>
      <c r="P71" s="663">
        <v>7.6335380859375004</v>
      </c>
      <c r="Q71" s="663">
        <v>7.8820466826144567E-4</v>
      </c>
      <c r="R71" s="663">
        <v>133.1889583814887</v>
      </c>
      <c r="S71" s="663">
        <v>18.276712147761906</v>
      </c>
      <c r="T71" s="663">
        <v>4.7382089843750004</v>
      </c>
      <c r="U71" s="671">
        <v>253.21872417630229</v>
      </c>
    </row>
    <row r="72" spans="3:21" ht="13">
      <c r="C72" s="670" t="s">
        <v>79</v>
      </c>
      <c r="D72" s="663">
        <v>0</v>
      </c>
      <c r="E72" s="663">
        <v>0</v>
      </c>
      <c r="F72" s="663">
        <v>62.42121803575882</v>
      </c>
      <c r="G72" s="663">
        <v>0.9171283606012931</v>
      </c>
      <c r="H72" s="663">
        <v>3.2777834936114583</v>
      </c>
      <c r="I72" s="663">
        <v>0</v>
      </c>
      <c r="J72" s="663">
        <v>0</v>
      </c>
      <c r="K72" s="663">
        <v>0</v>
      </c>
      <c r="L72" s="663">
        <v>0</v>
      </c>
      <c r="M72" s="663">
        <v>0</v>
      </c>
      <c r="N72" s="663">
        <v>70.675893572317364</v>
      </c>
      <c r="O72" s="663">
        <v>2.6818228584093751</v>
      </c>
      <c r="P72" s="663">
        <v>0</v>
      </c>
      <c r="Q72" s="663">
        <v>0</v>
      </c>
      <c r="R72" s="663">
        <v>85.601807225833156</v>
      </c>
      <c r="S72" s="663">
        <v>0</v>
      </c>
      <c r="T72" s="663">
        <v>3.5812873698124483</v>
      </c>
      <c r="U72" s="671">
        <v>229.15694091634393</v>
      </c>
    </row>
    <row r="73" spans="3:21" ht="13">
      <c r="C73" s="670" t="s">
        <v>80</v>
      </c>
      <c r="D73" s="663">
        <v>0</v>
      </c>
      <c r="E73" s="663">
        <v>0</v>
      </c>
      <c r="F73" s="663">
        <v>2.2535083725168867</v>
      </c>
      <c r="G73" s="663">
        <v>0</v>
      </c>
      <c r="H73" s="663">
        <v>22.547534156690407</v>
      </c>
      <c r="I73" s="663">
        <v>0</v>
      </c>
      <c r="J73" s="663">
        <v>0</v>
      </c>
      <c r="K73" s="663">
        <v>0</v>
      </c>
      <c r="L73" s="663">
        <v>34.097641504490639</v>
      </c>
      <c r="M73" s="663">
        <v>0</v>
      </c>
      <c r="N73" s="663">
        <v>0</v>
      </c>
      <c r="O73" s="663">
        <v>18.447982491837607</v>
      </c>
      <c r="P73" s="663">
        <v>103.59461616627088</v>
      </c>
      <c r="Q73" s="663">
        <v>2.7285855468891569</v>
      </c>
      <c r="R73" s="663">
        <v>149.5228289340921</v>
      </c>
      <c r="S73" s="663">
        <v>26.593767108522837</v>
      </c>
      <c r="T73" s="663">
        <v>0</v>
      </c>
      <c r="U73" s="671">
        <v>359.78646428131054</v>
      </c>
    </row>
    <row r="74" spans="3:21" ht="13">
      <c r="C74" s="670" t="s">
        <v>81</v>
      </c>
      <c r="D74" s="663">
        <v>0</v>
      </c>
      <c r="E74" s="663">
        <v>0</v>
      </c>
      <c r="F74" s="663">
        <v>1.3399462790047187</v>
      </c>
      <c r="G74" s="663">
        <v>0</v>
      </c>
      <c r="H74" s="663">
        <v>12.344523773070179</v>
      </c>
      <c r="I74" s="663">
        <v>0</v>
      </c>
      <c r="J74" s="663">
        <v>0</v>
      </c>
      <c r="K74" s="663">
        <v>0</v>
      </c>
      <c r="L74" s="663">
        <v>0.40515733033320123</v>
      </c>
      <c r="M74" s="663">
        <v>4.0121337498856221E-4</v>
      </c>
      <c r="N74" s="663">
        <v>0</v>
      </c>
      <c r="O74" s="663">
        <v>10.100064905239238</v>
      </c>
      <c r="P74" s="663">
        <v>25.404172221757367</v>
      </c>
      <c r="Q74" s="663">
        <v>1.0133205125094877</v>
      </c>
      <c r="R74" s="663">
        <v>92.228183694440688</v>
      </c>
      <c r="S74" s="663">
        <v>19.0580863696926</v>
      </c>
      <c r="T74" s="663">
        <v>0</v>
      </c>
      <c r="U74" s="671">
        <v>161.89385629942248</v>
      </c>
    </row>
    <row r="75" spans="3:21" ht="13">
      <c r="C75" s="670" t="s">
        <v>82</v>
      </c>
      <c r="D75" s="663">
        <v>0</v>
      </c>
      <c r="E75" s="663">
        <v>0</v>
      </c>
      <c r="F75" s="663">
        <v>9.0097391312566604</v>
      </c>
      <c r="G75" s="663">
        <v>1.6</v>
      </c>
      <c r="H75" s="663">
        <v>0.98973128577551672</v>
      </c>
      <c r="I75" s="663">
        <v>0</v>
      </c>
      <c r="J75" s="663">
        <v>0</v>
      </c>
      <c r="K75" s="663">
        <v>0</v>
      </c>
      <c r="L75" s="663">
        <v>3.3736621545342089</v>
      </c>
      <c r="M75" s="663">
        <v>0</v>
      </c>
      <c r="N75" s="663">
        <v>14.289145060057182</v>
      </c>
      <c r="O75" s="663">
        <v>0.80978014290724099</v>
      </c>
      <c r="P75" s="663">
        <v>1</v>
      </c>
      <c r="Q75" s="663">
        <v>1.300620381405156</v>
      </c>
      <c r="R75" s="663">
        <v>7.76122971899715</v>
      </c>
      <c r="S75" s="663">
        <v>0</v>
      </c>
      <c r="T75" s="663">
        <v>0.325155095351289</v>
      </c>
      <c r="U75" s="671">
        <v>40.459062970284407</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1.4068800000000001</v>
      </c>
      <c r="S76" s="663">
        <v>0</v>
      </c>
      <c r="T76" s="663">
        <v>0</v>
      </c>
      <c r="U76" s="671">
        <v>1.4068800000000001</v>
      </c>
    </row>
    <row r="77" spans="3:21" ht="13">
      <c r="C77" s="666" t="s">
        <v>83</v>
      </c>
      <c r="D77" s="667">
        <v>2.7841882556496467</v>
      </c>
      <c r="E77" s="667">
        <v>0</v>
      </c>
      <c r="F77" s="667">
        <v>80.219668170427894</v>
      </c>
      <c r="G77" s="667">
        <v>2.5171283606012933</v>
      </c>
      <c r="H77" s="675">
        <v>70.494719350563656</v>
      </c>
      <c r="I77" s="667">
        <v>0</v>
      </c>
      <c r="J77" s="667">
        <v>0</v>
      </c>
      <c r="K77" s="667">
        <v>0</v>
      </c>
      <c r="L77" s="667">
        <v>57.742829446211736</v>
      </c>
      <c r="M77" s="667">
        <v>2.3819266632466007</v>
      </c>
      <c r="N77" s="667">
        <v>87.106561789112831</v>
      </c>
      <c r="O77" s="667">
        <v>57.71616045804425</v>
      </c>
      <c r="P77" s="667">
        <v>137.63232647396575</v>
      </c>
      <c r="Q77" s="667">
        <v>5.0433146454720621</v>
      </c>
      <c r="R77" s="667">
        <v>469.70988795485181</v>
      </c>
      <c r="S77" s="667">
        <v>63.928565625977342</v>
      </c>
      <c r="T77" s="667">
        <v>8.6446514495387365</v>
      </c>
      <c r="U77" s="667">
        <v>1045.9219286436637</v>
      </c>
    </row>
    <row r="78" spans="3:21" ht="13">
      <c r="C78" s="662" t="s">
        <v>84</v>
      </c>
      <c r="D78" s="663">
        <v>0</v>
      </c>
      <c r="E78" s="663">
        <v>0</v>
      </c>
      <c r="F78" s="663">
        <v>63.453621141900157</v>
      </c>
      <c r="G78" s="663">
        <v>5.849933778542443</v>
      </c>
      <c r="H78" s="663">
        <v>6.7321107560009157</v>
      </c>
      <c r="I78" s="663">
        <v>0</v>
      </c>
      <c r="J78" s="663">
        <v>0</v>
      </c>
      <c r="K78" s="663">
        <v>0</v>
      </c>
      <c r="L78" s="663">
        <v>0.4086523039836884</v>
      </c>
      <c r="M78" s="663">
        <v>0</v>
      </c>
      <c r="N78" s="663">
        <v>16.128139408945682</v>
      </c>
      <c r="O78" s="663">
        <v>2.7141517882424018</v>
      </c>
      <c r="P78" s="663">
        <v>0</v>
      </c>
      <c r="Q78" s="663">
        <v>0</v>
      </c>
      <c r="R78" s="663">
        <v>0</v>
      </c>
      <c r="S78" s="663">
        <v>0</v>
      </c>
      <c r="T78" s="663">
        <v>25.023965550983899</v>
      </c>
      <c r="U78" s="671">
        <v>120.31057472859921</v>
      </c>
    </row>
    <row r="79" spans="3:21" ht="13">
      <c r="C79" s="666" t="s">
        <v>85</v>
      </c>
      <c r="D79" s="667">
        <v>2.7841882556496467</v>
      </c>
      <c r="E79" s="667">
        <v>0</v>
      </c>
      <c r="F79" s="667">
        <v>143.67328931232805</v>
      </c>
      <c r="G79" s="667">
        <v>8.3670621391437372</v>
      </c>
      <c r="H79" s="675">
        <v>77.226830106564577</v>
      </c>
      <c r="I79" s="667">
        <v>0</v>
      </c>
      <c r="J79" s="667">
        <v>0</v>
      </c>
      <c r="K79" s="667">
        <v>0</v>
      </c>
      <c r="L79" s="667">
        <v>58.151481750195423</v>
      </c>
      <c r="M79" s="667">
        <v>2.3819266632466007</v>
      </c>
      <c r="N79" s="667">
        <v>103.23470119805852</v>
      </c>
      <c r="O79" s="667">
        <v>60.430312246286654</v>
      </c>
      <c r="P79" s="667">
        <v>137.63232647396575</v>
      </c>
      <c r="Q79" s="667">
        <v>5.0433146454720621</v>
      </c>
      <c r="R79" s="667">
        <v>469.70988795485181</v>
      </c>
      <c r="S79" s="667">
        <v>63.928565625977342</v>
      </c>
      <c r="T79" s="667">
        <v>33.668617000522637</v>
      </c>
      <c r="U79" s="667">
        <v>1166.2325033722627</v>
      </c>
    </row>
    <row r="80" spans="3:21">
      <c r="C80" s="654"/>
      <c r="D80" s="672">
        <v>0</v>
      </c>
      <c r="E80" s="672">
        <v>0</v>
      </c>
      <c r="F80" s="672">
        <v>0</v>
      </c>
      <c r="G80" s="672">
        <v>0</v>
      </c>
      <c r="H80" s="672">
        <v>0</v>
      </c>
      <c r="I80" s="672">
        <v>0</v>
      </c>
      <c r="J80" s="672">
        <v>0</v>
      </c>
      <c r="K80" s="672">
        <v>0</v>
      </c>
      <c r="L80" s="672">
        <v>0</v>
      </c>
      <c r="M80" s="672">
        <v>0</v>
      </c>
      <c r="N80" s="672">
        <v>1.5987211554602254E-14</v>
      </c>
      <c r="O80" s="672">
        <v>1.865174681370263E-14</v>
      </c>
      <c r="P80" s="672">
        <v>0</v>
      </c>
      <c r="Q80" s="672">
        <v>0</v>
      </c>
      <c r="R80" s="672">
        <v>1.1368683772161603E-13</v>
      </c>
      <c r="S80" s="672">
        <v>0</v>
      </c>
      <c r="T80" s="672">
        <v>-1.3322676295501878E-15</v>
      </c>
      <c r="U80" s="672">
        <v>0</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523</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0</v>
      </c>
      <c r="F86" s="663">
        <v>0</v>
      </c>
      <c r="G86" s="663">
        <v>0</v>
      </c>
      <c r="H86" s="663">
        <v>0</v>
      </c>
      <c r="I86" s="663">
        <v>0</v>
      </c>
      <c r="J86" s="664">
        <v>887.88984586571985</v>
      </c>
      <c r="K86" s="664">
        <v>396.24410449971316</v>
      </c>
      <c r="L86" s="664">
        <v>299.20080257603973</v>
      </c>
      <c r="M86" s="664">
        <v>23.973968003405336</v>
      </c>
      <c r="N86" s="663">
        <v>1.638642873490971</v>
      </c>
      <c r="O86" s="663">
        <v>0.1692153726460352</v>
      </c>
      <c r="P86" s="664">
        <v>148.52009865212395</v>
      </c>
      <c r="Q86" s="664">
        <v>23.099478079825218</v>
      </c>
      <c r="R86" s="663">
        <v>0</v>
      </c>
      <c r="S86" s="663">
        <v>0</v>
      </c>
      <c r="T86" s="663">
        <v>0</v>
      </c>
      <c r="U86" s="665">
        <v>1780.7361559229641</v>
      </c>
    </row>
    <row r="87" spans="3:21" ht="13">
      <c r="C87" s="662" t="s">
        <v>60</v>
      </c>
      <c r="D87" s="663">
        <v>10.379280707598515</v>
      </c>
      <c r="E87" s="663">
        <v>221.43377158510449</v>
      </c>
      <c r="F87" s="663">
        <v>3.6404081450569747</v>
      </c>
      <c r="G87" s="663">
        <v>0</v>
      </c>
      <c r="H87" s="663">
        <v>71.351673113669463</v>
      </c>
      <c r="I87" s="663">
        <v>0</v>
      </c>
      <c r="J87" s="663">
        <v>0</v>
      </c>
      <c r="K87" s="663">
        <v>0</v>
      </c>
      <c r="L87" s="663">
        <v>4.5400000946661896</v>
      </c>
      <c r="M87" s="663">
        <v>0</v>
      </c>
      <c r="N87" s="663">
        <v>4.7355769449703358</v>
      </c>
      <c r="O87" s="663">
        <v>0</v>
      </c>
      <c r="P87" s="663">
        <v>0</v>
      </c>
      <c r="Q87" s="663">
        <v>0</v>
      </c>
      <c r="R87" s="663">
        <v>0</v>
      </c>
      <c r="S87" s="663">
        <v>0</v>
      </c>
      <c r="T87" s="663">
        <v>0</v>
      </c>
      <c r="U87" s="665">
        <v>316.08071059106601</v>
      </c>
    </row>
    <row r="88" spans="3:21" ht="13">
      <c r="C88" s="662" t="s">
        <v>61</v>
      </c>
      <c r="D88" s="663">
        <v>0</v>
      </c>
      <c r="E88" s="663">
        <v>0</v>
      </c>
      <c r="F88" s="663">
        <v>-61.117649142160822</v>
      </c>
      <c r="G88" s="663">
        <v>0</v>
      </c>
      <c r="H88" s="663">
        <v>0</v>
      </c>
      <c r="I88" s="663">
        <v>0</v>
      </c>
      <c r="J88" s="663">
        <v>0</v>
      </c>
      <c r="K88" s="663">
        <v>0</v>
      </c>
      <c r="L88" s="663">
        <v>0</v>
      </c>
      <c r="M88" s="663">
        <v>0</v>
      </c>
      <c r="N88" s="663">
        <v>0</v>
      </c>
      <c r="O88" s="663">
        <v>0</v>
      </c>
      <c r="P88" s="663">
        <v>0</v>
      </c>
      <c r="Q88" s="663">
        <v>0</v>
      </c>
      <c r="R88" s="663">
        <v>-39.114049370458702</v>
      </c>
      <c r="S88" s="663">
        <v>0</v>
      </c>
      <c r="T88" s="663">
        <v>0</v>
      </c>
      <c r="U88" s="665">
        <v>-100.23169851261953</v>
      </c>
    </row>
    <row r="89" spans="3:21" ht="13">
      <c r="C89" s="662" t="s">
        <v>62</v>
      </c>
      <c r="D89" s="663">
        <v>0</v>
      </c>
      <c r="E89" s="663">
        <v>0</v>
      </c>
      <c r="F89" s="663">
        <v>-6.8572519407668047</v>
      </c>
      <c r="G89" s="663">
        <v>-2.9115063458369059</v>
      </c>
      <c r="H89" s="663">
        <v>-4.556210213526227</v>
      </c>
      <c r="I89" s="663">
        <v>-6.0214231896822394E-2</v>
      </c>
      <c r="J89" s="663">
        <v>0</v>
      </c>
      <c r="K89" s="663">
        <v>0</v>
      </c>
      <c r="L89" s="663">
        <v>0</v>
      </c>
      <c r="M89" s="663">
        <v>0</v>
      </c>
      <c r="N89" s="663">
        <v>-0.36156496915270087</v>
      </c>
      <c r="O89" s="663">
        <v>-5.4192808707140152</v>
      </c>
      <c r="P89" s="663">
        <v>0</v>
      </c>
      <c r="Q89" s="663">
        <v>0</v>
      </c>
      <c r="R89" s="663">
        <v>0</v>
      </c>
      <c r="S89" s="663">
        <v>0</v>
      </c>
      <c r="T89" s="663">
        <v>0</v>
      </c>
      <c r="U89" s="665">
        <v>-20.166028571893477</v>
      </c>
    </row>
    <row r="90" spans="3:21" ht="13">
      <c r="C90" s="662" t="s">
        <v>63</v>
      </c>
      <c r="D90" s="663">
        <v>0</v>
      </c>
      <c r="E90" s="663">
        <v>0</v>
      </c>
      <c r="F90" s="663">
        <v>-41.932075648688581</v>
      </c>
      <c r="G90" s="663">
        <v>-12.789597363010756</v>
      </c>
      <c r="H90" s="663">
        <v>0</v>
      </c>
      <c r="I90" s="663">
        <v>0</v>
      </c>
      <c r="J90" s="663">
        <v>0</v>
      </c>
      <c r="K90" s="663">
        <v>0</v>
      </c>
      <c r="L90" s="663">
        <v>0</v>
      </c>
      <c r="M90" s="663">
        <v>0</v>
      </c>
      <c r="N90" s="663">
        <v>-13.964845940285258</v>
      </c>
      <c r="O90" s="663">
        <v>0</v>
      </c>
      <c r="P90" s="663">
        <v>0</v>
      </c>
      <c r="Q90" s="663">
        <v>0</v>
      </c>
      <c r="R90" s="663">
        <v>0</v>
      </c>
      <c r="S90" s="663">
        <v>0</v>
      </c>
      <c r="T90" s="663">
        <v>-1.1030439884832439</v>
      </c>
      <c r="U90" s="665">
        <v>-69.789562940467846</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10.379280707598515</v>
      </c>
      <c r="E92" s="667">
        <v>221.43377158510449</v>
      </c>
      <c r="F92" s="667">
        <v>-106.26656858655923</v>
      </c>
      <c r="G92" s="667">
        <v>-15.701103708847661</v>
      </c>
      <c r="H92" s="675">
        <v>66.795462900143235</v>
      </c>
      <c r="I92" s="667">
        <v>-6.0214231896822394E-2</v>
      </c>
      <c r="J92" s="667">
        <v>887.88984586571985</v>
      </c>
      <c r="K92" s="667">
        <v>396.24410449971316</v>
      </c>
      <c r="L92" s="667">
        <v>303.74080267070593</v>
      </c>
      <c r="M92" s="667">
        <v>23.973968003405336</v>
      </c>
      <c r="N92" s="667">
        <v>-7.952191090976652</v>
      </c>
      <c r="O92" s="667">
        <v>-5.25006549806798</v>
      </c>
      <c r="P92" s="667">
        <v>148.52009865212395</v>
      </c>
      <c r="Q92" s="667">
        <v>23.099478079825218</v>
      </c>
      <c r="R92" s="667">
        <v>-39.114049370458702</v>
      </c>
      <c r="S92" s="667">
        <v>0</v>
      </c>
      <c r="T92" s="667">
        <v>-1.1030439884832439</v>
      </c>
      <c r="U92" s="667">
        <v>1906.629576489049</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2.6460781360013397E-2</v>
      </c>
      <c r="G95" s="663">
        <v>0</v>
      </c>
      <c r="H95" s="663">
        <v>2.1444399446740805</v>
      </c>
      <c r="I95" s="663">
        <v>0</v>
      </c>
      <c r="J95" s="663">
        <v>887.88984586571985</v>
      </c>
      <c r="K95" s="663">
        <v>396.24410449971316</v>
      </c>
      <c r="L95" s="663">
        <v>15.085804984191999</v>
      </c>
      <c r="M95" s="663">
        <v>7.2357180176402842</v>
      </c>
      <c r="N95" s="663">
        <v>6.0578717375904887</v>
      </c>
      <c r="O95" s="663">
        <v>0.6501857288144991</v>
      </c>
      <c r="P95" s="663">
        <v>0</v>
      </c>
      <c r="Q95" s="663">
        <v>6.4590957564387725</v>
      </c>
      <c r="R95" s="663">
        <v>-708.99943776638747</v>
      </c>
      <c r="S95" s="663">
        <v>0</v>
      </c>
      <c r="T95" s="663">
        <v>8.0586922417708831</v>
      </c>
      <c r="U95" s="671">
        <v>620.85278179152624</v>
      </c>
    </row>
    <row r="96" spans="3:21" ht="13">
      <c r="C96" s="670" t="s">
        <v>351</v>
      </c>
      <c r="D96" s="663">
        <v>0</v>
      </c>
      <c r="E96" s="663">
        <v>0</v>
      </c>
      <c r="F96" s="663">
        <v>0</v>
      </c>
      <c r="G96" s="663">
        <v>0</v>
      </c>
      <c r="H96" s="663">
        <v>4.7815870319860325</v>
      </c>
      <c r="I96" s="663">
        <v>0</v>
      </c>
      <c r="J96" s="663">
        <v>0</v>
      </c>
      <c r="K96" s="663">
        <v>0</v>
      </c>
      <c r="L96" s="663">
        <v>35.214664152844563</v>
      </c>
      <c r="M96" s="663">
        <v>14.445160723039894</v>
      </c>
      <c r="N96" s="663">
        <v>0</v>
      </c>
      <c r="O96" s="663">
        <v>7.1872449307268287</v>
      </c>
      <c r="P96" s="663">
        <v>0</v>
      </c>
      <c r="Q96" s="663">
        <v>11.182341089352812</v>
      </c>
      <c r="R96" s="663">
        <v>0</v>
      </c>
      <c r="S96" s="663">
        <v>-68.236033723831326</v>
      </c>
      <c r="T96" s="663">
        <v>0</v>
      </c>
      <c r="U96" s="671">
        <v>4.574964204118805</v>
      </c>
    </row>
    <row r="97" spans="3:21" ht="13">
      <c r="C97" s="670" t="s">
        <v>352</v>
      </c>
      <c r="D97" s="663">
        <v>0</v>
      </c>
      <c r="E97" s="663">
        <v>0</v>
      </c>
      <c r="F97" s="663">
        <v>0</v>
      </c>
      <c r="G97" s="663">
        <v>0</v>
      </c>
      <c r="H97" s="663">
        <v>0</v>
      </c>
      <c r="I97" s="663">
        <v>0</v>
      </c>
      <c r="J97" s="663">
        <v>0</v>
      </c>
      <c r="K97" s="663">
        <v>0</v>
      </c>
      <c r="L97" s="663">
        <v>86.658949605448655</v>
      </c>
      <c r="M97" s="663">
        <v>0</v>
      </c>
      <c r="N97" s="663">
        <v>0</v>
      </c>
      <c r="O97" s="663">
        <v>-81.004566256753222</v>
      </c>
      <c r="P97" s="663">
        <v>0</v>
      </c>
      <c r="Q97" s="663">
        <v>0</v>
      </c>
      <c r="R97" s="663">
        <v>0</v>
      </c>
      <c r="S97" s="663">
        <v>0</v>
      </c>
      <c r="T97" s="663">
        <v>0</v>
      </c>
      <c r="U97" s="671">
        <v>5.6543833486954327</v>
      </c>
    </row>
    <row r="98" spans="3:21" ht="13">
      <c r="C98" s="670" t="s">
        <v>353</v>
      </c>
      <c r="D98" s="663">
        <v>0</v>
      </c>
      <c r="E98" s="663">
        <v>0</v>
      </c>
      <c r="F98" s="663">
        <v>0</v>
      </c>
      <c r="G98" s="663">
        <v>0</v>
      </c>
      <c r="H98" s="663">
        <v>0</v>
      </c>
      <c r="I98" s="663">
        <v>-0.77766156720631052</v>
      </c>
      <c r="J98" s="663">
        <v>0</v>
      </c>
      <c r="K98" s="663">
        <v>0</v>
      </c>
      <c r="L98" s="663">
        <v>0</v>
      </c>
      <c r="M98" s="663">
        <v>0</v>
      </c>
      <c r="N98" s="663">
        <v>0</v>
      </c>
      <c r="O98" s="663">
        <v>0</v>
      </c>
      <c r="P98" s="663">
        <v>0</v>
      </c>
      <c r="Q98" s="663">
        <v>0</v>
      </c>
      <c r="R98" s="663">
        <v>0</v>
      </c>
      <c r="S98" s="663">
        <v>0</v>
      </c>
      <c r="T98" s="663">
        <v>1.0822986785331616</v>
      </c>
      <c r="U98" s="671">
        <v>0.30463711132685112</v>
      </c>
    </row>
    <row r="99" spans="3:21" ht="13">
      <c r="C99" s="670" t="s">
        <v>72</v>
      </c>
      <c r="D99" s="663">
        <v>0</v>
      </c>
      <c r="E99" s="663">
        <v>229.44376619610998</v>
      </c>
      <c r="F99" s="663">
        <v>-227.15530245315296</v>
      </c>
      <c r="G99" s="663">
        <v>0</v>
      </c>
      <c r="H99" s="663">
        <v>0</v>
      </c>
      <c r="I99" s="663">
        <v>0</v>
      </c>
      <c r="J99" s="663">
        <v>0</v>
      </c>
      <c r="K99" s="663">
        <v>0</v>
      </c>
      <c r="L99" s="663">
        <v>0</v>
      </c>
      <c r="M99" s="663">
        <v>0</v>
      </c>
      <c r="N99" s="663">
        <v>0</v>
      </c>
      <c r="O99" s="663">
        <v>0</v>
      </c>
      <c r="P99" s="663">
        <v>0</v>
      </c>
      <c r="Q99" s="663">
        <v>0</v>
      </c>
      <c r="R99" s="663">
        <v>0</v>
      </c>
      <c r="S99" s="663">
        <v>0</v>
      </c>
      <c r="T99" s="663">
        <v>0</v>
      </c>
      <c r="U99" s="671">
        <v>2.2884637429570258</v>
      </c>
    </row>
    <row r="100" spans="3:21" ht="13">
      <c r="C100" s="670" t="s">
        <v>354</v>
      </c>
      <c r="D100" s="663">
        <v>0</v>
      </c>
      <c r="E100" s="663">
        <v>0</v>
      </c>
      <c r="F100" s="663">
        <v>0</v>
      </c>
      <c r="G100" s="663">
        <v>0</v>
      </c>
      <c r="H100" s="663">
        <v>0</v>
      </c>
      <c r="I100" s="663">
        <v>0</v>
      </c>
      <c r="J100" s="663">
        <v>0</v>
      </c>
      <c r="K100" s="663">
        <v>0</v>
      </c>
      <c r="L100" s="663">
        <v>110.37341937246062</v>
      </c>
      <c r="M100" s="663">
        <v>0</v>
      </c>
      <c r="N100" s="663">
        <v>-110.37341937246062</v>
      </c>
      <c r="O100" s="663">
        <v>0</v>
      </c>
      <c r="P100" s="663">
        <v>0</v>
      </c>
      <c r="Q100" s="663">
        <v>0</v>
      </c>
      <c r="R100" s="663">
        <v>0</v>
      </c>
      <c r="S100" s="663">
        <v>0</v>
      </c>
      <c r="T100" s="663">
        <v>0</v>
      </c>
      <c r="U100" s="671">
        <v>0</v>
      </c>
    </row>
    <row r="101" spans="3:21" ht="13">
      <c r="C101" s="670" t="s">
        <v>355</v>
      </c>
      <c r="D101" s="663">
        <v>0</v>
      </c>
      <c r="E101" s="663">
        <v>0</v>
      </c>
      <c r="F101" s="663">
        <v>0</v>
      </c>
      <c r="G101" s="663">
        <v>-25.838308158403624</v>
      </c>
      <c r="H101" s="663">
        <v>0</v>
      </c>
      <c r="I101" s="663">
        <v>0</v>
      </c>
      <c r="J101" s="663">
        <v>0</v>
      </c>
      <c r="K101" s="663">
        <v>0</v>
      </c>
      <c r="L101" s="663">
        <v>0</v>
      </c>
      <c r="M101" s="663">
        <v>0</v>
      </c>
      <c r="N101" s="663">
        <v>0</v>
      </c>
      <c r="O101" s="663">
        <v>0</v>
      </c>
      <c r="P101" s="663">
        <v>0</v>
      </c>
      <c r="Q101" s="663">
        <v>0</v>
      </c>
      <c r="R101" s="663">
        <v>0</v>
      </c>
      <c r="S101" s="663">
        <v>0</v>
      </c>
      <c r="T101" s="663">
        <v>35.986501613375523</v>
      </c>
      <c r="U101" s="671">
        <v>10.148193454971899</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122.6947271556845</v>
      </c>
      <c r="S102" s="663">
        <v>0</v>
      </c>
      <c r="T102" s="663">
        <v>-85.334182736778573</v>
      </c>
      <c r="U102" s="671">
        <v>37.360544418905931</v>
      </c>
    </row>
    <row r="103" spans="3:21" ht="13">
      <c r="C103" s="670" t="s">
        <v>356</v>
      </c>
      <c r="D103" s="663">
        <v>5.7430949414062491</v>
      </c>
      <c r="E103" s="663">
        <v>-8.0099946110054798</v>
      </c>
      <c r="F103" s="663">
        <v>10.446968779828495</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8.1800691102292635</v>
      </c>
    </row>
    <row r="104" spans="3:21" ht="13">
      <c r="C104" s="670" t="s">
        <v>75</v>
      </c>
      <c r="D104" s="663">
        <v>2.2334258105468749</v>
      </c>
      <c r="E104" s="663">
        <v>0</v>
      </c>
      <c r="F104" s="663">
        <v>17.43246590348684</v>
      </c>
      <c r="G104" s="663">
        <v>0</v>
      </c>
      <c r="H104" s="663">
        <v>2.2924587532620087</v>
      </c>
      <c r="I104" s="663">
        <v>3.0296811717119062E-2</v>
      </c>
      <c r="J104" s="663">
        <v>0</v>
      </c>
      <c r="K104" s="663">
        <v>0</v>
      </c>
      <c r="L104" s="663">
        <v>0</v>
      </c>
      <c r="M104" s="663">
        <v>0</v>
      </c>
      <c r="N104" s="663">
        <v>0</v>
      </c>
      <c r="O104" s="663">
        <v>2.7267130545407157</v>
      </c>
      <c r="P104" s="663">
        <v>0</v>
      </c>
      <c r="Q104" s="663">
        <v>0</v>
      </c>
      <c r="R104" s="663">
        <v>21.822235808041572</v>
      </c>
      <c r="S104" s="663">
        <v>0</v>
      </c>
      <c r="T104" s="663">
        <v>0</v>
      </c>
      <c r="U104" s="671">
        <v>46.537596141595124</v>
      </c>
    </row>
    <row r="105" spans="3:21" ht="13">
      <c r="C105" s="670" t="s">
        <v>76</v>
      </c>
      <c r="D105" s="663">
        <v>0</v>
      </c>
      <c r="E105" s="663">
        <v>0</v>
      </c>
      <c r="F105" s="663">
        <v>0</v>
      </c>
      <c r="G105" s="663">
        <v>0</v>
      </c>
      <c r="H105" s="663">
        <v>0.77652722768993077</v>
      </c>
      <c r="I105" s="663">
        <v>1.0262474374756796E-2</v>
      </c>
      <c r="J105" s="663">
        <v>0</v>
      </c>
      <c r="K105" s="663">
        <v>0</v>
      </c>
      <c r="L105" s="663">
        <v>0</v>
      </c>
      <c r="M105" s="663">
        <v>0</v>
      </c>
      <c r="N105" s="663">
        <v>0</v>
      </c>
      <c r="O105" s="663">
        <v>0.92362269372811168</v>
      </c>
      <c r="P105" s="663">
        <v>0</v>
      </c>
      <c r="Q105" s="663">
        <v>0</v>
      </c>
      <c r="R105" s="663">
        <v>51.265258018349606</v>
      </c>
      <c r="S105" s="663">
        <v>5.2924074535934169</v>
      </c>
      <c r="T105" s="663">
        <v>0</v>
      </c>
      <c r="U105" s="671">
        <v>58.268077867735826</v>
      </c>
    </row>
    <row r="106" spans="3:21" ht="13">
      <c r="C106" s="666" t="s">
        <v>77</v>
      </c>
      <c r="D106" s="667">
        <v>7.9765207519531245</v>
      </c>
      <c r="E106" s="667">
        <v>221.43377158510449</v>
      </c>
      <c r="F106" s="667">
        <v>-199.24940698847763</v>
      </c>
      <c r="G106" s="667">
        <v>-25.838308158403624</v>
      </c>
      <c r="H106" s="675">
        <v>9.9950129576120528</v>
      </c>
      <c r="I106" s="667">
        <v>-0.73710228111443465</v>
      </c>
      <c r="J106" s="667">
        <v>887.88984586571985</v>
      </c>
      <c r="K106" s="667">
        <v>396.24410449971316</v>
      </c>
      <c r="L106" s="667">
        <v>247.33283811494582</v>
      </c>
      <c r="M106" s="667">
        <v>21.680878740680178</v>
      </c>
      <c r="N106" s="667">
        <v>-104.31554763487013</v>
      </c>
      <c r="O106" s="667">
        <v>-69.51679984894308</v>
      </c>
      <c r="P106" s="667">
        <v>0</v>
      </c>
      <c r="Q106" s="667">
        <v>17.641436845791585</v>
      </c>
      <c r="R106" s="667">
        <v>-513.21721678431186</v>
      </c>
      <c r="S106" s="667">
        <v>-62.943626270237907</v>
      </c>
      <c r="T106" s="667">
        <v>-40.206690203099001</v>
      </c>
      <c r="U106" s="667">
        <v>794.16971119206255</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2.4027599556453909</v>
      </c>
      <c r="E108" s="663">
        <v>0</v>
      </c>
      <c r="F108" s="663">
        <v>3.114463113040443</v>
      </c>
      <c r="G108" s="663">
        <v>0</v>
      </c>
      <c r="H108" s="663">
        <v>22.626318476237717</v>
      </c>
      <c r="I108" s="663">
        <v>0.29902623536878048</v>
      </c>
      <c r="J108" s="663">
        <v>0</v>
      </c>
      <c r="K108" s="663">
        <v>0</v>
      </c>
      <c r="L108" s="663">
        <v>19.572699923725285</v>
      </c>
      <c r="M108" s="663">
        <v>2.2927206810178133</v>
      </c>
      <c r="N108" s="663">
        <v>2.5907279394531253</v>
      </c>
      <c r="O108" s="663">
        <v>26.952636430442517</v>
      </c>
      <c r="P108" s="663">
        <v>8.8445146484374995</v>
      </c>
      <c r="Q108" s="663">
        <v>8.2107689234467234E-4</v>
      </c>
      <c r="R108" s="663">
        <v>134.99858174444151</v>
      </c>
      <c r="S108" s="663">
        <v>18.388872155735818</v>
      </c>
      <c r="T108" s="663">
        <v>5.7096738281250001</v>
      </c>
      <c r="U108" s="671">
        <v>247.79381620856324</v>
      </c>
    </row>
    <row r="109" spans="3:21" ht="13">
      <c r="C109" s="670" t="s">
        <v>79</v>
      </c>
      <c r="D109" s="663">
        <v>0</v>
      </c>
      <c r="E109" s="663">
        <v>0</v>
      </c>
      <c r="F109" s="663">
        <v>28.084568019979141</v>
      </c>
      <c r="G109" s="663">
        <v>1.421472124111238</v>
      </c>
      <c r="H109" s="663">
        <v>2.5860362638913656</v>
      </c>
      <c r="I109" s="663">
        <v>3.4176690712220695E-2</v>
      </c>
      <c r="J109" s="663">
        <v>0</v>
      </c>
      <c r="K109" s="663">
        <v>0</v>
      </c>
      <c r="L109" s="663">
        <v>0</v>
      </c>
      <c r="M109" s="663">
        <v>0</v>
      </c>
      <c r="N109" s="663">
        <v>58.95620249302754</v>
      </c>
      <c r="O109" s="663">
        <v>3.0759021640998623</v>
      </c>
      <c r="P109" s="663">
        <v>0</v>
      </c>
      <c r="Q109" s="663">
        <v>0</v>
      </c>
      <c r="R109" s="663">
        <v>96.758599927458889</v>
      </c>
      <c r="S109" s="663">
        <v>0</v>
      </c>
      <c r="T109" s="663">
        <v>4.2910115463144054</v>
      </c>
      <c r="U109" s="671">
        <v>195.20796922959462</v>
      </c>
    </row>
    <row r="110" spans="3:21" ht="13">
      <c r="C110" s="670" t="s">
        <v>80</v>
      </c>
      <c r="D110" s="663">
        <v>0</v>
      </c>
      <c r="E110" s="663">
        <v>0</v>
      </c>
      <c r="F110" s="663">
        <v>1.0938828648554826</v>
      </c>
      <c r="G110" s="663">
        <v>0</v>
      </c>
      <c r="H110" s="663">
        <v>16.315204996757775</v>
      </c>
      <c r="I110" s="663">
        <v>0.21561944929635826</v>
      </c>
      <c r="J110" s="663">
        <v>0</v>
      </c>
      <c r="K110" s="663">
        <v>0</v>
      </c>
      <c r="L110" s="663">
        <v>32.232635043857968</v>
      </c>
      <c r="M110" s="663">
        <v>0</v>
      </c>
      <c r="N110" s="663">
        <v>0</v>
      </c>
      <c r="O110" s="663">
        <v>19.405750436672243</v>
      </c>
      <c r="P110" s="663">
        <v>111.91504706113531</v>
      </c>
      <c r="Q110" s="663">
        <v>2.8847164087553931</v>
      </c>
      <c r="R110" s="663">
        <v>143.6282802083233</v>
      </c>
      <c r="S110" s="663">
        <v>25.545428952203935</v>
      </c>
      <c r="T110" s="663">
        <v>0</v>
      </c>
      <c r="U110" s="671">
        <v>353.23656542185773</v>
      </c>
    </row>
    <row r="111" spans="3:21" ht="13">
      <c r="C111" s="670" t="s">
        <v>81</v>
      </c>
      <c r="D111" s="663">
        <v>0</v>
      </c>
      <c r="E111" s="663">
        <v>0</v>
      </c>
      <c r="F111" s="663">
        <v>0.97723127965383472</v>
      </c>
      <c r="G111" s="663">
        <v>0</v>
      </c>
      <c r="H111" s="663">
        <v>8.896881568300115</v>
      </c>
      <c r="I111" s="663">
        <v>0.11757993262070637</v>
      </c>
      <c r="J111" s="663">
        <v>0</v>
      </c>
      <c r="K111" s="663">
        <v>0</v>
      </c>
      <c r="L111" s="663">
        <v>0.3860243395319729</v>
      </c>
      <c r="M111" s="663">
        <v>3.6858170734169985E-4</v>
      </c>
      <c r="N111" s="663">
        <v>0</v>
      </c>
      <c r="O111" s="663">
        <v>10.582193935863573</v>
      </c>
      <c r="P111" s="663">
        <v>26.610536942551132</v>
      </c>
      <c r="Q111" s="663">
        <v>1.0058473798751368</v>
      </c>
      <c r="R111" s="663">
        <v>89.039868511744515</v>
      </c>
      <c r="S111" s="663">
        <v>19.009325162298154</v>
      </c>
      <c r="T111" s="663">
        <v>0</v>
      </c>
      <c r="U111" s="671">
        <v>156.62585763414648</v>
      </c>
    </row>
    <row r="112" spans="3:21" ht="13">
      <c r="C112" s="670" t="s">
        <v>82</v>
      </c>
      <c r="D112" s="663">
        <v>0</v>
      </c>
      <c r="E112" s="663">
        <v>0</v>
      </c>
      <c r="F112" s="663">
        <v>4.1945740406306502</v>
      </c>
      <c r="G112" s="663">
        <v>1.6667279106947781</v>
      </c>
      <c r="H112" s="663">
        <v>0.79342108561234903</v>
      </c>
      <c r="I112" s="663">
        <v>1.0485741219546464E-2</v>
      </c>
      <c r="J112" s="663">
        <v>0</v>
      </c>
      <c r="K112" s="663">
        <v>0</v>
      </c>
      <c r="L112" s="663">
        <v>3.7340409967435519</v>
      </c>
      <c r="M112" s="663">
        <v>0</v>
      </c>
      <c r="N112" s="663">
        <v>16.919952753679041</v>
      </c>
      <c r="O112" s="663">
        <v>0.94371670975918176</v>
      </c>
      <c r="P112" s="663">
        <v>1.1499999999999999</v>
      </c>
      <c r="Q112" s="663">
        <v>1.5666563685107562</v>
      </c>
      <c r="R112" s="663">
        <v>7.7866370218848946</v>
      </c>
      <c r="S112" s="663">
        <v>0</v>
      </c>
      <c r="T112" s="663">
        <v>0.36062656029870238</v>
      </c>
      <c r="U112" s="671">
        <v>39.126839189033454</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1.8912</v>
      </c>
      <c r="S113" s="663">
        <v>0</v>
      </c>
      <c r="T113" s="663">
        <v>0</v>
      </c>
      <c r="U113" s="671">
        <v>1.8912</v>
      </c>
    </row>
    <row r="114" spans="3:21" ht="13">
      <c r="C114" s="666" t="s">
        <v>83</v>
      </c>
      <c r="D114" s="667">
        <v>2.4027599556453909</v>
      </c>
      <c r="E114" s="667">
        <v>0</v>
      </c>
      <c r="F114" s="667">
        <v>37.464719318159553</v>
      </c>
      <c r="G114" s="667">
        <v>3.0882000348060163</v>
      </c>
      <c r="H114" s="675">
        <v>51.217862390799326</v>
      </c>
      <c r="I114" s="667">
        <v>0.67688804921761236</v>
      </c>
      <c r="J114" s="667">
        <v>0</v>
      </c>
      <c r="K114" s="667">
        <v>0</v>
      </c>
      <c r="L114" s="667">
        <v>55.925400303858773</v>
      </c>
      <c r="M114" s="667">
        <v>2.2930892627251551</v>
      </c>
      <c r="N114" s="667">
        <v>78.46688318615972</v>
      </c>
      <c r="O114" s="667">
        <v>60.960199676837377</v>
      </c>
      <c r="P114" s="667">
        <v>148.52009865212395</v>
      </c>
      <c r="Q114" s="667">
        <v>5.4580412340336313</v>
      </c>
      <c r="R114" s="667">
        <v>474.10316741385316</v>
      </c>
      <c r="S114" s="667">
        <v>62.943626270237907</v>
      </c>
      <c r="T114" s="667">
        <v>10.361311934738108</v>
      </c>
      <c r="U114" s="667">
        <v>993.8822476831956</v>
      </c>
    </row>
    <row r="115" spans="3:21" ht="13">
      <c r="C115" s="662" t="s">
        <v>84</v>
      </c>
      <c r="D115" s="663">
        <v>0</v>
      </c>
      <c r="E115" s="663">
        <v>0</v>
      </c>
      <c r="F115" s="663">
        <v>55.51811908375884</v>
      </c>
      <c r="G115" s="663">
        <v>7.0490044147499464</v>
      </c>
      <c r="H115" s="663">
        <v>5.5825875517318595</v>
      </c>
      <c r="I115" s="663">
        <v>0</v>
      </c>
      <c r="J115" s="663">
        <v>0</v>
      </c>
      <c r="K115" s="663">
        <v>0</v>
      </c>
      <c r="L115" s="663">
        <v>0.48256425190137814</v>
      </c>
      <c r="M115" s="663">
        <v>0</v>
      </c>
      <c r="N115" s="663">
        <v>17.896473357733768</v>
      </c>
      <c r="O115" s="663">
        <v>3.3065346740377066</v>
      </c>
      <c r="P115" s="663">
        <v>0</v>
      </c>
      <c r="Q115" s="663">
        <v>0</v>
      </c>
      <c r="R115" s="663">
        <v>0</v>
      </c>
      <c r="S115" s="663">
        <v>0</v>
      </c>
      <c r="T115" s="663">
        <v>28.74233427987765</v>
      </c>
      <c r="U115" s="671">
        <v>118.57761761379115</v>
      </c>
    </row>
    <row r="116" spans="3:21" ht="13">
      <c r="C116" s="666" t="s">
        <v>85</v>
      </c>
      <c r="D116" s="667">
        <v>2.4027599556453909</v>
      </c>
      <c r="E116" s="667">
        <v>0</v>
      </c>
      <c r="F116" s="667">
        <v>92.9828384019184</v>
      </c>
      <c r="G116" s="667">
        <v>10.137204449555963</v>
      </c>
      <c r="H116" s="675">
        <v>56.800449942531188</v>
      </c>
      <c r="I116" s="667">
        <v>0.67688804921761236</v>
      </c>
      <c r="J116" s="667">
        <v>0</v>
      </c>
      <c r="K116" s="667">
        <v>0</v>
      </c>
      <c r="L116" s="667">
        <v>56.407964555760152</v>
      </c>
      <c r="M116" s="667">
        <v>2.2930892627251551</v>
      </c>
      <c r="N116" s="667">
        <v>96.363356543893488</v>
      </c>
      <c r="O116" s="667">
        <v>64.266734350875069</v>
      </c>
      <c r="P116" s="667">
        <v>148.52009865212395</v>
      </c>
      <c r="Q116" s="667">
        <v>5.4580412340336313</v>
      </c>
      <c r="R116" s="667">
        <v>474.10316741385316</v>
      </c>
      <c r="S116" s="667">
        <v>62.943626270237907</v>
      </c>
      <c r="T116" s="667">
        <v>39.103646214615758</v>
      </c>
      <c r="U116" s="667">
        <v>1112.4598652969867</v>
      </c>
    </row>
    <row r="117" spans="3:21">
      <c r="C117" s="654"/>
      <c r="D117" s="672">
        <v>0</v>
      </c>
      <c r="E117" s="672">
        <v>0</v>
      </c>
      <c r="F117" s="672">
        <v>0</v>
      </c>
      <c r="G117" s="672">
        <v>0</v>
      </c>
      <c r="H117" s="672">
        <v>0</v>
      </c>
      <c r="I117" s="672">
        <v>1.0408340855860843E-16</v>
      </c>
      <c r="J117" s="672">
        <v>0</v>
      </c>
      <c r="K117" s="672">
        <v>0</v>
      </c>
      <c r="L117" s="672">
        <v>0</v>
      </c>
      <c r="M117" s="672">
        <v>0</v>
      </c>
      <c r="N117" s="672">
        <v>1.1546319456101628E-14</v>
      </c>
      <c r="O117" s="672">
        <v>-3.1086244689504383E-14</v>
      </c>
      <c r="P117" s="672">
        <v>0</v>
      </c>
      <c r="Q117" s="672">
        <v>0</v>
      </c>
      <c r="R117" s="672">
        <v>0</v>
      </c>
      <c r="S117" s="672">
        <v>0</v>
      </c>
      <c r="T117" s="672">
        <v>0</v>
      </c>
      <c r="U117" s="672">
        <v>0</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364</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0</v>
      </c>
      <c r="F123" s="663">
        <v>0</v>
      </c>
      <c r="G123" s="663">
        <v>0</v>
      </c>
      <c r="H123" s="663">
        <v>0</v>
      </c>
      <c r="I123" s="663">
        <v>0</v>
      </c>
      <c r="J123" s="664">
        <v>835.87348477446847</v>
      </c>
      <c r="K123" s="664">
        <v>433.2264513609648</v>
      </c>
      <c r="L123" s="664">
        <v>288.88340552324502</v>
      </c>
      <c r="M123" s="664">
        <v>22.07866786794175</v>
      </c>
      <c r="N123" s="663">
        <v>1.6797912871987437</v>
      </c>
      <c r="O123" s="663">
        <v>0.17065445399605614</v>
      </c>
      <c r="P123" s="664">
        <v>155.82057805919561</v>
      </c>
      <c r="Q123" s="664">
        <v>23.487215011212861</v>
      </c>
      <c r="R123" s="663">
        <v>0</v>
      </c>
      <c r="S123" s="663">
        <v>0</v>
      </c>
      <c r="T123" s="663">
        <v>0</v>
      </c>
      <c r="U123" s="665">
        <v>1761.2202483382232</v>
      </c>
    </row>
    <row r="124" spans="3:21" ht="13">
      <c r="C124" s="662" t="s">
        <v>60</v>
      </c>
      <c r="D124" s="663">
        <v>9.1088960408946864</v>
      </c>
      <c r="E124" s="663">
        <v>190.65660017812178</v>
      </c>
      <c r="F124" s="663">
        <v>2.9590354993625017</v>
      </c>
      <c r="G124" s="663">
        <v>0</v>
      </c>
      <c r="H124" s="663">
        <v>52.772371882452688</v>
      </c>
      <c r="I124" s="663">
        <v>0</v>
      </c>
      <c r="J124" s="663">
        <v>0</v>
      </c>
      <c r="K124" s="663">
        <v>0</v>
      </c>
      <c r="L124" s="663">
        <v>4.8125993033158778</v>
      </c>
      <c r="M124" s="663">
        <v>0</v>
      </c>
      <c r="N124" s="663">
        <v>5.0080801377734332</v>
      </c>
      <c r="O124" s="663">
        <v>0</v>
      </c>
      <c r="P124" s="663">
        <v>0</v>
      </c>
      <c r="Q124" s="663">
        <v>0</v>
      </c>
      <c r="R124" s="663">
        <v>0</v>
      </c>
      <c r="S124" s="663">
        <v>0</v>
      </c>
      <c r="T124" s="663">
        <v>0</v>
      </c>
      <c r="U124" s="665">
        <v>265.31758304192095</v>
      </c>
    </row>
    <row r="125" spans="3:21" ht="13">
      <c r="C125" s="662" t="s">
        <v>61</v>
      </c>
      <c r="D125" s="663">
        <v>0</v>
      </c>
      <c r="E125" s="663">
        <v>0</v>
      </c>
      <c r="F125" s="663">
        <v>-67.846394386464354</v>
      </c>
      <c r="G125" s="663">
        <v>-3.5527136788005009E-15</v>
      </c>
      <c r="H125" s="663">
        <v>0</v>
      </c>
      <c r="I125" s="663">
        <v>0</v>
      </c>
      <c r="J125" s="663">
        <v>0</v>
      </c>
      <c r="K125" s="663">
        <v>0</v>
      </c>
      <c r="L125" s="663">
        <v>0</v>
      </c>
      <c r="M125" s="663">
        <v>0</v>
      </c>
      <c r="N125" s="663">
        <v>0</v>
      </c>
      <c r="O125" s="663">
        <v>0</v>
      </c>
      <c r="P125" s="663">
        <v>0</v>
      </c>
      <c r="Q125" s="663">
        <v>0</v>
      </c>
      <c r="R125" s="663">
        <v>-40.00031821738844</v>
      </c>
      <c r="S125" s="663">
        <v>0</v>
      </c>
      <c r="T125" s="663">
        <v>0</v>
      </c>
      <c r="U125" s="665">
        <v>-107.84671260385279</v>
      </c>
    </row>
    <row r="126" spans="3:21" ht="13">
      <c r="C126" s="662" t="s">
        <v>62</v>
      </c>
      <c r="D126" s="663">
        <v>0</v>
      </c>
      <c r="E126" s="663">
        <v>0</v>
      </c>
      <c r="F126" s="663">
        <v>-5.3541729526260253</v>
      </c>
      <c r="G126" s="663">
        <v>-3.2544454489343884</v>
      </c>
      <c r="H126" s="663">
        <v>-2.154938128893316</v>
      </c>
      <c r="I126" s="663">
        <v>-5.5254823817777333E-2</v>
      </c>
      <c r="J126" s="663">
        <v>0</v>
      </c>
      <c r="K126" s="663">
        <v>0</v>
      </c>
      <c r="L126" s="663">
        <v>0</v>
      </c>
      <c r="M126" s="663">
        <v>0</v>
      </c>
      <c r="N126" s="663">
        <v>-0.28299525642907725</v>
      </c>
      <c r="O126" s="663">
        <v>-3.3152894290666399</v>
      </c>
      <c r="P126" s="663">
        <v>0</v>
      </c>
      <c r="Q126" s="663">
        <v>0</v>
      </c>
      <c r="R126" s="663">
        <v>0</v>
      </c>
      <c r="S126" s="663">
        <v>0</v>
      </c>
      <c r="T126" s="663">
        <v>0</v>
      </c>
      <c r="U126" s="665">
        <v>-14.417096039767225</v>
      </c>
    </row>
    <row r="127" spans="3:21" ht="13">
      <c r="C127" s="662" t="s">
        <v>63</v>
      </c>
      <c r="D127" s="663">
        <v>0</v>
      </c>
      <c r="E127" s="663">
        <v>0</v>
      </c>
      <c r="F127" s="663">
        <v>-38.578656039955483</v>
      </c>
      <c r="G127" s="663">
        <v>-13.893394907220655</v>
      </c>
      <c r="H127" s="663">
        <v>0</v>
      </c>
      <c r="I127" s="663">
        <v>0</v>
      </c>
      <c r="J127" s="663">
        <v>0</v>
      </c>
      <c r="K127" s="663">
        <v>0</v>
      </c>
      <c r="L127" s="663">
        <v>0</v>
      </c>
      <c r="M127" s="663">
        <v>0</v>
      </c>
      <c r="N127" s="663">
        <v>-13.893394907220655</v>
      </c>
      <c r="O127" s="663">
        <v>0</v>
      </c>
      <c r="P127" s="663">
        <v>0</v>
      </c>
      <c r="Q127" s="663">
        <v>0</v>
      </c>
      <c r="R127" s="663">
        <v>0</v>
      </c>
      <c r="S127" s="663">
        <v>0</v>
      </c>
      <c r="T127" s="663">
        <v>-1.3953345659196588</v>
      </c>
      <c r="U127" s="665">
        <v>-67.760780420316451</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9.1088960408946864</v>
      </c>
      <c r="E129" s="667">
        <v>190.65660017812178</v>
      </c>
      <c r="F129" s="667">
        <v>-108.82018787968336</v>
      </c>
      <c r="G129" s="667">
        <v>-17.147840356155047</v>
      </c>
      <c r="H129" s="675">
        <v>50.617433753559375</v>
      </c>
      <c r="I129" s="667">
        <v>-5.5254823817777333E-2</v>
      </c>
      <c r="J129" s="667">
        <v>835.87348477446847</v>
      </c>
      <c r="K129" s="667">
        <v>433.2264513609648</v>
      </c>
      <c r="L129" s="667">
        <v>293.69600482656091</v>
      </c>
      <c r="M129" s="667">
        <v>22.07866786794175</v>
      </c>
      <c r="N129" s="667">
        <v>-7.4885187386775538</v>
      </c>
      <c r="O129" s="667">
        <v>-3.1446349750705838</v>
      </c>
      <c r="P129" s="667">
        <v>155.82057805919561</v>
      </c>
      <c r="Q129" s="667">
        <v>23.487215011212861</v>
      </c>
      <c r="R129" s="667">
        <v>-40.00031821738844</v>
      </c>
      <c r="S129" s="667">
        <v>0</v>
      </c>
      <c r="T129" s="667">
        <v>-1.3953345659196588</v>
      </c>
      <c r="U129" s="667">
        <v>1836.5132423162074</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0</v>
      </c>
      <c r="G132" s="663">
        <v>0</v>
      </c>
      <c r="H132" s="663">
        <v>0</v>
      </c>
      <c r="I132" s="663">
        <v>0</v>
      </c>
      <c r="J132" s="663">
        <v>835.87348477446847</v>
      </c>
      <c r="K132" s="663">
        <v>433.2264513609648</v>
      </c>
      <c r="L132" s="663">
        <v>14.188154051569427</v>
      </c>
      <c r="M132" s="663">
        <v>5.3742483693021068</v>
      </c>
      <c r="N132" s="663">
        <v>6.3451610040287907</v>
      </c>
      <c r="O132" s="663">
        <v>0.11419280490868838</v>
      </c>
      <c r="P132" s="663">
        <v>0</v>
      </c>
      <c r="Q132" s="663">
        <v>6.4766550958451852</v>
      </c>
      <c r="R132" s="663">
        <v>-726.93629039774203</v>
      </c>
      <c r="S132" s="663">
        <v>0</v>
      </c>
      <c r="T132" s="663">
        <v>11.298964449788109</v>
      </c>
      <c r="U132" s="671">
        <v>585.96102151313323</v>
      </c>
    </row>
    <row r="133" spans="3:21" ht="13">
      <c r="C133" s="670" t="s">
        <v>351</v>
      </c>
      <c r="D133" s="663">
        <v>0</v>
      </c>
      <c r="E133" s="663">
        <v>0</v>
      </c>
      <c r="F133" s="663">
        <v>0</v>
      </c>
      <c r="G133" s="663">
        <v>0</v>
      </c>
      <c r="H133" s="663">
        <v>3.2711110414405256</v>
      </c>
      <c r="I133" s="663">
        <v>0</v>
      </c>
      <c r="J133" s="663">
        <v>0</v>
      </c>
      <c r="K133" s="663">
        <v>0</v>
      </c>
      <c r="L133" s="663">
        <v>34.963821149394811</v>
      </c>
      <c r="M133" s="663">
        <v>14.476121269049287</v>
      </c>
      <c r="N133" s="663">
        <v>0</v>
      </c>
      <c r="O133" s="663">
        <v>7.6477038720835147</v>
      </c>
      <c r="P133" s="663">
        <v>0</v>
      </c>
      <c r="Q133" s="663">
        <v>11.276034288959668</v>
      </c>
      <c r="R133" s="663">
        <v>0</v>
      </c>
      <c r="S133" s="663">
        <v>-67.494467143680438</v>
      </c>
      <c r="T133" s="663">
        <v>0</v>
      </c>
      <c r="U133" s="671">
        <v>4.1403244772473649</v>
      </c>
    </row>
    <row r="134" spans="3:21" ht="13">
      <c r="C134" s="670" t="s">
        <v>352</v>
      </c>
      <c r="D134" s="663">
        <v>0</v>
      </c>
      <c r="E134" s="663">
        <v>0</v>
      </c>
      <c r="F134" s="663">
        <v>0</v>
      </c>
      <c r="G134" s="663">
        <v>0</v>
      </c>
      <c r="H134" s="663">
        <v>0</v>
      </c>
      <c r="I134" s="663">
        <v>0</v>
      </c>
      <c r="J134" s="663">
        <v>0</v>
      </c>
      <c r="K134" s="663">
        <v>0</v>
      </c>
      <c r="L134" s="663">
        <v>85.030807044207506</v>
      </c>
      <c r="M134" s="663">
        <v>0</v>
      </c>
      <c r="N134" s="663">
        <v>0</v>
      </c>
      <c r="O134" s="663">
        <v>-80.149276434896436</v>
      </c>
      <c r="P134" s="663">
        <v>0</v>
      </c>
      <c r="Q134" s="663">
        <v>0</v>
      </c>
      <c r="R134" s="663">
        <v>0</v>
      </c>
      <c r="S134" s="663">
        <v>0</v>
      </c>
      <c r="T134" s="663">
        <v>0</v>
      </c>
      <c r="U134" s="671">
        <v>4.8815306093110706</v>
      </c>
    </row>
    <row r="135" spans="3:21" ht="13">
      <c r="C135" s="670" t="s">
        <v>353</v>
      </c>
      <c r="D135" s="663">
        <v>0</v>
      </c>
      <c r="E135" s="663">
        <v>0</v>
      </c>
      <c r="F135" s="663">
        <v>0</v>
      </c>
      <c r="G135" s="663">
        <v>0</v>
      </c>
      <c r="H135" s="663">
        <v>0</v>
      </c>
      <c r="I135" s="663">
        <v>-1.1466991714325052</v>
      </c>
      <c r="J135" s="663">
        <v>0</v>
      </c>
      <c r="K135" s="663">
        <v>0</v>
      </c>
      <c r="L135" s="663">
        <v>0</v>
      </c>
      <c r="M135" s="663">
        <v>0</v>
      </c>
      <c r="N135" s="663">
        <v>0</v>
      </c>
      <c r="O135" s="663">
        <v>0</v>
      </c>
      <c r="P135" s="663">
        <v>0</v>
      </c>
      <c r="Q135" s="663">
        <v>0</v>
      </c>
      <c r="R135" s="663">
        <v>0</v>
      </c>
      <c r="S135" s="663">
        <v>0</v>
      </c>
      <c r="T135" s="663">
        <v>1.5966000387788533</v>
      </c>
      <c r="U135" s="671">
        <v>0.44990086734634804</v>
      </c>
    </row>
    <row r="136" spans="3:21" ht="13">
      <c r="C136" s="670" t="s">
        <v>72</v>
      </c>
      <c r="D136" s="663">
        <v>0</v>
      </c>
      <c r="E136" s="663">
        <v>197.54631533572405</v>
      </c>
      <c r="F136" s="663">
        <v>-195.57532355071015</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1.9709917850139052</v>
      </c>
    </row>
    <row r="137" spans="3:21" ht="13">
      <c r="C137" s="670" t="s">
        <v>354</v>
      </c>
      <c r="D137" s="663">
        <v>0</v>
      </c>
      <c r="E137" s="663">
        <v>0</v>
      </c>
      <c r="F137" s="663">
        <v>0</v>
      </c>
      <c r="G137" s="663">
        <v>0</v>
      </c>
      <c r="H137" s="663">
        <v>0</v>
      </c>
      <c r="I137" s="663">
        <v>0</v>
      </c>
      <c r="J137" s="663">
        <v>0</v>
      </c>
      <c r="K137" s="663">
        <v>0</v>
      </c>
      <c r="L137" s="663">
        <v>104.32434467350188</v>
      </c>
      <c r="M137" s="663">
        <v>0</v>
      </c>
      <c r="N137" s="663">
        <v>-104.32434467350188</v>
      </c>
      <c r="O137" s="663">
        <v>0</v>
      </c>
      <c r="P137" s="663">
        <v>0</v>
      </c>
      <c r="Q137" s="663">
        <v>0</v>
      </c>
      <c r="R137" s="663">
        <v>0</v>
      </c>
      <c r="S137" s="663">
        <v>0</v>
      </c>
      <c r="T137" s="663">
        <v>0</v>
      </c>
      <c r="U137" s="671">
        <v>0</v>
      </c>
    </row>
    <row r="138" spans="3:21" ht="13">
      <c r="C138" s="670" t="s">
        <v>355</v>
      </c>
      <c r="D138" s="663">
        <v>0</v>
      </c>
      <c r="E138" s="663">
        <v>0</v>
      </c>
      <c r="F138" s="663">
        <v>0</v>
      </c>
      <c r="G138" s="663">
        <v>-28.456538558191252</v>
      </c>
      <c r="H138" s="663">
        <v>0</v>
      </c>
      <c r="I138" s="663">
        <v>0</v>
      </c>
      <c r="J138" s="663">
        <v>0</v>
      </c>
      <c r="K138" s="663">
        <v>0</v>
      </c>
      <c r="L138" s="663">
        <v>0</v>
      </c>
      <c r="M138" s="663">
        <v>0</v>
      </c>
      <c r="N138" s="663">
        <v>0</v>
      </c>
      <c r="O138" s="663">
        <v>0</v>
      </c>
      <c r="P138" s="663">
        <v>0</v>
      </c>
      <c r="Q138" s="663">
        <v>0</v>
      </c>
      <c r="R138" s="663">
        <v>0</v>
      </c>
      <c r="S138" s="663">
        <v>0</v>
      </c>
      <c r="T138" s="663">
        <v>39.633062058762192</v>
      </c>
      <c r="U138" s="671">
        <v>11.176523500570941</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137.29765828865015</v>
      </c>
      <c r="S139" s="663">
        <v>0</v>
      </c>
      <c r="T139" s="663">
        <v>-96.451604947776744</v>
      </c>
      <c r="U139" s="671">
        <v>40.846053340873411</v>
      </c>
    </row>
    <row r="140" spans="3:21" ht="13">
      <c r="C140" s="670" t="s">
        <v>356</v>
      </c>
      <c r="D140" s="663">
        <v>5.0092797656249992</v>
      </c>
      <c r="E140" s="663">
        <v>-6.8897151576022866</v>
      </c>
      <c r="F140" s="663">
        <v>8.9891621815142653</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7.1087267895369788</v>
      </c>
    </row>
    <row r="141" spans="3:21" ht="13">
      <c r="C141" s="670" t="s">
        <v>75</v>
      </c>
      <c r="D141" s="663">
        <v>1.9480532421875001</v>
      </c>
      <c r="E141" s="663">
        <v>0</v>
      </c>
      <c r="F141" s="663">
        <v>17.132121990826434</v>
      </c>
      <c r="G141" s="663">
        <v>0</v>
      </c>
      <c r="H141" s="663">
        <v>1.9377811160090992</v>
      </c>
      <c r="I141" s="663">
        <v>4.9686695282284594E-2</v>
      </c>
      <c r="J141" s="663">
        <v>0</v>
      </c>
      <c r="K141" s="663">
        <v>0</v>
      </c>
      <c r="L141" s="663">
        <v>0</v>
      </c>
      <c r="M141" s="663">
        <v>0</v>
      </c>
      <c r="N141" s="663">
        <v>0</v>
      </c>
      <c r="O141" s="663">
        <v>2.9812017169370755</v>
      </c>
      <c r="P141" s="663">
        <v>0</v>
      </c>
      <c r="Q141" s="663">
        <v>0</v>
      </c>
      <c r="R141" s="663">
        <v>20.439487728936754</v>
      </c>
      <c r="S141" s="663">
        <v>0</v>
      </c>
      <c r="T141" s="663">
        <v>0</v>
      </c>
      <c r="U141" s="671">
        <v>44.488332490179147</v>
      </c>
    </row>
    <row r="142" spans="3:21" ht="13">
      <c r="C142" s="670" t="s">
        <v>76</v>
      </c>
      <c r="D142" s="663">
        <v>0</v>
      </c>
      <c r="E142" s="663">
        <v>0</v>
      </c>
      <c r="F142" s="663">
        <v>0</v>
      </c>
      <c r="G142" s="663">
        <v>0</v>
      </c>
      <c r="H142" s="663">
        <v>0.58071595304039991</v>
      </c>
      <c r="I142" s="663">
        <v>1.4890152642061536E-2</v>
      </c>
      <c r="J142" s="663">
        <v>0</v>
      </c>
      <c r="K142" s="663">
        <v>0</v>
      </c>
      <c r="L142" s="663">
        <v>0</v>
      </c>
      <c r="M142" s="663">
        <v>0</v>
      </c>
      <c r="N142" s="663">
        <v>0</v>
      </c>
      <c r="O142" s="663">
        <v>0.89340915852369218</v>
      </c>
      <c r="P142" s="663">
        <v>0</v>
      </c>
      <c r="Q142" s="663">
        <v>0</v>
      </c>
      <c r="R142" s="663">
        <v>52.564064229351587</v>
      </c>
      <c r="S142" s="663">
        <v>5.2350040213197584</v>
      </c>
      <c r="T142" s="663">
        <v>0</v>
      </c>
      <c r="U142" s="671">
        <v>59.288083514877499</v>
      </c>
    </row>
    <row r="143" spans="3:21" ht="13">
      <c r="C143" s="666" t="s">
        <v>77</v>
      </c>
      <c r="D143" s="667">
        <v>6.9573330078124993</v>
      </c>
      <c r="E143" s="667">
        <v>190.65660017812178</v>
      </c>
      <c r="F143" s="667">
        <v>-169.45403937836946</v>
      </c>
      <c r="G143" s="667">
        <v>-28.456538558191252</v>
      </c>
      <c r="H143" s="675">
        <v>5.7896081104900246</v>
      </c>
      <c r="I143" s="667">
        <v>-1.0821223235081592</v>
      </c>
      <c r="J143" s="667">
        <v>835.87348477446847</v>
      </c>
      <c r="K143" s="667">
        <v>433.2264513609648</v>
      </c>
      <c r="L143" s="667">
        <v>238.50712691867363</v>
      </c>
      <c r="M143" s="667">
        <v>19.850369638351395</v>
      </c>
      <c r="N143" s="667">
        <v>-97.979183669473088</v>
      </c>
      <c r="O143" s="667">
        <v>-68.512768882443467</v>
      </c>
      <c r="P143" s="667">
        <v>0</v>
      </c>
      <c r="Q143" s="667">
        <v>17.752689384804853</v>
      </c>
      <c r="R143" s="667">
        <v>-516.63508015080356</v>
      </c>
      <c r="S143" s="667">
        <v>-62.259463122360671</v>
      </c>
      <c r="T143" s="667">
        <v>-43.92297840044759</v>
      </c>
      <c r="U143" s="667">
        <v>760.31148888809003</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2.1515630330821871</v>
      </c>
      <c r="E145" s="663">
        <v>0</v>
      </c>
      <c r="F145" s="663">
        <v>1.9729303012498745</v>
      </c>
      <c r="G145" s="663">
        <v>0</v>
      </c>
      <c r="H145" s="663">
        <v>17.624600662262115</v>
      </c>
      <c r="I145" s="663">
        <v>0.45191283749390032</v>
      </c>
      <c r="J145" s="663">
        <v>0</v>
      </c>
      <c r="K145" s="663">
        <v>0</v>
      </c>
      <c r="L145" s="663">
        <v>19.327819378703428</v>
      </c>
      <c r="M145" s="663">
        <v>2.2279514023281117</v>
      </c>
      <c r="N145" s="663">
        <v>2.6644658203125</v>
      </c>
      <c r="O145" s="663">
        <v>27.156120456665761</v>
      </c>
      <c r="P145" s="663">
        <v>9.6085478515625002</v>
      </c>
      <c r="Q145" s="663">
        <v>8.4299170840015686E-4</v>
      </c>
      <c r="R145" s="663">
        <v>135.80773886663795</v>
      </c>
      <c r="S145" s="663">
        <v>18.436108583667494</v>
      </c>
      <c r="T145" s="663">
        <v>6.3938178710937503</v>
      </c>
      <c r="U145" s="671">
        <v>243.82442005676796</v>
      </c>
    </row>
    <row r="146" spans="3:21" ht="13">
      <c r="C146" s="670" t="s">
        <v>79</v>
      </c>
      <c r="D146" s="663">
        <v>0</v>
      </c>
      <c r="E146" s="663">
        <v>0</v>
      </c>
      <c r="F146" s="663">
        <v>5.1934680094593588</v>
      </c>
      <c r="G146" s="663">
        <v>1.7577012997845347</v>
      </c>
      <c r="H146" s="663">
        <v>2.152977175631825</v>
      </c>
      <c r="I146" s="663">
        <v>5.5204542964918585E-2</v>
      </c>
      <c r="J146" s="663">
        <v>0</v>
      </c>
      <c r="K146" s="663">
        <v>0</v>
      </c>
      <c r="L146" s="663">
        <v>0</v>
      </c>
      <c r="M146" s="663">
        <v>0</v>
      </c>
      <c r="N146" s="663">
        <v>51.143075106834317</v>
      </c>
      <c r="O146" s="663">
        <v>3.312272577895115</v>
      </c>
      <c r="P146" s="663">
        <v>0</v>
      </c>
      <c r="Q146" s="663">
        <v>0</v>
      </c>
      <c r="R146" s="663">
        <v>104.19646172854269</v>
      </c>
      <c r="S146" s="663">
        <v>0</v>
      </c>
      <c r="T146" s="663">
        <v>4.7641609973157095</v>
      </c>
      <c r="U146" s="671">
        <v>172.57532143842849</v>
      </c>
    </row>
    <row r="147" spans="3:21" ht="13">
      <c r="C147" s="670" t="s">
        <v>80</v>
      </c>
      <c r="D147" s="663">
        <v>0</v>
      </c>
      <c r="E147" s="663">
        <v>0</v>
      </c>
      <c r="F147" s="663">
        <v>0.32079919308121357</v>
      </c>
      <c r="G147" s="663">
        <v>0</v>
      </c>
      <c r="H147" s="663">
        <v>12.69993934515486</v>
      </c>
      <c r="I147" s="663">
        <v>0.32563947038858615</v>
      </c>
      <c r="J147" s="663">
        <v>0</v>
      </c>
      <c r="K147" s="663">
        <v>0</v>
      </c>
      <c r="L147" s="663">
        <v>30.989297403436193</v>
      </c>
      <c r="M147" s="663">
        <v>0</v>
      </c>
      <c r="N147" s="663">
        <v>0</v>
      </c>
      <c r="O147" s="663">
        <v>19.538368223315167</v>
      </c>
      <c r="P147" s="663">
        <v>117.54725011788614</v>
      </c>
      <c r="Q147" s="663">
        <v>2.9888036499995505</v>
      </c>
      <c r="R147" s="663">
        <v>139.69858105781077</v>
      </c>
      <c r="S147" s="663">
        <v>24.846536847991327</v>
      </c>
      <c r="T147" s="663">
        <v>0</v>
      </c>
      <c r="U147" s="671">
        <v>348.95521530906382</v>
      </c>
    </row>
    <row r="148" spans="3:21" ht="13">
      <c r="C148" s="670" t="s">
        <v>81</v>
      </c>
      <c r="D148" s="663">
        <v>0</v>
      </c>
      <c r="E148" s="663">
        <v>0</v>
      </c>
      <c r="F148" s="663">
        <v>0.73542128008657859</v>
      </c>
      <c r="G148" s="663">
        <v>0</v>
      </c>
      <c r="H148" s="663">
        <v>6.9022329775494073</v>
      </c>
      <c r="I148" s="663">
        <v>0.17698033275767711</v>
      </c>
      <c r="J148" s="663">
        <v>0</v>
      </c>
      <c r="K148" s="663">
        <v>0</v>
      </c>
      <c r="L148" s="663">
        <v>0.37326901233115406</v>
      </c>
      <c r="M148" s="663">
        <v>3.4682726224379159E-4</v>
      </c>
      <c r="N148" s="663">
        <v>0</v>
      </c>
      <c r="O148" s="663">
        <v>10.618819965460625</v>
      </c>
      <c r="P148" s="663">
        <v>27.414780089746973</v>
      </c>
      <c r="Q148" s="663">
        <v>1.0008652914522365</v>
      </c>
      <c r="R148" s="663">
        <v>86.91432505661372</v>
      </c>
      <c r="S148" s="663">
        <v>18.976817690701857</v>
      </c>
      <c r="T148" s="663">
        <v>0</v>
      </c>
      <c r="U148" s="671">
        <v>153.11385852396248</v>
      </c>
    </row>
    <row r="149" spans="3:21" ht="13">
      <c r="C149" s="670" t="s">
        <v>82</v>
      </c>
      <c r="D149" s="663">
        <v>0</v>
      </c>
      <c r="E149" s="663">
        <v>0</v>
      </c>
      <c r="F149" s="663">
        <v>1.7660543125979742</v>
      </c>
      <c r="G149" s="663">
        <v>1.6775006918768405</v>
      </c>
      <c r="H149" s="663">
        <v>0.66808232732668293</v>
      </c>
      <c r="I149" s="663">
        <v>1.7130316085299562E-2</v>
      </c>
      <c r="J149" s="663">
        <v>0</v>
      </c>
      <c r="K149" s="663">
        <v>0</v>
      </c>
      <c r="L149" s="663">
        <v>3.9742935582164471</v>
      </c>
      <c r="M149" s="663">
        <v>0</v>
      </c>
      <c r="N149" s="663">
        <v>17.824426087880788</v>
      </c>
      <c r="O149" s="663">
        <v>1.0278189651179737</v>
      </c>
      <c r="P149" s="663">
        <v>1.25</v>
      </c>
      <c r="Q149" s="663">
        <v>1.7440136932478227</v>
      </c>
      <c r="R149" s="663">
        <v>7.8035752238100597</v>
      </c>
      <c r="S149" s="663">
        <v>0</v>
      </c>
      <c r="T149" s="663">
        <v>0.38427420359697795</v>
      </c>
      <c r="U149" s="671">
        <v>38.13716937975687</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2.21408</v>
      </c>
      <c r="S150" s="663">
        <v>0</v>
      </c>
      <c r="T150" s="663">
        <v>0</v>
      </c>
      <c r="U150" s="671">
        <v>2.21408</v>
      </c>
    </row>
    <row r="151" spans="3:21" ht="13">
      <c r="C151" s="666" t="s">
        <v>83</v>
      </c>
      <c r="D151" s="667">
        <v>2.1515630330821871</v>
      </c>
      <c r="E151" s="667">
        <v>0</v>
      </c>
      <c r="F151" s="667">
        <v>9.9886730964750008</v>
      </c>
      <c r="G151" s="667">
        <v>3.4352019916613754</v>
      </c>
      <c r="H151" s="675">
        <v>40.047832487924893</v>
      </c>
      <c r="I151" s="667">
        <v>1.0268674996903817</v>
      </c>
      <c r="J151" s="667">
        <v>0</v>
      </c>
      <c r="K151" s="667">
        <v>0</v>
      </c>
      <c r="L151" s="667">
        <v>54.664679352687223</v>
      </c>
      <c r="M151" s="667">
        <v>2.2282982295903557</v>
      </c>
      <c r="N151" s="667">
        <v>71.631967015027612</v>
      </c>
      <c r="O151" s="667">
        <v>61.65340018845464</v>
      </c>
      <c r="P151" s="667">
        <v>155.82057805919561</v>
      </c>
      <c r="Q151" s="667">
        <v>5.7345256264080096</v>
      </c>
      <c r="R151" s="667">
        <v>476.63476193341518</v>
      </c>
      <c r="S151" s="667">
        <v>62.259463122360671</v>
      </c>
      <c r="T151" s="667">
        <v>11.542253072006439</v>
      </c>
      <c r="U151" s="667">
        <v>958.82006470797955</v>
      </c>
    </row>
    <row r="152" spans="3:21" ht="13">
      <c r="C152" s="662" t="s">
        <v>84</v>
      </c>
      <c r="D152" s="663">
        <v>0</v>
      </c>
      <c r="E152" s="663">
        <v>0</v>
      </c>
      <c r="F152" s="663">
        <v>50.64517840221108</v>
      </c>
      <c r="G152" s="663">
        <v>7.8734962103748298</v>
      </c>
      <c r="H152" s="663">
        <v>4.7799931551444459</v>
      </c>
      <c r="I152" s="663">
        <v>0</v>
      </c>
      <c r="J152" s="663">
        <v>0</v>
      </c>
      <c r="K152" s="663">
        <v>0</v>
      </c>
      <c r="L152" s="663">
        <v>0.52419855520004055</v>
      </c>
      <c r="M152" s="663">
        <v>0</v>
      </c>
      <c r="N152" s="663">
        <v>18.858697915767927</v>
      </c>
      <c r="O152" s="663">
        <v>3.7147337189182332</v>
      </c>
      <c r="P152" s="663">
        <v>0</v>
      </c>
      <c r="Q152" s="663">
        <v>0</v>
      </c>
      <c r="R152" s="663">
        <v>0</v>
      </c>
      <c r="S152" s="663">
        <v>0</v>
      </c>
      <c r="T152" s="663">
        <v>30.985390762521494</v>
      </c>
      <c r="U152" s="671">
        <v>117.38168872013804</v>
      </c>
    </row>
    <row r="153" spans="3:21" ht="13">
      <c r="C153" s="666" t="s">
        <v>85</v>
      </c>
      <c r="D153" s="667">
        <v>2.1515630330821871</v>
      </c>
      <c r="E153" s="667">
        <v>0</v>
      </c>
      <c r="F153" s="667">
        <v>60.633851498686084</v>
      </c>
      <c r="G153" s="667">
        <v>11.308698202036204</v>
      </c>
      <c r="H153" s="675">
        <v>44.827825643069339</v>
      </c>
      <c r="I153" s="667">
        <v>1.0268674996903817</v>
      </c>
      <c r="J153" s="667">
        <v>0</v>
      </c>
      <c r="K153" s="667">
        <v>0</v>
      </c>
      <c r="L153" s="667">
        <v>55.18887790788726</v>
      </c>
      <c r="M153" s="667">
        <v>2.2282982295903557</v>
      </c>
      <c r="N153" s="667">
        <v>90.490664930795546</v>
      </c>
      <c r="O153" s="667">
        <v>65.368133907372865</v>
      </c>
      <c r="P153" s="667">
        <v>155.82057805919561</v>
      </c>
      <c r="Q153" s="667">
        <v>5.7345256264080096</v>
      </c>
      <c r="R153" s="667">
        <v>476.63476193341518</v>
      </c>
      <c r="S153" s="667">
        <v>62.259463122360671</v>
      </c>
      <c r="T153" s="667">
        <v>42.527643834527936</v>
      </c>
      <c r="U153" s="667">
        <v>1076.2017534281176</v>
      </c>
    </row>
    <row r="154" spans="3:21">
      <c r="C154" s="654"/>
      <c r="D154" s="672">
        <v>0</v>
      </c>
      <c r="E154" s="672">
        <v>0</v>
      </c>
      <c r="F154" s="672">
        <v>0</v>
      </c>
      <c r="G154" s="672">
        <v>0</v>
      </c>
      <c r="H154" s="672">
        <v>0</v>
      </c>
      <c r="I154" s="672">
        <v>-1.3183898417423734E-16</v>
      </c>
      <c r="J154" s="672">
        <v>0</v>
      </c>
      <c r="K154" s="672">
        <v>0</v>
      </c>
      <c r="L154" s="672">
        <v>0</v>
      </c>
      <c r="M154" s="672">
        <v>0</v>
      </c>
      <c r="N154" s="672">
        <v>1.2434497875801753E-14</v>
      </c>
      <c r="O154" s="672">
        <v>-1.8207657603852567E-14</v>
      </c>
      <c r="P154" s="672">
        <v>0</v>
      </c>
      <c r="Q154" s="672">
        <v>0</v>
      </c>
      <c r="R154" s="672">
        <v>5.6843418860808015E-14</v>
      </c>
      <c r="S154" s="672">
        <v>0</v>
      </c>
      <c r="T154" s="672">
        <v>4.4408920985006262E-15</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row r="156" spans="3:21" ht="14.5">
      <c r="C156" s="658" t="s">
        <v>89</v>
      </c>
      <c r="D156" s="659"/>
      <c r="E156" s="659"/>
      <c r="F156" s="659"/>
      <c r="G156" s="659"/>
      <c r="H156" s="659"/>
      <c r="I156" s="659"/>
      <c r="J156" s="659"/>
      <c r="K156" s="659"/>
      <c r="L156" s="659"/>
      <c r="M156" s="659"/>
      <c r="N156" s="659"/>
      <c r="O156" s="659"/>
      <c r="P156" s="659"/>
      <c r="Q156" s="659"/>
      <c r="R156" s="659"/>
      <c r="S156" s="659"/>
      <c r="T156" s="659"/>
      <c r="U156" s="659"/>
    </row>
    <row r="157" spans="3:21">
      <c r="C157" s="654"/>
      <c r="D157" s="654"/>
      <c r="E157" s="654"/>
      <c r="F157" s="654"/>
      <c r="G157" s="654"/>
      <c r="H157" s="654"/>
      <c r="I157" s="654"/>
      <c r="J157" s="654"/>
      <c r="K157" s="654"/>
      <c r="L157" s="654"/>
      <c r="M157" s="654"/>
      <c r="N157" s="654"/>
      <c r="O157" s="654"/>
      <c r="P157" s="654"/>
      <c r="Q157" s="654"/>
      <c r="R157" s="654"/>
      <c r="S157" s="654"/>
      <c r="T157" s="654"/>
      <c r="U157" s="654"/>
    </row>
    <row r="158" spans="3:21" ht="13">
      <c r="C158" s="706" t="s">
        <v>128</v>
      </c>
      <c r="D158" s="704" t="s">
        <v>42</v>
      </c>
      <c r="E158" s="704" t="s">
        <v>52</v>
      </c>
      <c r="F158" s="704" t="s">
        <v>53</v>
      </c>
      <c r="G158" s="704" t="s">
        <v>487</v>
      </c>
      <c r="H158" s="704" t="s">
        <v>32</v>
      </c>
      <c r="I158" s="704" t="s">
        <v>488</v>
      </c>
      <c r="J158" s="704" t="s">
        <v>20</v>
      </c>
      <c r="K158" s="704" t="s">
        <v>55</v>
      </c>
      <c r="L158" s="708" t="s">
        <v>56</v>
      </c>
      <c r="M158" s="709"/>
      <c r="N158" s="709"/>
      <c r="O158" s="709"/>
      <c r="P158" s="709"/>
      <c r="Q158" s="710"/>
      <c r="R158" s="704" t="s">
        <v>57</v>
      </c>
      <c r="S158" s="704" t="s">
        <v>58</v>
      </c>
      <c r="T158" s="704" t="s">
        <v>31</v>
      </c>
      <c r="U158" s="704" t="s">
        <v>10</v>
      </c>
    </row>
    <row r="159" spans="3:21" ht="36">
      <c r="C159" s="707"/>
      <c r="D159" s="705"/>
      <c r="E159" s="705"/>
      <c r="F159" s="705"/>
      <c r="G159" s="705"/>
      <c r="H159" s="705"/>
      <c r="I159" s="705"/>
      <c r="J159" s="705"/>
      <c r="K159" s="705"/>
      <c r="L159" s="660" t="s">
        <v>338</v>
      </c>
      <c r="M159" s="660" t="s">
        <v>40</v>
      </c>
      <c r="N159" s="660" t="s">
        <v>346</v>
      </c>
      <c r="O159" s="660" t="s">
        <v>347</v>
      </c>
      <c r="P159" s="661" t="s">
        <v>348</v>
      </c>
      <c r="Q159" s="660" t="s">
        <v>349</v>
      </c>
      <c r="R159" s="705"/>
      <c r="S159" s="705"/>
      <c r="T159" s="705"/>
      <c r="U159" s="705"/>
    </row>
    <row r="160" spans="3:21" ht="13">
      <c r="C160" s="662" t="s">
        <v>59</v>
      </c>
      <c r="D160" s="663">
        <v>0</v>
      </c>
      <c r="E160" s="663">
        <v>0</v>
      </c>
      <c r="F160" s="663">
        <v>0</v>
      </c>
      <c r="G160" s="663">
        <v>0</v>
      </c>
      <c r="H160" s="663">
        <v>0</v>
      </c>
      <c r="I160" s="663">
        <v>0</v>
      </c>
      <c r="J160" s="664">
        <v>712.60987447127138</v>
      </c>
      <c r="K160" s="664">
        <v>556.92135057124881</v>
      </c>
      <c r="L160" s="664">
        <v>261.57522104592402</v>
      </c>
      <c r="M160" s="664">
        <v>19.228684940511499</v>
      </c>
      <c r="N160" s="663">
        <v>1.5563580670349855</v>
      </c>
      <c r="O160" s="663">
        <v>0.17110271620039663</v>
      </c>
      <c r="P160" s="664">
        <v>167.23788927594987</v>
      </c>
      <c r="Q160" s="664">
        <v>24.373068583718577</v>
      </c>
      <c r="R160" s="663">
        <v>0</v>
      </c>
      <c r="S160" s="663">
        <v>0</v>
      </c>
      <c r="T160" s="663">
        <v>0</v>
      </c>
      <c r="U160" s="665">
        <v>1743.6735496718593</v>
      </c>
    </row>
    <row r="161" spans="3:21" ht="13">
      <c r="C161" s="662" t="s">
        <v>60</v>
      </c>
      <c r="D161" s="663">
        <v>5.9311888025037742</v>
      </c>
      <c r="E161" s="663">
        <v>113.95685880900638</v>
      </c>
      <c r="F161" s="663">
        <v>1.9517818504706483</v>
      </c>
      <c r="G161" s="663">
        <v>0</v>
      </c>
      <c r="H161" s="663">
        <v>2.6585092475046008</v>
      </c>
      <c r="I161" s="663">
        <v>0</v>
      </c>
      <c r="J161" s="663">
        <v>0</v>
      </c>
      <c r="K161" s="663">
        <v>0</v>
      </c>
      <c r="L161" s="663">
        <v>5.2309321400654634</v>
      </c>
      <c r="M161" s="663">
        <v>0</v>
      </c>
      <c r="N161" s="663">
        <v>5.4084519189769722</v>
      </c>
      <c r="O161" s="663">
        <v>0</v>
      </c>
      <c r="P161" s="663">
        <v>0</v>
      </c>
      <c r="Q161" s="663">
        <v>0</v>
      </c>
      <c r="R161" s="663">
        <v>0</v>
      </c>
      <c r="S161" s="663">
        <v>0</v>
      </c>
      <c r="T161" s="663">
        <v>0</v>
      </c>
      <c r="U161" s="665">
        <v>135.13772276852782</v>
      </c>
    </row>
    <row r="162" spans="3:21" ht="13">
      <c r="C162" s="662" t="s">
        <v>61</v>
      </c>
      <c r="D162" s="663">
        <v>0</v>
      </c>
      <c r="E162" s="663">
        <v>0</v>
      </c>
      <c r="F162" s="663">
        <v>-33.824093823668861</v>
      </c>
      <c r="G162" s="663">
        <v>-8.545793370460693</v>
      </c>
      <c r="H162" s="663">
        <v>0</v>
      </c>
      <c r="I162" s="663">
        <v>0</v>
      </c>
      <c r="J162" s="663">
        <v>0</v>
      </c>
      <c r="K162" s="663">
        <v>0</v>
      </c>
      <c r="L162" s="663">
        <v>0</v>
      </c>
      <c r="M162" s="663">
        <v>0</v>
      </c>
      <c r="N162" s="663">
        <v>0</v>
      </c>
      <c r="O162" s="663">
        <v>0</v>
      </c>
      <c r="P162" s="663">
        <v>0</v>
      </c>
      <c r="Q162" s="663">
        <v>0</v>
      </c>
      <c r="R162" s="663">
        <v>-40.000075434727478</v>
      </c>
      <c r="S162" s="663">
        <v>0</v>
      </c>
      <c r="T162" s="663">
        <v>0</v>
      </c>
      <c r="U162" s="665">
        <v>-82.369962628857039</v>
      </c>
    </row>
    <row r="163" spans="3:21" ht="13">
      <c r="C163" s="662" t="s">
        <v>62</v>
      </c>
      <c r="D163" s="663">
        <v>0</v>
      </c>
      <c r="E163" s="663">
        <v>0</v>
      </c>
      <c r="F163" s="663">
        <v>-1.6540275032482068</v>
      </c>
      <c r="G163" s="663">
        <v>-4.2955328800984329</v>
      </c>
      <c r="H163" s="663">
        <v>0</v>
      </c>
      <c r="I163" s="663">
        <v>-0.31877375583888373</v>
      </c>
      <c r="J163" s="663">
        <v>0</v>
      </c>
      <c r="K163" s="663">
        <v>0</v>
      </c>
      <c r="L163" s="663">
        <v>0</v>
      </c>
      <c r="M163" s="663">
        <v>0</v>
      </c>
      <c r="N163" s="663">
        <v>-0.24545902171991044</v>
      </c>
      <c r="O163" s="663">
        <v>-6.0567013609387903</v>
      </c>
      <c r="P163" s="663">
        <v>0</v>
      </c>
      <c r="Q163" s="663">
        <v>0</v>
      </c>
      <c r="R163" s="663">
        <v>0</v>
      </c>
      <c r="S163" s="663">
        <v>0</v>
      </c>
      <c r="T163" s="663">
        <v>0</v>
      </c>
      <c r="U163" s="665">
        <v>-12.570494521844225</v>
      </c>
    </row>
    <row r="164" spans="3:21" ht="13">
      <c r="C164" s="662" t="s">
        <v>63</v>
      </c>
      <c r="D164" s="663">
        <v>0</v>
      </c>
      <c r="E164" s="663">
        <v>0</v>
      </c>
      <c r="F164" s="663">
        <v>-18.714774559646315</v>
      </c>
      <c r="G164" s="663">
        <v>-28.257765893495769</v>
      </c>
      <c r="H164" s="663">
        <v>0</v>
      </c>
      <c r="I164" s="663">
        <v>0</v>
      </c>
      <c r="J164" s="663">
        <v>0</v>
      </c>
      <c r="K164" s="663">
        <v>0</v>
      </c>
      <c r="L164" s="663">
        <v>0</v>
      </c>
      <c r="M164" s="663">
        <v>0</v>
      </c>
      <c r="N164" s="663">
        <v>-13.972472121868162</v>
      </c>
      <c r="O164" s="663">
        <v>0</v>
      </c>
      <c r="P164" s="663">
        <v>0</v>
      </c>
      <c r="Q164" s="663">
        <v>0</v>
      </c>
      <c r="R164" s="663">
        <v>0</v>
      </c>
      <c r="S164" s="663">
        <v>0</v>
      </c>
      <c r="T164" s="663">
        <v>-2.6159745910871801</v>
      </c>
      <c r="U164" s="665">
        <v>-63.560987166097433</v>
      </c>
    </row>
    <row r="165" spans="3:21" ht="13">
      <c r="C165" s="662" t="s">
        <v>64</v>
      </c>
      <c r="D165" s="663">
        <v>0</v>
      </c>
      <c r="E165" s="663">
        <v>0</v>
      </c>
      <c r="F165" s="663">
        <v>0</v>
      </c>
      <c r="G165" s="663">
        <v>0</v>
      </c>
      <c r="H165" s="663">
        <v>0</v>
      </c>
      <c r="I165" s="663">
        <v>0</v>
      </c>
      <c r="J165" s="663">
        <v>0</v>
      </c>
      <c r="K165" s="663">
        <v>0</v>
      </c>
      <c r="L165" s="663">
        <v>0</v>
      </c>
      <c r="M165" s="663">
        <v>0</v>
      </c>
      <c r="N165" s="663">
        <v>0</v>
      </c>
      <c r="O165" s="663">
        <v>0</v>
      </c>
      <c r="P165" s="663">
        <v>0</v>
      </c>
      <c r="Q165" s="663">
        <v>0</v>
      </c>
      <c r="R165" s="663">
        <v>0</v>
      </c>
      <c r="S165" s="663">
        <v>0</v>
      </c>
      <c r="T165" s="663">
        <v>0</v>
      </c>
      <c r="U165" s="665">
        <v>0</v>
      </c>
    </row>
    <row r="166" spans="3:21" ht="13">
      <c r="C166" s="666" t="s">
        <v>65</v>
      </c>
      <c r="D166" s="667">
        <v>5.9311888025037742</v>
      </c>
      <c r="E166" s="667">
        <v>113.95685880900638</v>
      </c>
      <c r="F166" s="667">
        <v>-52.241114036092739</v>
      </c>
      <c r="G166" s="667">
        <v>-41.099092144054893</v>
      </c>
      <c r="H166" s="675">
        <v>2.6585092475046008</v>
      </c>
      <c r="I166" s="667">
        <v>-0.31877375583888373</v>
      </c>
      <c r="J166" s="667">
        <v>712.60987447127138</v>
      </c>
      <c r="K166" s="667">
        <v>556.92135057124881</v>
      </c>
      <c r="L166" s="667">
        <v>266.80615318598944</v>
      </c>
      <c r="M166" s="667">
        <v>19.228684940511499</v>
      </c>
      <c r="N166" s="667">
        <v>-7.2531211575761132</v>
      </c>
      <c r="O166" s="667">
        <v>-5.8855986447383941</v>
      </c>
      <c r="P166" s="667">
        <v>167.23788927594987</v>
      </c>
      <c r="Q166" s="667">
        <v>24.373068583718577</v>
      </c>
      <c r="R166" s="667">
        <v>-40.000075434727478</v>
      </c>
      <c r="S166" s="667">
        <v>0</v>
      </c>
      <c r="T166" s="667">
        <v>-2.6159745910871801</v>
      </c>
      <c r="U166" s="667">
        <v>1720.3098281235887</v>
      </c>
    </row>
    <row r="167" spans="3:21" ht="13">
      <c r="C167" s="668"/>
      <c r="D167" s="669">
        <v>0</v>
      </c>
      <c r="E167" s="669">
        <v>0</v>
      </c>
      <c r="F167" s="669">
        <v>0</v>
      </c>
      <c r="G167" s="669">
        <v>0</v>
      </c>
      <c r="H167" s="676">
        <v>0</v>
      </c>
      <c r="I167" s="669">
        <v>0</v>
      </c>
      <c r="J167" s="669">
        <v>0</v>
      </c>
      <c r="K167" s="669">
        <v>0</v>
      </c>
      <c r="L167" s="669">
        <v>0</v>
      </c>
      <c r="M167" s="669">
        <v>0</v>
      </c>
      <c r="N167" s="669">
        <v>0</v>
      </c>
      <c r="O167" s="669">
        <v>0</v>
      </c>
      <c r="P167" s="669">
        <v>0</v>
      </c>
      <c r="Q167" s="669">
        <v>0</v>
      </c>
      <c r="R167" s="669">
        <v>0</v>
      </c>
      <c r="S167" s="669">
        <v>0</v>
      </c>
      <c r="T167" s="669">
        <v>0</v>
      </c>
      <c r="U167" s="669">
        <v>0</v>
      </c>
    </row>
    <row r="168" spans="3:21" ht="13">
      <c r="C168" s="670" t="s">
        <v>67</v>
      </c>
      <c r="D168" s="663">
        <v>0</v>
      </c>
      <c r="E168" s="663">
        <v>0</v>
      </c>
      <c r="F168" s="663">
        <v>0</v>
      </c>
      <c r="G168" s="663">
        <v>0</v>
      </c>
      <c r="H168" s="663">
        <v>0</v>
      </c>
      <c r="I168" s="663">
        <v>0</v>
      </c>
      <c r="J168" s="663">
        <v>0</v>
      </c>
      <c r="K168" s="663">
        <v>0</v>
      </c>
      <c r="L168" s="663">
        <v>0</v>
      </c>
      <c r="M168" s="663">
        <v>0</v>
      </c>
      <c r="N168" s="663">
        <v>0</v>
      </c>
      <c r="O168" s="663">
        <v>0</v>
      </c>
      <c r="P168" s="663">
        <v>0</v>
      </c>
      <c r="Q168" s="663">
        <v>0</v>
      </c>
      <c r="R168" s="663">
        <v>0</v>
      </c>
      <c r="S168" s="663">
        <v>0</v>
      </c>
      <c r="T168" s="663">
        <v>0</v>
      </c>
      <c r="U168" s="671">
        <v>0</v>
      </c>
    </row>
    <row r="169" spans="3:21" ht="13">
      <c r="C169" s="670" t="s">
        <v>350</v>
      </c>
      <c r="D169" s="663">
        <v>0</v>
      </c>
      <c r="E169" s="663">
        <v>0</v>
      </c>
      <c r="F169" s="663">
        <v>0</v>
      </c>
      <c r="G169" s="663">
        <v>0</v>
      </c>
      <c r="H169" s="663">
        <v>0</v>
      </c>
      <c r="I169" s="663">
        <v>0</v>
      </c>
      <c r="J169" s="663">
        <v>712.60987447127138</v>
      </c>
      <c r="K169" s="663">
        <v>556.92135057124881</v>
      </c>
      <c r="L169" s="663">
        <v>14.491283228737107</v>
      </c>
      <c r="M169" s="663">
        <v>2.8053264742296591</v>
      </c>
      <c r="N169" s="663">
        <v>6.5561937148871507</v>
      </c>
      <c r="O169" s="663">
        <v>0.11326810820885491</v>
      </c>
      <c r="P169" s="663">
        <v>0</v>
      </c>
      <c r="Q169" s="663">
        <v>6.7631767445353068</v>
      </c>
      <c r="R169" s="663">
        <v>-809.85847053245573</v>
      </c>
      <c r="S169" s="663">
        <v>0</v>
      </c>
      <c r="T169" s="663">
        <v>25.915656492161155</v>
      </c>
      <c r="U169" s="671">
        <v>516.31765927282356</v>
      </c>
    </row>
    <row r="170" spans="3:21" ht="13">
      <c r="C170" s="670" t="s">
        <v>351</v>
      </c>
      <c r="D170" s="663">
        <v>0</v>
      </c>
      <c r="E170" s="663">
        <v>0</v>
      </c>
      <c r="F170" s="663">
        <v>0</v>
      </c>
      <c r="G170" s="663">
        <v>0</v>
      </c>
      <c r="H170" s="663">
        <v>0</v>
      </c>
      <c r="I170" s="663">
        <v>0</v>
      </c>
      <c r="J170" s="663">
        <v>0</v>
      </c>
      <c r="K170" s="663">
        <v>0</v>
      </c>
      <c r="L170" s="663">
        <v>33.721862056250039</v>
      </c>
      <c r="M170" s="663">
        <v>14.376617363231052</v>
      </c>
      <c r="N170" s="663">
        <v>0</v>
      </c>
      <c r="O170" s="663">
        <v>8.1785673020738106</v>
      </c>
      <c r="P170" s="663">
        <v>0</v>
      </c>
      <c r="Q170" s="663">
        <v>11.316516045102318</v>
      </c>
      <c r="R170" s="663">
        <v>0</v>
      </c>
      <c r="S170" s="663">
        <v>-64.575476384232388</v>
      </c>
      <c r="T170" s="663">
        <v>0</v>
      </c>
      <c r="U170" s="671">
        <v>3.0180863824248352</v>
      </c>
    </row>
    <row r="171" spans="3:21" ht="13">
      <c r="C171" s="670" t="s">
        <v>352</v>
      </c>
      <c r="D171" s="663">
        <v>0</v>
      </c>
      <c r="E171" s="663">
        <v>0</v>
      </c>
      <c r="F171" s="663">
        <v>0</v>
      </c>
      <c r="G171" s="663">
        <v>0</v>
      </c>
      <c r="H171" s="663">
        <v>0</v>
      </c>
      <c r="I171" s="663">
        <v>0</v>
      </c>
      <c r="J171" s="663">
        <v>0</v>
      </c>
      <c r="K171" s="663">
        <v>0</v>
      </c>
      <c r="L171" s="663">
        <v>104.38683240846164</v>
      </c>
      <c r="M171" s="663">
        <v>0</v>
      </c>
      <c r="N171" s="663">
        <v>0</v>
      </c>
      <c r="O171" s="663">
        <v>-100.27188716566127</v>
      </c>
      <c r="P171" s="663">
        <v>0</v>
      </c>
      <c r="Q171" s="663">
        <v>0</v>
      </c>
      <c r="R171" s="663">
        <v>0</v>
      </c>
      <c r="S171" s="663">
        <v>0</v>
      </c>
      <c r="T171" s="663">
        <v>0</v>
      </c>
      <c r="U171" s="671">
        <v>4.1149452428003741</v>
      </c>
    </row>
    <row r="172" spans="3:21" ht="13">
      <c r="C172" s="670" t="s">
        <v>353</v>
      </c>
      <c r="D172" s="663">
        <v>0</v>
      </c>
      <c r="E172" s="663">
        <v>0</v>
      </c>
      <c r="F172" s="663">
        <v>0</v>
      </c>
      <c r="G172" s="663">
        <v>0</v>
      </c>
      <c r="H172" s="663">
        <v>0</v>
      </c>
      <c r="I172" s="663">
        <v>-4.5962253881571415</v>
      </c>
      <c r="J172" s="663">
        <v>0</v>
      </c>
      <c r="K172" s="663">
        <v>0</v>
      </c>
      <c r="L172" s="663">
        <v>0</v>
      </c>
      <c r="M172" s="663">
        <v>0</v>
      </c>
      <c r="N172" s="663">
        <v>0</v>
      </c>
      <c r="O172" s="663">
        <v>0</v>
      </c>
      <c r="P172" s="663">
        <v>0</v>
      </c>
      <c r="Q172" s="663">
        <v>0</v>
      </c>
      <c r="R172" s="663">
        <v>0</v>
      </c>
      <c r="S172" s="663">
        <v>0</v>
      </c>
      <c r="T172" s="663">
        <v>6.4074201765093832</v>
      </c>
      <c r="U172" s="671">
        <v>1.8111947883522417</v>
      </c>
    </row>
    <row r="173" spans="3:21" ht="13">
      <c r="C173" s="670" t="s">
        <v>72</v>
      </c>
      <c r="D173" s="663">
        <v>0</v>
      </c>
      <c r="E173" s="663">
        <v>118.07035586741333</v>
      </c>
      <c r="F173" s="663">
        <v>-116.89188714951831</v>
      </c>
      <c r="G173" s="663">
        <v>0</v>
      </c>
      <c r="H173" s="663">
        <v>0</v>
      </c>
      <c r="I173" s="663">
        <v>0</v>
      </c>
      <c r="J173" s="663">
        <v>0</v>
      </c>
      <c r="K173" s="663">
        <v>0</v>
      </c>
      <c r="L173" s="663">
        <v>0</v>
      </c>
      <c r="M173" s="663">
        <v>0</v>
      </c>
      <c r="N173" s="663">
        <v>0</v>
      </c>
      <c r="O173" s="663">
        <v>0</v>
      </c>
      <c r="P173" s="663">
        <v>0</v>
      </c>
      <c r="Q173" s="663">
        <v>0</v>
      </c>
      <c r="R173" s="663">
        <v>0</v>
      </c>
      <c r="S173" s="663">
        <v>0</v>
      </c>
      <c r="T173" s="663">
        <v>0</v>
      </c>
      <c r="U173" s="671">
        <v>1.1784687178950146</v>
      </c>
    </row>
    <row r="174" spans="3:21" ht="13">
      <c r="C174" s="670" t="s">
        <v>354</v>
      </c>
      <c r="D174" s="663">
        <v>0</v>
      </c>
      <c r="E174" s="663">
        <v>0</v>
      </c>
      <c r="F174" s="663">
        <v>0</v>
      </c>
      <c r="G174" s="663">
        <v>0</v>
      </c>
      <c r="H174" s="663">
        <v>0</v>
      </c>
      <c r="I174" s="663">
        <v>0</v>
      </c>
      <c r="J174" s="663">
        <v>0</v>
      </c>
      <c r="K174" s="663">
        <v>0</v>
      </c>
      <c r="L174" s="663">
        <v>61.244429678974598</v>
      </c>
      <c r="M174" s="663">
        <v>0</v>
      </c>
      <c r="N174" s="663">
        <v>-61.244429678974598</v>
      </c>
      <c r="O174" s="663">
        <v>0</v>
      </c>
      <c r="P174" s="663">
        <v>0</v>
      </c>
      <c r="Q174" s="663">
        <v>0</v>
      </c>
      <c r="R174" s="663">
        <v>0</v>
      </c>
      <c r="S174" s="663">
        <v>0</v>
      </c>
      <c r="T174" s="663">
        <v>0</v>
      </c>
      <c r="U174" s="671">
        <v>0</v>
      </c>
    </row>
    <row r="175" spans="3:21" ht="13">
      <c r="C175" s="670" t="s">
        <v>355</v>
      </c>
      <c r="D175" s="663">
        <v>0</v>
      </c>
      <c r="E175" s="663">
        <v>0</v>
      </c>
      <c r="F175" s="663">
        <v>0</v>
      </c>
      <c r="G175" s="663">
        <v>-56.725829149009897</v>
      </c>
      <c r="H175" s="663">
        <v>0</v>
      </c>
      <c r="I175" s="663">
        <v>0</v>
      </c>
      <c r="J175" s="663">
        <v>0</v>
      </c>
      <c r="K175" s="663">
        <v>0</v>
      </c>
      <c r="L175" s="663">
        <v>0</v>
      </c>
      <c r="M175" s="663">
        <v>0</v>
      </c>
      <c r="N175" s="663">
        <v>0</v>
      </c>
      <c r="O175" s="663">
        <v>0</v>
      </c>
      <c r="P175" s="663">
        <v>0</v>
      </c>
      <c r="Q175" s="663">
        <v>0</v>
      </c>
      <c r="R175" s="663">
        <v>0</v>
      </c>
      <c r="S175" s="663">
        <v>0</v>
      </c>
      <c r="T175" s="663">
        <v>79.005333076615457</v>
      </c>
      <c r="U175" s="671">
        <v>22.27950392760556</v>
      </c>
    </row>
    <row r="176" spans="3:21" ht="13">
      <c r="C176" s="670" t="s">
        <v>73</v>
      </c>
      <c r="D176" s="663">
        <v>0</v>
      </c>
      <c r="E176" s="663">
        <v>0</v>
      </c>
      <c r="F176" s="663">
        <v>0</v>
      </c>
      <c r="G176" s="663">
        <v>0</v>
      </c>
      <c r="H176" s="663">
        <v>0</v>
      </c>
      <c r="I176" s="663">
        <v>0</v>
      </c>
      <c r="J176" s="663">
        <v>0</v>
      </c>
      <c r="K176" s="663">
        <v>0</v>
      </c>
      <c r="L176" s="663">
        <v>0</v>
      </c>
      <c r="M176" s="663">
        <v>0</v>
      </c>
      <c r="N176" s="663">
        <v>0</v>
      </c>
      <c r="O176" s="663">
        <v>0</v>
      </c>
      <c r="P176" s="663">
        <v>0</v>
      </c>
      <c r="Q176" s="663">
        <v>0</v>
      </c>
      <c r="R176" s="663">
        <v>227.10664749932533</v>
      </c>
      <c r="S176" s="663">
        <v>0</v>
      </c>
      <c r="T176" s="663">
        <v>-163.51678619951423</v>
      </c>
      <c r="U176" s="671">
        <v>63.589861299811105</v>
      </c>
    </row>
    <row r="177" spans="3:21" ht="13">
      <c r="C177" s="670" t="s">
        <v>356</v>
      </c>
      <c r="D177" s="663">
        <v>3.3456624609374996</v>
      </c>
      <c r="E177" s="663">
        <v>-4.1134970584069457</v>
      </c>
      <c r="F177" s="663">
        <v>5.3691262200413341</v>
      </c>
      <c r="G177" s="663">
        <v>0</v>
      </c>
      <c r="H177" s="663">
        <v>0</v>
      </c>
      <c r="I177" s="663">
        <v>0</v>
      </c>
      <c r="J177" s="663">
        <v>0</v>
      </c>
      <c r="K177" s="663">
        <v>0</v>
      </c>
      <c r="L177" s="663">
        <v>0</v>
      </c>
      <c r="M177" s="663">
        <v>0</v>
      </c>
      <c r="N177" s="663">
        <v>0</v>
      </c>
      <c r="O177" s="663">
        <v>0</v>
      </c>
      <c r="P177" s="663">
        <v>0</v>
      </c>
      <c r="Q177" s="663">
        <v>0</v>
      </c>
      <c r="R177" s="663">
        <v>0</v>
      </c>
      <c r="S177" s="663">
        <v>0</v>
      </c>
      <c r="T177" s="663">
        <v>0</v>
      </c>
      <c r="U177" s="671">
        <v>4.6012916225718881</v>
      </c>
    </row>
    <row r="178" spans="3:21" ht="13">
      <c r="C178" s="670" t="s">
        <v>75</v>
      </c>
      <c r="D178" s="663">
        <v>1.3010909570312501</v>
      </c>
      <c r="E178" s="663">
        <v>0</v>
      </c>
      <c r="F178" s="663">
        <v>16.404377382526505</v>
      </c>
      <c r="G178" s="663">
        <v>0</v>
      </c>
      <c r="H178" s="663">
        <v>0</v>
      </c>
      <c r="I178" s="663">
        <v>0.23833359000000001</v>
      </c>
      <c r="J178" s="663">
        <v>0</v>
      </c>
      <c r="K178" s="663">
        <v>0</v>
      </c>
      <c r="L178" s="663">
        <v>0</v>
      </c>
      <c r="M178" s="663">
        <v>0</v>
      </c>
      <c r="N178" s="663">
        <v>0</v>
      </c>
      <c r="O178" s="663">
        <v>4.5283382100000003</v>
      </c>
      <c r="P178" s="663">
        <v>0</v>
      </c>
      <c r="Q178" s="663">
        <v>0</v>
      </c>
      <c r="R178" s="663">
        <v>17.221013858771279</v>
      </c>
      <c r="S178" s="663">
        <v>0</v>
      </c>
      <c r="T178" s="663">
        <v>0</v>
      </c>
      <c r="U178" s="671">
        <v>39.693153998329031</v>
      </c>
    </row>
    <row r="179" spans="3:21" ht="13">
      <c r="C179" s="670" t="s">
        <v>76</v>
      </c>
      <c r="D179" s="663">
        <v>0</v>
      </c>
      <c r="E179" s="663">
        <v>0</v>
      </c>
      <c r="F179" s="663">
        <v>0</v>
      </c>
      <c r="G179" s="663">
        <v>0</v>
      </c>
      <c r="H179" s="663">
        <v>0</v>
      </c>
      <c r="I179" s="663">
        <v>5.9340338699632358E-2</v>
      </c>
      <c r="J179" s="663">
        <v>0</v>
      </c>
      <c r="K179" s="663">
        <v>0</v>
      </c>
      <c r="L179" s="663">
        <v>0</v>
      </c>
      <c r="M179" s="663">
        <v>0</v>
      </c>
      <c r="N179" s="663">
        <v>0</v>
      </c>
      <c r="O179" s="663">
        <v>1.1274664352930146</v>
      </c>
      <c r="P179" s="663">
        <v>0</v>
      </c>
      <c r="Q179" s="663">
        <v>0</v>
      </c>
      <c r="R179" s="663">
        <v>58.897580266978245</v>
      </c>
      <c r="S179" s="663">
        <v>5.0089527300753778</v>
      </c>
      <c r="T179" s="663">
        <v>0</v>
      </c>
      <c r="U179" s="671">
        <v>65.093339771046274</v>
      </c>
    </row>
    <row r="180" spans="3:21" ht="13">
      <c r="C180" s="666" t="s">
        <v>77</v>
      </c>
      <c r="D180" s="667">
        <v>4.6467534179687497</v>
      </c>
      <c r="E180" s="667">
        <v>113.95685880900638</v>
      </c>
      <c r="F180" s="667">
        <v>-95.118383546950469</v>
      </c>
      <c r="G180" s="667">
        <v>-56.725829149009897</v>
      </c>
      <c r="H180" s="675">
        <v>0</v>
      </c>
      <c r="I180" s="667">
        <v>-4.2985514594575092</v>
      </c>
      <c r="J180" s="667">
        <v>712.60987447127138</v>
      </c>
      <c r="K180" s="667">
        <v>556.92135057124881</v>
      </c>
      <c r="L180" s="667">
        <v>213.8444073724234</v>
      </c>
      <c r="M180" s="667">
        <v>17.181943837460711</v>
      </c>
      <c r="N180" s="667">
        <v>-54.688235964087447</v>
      </c>
      <c r="O180" s="667">
        <v>-86.324247110085594</v>
      </c>
      <c r="P180" s="667">
        <v>0</v>
      </c>
      <c r="Q180" s="667">
        <v>18.079692789637626</v>
      </c>
      <c r="R180" s="667">
        <v>-506.63322890738101</v>
      </c>
      <c r="S180" s="667">
        <v>-59.56652365415701</v>
      </c>
      <c r="T180" s="667">
        <v>-52.188376454228234</v>
      </c>
      <c r="U180" s="667">
        <v>721.69750502365991</v>
      </c>
    </row>
    <row r="181" spans="3:21" ht="13">
      <c r="C181" s="668"/>
      <c r="D181" s="669">
        <v>0</v>
      </c>
      <c r="E181" s="669">
        <v>0</v>
      </c>
      <c r="F181" s="669">
        <v>0</v>
      </c>
      <c r="G181" s="669">
        <v>0</v>
      </c>
      <c r="H181" s="676">
        <v>0</v>
      </c>
      <c r="I181" s="669">
        <v>0</v>
      </c>
      <c r="J181" s="669">
        <v>0</v>
      </c>
      <c r="K181" s="669">
        <v>0</v>
      </c>
      <c r="L181" s="669">
        <v>0</v>
      </c>
      <c r="M181" s="669">
        <v>0</v>
      </c>
      <c r="N181" s="669">
        <v>0</v>
      </c>
      <c r="O181" s="669">
        <v>0</v>
      </c>
      <c r="P181" s="669">
        <v>0</v>
      </c>
      <c r="Q181" s="669">
        <v>0</v>
      </c>
      <c r="R181" s="669">
        <v>0</v>
      </c>
      <c r="S181" s="669">
        <v>0</v>
      </c>
      <c r="T181" s="669">
        <v>0</v>
      </c>
      <c r="U181" s="669">
        <v>0</v>
      </c>
    </row>
    <row r="182" spans="3:21" ht="13">
      <c r="C182" s="670" t="s">
        <v>78</v>
      </c>
      <c r="D182" s="663">
        <v>1.2844353845350245</v>
      </c>
      <c r="E182" s="663">
        <v>0</v>
      </c>
      <c r="F182" s="663">
        <v>0.671413025716175</v>
      </c>
      <c r="G182" s="663">
        <v>0</v>
      </c>
      <c r="H182" s="663">
        <v>0</v>
      </c>
      <c r="I182" s="663">
        <v>1.6768235413433659</v>
      </c>
      <c r="J182" s="663">
        <v>0</v>
      </c>
      <c r="K182" s="663">
        <v>0</v>
      </c>
      <c r="L182" s="663">
        <v>18.511250218523632</v>
      </c>
      <c r="M182" s="663">
        <v>2.0464486619012869</v>
      </c>
      <c r="N182" s="663">
        <v>1.4169866943359375</v>
      </c>
      <c r="O182" s="663">
        <v>31.901778101678747</v>
      </c>
      <c r="P182" s="663">
        <v>11.306912109375</v>
      </c>
      <c r="Q182" s="663">
        <v>8.5890570413253253E-4</v>
      </c>
      <c r="R182" s="663">
        <v>135.19292998685364</v>
      </c>
      <c r="S182" s="663">
        <v>18.430317312360387</v>
      </c>
      <c r="T182" s="663">
        <v>8.2355947265624998</v>
      </c>
      <c r="U182" s="671">
        <v>230.67574866888981</v>
      </c>
    </row>
    <row r="183" spans="3:21" ht="13">
      <c r="C183" s="670" t="s">
        <v>79</v>
      </c>
      <c r="D183" s="663">
        <v>0</v>
      </c>
      <c r="E183" s="663">
        <v>0</v>
      </c>
      <c r="F183" s="663">
        <v>2.0327553633446804</v>
      </c>
      <c r="G183" s="663">
        <v>2.9414401384596758</v>
      </c>
      <c r="H183" s="663">
        <v>0</v>
      </c>
      <c r="I183" s="663">
        <v>0.25814381907328782</v>
      </c>
      <c r="J183" s="663">
        <v>0</v>
      </c>
      <c r="K183" s="663">
        <v>0</v>
      </c>
      <c r="L183" s="663">
        <v>0</v>
      </c>
      <c r="M183" s="663">
        <v>0</v>
      </c>
      <c r="N183" s="663">
        <v>11.290866079539722</v>
      </c>
      <c r="O183" s="663">
        <v>4.9047325623924678</v>
      </c>
      <c r="P183" s="663">
        <v>0</v>
      </c>
      <c r="Q183" s="663">
        <v>0</v>
      </c>
      <c r="R183" s="663">
        <v>110.4417553978261</v>
      </c>
      <c r="S183" s="663">
        <v>0</v>
      </c>
      <c r="T183" s="663">
        <v>5.3966998641798476</v>
      </c>
      <c r="U183" s="671">
        <v>137.26639322481577</v>
      </c>
    </row>
    <row r="184" spans="3:21" ht="13">
      <c r="C184" s="670" t="s">
        <v>80</v>
      </c>
      <c r="D184" s="663">
        <v>0</v>
      </c>
      <c r="E184" s="663">
        <v>0</v>
      </c>
      <c r="F184" s="663">
        <v>0.19325490667833059</v>
      </c>
      <c r="G184" s="663">
        <v>0</v>
      </c>
      <c r="H184" s="663">
        <v>0</v>
      </c>
      <c r="I184" s="663">
        <v>1.3094987150488224</v>
      </c>
      <c r="J184" s="663">
        <v>0</v>
      </c>
      <c r="K184" s="663">
        <v>0</v>
      </c>
      <c r="L184" s="663">
        <v>28.937300829462252</v>
      </c>
      <c r="M184" s="663">
        <v>0</v>
      </c>
      <c r="N184" s="663">
        <v>0</v>
      </c>
      <c r="O184" s="663">
        <v>24.88047558592762</v>
      </c>
      <c r="P184" s="663">
        <v>124.95584249070536</v>
      </c>
      <c r="Q184" s="663">
        <v>3.1166998128913419</v>
      </c>
      <c r="R184" s="663">
        <v>129.06523934568938</v>
      </c>
      <c r="S184" s="663">
        <v>22.248806062911136</v>
      </c>
      <c r="T184" s="663">
        <v>0</v>
      </c>
      <c r="U184" s="671">
        <v>334.70711774931425</v>
      </c>
    </row>
    <row r="185" spans="3:21" ht="13">
      <c r="C185" s="670" t="s">
        <v>81</v>
      </c>
      <c r="D185" s="663">
        <v>0</v>
      </c>
      <c r="E185" s="663">
        <v>0</v>
      </c>
      <c r="F185" s="663">
        <v>0.13103912510682203</v>
      </c>
      <c r="G185" s="663">
        <v>0</v>
      </c>
      <c r="H185" s="663">
        <v>0</v>
      </c>
      <c r="I185" s="663">
        <v>0.65398403873429223</v>
      </c>
      <c r="J185" s="663">
        <v>0</v>
      </c>
      <c r="K185" s="663">
        <v>0</v>
      </c>
      <c r="L185" s="663">
        <v>0.34200087095620557</v>
      </c>
      <c r="M185" s="663">
        <v>2.9244114949902102E-4</v>
      </c>
      <c r="N185" s="663">
        <v>0</v>
      </c>
      <c r="O185" s="663">
        <v>12.425696735951551</v>
      </c>
      <c r="P185" s="663">
        <v>29.475134675869491</v>
      </c>
      <c r="Q185" s="663">
        <v>0.98841007039498519</v>
      </c>
      <c r="R185" s="663">
        <v>81.567308013661545</v>
      </c>
      <c r="S185" s="663">
        <v>18.887400278885494</v>
      </c>
      <c r="T185" s="663">
        <v>0</v>
      </c>
      <c r="U185" s="671">
        <v>144.4712662507099</v>
      </c>
    </row>
    <row r="186" spans="3:21" ht="13">
      <c r="C186" s="670" t="s">
        <v>82</v>
      </c>
      <c r="D186" s="663">
        <v>0</v>
      </c>
      <c r="E186" s="663">
        <v>0</v>
      </c>
      <c r="F186" s="663">
        <v>0</v>
      </c>
      <c r="G186" s="663">
        <v>0.49546247522038722</v>
      </c>
      <c r="H186" s="663">
        <v>0</v>
      </c>
      <c r="I186" s="663">
        <v>8.1327589418857746E-2</v>
      </c>
      <c r="J186" s="663">
        <v>0</v>
      </c>
      <c r="K186" s="663">
        <v>0</v>
      </c>
      <c r="L186" s="663">
        <v>4.5749249618986854</v>
      </c>
      <c r="M186" s="663">
        <v>0</v>
      </c>
      <c r="N186" s="663">
        <v>16.621294257606131</v>
      </c>
      <c r="O186" s="663">
        <v>1.5452241989582969</v>
      </c>
      <c r="P186" s="663">
        <v>1.5</v>
      </c>
      <c r="Q186" s="663">
        <v>2.1874070050904897</v>
      </c>
      <c r="R186" s="663">
        <v>7.8459207286229669</v>
      </c>
      <c r="S186" s="663">
        <v>0</v>
      </c>
      <c r="T186" s="663">
        <v>0.44339331184266689</v>
      </c>
      <c r="U186" s="671">
        <v>35.294954528658486</v>
      </c>
    </row>
    <row r="187" spans="3:21" ht="13">
      <c r="C187" s="670" t="s">
        <v>357</v>
      </c>
      <c r="D187" s="663">
        <v>0</v>
      </c>
      <c r="E187" s="663">
        <v>0</v>
      </c>
      <c r="F187" s="663">
        <v>0</v>
      </c>
      <c r="G187" s="663">
        <v>0</v>
      </c>
      <c r="H187" s="663">
        <v>0</v>
      </c>
      <c r="I187" s="663">
        <v>0</v>
      </c>
      <c r="J187" s="663">
        <v>0</v>
      </c>
      <c r="K187" s="663">
        <v>0</v>
      </c>
      <c r="L187" s="663">
        <v>0</v>
      </c>
      <c r="M187" s="663">
        <v>0</v>
      </c>
      <c r="N187" s="663">
        <v>0</v>
      </c>
      <c r="O187" s="663">
        <v>0</v>
      </c>
      <c r="P187" s="663">
        <v>0</v>
      </c>
      <c r="Q187" s="663">
        <v>0</v>
      </c>
      <c r="R187" s="663">
        <v>2.5199999999999996</v>
      </c>
      <c r="S187" s="663">
        <v>0</v>
      </c>
      <c r="T187" s="663">
        <v>0</v>
      </c>
      <c r="U187" s="671">
        <v>2.5199999999999996</v>
      </c>
    </row>
    <row r="188" spans="3:21" ht="13">
      <c r="C188" s="666" t="s">
        <v>83</v>
      </c>
      <c r="D188" s="667">
        <v>1.2844353845350245</v>
      </c>
      <c r="E188" s="667">
        <v>0</v>
      </c>
      <c r="F188" s="667">
        <v>3.028462420846008</v>
      </c>
      <c r="G188" s="667">
        <v>3.4369026136800631</v>
      </c>
      <c r="H188" s="675">
        <v>0</v>
      </c>
      <c r="I188" s="667">
        <v>3.9797777036186259</v>
      </c>
      <c r="J188" s="667">
        <v>0</v>
      </c>
      <c r="K188" s="667">
        <v>0</v>
      </c>
      <c r="L188" s="667">
        <v>52.365476880840774</v>
      </c>
      <c r="M188" s="667">
        <v>2.0467411030507856</v>
      </c>
      <c r="N188" s="667">
        <v>29.329147031481789</v>
      </c>
      <c r="O188" s="667">
        <v>75.65790718490868</v>
      </c>
      <c r="P188" s="667">
        <v>167.23788927594987</v>
      </c>
      <c r="Q188" s="667">
        <v>6.2933757940809487</v>
      </c>
      <c r="R188" s="667">
        <v>466.63315347265359</v>
      </c>
      <c r="S188" s="667">
        <v>59.566523654157017</v>
      </c>
      <c r="T188" s="667">
        <v>14.075687902585015</v>
      </c>
      <c r="U188" s="667">
        <v>884.93548042238808</v>
      </c>
    </row>
    <row r="189" spans="3:21" ht="13">
      <c r="C189" s="662" t="s">
        <v>84</v>
      </c>
      <c r="D189" s="663">
        <v>0</v>
      </c>
      <c r="E189" s="663">
        <v>0</v>
      </c>
      <c r="F189" s="663">
        <v>39.848807090011732</v>
      </c>
      <c r="G189" s="663">
        <v>12.189834391274943</v>
      </c>
      <c r="H189" s="663">
        <v>2.6585092475046008</v>
      </c>
      <c r="I189" s="663">
        <v>0</v>
      </c>
      <c r="J189" s="663">
        <v>0</v>
      </c>
      <c r="K189" s="663">
        <v>0</v>
      </c>
      <c r="L189" s="663">
        <v>0.5962689327253029</v>
      </c>
      <c r="M189" s="663">
        <v>0</v>
      </c>
      <c r="N189" s="663">
        <v>18.105967775029544</v>
      </c>
      <c r="O189" s="663">
        <v>4.780741280438523</v>
      </c>
      <c r="P189" s="663">
        <v>0</v>
      </c>
      <c r="Q189" s="663">
        <v>0</v>
      </c>
      <c r="R189" s="663">
        <v>0</v>
      </c>
      <c r="S189" s="663">
        <v>0</v>
      </c>
      <c r="T189" s="663">
        <v>35.496713960556022</v>
      </c>
      <c r="U189" s="671">
        <v>113.67684267754068</v>
      </c>
    </row>
    <row r="190" spans="3:21" ht="13">
      <c r="C190" s="666" t="s">
        <v>85</v>
      </c>
      <c r="D190" s="667">
        <v>1.2844353845350245</v>
      </c>
      <c r="E190" s="667">
        <v>0</v>
      </c>
      <c r="F190" s="667">
        <v>42.877269510857737</v>
      </c>
      <c r="G190" s="667">
        <v>15.626737004955006</v>
      </c>
      <c r="H190" s="675">
        <v>2.6585092475046008</v>
      </c>
      <c r="I190" s="667">
        <v>3.9797777036186259</v>
      </c>
      <c r="J190" s="667">
        <v>0</v>
      </c>
      <c r="K190" s="667">
        <v>0</v>
      </c>
      <c r="L190" s="667">
        <v>52.961745813566075</v>
      </c>
      <c r="M190" s="667">
        <v>2.0467411030507856</v>
      </c>
      <c r="N190" s="667">
        <v>47.435114806511329</v>
      </c>
      <c r="O190" s="667">
        <v>80.4386484653472</v>
      </c>
      <c r="P190" s="667">
        <v>167.23788927594987</v>
      </c>
      <c r="Q190" s="667">
        <v>6.2933757940809487</v>
      </c>
      <c r="R190" s="667">
        <v>466.63315347265359</v>
      </c>
      <c r="S190" s="667">
        <v>59.566523654157017</v>
      </c>
      <c r="T190" s="667">
        <v>49.572401863141039</v>
      </c>
      <c r="U190" s="667">
        <v>998.61232309992874</v>
      </c>
    </row>
    <row r="191" spans="3:21">
      <c r="C191" s="654"/>
      <c r="D191" s="672">
        <v>0</v>
      </c>
      <c r="E191" s="672">
        <v>0</v>
      </c>
      <c r="F191" s="672">
        <v>0</v>
      </c>
      <c r="G191" s="672">
        <v>0</v>
      </c>
      <c r="H191" s="672">
        <v>0</v>
      </c>
      <c r="I191" s="672">
        <v>4.9960036108132044E-16</v>
      </c>
      <c r="J191" s="672">
        <v>0</v>
      </c>
      <c r="K191" s="672">
        <v>0</v>
      </c>
      <c r="L191" s="672">
        <v>0</v>
      </c>
      <c r="M191" s="672">
        <v>0</v>
      </c>
      <c r="N191" s="672">
        <v>0</v>
      </c>
      <c r="O191" s="672">
        <v>0</v>
      </c>
      <c r="P191" s="672">
        <v>0</v>
      </c>
      <c r="Q191" s="672">
        <v>0</v>
      </c>
      <c r="R191" s="672">
        <v>5.6843418860808015E-14</v>
      </c>
      <c r="S191" s="672">
        <v>7.1054273576010019E-15</v>
      </c>
      <c r="T191" s="672">
        <v>-1.4654943925052066E-14</v>
      </c>
      <c r="U191" s="672">
        <v>0</v>
      </c>
    </row>
    <row r="192" spans="3:21">
      <c r="C192" s="654"/>
      <c r="D192" s="654"/>
      <c r="E192" s="654"/>
      <c r="F192" s="654"/>
      <c r="G192" s="654"/>
      <c r="H192" s="654"/>
      <c r="I192" s="654"/>
      <c r="J192" s="654"/>
      <c r="K192" s="654"/>
      <c r="L192" s="654"/>
      <c r="M192" s="654"/>
      <c r="N192" s="654"/>
      <c r="O192" s="654"/>
      <c r="P192" s="654"/>
      <c r="Q192" s="654"/>
      <c r="R192" s="654"/>
      <c r="S192" s="654"/>
      <c r="T192" s="654"/>
      <c r="U192" s="654"/>
    </row>
  </sheetData>
  <mergeCells count="70">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U165:U167 U180:U188">
    <cfRule type="cellIs" dxfId="5075" priority="390" operator="equal">
      <formula>0</formula>
    </cfRule>
  </conditionalFormatting>
  <conditionalFormatting sqref="U180">
    <cfRule type="containsBlanks" dxfId="5074" priority="389">
      <formula>LEN(TRIM(U180))=0</formula>
    </cfRule>
  </conditionalFormatting>
  <conditionalFormatting sqref="L11:P11">
    <cfRule type="cellIs" dxfId="5073" priority="386" operator="equal">
      <formula>0</formula>
    </cfRule>
  </conditionalFormatting>
  <conditionalFormatting sqref="Q11">
    <cfRule type="cellIs" dxfId="5072" priority="385" operator="equal">
      <formula>0</formula>
    </cfRule>
  </conditionalFormatting>
  <conditionalFormatting sqref="L48:P48">
    <cfRule type="cellIs" dxfId="5071" priority="384" operator="equal">
      <formula>0</formula>
    </cfRule>
  </conditionalFormatting>
  <conditionalFormatting sqref="Q48">
    <cfRule type="cellIs" dxfId="5070" priority="383" operator="equal">
      <formula>0</formula>
    </cfRule>
  </conditionalFormatting>
  <conditionalFormatting sqref="L85:P85">
    <cfRule type="cellIs" dxfId="5069" priority="382" operator="equal">
      <formula>0</formula>
    </cfRule>
  </conditionalFormatting>
  <conditionalFormatting sqref="Q85">
    <cfRule type="cellIs" dxfId="5068" priority="381" operator="equal">
      <formula>0</formula>
    </cfRule>
  </conditionalFormatting>
  <conditionalFormatting sqref="L122:P122">
    <cfRule type="cellIs" dxfId="5067" priority="380" operator="equal">
      <formula>0</formula>
    </cfRule>
  </conditionalFormatting>
  <conditionalFormatting sqref="Q122">
    <cfRule type="cellIs" dxfId="5066" priority="379" operator="equal">
      <formula>0</formula>
    </cfRule>
  </conditionalFormatting>
  <conditionalFormatting sqref="L159:P159">
    <cfRule type="cellIs" dxfId="5065" priority="378" operator="equal">
      <formula>0</formula>
    </cfRule>
  </conditionalFormatting>
  <conditionalFormatting sqref="Q159">
    <cfRule type="cellIs" dxfId="5064" priority="377" operator="equal">
      <formula>0</formula>
    </cfRule>
  </conditionalFormatting>
  <conditionalFormatting sqref="U190 U160:U162">
    <cfRule type="cellIs" dxfId="5063" priority="376" operator="equal">
      <formula>0</formula>
    </cfRule>
  </conditionalFormatting>
  <conditionalFormatting sqref="U189">
    <cfRule type="cellIs" dxfId="5062" priority="375" operator="equal">
      <formula>0</formula>
    </cfRule>
  </conditionalFormatting>
  <conditionalFormatting sqref="U182:U190 U160:U162 U165:U166">
    <cfRule type="containsBlanks" dxfId="5061" priority="374">
      <formula>LEN(TRIM(U160))=0</formula>
    </cfRule>
  </conditionalFormatting>
  <conditionalFormatting sqref="U163:U164">
    <cfRule type="cellIs" dxfId="5060" priority="373" operator="equal">
      <formula>0</formula>
    </cfRule>
  </conditionalFormatting>
  <conditionalFormatting sqref="U163:U164">
    <cfRule type="containsBlanks" dxfId="5059" priority="372">
      <formula>LEN(TRIM(U163))=0</formula>
    </cfRule>
  </conditionalFormatting>
  <conditionalFormatting sqref="U168:U179">
    <cfRule type="cellIs" dxfId="5058" priority="371" operator="equal">
      <formula>0</formula>
    </cfRule>
  </conditionalFormatting>
  <conditionalFormatting sqref="U168:U179">
    <cfRule type="containsBlanks" dxfId="5057" priority="370">
      <formula>LEN(TRIM(U168))=0</formula>
    </cfRule>
  </conditionalFormatting>
  <conditionalFormatting sqref="U42 U12:U40">
    <cfRule type="cellIs" dxfId="5056" priority="366" operator="equal">
      <formula>0</formula>
    </cfRule>
  </conditionalFormatting>
  <conditionalFormatting sqref="U41">
    <cfRule type="cellIs" dxfId="5055" priority="365" operator="equal">
      <formula>0</formula>
    </cfRule>
  </conditionalFormatting>
  <conditionalFormatting sqref="U34:U42 U12:U18 U20:U32">
    <cfRule type="containsBlanks" dxfId="5054" priority="364">
      <formula>LEN(TRIM(U12))=0</formula>
    </cfRule>
  </conditionalFormatting>
  <conditionalFormatting sqref="U79 U49:U77">
    <cfRule type="cellIs" dxfId="5053" priority="363" operator="equal">
      <formula>0</formula>
    </cfRule>
  </conditionalFormatting>
  <conditionalFormatting sqref="U78">
    <cfRule type="cellIs" dxfId="5052" priority="362" operator="equal">
      <formula>0</formula>
    </cfRule>
  </conditionalFormatting>
  <conditionalFormatting sqref="U71:U79 U49:U55 U57:U69">
    <cfRule type="containsBlanks" dxfId="5051" priority="361">
      <formula>LEN(TRIM(U49))=0</formula>
    </cfRule>
  </conditionalFormatting>
  <conditionalFormatting sqref="U116 U86:U114">
    <cfRule type="cellIs" dxfId="5050" priority="360" operator="equal">
      <formula>0</formula>
    </cfRule>
  </conditionalFormatting>
  <conditionalFormatting sqref="U115">
    <cfRule type="cellIs" dxfId="5049" priority="359" operator="equal">
      <formula>0</formula>
    </cfRule>
  </conditionalFormatting>
  <conditionalFormatting sqref="U108:U116 U86:U92 U94:U106">
    <cfRule type="containsBlanks" dxfId="5048" priority="358">
      <formula>LEN(TRIM(U86))=0</formula>
    </cfRule>
  </conditionalFormatting>
  <conditionalFormatting sqref="U153 U123:U151">
    <cfRule type="cellIs" dxfId="5047" priority="357" operator="equal">
      <formula>0</formula>
    </cfRule>
  </conditionalFormatting>
  <conditionalFormatting sqref="U152">
    <cfRule type="cellIs" dxfId="5046" priority="356" operator="equal">
      <formula>0</formula>
    </cfRule>
  </conditionalFormatting>
  <conditionalFormatting sqref="U145:U153 U123:U129 U131:U143">
    <cfRule type="containsBlanks" dxfId="5045" priority="355">
      <formula>LEN(TRIM(U123))=0</formula>
    </cfRule>
  </conditionalFormatting>
  <conditionalFormatting sqref="D42:F42 R33:T33 D32:F40 D12:F19 N12:O12 R12:T12 J42:T42 J33:K33 J34:T40 J32:T32 J13:T19">
    <cfRule type="cellIs" dxfId="5044" priority="320" operator="equal">
      <formula>0</formula>
    </cfRule>
  </conditionalFormatting>
  <conditionalFormatting sqref="R12:R14">
    <cfRule type="cellIs" dxfId="5043" priority="319" operator="equal">
      <formula>0</formula>
    </cfRule>
  </conditionalFormatting>
  <conditionalFormatting sqref="R12:T12 N12:O12 D13:F14 J13:T14">
    <cfRule type="cellIs" dxfId="5042" priority="318" operator="equal">
      <formula>0</formula>
    </cfRule>
  </conditionalFormatting>
  <conditionalFormatting sqref="F13:F14">
    <cfRule type="cellIs" dxfId="5041" priority="317" operator="equal">
      <formula>0</formula>
    </cfRule>
  </conditionalFormatting>
  <conditionalFormatting sqref="N12:O12">
    <cfRule type="cellIs" dxfId="5040" priority="316" operator="equal">
      <formula>0</formula>
    </cfRule>
  </conditionalFormatting>
  <conditionalFormatting sqref="L15:L17 L33">
    <cfRule type="cellIs" dxfId="5039" priority="315" operator="equal">
      <formula>0</formula>
    </cfRule>
  </conditionalFormatting>
  <conditionalFormatting sqref="L13:L14">
    <cfRule type="cellIs" dxfId="5038" priority="314" operator="equal">
      <formula>0</formula>
    </cfRule>
  </conditionalFormatting>
  <conditionalFormatting sqref="M15:M17 M33">
    <cfRule type="cellIs" dxfId="5037" priority="313" operator="equal">
      <formula>0</formula>
    </cfRule>
  </conditionalFormatting>
  <conditionalFormatting sqref="M13:M14">
    <cfRule type="cellIs" dxfId="5036" priority="312" operator="equal">
      <formula>0</formula>
    </cfRule>
  </conditionalFormatting>
  <conditionalFormatting sqref="N15:N17 N33">
    <cfRule type="cellIs" dxfId="5035" priority="311" operator="equal">
      <formula>0</formula>
    </cfRule>
  </conditionalFormatting>
  <conditionalFormatting sqref="N12:N14">
    <cfRule type="cellIs" dxfId="5034" priority="310" operator="equal">
      <formula>0</formula>
    </cfRule>
  </conditionalFormatting>
  <conditionalFormatting sqref="O15:O17 O33">
    <cfRule type="cellIs" dxfId="5033" priority="309" operator="equal">
      <formula>0</formula>
    </cfRule>
  </conditionalFormatting>
  <conditionalFormatting sqref="O12:O14">
    <cfRule type="cellIs" dxfId="5032" priority="308" operator="equal">
      <formula>0</formula>
    </cfRule>
  </conditionalFormatting>
  <conditionalFormatting sqref="P15:P17 P33">
    <cfRule type="cellIs" dxfId="5031" priority="307" operator="equal">
      <formula>0</formula>
    </cfRule>
  </conditionalFormatting>
  <conditionalFormatting sqref="P13:P14">
    <cfRule type="cellIs" dxfId="5030" priority="306" operator="equal">
      <formula>0</formula>
    </cfRule>
  </conditionalFormatting>
  <conditionalFormatting sqref="Q15:Q17 Q33">
    <cfRule type="cellIs" dxfId="5029" priority="305" operator="equal">
      <formula>0</formula>
    </cfRule>
  </conditionalFormatting>
  <conditionalFormatting sqref="Q13:Q14">
    <cfRule type="cellIs" dxfId="5028" priority="304" operator="equal">
      <formula>0</formula>
    </cfRule>
  </conditionalFormatting>
  <conditionalFormatting sqref="D41:F41 J41:T41">
    <cfRule type="cellIs" dxfId="5027" priority="303" operator="equal">
      <formula>0</formula>
    </cfRule>
  </conditionalFormatting>
  <conditionalFormatting sqref="D34:F42 D32:F32 D12:F18 N12:O12 R12:T12 J34:T42 J32:T32 J13:T18">
    <cfRule type="containsBlanks" dxfId="5026" priority="302">
      <formula>LEN(TRIM(D12))=0</formula>
    </cfRule>
  </conditionalFormatting>
  <conditionalFormatting sqref="D41:F41 J41:T41">
    <cfRule type="cellIs" dxfId="5025" priority="301" operator="equal">
      <formula>0</formula>
    </cfRule>
  </conditionalFormatting>
  <conditionalFormatting sqref="N15:N16">
    <cfRule type="cellIs" dxfId="5024" priority="300" operator="equal">
      <formula>0</formula>
    </cfRule>
  </conditionalFormatting>
  <conditionalFormatting sqref="O15:O16">
    <cfRule type="cellIs" dxfId="5023" priority="299" operator="equal">
      <formula>0</formula>
    </cfRule>
  </conditionalFormatting>
  <conditionalFormatting sqref="P15:Q15">
    <cfRule type="cellIs" dxfId="5022" priority="298" operator="equal">
      <formula>0</formula>
    </cfRule>
  </conditionalFormatting>
  <conditionalFormatting sqref="P16:Q16">
    <cfRule type="cellIs" dxfId="5021" priority="297" operator="equal">
      <formula>0</formula>
    </cfRule>
  </conditionalFormatting>
  <conditionalFormatting sqref="D20:F31 J20:T31">
    <cfRule type="cellIs" dxfId="5020" priority="296" operator="equal">
      <formula>0</formula>
    </cfRule>
  </conditionalFormatting>
  <conditionalFormatting sqref="D20:F31 J20:T31">
    <cfRule type="containsBlanks" dxfId="5019" priority="295">
      <formula>LEN(TRIM(D20))=0</formula>
    </cfRule>
  </conditionalFormatting>
  <conditionalFormatting sqref="J12">
    <cfRule type="cellIs" dxfId="5018" priority="294" operator="equal">
      <formula>0</formula>
    </cfRule>
  </conditionalFormatting>
  <conditionalFormatting sqref="K12">
    <cfRule type="cellIs" dxfId="5017" priority="293" operator="equal">
      <formula>0</formula>
    </cfRule>
  </conditionalFormatting>
  <conditionalFormatting sqref="L12:M12">
    <cfRule type="cellIs" dxfId="5016" priority="292" operator="equal">
      <formula>0</formula>
    </cfRule>
  </conditionalFormatting>
  <conditionalFormatting sqref="M12">
    <cfRule type="cellIs" dxfId="5015" priority="291" operator="equal">
      <formula>0</formula>
    </cfRule>
  </conditionalFormatting>
  <conditionalFormatting sqref="J12:M12">
    <cfRule type="containsBlanks" dxfId="5014" priority="290">
      <formula>LEN(TRIM(J12))=0</formula>
    </cfRule>
  </conditionalFormatting>
  <conditionalFormatting sqref="P12:Q12">
    <cfRule type="cellIs" dxfId="5013" priority="289" operator="equal">
      <formula>0</formula>
    </cfRule>
  </conditionalFormatting>
  <conditionalFormatting sqref="P12:Q12">
    <cfRule type="cellIs" dxfId="5012" priority="288" operator="equal">
      <formula>0</formula>
    </cfRule>
  </conditionalFormatting>
  <conditionalFormatting sqref="P12:Q12">
    <cfRule type="containsBlanks" dxfId="5011" priority="287">
      <formula>LEN(TRIM(P12))=0</formula>
    </cfRule>
  </conditionalFormatting>
  <conditionalFormatting sqref="D79:F79 R70:T70 D69:F77 D49:F56 N49:O49 R49:T49 J79:T79 J70:K70 J71:T77 J69:T69 J50:T56">
    <cfRule type="cellIs" dxfId="5010" priority="286" operator="equal">
      <formula>0</formula>
    </cfRule>
  </conditionalFormatting>
  <conditionalFormatting sqref="R49:R51">
    <cfRule type="cellIs" dxfId="5009" priority="285" operator="equal">
      <formula>0</formula>
    </cfRule>
  </conditionalFormatting>
  <conditionalFormatting sqref="R49:T49 N49:O49 D50:F51 J50:T51">
    <cfRule type="cellIs" dxfId="5008" priority="284" operator="equal">
      <formula>0</formula>
    </cfRule>
  </conditionalFormatting>
  <conditionalFormatting sqref="F50:F51">
    <cfRule type="cellIs" dxfId="5007" priority="283" operator="equal">
      <formula>0</formula>
    </cfRule>
  </conditionalFormatting>
  <conditionalFormatting sqref="N49:O49">
    <cfRule type="cellIs" dxfId="5006" priority="282" operator="equal">
      <formula>0</formula>
    </cfRule>
  </conditionalFormatting>
  <conditionalFormatting sqref="L52:L54 L70">
    <cfRule type="cellIs" dxfId="5005" priority="281" operator="equal">
      <formula>0</formula>
    </cfRule>
  </conditionalFormatting>
  <conditionalFormatting sqref="L50:L51">
    <cfRule type="cellIs" dxfId="5004" priority="280" operator="equal">
      <formula>0</formula>
    </cfRule>
  </conditionalFormatting>
  <conditionalFormatting sqref="M52:M54 M70">
    <cfRule type="cellIs" dxfId="5003" priority="279" operator="equal">
      <formula>0</formula>
    </cfRule>
  </conditionalFormatting>
  <conditionalFormatting sqref="M50:M51">
    <cfRule type="cellIs" dxfId="5002" priority="278" operator="equal">
      <formula>0</formula>
    </cfRule>
  </conditionalFormatting>
  <conditionalFormatting sqref="N52:N54 N70">
    <cfRule type="cellIs" dxfId="5001" priority="277" operator="equal">
      <formula>0</formula>
    </cfRule>
  </conditionalFormatting>
  <conditionalFormatting sqref="N49:N51">
    <cfRule type="cellIs" dxfId="5000" priority="276" operator="equal">
      <formula>0</formula>
    </cfRule>
  </conditionalFormatting>
  <conditionalFormatting sqref="O52:O54 O70">
    <cfRule type="cellIs" dxfId="4999" priority="275" operator="equal">
      <formula>0</formula>
    </cfRule>
  </conditionalFormatting>
  <conditionalFormatting sqref="O49:O51">
    <cfRule type="cellIs" dxfId="4998" priority="274" operator="equal">
      <formula>0</formula>
    </cfRule>
  </conditionalFormatting>
  <conditionalFormatting sqref="P52:P54 P70">
    <cfRule type="cellIs" dxfId="4997" priority="273" operator="equal">
      <formula>0</formula>
    </cfRule>
  </conditionalFormatting>
  <conditionalFormatting sqref="P50:P51">
    <cfRule type="cellIs" dxfId="4996" priority="272" operator="equal">
      <formula>0</formula>
    </cfRule>
  </conditionalFormatting>
  <conditionalFormatting sqref="Q52:Q54 Q70">
    <cfRule type="cellIs" dxfId="4995" priority="271" operator="equal">
      <formula>0</formula>
    </cfRule>
  </conditionalFormatting>
  <conditionalFormatting sqref="Q50:Q51">
    <cfRule type="cellIs" dxfId="4994" priority="270" operator="equal">
      <formula>0</formula>
    </cfRule>
  </conditionalFormatting>
  <conditionalFormatting sqref="D78:F78 J78:T78">
    <cfRule type="cellIs" dxfId="4993" priority="269" operator="equal">
      <formula>0</formula>
    </cfRule>
  </conditionalFormatting>
  <conditionalFormatting sqref="D71:F79 D69:F69 D49:F55 N49:O49 R49:T49 J71:T79 J69:T69 J50:T55">
    <cfRule type="containsBlanks" dxfId="4992" priority="268">
      <formula>LEN(TRIM(D49))=0</formula>
    </cfRule>
  </conditionalFormatting>
  <conditionalFormatting sqref="D78:F78 J78:T78">
    <cfRule type="cellIs" dxfId="4991" priority="267" operator="equal">
      <formula>0</formula>
    </cfRule>
  </conditionalFormatting>
  <conditionalFormatting sqref="N52:N53">
    <cfRule type="cellIs" dxfId="4990" priority="266" operator="equal">
      <formula>0</formula>
    </cfRule>
  </conditionalFormatting>
  <conditionalFormatting sqref="O52:O53">
    <cfRule type="cellIs" dxfId="4989" priority="265" operator="equal">
      <formula>0</formula>
    </cfRule>
  </conditionalFormatting>
  <conditionalFormatting sqref="P52:Q52">
    <cfRule type="cellIs" dxfId="4988" priority="264" operator="equal">
      <formula>0</formula>
    </cfRule>
  </conditionalFormatting>
  <conditionalFormatting sqref="P53:Q53">
    <cfRule type="cellIs" dxfId="4987" priority="263" operator="equal">
      <formula>0</formula>
    </cfRule>
  </conditionalFormatting>
  <conditionalFormatting sqref="D57:F68 J57:T68">
    <cfRule type="cellIs" dxfId="4986" priority="262" operator="equal">
      <formula>0</formula>
    </cfRule>
  </conditionalFormatting>
  <conditionalFormatting sqref="D57:F68 J57:T68">
    <cfRule type="containsBlanks" dxfId="4985" priority="261">
      <formula>LEN(TRIM(D57))=0</formula>
    </cfRule>
  </conditionalFormatting>
  <conditionalFormatting sqref="J49">
    <cfRule type="cellIs" dxfId="4984" priority="260" operator="equal">
      <formula>0</formula>
    </cfRule>
  </conditionalFormatting>
  <conditionalFormatting sqref="K49">
    <cfRule type="cellIs" dxfId="4983" priority="259" operator="equal">
      <formula>0</formula>
    </cfRule>
  </conditionalFormatting>
  <conditionalFormatting sqref="L49:M49">
    <cfRule type="cellIs" dxfId="4982" priority="258" operator="equal">
      <formula>0</formula>
    </cfRule>
  </conditionalFormatting>
  <conditionalFormatting sqref="M49">
    <cfRule type="cellIs" dxfId="4981" priority="257" operator="equal">
      <formula>0</formula>
    </cfRule>
  </conditionalFormatting>
  <conditionalFormatting sqref="J49:M49">
    <cfRule type="containsBlanks" dxfId="4980" priority="256">
      <formula>LEN(TRIM(J49))=0</formula>
    </cfRule>
  </conditionalFormatting>
  <conditionalFormatting sqref="P49:Q49">
    <cfRule type="cellIs" dxfId="4979" priority="255" operator="equal">
      <formula>0</formula>
    </cfRule>
  </conditionalFormatting>
  <conditionalFormatting sqref="P49:Q49">
    <cfRule type="cellIs" dxfId="4978" priority="254" operator="equal">
      <formula>0</formula>
    </cfRule>
  </conditionalFormatting>
  <conditionalFormatting sqref="P49:Q49">
    <cfRule type="containsBlanks" dxfId="4977" priority="253">
      <formula>LEN(TRIM(P49))=0</formula>
    </cfRule>
  </conditionalFormatting>
  <conditionalFormatting sqref="D116:F116 R107:T107 D106:F114 D86:F93 N86:O86 R86:T86 J116:T116 J107:K107 J108:T114 J106:T106 J87:T93">
    <cfRule type="cellIs" dxfId="4976" priority="252" operator="equal">
      <formula>0</formula>
    </cfRule>
  </conditionalFormatting>
  <conditionalFormatting sqref="R86:R88">
    <cfRule type="cellIs" dxfId="4975" priority="251" operator="equal">
      <formula>0</formula>
    </cfRule>
  </conditionalFormatting>
  <conditionalFormatting sqref="R86:T86 N86:O86 D87:F88 J87:T88">
    <cfRule type="cellIs" dxfId="4974" priority="250" operator="equal">
      <formula>0</formula>
    </cfRule>
  </conditionalFormatting>
  <conditionalFormatting sqref="F87:F88">
    <cfRule type="cellIs" dxfId="4973" priority="249" operator="equal">
      <formula>0</formula>
    </cfRule>
  </conditionalFormatting>
  <conditionalFormatting sqref="N86:O86">
    <cfRule type="cellIs" dxfId="4972" priority="248" operator="equal">
      <formula>0</formula>
    </cfRule>
  </conditionalFormatting>
  <conditionalFormatting sqref="L89:L91 L107">
    <cfRule type="cellIs" dxfId="4971" priority="247" operator="equal">
      <formula>0</formula>
    </cfRule>
  </conditionalFormatting>
  <conditionalFormatting sqref="L87:L88">
    <cfRule type="cellIs" dxfId="4970" priority="246" operator="equal">
      <formula>0</formula>
    </cfRule>
  </conditionalFormatting>
  <conditionalFormatting sqref="M89:M91 M107">
    <cfRule type="cellIs" dxfId="4969" priority="245" operator="equal">
      <formula>0</formula>
    </cfRule>
  </conditionalFormatting>
  <conditionalFormatting sqref="M87:M88">
    <cfRule type="cellIs" dxfId="4968" priority="244" operator="equal">
      <formula>0</formula>
    </cfRule>
  </conditionalFormatting>
  <conditionalFormatting sqref="N89:N91 N107">
    <cfRule type="cellIs" dxfId="4967" priority="243" operator="equal">
      <formula>0</formula>
    </cfRule>
  </conditionalFormatting>
  <conditionalFormatting sqref="N86:N88">
    <cfRule type="cellIs" dxfId="4966" priority="242" operator="equal">
      <formula>0</formula>
    </cfRule>
  </conditionalFormatting>
  <conditionalFormatting sqref="O89:O91 O107">
    <cfRule type="cellIs" dxfId="4965" priority="241" operator="equal">
      <formula>0</formula>
    </cfRule>
  </conditionalFormatting>
  <conditionalFormatting sqref="O86:O88">
    <cfRule type="cellIs" dxfId="4964" priority="240" operator="equal">
      <formula>0</formula>
    </cfRule>
  </conditionalFormatting>
  <conditionalFormatting sqref="P89:P91 P107">
    <cfRule type="cellIs" dxfId="4963" priority="239" operator="equal">
      <formula>0</formula>
    </cfRule>
  </conditionalFormatting>
  <conditionalFormatting sqref="P87:P88">
    <cfRule type="cellIs" dxfId="4962" priority="238" operator="equal">
      <formula>0</formula>
    </cfRule>
  </conditionalFormatting>
  <conditionalFormatting sqref="Q89:Q91 Q107">
    <cfRule type="cellIs" dxfId="4961" priority="237" operator="equal">
      <formula>0</formula>
    </cfRule>
  </conditionalFormatting>
  <conditionalFormatting sqref="Q87:Q88">
    <cfRule type="cellIs" dxfId="4960" priority="236" operator="equal">
      <formula>0</formula>
    </cfRule>
  </conditionalFormatting>
  <conditionalFormatting sqref="D115:F115 J115:T115">
    <cfRule type="cellIs" dxfId="4959" priority="235" operator="equal">
      <formula>0</formula>
    </cfRule>
  </conditionalFormatting>
  <conditionalFormatting sqref="D108:F116 D106:F106 D86:F92 N86:O86 R86:T86 J108:T116 J106:T106 J87:T92">
    <cfRule type="containsBlanks" dxfId="4958" priority="234">
      <formula>LEN(TRIM(D86))=0</formula>
    </cfRule>
  </conditionalFormatting>
  <conditionalFormatting sqref="D115:F115 J115:T115">
    <cfRule type="cellIs" dxfId="4957" priority="233" operator="equal">
      <formula>0</formula>
    </cfRule>
  </conditionalFormatting>
  <conditionalFormatting sqref="N89:N90">
    <cfRule type="cellIs" dxfId="4956" priority="232" operator="equal">
      <formula>0</formula>
    </cfRule>
  </conditionalFormatting>
  <conditionalFormatting sqref="O89:O90">
    <cfRule type="cellIs" dxfId="4955" priority="231" operator="equal">
      <formula>0</formula>
    </cfRule>
  </conditionalFormatting>
  <conditionalFormatting sqref="P89:Q89">
    <cfRule type="cellIs" dxfId="4954" priority="230" operator="equal">
      <formula>0</formula>
    </cfRule>
  </conditionalFormatting>
  <conditionalFormatting sqref="P90:Q90">
    <cfRule type="cellIs" dxfId="4953" priority="229" operator="equal">
      <formula>0</formula>
    </cfRule>
  </conditionalFormatting>
  <conditionalFormatting sqref="D94:F105 J94:T105">
    <cfRule type="cellIs" dxfId="4952" priority="228" operator="equal">
      <formula>0</formula>
    </cfRule>
  </conditionalFormatting>
  <conditionalFormatting sqref="D94:F105 J94:T105">
    <cfRule type="containsBlanks" dxfId="4951" priority="227">
      <formula>LEN(TRIM(D94))=0</formula>
    </cfRule>
  </conditionalFormatting>
  <conditionalFormatting sqref="J86">
    <cfRule type="cellIs" dxfId="4950" priority="226" operator="equal">
      <formula>0</formula>
    </cfRule>
  </conditionalFormatting>
  <conditionalFormatting sqref="K86">
    <cfRule type="cellIs" dxfId="4949" priority="225" operator="equal">
      <formula>0</formula>
    </cfRule>
  </conditionalFormatting>
  <conditionalFormatting sqref="L86:M86">
    <cfRule type="cellIs" dxfId="4948" priority="224" operator="equal">
      <formula>0</formula>
    </cfRule>
  </conditionalFormatting>
  <conditionalFormatting sqref="M86">
    <cfRule type="cellIs" dxfId="4947" priority="223" operator="equal">
      <formula>0</formula>
    </cfRule>
  </conditionalFormatting>
  <conditionalFormatting sqref="J86:M86">
    <cfRule type="containsBlanks" dxfId="4946" priority="222">
      <formula>LEN(TRIM(J86))=0</formula>
    </cfRule>
  </conditionalFormatting>
  <conditionalFormatting sqref="P86:Q86">
    <cfRule type="cellIs" dxfId="4945" priority="221" operator="equal">
      <formula>0</formula>
    </cfRule>
  </conditionalFormatting>
  <conditionalFormatting sqref="P86:Q86">
    <cfRule type="cellIs" dxfId="4944" priority="220" operator="equal">
      <formula>0</formula>
    </cfRule>
  </conditionalFormatting>
  <conditionalFormatting sqref="P86:Q86">
    <cfRule type="containsBlanks" dxfId="4943" priority="219">
      <formula>LEN(TRIM(P86))=0</formula>
    </cfRule>
  </conditionalFormatting>
  <conditionalFormatting sqref="D153:F153 R144:T144 D143:F151 D123:F130 N123:O123 R123:T123 J153:T153 J144:K144 J145:T151 J143:T143 J124:T130">
    <cfRule type="cellIs" dxfId="4942" priority="218" operator="equal">
      <formula>0</formula>
    </cfRule>
  </conditionalFormatting>
  <conditionalFormatting sqref="R123:R125">
    <cfRule type="cellIs" dxfId="4941" priority="217" operator="equal">
      <formula>0</formula>
    </cfRule>
  </conditionalFormatting>
  <conditionalFormatting sqref="R123:T123 N123:O123 D124:F125 J124:T125">
    <cfRule type="cellIs" dxfId="4940" priority="216" operator="equal">
      <formula>0</formula>
    </cfRule>
  </conditionalFormatting>
  <conditionalFormatting sqref="F124:F125">
    <cfRule type="cellIs" dxfId="4939" priority="215" operator="equal">
      <formula>0</formula>
    </cfRule>
  </conditionalFormatting>
  <conditionalFormatting sqref="N123:O123">
    <cfRule type="cellIs" dxfId="4938" priority="214" operator="equal">
      <formula>0</formula>
    </cfRule>
  </conditionalFormatting>
  <conditionalFormatting sqref="L126:L128 L144">
    <cfRule type="cellIs" dxfId="4937" priority="213" operator="equal">
      <formula>0</formula>
    </cfRule>
  </conditionalFormatting>
  <conditionalFormatting sqref="L124:L125">
    <cfRule type="cellIs" dxfId="4936" priority="212" operator="equal">
      <formula>0</formula>
    </cfRule>
  </conditionalFormatting>
  <conditionalFormatting sqref="M126:M128 M144">
    <cfRule type="cellIs" dxfId="4935" priority="211" operator="equal">
      <formula>0</formula>
    </cfRule>
  </conditionalFormatting>
  <conditionalFormatting sqref="M124:M125">
    <cfRule type="cellIs" dxfId="4934" priority="210" operator="equal">
      <formula>0</formula>
    </cfRule>
  </conditionalFormatting>
  <conditionalFormatting sqref="N126:N128 N144">
    <cfRule type="cellIs" dxfId="4933" priority="209" operator="equal">
      <formula>0</formula>
    </cfRule>
  </conditionalFormatting>
  <conditionalFormatting sqref="N123:N125">
    <cfRule type="cellIs" dxfId="4932" priority="208" operator="equal">
      <formula>0</formula>
    </cfRule>
  </conditionalFormatting>
  <conditionalFormatting sqref="O126:O128 O144">
    <cfRule type="cellIs" dxfId="4931" priority="207" operator="equal">
      <formula>0</formula>
    </cfRule>
  </conditionalFormatting>
  <conditionalFormatting sqref="O123:O125">
    <cfRule type="cellIs" dxfId="4930" priority="206" operator="equal">
      <formula>0</formula>
    </cfRule>
  </conditionalFormatting>
  <conditionalFormatting sqref="P126:P128 P144">
    <cfRule type="cellIs" dxfId="4929" priority="205" operator="equal">
      <formula>0</formula>
    </cfRule>
  </conditionalFormatting>
  <conditionalFormatting sqref="P124:P125">
    <cfRule type="cellIs" dxfId="4928" priority="204" operator="equal">
      <formula>0</formula>
    </cfRule>
  </conditionalFormatting>
  <conditionalFormatting sqref="Q126:Q128 Q144">
    <cfRule type="cellIs" dxfId="4927" priority="203" operator="equal">
      <formula>0</formula>
    </cfRule>
  </conditionalFormatting>
  <conditionalFormatting sqref="Q124:Q125">
    <cfRule type="cellIs" dxfId="4926" priority="202" operator="equal">
      <formula>0</formula>
    </cfRule>
  </conditionalFormatting>
  <conditionalFormatting sqref="D152:F152 J152:T152">
    <cfRule type="cellIs" dxfId="4925" priority="201" operator="equal">
      <formula>0</formula>
    </cfRule>
  </conditionalFormatting>
  <conditionalFormatting sqref="D145:F153 D143:F143 D123:F129 N123:O123 R123:T123 J145:T153 J143:T143 J124:T129">
    <cfRule type="containsBlanks" dxfId="4924" priority="200">
      <formula>LEN(TRIM(D123))=0</formula>
    </cfRule>
  </conditionalFormatting>
  <conditionalFormatting sqref="D152:F152 J152:T152">
    <cfRule type="cellIs" dxfId="4923" priority="199" operator="equal">
      <formula>0</formula>
    </cfRule>
  </conditionalFormatting>
  <conditionalFormatting sqref="N126:N127">
    <cfRule type="cellIs" dxfId="4922" priority="198" operator="equal">
      <formula>0</formula>
    </cfRule>
  </conditionalFormatting>
  <conditionalFormatting sqref="O126:O127">
    <cfRule type="cellIs" dxfId="4921" priority="197" operator="equal">
      <formula>0</formula>
    </cfRule>
  </conditionalFormatting>
  <conditionalFormatting sqref="P126:Q126">
    <cfRule type="cellIs" dxfId="4920" priority="196" operator="equal">
      <formula>0</formula>
    </cfRule>
  </conditionalFormatting>
  <conditionalFormatting sqref="P127:Q127">
    <cfRule type="cellIs" dxfId="4919" priority="195" operator="equal">
      <formula>0</formula>
    </cfRule>
  </conditionalFormatting>
  <conditionalFormatting sqref="D131:F142 J131:T142">
    <cfRule type="cellIs" dxfId="4918" priority="194" operator="equal">
      <formula>0</formula>
    </cfRule>
  </conditionalFormatting>
  <conditionalFormatting sqref="D131:F142 J131:T142">
    <cfRule type="containsBlanks" dxfId="4917" priority="193">
      <formula>LEN(TRIM(D131))=0</formula>
    </cfRule>
  </conditionalFormatting>
  <conditionalFormatting sqref="J123">
    <cfRule type="cellIs" dxfId="4916" priority="192" operator="equal">
      <formula>0</formula>
    </cfRule>
  </conditionalFormatting>
  <conditionalFormatting sqref="K123">
    <cfRule type="cellIs" dxfId="4915" priority="191" operator="equal">
      <formula>0</formula>
    </cfRule>
  </conditionalFormatting>
  <conditionalFormatting sqref="L123:M123">
    <cfRule type="cellIs" dxfId="4914" priority="190" operator="equal">
      <formula>0</formula>
    </cfRule>
  </conditionalFormatting>
  <conditionalFormatting sqref="M123">
    <cfRule type="cellIs" dxfId="4913" priority="189" operator="equal">
      <formula>0</formula>
    </cfRule>
  </conditionalFormatting>
  <conditionalFormatting sqref="J123:M123">
    <cfRule type="containsBlanks" dxfId="4912" priority="188">
      <formula>LEN(TRIM(J123))=0</formula>
    </cfRule>
  </conditionalFormatting>
  <conditionalFormatting sqref="P123:Q123">
    <cfRule type="cellIs" dxfId="4911" priority="187" operator="equal">
      <formula>0</formula>
    </cfRule>
  </conditionalFormatting>
  <conditionalFormatting sqref="P123:Q123">
    <cfRule type="cellIs" dxfId="4910" priority="186" operator="equal">
      <formula>0</formula>
    </cfRule>
  </conditionalFormatting>
  <conditionalFormatting sqref="P123:Q123">
    <cfRule type="containsBlanks" dxfId="4909" priority="185">
      <formula>LEN(TRIM(P123))=0</formula>
    </cfRule>
  </conditionalFormatting>
  <conditionalFormatting sqref="D190:F190 R181:T181 D180:F188 D160:F167 N160:O160 R160:T160 J190:T190 J181:K181 J182:T188 J180:T180 J161:T167">
    <cfRule type="cellIs" dxfId="4908" priority="184" operator="equal">
      <formula>0</formula>
    </cfRule>
  </conditionalFormatting>
  <conditionalFormatting sqref="R160:R162">
    <cfRule type="cellIs" dxfId="4907" priority="183" operator="equal">
      <formula>0</formula>
    </cfRule>
  </conditionalFormatting>
  <conditionalFormatting sqref="R160:T160 N160:O160 D161:F162 J161:T162">
    <cfRule type="cellIs" dxfId="4906" priority="182" operator="equal">
      <formula>0</formula>
    </cfRule>
  </conditionalFormatting>
  <conditionalFormatting sqref="F161:F162">
    <cfRule type="cellIs" dxfId="4905" priority="181" operator="equal">
      <formula>0</formula>
    </cfRule>
  </conditionalFormatting>
  <conditionalFormatting sqref="N160:O160">
    <cfRule type="cellIs" dxfId="4904" priority="180" operator="equal">
      <formula>0</formula>
    </cfRule>
  </conditionalFormatting>
  <conditionalFormatting sqref="L163:L165 L181">
    <cfRule type="cellIs" dxfId="4903" priority="179" operator="equal">
      <formula>0</formula>
    </cfRule>
  </conditionalFormatting>
  <conditionalFormatting sqref="L161:L162">
    <cfRule type="cellIs" dxfId="4902" priority="178" operator="equal">
      <formula>0</formula>
    </cfRule>
  </conditionalFormatting>
  <conditionalFormatting sqref="M163:M165 M181">
    <cfRule type="cellIs" dxfId="4901" priority="177" operator="equal">
      <formula>0</formula>
    </cfRule>
  </conditionalFormatting>
  <conditionalFormatting sqref="M161:M162">
    <cfRule type="cellIs" dxfId="4900" priority="176" operator="equal">
      <formula>0</formula>
    </cfRule>
  </conditionalFormatting>
  <conditionalFormatting sqref="N163:N165 N181">
    <cfRule type="cellIs" dxfId="4899" priority="175" operator="equal">
      <formula>0</formula>
    </cfRule>
  </conditionalFormatting>
  <conditionalFormatting sqref="N160:N162">
    <cfRule type="cellIs" dxfId="4898" priority="174" operator="equal">
      <formula>0</formula>
    </cfRule>
  </conditionalFormatting>
  <conditionalFormatting sqref="O163:O165 O181">
    <cfRule type="cellIs" dxfId="4897" priority="173" operator="equal">
      <formula>0</formula>
    </cfRule>
  </conditionalFormatting>
  <conditionalFormatting sqref="O160:O162">
    <cfRule type="cellIs" dxfId="4896" priority="172" operator="equal">
      <formula>0</formula>
    </cfRule>
  </conditionalFormatting>
  <conditionalFormatting sqref="P163:P165 P181">
    <cfRule type="cellIs" dxfId="4895" priority="171" operator="equal">
      <formula>0</formula>
    </cfRule>
  </conditionalFormatting>
  <conditionalFormatting sqref="P161:P162">
    <cfRule type="cellIs" dxfId="4894" priority="170" operator="equal">
      <formula>0</formula>
    </cfRule>
  </conditionalFormatting>
  <conditionalFormatting sqref="Q163:Q165 Q181">
    <cfRule type="cellIs" dxfId="4893" priority="169" operator="equal">
      <formula>0</formula>
    </cfRule>
  </conditionalFormatting>
  <conditionalFormatting sqref="Q161:Q162">
    <cfRule type="cellIs" dxfId="4892" priority="168" operator="equal">
      <formula>0</formula>
    </cfRule>
  </conditionalFormatting>
  <conditionalFormatting sqref="D189:F189 J189:T189">
    <cfRule type="cellIs" dxfId="4891" priority="167" operator="equal">
      <formula>0</formula>
    </cfRule>
  </conditionalFormatting>
  <conditionalFormatting sqref="D182:F190 D180:F180 D160:F166 N160:O160 R160:T160 J182:T190 J180:T180 J161:T166">
    <cfRule type="containsBlanks" dxfId="4890" priority="166">
      <formula>LEN(TRIM(D160))=0</formula>
    </cfRule>
  </conditionalFormatting>
  <conditionalFormatting sqref="D189:F189 J189:T189">
    <cfRule type="cellIs" dxfId="4889" priority="165" operator="equal">
      <formula>0</formula>
    </cfRule>
  </conditionalFormatting>
  <conditionalFormatting sqref="N163:N164">
    <cfRule type="cellIs" dxfId="4888" priority="164" operator="equal">
      <formula>0</formula>
    </cfRule>
  </conditionalFormatting>
  <conditionalFormatting sqref="O163:O164">
    <cfRule type="cellIs" dxfId="4887" priority="163" operator="equal">
      <formula>0</formula>
    </cfRule>
  </conditionalFormatting>
  <conditionalFormatting sqref="P163:Q163">
    <cfRule type="cellIs" dxfId="4886" priority="162" operator="equal">
      <formula>0</formula>
    </cfRule>
  </conditionalFormatting>
  <conditionalFormatting sqref="P164:Q164">
    <cfRule type="cellIs" dxfId="4885" priority="161" operator="equal">
      <formula>0</formula>
    </cfRule>
  </conditionalFormatting>
  <conditionalFormatting sqref="D168:F179 J168:T179">
    <cfRule type="cellIs" dxfId="4884" priority="160" operator="equal">
      <formula>0</formula>
    </cfRule>
  </conditionalFormatting>
  <conditionalFormatting sqref="D168:F179 J168:T179">
    <cfRule type="containsBlanks" dxfId="4883" priority="159">
      <formula>LEN(TRIM(D168))=0</formula>
    </cfRule>
  </conditionalFormatting>
  <conditionalFormatting sqref="J160">
    <cfRule type="cellIs" dxfId="4882" priority="158" operator="equal">
      <formula>0</formula>
    </cfRule>
  </conditionalFormatting>
  <conditionalFormatting sqref="K160">
    <cfRule type="cellIs" dxfId="4881" priority="157" operator="equal">
      <formula>0</formula>
    </cfRule>
  </conditionalFormatting>
  <conditionalFormatting sqref="L160:M160">
    <cfRule type="cellIs" dxfId="4880" priority="156" operator="equal">
      <formula>0</formula>
    </cfRule>
  </conditionalFormatting>
  <conditionalFormatting sqref="M160">
    <cfRule type="cellIs" dxfId="4879" priority="155" operator="equal">
      <formula>0</formula>
    </cfRule>
  </conditionalFormatting>
  <conditionalFormatting sqref="J160:M160">
    <cfRule type="containsBlanks" dxfId="4878" priority="154">
      <formula>LEN(TRIM(J160))=0</formula>
    </cfRule>
  </conditionalFormatting>
  <conditionalFormatting sqref="P160:Q160">
    <cfRule type="cellIs" dxfId="4877" priority="153" operator="equal">
      <formula>0</formula>
    </cfRule>
  </conditionalFormatting>
  <conditionalFormatting sqref="P160:Q160">
    <cfRule type="cellIs" dxfId="4876" priority="152" operator="equal">
      <formula>0</formula>
    </cfRule>
  </conditionalFormatting>
  <conditionalFormatting sqref="P160:Q160">
    <cfRule type="containsBlanks" dxfId="4875" priority="151">
      <formula>LEN(TRIM(P160))=0</formula>
    </cfRule>
  </conditionalFormatting>
  <conditionalFormatting sqref="H12:H19 H32:H40 H42 G12">
    <cfRule type="cellIs" dxfId="4874" priority="125" operator="equal">
      <formula>0</formula>
    </cfRule>
  </conditionalFormatting>
  <conditionalFormatting sqref="H13:H14">
    <cfRule type="cellIs" dxfId="4873" priority="124" operator="equal">
      <formula>0</formula>
    </cfRule>
  </conditionalFormatting>
  <conditionalFormatting sqref="H41">
    <cfRule type="cellIs" dxfId="4872" priority="123" operator="equal">
      <formula>0</formula>
    </cfRule>
  </conditionalFormatting>
  <conditionalFormatting sqref="H12:H18 H32 H34:H42 G12">
    <cfRule type="containsBlanks" dxfId="4871" priority="122">
      <formula>LEN(TRIM(G12))=0</formula>
    </cfRule>
  </conditionalFormatting>
  <conditionalFormatting sqref="H41">
    <cfRule type="cellIs" dxfId="4870" priority="121" operator="equal">
      <formula>0</formula>
    </cfRule>
  </conditionalFormatting>
  <conditionalFormatting sqref="H20:H31">
    <cfRule type="cellIs" dxfId="4869" priority="120" operator="equal">
      <formula>0</formula>
    </cfRule>
  </conditionalFormatting>
  <conditionalFormatting sqref="H20:H31">
    <cfRule type="containsBlanks" dxfId="4868" priority="119">
      <formula>LEN(TRIM(H20))=0</formula>
    </cfRule>
  </conditionalFormatting>
  <conditionalFormatting sqref="G13:G19 G32:G40 G42">
    <cfRule type="cellIs" dxfId="4867" priority="118" operator="equal">
      <formula>0</formula>
    </cfRule>
  </conditionalFormatting>
  <conditionalFormatting sqref="G13:G14">
    <cfRule type="cellIs" dxfId="4866" priority="117" operator="equal">
      <formula>0</formula>
    </cfRule>
  </conditionalFormatting>
  <conditionalFormatting sqref="G13:G14">
    <cfRule type="cellIs" dxfId="4865" priority="116" operator="equal">
      <formula>0</formula>
    </cfRule>
  </conditionalFormatting>
  <conditionalFormatting sqref="G41">
    <cfRule type="cellIs" dxfId="4864" priority="115" operator="equal">
      <formula>0</formula>
    </cfRule>
  </conditionalFormatting>
  <conditionalFormatting sqref="G13:G18 G34:G42 G32">
    <cfRule type="containsBlanks" dxfId="4863" priority="114">
      <formula>LEN(TRIM(G13))=0</formula>
    </cfRule>
  </conditionalFormatting>
  <conditionalFormatting sqref="G41">
    <cfRule type="cellIs" dxfId="4862" priority="113" operator="equal">
      <formula>0</formula>
    </cfRule>
  </conditionalFormatting>
  <conditionalFormatting sqref="G20:G31">
    <cfRule type="cellIs" dxfId="4861" priority="112" operator="equal">
      <formula>0</formula>
    </cfRule>
  </conditionalFormatting>
  <conditionalFormatting sqref="G20:G31">
    <cfRule type="containsBlanks" dxfId="4860" priority="111">
      <formula>LEN(TRIM(G20))=0</formula>
    </cfRule>
  </conditionalFormatting>
  <conditionalFormatting sqref="I12">
    <cfRule type="cellIs" dxfId="4859" priority="110" operator="equal">
      <formula>0</formula>
    </cfRule>
  </conditionalFormatting>
  <conditionalFormatting sqref="I12">
    <cfRule type="containsBlanks" dxfId="4858" priority="109">
      <formula>LEN(TRIM(I12))=0</formula>
    </cfRule>
  </conditionalFormatting>
  <conditionalFormatting sqref="I13:I19 I32:I40 I42">
    <cfRule type="cellIs" dxfId="4857" priority="108" operator="equal">
      <formula>0</formula>
    </cfRule>
  </conditionalFormatting>
  <conditionalFormatting sqref="I13:I14">
    <cfRule type="cellIs" dxfId="4856" priority="107" operator="equal">
      <formula>0</formula>
    </cfRule>
  </conditionalFormatting>
  <conditionalFormatting sqref="I13:I14">
    <cfRule type="cellIs" dxfId="4855" priority="106" operator="equal">
      <formula>0</formula>
    </cfRule>
  </conditionalFormatting>
  <conditionalFormatting sqref="I41">
    <cfRule type="cellIs" dxfId="4854" priority="105" operator="equal">
      <formula>0</formula>
    </cfRule>
  </conditionalFormatting>
  <conditionalFormatting sqref="I13:I18 I34:I42 I32">
    <cfRule type="containsBlanks" dxfId="4853" priority="104">
      <formula>LEN(TRIM(I13))=0</formula>
    </cfRule>
  </conditionalFormatting>
  <conditionalFormatting sqref="I41">
    <cfRule type="cellIs" dxfId="4852" priority="103" operator="equal">
      <formula>0</formula>
    </cfRule>
  </conditionalFormatting>
  <conditionalFormatting sqref="I20:I31">
    <cfRule type="cellIs" dxfId="4851" priority="102" operator="equal">
      <formula>0</formula>
    </cfRule>
  </conditionalFormatting>
  <conditionalFormatting sqref="I20:I31">
    <cfRule type="containsBlanks" dxfId="4850" priority="101">
      <formula>LEN(TRIM(I20))=0</formula>
    </cfRule>
  </conditionalFormatting>
  <conditionalFormatting sqref="H49:H56 H69:H77 H79 G49">
    <cfRule type="cellIs" dxfId="4849" priority="100" operator="equal">
      <formula>0</formula>
    </cfRule>
  </conditionalFormatting>
  <conditionalFormatting sqref="H50:H51">
    <cfRule type="cellIs" dxfId="4848" priority="99" operator="equal">
      <formula>0</formula>
    </cfRule>
  </conditionalFormatting>
  <conditionalFormatting sqref="H78">
    <cfRule type="cellIs" dxfId="4847" priority="98" operator="equal">
      <formula>0</formula>
    </cfRule>
  </conditionalFormatting>
  <conditionalFormatting sqref="H49:H55 H69 H71:H79 G49">
    <cfRule type="containsBlanks" dxfId="4846" priority="97">
      <formula>LEN(TRIM(G49))=0</formula>
    </cfRule>
  </conditionalFormatting>
  <conditionalFormatting sqref="H78">
    <cfRule type="cellIs" dxfId="4845" priority="96" operator="equal">
      <formula>0</formula>
    </cfRule>
  </conditionalFormatting>
  <conditionalFormatting sqref="H57:H68">
    <cfRule type="cellIs" dxfId="4844" priority="95" operator="equal">
      <formula>0</formula>
    </cfRule>
  </conditionalFormatting>
  <conditionalFormatting sqref="H57:H68">
    <cfRule type="containsBlanks" dxfId="4843" priority="94">
      <formula>LEN(TRIM(H57))=0</formula>
    </cfRule>
  </conditionalFormatting>
  <conditionalFormatting sqref="G50:G56 G69:G77 G79">
    <cfRule type="cellIs" dxfId="4842" priority="93" operator="equal">
      <formula>0</formula>
    </cfRule>
  </conditionalFormatting>
  <conditionalFormatting sqref="G50:G51">
    <cfRule type="cellIs" dxfId="4841" priority="92" operator="equal">
      <formula>0</formula>
    </cfRule>
  </conditionalFormatting>
  <conditionalFormatting sqref="G50:G51">
    <cfRule type="cellIs" dxfId="4840" priority="91" operator="equal">
      <formula>0</formula>
    </cfRule>
  </conditionalFormatting>
  <conditionalFormatting sqref="G78">
    <cfRule type="cellIs" dxfId="4839" priority="90" operator="equal">
      <formula>0</formula>
    </cfRule>
  </conditionalFormatting>
  <conditionalFormatting sqref="G50:G55 G71:G79 G69">
    <cfRule type="containsBlanks" dxfId="4838" priority="89">
      <formula>LEN(TRIM(G50))=0</formula>
    </cfRule>
  </conditionalFormatting>
  <conditionalFormatting sqref="G78">
    <cfRule type="cellIs" dxfId="4837" priority="88" operator="equal">
      <formula>0</formula>
    </cfRule>
  </conditionalFormatting>
  <conditionalFormatting sqref="G57:G68">
    <cfRule type="cellIs" dxfId="4836" priority="87" operator="equal">
      <formula>0</formula>
    </cfRule>
  </conditionalFormatting>
  <conditionalFormatting sqref="G57:G68">
    <cfRule type="containsBlanks" dxfId="4835" priority="86">
      <formula>LEN(TRIM(G57))=0</formula>
    </cfRule>
  </conditionalFormatting>
  <conditionalFormatting sqref="I49">
    <cfRule type="cellIs" dxfId="4834" priority="85" operator="equal">
      <formula>0</formula>
    </cfRule>
  </conditionalFormatting>
  <conditionalFormatting sqref="I49">
    <cfRule type="containsBlanks" dxfId="4833" priority="84">
      <formula>LEN(TRIM(I49))=0</formula>
    </cfRule>
  </conditionalFormatting>
  <conditionalFormatting sqref="I50:I56 I69:I77 I79">
    <cfRule type="cellIs" dxfId="4832" priority="83" operator="equal">
      <formula>0</formula>
    </cfRule>
  </conditionalFormatting>
  <conditionalFormatting sqref="I50:I51">
    <cfRule type="cellIs" dxfId="4831" priority="82" operator="equal">
      <formula>0</formula>
    </cfRule>
  </conditionalFormatting>
  <conditionalFormatting sqref="I50:I51">
    <cfRule type="cellIs" dxfId="4830" priority="81" operator="equal">
      <formula>0</formula>
    </cfRule>
  </conditionalFormatting>
  <conditionalFormatting sqref="I78">
    <cfRule type="cellIs" dxfId="4829" priority="80" operator="equal">
      <formula>0</formula>
    </cfRule>
  </conditionalFormatting>
  <conditionalFormatting sqref="I50:I55 I71:I79 I69">
    <cfRule type="containsBlanks" dxfId="4828" priority="79">
      <formula>LEN(TRIM(I50))=0</formula>
    </cfRule>
  </conditionalFormatting>
  <conditionalFormatting sqref="I78">
    <cfRule type="cellIs" dxfId="4827" priority="78" operator="equal">
      <formula>0</formula>
    </cfRule>
  </conditionalFormatting>
  <conditionalFormatting sqref="I57:I68">
    <cfRule type="cellIs" dxfId="4826" priority="77" operator="equal">
      <formula>0</formula>
    </cfRule>
  </conditionalFormatting>
  <conditionalFormatting sqref="I57:I68">
    <cfRule type="containsBlanks" dxfId="4825" priority="76">
      <formula>LEN(TRIM(I57))=0</formula>
    </cfRule>
  </conditionalFormatting>
  <conditionalFormatting sqref="H86:H93 H106:H114 H116 G86">
    <cfRule type="cellIs" dxfId="4824" priority="75" operator="equal">
      <formula>0</formula>
    </cfRule>
  </conditionalFormatting>
  <conditionalFormatting sqref="H87:H88">
    <cfRule type="cellIs" dxfId="4823" priority="74" operator="equal">
      <formula>0</formula>
    </cfRule>
  </conditionalFormatting>
  <conditionalFormatting sqref="H115">
    <cfRule type="cellIs" dxfId="4822" priority="73" operator="equal">
      <formula>0</formula>
    </cfRule>
  </conditionalFormatting>
  <conditionalFormatting sqref="H86:H92 H106 H108:H116 G86">
    <cfRule type="containsBlanks" dxfId="4821" priority="72">
      <formula>LEN(TRIM(G86))=0</formula>
    </cfRule>
  </conditionalFormatting>
  <conditionalFormatting sqref="H115">
    <cfRule type="cellIs" dxfId="4820" priority="71" operator="equal">
      <formula>0</formula>
    </cfRule>
  </conditionalFormatting>
  <conditionalFormatting sqref="H94:H105">
    <cfRule type="cellIs" dxfId="4819" priority="70" operator="equal">
      <formula>0</formula>
    </cfRule>
  </conditionalFormatting>
  <conditionalFormatting sqref="H94:H105">
    <cfRule type="containsBlanks" dxfId="4818" priority="69">
      <formula>LEN(TRIM(H94))=0</formula>
    </cfRule>
  </conditionalFormatting>
  <conditionalFormatting sqref="G87:G93 G106:G114 G116">
    <cfRule type="cellIs" dxfId="4817" priority="68" operator="equal">
      <formula>0</formula>
    </cfRule>
  </conditionalFormatting>
  <conditionalFormatting sqref="G87:G88">
    <cfRule type="cellIs" dxfId="4816" priority="67" operator="equal">
      <formula>0</formula>
    </cfRule>
  </conditionalFormatting>
  <conditionalFormatting sqref="G87:G88">
    <cfRule type="cellIs" dxfId="4815" priority="66" operator="equal">
      <formula>0</formula>
    </cfRule>
  </conditionalFormatting>
  <conditionalFormatting sqref="G115">
    <cfRule type="cellIs" dxfId="4814" priority="65" operator="equal">
      <formula>0</formula>
    </cfRule>
  </conditionalFormatting>
  <conditionalFormatting sqref="G87:G92 G108:G116 G106">
    <cfRule type="containsBlanks" dxfId="4813" priority="64">
      <formula>LEN(TRIM(G87))=0</formula>
    </cfRule>
  </conditionalFormatting>
  <conditionalFormatting sqref="G115">
    <cfRule type="cellIs" dxfId="4812" priority="63" operator="equal">
      <formula>0</formula>
    </cfRule>
  </conditionalFormatting>
  <conditionalFormatting sqref="G94:G105">
    <cfRule type="cellIs" dxfId="4811" priority="62" operator="equal">
      <formula>0</formula>
    </cfRule>
  </conditionalFormatting>
  <conditionalFormatting sqref="G94:G105">
    <cfRule type="containsBlanks" dxfId="4810" priority="61">
      <formula>LEN(TRIM(G94))=0</formula>
    </cfRule>
  </conditionalFormatting>
  <conditionalFormatting sqref="I86">
    <cfRule type="cellIs" dxfId="4809" priority="60" operator="equal">
      <formula>0</formula>
    </cfRule>
  </conditionalFormatting>
  <conditionalFormatting sqref="I86">
    <cfRule type="containsBlanks" dxfId="4808" priority="59">
      <formula>LEN(TRIM(I86))=0</formula>
    </cfRule>
  </conditionalFormatting>
  <conditionalFormatting sqref="I87:I93 I106:I114 I116">
    <cfRule type="cellIs" dxfId="4807" priority="58" operator="equal">
      <formula>0</formula>
    </cfRule>
  </conditionalFormatting>
  <conditionalFormatting sqref="I87:I88">
    <cfRule type="cellIs" dxfId="4806" priority="57" operator="equal">
      <formula>0</formula>
    </cfRule>
  </conditionalFormatting>
  <conditionalFormatting sqref="I87:I88">
    <cfRule type="cellIs" dxfId="4805" priority="56" operator="equal">
      <formula>0</formula>
    </cfRule>
  </conditionalFormatting>
  <conditionalFormatting sqref="I115">
    <cfRule type="cellIs" dxfId="4804" priority="55" operator="equal">
      <formula>0</formula>
    </cfRule>
  </conditionalFormatting>
  <conditionalFormatting sqref="I87:I92 I108:I116 I106">
    <cfRule type="containsBlanks" dxfId="4803" priority="54">
      <formula>LEN(TRIM(I87))=0</formula>
    </cfRule>
  </conditionalFormatting>
  <conditionalFormatting sqref="I115">
    <cfRule type="cellIs" dxfId="4802" priority="53" operator="equal">
      <formula>0</formula>
    </cfRule>
  </conditionalFormatting>
  <conditionalFormatting sqref="I94:I105">
    <cfRule type="cellIs" dxfId="4801" priority="52" operator="equal">
      <formula>0</formula>
    </cfRule>
  </conditionalFormatting>
  <conditionalFormatting sqref="I94:I105">
    <cfRule type="containsBlanks" dxfId="4800" priority="51">
      <formula>LEN(TRIM(I94))=0</formula>
    </cfRule>
  </conditionalFormatting>
  <conditionalFormatting sqref="H123:H130 H143:H151 H153 G123">
    <cfRule type="cellIs" dxfId="4799" priority="50" operator="equal">
      <formula>0</formula>
    </cfRule>
  </conditionalFormatting>
  <conditionalFormatting sqref="H124:H125">
    <cfRule type="cellIs" dxfId="4798" priority="49" operator="equal">
      <formula>0</formula>
    </cfRule>
  </conditionalFormatting>
  <conditionalFormatting sqref="H152">
    <cfRule type="cellIs" dxfId="4797" priority="48" operator="equal">
      <formula>0</formula>
    </cfRule>
  </conditionalFormatting>
  <conditionalFormatting sqref="H123:H129 H143 H145:H153 G123">
    <cfRule type="containsBlanks" dxfId="4796" priority="47">
      <formula>LEN(TRIM(G123))=0</formula>
    </cfRule>
  </conditionalFormatting>
  <conditionalFormatting sqref="H152">
    <cfRule type="cellIs" dxfId="4795" priority="46" operator="equal">
      <formula>0</formula>
    </cfRule>
  </conditionalFormatting>
  <conditionalFormatting sqref="H131:H142">
    <cfRule type="cellIs" dxfId="4794" priority="45" operator="equal">
      <formula>0</formula>
    </cfRule>
  </conditionalFormatting>
  <conditionalFormatting sqref="H131:H142">
    <cfRule type="containsBlanks" dxfId="4793" priority="44">
      <formula>LEN(TRIM(H131))=0</formula>
    </cfRule>
  </conditionalFormatting>
  <conditionalFormatting sqref="G124:G130 G143:G151 G153">
    <cfRule type="cellIs" dxfId="4792" priority="43" operator="equal">
      <formula>0</formula>
    </cfRule>
  </conditionalFormatting>
  <conditionalFormatting sqref="G124:G125">
    <cfRule type="cellIs" dxfId="4791" priority="42" operator="equal">
      <formula>0</formula>
    </cfRule>
  </conditionalFormatting>
  <conditionalFormatting sqref="G124:G125">
    <cfRule type="cellIs" dxfId="4790" priority="41" operator="equal">
      <formula>0</formula>
    </cfRule>
  </conditionalFormatting>
  <conditionalFormatting sqref="G152">
    <cfRule type="cellIs" dxfId="4789" priority="40" operator="equal">
      <formula>0</formula>
    </cfRule>
  </conditionalFormatting>
  <conditionalFormatting sqref="G124:G129 G145:G153 G143">
    <cfRule type="containsBlanks" dxfId="4788" priority="39">
      <formula>LEN(TRIM(G124))=0</formula>
    </cfRule>
  </conditionalFormatting>
  <conditionalFormatting sqref="G152">
    <cfRule type="cellIs" dxfId="4787" priority="38" operator="equal">
      <formula>0</formula>
    </cfRule>
  </conditionalFormatting>
  <conditionalFormatting sqref="G131:G142">
    <cfRule type="cellIs" dxfId="4786" priority="37" operator="equal">
      <formula>0</formula>
    </cfRule>
  </conditionalFormatting>
  <conditionalFormatting sqref="G131:G142">
    <cfRule type="containsBlanks" dxfId="4785" priority="36">
      <formula>LEN(TRIM(G131))=0</formula>
    </cfRule>
  </conditionalFormatting>
  <conditionalFormatting sqref="I123">
    <cfRule type="cellIs" dxfId="4784" priority="35" operator="equal">
      <formula>0</formula>
    </cfRule>
  </conditionalFormatting>
  <conditionalFormatting sqref="I123">
    <cfRule type="containsBlanks" dxfId="4783" priority="34">
      <formula>LEN(TRIM(I123))=0</formula>
    </cfRule>
  </conditionalFormatting>
  <conditionalFormatting sqref="I124:I130 I143:I151 I153">
    <cfRule type="cellIs" dxfId="4782" priority="33" operator="equal">
      <formula>0</formula>
    </cfRule>
  </conditionalFormatting>
  <conditionalFormatting sqref="I124:I125">
    <cfRule type="cellIs" dxfId="4781" priority="32" operator="equal">
      <formula>0</formula>
    </cfRule>
  </conditionalFormatting>
  <conditionalFormatting sqref="I124:I125">
    <cfRule type="cellIs" dxfId="4780" priority="31" operator="equal">
      <formula>0</formula>
    </cfRule>
  </conditionalFormatting>
  <conditionalFormatting sqref="I152">
    <cfRule type="cellIs" dxfId="4779" priority="30" operator="equal">
      <formula>0</formula>
    </cfRule>
  </conditionalFormatting>
  <conditionalFormatting sqref="I124:I129 I145:I153 I143">
    <cfRule type="containsBlanks" dxfId="4778" priority="29">
      <formula>LEN(TRIM(I124))=0</formula>
    </cfRule>
  </conditionalFormatting>
  <conditionalFormatting sqref="I152">
    <cfRule type="cellIs" dxfId="4777" priority="28" operator="equal">
      <formula>0</formula>
    </cfRule>
  </conditionalFormatting>
  <conditionalFormatting sqref="I131:I142">
    <cfRule type="cellIs" dxfId="4776" priority="27" operator="equal">
      <formula>0</formula>
    </cfRule>
  </conditionalFormatting>
  <conditionalFormatting sqref="I131:I142">
    <cfRule type="containsBlanks" dxfId="4775" priority="26">
      <formula>LEN(TRIM(I131))=0</formula>
    </cfRule>
  </conditionalFormatting>
  <conditionalFormatting sqref="H160:H167 H180:H188 H190 G160">
    <cfRule type="cellIs" dxfId="4774" priority="25" operator="equal">
      <formula>0</formula>
    </cfRule>
  </conditionalFormatting>
  <conditionalFormatting sqref="H161:H162">
    <cfRule type="cellIs" dxfId="4773" priority="24" operator="equal">
      <formula>0</formula>
    </cfRule>
  </conditionalFormatting>
  <conditionalFormatting sqref="H189">
    <cfRule type="cellIs" dxfId="4772" priority="23" operator="equal">
      <formula>0</formula>
    </cfRule>
  </conditionalFormatting>
  <conditionalFormatting sqref="H160:H166 H180 H182:H190 G160">
    <cfRule type="containsBlanks" dxfId="4771" priority="22">
      <formula>LEN(TRIM(G160))=0</formula>
    </cfRule>
  </conditionalFormatting>
  <conditionalFormatting sqref="H189">
    <cfRule type="cellIs" dxfId="4770" priority="21" operator="equal">
      <formula>0</formula>
    </cfRule>
  </conditionalFormatting>
  <conditionalFormatting sqref="H168:H179">
    <cfRule type="cellIs" dxfId="4769" priority="20" operator="equal">
      <formula>0</formula>
    </cfRule>
  </conditionalFormatting>
  <conditionalFormatting sqref="H168:H179">
    <cfRule type="containsBlanks" dxfId="4768" priority="19">
      <formula>LEN(TRIM(H168))=0</formula>
    </cfRule>
  </conditionalFormatting>
  <conditionalFormatting sqref="G161:G167 G180:G188 G190">
    <cfRule type="cellIs" dxfId="4767" priority="18" operator="equal">
      <formula>0</formula>
    </cfRule>
  </conditionalFormatting>
  <conditionalFormatting sqref="G161:G162">
    <cfRule type="cellIs" dxfId="4766" priority="17" operator="equal">
      <formula>0</formula>
    </cfRule>
  </conditionalFormatting>
  <conditionalFormatting sqref="G161:G162">
    <cfRule type="cellIs" dxfId="4765" priority="16" operator="equal">
      <formula>0</formula>
    </cfRule>
  </conditionalFormatting>
  <conditionalFormatting sqref="G189">
    <cfRule type="cellIs" dxfId="4764" priority="15" operator="equal">
      <formula>0</formula>
    </cfRule>
  </conditionalFormatting>
  <conditionalFormatting sqref="G161:G166 G182:G190 G180">
    <cfRule type="containsBlanks" dxfId="4763" priority="14">
      <formula>LEN(TRIM(G161))=0</formula>
    </cfRule>
  </conditionalFormatting>
  <conditionalFormatting sqref="G189">
    <cfRule type="cellIs" dxfId="4762" priority="13" operator="equal">
      <formula>0</formula>
    </cfRule>
  </conditionalFormatting>
  <conditionalFormatting sqref="G168:G179">
    <cfRule type="cellIs" dxfId="4761" priority="12" operator="equal">
      <formula>0</formula>
    </cfRule>
  </conditionalFormatting>
  <conditionalFormatting sqref="G168:G179">
    <cfRule type="containsBlanks" dxfId="4760" priority="11">
      <formula>LEN(TRIM(G168))=0</formula>
    </cfRule>
  </conditionalFormatting>
  <conditionalFormatting sqref="I160">
    <cfRule type="cellIs" dxfId="4759" priority="10" operator="equal">
      <formula>0</formula>
    </cfRule>
  </conditionalFormatting>
  <conditionalFormatting sqref="I160">
    <cfRule type="containsBlanks" dxfId="4758" priority="9">
      <formula>LEN(TRIM(I160))=0</formula>
    </cfRule>
  </conditionalFormatting>
  <conditionalFormatting sqref="I161:I167 I180:I188 I190">
    <cfRule type="cellIs" dxfId="4757" priority="8" operator="equal">
      <formula>0</formula>
    </cfRule>
  </conditionalFormatting>
  <conditionalFormatting sqref="I161:I162">
    <cfRule type="cellIs" dxfId="4756" priority="7" operator="equal">
      <formula>0</formula>
    </cfRule>
  </conditionalFormatting>
  <conditionalFormatting sqref="I161:I162">
    <cfRule type="cellIs" dxfId="4755" priority="6" operator="equal">
      <formula>0</formula>
    </cfRule>
  </conditionalFormatting>
  <conditionalFormatting sqref="I189">
    <cfRule type="cellIs" dxfId="4754" priority="5" operator="equal">
      <formula>0</formula>
    </cfRule>
  </conditionalFormatting>
  <conditionalFormatting sqref="I161:I166 I182:I190 I180">
    <cfRule type="containsBlanks" dxfId="4753" priority="4">
      <formula>LEN(TRIM(I161))=0</formula>
    </cfRule>
  </conditionalFormatting>
  <conditionalFormatting sqref="I189">
    <cfRule type="cellIs" dxfId="4752" priority="3" operator="equal">
      <formula>0</formula>
    </cfRule>
  </conditionalFormatting>
  <conditionalFormatting sqref="I168:I179">
    <cfRule type="cellIs" dxfId="4751" priority="2" operator="equal">
      <formula>0</formula>
    </cfRule>
  </conditionalFormatting>
  <conditionalFormatting sqref="I168:I179">
    <cfRule type="containsBlanks" dxfId="4750" priority="1">
      <formula>LEN(TRIM(I168))=0</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897C7-E1AA-4CAD-9D06-7B264B46AB27}">
  <dimension ref="C3:U155"/>
  <sheetViews>
    <sheetView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363</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0</v>
      </c>
      <c r="F12" s="663">
        <v>0</v>
      </c>
      <c r="G12" s="663">
        <v>0</v>
      </c>
      <c r="H12" s="663">
        <v>0</v>
      </c>
      <c r="I12" s="663">
        <v>0</v>
      </c>
      <c r="J12" s="664">
        <v>965.91438750259681</v>
      </c>
      <c r="K12" s="664">
        <v>340.77058420783555</v>
      </c>
      <c r="L12" s="664">
        <v>306.24907142960961</v>
      </c>
      <c r="M12" s="664">
        <v>26.996685887157991</v>
      </c>
      <c r="N12" s="663">
        <v>1.5769202529293118</v>
      </c>
      <c r="O12" s="663">
        <v>0.16705675062100381</v>
      </c>
      <c r="P12" s="664">
        <v>137.63232647396575</v>
      </c>
      <c r="Q12" s="664">
        <v>22.505061443653027</v>
      </c>
      <c r="R12" s="663">
        <v>0</v>
      </c>
      <c r="S12" s="663">
        <v>0</v>
      </c>
      <c r="T12" s="663">
        <v>0</v>
      </c>
      <c r="U12" s="665">
        <v>1801.812093948369</v>
      </c>
    </row>
    <row r="13" spans="3:21" ht="13">
      <c r="C13" s="662" t="s">
        <v>60</v>
      </c>
      <c r="D13" s="663">
        <v>12.402103294712147</v>
      </c>
      <c r="E13" s="663">
        <v>267.59952869557856</v>
      </c>
      <c r="F13" s="663">
        <v>4.6624671135986846</v>
      </c>
      <c r="G13" s="663">
        <v>0</v>
      </c>
      <c r="H13" s="663">
        <v>96.376212667923994</v>
      </c>
      <c r="I13" s="663">
        <v>0</v>
      </c>
      <c r="J13" s="663">
        <v>0</v>
      </c>
      <c r="K13" s="663">
        <v>0</v>
      </c>
      <c r="L13" s="663">
        <v>4.1311012816916577</v>
      </c>
      <c r="M13" s="663">
        <v>0</v>
      </c>
      <c r="N13" s="663">
        <v>4.3268221557656901</v>
      </c>
      <c r="O13" s="663">
        <v>0</v>
      </c>
      <c r="P13" s="663">
        <v>0</v>
      </c>
      <c r="Q13" s="663">
        <v>0</v>
      </c>
      <c r="R13" s="663">
        <v>0</v>
      </c>
      <c r="S13" s="663">
        <v>0</v>
      </c>
      <c r="T13" s="663">
        <v>0</v>
      </c>
      <c r="U13" s="665">
        <v>389.49823520927077</v>
      </c>
    </row>
    <row r="14" spans="3:21" ht="13">
      <c r="C14" s="662" t="s">
        <v>61</v>
      </c>
      <c r="D14" s="663">
        <v>0</v>
      </c>
      <c r="E14" s="663">
        <v>0</v>
      </c>
      <c r="F14" s="663">
        <v>-48.857560720144178</v>
      </c>
      <c r="G14" s="663">
        <v>-1.2901681691857902E-2</v>
      </c>
      <c r="H14" s="663">
        <v>0</v>
      </c>
      <c r="I14" s="663">
        <v>0</v>
      </c>
      <c r="J14" s="663">
        <v>0</v>
      </c>
      <c r="K14" s="663">
        <v>0</v>
      </c>
      <c r="L14" s="663">
        <v>0</v>
      </c>
      <c r="M14" s="663">
        <v>0</v>
      </c>
      <c r="N14" s="663">
        <v>0</v>
      </c>
      <c r="O14" s="663">
        <v>0</v>
      </c>
      <c r="P14" s="663">
        <v>0</v>
      </c>
      <c r="Q14" s="663">
        <v>0</v>
      </c>
      <c r="R14" s="663">
        <v>-40.000273468658179</v>
      </c>
      <c r="S14" s="663">
        <v>0</v>
      </c>
      <c r="T14" s="663">
        <v>0</v>
      </c>
      <c r="U14" s="665">
        <v>-88.870735870494215</v>
      </c>
    </row>
    <row r="15" spans="3:21" ht="13">
      <c r="C15" s="662" t="s">
        <v>62</v>
      </c>
      <c r="D15" s="663">
        <v>0</v>
      </c>
      <c r="E15" s="663">
        <v>0</v>
      </c>
      <c r="F15" s="663">
        <v>-9.1118704229779723</v>
      </c>
      <c r="G15" s="663">
        <v>-2.3970976911906821</v>
      </c>
      <c r="H15" s="663">
        <v>-2.3731267142787753</v>
      </c>
      <c r="I15" s="663">
        <v>0</v>
      </c>
      <c r="J15" s="663">
        <v>0</v>
      </c>
      <c r="K15" s="663">
        <v>0</v>
      </c>
      <c r="L15" s="663">
        <v>0</v>
      </c>
      <c r="M15" s="663">
        <v>0</v>
      </c>
      <c r="N15" s="663">
        <v>-0.47941953823813638</v>
      </c>
      <c r="O15" s="663">
        <v>-1.9416491298644523</v>
      </c>
      <c r="P15" s="663">
        <v>0</v>
      </c>
      <c r="Q15" s="663">
        <v>0</v>
      </c>
      <c r="R15" s="663">
        <v>0</v>
      </c>
      <c r="S15" s="663">
        <v>0</v>
      </c>
      <c r="T15" s="663">
        <v>0</v>
      </c>
      <c r="U15" s="665">
        <v>-16.30316349655002</v>
      </c>
    </row>
    <row r="16" spans="3:21" ht="13">
      <c r="C16" s="662" t="s">
        <v>63</v>
      </c>
      <c r="D16" s="663">
        <v>0</v>
      </c>
      <c r="E16" s="663">
        <v>0</v>
      </c>
      <c r="F16" s="663">
        <v>-46.962205061788246</v>
      </c>
      <c r="G16" s="663">
        <v>-11.133901046695911</v>
      </c>
      <c r="H16" s="663">
        <v>0</v>
      </c>
      <c r="I16" s="663">
        <v>0</v>
      </c>
      <c r="J16" s="663">
        <v>0</v>
      </c>
      <c r="K16" s="663">
        <v>0</v>
      </c>
      <c r="L16" s="663">
        <v>0</v>
      </c>
      <c r="M16" s="663">
        <v>0</v>
      </c>
      <c r="N16" s="663">
        <v>-14.072022489882162</v>
      </c>
      <c r="O16" s="663">
        <v>0</v>
      </c>
      <c r="P16" s="663">
        <v>0</v>
      </c>
      <c r="Q16" s="663">
        <v>0</v>
      </c>
      <c r="R16" s="663">
        <v>0</v>
      </c>
      <c r="S16" s="663">
        <v>0</v>
      </c>
      <c r="T16" s="663">
        <v>-0.66460812232862176</v>
      </c>
      <c r="U16" s="665">
        <v>-72.832736720694939</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12.402103294712147</v>
      </c>
      <c r="E18" s="667">
        <v>267.59952869557856</v>
      </c>
      <c r="F18" s="667">
        <v>-100.26916909131171</v>
      </c>
      <c r="G18" s="667">
        <v>-13.543900419578451</v>
      </c>
      <c r="H18" s="675">
        <v>94.003085953645225</v>
      </c>
      <c r="I18" s="667">
        <v>0</v>
      </c>
      <c r="J18" s="667">
        <v>965.91438750259681</v>
      </c>
      <c r="K18" s="667">
        <v>340.77058420783555</v>
      </c>
      <c r="L18" s="667">
        <v>310.38017271130127</v>
      </c>
      <c r="M18" s="667">
        <v>26.996685887157991</v>
      </c>
      <c r="N18" s="667">
        <v>-8.647699619425298</v>
      </c>
      <c r="O18" s="667">
        <v>-1.7745923792434484</v>
      </c>
      <c r="P18" s="667">
        <v>137.63232647396575</v>
      </c>
      <c r="Q18" s="667">
        <v>22.505061443653027</v>
      </c>
      <c r="R18" s="667">
        <v>-40.000273468658179</v>
      </c>
      <c r="S18" s="667">
        <v>0</v>
      </c>
      <c r="T18" s="667">
        <v>-0.66460812232862176</v>
      </c>
      <c r="U18" s="667">
        <v>2013.3036930699004</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6.6151953400033478E-2</v>
      </c>
      <c r="G21" s="663">
        <v>0</v>
      </c>
      <c r="H21" s="663">
        <v>5.4310272511854434</v>
      </c>
      <c r="I21" s="663">
        <v>0</v>
      </c>
      <c r="J21" s="663">
        <v>965.91438750259681</v>
      </c>
      <c r="K21" s="663">
        <v>340.77058420783555</v>
      </c>
      <c r="L21" s="663">
        <v>20.176267010584041</v>
      </c>
      <c r="M21" s="663">
        <v>10.227645630646329</v>
      </c>
      <c r="N21" s="663">
        <v>5.6269378379330357</v>
      </c>
      <c r="O21" s="663">
        <v>1.4716569620482758</v>
      </c>
      <c r="P21" s="663">
        <v>0</v>
      </c>
      <c r="Q21" s="663">
        <v>6.4327567473291545</v>
      </c>
      <c r="R21" s="663">
        <v>-682.09415881935547</v>
      </c>
      <c r="S21" s="663">
        <v>0</v>
      </c>
      <c r="T21" s="663">
        <v>3.1982839297450432</v>
      </c>
      <c r="U21" s="671">
        <v>677.22154021394851</v>
      </c>
    </row>
    <row r="22" spans="3:21" ht="13">
      <c r="C22" s="670" t="s">
        <v>351</v>
      </c>
      <c r="D22" s="663">
        <v>0</v>
      </c>
      <c r="E22" s="663">
        <v>0</v>
      </c>
      <c r="F22" s="663">
        <v>0</v>
      </c>
      <c r="G22" s="663">
        <v>0</v>
      </c>
      <c r="H22" s="663">
        <v>7.4585129183309293</v>
      </c>
      <c r="I22" s="663">
        <v>0</v>
      </c>
      <c r="J22" s="663">
        <v>0</v>
      </c>
      <c r="K22" s="663">
        <v>0</v>
      </c>
      <c r="L22" s="663">
        <v>35.547730315639996</v>
      </c>
      <c r="M22" s="663">
        <v>14.387113593265058</v>
      </c>
      <c r="N22" s="663">
        <v>0</v>
      </c>
      <c r="O22" s="663">
        <v>6.1169134542385972</v>
      </c>
      <c r="P22" s="663">
        <v>0</v>
      </c>
      <c r="Q22" s="663">
        <v>11.02899005085181</v>
      </c>
      <c r="R22" s="663">
        <v>0</v>
      </c>
      <c r="S22" s="663">
        <v>-69.303608577230833</v>
      </c>
      <c r="T22" s="663">
        <v>0</v>
      </c>
      <c r="U22" s="671">
        <v>5.235651755095569</v>
      </c>
    </row>
    <row r="23" spans="3:21" ht="13">
      <c r="C23" s="670" t="s">
        <v>352</v>
      </c>
      <c r="D23" s="663">
        <v>0</v>
      </c>
      <c r="E23" s="663">
        <v>0</v>
      </c>
      <c r="F23" s="663">
        <v>0</v>
      </c>
      <c r="G23" s="663">
        <v>0</v>
      </c>
      <c r="H23" s="663">
        <v>0</v>
      </c>
      <c r="I23" s="663">
        <v>0</v>
      </c>
      <c r="J23" s="663">
        <v>0</v>
      </c>
      <c r="K23" s="663">
        <v>0</v>
      </c>
      <c r="L23" s="663">
        <v>78.995354979464977</v>
      </c>
      <c r="M23" s="663">
        <v>0</v>
      </c>
      <c r="N23" s="663">
        <v>0</v>
      </c>
      <c r="O23" s="663">
        <v>-72.973515141642281</v>
      </c>
      <c r="P23" s="663">
        <v>0</v>
      </c>
      <c r="Q23" s="663">
        <v>0</v>
      </c>
      <c r="R23" s="663">
        <v>0</v>
      </c>
      <c r="S23" s="663">
        <v>0</v>
      </c>
      <c r="T23" s="663">
        <v>0</v>
      </c>
      <c r="U23" s="671">
        <v>6.0218398378226965</v>
      </c>
    </row>
    <row r="24" spans="3:21" ht="13">
      <c r="C24" s="670" t="s">
        <v>353</v>
      </c>
      <c r="D24" s="663">
        <v>0</v>
      </c>
      <c r="E24" s="663">
        <v>0</v>
      </c>
      <c r="F24" s="663">
        <v>0</v>
      </c>
      <c r="G24" s="663">
        <v>0</v>
      </c>
      <c r="H24" s="663">
        <v>0</v>
      </c>
      <c r="I24" s="663">
        <v>0</v>
      </c>
      <c r="J24" s="663">
        <v>0</v>
      </c>
      <c r="K24" s="663">
        <v>0</v>
      </c>
      <c r="L24" s="663">
        <v>0</v>
      </c>
      <c r="M24" s="663">
        <v>0</v>
      </c>
      <c r="N24" s="663">
        <v>0</v>
      </c>
      <c r="O24" s="663">
        <v>0</v>
      </c>
      <c r="P24" s="663">
        <v>0</v>
      </c>
      <c r="Q24" s="663">
        <v>0</v>
      </c>
      <c r="R24" s="663">
        <v>0</v>
      </c>
      <c r="S24" s="663">
        <v>0</v>
      </c>
      <c r="T24" s="663">
        <v>0</v>
      </c>
      <c r="U24" s="671">
        <v>0</v>
      </c>
    </row>
    <row r="25" spans="3:21" ht="13">
      <c r="C25" s="670" t="s">
        <v>72</v>
      </c>
      <c r="D25" s="663">
        <v>0</v>
      </c>
      <c r="E25" s="663">
        <v>277.28994248668886</v>
      </c>
      <c r="F25" s="663">
        <v>-274.5252708068171</v>
      </c>
      <c r="G25" s="663">
        <v>0</v>
      </c>
      <c r="H25" s="663">
        <v>0</v>
      </c>
      <c r="I25" s="663">
        <v>0</v>
      </c>
      <c r="J25" s="663">
        <v>0</v>
      </c>
      <c r="K25" s="663">
        <v>0</v>
      </c>
      <c r="L25" s="663">
        <v>0</v>
      </c>
      <c r="M25" s="663">
        <v>0</v>
      </c>
      <c r="N25" s="663">
        <v>0</v>
      </c>
      <c r="O25" s="663">
        <v>0</v>
      </c>
      <c r="P25" s="663">
        <v>0</v>
      </c>
      <c r="Q25" s="663">
        <v>0</v>
      </c>
      <c r="R25" s="663">
        <v>0</v>
      </c>
      <c r="S25" s="663">
        <v>0</v>
      </c>
      <c r="T25" s="663">
        <v>0</v>
      </c>
      <c r="U25" s="671">
        <v>2.7646716798717357</v>
      </c>
    </row>
    <row r="26" spans="3:21" ht="13">
      <c r="C26" s="670" t="s">
        <v>354</v>
      </c>
      <c r="D26" s="663">
        <v>0</v>
      </c>
      <c r="E26" s="663">
        <v>0</v>
      </c>
      <c r="F26" s="663">
        <v>0</v>
      </c>
      <c r="G26" s="663">
        <v>0</v>
      </c>
      <c r="H26" s="663">
        <v>0</v>
      </c>
      <c r="I26" s="663">
        <v>0</v>
      </c>
      <c r="J26" s="663">
        <v>0</v>
      </c>
      <c r="K26" s="663">
        <v>0</v>
      </c>
      <c r="L26" s="663">
        <v>117.50933865541684</v>
      </c>
      <c r="M26" s="663">
        <v>0</v>
      </c>
      <c r="N26" s="663">
        <v>-117.50933865541684</v>
      </c>
      <c r="O26" s="663">
        <v>0</v>
      </c>
      <c r="P26" s="663">
        <v>0</v>
      </c>
      <c r="Q26" s="663">
        <v>0</v>
      </c>
      <c r="R26" s="663">
        <v>0</v>
      </c>
      <c r="S26" s="663">
        <v>0</v>
      </c>
      <c r="T26" s="663">
        <v>0</v>
      </c>
      <c r="U26" s="671">
        <v>0</v>
      </c>
    </row>
    <row r="27" spans="3:21" ht="13">
      <c r="C27" s="670" t="s">
        <v>355</v>
      </c>
      <c r="D27" s="663">
        <v>0</v>
      </c>
      <c r="E27" s="663">
        <v>0</v>
      </c>
      <c r="F27" s="663">
        <v>0</v>
      </c>
      <c r="G27" s="663">
        <v>-21.910962558722186</v>
      </c>
      <c r="H27" s="663">
        <v>0</v>
      </c>
      <c r="I27" s="663">
        <v>0</v>
      </c>
      <c r="J27" s="663">
        <v>0</v>
      </c>
      <c r="K27" s="663">
        <v>0</v>
      </c>
      <c r="L27" s="663">
        <v>0</v>
      </c>
      <c r="M27" s="663">
        <v>0</v>
      </c>
      <c r="N27" s="663">
        <v>0</v>
      </c>
      <c r="O27" s="663">
        <v>0</v>
      </c>
      <c r="P27" s="663">
        <v>0</v>
      </c>
      <c r="Q27" s="663">
        <v>0</v>
      </c>
      <c r="R27" s="663">
        <v>0</v>
      </c>
      <c r="S27" s="663">
        <v>0</v>
      </c>
      <c r="T27" s="663">
        <v>30.516660945295527</v>
      </c>
      <c r="U27" s="671">
        <v>8.6056983865733407</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99.340394157506324</v>
      </c>
      <c r="S28" s="663">
        <v>0</v>
      </c>
      <c r="T28" s="663">
        <v>-68.048169997891833</v>
      </c>
      <c r="U28" s="671">
        <v>31.292224159614491</v>
      </c>
    </row>
    <row r="29" spans="3:21" ht="13">
      <c r="C29" s="670" t="s">
        <v>356</v>
      </c>
      <c r="D29" s="663">
        <v>6.9248988281249995</v>
      </c>
      <c r="E29" s="663">
        <v>-9.6904137911102683</v>
      </c>
      <c r="F29" s="663">
        <v>12.633678677299837</v>
      </c>
      <c r="G29" s="663">
        <v>0</v>
      </c>
      <c r="H29" s="663">
        <v>0</v>
      </c>
      <c r="I29" s="663">
        <v>0</v>
      </c>
      <c r="J29" s="663">
        <v>0</v>
      </c>
      <c r="K29" s="663">
        <v>0</v>
      </c>
      <c r="L29" s="663">
        <v>0</v>
      </c>
      <c r="M29" s="663">
        <v>0</v>
      </c>
      <c r="N29" s="663">
        <v>0</v>
      </c>
      <c r="O29" s="663">
        <v>0</v>
      </c>
      <c r="P29" s="663">
        <v>0</v>
      </c>
      <c r="Q29" s="663">
        <v>0</v>
      </c>
      <c r="R29" s="663">
        <v>0</v>
      </c>
      <c r="S29" s="663">
        <v>0</v>
      </c>
      <c r="T29" s="663">
        <v>0</v>
      </c>
      <c r="U29" s="671">
        <v>9.8681637143145693</v>
      </c>
    </row>
    <row r="30" spans="3:21" ht="13">
      <c r="C30" s="670" t="s">
        <v>75</v>
      </c>
      <c r="D30" s="663">
        <v>2.6930162109375</v>
      </c>
      <c r="E30" s="663">
        <v>0</v>
      </c>
      <c r="F30" s="663">
        <v>17.882981772477446</v>
      </c>
      <c r="G30" s="663">
        <v>0</v>
      </c>
      <c r="H30" s="663">
        <v>2.8438669910513061</v>
      </c>
      <c r="I30" s="663">
        <v>0</v>
      </c>
      <c r="J30" s="663">
        <v>0</v>
      </c>
      <c r="K30" s="663">
        <v>0</v>
      </c>
      <c r="L30" s="663">
        <v>0</v>
      </c>
      <c r="M30" s="663">
        <v>0</v>
      </c>
      <c r="N30" s="663">
        <v>0</v>
      </c>
      <c r="O30" s="663">
        <v>2.3268002654056139</v>
      </c>
      <c r="P30" s="663">
        <v>0</v>
      </c>
      <c r="Q30" s="663">
        <v>0</v>
      </c>
      <c r="R30" s="663">
        <v>23.896357926698794</v>
      </c>
      <c r="S30" s="663">
        <v>0</v>
      </c>
      <c r="T30" s="663">
        <v>0</v>
      </c>
      <c r="U30" s="671">
        <v>49.643023166570657</v>
      </c>
    </row>
    <row r="31" spans="3:21" ht="13">
      <c r="C31" s="670" t="s">
        <v>76</v>
      </c>
      <c r="D31" s="663">
        <v>0</v>
      </c>
      <c r="E31" s="663">
        <v>0</v>
      </c>
      <c r="F31" s="663">
        <v>0</v>
      </c>
      <c r="G31" s="663">
        <v>0</v>
      </c>
      <c r="H31" s="663">
        <v>1.042848686512976</v>
      </c>
      <c r="I31" s="663">
        <v>0</v>
      </c>
      <c r="J31" s="663">
        <v>0</v>
      </c>
      <c r="K31" s="663">
        <v>0</v>
      </c>
      <c r="L31" s="663">
        <v>0</v>
      </c>
      <c r="M31" s="663">
        <v>0</v>
      </c>
      <c r="N31" s="663">
        <v>0</v>
      </c>
      <c r="O31" s="663">
        <v>0.85323983441970752</v>
      </c>
      <c r="P31" s="663">
        <v>0</v>
      </c>
      <c r="Q31" s="663">
        <v>0</v>
      </c>
      <c r="R31" s="663">
        <v>49.147245311640418</v>
      </c>
      <c r="S31" s="663">
        <v>5.3750429512534854</v>
      </c>
      <c r="T31" s="663">
        <v>0</v>
      </c>
      <c r="U31" s="671">
        <v>56.418376783826595</v>
      </c>
    </row>
    <row r="32" spans="3:21" ht="13">
      <c r="C32" s="666" t="s">
        <v>77</v>
      </c>
      <c r="D32" s="667">
        <v>9.617915039062499</v>
      </c>
      <c r="E32" s="667">
        <v>267.59952869557856</v>
      </c>
      <c r="F32" s="667">
        <v>-243.94245840363976</v>
      </c>
      <c r="G32" s="667">
        <v>-21.910962558722186</v>
      </c>
      <c r="H32" s="675">
        <v>16.776255847080655</v>
      </c>
      <c r="I32" s="667">
        <v>0</v>
      </c>
      <c r="J32" s="667">
        <v>965.91438750259681</v>
      </c>
      <c r="K32" s="667">
        <v>340.77058420783555</v>
      </c>
      <c r="L32" s="667">
        <v>252.22869096110585</v>
      </c>
      <c r="M32" s="667">
        <v>24.614759223911388</v>
      </c>
      <c r="N32" s="667">
        <v>-111.8824008174838</v>
      </c>
      <c r="O32" s="667">
        <v>-62.204904625530084</v>
      </c>
      <c r="P32" s="667">
        <v>0</v>
      </c>
      <c r="Q32" s="667">
        <v>17.461746798180965</v>
      </c>
      <c r="R32" s="667">
        <v>-509.71016142350987</v>
      </c>
      <c r="S32" s="667">
        <v>-63.928565625977342</v>
      </c>
      <c r="T32" s="667">
        <v>-34.33322512285126</v>
      </c>
      <c r="U32" s="667">
        <v>847.07118969763815</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2.7841882556496467</v>
      </c>
      <c r="E34" s="663">
        <v>0</v>
      </c>
      <c r="F34" s="663">
        <v>5.1952563518908157</v>
      </c>
      <c r="G34" s="663">
        <v>0</v>
      </c>
      <c r="H34" s="663">
        <v>31.335146641416099</v>
      </c>
      <c r="I34" s="663">
        <v>0</v>
      </c>
      <c r="J34" s="663">
        <v>0</v>
      </c>
      <c r="K34" s="663">
        <v>0</v>
      </c>
      <c r="L34" s="663">
        <v>19.866368456853682</v>
      </c>
      <c r="M34" s="663">
        <v>2.3815254498716123</v>
      </c>
      <c r="N34" s="663">
        <v>2.1415231567382813</v>
      </c>
      <c r="O34" s="663">
        <v>25.676510059650784</v>
      </c>
      <c r="P34" s="663">
        <v>7.6335380859375004</v>
      </c>
      <c r="Q34" s="663">
        <v>7.8820466826144567E-4</v>
      </c>
      <c r="R34" s="663">
        <v>133.1889583814887</v>
      </c>
      <c r="S34" s="663">
        <v>18.276712147761906</v>
      </c>
      <c r="T34" s="663">
        <v>4.7382089843750004</v>
      </c>
      <c r="U34" s="671">
        <v>253.21872417630229</v>
      </c>
    </row>
    <row r="35" spans="3:21" ht="13">
      <c r="C35" s="670" t="s">
        <v>79</v>
      </c>
      <c r="D35" s="663">
        <v>0</v>
      </c>
      <c r="E35" s="663">
        <v>0</v>
      </c>
      <c r="F35" s="663">
        <v>62.42121803575882</v>
      </c>
      <c r="G35" s="663">
        <v>0.9171283606012931</v>
      </c>
      <c r="H35" s="663">
        <v>3.2777834936114583</v>
      </c>
      <c r="I35" s="663">
        <v>0</v>
      </c>
      <c r="J35" s="663">
        <v>0</v>
      </c>
      <c r="K35" s="663">
        <v>0</v>
      </c>
      <c r="L35" s="663">
        <v>0</v>
      </c>
      <c r="M35" s="663">
        <v>0</v>
      </c>
      <c r="N35" s="663">
        <v>70.675893572317364</v>
      </c>
      <c r="O35" s="663">
        <v>2.6818228584093751</v>
      </c>
      <c r="P35" s="663">
        <v>0</v>
      </c>
      <c r="Q35" s="663">
        <v>0</v>
      </c>
      <c r="R35" s="663">
        <v>85.601807225833156</v>
      </c>
      <c r="S35" s="663">
        <v>0</v>
      </c>
      <c r="T35" s="663">
        <v>3.5812873698124483</v>
      </c>
      <c r="U35" s="671">
        <v>229.15694091634393</v>
      </c>
    </row>
    <row r="36" spans="3:21" ht="13">
      <c r="C36" s="670" t="s">
        <v>80</v>
      </c>
      <c r="D36" s="663">
        <v>0</v>
      </c>
      <c r="E36" s="663">
        <v>0</v>
      </c>
      <c r="F36" s="663">
        <v>2.2535083725168867</v>
      </c>
      <c r="G36" s="663">
        <v>0</v>
      </c>
      <c r="H36" s="663">
        <v>22.547534156690407</v>
      </c>
      <c r="I36" s="663">
        <v>0</v>
      </c>
      <c r="J36" s="663">
        <v>0</v>
      </c>
      <c r="K36" s="663">
        <v>0</v>
      </c>
      <c r="L36" s="663">
        <v>34.097641504490639</v>
      </c>
      <c r="M36" s="663">
        <v>0</v>
      </c>
      <c r="N36" s="663">
        <v>0</v>
      </c>
      <c r="O36" s="663">
        <v>18.447982491837607</v>
      </c>
      <c r="P36" s="663">
        <v>103.59461616627088</v>
      </c>
      <c r="Q36" s="663">
        <v>2.7285855468891569</v>
      </c>
      <c r="R36" s="663">
        <v>149.5228289340921</v>
      </c>
      <c r="S36" s="663">
        <v>26.593767108522837</v>
      </c>
      <c r="T36" s="663">
        <v>0</v>
      </c>
      <c r="U36" s="671">
        <v>359.78646428131054</v>
      </c>
    </row>
    <row r="37" spans="3:21" ht="13">
      <c r="C37" s="670" t="s">
        <v>81</v>
      </c>
      <c r="D37" s="663">
        <v>0</v>
      </c>
      <c r="E37" s="663">
        <v>0</v>
      </c>
      <c r="F37" s="663">
        <v>1.3399462790047187</v>
      </c>
      <c r="G37" s="663">
        <v>0</v>
      </c>
      <c r="H37" s="663">
        <v>12.344523773070179</v>
      </c>
      <c r="I37" s="663">
        <v>0</v>
      </c>
      <c r="J37" s="663">
        <v>0</v>
      </c>
      <c r="K37" s="663">
        <v>0</v>
      </c>
      <c r="L37" s="663">
        <v>0.40515733033320123</v>
      </c>
      <c r="M37" s="663">
        <v>4.0121337498856221E-4</v>
      </c>
      <c r="N37" s="663">
        <v>0</v>
      </c>
      <c r="O37" s="663">
        <v>10.100064905239238</v>
      </c>
      <c r="P37" s="663">
        <v>25.404172221757367</v>
      </c>
      <c r="Q37" s="663">
        <v>1.0133205125094877</v>
      </c>
      <c r="R37" s="663">
        <v>92.228183694440688</v>
      </c>
      <c r="S37" s="663">
        <v>19.0580863696926</v>
      </c>
      <c r="T37" s="663">
        <v>0</v>
      </c>
      <c r="U37" s="671">
        <v>161.89385629942248</v>
      </c>
    </row>
    <row r="38" spans="3:21" ht="13">
      <c r="C38" s="670" t="s">
        <v>82</v>
      </c>
      <c r="D38" s="663">
        <v>0</v>
      </c>
      <c r="E38" s="663">
        <v>0</v>
      </c>
      <c r="F38" s="663">
        <v>9.0097391312566604</v>
      </c>
      <c r="G38" s="663">
        <v>1.6</v>
      </c>
      <c r="H38" s="663">
        <v>0.98973128577551672</v>
      </c>
      <c r="I38" s="663">
        <v>0</v>
      </c>
      <c r="J38" s="663">
        <v>0</v>
      </c>
      <c r="K38" s="663">
        <v>0</v>
      </c>
      <c r="L38" s="663">
        <v>3.3736621545342089</v>
      </c>
      <c r="M38" s="663">
        <v>0</v>
      </c>
      <c r="N38" s="663">
        <v>14.289145060057182</v>
      </c>
      <c r="O38" s="663">
        <v>0.80978014290724099</v>
      </c>
      <c r="P38" s="663">
        <v>1</v>
      </c>
      <c r="Q38" s="663">
        <v>1.300620381405156</v>
      </c>
      <c r="R38" s="663">
        <v>7.76122971899715</v>
      </c>
      <c r="S38" s="663">
        <v>0</v>
      </c>
      <c r="T38" s="663">
        <v>0.325155095351289</v>
      </c>
      <c r="U38" s="671">
        <v>40.459062970284407</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1.4068800000000001</v>
      </c>
      <c r="S39" s="663">
        <v>0</v>
      </c>
      <c r="T39" s="663">
        <v>0</v>
      </c>
      <c r="U39" s="671">
        <v>1.4068800000000001</v>
      </c>
    </row>
    <row r="40" spans="3:21" ht="13">
      <c r="C40" s="666" t="s">
        <v>83</v>
      </c>
      <c r="D40" s="667">
        <v>2.7841882556496467</v>
      </c>
      <c r="E40" s="667">
        <v>0</v>
      </c>
      <c r="F40" s="667">
        <v>80.219668170427894</v>
      </c>
      <c r="G40" s="667">
        <v>2.5171283606012933</v>
      </c>
      <c r="H40" s="675">
        <v>70.494719350563656</v>
      </c>
      <c r="I40" s="667">
        <v>0</v>
      </c>
      <c r="J40" s="667">
        <v>0</v>
      </c>
      <c r="K40" s="667">
        <v>0</v>
      </c>
      <c r="L40" s="667">
        <v>57.742829446211736</v>
      </c>
      <c r="M40" s="667">
        <v>2.3819266632466007</v>
      </c>
      <c r="N40" s="667">
        <v>87.106561789112831</v>
      </c>
      <c r="O40" s="667">
        <v>57.71616045804425</v>
      </c>
      <c r="P40" s="667">
        <v>137.63232647396575</v>
      </c>
      <c r="Q40" s="667">
        <v>5.0433146454720621</v>
      </c>
      <c r="R40" s="667">
        <v>469.70988795485181</v>
      </c>
      <c r="S40" s="667">
        <v>63.928565625977342</v>
      </c>
      <c r="T40" s="667">
        <v>8.6446514495387365</v>
      </c>
      <c r="U40" s="667">
        <v>1045.9219286436637</v>
      </c>
    </row>
    <row r="41" spans="3:21" ht="13">
      <c r="C41" s="662" t="s">
        <v>84</v>
      </c>
      <c r="D41" s="663">
        <v>0</v>
      </c>
      <c r="E41" s="663">
        <v>0</v>
      </c>
      <c r="F41" s="663">
        <v>63.453621141900157</v>
      </c>
      <c r="G41" s="663">
        <v>5.849933778542443</v>
      </c>
      <c r="H41" s="663">
        <v>6.7321107560009157</v>
      </c>
      <c r="I41" s="663">
        <v>0</v>
      </c>
      <c r="J41" s="663">
        <v>0</v>
      </c>
      <c r="K41" s="663">
        <v>0</v>
      </c>
      <c r="L41" s="663">
        <v>0.4086523039836884</v>
      </c>
      <c r="M41" s="663">
        <v>0</v>
      </c>
      <c r="N41" s="663">
        <v>16.128139408945682</v>
      </c>
      <c r="O41" s="663">
        <v>2.7141517882424018</v>
      </c>
      <c r="P41" s="663">
        <v>0</v>
      </c>
      <c r="Q41" s="663">
        <v>0</v>
      </c>
      <c r="R41" s="663">
        <v>0</v>
      </c>
      <c r="S41" s="663">
        <v>0</v>
      </c>
      <c r="T41" s="663">
        <v>25.023965550983899</v>
      </c>
      <c r="U41" s="671">
        <v>120.31057472859921</v>
      </c>
    </row>
    <row r="42" spans="3:21" ht="13">
      <c r="C42" s="666" t="s">
        <v>85</v>
      </c>
      <c r="D42" s="667">
        <v>2.7841882556496467</v>
      </c>
      <c r="E42" s="667">
        <v>0</v>
      </c>
      <c r="F42" s="667">
        <v>143.67328931232805</v>
      </c>
      <c r="G42" s="667">
        <v>8.3670621391437372</v>
      </c>
      <c r="H42" s="675">
        <v>77.226830106564577</v>
      </c>
      <c r="I42" s="667">
        <v>0</v>
      </c>
      <c r="J42" s="667">
        <v>0</v>
      </c>
      <c r="K42" s="667">
        <v>0</v>
      </c>
      <c r="L42" s="667">
        <v>58.151481750195423</v>
      </c>
      <c r="M42" s="667">
        <v>2.3819266632466007</v>
      </c>
      <c r="N42" s="667">
        <v>103.23470119805852</v>
      </c>
      <c r="O42" s="667">
        <v>60.430312246286654</v>
      </c>
      <c r="P42" s="667">
        <v>137.63232647396575</v>
      </c>
      <c r="Q42" s="667">
        <v>5.0433146454720621</v>
      </c>
      <c r="R42" s="667">
        <v>469.70988795485181</v>
      </c>
      <c r="S42" s="667">
        <v>63.928565625977342</v>
      </c>
      <c r="T42" s="667">
        <v>33.668617000522637</v>
      </c>
      <c r="U42" s="667">
        <v>1166.2325033722627</v>
      </c>
    </row>
    <row r="43" spans="3:21">
      <c r="C43" s="654"/>
      <c r="D43" s="672">
        <v>0</v>
      </c>
      <c r="E43" s="672">
        <v>0</v>
      </c>
      <c r="F43" s="672">
        <v>0</v>
      </c>
      <c r="G43" s="672">
        <v>0</v>
      </c>
      <c r="H43" s="672">
        <v>0</v>
      </c>
      <c r="I43" s="672">
        <v>0</v>
      </c>
      <c r="J43" s="672">
        <v>0</v>
      </c>
      <c r="K43" s="672">
        <v>0</v>
      </c>
      <c r="L43" s="672">
        <v>0</v>
      </c>
      <c r="M43" s="672">
        <v>0</v>
      </c>
      <c r="N43" s="672">
        <v>1.5987211554602254E-14</v>
      </c>
      <c r="O43" s="672">
        <v>1.865174681370263E-14</v>
      </c>
      <c r="P43" s="672">
        <v>0</v>
      </c>
      <c r="Q43" s="672">
        <v>0</v>
      </c>
      <c r="R43" s="672">
        <v>1.1368683772161603E-13</v>
      </c>
      <c r="S43" s="672">
        <v>0</v>
      </c>
      <c r="T43" s="672">
        <v>-1.3322676295501878E-15</v>
      </c>
      <c r="U43" s="672">
        <v>0</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523</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0</v>
      </c>
      <c r="F49" s="663">
        <v>0</v>
      </c>
      <c r="G49" s="663">
        <v>0</v>
      </c>
      <c r="H49" s="663">
        <v>0</v>
      </c>
      <c r="I49" s="663">
        <v>0</v>
      </c>
      <c r="J49" s="664">
        <v>887.88984586571985</v>
      </c>
      <c r="K49" s="664">
        <v>396.24410449971316</v>
      </c>
      <c r="L49" s="664">
        <v>299.20080257603973</v>
      </c>
      <c r="M49" s="664">
        <v>23.973968003405336</v>
      </c>
      <c r="N49" s="663">
        <v>1.638642873490971</v>
      </c>
      <c r="O49" s="663">
        <v>0.1692153726460352</v>
      </c>
      <c r="P49" s="664">
        <v>148.52009865212395</v>
      </c>
      <c r="Q49" s="664">
        <v>23.099478079825218</v>
      </c>
      <c r="R49" s="663">
        <v>0</v>
      </c>
      <c r="S49" s="663">
        <v>0</v>
      </c>
      <c r="T49" s="663">
        <v>0</v>
      </c>
      <c r="U49" s="665">
        <v>1780.7361559229641</v>
      </c>
    </row>
    <row r="50" spans="3:21" ht="13">
      <c r="C50" s="662" t="s">
        <v>60</v>
      </c>
      <c r="D50" s="663">
        <v>10.379280707598515</v>
      </c>
      <c r="E50" s="663">
        <v>221.43377158510449</v>
      </c>
      <c r="F50" s="663">
        <v>3.6404081450569747</v>
      </c>
      <c r="G50" s="663">
        <v>0</v>
      </c>
      <c r="H50" s="663">
        <v>71.351673113669463</v>
      </c>
      <c r="I50" s="663">
        <v>0</v>
      </c>
      <c r="J50" s="663">
        <v>0</v>
      </c>
      <c r="K50" s="663">
        <v>0</v>
      </c>
      <c r="L50" s="663">
        <v>4.5400000946661896</v>
      </c>
      <c r="M50" s="663">
        <v>0</v>
      </c>
      <c r="N50" s="663">
        <v>4.7355769449703358</v>
      </c>
      <c r="O50" s="663">
        <v>0</v>
      </c>
      <c r="P50" s="663">
        <v>0</v>
      </c>
      <c r="Q50" s="663">
        <v>0</v>
      </c>
      <c r="R50" s="663">
        <v>0</v>
      </c>
      <c r="S50" s="663">
        <v>0</v>
      </c>
      <c r="T50" s="663">
        <v>0</v>
      </c>
      <c r="U50" s="665">
        <v>316.08071059106601</v>
      </c>
    </row>
    <row r="51" spans="3:21" ht="13">
      <c r="C51" s="662" t="s">
        <v>61</v>
      </c>
      <c r="D51" s="663">
        <v>0</v>
      </c>
      <c r="E51" s="663">
        <v>0</v>
      </c>
      <c r="F51" s="663">
        <v>-61.117649142160822</v>
      </c>
      <c r="G51" s="663">
        <v>0</v>
      </c>
      <c r="H51" s="663">
        <v>0</v>
      </c>
      <c r="I51" s="663">
        <v>0</v>
      </c>
      <c r="J51" s="663">
        <v>0</v>
      </c>
      <c r="K51" s="663">
        <v>0</v>
      </c>
      <c r="L51" s="663">
        <v>0</v>
      </c>
      <c r="M51" s="663">
        <v>0</v>
      </c>
      <c r="N51" s="663">
        <v>0</v>
      </c>
      <c r="O51" s="663">
        <v>0</v>
      </c>
      <c r="P51" s="663">
        <v>0</v>
      </c>
      <c r="Q51" s="663">
        <v>0</v>
      </c>
      <c r="R51" s="663">
        <v>-39.114049370458702</v>
      </c>
      <c r="S51" s="663">
        <v>0</v>
      </c>
      <c r="T51" s="663">
        <v>0</v>
      </c>
      <c r="U51" s="665">
        <v>-100.23169851261953</v>
      </c>
    </row>
    <row r="52" spans="3:21" ht="13">
      <c r="C52" s="662" t="s">
        <v>62</v>
      </c>
      <c r="D52" s="663">
        <v>0</v>
      </c>
      <c r="E52" s="663">
        <v>0</v>
      </c>
      <c r="F52" s="663">
        <v>-6.8572519407668047</v>
      </c>
      <c r="G52" s="663">
        <v>-2.9115063458369059</v>
      </c>
      <c r="H52" s="663">
        <v>-4.556210213526227</v>
      </c>
      <c r="I52" s="663">
        <v>-6.0214231896822394E-2</v>
      </c>
      <c r="J52" s="663">
        <v>0</v>
      </c>
      <c r="K52" s="663">
        <v>0</v>
      </c>
      <c r="L52" s="663">
        <v>0</v>
      </c>
      <c r="M52" s="663">
        <v>0</v>
      </c>
      <c r="N52" s="663">
        <v>-0.36156496915270087</v>
      </c>
      <c r="O52" s="663">
        <v>-5.4192808707140152</v>
      </c>
      <c r="P52" s="663">
        <v>0</v>
      </c>
      <c r="Q52" s="663">
        <v>0</v>
      </c>
      <c r="R52" s="663">
        <v>0</v>
      </c>
      <c r="S52" s="663">
        <v>0</v>
      </c>
      <c r="T52" s="663">
        <v>0</v>
      </c>
      <c r="U52" s="665">
        <v>-20.166028571893477</v>
      </c>
    </row>
    <row r="53" spans="3:21" ht="13">
      <c r="C53" s="662" t="s">
        <v>63</v>
      </c>
      <c r="D53" s="663">
        <v>0</v>
      </c>
      <c r="E53" s="663">
        <v>0</v>
      </c>
      <c r="F53" s="663">
        <v>-41.932075648688581</v>
      </c>
      <c r="G53" s="663">
        <v>-12.789597363010756</v>
      </c>
      <c r="H53" s="663">
        <v>0</v>
      </c>
      <c r="I53" s="663">
        <v>0</v>
      </c>
      <c r="J53" s="663">
        <v>0</v>
      </c>
      <c r="K53" s="663">
        <v>0</v>
      </c>
      <c r="L53" s="663">
        <v>0</v>
      </c>
      <c r="M53" s="663">
        <v>0</v>
      </c>
      <c r="N53" s="663">
        <v>-13.964845940285258</v>
      </c>
      <c r="O53" s="663">
        <v>0</v>
      </c>
      <c r="P53" s="663">
        <v>0</v>
      </c>
      <c r="Q53" s="663">
        <v>0</v>
      </c>
      <c r="R53" s="663">
        <v>0</v>
      </c>
      <c r="S53" s="663">
        <v>0</v>
      </c>
      <c r="T53" s="663">
        <v>-1.1030439884832439</v>
      </c>
      <c r="U53" s="665">
        <v>-69.789562940467846</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10.379280707598515</v>
      </c>
      <c r="E55" s="667">
        <v>221.43377158510449</v>
      </c>
      <c r="F55" s="667">
        <v>-106.26656858655923</v>
      </c>
      <c r="G55" s="667">
        <v>-15.701103708847661</v>
      </c>
      <c r="H55" s="675">
        <v>66.795462900143235</v>
      </c>
      <c r="I55" s="667">
        <v>-6.0214231896822394E-2</v>
      </c>
      <c r="J55" s="667">
        <v>887.88984586571985</v>
      </c>
      <c r="K55" s="667">
        <v>396.24410449971316</v>
      </c>
      <c r="L55" s="667">
        <v>303.74080267070593</v>
      </c>
      <c r="M55" s="667">
        <v>23.973968003405336</v>
      </c>
      <c r="N55" s="667">
        <v>-7.952191090976652</v>
      </c>
      <c r="O55" s="667">
        <v>-5.25006549806798</v>
      </c>
      <c r="P55" s="667">
        <v>148.52009865212395</v>
      </c>
      <c r="Q55" s="667">
        <v>23.099478079825218</v>
      </c>
      <c r="R55" s="667">
        <v>-39.114049370458702</v>
      </c>
      <c r="S55" s="667">
        <v>0</v>
      </c>
      <c r="T55" s="667">
        <v>-1.1030439884832439</v>
      </c>
      <c r="U55" s="667">
        <v>1906.629576489049</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2.6460781360013397E-2</v>
      </c>
      <c r="G58" s="663">
        <v>0</v>
      </c>
      <c r="H58" s="663">
        <v>2.1444399446740805</v>
      </c>
      <c r="I58" s="663">
        <v>0</v>
      </c>
      <c r="J58" s="663">
        <v>887.88984586571985</v>
      </c>
      <c r="K58" s="663">
        <v>396.24410449971316</v>
      </c>
      <c r="L58" s="663">
        <v>15.085804984191999</v>
      </c>
      <c r="M58" s="663">
        <v>7.2357180176402842</v>
      </c>
      <c r="N58" s="663">
        <v>6.0578717375904887</v>
      </c>
      <c r="O58" s="663">
        <v>0.6501857288144991</v>
      </c>
      <c r="P58" s="663">
        <v>0</v>
      </c>
      <c r="Q58" s="663">
        <v>6.4590957564387725</v>
      </c>
      <c r="R58" s="663">
        <v>-708.99943776638747</v>
      </c>
      <c r="S58" s="663">
        <v>0</v>
      </c>
      <c r="T58" s="663">
        <v>8.0586922417708831</v>
      </c>
      <c r="U58" s="671">
        <v>620.85278179152624</v>
      </c>
    </row>
    <row r="59" spans="3:21" ht="13">
      <c r="C59" s="670" t="s">
        <v>351</v>
      </c>
      <c r="D59" s="663">
        <v>0</v>
      </c>
      <c r="E59" s="663">
        <v>0</v>
      </c>
      <c r="F59" s="663">
        <v>0</v>
      </c>
      <c r="G59" s="663">
        <v>0</v>
      </c>
      <c r="H59" s="663">
        <v>4.7815870319860325</v>
      </c>
      <c r="I59" s="663">
        <v>0</v>
      </c>
      <c r="J59" s="663">
        <v>0</v>
      </c>
      <c r="K59" s="663">
        <v>0</v>
      </c>
      <c r="L59" s="663">
        <v>35.214664152844563</v>
      </c>
      <c r="M59" s="663">
        <v>14.445160723039894</v>
      </c>
      <c r="N59" s="663">
        <v>0</v>
      </c>
      <c r="O59" s="663">
        <v>7.1872449307268287</v>
      </c>
      <c r="P59" s="663">
        <v>0</v>
      </c>
      <c r="Q59" s="663">
        <v>11.182341089352812</v>
      </c>
      <c r="R59" s="663">
        <v>0</v>
      </c>
      <c r="S59" s="663">
        <v>-68.236033723831326</v>
      </c>
      <c r="T59" s="663">
        <v>0</v>
      </c>
      <c r="U59" s="671">
        <v>4.574964204118805</v>
      </c>
    </row>
    <row r="60" spans="3:21" ht="13">
      <c r="C60" s="670" t="s">
        <v>352</v>
      </c>
      <c r="D60" s="663">
        <v>0</v>
      </c>
      <c r="E60" s="663">
        <v>0</v>
      </c>
      <c r="F60" s="663">
        <v>0</v>
      </c>
      <c r="G60" s="663">
        <v>0</v>
      </c>
      <c r="H60" s="663">
        <v>0</v>
      </c>
      <c r="I60" s="663">
        <v>0</v>
      </c>
      <c r="J60" s="663">
        <v>0</v>
      </c>
      <c r="K60" s="663">
        <v>0</v>
      </c>
      <c r="L60" s="663">
        <v>86.658949605448655</v>
      </c>
      <c r="M60" s="663">
        <v>0</v>
      </c>
      <c r="N60" s="663">
        <v>0</v>
      </c>
      <c r="O60" s="663">
        <v>-81.004566256753222</v>
      </c>
      <c r="P60" s="663">
        <v>0</v>
      </c>
      <c r="Q60" s="663">
        <v>0</v>
      </c>
      <c r="R60" s="663">
        <v>0</v>
      </c>
      <c r="S60" s="663">
        <v>0</v>
      </c>
      <c r="T60" s="663">
        <v>0</v>
      </c>
      <c r="U60" s="671">
        <v>5.6543833486954327</v>
      </c>
    </row>
    <row r="61" spans="3:21" ht="13">
      <c r="C61" s="670" t="s">
        <v>353</v>
      </c>
      <c r="D61" s="663">
        <v>0</v>
      </c>
      <c r="E61" s="663">
        <v>0</v>
      </c>
      <c r="F61" s="663">
        <v>0</v>
      </c>
      <c r="G61" s="663">
        <v>0</v>
      </c>
      <c r="H61" s="663">
        <v>0</v>
      </c>
      <c r="I61" s="663">
        <v>-0.77766156720631052</v>
      </c>
      <c r="J61" s="663">
        <v>0</v>
      </c>
      <c r="K61" s="663">
        <v>0</v>
      </c>
      <c r="L61" s="663">
        <v>0</v>
      </c>
      <c r="M61" s="663">
        <v>0</v>
      </c>
      <c r="N61" s="663">
        <v>0</v>
      </c>
      <c r="O61" s="663">
        <v>0</v>
      </c>
      <c r="P61" s="663">
        <v>0</v>
      </c>
      <c r="Q61" s="663">
        <v>0</v>
      </c>
      <c r="R61" s="663">
        <v>0</v>
      </c>
      <c r="S61" s="663">
        <v>0</v>
      </c>
      <c r="T61" s="663">
        <v>1.0822986785331616</v>
      </c>
      <c r="U61" s="671">
        <v>0.30463711132685112</v>
      </c>
    </row>
    <row r="62" spans="3:21" ht="13">
      <c r="C62" s="670" t="s">
        <v>72</v>
      </c>
      <c r="D62" s="663">
        <v>0</v>
      </c>
      <c r="E62" s="663">
        <v>229.44376619610998</v>
      </c>
      <c r="F62" s="663">
        <v>-227.15530245315296</v>
      </c>
      <c r="G62" s="663">
        <v>0</v>
      </c>
      <c r="H62" s="663">
        <v>0</v>
      </c>
      <c r="I62" s="663">
        <v>0</v>
      </c>
      <c r="J62" s="663">
        <v>0</v>
      </c>
      <c r="K62" s="663">
        <v>0</v>
      </c>
      <c r="L62" s="663">
        <v>0</v>
      </c>
      <c r="M62" s="663">
        <v>0</v>
      </c>
      <c r="N62" s="663">
        <v>0</v>
      </c>
      <c r="O62" s="663">
        <v>0</v>
      </c>
      <c r="P62" s="663">
        <v>0</v>
      </c>
      <c r="Q62" s="663">
        <v>0</v>
      </c>
      <c r="R62" s="663">
        <v>0</v>
      </c>
      <c r="S62" s="663">
        <v>0</v>
      </c>
      <c r="T62" s="663">
        <v>0</v>
      </c>
      <c r="U62" s="671">
        <v>2.2884637429570258</v>
      </c>
    </row>
    <row r="63" spans="3:21" ht="13">
      <c r="C63" s="670" t="s">
        <v>354</v>
      </c>
      <c r="D63" s="663">
        <v>0</v>
      </c>
      <c r="E63" s="663">
        <v>0</v>
      </c>
      <c r="F63" s="663">
        <v>0</v>
      </c>
      <c r="G63" s="663">
        <v>0</v>
      </c>
      <c r="H63" s="663">
        <v>0</v>
      </c>
      <c r="I63" s="663">
        <v>0</v>
      </c>
      <c r="J63" s="663">
        <v>0</v>
      </c>
      <c r="K63" s="663">
        <v>0</v>
      </c>
      <c r="L63" s="663">
        <v>110.37341937246062</v>
      </c>
      <c r="M63" s="663">
        <v>0</v>
      </c>
      <c r="N63" s="663">
        <v>-110.37341937246062</v>
      </c>
      <c r="O63" s="663">
        <v>0</v>
      </c>
      <c r="P63" s="663">
        <v>0</v>
      </c>
      <c r="Q63" s="663">
        <v>0</v>
      </c>
      <c r="R63" s="663">
        <v>0</v>
      </c>
      <c r="S63" s="663">
        <v>0</v>
      </c>
      <c r="T63" s="663">
        <v>0</v>
      </c>
      <c r="U63" s="671">
        <v>0</v>
      </c>
    </row>
    <row r="64" spans="3:21" ht="13">
      <c r="C64" s="670" t="s">
        <v>355</v>
      </c>
      <c r="D64" s="663">
        <v>0</v>
      </c>
      <c r="E64" s="663">
        <v>0</v>
      </c>
      <c r="F64" s="663">
        <v>0</v>
      </c>
      <c r="G64" s="663">
        <v>-25.838308158403624</v>
      </c>
      <c r="H64" s="663">
        <v>0</v>
      </c>
      <c r="I64" s="663">
        <v>0</v>
      </c>
      <c r="J64" s="663">
        <v>0</v>
      </c>
      <c r="K64" s="663">
        <v>0</v>
      </c>
      <c r="L64" s="663">
        <v>0</v>
      </c>
      <c r="M64" s="663">
        <v>0</v>
      </c>
      <c r="N64" s="663">
        <v>0</v>
      </c>
      <c r="O64" s="663">
        <v>0</v>
      </c>
      <c r="P64" s="663">
        <v>0</v>
      </c>
      <c r="Q64" s="663">
        <v>0</v>
      </c>
      <c r="R64" s="663">
        <v>0</v>
      </c>
      <c r="S64" s="663">
        <v>0</v>
      </c>
      <c r="T64" s="663">
        <v>35.986501613375523</v>
      </c>
      <c r="U64" s="671">
        <v>10.148193454971899</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122.6947271556845</v>
      </c>
      <c r="S65" s="663">
        <v>0</v>
      </c>
      <c r="T65" s="663">
        <v>-85.334182736778573</v>
      </c>
      <c r="U65" s="671">
        <v>37.360544418905931</v>
      </c>
    </row>
    <row r="66" spans="3:21" ht="13">
      <c r="C66" s="670" t="s">
        <v>356</v>
      </c>
      <c r="D66" s="663">
        <v>5.7430949414062491</v>
      </c>
      <c r="E66" s="663">
        <v>-8.0099946110054798</v>
      </c>
      <c r="F66" s="663">
        <v>10.446968779828495</v>
      </c>
      <c r="G66" s="663">
        <v>0</v>
      </c>
      <c r="H66" s="663">
        <v>0</v>
      </c>
      <c r="I66" s="663">
        <v>0</v>
      </c>
      <c r="J66" s="663">
        <v>0</v>
      </c>
      <c r="K66" s="663">
        <v>0</v>
      </c>
      <c r="L66" s="663">
        <v>0</v>
      </c>
      <c r="M66" s="663">
        <v>0</v>
      </c>
      <c r="N66" s="663">
        <v>0</v>
      </c>
      <c r="O66" s="663">
        <v>0</v>
      </c>
      <c r="P66" s="663">
        <v>0</v>
      </c>
      <c r="Q66" s="663">
        <v>0</v>
      </c>
      <c r="R66" s="663">
        <v>0</v>
      </c>
      <c r="S66" s="663">
        <v>0</v>
      </c>
      <c r="T66" s="663">
        <v>0</v>
      </c>
      <c r="U66" s="671">
        <v>8.1800691102292635</v>
      </c>
    </row>
    <row r="67" spans="3:21" ht="13">
      <c r="C67" s="670" t="s">
        <v>75</v>
      </c>
      <c r="D67" s="663">
        <v>2.2334258105468749</v>
      </c>
      <c r="E67" s="663">
        <v>0</v>
      </c>
      <c r="F67" s="663">
        <v>17.43246590348684</v>
      </c>
      <c r="G67" s="663">
        <v>0</v>
      </c>
      <c r="H67" s="663">
        <v>2.2924587532620087</v>
      </c>
      <c r="I67" s="663">
        <v>3.0296811717119062E-2</v>
      </c>
      <c r="J67" s="663">
        <v>0</v>
      </c>
      <c r="K67" s="663">
        <v>0</v>
      </c>
      <c r="L67" s="663">
        <v>0</v>
      </c>
      <c r="M67" s="663">
        <v>0</v>
      </c>
      <c r="N67" s="663">
        <v>0</v>
      </c>
      <c r="O67" s="663">
        <v>2.7267130545407157</v>
      </c>
      <c r="P67" s="663">
        <v>0</v>
      </c>
      <c r="Q67" s="663">
        <v>0</v>
      </c>
      <c r="R67" s="663">
        <v>21.822235808041572</v>
      </c>
      <c r="S67" s="663">
        <v>0</v>
      </c>
      <c r="T67" s="663">
        <v>0</v>
      </c>
      <c r="U67" s="671">
        <v>46.537596141595124</v>
      </c>
    </row>
    <row r="68" spans="3:21" ht="13">
      <c r="C68" s="670" t="s">
        <v>76</v>
      </c>
      <c r="D68" s="663">
        <v>0</v>
      </c>
      <c r="E68" s="663">
        <v>0</v>
      </c>
      <c r="F68" s="663">
        <v>0</v>
      </c>
      <c r="G68" s="663">
        <v>0</v>
      </c>
      <c r="H68" s="663">
        <v>0.77652722768993077</v>
      </c>
      <c r="I68" s="663">
        <v>1.0262474374756796E-2</v>
      </c>
      <c r="J68" s="663">
        <v>0</v>
      </c>
      <c r="K68" s="663">
        <v>0</v>
      </c>
      <c r="L68" s="663">
        <v>0</v>
      </c>
      <c r="M68" s="663">
        <v>0</v>
      </c>
      <c r="N68" s="663">
        <v>0</v>
      </c>
      <c r="O68" s="663">
        <v>0.92362269372811168</v>
      </c>
      <c r="P68" s="663">
        <v>0</v>
      </c>
      <c r="Q68" s="663">
        <v>0</v>
      </c>
      <c r="R68" s="663">
        <v>51.265258018349606</v>
      </c>
      <c r="S68" s="663">
        <v>5.2924074535934169</v>
      </c>
      <c r="T68" s="663">
        <v>0</v>
      </c>
      <c r="U68" s="671">
        <v>58.268077867735826</v>
      </c>
    </row>
    <row r="69" spans="3:21" ht="13">
      <c r="C69" s="666" t="s">
        <v>77</v>
      </c>
      <c r="D69" s="667">
        <v>7.9765207519531245</v>
      </c>
      <c r="E69" s="667">
        <v>221.43377158510449</v>
      </c>
      <c r="F69" s="667">
        <v>-199.24940698847763</v>
      </c>
      <c r="G69" s="667">
        <v>-25.838308158403624</v>
      </c>
      <c r="H69" s="675">
        <v>9.9950129576120528</v>
      </c>
      <c r="I69" s="667">
        <v>-0.73710228111443465</v>
      </c>
      <c r="J69" s="667">
        <v>887.88984586571985</v>
      </c>
      <c r="K69" s="667">
        <v>396.24410449971316</v>
      </c>
      <c r="L69" s="667">
        <v>247.33283811494582</v>
      </c>
      <c r="M69" s="667">
        <v>21.680878740680178</v>
      </c>
      <c r="N69" s="667">
        <v>-104.31554763487013</v>
      </c>
      <c r="O69" s="667">
        <v>-69.51679984894308</v>
      </c>
      <c r="P69" s="667">
        <v>0</v>
      </c>
      <c r="Q69" s="667">
        <v>17.641436845791585</v>
      </c>
      <c r="R69" s="667">
        <v>-513.21721678431186</v>
      </c>
      <c r="S69" s="667">
        <v>-62.943626270237907</v>
      </c>
      <c r="T69" s="667">
        <v>-40.206690203099001</v>
      </c>
      <c r="U69" s="667">
        <v>794.16971119206255</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2.4027599556453909</v>
      </c>
      <c r="E71" s="663">
        <v>0</v>
      </c>
      <c r="F71" s="663">
        <v>3.114463113040443</v>
      </c>
      <c r="G71" s="663">
        <v>0</v>
      </c>
      <c r="H71" s="663">
        <v>22.626318476237717</v>
      </c>
      <c r="I71" s="663">
        <v>0.29902623536878048</v>
      </c>
      <c r="J71" s="663">
        <v>0</v>
      </c>
      <c r="K71" s="663">
        <v>0</v>
      </c>
      <c r="L71" s="663">
        <v>19.572699923725285</v>
      </c>
      <c r="M71" s="663">
        <v>2.2927206810178133</v>
      </c>
      <c r="N71" s="663">
        <v>2.5907279394531253</v>
      </c>
      <c r="O71" s="663">
        <v>26.952636430442517</v>
      </c>
      <c r="P71" s="663">
        <v>8.8445146484374995</v>
      </c>
      <c r="Q71" s="663">
        <v>8.2107689234467234E-4</v>
      </c>
      <c r="R71" s="663">
        <v>134.99858174444151</v>
      </c>
      <c r="S71" s="663">
        <v>18.388872155735818</v>
      </c>
      <c r="T71" s="663">
        <v>5.7096738281250001</v>
      </c>
      <c r="U71" s="671">
        <v>247.79381620856324</v>
      </c>
    </row>
    <row r="72" spans="3:21" ht="13">
      <c r="C72" s="670" t="s">
        <v>79</v>
      </c>
      <c r="D72" s="663">
        <v>0</v>
      </c>
      <c r="E72" s="663">
        <v>0</v>
      </c>
      <c r="F72" s="663">
        <v>28.084568019979141</v>
      </c>
      <c r="G72" s="663">
        <v>1.421472124111238</v>
      </c>
      <c r="H72" s="663">
        <v>2.5860362638913656</v>
      </c>
      <c r="I72" s="663">
        <v>3.4176690712220695E-2</v>
      </c>
      <c r="J72" s="663">
        <v>0</v>
      </c>
      <c r="K72" s="663">
        <v>0</v>
      </c>
      <c r="L72" s="663">
        <v>0</v>
      </c>
      <c r="M72" s="663">
        <v>0</v>
      </c>
      <c r="N72" s="663">
        <v>58.95620249302754</v>
      </c>
      <c r="O72" s="663">
        <v>3.0759021640998623</v>
      </c>
      <c r="P72" s="663">
        <v>0</v>
      </c>
      <c r="Q72" s="663">
        <v>0</v>
      </c>
      <c r="R72" s="663">
        <v>96.758599927458889</v>
      </c>
      <c r="S72" s="663">
        <v>0</v>
      </c>
      <c r="T72" s="663">
        <v>4.2910115463144054</v>
      </c>
      <c r="U72" s="671">
        <v>195.20796922959462</v>
      </c>
    </row>
    <row r="73" spans="3:21" ht="13">
      <c r="C73" s="670" t="s">
        <v>80</v>
      </c>
      <c r="D73" s="663">
        <v>0</v>
      </c>
      <c r="E73" s="663">
        <v>0</v>
      </c>
      <c r="F73" s="663">
        <v>1.0938828648554826</v>
      </c>
      <c r="G73" s="663">
        <v>0</v>
      </c>
      <c r="H73" s="663">
        <v>16.315204996757775</v>
      </c>
      <c r="I73" s="663">
        <v>0.21561944929635826</v>
      </c>
      <c r="J73" s="663">
        <v>0</v>
      </c>
      <c r="K73" s="663">
        <v>0</v>
      </c>
      <c r="L73" s="663">
        <v>32.232635043857968</v>
      </c>
      <c r="M73" s="663">
        <v>0</v>
      </c>
      <c r="N73" s="663">
        <v>0</v>
      </c>
      <c r="O73" s="663">
        <v>19.405750436672243</v>
      </c>
      <c r="P73" s="663">
        <v>111.91504706113531</v>
      </c>
      <c r="Q73" s="663">
        <v>2.8847164087553931</v>
      </c>
      <c r="R73" s="663">
        <v>143.6282802083233</v>
      </c>
      <c r="S73" s="663">
        <v>25.545428952203935</v>
      </c>
      <c r="T73" s="663">
        <v>0</v>
      </c>
      <c r="U73" s="671">
        <v>353.23656542185773</v>
      </c>
    </row>
    <row r="74" spans="3:21" ht="13">
      <c r="C74" s="670" t="s">
        <v>81</v>
      </c>
      <c r="D74" s="663">
        <v>0</v>
      </c>
      <c r="E74" s="663">
        <v>0</v>
      </c>
      <c r="F74" s="663">
        <v>0.97723127965383472</v>
      </c>
      <c r="G74" s="663">
        <v>0</v>
      </c>
      <c r="H74" s="663">
        <v>8.896881568300115</v>
      </c>
      <c r="I74" s="663">
        <v>0.11757993262070637</v>
      </c>
      <c r="J74" s="663">
        <v>0</v>
      </c>
      <c r="K74" s="663">
        <v>0</v>
      </c>
      <c r="L74" s="663">
        <v>0.3860243395319729</v>
      </c>
      <c r="M74" s="663">
        <v>3.6858170734169985E-4</v>
      </c>
      <c r="N74" s="663">
        <v>0</v>
      </c>
      <c r="O74" s="663">
        <v>10.582193935863573</v>
      </c>
      <c r="P74" s="663">
        <v>26.610536942551132</v>
      </c>
      <c r="Q74" s="663">
        <v>1.0058473798751368</v>
      </c>
      <c r="R74" s="663">
        <v>89.039868511744515</v>
      </c>
      <c r="S74" s="663">
        <v>19.009325162298154</v>
      </c>
      <c r="T74" s="663">
        <v>0</v>
      </c>
      <c r="U74" s="671">
        <v>156.62585763414648</v>
      </c>
    </row>
    <row r="75" spans="3:21" ht="13">
      <c r="C75" s="670" t="s">
        <v>82</v>
      </c>
      <c r="D75" s="663">
        <v>0</v>
      </c>
      <c r="E75" s="663">
        <v>0</v>
      </c>
      <c r="F75" s="663">
        <v>4.1945740406306502</v>
      </c>
      <c r="G75" s="663">
        <v>1.6667279106947781</v>
      </c>
      <c r="H75" s="663">
        <v>0.79342108561234903</v>
      </c>
      <c r="I75" s="663">
        <v>1.0485741219546464E-2</v>
      </c>
      <c r="J75" s="663">
        <v>0</v>
      </c>
      <c r="K75" s="663">
        <v>0</v>
      </c>
      <c r="L75" s="663">
        <v>3.7340409967435519</v>
      </c>
      <c r="M75" s="663">
        <v>0</v>
      </c>
      <c r="N75" s="663">
        <v>16.919952753679041</v>
      </c>
      <c r="O75" s="663">
        <v>0.94371670975918176</v>
      </c>
      <c r="P75" s="663">
        <v>1.1499999999999999</v>
      </c>
      <c r="Q75" s="663">
        <v>1.5666563685107562</v>
      </c>
      <c r="R75" s="663">
        <v>7.7866370218848946</v>
      </c>
      <c r="S75" s="663">
        <v>0</v>
      </c>
      <c r="T75" s="663">
        <v>0.36062656029870238</v>
      </c>
      <c r="U75" s="671">
        <v>39.126839189033454</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1.8912</v>
      </c>
      <c r="S76" s="663">
        <v>0</v>
      </c>
      <c r="T76" s="663">
        <v>0</v>
      </c>
      <c r="U76" s="671">
        <v>1.8912</v>
      </c>
    </row>
    <row r="77" spans="3:21" ht="13">
      <c r="C77" s="666" t="s">
        <v>83</v>
      </c>
      <c r="D77" s="667">
        <v>2.4027599556453909</v>
      </c>
      <c r="E77" s="667">
        <v>0</v>
      </c>
      <c r="F77" s="667">
        <v>37.464719318159553</v>
      </c>
      <c r="G77" s="667">
        <v>3.0882000348060163</v>
      </c>
      <c r="H77" s="675">
        <v>51.217862390799326</v>
      </c>
      <c r="I77" s="667">
        <v>0.67688804921761236</v>
      </c>
      <c r="J77" s="667">
        <v>0</v>
      </c>
      <c r="K77" s="667">
        <v>0</v>
      </c>
      <c r="L77" s="667">
        <v>55.925400303858773</v>
      </c>
      <c r="M77" s="667">
        <v>2.2930892627251551</v>
      </c>
      <c r="N77" s="667">
        <v>78.46688318615972</v>
      </c>
      <c r="O77" s="667">
        <v>60.960199676837377</v>
      </c>
      <c r="P77" s="667">
        <v>148.52009865212395</v>
      </c>
      <c r="Q77" s="667">
        <v>5.4580412340336313</v>
      </c>
      <c r="R77" s="667">
        <v>474.10316741385316</v>
      </c>
      <c r="S77" s="667">
        <v>62.943626270237907</v>
      </c>
      <c r="T77" s="667">
        <v>10.361311934738108</v>
      </c>
      <c r="U77" s="667">
        <v>993.8822476831956</v>
      </c>
    </row>
    <row r="78" spans="3:21" ht="13">
      <c r="C78" s="662" t="s">
        <v>84</v>
      </c>
      <c r="D78" s="663">
        <v>0</v>
      </c>
      <c r="E78" s="663">
        <v>0</v>
      </c>
      <c r="F78" s="663">
        <v>55.51811908375884</v>
      </c>
      <c r="G78" s="663">
        <v>7.0490044147499464</v>
      </c>
      <c r="H78" s="663">
        <v>5.5825875517318595</v>
      </c>
      <c r="I78" s="663">
        <v>0</v>
      </c>
      <c r="J78" s="663">
        <v>0</v>
      </c>
      <c r="K78" s="663">
        <v>0</v>
      </c>
      <c r="L78" s="663">
        <v>0.48256425190137814</v>
      </c>
      <c r="M78" s="663">
        <v>0</v>
      </c>
      <c r="N78" s="663">
        <v>17.896473357733768</v>
      </c>
      <c r="O78" s="663">
        <v>3.3065346740377066</v>
      </c>
      <c r="P78" s="663">
        <v>0</v>
      </c>
      <c r="Q78" s="663">
        <v>0</v>
      </c>
      <c r="R78" s="663">
        <v>0</v>
      </c>
      <c r="S78" s="663">
        <v>0</v>
      </c>
      <c r="T78" s="663">
        <v>28.74233427987765</v>
      </c>
      <c r="U78" s="671">
        <v>118.57761761379115</v>
      </c>
    </row>
    <row r="79" spans="3:21" ht="13">
      <c r="C79" s="666" t="s">
        <v>85</v>
      </c>
      <c r="D79" s="667">
        <v>2.4027599556453909</v>
      </c>
      <c r="E79" s="667">
        <v>0</v>
      </c>
      <c r="F79" s="667">
        <v>92.9828384019184</v>
      </c>
      <c r="G79" s="667">
        <v>10.137204449555963</v>
      </c>
      <c r="H79" s="675">
        <v>56.800449942531188</v>
      </c>
      <c r="I79" s="667">
        <v>0.67688804921761236</v>
      </c>
      <c r="J79" s="667">
        <v>0</v>
      </c>
      <c r="K79" s="667">
        <v>0</v>
      </c>
      <c r="L79" s="667">
        <v>56.407964555760152</v>
      </c>
      <c r="M79" s="667">
        <v>2.2930892627251551</v>
      </c>
      <c r="N79" s="667">
        <v>96.363356543893488</v>
      </c>
      <c r="O79" s="667">
        <v>64.266734350875069</v>
      </c>
      <c r="P79" s="667">
        <v>148.52009865212395</v>
      </c>
      <c r="Q79" s="667">
        <v>5.4580412340336313</v>
      </c>
      <c r="R79" s="667">
        <v>474.10316741385316</v>
      </c>
      <c r="S79" s="667">
        <v>62.943626270237907</v>
      </c>
      <c r="T79" s="667">
        <v>39.103646214615758</v>
      </c>
      <c r="U79" s="667">
        <v>1112.4598652969867</v>
      </c>
    </row>
    <row r="80" spans="3:21">
      <c r="C80" s="654"/>
      <c r="D80" s="672">
        <v>0</v>
      </c>
      <c r="E80" s="672">
        <v>0</v>
      </c>
      <c r="F80" s="672">
        <v>0</v>
      </c>
      <c r="G80" s="672">
        <v>0</v>
      </c>
      <c r="H80" s="672">
        <v>0</v>
      </c>
      <c r="I80" s="672">
        <v>1.0408340855860843E-16</v>
      </c>
      <c r="J80" s="672">
        <v>0</v>
      </c>
      <c r="K80" s="672">
        <v>0</v>
      </c>
      <c r="L80" s="672">
        <v>0</v>
      </c>
      <c r="M80" s="672">
        <v>0</v>
      </c>
      <c r="N80" s="672">
        <v>1.1546319456101628E-14</v>
      </c>
      <c r="O80" s="672">
        <v>-3.1086244689504383E-14</v>
      </c>
      <c r="P80" s="672">
        <v>0</v>
      </c>
      <c r="Q80" s="672">
        <v>0</v>
      </c>
      <c r="R80" s="672">
        <v>0</v>
      </c>
      <c r="S80" s="672">
        <v>0</v>
      </c>
      <c r="T80" s="672">
        <v>0</v>
      </c>
      <c r="U80" s="672">
        <v>0</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364</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0</v>
      </c>
      <c r="F86" s="663">
        <v>0</v>
      </c>
      <c r="G86" s="663">
        <v>0</v>
      </c>
      <c r="H86" s="663">
        <v>0</v>
      </c>
      <c r="I86" s="663">
        <v>0</v>
      </c>
      <c r="J86" s="664">
        <v>835.87348477446847</v>
      </c>
      <c r="K86" s="664">
        <v>433.2264513609648</v>
      </c>
      <c r="L86" s="664">
        <v>288.88340552324502</v>
      </c>
      <c r="M86" s="664">
        <v>22.07866786794175</v>
      </c>
      <c r="N86" s="663">
        <v>1.6797912871987437</v>
      </c>
      <c r="O86" s="663">
        <v>0.17065445399605614</v>
      </c>
      <c r="P86" s="664">
        <v>155.82057805919561</v>
      </c>
      <c r="Q86" s="664">
        <v>23.487215011212861</v>
      </c>
      <c r="R86" s="663">
        <v>0</v>
      </c>
      <c r="S86" s="663">
        <v>0</v>
      </c>
      <c r="T86" s="663">
        <v>0</v>
      </c>
      <c r="U86" s="665">
        <v>1761.2202483382232</v>
      </c>
    </row>
    <row r="87" spans="3:21" ht="13">
      <c r="C87" s="662" t="s">
        <v>60</v>
      </c>
      <c r="D87" s="663">
        <v>9.1088960408946864</v>
      </c>
      <c r="E87" s="663">
        <v>190.65660017812178</v>
      </c>
      <c r="F87" s="663">
        <v>2.9590354993625017</v>
      </c>
      <c r="G87" s="663">
        <v>0</v>
      </c>
      <c r="H87" s="663">
        <v>52.772371882452688</v>
      </c>
      <c r="I87" s="663">
        <v>0</v>
      </c>
      <c r="J87" s="663">
        <v>0</v>
      </c>
      <c r="K87" s="663">
        <v>0</v>
      </c>
      <c r="L87" s="663">
        <v>4.8125993033158778</v>
      </c>
      <c r="M87" s="663">
        <v>0</v>
      </c>
      <c r="N87" s="663">
        <v>5.0080801377734332</v>
      </c>
      <c r="O87" s="663">
        <v>0</v>
      </c>
      <c r="P87" s="663">
        <v>0</v>
      </c>
      <c r="Q87" s="663">
        <v>0</v>
      </c>
      <c r="R87" s="663">
        <v>0</v>
      </c>
      <c r="S87" s="663">
        <v>0</v>
      </c>
      <c r="T87" s="663">
        <v>0</v>
      </c>
      <c r="U87" s="665">
        <v>265.31758304192095</v>
      </c>
    </row>
    <row r="88" spans="3:21" ht="13">
      <c r="C88" s="662" t="s">
        <v>61</v>
      </c>
      <c r="D88" s="663">
        <v>0</v>
      </c>
      <c r="E88" s="663">
        <v>0</v>
      </c>
      <c r="F88" s="663">
        <v>-67.846394386464354</v>
      </c>
      <c r="G88" s="663">
        <v>-3.5527136788005009E-15</v>
      </c>
      <c r="H88" s="663">
        <v>0</v>
      </c>
      <c r="I88" s="663">
        <v>0</v>
      </c>
      <c r="J88" s="663">
        <v>0</v>
      </c>
      <c r="K88" s="663">
        <v>0</v>
      </c>
      <c r="L88" s="663">
        <v>0</v>
      </c>
      <c r="M88" s="663">
        <v>0</v>
      </c>
      <c r="N88" s="663">
        <v>0</v>
      </c>
      <c r="O88" s="663">
        <v>0</v>
      </c>
      <c r="P88" s="663">
        <v>0</v>
      </c>
      <c r="Q88" s="663">
        <v>0</v>
      </c>
      <c r="R88" s="663">
        <v>-40.00031821738844</v>
      </c>
      <c r="S88" s="663">
        <v>0</v>
      </c>
      <c r="T88" s="663">
        <v>0</v>
      </c>
      <c r="U88" s="665">
        <v>-107.84671260385279</v>
      </c>
    </row>
    <row r="89" spans="3:21" ht="13">
      <c r="C89" s="662" t="s">
        <v>62</v>
      </c>
      <c r="D89" s="663">
        <v>0</v>
      </c>
      <c r="E89" s="663">
        <v>0</v>
      </c>
      <c r="F89" s="663">
        <v>-5.3541729526260253</v>
      </c>
      <c r="G89" s="663">
        <v>-3.2544454489343884</v>
      </c>
      <c r="H89" s="663">
        <v>-2.154938128893316</v>
      </c>
      <c r="I89" s="663">
        <v>-5.5254823817777333E-2</v>
      </c>
      <c r="J89" s="663">
        <v>0</v>
      </c>
      <c r="K89" s="663">
        <v>0</v>
      </c>
      <c r="L89" s="663">
        <v>0</v>
      </c>
      <c r="M89" s="663">
        <v>0</v>
      </c>
      <c r="N89" s="663">
        <v>-0.28299525642907725</v>
      </c>
      <c r="O89" s="663">
        <v>-3.3152894290666399</v>
      </c>
      <c r="P89" s="663">
        <v>0</v>
      </c>
      <c r="Q89" s="663">
        <v>0</v>
      </c>
      <c r="R89" s="663">
        <v>0</v>
      </c>
      <c r="S89" s="663">
        <v>0</v>
      </c>
      <c r="T89" s="663">
        <v>0</v>
      </c>
      <c r="U89" s="665">
        <v>-14.417096039767225</v>
      </c>
    </row>
    <row r="90" spans="3:21" ht="13">
      <c r="C90" s="662" t="s">
        <v>63</v>
      </c>
      <c r="D90" s="663">
        <v>0</v>
      </c>
      <c r="E90" s="663">
        <v>0</v>
      </c>
      <c r="F90" s="663">
        <v>-38.578656039955483</v>
      </c>
      <c r="G90" s="663">
        <v>-13.893394907220655</v>
      </c>
      <c r="H90" s="663">
        <v>0</v>
      </c>
      <c r="I90" s="663">
        <v>0</v>
      </c>
      <c r="J90" s="663">
        <v>0</v>
      </c>
      <c r="K90" s="663">
        <v>0</v>
      </c>
      <c r="L90" s="663">
        <v>0</v>
      </c>
      <c r="M90" s="663">
        <v>0</v>
      </c>
      <c r="N90" s="663">
        <v>-13.893394907220655</v>
      </c>
      <c r="O90" s="663">
        <v>0</v>
      </c>
      <c r="P90" s="663">
        <v>0</v>
      </c>
      <c r="Q90" s="663">
        <v>0</v>
      </c>
      <c r="R90" s="663">
        <v>0</v>
      </c>
      <c r="S90" s="663">
        <v>0</v>
      </c>
      <c r="T90" s="663">
        <v>-1.3953345659196588</v>
      </c>
      <c r="U90" s="665">
        <v>-67.760780420316451</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9.1088960408946864</v>
      </c>
      <c r="E92" s="667">
        <v>190.65660017812178</v>
      </c>
      <c r="F92" s="667">
        <v>-108.82018787968336</v>
      </c>
      <c r="G92" s="667">
        <v>-17.147840356155047</v>
      </c>
      <c r="H92" s="675">
        <v>50.617433753559375</v>
      </c>
      <c r="I92" s="667">
        <v>-5.5254823817777333E-2</v>
      </c>
      <c r="J92" s="667">
        <v>835.87348477446847</v>
      </c>
      <c r="K92" s="667">
        <v>433.2264513609648</v>
      </c>
      <c r="L92" s="667">
        <v>293.69600482656091</v>
      </c>
      <c r="M92" s="667">
        <v>22.07866786794175</v>
      </c>
      <c r="N92" s="667">
        <v>-7.4885187386775538</v>
      </c>
      <c r="O92" s="667">
        <v>-3.1446349750705838</v>
      </c>
      <c r="P92" s="667">
        <v>155.82057805919561</v>
      </c>
      <c r="Q92" s="667">
        <v>23.487215011212861</v>
      </c>
      <c r="R92" s="667">
        <v>-40.00031821738844</v>
      </c>
      <c r="S92" s="667">
        <v>0</v>
      </c>
      <c r="T92" s="667">
        <v>-1.3953345659196588</v>
      </c>
      <c r="U92" s="667">
        <v>1836.5132423162074</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0</v>
      </c>
      <c r="G95" s="663">
        <v>0</v>
      </c>
      <c r="H95" s="663">
        <v>0</v>
      </c>
      <c r="I95" s="663">
        <v>0</v>
      </c>
      <c r="J95" s="663">
        <v>835.87348477446847</v>
      </c>
      <c r="K95" s="663">
        <v>433.2264513609648</v>
      </c>
      <c r="L95" s="663">
        <v>14.188154051569427</v>
      </c>
      <c r="M95" s="663">
        <v>5.3742483693021068</v>
      </c>
      <c r="N95" s="663">
        <v>6.3451610040287907</v>
      </c>
      <c r="O95" s="663">
        <v>0.11419280490868838</v>
      </c>
      <c r="P95" s="663">
        <v>0</v>
      </c>
      <c r="Q95" s="663">
        <v>6.4766550958451852</v>
      </c>
      <c r="R95" s="663">
        <v>-726.93629039774203</v>
      </c>
      <c r="S95" s="663">
        <v>0</v>
      </c>
      <c r="T95" s="663">
        <v>11.298964449788109</v>
      </c>
      <c r="U95" s="671">
        <v>585.96102151313323</v>
      </c>
    </row>
    <row r="96" spans="3:21" ht="13">
      <c r="C96" s="670" t="s">
        <v>351</v>
      </c>
      <c r="D96" s="663">
        <v>0</v>
      </c>
      <c r="E96" s="663">
        <v>0</v>
      </c>
      <c r="F96" s="663">
        <v>0</v>
      </c>
      <c r="G96" s="663">
        <v>0</v>
      </c>
      <c r="H96" s="663">
        <v>3.2711110414405256</v>
      </c>
      <c r="I96" s="663">
        <v>0</v>
      </c>
      <c r="J96" s="663">
        <v>0</v>
      </c>
      <c r="K96" s="663">
        <v>0</v>
      </c>
      <c r="L96" s="663">
        <v>34.963821149394811</v>
      </c>
      <c r="M96" s="663">
        <v>14.476121269049287</v>
      </c>
      <c r="N96" s="663">
        <v>0</v>
      </c>
      <c r="O96" s="663">
        <v>7.6477038720835147</v>
      </c>
      <c r="P96" s="663">
        <v>0</v>
      </c>
      <c r="Q96" s="663">
        <v>11.276034288959668</v>
      </c>
      <c r="R96" s="663">
        <v>0</v>
      </c>
      <c r="S96" s="663">
        <v>-67.494467143680438</v>
      </c>
      <c r="T96" s="663">
        <v>0</v>
      </c>
      <c r="U96" s="671">
        <v>4.1403244772473649</v>
      </c>
    </row>
    <row r="97" spans="3:21" ht="13">
      <c r="C97" s="670" t="s">
        <v>352</v>
      </c>
      <c r="D97" s="663">
        <v>0</v>
      </c>
      <c r="E97" s="663">
        <v>0</v>
      </c>
      <c r="F97" s="663">
        <v>0</v>
      </c>
      <c r="G97" s="663">
        <v>0</v>
      </c>
      <c r="H97" s="663">
        <v>0</v>
      </c>
      <c r="I97" s="663">
        <v>0</v>
      </c>
      <c r="J97" s="663">
        <v>0</v>
      </c>
      <c r="K97" s="663">
        <v>0</v>
      </c>
      <c r="L97" s="663">
        <v>85.030807044207506</v>
      </c>
      <c r="M97" s="663">
        <v>0</v>
      </c>
      <c r="N97" s="663">
        <v>0</v>
      </c>
      <c r="O97" s="663">
        <v>-80.149276434896436</v>
      </c>
      <c r="P97" s="663">
        <v>0</v>
      </c>
      <c r="Q97" s="663">
        <v>0</v>
      </c>
      <c r="R97" s="663">
        <v>0</v>
      </c>
      <c r="S97" s="663">
        <v>0</v>
      </c>
      <c r="T97" s="663">
        <v>0</v>
      </c>
      <c r="U97" s="671">
        <v>4.8815306093110706</v>
      </c>
    </row>
    <row r="98" spans="3:21" ht="13">
      <c r="C98" s="670" t="s">
        <v>353</v>
      </c>
      <c r="D98" s="663">
        <v>0</v>
      </c>
      <c r="E98" s="663">
        <v>0</v>
      </c>
      <c r="F98" s="663">
        <v>0</v>
      </c>
      <c r="G98" s="663">
        <v>0</v>
      </c>
      <c r="H98" s="663">
        <v>0</v>
      </c>
      <c r="I98" s="663">
        <v>-1.1466991714325052</v>
      </c>
      <c r="J98" s="663">
        <v>0</v>
      </c>
      <c r="K98" s="663">
        <v>0</v>
      </c>
      <c r="L98" s="663">
        <v>0</v>
      </c>
      <c r="M98" s="663">
        <v>0</v>
      </c>
      <c r="N98" s="663">
        <v>0</v>
      </c>
      <c r="O98" s="663">
        <v>0</v>
      </c>
      <c r="P98" s="663">
        <v>0</v>
      </c>
      <c r="Q98" s="663">
        <v>0</v>
      </c>
      <c r="R98" s="663">
        <v>0</v>
      </c>
      <c r="S98" s="663">
        <v>0</v>
      </c>
      <c r="T98" s="663">
        <v>1.5966000387788533</v>
      </c>
      <c r="U98" s="671">
        <v>0.44990086734634804</v>
      </c>
    </row>
    <row r="99" spans="3:21" ht="13">
      <c r="C99" s="670" t="s">
        <v>72</v>
      </c>
      <c r="D99" s="663">
        <v>0</v>
      </c>
      <c r="E99" s="663">
        <v>197.54631533572405</v>
      </c>
      <c r="F99" s="663">
        <v>-195.57532355071015</v>
      </c>
      <c r="G99" s="663">
        <v>0</v>
      </c>
      <c r="H99" s="663">
        <v>0</v>
      </c>
      <c r="I99" s="663">
        <v>0</v>
      </c>
      <c r="J99" s="663">
        <v>0</v>
      </c>
      <c r="K99" s="663">
        <v>0</v>
      </c>
      <c r="L99" s="663">
        <v>0</v>
      </c>
      <c r="M99" s="663">
        <v>0</v>
      </c>
      <c r="N99" s="663">
        <v>0</v>
      </c>
      <c r="O99" s="663">
        <v>0</v>
      </c>
      <c r="P99" s="663">
        <v>0</v>
      </c>
      <c r="Q99" s="663">
        <v>0</v>
      </c>
      <c r="R99" s="663">
        <v>0</v>
      </c>
      <c r="S99" s="663">
        <v>0</v>
      </c>
      <c r="T99" s="663">
        <v>0</v>
      </c>
      <c r="U99" s="671">
        <v>1.9709917850139052</v>
      </c>
    </row>
    <row r="100" spans="3:21" ht="13">
      <c r="C100" s="670" t="s">
        <v>354</v>
      </c>
      <c r="D100" s="663">
        <v>0</v>
      </c>
      <c r="E100" s="663">
        <v>0</v>
      </c>
      <c r="F100" s="663">
        <v>0</v>
      </c>
      <c r="G100" s="663">
        <v>0</v>
      </c>
      <c r="H100" s="663">
        <v>0</v>
      </c>
      <c r="I100" s="663">
        <v>0</v>
      </c>
      <c r="J100" s="663">
        <v>0</v>
      </c>
      <c r="K100" s="663">
        <v>0</v>
      </c>
      <c r="L100" s="663">
        <v>104.32434467350188</v>
      </c>
      <c r="M100" s="663">
        <v>0</v>
      </c>
      <c r="N100" s="663">
        <v>-104.32434467350188</v>
      </c>
      <c r="O100" s="663">
        <v>0</v>
      </c>
      <c r="P100" s="663">
        <v>0</v>
      </c>
      <c r="Q100" s="663">
        <v>0</v>
      </c>
      <c r="R100" s="663">
        <v>0</v>
      </c>
      <c r="S100" s="663">
        <v>0</v>
      </c>
      <c r="T100" s="663">
        <v>0</v>
      </c>
      <c r="U100" s="671">
        <v>0</v>
      </c>
    </row>
    <row r="101" spans="3:21" ht="13">
      <c r="C101" s="670" t="s">
        <v>355</v>
      </c>
      <c r="D101" s="663">
        <v>0</v>
      </c>
      <c r="E101" s="663">
        <v>0</v>
      </c>
      <c r="F101" s="663">
        <v>0</v>
      </c>
      <c r="G101" s="663">
        <v>-28.456538558191252</v>
      </c>
      <c r="H101" s="663">
        <v>0</v>
      </c>
      <c r="I101" s="663">
        <v>0</v>
      </c>
      <c r="J101" s="663">
        <v>0</v>
      </c>
      <c r="K101" s="663">
        <v>0</v>
      </c>
      <c r="L101" s="663">
        <v>0</v>
      </c>
      <c r="M101" s="663">
        <v>0</v>
      </c>
      <c r="N101" s="663">
        <v>0</v>
      </c>
      <c r="O101" s="663">
        <v>0</v>
      </c>
      <c r="P101" s="663">
        <v>0</v>
      </c>
      <c r="Q101" s="663">
        <v>0</v>
      </c>
      <c r="R101" s="663">
        <v>0</v>
      </c>
      <c r="S101" s="663">
        <v>0</v>
      </c>
      <c r="T101" s="663">
        <v>39.633062058762192</v>
      </c>
      <c r="U101" s="671">
        <v>11.176523500570941</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137.29765828865015</v>
      </c>
      <c r="S102" s="663">
        <v>0</v>
      </c>
      <c r="T102" s="663">
        <v>-96.451604947776744</v>
      </c>
      <c r="U102" s="671">
        <v>40.846053340873411</v>
      </c>
    </row>
    <row r="103" spans="3:21" ht="13">
      <c r="C103" s="670" t="s">
        <v>356</v>
      </c>
      <c r="D103" s="663">
        <v>5.0092797656249992</v>
      </c>
      <c r="E103" s="663">
        <v>-6.8897151576022866</v>
      </c>
      <c r="F103" s="663">
        <v>8.9891621815142653</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7.1087267895369788</v>
      </c>
    </row>
    <row r="104" spans="3:21" ht="13">
      <c r="C104" s="670" t="s">
        <v>75</v>
      </c>
      <c r="D104" s="663">
        <v>1.9480532421875001</v>
      </c>
      <c r="E104" s="663">
        <v>0</v>
      </c>
      <c r="F104" s="663">
        <v>17.132121990826434</v>
      </c>
      <c r="G104" s="663">
        <v>0</v>
      </c>
      <c r="H104" s="663">
        <v>1.9377811160090992</v>
      </c>
      <c r="I104" s="663">
        <v>4.9686695282284594E-2</v>
      </c>
      <c r="J104" s="663">
        <v>0</v>
      </c>
      <c r="K104" s="663">
        <v>0</v>
      </c>
      <c r="L104" s="663">
        <v>0</v>
      </c>
      <c r="M104" s="663">
        <v>0</v>
      </c>
      <c r="N104" s="663">
        <v>0</v>
      </c>
      <c r="O104" s="663">
        <v>2.9812017169370755</v>
      </c>
      <c r="P104" s="663">
        <v>0</v>
      </c>
      <c r="Q104" s="663">
        <v>0</v>
      </c>
      <c r="R104" s="663">
        <v>20.439487728936754</v>
      </c>
      <c r="S104" s="663">
        <v>0</v>
      </c>
      <c r="T104" s="663">
        <v>0</v>
      </c>
      <c r="U104" s="671">
        <v>44.488332490179147</v>
      </c>
    </row>
    <row r="105" spans="3:21" ht="13">
      <c r="C105" s="670" t="s">
        <v>76</v>
      </c>
      <c r="D105" s="663">
        <v>0</v>
      </c>
      <c r="E105" s="663">
        <v>0</v>
      </c>
      <c r="F105" s="663">
        <v>0</v>
      </c>
      <c r="G105" s="663">
        <v>0</v>
      </c>
      <c r="H105" s="663">
        <v>0.58071595304039991</v>
      </c>
      <c r="I105" s="663">
        <v>1.4890152642061536E-2</v>
      </c>
      <c r="J105" s="663">
        <v>0</v>
      </c>
      <c r="K105" s="663">
        <v>0</v>
      </c>
      <c r="L105" s="663">
        <v>0</v>
      </c>
      <c r="M105" s="663">
        <v>0</v>
      </c>
      <c r="N105" s="663">
        <v>0</v>
      </c>
      <c r="O105" s="663">
        <v>0.89340915852369218</v>
      </c>
      <c r="P105" s="663">
        <v>0</v>
      </c>
      <c r="Q105" s="663">
        <v>0</v>
      </c>
      <c r="R105" s="663">
        <v>52.564064229351587</v>
      </c>
      <c r="S105" s="663">
        <v>5.2350040213197584</v>
      </c>
      <c r="T105" s="663">
        <v>0</v>
      </c>
      <c r="U105" s="671">
        <v>59.288083514877499</v>
      </c>
    </row>
    <row r="106" spans="3:21" ht="13">
      <c r="C106" s="666" t="s">
        <v>77</v>
      </c>
      <c r="D106" s="667">
        <v>6.9573330078124993</v>
      </c>
      <c r="E106" s="667">
        <v>190.65660017812178</v>
      </c>
      <c r="F106" s="667">
        <v>-169.45403937836946</v>
      </c>
      <c r="G106" s="667">
        <v>-28.456538558191252</v>
      </c>
      <c r="H106" s="675">
        <v>5.7896081104900246</v>
      </c>
      <c r="I106" s="667">
        <v>-1.0821223235081592</v>
      </c>
      <c r="J106" s="667">
        <v>835.87348477446847</v>
      </c>
      <c r="K106" s="667">
        <v>433.2264513609648</v>
      </c>
      <c r="L106" s="667">
        <v>238.50712691867363</v>
      </c>
      <c r="M106" s="667">
        <v>19.850369638351395</v>
      </c>
      <c r="N106" s="667">
        <v>-97.979183669473088</v>
      </c>
      <c r="O106" s="667">
        <v>-68.512768882443467</v>
      </c>
      <c r="P106" s="667">
        <v>0</v>
      </c>
      <c r="Q106" s="667">
        <v>17.752689384804853</v>
      </c>
      <c r="R106" s="667">
        <v>-516.63508015080356</v>
      </c>
      <c r="S106" s="667">
        <v>-62.259463122360671</v>
      </c>
      <c r="T106" s="667">
        <v>-43.92297840044759</v>
      </c>
      <c r="U106" s="667">
        <v>760.31148888809003</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2.1515630330821871</v>
      </c>
      <c r="E108" s="663">
        <v>0</v>
      </c>
      <c r="F108" s="663">
        <v>1.9729303012498745</v>
      </c>
      <c r="G108" s="663">
        <v>0</v>
      </c>
      <c r="H108" s="663">
        <v>17.624600662262115</v>
      </c>
      <c r="I108" s="663">
        <v>0.45191283749390032</v>
      </c>
      <c r="J108" s="663">
        <v>0</v>
      </c>
      <c r="K108" s="663">
        <v>0</v>
      </c>
      <c r="L108" s="663">
        <v>19.327819378703428</v>
      </c>
      <c r="M108" s="663">
        <v>2.2279514023281117</v>
      </c>
      <c r="N108" s="663">
        <v>2.6644658203125</v>
      </c>
      <c r="O108" s="663">
        <v>27.156120456665761</v>
      </c>
      <c r="P108" s="663">
        <v>9.6085478515625002</v>
      </c>
      <c r="Q108" s="663">
        <v>8.4299170840015686E-4</v>
      </c>
      <c r="R108" s="663">
        <v>135.80773886663795</v>
      </c>
      <c r="S108" s="663">
        <v>18.436108583667494</v>
      </c>
      <c r="T108" s="663">
        <v>6.3938178710937503</v>
      </c>
      <c r="U108" s="671">
        <v>243.82442005676796</v>
      </c>
    </row>
    <row r="109" spans="3:21" ht="13">
      <c r="C109" s="670" t="s">
        <v>79</v>
      </c>
      <c r="D109" s="663">
        <v>0</v>
      </c>
      <c r="E109" s="663">
        <v>0</v>
      </c>
      <c r="F109" s="663">
        <v>5.1934680094593588</v>
      </c>
      <c r="G109" s="663">
        <v>1.7577012997845347</v>
      </c>
      <c r="H109" s="663">
        <v>2.152977175631825</v>
      </c>
      <c r="I109" s="663">
        <v>5.5204542964918585E-2</v>
      </c>
      <c r="J109" s="663">
        <v>0</v>
      </c>
      <c r="K109" s="663">
        <v>0</v>
      </c>
      <c r="L109" s="663">
        <v>0</v>
      </c>
      <c r="M109" s="663">
        <v>0</v>
      </c>
      <c r="N109" s="663">
        <v>51.143075106834317</v>
      </c>
      <c r="O109" s="663">
        <v>3.312272577895115</v>
      </c>
      <c r="P109" s="663">
        <v>0</v>
      </c>
      <c r="Q109" s="663">
        <v>0</v>
      </c>
      <c r="R109" s="663">
        <v>104.19646172854269</v>
      </c>
      <c r="S109" s="663">
        <v>0</v>
      </c>
      <c r="T109" s="663">
        <v>4.7641609973157095</v>
      </c>
      <c r="U109" s="671">
        <v>172.57532143842849</v>
      </c>
    </row>
    <row r="110" spans="3:21" ht="13">
      <c r="C110" s="670" t="s">
        <v>80</v>
      </c>
      <c r="D110" s="663">
        <v>0</v>
      </c>
      <c r="E110" s="663">
        <v>0</v>
      </c>
      <c r="F110" s="663">
        <v>0.32079919308121357</v>
      </c>
      <c r="G110" s="663">
        <v>0</v>
      </c>
      <c r="H110" s="663">
        <v>12.69993934515486</v>
      </c>
      <c r="I110" s="663">
        <v>0.32563947038858615</v>
      </c>
      <c r="J110" s="663">
        <v>0</v>
      </c>
      <c r="K110" s="663">
        <v>0</v>
      </c>
      <c r="L110" s="663">
        <v>30.989297403436193</v>
      </c>
      <c r="M110" s="663">
        <v>0</v>
      </c>
      <c r="N110" s="663">
        <v>0</v>
      </c>
      <c r="O110" s="663">
        <v>19.538368223315167</v>
      </c>
      <c r="P110" s="663">
        <v>117.54725011788614</v>
      </c>
      <c r="Q110" s="663">
        <v>2.9888036499995505</v>
      </c>
      <c r="R110" s="663">
        <v>139.69858105781077</v>
      </c>
      <c r="S110" s="663">
        <v>24.846536847991327</v>
      </c>
      <c r="T110" s="663">
        <v>0</v>
      </c>
      <c r="U110" s="671">
        <v>348.95521530906382</v>
      </c>
    </row>
    <row r="111" spans="3:21" ht="13">
      <c r="C111" s="670" t="s">
        <v>81</v>
      </c>
      <c r="D111" s="663">
        <v>0</v>
      </c>
      <c r="E111" s="663">
        <v>0</v>
      </c>
      <c r="F111" s="663">
        <v>0.73542128008657859</v>
      </c>
      <c r="G111" s="663">
        <v>0</v>
      </c>
      <c r="H111" s="663">
        <v>6.9022329775494073</v>
      </c>
      <c r="I111" s="663">
        <v>0.17698033275767711</v>
      </c>
      <c r="J111" s="663">
        <v>0</v>
      </c>
      <c r="K111" s="663">
        <v>0</v>
      </c>
      <c r="L111" s="663">
        <v>0.37326901233115406</v>
      </c>
      <c r="M111" s="663">
        <v>3.4682726224379159E-4</v>
      </c>
      <c r="N111" s="663">
        <v>0</v>
      </c>
      <c r="O111" s="663">
        <v>10.618819965460625</v>
      </c>
      <c r="P111" s="663">
        <v>27.414780089746973</v>
      </c>
      <c r="Q111" s="663">
        <v>1.0008652914522365</v>
      </c>
      <c r="R111" s="663">
        <v>86.91432505661372</v>
      </c>
      <c r="S111" s="663">
        <v>18.976817690701857</v>
      </c>
      <c r="T111" s="663">
        <v>0</v>
      </c>
      <c r="U111" s="671">
        <v>153.11385852396248</v>
      </c>
    </row>
    <row r="112" spans="3:21" ht="13">
      <c r="C112" s="670" t="s">
        <v>82</v>
      </c>
      <c r="D112" s="663">
        <v>0</v>
      </c>
      <c r="E112" s="663">
        <v>0</v>
      </c>
      <c r="F112" s="663">
        <v>1.7660543125979742</v>
      </c>
      <c r="G112" s="663">
        <v>1.6775006918768405</v>
      </c>
      <c r="H112" s="663">
        <v>0.66808232732668293</v>
      </c>
      <c r="I112" s="663">
        <v>1.7130316085299562E-2</v>
      </c>
      <c r="J112" s="663">
        <v>0</v>
      </c>
      <c r="K112" s="663">
        <v>0</v>
      </c>
      <c r="L112" s="663">
        <v>3.9742935582164471</v>
      </c>
      <c r="M112" s="663">
        <v>0</v>
      </c>
      <c r="N112" s="663">
        <v>17.824426087880788</v>
      </c>
      <c r="O112" s="663">
        <v>1.0278189651179737</v>
      </c>
      <c r="P112" s="663">
        <v>1.25</v>
      </c>
      <c r="Q112" s="663">
        <v>1.7440136932478227</v>
      </c>
      <c r="R112" s="663">
        <v>7.8035752238100597</v>
      </c>
      <c r="S112" s="663">
        <v>0</v>
      </c>
      <c r="T112" s="663">
        <v>0.38427420359697795</v>
      </c>
      <c r="U112" s="671">
        <v>38.13716937975687</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2.21408</v>
      </c>
      <c r="S113" s="663">
        <v>0</v>
      </c>
      <c r="T113" s="663">
        <v>0</v>
      </c>
      <c r="U113" s="671">
        <v>2.21408</v>
      </c>
    </row>
    <row r="114" spans="3:21" ht="13">
      <c r="C114" s="666" t="s">
        <v>83</v>
      </c>
      <c r="D114" s="667">
        <v>2.1515630330821871</v>
      </c>
      <c r="E114" s="667">
        <v>0</v>
      </c>
      <c r="F114" s="667">
        <v>9.9886730964750008</v>
      </c>
      <c r="G114" s="667">
        <v>3.4352019916613754</v>
      </c>
      <c r="H114" s="675">
        <v>40.047832487924893</v>
      </c>
      <c r="I114" s="667">
        <v>1.0268674996903817</v>
      </c>
      <c r="J114" s="667">
        <v>0</v>
      </c>
      <c r="K114" s="667">
        <v>0</v>
      </c>
      <c r="L114" s="667">
        <v>54.664679352687223</v>
      </c>
      <c r="M114" s="667">
        <v>2.2282982295903557</v>
      </c>
      <c r="N114" s="667">
        <v>71.631967015027612</v>
      </c>
      <c r="O114" s="667">
        <v>61.65340018845464</v>
      </c>
      <c r="P114" s="667">
        <v>155.82057805919561</v>
      </c>
      <c r="Q114" s="667">
        <v>5.7345256264080096</v>
      </c>
      <c r="R114" s="667">
        <v>476.63476193341518</v>
      </c>
      <c r="S114" s="667">
        <v>62.259463122360671</v>
      </c>
      <c r="T114" s="667">
        <v>11.542253072006439</v>
      </c>
      <c r="U114" s="667">
        <v>958.82006470797955</v>
      </c>
    </row>
    <row r="115" spans="3:21" ht="13">
      <c r="C115" s="662" t="s">
        <v>84</v>
      </c>
      <c r="D115" s="663">
        <v>0</v>
      </c>
      <c r="E115" s="663">
        <v>0</v>
      </c>
      <c r="F115" s="663">
        <v>50.64517840221108</v>
      </c>
      <c r="G115" s="663">
        <v>7.8734962103748298</v>
      </c>
      <c r="H115" s="663">
        <v>4.7799931551444459</v>
      </c>
      <c r="I115" s="663">
        <v>0</v>
      </c>
      <c r="J115" s="663">
        <v>0</v>
      </c>
      <c r="K115" s="663">
        <v>0</v>
      </c>
      <c r="L115" s="663">
        <v>0.52419855520004055</v>
      </c>
      <c r="M115" s="663">
        <v>0</v>
      </c>
      <c r="N115" s="663">
        <v>18.858697915767927</v>
      </c>
      <c r="O115" s="663">
        <v>3.7147337189182332</v>
      </c>
      <c r="P115" s="663">
        <v>0</v>
      </c>
      <c r="Q115" s="663">
        <v>0</v>
      </c>
      <c r="R115" s="663">
        <v>0</v>
      </c>
      <c r="S115" s="663">
        <v>0</v>
      </c>
      <c r="T115" s="663">
        <v>30.985390762521494</v>
      </c>
      <c r="U115" s="671">
        <v>117.38168872013804</v>
      </c>
    </row>
    <row r="116" spans="3:21" ht="13">
      <c r="C116" s="666" t="s">
        <v>85</v>
      </c>
      <c r="D116" s="667">
        <v>2.1515630330821871</v>
      </c>
      <c r="E116" s="667">
        <v>0</v>
      </c>
      <c r="F116" s="667">
        <v>60.633851498686084</v>
      </c>
      <c r="G116" s="667">
        <v>11.308698202036204</v>
      </c>
      <c r="H116" s="675">
        <v>44.827825643069339</v>
      </c>
      <c r="I116" s="667">
        <v>1.0268674996903817</v>
      </c>
      <c r="J116" s="667">
        <v>0</v>
      </c>
      <c r="K116" s="667">
        <v>0</v>
      </c>
      <c r="L116" s="667">
        <v>55.18887790788726</v>
      </c>
      <c r="M116" s="667">
        <v>2.2282982295903557</v>
      </c>
      <c r="N116" s="667">
        <v>90.490664930795546</v>
      </c>
      <c r="O116" s="667">
        <v>65.368133907372865</v>
      </c>
      <c r="P116" s="667">
        <v>155.82057805919561</v>
      </c>
      <c r="Q116" s="667">
        <v>5.7345256264080096</v>
      </c>
      <c r="R116" s="667">
        <v>476.63476193341518</v>
      </c>
      <c r="S116" s="667">
        <v>62.259463122360671</v>
      </c>
      <c r="T116" s="667">
        <v>42.527643834527936</v>
      </c>
      <c r="U116" s="667">
        <v>1076.2017534281176</v>
      </c>
    </row>
    <row r="117" spans="3:21">
      <c r="C117" s="654"/>
      <c r="D117" s="672">
        <v>0</v>
      </c>
      <c r="E117" s="672">
        <v>0</v>
      </c>
      <c r="F117" s="672">
        <v>0</v>
      </c>
      <c r="G117" s="672">
        <v>0</v>
      </c>
      <c r="H117" s="672">
        <v>0</v>
      </c>
      <c r="I117" s="672">
        <v>-1.3183898417423734E-16</v>
      </c>
      <c r="J117" s="672">
        <v>0</v>
      </c>
      <c r="K117" s="672">
        <v>0</v>
      </c>
      <c r="L117" s="672">
        <v>0</v>
      </c>
      <c r="M117" s="672">
        <v>0</v>
      </c>
      <c r="N117" s="672">
        <v>1.2434497875801753E-14</v>
      </c>
      <c r="O117" s="672">
        <v>-1.8207657603852567E-14</v>
      </c>
      <c r="P117" s="672">
        <v>0</v>
      </c>
      <c r="Q117" s="672">
        <v>0</v>
      </c>
      <c r="R117" s="672">
        <v>5.6843418860808015E-14</v>
      </c>
      <c r="S117" s="672">
        <v>0</v>
      </c>
      <c r="T117" s="672">
        <v>4.4408920985006262E-15</v>
      </c>
      <c r="U117" s="672">
        <v>0</v>
      </c>
    </row>
    <row r="118" spans="3:21">
      <c r="C118" s="654"/>
      <c r="D118" s="654"/>
      <c r="E118" s="654"/>
      <c r="F118" s="654"/>
      <c r="G118" s="654"/>
      <c r="H118" s="654"/>
      <c r="I118" s="654"/>
      <c r="J118" s="654"/>
      <c r="K118" s="654"/>
      <c r="L118" s="654"/>
      <c r="M118" s="654"/>
      <c r="N118" s="654"/>
      <c r="O118" s="654"/>
      <c r="P118" s="654"/>
      <c r="Q118" s="654"/>
      <c r="R118" s="654"/>
      <c r="S118" s="654"/>
      <c r="T118" s="654"/>
      <c r="U118" s="654"/>
    </row>
    <row r="119" spans="3:21" ht="14.5">
      <c r="C119" s="658" t="s">
        <v>89</v>
      </c>
      <c r="D119" s="659"/>
      <c r="E119" s="659"/>
      <c r="F119" s="659"/>
      <c r="G119" s="659"/>
      <c r="H119" s="659"/>
      <c r="I119" s="659"/>
      <c r="J119" s="659"/>
      <c r="K119" s="659"/>
      <c r="L119" s="659"/>
      <c r="M119" s="659"/>
      <c r="N119" s="659"/>
      <c r="O119" s="659"/>
      <c r="P119" s="659"/>
      <c r="Q119" s="659"/>
      <c r="R119" s="659"/>
      <c r="S119" s="659"/>
      <c r="T119" s="659"/>
      <c r="U119" s="659"/>
    </row>
    <row r="120" spans="3:21">
      <c r="C120" s="654"/>
      <c r="D120" s="654"/>
      <c r="E120" s="654"/>
      <c r="F120" s="654"/>
      <c r="G120" s="654"/>
      <c r="H120" s="654"/>
      <c r="I120" s="654"/>
      <c r="J120" s="654"/>
      <c r="K120" s="654"/>
      <c r="L120" s="654"/>
      <c r="M120" s="654"/>
      <c r="N120" s="654"/>
      <c r="O120" s="654"/>
      <c r="P120" s="654"/>
      <c r="Q120" s="654"/>
      <c r="R120" s="654"/>
      <c r="S120" s="654"/>
      <c r="T120" s="654"/>
      <c r="U120" s="654"/>
    </row>
    <row r="121" spans="3:21" ht="13">
      <c r="C121" s="706" t="s">
        <v>128</v>
      </c>
      <c r="D121" s="704" t="s">
        <v>42</v>
      </c>
      <c r="E121" s="704" t="s">
        <v>52</v>
      </c>
      <c r="F121" s="704" t="s">
        <v>53</v>
      </c>
      <c r="G121" s="704" t="s">
        <v>487</v>
      </c>
      <c r="H121" s="704" t="s">
        <v>32</v>
      </c>
      <c r="I121" s="704" t="s">
        <v>488</v>
      </c>
      <c r="J121" s="704" t="s">
        <v>20</v>
      </c>
      <c r="K121" s="704" t="s">
        <v>55</v>
      </c>
      <c r="L121" s="708" t="s">
        <v>56</v>
      </c>
      <c r="M121" s="709"/>
      <c r="N121" s="709"/>
      <c r="O121" s="709"/>
      <c r="P121" s="709"/>
      <c r="Q121" s="710"/>
      <c r="R121" s="704" t="s">
        <v>57</v>
      </c>
      <c r="S121" s="704" t="s">
        <v>58</v>
      </c>
      <c r="T121" s="704" t="s">
        <v>31</v>
      </c>
      <c r="U121" s="704" t="s">
        <v>10</v>
      </c>
    </row>
    <row r="122" spans="3:21" ht="36">
      <c r="C122" s="707"/>
      <c r="D122" s="705"/>
      <c r="E122" s="705"/>
      <c r="F122" s="705"/>
      <c r="G122" s="705"/>
      <c r="H122" s="705"/>
      <c r="I122" s="705"/>
      <c r="J122" s="705"/>
      <c r="K122" s="705"/>
      <c r="L122" s="660" t="s">
        <v>338</v>
      </c>
      <c r="M122" s="660" t="s">
        <v>40</v>
      </c>
      <c r="N122" s="660" t="s">
        <v>346</v>
      </c>
      <c r="O122" s="660" t="s">
        <v>347</v>
      </c>
      <c r="P122" s="661" t="s">
        <v>348</v>
      </c>
      <c r="Q122" s="660" t="s">
        <v>349</v>
      </c>
      <c r="R122" s="705"/>
      <c r="S122" s="705"/>
      <c r="T122" s="705"/>
      <c r="U122" s="705"/>
    </row>
    <row r="123" spans="3:21" ht="13">
      <c r="C123" s="662" t="s">
        <v>59</v>
      </c>
      <c r="D123" s="663">
        <v>0</v>
      </c>
      <c r="E123" s="663">
        <v>0</v>
      </c>
      <c r="F123" s="663">
        <v>0</v>
      </c>
      <c r="G123" s="663">
        <v>0</v>
      </c>
      <c r="H123" s="663">
        <v>0</v>
      </c>
      <c r="I123" s="663">
        <v>0</v>
      </c>
      <c r="J123" s="664">
        <v>712.60987447127138</v>
      </c>
      <c r="K123" s="664">
        <v>556.92135057124881</v>
      </c>
      <c r="L123" s="664">
        <v>261.57522104592402</v>
      </c>
      <c r="M123" s="664">
        <v>19.228684940511499</v>
      </c>
      <c r="N123" s="663">
        <v>1.5563580670349855</v>
      </c>
      <c r="O123" s="663">
        <v>0.17110271620039663</v>
      </c>
      <c r="P123" s="664">
        <v>167.23788927594987</v>
      </c>
      <c r="Q123" s="664">
        <v>24.373068583718577</v>
      </c>
      <c r="R123" s="663">
        <v>0</v>
      </c>
      <c r="S123" s="663">
        <v>0</v>
      </c>
      <c r="T123" s="663">
        <v>0</v>
      </c>
      <c r="U123" s="665">
        <v>1743.6735496718593</v>
      </c>
    </row>
    <row r="124" spans="3:21" ht="13">
      <c r="C124" s="662" t="s">
        <v>60</v>
      </c>
      <c r="D124" s="663">
        <v>5.9311888025037742</v>
      </c>
      <c r="E124" s="663">
        <v>113.95685880900638</v>
      </c>
      <c r="F124" s="663">
        <v>1.9517818504706483</v>
      </c>
      <c r="G124" s="663">
        <v>0</v>
      </c>
      <c r="H124" s="663">
        <v>2.6585092475046008</v>
      </c>
      <c r="I124" s="663">
        <v>0</v>
      </c>
      <c r="J124" s="663">
        <v>0</v>
      </c>
      <c r="K124" s="663">
        <v>0</v>
      </c>
      <c r="L124" s="663">
        <v>5.2309321400654634</v>
      </c>
      <c r="M124" s="663">
        <v>0</v>
      </c>
      <c r="N124" s="663">
        <v>5.4084519189769722</v>
      </c>
      <c r="O124" s="663">
        <v>0</v>
      </c>
      <c r="P124" s="663">
        <v>0</v>
      </c>
      <c r="Q124" s="663">
        <v>0</v>
      </c>
      <c r="R124" s="663">
        <v>0</v>
      </c>
      <c r="S124" s="663">
        <v>0</v>
      </c>
      <c r="T124" s="663">
        <v>0</v>
      </c>
      <c r="U124" s="665">
        <v>135.13772276852782</v>
      </c>
    </row>
    <row r="125" spans="3:21" ht="13">
      <c r="C125" s="662" t="s">
        <v>61</v>
      </c>
      <c r="D125" s="663">
        <v>0</v>
      </c>
      <c r="E125" s="663">
        <v>0</v>
      </c>
      <c r="F125" s="663">
        <v>-33.824093823668861</v>
      </c>
      <c r="G125" s="663">
        <v>-8.545793370460693</v>
      </c>
      <c r="H125" s="663">
        <v>0</v>
      </c>
      <c r="I125" s="663">
        <v>0</v>
      </c>
      <c r="J125" s="663">
        <v>0</v>
      </c>
      <c r="K125" s="663">
        <v>0</v>
      </c>
      <c r="L125" s="663">
        <v>0</v>
      </c>
      <c r="M125" s="663">
        <v>0</v>
      </c>
      <c r="N125" s="663">
        <v>0</v>
      </c>
      <c r="O125" s="663">
        <v>0</v>
      </c>
      <c r="P125" s="663">
        <v>0</v>
      </c>
      <c r="Q125" s="663">
        <v>0</v>
      </c>
      <c r="R125" s="663">
        <v>-40.000075434727478</v>
      </c>
      <c r="S125" s="663">
        <v>0</v>
      </c>
      <c r="T125" s="663">
        <v>0</v>
      </c>
      <c r="U125" s="665">
        <v>-82.369962628857039</v>
      </c>
    </row>
    <row r="126" spans="3:21" ht="13">
      <c r="C126" s="662" t="s">
        <v>62</v>
      </c>
      <c r="D126" s="663">
        <v>0</v>
      </c>
      <c r="E126" s="663">
        <v>0</v>
      </c>
      <c r="F126" s="663">
        <v>-1.6540275032482068</v>
      </c>
      <c r="G126" s="663">
        <v>-4.2955328800984329</v>
      </c>
      <c r="H126" s="663">
        <v>0</v>
      </c>
      <c r="I126" s="663">
        <v>-0.31877375583888373</v>
      </c>
      <c r="J126" s="663">
        <v>0</v>
      </c>
      <c r="K126" s="663">
        <v>0</v>
      </c>
      <c r="L126" s="663">
        <v>0</v>
      </c>
      <c r="M126" s="663">
        <v>0</v>
      </c>
      <c r="N126" s="663">
        <v>-0.24545902171991044</v>
      </c>
      <c r="O126" s="663">
        <v>-6.0567013609387903</v>
      </c>
      <c r="P126" s="663">
        <v>0</v>
      </c>
      <c r="Q126" s="663">
        <v>0</v>
      </c>
      <c r="R126" s="663">
        <v>0</v>
      </c>
      <c r="S126" s="663">
        <v>0</v>
      </c>
      <c r="T126" s="663">
        <v>0</v>
      </c>
      <c r="U126" s="665">
        <v>-12.570494521844225</v>
      </c>
    </row>
    <row r="127" spans="3:21" ht="13">
      <c r="C127" s="662" t="s">
        <v>63</v>
      </c>
      <c r="D127" s="663">
        <v>0</v>
      </c>
      <c r="E127" s="663">
        <v>0</v>
      </c>
      <c r="F127" s="663">
        <v>-18.714774559646315</v>
      </c>
      <c r="G127" s="663">
        <v>-28.257765893495769</v>
      </c>
      <c r="H127" s="663">
        <v>0</v>
      </c>
      <c r="I127" s="663">
        <v>0</v>
      </c>
      <c r="J127" s="663">
        <v>0</v>
      </c>
      <c r="K127" s="663">
        <v>0</v>
      </c>
      <c r="L127" s="663">
        <v>0</v>
      </c>
      <c r="M127" s="663">
        <v>0</v>
      </c>
      <c r="N127" s="663">
        <v>-13.972472121868162</v>
      </c>
      <c r="O127" s="663">
        <v>0</v>
      </c>
      <c r="P127" s="663">
        <v>0</v>
      </c>
      <c r="Q127" s="663">
        <v>0</v>
      </c>
      <c r="R127" s="663">
        <v>0</v>
      </c>
      <c r="S127" s="663">
        <v>0</v>
      </c>
      <c r="T127" s="663">
        <v>-2.6159745910871801</v>
      </c>
      <c r="U127" s="665">
        <v>-63.560987166097433</v>
      </c>
    </row>
    <row r="128" spans="3:21" ht="13">
      <c r="C128" s="662" t="s">
        <v>64</v>
      </c>
      <c r="D128" s="663">
        <v>0</v>
      </c>
      <c r="E128" s="663">
        <v>0</v>
      </c>
      <c r="F128" s="663">
        <v>0</v>
      </c>
      <c r="G128" s="663">
        <v>0</v>
      </c>
      <c r="H128" s="663">
        <v>0</v>
      </c>
      <c r="I128" s="663">
        <v>0</v>
      </c>
      <c r="J128" s="663">
        <v>0</v>
      </c>
      <c r="K128" s="663">
        <v>0</v>
      </c>
      <c r="L128" s="663">
        <v>0</v>
      </c>
      <c r="M128" s="663">
        <v>0</v>
      </c>
      <c r="N128" s="663">
        <v>0</v>
      </c>
      <c r="O128" s="663">
        <v>0</v>
      </c>
      <c r="P128" s="663">
        <v>0</v>
      </c>
      <c r="Q128" s="663">
        <v>0</v>
      </c>
      <c r="R128" s="663">
        <v>0</v>
      </c>
      <c r="S128" s="663">
        <v>0</v>
      </c>
      <c r="T128" s="663">
        <v>0</v>
      </c>
      <c r="U128" s="665">
        <v>0</v>
      </c>
    </row>
    <row r="129" spans="3:21" ht="13">
      <c r="C129" s="666" t="s">
        <v>65</v>
      </c>
      <c r="D129" s="667">
        <v>5.9311888025037742</v>
      </c>
      <c r="E129" s="667">
        <v>113.95685880900638</v>
      </c>
      <c r="F129" s="667">
        <v>-52.241114036092739</v>
      </c>
      <c r="G129" s="667">
        <v>-41.099092144054893</v>
      </c>
      <c r="H129" s="675">
        <v>2.6585092475046008</v>
      </c>
      <c r="I129" s="667">
        <v>-0.31877375583888373</v>
      </c>
      <c r="J129" s="667">
        <v>712.60987447127138</v>
      </c>
      <c r="K129" s="667">
        <v>556.92135057124881</v>
      </c>
      <c r="L129" s="667">
        <v>266.80615318598944</v>
      </c>
      <c r="M129" s="667">
        <v>19.228684940511499</v>
      </c>
      <c r="N129" s="667">
        <v>-7.2531211575761132</v>
      </c>
      <c r="O129" s="667">
        <v>-5.8855986447383941</v>
      </c>
      <c r="P129" s="667">
        <v>167.23788927594987</v>
      </c>
      <c r="Q129" s="667">
        <v>24.373068583718577</v>
      </c>
      <c r="R129" s="667">
        <v>-40.000075434727478</v>
      </c>
      <c r="S129" s="667">
        <v>0</v>
      </c>
      <c r="T129" s="667">
        <v>-2.6159745910871801</v>
      </c>
      <c r="U129" s="667">
        <v>1720.3098281235887</v>
      </c>
    </row>
    <row r="130" spans="3:21" ht="13">
      <c r="C130" s="668"/>
      <c r="D130" s="669">
        <v>0</v>
      </c>
      <c r="E130" s="669">
        <v>0</v>
      </c>
      <c r="F130" s="669">
        <v>0</v>
      </c>
      <c r="G130" s="669">
        <v>0</v>
      </c>
      <c r="H130" s="676">
        <v>0</v>
      </c>
      <c r="I130" s="669">
        <v>0</v>
      </c>
      <c r="J130" s="669">
        <v>0</v>
      </c>
      <c r="K130" s="669">
        <v>0</v>
      </c>
      <c r="L130" s="669">
        <v>0</v>
      </c>
      <c r="M130" s="669">
        <v>0</v>
      </c>
      <c r="N130" s="669">
        <v>0</v>
      </c>
      <c r="O130" s="669">
        <v>0</v>
      </c>
      <c r="P130" s="669">
        <v>0</v>
      </c>
      <c r="Q130" s="669">
        <v>0</v>
      </c>
      <c r="R130" s="669">
        <v>0</v>
      </c>
      <c r="S130" s="669">
        <v>0</v>
      </c>
      <c r="T130" s="669">
        <v>0</v>
      </c>
      <c r="U130" s="669">
        <v>0</v>
      </c>
    </row>
    <row r="131" spans="3:21" ht="13">
      <c r="C131" s="670" t="s">
        <v>67</v>
      </c>
      <c r="D131" s="663">
        <v>0</v>
      </c>
      <c r="E131" s="663">
        <v>0</v>
      </c>
      <c r="F131" s="663">
        <v>0</v>
      </c>
      <c r="G131" s="663">
        <v>0</v>
      </c>
      <c r="H131" s="663">
        <v>0</v>
      </c>
      <c r="I131" s="663">
        <v>0</v>
      </c>
      <c r="J131" s="663">
        <v>0</v>
      </c>
      <c r="K131" s="663">
        <v>0</v>
      </c>
      <c r="L131" s="663">
        <v>0</v>
      </c>
      <c r="M131" s="663">
        <v>0</v>
      </c>
      <c r="N131" s="663">
        <v>0</v>
      </c>
      <c r="O131" s="663">
        <v>0</v>
      </c>
      <c r="P131" s="663">
        <v>0</v>
      </c>
      <c r="Q131" s="663">
        <v>0</v>
      </c>
      <c r="R131" s="663">
        <v>0</v>
      </c>
      <c r="S131" s="663">
        <v>0</v>
      </c>
      <c r="T131" s="663">
        <v>0</v>
      </c>
      <c r="U131" s="671">
        <v>0</v>
      </c>
    </row>
    <row r="132" spans="3:21" ht="13">
      <c r="C132" s="670" t="s">
        <v>350</v>
      </c>
      <c r="D132" s="663">
        <v>0</v>
      </c>
      <c r="E132" s="663">
        <v>0</v>
      </c>
      <c r="F132" s="663">
        <v>0</v>
      </c>
      <c r="G132" s="663">
        <v>0</v>
      </c>
      <c r="H132" s="663">
        <v>0</v>
      </c>
      <c r="I132" s="663">
        <v>0</v>
      </c>
      <c r="J132" s="663">
        <v>712.60987447127138</v>
      </c>
      <c r="K132" s="663">
        <v>556.92135057124881</v>
      </c>
      <c r="L132" s="663">
        <v>14.491283228737107</v>
      </c>
      <c r="M132" s="663">
        <v>2.8053264742296591</v>
      </c>
      <c r="N132" s="663">
        <v>6.5561937148871507</v>
      </c>
      <c r="O132" s="663">
        <v>0.11326810820885491</v>
      </c>
      <c r="P132" s="663">
        <v>0</v>
      </c>
      <c r="Q132" s="663">
        <v>6.7631767445353068</v>
      </c>
      <c r="R132" s="663">
        <v>-809.85847053245573</v>
      </c>
      <c r="S132" s="663">
        <v>0</v>
      </c>
      <c r="T132" s="663">
        <v>25.915656492161155</v>
      </c>
      <c r="U132" s="671">
        <v>516.31765927282356</v>
      </c>
    </row>
    <row r="133" spans="3:21" ht="13">
      <c r="C133" s="670" t="s">
        <v>351</v>
      </c>
      <c r="D133" s="663">
        <v>0</v>
      </c>
      <c r="E133" s="663">
        <v>0</v>
      </c>
      <c r="F133" s="663">
        <v>0</v>
      </c>
      <c r="G133" s="663">
        <v>0</v>
      </c>
      <c r="H133" s="663">
        <v>0</v>
      </c>
      <c r="I133" s="663">
        <v>0</v>
      </c>
      <c r="J133" s="663">
        <v>0</v>
      </c>
      <c r="K133" s="663">
        <v>0</v>
      </c>
      <c r="L133" s="663">
        <v>33.721862056250039</v>
      </c>
      <c r="M133" s="663">
        <v>14.376617363231052</v>
      </c>
      <c r="N133" s="663">
        <v>0</v>
      </c>
      <c r="O133" s="663">
        <v>8.1785673020738106</v>
      </c>
      <c r="P133" s="663">
        <v>0</v>
      </c>
      <c r="Q133" s="663">
        <v>11.316516045102318</v>
      </c>
      <c r="R133" s="663">
        <v>0</v>
      </c>
      <c r="S133" s="663">
        <v>-64.575476384232388</v>
      </c>
      <c r="T133" s="663">
        <v>0</v>
      </c>
      <c r="U133" s="671">
        <v>3.0180863824248352</v>
      </c>
    </row>
    <row r="134" spans="3:21" ht="13">
      <c r="C134" s="670" t="s">
        <v>352</v>
      </c>
      <c r="D134" s="663">
        <v>0</v>
      </c>
      <c r="E134" s="663">
        <v>0</v>
      </c>
      <c r="F134" s="663">
        <v>0</v>
      </c>
      <c r="G134" s="663">
        <v>0</v>
      </c>
      <c r="H134" s="663">
        <v>0</v>
      </c>
      <c r="I134" s="663">
        <v>0</v>
      </c>
      <c r="J134" s="663">
        <v>0</v>
      </c>
      <c r="K134" s="663">
        <v>0</v>
      </c>
      <c r="L134" s="663">
        <v>104.38683240846164</v>
      </c>
      <c r="M134" s="663">
        <v>0</v>
      </c>
      <c r="N134" s="663">
        <v>0</v>
      </c>
      <c r="O134" s="663">
        <v>-100.27188716566127</v>
      </c>
      <c r="P134" s="663">
        <v>0</v>
      </c>
      <c r="Q134" s="663">
        <v>0</v>
      </c>
      <c r="R134" s="663">
        <v>0</v>
      </c>
      <c r="S134" s="663">
        <v>0</v>
      </c>
      <c r="T134" s="663">
        <v>0</v>
      </c>
      <c r="U134" s="671">
        <v>4.1149452428003741</v>
      </c>
    </row>
    <row r="135" spans="3:21" ht="13">
      <c r="C135" s="670" t="s">
        <v>353</v>
      </c>
      <c r="D135" s="663">
        <v>0</v>
      </c>
      <c r="E135" s="663">
        <v>0</v>
      </c>
      <c r="F135" s="663">
        <v>0</v>
      </c>
      <c r="G135" s="663">
        <v>0</v>
      </c>
      <c r="H135" s="663">
        <v>0</v>
      </c>
      <c r="I135" s="663">
        <v>-4.5962253881571415</v>
      </c>
      <c r="J135" s="663">
        <v>0</v>
      </c>
      <c r="K135" s="663">
        <v>0</v>
      </c>
      <c r="L135" s="663">
        <v>0</v>
      </c>
      <c r="M135" s="663">
        <v>0</v>
      </c>
      <c r="N135" s="663">
        <v>0</v>
      </c>
      <c r="O135" s="663">
        <v>0</v>
      </c>
      <c r="P135" s="663">
        <v>0</v>
      </c>
      <c r="Q135" s="663">
        <v>0</v>
      </c>
      <c r="R135" s="663">
        <v>0</v>
      </c>
      <c r="S135" s="663">
        <v>0</v>
      </c>
      <c r="T135" s="663">
        <v>6.4074201765093832</v>
      </c>
      <c r="U135" s="671">
        <v>1.8111947883522417</v>
      </c>
    </row>
    <row r="136" spans="3:21" ht="13">
      <c r="C136" s="670" t="s">
        <v>72</v>
      </c>
      <c r="D136" s="663">
        <v>0</v>
      </c>
      <c r="E136" s="663">
        <v>118.07035586741333</v>
      </c>
      <c r="F136" s="663">
        <v>-116.89188714951831</v>
      </c>
      <c r="G136" s="663">
        <v>0</v>
      </c>
      <c r="H136" s="663">
        <v>0</v>
      </c>
      <c r="I136" s="663">
        <v>0</v>
      </c>
      <c r="J136" s="663">
        <v>0</v>
      </c>
      <c r="K136" s="663">
        <v>0</v>
      </c>
      <c r="L136" s="663">
        <v>0</v>
      </c>
      <c r="M136" s="663">
        <v>0</v>
      </c>
      <c r="N136" s="663">
        <v>0</v>
      </c>
      <c r="O136" s="663">
        <v>0</v>
      </c>
      <c r="P136" s="663">
        <v>0</v>
      </c>
      <c r="Q136" s="663">
        <v>0</v>
      </c>
      <c r="R136" s="663">
        <v>0</v>
      </c>
      <c r="S136" s="663">
        <v>0</v>
      </c>
      <c r="T136" s="663">
        <v>0</v>
      </c>
      <c r="U136" s="671">
        <v>1.1784687178950146</v>
      </c>
    </row>
    <row r="137" spans="3:21" ht="13">
      <c r="C137" s="670" t="s">
        <v>354</v>
      </c>
      <c r="D137" s="663">
        <v>0</v>
      </c>
      <c r="E137" s="663">
        <v>0</v>
      </c>
      <c r="F137" s="663">
        <v>0</v>
      </c>
      <c r="G137" s="663">
        <v>0</v>
      </c>
      <c r="H137" s="663">
        <v>0</v>
      </c>
      <c r="I137" s="663">
        <v>0</v>
      </c>
      <c r="J137" s="663">
        <v>0</v>
      </c>
      <c r="K137" s="663">
        <v>0</v>
      </c>
      <c r="L137" s="663">
        <v>61.244429678974598</v>
      </c>
      <c r="M137" s="663">
        <v>0</v>
      </c>
      <c r="N137" s="663">
        <v>-61.244429678974598</v>
      </c>
      <c r="O137" s="663">
        <v>0</v>
      </c>
      <c r="P137" s="663">
        <v>0</v>
      </c>
      <c r="Q137" s="663">
        <v>0</v>
      </c>
      <c r="R137" s="663">
        <v>0</v>
      </c>
      <c r="S137" s="663">
        <v>0</v>
      </c>
      <c r="T137" s="663">
        <v>0</v>
      </c>
      <c r="U137" s="671">
        <v>0</v>
      </c>
    </row>
    <row r="138" spans="3:21" ht="13">
      <c r="C138" s="670" t="s">
        <v>355</v>
      </c>
      <c r="D138" s="663">
        <v>0</v>
      </c>
      <c r="E138" s="663">
        <v>0</v>
      </c>
      <c r="F138" s="663">
        <v>0</v>
      </c>
      <c r="G138" s="663">
        <v>-56.725829149009897</v>
      </c>
      <c r="H138" s="663">
        <v>0</v>
      </c>
      <c r="I138" s="663">
        <v>0</v>
      </c>
      <c r="J138" s="663">
        <v>0</v>
      </c>
      <c r="K138" s="663">
        <v>0</v>
      </c>
      <c r="L138" s="663">
        <v>0</v>
      </c>
      <c r="M138" s="663">
        <v>0</v>
      </c>
      <c r="N138" s="663">
        <v>0</v>
      </c>
      <c r="O138" s="663">
        <v>0</v>
      </c>
      <c r="P138" s="663">
        <v>0</v>
      </c>
      <c r="Q138" s="663">
        <v>0</v>
      </c>
      <c r="R138" s="663">
        <v>0</v>
      </c>
      <c r="S138" s="663">
        <v>0</v>
      </c>
      <c r="T138" s="663">
        <v>79.005333076615457</v>
      </c>
      <c r="U138" s="671">
        <v>22.27950392760556</v>
      </c>
    </row>
    <row r="139" spans="3:21" ht="13">
      <c r="C139" s="670" t="s">
        <v>73</v>
      </c>
      <c r="D139" s="663">
        <v>0</v>
      </c>
      <c r="E139" s="663">
        <v>0</v>
      </c>
      <c r="F139" s="663">
        <v>0</v>
      </c>
      <c r="G139" s="663">
        <v>0</v>
      </c>
      <c r="H139" s="663">
        <v>0</v>
      </c>
      <c r="I139" s="663">
        <v>0</v>
      </c>
      <c r="J139" s="663">
        <v>0</v>
      </c>
      <c r="K139" s="663">
        <v>0</v>
      </c>
      <c r="L139" s="663">
        <v>0</v>
      </c>
      <c r="M139" s="663">
        <v>0</v>
      </c>
      <c r="N139" s="663">
        <v>0</v>
      </c>
      <c r="O139" s="663">
        <v>0</v>
      </c>
      <c r="P139" s="663">
        <v>0</v>
      </c>
      <c r="Q139" s="663">
        <v>0</v>
      </c>
      <c r="R139" s="663">
        <v>227.10664749932533</v>
      </c>
      <c r="S139" s="663">
        <v>0</v>
      </c>
      <c r="T139" s="663">
        <v>-163.51678619951423</v>
      </c>
      <c r="U139" s="671">
        <v>63.589861299811105</v>
      </c>
    </row>
    <row r="140" spans="3:21" ht="13">
      <c r="C140" s="670" t="s">
        <v>356</v>
      </c>
      <c r="D140" s="663">
        <v>3.3456624609374996</v>
      </c>
      <c r="E140" s="663">
        <v>-4.1134970584069457</v>
      </c>
      <c r="F140" s="663">
        <v>5.3691262200413341</v>
      </c>
      <c r="G140" s="663">
        <v>0</v>
      </c>
      <c r="H140" s="663">
        <v>0</v>
      </c>
      <c r="I140" s="663">
        <v>0</v>
      </c>
      <c r="J140" s="663">
        <v>0</v>
      </c>
      <c r="K140" s="663">
        <v>0</v>
      </c>
      <c r="L140" s="663">
        <v>0</v>
      </c>
      <c r="M140" s="663">
        <v>0</v>
      </c>
      <c r="N140" s="663">
        <v>0</v>
      </c>
      <c r="O140" s="663">
        <v>0</v>
      </c>
      <c r="P140" s="663">
        <v>0</v>
      </c>
      <c r="Q140" s="663">
        <v>0</v>
      </c>
      <c r="R140" s="663">
        <v>0</v>
      </c>
      <c r="S140" s="663">
        <v>0</v>
      </c>
      <c r="T140" s="663">
        <v>0</v>
      </c>
      <c r="U140" s="671">
        <v>4.6012916225718881</v>
      </c>
    </row>
    <row r="141" spans="3:21" ht="13">
      <c r="C141" s="670" t="s">
        <v>75</v>
      </c>
      <c r="D141" s="663">
        <v>1.3010909570312501</v>
      </c>
      <c r="E141" s="663">
        <v>0</v>
      </c>
      <c r="F141" s="663">
        <v>16.404377382526505</v>
      </c>
      <c r="G141" s="663">
        <v>0</v>
      </c>
      <c r="H141" s="663">
        <v>0</v>
      </c>
      <c r="I141" s="663">
        <v>0.23833359000000001</v>
      </c>
      <c r="J141" s="663">
        <v>0</v>
      </c>
      <c r="K141" s="663">
        <v>0</v>
      </c>
      <c r="L141" s="663">
        <v>0</v>
      </c>
      <c r="M141" s="663">
        <v>0</v>
      </c>
      <c r="N141" s="663">
        <v>0</v>
      </c>
      <c r="O141" s="663">
        <v>4.5283382100000003</v>
      </c>
      <c r="P141" s="663">
        <v>0</v>
      </c>
      <c r="Q141" s="663">
        <v>0</v>
      </c>
      <c r="R141" s="663">
        <v>17.221013858771279</v>
      </c>
      <c r="S141" s="663">
        <v>0</v>
      </c>
      <c r="T141" s="663">
        <v>0</v>
      </c>
      <c r="U141" s="671">
        <v>39.693153998329031</v>
      </c>
    </row>
    <row r="142" spans="3:21" ht="13">
      <c r="C142" s="670" t="s">
        <v>76</v>
      </c>
      <c r="D142" s="663">
        <v>0</v>
      </c>
      <c r="E142" s="663">
        <v>0</v>
      </c>
      <c r="F142" s="663">
        <v>0</v>
      </c>
      <c r="G142" s="663">
        <v>0</v>
      </c>
      <c r="H142" s="663">
        <v>0</v>
      </c>
      <c r="I142" s="663">
        <v>5.9340338699632358E-2</v>
      </c>
      <c r="J142" s="663">
        <v>0</v>
      </c>
      <c r="K142" s="663">
        <v>0</v>
      </c>
      <c r="L142" s="663">
        <v>0</v>
      </c>
      <c r="M142" s="663">
        <v>0</v>
      </c>
      <c r="N142" s="663">
        <v>0</v>
      </c>
      <c r="O142" s="663">
        <v>1.1274664352930146</v>
      </c>
      <c r="P142" s="663">
        <v>0</v>
      </c>
      <c r="Q142" s="663">
        <v>0</v>
      </c>
      <c r="R142" s="663">
        <v>58.897580266978245</v>
      </c>
      <c r="S142" s="663">
        <v>5.0089527300753778</v>
      </c>
      <c r="T142" s="663">
        <v>0</v>
      </c>
      <c r="U142" s="671">
        <v>65.093339771046274</v>
      </c>
    </row>
    <row r="143" spans="3:21" ht="13">
      <c r="C143" s="666" t="s">
        <v>77</v>
      </c>
      <c r="D143" s="667">
        <v>4.6467534179687497</v>
      </c>
      <c r="E143" s="667">
        <v>113.95685880900638</v>
      </c>
      <c r="F143" s="667">
        <v>-95.118383546950469</v>
      </c>
      <c r="G143" s="667">
        <v>-56.725829149009897</v>
      </c>
      <c r="H143" s="675">
        <v>0</v>
      </c>
      <c r="I143" s="667">
        <v>-4.2985514594575092</v>
      </c>
      <c r="J143" s="667">
        <v>712.60987447127138</v>
      </c>
      <c r="K143" s="667">
        <v>556.92135057124881</v>
      </c>
      <c r="L143" s="667">
        <v>213.8444073724234</v>
      </c>
      <c r="M143" s="667">
        <v>17.181943837460711</v>
      </c>
      <c r="N143" s="667">
        <v>-54.688235964087447</v>
      </c>
      <c r="O143" s="667">
        <v>-86.324247110085594</v>
      </c>
      <c r="P143" s="667">
        <v>0</v>
      </c>
      <c r="Q143" s="667">
        <v>18.079692789637626</v>
      </c>
      <c r="R143" s="667">
        <v>-506.63322890738101</v>
      </c>
      <c r="S143" s="667">
        <v>-59.56652365415701</v>
      </c>
      <c r="T143" s="667">
        <v>-52.188376454228234</v>
      </c>
      <c r="U143" s="667">
        <v>721.69750502365991</v>
      </c>
    </row>
    <row r="144" spans="3:21" ht="13">
      <c r="C144" s="668"/>
      <c r="D144" s="669">
        <v>0</v>
      </c>
      <c r="E144" s="669">
        <v>0</v>
      </c>
      <c r="F144" s="669">
        <v>0</v>
      </c>
      <c r="G144" s="669">
        <v>0</v>
      </c>
      <c r="H144" s="676">
        <v>0</v>
      </c>
      <c r="I144" s="669">
        <v>0</v>
      </c>
      <c r="J144" s="669">
        <v>0</v>
      </c>
      <c r="K144" s="669">
        <v>0</v>
      </c>
      <c r="L144" s="669">
        <v>0</v>
      </c>
      <c r="M144" s="669">
        <v>0</v>
      </c>
      <c r="N144" s="669">
        <v>0</v>
      </c>
      <c r="O144" s="669">
        <v>0</v>
      </c>
      <c r="P144" s="669">
        <v>0</v>
      </c>
      <c r="Q144" s="669">
        <v>0</v>
      </c>
      <c r="R144" s="669">
        <v>0</v>
      </c>
      <c r="S144" s="669">
        <v>0</v>
      </c>
      <c r="T144" s="669">
        <v>0</v>
      </c>
      <c r="U144" s="669">
        <v>0</v>
      </c>
    </row>
    <row r="145" spans="3:21" ht="13">
      <c r="C145" s="670" t="s">
        <v>78</v>
      </c>
      <c r="D145" s="663">
        <v>1.2844353845350245</v>
      </c>
      <c r="E145" s="663">
        <v>0</v>
      </c>
      <c r="F145" s="663">
        <v>0.671413025716175</v>
      </c>
      <c r="G145" s="663">
        <v>0</v>
      </c>
      <c r="H145" s="663">
        <v>0</v>
      </c>
      <c r="I145" s="663">
        <v>1.6768235413433659</v>
      </c>
      <c r="J145" s="663">
        <v>0</v>
      </c>
      <c r="K145" s="663">
        <v>0</v>
      </c>
      <c r="L145" s="663">
        <v>18.511250218523632</v>
      </c>
      <c r="M145" s="663">
        <v>2.0464486619012869</v>
      </c>
      <c r="N145" s="663">
        <v>1.4169866943359375</v>
      </c>
      <c r="O145" s="663">
        <v>31.901778101678747</v>
      </c>
      <c r="P145" s="663">
        <v>11.306912109375</v>
      </c>
      <c r="Q145" s="663">
        <v>8.5890570413253253E-4</v>
      </c>
      <c r="R145" s="663">
        <v>135.19292998685364</v>
      </c>
      <c r="S145" s="663">
        <v>18.430317312360387</v>
      </c>
      <c r="T145" s="663">
        <v>8.2355947265624998</v>
      </c>
      <c r="U145" s="671">
        <v>230.67574866888981</v>
      </c>
    </row>
    <row r="146" spans="3:21" ht="13">
      <c r="C146" s="670" t="s">
        <v>79</v>
      </c>
      <c r="D146" s="663">
        <v>0</v>
      </c>
      <c r="E146" s="663">
        <v>0</v>
      </c>
      <c r="F146" s="663">
        <v>2.0327553633446804</v>
      </c>
      <c r="G146" s="663">
        <v>2.9414401384596758</v>
      </c>
      <c r="H146" s="663">
        <v>0</v>
      </c>
      <c r="I146" s="663">
        <v>0.25814381907328782</v>
      </c>
      <c r="J146" s="663">
        <v>0</v>
      </c>
      <c r="K146" s="663">
        <v>0</v>
      </c>
      <c r="L146" s="663">
        <v>0</v>
      </c>
      <c r="M146" s="663">
        <v>0</v>
      </c>
      <c r="N146" s="663">
        <v>11.290866079539722</v>
      </c>
      <c r="O146" s="663">
        <v>4.9047325623924678</v>
      </c>
      <c r="P146" s="663">
        <v>0</v>
      </c>
      <c r="Q146" s="663">
        <v>0</v>
      </c>
      <c r="R146" s="663">
        <v>110.4417553978261</v>
      </c>
      <c r="S146" s="663">
        <v>0</v>
      </c>
      <c r="T146" s="663">
        <v>5.3966998641798476</v>
      </c>
      <c r="U146" s="671">
        <v>137.26639322481577</v>
      </c>
    </row>
    <row r="147" spans="3:21" ht="13">
      <c r="C147" s="670" t="s">
        <v>80</v>
      </c>
      <c r="D147" s="663">
        <v>0</v>
      </c>
      <c r="E147" s="663">
        <v>0</v>
      </c>
      <c r="F147" s="663">
        <v>0.19325490667833059</v>
      </c>
      <c r="G147" s="663">
        <v>0</v>
      </c>
      <c r="H147" s="663">
        <v>0</v>
      </c>
      <c r="I147" s="663">
        <v>1.3094987150488224</v>
      </c>
      <c r="J147" s="663">
        <v>0</v>
      </c>
      <c r="K147" s="663">
        <v>0</v>
      </c>
      <c r="L147" s="663">
        <v>28.937300829462252</v>
      </c>
      <c r="M147" s="663">
        <v>0</v>
      </c>
      <c r="N147" s="663">
        <v>0</v>
      </c>
      <c r="O147" s="663">
        <v>24.88047558592762</v>
      </c>
      <c r="P147" s="663">
        <v>124.95584249070536</v>
      </c>
      <c r="Q147" s="663">
        <v>3.1166998128913419</v>
      </c>
      <c r="R147" s="663">
        <v>129.06523934568938</v>
      </c>
      <c r="S147" s="663">
        <v>22.248806062911136</v>
      </c>
      <c r="T147" s="663">
        <v>0</v>
      </c>
      <c r="U147" s="671">
        <v>334.70711774931425</v>
      </c>
    </row>
    <row r="148" spans="3:21" ht="13">
      <c r="C148" s="670" t="s">
        <v>81</v>
      </c>
      <c r="D148" s="663">
        <v>0</v>
      </c>
      <c r="E148" s="663">
        <v>0</v>
      </c>
      <c r="F148" s="663">
        <v>0.13103912510682203</v>
      </c>
      <c r="G148" s="663">
        <v>0</v>
      </c>
      <c r="H148" s="663">
        <v>0</v>
      </c>
      <c r="I148" s="663">
        <v>0.65398403873429223</v>
      </c>
      <c r="J148" s="663">
        <v>0</v>
      </c>
      <c r="K148" s="663">
        <v>0</v>
      </c>
      <c r="L148" s="663">
        <v>0.34200087095620557</v>
      </c>
      <c r="M148" s="663">
        <v>2.9244114949902102E-4</v>
      </c>
      <c r="N148" s="663">
        <v>0</v>
      </c>
      <c r="O148" s="663">
        <v>12.425696735951551</v>
      </c>
      <c r="P148" s="663">
        <v>29.475134675869491</v>
      </c>
      <c r="Q148" s="663">
        <v>0.98841007039498519</v>
      </c>
      <c r="R148" s="663">
        <v>81.567308013661545</v>
      </c>
      <c r="S148" s="663">
        <v>18.887400278885494</v>
      </c>
      <c r="T148" s="663">
        <v>0</v>
      </c>
      <c r="U148" s="671">
        <v>144.4712662507099</v>
      </c>
    </row>
    <row r="149" spans="3:21" ht="13">
      <c r="C149" s="670" t="s">
        <v>82</v>
      </c>
      <c r="D149" s="663">
        <v>0</v>
      </c>
      <c r="E149" s="663">
        <v>0</v>
      </c>
      <c r="F149" s="663">
        <v>0</v>
      </c>
      <c r="G149" s="663">
        <v>0.49546247522038722</v>
      </c>
      <c r="H149" s="663">
        <v>0</v>
      </c>
      <c r="I149" s="663">
        <v>8.1327589418857746E-2</v>
      </c>
      <c r="J149" s="663">
        <v>0</v>
      </c>
      <c r="K149" s="663">
        <v>0</v>
      </c>
      <c r="L149" s="663">
        <v>4.5749249618986854</v>
      </c>
      <c r="M149" s="663">
        <v>0</v>
      </c>
      <c r="N149" s="663">
        <v>16.621294257606131</v>
      </c>
      <c r="O149" s="663">
        <v>1.5452241989582969</v>
      </c>
      <c r="P149" s="663">
        <v>1.5</v>
      </c>
      <c r="Q149" s="663">
        <v>2.1874070050904897</v>
      </c>
      <c r="R149" s="663">
        <v>7.8459207286229669</v>
      </c>
      <c r="S149" s="663">
        <v>0</v>
      </c>
      <c r="T149" s="663">
        <v>0.44339331184266689</v>
      </c>
      <c r="U149" s="671">
        <v>35.294954528658486</v>
      </c>
    </row>
    <row r="150" spans="3:21" ht="13">
      <c r="C150" s="670" t="s">
        <v>357</v>
      </c>
      <c r="D150" s="663">
        <v>0</v>
      </c>
      <c r="E150" s="663">
        <v>0</v>
      </c>
      <c r="F150" s="663">
        <v>0</v>
      </c>
      <c r="G150" s="663">
        <v>0</v>
      </c>
      <c r="H150" s="663">
        <v>0</v>
      </c>
      <c r="I150" s="663">
        <v>0</v>
      </c>
      <c r="J150" s="663">
        <v>0</v>
      </c>
      <c r="K150" s="663">
        <v>0</v>
      </c>
      <c r="L150" s="663">
        <v>0</v>
      </c>
      <c r="M150" s="663">
        <v>0</v>
      </c>
      <c r="N150" s="663">
        <v>0</v>
      </c>
      <c r="O150" s="663">
        <v>0</v>
      </c>
      <c r="P150" s="663">
        <v>0</v>
      </c>
      <c r="Q150" s="663">
        <v>0</v>
      </c>
      <c r="R150" s="663">
        <v>2.5199999999999996</v>
      </c>
      <c r="S150" s="663">
        <v>0</v>
      </c>
      <c r="T150" s="663">
        <v>0</v>
      </c>
      <c r="U150" s="671">
        <v>2.5199999999999996</v>
      </c>
    </row>
    <row r="151" spans="3:21" ht="13">
      <c r="C151" s="666" t="s">
        <v>83</v>
      </c>
      <c r="D151" s="667">
        <v>1.2844353845350245</v>
      </c>
      <c r="E151" s="667">
        <v>0</v>
      </c>
      <c r="F151" s="667">
        <v>3.028462420846008</v>
      </c>
      <c r="G151" s="667">
        <v>3.4369026136800631</v>
      </c>
      <c r="H151" s="675">
        <v>0</v>
      </c>
      <c r="I151" s="667">
        <v>3.9797777036186259</v>
      </c>
      <c r="J151" s="667">
        <v>0</v>
      </c>
      <c r="K151" s="667">
        <v>0</v>
      </c>
      <c r="L151" s="667">
        <v>52.365476880840774</v>
      </c>
      <c r="M151" s="667">
        <v>2.0467411030507856</v>
      </c>
      <c r="N151" s="667">
        <v>29.329147031481789</v>
      </c>
      <c r="O151" s="667">
        <v>75.65790718490868</v>
      </c>
      <c r="P151" s="667">
        <v>167.23788927594987</v>
      </c>
      <c r="Q151" s="667">
        <v>6.2933757940809487</v>
      </c>
      <c r="R151" s="667">
        <v>466.63315347265359</v>
      </c>
      <c r="S151" s="667">
        <v>59.566523654157017</v>
      </c>
      <c r="T151" s="667">
        <v>14.075687902585015</v>
      </c>
      <c r="U151" s="667">
        <v>884.93548042238808</v>
      </c>
    </row>
    <row r="152" spans="3:21" ht="13">
      <c r="C152" s="662" t="s">
        <v>84</v>
      </c>
      <c r="D152" s="663">
        <v>0</v>
      </c>
      <c r="E152" s="663">
        <v>0</v>
      </c>
      <c r="F152" s="663">
        <v>39.848807090011732</v>
      </c>
      <c r="G152" s="663">
        <v>12.189834391274943</v>
      </c>
      <c r="H152" s="663">
        <v>2.6585092475046008</v>
      </c>
      <c r="I152" s="663">
        <v>0</v>
      </c>
      <c r="J152" s="663">
        <v>0</v>
      </c>
      <c r="K152" s="663">
        <v>0</v>
      </c>
      <c r="L152" s="663">
        <v>0.5962689327253029</v>
      </c>
      <c r="M152" s="663">
        <v>0</v>
      </c>
      <c r="N152" s="663">
        <v>18.105967775029544</v>
      </c>
      <c r="O152" s="663">
        <v>4.780741280438523</v>
      </c>
      <c r="P152" s="663">
        <v>0</v>
      </c>
      <c r="Q152" s="663">
        <v>0</v>
      </c>
      <c r="R152" s="663">
        <v>0</v>
      </c>
      <c r="S152" s="663">
        <v>0</v>
      </c>
      <c r="T152" s="663">
        <v>35.496713960556022</v>
      </c>
      <c r="U152" s="671">
        <v>113.67684267754068</v>
      </c>
    </row>
    <row r="153" spans="3:21" ht="13">
      <c r="C153" s="666" t="s">
        <v>85</v>
      </c>
      <c r="D153" s="667">
        <v>1.2844353845350245</v>
      </c>
      <c r="E153" s="667">
        <v>0</v>
      </c>
      <c r="F153" s="667">
        <v>42.877269510857737</v>
      </c>
      <c r="G153" s="667">
        <v>15.626737004955006</v>
      </c>
      <c r="H153" s="675">
        <v>2.6585092475046008</v>
      </c>
      <c r="I153" s="667">
        <v>3.9797777036186259</v>
      </c>
      <c r="J153" s="667">
        <v>0</v>
      </c>
      <c r="K153" s="667">
        <v>0</v>
      </c>
      <c r="L153" s="667">
        <v>52.961745813566075</v>
      </c>
      <c r="M153" s="667">
        <v>2.0467411030507856</v>
      </c>
      <c r="N153" s="667">
        <v>47.435114806511329</v>
      </c>
      <c r="O153" s="667">
        <v>80.4386484653472</v>
      </c>
      <c r="P153" s="667">
        <v>167.23788927594987</v>
      </c>
      <c r="Q153" s="667">
        <v>6.2933757940809487</v>
      </c>
      <c r="R153" s="667">
        <v>466.63315347265359</v>
      </c>
      <c r="S153" s="667">
        <v>59.566523654157017</v>
      </c>
      <c r="T153" s="667">
        <v>49.572401863141039</v>
      </c>
      <c r="U153" s="667">
        <v>998.61232309992874</v>
      </c>
    </row>
    <row r="154" spans="3:21">
      <c r="C154" s="654"/>
      <c r="D154" s="672">
        <v>0</v>
      </c>
      <c r="E154" s="672">
        <v>0</v>
      </c>
      <c r="F154" s="672">
        <v>0</v>
      </c>
      <c r="G154" s="672">
        <v>0</v>
      </c>
      <c r="H154" s="672">
        <v>0</v>
      </c>
      <c r="I154" s="672">
        <v>4.9960036108132044E-16</v>
      </c>
      <c r="J154" s="672">
        <v>0</v>
      </c>
      <c r="K154" s="672">
        <v>0</v>
      </c>
      <c r="L154" s="672">
        <v>0</v>
      </c>
      <c r="M154" s="672">
        <v>0</v>
      </c>
      <c r="N154" s="672">
        <v>0</v>
      </c>
      <c r="O154" s="672">
        <v>0</v>
      </c>
      <c r="P154" s="672">
        <v>0</v>
      </c>
      <c r="Q154" s="672">
        <v>0</v>
      </c>
      <c r="R154" s="672">
        <v>5.6843418860808015E-14</v>
      </c>
      <c r="S154" s="672">
        <v>7.1054273576010019E-15</v>
      </c>
      <c r="T154" s="672">
        <v>-1.4654943925052066E-14</v>
      </c>
      <c r="U154" s="672">
        <v>0</v>
      </c>
    </row>
    <row r="155" spans="3:21">
      <c r="C155" s="654"/>
      <c r="D155" s="654"/>
      <c r="E155" s="654"/>
      <c r="F155" s="654"/>
      <c r="G155" s="654"/>
      <c r="H155" s="654"/>
      <c r="I155" s="654"/>
      <c r="J155" s="654"/>
      <c r="K155" s="654"/>
      <c r="L155" s="654"/>
      <c r="M155" s="654"/>
      <c r="N155" s="654"/>
      <c r="O155" s="654"/>
      <c r="P155" s="654"/>
      <c r="Q155" s="654"/>
      <c r="R155" s="654"/>
      <c r="S155" s="654"/>
      <c r="T155" s="654"/>
      <c r="U155" s="654"/>
    </row>
  </sheetData>
  <mergeCells count="56">
    <mergeCell ref="T121:T122"/>
    <mergeCell ref="U121:U122"/>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U128:U130 U143:U151">
    <cfRule type="cellIs" dxfId="4749" priority="326" operator="equal">
      <formula>0</formula>
    </cfRule>
  </conditionalFormatting>
  <conditionalFormatting sqref="U143">
    <cfRule type="containsBlanks" dxfId="4748" priority="325">
      <formula>LEN(TRIM(U143))=0</formula>
    </cfRule>
  </conditionalFormatting>
  <conditionalFormatting sqref="L11:P11">
    <cfRule type="cellIs" dxfId="4747" priority="322" operator="equal">
      <formula>0</formula>
    </cfRule>
  </conditionalFormatting>
  <conditionalFormatting sqref="Q11">
    <cfRule type="cellIs" dxfId="4746" priority="321" operator="equal">
      <formula>0</formula>
    </cfRule>
  </conditionalFormatting>
  <conditionalFormatting sqref="L48:P48">
    <cfRule type="cellIs" dxfId="4745" priority="320" operator="equal">
      <formula>0</formula>
    </cfRule>
  </conditionalFormatting>
  <conditionalFormatting sqref="Q48">
    <cfRule type="cellIs" dxfId="4744" priority="319" operator="equal">
      <formula>0</formula>
    </cfRule>
  </conditionalFormatting>
  <conditionalFormatting sqref="L85:P85">
    <cfRule type="cellIs" dxfId="4743" priority="318" operator="equal">
      <formula>0</formula>
    </cfRule>
  </conditionalFormatting>
  <conditionalFormatting sqref="Q85">
    <cfRule type="cellIs" dxfId="4742" priority="317" operator="equal">
      <formula>0</formula>
    </cfRule>
  </conditionalFormatting>
  <conditionalFormatting sqref="L122:P122">
    <cfRule type="cellIs" dxfId="4741" priority="316" operator="equal">
      <formula>0</formula>
    </cfRule>
  </conditionalFormatting>
  <conditionalFormatting sqref="Q122">
    <cfRule type="cellIs" dxfId="4740" priority="315" operator="equal">
      <formula>0</formula>
    </cfRule>
  </conditionalFormatting>
  <conditionalFormatting sqref="U153 U123:U125">
    <cfRule type="cellIs" dxfId="4739" priority="314" operator="equal">
      <formula>0</formula>
    </cfRule>
  </conditionalFormatting>
  <conditionalFormatting sqref="U152">
    <cfRule type="cellIs" dxfId="4738" priority="313" operator="equal">
      <formula>0</formula>
    </cfRule>
  </conditionalFormatting>
  <conditionalFormatting sqref="U145:U153 U123:U125 U128:U129">
    <cfRule type="containsBlanks" dxfId="4737" priority="312">
      <formula>LEN(TRIM(U123))=0</formula>
    </cfRule>
  </conditionalFormatting>
  <conditionalFormatting sqref="U126:U127">
    <cfRule type="cellIs" dxfId="4736" priority="311" operator="equal">
      <formula>0</formula>
    </cfRule>
  </conditionalFormatting>
  <conditionalFormatting sqref="U126:U127">
    <cfRule type="containsBlanks" dxfId="4735" priority="310">
      <formula>LEN(TRIM(U126))=0</formula>
    </cfRule>
  </conditionalFormatting>
  <conditionalFormatting sqref="U131:U142">
    <cfRule type="cellIs" dxfId="4734" priority="309" operator="equal">
      <formula>0</formula>
    </cfRule>
  </conditionalFormatting>
  <conditionalFormatting sqref="U131:U142">
    <cfRule type="containsBlanks" dxfId="4733" priority="308">
      <formula>LEN(TRIM(U131))=0</formula>
    </cfRule>
  </conditionalFormatting>
  <conditionalFormatting sqref="U42 U12:U40">
    <cfRule type="cellIs" dxfId="4732" priority="304" operator="equal">
      <formula>0</formula>
    </cfRule>
  </conditionalFormatting>
  <conditionalFormatting sqref="U41">
    <cfRule type="cellIs" dxfId="4731" priority="303" operator="equal">
      <formula>0</formula>
    </cfRule>
  </conditionalFormatting>
  <conditionalFormatting sqref="U34:U42 U12:U18 U20:U32">
    <cfRule type="containsBlanks" dxfId="4730" priority="302">
      <formula>LEN(TRIM(U12))=0</formula>
    </cfRule>
  </conditionalFormatting>
  <conditionalFormatting sqref="U79 U49:U77">
    <cfRule type="cellIs" dxfId="4729" priority="301" operator="equal">
      <formula>0</formula>
    </cfRule>
  </conditionalFormatting>
  <conditionalFormatting sqref="U78">
    <cfRule type="cellIs" dxfId="4728" priority="300" operator="equal">
      <formula>0</formula>
    </cfRule>
  </conditionalFormatting>
  <conditionalFormatting sqref="U71:U79 U49:U55 U57:U69">
    <cfRule type="containsBlanks" dxfId="4727" priority="299">
      <formula>LEN(TRIM(U49))=0</formula>
    </cfRule>
  </conditionalFormatting>
  <conditionalFormatting sqref="U116 U86:U114">
    <cfRule type="cellIs" dxfId="4726" priority="298" operator="equal">
      <formula>0</formula>
    </cfRule>
  </conditionalFormatting>
  <conditionalFormatting sqref="U115">
    <cfRule type="cellIs" dxfId="4725" priority="297" operator="equal">
      <formula>0</formula>
    </cfRule>
  </conditionalFormatting>
  <conditionalFormatting sqref="U108:U116 U86:U92 U94:U106">
    <cfRule type="containsBlanks" dxfId="4724" priority="296">
      <formula>LEN(TRIM(U86))=0</formula>
    </cfRule>
  </conditionalFormatting>
  <conditionalFormatting sqref="D42:F42 R33:T33 D32:F40 D12:F19 N12:O12 R12:T12 J42:T42 J33:K33 J34:T40 J32:T32 J13:T19">
    <cfRule type="cellIs" dxfId="4723" priority="261" operator="equal">
      <formula>0</formula>
    </cfRule>
  </conditionalFormatting>
  <conditionalFormatting sqref="R12:R14">
    <cfRule type="cellIs" dxfId="4722" priority="260" operator="equal">
      <formula>0</formula>
    </cfRule>
  </conditionalFormatting>
  <conditionalFormatting sqref="R12:T12 N12:O12 D13:F14 J13:T14">
    <cfRule type="cellIs" dxfId="4721" priority="259" operator="equal">
      <formula>0</formula>
    </cfRule>
  </conditionalFormatting>
  <conditionalFormatting sqref="F13:F14">
    <cfRule type="cellIs" dxfId="4720" priority="258" operator="equal">
      <formula>0</formula>
    </cfRule>
  </conditionalFormatting>
  <conditionalFormatting sqref="N12:O12">
    <cfRule type="cellIs" dxfId="4719" priority="257" operator="equal">
      <formula>0</formula>
    </cfRule>
  </conditionalFormatting>
  <conditionalFormatting sqref="L15:L17 L33">
    <cfRule type="cellIs" dxfId="4718" priority="256" operator="equal">
      <formula>0</formula>
    </cfRule>
  </conditionalFormatting>
  <conditionalFormatting sqref="L13:L14">
    <cfRule type="cellIs" dxfId="4717" priority="255" operator="equal">
      <formula>0</formula>
    </cfRule>
  </conditionalFormatting>
  <conditionalFormatting sqref="M15:M17 M33">
    <cfRule type="cellIs" dxfId="4716" priority="254" operator="equal">
      <formula>0</formula>
    </cfRule>
  </conditionalFormatting>
  <conditionalFormatting sqref="M13:M14">
    <cfRule type="cellIs" dxfId="4715" priority="253" operator="equal">
      <formula>0</formula>
    </cfRule>
  </conditionalFormatting>
  <conditionalFormatting sqref="N15:N17 N33">
    <cfRule type="cellIs" dxfId="4714" priority="252" operator="equal">
      <formula>0</formula>
    </cfRule>
  </conditionalFormatting>
  <conditionalFormatting sqref="N12:N14">
    <cfRule type="cellIs" dxfId="4713" priority="251" operator="equal">
      <formula>0</formula>
    </cfRule>
  </conditionalFormatting>
  <conditionalFormatting sqref="O15:O17 O33">
    <cfRule type="cellIs" dxfId="4712" priority="250" operator="equal">
      <formula>0</formula>
    </cfRule>
  </conditionalFormatting>
  <conditionalFormatting sqref="O12:O14">
    <cfRule type="cellIs" dxfId="4711" priority="249" operator="equal">
      <formula>0</formula>
    </cfRule>
  </conditionalFormatting>
  <conditionalFormatting sqref="P15:P17 P33">
    <cfRule type="cellIs" dxfId="4710" priority="248" operator="equal">
      <formula>0</formula>
    </cfRule>
  </conditionalFormatting>
  <conditionalFormatting sqref="P13:P14">
    <cfRule type="cellIs" dxfId="4709" priority="247" operator="equal">
      <formula>0</formula>
    </cfRule>
  </conditionalFormatting>
  <conditionalFormatting sqref="Q15:Q17 Q33">
    <cfRule type="cellIs" dxfId="4708" priority="246" operator="equal">
      <formula>0</formula>
    </cfRule>
  </conditionalFormatting>
  <conditionalFormatting sqref="Q13:Q14">
    <cfRule type="cellIs" dxfId="4707" priority="245" operator="equal">
      <formula>0</formula>
    </cfRule>
  </conditionalFormatting>
  <conditionalFormatting sqref="D41:F41 J41:T41">
    <cfRule type="cellIs" dxfId="4706" priority="244" operator="equal">
      <formula>0</formula>
    </cfRule>
  </conditionalFormatting>
  <conditionalFormatting sqref="D34:F42 D32:F32 D12:F18 N12:O12 R12:T12 J34:T42 J32:T32 J13:T18">
    <cfRule type="containsBlanks" dxfId="4705" priority="243">
      <formula>LEN(TRIM(D12))=0</formula>
    </cfRule>
  </conditionalFormatting>
  <conditionalFormatting sqref="D41:F41 J41:T41">
    <cfRule type="cellIs" dxfId="4704" priority="242" operator="equal">
      <formula>0</formula>
    </cfRule>
  </conditionalFormatting>
  <conditionalFormatting sqref="N15:N16">
    <cfRule type="cellIs" dxfId="4703" priority="241" operator="equal">
      <formula>0</formula>
    </cfRule>
  </conditionalFormatting>
  <conditionalFormatting sqref="O15:O16">
    <cfRule type="cellIs" dxfId="4702" priority="240" operator="equal">
      <formula>0</formula>
    </cfRule>
  </conditionalFormatting>
  <conditionalFormatting sqref="P15:Q15">
    <cfRule type="cellIs" dxfId="4701" priority="239" operator="equal">
      <formula>0</formula>
    </cfRule>
  </conditionalFormatting>
  <conditionalFormatting sqref="P16:Q16">
    <cfRule type="cellIs" dxfId="4700" priority="238" operator="equal">
      <formula>0</formula>
    </cfRule>
  </conditionalFormatting>
  <conditionalFormatting sqref="D20:F31 J20:T31">
    <cfRule type="cellIs" dxfId="4699" priority="237" operator="equal">
      <formula>0</formula>
    </cfRule>
  </conditionalFormatting>
  <conditionalFormatting sqref="D20:F31 J20:T31">
    <cfRule type="containsBlanks" dxfId="4698" priority="236">
      <formula>LEN(TRIM(D20))=0</formula>
    </cfRule>
  </conditionalFormatting>
  <conditionalFormatting sqref="J12">
    <cfRule type="cellIs" dxfId="4697" priority="235" operator="equal">
      <formula>0</formula>
    </cfRule>
  </conditionalFormatting>
  <conditionalFormatting sqref="K12">
    <cfRule type="cellIs" dxfId="4696" priority="234" operator="equal">
      <formula>0</formula>
    </cfRule>
  </conditionalFormatting>
  <conditionalFormatting sqref="L12:M12">
    <cfRule type="cellIs" dxfId="4695" priority="233" operator="equal">
      <formula>0</formula>
    </cfRule>
  </conditionalFormatting>
  <conditionalFormatting sqref="M12">
    <cfRule type="cellIs" dxfId="4694" priority="232" operator="equal">
      <formula>0</formula>
    </cfRule>
  </conditionalFormatting>
  <conditionalFormatting sqref="J12:M12">
    <cfRule type="containsBlanks" dxfId="4693" priority="231">
      <formula>LEN(TRIM(J12))=0</formula>
    </cfRule>
  </conditionalFormatting>
  <conditionalFormatting sqref="P12:Q12">
    <cfRule type="cellIs" dxfId="4692" priority="230" operator="equal">
      <formula>0</formula>
    </cfRule>
  </conditionalFormatting>
  <conditionalFormatting sqref="P12:Q12">
    <cfRule type="cellIs" dxfId="4691" priority="229" operator="equal">
      <formula>0</formula>
    </cfRule>
  </conditionalFormatting>
  <conditionalFormatting sqref="P12:Q12">
    <cfRule type="containsBlanks" dxfId="4690" priority="228">
      <formula>LEN(TRIM(P12))=0</formula>
    </cfRule>
  </conditionalFormatting>
  <conditionalFormatting sqref="D79:F79 R70:T70 D69:F77 D49:F56 N49:O49 R49:T49 J79:T79 J70:K70 J71:T77 J69:T69 J50:T56">
    <cfRule type="cellIs" dxfId="4689" priority="227" operator="equal">
      <formula>0</formula>
    </cfRule>
  </conditionalFormatting>
  <conditionalFormatting sqref="R49:R51">
    <cfRule type="cellIs" dxfId="4688" priority="226" operator="equal">
      <formula>0</formula>
    </cfRule>
  </conditionalFormatting>
  <conditionalFormatting sqref="R49:T49 N49:O49 D50:F51 J50:T51">
    <cfRule type="cellIs" dxfId="4687" priority="225" operator="equal">
      <formula>0</formula>
    </cfRule>
  </conditionalFormatting>
  <conditionalFormatting sqref="F50:F51">
    <cfRule type="cellIs" dxfId="4686" priority="224" operator="equal">
      <formula>0</formula>
    </cfRule>
  </conditionalFormatting>
  <conditionalFormatting sqref="N49:O49">
    <cfRule type="cellIs" dxfId="4685" priority="223" operator="equal">
      <formula>0</formula>
    </cfRule>
  </conditionalFormatting>
  <conditionalFormatting sqref="L52:L54 L70">
    <cfRule type="cellIs" dxfId="4684" priority="222" operator="equal">
      <formula>0</formula>
    </cfRule>
  </conditionalFormatting>
  <conditionalFormatting sqref="L50:L51">
    <cfRule type="cellIs" dxfId="4683" priority="221" operator="equal">
      <formula>0</formula>
    </cfRule>
  </conditionalFormatting>
  <conditionalFormatting sqref="M52:M54 M70">
    <cfRule type="cellIs" dxfId="4682" priority="220" operator="equal">
      <formula>0</formula>
    </cfRule>
  </conditionalFormatting>
  <conditionalFormatting sqref="M50:M51">
    <cfRule type="cellIs" dxfId="4681" priority="219" operator="equal">
      <formula>0</formula>
    </cfRule>
  </conditionalFormatting>
  <conditionalFormatting sqref="N52:N54 N70">
    <cfRule type="cellIs" dxfId="4680" priority="218" operator="equal">
      <formula>0</formula>
    </cfRule>
  </conditionalFormatting>
  <conditionalFormatting sqref="N49:N51">
    <cfRule type="cellIs" dxfId="4679" priority="217" operator="equal">
      <formula>0</formula>
    </cfRule>
  </conditionalFormatting>
  <conditionalFormatting sqref="O52:O54 O70">
    <cfRule type="cellIs" dxfId="4678" priority="216" operator="equal">
      <formula>0</formula>
    </cfRule>
  </conditionalFormatting>
  <conditionalFormatting sqref="O49:O51">
    <cfRule type="cellIs" dxfId="4677" priority="215" operator="equal">
      <formula>0</formula>
    </cfRule>
  </conditionalFormatting>
  <conditionalFormatting sqref="P52:P54 P70">
    <cfRule type="cellIs" dxfId="4676" priority="214" operator="equal">
      <formula>0</formula>
    </cfRule>
  </conditionalFormatting>
  <conditionalFormatting sqref="P50:P51">
    <cfRule type="cellIs" dxfId="4675" priority="213" operator="equal">
      <formula>0</formula>
    </cfRule>
  </conditionalFormatting>
  <conditionalFormatting sqref="Q52:Q54 Q70">
    <cfRule type="cellIs" dxfId="4674" priority="212" operator="equal">
      <formula>0</formula>
    </cfRule>
  </conditionalFormatting>
  <conditionalFormatting sqref="Q50:Q51">
    <cfRule type="cellIs" dxfId="4673" priority="211" operator="equal">
      <formula>0</formula>
    </cfRule>
  </conditionalFormatting>
  <conditionalFormatting sqref="D78:F78 J78:T78">
    <cfRule type="cellIs" dxfId="4672" priority="210" operator="equal">
      <formula>0</formula>
    </cfRule>
  </conditionalFormatting>
  <conditionalFormatting sqref="D71:F79 D69:F69 D49:F55 N49:O49 R49:T49 J71:T79 J69:T69 J50:T55">
    <cfRule type="containsBlanks" dxfId="4671" priority="209">
      <formula>LEN(TRIM(D49))=0</formula>
    </cfRule>
  </conditionalFormatting>
  <conditionalFormatting sqref="D78:F78 J78:T78">
    <cfRule type="cellIs" dxfId="4670" priority="208" operator="equal">
      <formula>0</formula>
    </cfRule>
  </conditionalFormatting>
  <conditionalFormatting sqref="N52:N53">
    <cfRule type="cellIs" dxfId="4669" priority="207" operator="equal">
      <formula>0</formula>
    </cfRule>
  </conditionalFormatting>
  <conditionalFormatting sqref="O52:O53">
    <cfRule type="cellIs" dxfId="4668" priority="206" operator="equal">
      <formula>0</formula>
    </cfRule>
  </conditionalFormatting>
  <conditionalFormatting sqref="P52:Q52">
    <cfRule type="cellIs" dxfId="4667" priority="205" operator="equal">
      <formula>0</formula>
    </cfRule>
  </conditionalFormatting>
  <conditionalFormatting sqref="P53:Q53">
    <cfRule type="cellIs" dxfId="4666" priority="204" operator="equal">
      <formula>0</formula>
    </cfRule>
  </conditionalFormatting>
  <conditionalFormatting sqref="D57:F68 J57:T68">
    <cfRule type="cellIs" dxfId="4665" priority="203" operator="equal">
      <formula>0</formula>
    </cfRule>
  </conditionalFormatting>
  <conditionalFormatting sqref="D57:F68 J57:T68">
    <cfRule type="containsBlanks" dxfId="4664" priority="202">
      <formula>LEN(TRIM(D57))=0</formula>
    </cfRule>
  </conditionalFormatting>
  <conditionalFormatting sqref="J49">
    <cfRule type="cellIs" dxfId="4663" priority="201" operator="equal">
      <formula>0</formula>
    </cfRule>
  </conditionalFormatting>
  <conditionalFormatting sqref="K49">
    <cfRule type="cellIs" dxfId="4662" priority="200" operator="equal">
      <formula>0</formula>
    </cfRule>
  </conditionalFormatting>
  <conditionalFormatting sqref="L49:M49">
    <cfRule type="cellIs" dxfId="4661" priority="199" operator="equal">
      <formula>0</formula>
    </cfRule>
  </conditionalFormatting>
  <conditionalFormatting sqref="M49">
    <cfRule type="cellIs" dxfId="4660" priority="198" operator="equal">
      <formula>0</formula>
    </cfRule>
  </conditionalFormatting>
  <conditionalFormatting sqref="J49:M49">
    <cfRule type="containsBlanks" dxfId="4659" priority="197">
      <formula>LEN(TRIM(J49))=0</formula>
    </cfRule>
  </conditionalFormatting>
  <conditionalFormatting sqref="P49:Q49">
    <cfRule type="cellIs" dxfId="4658" priority="196" operator="equal">
      <formula>0</formula>
    </cfRule>
  </conditionalFormatting>
  <conditionalFormatting sqref="P49:Q49">
    <cfRule type="cellIs" dxfId="4657" priority="195" operator="equal">
      <formula>0</formula>
    </cfRule>
  </conditionalFormatting>
  <conditionalFormatting sqref="P49:Q49">
    <cfRule type="containsBlanks" dxfId="4656" priority="194">
      <formula>LEN(TRIM(P49))=0</formula>
    </cfRule>
  </conditionalFormatting>
  <conditionalFormatting sqref="D116:F116 R107:T107 D106:F114 D86:F93 N86:O86 R86:T86 J116:T116 J107:K107 J108:T114 J106:T106 J87:T93">
    <cfRule type="cellIs" dxfId="4655" priority="193" operator="equal">
      <formula>0</formula>
    </cfRule>
  </conditionalFormatting>
  <conditionalFormatting sqref="R86:R88">
    <cfRule type="cellIs" dxfId="4654" priority="192" operator="equal">
      <formula>0</formula>
    </cfRule>
  </conditionalFormatting>
  <conditionalFormatting sqref="R86:T86 N86:O86 D87:F88 J87:T88">
    <cfRule type="cellIs" dxfId="4653" priority="191" operator="equal">
      <formula>0</formula>
    </cfRule>
  </conditionalFormatting>
  <conditionalFormatting sqref="F87:F88">
    <cfRule type="cellIs" dxfId="4652" priority="190" operator="equal">
      <formula>0</formula>
    </cfRule>
  </conditionalFormatting>
  <conditionalFormatting sqref="N86:O86">
    <cfRule type="cellIs" dxfId="4651" priority="189" operator="equal">
      <formula>0</formula>
    </cfRule>
  </conditionalFormatting>
  <conditionalFormatting sqref="L89:L91 L107">
    <cfRule type="cellIs" dxfId="4650" priority="188" operator="equal">
      <formula>0</formula>
    </cfRule>
  </conditionalFormatting>
  <conditionalFormatting sqref="L87:L88">
    <cfRule type="cellIs" dxfId="4649" priority="187" operator="equal">
      <formula>0</formula>
    </cfRule>
  </conditionalFormatting>
  <conditionalFormatting sqref="M89:M91 M107">
    <cfRule type="cellIs" dxfId="4648" priority="186" operator="equal">
      <formula>0</formula>
    </cfRule>
  </conditionalFormatting>
  <conditionalFormatting sqref="M87:M88">
    <cfRule type="cellIs" dxfId="4647" priority="185" operator="equal">
      <formula>0</formula>
    </cfRule>
  </conditionalFormatting>
  <conditionalFormatting sqref="N89:N91 N107">
    <cfRule type="cellIs" dxfId="4646" priority="184" operator="equal">
      <formula>0</formula>
    </cfRule>
  </conditionalFormatting>
  <conditionalFormatting sqref="N86:N88">
    <cfRule type="cellIs" dxfId="4645" priority="183" operator="equal">
      <formula>0</formula>
    </cfRule>
  </conditionalFormatting>
  <conditionalFormatting sqref="O89:O91 O107">
    <cfRule type="cellIs" dxfId="4644" priority="182" operator="equal">
      <formula>0</formula>
    </cfRule>
  </conditionalFormatting>
  <conditionalFormatting sqref="O86:O88">
    <cfRule type="cellIs" dxfId="4643" priority="181" operator="equal">
      <formula>0</formula>
    </cfRule>
  </conditionalFormatting>
  <conditionalFormatting sqref="P89:P91 P107">
    <cfRule type="cellIs" dxfId="4642" priority="180" operator="equal">
      <formula>0</formula>
    </cfRule>
  </conditionalFormatting>
  <conditionalFormatting sqref="P87:P88">
    <cfRule type="cellIs" dxfId="4641" priority="179" operator="equal">
      <formula>0</formula>
    </cfRule>
  </conditionalFormatting>
  <conditionalFormatting sqref="Q89:Q91 Q107">
    <cfRule type="cellIs" dxfId="4640" priority="178" operator="equal">
      <formula>0</formula>
    </cfRule>
  </conditionalFormatting>
  <conditionalFormatting sqref="Q87:Q88">
    <cfRule type="cellIs" dxfId="4639" priority="177" operator="equal">
      <formula>0</formula>
    </cfRule>
  </conditionalFormatting>
  <conditionalFormatting sqref="D115:F115 J115:T115">
    <cfRule type="cellIs" dxfId="4638" priority="176" operator="equal">
      <formula>0</formula>
    </cfRule>
  </conditionalFormatting>
  <conditionalFormatting sqref="D108:F116 D106:F106 D86:F92 N86:O86 R86:T86 J108:T116 J106:T106 J87:T92">
    <cfRule type="containsBlanks" dxfId="4637" priority="175">
      <formula>LEN(TRIM(D86))=0</formula>
    </cfRule>
  </conditionalFormatting>
  <conditionalFormatting sqref="D115:F115 J115:T115">
    <cfRule type="cellIs" dxfId="4636" priority="174" operator="equal">
      <formula>0</formula>
    </cfRule>
  </conditionalFormatting>
  <conditionalFormatting sqref="N89:N90">
    <cfRule type="cellIs" dxfId="4635" priority="173" operator="equal">
      <formula>0</formula>
    </cfRule>
  </conditionalFormatting>
  <conditionalFormatting sqref="O89:O90">
    <cfRule type="cellIs" dxfId="4634" priority="172" operator="equal">
      <formula>0</formula>
    </cfRule>
  </conditionalFormatting>
  <conditionalFormatting sqref="P89:Q89">
    <cfRule type="cellIs" dxfId="4633" priority="171" operator="equal">
      <formula>0</formula>
    </cfRule>
  </conditionalFormatting>
  <conditionalFormatting sqref="P90:Q90">
    <cfRule type="cellIs" dxfId="4632" priority="170" operator="equal">
      <formula>0</formula>
    </cfRule>
  </conditionalFormatting>
  <conditionalFormatting sqref="D94:F105 J94:T105">
    <cfRule type="cellIs" dxfId="4631" priority="169" operator="equal">
      <formula>0</formula>
    </cfRule>
  </conditionalFormatting>
  <conditionalFormatting sqref="D94:F105 J94:T105">
    <cfRule type="containsBlanks" dxfId="4630" priority="168">
      <formula>LEN(TRIM(D94))=0</formula>
    </cfRule>
  </conditionalFormatting>
  <conditionalFormatting sqref="J86">
    <cfRule type="cellIs" dxfId="4629" priority="167" operator="equal">
      <formula>0</formula>
    </cfRule>
  </conditionalFormatting>
  <conditionalFormatting sqref="K86">
    <cfRule type="cellIs" dxfId="4628" priority="166" operator="equal">
      <formula>0</formula>
    </cfRule>
  </conditionalFormatting>
  <conditionalFormatting sqref="L86:M86">
    <cfRule type="cellIs" dxfId="4627" priority="165" operator="equal">
      <formula>0</formula>
    </cfRule>
  </conditionalFormatting>
  <conditionalFormatting sqref="M86">
    <cfRule type="cellIs" dxfId="4626" priority="164" operator="equal">
      <formula>0</formula>
    </cfRule>
  </conditionalFormatting>
  <conditionalFormatting sqref="J86:M86">
    <cfRule type="containsBlanks" dxfId="4625" priority="163">
      <formula>LEN(TRIM(J86))=0</formula>
    </cfRule>
  </conditionalFormatting>
  <conditionalFormatting sqref="P86:Q86">
    <cfRule type="cellIs" dxfId="4624" priority="162" operator="equal">
      <formula>0</formula>
    </cfRule>
  </conditionalFormatting>
  <conditionalFormatting sqref="P86:Q86">
    <cfRule type="cellIs" dxfId="4623" priority="161" operator="equal">
      <formula>0</formula>
    </cfRule>
  </conditionalFormatting>
  <conditionalFormatting sqref="P86:Q86">
    <cfRule type="containsBlanks" dxfId="4622" priority="160">
      <formula>LEN(TRIM(P86))=0</formula>
    </cfRule>
  </conditionalFormatting>
  <conditionalFormatting sqref="D153:F153 R144:T144 D143:F151 D123:F130 N123:O123 R123:T123 J153:T153 J144:K144 J145:T151 J143:T143 J124:T130">
    <cfRule type="cellIs" dxfId="4621" priority="159" operator="equal">
      <formula>0</formula>
    </cfRule>
  </conditionalFormatting>
  <conditionalFormatting sqref="R123:R125">
    <cfRule type="cellIs" dxfId="4620" priority="158" operator="equal">
      <formula>0</formula>
    </cfRule>
  </conditionalFormatting>
  <conditionalFormatting sqref="R123:T123 N123:O123 D124:F125 J124:T125">
    <cfRule type="cellIs" dxfId="4619" priority="157" operator="equal">
      <formula>0</formula>
    </cfRule>
  </conditionalFormatting>
  <conditionalFormatting sqref="F124:F125">
    <cfRule type="cellIs" dxfId="4618" priority="156" operator="equal">
      <formula>0</formula>
    </cfRule>
  </conditionalFormatting>
  <conditionalFormatting sqref="N123:O123">
    <cfRule type="cellIs" dxfId="4617" priority="155" operator="equal">
      <formula>0</formula>
    </cfRule>
  </conditionalFormatting>
  <conditionalFormatting sqref="L126:L128 L144">
    <cfRule type="cellIs" dxfId="4616" priority="154" operator="equal">
      <formula>0</formula>
    </cfRule>
  </conditionalFormatting>
  <conditionalFormatting sqref="L124:L125">
    <cfRule type="cellIs" dxfId="4615" priority="153" operator="equal">
      <formula>0</formula>
    </cfRule>
  </conditionalFormatting>
  <conditionalFormatting sqref="M126:M128 M144">
    <cfRule type="cellIs" dxfId="4614" priority="152" operator="equal">
      <formula>0</formula>
    </cfRule>
  </conditionalFormatting>
  <conditionalFormatting sqref="M124:M125">
    <cfRule type="cellIs" dxfId="4613" priority="151" operator="equal">
      <formula>0</formula>
    </cfRule>
  </conditionalFormatting>
  <conditionalFormatting sqref="N126:N128 N144">
    <cfRule type="cellIs" dxfId="4612" priority="150" operator="equal">
      <formula>0</formula>
    </cfRule>
  </conditionalFormatting>
  <conditionalFormatting sqref="N123:N125">
    <cfRule type="cellIs" dxfId="4611" priority="149" operator="equal">
      <formula>0</formula>
    </cfRule>
  </conditionalFormatting>
  <conditionalFormatting sqref="O126:O128 O144">
    <cfRule type="cellIs" dxfId="4610" priority="148" operator="equal">
      <formula>0</formula>
    </cfRule>
  </conditionalFormatting>
  <conditionalFormatting sqref="O123:O125">
    <cfRule type="cellIs" dxfId="4609" priority="147" operator="equal">
      <formula>0</formula>
    </cfRule>
  </conditionalFormatting>
  <conditionalFormatting sqref="P126:P128 P144">
    <cfRule type="cellIs" dxfId="4608" priority="146" operator="equal">
      <formula>0</formula>
    </cfRule>
  </conditionalFormatting>
  <conditionalFormatting sqref="P124:P125">
    <cfRule type="cellIs" dxfId="4607" priority="145" operator="equal">
      <formula>0</formula>
    </cfRule>
  </conditionalFormatting>
  <conditionalFormatting sqref="Q126:Q128 Q144">
    <cfRule type="cellIs" dxfId="4606" priority="144" operator="equal">
      <formula>0</formula>
    </cfRule>
  </conditionalFormatting>
  <conditionalFormatting sqref="Q124:Q125">
    <cfRule type="cellIs" dxfId="4605" priority="143" operator="equal">
      <formula>0</formula>
    </cfRule>
  </conditionalFormatting>
  <conditionalFormatting sqref="D152:F152 J152:T152">
    <cfRule type="cellIs" dxfId="4604" priority="142" operator="equal">
      <formula>0</formula>
    </cfRule>
  </conditionalFormatting>
  <conditionalFormatting sqref="D145:F153 D143:F143 D123:F129 N123:O123 R123:T123 J145:T153 J143:T143 J124:T129">
    <cfRule type="containsBlanks" dxfId="4603" priority="141">
      <formula>LEN(TRIM(D123))=0</formula>
    </cfRule>
  </conditionalFormatting>
  <conditionalFormatting sqref="D152:F152 J152:T152">
    <cfRule type="cellIs" dxfId="4602" priority="140" operator="equal">
      <formula>0</formula>
    </cfRule>
  </conditionalFormatting>
  <conditionalFormatting sqref="N126:N127">
    <cfRule type="cellIs" dxfId="4601" priority="139" operator="equal">
      <formula>0</formula>
    </cfRule>
  </conditionalFormatting>
  <conditionalFormatting sqref="O126:O127">
    <cfRule type="cellIs" dxfId="4600" priority="138" operator="equal">
      <formula>0</formula>
    </cfRule>
  </conditionalFormatting>
  <conditionalFormatting sqref="P126:Q126">
    <cfRule type="cellIs" dxfId="4599" priority="137" operator="equal">
      <formula>0</formula>
    </cfRule>
  </conditionalFormatting>
  <conditionalFormatting sqref="P127:Q127">
    <cfRule type="cellIs" dxfId="4598" priority="136" operator="equal">
      <formula>0</formula>
    </cfRule>
  </conditionalFormatting>
  <conditionalFormatting sqref="D131:F142 J131:T142">
    <cfRule type="cellIs" dxfId="4597" priority="135" operator="equal">
      <formula>0</formula>
    </cfRule>
  </conditionalFormatting>
  <conditionalFormatting sqref="D131:F142 J131:T142">
    <cfRule type="containsBlanks" dxfId="4596" priority="134">
      <formula>LEN(TRIM(D131))=0</formula>
    </cfRule>
  </conditionalFormatting>
  <conditionalFormatting sqref="J123">
    <cfRule type="cellIs" dxfId="4595" priority="133" operator="equal">
      <formula>0</formula>
    </cfRule>
  </conditionalFormatting>
  <conditionalFormatting sqref="K123">
    <cfRule type="cellIs" dxfId="4594" priority="132" operator="equal">
      <formula>0</formula>
    </cfRule>
  </conditionalFormatting>
  <conditionalFormatting sqref="L123:M123">
    <cfRule type="cellIs" dxfId="4593" priority="131" operator="equal">
      <formula>0</formula>
    </cfRule>
  </conditionalFormatting>
  <conditionalFormatting sqref="M123">
    <cfRule type="cellIs" dxfId="4592" priority="130" operator="equal">
      <formula>0</formula>
    </cfRule>
  </conditionalFormatting>
  <conditionalFormatting sqref="J123:M123">
    <cfRule type="containsBlanks" dxfId="4591" priority="129">
      <formula>LEN(TRIM(J123))=0</formula>
    </cfRule>
  </conditionalFormatting>
  <conditionalFormatting sqref="P123:Q123">
    <cfRule type="cellIs" dxfId="4590" priority="128" operator="equal">
      <formula>0</formula>
    </cfRule>
  </conditionalFormatting>
  <conditionalFormatting sqref="P123:Q123">
    <cfRule type="cellIs" dxfId="4589" priority="127" operator="equal">
      <formula>0</formula>
    </cfRule>
  </conditionalFormatting>
  <conditionalFormatting sqref="P123:Q123">
    <cfRule type="containsBlanks" dxfId="4588" priority="126">
      <formula>LEN(TRIM(P123))=0</formula>
    </cfRule>
  </conditionalFormatting>
  <conditionalFormatting sqref="H12:H19 H32:H40 H42 G12">
    <cfRule type="cellIs" dxfId="4587" priority="100" operator="equal">
      <formula>0</formula>
    </cfRule>
  </conditionalFormatting>
  <conditionalFormatting sqref="H13:H14">
    <cfRule type="cellIs" dxfId="4586" priority="99" operator="equal">
      <formula>0</formula>
    </cfRule>
  </conditionalFormatting>
  <conditionalFormatting sqref="H41">
    <cfRule type="cellIs" dxfId="4585" priority="98" operator="equal">
      <formula>0</formula>
    </cfRule>
  </conditionalFormatting>
  <conditionalFormatting sqref="H12:H18 H32 H34:H42 G12">
    <cfRule type="containsBlanks" dxfId="4584" priority="97">
      <formula>LEN(TRIM(G12))=0</formula>
    </cfRule>
  </conditionalFormatting>
  <conditionalFormatting sqref="H41">
    <cfRule type="cellIs" dxfId="4583" priority="96" operator="equal">
      <formula>0</formula>
    </cfRule>
  </conditionalFormatting>
  <conditionalFormatting sqref="H20:H31">
    <cfRule type="cellIs" dxfId="4582" priority="95" operator="equal">
      <formula>0</formula>
    </cfRule>
  </conditionalFormatting>
  <conditionalFormatting sqref="H20:H31">
    <cfRule type="containsBlanks" dxfId="4581" priority="94">
      <formula>LEN(TRIM(H20))=0</formula>
    </cfRule>
  </conditionalFormatting>
  <conditionalFormatting sqref="G13:G19 G32:G40 G42">
    <cfRule type="cellIs" dxfId="4580" priority="93" operator="equal">
      <formula>0</formula>
    </cfRule>
  </conditionalFormatting>
  <conditionalFormatting sqref="G13:G14">
    <cfRule type="cellIs" dxfId="4579" priority="92" operator="equal">
      <formula>0</formula>
    </cfRule>
  </conditionalFormatting>
  <conditionalFormatting sqref="G13:G14">
    <cfRule type="cellIs" dxfId="4578" priority="91" operator="equal">
      <formula>0</formula>
    </cfRule>
  </conditionalFormatting>
  <conditionalFormatting sqref="G41">
    <cfRule type="cellIs" dxfId="4577" priority="90" operator="equal">
      <formula>0</formula>
    </cfRule>
  </conditionalFormatting>
  <conditionalFormatting sqref="G13:G18 G34:G42 G32">
    <cfRule type="containsBlanks" dxfId="4576" priority="89">
      <formula>LEN(TRIM(G13))=0</formula>
    </cfRule>
  </conditionalFormatting>
  <conditionalFormatting sqref="G41">
    <cfRule type="cellIs" dxfId="4575" priority="88" operator="equal">
      <formula>0</formula>
    </cfRule>
  </conditionalFormatting>
  <conditionalFormatting sqref="G20:G31">
    <cfRule type="cellIs" dxfId="4574" priority="87" operator="equal">
      <formula>0</formula>
    </cfRule>
  </conditionalFormatting>
  <conditionalFormatting sqref="G20:G31">
    <cfRule type="containsBlanks" dxfId="4573" priority="86">
      <formula>LEN(TRIM(G20))=0</formula>
    </cfRule>
  </conditionalFormatting>
  <conditionalFormatting sqref="I12">
    <cfRule type="cellIs" dxfId="4572" priority="85" operator="equal">
      <formula>0</formula>
    </cfRule>
  </conditionalFormatting>
  <conditionalFormatting sqref="I12">
    <cfRule type="containsBlanks" dxfId="4571" priority="84">
      <formula>LEN(TRIM(I12))=0</formula>
    </cfRule>
  </conditionalFormatting>
  <conditionalFormatting sqref="I13:I19 I32:I40 I42">
    <cfRule type="cellIs" dxfId="4570" priority="83" operator="equal">
      <formula>0</formula>
    </cfRule>
  </conditionalFormatting>
  <conditionalFormatting sqref="I13:I14">
    <cfRule type="cellIs" dxfId="4569" priority="82" operator="equal">
      <formula>0</formula>
    </cfRule>
  </conditionalFormatting>
  <conditionalFormatting sqref="I13:I14">
    <cfRule type="cellIs" dxfId="4568" priority="81" operator="equal">
      <formula>0</formula>
    </cfRule>
  </conditionalFormatting>
  <conditionalFormatting sqref="I41">
    <cfRule type="cellIs" dxfId="4567" priority="80" operator="equal">
      <formula>0</formula>
    </cfRule>
  </conditionalFormatting>
  <conditionalFormatting sqref="I13:I18 I34:I42 I32">
    <cfRule type="containsBlanks" dxfId="4566" priority="79">
      <formula>LEN(TRIM(I13))=0</formula>
    </cfRule>
  </conditionalFormatting>
  <conditionalFormatting sqref="I41">
    <cfRule type="cellIs" dxfId="4565" priority="78" operator="equal">
      <formula>0</formula>
    </cfRule>
  </conditionalFormatting>
  <conditionalFormatting sqref="I20:I31">
    <cfRule type="cellIs" dxfId="4564" priority="77" operator="equal">
      <formula>0</formula>
    </cfRule>
  </conditionalFormatting>
  <conditionalFormatting sqref="I20:I31">
    <cfRule type="containsBlanks" dxfId="4563" priority="76">
      <formula>LEN(TRIM(I20))=0</formula>
    </cfRule>
  </conditionalFormatting>
  <conditionalFormatting sqref="H49:H56 H69:H77 H79 G49">
    <cfRule type="cellIs" dxfId="4562" priority="75" operator="equal">
      <formula>0</formula>
    </cfRule>
  </conditionalFormatting>
  <conditionalFormatting sqref="H50:H51">
    <cfRule type="cellIs" dxfId="4561" priority="74" operator="equal">
      <formula>0</formula>
    </cfRule>
  </conditionalFormatting>
  <conditionalFormatting sqref="H78">
    <cfRule type="cellIs" dxfId="4560" priority="73" operator="equal">
      <formula>0</formula>
    </cfRule>
  </conditionalFormatting>
  <conditionalFormatting sqref="H49:H55 H69 H71:H79 G49">
    <cfRule type="containsBlanks" dxfId="4559" priority="72">
      <formula>LEN(TRIM(G49))=0</formula>
    </cfRule>
  </conditionalFormatting>
  <conditionalFormatting sqref="H78">
    <cfRule type="cellIs" dxfId="4558" priority="71" operator="equal">
      <formula>0</formula>
    </cfRule>
  </conditionalFormatting>
  <conditionalFormatting sqref="H57:H68">
    <cfRule type="cellIs" dxfId="4557" priority="70" operator="equal">
      <formula>0</formula>
    </cfRule>
  </conditionalFormatting>
  <conditionalFormatting sqref="H57:H68">
    <cfRule type="containsBlanks" dxfId="4556" priority="69">
      <formula>LEN(TRIM(H57))=0</formula>
    </cfRule>
  </conditionalFormatting>
  <conditionalFormatting sqref="G50:G56 G69:G77 G79">
    <cfRule type="cellIs" dxfId="4555" priority="68" operator="equal">
      <formula>0</formula>
    </cfRule>
  </conditionalFormatting>
  <conditionalFormatting sqref="G50:G51">
    <cfRule type="cellIs" dxfId="4554" priority="67" operator="equal">
      <formula>0</formula>
    </cfRule>
  </conditionalFormatting>
  <conditionalFormatting sqref="G50:G51">
    <cfRule type="cellIs" dxfId="4553" priority="66" operator="equal">
      <formula>0</formula>
    </cfRule>
  </conditionalFormatting>
  <conditionalFormatting sqref="G78">
    <cfRule type="cellIs" dxfId="4552" priority="65" operator="equal">
      <formula>0</formula>
    </cfRule>
  </conditionalFormatting>
  <conditionalFormatting sqref="G50:G55 G71:G79 G69">
    <cfRule type="containsBlanks" dxfId="4551" priority="64">
      <formula>LEN(TRIM(G50))=0</formula>
    </cfRule>
  </conditionalFormatting>
  <conditionalFormatting sqref="G78">
    <cfRule type="cellIs" dxfId="4550" priority="63" operator="equal">
      <formula>0</formula>
    </cfRule>
  </conditionalFormatting>
  <conditionalFormatting sqref="G57:G68">
    <cfRule type="cellIs" dxfId="4549" priority="62" operator="equal">
      <formula>0</formula>
    </cfRule>
  </conditionalFormatting>
  <conditionalFormatting sqref="G57:G68">
    <cfRule type="containsBlanks" dxfId="4548" priority="61">
      <formula>LEN(TRIM(G57))=0</formula>
    </cfRule>
  </conditionalFormatting>
  <conditionalFormatting sqref="I49">
    <cfRule type="cellIs" dxfId="4547" priority="60" operator="equal">
      <formula>0</formula>
    </cfRule>
  </conditionalFormatting>
  <conditionalFormatting sqref="I49">
    <cfRule type="containsBlanks" dxfId="4546" priority="59">
      <formula>LEN(TRIM(I49))=0</formula>
    </cfRule>
  </conditionalFormatting>
  <conditionalFormatting sqref="I50:I56 I69:I77 I79">
    <cfRule type="cellIs" dxfId="4545" priority="58" operator="equal">
      <formula>0</formula>
    </cfRule>
  </conditionalFormatting>
  <conditionalFormatting sqref="I50:I51">
    <cfRule type="cellIs" dxfId="4544" priority="57" operator="equal">
      <formula>0</formula>
    </cfRule>
  </conditionalFormatting>
  <conditionalFormatting sqref="I50:I51">
    <cfRule type="cellIs" dxfId="4543" priority="56" operator="equal">
      <formula>0</formula>
    </cfRule>
  </conditionalFormatting>
  <conditionalFormatting sqref="I78">
    <cfRule type="cellIs" dxfId="4542" priority="55" operator="equal">
      <formula>0</formula>
    </cfRule>
  </conditionalFormatting>
  <conditionalFormatting sqref="I50:I55 I71:I79 I69">
    <cfRule type="containsBlanks" dxfId="4541" priority="54">
      <formula>LEN(TRIM(I50))=0</formula>
    </cfRule>
  </conditionalFormatting>
  <conditionalFormatting sqref="I78">
    <cfRule type="cellIs" dxfId="4540" priority="53" operator="equal">
      <formula>0</formula>
    </cfRule>
  </conditionalFormatting>
  <conditionalFormatting sqref="I57:I68">
    <cfRule type="cellIs" dxfId="4539" priority="52" operator="equal">
      <formula>0</formula>
    </cfRule>
  </conditionalFormatting>
  <conditionalFormatting sqref="I57:I68">
    <cfRule type="containsBlanks" dxfId="4538" priority="51">
      <formula>LEN(TRIM(I57))=0</formula>
    </cfRule>
  </conditionalFormatting>
  <conditionalFormatting sqref="H86:H93 H106:H114 H116 G86">
    <cfRule type="cellIs" dxfId="4537" priority="50" operator="equal">
      <formula>0</formula>
    </cfRule>
  </conditionalFormatting>
  <conditionalFormatting sqref="H87:H88">
    <cfRule type="cellIs" dxfId="4536" priority="49" operator="equal">
      <formula>0</formula>
    </cfRule>
  </conditionalFormatting>
  <conditionalFormatting sqref="H115">
    <cfRule type="cellIs" dxfId="4535" priority="48" operator="equal">
      <formula>0</formula>
    </cfRule>
  </conditionalFormatting>
  <conditionalFormatting sqref="H86:H92 H106 H108:H116 G86">
    <cfRule type="containsBlanks" dxfId="4534" priority="47">
      <formula>LEN(TRIM(G86))=0</formula>
    </cfRule>
  </conditionalFormatting>
  <conditionalFormatting sqref="H115">
    <cfRule type="cellIs" dxfId="4533" priority="46" operator="equal">
      <formula>0</formula>
    </cfRule>
  </conditionalFormatting>
  <conditionalFormatting sqref="H94:H105">
    <cfRule type="cellIs" dxfId="4532" priority="45" operator="equal">
      <formula>0</formula>
    </cfRule>
  </conditionalFormatting>
  <conditionalFormatting sqref="H94:H105">
    <cfRule type="containsBlanks" dxfId="4531" priority="44">
      <formula>LEN(TRIM(H94))=0</formula>
    </cfRule>
  </conditionalFormatting>
  <conditionalFormatting sqref="G87:G93 G106:G114 G116">
    <cfRule type="cellIs" dxfId="4530" priority="43" operator="equal">
      <formula>0</formula>
    </cfRule>
  </conditionalFormatting>
  <conditionalFormatting sqref="G87:G88">
    <cfRule type="cellIs" dxfId="4529" priority="42" operator="equal">
      <formula>0</formula>
    </cfRule>
  </conditionalFormatting>
  <conditionalFormatting sqref="G87:G88">
    <cfRule type="cellIs" dxfId="4528" priority="41" operator="equal">
      <formula>0</formula>
    </cfRule>
  </conditionalFormatting>
  <conditionalFormatting sqref="G115">
    <cfRule type="cellIs" dxfId="4527" priority="40" operator="equal">
      <formula>0</formula>
    </cfRule>
  </conditionalFormatting>
  <conditionalFormatting sqref="G87:G92 G108:G116 G106">
    <cfRule type="containsBlanks" dxfId="4526" priority="39">
      <formula>LEN(TRIM(G87))=0</formula>
    </cfRule>
  </conditionalFormatting>
  <conditionalFormatting sqref="G115">
    <cfRule type="cellIs" dxfId="4525" priority="38" operator="equal">
      <formula>0</formula>
    </cfRule>
  </conditionalFormatting>
  <conditionalFormatting sqref="G94:G105">
    <cfRule type="cellIs" dxfId="4524" priority="37" operator="equal">
      <formula>0</formula>
    </cfRule>
  </conditionalFormatting>
  <conditionalFormatting sqref="G94:G105">
    <cfRule type="containsBlanks" dxfId="4523" priority="36">
      <formula>LEN(TRIM(G94))=0</formula>
    </cfRule>
  </conditionalFormatting>
  <conditionalFormatting sqref="I86">
    <cfRule type="cellIs" dxfId="4522" priority="35" operator="equal">
      <formula>0</formula>
    </cfRule>
  </conditionalFormatting>
  <conditionalFormatting sqref="I86">
    <cfRule type="containsBlanks" dxfId="4521" priority="34">
      <formula>LEN(TRIM(I86))=0</formula>
    </cfRule>
  </conditionalFormatting>
  <conditionalFormatting sqref="I87:I93 I106:I114 I116">
    <cfRule type="cellIs" dxfId="4520" priority="33" operator="equal">
      <formula>0</formula>
    </cfRule>
  </conditionalFormatting>
  <conditionalFormatting sqref="I87:I88">
    <cfRule type="cellIs" dxfId="4519" priority="32" operator="equal">
      <formula>0</formula>
    </cfRule>
  </conditionalFormatting>
  <conditionalFormatting sqref="I87:I88">
    <cfRule type="cellIs" dxfId="4518" priority="31" operator="equal">
      <formula>0</formula>
    </cfRule>
  </conditionalFormatting>
  <conditionalFormatting sqref="I115">
    <cfRule type="cellIs" dxfId="4517" priority="30" operator="equal">
      <formula>0</formula>
    </cfRule>
  </conditionalFormatting>
  <conditionalFormatting sqref="I87:I92 I108:I116 I106">
    <cfRule type="containsBlanks" dxfId="4516" priority="29">
      <formula>LEN(TRIM(I87))=0</formula>
    </cfRule>
  </conditionalFormatting>
  <conditionalFormatting sqref="I115">
    <cfRule type="cellIs" dxfId="4515" priority="28" operator="equal">
      <formula>0</formula>
    </cfRule>
  </conditionalFormatting>
  <conditionalFormatting sqref="I94:I105">
    <cfRule type="cellIs" dxfId="4514" priority="27" operator="equal">
      <formula>0</formula>
    </cfRule>
  </conditionalFormatting>
  <conditionalFormatting sqref="I94:I105">
    <cfRule type="containsBlanks" dxfId="4513" priority="26">
      <formula>LEN(TRIM(I94))=0</formula>
    </cfRule>
  </conditionalFormatting>
  <conditionalFormatting sqref="H123:H130 H143:H151 H153 G123">
    <cfRule type="cellIs" dxfId="4512" priority="25" operator="equal">
      <formula>0</formula>
    </cfRule>
  </conditionalFormatting>
  <conditionalFormatting sqref="H124:H125">
    <cfRule type="cellIs" dxfId="4511" priority="24" operator="equal">
      <formula>0</formula>
    </cfRule>
  </conditionalFormatting>
  <conditionalFormatting sqref="H152">
    <cfRule type="cellIs" dxfId="4510" priority="23" operator="equal">
      <formula>0</formula>
    </cfRule>
  </conditionalFormatting>
  <conditionalFormatting sqref="H123:H129 H143 H145:H153 G123">
    <cfRule type="containsBlanks" dxfId="4509" priority="22">
      <formula>LEN(TRIM(G123))=0</formula>
    </cfRule>
  </conditionalFormatting>
  <conditionalFormatting sqref="H152">
    <cfRule type="cellIs" dxfId="4508" priority="21" operator="equal">
      <formula>0</formula>
    </cfRule>
  </conditionalFormatting>
  <conditionalFormatting sqref="H131:H142">
    <cfRule type="cellIs" dxfId="4507" priority="20" operator="equal">
      <formula>0</formula>
    </cfRule>
  </conditionalFormatting>
  <conditionalFormatting sqref="H131:H142">
    <cfRule type="containsBlanks" dxfId="4506" priority="19">
      <formula>LEN(TRIM(H131))=0</formula>
    </cfRule>
  </conditionalFormatting>
  <conditionalFormatting sqref="G124:G130 G143:G151 G153">
    <cfRule type="cellIs" dxfId="4505" priority="18" operator="equal">
      <formula>0</formula>
    </cfRule>
  </conditionalFormatting>
  <conditionalFormatting sqref="G124:G125">
    <cfRule type="cellIs" dxfId="4504" priority="17" operator="equal">
      <formula>0</formula>
    </cfRule>
  </conditionalFormatting>
  <conditionalFormatting sqref="G124:G125">
    <cfRule type="cellIs" dxfId="4503" priority="16" operator="equal">
      <formula>0</formula>
    </cfRule>
  </conditionalFormatting>
  <conditionalFormatting sqref="G152">
    <cfRule type="cellIs" dxfId="4502" priority="15" operator="equal">
      <formula>0</formula>
    </cfRule>
  </conditionalFormatting>
  <conditionalFormatting sqref="G124:G129 G145:G153 G143">
    <cfRule type="containsBlanks" dxfId="4501" priority="14">
      <formula>LEN(TRIM(G124))=0</formula>
    </cfRule>
  </conditionalFormatting>
  <conditionalFormatting sqref="G152">
    <cfRule type="cellIs" dxfId="4500" priority="13" operator="equal">
      <formula>0</formula>
    </cfRule>
  </conditionalFormatting>
  <conditionalFormatting sqref="G131:G142">
    <cfRule type="cellIs" dxfId="4499" priority="12" operator="equal">
      <formula>0</formula>
    </cfRule>
  </conditionalFormatting>
  <conditionalFormatting sqref="G131:G142">
    <cfRule type="containsBlanks" dxfId="4498" priority="11">
      <formula>LEN(TRIM(G131))=0</formula>
    </cfRule>
  </conditionalFormatting>
  <conditionalFormatting sqref="I123">
    <cfRule type="cellIs" dxfId="4497" priority="10" operator="equal">
      <formula>0</formula>
    </cfRule>
  </conditionalFormatting>
  <conditionalFormatting sqref="I123">
    <cfRule type="containsBlanks" dxfId="4496" priority="9">
      <formula>LEN(TRIM(I123))=0</formula>
    </cfRule>
  </conditionalFormatting>
  <conditionalFormatting sqref="I124:I130 I143:I151 I153">
    <cfRule type="cellIs" dxfId="4495" priority="8" operator="equal">
      <formula>0</formula>
    </cfRule>
  </conditionalFormatting>
  <conditionalFormatting sqref="I124:I125">
    <cfRule type="cellIs" dxfId="4494" priority="7" operator="equal">
      <formula>0</formula>
    </cfRule>
  </conditionalFormatting>
  <conditionalFormatting sqref="I124:I125">
    <cfRule type="cellIs" dxfId="4493" priority="6" operator="equal">
      <formula>0</formula>
    </cfRule>
  </conditionalFormatting>
  <conditionalFormatting sqref="I152">
    <cfRule type="cellIs" dxfId="4492" priority="5" operator="equal">
      <formula>0</formula>
    </cfRule>
  </conditionalFormatting>
  <conditionalFormatting sqref="I124:I129 I145:I153 I143">
    <cfRule type="containsBlanks" dxfId="4491" priority="4">
      <formula>LEN(TRIM(I124))=0</formula>
    </cfRule>
  </conditionalFormatting>
  <conditionalFormatting sqref="I152">
    <cfRule type="cellIs" dxfId="4490" priority="3" operator="equal">
      <formula>0</formula>
    </cfRule>
  </conditionalFormatting>
  <conditionalFormatting sqref="I131:I142">
    <cfRule type="cellIs" dxfId="4489" priority="2" operator="equal">
      <formula>0</formula>
    </cfRule>
  </conditionalFormatting>
  <conditionalFormatting sqref="I131:I142">
    <cfRule type="containsBlanks" dxfId="4488" priority="1">
      <formula>LEN(TRIM(I131))=0</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0171-41ED-4832-A9D5-9B644CE374E0}">
  <dimension ref="C3:U118"/>
  <sheetViews>
    <sheetView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523</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0</v>
      </c>
      <c r="F12" s="663">
        <v>0</v>
      </c>
      <c r="G12" s="663">
        <v>0</v>
      </c>
      <c r="H12" s="663">
        <v>0</v>
      </c>
      <c r="I12" s="663">
        <v>0</v>
      </c>
      <c r="J12" s="664">
        <v>887.88984586571985</v>
      </c>
      <c r="K12" s="664">
        <v>396.24410449971316</v>
      </c>
      <c r="L12" s="664">
        <v>299.20080257603973</v>
      </c>
      <c r="M12" s="664">
        <v>23.973968003405336</v>
      </c>
      <c r="N12" s="663">
        <v>1.638642873490971</v>
      </c>
      <c r="O12" s="663">
        <v>0.1692153726460352</v>
      </c>
      <c r="P12" s="664">
        <v>148.52009865212395</v>
      </c>
      <c r="Q12" s="664">
        <v>23.099478079825218</v>
      </c>
      <c r="R12" s="663">
        <v>0</v>
      </c>
      <c r="S12" s="663">
        <v>0</v>
      </c>
      <c r="T12" s="663">
        <v>0</v>
      </c>
      <c r="U12" s="665">
        <v>1780.7361559229641</v>
      </c>
    </row>
    <row r="13" spans="3:21" ht="13">
      <c r="C13" s="662" t="s">
        <v>60</v>
      </c>
      <c r="D13" s="663">
        <v>10.379280707598515</v>
      </c>
      <c r="E13" s="663">
        <v>221.43377158510449</v>
      </c>
      <c r="F13" s="663">
        <v>3.6404081450569747</v>
      </c>
      <c r="G13" s="663">
        <v>0</v>
      </c>
      <c r="H13" s="663">
        <v>71.351673113669463</v>
      </c>
      <c r="I13" s="663">
        <v>0</v>
      </c>
      <c r="J13" s="663">
        <v>0</v>
      </c>
      <c r="K13" s="663">
        <v>0</v>
      </c>
      <c r="L13" s="663">
        <v>4.5400000946661896</v>
      </c>
      <c r="M13" s="663">
        <v>0</v>
      </c>
      <c r="N13" s="663">
        <v>4.7355769449703358</v>
      </c>
      <c r="O13" s="663">
        <v>0</v>
      </c>
      <c r="P13" s="663">
        <v>0</v>
      </c>
      <c r="Q13" s="663">
        <v>0</v>
      </c>
      <c r="R13" s="663">
        <v>0</v>
      </c>
      <c r="S13" s="663">
        <v>0</v>
      </c>
      <c r="T13" s="663">
        <v>0</v>
      </c>
      <c r="U13" s="665">
        <v>316.08071059106601</v>
      </c>
    </row>
    <row r="14" spans="3:21" ht="13">
      <c r="C14" s="662" t="s">
        <v>61</v>
      </c>
      <c r="D14" s="663">
        <v>0</v>
      </c>
      <c r="E14" s="663">
        <v>0</v>
      </c>
      <c r="F14" s="663">
        <v>-61.117649142160822</v>
      </c>
      <c r="G14" s="663">
        <v>0</v>
      </c>
      <c r="H14" s="663">
        <v>0</v>
      </c>
      <c r="I14" s="663">
        <v>0</v>
      </c>
      <c r="J14" s="663">
        <v>0</v>
      </c>
      <c r="K14" s="663">
        <v>0</v>
      </c>
      <c r="L14" s="663">
        <v>0</v>
      </c>
      <c r="M14" s="663">
        <v>0</v>
      </c>
      <c r="N14" s="663">
        <v>0</v>
      </c>
      <c r="O14" s="663">
        <v>0</v>
      </c>
      <c r="P14" s="663">
        <v>0</v>
      </c>
      <c r="Q14" s="663">
        <v>0</v>
      </c>
      <c r="R14" s="663">
        <v>-39.114049370458702</v>
      </c>
      <c r="S14" s="663">
        <v>0</v>
      </c>
      <c r="T14" s="663">
        <v>0</v>
      </c>
      <c r="U14" s="665">
        <v>-100.23169851261953</v>
      </c>
    </row>
    <row r="15" spans="3:21" ht="13">
      <c r="C15" s="662" t="s">
        <v>62</v>
      </c>
      <c r="D15" s="663">
        <v>0</v>
      </c>
      <c r="E15" s="663">
        <v>0</v>
      </c>
      <c r="F15" s="663">
        <v>-6.8572519407668047</v>
      </c>
      <c r="G15" s="663">
        <v>-2.9115063458369059</v>
      </c>
      <c r="H15" s="663">
        <v>-4.556210213526227</v>
      </c>
      <c r="I15" s="663">
        <v>-6.0214231896822394E-2</v>
      </c>
      <c r="J15" s="663">
        <v>0</v>
      </c>
      <c r="K15" s="663">
        <v>0</v>
      </c>
      <c r="L15" s="663">
        <v>0</v>
      </c>
      <c r="M15" s="663">
        <v>0</v>
      </c>
      <c r="N15" s="663">
        <v>-0.36156496915270087</v>
      </c>
      <c r="O15" s="663">
        <v>-5.4192808707140152</v>
      </c>
      <c r="P15" s="663">
        <v>0</v>
      </c>
      <c r="Q15" s="663">
        <v>0</v>
      </c>
      <c r="R15" s="663">
        <v>0</v>
      </c>
      <c r="S15" s="663">
        <v>0</v>
      </c>
      <c r="T15" s="663">
        <v>0</v>
      </c>
      <c r="U15" s="665">
        <v>-20.166028571893477</v>
      </c>
    </row>
    <row r="16" spans="3:21" ht="13">
      <c r="C16" s="662" t="s">
        <v>63</v>
      </c>
      <c r="D16" s="663">
        <v>0</v>
      </c>
      <c r="E16" s="663">
        <v>0</v>
      </c>
      <c r="F16" s="663">
        <v>-41.932075648688581</v>
      </c>
      <c r="G16" s="663">
        <v>-12.789597363010756</v>
      </c>
      <c r="H16" s="663">
        <v>0</v>
      </c>
      <c r="I16" s="663">
        <v>0</v>
      </c>
      <c r="J16" s="663">
        <v>0</v>
      </c>
      <c r="K16" s="663">
        <v>0</v>
      </c>
      <c r="L16" s="663">
        <v>0</v>
      </c>
      <c r="M16" s="663">
        <v>0</v>
      </c>
      <c r="N16" s="663">
        <v>-13.964845940285258</v>
      </c>
      <c r="O16" s="663">
        <v>0</v>
      </c>
      <c r="P16" s="663">
        <v>0</v>
      </c>
      <c r="Q16" s="663">
        <v>0</v>
      </c>
      <c r="R16" s="663">
        <v>0</v>
      </c>
      <c r="S16" s="663">
        <v>0</v>
      </c>
      <c r="T16" s="663">
        <v>-1.1030439884832439</v>
      </c>
      <c r="U16" s="665">
        <v>-69.789562940467846</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10.379280707598515</v>
      </c>
      <c r="E18" s="667">
        <v>221.43377158510449</v>
      </c>
      <c r="F18" s="667">
        <v>-106.26656858655923</v>
      </c>
      <c r="G18" s="667">
        <v>-15.701103708847661</v>
      </c>
      <c r="H18" s="675">
        <v>66.795462900143235</v>
      </c>
      <c r="I18" s="667">
        <v>-6.0214231896822394E-2</v>
      </c>
      <c r="J18" s="667">
        <v>887.88984586571985</v>
      </c>
      <c r="K18" s="667">
        <v>396.24410449971316</v>
      </c>
      <c r="L18" s="667">
        <v>303.74080267070593</v>
      </c>
      <c r="M18" s="667">
        <v>23.973968003405336</v>
      </c>
      <c r="N18" s="667">
        <v>-7.952191090976652</v>
      </c>
      <c r="O18" s="667">
        <v>-5.25006549806798</v>
      </c>
      <c r="P18" s="667">
        <v>148.52009865212395</v>
      </c>
      <c r="Q18" s="667">
        <v>23.099478079825218</v>
      </c>
      <c r="R18" s="667">
        <v>-39.114049370458702</v>
      </c>
      <c r="S18" s="667">
        <v>0</v>
      </c>
      <c r="T18" s="667">
        <v>-1.1030439884832439</v>
      </c>
      <c r="U18" s="667">
        <v>1906.629576489049</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2.6460781360013397E-2</v>
      </c>
      <c r="G21" s="663">
        <v>0</v>
      </c>
      <c r="H21" s="663">
        <v>2.1444399446740805</v>
      </c>
      <c r="I21" s="663">
        <v>0</v>
      </c>
      <c r="J21" s="663">
        <v>887.88984586571985</v>
      </c>
      <c r="K21" s="663">
        <v>396.24410449971316</v>
      </c>
      <c r="L21" s="663">
        <v>15.085804984191999</v>
      </c>
      <c r="M21" s="663">
        <v>7.2357180176402842</v>
      </c>
      <c r="N21" s="663">
        <v>6.0578717375904887</v>
      </c>
      <c r="O21" s="663">
        <v>0.6501857288144991</v>
      </c>
      <c r="P21" s="663">
        <v>0</v>
      </c>
      <c r="Q21" s="663">
        <v>6.4590957564387725</v>
      </c>
      <c r="R21" s="663">
        <v>-708.99943776638747</v>
      </c>
      <c r="S21" s="663">
        <v>0</v>
      </c>
      <c r="T21" s="663">
        <v>8.0586922417708831</v>
      </c>
      <c r="U21" s="671">
        <v>620.85278179152624</v>
      </c>
    </row>
    <row r="22" spans="3:21" ht="13">
      <c r="C22" s="670" t="s">
        <v>351</v>
      </c>
      <c r="D22" s="663">
        <v>0</v>
      </c>
      <c r="E22" s="663">
        <v>0</v>
      </c>
      <c r="F22" s="663">
        <v>0</v>
      </c>
      <c r="G22" s="663">
        <v>0</v>
      </c>
      <c r="H22" s="663">
        <v>4.7815870319860325</v>
      </c>
      <c r="I22" s="663">
        <v>0</v>
      </c>
      <c r="J22" s="663">
        <v>0</v>
      </c>
      <c r="K22" s="663">
        <v>0</v>
      </c>
      <c r="L22" s="663">
        <v>35.214664152844563</v>
      </c>
      <c r="M22" s="663">
        <v>14.445160723039894</v>
      </c>
      <c r="N22" s="663">
        <v>0</v>
      </c>
      <c r="O22" s="663">
        <v>7.1872449307268287</v>
      </c>
      <c r="P22" s="663">
        <v>0</v>
      </c>
      <c r="Q22" s="663">
        <v>11.182341089352812</v>
      </c>
      <c r="R22" s="663">
        <v>0</v>
      </c>
      <c r="S22" s="663">
        <v>-68.236033723831326</v>
      </c>
      <c r="T22" s="663">
        <v>0</v>
      </c>
      <c r="U22" s="671">
        <v>4.574964204118805</v>
      </c>
    </row>
    <row r="23" spans="3:21" ht="13">
      <c r="C23" s="670" t="s">
        <v>352</v>
      </c>
      <c r="D23" s="663">
        <v>0</v>
      </c>
      <c r="E23" s="663">
        <v>0</v>
      </c>
      <c r="F23" s="663">
        <v>0</v>
      </c>
      <c r="G23" s="663">
        <v>0</v>
      </c>
      <c r="H23" s="663">
        <v>0</v>
      </c>
      <c r="I23" s="663">
        <v>0</v>
      </c>
      <c r="J23" s="663">
        <v>0</v>
      </c>
      <c r="K23" s="663">
        <v>0</v>
      </c>
      <c r="L23" s="663">
        <v>86.658949605448655</v>
      </c>
      <c r="M23" s="663">
        <v>0</v>
      </c>
      <c r="N23" s="663">
        <v>0</v>
      </c>
      <c r="O23" s="663">
        <v>-81.004566256753222</v>
      </c>
      <c r="P23" s="663">
        <v>0</v>
      </c>
      <c r="Q23" s="663">
        <v>0</v>
      </c>
      <c r="R23" s="663">
        <v>0</v>
      </c>
      <c r="S23" s="663">
        <v>0</v>
      </c>
      <c r="T23" s="663">
        <v>0</v>
      </c>
      <c r="U23" s="671">
        <v>5.6543833486954327</v>
      </c>
    </row>
    <row r="24" spans="3:21" ht="13">
      <c r="C24" s="670" t="s">
        <v>353</v>
      </c>
      <c r="D24" s="663">
        <v>0</v>
      </c>
      <c r="E24" s="663">
        <v>0</v>
      </c>
      <c r="F24" s="663">
        <v>0</v>
      </c>
      <c r="G24" s="663">
        <v>0</v>
      </c>
      <c r="H24" s="663">
        <v>0</v>
      </c>
      <c r="I24" s="663">
        <v>-0.77766156720631052</v>
      </c>
      <c r="J24" s="663">
        <v>0</v>
      </c>
      <c r="K24" s="663">
        <v>0</v>
      </c>
      <c r="L24" s="663">
        <v>0</v>
      </c>
      <c r="M24" s="663">
        <v>0</v>
      </c>
      <c r="N24" s="663">
        <v>0</v>
      </c>
      <c r="O24" s="663">
        <v>0</v>
      </c>
      <c r="P24" s="663">
        <v>0</v>
      </c>
      <c r="Q24" s="663">
        <v>0</v>
      </c>
      <c r="R24" s="663">
        <v>0</v>
      </c>
      <c r="S24" s="663">
        <v>0</v>
      </c>
      <c r="T24" s="663">
        <v>1.0822986785331616</v>
      </c>
      <c r="U24" s="671">
        <v>0.30463711132685112</v>
      </c>
    </row>
    <row r="25" spans="3:21" ht="13">
      <c r="C25" s="670" t="s">
        <v>72</v>
      </c>
      <c r="D25" s="663">
        <v>0</v>
      </c>
      <c r="E25" s="663">
        <v>229.44376619610998</v>
      </c>
      <c r="F25" s="663">
        <v>-227.15530245315296</v>
      </c>
      <c r="G25" s="663">
        <v>0</v>
      </c>
      <c r="H25" s="663">
        <v>0</v>
      </c>
      <c r="I25" s="663">
        <v>0</v>
      </c>
      <c r="J25" s="663">
        <v>0</v>
      </c>
      <c r="K25" s="663">
        <v>0</v>
      </c>
      <c r="L25" s="663">
        <v>0</v>
      </c>
      <c r="M25" s="663">
        <v>0</v>
      </c>
      <c r="N25" s="663">
        <v>0</v>
      </c>
      <c r="O25" s="663">
        <v>0</v>
      </c>
      <c r="P25" s="663">
        <v>0</v>
      </c>
      <c r="Q25" s="663">
        <v>0</v>
      </c>
      <c r="R25" s="663">
        <v>0</v>
      </c>
      <c r="S25" s="663">
        <v>0</v>
      </c>
      <c r="T25" s="663">
        <v>0</v>
      </c>
      <c r="U25" s="671">
        <v>2.2884637429570258</v>
      </c>
    </row>
    <row r="26" spans="3:21" ht="13">
      <c r="C26" s="670" t="s">
        <v>354</v>
      </c>
      <c r="D26" s="663">
        <v>0</v>
      </c>
      <c r="E26" s="663">
        <v>0</v>
      </c>
      <c r="F26" s="663">
        <v>0</v>
      </c>
      <c r="G26" s="663">
        <v>0</v>
      </c>
      <c r="H26" s="663">
        <v>0</v>
      </c>
      <c r="I26" s="663">
        <v>0</v>
      </c>
      <c r="J26" s="663">
        <v>0</v>
      </c>
      <c r="K26" s="663">
        <v>0</v>
      </c>
      <c r="L26" s="663">
        <v>110.37341937246062</v>
      </c>
      <c r="M26" s="663">
        <v>0</v>
      </c>
      <c r="N26" s="663">
        <v>-110.37341937246062</v>
      </c>
      <c r="O26" s="663">
        <v>0</v>
      </c>
      <c r="P26" s="663">
        <v>0</v>
      </c>
      <c r="Q26" s="663">
        <v>0</v>
      </c>
      <c r="R26" s="663">
        <v>0</v>
      </c>
      <c r="S26" s="663">
        <v>0</v>
      </c>
      <c r="T26" s="663">
        <v>0</v>
      </c>
      <c r="U26" s="671">
        <v>0</v>
      </c>
    </row>
    <row r="27" spans="3:21" ht="13">
      <c r="C27" s="670" t="s">
        <v>355</v>
      </c>
      <c r="D27" s="663">
        <v>0</v>
      </c>
      <c r="E27" s="663">
        <v>0</v>
      </c>
      <c r="F27" s="663">
        <v>0</v>
      </c>
      <c r="G27" s="663">
        <v>-25.838308158403624</v>
      </c>
      <c r="H27" s="663">
        <v>0</v>
      </c>
      <c r="I27" s="663">
        <v>0</v>
      </c>
      <c r="J27" s="663">
        <v>0</v>
      </c>
      <c r="K27" s="663">
        <v>0</v>
      </c>
      <c r="L27" s="663">
        <v>0</v>
      </c>
      <c r="M27" s="663">
        <v>0</v>
      </c>
      <c r="N27" s="663">
        <v>0</v>
      </c>
      <c r="O27" s="663">
        <v>0</v>
      </c>
      <c r="P27" s="663">
        <v>0</v>
      </c>
      <c r="Q27" s="663">
        <v>0</v>
      </c>
      <c r="R27" s="663">
        <v>0</v>
      </c>
      <c r="S27" s="663">
        <v>0</v>
      </c>
      <c r="T27" s="663">
        <v>35.986501613375523</v>
      </c>
      <c r="U27" s="671">
        <v>10.148193454971899</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122.6947271556845</v>
      </c>
      <c r="S28" s="663">
        <v>0</v>
      </c>
      <c r="T28" s="663">
        <v>-85.334182736778573</v>
      </c>
      <c r="U28" s="671">
        <v>37.360544418905931</v>
      </c>
    </row>
    <row r="29" spans="3:21" ht="13">
      <c r="C29" s="670" t="s">
        <v>356</v>
      </c>
      <c r="D29" s="663">
        <v>5.7430949414062491</v>
      </c>
      <c r="E29" s="663">
        <v>-8.0099946110054798</v>
      </c>
      <c r="F29" s="663">
        <v>10.446968779828495</v>
      </c>
      <c r="G29" s="663">
        <v>0</v>
      </c>
      <c r="H29" s="663">
        <v>0</v>
      </c>
      <c r="I29" s="663">
        <v>0</v>
      </c>
      <c r="J29" s="663">
        <v>0</v>
      </c>
      <c r="K29" s="663">
        <v>0</v>
      </c>
      <c r="L29" s="663">
        <v>0</v>
      </c>
      <c r="M29" s="663">
        <v>0</v>
      </c>
      <c r="N29" s="663">
        <v>0</v>
      </c>
      <c r="O29" s="663">
        <v>0</v>
      </c>
      <c r="P29" s="663">
        <v>0</v>
      </c>
      <c r="Q29" s="663">
        <v>0</v>
      </c>
      <c r="R29" s="663">
        <v>0</v>
      </c>
      <c r="S29" s="663">
        <v>0</v>
      </c>
      <c r="T29" s="663">
        <v>0</v>
      </c>
      <c r="U29" s="671">
        <v>8.1800691102292635</v>
      </c>
    </row>
    <row r="30" spans="3:21" ht="13">
      <c r="C30" s="670" t="s">
        <v>75</v>
      </c>
      <c r="D30" s="663">
        <v>2.2334258105468749</v>
      </c>
      <c r="E30" s="663">
        <v>0</v>
      </c>
      <c r="F30" s="663">
        <v>17.43246590348684</v>
      </c>
      <c r="G30" s="663">
        <v>0</v>
      </c>
      <c r="H30" s="663">
        <v>2.2924587532620087</v>
      </c>
      <c r="I30" s="663">
        <v>3.0296811717119062E-2</v>
      </c>
      <c r="J30" s="663">
        <v>0</v>
      </c>
      <c r="K30" s="663">
        <v>0</v>
      </c>
      <c r="L30" s="663">
        <v>0</v>
      </c>
      <c r="M30" s="663">
        <v>0</v>
      </c>
      <c r="N30" s="663">
        <v>0</v>
      </c>
      <c r="O30" s="663">
        <v>2.7267130545407157</v>
      </c>
      <c r="P30" s="663">
        <v>0</v>
      </c>
      <c r="Q30" s="663">
        <v>0</v>
      </c>
      <c r="R30" s="663">
        <v>21.822235808041572</v>
      </c>
      <c r="S30" s="663">
        <v>0</v>
      </c>
      <c r="T30" s="663">
        <v>0</v>
      </c>
      <c r="U30" s="671">
        <v>46.537596141595124</v>
      </c>
    </row>
    <row r="31" spans="3:21" ht="13">
      <c r="C31" s="670" t="s">
        <v>76</v>
      </c>
      <c r="D31" s="663">
        <v>0</v>
      </c>
      <c r="E31" s="663">
        <v>0</v>
      </c>
      <c r="F31" s="663">
        <v>0</v>
      </c>
      <c r="G31" s="663">
        <v>0</v>
      </c>
      <c r="H31" s="663">
        <v>0.77652722768993077</v>
      </c>
      <c r="I31" s="663">
        <v>1.0262474374756796E-2</v>
      </c>
      <c r="J31" s="663">
        <v>0</v>
      </c>
      <c r="K31" s="663">
        <v>0</v>
      </c>
      <c r="L31" s="663">
        <v>0</v>
      </c>
      <c r="M31" s="663">
        <v>0</v>
      </c>
      <c r="N31" s="663">
        <v>0</v>
      </c>
      <c r="O31" s="663">
        <v>0.92362269372811168</v>
      </c>
      <c r="P31" s="663">
        <v>0</v>
      </c>
      <c r="Q31" s="663">
        <v>0</v>
      </c>
      <c r="R31" s="663">
        <v>51.265258018349606</v>
      </c>
      <c r="S31" s="663">
        <v>5.2924074535934169</v>
      </c>
      <c r="T31" s="663">
        <v>0</v>
      </c>
      <c r="U31" s="671">
        <v>58.268077867735826</v>
      </c>
    </row>
    <row r="32" spans="3:21" ht="13">
      <c r="C32" s="666" t="s">
        <v>77</v>
      </c>
      <c r="D32" s="667">
        <v>7.9765207519531245</v>
      </c>
      <c r="E32" s="667">
        <v>221.43377158510449</v>
      </c>
      <c r="F32" s="667">
        <v>-199.24940698847763</v>
      </c>
      <c r="G32" s="667">
        <v>-25.838308158403624</v>
      </c>
      <c r="H32" s="675">
        <v>9.9950129576120528</v>
      </c>
      <c r="I32" s="667">
        <v>-0.73710228111443465</v>
      </c>
      <c r="J32" s="667">
        <v>887.88984586571985</v>
      </c>
      <c r="K32" s="667">
        <v>396.24410449971316</v>
      </c>
      <c r="L32" s="667">
        <v>247.33283811494582</v>
      </c>
      <c r="M32" s="667">
        <v>21.680878740680178</v>
      </c>
      <c r="N32" s="667">
        <v>-104.31554763487013</v>
      </c>
      <c r="O32" s="667">
        <v>-69.51679984894308</v>
      </c>
      <c r="P32" s="667">
        <v>0</v>
      </c>
      <c r="Q32" s="667">
        <v>17.641436845791585</v>
      </c>
      <c r="R32" s="667">
        <v>-513.21721678431186</v>
      </c>
      <c r="S32" s="667">
        <v>-62.943626270237907</v>
      </c>
      <c r="T32" s="667">
        <v>-40.206690203099001</v>
      </c>
      <c r="U32" s="667">
        <v>794.16971119206255</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2.4027599556453909</v>
      </c>
      <c r="E34" s="663">
        <v>0</v>
      </c>
      <c r="F34" s="663">
        <v>3.114463113040443</v>
      </c>
      <c r="G34" s="663">
        <v>0</v>
      </c>
      <c r="H34" s="663">
        <v>22.626318476237717</v>
      </c>
      <c r="I34" s="663">
        <v>0.29902623536878048</v>
      </c>
      <c r="J34" s="663">
        <v>0</v>
      </c>
      <c r="K34" s="663">
        <v>0</v>
      </c>
      <c r="L34" s="663">
        <v>19.572699923725285</v>
      </c>
      <c r="M34" s="663">
        <v>2.2927206810178133</v>
      </c>
      <c r="N34" s="663">
        <v>2.5907279394531253</v>
      </c>
      <c r="O34" s="663">
        <v>26.952636430442517</v>
      </c>
      <c r="P34" s="663">
        <v>8.8445146484374995</v>
      </c>
      <c r="Q34" s="663">
        <v>8.2107689234467234E-4</v>
      </c>
      <c r="R34" s="663">
        <v>134.99858174444151</v>
      </c>
      <c r="S34" s="663">
        <v>18.388872155735818</v>
      </c>
      <c r="T34" s="663">
        <v>5.7096738281250001</v>
      </c>
      <c r="U34" s="671">
        <v>247.79381620856324</v>
      </c>
    </row>
    <row r="35" spans="3:21" ht="13">
      <c r="C35" s="670" t="s">
        <v>79</v>
      </c>
      <c r="D35" s="663">
        <v>0</v>
      </c>
      <c r="E35" s="663">
        <v>0</v>
      </c>
      <c r="F35" s="663">
        <v>28.084568019979141</v>
      </c>
      <c r="G35" s="663">
        <v>1.421472124111238</v>
      </c>
      <c r="H35" s="663">
        <v>2.5860362638913656</v>
      </c>
      <c r="I35" s="663">
        <v>3.4176690712220695E-2</v>
      </c>
      <c r="J35" s="663">
        <v>0</v>
      </c>
      <c r="K35" s="663">
        <v>0</v>
      </c>
      <c r="L35" s="663">
        <v>0</v>
      </c>
      <c r="M35" s="663">
        <v>0</v>
      </c>
      <c r="N35" s="663">
        <v>58.95620249302754</v>
      </c>
      <c r="O35" s="663">
        <v>3.0759021640998623</v>
      </c>
      <c r="P35" s="663">
        <v>0</v>
      </c>
      <c r="Q35" s="663">
        <v>0</v>
      </c>
      <c r="R35" s="663">
        <v>96.758599927458889</v>
      </c>
      <c r="S35" s="663">
        <v>0</v>
      </c>
      <c r="T35" s="663">
        <v>4.2910115463144054</v>
      </c>
      <c r="U35" s="671">
        <v>195.20796922959462</v>
      </c>
    </row>
    <row r="36" spans="3:21" ht="13">
      <c r="C36" s="670" t="s">
        <v>80</v>
      </c>
      <c r="D36" s="663">
        <v>0</v>
      </c>
      <c r="E36" s="663">
        <v>0</v>
      </c>
      <c r="F36" s="663">
        <v>1.0938828648554826</v>
      </c>
      <c r="G36" s="663">
        <v>0</v>
      </c>
      <c r="H36" s="663">
        <v>16.315204996757775</v>
      </c>
      <c r="I36" s="663">
        <v>0.21561944929635826</v>
      </c>
      <c r="J36" s="663">
        <v>0</v>
      </c>
      <c r="K36" s="663">
        <v>0</v>
      </c>
      <c r="L36" s="663">
        <v>32.232635043857968</v>
      </c>
      <c r="M36" s="663">
        <v>0</v>
      </c>
      <c r="N36" s="663">
        <v>0</v>
      </c>
      <c r="O36" s="663">
        <v>19.405750436672243</v>
      </c>
      <c r="P36" s="663">
        <v>111.91504706113531</v>
      </c>
      <c r="Q36" s="663">
        <v>2.8847164087553931</v>
      </c>
      <c r="R36" s="663">
        <v>143.6282802083233</v>
      </c>
      <c r="S36" s="663">
        <v>25.545428952203935</v>
      </c>
      <c r="T36" s="663">
        <v>0</v>
      </c>
      <c r="U36" s="671">
        <v>353.23656542185773</v>
      </c>
    </row>
    <row r="37" spans="3:21" ht="13">
      <c r="C37" s="670" t="s">
        <v>81</v>
      </c>
      <c r="D37" s="663">
        <v>0</v>
      </c>
      <c r="E37" s="663">
        <v>0</v>
      </c>
      <c r="F37" s="663">
        <v>0.97723127965383472</v>
      </c>
      <c r="G37" s="663">
        <v>0</v>
      </c>
      <c r="H37" s="663">
        <v>8.896881568300115</v>
      </c>
      <c r="I37" s="663">
        <v>0.11757993262070637</v>
      </c>
      <c r="J37" s="663">
        <v>0</v>
      </c>
      <c r="K37" s="663">
        <v>0</v>
      </c>
      <c r="L37" s="663">
        <v>0.3860243395319729</v>
      </c>
      <c r="M37" s="663">
        <v>3.6858170734169985E-4</v>
      </c>
      <c r="N37" s="663">
        <v>0</v>
      </c>
      <c r="O37" s="663">
        <v>10.582193935863573</v>
      </c>
      <c r="P37" s="663">
        <v>26.610536942551132</v>
      </c>
      <c r="Q37" s="663">
        <v>1.0058473798751368</v>
      </c>
      <c r="R37" s="663">
        <v>89.039868511744515</v>
      </c>
      <c r="S37" s="663">
        <v>19.009325162298154</v>
      </c>
      <c r="T37" s="663">
        <v>0</v>
      </c>
      <c r="U37" s="671">
        <v>156.62585763414648</v>
      </c>
    </row>
    <row r="38" spans="3:21" ht="13">
      <c r="C38" s="670" t="s">
        <v>82</v>
      </c>
      <c r="D38" s="663">
        <v>0</v>
      </c>
      <c r="E38" s="663">
        <v>0</v>
      </c>
      <c r="F38" s="663">
        <v>4.1945740406306502</v>
      </c>
      <c r="G38" s="663">
        <v>1.6667279106947781</v>
      </c>
      <c r="H38" s="663">
        <v>0.79342108561234903</v>
      </c>
      <c r="I38" s="663">
        <v>1.0485741219546464E-2</v>
      </c>
      <c r="J38" s="663">
        <v>0</v>
      </c>
      <c r="K38" s="663">
        <v>0</v>
      </c>
      <c r="L38" s="663">
        <v>3.7340409967435519</v>
      </c>
      <c r="M38" s="663">
        <v>0</v>
      </c>
      <c r="N38" s="663">
        <v>16.919952753679041</v>
      </c>
      <c r="O38" s="663">
        <v>0.94371670975918176</v>
      </c>
      <c r="P38" s="663">
        <v>1.1499999999999999</v>
      </c>
      <c r="Q38" s="663">
        <v>1.5666563685107562</v>
      </c>
      <c r="R38" s="663">
        <v>7.7866370218848946</v>
      </c>
      <c r="S38" s="663">
        <v>0</v>
      </c>
      <c r="T38" s="663">
        <v>0.36062656029870238</v>
      </c>
      <c r="U38" s="671">
        <v>39.126839189033454</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1.8912</v>
      </c>
      <c r="S39" s="663">
        <v>0</v>
      </c>
      <c r="T39" s="663">
        <v>0</v>
      </c>
      <c r="U39" s="671">
        <v>1.8912</v>
      </c>
    </row>
    <row r="40" spans="3:21" ht="13">
      <c r="C40" s="666" t="s">
        <v>83</v>
      </c>
      <c r="D40" s="667">
        <v>2.4027599556453909</v>
      </c>
      <c r="E40" s="667">
        <v>0</v>
      </c>
      <c r="F40" s="667">
        <v>37.464719318159553</v>
      </c>
      <c r="G40" s="667">
        <v>3.0882000348060163</v>
      </c>
      <c r="H40" s="675">
        <v>51.217862390799326</v>
      </c>
      <c r="I40" s="667">
        <v>0.67688804921761236</v>
      </c>
      <c r="J40" s="667">
        <v>0</v>
      </c>
      <c r="K40" s="667">
        <v>0</v>
      </c>
      <c r="L40" s="667">
        <v>55.925400303858773</v>
      </c>
      <c r="M40" s="667">
        <v>2.2930892627251551</v>
      </c>
      <c r="N40" s="667">
        <v>78.46688318615972</v>
      </c>
      <c r="O40" s="667">
        <v>60.960199676837377</v>
      </c>
      <c r="P40" s="667">
        <v>148.52009865212395</v>
      </c>
      <c r="Q40" s="667">
        <v>5.4580412340336313</v>
      </c>
      <c r="R40" s="667">
        <v>474.10316741385316</v>
      </c>
      <c r="S40" s="667">
        <v>62.943626270237907</v>
      </c>
      <c r="T40" s="667">
        <v>10.361311934738108</v>
      </c>
      <c r="U40" s="667">
        <v>993.8822476831956</v>
      </c>
    </row>
    <row r="41" spans="3:21" ht="13">
      <c r="C41" s="662" t="s">
        <v>84</v>
      </c>
      <c r="D41" s="663">
        <v>0</v>
      </c>
      <c r="E41" s="663">
        <v>0</v>
      </c>
      <c r="F41" s="663">
        <v>55.51811908375884</v>
      </c>
      <c r="G41" s="663">
        <v>7.0490044147499464</v>
      </c>
      <c r="H41" s="663">
        <v>5.5825875517318595</v>
      </c>
      <c r="I41" s="663">
        <v>0</v>
      </c>
      <c r="J41" s="663">
        <v>0</v>
      </c>
      <c r="K41" s="663">
        <v>0</v>
      </c>
      <c r="L41" s="663">
        <v>0.48256425190137814</v>
      </c>
      <c r="M41" s="663">
        <v>0</v>
      </c>
      <c r="N41" s="663">
        <v>17.896473357733768</v>
      </c>
      <c r="O41" s="663">
        <v>3.3065346740377066</v>
      </c>
      <c r="P41" s="663">
        <v>0</v>
      </c>
      <c r="Q41" s="663">
        <v>0</v>
      </c>
      <c r="R41" s="663">
        <v>0</v>
      </c>
      <c r="S41" s="663">
        <v>0</v>
      </c>
      <c r="T41" s="663">
        <v>28.74233427987765</v>
      </c>
      <c r="U41" s="671">
        <v>118.57761761379115</v>
      </c>
    </row>
    <row r="42" spans="3:21" ht="13">
      <c r="C42" s="666" t="s">
        <v>85</v>
      </c>
      <c r="D42" s="667">
        <v>2.4027599556453909</v>
      </c>
      <c r="E42" s="667">
        <v>0</v>
      </c>
      <c r="F42" s="667">
        <v>92.9828384019184</v>
      </c>
      <c r="G42" s="667">
        <v>10.137204449555963</v>
      </c>
      <c r="H42" s="675">
        <v>56.800449942531188</v>
      </c>
      <c r="I42" s="667">
        <v>0.67688804921761236</v>
      </c>
      <c r="J42" s="667">
        <v>0</v>
      </c>
      <c r="K42" s="667">
        <v>0</v>
      </c>
      <c r="L42" s="667">
        <v>56.407964555760152</v>
      </c>
      <c r="M42" s="667">
        <v>2.2930892627251551</v>
      </c>
      <c r="N42" s="667">
        <v>96.363356543893488</v>
      </c>
      <c r="O42" s="667">
        <v>64.266734350875069</v>
      </c>
      <c r="P42" s="667">
        <v>148.52009865212395</v>
      </c>
      <c r="Q42" s="667">
        <v>5.4580412340336313</v>
      </c>
      <c r="R42" s="667">
        <v>474.10316741385316</v>
      </c>
      <c r="S42" s="667">
        <v>62.943626270237907</v>
      </c>
      <c r="T42" s="667">
        <v>39.103646214615758</v>
      </c>
      <c r="U42" s="667">
        <v>1112.4598652969867</v>
      </c>
    </row>
    <row r="43" spans="3:21">
      <c r="C43" s="654"/>
      <c r="D43" s="672">
        <v>0</v>
      </c>
      <c r="E43" s="672">
        <v>0</v>
      </c>
      <c r="F43" s="672">
        <v>0</v>
      </c>
      <c r="G43" s="672">
        <v>0</v>
      </c>
      <c r="H43" s="672">
        <v>0</v>
      </c>
      <c r="I43" s="672">
        <v>1.0408340855860843E-16</v>
      </c>
      <c r="J43" s="672">
        <v>0</v>
      </c>
      <c r="K43" s="672">
        <v>0</v>
      </c>
      <c r="L43" s="672">
        <v>0</v>
      </c>
      <c r="M43" s="672">
        <v>0</v>
      </c>
      <c r="N43" s="672">
        <v>1.1546319456101628E-14</v>
      </c>
      <c r="O43" s="672">
        <v>-3.1086244689504383E-14</v>
      </c>
      <c r="P43" s="672">
        <v>0</v>
      </c>
      <c r="Q43" s="672">
        <v>0</v>
      </c>
      <c r="R43" s="672">
        <v>0</v>
      </c>
      <c r="S43" s="672">
        <v>0</v>
      </c>
      <c r="T43" s="672">
        <v>0</v>
      </c>
      <c r="U43" s="672">
        <v>0</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364</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0</v>
      </c>
      <c r="F49" s="663">
        <v>0</v>
      </c>
      <c r="G49" s="663">
        <v>0</v>
      </c>
      <c r="H49" s="663">
        <v>0</v>
      </c>
      <c r="I49" s="663">
        <v>0</v>
      </c>
      <c r="J49" s="664">
        <v>835.87348477446847</v>
      </c>
      <c r="K49" s="664">
        <v>433.2264513609648</v>
      </c>
      <c r="L49" s="664">
        <v>288.88340552324502</v>
      </c>
      <c r="M49" s="664">
        <v>22.07866786794175</v>
      </c>
      <c r="N49" s="663">
        <v>1.6797912871987437</v>
      </c>
      <c r="O49" s="663">
        <v>0.17065445399605614</v>
      </c>
      <c r="P49" s="664">
        <v>155.82057805919561</v>
      </c>
      <c r="Q49" s="664">
        <v>23.487215011212861</v>
      </c>
      <c r="R49" s="663">
        <v>0</v>
      </c>
      <c r="S49" s="663">
        <v>0</v>
      </c>
      <c r="T49" s="663">
        <v>0</v>
      </c>
      <c r="U49" s="665">
        <v>1761.2202483382232</v>
      </c>
    </row>
    <row r="50" spans="3:21" ht="13">
      <c r="C50" s="662" t="s">
        <v>60</v>
      </c>
      <c r="D50" s="663">
        <v>9.1088960408946864</v>
      </c>
      <c r="E50" s="663">
        <v>190.65660017812178</v>
      </c>
      <c r="F50" s="663">
        <v>2.9590354993625017</v>
      </c>
      <c r="G50" s="663">
        <v>0</v>
      </c>
      <c r="H50" s="663">
        <v>52.772371882452688</v>
      </c>
      <c r="I50" s="663">
        <v>0</v>
      </c>
      <c r="J50" s="663">
        <v>0</v>
      </c>
      <c r="K50" s="663">
        <v>0</v>
      </c>
      <c r="L50" s="663">
        <v>4.8125993033158778</v>
      </c>
      <c r="M50" s="663">
        <v>0</v>
      </c>
      <c r="N50" s="663">
        <v>5.0080801377734332</v>
      </c>
      <c r="O50" s="663">
        <v>0</v>
      </c>
      <c r="P50" s="663">
        <v>0</v>
      </c>
      <c r="Q50" s="663">
        <v>0</v>
      </c>
      <c r="R50" s="663">
        <v>0</v>
      </c>
      <c r="S50" s="663">
        <v>0</v>
      </c>
      <c r="T50" s="663">
        <v>0</v>
      </c>
      <c r="U50" s="665">
        <v>265.31758304192095</v>
      </c>
    </row>
    <row r="51" spans="3:21" ht="13">
      <c r="C51" s="662" t="s">
        <v>61</v>
      </c>
      <c r="D51" s="663">
        <v>0</v>
      </c>
      <c r="E51" s="663">
        <v>0</v>
      </c>
      <c r="F51" s="663">
        <v>-67.846394386464354</v>
      </c>
      <c r="G51" s="663">
        <v>-3.5527136788005009E-15</v>
      </c>
      <c r="H51" s="663">
        <v>0</v>
      </c>
      <c r="I51" s="663">
        <v>0</v>
      </c>
      <c r="J51" s="663">
        <v>0</v>
      </c>
      <c r="K51" s="663">
        <v>0</v>
      </c>
      <c r="L51" s="663">
        <v>0</v>
      </c>
      <c r="M51" s="663">
        <v>0</v>
      </c>
      <c r="N51" s="663">
        <v>0</v>
      </c>
      <c r="O51" s="663">
        <v>0</v>
      </c>
      <c r="P51" s="663">
        <v>0</v>
      </c>
      <c r="Q51" s="663">
        <v>0</v>
      </c>
      <c r="R51" s="663">
        <v>-40.00031821738844</v>
      </c>
      <c r="S51" s="663">
        <v>0</v>
      </c>
      <c r="T51" s="663">
        <v>0</v>
      </c>
      <c r="U51" s="665">
        <v>-107.84671260385279</v>
      </c>
    </row>
    <row r="52" spans="3:21" ht="13">
      <c r="C52" s="662" t="s">
        <v>62</v>
      </c>
      <c r="D52" s="663">
        <v>0</v>
      </c>
      <c r="E52" s="663">
        <v>0</v>
      </c>
      <c r="F52" s="663">
        <v>-5.3541729526260253</v>
      </c>
      <c r="G52" s="663">
        <v>-3.2544454489343884</v>
      </c>
      <c r="H52" s="663">
        <v>-2.154938128893316</v>
      </c>
      <c r="I52" s="663">
        <v>-5.5254823817777333E-2</v>
      </c>
      <c r="J52" s="663">
        <v>0</v>
      </c>
      <c r="K52" s="663">
        <v>0</v>
      </c>
      <c r="L52" s="663">
        <v>0</v>
      </c>
      <c r="M52" s="663">
        <v>0</v>
      </c>
      <c r="N52" s="663">
        <v>-0.28299525642907725</v>
      </c>
      <c r="O52" s="663">
        <v>-3.3152894290666399</v>
      </c>
      <c r="P52" s="663">
        <v>0</v>
      </c>
      <c r="Q52" s="663">
        <v>0</v>
      </c>
      <c r="R52" s="663">
        <v>0</v>
      </c>
      <c r="S52" s="663">
        <v>0</v>
      </c>
      <c r="T52" s="663">
        <v>0</v>
      </c>
      <c r="U52" s="665">
        <v>-14.417096039767225</v>
      </c>
    </row>
    <row r="53" spans="3:21" ht="13">
      <c r="C53" s="662" t="s">
        <v>63</v>
      </c>
      <c r="D53" s="663">
        <v>0</v>
      </c>
      <c r="E53" s="663">
        <v>0</v>
      </c>
      <c r="F53" s="663">
        <v>-38.578656039955483</v>
      </c>
      <c r="G53" s="663">
        <v>-13.893394907220655</v>
      </c>
      <c r="H53" s="663">
        <v>0</v>
      </c>
      <c r="I53" s="663">
        <v>0</v>
      </c>
      <c r="J53" s="663">
        <v>0</v>
      </c>
      <c r="K53" s="663">
        <v>0</v>
      </c>
      <c r="L53" s="663">
        <v>0</v>
      </c>
      <c r="M53" s="663">
        <v>0</v>
      </c>
      <c r="N53" s="663">
        <v>-13.893394907220655</v>
      </c>
      <c r="O53" s="663">
        <v>0</v>
      </c>
      <c r="P53" s="663">
        <v>0</v>
      </c>
      <c r="Q53" s="663">
        <v>0</v>
      </c>
      <c r="R53" s="663">
        <v>0</v>
      </c>
      <c r="S53" s="663">
        <v>0</v>
      </c>
      <c r="T53" s="663">
        <v>-1.3953345659196588</v>
      </c>
      <c r="U53" s="665">
        <v>-67.760780420316451</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9.1088960408946864</v>
      </c>
      <c r="E55" s="667">
        <v>190.65660017812178</v>
      </c>
      <c r="F55" s="667">
        <v>-108.82018787968336</v>
      </c>
      <c r="G55" s="667">
        <v>-17.147840356155047</v>
      </c>
      <c r="H55" s="675">
        <v>50.617433753559375</v>
      </c>
      <c r="I55" s="667">
        <v>-5.5254823817777333E-2</v>
      </c>
      <c r="J55" s="667">
        <v>835.87348477446847</v>
      </c>
      <c r="K55" s="667">
        <v>433.2264513609648</v>
      </c>
      <c r="L55" s="667">
        <v>293.69600482656091</v>
      </c>
      <c r="M55" s="667">
        <v>22.07866786794175</v>
      </c>
      <c r="N55" s="667">
        <v>-7.4885187386775538</v>
      </c>
      <c r="O55" s="667">
        <v>-3.1446349750705838</v>
      </c>
      <c r="P55" s="667">
        <v>155.82057805919561</v>
      </c>
      <c r="Q55" s="667">
        <v>23.487215011212861</v>
      </c>
      <c r="R55" s="667">
        <v>-40.00031821738844</v>
      </c>
      <c r="S55" s="667">
        <v>0</v>
      </c>
      <c r="T55" s="667">
        <v>-1.3953345659196588</v>
      </c>
      <c r="U55" s="667">
        <v>1836.5132423162074</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0</v>
      </c>
      <c r="G58" s="663">
        <v>0</v>
      </c>
      <c r="H58" s="663">
        <v>0</v>
      </c>
      <c r="I58" s="663">
        <v>0</v>
      </c>
      <c r="J58" s="663">
        <v>835.87348477446847</v>
      </c>
      <c r="K58" s="663">
        <v>433.2264513609648</v>
      </c>
      <c r="L58" s="663">
        <v>14.188154051569427</v>
      </c>
      <c r="M58" s="663">
        <v>5.3742483693021068</v>
      </c>
      <c r="N58" s="663">
        <v>6.3451610040287907</v>
      </c>
      <c r="O58" s="663">
        <v>0.11419280490868838</v>
      </c>
      <c r="P58" s="663">
        <v>0</v>
      </c>
      <c r="Q58" s="663">
        <v>6.4766550958451852</v>
      </c>
      <c r="R58" s="663">
        <v>-726.93629039774203</v>
      </c>
      <c r="S58" s="663">
        <v>0</v>
      </c>
      <c r="T58" s="663">
        <v>11.298964449788109</v>
      </c>
      <c r="U58" s="671">
        <v>585.96102151313323</v>
      </c>
    </row>
    <row r="59" spans="3:21" ht="13">
      <c r="C59" s="670" t="s">
        <v>351</v>
      </c>
      <c r="D59" s="663">
        <v>0</v>
      </c>
      <c r="E59" s="663">
        <v>0</v>
      </c>
      <c r="F59" s="663">
        <v>0</v>
      </c>
      <c r="G59" s="663">
        <v>0</v>
      </c>
      <c r="H59" s="663">
        <v>3.2711110414405256</v>
      </c>
      <c r="I59" s="663">
        <v>0</v>
      </c>
      <c r="J59" s="663">
        <v>0</v>
      </c>
      <c r="K59" s="663">
        <v>0</v>
      </c>
      <c r="L59" s="663">
        <v>34.963821149394811</v>
      </c>
      <c r="M59" s="663">
        <v>14.476121269049287</v>
      </c>
      <c r="N59" s="663">
        <v>0</v>
      </c>
      <c r="O59" s="663">
        <v>7.6477038720835147</v>
      </c>
      <c r="P59" s="663">
        <v>0</v>
      </c>
      <c r="Q59" s="663">
        <v>11.276034288959668</v>
      </c>
      <c r="R59" s="663">
        <v>0</v>
      </c>
      <c r="S59" s="663">
        <v>-67.494467143680438</v>
      </c>
      <c r="T59" s="663">
        <v>0</v>
      </c>
      <c r="U59" s="671">
        <v>4.1403244772473649</v>
      </c>
    </row>
    <row r="60" spans="3:21" ht="13">
      <c r="C60" s="670" t="s">
        <v>352</v>
      </c>
      <c r="D60" s="663">
        <v>0</v>
      </c>
      <c r="E60" s="663">
        <v>0</v>
      </c>
      <c r="F60" s="663">
        <v>0</v>
      </c>
      <c r="G60" s="663">
        <v>0</v>
      </c>
      <c r="H60" s="663">
        <v>0</v>
      </c>
      <c r="I60" s="663">
        <v>0</v>
      </c>
      <c r="J60" s="663">
        <v>0</v>
      </c>
      <c r="K60" s="663">
        <v>0</v>
      </c>
      <c r="L60" s="663">
        <v>85.030807044207506</v>
      </c>
      <c r="M60" s="663">
        <v>0</v>
      </c>
      <c r="N60" s="663">
        <v>0</v>
      </c>
      <c r="O60" s="663">
        <v>-80.149276434896436</v>
      </c>
      <c r="P60" s="663">
        <v>0</v>
      </c>
      <c r="Q60" s="663">
        <v>0</v>
      </c>
      <c r="R60" s="663">
        <v>0</v>
      </c>
      <c r="S60" s="663">
        <v>0</v>
      </c>
      <c r="T60" s="663">
        <v>0</v>
      </c>
      <c r="U60" s="671">
        <v>4.8815306093110706</v>
      </c>
    </row>
    <row r="61" spans="3:21" ht="13">
      <c r="C61" s="670" t="s">
        <v>353</v>
      </c>
      <c r="D61" s="663">
        <v>0</v>
      </c>
      <c r="E61" s="663">
        <v>0</v>
      </c>
      <c r="F61" s="663">
        <v>0</v>
      </c>
      <c r="G61" s="663">
        <v>0</v>
      </c>
      <c r="H61" s="663">
        <v>0</v>
      </c>
      <c r="I61" s="663">
        <v>-1.1466991714325052</v>
      </c>
      <c r="J61" s="663">
        <v>0</v>
      </c>
      <c r="K61" s="663">
        <v>0</v>
      </c>
      <c r="L61" s="663">
        <v>0</v>
      </c>
      <c r="M61" s="663">
        <v>0</v>
      </c>
      <c r="N61" s="663">
        <v>0</v>
      </c>
      <c r="O61" s="663">
        <v>0</v>
      </c>
      <c r="P61" s="663">
        <v>0</v>
      </c>
      <c r="Q61" s="663">
        <v>0</v>
      </c>
      <c r="R61" s="663">
        <v>0</v>
      </c>
      <c r="S61" s="663">
        <v>0</v>
      </c>
      <c r="T61" s="663">
        <v>1.5966000387788533</v>
      </c>
      <c r="U61" s="671">
        <v>0.44990086734634804</v>
      </c>
    </row>
    <row r="62" spans="3:21" ht="13">
      <c r="C62" s="670" t="s">
        <v>72</v>
      </c>
      <c r="D62" s="663">
        <v>0</v>
      </c>
      <c r="E62" s="663">
        <v>197.54631533572405</v>
      </c>
      <c r="F62" s="663">
        <v>-195.57532355071015</v>
      </c>
      <c r="G62" s="663">
        <v>0</v>
      </c>
      <c r="H62" s="663">
        <v>0</v>
      </c>
      <c r="I62" s="663">
        <v>0</v>
      </c>
      <c r="J62" s="663">
        <v>0</v>
      </c>
      <c r="K62" s="663">
        <v>0</v>
      </c>
      <c r="L62" s="663">
        <v>0</v>
      </c>
      <c r="M62" s="663">
        <v>0</v>
      </c>
      <c r="N62" s="663">
        <v>0</v>
      </c>
      <c r="O62" s="663">
        <v>0</v>
      </c>
      <c r="P62" s="663">
        <v>0</v>
      </c>
      <c r="Q62" s="663">
        <v>0</v>
      </c>
      <c r="R62" s="663">
        <v>0</v>
      </c>
      <c r="S62" s="663">
        <v>0</v>
      </c>
      <c r="T62" s="663">
        <v>0</v>
      </c>
      <c r="U62" s="671">
        <v>1.9709917850139052</v>
      </c>
    </row>
    <row r="63" spans="3:21" ht="13">
      <c r="C63" s="670" t="s">
        <v>354</v>
      </c>
      <c r="D63" s="663">
        <v>0</v>
      </c>
      <c r="E63" s="663">
        <v>0</v>
      </c>
      <c r="F63" s="663">
        <v>0</v>
      </c>
      <c r="G63" s="663">
        <v>0</v>
      </c>
      <c r="H63" s="663">
        <v>0</v>
      </c>
      <c r="I63" s="663">
        <v>0</v>
      </c>
      <c r="J63" s="663">
        <v>0</v>
      </c>
      <c r="K63" s="663">
        <v>0</v>
      </c>
      <c r="L63" s="663">
        <v>104.32434467350188</v>
      </c>
      <c r="M63" s="663">
        <v>0</v>
      </c>
      <c r="N63" s="663">
        <v>-104.32434467350188</v>
      </c>
      <c r="O63" s="663">
        <v>0</v>
      </c>
      <c r="P63" s="663">
        <v>0</v>
      </c>
      <c r="Q63" s="663">
        <v>0</v>
      </c>
      <c r="R63" s="663">
        <v>0</v>
      </c>
      <c r="S63" s="663">
        <v>0</v>
      </c>
      <c r="T63" s="663">
        <v>0</v>
      </c>
      <c r="U63" s="671">
        <v>0</v>
      </c>
    </row>
    <row r="64" spans="3:21" ht="13">
      <c r="C64" s="670" t="s">
        <v>355</v>
      </c>
      <c r="D64" s="663">
        <v>0</v>
      </c>
      <c r="E64" s="663">
        <v>0</v>
      </c>
      <c r="F64" s="663">
        <v>0</v>
      </c>
      <c r="G64" s="663">
        <v>-28.456538558191252</v>
      </c>
      <c r="H64" s="663">
        <v>0</v>
      </c>
      <c r="I64" s="663">
        <v>0</v>
      </c>
      <c r="J64" s="663">
        <v>0</v>
      </c>
      <c r="K64" s="663">
        <v>0</v>
      </c>
      <c r="L64" s="663">
        <v>0</v>
      </c>
      <c r="M64" s="663">
        <v>0</v>
      </c>
      <c r="N64" s="663">
        <v>0</v>
      </c>
      <c r="O64" s="663">
        <v>0</v>
      </c>
      <c r="P64" s="663">
        <v>0</v>
      </c>
      <c r="Q64" s="663">
        <v>0</v>
      </c>
      <c r="R64" s="663">
        <v>0</v>
      </c>
      <c r="S64" s="663">
        <v>0</v>
      </c>
      <c r="T64" s="663">
        <v>39.633062058762192</v>
      </c>
      <c r="U64" s="671">
        <v>11.176523500570941</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137.29765828865015</v>
      </c>
      <c r="S65" s="663">
        <v>0</v>
      </c>
      <c r="T65" s="663">
        <v>-96.451604947776744</v>
      </c>
      <c r="U65" s="671">
        <v>40.846053340873411</v>
      </c>
    </row>
    <row r="66" spans="3:21" ht="13">
      <c r="C66" s="670" t="s">
        <v>356</v>
      </c>
      <c r="D66" s="663">
        <v>5.0092797656249992</v>
      </c>
      <c r="E66" s="663">
        <v>-6.8897151576022866</v>
      </c>
      <c r="F66" s="663">
        <v>8.9891621815142653</v>
      </c>
      <c r="G66" s="663">
        <v>0</v>
      </c>
      <c r="H66" s="663">
        <v>0</v>
      </c>
      <c r="I66" s="663">
        <v>0</v>
      </c>
      <c r="J66" s="663">
        <v>0</v>
      </c>
      <c r="K66" s="663">
        <v>0</v>
      </c>
      <c r="L66" s="663">
        <v>0</v>
      </c>
      <c r="M66" s="663">
        <v>0</v>
      </c>
      <c r="N66" s="663">
        <v>0</v>
      </c>
      <c r="O66" s="663">
        <v>0</v>
      </c>
      <c r="P66" s="663">
        <v>0</v>
      </c>
      <c r="Q66" s="663">
        <v>0</v>
      </c>
      <c r="R66" s="663">
        <v>0</v>
      </c>
      <c r="S66" s="663">
        <v>0</v>
      </c>
      <c r="T66" s="663">
        <v>0</v>
      </c>
      <c r="U66" s="671">
        <v>7.1087267895369788</v>
      </c>
    </row>
    <row r="67" spans="3:21" ht="13">
      <c r="C67" s="670" t="s">
        <v>75</v>
      </c>
      <c r="D67" s="663">
        <v>1.9480532421875001</v>
      </c>
      <c r="E67" s="663">
        <v>0</v>
      </c>
      <c r="F67" s="663">
        <v>17.132121990826434</v>
      </c>
      <c r="G67" s="663">
        <v>0</v>
      </c>
      <c r="H67" s="663">
        <v>1.9377811160090992</v>
      </c>
      <c r="I67" s="663">
        <v>4.9686695282284594E-2</v>
      </c>
      <c r="J67" s="663">
        <v>0</v>
      </c>
      <c r="K67" s="663">
        <v>0</v>
      </c>
      <c r="L67" s="663">
        <v>0</v>
      </c>
      <c r="M67" s="663">
        <v>0</v>
      </c>
      <c r="N67" s="663">
        <v>0</v>
      </c>
      <c r="O67" s="663">
        <v>2.9812017169370755</v>
      </c>
      <c r="P67" s="663">
        <v>0</v>
      </c>
      <c r="Q67" s="663">
        <v>0</v>
      </c>
      <c r="R67" s="663">
        <v>20.439487728936754</v>
      </c>
      <c r="S67" s="663">
        <v>0</v>
      </c>
      <c r="T67" s="663">
        <v>0</v>
      </c>
      <c r="U67" s="671">
        <v>44.488332490179147</v>
      </c>
    </row>
    <row r="68" spans="3:21" ht="13">
      <c r="C68" s="670" t="s">
        <v>76</v>
      </c>
      <c r="D68" s="663">
        <v>0</v>
      </c>
      <c r="E68" s="663">
        <v>0</v>
      </c>
      <c r="F68" s="663">
        <v>0</v>
      </c>
      <c r="G68" s="663">
        <v>0</v>
      </c>
      <c r="H68" s="663">
        <v>0.58071595304039991</v>
      </c>
      <c r="I68" s="663">
        <v>1.4890152642061536E-2</v>
      </c>
      <c r="J68" s="663">
        <v>0</v>
      </c>
      <c r="K68" s="663">
        <v>0</v>
      </c>
      <c r="L68" s="663">
        <v>0</v>
      </c>
      <c r="M68" s="663">
        <v>0</v>
      </c>
      <c r="N68" s="663">
        <v>0</v>
      </c>
      <c r="O68" s="663">
        <v>0.89340915852369218</v>
      </c>
      <c r="P68" s="663">
        <v>0</v>
      </c>
      <c r="Q68" s="663">
        <v>0</v>
      </c>
      <c r="R68" s="663">
        <v>52.564064229351587</v>
      </c>
      <c r="S68" s="663">
        <v>5.2350040213197584</v>
      </c>
      <c r="T68" s="663">
        <v>0</v>
      </c>
      <c r="U68" s="671">
        <v>59.288083514877499</v>
      </c>
    </row>
    <row r="69" spans="3:21" ht="13">
      <c r="C69" s="666" t="s">
        <v>77</v>
      </c>
      <c r="D69" s="667">
        <v>6.9573330078124993</v>
      </c>
      <c r="E69" s="667">
        <v>190.65660017812178</v>
      </c>
      <c r="F69" s="667">
        <v>-169.45403937836946</v>
      </c>
      <c r="G69" s="667">
        <v>-28.456538558191252</v>
      </c>
      <c r="H69" s="675">
        <v>5.7896081104900246</v>
      </c>
      <c r="I69" s="667">
        <v>-1.0821223235081592</v>
      </c>
      <c r="J69" s="667">
        <v>835.87348477446847</v>
      </c>
      <c r="K69" s="667">
        <v>433.2264513609648</v>
      </c>
      <c r="L69" s="667">
        <v>238.50712691867363</v>
      </c>
      <c r="M69" s="667">
        <v>19.850369638351395</v>
      </c>
      <c r="N69" s="667">
        <v>-97.979183669473088</v>
      </c>
      <c r="O69" s="667">
        <v>-68.512768882443467</v>
      </c>
      <c r="P69" s="667">
        <v>0</v>
      </c>
      <c r="Q69" s="667">
        <v>17.752689384804853</v>
      </c>
      <c r="R69" s="667">
        <v>-516.63508015080356</v>
      </c>
      <c r="S69" s="667">
        <v>-62.259463122360671</v>
      </c>
      <c r="T69" s="667">
        <v>-43.92297840044759</v>
      </c>
      <c r="U69" s="667">
        <v>760.31148888809003</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2.1515630330821871</v>
      </c>
      <c r="E71" s="663">
        <v>0</v>
      </c>
      <c r="F71" s="663">
        <v>1.9729303012498745</v>
      </c>
      <c r="G71" s="663">
        <v>0</v>
      </c>
      <c r="H71" s="663">
        <v>17.624600662262115</v>
      </c>
      <c r="I71" s="663">
        <v>0.45191283749390032</v>
      </c>
      <c r="J71" s="663">
        <v>0</v>
      </c>
      <c r="K71" s="663">
        <v>0</v>
      </c>
      <c r="L71" s="663">
        <v>19.327819378703428</v>
      </c>
      <c r="M71" s="663">
        <v>2.2279514023281117</v>
      </c>
      <c r="N71" s="663">
        <v>2.6644658203125</v>
      </c>
      <c r="O71" s="663">
        <v>27.156120456665761</v>
      </c>
      <c r="P71" s="663">
        <v>9.6085478515625002</v>
      </c>
      <c r="Q71" s="663">
        <v>8.4299170840015686E-4</v>
      </c>
      <c r="R71" s="663">
        <v>135.80773886663795</v>
      </c>
      <c r="S71" s="663">
        <v>18.436108583667494</v>
      </c>
      <c r="T71" s="663">
        <v>6.3938178710937503</v>
      </c>
      <c r="U71" s="671">
        <v>243.82442005676796</v>
      </c>
    </row>
    <row r="72" spans="3:21" ht="13">
      <c r="C72" s="670" t="s">
        <v>79</v>
      </c>
      <c r="D72" s="663">
        <v>0</v>
      </c>
      <c r="E72" s="663">
        <v>0</v>
      </c>
      <c r="F72" s="663">
        <v>5.1934680094593588</v>
      </c>
      <c r="G72" s="663">
        <v>1.7577012997845347</v>
      </c>
      <c r="H72" s="663">
        <v>2.152977175631825</v>
      </c>
      <c r="I72" s="663">
        <v>5.5204542964918585E-2</v>
      </c>
      <c r="J72" s="663">
        <v>0</v>
      </c>
      <c r="K72" s="663">
        <v>0</v>
      </c>
      <c r="L72" s="663">
        <v>0</v>
      </c>
      <c r="M72" s="663">
        <v>0</v>
      </c>
      <c r="N72" s="663">
        <v>51.143075106834317</v>
      </c>
      <c r="O72" s="663">
        <v>3.312272577895115</v>
      </c>
      <c r="P72" s="663">
        <v>0</v>
      </c>
      <c r="Q72" s="663">
        <v>0</v>
      </c>
      <c r="R72" s="663">
        <v>104.19646172854269</v>
      </c>
      <c r="S72" s="663">
        <v>0</v>
      </c>
      <c r="T72" s="663">
        <v>4.7641609973157095</v>
      </c>
      <c r="U72" s="671">
        <v>172.57532143842849</v>
      </c>
    </row>
    <row r="73" spans="3:21" ht="13">
      <c r="C73" s="670" t="s">
        <v>80</v>
      </c>
      <c r="D73" s="663">
        <v>0</v>
      </c>
      <c r="E73" s="663">
        <v>0</v>
      </c>
      <c r="F73" s="663">
        <v>0.32079919308121357</v>
      </c>
      <c r="G73" s="663">
        <v>0</v>
      </c>
      <c r="H73" s="663">
        <v>12.69993934515486</v>
      </c>
      <c r="I73" s="663">
        <v>0.32563947038858615</v>
      </c>
      <c r="J73" s="663">
        <v>0</v>
      </c>
      <c r="K73" s="663">
        <v>0</v>
      </c>
      <c r="L73" s="663">
        <v>30.989297403436193</v>
      </c>
      <c r="M73" s="663">
        <v>0</v>
      </c>
      <c r="N73" s="663">
        <v>0</v>
      </c>
      <c r="O73" s="663">
        <v>19.538368223315167</v>
      </c>
      <c r="P73" s="663">
        <v>117.54725011788614</v>
      </c>
      <c r="Q73" s="663">
        <v>2.9888036499995505</v>
      </c>
      <c r="R73" s="663">
        <v>139.69858105781077</v>
      </c>
      <c r="S73" s="663">
        <v>24.846536847991327</v>
      </c>
      <c r="T73" s="663">
        <v>0</v>
      </c>
      <c r="U73" s="671">
        <v>348.95521530906382</v>
      </c>
    </row>
    <row r="74" spans="3:21" ht="13">
      <c r="C74" s="670" t="s">
        <v>81</v>
      </c>
      <c r="D74" s="663">
        <v>0</v>
      </c>
      <c r="E74" s="663">
        <v>0</v>
      </c>
      <c r="F74" s="663">
        <v>0.73542128008657859</v>
      </c>
      <c r="G74" s="663">
        <v>0</v>
      </c>
      <c r="H74" s="663">
        <v>6.9022329775494073</v>
      </c>
      <c r="I74" s="663">
        <v>0.17698033275767711</v>
      </c>
      <c r="J74" s="663">
        <v>0</v>
      </c>
      <c r="K74" s="663">
        <v>0</v>
      </c>
      <c r="L74" s="663">
        <v>0.37326901233115406</v>
      </c>
      <c r="M74" s="663">
        <v>3.4682726224379159E-4</v>
      </c>
      <c r="N74" s="663">
        <v>0</v>
      </c>
      <c r="O74" s="663">
        <v>10.618819965460625</v>
      </c>
      <c r="P74" s="663">
        <v>27.414780089746973</v>
      </c>
      <c r="Q74" s="663">
        <v>1.0008652914522365</v>
      </c>
      <c r="R74" s="663">
        <v>86.91432505661372</v>
      </c>
      <c r="S74" s="663">
        <v>18.976817690701857</v>
      </c>
      <c r="T74" s="663">
        <v>0</v>
      </c>
      <c r="U74" s="671">
        <v>153.11385852396248</v>
      </c>
    </row>
    <row r="75" spans="3:21" ht="13">
      <c r="C75" s="670" t="s">
        <v>82</v>
      </c>
      <c r="D75" s="663">
        <v>0</v>
      </c>
      <c r="E75" s="663">
        <v>0</v>
      </c>
      <c r="F75" s="663">
        <v>1.7660543125979742</v>
      </c>
      <c r="G75" s="663">
        <v>1.6775006918768405</v>
      </c>
      <c r="H75" s="663">
        <v>0.66808232732668293</v>
      </c>
      <c r="I75" s="663">
        <v>1.7130316085299562E-2</v>
      </c>
      <c r="J75" s="663">
        <v>0</v>
      </c>
      <c r="K75" s="663">
        <v>0</v>
      </c>
      <c r="L75" s="663">
        <v>3.9742935582164471</v>
      </c>
      <c r="M75" s="663">
        <v>0</v>
      </c>
      <c r="N75" s="663">
        <v>17.824426087880788</v>
      </c>
      <c r="O75" s="663">
        <v>1.0278189651179737</v>
      </c>
      <c r="P75" s="663">
        <v>1.25</v>
      </c>
      <c r="Q75" s="663">
        <v>1.7440136932478227</v>
      </c>
      <c r="R75" s="663">
        <v>7.8035752238100597</v>
      </c>
      <c r="S75" s="663">
        <v>0</v>
      </c>
      <c r="T75" s="663">
        <v>0.38427420359697795</v>
      </c>
      <c r="U75" s="671">
        <v>38.13716937975687</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2.21408</v>
      </c>
      <c r="S76" s="663">
        <v>0</v>
      </c>
      <c r="T76" s="663">
        <v>0</v>
      </c>
      <c r="U76" s="671">
        <v>2.21408</v>
      </c>
    </row>
    <row r="77" spans="3:21" ht="13">
      <c r="C77" s="666" t="s">
        <v>83</v>
      </c>
      <c r="D77" s="667">
        <v>2.1515630330821871</v>
      </c>
      <c r="E77" s="667">
        <v>0</v>
      </c>
      <c r="F77" s="667">
        <v>9.9886730964750008</v>
      </c>
      <c r="G77" s="667">
        <v>3.4352019916613754</v>
      </c>
      <c r="H77" s="675">
        <v>40.047832487924893</v>
      </c>
      <c r="I77" s="667">
        <v>1.0268674996903817</v>
      </c>
      <c r="J77" s="667">
        <v>0</v>
      </c>
      <c r="K77" s="667">
        <v>0</v>
      </c>
      <c r="L77" s="667">
        <v>54.664679352687223</v>
      </c>
      <c r="M77" s="667">
        <v>2.2282982295903557</v>
      </c>
      <c r="N77" s="667">
        <v>71.631967015027612</v>
      </c>
      <c r="O77" s="667">
        <v>61.65340018845464</v>
      </c>
      <c r="P77" s="667">
        <v>155.82057805919561</v>
      </c>
      <c r="Q77" s="667">
        <v>5.7345256264080096</v>
      </c>
      <c r="R77" s="667">
        <v>476.63476193341518</v>
      </c>
      <c r="S77" s="667">
        <v>62.259463122360671</v>
      </c>
      <c r="T77" s="667">
        <v>11.542253072006439</v>
      </c>
      <c r="U77" s="667">
        <v>958.82006470797955</v>
      </c>
    </row>
    <row r="78" spans="3:21" ht="13">
      <c r="C78" s="662" t="s">
        <v>84</v>
      </c>
      <c r="D78" s="663">
        <v>0</v>
      </c>
      <c r="E78" s="663">
        <v>0</v>
      </c>
      <c r="F78" s="663">
        <v>50.64517840221108</v>
      </c>
      <c r="G78" s="663">
        <v>7.8734962103748298</v>
      </c>
      <c r="H78" s="663">
        <v>4.7799931551444459</v>
      </c>
      <c r="I78" s="663">
        <v>0</v>
      </c>
      <c r="J78" s="663">
        <v>0</v>
      </c>
      <c r="K78" s="663">
        <v>0</v>
      </c>
      <c r="L78" s="663">
        <v>0.52419855520004055</v>
      </c>
      <c r="M78" s="663">
        <v>0</v>
      </c>
      <c r="N78" s="663">
        <v>18.858697915767927</v>
      </c>
      <c r="O78" s="663">
        <v>3.7147337189182332</v>
      </c>
      <c r="P78" s="663">
        <v>0</v>
      </c>
      <c r="Q78" s="663">
        <v>0</v>
      </c>
      <c r="R78" s="663">
        <v>0</v>
      </c>
      <c r="S78" s="663">
        <v>0</v>
      </c>
      <c r="T78" s="663">
        <v>30.985390762521494</v>
      </c>
      <c r="U78" s="671">
        <v>117.38168872013804</v>
      </c>
    </row>
    <row r="79" spans="3:21" ht="13">
      <c r="C79" s="666" t="s">
        <v>85</v>
      </c>
      <c r="D79" s="667">
        <v>2.1515630330821871</v>
      </c>
      <c r="E79" s="667">
        <v>0</v>
      </c>
      <c r="F79" s="667">
        <v>60.633851498686084</v>
      </c>
      <c r="G79" s="667">
        <v>11.308698202036204</v>
      </c>
      <c r="H79" s="675">
        <v>44.827825643069339</v>
      </c>
      <c r="I79" s="667">
        <v>1.0268674996903817</v>
      </c>
      <c r="J79" s="667">
        <v>0</v>
      </c>
      <c r="K79" s="667">
        <v>0</v>
      </c>
      <c r="L79" s="667">
        <v>55.18887790788726</v>
      </c>
      <c r="M79" s="667">
        <v>2.2282982295903557</v>
      </c>
      <c r="N79" s="667">
        <v>90.490664930795546</v>
      </c>
      <c r="O79" s="667">
        <v>65.368133907372865</v>
      </c>
      <c r="P79" s="667">
        <v>155.82057805919561</v>
      </c>
      <c r="Q79" s="667">
        <v>5.7345256264080096</v>
      </c>
      <c r="R79" s="667">
        <v>476.63476193341518</v>
      </c>
      <c r="S79" s="667">
        <v>62.259463122360671</v>
      </c>
      <c r="T79" s="667">
        <v>42.527643834527936</v>
      </c>
      <c r="U79" s="667">
        <v>1076.2017534281176</v>
      </c>
    </row>
    <row r="80" spans="3:21">
      <c r="C80" s="654"/>
      <c r="D80" s="672">
        <v>0</v>
      </c>
      <c r="E80" s="672">
        <v>0</v>
      </c>
      <c r="F80" s="672">
        <v>0</v>
      </c>
      <c r="G80" s="672">
        <v>0</v>
      </c>
      <c r="H80" s="672">
        <v>0</v>
      </c>
      <c r="I80" s="672">
        <v>-1.3183898417423734E-16</v>
      </c>
      <c r="J80" s="672">
        <v>0</v>
      </c>
      <c r="K80" s="672">
        <v>0</v>
      </c>
      <c r="L80" s="672">
        <v>0</v>
      </c>
      <c r="M80" s="672">
        <v>0</v>
      </c>
      <c r="N80" s="672">
        <v>1.2434497875801753E-14</v>
      </c>
      <c r="O80" s="672">
        <v>-1.8207657603852567E-14</v>
      </c>
      <c r="P80" s="672">
        <v>0</v>
      </c>
      <c r="Q80" s="672">
        <v>0</v>
      </c>
      <c r="R80" s="672">
        <v>5.6843418860808015E-14</v>
      </c>
      <c r="S80" s="672">
        <v>0</v>
      </c>
      <c r="T80" s="672">
        <v>4.4408920985006262E-15</v>
      </c>
      <c r="U80" s="672">
        <v>0</v>
      </c>
    </row>
    <row r="81" spans="3:21">
      <c r="C81" s="654"/>
      <c r="D81" s="654"/>
      <c r="E81" s="654"/>
      <c r="F81" s="654"/>
      <c r="G81" s="654"/>
      <c r="H81" s="654"/>
      <c r="I81" s="654"/>
      <c r="J81" s="654"/>
      <c r="K81" s="654"/>
      <c r="L81" s="654"/>
      <c r="M81" s="654"/>
      <c r="N81" s="654"/>
      <c r="O81" s="654"/>
      <c r="P81" s="654"/>
      <c r="Q81" s="654"/>
      <c r="R81" s="654"/>
      <c r="S81" s="654"/>
      <c r="T81" s="654"/>
      <c r="U81" s="654"/>
    </row>
    <row r="82" spans="3:21" ht="14.5">
      <c r="C82" s="658" t="s">
        <v>89</v>
      </c>
      <c r="D82" s="659"/>
      <c r="E82" s="659"/>
      <c r="F82" s="659"/>
      <c r="G82" s="659"/>
      <c r="H82" s="659"/>
      <c r="I82" s="659"/>
      <c r="J82" s="659"/>
      <c r="K82" s="659"/>
      <c r="L82" s="659"/>
      <c r="M82" s="659"/>
      <c r="N82" s="659"/>
      <c r="O82" s="659"/>
      <c r="P82" s="659"/>
      <c r="Q82" s="659"/>
      <c r="R82" s="659"/>
      <c r="S82" s="659"/>
      <c r="T82" s="659"/>
      <c r="U82" s="659"/>
    </row>
    <row r="83" spans="3:21">
      <c r="C83" s="654"/>
      <c r="D83" s="654"/>
      <c r="E83" s="654"/>
      <c r="F83" s="654"/>
      <c r="G83" s="654"/>
      <c r="H83" s="654"/>
      <c r="I83" s="654"/>
      <c r="J83" s="654"/>
      <c r="K83" s="654"/>
      <c r="L83" s="654"/>
      <c r="M83" s="654"/>
      <c r="N83" s="654"/>
      <c r="O83" s="654"/>
      <c r="P83" s="654"/>
      <c r="Q83" s="654"/>
      <c r="R83" s="654"/>
      <c r="S83" s="654"/>
      <c r="T83" s="654"/>
      <c r="U83" s="654"/>
    </row>
    <row r="84" spans="3:21" ht="13">
      <c r="C84" s="706" t="s">
        <v>128</v>
      </c>
      <c r="D84" s="704" t="s">
        <v>42</v>
      </c>
      <c r="E84" s="704" t="s">
        <v>52</v>
      </c>
      <c r="F84" s="704" t="s">
        <v>53</v>
      </c>
      <c r="G84" s="704" t="s">
        <v>487</v>
      </c>
      <c r="H84" s="704" t="s">
        <v>32</v>
      </c>
      <c r="I84" s="704" t="s">
        <v>488</v>
      </c>
      <c r="J84" s="704" t="s">
        <v>20</v>
      </c>
      <c r="K84" s="704" t="s">
        <v>55</v>
      </c>
      <c r="L84" s="708" t="s">
        <v>56</v>
      </c>
      <c r="M84" s="709"/>
      <c r="N84" s="709"/>
      <c r="O84" s="709"/>
      <c r="P84" s="709"/>
      <c r="Q84" s="710"/>
      <c r="R84" s="704" t="s">
        <v>57</v>
      </c>
      <c r="S84" s="704" t="s">
        <v>58</v>
      </c>
      <c r="T84" s="704" t="s">
        <v>31</v>
      </c>
      <c r="U84" s="704" t="s">
        <v>10</v>
      </c>
    </row>
    <row r="85" spans="3:21" ht="36">
      <c r="C85" s="707"/>
      <c r="D85" s="705"/>
      <c r="E85" s="705"/>
      <c r="F85" s="705"/>
      <c r="G85" s="705"/>
      <c r="H85" s="705"/>
      <c r="I85" s="705"/>
      <c r="J85" s="705"/>
      <c r="K85" s="705"/>
      <c r="L85" s="660" t="s">
        <v>338</v>
      </c>
      <c r="M85" s="660" t="s">
        <v>40</v>
      </c>
      <c r="N85" s="660" t="s">
        <v>346</v>
      </c>
      <c r="O85" s="660" t="s">
        <v>347</v>
      </c>
      <c r="P85" s="661" t="s">
        <v>348</v>
      </c>
      <c r="Q85" s="660" t="s">
        <v>349</v>
      </c>
      <c r="R85" s="705"/>
      <c r="S85" s="705"/>
      <c r="T85" s="705"/>
      <c r="U85" s="705"/>
    </row>
    <row r="86" spans="3:21" ht="13">
      <c r="C86" s="662" t="s">
        <v>59</v>
      </c>
      <c r="D86" s="663">
        <v>0</v>
      </c>
      <c r="E86" s="663">
        <v>0</v>
      </c>
      <c r="F86" s="663">
        <v>0</v>
      </c>
      <c r="G86" s="663">
        <v>0</v>
      </c>
      <c r="H86" s="663">
        <v>0</v>
      </c>
      <c r="I86" s="663">
        <v>0</v>
      </c>
      <c r="J86" s="664">
        <v>712.60987447127138</v>
      </c>
      <c r="K86" s="664">
        <v>556.92135057124881</v>
      </c>
      <c r="L86" s="664">
        <v>261.57522104592402</v>
      </c>
      <c r="M86" s="664">
        <v>19.228684940511499</v>
      </c>
      <c r="N86" s="663">
        <v>1.5563580670349855</v>
      </c>
      <c r="O86" s="663">
        <v>0.17110271620039663</v>
      </c>
      <c r="P86" s="664">
        <v>167.23788927594987</v>
      </c>
      <c r="Q86" s="664">
        <v>24.373068583718577</v>
      </c>
      <c r="R86" s="663">
        <v>0</v>
      </c>
      <c r="S86" s="663">
        <v>0</v>
      </c>
      <c r="T86" s="663">
        <v>0</v>
      </c>
      <c r="U86" s="665">
        <v>1743.6735496718593</v>
      </c>
    </row>
    <row r="87" spans="3:21" ht="13">
      <c r="C87" s="662" t="s">
        <v>60</v>
      </c>
      <c r="D87" s="663">
        <v>5.9311888025037742</v>
      </c>
      <c r="E87" s="663">
        <v>113.95685880900638</v>
      </c>
      <c r="F87" s="663">
        <v>1.9517818504706483</v>
      </c>
      <c r="G87" s="663">
        <v>0</v>
      </c>
      <c r="H87" s="663">
        <v>2.6585092475046008</v>
      </c>
      <c r="I87" s="663">
        <v>0</v>
      </c>
      <c r="J87" s="663">
        <v>0</v>
      </c>
      <c r="K87" s="663">
        <v>0</v>
      </c>
      <c r="L87" s="663">
        <v>5.2309321400654634</v>
      </c>
      <c r="M87" s="663">
        <v>0</v>
      </c>
      <c r="N87" s="663">
        <v>5.4084519189769722</v>
      </c>
      <c r="O87" s="663">
        <v>0</v>
      </c>
      <c r="P87" s="663">
        <v>0</v>
      </c>
      <c r="Q87" s="663">
        <v>0</v>
      </c>
      <c r="R87" s="663">
        <v>0</v>
      </c>
      <c r="S87" s="663">
        <v>0</v>
      </c>
      <c r="T87" s="663">
        <v>0</v>
      </c>
      <c r="U87" s="665">
        <v>135.13772276852782</v>
      </c>
    </row>
    <row r="88" spans="3:21" ht="13">
      <c r="C88" s="662" t="s">
        <v>61</v>
      </c>
      <c r="D88" s="663">
        <v>0</v>
      </c>
      <c r="E88" s="663">
        <v>0</v>
      </c>
      <c r="F88" s="663">
        <v>-33.824093823668861</v>
      </c>
      <c r="G88" s="663">
        <v>-8.545793370460693</v>
      </c>
      <c r="H88" s="663">
        <v>0</v>
      </c>
      <c r="I88" s="663">
        <v>0</v>
      </c>
      <c r="J88" s="663">
        <v>0</v>
      </c>
      <c r="K88" s="663">
        <v>0</v>
      </c>
      <c r="L88" s="663">
        <v>0</v>
      </c>
      <c r="M88" s="663">
        <v>0</v>
      </c>
      <c r="N88" s="663">
        <v>0</v>
      </c>
      <c r="O88" s="663">
        <v>0</v>
      </c>
      <c r="P88" s="663">
        <v>0</v>
      </c>
      <c r="Q88" s="663">
        <v>0</v>
      </c>
      <c r="R88" s="663">
        <v>-40.000075434727478</v>
      </c>
      <c r="S88" s="663">
        <v>0</v>
      </c>
      <c r="T88" s="663">
        <v>0</v>
      </c>
      <c r="U88" s="665">
        <v>-82.369962628857039</v>
      </c>
    </row>
    <row r="89" spans="3:21" ht="13">
      <c r="C89" s="662" t="s">
        <v>62</v>
      </c>
      <c r="D89" s="663">
        <v>0</v>
      </c>
      <c r="E89" s="663">
        <v>0</v>
      </c>
      <c r="F89" s="663">
        <v>-1.6540275032482068</v>
      </c>
      <c r="G89" s="663">
        <v>-4.2955328800984329</v>
      </c>
      <c r="H89" s="663">
        <v>0</v>
      </c>
      <c r="I89" s="663">
        <v>-0.31877375583888373</v>
      </c>
      <c r="J89" s="663">
        <v>0</v>
      </c>
      <c r="K89" s="663">
        <v>0</v>
      </c>
      <c r="L89" s="663">
        <v>0</v>
      </c>
      <c r="M89" s="663">
        <v>0</v>
      </c>
      <c r="N89" s="663">
        <v>-0.24545902171991044</v>
      </c>
      <c r="O89" s="663">
        <v>-6.0567013609387903</v>
      </c>
      <c r="P89" s="663">
        <v>0</v>
      </c>
      <c r="Q89" s="663">
        <v>0</v>
      </c>
      <c r="R89" s="663">
        <v>0</v>
      </c>
      <c r="S89" s="663">
        <v>0</v>
      </c>
      <c r="T89" s="663">
        <v>0</v>
      </c>
      <c r="U89" s="665">
        <v>-12.570494521844225</v>
      </c>
    </row>
    <row r="90" spans="3:21" ht="13">
      <c r="C90" s="662" t="s">
        <v>63</v>
      </c>
      <c r="D90" s="663">
        <v>0</v>
      </c>
      <c r="E90" s="663">
        <v>0</v>
      </c>
      <c r="F90" s="663">
        <v>-18.714774559646315</v>
      </c>
      <c r="G90" s="663">
        <v>-28.257765893495769</v>
      </c>
      <c r="H90" s="663">
        <v>0</v>
      </c>
      <c r="I90" s="663">
        <v>0</v>
      </c>
      <c r="J90" s="663">
        <v>0</v>
      </c>
      <c r="K90" s="663">
        <v>0</v>
      </c>
      <c r="L90" s="663">
        <v>0</v>
      </c>
      <c r="M90" s="663">
        <v>0</v>
      </c>
      <c r="N90" s="663">
        <v>-13.972472121868162</v>
      </c>
      <c r="O90" s="663">
        <v>0</v>
      </c>
      <c r="P90" s="663">
        <v>0</v>
      </c>
      <c r="Q90" s="663">
        <v>0</v>
      </c>
      <c r="R90" s="663">
        <v>0</v>
      </c>
      <c r="S90" s="663">
        <v>0</v>
      </c>
      <c r="T90" s="663">
        <v>-2.6159745910871801</v>
      </c>
      <c r="U90" s="665">
        <v>-63.560987166097433</v>
      </c>
    </row>
    <row r="91" spans="3:21" ht="13">
      <c r="C91" s="662" t="s">
        <v>64</v>
      </c>
      <c r="D91" s="663">
        <v>0</v>
      </c>
      <c r="E91" s="663">
        <v>0</v>
      </c>
      <c r="F91" s="663">
        <v>0</v>
      </c>
      <c r="G91" s="663">
        <v>0</v>
      </c>
      <c r="H91" s="663">
        <v>0</v>
      </c>
      <c r="I91" s="663">
        <v>0</v>
      </c>
      <c r="J91" s="663">
        <v>0</v>
      </c>
      <c r="K91" s="663">
        <v>0</v>
      </c>
      <c r="L91" s="663">
        <v>0</v>
      </c>
      <c r="M91" s="663">
        <v>0</v>
      </c>
      <c r="N91" s="663">
        <v>0</v>
      </c>
      <c r="O91" s="663">
        <v>0</v>
      </c>
      <c r="P91" s="663">
        <v>0</v>
      </c>
      <c r="Q91" s="663">
        <v>0</v>
      </c>
      <c r="R91" s="663">
        <v>0</v>
      </c>
      <c r="S91" s="663">
        <v>0</v>
      </c>
      <c r="T91" s="663">
        <v>0</v>
      </c>
      <c r="U91" s="665">
        <v>0</v>
      </c>
    </row>
    <row r="92" spans="3:21" ht="13">
      <c r="C92" s="666" t="s">
        <v>65</v>
      </c>
      <c r="D92" s="667">
        <v>5.9311888025037742</v>
      </c>
      <c r="E92" s="667">
        <v>113.95685880900638</v>
      </c>
      <c r="F92" s="667">
        <v>-52.241114036092739</v>
      </c>
      <c r="G92" s="667">
        <v>-41.099092144054893</v>
      </c>
      <c r="H92" s="675">
        <v>2.6585092475046008</v>
      </c>
      <c r="I92" s="667">
        <v>-0.31877375583888373</v>
      </c>
      <c r="J92" s="667">
        <v>712.60987447127138</v>
      </c>
      <c r="K92" s="667">
        <v>556.92135057124881</v>
      </c>
      <c r="L92" s="667">
        <v>266.80615318598944</v>
      </c>
      <c r="M92" s="667">
        <v>19.228684940511499</v>
      </c>
      <c r="N92" s="667">
        <v>-7.2531211575761132</v>
      </c>
      <c r="O92" s="667">
        <v>-5.8855986447383941</v>
      </c>
      <c r="P92" s="667">
        <v>167.23788927594987</v>
      </c>
      <c r="Q92" s="667">
        <v>24.373068583718577</v>
      </c>
      <c r="R92" s="667">
        <v>-40.000075434727478</v>
      </c>
      <c r="S92" s="667">
        <v>0</v>
      </c>
      <c r="T92" s="667">
        <v>-2.6159745910871801</v>
      </c>
      <c r="U92" s="667">
        <v>1720.3098281235887</v>
      </c>
    </row>
    <row r="93" spans="3:21" ht="13">
      <c r="C93" s="668"/>
      <c r="D93" s="669">
        <v>0</v>
      </c>
      <c r="E93" s="669">
        <v>0</v>
      </c>
      <c r="F93" s="669">
        <v>0</v>
      </c>
      <c r="G93" s="669">
        <v>0</v>
      </c>
      <c r="H93" s="676">
        <v>0</v>
      </c>
      <c r="I93" s="669">
        <v>0</v>
      </c>
      <c r="J93" s="669">
        <v>0</v>
      </c>
      <c r="K93" s="669">
        <v>0</v>
      </c>
      <c r="L93" s="669">
        <v>0</v>
      </c>
      <c r="M93" s="669">
        <v>0</v>
      </c>
      <c r="N93" s="669">
        <v>0</v>
      </c>
      <c r="O93" s="669">
        <v>0</v>
      </c>
      <c r="P93" s="669">
        <v>0</v>
      </c>
      <c r="Q93" s="669">
        <v>0</v>
      </c>
      <c r="R93" s="669">
        <v>0</v>
      </c>
      <c r="S93" s="669">
        <v>0</v>
      </c>
      <c r="T93" s="669">
        <v>0</v>
      </c>
      <c r="U93" s="669">
        <v>0</v>
      </c>
    </row>
    <row r="94" spans="3:21" ht="13">
      <c r="C94" s="670" t="s">
        <v>67</v>
      </c>
      <c r="D94" s="663">
        <v>0</v>
      </c>
      <c r="E94" s="663">
        <v>0</v>
      </c>
      <c r="F94" s="663">
        <v>0</v>
      </c>
      <c r="G94" s="663">
        <v>0</v>
      </c>
      <c r="H94" s="663">
        <v>0</v>
      </c>
      <c r="I94" s="663">
        <v>0</v>
      </c>
      <c r="J94" s="663">
        <v>0</v>
      </c>
      <c r="K94" s="663">
        <v>0</v>
      </c>
      <c r="L94" s="663">
        <v>0</v>
      </c>
      <c r="M94" s="663">
        <v>0</v>
      </c>
      <c r="N94" s="663">
        <v>0</v>
      </c>
      <c r="O94" s="663">
        <v>0</v>
      </c>
      <c r="P94" s="663">
        <v>0</v>
      </c>
      <c r="Q94" s="663">
        <v>0</v>
      </c>
      <c r="R94" s="663">
        <v>0</v>
      </c>
      <c r="S94" s="663">
        <v>0</v>
      </c>
      <c r="T94" s="663">
        <v>0</v>
      </c>
      <c r="U94" s="671">
        <v>0</v>
      </c>
    </row>
    <row r="95" spans="3:21" ht="13">
      <c r="C95" s="670" t="s">
        <v>350</v>
      </c>
      <c r="D95" s="663">
        <v>0</v>
      </c>
      <c r="E95" s="663">
        <v>0</v>
      </c>
      <c r="F95" s="663">
        <v>0</v>
      </c>
      <c r="G95" s="663">
        <v>0</v>
      </c>
      <c r="H95" s="663">
        <v>0</v>
      </c>
      <c r="I95" s="663">
        <v>0</v>
      </c>
      <c r="J95" s="663">
        <v>712.60987447127138</v>
      </c>
      <c r="K95" s="663">
        <v>556.92135057124881</v>
      </c>
      <c r="L95" s="663">
        <v>14.491283228737107</v>
      </c>
      <c r="M95" s="663">
        <v>2.8053264742296591</v>
      </c>
      <c r="N95" s="663">
        <v>6.5561937148871507</v>
      </c>
      <c r="O95" s="663">
        <v>0.11326810820885491</v>
      </c>
      <c r="P95" s="663">
        <v>0</v>
      </c>
      <c r="Q95" s="663">
        <v>6.7631767445353068</v>
      </c>
      <c r="R95" s="663">
        <v>-809.85847053245573</v>
      </c>
      <c r="S95" s="663">
        <v>0</v>
      </c>
      <c r="T95" s="663">
        <v>25.915656492161155</v>
      </c>
      <c r="U95" s="671">
        <v>516.31765927282356</v>
      </c>
    </row>
    <row r="96" spans="3:21" ht="13">
      <c r="C96" s="670" t="s">
        <v>351</v>
      </c>
      <c r="D96" s="663">
        <v>0</v>
      </c>
      <c r="E96" s="663">
        <v>0</v>
      </c>
      <c r="F96" s="663">
        <v>0</v>
      </c>
      <c r="G96" s="663">
        <v>0</v>
      </c>
      <c r="H96" s="663">
        <v>0</v>
      </c>
      <c r="I96" s="663">
        <v>0</v>
      </c>
      <c r="J96" s="663">
        <v>0</v>
      </c>
      <c r="K96" s="663">
        <v>0</v>
      </c>
      <c r="L96" s="663">
        <v>33.721862056250039</v>
      </c>
      <c r="M96" s="663">
        <v>14.376617363231052</v>
      </c>
      <c r="N96" s="663">
        <v>0</v>
      </c>
      <c r="O96" s="663">
        <v>8.1785673020738106</v>
      </c>
      <c r="P96" s="663">
        <v>0</v>
      </c>
      <c r="Q96" s="663">
        <v>11.316516045102318</v>
      </c>
      <c r="R96" s="663">
        <v>0</v>
      </c>
      <c r="S96" s="663">
        <v>-64.575476384232388</v>
      </c>
      <c r="T96" s="663">
        <v>0</v>
      </c>
      <c r="U96" s="671">
        <v>3.0180863824248352</v>
      </c>
    </row>
    <row r="97" spans="3:21" ht="13">
      <c r="C97" s="670" t="s">
        <v>352</v>
      </c>
      <c r="D97" s="663">
        <v>0</v>
      </c>
      <c r="E97" s="663">
        <v>0</v>
      </c>
      <c r="F97" s="663">
        <v>0</v>
      </c>
      <c r="G97" s="663">
        <v>0</v>
      </c>
      <c r="H97" s="663">
        <v>0</v>
      </c>
      <c r="I97" s="663">
        <v>0</v>
      </c>
      <c r="J97" s="663">
        <v>0</v>
      </c>
      <c r="K97" s="663">
        <v>0</v>
      </c>
      <c r="L97" s="663">
        <v>104.38683240846164</v>
      </c>
      <c r="M97" s="663">
        <v>0</v>
      </c>
      <c r="N97" s="663">
        <v>0</v>
      </c>
      <c r="O97" s="663">
        <v>-100.27188716566127</v>
      </c>
      <c r="P97" s="663">
        <v>0</v>
      </c>
      <c r="Q97" s="663">
        <v>0</v>
      </c>
      <c r="R97" s="663">
        <v>0</v>
      </c>
      <c r="S97" s="663">
        <v>0</v>
      </c>
      <c r="T97" s="663">
        <v>0</v>
      </c>
      <c r="U97" s="671">
        <v>4.1149452428003741</v>
      </c>
    </row>
    <row r="98" spans="3:21" ht="13">
      <c r="C98" s="670" t="s">
        <v>353</v>
      </c>
      <c r="D98" s="663">
        <v>0</v>
      </c>
      <c r="E98" s="663">
        <v>0</v>
      </c>
      <c r="F98" s="663">
        <v>0</v>
      </c>
      <c r="G98" s="663">
        <v>0</v>
      </c>
      <c r="H98" s="663">
        <v>0</v>
      </c>
      <c r="I98" s="663">
        <v>-4.5962253881571415</v>
      </c>
      <c r="J98" s="663">
        <v>0</v>
      </c>
      <c r="K98" s="663">
        <v>0</v>
      </c>
      <c r="L98" s="663">
        <v>0</v>
      </c>
      <c r="M98" s="663">
        <v>0</v>
      </c>
      <c r="N98" s="663">
        <v>0</v>
      </c>
      <c r="O98" s="663">
        <v>0</v>
      </c>
      <c r="P98" s="663">
        <v>0</v>
      </c>
      <c r="Q98" s="663">
        <v>0</v>
      </c>
      <c r="R98" s="663">
        <v>0</v>
      </c>
      <c r="S98" s="663">
        <v>0</v>
      </c>
      <c r="T98" s="663">
        <v>6.4074201765093832</v>
      </c>
      <c r="U98" s="671">
        <v>1.8111947883522417</v>
      </c>
    </row>
    <row r="99" spans="3:21" ht="13">
      <c r="C99" s="670" t="s">
        <v>72</v>
      </c>
      <c r="D99" s="663">
        <v>0</v>
      </c>
      <c r="E99" s="663">
        <v>118.07035586741333</v>
      </c>
      <c r="F99" s="663">
        <v>-116.89188714951831</v>
      </c>
      <c r="G99" s="663">
        <v>0</v>
      </c>
      <c r="H99" s="663">
        <v>0</v>
      </c>
      <c r="I99" s="663">
        <v>0</v>
      </c>
      <c r="J99" s="663">
        <v>0</v>
      </c>
      <c r="K99" s="663">
        <v>0</v>
      </c>
      <c r="L99" s="663">
        <v>0</v>
      </c>
      <c r="M99" s="663">
        <v>0</v>
      </c>
      <c r="N99" s="663">
        <v>0</v>
      </c>
      <c r="O99" s="663">
        <v>0</v>
      </c>
      <c r="P99" s="663">
        <v>0</v>
      </c>
      <c r="Q99" s="663">
        <v>0</v>
      </c>
      <c r="R99" s="663">
        <v>0</v>
      </c>
      <c r="S99" s="663">
        <v>0</v>
      </c>
      <c r="T99" s="663">
        <v>0</v>
      </c>
      <c r="U99" s="671">
        <v>1.1784687178950146</v>
      </c>
    </row>
    <row r="100" spans="3:21" ht="13">
      <c r="C100" s="670" t="s">
        <v>354</v>
      </c>
      <c r="D100" s="663">
        <v>0</v>
      </c>
      <c r="E100" s="663">
        <v>0</v>
      </c>
      <c r="F100" s="663">
        <v>0</v>
      </c>
      <c r="G100" s="663">
        <v>0</v>
      </c>
      <c r="H100" s="663">
        <v>0</v>
      </c>
      <c r="I100" s="663">
        <v>0</v>
      </c>
      <c r="J100" s="663">
        <v>0</v>
      </c>
      <c r="K100" s="663">
        <v>0</v>
      </c>
      <c r="L100" s="663">
        <v>61.244429678974598</v>
      </c>
      <c r="M100" s="663">
        <v>0</v>
      </c>
      <c r="N100" s="663">
        <v>-61.244429678974598</v>
      </c>
      <c r="O100" s="663">
        <v>0</v>
      </c>
      <c r="P100" s="663">
        <v>0</v>
      </c>
      <c r="Q100" s="663">
        <v>0</v>
      </c>
      <c r="R100" s="663">
        <v>0</v>
      </c>
      <c r="S100" s="663">
        <v>0</v>
      </c>
      <c r="T100" s="663">
        <v>0</v>
      </c>
      <c r="U100" s="671">
        <v>0</v>
      </c>
    </row>
    <row r="101" spans="3:21" ht="13">
      <c r="C101" s="670" t="s">
        <v>355</v>
      </c>
      <c r="D101" s="663">
        <v>0</v>
      </c>
      <c r="E101" s="663">
        <v>0</v>
      </c>
      <c r="F101" s="663">
        <v>0</v>
      </c>
      <c r="G101" s="663">
        <v>-56.725829149009897</v>
      </c>
      <c r="H101" s="663">
        <v>0</v>
      </c>
      <c r="I101" s="663">
        <v>0</v>
      </c>
      <c r="J101" s="663">
        <v>0</v>
      </c>
      <c r="K101" s="663">
        <v>0</v>
      </c>
      <c r="L101" s="663">
        <v>0</v>
      </c>
      <c r="M101" s="663">
        <v>0</v>
      </c>
      <c r="N101" s="663">
        <v>0</v>
      </c>
      <c r="O101" s="663">
        <v>0</v>
      </c>
      <c r="P101" s="663">
        <v>0</v>
      </c>
      <c r="Q101" s="663">
        <v>0</v>
      </c>
      <c r="R101" s="663">
        <v>0</v>
      </c>
      <c r="S101" s="663">
        <v>0</v>
      </c>
      <c r="T101" s="663">
        <v>79.005333076615457</v>
      </c>
      <c r="U101" s="671">
        <v>22.27950392760556</v>
      </c>
    </row>
    <row r="102" spans="3:21" ht="13">
      <c r="C102" s="670" t="s">
        <v>73</v>
      </c>
      <c r="D102" s="663">
        <v>0</v>
      </c>
      <c r="E102" s="663">
        <v>0</v>
      </c>
      <c r="F102" s="663">
        <v>0</v>
      </c>
      <c r="G102" s="663">
        <v>0</v>
      </c>
      <c r="H102" s="663">
        <v>0</v>
      </c>
      <c r="I102" s="663">
        <v>0</v>
      </c>
      <c r="J102" s="663">
        <v>0</v>
      </c>
      <c r="K102" s="663">
        <v>0</v>
      </c>
      <c r="L102" s="663">
        <v>0</v>
      </c>
      <c r="M102" s="663">
        <v>0</v>
      </c>
      <c r="N102" s="663">
        <v>0</v>
      </c>
      <c r="O102" s="663">
        <v>0</v>
      </c>
      <c r="P102" s="663">
        <v>0</v>
      </c>
      <c r="Q102" s="663">
        <v>0</v>
      </c>
      <c r="R102" s="663">
        <v>227.10664749932533</v>
      </c>
      <c r="S102" s="663">
        <v>0</v>
      </c>
      <c r="T102" s="663">
        <v>-163.51678619951423</v>
      </c>
      <c r="U102" s="671">
        <v>63.589861299811105</v>
      </c>
    </row>
    <row r="103" spans="3:21" ht="13">
      <c r="C103" s="670" t="s">
        <v>356</v>
      </c>
      <c r="D103" s="663">
        <v>3.3456624609374996</v>
      </c>
      <c r="E103" s="663">
        <v>-4.1134970584069457</v>
      </c>
      <c r="F103" s="663">
        <v>5.3691262200413341</v>
      </c>
      <c r="G103" s="663">
        <v>0</v>
      </c>
      <c r="H103" s="663">
        <v>0</v>
      </c>
      <c r="I103" s="663">
        <v>0</v>
      </c>
      <c r="J103" s="663">
        <v>0</v>
      </c>
      <c r="K103" s="663">
        <v>0</v>
      </c>
      <c r="L103" s="663">
        <v>0</v>
      </c>
      <c r="M103" s="663">
        <v>0</v>
      </c>
      <c r="N103" s="663">
        <v>0</v>
      </c>
      <c r="O103" s="663">
        <v>0</v>
      </c>
      <c r="P103" s="663">
        <v>0</v>
      </c>
      <c r="Q103" s="663">
        <v>0</v>
      </c>
      <c r="R103" s="663">
        <v>0</v>
      </c>
      <c r="S103" s="663">
        <v>0</v>
      </c>
      <c r="T103" s="663">
        <v>0</v>
      </c>
      <c r="U103" s="671">
        <v>4.6012916225718881</v>
      </c>
    </row>
    <row r="104" spans="3:21" ht="13">
      <c r="C104" s="670" t="s">
        <v>75</v>
      </c>
      <c r="D104" s="663">
        <v>1.3010909570312501</v>
      </c>
      <c r="E104" s="663">
        <v>0</v>
      </c>
      <c r="F104" s="663">
        <v>16.404377382526505</v>
      </c>
      <c r="G104" s="663">
        <v>0</v>
      </c>
      <c r="H104" s="663">
        <v>0</v>
      </c>
      <c r="I104" s="663">
        <v>0.23833359000000001</v>
      </c>
      <c r="J104" s="663">
        <v>0</v>
      </c>
      <c r="K104" s="663">
        <v>0</v>
      </c>
      <c r="L104" s="663">
        <v>0</v>
      </c>
      <c r="M104" s="663">
        <v>0</v>
      </c>
      <c r="N104" s="663">
        <v>0</v>
      </c>
      <c r="O104" s="663">
        <v>4.5283382100000003</v>
      </c>
      <c r="P104" s="663">
        <v>0</v>
      </c>
      <c r="Q104" s="663">
        <v>0</v>
      </c>
      <c r="R104" s="663">
        <v>17.221013858771279</v>
      </c>
      <c r="S104" s="663">
        <v>0</v>
      </c>
      <c r="T104" s="663">
        <v>0</v>
      </c>
      <c r="U104" s="671">
        <v>39.693153998329031</v>
      </c>
    </row>
    <row r="105" spans="3:21" ht="13">
      <c r="C105" s="670" t="s">
        <v>76</v>
      </c>
      <c r="D105" s="663">
        <v>0</v>
      </c>
      <c r="E105" s="663">
        <v>0</v>
      </c>
      <c r="F105" s="663">
        <v>0</v>
      </c>
      <c r="G105" s="663">
        <v>0</v>
      </c>
      <c r="H105" s="663">
        <v>0</v>
      </c>
      <c r="I105" s="663">
        <v>5.9340338699632358E-2</v>
      </c>
      <c r="J105" s="663">
        <v>0</v>
      </c>
      <c r="K105" s="663">
        <v>0</v>
      </c>
      <c r="L105" s="663">
        <v>0</v>
      </c>
      <c r="M105" s="663">
        <v>0</v>
      </c>
      <c r="N105" s="663">
        <v>0</v>
      </c>
      <c r="O105" s="663">
        <v>1.1274664352930146</v>
      </c>
      <c r="P105" s="663">
        <v>0</v>
      </c>
      <c r="Q105" s="663">
        <v>0</v>
      </c>
      <c r="R105" s="663">
        <v>58.897580266978245</v>
      </c>
      <c r="S105" s="663">
        <v>5.0089527300753778</v>
      </c>
      <c r="T105" s="663">
        <v>0</v>
      </c>
      <c r="U105" s="671">
        <v>65.093339771046274</v>
      </c>
    </row>
    <row r="106" spans="3:21" ht="13">
      <c r="C106" s="666" t="s">
        <v>77</v>
      </c>
      <c r="D106" s="667">
        <v>4.6467534179687497</v>
      </c>
      <c r="E106" s="667">
        <v>113.95685880900638</v>
      </c>
      <c r="F106" s="667">
        <v>-95.118383546950469</v>
      </c>
      <c r="G106" s="667">
        <v>-56.725829149009897</v>
      </c>
      <c r="H106" s="675">
        <v>0</v>
      </c>
      <c r="I106" s="667">
        <v>-4.2985514594575092</v>
      </c>
      <c r="J106" s="667">
        <v>712.60987447127138</v>
      </c>
      <c r="K106" s="667">
        <v>556.92135057124881</v>
      </c>
      <c r="L106" s="667">
        <v>213.8444073724234</v>
      </c>
      <c r="M106" s="667">
        <v>17.181943837460711</v>
      </c>
      <c r="N106" s="667">
        <v>-54.688235964087447</v>
      </c>
      <c r="O106" s="667">
        <v>-86.324247110085594</v>
      </c>
      <c r="P106" s="667">
        <v>0</v>
      </c>
      <c r="Q106" s="667">
        <v>18.079692789637626</v>
      </c>
      <c r="R106" s="667">
        <v>-506.63322890738101</v>
      </c>
      <c r="S106" s="667">
        <v>-59.56652365415701</v>
      </c>
      <c r="T106" s="667">
        <v>-52.188376454228234</v>
      </c>
      <c r="U106" s="667">
        <v>721.69750502365991</v>
      </c>
    </row>
    <row r="107" spans="3:21" ht="13">
      <c r="C107" s="668"/>
      <c r="D107" s="669">
        <v>0</v>
      </c>
      <c r="E107" s="669">
        <v>0</v>
      </c>
      <c r="F107" s="669">
        <v>0</v>
      </c>
      <c r="G107" s="669">
        <v>0</v>
      </c>
      <c r="H107" s="676">
        <v>0</v>
      </c>
      <c r="I107" s="669">
        <v>0</v>
      </c>
      <c r="J107" s="669">
        <v>0</v>
      </c>
      <c r="K107" s="669">
        <v>0</v>
      </c>
      <c r="L107" s="669">
        <v>0</v>
      </c>
      <c r="M107" s="669">
        <v>0</v>
      </c>
      <c r="N107" s="669">
        <v>0</v>
      </c>
      <c r="O107" s="669">
        <v>0</v>
      </c>
      <c r="P107" s="669">
        <v>0</v>
      </c>
      <c r="Q107" s="669">
        <v>0</v>
      </c>
      <c r="R107" s="669">
        <v>0</v>
      </c>
      <c r="S107" s="669">
        <v>0</v>
      </c>
      <c r="T107" s="669">
        <v>0</v>
      </c>
      <c r="U107" s="669">
        <v>0</v>
      </c>
    </row>
    <row r="108" spans="3:21" ht="13">
      <c r="C108" s="670" t="s">
        <v>78</v>
      </c>
      <c r="D108" s="663">
        <v>1.2844353845350245</v>
      </c>
      <c r="E108" s="663">
        <v>0</v>
      </c>
      <c r="F108" s="663">
        <v>0.671413025716175</v>
      </c>
      <c r="G108" s="663">
        <v>0</v>
      </c>
      <c r="H108" s="663">
        <v>0</v>
      </c>
      <c r="I108" s="663">
        <v>1.6768235413433659</v>
      </c>
      <c r="J108" s="663">
        <v>0</v>
      </c>
      <c r="K108" s="663">
        <v>0</v>
      </c>
      <c r="L108" s="663">
        <v>18.511250218523632</v>
      </c>
      <c r="M108" s="663">
        <v>2.0464486619012869</v>
      </c>
      <c r="N108" s="663">
        <v>1.4169866943359375</v>
      </c>
      <c r="O108" s="663">
        <v>31.901778101678747</v>
      </c>
      <c r="P108" s="663">
        <v>11.306912109375</v>
      </c>
      <c r="Q108" s="663">
        <v>8.5890570413253253E-4</v>
      </c>
      <c r="R108" s="663">
        <v>135.19292998685364</v>
      </c>
      <c r="S108" s="663">
        <v>18.430317312360387</v>
      </c>
      <c r="T108" s="663">
        <v>8.2355947265624998</v>
      </c>
      <c r="U108" s="671">
        <v>230.67574866888981</v>
      </c>
    </row>
    <row r="109" spans="3:21" ht="13">
      <c r="C109" s="670" t="s">
        <v>79</v>
      </c>
      <c r="D109" s="663">
        <v>0</v>
      </c>
      <c r="E109" s="663">
        <v>0</v>
      </c>
      <c r="F109" s="663">
        <v>2.0327553633446804</v>
      </c>
      <c r="G109" s="663">
        <v>2.9414401384596758</v>
      </c>
      <c r="H109" s="663">
        <v>0</v>
      </c>
      <c r="I109" s="663">
        <v>0.25814381907328782</v>
      </c>
      <c r="J109" s="663">
        <v>0</v>
      </c>
      <c r="K109" s="663">
        <v>0</v>
      </c>
      <c r="L109" s="663">
        <v>0</v>
      </c>
      <c r="M109" s="663">
        <v>0</v>
      </c>
      <c r="N109" s="663">
        <v>11.290866079539722</v>
      </c>
      <c r="O109" s="663">
        <v>4.9047325623924678</v>
      </c>
      <c r="P109" s="663">
        <v>0</v>
      </c>
      <c r="Q109" s="663">
        <v>0</v>
      </c>
      <c r="R109" s="663">
        <v>110.4417553978261</v>
      </c>
      <c r="S109" s="663">
        <v>0</v>
      </c>
      <c r="T109" s="663">
        <v>5.3966998641798476</v>
      </c>
      <c r="U109" s="671">
        <v>137.26639322481577</v>
      </c>
    </row>
    <row r="110" spans="3:21" ht="13">
      <c r="C110" s="670" t="s">
        <v>80</v>
      </c>
      <c r="D110" s="663">
        <v>0</v>
      </c>
      <c r="E110" s="663">
        <v>0</v>
      </c>
      <c r="F110" s="663">
        <v>0.19325490667833059</v>
      </c>
      <c r="G110" s="663">
        <v>0</v>
      </c>
      <c r="H110" s="663">
        <v>0</v>
      </c>
      <c r="I110" s="663">
        <v>1.3094987150488224</v>
      </c>
      <c r="J110" s="663">
        <v>0</v>
      </c>
      <c r="K110" s="663">
        <v>0</v>
      </c>
      <c r="L110" s="663">
        <v>28.937300829462252</v>
      </c>
      <c r="M110" s="663">
        <v>0</v>
      </c>
      <c r="N110" s="663">
        <v>0</v>
      </c>
      <c r="O110" s="663">
        <v>24.88047558592762</v>
      </c>
      <c r="P110" s="663">
        <v>124.95584249070536</v>
      </c>
      <c r="Q110" s="663">
        <v>3.1166998128913419</v>
      </c>
      <c r="R110" s="663">
        <v>129.06523934568938</v>
      </c>
      <c r="S110" s="663">
        <v>22.248806062911136</v>
      </c>
      <c r="T110" s="663">
        <v>0</v>
      </c>
      <c r="U110" s="671">
        <v>334.70711774931425</v>
      </c>
    </row>
    <row r="111" spans="3:21" ht="13">
      <c r="C111" s="670" t="s">
        <v>81</v>
      </c>
      <c r="D111" s="663">
        <v>0</v>
      </c>
      <c r="E111" s="663">
        <v>0</v>
      </c>
      <c r="F111" s="663">
        <v>0.13103912510682203</v>
      </c>
      <c r="G111" s="663">
        <v>0</v>
      </c>
      <c r="H111" s="663">
        <v>0</v>
      </c>
      <c r="I111" s="663">
        <v>0.65398403873429223</v>
      </c>
      <c r="J111" s="663">
        <v>0</v>
      </c>
      <c r="K111" s="663">
        <v>0</v>
      </c>
      <c r="L111" s="663">
        <v>0.34200087095620557</v>
      </c>
      <c r="M111" s="663">
        <v>2.9244114949902102E-4</v>
      </c>
      <c r="N111" s="663">
        <v>0</v>
      </c>
      <c r="O111" s="663">
        <v>12.425696735951551</v>
      </c>
      <c r="P111" s="663">
        <v>29.475134675869491</v>
      </c>
      <c r="Q111" s="663">
        <v>0.98841007039498519</v>
      </c>
      <c r="R111" s="663">
        <v>81.567308013661545</v>
      </c>
      <c r="S111" s="663">
        <v>18.887400278885494</v>
      </c>
      <c r="T111" s="663">
        <v>0</v>
      </c>
      <c r="U111" s="671">
        <v>144.4712662507099</v>
      </c>
    </row>
    <row r="112" spans="3:21" ht="13">
      <c r="C112" s="670" t="s">
        <v>82</v>
      </c>
      <c r="D112" s="663">
        <v>0</v>
      </c>
      <c r="E112" s="663">
        <v>0</v>
      </c>
      <c r="F112" s="663">
        <v>0</v>
      </c>
      <c r="G112" s="663">
        <v>0.49546247522038722</v>
      </c>
      <c r="H112" s="663">
        <v>0</v>
      </c>
      <c r="I112" s="663">
        <v>8.1327589418857746E-2</v>
      </c>
      <c r="J112" s="663">
        <v>0</v>
      </c>
      <c r="K112" s="663">
        <v>0</v>
      </c>
      <c r="L112" s="663">
        <v>4.5749249618986854</v>
      </c>
      <c r="M112" s="663">
        <v>0</v>
      </c>
      <c r="N112" s="663">
        <v>16.621294257606131</v>
      </c>
      <c r="O112" s="663">
        <v>1.5452241989582969</v>
      </c>
      <c r="P112" s="663">
        <v>1.5</v>
      </c>
      <c r="Q112" s="663">
        <v>2.1874070050904897</v>
      </c>
      <c r="R112" s="663">
        <v>7.8459207286229669</v>
      </c>
      <c r="S112" s="663">
        <v>0</v>
      </c>
      <c r="T112" s="663">
        <v>0.44339331184266689</v>
      </c>
      <c r="U112" s="671">
        <v>35.294954528658486</v>
      </c>
    </row>
    <row r="113" spans="3:21" ht="13">
      <c r="C113" s="670" t="s">
        <v>357</v>
      </c>
      <c r="D113" s="663">
        <v>0</v>
      </c>
      <c r="E113" s="663">
        <v>0</v>
      </c>
      <c r="F113" s="663">
        <v>0</v>
      </c>
      <c r="G113" s="663">
        <v>0</v>
      </c>
      <c r="H113" s="663">
        <v>0</v>
      </c>
      <c r="I113" s="663">
        <v>0</v>
      </c>
      <c r="J113" s="663">
        <v>0</v>
      </c>
      <c r="K113" s="663">
        <v>0</v>
      </c>
      <c r="L113" s="663">
        <v>0</v>
      </c>
      <c r="M113" s="663">
        <v>0</v>
      </c>
      <c r="N113" s="663">
        <v>0</v>
      </c>
      <c r="O113" s="663">
        <v>0</v>
      </c>
      <c r="P113" s="663">
        <v>0</v>
      </c>
      <c r="Q113" s="663">
        <v>0</v>
      </c>
      <c r="R113" s="663">
        <v>2.5199999999999996</v>
      </c>
      <c r="S113" s="663">
        <v>0</v>
      </c>
      <c r="T113" s="663">
        <v>0</v>
      </c>
      <c r="U113" s="671">
        <v>2.5199999999999996</v>
      </c>
    </row>
    <row r="114" spans="3:21" ht="13">
      <c r="C114" s="666" t="s">
        <v>83</v>
      </c>
      <c r="D114" s="667">
        <v>1.2844353845350245</v>
      </c>
      <c r="E114" s="667">
        <v>0</v>
      </c>
      <c r="F114" s="667">
        <v>3.028462420846008</v>
      </c>
      <c r="G114" s="667">
        <v>3.4369026136800631</v>
      </c>
      <c r="H114" s="675">
        <v>0</v>
      </c>
      <c r="I114" s="667">
        <v>3.9797777036186259</v>
      </c>
      <c r="J114" s="667">
        <v>0</v>
      </c>
      <c r="K114" s="667">
        <v>0</v>
      </c>
      <c r="L114" s="667">
        <v>52.365476880840774</v>
      </c>
      <c r="M114" s="667">
        <v>2.0467411030507856</v>
      </c>
      <c r="N114" s="667">
        <v>29.329147031481789</v>
      </c>
      <c r="O114" s="667">
        <v>75.65790718490868</v>
      </c>
      <c r="P114" s="667">
        <v>167.23788927594987</v>
      </c>
      <c r="Q114" s="667">
        <v>6.2933757940809487</v>
      </c>
      <c r="R114" s="667">
        <v>466.63315347265359</v>
      </c>
      <c r="S114" s="667">
        <v>59.566523654157017</v>
      </c>
      <c r="T114" s="667">
        <v>14.075687902585015</v>
      </c>
      <c r="U114" s="667">
        <v>884.93548042238808</v>
      </c>
    </row>
    <row r="115" spans="3:21" ht="13">
      <c r="C115" s="662" t="s">
        <v>84</v>
      </c>
      <c r="D115" s="663">
        <v>0</v>
      </c>
      <c r="E115" s="663">
        <v>0</v>
      </c>
      <c r="F115" s="663">
        <v>39.848807090011732</v>
      </c>
      <c r="G115" s="663">
        <v>12.189834391274943</v>
      </c>
      <c r="H115" s="663">
        <v>2.6585092475046008</v>
      </c>
      <c r="I115" s="663">
        <v>0</v>
      </c>
      <c r="J115" s="663">
        <v>0</v>
      </c>
      <c r="K115" s="663">
        <v>0</v>
      </c>
      <c r="L115" s="663">
        <v>0.5962689327253029</v>
      </c>
      <c r="M115" s="663">
        <v>0</v>
      </c>
      <c r="N115" s="663">
        <v>18.105967775029544</v>
      </c>
      <c r="O115" s="663">
        <v>4.780741280438523</v>
      </c>
      <c r="P115" s="663">
        <v>0</v>
      </c>
      <c r="Q115" s="663">
        <v>0</v>
      </c>
      <c r="R115" s="663">
        <v>0</v>
      </c>
      <c r="S115" s="663">
        <v>0</v>
      </c>
      <c r="T115" s="663">
        <v>35.496713960556022</v>
      </c>
      <c r="U115" s="671">
        <v>113.67684267754068</v>
      </c>
    </row>
    <row r="116" spans="3:21" ht="13">
      <c r="C116" s="666" t="s">
        <v>85</v>
      </c>
      <c r="D116" s="667">
        <v>1.2844353845350245</v>
      </c>
      <c r="E116" s="667">
        <v>0</v>
      </c>
      <c r="F116" s="667">
        <v>42.877269510857737</v>
      </c>
      <c r="G116" s="667">
        <v>15.626737004955006</v>
      </c>
      <c r="H116" s="675">
        <v>2.6585092475046008</v>
      </c>
      <c r="I116" s="667">
        <v>3.9797777036186259</v>
      </c>
      <c r="J116" s="667">
        <v>0</v>
      </c>
      <c r="K116" s="667">
        <v>0</v>
      </c>
      <c r="L116" s="667">
        <v>52.961745813566075</v>
      </c>
      <c r="M116" s="667">
        <v>2.0467411030507856</v>
      </c>
      <c r="N116" s="667">
        <v>47.435114806511329</v>
      </c>
      <c r="O116" s="667">
        <v>80.4386484653472</v>
      </c>
      <c r="P116" s="667">
        <v>167.23788927594987</v>
      </c>
      <c r="Q116" s="667">
        <v>6.2933757940809487</v>
      </c>
      <c r="R116" s="667">
        <v>466.63315347265359</v>
      </c>
      <c r="S116" s="667">
        <v>59.566523654157017</v>
      </c>
      <c r="T116" s="667">
        <v>49.572401863141039</v>
      </c>
      <c r="U116" s="667">
        <v>998.61232309992874</v>
      </c>
    </row>
    <row r="117" spans="3:21">
      <c r="C117" s="654"/>
      <c r="D117" s="672">
        <v>0</v>
      </c>
      <c r="E117" s="672">
        <v>0</v>
      </c>
      <c r="F117" s="672">
        <v>0</v>
      </c>
      <c r="G117" s="672">
        <v>0</v>
      </c>
      <c r="H117" s="672">
        <v>0</v>
      </c>
      <c r="I117" s="672">
        <v>4.9960036108132044E-16</v>
      </c>
      <c r="J117" s="672">
        <v>0</v>
      </c>
      <c r="K117" s="672">
        <v>0</v>
      </c>
      <c r="L117" s="672">
        <v>0</v>
      </c>
      <c r="M117" s="672">
        <v>0</v>
      </c>
      <c r="N117" s="672">
        <v>0</v>
      </c>
      <c r="O117" s="672">
        <v>0</v>
      </c>
      <c r="P117" s="672">
        <v>0</v>
      </c>
      <c r="Q117" s="672">
        <v>0</v>
      </c>
      <c r="R117" s="672">
        <v>5.6843418860808015E-14</v>
      </c>
      <c r="S117" s="672">
        <v>7.1054273576010019E-15</v>
      </c>
      <c r="T117" s="672">
        <v>-1.4654943925052066E-14</v>
      </c>
      <c r="U117" s="672">
        <v>0</v>
      </c>
    </row>
    <row r="118" spans="3:21">
      <c r="C118" s="654"/>
      <c r="D118" s="654"/>
      <c r="E118" s="654"/>
      <c r="F118" s="654"/>
      <c r="G118" s="654"/>
      <c r="H118" s="654"/>
      <c r="I118" s="654"/>
      <c r="J118" s="654"/>
      <c r="K118" s="654"/>
      <c r="L118" s="654"/>
      <c r="M118" s="654"/>
      <c r="N118" s="654"/>
      <c r="O118" s="654"/>
      <c r="P118" s="654"/>
      <c r="Q118" s="654"/>
      <c r="R118" s="654"/>
      <c r="S118" s="654"/>
      <c r="T118" s="654"/>
      <c r="U118" s="654"/>
    </row>
  </sheetData>
  <mergeCells count="4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U91:U93 U106:U114">
    <cfRule type="cellIs" dxfId="4487" priority="262" operator="equal">
      <formula>0</formula>
    </cfRule>
  </conditionalFormatting>
  <conditionalFormatting sqref="U106">
    <cfRule type="containsBlanks" dxfId="4486" priority="261">
      <formula>LEN(TRIM(U106))=0</formula>
    </cfRule>
  </conditionalFormatting>
  <conditionalFormatting sqref="L11:P11">
    <cfRule type="cellIs" dxfId="4485" priority="258" operator="equal">
      <formula>0</formula>
    </cfRule>
  </conditionalFormatting>
  <conditionalFormatting sqref="Q11">
    <cfRule type="cellIs" dxfId="4484" priority="257" operator="equal">
      <formula>0</formula>
    </cfRule>
  </conditionalFormatting>
  <conditionalFormatting sqref="L48:P48">
    <cfRule type="cellIs" dxfId="4483" priority="256" operator="equal">
      <formula>0</formula>
    </cfRule>
  </conditionalFormatting>
  <conditionalFormatting sqref="Q48">
    <cfRule type="cellIs" dxfId="4482" priority="255" operator="equal">
      <formula>0</formula>
    </cfRule>
  </conditionalFormatting>
  <conditionalFormatting sqref="L85:P85">
    <cfRule type="cellIs" dxfId="4481" priority="254" operator="equal">
      <formula>0</formula>
    </cfRule>
  </conditionalFormatting>
  <conditionalFormatting sqref="Q85">
    <cfRule type="cellIs" dxfId="4480" priority="253" operator="equal">
      <formula>0</formula>
    </cfRule>
  </conditionalFormatting>
  <conditionalFormatting sqref="U116 U86:U88">
    <cfRule type="cellIs" dxfId="4479" priority="252" operator="equal">
      <formula>0</formula>
    </cfRule>
  </conditionalFormatting>
  <conditionalFormatting sqref="U115">
    <cfRule type="cellIs" dxfId="4478" priority="251" operator="equal">
      <formula>0</formula>
    </cfRule>
  </conditionalFormatting>
  <conditionalFormatting sqref="U108:U116 U86:U88 U91:U92">
    <cfRule type="containsBlanks" dxfId="4477" priority="250">
      <formula>LEN(TRIM(U86))=0</formula>
    </cfRule>
  </conditionalFormatting>
  <conditionalFormatting sqref="U89:U90">
    <cfRule type="cellIs" dxfId="4476" priority="249" operator="equal">
      <formula>0</formula>
    </cfRule>
  </conditionalFormatting>
  <conditionalFormatting sqref="U89:U90">
    <cfRule type="containsBlanks" dxfId="4475" priority="248">
      <formula>LEN(TRIM(U89))=0</formula>
    </cfRule>
  </conditionalFormatting>
  <conditionalFormatting sqref="U94:U105">
    <cfRule type="cellIs" dxfId="4474" priority="247" operator="equal">
      <formula>0</formula>
    </cfRule>
  </conditionalFormatting>
  <conditionalFormatting sqref="U94:U105">
    <cfRule type="containsBlanks" dxfId="4473" priority="246">
      <formula>LEN(TRIM(U94))=0</formula>
    </cfRule>
  </conditionalFormatting>
  <conditionalFormatting sqref="U42 U12:U40">
    <cfRule type="cellIs" dxfId="4472" priority="242" operator="equal">
      <formula>0</formula>
    </cfRule>
  </conditionalFormatting>
  <conditionalFormatting sqref="U41">
    <cfRule type="cellIs" dxfId="4471" priority="241" operator="equal">
      <formula>0</formula>
    </cfRule>
  </conditionalFormatting>
  <conditionalFormatting sqref="U34:U42 U12:U18 U20:U32">
    <cfRule type="containsBlanks" dxfId="4470" priority="240">
      <formula>LEN(TRIM(U12))=0</formula>
    </cfRule>
  </conditionalFormatting>
  <conditionalFormatting sqref="U79 U49:U77">
    <cfRule type="cellIs" dxfId="4469" priority="239" operator="equal">
      <formula>0</formula>
    </cfRule>
  </conditionalFormatting>
  <conditionalFormatting sqref="U78">
    <cfRule type="cellIs" dxfId="4468" priority="238" operator="equal">
      <formula>0</formula>
    </cfRule>
  </conditionalFormatting>
  <conditionalFormatting sqref="U71:U79 U49:U55 U57:U69">
    <cfRule type="containsBlanks" dxfId="4467" priority="237">
      <formula>LEN(TRIM(U49))=0</formula>
    </cfRule>
  </conditionalFormatting>
  <conditionalFormatting sqref="D42:F42 R33:T33 D32:F40 D12:F19 N12:O12 R12:T12 J42:T42 J33:K33 J34:T40 J32:T32 J13:T19">
    <cfRule type="cellIs" dxfId="4466" priority="202" operator="equal">
      <formula>0</formula>
    </cfRule>
  </conditionalFormatting>
  <conditionalFormatting sqref="R12:R14">
    <cfRule type="cellIs" dxfId="4465" priority="201" operator="equal">
      <formula>0</formula>
    </cfRule>
  </conditionalFormatting>
  <conditionalFormatting sqref="R12:T12 N12:O12 D13:F14 J13:T14">
    <cfRule type="cellIs" dxfId="4464" priority="200" operator="equal">
      <formula>0</formula>
    </cfRule>
  </conditionalFormatting>
  <conditionalFormatting sqref="F13:F14">
    <cfRule type="cellIs" dxfId="4463" priority="199" operator="equal">
      <formula>0</formula>
    </cfRule>
  </conditionalFormatting>
  <conditionalFormatting sqref="N12:O12">
    <cfRule type="cellIs" dxfId="4462" priority="198" operator="equal">
      <formula>0</formula>
    </cfRule>
  </conditionalFormatting>
  <conditionalFormatting sqref="L15:L17 L33">
    <cfRule type="cellIs" dxfId="4461" priority="197" operator="equal">
      <formula>0</formula>
    </cfRule>
  </conditionalFormatting>
  <conditionalFormatting sqref="L13:L14">
    <cfRule type="cellIs" dxfId="4460" priority="196" operator="equal">
      <formula>0</formula>
    </cfRule>
  </conditionalFormatting>
  <conditionalFormatting sqref="M15:M17 M33">
    <cfRule type="cellIs" dxfId="4459" priority="195" operator="equal">
      <formula>0</formula>
    </cfRule>
  </conditionalFormatting>
  <conditionalFormatting sqref="M13:M14">
    <cfRule type="cellIs" dxfId="4458" priority="194" operator="equal">
      <formula>0</formula>
    </cfRule>
  </conditionalFormatting>
  <conditionalFormatting sqref="N15:N17 N33">
    <cfRule type="cellIs" dxfId="4457" priority="193" operator="equal">
      <formula>0</formula>
    </cfRule>
  </conditionalFormatting>
  <conditionalFormatting sqref="N12:N14">
    <cfRule type="cellIs" dxfId="4456" priority="192" operator="equal">
      <formula>0</formula>
    </cfRule>
  </conditionalFormatting>
  <conditionalFormatting sqref="O15:O17 O33">
    <cfRule type="cellIs" dxfId="4455" priority="191" operator="equal">
      <formula>0</formula>
    </cfRule>
  </conditionalFormatting>
  <conditionalFormatting sqref="O12:O14">
    <cfRule type="cellIs" dxfId="4454" priority="190" operator="equal">
      <formula>0</formula>
    </cfRule>
  </conditionalFormatting>
  <conditionalFormatting sqref="P15:P17 P33">
    <cfRule type="cellIs" dxfId="4453" priority="189" operator="equal">
      <formula>0</formula>
    </cfRule>
  </conditionalFormatting>
  <conditionalFormatting sqref="P13:P14">
    <cfRule type="cellIs" dxfId="4452" priority="188" operator="equal">
      <formula>0</formula>
    </cfRule>
  </conditionalFormatting>
  <conditionalFormatting sqref="Q15:Q17 Q33">
    <cfRule type="cellIs" dxfId="4451" priority="187" operator="equal">
      <formula>0</formula>
    </cfRule>
  </conditionalFormatting>
  <conditionalFormatting sqref="Q13:Q14">
    <cfRule type="cellIs" dxfId="4450" priority="186" operator="equal">
      <formula>0</formula>
    </cfRule>
  </conditionalFormatting>
  <conditionalFormatting sqref="D41:F41 J41:T41">
    <cfRule type="cellIs" dxfId="4449" priority="185" operator="equal">
      <formula>0</formula>
    </cfRule>
  </conditionalFormatting>
  <conditionalFormatting sqref="D34:F42 D32:F32 D12:F18 N12:O12 R12:T12 J34:T42 J32:T32 J13:T18">
    <cfRule type="containsBlanks" dxfId="4448" priority="184">
      <formula>LEN(TRIM(D12))=0</formula>
    </cfRule>
  </conditionalFormatting>
  <conditionalFormatting sqref="D41:F41 J41:T41">
    <cfRule type="cellIs" dxfId="4447" priority="183" operator="equal">
      <formula>0</formula>
    </cfRule>
  </conditionalFormatting>
  <conditionalFormatting sqref="N15:N16">
    <cfRule type="cellIs" dxfId="4446" priority="182" operator="equal">
      <formula>0</formula>
    </cfRule>
  </conditionalFormatting>
  <conditionalFormatting sqref="O15:O16">
    <cfRule type="cellIs" dxfId="4445" priority="181" operator="equal">
      <formula>0</formula>
    </cfRule>
  </conditionalFormatting>
  <conditionalFormatting sqref="P15:Q15">
    <cfRule type="cellIs" dxfId="4444" priority="180" operator="equal">
      <formula>0</formula>
    </cfRule>
  </conditionalFormatting>
  <conditionalFormatting sqref="P16:Q16">
    <cfRule type="cellIs" dxfId="4443" priority="179" operator="equal">
      <formula>0</formula>
    </cfRule>
  </conditionalFormatting>
  <conditionalFormatting sqref="D20:F31 J20:T31">
    <cfRule type="cellIs" dxfId="4442" priority="178" operator="equal">
      <formula>0</formula>
    </cfRule>
  </conditionalFormatting>
  <conditionalFormatting sqref="D20:F31 J20:T31">
    <cfRule type="containsBlanks" dxfId="4441" priority="177">
      <formula>LEN(TRIM(D20))=0</formula>
    </cfRule>
  </conditionalFormatting>
  <conditionalFormatting sqref="J12">
    <cfRule type="cellIs" dxfId="4440" priority="176" operator="equal">
      <formula>0</formula>
    </cfRule>
  </conditionalFormatting>
  <conditionalFormatting sqref="K12">
    <cfRule type="cellIs" dxfId="4439" priority="175" operator="equal">
      <formula>0</formula>
    </cfRule>
  </conditionalFormatting>
  <conditionalFormatting sqref="L12:M12">
    <cfRule type="cellIs" dxfId="4438" priority="174" operator="equal">
      <formula>0</formula>
    </cfRule>
  </conditionalFormatting>
  <conditionalFormatting sqref="M12">
    <cfRule type="cellIs" dxfId="4437" priority="173" operator="equal">
      <formula>0</formula>
    </cfRule>
  </conditionalFormatting>
  <conditionalFormatting sqref="J12:M12">
    <cfRule type="containsBlanks" dxfId="4436" priority="172">
      <formula>LEN(TRIM(J12))=0</formula>
    </cfRule>
  </conditionalFormatting>
  <conditionalFormatting sqref="P12:Q12">
    <cfRule type="cellIs" dxfId="4435" priority="171" operator="equal">
      <formula>0</formula>
    </cfRule>
  </conditionalFormatting>
  <conditionalFormatting sqref="P12:Q12">
    <cfRule type="cellIs" dxfId="4434" priority="170" operator="equal">
      <formula>0</formula>
    </cfRule>
  </conditionalFormatting>
  <conditionalFormatting sqref="P12:Q12">
    <cfRule type="containsBlanks" dxfId="4433" priority="169">
      <formula>LEN(TRIM(P12))=0</formula>
    </cfRule>
  </conditionalFormatting>
  <conditionalFormatting sqref="D79:F79 R70:T70 D69:F77 D49:F56 N49:O49 R49:T49 J79:T79 J70:K70 J71:T77 J69:T69 J50:T56">
    <cfRule type="cellIs" dxfId="4432" priority="168" operator="equal">
      <formula>0</formula>
    </cfRule>
  </conditionalFormatting>
  <conditionalFormatting sqref="R49:R51">
    <cfRule type="cellIs" dxfId="4431" priority="167" operator="equal">
      <formula>0</formula>
    </cfRule>
  </conditionalFormatting>
  <conditionalFormatting sqref="R49:T49 N49:O49 D50:F51 J50:T51">
    <cfRule type="cellIs" dxfId="4430" priority="166" operator="equal">
      <formula>0</formula>
    </cfRule>
  </conditionalFormatting>
  <conditionalFormatting sqref="F50:F51">
    <cfRule type="cellIs" dxfId="4429" priority="165" operator="equal">
      <formula>0</formula>
    </cfRule>
  </conditionalFormatting>
  <conditionalFormatting sqref="N49:O49">
    <cfRule type="cellIs" dxfId="4428" priority="164" operator="equal">
      <formula>0</formula>
    </cfRule>
  </conditionalFormatting>
  <conditionalFormatting sqref="L52:L54 L70">
    <cfRule type="cellIs" dxfId="4427" priority="163" operator="equal">
      <formula>0</formula>
    </cfRule>
  </conditionalFormatting>
  <conditionalFormatting sqref="L50:L51">
    <cfRule type="cellIs" dxfId="4426" priority="162" operator="equal">
      <formula>0</formula>
    </cfRule>
  </conditionalFormatting>
  <conditionalFormatting sqref="M52:M54 M70">
    <cfRule type="cellIs" dxfId="4425" priority="161" operator="equal">
      <formula>0</formula>
    </cfRule>
  </conditionalFormatting>
  <conditionalFormatting sqref="M50:M51">
    <cfRule type="cellIs" dxfId="4424" priority="160" operator="equal">
      <formula>0</formula>
    </cfRule>
  </conditionalFormatting>
  <conditionalFormatting sqref="N52:N54 N70">
    <cfRule type="cellIs" dxfId="4423" priority="159" operator="equal">
      <formula>0</formula>
    </cfRule>
  </conditionalFormatting>
  <conditionalFormatting sqref="N49:N51">
    <cfRule type="cellIs" dxfId="4422" priority="158" operator="equal">
      <formula>0</formula>
    </cfRule>
  </conditionalFormatting>
  <conditionalFormatting sqref="O52:O54 O70">
    <cfRule type="cellIs" dxfId="4421" priority="157" operator="equal">
      <formula>0</formula>
    </cfRule>
  </conditionalFormatting>
  <conditionalFormatting sqref="O49:O51">
    <cfRule type="cellIs" dxfId="4420" priority="156" operator="equal">
      <formula>0</formula>
    </cfRule>
  </conditionalFormatting>
  <conditionalFormatting sqref="P52:P54 P70">
    <cfRule type="cellIs" dxfId="4419" priority="155" operator="equal">
      <formula>0</formula>
    </cfRule>
  </conditionalFormatting>
  <conditionalFormatting sqref="P50:P51">
    <cfRule type="cellIs" dxfId="4418" priority="154" operator="equal">
      <formula>0</formula>
    </cfRule>
  </conditionalFormatting>
  <conditionalFormatting sqref="Q52:Q54 Q70">
    <cfRule type="cellIs" dxfId="4417" priority="153" operator="equal">
      <formula>0</formula>
    </cfRule>
  </conditionalFormatting>
  <conditionalFormatting sqref="Q50:Q51">
    <cfRule type="cellIs" dxfId="4416" priority="152" operator="equal">
      <formula>0</formula>
    </cfRule>
  </conditionalFormatting>
  <conditionalFormatting sqref="D78:F78 J78:T78">
    <cfRule type="cellIs" dxfId="4415" priority="151" operator="equal">
      <formula>0</formula>
    </cfRule>
  </conditionalFormatting>
  <conditionalFormatting sqref="D71:F79 D69:F69 D49:F55 N49:O49 R49:T49 J71:T79 J69:T69 J50:T55">
    <cfRule type="containsBlanks" dxfId="4414" priority="150">
      <formula>LEN(TRIM(D49))=0</formula>
    </cfRule>
  </conditionalFormatting>
  <conditionalFormatting sqref="D78:F78 J78:T78">
    <cfRule type="cellIs" dxfId="4413" priority="149" operator="equal">
      <formula>0</formula>
    </cfRule>
  </conditionalFormatting>
  <conditionalFormatting sqref="N52:N53">
    <cfRule type="cellIs" dxfId="4412" priority="148" operator="equal">
      <formula>0</formula>
    </cfRule>
  </conditionalFormatting>
  <conditionalFormatting sqref="O52:O53">
    <cfRule type="cellIs" dxfId="4411" priority="147" operator="equal">
      <formula>0</formula>
    </cfRule>
  </conditionalFormatting>
  <conditionalFormatting sqref="P52:Q52">
    <cfRule type="cellIs" dxfId="4410" priority="146" operator="equal">
      <formula>0</formula>
    </cfRule>
  </conditionalFormatting>
  <conditionalFormatting sqref="P53:Q53">
    <cfRule type="cellIs" dxfId="4409" priority="145" operator="equal">
      <formula>0</formula>
    </cfRule>
  </conditionalFormatting>
  <conditionalFormatting sqref="D57:F68 J57:T68">
    <cfRule type="cellIs" dxfId="4408" priority="144" operator="equal">
      <formula>0</formula>
    </cfRule>
  </conditionalFormatting>
  <conditionalFormatting sqref="D57:F68 J57:T68">
    <cfRule type="containsBlanks" dxfId="4407" priority="143">
      <formula>LEN(TRIM(D57))=0</formula>
    </cfRule>
  </conditionalFormatting>
  <conditionalFormatting sqref="J49">
    <cfRule type="cellIs" dxfId="4406" priority="142" operator="equal">
      <formula>0</formula>
    </cfRule>
  </conditionalFormatting>
  <conditionalFormatting sqref="K49">
    <cfRule type="cellIs" dxfId="4405" priority="141" operator="equal">
      <formula>0</formula>
    </cfRule>
  </conditionalFormatting>
  <conditionalFormatting sqref="L49:M49">
    <cfRule type="cellIs" dxfId="4404" priority="140" operator="equal">
      <formula>0</formula>
    </cfRule>
  </conditionalFormatting>
  <conditionalFormatting sqref="M49">
    <cfRule type="cellIs" dxfId="4403" priority="139" operator="equal">
      <formula>0</formula>
    </cfRule>
  </conditionalFormatting>
  <conditionalFormatting sqref="J49:M49">
    <cfRule type="containsBlanks" dxfId="4402" priority="138">
      <formula>LEN(TRIM(J49))=0</formula>
    </cfRule>
  </conditionalFormatting>
  <conditionalFormatting sqref="P49:Q49">
    <cfRule type="cellIs" dxfId="4401" priority="137" operator="equal">
      <formula>0</formula>
    </cfRule>
  </conditionalFormatting>
  <conditionalFormatting sqref="P49:Q49">
    <cfRule type="cellIs" dxfId="4400" priority="136" operator="equal">
      <formula>0</formula>
    </cfRule>
  </conditionalFormatting>
  <conditionalFormatting sqref="P49:Q49">
    <cfRule type="containsBlanks" dxfId="4399" priority="135">
      <formula>LEN(TRIM(P49))=0</formula>
    </cfRule>
  </conditionalFormatting>
  <conditionalFormatting sqref="D116:F116 R107:T107 D106:F114 D86:F93 N86:O86 R86:T86 J116:T116 J107:K107 J108:T114 J106:T106 J87:T93">
    <cfRule type="cellIs" dxfId="4398" priority="134" operator="equal">
      <formula>0</formula>
    </cfRule>
  </conditionalFormatting>
  <conditionalFormatting sqref="R86:R88">
    <cfRule type="cellIs" dxfId="4397" priority="133" operator="equal">
      <formula>0</formula>
    </cfRule>
  </conditionalFormatting>
  <conditionalFormatting sqref="R86:T86 N86:O86 D87:F88 J87:T88">
    <cfRule type="cellIs" dxfId="4396" priority="132" operator="equal">
      <formula>0</formula>
    </cfRule>
  </conditionalFormatting>
  <conditionalFormatting sqref="F87:F88">
    <cfRule type="cellIs" dxfId="4395" priority="131" operator="equal">
      <formula>0</formula>
    </cfRule>
  </conditionalFormatting>
  <conditionalFormatting sqref="N86:O86">
    <cfRule type="cellIs" dxfId="4394" priority="130" operator="equal">
      <formula>0</formula>
    </cfRule>
  </conditionalFormatting>
  <conditionalFormatting sqref="L89:L91 L107">
    <cfRule type="cellIs" dxfId="4393" priority="129" operator="equal">
      <formula>0</formula>
    </cfRule>
  </conditionalFormatting>
  <conditionalFormatting sqref="L87:L88">
    <cfRule type="cellIs" dxfId="4392" priority="128" operator="equal">
      <formula>0</formula>
    </cfRule>
  </conditionalFormatting>
  <conditionalFormatting sqref="M89:M91 M107">
    <cfRule type="cellIs" dxfId="4391" priority="127" operator="equal">
      <formula>0</formula>
    </cfRule>
  </conditionalFormatting>
  <conditionalFormatting sqref="M87:M88">
    <cfRule type="cellIs" dxfId="4390" priority="126" operator="equal">
      <formula>0</formula>
    </cfRule>
  </conditionalFormatting>
  <conditionalFormatting sqref="N89:N91 N107">
    <cfRule type="cellIs" dxfId="4389" priority="125" operator="equal">
      <formula>0</formula>
    </cfRule>
  </conditionalFormatting>
  <conditionalFormatting sqref="N86:N88">
    <cfRule type="cellIs" dxfId="4388" priority="124" operator="equal">
      <formula>0</formula>
    </cfRule>
  </conditionalFormatting>
  <conditionalFormatting sqref="O89:O91 O107">
    <cfRule type="cellIs" dxfId="4387" priority="123" operator="equal">
      <formula>0</formula>
    </cfRule>
  </conditionalFormatting>
  <conditionalFormatting sqref="O86:O88">
    <cfRule type="cellIs" dxfId="4386" priority="122" operator="equal">
      <formula>0</formula>
    </cfRule>
  </conditionalFormatting>
  <conditionalFormatting sqref="P89:P91 P107">
    <cfRule type="cellIs" dxfId="4385" priority="121" operator="equal">
      <formula>0</formula>
    </cfRule>
  </conditionalFormatting>
  <conditionalFormatting sqref="P87:P88">
    <cfRule type="cellIs" dxfId="4384" priority="120" operator="equal">
      <formula>0</formula>
    </cfRule>
  </conditionalFormatting>
  <conditionalFormatting sqref="Q89:Q91 Q107">
    <cfRule type="cellIs" dxfId="4383" priority="119" operator="equal">
      <formula>0</formula>
    </cfRule>
  </conditionalFormatting>
  <conditionalFormatting sqref="Q87:Q88">
    <cfRule type="cellIs" dxfId="4382" priority="118" operator="equal">
      <formula>0</formula>
    </cfRule>
  </conditionalFormatting>
  <conditionalFormatting sqref="D115:F115 J115:T115">
    <cfRule type="cellIs" dxfId="4381" priority="117" operator="equal">
      <formula>0</formula>
    </cfRule>
  </conditionalFormatting>
  <conditionalFormatting sqref="D108:F116 D106:F106 D86:F92 N86:O86 R86:T86 J108:T116 J106:T106 J87:T92">
    <cfRule type="containsBlanks" dxfId="4380" priority="116">
      <formula>LEN(TRIM(D86))=0</formula>
    </cfRule>
  </conditionalFormatting>
  <conditionalFormatting sqref="D115:F115 J115:T115">
    <cfRule type="cellIs" dxfId="4379" priority="115" operator="equal">
      <formula>0</formula>
    </cfRule>
  </conditionalFormatting>
  <conditionalFormatting sqref="N89:N90">
    <cfRule type="cellIs" dxfId="4378" priority="114" operator="equal">
      <formula>0</formula>
    </cfRule>
  </conditionalFormatting>
  <conditionalFormatting sqref="O89:O90">
    <cfRule type="cellIs" dxfId="4377" priority="113" operator="equal">
      <formula>0</formula>
    </cfRule>
  </conditionalFormatting>
  <conditionalFormatting sqref="P89:Q89">
    <cfRule type="cellIs" dxfId="4376" priority="112" operator="equal">
      <formula>0</formula>
    </cfRule>
  </conditionalFormatting>
  <conditionalFormatting sqref="P90:Q90">
    <cfRule type="cellIs" dxfId="4375" priority="111" operator="equal">
      <formula>0</formula>
    </cfRule>
  </conditionalFormatting>
  <conditionalFormatting sqref="D94:F105 J94:T105">
    <cfRule type="cellIs" dxfId="4374" priority="110" operator="equal">
      <formula>0</formula>
    </cfRule>
  </conditionalFormatting>
  <conditionalFormatting sqref="D94:F105 J94:T105">
    <cfRule type="containsBlanks" dxfId="4373" priority="109">
      <formula>LEN(TRIM(D94))=0</formula>
    </cfRule>
  </conditionalFormatting>
  <conditionalFormatting sqref="J86">
    <cfRule type="cellIs" dxfId="4372" priority="108" operator="equal">
      <formula>0</formula>
    </cfRule>
  </conditionalFormatting>
  <conditionalFormatting sqref="K86">
    <cfRule type="cellIs" dxfId="4371" priority="107" operator="equal">
      <formula>0</formula>
    </cfRule>
  </conditionalFormatting>
  <conditionalFormatting sqref="L86:M86">
    <cfRule type="cellIs" dxfId="4370" priority="106" operator="equal">
      <formula>0</formula>
    </cfRule>
  </conditionalFormatting>
  <conditionalFormatting sqref="M86">
    <cfRule type="cellIs" dxfId="4369" priority="105" operator="equal">
      <formula>0</formula>
    </cfRule>
  </conditionalFormatting>
  <conditionalFormatting sqref="J86:M86">
    <cfRule type="containsBlanks" dxfId="4368" priority="104">
      <formula>LEN(TRIM(J86))=0</formula>
    </cfRule>
  </conditionalFormatting>
  <conditionalFormatting sqref="P86:Q86">
    <cfRule type="cellIs" dxfId="4367" priority="103" operator="equal">
      <formula>0</formula>
    </cfRule>
  </conditionalFormatting>
  <conditionalFormatting sqref="P86:Q86">
    <cfRule type="cellIs" dxfId="4366" priority="102" operator="equal">
      <formula>0</formula>
    </cfRule>
  </conditionalFormatting>
  <conditionalFormatting sqref="P86:Q86">
    <cfRule type="containsBlanks" dxfId="4365" priority="101">
      <formula>LEN(TRIM(P86))=0</formula>
    </cfRule>
  </conditionalFormatting>
  <conditionalFormatting sqref="H12:H19 H32:H40 H42 G12">
    <cfRule type="cellIs" dxfId="4364" priority="75" operator="equal">
      <formula>0</formula>
    </cfRule>
  </conditionalFormatting>
  <conditionalFormatting sqref="H13:H14">
    <cfRule type="cellIs" dxfId="4363" priority="74" operator="equal">
      <formula>0</formula>
    </cfRule>
  </conditionalFormatting>
  <conditionalFormatting sqref="H41">
    <cfRule type="cellIs" dxfId="4362" priority="73" operator="equal">
      <formula>0</formula>
    </cfRule>
  </conditionalFormatting>
  <conditionalFormatting sqref="H12:H18 H32 H34:H42 G12">
    <cfRule type="containsBlanks" dxfId="4361" priority="72">
      <formula>LEN(TRIM(G12))=0</formula>
    </cfRule>
  </conditionalFormatting>
  <conditionalFormatting sqref="H41">
    <cfRule type="cellIs" dxfId="4360" priority="71" operator="equal">
      <formula>0</formula>
    </cfRule>
  </conditionalFormatting>
  <conditionalFormatting sqref="H20:H31">
    <cfRule type="cellIs" dxfId="4359" priority="70" operator="equal">
      <formula>0</formula>
    </cfRule>
  </conditionalFormatting>
  <conditionalFormatting sqref="H20:H31">
    <cfRule type="containsBlanks" dxfId="4358" priority="69">
      <formula>LEN(TRIM(H20))=0</formula>
    </cfRule>
  </conditionalFormatting>
  <conditionalFormatting sqref="G13:G19 G32:G40 G42">
    <cfRule type="cellIs" dxfId="4357" priority="68" operator="equal">
      <formula>0</formula>
    </cfRule>
  </conditionalFormatting>
  <conditionalFormatting sqref="G13:G14">
    <cfRule type="cellIs" dxfId="4356" priority="67" operator="equal">
      <formula>0</formula>
    </cfRule>
  </conditionalFormatting>
  <conditionalFormatting sqref="G13:G14">
    <cfRule type="cellIs" dxfId="4355" priority="66" operator="equal">
      <formula>0</formula>
    </cfRule>
  </conditionalFormatting>
  <conditionalFormatting sqref="G41">
    <cfRule type="cellIs" dxfId="4354" priority="65" operator="equal">
      <formula>0</formula>
    </cfRule>
  </conditionalFormatting>
  <conditionalFormatting sqref="G13:G18 G34:G42 G32">
    <cfRule type="containsBlanks" dxfId="4353" priority="64">
      <formula>LEN(TRIM(G13))=0</formula>
    </cfRule>
  </conditionalFormatting>
  <conditionalFormatting sqref="G41">
    <cfRule type="cellIs" dxfId="4352" priority="63" operator="equal">
      <formula>0</formula>
    </cfRule>
  </conditionalFormatting>
  <conditionalFormatting sqref="G20:G31">
    <cfRule type="cellIs" dxfId="4351" priority="62" operator="equal">
      <formula>0</formula>
    </cfRule>
  </conditionalFormatting>
  <conditionalFormatting sqref="G20:G31">
    <cfRule type="containsBlanks" dxfId="4350" priority="61">
      <formula>LEN(TRIM(G20))=0</formula>
    </cfRule>
  </conditionalFormatting>
  <conditionalFormatting sqref="I12">
    <cfRule type="cellIs" dxfId="4349" priority="60" operator="equal">
      <formula>0</formula>
    </cfRule>
  </conditionalFormatting>
  <conditionalFormatting sqref="I12">
    <cfRule type="containsBlanks" dxfId="4348" priority="59">
      <formula>LEN(TRIM(I12))=0</formula>
    </cfRule>
  </conditionalFormatting>
  <conditionalFormatting sqref="I13:I19 I32:I40 I42">
    <cfRule type="cellIs" dxfId="4347" priority="58" operator="equal">
      <formula>0</formula>
    </cfRule>
  </conditionalFormatting>
  <conditionalFormatting sqref="I13:I14">
    <cfRule type="cellIs" dxfId="4346" priority="57" operator="equal">
      <formula>0</formula>
    </cfRule>
  </conditionalFormatting>
  <conditionalFormatting sqref="I13:I14">
    <cfRule type="cellIs" dxfId="4345" priority="56" operator="equal">
      <formula>0</formula>
    </cfRule>
  </conditionalFormatting>
  <conditionalFormatting sqref="I41">
    <cfRule type="cellIs" dxfId="4344" priority="55" operator="equal">
      <formula>0</formula>
    </cfRule>
  </conditionalFormatting>
  <conditionalFormatting sqref="I13:I18 I34:I42 I32">
    <cfRule type="containsBlanks" dxfId="4343" priority="54">
      <formula>LEN(TRIM(I13))=0</formula>
    </cfRule>
  </conditionalFormatting>
  <conditionalFormatting sqref="I41">
    <cfRule type="cellIs" dxfId="4342" priority="53" operator="equal">
      <formula>0</formula>
    </cfRule>
  </conditionalFormatting>
  <conditionalFormatting sqref="I20:I31">
    <cfRule type="cellIs" dxfId="4341" priority="52" operator="equal">
      <formula>0</formula>
    </cfRule>
  </conditionalFormatting>
  <conditionalFormatting sqref="I20:I31">
    <cfRule type="containsBlanks" dxfId="4340" priority="51">
      <formula>LEN(TRIM(I20))=0</formula>
    </cfRule>
  </conditionalFormatting>
  <conditionalFormatting sqref="H49:H56 H69:H77 H79 G49">
    <cfRule type="cellIs" dxfId="4339" priority="50" operator="equal">
      <formula>0</formula>
    </cfRule>
  </conditionalFormatting>
  <conditionalFormatting sqref="H50:H51">
    <cfRule type="cellIs" dxfId="4338" priority="49" operator="equal">
      <formula>0</formula>
    </cfRule>
  </conditionalFormatting>
  <conditionalFormatting sqref="H78">
    <cfRule type="cellIs" dxfId="4337" priority="48" operator="equal">
      <formula>0</formula>
    </cfRule>
  </conditionalFormatting>
  <conditionalFormatting sqref="H49:H55 H69 H71:H79 G49">
    <cfRule type="containsBlanks" dxfId="4336" priority="47">
      <formula>LEN(TRIM(G49))=0</formula>
    </cfRule>
  </conditionalFormatting>
  <conditionalFormatting sqref="H78">
    <cfRule type="cellIs" dxfId="4335" priority="46" operator="equal">
      <formula>0</formula>
    </cfRule>
  </conditionalFormatting>
  <conditionalFormatting sqref="H57:H68">
    <cfRule type="cellIs" dxfId="4334" priority="45" operator="equal">
      <formula>0</formula>
    </cfRule>
  </conditionalFormatting>
  <conditionalFormatting sqref="H57:H68">
    <cfRule type="containsBlanks" dxfId="4333" priority="44">
      <formula>LEN(TRIM(H57))=0</formula>
    </cfRule>
  </conditionalFormatting>
  <conditionalFormatting sqref="G50:G56 G69:G77 G79">
    <cfRule type="cellIs" dxfId="4332" priority="43" operator="equal">
      <formula>0</formula>
    </cfRule>
  </conditionalFormatting>
  <conditionalFormatting sqref="G50:G51">
    <cfRule type="cellIs" dxfId="4331" priority="42" operator="equal">
      <formula>0</formula>
    </cfRule>
  </conditionalFormatting>
  <conditionalFormatting sqref="G50:G51">
    <cfRule type="cellIs" dxfId="4330" priority="41" operator="equal">
      <formula>0</formula>
    </cfRule>
  </conditionalFormatting>
  <conditionalFormatting sqref="G78">
    <cfRule type="cellIs" dxfId="4329" priority="40" operator="equal">
      <formula>0</formula>
    </cfRule>
  </conditionalFormatting>
  <conditionalFormatting sqref="G50:G55 G71:G79 G69">
    <cfRule type="containsBlanks" dxfId="4328" priority="39">
      <formula>LEN(TRIM(G50))=0</formula>
    </cfRule>
  </conditionalFormatting>
  <conditionalFormatting sqref="G78">
    <cfRule type="cellIs" dxfId="4327" priority="38" operator="equal">
      <formula>0</formula>
    </cfRule>
  </conditionalFormatting>
  <conditionalFormatting sqref="G57:G68">
    <cfRule type="cellIs" dxfId="4326" priority="37" operator="equal">
      <formula>0</formula>
    </cfRule>
  </conditionalFormatting>
  <conditionalFormatting sqref="G57:G68">
    <cfRule type="containsBlanks" dxfId="4325" priority="36">
      <formula>LEN(TRIM(G57))=0</formula>
    </cfRule>
  </conditionalFormatting>
  <conditionalFormatting sqref="I49">
    <cfRule type="cellIs" dxfId="4324" priority="35" operator="equal">
      <formula>0</formula>
    </cfRule>
  </conditionalFormatting>
  <conditionalFormatting sqref="I49">
    <cfRule type="containsBlanks" dxfId="4323" priority="34">
      <formula>LEN(TRIM(I49))=0</formula>
    </cfRule>
  </conditionalFormatting>
  <conditionalFormatting sqref="I50:I56 I69:I77 I79">
    <cfRule type="cellIs" dxfId="4322" priority="33" operator="equal">
      <formula>0</formula>
    </cfRule>
  </conditionalFormatting>
  <conditionalFormatting sqref="I50:I51">
    <cfRule type="cellIs" dxfId="4321" priority="32" operator="equal">
      <formula>0</formula>
    </cfRule>
  </conditionalFormatting>
  <conditionalFormatting sqref="I50:I51">
    <cfRule type="cellIs" dxfId="4320" priority="31" operator="equal">
      <formula>0</formula>
    </cfRule>
  </conditionalFormatting>
  <conditionalFormatting sqref="I78">
    <cfRule type="cellIs" dxfId="4319" priority="30" operator="equal">
      <formula>0</formula>
    </cfRule>
  </conditionalFormatting>
  <conditionalFormatting sqref="I50:I55 I71:I79 I69">
    <cfRule type="containsBlanks" dxfId="4318" priority="29">
      <formula>LEN(TRIM(I50))=0</formula>
    </cfRule>
  </conditionalFormatting>
  <conditionalFormatting sqref="I78">
    <cfRule type="cellIs" dxfId="4317" priority="28" operator="equal">
      <formula>0</formula>
    </cfRule>
  </conditionalFormatting>
  <conditionalFormatting sqref="I57:I68">
    <cfRule type="cellIs" dxfId="4316" priority="27" operator="equal">
      <formula>0</formula>
    </cfRule>
  </conditionalFormatting>
  <conditionalFormatting sqref="I57:I68">
    <cfRule type="containsBlanks" dxfId="4315" priority="26">
      <formula>LEN(TRIM(I57))=0</formula>
    </cfRule>
  </conditionalFormatting>
  <conditionalFormatting sqref="H86:H93 H106:H114 H116 G86">
    <cfRule type="cellIs" dxfId="4314" priority="25" operator="equal">
      <formula>0</formula>
    </cfRule>
  </conditionalFormatting>
  <conditionalFormatting sqref="H87:H88">
    <cfRule type="cellIs" dxfId="4313" priority="24" operator="equal">
      <formula>0</formula>
    </cfRule>
  </conditionalFormatting>
  <conditionalFormatting sqref="H115">
    <cfRule type="cellIs" dxfId="4312" priority="23" operator="equal">
      <formula>0</formula>
    </cfRule>
  </conditionalFormatting>
  <conditionalFormatting sqref="H86:H92 H106 H108:H116 G86">
    <cfRule type="containsBlanks" dxfId="4311" priority="22">
      <formula>LEN(TRIM(G86))=0</formula>
    </cfRule>
  </conditionalFormatting>
  <conditionalFormatting sqref="H115">
    <cfRule type="cellIs" dxfId="4310" priority="21" operator="equal">
      <formula>0</formula>
    </cfRule>
  </conditionalFormatting>
  <conditionalFormatting sqref="H94:H105">
    <cfRule type="cellIs" dxfId="4309" priority="20" operator="equal">
      <formula>0</formula>
    </cfRule>
  </conditionalFormatting>
  <conditionalFormatting sqref="H94:H105">
    <cfRule type="containsBlanks" dxfId="4308" priority="19">
      <formula>LEN(TRIM(H94))=0</formula>
    </cfRule>
  </conditionalFormatting>
  <conditionalFormatting sqref="G87:G93 G106:G114 G116">
    <cfRule type="cellIs" dxfId="4307" priority="18" operator="equal">
      <formula>0</formula>
    </cfRule>
  </conditionalFormatting>
  <conditionalFormatting sqref="G87:G88">
    <cfRule type="cellIs" dxfId="4306" priority="17" operator="equal">
      <formula>0</formula>
    </cfRule>
  </conditionalFormatting>
  <conditionalFormatting sqref="G87:G88">
    <cfRule type="cellIs" dxfId="4305" priority="16" operator="equal">
      <formula>0</formula>
    </cfRule>
  </conditionalFormatting>
  <conditionalFormatting sqref="G115">
    <cfRule type="cellIs" dxfId="4304" priority="15" operator="equal">
      <formula>0</formula>
    </cfRule>
  </conditionalFormatting>
  <conditionalFormatting sqref="G87:G92 G108:G116 G106">
    <cfRule type="containsBlanks" dxfId="4303" priority="14">
      <formula>LEN(TRIM(G87))=0</formula>
    </cfRule>
  </conditionalFormatting>
  <conditionalFormatting sqref="G115">
    <cfRule type="cellIs" dxfId="4302" priority="13" operator="equal">
      <formula>0</formula>
    </cfRule>
  </conditionalFormatting>
  <conditionalFormatting sqref="G94:G105">
    <cfRule type="cellIs" dxfId="4301" priority="12" operator="equal">
      <formula>0</formula>
    </cfRule>
  </conditionalFormatting>
  <conditionalFormatting sqref="G94:G105">
    <cfRule type="containsBlanks" dxfId="4300" priority="11">
      <formula>LEN(TRIM(G94))=0</formula>
    </cfRule>
  </conditionalFormatting>
  <conditionalFormatting sqref="I86">
    <cfRule type="cellIs" dxfId="4299" priority="10" operator="equal">
      <formula>0</formula>
    </cfRule>
  </conditionalFormatting>
  <conditionalFormatting sqref="I86">
    <cfRule type="containsBlanks" dxfId="4298" priority="9">
      <formula>LEN(TRIM(I86))=0</formula>
    </cfRule>
  </conditionalFormatting>
  <conditionalFormatting sqref="I87:I93 I106:I114 I116">
    <cfRule type="cellIs" dxfId="4297" priority="8" operator="equal">
      <formula>0</formula>
    </cfRule>
  </conditionalFormatting>
  <conditionalFormatting sqref="I87:I88">
    <cfRule type="cellIs" dxfId="4296" priority="7" operator="equal">
      <formula>0</formula>
    </cfRule>
  </conditionalFormatting>
  <conditionalFormatting sqref="I87:I88">
    <cfRule type="cellIs" dxfId="4295" priority="6" operator="equal">
      <formula>0</formula>
    </cfRule>
  </conditionalFormatting>
  <conditionalFormatting sqref="I115">
    <cfRule type="cellIs" dxfId="4294" priority="5" operator="equal">
      <formula>0</formula>
    </cfRule>
  </conditionalFormatting>
  <conditionalFormatting sqref="I87:I92 I108:I116 I106">
    <cfRule type="containsBlanks" dxfId="4293" priority="4">
      <formula>LEN(TRIM(I87))=0</formula>
    </cfRule>
  </conditionalFormatting>
  <conditionalFormatting sqref="I115">
    <cfRule type="cellIs" dxfId="4292" priority="3" operator="equal">
      <formula>0</formula>
    </cfRule>
  </conditionalFormatting>
  <conditionalFormatting sqref="I94:I105">
    <cfRule type="cellIs" dxfId="4291" priority="2" operator="equal">
      <formula>0</formula>
    </cfRule>
  </conditionalFormatting>
  <conditionalFormatting sqref="I94:I105">
    <cfRule type="containsBlanks" dxfId="4290" priority="1">
      <formula>LEN(TRIM(I94))=0</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39C1-0DAF-4763-B04D-D610A6C4C6CD}">
  <dimension ref="C3:U81"/>
  <sheetViews>
    <sheetView zoomScale="70" zoomScaleNormal="70" workbookViewId="0">
      <selection activeCell="A8" sqref="A8:XFD44"/>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364</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 r="C10" s="706" t="s">
        <v>128</v>
      </c>
      <c r="D10" s="704" t="s">
        <v>42</v>
      </c>
      <c r="E10" s="704" t="s">
        <v>52</v>
      </c>
      <c r="F10" s="704" t="s">
        <v>53</v>
      </c>
      <c r="G10" s="704" t="s">
        <v>487</v>
      </c>
      <c r="H10" s="704" t="s">
        <v>32</v>
      </c>
      <c r="I10" s="704" t="s">
        <v>488</v>
      </c>
      <c r="J10" s="704" t="s">
        <v>20</v>
      </c>
      <c r="K10" s="704" t="s">
        <v>55</v>
      </c>
      <c r="L10" s="708" t="s">
        <v>56</v>
      </c>
      <c r="M10" s="709"/>
      <c r="N10" s="709"/>
      <c r="O10" s="709"/>
      <c r="P10" s="709"/>
      <c r="Q10" s="710"/>
      <c r="R10" s="704" t="s">
        <v>57</v>
      </c>
      <c r="S10" s="704" t="s">
        <v>58</v>
      </c>
      <c r="T10" s="704" t="s">
        <v>31</v>
      </c>
      <c r="U10" s="704" t="s">
        <v>10</v>
      </c>
    </row>
    <row r="11" spans="3:21" ht="36">
      <c r="C11" s="707"/>
      <c r="D11" s="705"/>
      <c r="E11" s="705"/>
      <c r="F11" s="705"/>
      <c r="G11" s="705"/>
      <c r="H11" s="705"/>
      <c r="I11" s="705"/>
      <c r="J11" s="705"/>
      <c r="K11" s="705"/>
      <c r="L11" s="660" t="s">
        <v>338</v>
      </c>
      <c r="M11" s="660" t="s">
        <v>40</v>
      </c>
      <c r="N11" s="660" t="s">
        <v>346</v>
      </c>
      <c r="O11" s="660" t="s">
        <v>347</v>
      </c>
      <c r="P11" s="661" t="s">
        <v>348</v>
      </c>
      <c r="Q11" s="660" t="s">
        <v>349</v>
      </c>
      <c r="R11" s="705"/>
      <c r="S11" s="705"/>
      <c r="T11" s="705"/>
      <c r="U11" s="705"/>
    </row>
    <row r="12" spans="3:21" ht="13">
      <c r="C12" s="662" t="s">
        <v>59</v>
      </c>
      <c r="D12" s="663">
        <v>0</v>
      </c>
      <c r="E12" s="663">
        <v>0</v>
      </c>
      <c r="F12" s="663">
        <v>0</v>
      </c>
      <c r="G12" s="663">
        <v>0</v>
      </c>
      <c r="H12" s="663">
        <v>0</v>
      </c>
      <c r="I12" s="663">
        <v>0</v>
      </c>
      <c r="J12" s="664">
        <v>835.87348477446847</v>
      </c>
      <c r="K12" s="664">
        <v>433.2264513609648</v>
      </c>
      <c r="L12" s="664">
        <v>288.88340552324502</v>
      </c>
      <c r="M12" s="664">
        <v>22.07866786794175</v>
      </c>
      <c r="N12" s="663">
        <v>1.6797912871987437</v>
      </c>
      <c r="O12" s="663">
        <v>0.17065445399605614</v>
      </c>
      <c r="P12" s="664">
        <v>155.82057805919561</v>
      </c>
      <c r="Q12" s="664">
        <v>23.487215011212861</v>
      </c>
      <c r="R12" s="663">
        <v>0</v>
      </c>
      <c r="S12" s="663">
        <v>0</v>
      </c>
      <c r="T12" s="663">
        <v>0</v>
      </c>
      <c r="U12" s="665">
        <v>1761.2202483382232</v>
      </c>
    </row>
    <row r="13" spans="3:21" ht="13">
      <c r="C13" s="662" t="s">
        <v>60</v>
      </c>
      <c r="D13" s="663">
        <v>9.1088960408946864</v>
      </c>
      <c r="E13" s="663">
        <v>190.65660017812178</v>
      </c>
      <c r="F13" s="663">
        <v>2.9590354993625017</v>
      </c>
      <c r="G13" s="663">
        <v>0</v>
      </c>
      <c r="H13" s="663">
        <v>52.772371882452688</v>
      </c>
      <c r="I13" s="663">
        <v>0</v>
      </c>
      <c r="J13" s="663">
        <v>0</v>
      </c>
      <c r="K13" s="663">
        <v>0</v>
      </c>
      <c r="L13" s="663">
        <v>4.8125993033158778</v>
      </c>
      <c r="M13" s="663">
        <v>0</v>
      </c>
      <c r="N13" s="663">
        <v>5.0080801377734332</v>
      </c>
      <c r="O13" s="663">
        <v>0</v>
      </c>
      <c r="P13" s="663">
        <v>0</v>
      </c>
      <c r="Q13" s="663">
        <v>0</v>
      </c>
      <c r="R13" s="663">
        <v>0</v>
      </c>
      <c r="S13" s="663">
        <v>0</v>
      </c>
      <c r="T13" s="663">
        <v>0</v>
      </c>
      <c r="U13" s="665">
        <v>265.31758304192095</v>
      </c>
    </row>
    <row r="14" spans="3:21" ht="13">
      <c r="C14" s="662" t="s">
        <v>61</v>
      </c>
      <c r="D14" s="663">
        <v>0</v>
      </c>
      <c r="E14" s="663">
        <v>0</v>
      </c>
      <c r="F14" s="663">
        <v>-67.846394386464354</v>
      </c>
      <c r="G14" s="663">
        <v>-3.5527136788005009E-15</v>
      </c>
      <c r="H14" s="663">
        <v>0</v>
      </c>
      <c r="I14" s="663">
        <v>0</v>
      </c>
      <c r="J14" s="663">
        <v>0</v>
      </c>
      <c r="K14" s="663">
        <v>0</v>
      </c>
      <c r="L14" s="663">
        <v>0</v>
      </c>
      <c r="M14" s="663">
        <v>0</v>
      </c>
      <c r="N14" s="663">
        <v>0</v>
      </c>
      <c r="O14" s="663">
        <v>0</v>
      </c>
      <c r="P14" s="663">
        <v>0</v>
      </c>
      <c r="Q14" s="663">
        <v>0</v>
      </c>
      <c r="R14" s="663">
        <v>-40.00031821738844</v>
      </c>
      <c r="S14" s="663">
        <v>0</v>
      </c>
      <c r="T14" s="663">
        <v>0</v>
      </c>
      <c r="U14" s="665">
        <v>-107.84671260385279</v>
      </c>
    </row>
    <row r="15" spans="3:21" ht="13">
      <c r="C15" s="662" t="s">
        <v>62</v>
      </c>
      <c r="D15" s="663">
        <v>0</v>
      </c>
      <c r="E15" s="663">
        <v>0</v>
      </c>
      <c r="F15" s="663">
        <v>-5.3541729526260253</v>
      </c>
      <c r="G15" s="663">
        <v>-3.2544454489343884</v>
      </c>
      <c r="H15" s="663">
        <v>-2.154938128893316</v>
      </c>
      <c r="I15" s="663">
        <v>-5.5254823817777333E-2</v>
      </c>
      <c r="J15" s="663">
        <v>0</v>
      </c>
      <c r="K15" s="663">
        <v>0</v>
      </c>
      <c r="L15" s="663">
        <v>0</v>
      </c>
      <c r="M15" s="663">
        <v>0</v>
      </c>
      <c r="N15" s="663">
        <v>-0.28299525642907725</v>
      </c>
      <c r="O15" s="663">
        <v>-3.3152894290666399</v>
      </c>
      <c r="P15" s="663">
        <v>0</v>
      </c>
      <c r="Q15" s="663">
        <v>0</v>
      </c>
      <c r="R15" s="663">
        <v>0</v>
      </c>
      <c r="S15" s="663">
        <v>0</v>
      </c>
      <c r="T15" s="663">
        <v>0</v>
      </c>
      <c r="U15" s="665">
        <v>-14.417096039767225</v>
      </c>
    </row>
    <row r="16" spans="3:21" ht="13">
      <c r="C16" s="662" t="s">
        <v>63</v>
      </c>
      <c r="D16" s="663">
        <v>0</v>
      </c>
      <c r="E16" s="663">
        <v>0</v>
      </c>
      <c r="F16" s="663">
        <v>-38.578656039955483</v>
      </c>
      <c r="G16" s="663">
        <v>-13.893394907220655</v>
      </c>
      <c r="H16" s="663">
        <v>0</v>
      </c>
      <c r="I16" s="663">
        <v>0</v>
      </c>
      <c r="J16" s="663">
        <v>0</v>
      </c>
      <c r="K16" s="663">
        <v>0</v>
      </c>
      <c r="L16" s="663">
        <v>0</v>
      </c>
      <c r="M16" s="663">
        <v>0</v>
      </c>
      <c r="N16" s="663">
        <v>-13.893394907220655</v>
      </c>
      <c r="O16" s="663">
        <v>0</v>
      </c>
      <c r="P16" s="663">
        <v>0</v>
      </c>
      <c r="Q16" s="663">
        <v>0</v>
      </c>
      <c r="R16" s="663">
        <v>0</v>
      </c>
      <c r="S16" s="663">
        <v>0</v>
      </c>
      <c r="T16" s="663">
        <v>-1.3953345659196588</v>
      </c>
      <c r="U16" s="665">
        <v>-67.760780420316451</v>
      </c>
    </row>
    <row r="17" spans="3:21" ht="13">
      <c r="C17" s="662" t="s">
        <v>64</v>
      </c>
      <c r="D17" s="663">
        <v>0</v>
      </c>
      <c r="E17" s="663">
        <v>0</v>
      </c>
      <c r="F17" s="663">
        <v>0</v>
      </c>
      <c r="G17" s="663">
        <v>0</v>
      </c>
      <c r="H17" s="663">
        <v>0</v>
      </c>
      <c r="I17" s="663">
        <v>0</v>
      </c>
      <c r="J17" s="663">
        <v>0</v>
      </c>
      <c r="K17" s="663">
        <v>0</v>
      </c>
      <c r="L17" s="663">
        <v>0</v>
      </c>
      <c r="M17" s="663">
        <v>0</v>
      </c>
      <c r="N17" s="663">
        <v>0</v>
      </c>
      <c r="O17" s="663">
        <v>0</v>
      </c>
      <c r="P17" s="663">
        <v>0</v>
      </c>
      <c r="Q17" s="663">
        <v>0</v>
      </c>
      <c r="R17" s="663">
        <v>0</v>
      </c>
      <c r="S17" s="663">
        <v>0</v>
      </c>
      <c r="T17" s="663">
        <v>0</v>
      </c>
      <c r="U17" s="665">
        <v>0</v>
      </c>
    </row>
    <row r="18" spans="3:21" ht="13">
      <c r="C18" s="666" t="s">
        <v>65</v>
      </c>
      <c r="D18" s="667">
        <v>9.1088960408946864</v>
      </c>
      <c r="E18" s="667">
        <v>190.65660017812178</v>
      </c>
      <c r="F18" s="667">
        <v>-108.82018787968336</v>
      </c>
      <c r="G18" s="667">
        <v>-17.147840356155047</v>
      </c>
      <c r="H18" s="675">
        <v>50.617433753559375</v>
      </c>
      <c r="I18" s="667">
        <v>-5.5254823817777333E-2</v>
      </c>
      <c r="J18" s="667">
        <v>835.87348477446847</v>
      </c>
      <c r="K18" s="667">
        <v>433.2264513609648</v>
      </c>
      <c r="L18" s="667">
        <v>293.69600482656091</v>
      </c>
      <c r="M18" s="667">
        <v>22.07866786794175</v>
      </c>
      <c r="N18" s="667">
        <v>-7.4885187386775538</v>
      </c>
      <c r="O18" s="667">
        <v>-3.1446349750705838</v>
      </c>
      <c r="P18" s="667">
        <v>155.82057805919561</v>
      </c>
      <c r="Q18" s="667">
        <v>23.487215011212861</v>
      </c>
      <c r="R18" s="667">
        <v>-40.00031821738844</v>
      </c>
      <c r="S18" s="667">
        <v>0</v>
      </c>
      <c r="T18" s="667">
        <v>-1.3953345659196588</v>
      </c>
      <c r="U18" s="667">
        <v>1836.5132423162074</v>
      </c>
    </row>
    <row r="19" spans="3:21" ht="13">
      <c r="C19" s="668"/>
      <c r="D19" s="669">
        <v>0</v>
      </c>
      <c r="E19" s="669">
        <v>0</v>
      </c>
      <c r="F19" s="669">
        <v>0</v>
      </c>
      <c r="G19" s="669">
        <v>0</v>
      </c>
      <c r="H19" s="676">
        <v>0</v>
      </c>
      <c r="I19" s="669">
        <v>0</v>
      </c>
      <c r="J19" s="669">
        <v>0</v>
      </c>
      <c r="K19" s="669">
        <v>0</v>
      </c>
      <c r="L19" s="669">
        <v>0</v>
      </c>
      <c r="M19" s="669">
        <v>0</v>
      </c>
      <c r="N19" s="669">
        <v>0</v>
      </c>
      <c r="O19" s="669">
        <v>0</v>
      </c>
      <c r="P19" s="669">
        <v>0</v>
      </c>
      <c r="Q19" s="669">
        <v>0</v>
      </c>
      <c r="R19" s="669">
        <v>0</v>
      </c>
      <c r="S19" s="669">
        <v>0</v>
      </c>
      <c r="T19" s="669">
        <v>0</v>
      </c>
      <c r="U19" s="669">
        <v>0</v>
      </c>
    </row>
    <row r="20" spans="3:21" ht="13">
      <c r="C20" s="670" t="s">
        <v>67</v>
      </c>
      <c r="D20" s="663">
        <v>0</v>
      </c>
      <c r="E20" s="663">
        <v>0</v>
      </c>
      <c r="F20" s="663">
        <v>0</v>
      </c>
      <c r="G20" s="663">
        <v>0</v>
      </c>
      <c r="H20" s="663">
        <v>0</v>
      </c>
      <c r="I20" s="663">
        <v>0</v>
      </c>
      <c r="J20" s="663">
        <v>0</v>
      </c>
      <c r="K20" s="663">
        <v>0</v>
      </c>
      <c r="L20" s="663">
        <v>0</v>
      </c>
      <c r="M20" s="663">
        <v>0</v>
      </c>
      <c r="N20" s="663">
        <v>0</v>
      </c>
      <c r="O20" s="663">
        <v>0</v>
      </c>
      <c r="P20" s="663">
        <v>0</v>
      </c>
      <c r="Q20" s="663">
        <v>0</v>
      </c>
      <c r="R20" s="663">
        <v>0</v>
      </c>
      <c r="S20" s="663">
        <v>0</v>
      </c>
      <c r="T20" s="663">
        <v>0</v>
      </c>
      <c r="U20" s="671">
        <v>0</v>
      </c>
    </row>
    <row r="21" spans="3:21" ht="13">
      <c r="C21" s="670" t="s">
        <v>350</v>
      </c>
      <c r="D21" s="663">
        <v>0</v>
      </c>
      <c r="E21" s="663">
        <v>0</v>
      </c>
      <c r="F21" s="663">
        <v>0</v>
      </c>
      <c r="G21" s="663">
        <v>0</v>
      </c>
      <c r="H21" s="663">
        <v>0</v>
      </c>
      <c r="I21" s="663">
        <v>0</v>
      </c>
      <c r="J21" s="663">
        <v>835.87348477446847</v>
      </c>
      <c r="K21" s="663">
        <v>433.2264513609648</v>
      </c>
      <c r="L21" s="663">
        <v>14.188154051569427</v>
      </c>
      <c r="M21" s="663">
        <v>5.3742483693021068</v>
      </c>
      <c r="N21" s="663">
        <v>6.3451610040287907</v>
      </c>
      <c r="O21" s="663">
        <v>0.11419280490868838</v>
      </c>
      <c r="P21" s="663">
        <v>0</v>
      </c>
      <c r="Q21" s="663">
        <v>6.4766550958451852</v>
      </c>
      <c r="R21" s="663">
        <v>-726.93629039774203</v>
      </c>
      <c r="S21" s="663">
        <v>0</v>
      </c>
      <c r="T21" s="663">
        <v>11.298964449788109</v>
      </c>
      <c r="U21" s="671">
        <v>585.96102151313323</v>
      </c>
    </row>
    <row r="22" spans="3:21" ht="13">
      <c r="C22" s="670" t="s">
        <v>351</v>
      </c>
      <c r="D22" s="663">
        <v>0</v>
      </c>
      <c r="E22" s="663">
        <v>0</v>
      </c>
      <c r="F22" s="663">
        <v>0</v>
      </c>
      <c r="G22" s="663">
        <v>0</v>
      </c>
      <c r="H22" s="663">
        <v>3.2711110414405256</v>
      </c>
      <c r="I22" s="663">
        <v>0</v>
      </c>
      <c r="J22" s="663">
        <v>0</v>
      </c>
      <c r="K22" s="663">
        <v>0</v>
      </c>
      <c r="L22" s="663">
        <v>34.963821149394811</v>
      </c>
      <c r="M22" s="663">
        <v>14.476121269049287</v>
      </c>
      <c r="N22" s="663">
        <v>0</v>
      </c>
      <c r="O22" s="663">
        <v>7.6477038720835147</v>
      </c>
      <c r="P22" s="663">
        <v>0</v>
      </c>
      <c r="Q22" s="663">
        <v>11.276034288959668</v>
      </c>
      <c r="R22" s="663">
        <v>0</v>
      </c>
      <c r="S22" s="663">
        <v>-67.494467143680438</v>
      </c>
      <c r="T22" s="663">
        <v>0</v>
      </c>
      <c r="U22" s="671">
        <v>4.1403244772473649</v>
      </c>
    </row>
    <row r="23" spans="3:21" ht="13">
      <c r="C23" s="670" t="s">
        <v>352</v>
      </c>
      <c r="D23" s="663">
        <v>0</v>
      </c>
      <c r="E23" s="663">
        <v>0</v>
      </c>
      <c r="F23" s="663">
        <v>0</v>
      </c>
      <c r="G23" s="663">
        <v>0</v>
      </c>
      <c r="H23" s="663">
        <v>0</v>
      </c>
      <c r="I23" s="663">
        <v>0</v>
      </c>
      <c r="J23" s="663">
        <v>0</v>
      </c>
      <c r="K23" s="663">
        <v>0</v>
      </c>
      <c r="L23" s="663">
        <v>85.030807044207506</v>
      </c>
      <c r="M23" s="663">
        <v>0</v>
      </c>
      <c r="N23" s="663">
        <v>0</v>
      </c>
      <c r="O23" s="663">
        <v>-80.149276434896436</v>
      </c>
      <c r="P23" s="663">
        <v>0</v>
      </c>
      <c r="Q23" s="663">
        <v>0</v>
      </c>
      <c r="R23" s="663">
        <v>0</v>
      </c>
      <c r="S23" s="663">
        <v>0</v>
      </c>
      <c r="T23" s="663">
        <v>0</v>
      </c>
      <c r="U23" s="671">
        <v>4.8815306093110706</v>
      </c>
    </row>
    <row r="24" spans="3:21" ht="13">
      <c r="C24" s="670" t="s">
        <v>353</v>
      </c>
      <c r="D24" s="663">
        <v>0</v>
      </c>
      <c r="E24" s="663">
        <v>0</v>
      </c>
      <c r="F24" s="663">
        <v>0</v>
      </c>
      <c r="G24" s="663">
        <v>0</v>
      </c>
      <c r="H24" s="663">
        <v>0</v>
      </c>
      <c r="I24" s="663">
        <v>-1.1466991714325052</v>
      </c>
      <c r="J24" s="663">
        <v>0</v>
      </c>
      <c r="K24" s="663">
        <v>0</v>
      </c>
      <c r="L24" s="663">
        <v>0</v>
      </c>
      <c r="M24" s="663">
        <v>0</v>
      </c>
      <c r="N24" s="663">
        <v>0</v>
      </c>
      <c r="O24" s="663">
        <v>0</v>
      </c>
      <c r="P24" s="663">
        <v>0</v>
      </c>
      <c r="Q24" s="663">
        <v>0</v>
      </c>
      <c r="R24" s="663">
        <v>0</v>
      </c>
      <c r="S24" s="663">
        <v>0</v>
      </c>
      <c r="T24" s="663">
        <v>1.5966000387788533</v>
      </c>
      <c r="U24" s="671">
        <v>0.44990086734634804</v>
      </c>
    </row>
    <row r="25" spans="3:21" ht="13">
      <c r="C25" s="670" t="s">
        <v>72</v>
      </c>
      <c r="D25" s="663">
        <v>0</v>
      </c>
      <c r="E25" s="663">
        <v>197.54631533572405</v>
      </c>
      <c r="F25" s="663">
        <v>-195.57532355071015</v>
      </c>
      <c r="G25" s="663">
        <v>0</v>
      </c>
      <c r="H25" s="663">
        <v>0</v>
      </c>
      <c r="I25" s="663">
        <v>0</v>
      </c>
      <c r="J25" s="663">
        <v>0</v>
      </c>
      <c r="K25" s="663">
        <v>0</v>
      </c>
      <c r="L25" s="663">
        <v>0</v>
      </c>
      <c r="M25" s="663">
        <v>0</v>
      </c>
      <c r="N25" s="663">
        <v>0</v>
      </c>
      <c r="O25" s="663">
        <v>0</v>
      </c>
      <c r="P25" s="663">
        <v>0</v>
      </c>
      <c r="Q25" s="663">
        <v>0</v>
      </c>
      <c r="R25" s="663">
        <v>0</v>
      </c>
      <c r="S25" s="663">
        <v>0</v>
      </c>
      <c r="T25" s="663">
        <v>0</v>
      </c>
      <c r="U25" s="671">
        <v>1.9709917850139052</v>
      </c>
    </row>
    <row r="26" spans="3:21" ht="13">
      <c r="C26" s="670" t="s">
        <v>354</v>
      </c>
      <c r="D26" s="663">
        <v>0</v>
      </c>
      <c r="E26" s="663">
        <v>0</v>
      </c>
      <c r="F26" s="663">
        <v>0</v>
      </c>
      <c r="G26" s="663">
        <v>0</v>
      </c>
      <c r="H26" s="663">
        <v>0</v>
      </c>
      <c r="I26" s="663">
        <v>0</v>
      </c>
      <c r="J26" s="663">
        <v>0</v>
      </c>
      <c r="K26" s="663">
        <v>0</v>
      </c>
      <c r="L26" s="663">
        <v>104.32434467350188</v>
      </c>
      <c r="M26" s="663">
        <v>0</v>
      </c>
      <c r="N26" s="663">
        <v>-104.32434467350188</v>
      </c>
      <c r="O26" s="663">
        <v>0</v>
      </c>
      <c r="P26" s="663">
        <v>0</v>
      </c>
      <c r="Q26" s="663">
        <v>0</v>
      </c>
      <c r="R26" s="663">
        <v>0</v>
      </c>
      <c r="S26" s="663">
        <v>0</v>
      </c>
      <c r="T26" s="663">
        <v>0</v>
      </c>
      <c r="U26" s="671">
        <v>0</v>
      </c>
    </row>
    <row r="27" spans="3:21" ht="13">
      <c r="C27" s="670" t="s">
        <v>355</v>
      </c>
      <c r="D27" s="663">
        <v>0</v>
      </c>
      <c r="E27" s="663">
        <v>0</v>
      </c>
      <c r="F27" s="663">
        <v>0</v>
      </c>
      <c r="G27" s="663">
        <v>-28.456538558191252</v>
      </c>
      <c r="H27" s="663">
        <v>0</v>
      </c>
      <c r="I27" s="663">
        <v>0</v>
      </c>
      <c r="J27" s="663">
        <v>0</v>
      </c>
      <c r="K27" s="663">
        <v>0</v>
      </c>
      <c r="L27" s="663">
        <v>0</v>
      </c>
      <c r="M27" s="663">
        <v>0</v>
      </c>
      <c r="N27" s="663">
        <v>0</v>
      </c>
      <c r="O27" s="663">
        <v>0</v>
      </c>
      <c r="P27" s="663">
        <v>0</v>
      </c>
      <c r="Q27" s="663">
        <v>0</v>
      </c>
      <c r="R27" s="663">
        <v>0</v>
      </c>
      <c r="S27" s="663">
        <v>0</v>
      </c>
      <c r="T27" s="663">
        <v>39.633062058762192</v>
      </c>
      <c r="U27" s="671">
        <v>11.176523500570941</v>
      </c>
    </row>
    <row r="28" spans="3:21" ht="13">
      <c r="C28" s="670" t="s">
        <v>73</v>
      </c>
      <c r="D28" s="663">
        <v>0</v>
      </c>
      <c r="E28" s="663">
        <v>0</v>
      </c>
      <c r="F28" s="663">
        <v>0</v>
      </c>
      <c r="G28" s="663">
        <v>0</v>
      </c>
      <c r="H28" s="663">
        <v>0</v>
      </c>
      <c r="I28" s="663">
        <v>0</v>
      </c>
      <c r="J28" s="663">
        <v>0</v>
      </c>
      <c r="K28" s="663">
        <v>0</v>
      </c>
      <c r="L28" s="663">
        <v>0</v>
      </c>
      <c r="M28" s="663">
        <v>0</v>
      </c>
      <c r="N28" s="663">
        <v>0</v>
      </c>
      <c r="O28" s="663">
        <v>0</v>
      </c>
      <c r="P28" s="663">
        <v>0</v>
      </c>
      <c r="Q28" s="663">
        <v>0</v>
      </c>
      <c r="R28" s="663">
        <v>137.29765828865015</v>
      </c>
      <c r="S28" s="663">
        <v>0</v>
      </c>
      <c r="T28" s="663">
        <v>-96.451604947776744</v>
      </c>
      <c r="U28" s="671">
        <v>40.846053340873411</v>
      </c>
    </row>
    <row r="29" spans="3:21" ht="13">
      <c r="C29" s="670" t="s">
        <v>356</v>
      </c>
      <c r="D29" s="663">
        <v>5.0092797656249992</v>
      </c>
      <c r="E29" s="663">
        <v>-6.8897151576022866</v>
      </c>
      <c r="F29" s="663">
        <v>8.9891621815142653</v>
      </c>
      <c r="G29" s="663">
        <v>0</v>
      </c>
      <c r="H29" s="663">
        <v>0</v>
      </c>
      <c r="I29" s="663">
        <v>0</v>
      </c>
      <c r="J29" s="663">
        <v>0</v>
      </c>
      <c r="K29" s="663">
        <v>0</v>
      </c>
      <c r="L29" s="663">
        <v>0</v>
      </c>
      <c r="M29" s="663">
        <v>0</v>
      </c>
      <c r="N29" s="663">
        <v>0</v>
      </c>
      <c r="O29" s="663">
        <v>0</v>
      </c>
      <c r="P29" s="663">
        <v>0</v>
      </c>
      <c r="Q29" s="663">
        <v>0</v>
      </c>
      <c r="R29" s="663">
        <v>0</v>
      </c>
      <c r="S29" s="663">
        <v>0</v>
      </c>
      <c r="T29" s="663">
        <v>0</v>
      </c>
      <c r="U29" s="671">
        <v>7.1087267895369788</v>
      </c>
    </row>
    <row r="30" spans="3:21" ht="13">
      <c r="C30" s="670" t="s">
        <v>75</v>
      </c>
      <c r="D30" s="663">
        <v>1.9480532421875001</v>
      </c>
      <c r="E30" s="663">
        <v>0</v>
      </c>
      <c r="F30" s="663">
        <v>17.132121990826434</v>
      </c>
      <c r="G30" s="663">
        <v>0</v>
      </c>
      <c r="H30" s="663">
        <v>1.9377811160090992</v>
      </c>
      <c r="I30" s="663">
        <v>4.9686695282284594E-2</v>
      </c>
      <c r="J30" s="663">
        <v>0</v>
      </c>
      <c r="K30" s="663">
        <v>0</v>
      </c>
      <c r="L30" s="663">
        <v>0</v>
      </c>
      <c r="M30" s="663">
        <v>0</v>
      </c>
      <c r="N30" s="663">
        <v>0</v>
      </c>
      <c r="O30" s="663">
        <v>2.9812017169370755</v>
      </c>
      <c r="P30" s="663">
        <v>0</v>
      </c>
      <c r="Q30" s="663">
        <v>0</v>
      </c>
      <c r="R30" s="663">
        <v>20.439487728936754</v>
      </c>
      <c r="S30" s="663">
        <v>0</v>
      </c>
      <c r="T30" s="663">
        <v>0</v>
      </c>
      <c r="U30" s="671">
        <v>44.488332490179147</v>
      </c>
    </row>
    <row r="31" spans="3:21" ht="13">
      <c r="C31" s="670" t="s">
        <v>76</v>
      </c>
      <c r="D31" s="663">
        <v>0</v>
      </c>
      <c r="E31" s="663">
        <v>0</v>
      </c>
      <c r="F31" s="663">
        <v>0</v>
      </c>
      <c r="G31" s="663">
        <v>0</v>
      </c>
      <c r="H31" s="663">
        <v>0.58071595304039991</v>
      </c>
      <c r="I31" s="663">
        <v>1.4890152642061536E-2</v>
      </c>
      <c r="J31" s="663">
        <v>0</v>
      </c>
      <c r="K31" s="663">
        <v>0</v>
      </c>
      <c r="L31" s="663">
        <v>0</v>
      </c>
      <c r="M31" s="663">
        <v>0</v>
      </c>
      <c r="N31" s="663">
        <v>0</v>
      </c>
      <c r="O31" s="663">
        <v>0.89340915852369218</v>
      </c>
      <c r="P31" s="663">
        <v>0</v>
      </c>
      <c r="Q31" s="663">
        <v>0</v>
      </c>
      <c r="R31" s="663">
        <v>52.564064229351587</v>
      </c>
      <c r="S31" s="663">
        <v>5.2350040213197584</v>
      </c>
      <c r="T31" s="663">
        <v>0</v>
      </c>
      <c r="U31" s="671">
        <v>59.288083514877499</v>
      </c>
    </row>
    <row r="32" spans="3:21" ht="13">
      <c r="C32" s="666" t="s">
        <v>77</v>
      </c>
      <c r="D32" s="667">
        <v>6.9573330078124993</v>
      </c>
      <c r="E32" s="667">
        <v>190.65660017812178</v>
      </c>
      <c r="F32" s="667">
        <v>-169.45403937836946</v>
      </c>
      <c r="G32" s="667">
        <v>-28.456538558191252</v>
      </c>
      <c r="H32" s="675">
        <v>5.7896081104900246</v>
      </c>
      <c r="I32" s="667">
        <v>-1.0821223235081592</v>
      </c>
      <c r="J32" s="667">
        <v>835.87348477446847</v>
      </c>
      <c r="K32" s="667">
        <v>433.2264513609648</v>
      </c>
      <c r="L32" s="667">
        <v>238.50712691867363</v>
      </c>
      <c r="M32" s="667">
        <v>19.850369638351395</v>
      </c>
      <c r="N32" s="667">
        <v>-97.979183669473088</v>
      </c>
      <c r="O32" s="667">
        <v>-68.512768882443467</v>
      </c>
      <c r="P32" s="667">
        <v>0</v>
      </c>
      <c r="Q32" s="667">
        <v>17.752689384804853</v>
      </c>
      <c r="R32" s="667">
        <v>-516.63508015080356</v>
      </c>
      <c r="S32" s="667">
        <v>-62.259463122360671</v>
      </c>
      <c r="T32" s="667">
        <v>-43.92297840044759</v>
      </c>
      <c r="U32" s="667">
        <v>760.31148888809003</v>
      </c>
    </row>
    <row r="33" spans="3:21" ht="13">
      <c r="C33" s="668"/>
      <c r="D33" s="669">
        <v>0</v>
      </c>
      <c r="E33" s="669">
        <v>0</v>
      </c>
      <c r="F33" s="669">
        <v>0</v>
      </c>
      <c r="G33" s="669">
        <v>0</v>
      </c>
      <c r="H33" s="676">
        <v>0</v>
      </c>
      <c r="I33" s="669">
        <v>0</v>
      </c>
      <c r="J33" s="669">
        <v>0</v>
      </c>
      <c r="K33" s="669">
        <v>0</v>
      </c>
      <c r="L33" s="669">
        <v>0</v>
      </c>
      <c r="M33" s="669">
        <v>0</v>
      </c>
      <c r="N33" s="669">
        <v>0</v>
      </c>
      <c r="O33" s="669">
        <v>0</v>
      </c>
      <c r="P33" s="669">
        <v>0</v>
      </c>
      <c r="Q33" s="669">
        <v>0</v>
      </c>
      <c r="R33" s="669">
        <v>0</v>
      </c>
      <c r="S33" s="669">
        <v>0</v>
      </c>
      <c r="T33" s="669">
        <v>0</v>
      </c>
      <c r="U33" s="669">
        <v>0</v>
      </c>
    </row>
    <row r="34" spans="3:21" ht="13">
      <c r="C34" s="670" t="s">
        <v>78</v>
      </c>
      <c r="D34" s="663">
        <v>2.1515630330821871</v>
      </c>
      <c r="E34" s="663">
        <v>0</v>
      </c>
      <c r="F34" s="663">
        <v>1.9729303012498745</v>
      </c>
      <c r="G34" s="663">
        <v>0</v>
      </c>
      <c r="H34" s="663">
        <v>17.624600662262115</v>
      </c>
      <c r="I34" s="663">
        <v>0.45191283749390032</v>
      </c>
      <c r="J34" s="663">
        <v>0</v>
      </c>
      <c r="K34" s="663">
        <v>0</v>
      </c>
      <c r="L34" s="663">
        <v>19.327819378703428</v>
      </c>
      <c r="M34" s="663">
        <v>2.2279514023281117</v>
      </c>
      <c r="N34" s="663">
        <v>2.6644658203125</v>
      </c>
      <c r="O34" s="663">
        <v>27.156120456665761</v>
      </c>
      <c r="P34" s="663">
        <v>9.6085478515625002</v>
      </c>
      <c r="Q34" s="663">
        <v>8.4299170840015686E-4</v>
      </c>
      <c r="R34" s="663">
        <v>135.80773886663795</v>
      </c>
      <c r="S34" s="663">
        <v>18.436108583667494</v>
      </c>
      <c r="T34" s="663">
        <v>6.3938178710937503</v>
      </c>
      <c r="U34" s="671">
        <v>243.82442005676796</v>
      </c>
    </row>
    <row r="35" spans="3:21" ht="13">
      <c r="C35" s="670" t="s">
        <v>79</v>
      </c>
      <c r="D35" s="663">
        <v>0</v>
      </c>
      <c r="E35" s="663">
        <v>0</v>
      </c>
      <c r="F35" s="663">
        <v>5.1934680094593588</v>
      </c>
      <c r="G35" s="663">
        <v>1.7577012997845347</v>
      </c>
      <c r="H35" s="663">
        <v>2.152977175631825</v>
      </c>
      <c r="I35" s="663">
        <v>5.5204542964918585E-2</v>
      </c>
      <c r="J35" s="663">
        <v>0</v>
      </c>
      <c r="K35" s="663">
        <v>0</v>
      </c>
      <c r="L35" s="663">
        <v>0</v>
      </c>
      <c r="M35" s="663">
        <v>0</v>
      </c>
      <c r="N35" s="663">
        <v>51.143075106834317</v>
      </c>
      <c r="O35" s="663">
        <v>3.312272577895115</v>
      </c>
      <c r="P35" s="663">
        <v>0</v>
      </c>
      <c r="Q35" s="663">
        <v>0</v>
      </c>
      <c r="R35" s="663">
        <v>104.19646172854269</v>
      </c>
      <c r="S35" s="663">
        <v>0</v>
      </c>
      <c r="T35" s="663">
        <v>4.7641609973157095</v>
      </c>
      <c r="U35" s="671">
        <v>172.57532143842849</v>
      </c>
    </row>
    <row r="36" spans="3:21" ht="13">
      <c r="C36" s="670" t="s">
        <v>80</v>
      </c>
      <c r="D36" s="663">
        <v>0</v>
      </c>
      <c r="E36" s="663">
        <v>0</v>
      </c>
      <c r="F36" s="663">
        <v>0.32079919308121357</v>
      </c>
      <c r="G36" s="663">
        <v>0</v>
      </c>
      <c r="H36" s="663">
        <v>12.69993934515486</v>
      </c>
      <c r="I36" s="663">
        <v>0.32563947038858615</v>
      </c>
      <c r="J36" s="663">
        <v>0</v>
      </c>
      <c r="K36" s="663">
        <v>0</v>
      </c>
      <c r="L36" s="663">
        <v>30.989297403436193</v>
      </c>
      <c r="M36" s="663">
        <v>0</v>
      </c>
      <c r="N36" s="663">
        <v>0</v>
      </c>
      <c r="O36" s="663">
        <v>19.538368223315167</v>
      </c>
      <c r="P36" s="663">
        <v>117.54725011788614</v>
      </c>
      <c r="Q36" s="663">
        <v>2.9888036499995505</v>
      </c>
      <c r="R36" s="663">
        <v>139.69858105781077</v>
      </c>
      <c r="S36" s="663">
        <v>24.846536847991327</v>
      </c>
      <c r="T36" s="663">
        <v>0</v>
      </c>
      <c r="U36" s="671">
        <v>348.95521530906382</v>
      </c>
    </row>
    <row r="37" spans="3:21" ht="13">
      <c r="C37" s="670" t="s">
        <v>81</v>
      </c>
      <c r="D37" s="663">
        <v>0</v>
      </c>
      <c r="E37" s="663">
        <v>0</v>
      </c>
      <c r="F37" s="663">
        <v>0.73542128008657859</v>
      </c>
      <c r="G37" s="663">
        <v>0</v>
      </c>
      <c r="H37" s="663">
        <v>6.9022329775494073</v>
      </c>
      <c r="I37" s="663">
        <v>0.17698033275767711</v>
      </c>
      <c r="J37" s="663">
        <v>0</v>
      </c>
      <c r="K37" s="663">
        <v>0</v>
      </c>
      <c r="L37" s="663">
        <v>0.37326901233115406</v>
      </c>
      <c r="M37" s="663">
        <v>3.4682726224379159E-4</v>
      </c>
      <c r="N37" s="663">
        <v>0</v>
      </c>
      <c r="O37" s="663">
        <v>10.618819965460625</v>
      </c>
      <c r="P37" s="663">
        <v>27.414780089746973</v>
      </c>
      <c r="Q37" s="663">
        <v>1.0008652914522365</v>
      </c>
      <c r="R37" s="663">
        <v>86.91432505661372</v>
      </c>
      <c r="S37" s="663">
        <v>18.976817690701857</v>
      </c>
      <c r="T37" s="663">
        <v>0</v>
      </c>
      <c r="U37" s="671">
        <v>153.11385852396248</v>
      </c>
    </row>
    <row r="38" spans="3:21" ht="13">
      <c r="C38" s="670" t="s">
        <v>82</v>
      </c>
      <c r="D38" s="663">
        <v>0</v>
      </c>
      <c r="E38" s="663">
        <v>0</v>
      </c>
      <c r="F38" s="663">
        <v>1.7660543125979742</v>
      </c>
      <c r="G38" s="663">
        <v>1.6775006918768405</v>
      </c>
      <c r="H38" s="663">
        <v>0.66808232732668293</v>
      </c>
      <c r="I38" s="663">
        <v>1.7130316085299562E-2</v>
      </c>
      <c r="J38" s="663">
        <v>0</v>
      </c>
      <c r="K38" s="663">
        <v>0</v>
      </c>
      <c r="L38" s="663">
        <v>3.9742935582164471</v>
      </c>
      <c r="M38" s="663">
        <v>0</v>
      </c>
      <c r="N38" s="663">
        <v>17.824426087880788</v>
      </c>
      <c r="O38" s="663">
        <v>1.0278189651179737</v>
      </c>
      <c r="P38" s="663">
        <v>1.25</v>
      </c>
      <c r="Q38" s="663">
        <v>1.7440136932478227</v>
      </c>
      <c r="R38" s="663">
        <v>7.8035752238100597</v>
      </c>
      <c r="S38" s="663">
        <v>0</v>
      </c>
      <c r="T38" s="663">
        <v>0.38427420359697795</v>
      </c>
      <c r="U38" s="671">
        <v>38.13716937975687</v>
      </c>
    </row>
    <row r="39" spans="3:21" ht="13">
      <c r="C39" s="670" t="s">
        <v>357</v>
      </c>
      <c r="D39" s="663">
        <v>0</v>
      </c>
      <c r="E39" s="663">
        <v>0</v>
      </c>
      <c r="F39" s="663">
        <v>0</v>
      </c>
      <c r="G39" s="663">
        <v>0</v>
      </c>
      <c r="H39" s="663">
        <v>0</v>
      </c>
      <c r="I39" s="663">
        <v>0</v>
      </c>
      <c r="J39" s="663">
        <v>0</v>
      </c>
      <c r="K39" s="663">
        <v>0</v>
      </c>
      <c r="L39" s="663">
        <v>0</v>
      </c>
      <c r="M39" s="663">
        <v>0</v>
      </c>
      <c r="N39" s="663">
        <v>0</v>
      </c>
      <c r="O39" s="663">
        <v>0</v>
      </c>
      <c r="P39" s="663">
        <v>0</v>
      </c>
      <c r="Q39" s="663">
        <v>0</v>
      </c>
      <c r="R39" s="663">
        <v>2.21408</v>
      </c>
      <c r="S39" s="663">
        <v>0</v>
      </c>
      <c r="T39" s="663">
        <v>0</v>
      </c>
      <c r="U39" s="671">
        <v>2.21408</v>
      </c>
    </row>
    <row r="40" spans="3:21" ht="13">
      <c r="C40" s="666" t="s">
        <v>83</v>
      </c>
      <c r="D40" s="667">
        <v>2.1515630330821871</v>
      </c>
      <c r="E40" s="667">
        <v>0</v>
      </c>
      <c r="F40" s="667">
        <v>9.9886730964750008</v>
      </c>
      <c r="G40" s="667">
        <v>3.4352019916613754</v>
      </c>
      <c r="H40" s="675">
        <v>40.047832487924893</v>
      </c>
      <c r="I40" s="667">
        <v>1.0268674996903817</v>
      </c>
      <c r="J40" s="667">
        <v>0</v>
      </c>
      <c r="K40" s="667">
        <v>0</v>
      </c>
      <c r="L40" s="667">
        <v>54.664679352687223</v>
      </c>
      <c r="M40" s="667">
        <v>2.2282982295903557</v>
      </c>
      <c r="N40" s="667">
        <v>71.631967015027612</v>
      </c>
      <c r="O40" s="667">
        <v>61.65340018845464</v>
      </c>
      <c r="P40" s="667">
        <v>155.82057805919561</v>
      </c>
      <c r="Q40" s="667">
        <v>5.7345256264080096</v>
      </c>
      <c r="R40" s="667">
        <v>476.63476193341518</v>
      </c>
      <c r="S40" s="667">
        <v>62.259463122360671</v>
      </c>
      <c r="T40" s="667">
        <v>11.542253072006439</v>
      </c>
      <c r="U40" s="667">
        <v>958.82006470797955</v>
      </c>
    </row>
    <row r="41" spans="3:21" ht="13">
      <c r="C41" s="662" t="s">
        <v>84</v>
      </c>
      <c r="D41" s="663">
        <v>0</v>
      </c>
      <c r="E41" s="663">
        <v>0</v>
      </c>
      <c r="F41" s="663">
        <v>50.64517840221108</v>
      </c>
      <c r="G41" s="663">
        <v>7.8734962103748298</v>
      </c>
      <c r="H41" s="663">
        <v>4.7799931551444459</v>
      </c>
      <c r="I41" s="663">
        <v>0</v>
      </c>
      <c r="J41" s="663">
        <v>0</v>
      </c>
      <c r="K41" s="663">
        <v>0</v>
      </c>
      <c r="L41" s="663">
        <v>0.52419855520004055</v>
      </c>
      <c r="M41" s="663">
        <v>0</v>
      </c>
      <c r="N41" s="663">
        <v>18.858697915767927</v>
      </c>
      <c r="O41" s="663">
        <v>3.7147337189182332</v>
      </c>
      <c r="P41" s="663">
        <v>0</v>
      </c>
      <c r="Q41" s="663">
        <v>0</v>
      </c>
      <c r="R41" s="663">
        <v>0</v>
      </c>
      <c r="S41" s="663">
        <v>0</v>
      </c>
      <c r="T41" s="663">
        <v>30.985390762521494</v>
      </c>
      <c r="U41" s="671">
        <v>117.38168872013804</v>
      </c>
    </row>
    <row r="42" spans="3:21" ht="13">
      <c r="C42" s="666" t="s">
        <v>85</v>
      </c>
      <c r="D42" s="667">
        <v>2.1515630330821871</v>
      </c>
      <c r="E42" s="667">
        <v>0</v>
      </c>
      <c r="F42" s="667">
        <v>60.633851498686084</v>
      </c>
      <c r="G42" s="667">
        <v>11.308698202036204</v>
      </c>
      <c r="H42" s="675">
        <v>44.827825643069339</v>
      </c>
      <c r="I42" s="667">
        <v>1.0268674996903817</v>
      </c>
      <c r="J42" s="667">
        <v>0</v>
      </c>
      <c r="K42" s="667">
        <v>0</v>
      </c>
      <c r="L42" s="667">
        <v>55.18887790788726</v>
      </c>
      <c r="M42" s="667">
        <v>2.2282982295903557</v>
      </c>
      <c r="N42" s="667">
        <v>90.490664930795546</v>
      </c>
      <c r="O42" s="667">
        <v>65.368133907372865</v>
      </c>
      <c r="P42" s="667">
        <v>155.82057805919561</v>
      </c>
      <c r="Q42" s="667">
        <v>5.7345256264080096</v>
      </c>
      <c r="R42" s="667">
        <v>476.63476193341518</v>
      </c>
      <c r="S42" s="667">
        <v>62.259463122360671</v>
      </c>
      <c r="T42" s="667">
        <v>42.527643834527936</v>
      </c>
      <c r="U42" s="667">
        <v>1076.2017534281176</v>
      </c>
    </row>
    <row r="43" spans="3:21">
      <c r="C43" s="654"/>
      <c r="D43" s="672">
        <v>0</v>
      </c>
      <c r="E43" s="672">
        <v>0</v>
      </c>
      <c r="F43" s="672">
        <v>0</v>
      </c>
      <c r="G43" s="672">
        <v>0</v>
      </c>
      <c r="H43" s="672">
        <v>0</v>
      </c>
      <c r="I43" s="672">
        <v>-1.3183898417423734E-16</v>
      </c>
      <c r="J43" s="672">
        <v>0</v>
      </c>
      <c r="K43" s="672">
        <v>0</v>
      </c>
      <c r="L43" s="672">
        <v>0</v>
      </c>
      <c r="M43" s="672">
        <v>0</v>
      </c>
      <c r="N43" s="672">
        <v>1.2434497875801753E-14</v>
      </c>
      <c r="O43" s="672">
        <v>-1.8207657603852567E-14</v>
      </c>
      <c r="P43" s="672">
        <v>0</v>
      </c>
      <c r="Q43" s="672">
        <v>0</v>
      </c>
      <c r="R43" s="672">
        <v>5.6843418860808015E-14</v>
      </c>
      <c r="S43" s="672">
        <v>0</v>
      </c>
      <c r="T43" s="672">
        <v>4.4408920985006262E-15</v>
      </c>
      <c r="U43" s="672">
        <v>0</v>
      </c>
    </row>
    <row r="44" spans="3:21">
      <c r="C44" s="654"/>
      <c r="D44" s="654"/>
      <c r="E44" s="654"/>
      <c r="F44" s="654"/>
      <c r="G44" s="654"/>
      <c r="H44" s="654"/>
      <c r="I44" s="654"/>
      <c r="J44" s="654"/>
      <c r="K44" s="654"/>
      <c r="L44" s="654"/>
      <c r="M44" s="654"/>
      <c r="N44" s="654"/>
      <c r="O44" s="654"/>
      <c r="P44" s="654"/>
      <c r="Q44" s="654"/>
      <c r="R44" s="654"/>
      <c r="S44" s="654"/>
      <c r="T44" s="654"/>
      <c r="U44" s="654"/>
    </row>
    <row r="45" spans="3:21" ht="14.5">
      <c r="C45" s="658" t="s">
        <v>89</v>
      </c>
      <c r="D45" s="659"/>
      <c r="E45" s="659"/>
      <c r="F45" s="659"/>
      <c r="G45" s="659"/>
      <c r="H45" s="659"/>
      <c r="I45" s="659"/>
      <c r="J45" s="659"/>
      <c r="K45" s="659"/>
      <c r="L45" s="659"/>
      <c r="M45" s="659"/>
      <c r="N45" s="659"/>
      <c r="O45" s="659"/>
      <c r="P45" s="659"/>
      <c r="Q45" s="659"/>
      <c r="R45" s="659"/>
      <c r="S45" s="659"/>
      <c r="T45" s="659"/>
      <c r="U45" s="659"/>
    </row>
    <row r="46" spans="3:21">
      <c r="C46" s="654"/>
      <c r="D46" s="654"/>
      <c r="E46" s="654"/>
      <c r="F46" s="654"/>
      <c r="G46" s="654"/>
      <c r="H46" s="654"/>
      <c r="I46" s="654"/>
      <c r="J46" s="654"/>
      <c r="K46" s="654"/>
      <c r="L46" s="654"/>
      <c r="M46" s="654"/>
      <c r="N46" s="654"/>
      <c r="O46" s="654"/>
      <c r="P46" s="654"/>
      <c r="Q46" s="654"/>
      <c r="R46" s="654"/>
      <c r="S46" s="654"/>
      <c r="T46" s="654"/>
      <c r="U46" s="654"/>
    </row>
    <row r="47" spans="3:21" ht="13">
      <c r="C47" s="706" t="s">
        <v>128</v>
      </c>
      <c r="D47" s="704" t="s">
        <v>42</v>
      </c>
      <c r="E47" s="704" t="s">
        <v>52</v>
      </c>
      <c r="F47" s="704" t="s">
        <v>53</v>
      </c>
      <c r="G47" s="704" t="s">
        <v>487</v>
      </c>
      <c r="H47" s="704" t="s">
        <v>32</v>
      </c>
      <c r="I47" s="704" t="s">
        <v>488</v>
      </c>
      <c r="J47" s="704" t="s">
        <v>20</v>
      </c>
      <c r="K47" s="704" t="s">
        <v>55</v>
      </c>
      <c r="L47" s="708" t="s">
        <v>56</v>
      </c>
      <c r="M47" s="709"/>
      <c r="N47" s="709"/>
      <c r="O47" s="709"/>
      <c r="P47" s="709"/>
      <c r="Q47" s="710"/>
      <c r="R47" s="704" t="s">
        <v>57</v>
      </c>
      <c r="S47" s="704" t="s">
        <v>58</v>
      </c>
      <c r="T47" s="704" t="s">
        <v>31</v>
      </c>
      <c r="U47" s="704" t="s">
        <v>10</v>
      </c>
    </row>
    <row r="48" spans="3:21" ht="36">
      <c r="C48" s="707"/>
      <c r="D48" s="705"/>
      <c r="E48" s="705"/>
      <c r="F48" s="705"/>
      <c r="G48" s="705"/>
      <c r="H48" s="705"/>
      <c r="I48" s="705"/>
      <c r="J48" s="705"/>
      <c r="K48" s="705"/>
      <c r="L48" s="660" t="s">
        <v>338</v>
      </c>
      <c r="M48" s="660" t="s">
        <v>40</v>
      </c>
      <c r="N48" s="660" t="s">
        <v>346</v>
      </c>
      <c r="O48" s="660" t="s">
        <v>347</v>
      </c>
      <c r="P48" s="661" t="s">
        <v>348</v>
      </c>
      <c r="Q48" s="660" t="s">
        <v>349</v>
      </c>
      <c r="R48" s="705"/>
      <c r="S48" s="705"/>
      <c r="T48" s="705"/>
      <c r="U48" s="705"/>
    </row>
    <row r="49" spans="3:21" ht="13">
      <c r="C49" s="662" t="s">
        <v>59</v>
      </c>
      <c r="D49" s="663">
        <v>0</v>
      </c>
      <c r="E49" s="663">
        <v>0</v>
      </c>
      <c r="F49" s="663">
        <v>0</v>
      </c>
      <c r="G49" s="663">
        <v>0</v>
      </c>
      <c r="H49" s="663">
        <v>0</v>
      </c>
      <c r="I49" s="663">
        <v>0</v>
      </c>
      <c r="J49" s="664">
        <v>712.60987447127138</v>
      </c>
      <c r="K49" s="664">
        <v>556.92135057124881</v>
      </c>
      <c r="L49" s="664">
        <v>261.57522104592402</v>
      </c>
      <c r="M49" s="664">
        <v>19.228684940511499</v>
      </c>
      <c r="N49" s="663">
        <v>1.5563580670349855</v>
      </c>
      <c r="O49" s="663">
        <v>0.17110271620039663</v>
      </c>
      <c r="P49" s="664">
        <v>167.23788927594987</v>
      </c>
      <c r="Q49" s="664">
        <v>24.373068583718577</v>
      </c>
      <c r="R49" s="663">
        <v>0</v>
      </c>
      <c r="S49" s="663">
        <v>0</v>
      </c>
      <c r="T49" s="663">
        <v>0</v>
      </c>
      <c r="U49" s="665">
        <v>1743.6735496718593</v>
      </c>
    </row>
    <row r="50" spans="3:21" ht="13">
      <c r="C50" s="662" t="s">
        <v>60</v>
      </c>
      <c r="D50" s="663">
        <v>5.9311888025037742</v>
      </c>
      <c r="E50" s="663">
        <v>113.95685880900638</v>
      </c>
      <c r="F50" s="663">
        <v>1.9517818504706483</v>
      </c>
      <c r="G50" s="663">
        <v>0</v>
      </c>
      <c r="H50" s="663">
        <v>2.6585092475046008</v>
      </c>
      <c r="I50" s="663">
        <v>0</v>
      </c>
      <c r="J50" s="663">
        <v>0</v>
      </c>
      <c r="K50" s="663">
        <v>0</v>
      </c>
      <c r="L50" s="663">
        <v>5.2309321400654634</v>
      </c>
      <c r="M50" s="663">
        <v>0</v>
      </c>
      <c r="N50" s="663">
        <v>5.4084519189769722</v>
      </c>
      <c r="O50" s="663">
        <v>0</v>
      </c>
      <c r="P50" s="663">
        <v>0</v>
      </c>
      <c r="Q50" s="663">
        <v>0</v>
      </c>
      <c r="R50" s="663">
        <v>0</v>
      </c>
      <c r="S50" s="663">
        <v>0</v>
      </c>
      <c r="T50" s="663">
        <v>0</v>
      </c>
      <c r="U50" s="665">
        <v>135.13772276852782</v>
      </c>
    </row>
    <row r="51" spans="3:21" ht="13">
      <c r="C51" s="662" t="s">
        <v>61</v>
      </c>
      <c r="D51" s="663">
        <v>0</v>
      </c>
      <c r="E51" s="663">
        <v>0</v>
      </c>
      <c r="F51" s="663">
        <v>-33.824093823668861</v>
      </c>
      <c r="G51" s="663">
        <v>-8.545793370460693</v>
      </c>
      <c r="H51" s="663">
        <v>0</v>
      </c>
      <c r="I51" s="663">
        <v>0</v>
      </c>
      <c r="J51" s="663">
        <v>0</v>
      </c>
      <c r="K51" s="663">
        <v>0</v>
      </c>
      <c r="L51" s="663">
        <v>0</v>
      </c>
      <c r="M51" s="663">
        <v>0</v>
      </c>
      <c r="N51" s="663">
        <v>0</v>
      </c>
      <c r="O51" s="663">
        <v>0</v>
      </c>
      <c r="P51" s="663">
        <v>0</v>
      </c>
      <c r="Q51" s="663">
        <v>0</v>
      </c>
      <c r="R51" s="663">
        <v>-40.000075434727478</v>
      </c>
      <c r="S51" s="663">
        <v>0</v>
      </c>
      <c r="T51" s="663">
        <v>0</v>
      </c>
      <c r="U51" s="665">
        <v>-82.369962628857039</v>
      </c>
    </row>
    <row r="52" spans="3:21" ht="13">
      <c r="C52" s="662" t="s">
        <v>62</v>
      </c>
      <c r="D52" s="663">
        <v>0</v>
      </c>
      <c r="E52" s="663">
        <v>0</v>
      </c>
      <c r="F52" s="663">
        <v>-1.6540275032482068</v>
      </c>
      <c r="G52" s="663">
        <v>-4.2955328800984329</v>
      </c>
      <c r="H52" s="663">
        <v>0</v>
      </c>
      <c r="I52" s="663">
        <v>-0.31877375583888373</v>
      </c>
      <c r="J52" s="663">
        <v>0</v>
      </c>
      <c r="K52" s="663">
        <v>0</v>
      </c>
      <c r="L52" s="663">
        <v>0</v>
      </c>
      <c r="M52" s="663">
        <v>0</v>
      </c>
      <c r="N52" s="663">
        <v>-0.24545902171991044</v>
      </c>
      <c r="O52" s="663">
        <v>-6.0567013609387903</v>
      </c>
      <c r="P52" s="663">
        <v>0</v>
      </c>
      <c r="Q52" s="663">
        <v>0</v>
      </c>
      <c r="R52" s="663">
        <v>0</v>
      </c>
      <c r="S52" s="663">
        <v>0</v>
      </c>
      <c r="T52" s="663">
        <v>0</v>
      </c>
      <c r="U52" s="665">
        <v>-12.570494521844225</v>
      </c>
    </row>
    <row r="53" spans="3:21" ht="13">
      <c r="C53" s="662" t="s">
        <v>63</v>
      </c>
      <c r="D53" s="663">
        <v>0</v>
      </c>
      <c r="E53" s="663">
        <v>0</v>
      </c>
      <c r="F53" s="663">
        <v>-18.714774559646315</v>
      </c>
      <c r="G53" s="663">
        <v>-28.257765893495769</v>
      </c>
      <c r="H53" s="663">
        <v>0</v>
      </c>
      <c r="I53" s="663">
        <v>0</v>
      </c>
      <c r="J53" s="663">
        <v>0</v>
      </c>
      <c r="K53" s="663">
        <v>0</v>
      </c>
      <c r="L53" s="663">
        <v>0</v>
      </c>
      <c r="M53" s="663">
        <v>0</v>
      </c>
      <c r="N53" s="663">
        <v>-13.972472121868162</v>
      </c>
      <c r="O53" s="663">
        <v>0</v>
      </c>
      <c r="P53" s="663">
        <v>0</v>
      </c>
      <c r="Q53" s="663">
        <v>0</v>
      </c>
      <c r="R53" s="663">
        <v>0</v>
      </c>
      <c r="S53" s="663">
        <v>0</v>
      </c>
      <c r="T53" s="663">
        <v>-2.6159745910871801</v>
      </c>
      <c r="U53" s="665">
        <v>-63.560987166097433</v>
      </c>
    </row>
    <row r="54" spans="3:21" ht="13">
      <c r="C54" s="662" t="s">
        <v>64</v>
      </c>
      <c r="D54" s="663">
        <v>0</v>
      </c>
      <c r="E54" s="663">
        <v>0</v>
      </c>
      <c r="F54" s="663">
        <v>0</v>
      </c>
      <c r="G54" s="663">
        <v>0</v>
      </c>
      <c r="H54" s="663">
        <v>0</v>
      </c>
      <c r="I54" s="663">
        <v>0</v>
      </c>
      <c r="J54" s="663">
        <v>0</v>
      </c>
      <c r="K54" s="663">
        <v>0</v>
      </c>
      <c r="L54" s="663">
        <v>0</v>
      </c>
      <c r="M54" s="663">
        <v>0</v>
      </c>
      <c r="N54" s="663">
        <v>0</v>
      </c>
      <c r="O54" s="663">
        <v>0</v>
      </c>
      <c r="P54" s="663">
        <v>0</v>
      </c>
      <c r="Q54" s="663">
        <v>0</v>
      </c>
      <c r="R54" s="663">
        <v>0</v>
      </c>
      <c r="S54" s="663">
        <v>0</v>
      </c>
      <c r="T54" s="663">
        <v>0</v>
      </c>
      <c r="U54" s="665">
        <v>0</v>
      </c>
    </row>
    <row r="55" spans="3:21" ht="13">
      <c r="C55" s="666" t="s">
        <v>65</v>
      </c>
      <c r="D55" s="667">
        <v>5.9311888025037742</v>
      </c>
      <c r="E55" s="667">
        <v>113.95685880900638</v>
      </c>
      <c r="F55" s="667">
        <v>-52.241114036092739</v>
      </c>
      <c r="G55" s="667">
        <v>-41.099092144054893</v>
      </c>
      <c r="H55" s="675">
        <v>2.6585092475046008</v>
      </c>
      <c r="I55" s="667">
        <v>-0.31877375583888373</v>
      </c>
      <c r="J55" s="667">
        <v>712.60987447127138</v>
      </c>
      <c r="K55" s="667">
        <v>556.92135057124881</v>
      </c>
      <c r="L55" s="667">
        <v>266.80615318598944</v>
      </c>
      <c r="M55" s="667">
        <v>19.228684940511499</v>
      </c>
      <c r="N55" s="667">
        <v>-7.2531211575761132</v>
      </c>
      <c r="O55" s="667">
        <v>-5.8855986447383941</v>
      </c>
      <c r="P55" s="667">
        <v>167.23788927594987</v>
      </c>
      <c r="Q55" s="667">
        <v>24.373068583718577</v>
      </c>
      <c r="R55" s="667">
        <v>-40.000075434727478</v>
      </c>
      <c r="S55" s="667">
        <v>0</v>
      </c>
      <c r="T55" s="667">
        <v>-2.6159745910871801</v>
      </c>
      <c r="U55" s="667">
        <v>1720.3098281235887</v>
      </c>
    </row>
    <row r="56" spans="3:21" ht="13">
      <c r="C56" s="668"/>
      <c r="D56" s="669">
        <v>0</v>
      </c>
      <c r="E56" s="669">
        <v>0</v>
      </c>
      <c r="F56" s="669">
        <v>0</v>
      </c>
      <c r="G56" s="669">
        <v>0</v>
      </c>
      <c r="H56" s="676">
        <v>0</v>
      </c>
      <c r="I56" s="669">
        <v>0</v>
      </c>
      <c r="J56" s="669">
        <v>0</v>
      </c>
      <c r="K56" s="669">
        <v>0</v>
      </c>
      <c r="L56" s="669">
        <v>0</v>
      </c>
      <c r="M56" s="669">
        <v>0</v>
      </c>
      <c r="N56" s="669">
        <v>0</v>
      </c>
      <c r="O56" s="669">
        <v>0</v>
      </c>
      <c r="P56" s="669">
        <v>0</v>
      </c>
      <c r="Q56" s="669">
        <v>0</v>
      </c>
      <c r="R56" s="669">
        <v>0</v>
      </c>
      <c r="S56" s="669">
        <v>0</v>
      </c>
      <c r="T56" s="669">
        <v>0</v>
      </c>
      <c r="U56" s="669">
        <v>0</v>
      </c>
    </row>
    <row r="57" spans="3:21" ht="13">
      <c r="C57" s="670" t="s">
        <v>67</v>
      </c>
      <c r="D57" s="663">
        <v>0</v>
      </c>
      <c r="E57" s="663">
        <v>0</v>
      </c>
      <c r="F57" s="663">
        <v>0</v>
      </c>
      <c r="G57" s="663">
        <v>0</v>
      </c>
      <c r="H57" s="663">
        <v>0</v>
      </c>
      <c r="I57" s="663">
        <v>0</v>
      </c>
      <c r="J57" s="663">
        <v>0</v>
      </c>
      <c r="K57" s="663">
        <v>0</v>
      </c>
      <c r="L57" s="663">
        <v>0</v>
      </c>
      <c r="M57" s="663">
        <v>0</v>
      </c>
      <c r="N57" s="663">
        <v>0</v>
      </c>
      <c r="O57" s="663">
        <v>0</v>
      </c>
      <c r="P57" s="663">
        <v>0</v>
      </c>
      <c r="Q57" s="663">
        <v>0</v>
      </c>
      <c r="R57" s="663">
        <v>0</v>
      </c>
      <c r="S57" s="663">
        <v>0</v>
      </c>
      <c r="T57" s="663">
        <v>0</v>
      </c>
      <c r="U57" s="671">
        <v>0</v>
      </c>
    </row>
    <row r="58" spans="3:21" ht="13">
      <c r="C58" s="670" t="s">
        <v>350</v>
      </c>
      <c r="D58" s="663">
        <v>0</v>
      </c>
      <c r="E58" s="663">
        <v>0</v>
      </c>
      <c r="F58" s="663">
        <v>0</v>
      </c>
      <c r="G58" s="663">
        <v>0</v>
      </c>
      <c r="H58" s="663">
        <v>0</v>
      </c>
      <c r="I58" s="663">
        <v>0</v>
      </c>
      <c r="J58" s="663">
        <v>712.60987447127138</v>
      </c>
      <c r="K58" s="663">
        <v>556.92135057124881</v>
      </c>
      <c r="L58" s="663">
        <v>14.491283228737107</v>
      </c>
      <c r="M58" s="663">
        <v>2.8053264742296591</v>
      </c>
      <c r="N58" s="663">
        <v>6.5561937148871507</v>
      </c>
      <c r="O58" s="663">
        <v>0.11326810820885491</v>
      </c>
      <c r="P58" s="663">
        <v>0</v>
      </c>
      <c r="Q58" s="663">
        <v>6.7631767445353068</v>
      </c>
      <c r="R58" s="663">
        <v>-809.85847053245573</v>
      </c>
      <c r="S58" s="663">
        <v>0</v>
      </c>
      <c r="T58" s="663">
        <v>25.915656492161155</v>
      </c>
      <c r="U58" s="671">
        <v>516.31765927282356</v>
      </c>
    </row>
    <row r="59" spans="3:21" ht="13">
      <c r="C59" s="670" t="s">
        <v>351</v>
      </c>
      <c r="D59" s="663">
        <v>0</v>
      </c>
      <c r="E59" s="663">
        <v>0</v>
      </c>
      <c r="F59" s="663">
        <v>0</v>
      </c>
      <c r="G59" s="663">
        <v>0</v>
      </c>
      <c r="H59" s="663">
        <v>0</v>
      </c>
      <c r="I59" s="663">
        <v>0</v>
      </c>
      <c r="J59" s="663">
        <v>0</v>
      </c>
      <c r="K59" s="663">
        <v>0</v>
      </c>
      <c r="L59" s="663">
        <v>33.721862056250039</v>
      </c>
      <c r="M59" s="663">
        <v>14.376617363231052</v>
      </c>
      <c r="N59" s="663">
        <v>0</v>
      </c>
      <c r="O59" s="663">
        <v>8.1785673020738106</v>
      </c>
      <c r="P59" s="663">
        <v>0</v>
      </c>
      <c r="Q59" s="663">
        <v>11.316516045102318</v>
      </c>
      <c r="R59" s="663">
        <v>0</v>
      </c>
      <c r="S59" s="663">
        <v>-64.575476384232388</v>
      </c>
      <c r="T59" s="663">
        <v>0</v>
      </c>
      <c r="U59" s="671">
        <v>3.0180863824248352</v>
      </c>
    </row>
    <row r="60" spans="3:21" ht="13">
      <c r="C60" s="670" t="s">
        <v>352</v>
      </c>
      <c r="D60" s="663">
        <v>0</v>
      </c>
      <c r="E60" s="663">
        <v>0</v>
      </c>
      <c r="F60" s="663">
        <v>0</v>
      </c>
      <c r="G60" s="663">
        <v>0</v>
      </c>
      <c r="H60" s="663">
        <v>0</v>
      </c>
      <c r="I60" s="663">
        <v>0</v>
      </c>
      <c r="J60" s="663">
        <v>0</v>
      </c>
      <c r="K60" s="663">
        <v>0</v>
      </c>
      <c r="L60" s="663">
        <v>104.38683240846164</v>
      </c>
      <c r="M60" s="663">
        <v>0</v>
      </c>
      <c r="N60" s="663">
        <v>0</v>
      </c>
      <c r="O60" s="663">
        <v>-100.27188716566127</v>
      </c>
      <c r="P60" s="663">
        <v>0</v>
      </c>
      <c r="Q60" s="663">
        <v>0</v>
      </c>
      <c r="R60" s="663">
        <v>0</v>
      </c>
      <c r="S60" s="663">
        <v>0</v>
      </c>
      <c r="T60" s="663">
        <v>0</v>
      </c>
      <c r="U60" s="671">
        <v>4.1149452428003741</v>
      </c>
    </row>
    <row r="61" spans="3:21" ht="13">
      <c r="C61" s="670" t="s">
        <v>353</v>
      </c>
      <c r="D61" s="663">
        <v>0</v>
      </c>
      <c r="E61" s="663">
        <v>0</v>
      </c>
      <c r="F61" s="663">
        <v>0</v>
      </c>
      <c r="G61" s="663">
        <v>0</v>
      </c>
      <c r="H61" s="663">
        <v>0</v>
      </c>
      <c r="I61" s="663">
        <v>-4.5962253881571415</v>
      </c>
      <c r="J61" s="663">
        <v>0</v>
      </c>
      <c r="K61" s="663">
        <v>0</v>
      </c>
      <c r="L61" s="663">
        <v>0</v>
      </c>
      <c r="M61" s="663">
        <v>0</v>
      </c>
      <c r="N61" s="663">
        <v>0</v>
      </c>
      <c r="O61" s="663">
        <v>0</v>
      </c>
      <c r="P61" s="663">
        <v>0</v>
      </c>
      <c r="Q61" s="663">
        <v>0</v>
      </c>
      <c r="R61" s="663">
        <v>0</v>
      </c>
      <c r="S61" s="663">
        <v>0</v>
      </c>
      <c r="T61" s="663">
        <v>6.4074201765093832</v>
      </c>
      <c r="U61" s="671">
        <v>1.8111947883522417</v>
      </c>
    </row>
    <row r="62" spans="3:21" ht="13">
      <c r="C62" s="670" t="s">
        <v>72</v>
      </c>
      <c r="D62" s="663">
        <v>0</v>
      </c>
      <c r="E62" s="663">
        <v>118.07035586741333</v>
      </c>
      <c r="F62" s="663">
        <v>-116.89188714951831</v>
      </c>
      <c r="G62" s="663">
        <v>0</v>
      </c>
      <c r="H62" s="663">
        <v>0</v>
      </c>
      <c r="I62" s="663">
        <v>0</v>
      </c>
      <c r="J62" s="663">
        <v>0</v>
      </c>
      <c r="K62" s="663">
        <v>0</v>
      </c>
      <c r="L62" s="663">
        <v>0</v>
      </c>
      <c r="M62" s="663">
        <v>0</v>
      </c>
      <c r="N62" s="663">
        <v>0</v>
      </c>
      <c r="O62" s="663">
        <v>0</v>
      </c>
      <c r="P62" s="663">
        <v>0</v>
      </c>
      <c r="Q62" s="663">
        <v>0</v>
      </c>
      <c r="R62" s="663">
        <v>0</v>
      </c>
      <c r="S62" s="663">
        <v>0</v>
      </c>
      <c r="T62" s="663">
        <v>0</v>
      </c>
      <c r="U62" s="671">
        <v>1.1784687178950146</v>
      </c>
    </row>
    <row r="63" spans="3:21" ht="13">
      <c r="C63" s="670" t="s">
        <v>354</v>
      </c>
      <c r="D63" s="663">
        <v>0</v>
      </c>
      <c r="E63" s="663">
        <v>0</v>
      </c>
      <c r="F63" s="663">
        <v>0</v>
      </c>
      <c r="G63" s="663">
        <v>0</v>
      </c>
      <c r="H63" s="663">
        <v>0</v>
      </c>
      <c r="I63" s="663">
        <v>0</v>
      </c>
      <c r="J63" s="663">
        <v>0</v>
      </c>
      <c r="K63" s="663">
        <v>0</v>
      </c>
      <c r="L63" s="663">
        <v>61.244429678974598</v>
      </c>
      <c r="M63" s="663">
        <v>0</v>
      </c>
      <c r="N63" s="663">
        <v>-61.244429678974598</v>
      </c>
      <c r="O63" s="663">
        <v>0</v>
      </c>
      <c r="P63" s="663">
        <v>0</v>
      </c>
      <c r="Q63" s="663">
        <v>0</v>
      </c>
      <c r="R63" s="663">
        <v>0</v>
      </c>
      <c r="S63" s="663">
        <v>0</v>
      </c>
      <c r="T63" s="663">
        <v>0</v>
      </c>
      <c r="U63" s="671">
        <v>0</v>
      </c>
    </row>
    <row r="64" spans="3:21" ht="13">
      <c r="C64" s="670" t="s">
        <v>355</v>
      </c>
      <c r="D64" s="663">
        <v>0</v>
      </c>
      <c r="E64" s="663">
        <v>0</v>
      </c>
      <c r="F64" s="663">
        <v>0</v>
      </c>
      <c r="G64" s="663">
        <v>-56.725829149009897</v>
      </c>
      <c r="H64" s="663">
        <v>0</v>
      </c>
      <c r="I64" s="663">
        <v>0</v>
      </c>
      <c r="J64" s="663">
        <v>0</v>
      </c>
      <c r="K64" s="663">
        <v>0</v>
      </c>
      <c r="L64" s="663">
        <v>0</v>
      </c>
      <c r="M64" s="663">
        <v>0</v>
      </c>
      <c r="N64" s="663">
        <v>0</v>
      </c>
      <c r="O64" s="663">
        <v>0</v>
      </c>
      <c r="P64" s="663">
        <v>0</v>
      </c>
      <c r="Q64" s="663">
        <v>0</v>
      </c>
      <c r="R64" s="663">
        <v>0</v>
      </c>
      <c r="S64" s="663">
        <v>0</v>
      </c>
      <c r="T64" s="663">
        <v>79.005333076615457</v>
      </c>
      <c r="U64" s="671">
        <v>22.27950392760556</v>
      </c>
    </row>
    <row r="65" spans="3:21" ht="13">
      <c r="C65" s="670" t="s">
        <v>73</v>
      </c>
      <c r="D65" s="663">
        <v>0</v>
      </c>
      <c r="E65" s="663">
        <v>0</v>
      </c>
      <c r="F65" s="663">
        <v>0</v>
      </c>
      <c r="G65" s="663">
        <v>0</v>
      </c>
      <c r="H65" s="663">
        <v>0</v>
      </c>
      <c r="I65" s="663">
        <v>0</v>
      </c>
      <c r="J65" s="663">
        <v>0</v>
      </c>
      <c r="K65" s="663">
        <v>0</v>
      </c>
      <c r="L65" s="663">
        <v>0</v>
      </c>
      <c r="M65" s="663">
        <v>0</v>
      </c>
      <c r="N65" s="663">
        <v>0</v>
      </c>
      <c r="O65" s="663">
        <v>0</v>
      </c>
      <c r="P65" s="663">
        <v>0</v>
      </c>
      <c r="Q65" s="663">
        <v>0</v>
      </c>
      <c r="R65" s="663">
        <v>227.10664749932533</v>
      </c>
      <c r="S65" s="663">
        <v>0</v>
      </c>
      <c r="T65" s="663">
        <v>-163.51678619951423</v>
      </c>
      <c r="U65" s="671">
        <v>63.589861299811105</v>
      </c>
    </row>
    <row r="66" spans="3:21" ht="13">
      <c r="C66" s="670" t="s">
        <v>356</v>
      </c>
      <c r="D66" s="663">
        <v>3.3456624609374996</v>
      </c>
      <c r="E66" s="663">
        <v>-4.1134970584069457</v>
      </c>
      <c r="F66" s="663">
        <v>5.3691262200413341</v>
      </c>
      <c r="G66" s="663">
        <v>0</v>
      </c>
      <c r="H66" s="663">
        <v>0</v>
      </c>
      <c r="I66" s="663">
        <v>0</v>
      </c>
      <c r="J66" s="663">
        <v>0</v>
      </c>
      <c r="K66" s="663">
        <v>0</v>
      </c>
      <c r="L66" s="663">
        <v>0</v>
      </c>
      <c r="M66" s="663">
        <v>0</v>
      </c>
      <c r="N66" s="663">
        <v>0</v>
      </c>
      <c r="O66" s="663">
        <v>0</v>
      </c>
      <c r="P66" s="663">
        <v>0</v>
      </c>
      <c r="Q66" s="663">
        <v>0</v>
      </c>
      <c r="R66" s="663">
        <v>0</v>
      </c>
      <c r="S66" s="663">
        <v>0</v>
      </c>
      <c r="T66" s="663">
        <v>0</v>
      </c>
      <c r="U66" s="671">
        <v>4.6012916225718881</v>
      </c>
    </row>
    <row r="67" spans="3:21" ht="13">
      <c r="C67" s="670" t="s">
        <v>75</v>
      </c>
      <c r="D67" s="663">
        <v>1.3010909570312501</v>
      </c>
      <c r="E67" s="663">
        <v>0</v>
      </c>
      <c r="F67" s="663">
        <v>16.404377382526505</v>
      </c>
      <c r="G67" s="663">
        <v>0</v>
      </c>
      <c r="H67" s="663">
        <v>0</v>
      </c>
      <c r="I67" s="663">
        <v>0.23833359000000001</v>
      </c>
      <c r="J67" s="663">
        <v>0</v>
      </c>
      <c r="K67" s="663">
        <v>0</v>
      </c>
      <c r="L67" s="663">
        <v>0</v>
      </c>
      <c r="M67" s="663">
        <v>0</v>
      </c>
      <c r="N67" s="663">
        <v>0</v>
      </c>
      <c r="O67" s="663">
        <v>4.5283382100000003</v>
      </c>
      <c r="P67" s="663">
        <v>0</v>
      </c>
      <c r="Q67" s="663">
        <v>0</v>
      </c>
      <c r="R67" s="663">
        <v>17.221013858771279</v>
      </c>
      <c r="S67" s="663">
        <v>0</v>
      </c>
      <c r="T67" s="663">
        <v>0</v>
      </c>
      <c r="U67" s="671">
        <v>39.693153998329031</v>
      </c>
    </row>
    <row r="68" spans="3:21" ht="13">
      <c r="C68" s="670" t="s">
        <v>76</v>
      </c>
      <c r="D68" s="663">
        <v>0</v>
      </c>
      <c r="E68" s="663">
        <v>0</v>
      </c>
      <c r="F68" s="663">
        <v>0</v>
      </c>
      <c r="G68" s="663">
        <v>0</v>
      </c>
      <c r="H68" s="663">
        <v>0</v>
      </c>
      <c r="I68" s="663">
        <v>5.9340338699632358E-2</v>
      </c>
      <c r="J68" s="663">
        <v>0</v>
      </c>
      <c r="K68" s="663">
        <v>0</v>
      </c>
      <c r="L68" s="663">
        <v>0</v>
      </c>
      <c r="M68" s="663">
        <v>0</v>
      </c>
      <c r="N68" s="663">
        <v>0</v>
      </c>
      <c r="O68" s="663">
        <v>1.1274664352930146</v>
      </c>
      <c r="P68" s="663">
        <v>0</v>
      </c>
      <c r="Q68" s="663">
        <v>0</v>
      </c>
      <c r="R68" s="663">
        <v>58.897580266978245</v>
      </c>
      <c r="S68" s="663">
        <v>5.0089527300753778</v>
      </c>
      <c r="T68" s="663">
        <v>0</v>
      </c>
      <c r="U68" s="671">
        <v>65.093339771046274</v>
      </c>
    </row>
    <row r="69" spans="3:21" ht="13">
      <c r="C69" s="666" t="s">
        <v>77</v>
      </c>
      <c r="D69" s="667">
        <v>4.6467534179687497</v>
      </c>
      <c r="E69" s="667">
        <v>113.95685880900638</v>
      </c>
      <c r="F69" s="667">
        <v>-95.118383546950469</v>
      </c>
      <c r="G69" s="667">
        <v>-56.725829149009897</v>
      </c>
      <c r="H69" s="675">
        <v>0</v>
      </c>
      <c r="I69" s="667">
        <v>-4.2985514594575092</v>
      </c>
      <c r="J69" s="667">
        <v>712.60987447127138</v>
      </c>
      <c r="K69" s="667">
        <v>556.92135057124881</v>
      </c>
      <c r="L69" s="667">
        <v>213.8444073724234</v>
      </c>
      <c r="M69" s="667">
        <v>17.181943837460711</v>
      </c>
      <c r="N69" s="667">
        <v>-54.688235964087447</v>
      </c>
      <c r="O69" s="667">
        <v>-86.324247110085594</v>
      </c>
      <c r="P69" s="667">
        <v>0</v>
      </c>
      <c r="Q69" s="667">
        <v>18.079692789637626</v>
      </c>
      <c r="R69" s="667">
        <v>-506.63322890738101</v>
      </c>
      <c r="S69" s="667">
        <v>-59.56652365415701</v>
      </c>
      <c r="T69" s="667">
        <v>-52.188376454228234</v>
      </c>
      <c r="U69" s="667">
        <v>721.69750502365991</v>
      </c>
    </row>
    <row r="70" spans="3:21" ht="13">
      <c r="C70" s="668"/>
      <c r="D70" s="669">
        <v>0</v>
      </c>
      <c r="E70" s="669">
        <v>0</v>
      </c>
      <c r="F70" s="669">
        <v>0</v>
      </c>
      <c r="G70" s="669">
        <v>0</v>
      </c>
      <c r="H70" s="676">
        <v>0</v>
      </c>
      <c r="I70" s="669">
        <v>0</v>
      </c>
      <c r="J70" s="669">
        <v>0</v>
      </c>
      <c r="K70" s="669">
        <v>0</v>
      </c>
      <c r="L70" s="669">
        <v>0</v>
      </c>
      <c r="M70" s="669">
        <v>0</v>
      </c>
      <c r="N70" s="669">
        <v>0</v>
      </c>
      <c r="O70" s="669">
        <v>0</v>
      </c>
      <c r="P70" s="669">
        <v>0</v>
      </c>
      <c r="Q70" s="669">
        <v>0</v>
      </c>
      <c r="R70" s="669">
        <v>0</v>
      </c>
      <c r="S70" s="669">
        <v>0</v>
      </c>
      <c r="T70" s="669">
        <v>0</v>
      </c>
      <c r="U70" s="669">
        <v>0</v>
      </c>
    </row>
    <row r="71" spans="3:21" ht="13">
      <c r="C71" s="670" t="s">
        <v>78</v>
      </c>
      <c r="D71" s="663">
        <v>1.2844353845350245</v>
      </c>
      <c r="E71" s="663">
        <v>0</v>
      </c>
      <c r="F71" s="663">
        <v>0.671413025716175</v>
      </c>
      <c r="G71" s="663">
        <v>0</v>
      </c>
      <c r="H71" s="663">
        <v>0</v>
      </c>
      <c r="I71" s="663">
        <v>1.6768235413433659</v>
      </c>
      <c r="J71" s="663">
        <v>0</v>
      </c>
      <c r="K71" s="663">
        <v>0</v>
      </c>
      <c r="L71" s="663">
        <v>18.511250218523632</v>
      </c>
      <c r="M71" s="663">
        <v>2.0464486619012869</v>
      </c>
      <c r="N71" s="663">
        <v>1.4169866943359375</v>
      </c>
      <c r="O71" s="663">
        <v>31.901778101678747</v>
      </c>
      <c r="P71" s="663">
        <v>11.306912109375</v>
      </c>
      <c r="Q71" s="663">
        <v>8.5890570413253253E-4</v>
      </c>
      <c r="R71" s="663">
        <v>135.19292998685364</v>
      </c>
      <c r="S71" s="663">
        <v>18.430317312360387</v>
      </c>
      <c r="T71" s="663">
        <v>8.2355947265624998</v>
      </c>
      <c r="U71" s="671">
        <v>230.67574866888981</v>
      </c>
    </row>
    <row r="72" spans="3:21" ht="13">
      <c r="C72" s="670" t="s">
        <v>79</v>
      </c>
      <c r="D72" s="663">
        <v>0</v>
      </c>
      <c r="E72" s="663">
        <v>0</v>
      </c>
      <c r="F72" s="663">
        <v>2.0327553633446804</v>
      </c>
      <c r="G72" s="663">
        <v>2.9414401384596758</v>
      </c>
      <c r="H72" s="663">
        <v>0</v>
      </c>
      <c r="I72" s="663">
        <v>0.25814381907328782</v>
      </c>
      <c r="J72" s="663">
        <v>0</v>
      </c>
      <c r="K72" s="663">
        <v>0</v>
      </c>
      <c r="L72" s="663">
        <v>0</v>
      </c>
      <c r="M72" s="663">
        <v>0</v>
      </c>
      <c r="N72" s="663">
        <v>11.290866079539722</v>
      </c>
      <c r="O72" s="663">
        <v>4.9047325623924678</v>
      </c>
      <c r="P72" s="663">
        <v>0</v>
      </c>
      <c r="Q72" s="663">
        <v>0</v>
      </c>
      <c r="R72" s="663">
        <v>110.4417553978261</v>
      </c>
      <c r="S72" s="663">
        <v>0</v>
      </c>
      <c r="T72" s="663">
        <v>5.3966998641798476</v>
      </c>
      <c r="U72" s="671">
        <v>137.26639322481577</v>
      </c>
    </row>
    <row r="73" spans="3:21" ht="13">
      <c r="C73" s="670" t="s">
        <v>80</v>
      </c>
      <c r="D73" s="663">
        <v>0</v>
      </c>
      <c r="E73" s="663">
        <v>0</v>
      </c>
      <c r="F73" s="663">
        <v>0.19325490667833059</v>
      </c>
      <c r="G73" s="663">
        <v>0</v>
      </c>
      <c r="H73" s="663">
        <v>0</v>
      </c>
      <c r="I73" s="663">
        <v>1.3094987150488224</v>
      </c>
      <c r="J73" s="663">
        <v>0</v>
      </c>
      <c r="K73" s="663">
        <v>0</v>
      </c>
      <c r="L73" s="663">
        <v>28.937300829462252</v>
      </c>
      <c r="M73" s="663">
        <v>0</v>
      </c>
      <c r="N73" s="663">
        <v>0</v>
      </c>
      <c r="O73" s="663">
        <v>24.88047558592762</v>
      </c>
      <c r="P73" s="663">
        <v>124.95584249070536</v>
      </c>
      <c r="Q73" s="663">
        <v>3.1166998128913419</v>
      </c>
      <c r="R73" s="663">
        <v>129.06523934568938</v>
      </c>
      <c r="S73" s="663">
        <v>22.248806062911136</v>
      </c>
      <c r="T73" s="663">
        <v>0</v>
      </c>
      <c r="U73" s="671">
        <v>334.70711774931425</v>
      </c>
    </row>
    <row r="74" spans="3:21" ht="13">
      <c r="C74" s="670" t="s">
        <v>81</v>
      </c>
      <c r="D74" s="663">
        <v>0</v>
      </c>
      <c r="E74" s="663">
        <v>0</v>
      </c>
      <c r="F74" s="663">
        <v>0.13103912510682203</v>
      </c>
      <c r="G74" s="663">
        <v>0</v>
      </c>
      <c r="H74" s="663">
        <v>0</v>
      </c>
      <c r="I74" s="663">
        <v>0.65398403873429223</v>
      </c>
      <c r="J74" s="663">
        <v>0</v>
      </c>
      <c r="K74" s="663">
        <v>0</v>
      </c>
      <c r="L74" s="663">
        <v>0.34200087095620557</v>
      </c>
      <c r="M74" s="663">
        <v>2.9244114949902102E-4</v>
      </c>
      <c r="N74" s="663">
        <v>0</v>
      </c>
      <c r="O74" s="663">
        <v>12.425696735951551</v>
      </c>
      <c r="P74" s="663">
        <v>29.475134675869491</v>
      </c>
      <c r="Q74" s="663">
        <v>0.98841007039498519</v>
      </c>
      <c r="R74" s="663">
        <v>81.567308013661545</v>
      </c>
      <c r="S74" s="663">
        <v>18.887400278885494</v>
      </c>
      <c r="T74" s="663">
        <v>0</v>
      </c>
      <c r="U74" s="671">
        <v>144.4712662507099</v>
      </c>
    </row>
    <row r="75" spans="3:21" ht="13">
      <c r="C75" s="670" t="s">
        <v>82</v>
      </c>
      <c r="D75" s="663">
        <v>0</v>
      </c>
      <c r="E75" s="663">
        <v>0</v>
      </c>
      <c r="F75" s="663">
        <v>0</v>
      </c>
      <c r="G75" s="663">
        <v>0.49546247522038722</v>
      </c>
      <c r="H75" s="663">
        <v>0</v>
      </c>
      <c r="I75" s="663">
        <v>8.1327589418857746E-2</v>
      </c>
      <c r="J75" s="663">
        <v>0</v>
      </c>
      <c r="K75" s="663">
        <v>0</v>
      </c>
      <c r="L75" s="663">
        <v>4.5749249618986854</v>
      </c>
      <c r="M75" s="663">
        <v>0</v>
      </c>
      <c r="N75" s="663">
        <v>16.621294257606131</v>
      </c>
      <c r="O75" s="663">
        <v>1.5452241989582969</v>
      </c>
      <c r="P75" s="663">
        <v>1.5</v>
      </c>
      <c r="Q75" s="663">
        <v>2.1874070050904897</v>
      </c>
      <c r="R75" s="663">
        <v>7.8459207286229669</v>
      </c>
      <c r="S75" s="663">
        <v>0</v>
      </c>
      <c r="T75" s="663">
        <v>0.44339331184266689</v>
      </c>
      <c r="U75" s="671">
        <v>35.294954528658486</v>
      </c>
    </row>
    <row r="76" spans="3:21" ht="13">
      <c r="C76" s="670" t="s">
        <v>357</v>
      </c>
      <c r="D76" s="663">
        <v>0</v>
      </c>
      <c r="E76" s="663">
        <v>0</v>
      </c>
      <c r="F76" s="663">
        <v>0</v>
      </c>
      <c r="G76" s="663">
        <v>0</v>
      </c>
      <c r="H76" s="663">
        <v>0</v>
      </c>
      <c r="I76" s="663">
        <v>0</v>
      </c>
      <c r="J76" s="663">
        <v>0</v>
      </c>
      <c r="K76" s="663">
        <v>0</v>
      </c>
      <c r="L76" s="663">
        <v>0</v>
      </c>
      <c r="M76" s="663">
        <v>0</v>
      </c>
      <c r="N76" s="663">
        <v>0</v>
      </c>
      <c r="O76" s="663">
        <v>0</v>
      </c>
      <c r="P76" s="663">
        <v>0</v>
      </c>
      <c r="Q76" s="663">
        <v>0</v>
      </c>
      <c r="R76" s="663">
        <v>2.5199999999999996</v>
      </c>
      <c r="S76" s="663">
        <v>0</v>
      </c>
      <c r="T76" s="663">
        <v>0</v>
      </c>
      <c r="U76" s="671">
        <v>2.5199999999999996</v>
      </c>
    </row>
    <row r="77" spans="3:21" ht="13">
      <c r="C77" s="666" t="s">
        <v>83</v>
      </c>
      <c r="D77" s="667">
        <v>1.2844353845350245</v>
      </c>
      <c r="E77" s="667">
        <v>0</v>
      </c>
      <c r="F77" s="667">
        <v>3.028462420846008</v>
      </c>
      <c r="G77" s="667">
        <v>3.4369026136800631</v>
      </c>
      <c r="H77" s="675">
        <v>0</v>
      </c>
      <c r="I77" s="667">
        <v>3.9797777036186259</v>
      </c>
      <c r="J77" s="667">
        <v>0</v>
      </c>
      <c r="K77" s="667">
        <v>0</v>
      </c>
      <c r="L77" s="667">
        <v>52.365476880840774</v>
      </c>
      <c r="M77" s="667">
        <v>2.0467411030507856</v>
      </c>
      <c r="N77" s="667">
        <v>29.329147031481789</v>
      </c>
      <c r="O77" s="667">
        <v>75.65790718490868</v>
      </c>
      <c r="P77" s="667">
        <v>167.23788927594987</v>
      </c>
      <c r="Q77" s="667">
        <v>6.2933757940809487</v>
      </c>
      <c r="R77" s="667">
        <v>466.63315347265359</v>
      </c>
      <c r="S77" s="667">
        <v>59.566523654157017</v>
      </c>
      <c r="T77" s="667">
        <v>14.075687902585015</v>
      </c>
      <c r="U77" s="667">
        <v>884.93548042238808</v>
      </c>
    </row>
    <row r="78" spans="3:21" ht="13">
      <c r="C78" s="662" t="s">
        <v>84</v>
      </c>
      <c r="D78" s="663">
        <v>0</v>
      </c>
      <c r="E78" s="663">
        <v>0</v>
      </c>
      <c r="F78" s="663">
        <v>39.848807090011732</v>
      </c>
      <c r="G78" s="663">
        <v>12.189834391274943</v>
      </c>
      <c r="H78" s="663">
        <v>2.6585092475046008</v>
      </c>
      <c r="I78" s="663">
        <v>0</v>
      </c>
      <c r="J78" s="663">
        <v>0</v>
      </c>
      <c r="K78" s="663">
        <v>0</v>
      </c>
      <c r="L78" s="663">
        <v>0.5962689327253029</v>
      </c>
      <c r="M78" s="663">
        <v>0</v>
      </c>
      <c r="N78" s="663">
        <v>18.105967775029544</v>
      </c>
      <c r="O78" s="663">
        <v>4.780741280438523</v>
      </c>
      <c r="P78" s="663">
        <v>0</v>
      </c>
      <c r="Q78" s="663">
        <v>0</v>
      </c>
      <c r="R78" s="663">
        <v>0</v>
      </c>
      <c r="S78" s="663">
        <v>0</v>
      </c>
      <c r="T78" s="663">
        <v>35.496713960556022</v>
      </c>
      <c r="U78" s="671">
        <v>113.67684267754068</v>
      </c>
    </row>
    <row r="79" spans="3:21" ht="13">
      <c r="C79" s="666" t="s">
        <v>85</v>
      </c>
      <c r="D79" s="667">
        <v>1.2844353845350245</v>
      </c>
      <c r="E79" s="667">
        <v>0</v>
      </c>
      <c r="F79" s="667">
        <v>42.877269510857737</v>
      </c>
      <c r="G79" s="667">
        <v>15.626737004955006</v>
      </c>
      <c r="H79" s="675">
        <v>2.6585092475046008</v>
      </c>
      <c r="I79" s="667">
        <v>3.9797777036186259</v>
      </c>
      <c r="J79" s="667">
        <v>0</v>
      </c>
      <c r="K79" s="667">
        <v>0</v>
      </c>
      <c r="L79" s="667">
        <v>52.961745813566075</v>
      </c>
      <c r="M79" s="667">
        <v>2.0467411030507856</v>
      </c>
      <c r="N79" s="667">
        <v>47.435114806511329</v>
      </c>
      <c r="O79" s="667">
        <v>80.4386484653472</v>
      </c>
      <c r="P79" s="667">
        <v>167.23788927594987</v>
      </c>
      <c r="Q79" s="667">
        <v>6.2933757940809487</v>
      </c>
      <c r="R79" s="667">
        <v>466.63315347265359</v>
      </c>
      <c r="S79" s="667">
        <v>59.566523654157017</v>
      </c>
      <c r="T79" s="667">
        <v>49.572401863141039</v>
      </c>
      <c r="U79" s="667">
        <v>998.61232309992874</v>
      </c>
    </row>
    <row r="80" spans="3:21">
      <c r="C80" s="654"/>
      <c r="D80" s="672">
        <v>0</v>
      </c>
      <c r="E80" s="672">
        <v>0</v>
      </c>
      <c r="F80" s="672">
        <v>0</v>
      </c>
      <c r="G80" s="672">
        <v>0</v>
      </c>
      <c r="H80" s="672">
        <v>0</v>
      </c>
      <c r="I80" s="672">
        <v>4.9960036108132044E-16</v>
      </c>
      <c r="J80" s="672">
        <v>0</v>
      </c>
      <c r="K80" s="672">
        <v>0</v>
      </c>
      <c r="L80" s="672">
        <v>0</v>
      </c>
      <c r="M80" s="672">
        <v>0</v>
      </c>
      <c r="N80" s="672">
        <v>0</v>
      </c>
      <c r="O80" s="672">
        <v>0</v>
      </c>
      <c r="P80" s="672">
        <v>0</v>
      </c>
      <c r="Q80" s="672">
        <v>0</v>
      </c>
      <c r="R80" s="672">
        <v>5.6843418860808015E-14</v>
      </c>
      <c r="S80" s="672">
        <v>7.1054273576010019E-15</v>
      </c>
      <c r="T80" s="672">
        <v>-1.4654943925052066E-14</v>
      </c>
      <c r="U80" s="672">
        <v>0</v>
      </c>
    </row>
    <row r="81" spans="3:21">
      <c r="C81" s="654"/>
      <c r="D81" s="654"/>
      <c r="E81" s="654"/>
      <c r="F81" s="654"/>
      <c r="G81" s="654"/>
      <c r="H81" s="654"/>
      <c r="I81" s="654"/>
      <c r="J81" s="654"/>
      <c r="K81" s="654"/>
      <c r="L81" s="654"/>
      <c r="M81" s="654"/>
      <c r="N81" s="654"/>
      <c r="O81" s="654"/>
      <c r="P81" s="654"/>
      <c r="Q81" s="654"/>
      <c r="R81" s="654"/>
      <c r="S81" s="654"/>
      <c r="T81" s="654"/>
      <c r="U81" s="654"/>
    </row>
  </sheetData>
  <mergeCells count="28">
    <mergeCell ref="T47:T48"/>
    <mergeCell ref="U47:U48"/>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U54:U56 U69:U77">
    <cfRule type="cellIs" dxfId="4289" priority="198" operator="equal">
      <formula>0</formula>
    </cfRule>
  </conditionalFormatting>
  <conditionalFormatting sqref="U69">
    <cfRule type="containsBlanks" dxfId="4288" priority="197">
      <formula>LEN(TRIM(U69))=0</formula>
    </cfRule>
  </conditionalFormatting>
  <conditionalFormatting sqref="L11:P11">
    <cfRule type="cellIs" dxfId="4287" priority="194" operator="equal">
      <formula>0</formula>
    </cfRule>
  </conditionalFormatting>
  <conditionalFormatting sqref="Q11">
    <cfRule type="cellIs" dxfId="4286" priority="193" operator="equal">
      <formula>0</formula>
    </cfRule>
  </conditionalFormatting>
  <conditionalFormatting sqref="L48:P48">
    <cfRule type="cellIs" dxfId="4285" priority="192" operator="equal">
      <formula>0</formula>
    </cfRule>
  </conditionalFormatting>
  <conditionalFormatting sqref="Q48">
    <cfRule type="cellIs" dxfId="4284" priority="191" operator="equal">
      <formula>0</formula>
    </cfRule>
  </conditionalFormatting>
  <conditionalFormatting sqref="U79 U49:U51">
    <cfRule type="cellIs" dxfId="4283" priority="190" operator="equal">
      <formula>0</formula>
    </cfRule>
  </conditionalFormatting>
  <conditionalFormatting sqref="U78">
    <cfRule type="cellIs" dxfId="4282" priority="189" operator="equal">
      <formula>0</formula>
    </cfRule>
  </conditionalFormatting>
  <conditionalFormatting sqref="U71:U79 U49:U51 U54:U55">
    <cfRule type="containsBlanks" dxfId="4281" priority="188">
      <formula>LEN(TRIM(U49))=0</formula>
    </cfRule>
  </conditionalFormatting>
  <conditionalFormatting sqref="U52:U53">
    <cfRule type="cellIs" dxfId="4280" priority="187" operator="equal">
      <formula>0</formula>
    </cfRule>
  </conditionalFormatting>
  <conditionalFormatting sqref="U52:U53">
    <cfRule type="containsBlanks" dxfId="4279" priority="186">
      <formula>LEN(TRIM(U52))=0</formula>
    </cfRule>
  </conditionalFormatting>
  <conditionalFormatting sqref="U57:U68">
    <cfRule type="cellIs" dxfId="4278" priority="185" operator="equal">
      <formula>0</formula>
    </cfRule>
  </conditionalFormatting>
  <conditionalFormatting sqref="U57:U68">
    <cfRule type="containsBlanks" dxfId="4277" priority="184">
      <formula>LEN(TRIM(U57))=0</formula>
    </cfRule>
  </conditionalFormatting>
  <conditionalFormatting sqref="U42 U12:U40">
    <cfRule type="cellIs" dxfId="4276" priority="180" operator="equal">
      <formula>0</formula>
    </cfRule>
  </conditionalFormatting>
  <conditionalFormatting sqref="U41">
    <cfRule type="cellIs" dxfId="4275" priority="179" operator="equal">
      <formula>0</formula>
    </cfRule>
  </conditionalFormatting>
  <conditionalFormatting sqref="U34:U42 U12:U18 U20:U32">
    <cfRule type="containsBlanks" dxfId="4274" priority="178">
      <formula>LEN(TRIM(U12))=0</formula>
    </cfRule>
  </conditionalFormatting>
  <conditionalFormatting sqref="D42:F42 R33:T33 D32:F40 D12:F19 N12:O12 R12:T12 J42:T42 J33:K33 J34:T40 J32:T32 J13:T19">
    <cfRule type="cellIs" dxfId="4273" priority="143" operator="equal">
      <formula>0</formula>
    </cfRule>
  </conditionalFormatting>
  <conditionalFormatting sqref="R12:R14">
    <cfRule type="cellIs" dxfId="4272" priority="142" operator="equal">
      <formula>0</formula>
    </cfRule>
  </conditionalFormatting>
  <conditionalFormatting sqref="R12:T12 N12:O12 D13:F14 J13:T14">
    <cfRule type="cellIs" dxfId="4271" priority="141" operator="equal">
      <formula>0</formula>
    </cfRule>
  </conditionalFormatting>
  <conditionalFormatting sqref="F13:F14">
    <cfRule type="cellIs" dxfId="4270" priority="140" operator="equal">
      <formula>0</formula>
    </cfRule>
  </conditionalFormatting>
  <conditionalFormatting sqref="N12:O12">
    <cfRule type="cellIs" dxfId="4269" priority="139" operator="equal">
      <formula>0</formula>
    </cfRule>
  </conditionalFormatting>
  <conditionalFormatting sqref="L15:L17 L33">
    <cfRule type="cellIs" dxfId="4268" priority="138" operator="equal">
      <formula>0</formula>
    </cfRule>
  </conditionalFormatting>
  <conditionalFormatting sqref="L13:L14">
    <cfRule type="cellIs" dxfId="4267" priority="137" operator="equal">
      <formula>0</formula>
    </cfRule>
  </conditionalFormatting>
  <conditionalFormatting sqref="M15:M17 M33">
    <cfRule type="cellIs" dxfId="4266" priority="136" operator="equal">
      <formula>0</formula>
    </cfRule>
  </conditionalFormatting>
  <conditionalFormatting sqref="M13:M14">
    <cfRule type="cellIs" dxfId="4265" priority="135" operator="equal">
      <formula>0</formula>
    </cfRule>
  </conditionalFormatting>
  <conditionalFormatting sqref="N15:N17 N33">
    <cfRule type="cellIs" dxfId="4264" priority="134" operator="equal">
      <formula>0</formula>
    </cfRule>
  </conditionalFormatting>
  <conditionalFormatting sqref="N12:N14">
    <cfRule type="cellIs" dxfId="4263" priority="133" operator="equal">
      <formula>0</formula>
    </cfRule>
  </conditionalFormatting>
  <conditionalFormatting sqref="O15:O17 O33">
    <cfRule type="cellIs" dxfId="4262" priority="132" operator="equal">
      <formula>0</formula>
    </cfRule>
  </conditionalFormatting>
  <conditionalFormatting sqref="O12:O14">
    <cfRule type="cellIs" dxfId="4261" priority="131" operator="equal">
      <formula>0</formula>
    </cfRule>
  </conditionalFormatting>
  <conditionalFormatting sqref="P15:P17 P33">
    <cfRule type="cellIs" dxfId="4260" priority="130" operator="equal">
      <formula>0</formula>
    </cfRule>
  </conditionalFormatting>
  <conditionalFormatting sqref="P13:P14">
    <cfRule type="cellIs" dxfId="4259" priority="129" operator="equal">
      <formula>0</formula>
    </cfRule>
  </conditionalFormatting>
  <conditionalFormatting sqref="Q15:Q17 Q33">
    <cfRule type="cellIs" dxfId="4258" priority="128" operator="equal">
      <formula>0</formula>
    </cfRule>
  </conditionalFormatting>
  <conditionalFormatting sqref="Q13:Q14">
    <cfRule type="cellIs" dxfId="4257" priority="127" operator="equal">
      <formula>0</formula>
    </cfRule>
  </conditionalFormatting>
  <conditionalFormatting sqref="D41:F41 J41:T41">
    <cfRule type="cellIs" dxfId="4256" priority="126" operator="equal">
      <formula>0</formula>
    </cfRule>
  </conditionalFormatting>
  <conditionalFormatting sqref="D34:F42 D32:F32 D12:F18 N12:O12 R12:T12 J34:T42 J32:T32 J13:T18">
    <cfRule type="containsBlanks" dxfId="4255" priority="125">
      <formula>LEN(TRIM(D12))=0</formula>
    </cfRule>
  </conditionalFormatting>
  <conditionalFormatting sqref="D41:F41 J41:T41">
    <cfRule type="cellIs" dxfId="4254" priority="124" operator="equal">
      <formula>0</formula>
    </cfRule>
  </conditionalFormatting>
  <conditionalFormatting sqref="N15:N16">
    <cfRule type="cellIs" dxfId="4253" priority="123" operator="equal">
      <formula>0</formula>
    </cfRule>
  </conditionalFormatting>
  <conditionalFormatting sqref="O15:O16">
    <cfRule type="cellIs" dxfId="4252" priority="122" operator="equal">
      <formula>0</formula>
    </cfRule>
  </conditionalFormatting>
  <conditionalFormatting sqref="P15:Q15">
    <cfRule type="cellIs" dxfId="4251" priority="121" operator="equal">
      <formula>0</formula>
    </cfRule>
  </conditionalFormatting>
  <conditionalFormatting sqref="P16:Q16">
    <cfRule type="cellIs" dxfId="4250" priority="120" operator="equal">
      <formula>0</formula>
    </cfRule>
  </conditionalFormatting>
  <conditionalFormatting sqref="D20:F31 J20:T31">
    <cfRule type="cellIs" dxfId="4249" priority="119" operator="equal">
      <formula>0</formula>
    </cfRule>
  </conditionalFormatting>
  <conditionalFormatting sqref="D20:F31 J20:T31">
    <cfRule type="containsBlanks" dxfId="4248" priority="118">
      <formula>LEN(TRIM(D20))=0</formula>
    </cfRule>
  </conditionalFormatting>
  <conditionalFormatting sqref="J12">
    <cfRule type="cellIs" dxfId="4247" priority="117" operator="equal">
      <formula>0</formula>
    </cfRule>
  </conditionalFormatting>
  <conditionalFormatting sqref="K12">
    <cfRule type="cellIs" dxfId="4246" priority="116" operator="equal">
      <formula>0</formula>
    </cfRule>
  </conditionalFormatting>
  <conditionalFormatting sqref="L12:M12">
    <cfRule type="cellIs" dxfId="4245" priority="115" operator="equal">
      <formula>0</formula>
    </cfRule>
  </conditionalFormatting>
  <conditionalFormatting sqref="M12">
    <cfRule type="cellIs" dxfId="4244" priority="114" operator="equal">
      <formula>0</formula>
    </cfRule>
  </conditionalFormatting>
  <conditionalFormatting sqref="J12:M12">
    <cfRule type="containsBlanks" dxfId="4243" priority="113">
      <formula>LEN(TRIM(J12))=0</formula>
    </cfRule>
  </conditionalFormatting>
  <conditionalFormatting sqref="P12:Q12">
    <cfRule type="cellIs" dxfId="4242" priority="112" operator="equal">
      <formula>0</formula>
    </cfRule>
  </conditionalFormatting>
  <conditionalFormatting sqref="P12:Q12">
    <cfRule type="cellIs" dxfId="4241" priority="111" operator="equal">
      <formula>0</formula>
    </cfRule>
  </conditionalFormatting>
  <conditionalFormatting sqref="P12:Q12">
    <cfRule type="containsBlanks" dxfId="4240" priority="110">
      <formula>LEN(TRIM(P12))=0</formula>
    </cfRule>
  </conditionalFormatting>
  <conditionalFormatting sqref="D79:F79 R70:T70 D69:F77 D49:F56 N49:O49 R49:T49 J79:T79 J70:K70 J71:T77 J69:T69 J50:T56">
    <cfRule type="cellIs" dxfId="4239" priority="109" operator="equal">
      <formula>0</formula>
    </cfRule>
  </conditionalFormatting>
  <conditionalFormatting sqref="R49:R51">
    <cfRule type="cellIs" dxfId="4238" priority="108" operator="equal">
      <formula>0</formula>
    </cfRule>
  </conditionalFormatting>
  <conditionalFormatting sqref="R49:T49 N49:O49 D50:F51 J50:T51">
    <cfRule type="cellIs" dxfId="4237" priority="107" operator="equal">
      <formula>0</formula>
    </cfRule>
  </conditionalFormatting>
  <conditionalFormatting sqref="F50:F51">
    <cfRule type="cellIs" dxfId="4236" priority="106" operator="equal">
      <formula>0</formula>
    </cfRule>
  </conditionalFormatting>
  <conditionalFormatting sqref="N49:O49">
    <cfRule type="cellIs" dxfId="4235" priority="105" operator="equal">
      <formula>0</formula>
    </cfRule>
  </conditionalFormatting>
  <conditionalFormatting sqref="L52:L54 L70">
    <cfRule type="cellIs" dxfId="4234" priority="104" operator="equal">
      <formula>0</formula>
    </cfRule>
  </conditionalFormatting>
  <conditionalFormatting sqref="L50:L51">
    <cfRule type="cellIs" dxfId="4233" priority="103" operator="equal">
      <formula>0</formula>
    </cfRule>
  </conditionalFormatting>
  <conditionalFormatting sqref="M52:M54 M70">
    <cfRule type="cellIs" dxfId="4232" priority="102" operator="equal">
      <formula>0</formula>
    </cfRule>
  </conditionalFormatting>
  <conditionalFormatting sqref="M50:M51">
    <cfRule type="cellIs" dxfId="4231" priority="101" operator="equal">
      <formula>0</formula>
    </cfRule>
  </conditionalFormatting>
  <conditionalFormatting sqref="N52:N54 N70">
    <cfRule type="cellIs" dxfId="4230" priority="100" operator="equal">
      <formula>0</formula>
    </cfRule>
  </conditionalFormatting>
  <conditionalFormatting sqref="N49:N51">
    <cfRule type="cellIs" dxfId="4229" priority="99" operator="equal">
      <formula>0</formula>
    </cfRule>
  </conditionalFormatting>
  <conditionalFormatting sqref="O52:O54 O70">
    <cfRule type="cellIs" dxfId="4228" priority="98" operator="equal">
      <formula>0</formula>
    </cfRule>
  </conditionalFormatting>
  <conditionalFormatting sqref="O49:O51">
    <cfRule type="cellIs" dxfId="4227" priority="97" operator="equal">
      <formula>0</formula>
    </cfRule>
  </conditionalFormatting>
  <conditionalFormatting sqref="P52:P54 P70">
    <cfRule type="cellIs" dxfId="4226" priority="96" operator="equal">
      <formula>0</formula>
    </cfRule>
  </conditionalFormatting>
  <conditionalFormatting sqref="P50:P51">
    <cfRule type="cellIs" dxfId="4225" priority="95" operator="equal">
      <formula>0</formula>
    </cfRule>
  </conditionalFormatting>
  <conditionalFormatting sqref="Q52:Q54 Q70">
    <cfRule type="cellIs" dxfId="4224" priority="94" operator="equal">
      <formula>0</formula>
    </cfRule>
  </conditionalFormatting>
  <conditionalFormatting sqref="Q50:Q51">
    <cfRule type="cellIs" dxfId="4223" priority="93" operator="equal">
      <formula>0</formula>
    </cfRule>
  </conditionalFormatting>
  <conditionalFormatting sqref="D78:F78 J78:T78">
    <cfRule type="cellIs" dxfId="4222" priority="92" operator="equal">
      <formula>0</formula>
    </cfRule>
  </conditionalFormatting>
  <conditionalFormatting sqref="D71:F79 D69:F69 D49:F55 N49:O49 R49:T49 J71:T79 J69:T69 J50:T55">
    <cfRule type="containsBlanks" dxfId="4221" priority="91">
      <formula>LEN(TRIM(D49))=0</formula>
    </cfRule>
  </conditionalFormatting>
  <conditionalFormatting sqref="D78:F78 J78:T78">
    <cfRule type="cellIs" dxfId="4220" priority="90" operator="equal">
      <formula>0</formula>
    </cfRule>
  </conditionalFormatting>
  <conditionalFormatting sqref="N52:N53">
    <cfRule type="cellIs" dxfId="4219" priority="89" operator="equal">
      <formula>0</formula>
    </cfRule>
  </conditionalFormatting>
  <conditionalFormatting sqref="O52:O53">
    <cfRule type="cellIs" dxfId="4218" priority="88" operator="equal">
      <formula>0</formula>
    </cfRule>
  </conditionalFormatting>
  <conditionalFormatting sqref="P52:Q52">
    <cfRule type="cellIs" dxfId="4217" priority="87" operator="equal">
      <formula>0</formula>
    </cfRule>
  </conditionalFormatting>
  <conditionalFormatting sqref="P53:Q53">
    <cfRule type="cellIs" dxfId="4216" priority="86" operator="equal">
      <formula>0</formula>
    </cfRule>
  </conditionalFormatting>
  <conditionalFormatting sqref="D57:F68 J57:T68">
    <cfRule type="cellIs" dxfId="4215" priority="85" operator="equal">
      <formula>0</formula>
    </cfRule>
  </conditionalFormatting>
  <conditionalFormatting sqref="D57:F68 J57:T68">
    <cfRule type="containsBlanks" dxfId="4214" priority="84">
      <formula>LEN(TRIM(D57))=0</formula>
    </cfRule>
  </conditionalFormatting>
  <conditionalFormatting sqref="J49">
    <cfRule type="cellIs" dxfId="4213" priority="83" operator="equal">
      <formula>0</formula>
    </cfRule>
  </conditionalFormatting>
  <conditionalFormatting sqref="K49">
    <cfRule type="cellIs" dxfId="4212" priority="82" operator="equal">
      <formula>0</formula>
    </cfRule>
  </conditionalFormatting>
  <conditionalFormatting sqref="L49:M49">
    <cfRule type="cellIs" dxfId="4211" priority="81" operator="equal">
      <formula>0</formula>
    </cfRule>
  </conditionalFormatting>
  <conditionalFormatting sqref="M49">
    <cfRule type="cellIs" dxfId="4210" priority="80" operator="equal">
      <formula>0</formula>
    </cfRule>
  </conditionalFormatting>
  <conditionalFormatting sqref="J49:M49">
    <cfRule type="containsBlanks" dxfId="4209" priority="79">
      <formula>LEN(TRIM(J49))=0</formula>
    </cfRule>
  </conditionalFormatting>
  <conditionalFormatting sqref="P49:Q49">
    <cfRule type="cellIs" dxfId="4208" priority="78" operator="equal">
      <formula>0</formula>
    </cfRule>
  </conditionalFormatting>
  <conditionalFormatting sqref="P49:Q49">
    <cfRule type="cellIs" dxfId="4207" priority="77" operator="equal">
      <formula>0</formula>
    </cfRule>
  </conditionalFormatting>
  <conditionalFormatting sqref="P49:Q49">
    <cfRule type="containsBlanks" dxfId="4206" priority="76">
      <formula>LEN(TRIM(P49))=0</formula>
    </cfRule>
  </conditionalFormatting>
  <conditionalFormatting sqref="H12:H19 H32:H40 H42 G12">
    <cfRule type="cellIs" dxfId="4205" priority="50" operator="equal">
      <formula>0</formula>
    </cfRule>
  </conditionalFormatting>
  <conditionalFormatting sqref="H13:H14">
    <cfRule type="cellIs" dxfId="4204" priority="49" operator="equal">
      <formula>0</formula>
    </cfRule>
  </conditionalFormatting>
  <conditionalFormatting sqref="H41">
    <cfRule type="cellIs" dxfId="4203" priority="48" operator="equal">
      <formula>0</formula>
    </cfRule>
  </conditionalFormatting>
  <conditionalFormatting sqref="H12:H18 H32 H34:H42 G12">
    <cfRule type="containsBlanks" dxfId="4202" priority="47">
      <formula>LEN(TRIM(G12))=0</formula>
    </cfRule>
  </conditionalFormatting>
  <conditionalFormatting sqref="H41">
    <cfRule type="cellIs" dxfId="4201" priority="46" operator="equal">
      <formula>0</formula>
    </cfRule>
  </conditionalFormatting>
  <conditionalFormatting sqref="H20:H31">
    <cfRule type="cellIs" dxfId="4200" priority="45" operator="equal">
      <formula>0</formula>
    </cfRule>
  </conditionalFormatting>
  <conditionalFormatting sqref="H20:H31">
    <cfRule type="containsBlanks" dxfId="4199" priority="44">
      <formula>LEN(TRIM(H20))=0</formula>
    </cfRule>
  </conditionalFormatting>
  <conditionalFormatting sqref="G13:G19 G32:G40 G42">
    <cfRule type="cellIs" dxfId="4198" priority="43" operator="equal">
      <formula>0</formula>
    </cfRule>
  </conditionalFormatting>
  <conditionalFormatting sqref="G13:G14">
    <cfRule type="cellIs" dxfId="4197" priority="42" operator="equal">
      <formula>0</formula>
    </cfRule>
  </conditionalFormatting>
  <conditionalFormatting sqref="G13:G14">
    <cfRule type="cellIs" dxfId="4196" priority="41" operator="equal">
      <formula>0</formula>
    </cfRule>
  </conditionalFormatting>
  <conditionalFormatting sqref="G41">
    <cfRule type="cellIs" dxfId="4195" priority="40" operator="equal">
      <formula>0</formula>
    </cfRule>
  </conditionalFormatting>
  <conditionalFormatting sqref="G13:G18 G34:G42 G32">
    <cfRule type="containsBlanks" dxfId="4194" priority="39">
      <formula>LEN(TRIM(G13))=0</formula>
    </cfRule>
  </conditionalFormatting>
  <conditionalFormatting sqref="G41">
    <cfRule type="cellIs" dxfId="4193" priority="38" operator="equal">
      <formula>0</formula>
    </cfRule>
  </conditionalFormatting>
  <conditionalFormatting sqref="G20:G31">
    <cfRule type="cellIs" dxfId="4192" priority="37" operator="equal">
      <formula>0</formula>
    </cfRule>
  </conditionalFormatting>
  <conditionalFormatting sqref="G20:G31">
    <cfRule type="containsBlanks" dxfId="4191" priority="36">
      <formula>LEN(TRIM(G20))=0</formula>
    </cfRule>
  </conditionalFormatting>
  <conditionalFormatting sqref="I12">
    <cfRule type="cellIs" dxfId="4190" priority="35" operator="equal">
      <formula>0</formula>
    </cfRule>
  </conditionalFormatting>
  <conditionalFormatting sqref="I12">
    <cfRule type="containsBlanks" dxfId="4189" priority="34">
      <formula>LEN(TRIM(I12))=0</formula>
    </cfRule>
  </conditionalFormatting>
  <conditionalFormatting sqref="I13:I19 I32:I40 I42">
    <cfRule type="cellIs" dxfId="4188" priority="33" operator="equal">
      <formula>0</formula>
    </cfRule>
  </conditionalFormatting>
  <conditionalFormatting sqref="I13:I14">
    <cfRule type="cellIs" dxfId="4187" priority="32" operator="equal">
      <formula>0</formula>
    </cfRule>
  </conditionalFormatting>
  <conditionalFormatting sqref="I13:I14">
    <cfRule type="cellIs" dxfId="4186" priority="31" operator="equal">
      <formula>0</formula>
    </cfRule>
  </conditionalFormatting>
  <conditionalFormatting sqref="I41">
    <cfRule type="cellIs" dxfId="4185" priority="30" operator="equal">
      <formula>0</formula>
    </cfRule>
  </conditionalFormatting>
  <conditionalFormatting sqref="I13:I18 I34:I42 I32">
    <cfRule type="containsBlanks" dxfId="4184" priority="29">
      <formula>LEN(TRIM(I13))=0</formula>
    </cfRule>
  </conditionalFormatting>
  <conditionalFormatting sqref="I41">
    <cfRule type="cellIs" dxfId="4183" priority="28" operator="equal">
      <formula>0</formula>
    </cfRule>
  </conditionalFormatting>
  <conditionalFormatting sqref="I20:I31">
    <cfRule type="cellIs" dxfId="4182" priority="27" operator="equal">
      <formula>0</formula>
    </cfRule>
  </conditionalFormatting>
  <conditionalFormatting sqref="I20:I31">
    <cfRule type="containsBlanks" dxfId="4181" priority="26">
      <formula>LEN(TRIM(I20))=0</formula>
    </cfRule>
  </conditionalFormatting>
  <conditionalFormatting sqref="H49:H56 H69:H77 H79 G49">
    <cfRule type="cellIs" dxfId="4180" priority="25" operator="equal">
      <formula>0</formula>
    </cfRule>
  </conditionalFormatting>
  <conditionalFormatting sqref="H50:H51">
    <cfRule type="cellIs" dxfId="4179" priority="24" operator="equal">
      <formula>0</formula>
    </cfRule>
  </conditionalFormatting>
  <conditionalFormatting sqref="H78">
    <cfRule type="cellIs" dxfId="4178" priority="23" operator="equal">
      <formula>0</formula>
    </cfRule>
  </conditionalFormatting>
  <conditionalFormatting sqref="H49:H55 H69 H71:H79 G49">
    <cfRule type="containsBlanks" dxfId="4177" priority="22">
      <formula>LEN(TRIM(G49))=0</formula>
    </cfRule>
  </conditionalFormatting>
  <conditionalFormatting sqref="H78">
    <cfRule type="cellIs" dxfId="4176" priority="21" operator="equal">
      <formula>0</formula>
    </cfRule>
  </conditionalFormatting>
  <conditionalFormatting sqref="H57:H68">
    <cfRule type="cellIs" dxfId="4175" priority="20" operator="equal">
      <formula>0</formula>
    </cfRule>
  </conditionalFormatting>
  <conditionalFormatting sqref="H57:H68">
    <cfRule type="containsBlanks" dxfId="4174" priority="19">
      <formula>LEN(TRIM(H57))=0</formula>
    </cfRule>
  </conditionalFormatting>
  <conditionalFormatting sqref="G50:G56 G69:G77 G79">
    <cfRule type="cellIs" dxfId="4173" priority="18" operator="equal">
      <formula>0</formula>
    </cfRule>
  </conditionalFormatting>
  <conditionalFormatting sqref="G50:G51">
    <cfRule type="cellIs" dxfId="4172" priority="17" operator="equal">
      <formula>0</formula>
    </cfRule>
  </conditionalFormatting>
  <conditionalFormatting sqref="G50:G51">
    <cfRule type="cellIs" dxfId="4171" priority="16" operator="equal">
      <formula>0</formula>
    </cfRule>
  </conditionalFormatting>
  <conditionalFormatting sqref="G78">
    <cfRule type="cellIs" dxfId="4170" priority="15" operator="equal">
      <formula>0</formula>
    </cfRule>
  </conditionalFormatting>
  <conditionalFormatting sqref="G50:G55 G71:G79 G69">
    <cfRule type="containsBlanks" dxfId="4169" priority="14">
      <formula>LEN(TRIM(G50))=0</formula>
    </cfRule>
  </conditionalFormatting>
  <conditionalFormatting sqref="G78">
    <cfRule type="cellIs" dxfId="4168" priority="13" operator="equal">
      <formula>0</formula>
    </cfRule>
  </conditionalFormatting>
  <conditionalFormatting sqref="G57:G68">
    <cfRule type="cellIs" dxfId="4167" priority="12" operator="equal">
      <formula>0</formula>
    </cfRule>
  </conditionalFormatting>
  <conditionalFormatting sqref="G57:G68">
    <cfRule type="containsBlanks" dxfId="4166" priority="11">
      <formula>LEN(TRIM(G57))=0</formula>
    </cfRule>
  </conditionalFormatting>
  <conditionalFormatting sqref="I49">
    <cfRule type="cellIs" dxfId="4165" priority="10" operator="equal">
      <formula>0</formula>
    </cfRule>
  </conditionalFormatting>
  <conditionalFormatting sqref="I49">
    <cfRule type="containsBlanks" dxfId="4164" priority="9">
      <formula>LEN(TRIM(I49))=0</formula>
    </cfRule>
  </conditionalFormatting>
  <conditionalFormatting sqref="I50:I56 I69:I77 I79">
    <cfRule type="cellIs" dxfId="4163" priority="8" operator="equal">
      <formula>0</formula>
    </cfRule>
  </conditionalFormatting>
  <conditionalFormatting sqref="I50:I51">
    <cfRule type="cellIs" dxfId="4162" priority="7" operator="equal">
      <formula>0</formula>
    </cfRule>
  </conditionalFormatting>
  <conditionalFormatting sqref="I50:I51">
    <cfRule type="cellIs" dxfId="4161" priority="6" operator="equal">
      <formula>0</formula>
    </cfRule>
  </conditionalFormatting>
  <conditionalFormatting sqref="I78">
    <cfRule type="cellIs" dxfId="4160" priority="5" operator="equal">
      <formula>0</formula>
    </cfRule>
  </conditionalFormatting>
  <conditionalFormatting sqref="I50:I55 I71:I79 I69">
    <cfRule type="containsBlanks" dxfId="4159" priority="4">
      <formula>LEN(TRIM(I50))=0</formula>
    </cfRule>
  </conditionalFormatting>
  <conditionalFormatting sqref="I78">
    <cfRule type="cellIs" dxfId="4158" priority="3" operator="equal">
      <formula>0</formula>
    </cfRule>
  </conditionalFormatting>
  <conditionalFormatting sqref="I57:I68">
    <cfRule type="cellIs" dxfId="4157" priority="2" operator="equal">
      <formula>0</formula>
    </cfRule>
  </conditionalFormatting>
  <conditionalFormatting sqref="I57:I68">
    <cfRule type="containsBlanks" dxfId="4156" priority="1">
      <formula>LEN(TRIM(I57))=0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7D52-5CD1-4020-A220-5DEDEAD5DDEF}">
  <dimension ref="C3:U44"/>
  <sheetViews>
    <sheetView topLeftCell="A4" zoomScale="60" zoomScaleNormal="60" workbookViewId="0">
      <selection activeCell="N21" sqref="N21"/>
    </sheetView>
  </sheetViews>
  <sheetFormatPr baseColWidth="10" defaultRowHeight="12.5"/>
  <cols>
    <col min="1" max="16384" width="10.90625" style="458"/>
  </cols>
  <sheetData>
    <row r="3" spans="3:21">
      <c r="C3" s="654"/>
      <c r="D3" s="654"/>
      <c r="E3" s="654"/>
      <c r="F3" s="654"/>
      <c r="G3" s="654"/>
      <c r="H3" s="654"/>
      <c r="I3" s="654"/>
      <c r="J3" s="654"/>
      <c r="K3" s="654"/>
      <c r="L3" s="654"/>
      <c r="M3" s="654"/>
      <c r="N3" s="654"/>
      <c r="O3" s="654"/>
      <c r="P3" s="654"/>
      <c r="Q3" s="654"/>
      <c r="R3" s="654"/>
      <c r="S3" s="654"/>
      <c r="T3" s="654"/>
      <c r="U3" s="654"/>
    </row>
    <row r="4" spans="3:21" ht="15.5">
      <c r="C4" s="655" t="s">
        <v>341</v>
      </c>
      <c r="D4" s="656" t="s">
        <v>486</v>
      </c>
      <c r="E4" s="656"/>
      <c r="F4" s="656"/>
      <c r="G4" s="656"/>
      <c r="H4" s="656"/>
      <c r="I4" s="656"/>
      <c r="J4" s="656"/>
      <c r="K4" s="657"/>
      <c r="L4" s="657"/>
      <c r="M4" s="657"/>
      <c r="N4" s="657"/>
      <c r="O4" s="657"/>
      <c r="P4" s="657"/>
      <c r="Q4" s="657"/>
      <c r="R4" s="656"/>
      <c r="S4" s="656"/>
      <c r="T4" s="656"/>
      <c r="U4" s="656"/>
    </row>
    <row r="5" spans="3:21" ht="15.5">
      <c r="C5" s="655" t="s">
        <v>344</v>
      </c>
      <c r="D5" s="656" t="s">
        <v>345</v>
      </c>
      <c r="E5" s="656"/>
      <c r="F5" s="656"/>
      <c r="G5" s="656"/>
      <c r="H5" s="656"/>
      <c r="I5" s="656"/>
      <c r="J5" s="656"/>
      <c r="K5" s="656"/>
      <c r="L5" s="656"/>
      <c r="M5" s="656"/>
      <c r="N5" s="656"/>
      <c r="O5" s="656"/>
      <c r="P5" s="656"/>
      <c r="Q5" s="656"/>
      <c r="R5" s="656"/>
      <c r="S5" s="656"/>
      <c r="T5" s="656"/>
      <c r="U5" s="656"/>
    </row>
    <row r="6" spans="3:21">
      <c r="C6" s="654"/>
      <c r="D6" s="654"/>
      <c r="E6" s="654"/>
      <c r="F6" s="654"/>
      <c r="G6" s="654"/>
      <c r="H6" s="654"/>
      <c r="I6" s="654"/>
      <c r="J6" s="654"/>
      <c r="K6" s="654"/>
      <c r="L6" s="654"/>
      <c r="M6" s="654"/>
      <c r="N6" s="654"/>
      <c r="O6" s="654"/>
      <c r="P6" s="654"/>
      <c r="Q6" s="654"/>
      <c r="R6" s="654"/>
      <c r="S6" s="654"/>
      <c r="T6" s="654"/>
      <c r="U6" s="654"/>
    </row>
    <row r="7" spans="3:21">
      <c r="C7" s="654"/>
      <c r="D7" s="654"/>
      <c r="E7" s="654"/>
      <c r="F7" s="654"/>
      <c r="G7" s="654"/>
      <c r="H7" s="654"/>
      <c r="I7" s="654"/>
      <c r="J7" s="654"/>
      <c r="K7" s="654"/>
      <c r="L7" s="654"/>
      <c r="M7" s="654"/>
      <c r="N7" s="654"/>
      <c r="O7" s="654"/>
      <c r="P7" s="654"/>
      <c r="Q7" s="654"/>
      <c r="R7" s="654"/>
      <c r="S7" s="654"/>
      <c r="T7" s="654"/>
      <c r="U7" s="654"/>
    </row>
    <row r="8" spans="3:21" ht="14.5">
      <c r="C8" s="658" t="s">
        <v>89</v>
      </c>
      <c r="D8" s="659"/>
      <c r="E8" s="659"/>
      <c r="F8" s="659"/>
      <c r="G8" s="659"/>
      <c r="H8" s="659"/>
      <c r="I8" s="659"/>
      <c r="J8" s="659"/>
      <c r="K8" s="659"/>
      <c r="L8" s="659"/>
      <c r="M8" s="659"/>
      <c r="N8" s="659"/>
      <c r="O8" s="659"/>
      <c r="P8" s="659"/>
      <c r="Q8" s="659"/>
      <c r="R8" s="659"/>
      <c r="S8" s="659"/>
      <c r="T8" s="659"/>
      <c r="U8" s="659"/>
    </row>
    <row r="9" spans="3:21">
      <c r="C9" s="654"/>
      <c r="D9" s="654"/>
      <c r="E9" s="654"/>
      <c r="F9" s="654"/>
      <c r="G9" s="654"/>
      <c r="H9" s="654"/>
      <c r="I9" s="654"/>
      <c r="J9" s="654"/>
      <c r="K9" s="654"/>
      <c r="L9" s="654"/>
      <c r="M9" s="654"/>
      <c r="N9" s="654"/>
      <c r="O9" s="654"/>
      <c r="P9" s="654"/>
      <c r="Q9" s="654"/>
      <c r="R9" s="654"/>
      <c r="S9" s="654"/>
      <c r="T9" s="654"/>
      <c r="U9" s="654"/>
    </row>
    <row r="10" spans="3:21" ht="13" customHeight="1">
      <c r="C10" s="713" t="s">
        <v>128</v>
      </c>
      <c r="D10" s="711" t="s">
        <v>42</v>
      </c>
      <c r="E10" s="711" t="s">
        <v>52</v>
      </c>
      <c r="F10" s="711" t="s">
        <v>53</v>
      </c>
      <c r="G10" s="711" t="s">
        <v>487</v>
      </c>
      <c r="H10" s="711" t="s">
        <v>32</v>
      </c>
      <c r="I10" s="711" t="s">
        <v>488</v>
      </c>
      <c r="J10" s="711" t="s">
        <v>20</v>
      </c>
      <c r="K10" s="711" t="s">
        <v>55</v>
      </c>
      <c r="L10" s="715" t="s">
        <v>56</v>
      </c>
      <c r="M10" s="716"/>
      <c r="N10" s="716"/>
      <c r="O10" s="716"/>
      <c r="P10" s="716"/>
      <c r="Q10" s="717"/>
      <c r="R10" s="711" t="s">
        <v>57</v>
      </c>
      <c r="S10" s="711" t="s">
        <v>58</v>
      </c>
      <c r="T10" s="711" t="s">
        <v>31</v>
      </c>
      <c r="U10" s="711" t="s">
        <v>10</v>
      </c>
    </row>
    <row r="11" spans="3:21" ht="36">
      <c r="C11" s="714"/>
      <c r="D11" s="712"/>
      <c r="E11" s="712"/>
      <c r="F11" s="712"/>
      <c r="G11" s="712"/>
      <c r="H11" s="712"/>
      <c r="I11" s="712"/>
      <c r="J11" s="712"/>
      <c r="K11" s="712"/>
      <c r="L11" s="610" t="s">
        <v>338</v>
      </c>
      <c r="M11" s="610" t="s">
        <v>40</v>
      </c>
      <c r="N11" s="610" t="s">
        <v>346</v>
      </c>
      <c r="O11" s="610" t="s">
        <v>347</v>
      </c>
      <c r="P11" s="611" t="s">
        <v>348</v>
      </c>
      <c r="Q11" s="610" t="s">
        <v>349</v>
      </c>
      <c r="R11" s="712"/>
      <c r="S11" s="712"/>
      <c r="T11" s="712"/>
      <c r="U11" s="712"/>
    </row>
    <row r="12" spans="3:21" ht="13.5">
      <c r="C12" s="612" t="s">
        <v>59</v>
      </c>
      <c r="D12" s="421">
        <v>0</v>
      </c>
      <c r="E12" s="421">
        <v>0</v>
      </c>
      <c r="F12" s="422">
        <v>0</v>
      </c>
      <c r="G12" s="613">
        <v>0</v>
      </c>
      <c r="H12" s="421">
        <v>0</v>
      </c>
      <c r="I12" s="613">
        <v>0</v>
      </c>
      <c r="J12" s="422">
        <v>712.60987447127138</v>
      </c>
      <c r="K12" s="422">
        <v>556.92135057124881</v>
      </c>
      <c r="L12" s="422">
        <v>261.57522104592402</v>
      </c>
      <c r="M12" s="422">
        <v>19.228684940511499</v>
      </c>
      <c r="N12" s="630">
        <v>1.5563580670349855</v>
      </c>
      <c r="O12" s="630">
        <v>0.17110271620039663</v>
      </c>
      <c r="P12" s="432">
        <v>167.23788927594987</v>
      </c>
      <c r="Q12" s="509">
        <v>24.373068583718577</v>
      </c>
      <c r="R12" s="422">
        <v>0</v>
      </c>
      <c r="S12" s="422">
        <v>0</v>
      </c>
      <c r="T12" s="422">
        <v>0</v>
      </c>
      <c r="U12" s="423">
        <v>1743.6735496718593</v>
      </c>
    </row>
    <row r="13" spans="3:21" ht="13.5">
      <c r="C13" s="612" t="s">
        <v>60</v>
      </c>
      <c r="D13" s="422">
        <v>5.9311888025037742</v>
      </c>
      <c r="E13" s="422">
        <v>113.95685880900638</v>
      </c>
      <c r="F13" s="422">
        <v>1.9517818504706483</v>
      </c>
      <c r="G13" s="626">
        <v>0</v>
      </c>
      <c r="H13" s="422">
        <v>2.6585092475046008</v>
      </c>
      <c r="I13" s="626">
        <v>0</v>
      </c>
      <c r="J13" s="422">
        <v>0</v>
      </c>
      <c r="K13" s="422">
        <v>0</v>
      </c>
      <c r="L13" s="422">
        <v>5.2309321400654634</v>
      </c>
      <c r="M13" s="422">
        <v>0</v>
      </c>
      <c r="N13" s="630">
        <v>5.4084519189769722</v>
      </c>
      <c r="O13" s="432">
        <v>0</v>
      </c>
      <c r="P13" s="422">
        <v>0</v>
      </c>
      <c r="Q13" s="422">
        <v>0</v>
      </c>
      <c r="R13" s="432">
        <v>0</v>
      </c>
      <c r="S13" s="422">
        <v>0</v>
      </c>
      <c r="T13" s="432">
        <v>0</v>
      </c>
      <c r="U13" s="423">
        <v>135.13772276852782</v>
      </c>
    </row>
    <row r="14" spans="3:21" ht="13.5">
      <c r="C14" s="612" t="s">
        <v>61</v>
      </c>
      <c r="D14" s="422">
        <v>0</v>
      </c>
      <c r="E14" s="422">
        <v>0</v>
      </c>
      <c r="F14" s="422">
        <v>-33.824093823668861</v>
      </c>
      <c r="G14" s="626">
        <v>-8.545793370460693</v>
      </c>
      <c r="H14" s="422">
        <v>0</v>
      </c>
      <c r="I14" s="626">
        <v>0</v>
      </c>
      <c r="J14" s="422">
        <v>0</v>
      </c>
      <c r="K14" s="422">
        <v>0</v>
      </c>
      <c r="L14" s="422">
        <v>0</v>
      </c>
      <c r="M14" s="422">
        <v>0</v>
      </c>
      <c r="N14" s="630">
        <v>0</v>
      </c>
      <c r="O14" s="432">
        <v>0</v>
      </c>
      <c r="P14" s="422">
        <v>0</v>
      </c>
      <c r="Q14" s="422">
        <v>0</v>
      </c>
      <c r="R14" s="432">
        <v>-40.000075434727478</v>
      </c>
      <c r="S14" s="422">
        <v>0</v>
      </c>
      <c r="T14" s="432">
        <v>0</v>
      </c>
      <c r="U14" s="423">
        <v>-82.369962628857039</v>
      </c>
    </row>
    <row r="15" spans="3:21" ht="13.5">
      <c r="C15" s="612" t="s">
        <v>62</v>
      </c>
      <c r="D15" s="421">
        <v>0</v>
      </c>
      <c r="E15" s="421">
        <v>0</v>
      </c>
      <c r="F15" s="421">
        <v>-1.6540275032482068</v>
      </c>
      <c r="G15" s="626">
        <v>-4.2955328800984329</v>
      </c>
      <c r="H15" s="421">
        <v>0</v>
      </c>
      <c r="I15" s="626">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row>
    <row r="16" spans="3:21" ht="13.5">
      <c r="C16" s="612" t="s">
        <v>63</v>
      </c>
      <c r="D16" s="421">
        <v>0</v>
      </c>
      <c r="E16" s="421">
        <v>0</v>
      </c>
      <c r="F16" s="421">
        <v>-18.714774559646315</v>
      </c>
      <c r="G16" s="626">
        <v>-28.257765893495769</v>
      </c>
      <c r="H16" s="421">
        <v>0</v>
      </c>
      <c r="I16" s="626">
        <v>0</v>
      </c>
      <c r="J16" s="421">
        <v>0</v>
      </c>
      <c r="K16" s="421">
        <v>0</v>
      </c>
      <c r="L16" s="421">
        <v>0</v>
      </c>
      <c r="M16" s="421">
        <v>0</v>
      </c>
      <c r="N16" s="431">
        <v>-13.972472121868162</v>
      </c>
      <c r="O16" s="431">
        <v>0</v>
      </c>
      <c r="P16" s="421">
        <v>0</v>
      </c>
      <c r="Q16" s="421">
        <v>0</v>
      </c>
      <c r="R16" s="422">
        <v>0</v>
      </c>
      <c r="S16" s="422">
        <v>0</v>
      </c>
      <c r="T16" s="431">
        <v>-2.6159745910871801</v>
      </c>
      <c r="U16" s="423">
        <v>-63.560987166097433</v>
      </c>
    </row>
    <row r="17" spans="3:21" ht="13.5">
      <c r="C17" s="612" t="s">
        <v>64</v>
      </c>
      <c r="D17" s="422">
        <v>0</v>
      </c>
      <c r="E17" s="422">
        <v>0</v>
      </c>
      <c r="F17" s="422">
        <v>0</v>
      </c>
      <c r="G17" s="613">
        <v>0</v>
      </c>
      <c r="H17" s="422">
        <v>0</v>
      </c>
      <c r="I17" s="613">
        <v>0</v>
      </c>
      <c r="J17" s="422">
        <v>0</v>
      </c>
      <c r="K17" s="422">
        <v>0</v>
      </c>
      <c r="L17" s="422">
        <v>0</v>
      </c>
      <c r="M17" s="422">
        <v>0</v>
      </c>
      <c r="N17" s="422">
        <v>0</v>
      </c>
      <c r="O17" s="422">
        <v>0</v>
      </c>
      <c r="P17" s="422">
        <v>0</v>
      </c>
      <c r="Q17" s="422">
        <v>0</v>
      </c>
      <c r="R17" s="422">
        <v>0</v>
      </c>
      <c r="S17" s="422">
        <v>0</v>
      </c>
      <c r="T17" s="422">
        <v>0</v>
      </c>
      <c r="U17" s="423">
        <v>0</v>
      </c>
    </row>
    <row r="18" spans="3:21" ht="13.5">
      <c r="C18" s="616" t="s">
        <v>65</v>
      </c>
      <c r="D18" s="510">
        <v>5.9311888025037742</v>
      </c>
      <c r="E18" s="510">
        <v>113.95685880900638</v>
      </c>
      <c r="F18" s="510">
        <v>-52.241114036092739</v>
      </c>
      <c r="G18" s="617">
        <v>-41.099092144054893</v>
      </c>
      <c r="H18" s="510">
        <v>2.6585092475046008</v>
      </c>
      <c r="I18" s="617">
        <v>-0.31877375583888373</v>
      </c>
      <c r="J18" s="425">
        <v>712.60987447127138</v>
      </c>
      <c r="K18" s="425">
        <v>556.92135057124881</v>
      </c>
      <c r="L18" s="425">
        <v>266.80615318598944</v>
      </c>
      <c r="M18" s="510">
        <v>19.228684940511499</v>
      </c>
      <c r="N18" s="425">
        <v>-7.2531211575761132</v>
      </c>
      <c r="O18" s="425">
        <v>-5.8855986447383941</v>
      </c>
      <c r="P18" s="425">
        <v>167.23788927594987</v>
      </c>
      <c r="Q18" s="425">
        <v>24.373068583718577</v>
      </c>
      <c r="R18" s="425">
        <v>-40.000075434727478</v>
      </c>
      <c r="S18" s="425">
        <v>0</v>
      </c>
      <c r="T18" s="425">
        <v>-2.6159745910871801</v>
      </c>
      <c r="U18" s="425">
        <v>1720.3098281235887</v>
      </c>
    </row>
    <row r="19" spans="3:21" ht="13.5">
      <c r="C19" s="618"/>
      <c r="D19" s="427">
        <v>0</v>
      </c>
      <c r="E19" s="492">
        <v>0</v>
      </c>
      <c r="F19" s="492">
        <v>0</v>
      </c>
      <c r="G19" s="619">
        <v>0</v>
      </c>
      <c r="H19" s="492">
        <v>0</v>
      </c>
      <c r="I19" s="619">
        <v>0</v>
      </c>
      <c r="J19" s="427">
        <v>0</v>
      </c>
      <c r="K19" s="427">
        <v>0</v>
      </c>
      <c r="L19" s="427">
        <v>0</v>
      </c>
      <c r="M19" s="492">
        <v>0</v>
      </c>
      <c r="N19" s="427">
        <v>0</v>
      </c>
      <c r="O19" s="427">
        <v>0</v>
      </c>
      <c r="P19" s="427">
        <v>0</v>
      </c>
      <c r="Q19" s="427">
        <v>0</v>
      </c>
      <c r="R19" s="492">
        <v>0</v>
      </c>
      <c r="S19" s="492">
        <v>0</v>
      </c>
      <c r="T19" s="427">
        <v>0</v>
      </c>
      <c r="U19" s="427">
        <v>0</v>
      </c>
    </row>
    <row r="20" spans="3:21" ht="13.5">
      <c r="C20" s="620" t="s">
        <v>67</v>
      </c>
      <c r="D20" s="421">
        <v>0</v>
      </c>
      <c r="E20" s="431">
        <v>0</v>
      </c>
      <c r="F20" s="431">
        <v>0</v>
      </c>
      <c r="G20" s="613">
        <v>0</v>
      </c>
      <c r="H20" s="431">
        <v>0</v>
      </c>
      <c r="I20" s="613">
        <v>0</v>
      </c>
      <c r="J20" s="421">
        <v>0</v>
      </c>
      <c r="K20" s="421">
        <v>0</v>
      </c>
      <c r="L20" s="421">
        <v>0</v>
      </c>
      <c r="M20" s="431">
        <v>0</v>
      </c>
      <c r="N20" s="421">
        <v>0</v>
      </c>
      <c r="O20" s="421">
        <v>0</v>
      </c>
      <c r="P20" s="421">
        <v>0</v>
      </c>
      <c r="Q20" s="421">
        <v>0</v>
      </c>
      <c r="R20" s="431">
        <v>0</v>
      </c>
      <c r="S20" s="431">
        <v>0</v>
      </c>
      <c r="T20" s="422">
        <v>0</v>
      </c>
      <c r="U20" s="423">
        <v>0</v>
      </c>
    </row>
    <row r="21" spans="3:21" ht="13.5">
      <c r="C21" s="620" t="s">
        <v>350</v>
      </c>
      <c r="D21" s="431">
        <v>0</v>
      </c>
      <c r="E21" s="421">
        <v>0</v>
      </c>
      <c r="F21" s="431">
        <v>0</v>
      </c>
      <c r="G21" s="613">
        <v>0</v>
      </c>
      <c r="H21" s="431">
        <v>0</v>
      </c>
      <c r="I21" s="613">
        <v>0</v>
      </c>
      <c r="J21" s="431">
        <v>712.60987447127138</v>
      </c>
      <c r="K21" s="431">
        <v>556.92135057124881</v>
      </c>
      <c r="L21" s="431">
        <v>14.491283228737107</v>
      </c>
      <c r="M21" s="431">
        <v>2.8053264742296591</v>
      </c>
      <c r="N21" s="627">
        <v>6.5561937148871507</v>
      </c>
      <c r="O21" s="431">
        <v>0.11326810820885491</v>
      </c>
      <c r="P21" s="421">
        <v>0</v>
      </c>
      <c r="Q21" s="627">
        <v>6.7631767445353068</v>
      </c>
      <c r="R21" s="421">
        <v>-809.85847053245573</v>
      </c>
      <c r="S21" s="421">
        <v>0</v>
      </c>
      <c r="T21" s="432">
        <v>25.915656492161155</v>
      </c>
      <c r="U21" s="491">
        <v>516.31765927282356</v>
      </c>
    </row>
    <row r="22" spans="3:21" ht="13.5">
      <c r="C22" s="620" t="s">
        <v>351</v>
      </c>
      <c r="D22" s="431">
        <v>0</v>
      </c>
      <c r="E22" s="421">
        <v>0</v>
      </c>
      <c r="F22" s="431">
        <v>0</v>
      </c>
      <c r="G22" s="613">
        <v>0</v>
      </c>
      <c r="H22" s="431">
        <v>0</v>
      </c>
      <c r="I22" s="613">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row>
    <row r="23" spans="3:21" ht="13.5">
      <c r="C23" s="620" t="s">
        <v>352</v>
      </c>
      <c r="D23" s="421">
        <v>0</v>
      </c>
      <c r="E23" s="421">
        <v>0</v>
      </c>
      <c r="F23" s="421">
        <v>0</v>
      </c>
      <c r="G23" s="613">
        <v>0</v>
      </c>
      <c r="H23" s="421">
        <v>0</v>
      </c>
      <c r="I23" s="613">
        <v>0</v>
      </c>
      <c r="J23" s="421">
        <v>0</v>
      </c>
      <c r="K23" s="421">
        <v>0</v>
      </c>
      <c r="L23" s="431">
        <v>104.38683240846164</v>
      </c>
      <c r="M23" s="421">
        <v>0</v>
      </c>
      <c r="N23" s="421">
        <v>0</v>
      </c>
      <c r="O23" s="421">
        <v>-100.27188716566127</v>
      </c>
      <c r="P23" s="421">
        <v>0</v>
      </c>
      <c r="Q23" s="421">
        <v>0</v>
      </c>
      <c r="R23" s="421">
        <v>0</v>
      </c>
      <c r="S23" s="421">
        <v>0</v>
      </c>
      <c r="T23" s="422">
        <v>0</v>
      </c>
      <c r="U23" s="491">
        <v>4.1149452428003741</v>
      </c>
    </row>
    <row r="24" spans="3:21" ht="13.5">
      <c r="C24" s="620" t="s">
        <v>353</v>
      </c>
      <c r="D24" s="421">
        <v>0</v>
      </c>
      <c r="E24" s="421">
        <v>0</v>
      </c>
      <c r="F24" s="421">
        <v>0</v>
      </c>
      <c r="G24" s="613">
        <v>0</v>
      </c>
      <c r="H24" s="421">
        <v>0</v>
      </c>
      <c r="I24" s="613">
        <v>-4.5962253881571415</v>
      </c>
      <c r="J24" s="421">
        <v>0</v>
      </c>
      <c r="K24" s="421">
        <v>0</v>
      </c>
      <c r="L24" s="421">
        <v>0</v>
      </c>
      <c r="M24" s="421">
        <v>0</v>
      </c>
      <c r="N24" s="421">
        <v>0</v>
      </c>
      <c r="O24" s="421">
        <v>0</v>
      </c>
      <c r="P24" s="421">
        <v>0</v>
      </c>
      <c r="Q24" s="421">
        <v>0</v>
      </c>
      <c r="R24" s="421">
        <v>0</v>
      </c>
      <c r="S24" s="421">
        <v>0</v>
      </c>
      <c r="T24" s="630">
        <v>6.4074201765093832</v>
      </c>
      <c r="U24" s="631">
        <v>1.8111947883522417</v>
      </c>
    </row>
    <row r="25" spans="3:21" ht="13.5">
      <c r="C25" s="620" t="s">
        <v>72</v>
      </c>
      <c r="D25" s="421">
        <v>0</v>
      </c>
      <c r="E25" s="431">
        <v>118.07035586741333</v>
      </c>
      <c r="F25" s="421">
        <v>-116.89188714951831</v>
      </c>
      <c r="G25" s="613">
        <v>0</v>
      </c>
      <c r="H25" s="431">
        <v>0</v>
      </c>
      <c r="I25" s="613">
        <v>0</v>
      </c>
      <c r="J25" s="421">
        <v>0</v>
      </c>
      <c r="K25" s="421">
        <v>0</v>
      </c>
      <c r="L25" s="421">
        <v>0</v>
      </c>
      <c r="M25" s="421">
        <v>0</v>
      </c>
      <c r="N25" s="421">
        <v>0</v>
      </c>
      <c r="O25" s="421">
        <v>0</v>
      </c>
      <c r="P25" s="421">
        <v>0</v>
      </c>
      <c r="Q25" s="421">
        <v>0</v>
      </c>
      <c r="R25" s="421">
        <v>0</v>
      </c>
      <c r="S25" s="421">
        <v>0</v>
      </c>
      <c r="T25" s="422">
        <v>0</v>
      </c>
      <c r="U25" s="491">
        <v>1.1784687178950146</v>
      </c>
    </row>
    <row r="26" spans="3:21" ht="13.5">
      <c r="C26" s="620" t="s">
        <v>354</v>
      </c>
      <c r="D26" s="421">
        <v>0</v>
      </c>
      <c r="E26" s="421">
        <v>0</v>
      </c>
      <c r="F26" s="421">
        <v>0</v>
      </c>
      <c r="G26" s="613">
        <v>0</v>
      </c>
      <c r="H26" s="421">
        <v>0</v>
      </c>
      <c r="I26" s="613">
        <v>0</v>
      </c>
      <c r="J26" s="421">
        <v>0</v>
      </c>
      <c r="K26" s="421">
        <v>0</v>
      </c>
      <c r="L26" s="627">
        <v>61.244429678974598</v>
      </c>
      <c r="M26" s="421">
        <v>0</v>
      </c>
      <c r="N26" s="421">
        <v>-61.244429678974598</v>
      </c>
      <c r="O26" s="421">
        <v>0</v>
      </c>
      <c r="P26" s="421">
        <v>0</v>
      </c>
      <c r="Q26" s="421">
        <v>0</v>
      </c>
      <c r="R26" s="421">
        <v>0</v>
      </c>
      <c r="S26" s="421">
        <v>0</v>
      </c>
      <c r="T26" s="422">
        <v>0</v>
      </c>
      <c r="U26" s="423">
        <v>0</v>
      </c>
    </row>
    <row r="27" spans="3:21" ht="13.5">
      <c r="C27" s="620" t="s">
        <v>355</v>
      </c>
      <c r="D27" s="421">
        <v>0</v>
      </c>
      <c r="E27" s="421">
        <v>0</v>
      </c>
      <c r="F27" s="421">
        <v>0</v>
      </c>
      <c r="G27" s="613">
        <v>-56.725829149009897</v>
      </c>
      <c r="H27" s="421">
        <v>0</v>
      </c>
      <c r="I27" s="613">
        <v>0</v>
      </c>
      <c r="J27" s="421">
        <v>0</v>
      </c>
      <c r="K27" s="421">
        <v>0</v>
      </c>
      <c r="L27" s="421">
        <v>0</v>
      </c>
      <c r="M27" s="421">
        <v>0</v>
      </c>
      <c r="N27" s="421">
        <v>0</v>
      </c>
      <c r="O27" s="421">
        <v>0</v>
      </c>
      <c r="P27" s="421">
        <v>0</v>
      </c>
      <c r="Q27" s="421">
        <v>0</v>
      </c>
      <c r="R27" s="421">
        <v>0</v>
      </c>
      <c r="S27" s="421">
        <v>0</v>
      </c>
      <c r="T27" s="629">
        <v>79.005333076615457</v>
      </c>
      <c r="U27" s="631">
        <v>22.27950392760556</v>
      </c>
    </row>
    <row r="28" spans="3:21" ht="13.5">
      <c r="C28" s="620" t="s">
        <v>73</v>
      </c>
      <c r="D28" s="421">
        <v>0</v>
      </c>
      <c r="E28" s="421">
        <v>0</v>
      </c>
      <c r="F28" s="421">
        <v>0</v>
      </c>
      <c r="G28" s="613">
        <v>0</v>
      </c>
      <c r="H28" s="431">
        <v>0</v>
      </c>
      <c r="I28" s="613">
        <v>0</v>
      </c>
      <c r="J28" s="421">
        <v>0</v>
      </c>
      <c r="K28" s="421">
        <v>0</v>
      </c>
      <c r="L28" s="421">
        <v>0</v>
      </c>
      <c r="M28" s="431">
        <v>0</v>
      </c>
      <c r="N28" s="421">
        <v>0</v>
      </c>
      <c r="O28" s="431">
        <v>0</v>
      </c>
      <c r="P28" s="421">
        <v>0</v>
      </c>
      <c r="Q28" s="421">
        <v>0</v>
      </c>
      <c r="R28" s="431">
        <v>227.10664749932533</v>
      </c>
      <c r="S28" s="421">
        <v>0</v>
      </c>
      <c r="T28" s="509">
        <v>-163.51678619951423</v>
      </c>
      <c r="U28" s="491">
        <v>63.589861299811105</v>
      </c>
    </row>
    <row r="29" spans="3:21" ht="13.5">
      <c r="C29" s="620" t="s">
        <v>356</v>
      </c>
      <c r="D29" s="431">
        <v>3.3456624609374996</v>
      </c>
      <c r="E29" s="431">
        <v>-4.1134970584069457</v>
      </c>
      <c r="F29" s="431">
        <v>5.3691262200413341</v>
      </c>
      <c r="G29" s="613">
        <v>0</v>
      </c>
      <c r="H29" s="431">
        <v>0</v>
      </c>
      <c r="I29" s="613">
        <v>0</v>
      </c>
      <c r="J29" s="421">
        <v>0</v>
      </c>
      <c r="K29" s="421">
        <v>0</v>
      </c>
      <c r="L29" s="421">
        <v>0</v>
      </c>
      <c r="M29" s="421">
        <v>0</v>
      </c>
      <c r="N29" s="431">
        <v>0</v>
      </c>
      <c r="O29" s="431">
        <v>0</v>
      </c>
      <c r="P29" s="421">
        <v>0</v>
      </c>
      <c r="Q29" s="421">
        <v>0</v>
      </c>
      <c r="R29" s="421">
        <v>0</v>
      </c>
      <c r="S29" s="421">
        <v>0</v>
      </c>
      <c r="T29" s="422">
        <v>0</v>
      </c>
      <c r="U29" s="423">
        <v>4.6012916225718881</v>
      </c>
    </row>
    <row r="30" spans="3:21" ht="13.5">
      <c r="C30" s="620" t="s">
        <v>75</v>
      </c>
      <c r="D30" s="431">
        <v>1.3010909570312501</v>
      </c>
      <c r="E30" s="421">
        <v>0</v>
      </c>
      <c r="F30" s="431">
        <v>16.404377382526505</v>
      </c>
      <c r="G30" s="613">
        <v>0</v>
      </c>
      <c r="H30" s="431">
        <v>0</v>
      </c>
      <c r="I30" s="626">
        <v>0.23833359000000001</v>
      </c>
      <c r="J30" s="421">
        <v>0</v>
      </c>
      <c r="K30" s="421">
        <v>0</v>
      </c>
      <c r="L30" s="421">
        <v>0</v>
      </c>
      <c r="M30" s="421">
        <v>0</v>
      </c>
      <c r="N30" s="421">
        <v>0</v>
      </c>
      <c r="O30" s="431">
        <v>4.5283382100000003</v>
      </c>
      <c r="P30" s="421">
        <v>0</v>
      </c>
      <c r="Q30" s="421">
        <v>0</v>
      </c>
      <c r="R30" s="431">
        <v>17.221013858771279</v>
      </c>
      <c r="S30" s="421">
        <v>0</v>
      </c>
      <c r="T30" s="422">
        <v>0</v>
      </c>
      <c r="U30" s="423">
        <v>39.693153998329031</v>
      </c>
    </row>
    <row r="31" spans="3:21" ht="13.5">
      <c r="C31" s="620" t="s">
        <v>76</v>
      </c>
      <c r="D31" s="421">
        <v>0</v>
      </c>
      <c r="E31" s="421">
        <v>0</v>
      </c>
      <c r="F31" s="421">
        <v>0</v>
      </c>
      <c r="G31" s="613">
        <v>0</v>
      </c>
      <c r="H31" s="431">
        <v>0</v>
      </c>
      <c r="I31" s="626">
        <v>5.9340338699632358E-2</v>
      </c>
      <c r="J31" s="421">
        <v>0</v>
      </c>
      <c r="K31" s="421">
        <v>0</v>
      </c>
      <c r="L31" s="421">
        <v>0</v>
      </c>
      <c r="M31" s="421">
        <v>0</v>
      </c>
      <c r="N31" s="421">
        <v>0</v>
      </c>
      <c r="O31" s="431">
        <v>1.1274664352930146</v>
      </c>
      <c r="P31" s="421">
        <v>0</v>
      </c>
      <c r="Q31" s="421">
        <v>0</v>
      </c>
      <c r="R31" s="431">
        <v>58.897580266978245</v>
      </c>
      <c r="S31" s="431">
        <v>5.0089527300753778</v>
      </c>
      <c r="T31" s="432">
        <v>0</v>
      </c>
      <c r="U31" s="423">
        <v>65.093339771046274</v>
      </c>
    </row>
    <row r="32" spans="3:21" ht="13.5">
      <c r="C32" s="616" t="s">
        <v>77</v>
      </c>
      <c r="D32" s="425">
        <v>4.6467534179687497</v>
      </c>
      <c r="E32" s="425">
        <v>113.95685880900638</v>
      </c>
      <c r="F32" s="425">
        <v>-95.118383546950469</v>
      </c>
      <c r="G32" s="617">
        <v>-56.725829149009897</v>
      </c>
      <c r="H32" s="425">
        <v>0</v>
      </c>
      <c r="I32" s="617">
        <v>-4.2985514594575092</v>
      </c>
      <c r="J32" s="425">
        <v>712.60987447127138</v>
      </c>
      <c r="K32" s="425">
        <v>556.92135057124881</v>
      </c>
      <c r="L32" s="425">
        <v>213.8444073724234</v>
      </c>
      <c r="M32" s="425">
        <v>17.181943837460711</v>
      </c>
      <c r="N32" s="425">
        <v>-54.688235964087447</v>
      </c>
      <c r="O32" s="425">
        <v>-86.324247110085594</v>
      </c>
      <c r="P32" s="425">
        <v>0</v>
      </c>
      <c r="Q32" s="425">
        <v>18.079692789637626</v>
      </c>
      <c r="R32" s="425">
        <v>-506.63322890738101</v>
      </c>
      <c r="S32" s="425">
        <v>-59.56652365415701</v>
      </c>
      <c r="T32" s="425">
        <v>-52.188376454228234</v>
      </c>
      <c r="U32" s="425">
        <v>721.69750502365991</v>
      </c>
    </row>
    <row r="33" spans="3:21" ht="13.5">
      <c r="C33" s="618"/>
      <c r="D33" s="427">
        <v>0</v>
      </c>
      <c r="E33" s="427">
        <v>0</v>
      </c>
      <c r="F33" s="427">
        <v>0</v>
      </c>
      <c r="G33" s="619">
        <v>0</v>
      </c>
      <c r="H33" s="427">
        <v>0</v>
      </c>
      <c r="I33" s="619">
        <v>0</v>
      </c>
      <c r="J33" s="427">
        <v>0</v>
      </c>
      <c r="K33" s="427">
        <v>0</v>
      </c>
      <c r="L33" s="427">
        <v>0</v>
      </c>
      <c r="M33" s="427">
        <v>0</v>
      </c>
      <c r="N33" s="427">
        <v>0</v>
      </c>
      <c r="O33" s="427">
        <v>0</v>
      </c>
      <c r="P33" s="427">
        <v>0</v>
      </c>
      <c r="Q33" s="427">
        <v>0</v>
      </c>
      <c r="R33" s="427">
        <v>0</v>
      </c>
      <c r="S33" s="427">
        <v>0</v>
      </c>
      <c r="T33" s="427">
        <v>0</v>
      </c>
      <c r="U33" s="427">
        <v>0</v>
      </c>
    </row>
    <row r="34" spans="3:21" ht="13.5">
      <c r="C34" s="620" t="s">
        <v>78</v>
      </c>
      <c r="D34" s="431">
        <v>1.2844353845350245</v>
      </c>
      <c r="E34" s="421">
        <v>0</v>
      </c>
      <c r="F34" s="431">
        <v>0.671413025716175</v>
      </c>
      <c r="G34" s="626">
        <v>0</v>
      </c>
      <c r="H34" s="431">
        <v>0</v>
      </c>
      <c r="I34" s="626">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row>
    <row r="35" spans="3:21" ht="13.5">
      <c r="C35" s="620" t="s">
        <v>79</v>
      </c>
      <c r="D35" s="431">
        <v>0</v>
      </c>
      <c r="E35" s="421">
        <v>0</v>
      </c>
      <c r="F35" s="431">
        <v>2.0327553633446804</v>
      </c>
      <c r="G35" s="626">
        <v>2.9414401384596758</v>
      </c>
      <c r="H35" s="431">
        <v>0</v>
      </c>
      <c r="I35" s="626">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row>
    <row r="36" spans="3:21" ht="13.5">
      <c r="C36" s="620" t="s">
        <v>80</v>
      </c>
      <c r="D36" s="431">
        <v>0</v>
      </c>
      <c r="E36" s="421">
        <v>0</v>
      </c>
      <c r="F36" s="431">
        <v>0.19325490667833059</v>
      </c>
      <c r="G36" s="626">
        <v>0</v>
      </c>
      <c r="H36" s="431">
        <v>0</v>
      </c>
      <c r="I36" s="626">
        <v>1.3094987150488224</v>
      </c>
      <c r="J36" s="421">
        <v>0</v>
      </c>
      <c r="K36" s="421">
        <v>0</v>
      </c>
      <c r="L36" s="431">
        <v>28.937300829462252</v>
      </c>
      <c r="M36" s="431">
        <v>0</v>
      </c>
      <c r="N36" s="431">
        <v>0</v>
      </c>
      <c r="O36" s="431">
        <v>24.88047558592762</v>
      </c>
      <c r="P36" s="431">
        <v>124.95584249070536</v>
      </c>
      <c r="Q36" s="431">
        <v>3.1166998128913419</v>
      </c>
      <c r="R36" s="431">
        <v>129.06523934568938</v>
      </c>
      <c r="S36" s="431">
        <v>22.248806062911136</v>
      </c>
      <c r="T36" s="431">
        <v>0</v>
      </c>
      <c r="U36" s="429">
        <v>334.70711774931425</v>
      </c>
    </row>
    <row r="37" spans="3:21" ht="13.5">
      <c r="C37" s="620" t="s">
        <v>81</v>
      </c>
      <c r="D37" s="431">
        <v>0</v>
      </c>
      <c r="E37" s="421">
        <v>0</v>
      </c>
      <c r="F37" s="431">
        <v>0.13103912510682203</v>
      </c>
      <c r="G37" s="626">
        <v>0</v>
      </c>
      <c r="H37" s="431">
        <v>0</v>
      </c>
      <c r="I37" s="626">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row>
    <row r="38" spans="3:21" ht="13.5">
      <c r="C38" s="620" t="s">
        <v>82</v>
      </c>
      <c r="D38" s="431">
        <v>0</v>
      </c>
      <c r="E38" s="421">
        <v>0</v>
      </c>
      <c r="F38" s="431">
        <v>0</v>
      </c>
      <c r="G38" s="626">
        <v>0.49546247522038722</v>
      </c>
      <c r="H38" s="431">
        <v>0</v>
      </c>
      <c r="I38" s="626">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35.294954528658486</v>
      </c>
    </row>
    <row r="39" spans="3:21" ht="13.5">
      <c r="C39" s="620" t="s">
        <v>357</v>
      </c>
      <c r="D39" s="421">
        <v>0</v>
      </c>
      <c r="E39" s="421">
        <v>0</v>
      </c>
      <c r="F39" s="421">
        <v>0</v>
      </c>
      <c r="G39" s="613">
        <v>0</v>
      </c>
      <c r="H39" s="421">
        <v>0</v>
      </c>
      <c r="I39" s="613">
        <v>0</v>
      </c>
      <c r="J39" s="421">
        <v>0</v>
      </c>
      <c r="K39" s="421">
        <v>0</v>
      </c>
      <c r="L39" s="421">
        <v>0</v>
      </c>
      <c r="M39" s="421">
        <v>0</v>
      </c>
      <c r="N39" s="421">
        <v>0</v>
      </c>
      <c r="O39" s="421">
        <v>0</v>
      </c>
      <c r="P39" s="421">
        <v>0</v>
      </c>
      <c r="Q39" s="421">
        <v>0</v>
      </c>
      <c r="R39" s="431">
        <v>2.5199999999999996</v>
      </c>
      <c r="S39" s="421">
        <v>0</v>
      </c>
      <c r="T39" s="421">
        <v>0</v>
      </c>
      <c r="U39" s="429">
        <v>2.5199999999999996</v>
      </c>
    </row>
    <row r="40" spans="3:21" ht="13.5">
      <c r="C40" s="616" t="s">
        <v>83</v>
      </c>
      <c r="D40" s="425">
        <v>1.2844353845350245</v>
      </c>
      <c r="E40" s="425">
        <v>0</v>
      </c>
      <c r="F40" s="425">
        <v>3.028462420846008</v>
      </c>
      <c r="G40" s="617">
        <v>3.4369026136800631</v>
      </c>
      <c r="H40" s="425">
        <v>0</v>
      </c>
      <c r="I40" s="617">
        <v>3.9797777036186259</v>
      </c>
      <c r="J40" s="425">
        <v>0</v>
      </c>
      <c r="K40" s="425">
        <v>0</v>
      </c>
      <c r="L40" s="425">
        <v>52.365476880840774</v>
      </c>
      <c r="M40" s="425">
        <v>2.0467411030507856</v>
      </c>
      <c r="N40" s="425">
        <v>29.329147031481789</v>
      </c>
      <c r="O40" s="425">
        <v>75.65790718490868</v>
      </c>
      <c r="P40" s="425">
        <v>167.23788927594987</v>
      </c>
      <c r="Q40" s="425">
        <v>6.2933757940809487</v>
      </c>
      <c r="R40" s="425">
        <v>466.63315347265359</v>
      </c>
      <c r="S40" s="425">
        <v>59.566523654157017</v>
      </c>
      <c r="T40" s="425">
        <v>14.075687902585015</v>
      </c>
      <c r="U40" s="425">
        <v>884.93548042238808</v>
      </c>
    </row>
    <row r="41" spans="3:21" ht="13.5">
      <c r="C41" s="612" t="s">
        <v>84</v>
      </c>
      <c r="D41" s="431">
        <v>0</v>
      </c>
      <c r="E41" s="421">
        <v>0</v>
      </c>
      <c r="F41" s="431">
        <v>39.848807090011732</v>
      </c>
      <c r="G41" s="626">
        <v>12.189834391274943</v>
      </c>
      <c r="H41" s="431">
        <v>2.6585092475046008</v>
      </c>
      <c r="I41" s="613">
        <v>0</v>
      </c>
      <c r="J41" s="421">
        <v>0</v>
      </c>
      <c r="K41" s="421">
        <v>0</v>
      </c>
      <c r="L41" s="627">
        <v>0.5962689327253029</v>
      </c>
      <c r="M41" s="421">
        <v>0</v>
      </c>
      <c r="N41" s="431">
        <v>18.105967775029544</v>
      </c>
      <c r="O41" s="627">
        <v>4.780741280438523</v>
      </c>
      <c r="P41" s="421">
        <v>0</v>
      </c>
      <c r="Q41" s="421">
        <v>0</v>
      </c>
      <c r="R41" s="421">
        <v>0</v>
      </c>
      <c r="S41" s="421">
        <v>0</v>
      </c>
      <c r="T41" s="431">
        <v>35.496713960556022</v>
      </c>
      <c r="U41" s="429">
        <v>113.67684267754068</v>
      </c>
    </row>
    <row r="42" spans="3:21" ht="13.5">
      <c r="C42" s="616" t="s">
        <v>85</v>
      </c>
      <c r="D42" s="425">
        <v>1.2844353845350245</v>
      </c>
      <c r="E42" s="425">
        <v>0</v>
      </c>
      <c r="F42" s="425">
        <v>42.877269510857737</v>
      </c>
      <c r="G42" s="617">
        <v>15.626737004955006</v>
      </c>
      <c r="H42" s="425">
        <v>2.6585092475046008</v>
      </c>
      <c r="I42" s="617">
        <v>3.9797777036186259</v>
      </c>
      <c r="J42" s="425">
        <v>0</v>
      </c>
      <c r="K42" s="425">
        <v>0</v>
      </c>
      <c r="L42" s="425">
        <v>52.961745813566075</v>
      </c>
      <c r="M42" s="425">
        <v>2.0467411030507856</v>
      </c>
      <c r="N42" s="425">
        <v>47.435114806511329</v>
      </c>
      <c r="O42" s="425">
        <v>80.4386484653472</v>
      </c>
      <c r="P42" s="425">
        <v>167.23788927594987</v>
      </c>
      <c r="Q42" s="425">
        <v>6.2933757940809487</v>
      </c>
      <c r="R42" s="425">
        <v>466.63315347265359</v>
      </c>
      <c r="S42" s="425">
        <v>59.566523654157017</v>
      </c>
      <c r="T42" s="425">
        <v>49.572401863141039</v>
      </c>
      <c r="U42" s="425">
        <v>998.61232309992874</v>
      </c>
    </row>
    <row r="43" spans="3:21" ht="14.5">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row>
    <row r="44" spans="3:21">
      <c r="C44" s="654"/>
      <c r="D44" s="654"/>
      <c r="E44" s="654"/>
      <c r="F44" s="654"/>
      <c r="G44" s="654"/>
      <c r="H44" s="654"/>
      <c r="I44" s="654"/>
      <c r="J44" s="654"/>
      <c r="K44" s="654"/>
      <c r="L44" s="654"/>
      <c r="M44" s="654"/>
      <c r="N44" s="654"/>
      <c r="O44" s="654"/>
      <c r="P44" s="654"/>
      <c r="Q44" s="654"/>
      <c r="R44" s="654"/>
      <c r="S44" s="654"/>
      <c r="T44" s="654"/>
      <c r="U44" s="654"/>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L11:P11">
    <cfRule type="cellIs" dxfId="4155" priority="84" operator="equal">
      <formula>0</formula>
    </cfRule>
  </conditionalFormatting>
  <conditionalFormatting sqref="Q11">
    <cfRule type="cellIs" dxfId="4154" priority="83" operator="equal">
      <formula>0</formula>
    </cfRule>
  </conditionalFormatting>
  <conditionalFormatting sqref="O23">
    <cfRule type="expression" dxfId="4153" priority="82">
      <formula>LEN(TRIM(O23))=0</formula>
    </cfRule>
  </conditionalFormatting>
  <conditionalFormatting sqref="O23">
    <cfRule type="cellIs" dxfId="4152" priority="81" operator="equal">
      <formula>0</formula>
    </cfRule>
  </conditionalFormatting>
  <conditionalFormatting sqref="T27:T28">
    <cfRule type="expression" dxfId="4151" priority="80">
      <formula>LEN(TRIM(T27))=0</formula>
    </cfRule>
  </conditionalFormatting>
  <conditionalFormatting sqref="T27:T28">
    <cfRule type="cellIs" dxfId="4150" priority="79" operator="equal">
      <formula>0</formula>
    </cfRule>
  </conditionalFormatting>
  <conditionalFormatting sqref="D27:F28 H27:H28 J27:S28">
    <cfRule type="expression" dxfId="4149" priority="78">
      <formula>LEN(TRIM(D27))=0</formula>
    </cfRule>
  </conditionalFormatting>
  <conditionalFormatting sqref="D27:F28 H27:H28 J27:S28">
    <cfRule type="cellIs" dxfId="4148" priority="77" operator="equal">
      <formula>0</formula>
    </cfRule>
  </conditionalFormatting>
  <conditionalFormatting sqref="U20:U31">
    <cfRule type="expression" dxfId="4147" priority="76">
      <formula>LEN(TRIM(U20))=0</formula>
    </cfRule>
  </conditionalFormatting>
  <conditionalFormatting sqref="U20:U31">
    <cfRule type="cellIs" dxfId="4146" priority="75" operator="equal">
      <formula>0</formula>
    </cfRule>
  </conditionalFormatting>
  <conditionalFormatting sqref="T20:T26 T29:T31">
    <cfRule type="expression" dxfId="4145" priority="74">
      <formula>LEN(TRIM(T20))=0</formula>
    </cfRule>
  </conditionalFormatting>
  <conditionalFormatting sqref="T20:T26 T29:T31">
    <cfRule type="cellIs" dxfId="4144" priority="73" operator="equal">
      <formula>0</formula>
    </cfRule>
  </conditionalFormatting>
  <conditionalFormatting sqref="D42:F42 H42 J42:U42">
    <cfRule type="expression" dxfId="4143" priority="72">
      <formula>LEN(TRIM(D42))=0</formula>
    </cfRule>
  </conditionalFormatting>
  <conditionalFormatting sqref="D42:F42 H42 J42:U42">
    <cfRule type="cellIs" dxfId="4142" priority="71" operator="equal">
      <formula>0</formula>
    </cfRule>
  </conditionalFormatting>
  <conditionalFormatting sqref="D41:F41 H41 J41:T41">
    <cfRule type="cellIs" dxfId="4141" priority="70" operator="equal">
      <formula>0</formula>
    </cfRule>
  </conditionalFormatting>
  <conditionalFormatting sqref="D34:F41 H34:H41 J34:U41">
    <cfRule type="expression" dxfId="4140" priority="69">
      <formula>LEN(TRIM(D34))=0</formula>
    </cfRule>
  </conditionalFormatting>
  <conditionalFormatting sqref="D41:F41 H41 J41:U41">
    <cfRule type="cellIs" dxfId="4139" priority="68" operator="equal">
      <formula>0</formula>
    </cfRule>
  </conditionalFormatting>
  <conditionalFormatting sqref="U34:U41 D34:F40 H34:H40 J34:T40">
    <cfRule type="cellIs" dxfId="4138" priority="67" operator="equal">
      <formula>0</formula>
    </cfRule>
  </conditionalFormatting>
  <conditionalFormatting sqref="D32:F32 H32 J32:U32">
    <cfRule type="expression" dxfId="4137" priority="66">
      <formula>LEN(TRIM(D32))=0</formula>
    </cfRule>
  </conditionalFormatting>
  <conditionalFormatting sqref="D32:F32 H32 J32:U32">
    <cfRule type="cellIs" dxfId="4136" priority="65" operator="equal">
      <formula>0</formula>
    </cfRule>
  </conditionalFormatting>
  <conditionalFormatting sqref="D18:F18 H18 J18:U18">
    <cfRule type="expression" dxfId="4135" priority="64">
      <formula>LEN(TRIM(D18))=0</formula>
    </cfRule>
  </conditionalFormatting>
  <conditionalFormatting sqref="D18:F18 H18 J18:U18">
    <cfRule type="cellIs" dxfId="4134" priority="63" operator="equal">
      <formula>0</formula>
    </cfRule>
  </conditionalFormatting>
  <conditionalFormatting sqref="P16:Q16">
    <cfRule type="cellIs" dxfId="4133" priority="62" operator="equal">
      <formula>0</formula>
    </cfRule>
  </conditionalFormatting>
  <conditionalFormatting sqref="P15:Q15">
    <cfRule type="cellIs" dxfId="4132" priority="61" operator="equal">
      <formula>0</formula>
    </cfRule>
  </conditionalFormatting>
  <conditionalFormatting sqref="O15:O16">
    <cfRule type="cellIs" dxfId="4131" priority="60" operator="equal">
      <formula>0</formula>
    </cfRule>
  </conditionalFormatting>
  <conditionalFormatting sqref="N15:N16">
    <cfRule type="cellIs" dxfId="4130" priority="59" operator="equal">
      <formula>0</formula>
    </cfRule>
  </conditionalFormatting>
  <conditionalFormatting sqref="D15:F16 T15:T16 H15:H16 J15:Q16">
    <cfRule type="expression" dxfId="4129" priority="58">
      <formula>LEN(TRIM(D15))=0</formula>
    </cfRule>
  </conditionalFormatting>
  <conditionalFormatting sqref="Q15:Q16">
    <cfRule type="cellIs" dxfId="4128" priority="57" operator="equal">
      <formula>0</formula>
    </cfRule>
  </conditionalFormatting>
  <conditionalFormatting sqref="P15:P16">
    <cfRule type="cellIs" dxfId="4127" priority="56" operator="equal">
      <formula>0</formula>
    </cfRule>
  </conditionalFormatting>
  <conditionalFormatting sqref="O15:O16">
    <cfRule type="cellIs" dxfId="4126" priority="55" operator="equal">
      <formula>0</formula>
    </cfRule>
  </conditionalFormatting>
  <conditionalFormatting sqref="N15:N16">
    <cfRule type="cellIs" dxfId="4125" priority="54" operator="equal">
      <formula>0</formula>
    </cfRule>
  </conditionalFormatting>
  <conditionalFormatting sqref="M15:M16">
    <cfRule type="cellIs" dxfId="4124" priority="53" operator="equal">
      <formula>0</formula>
    </cfRule>
  </conditionalFormatting>
  <conditionalFormatting sqref="L15:L16">
    <cfRule type="cellIs" dxfId="4123" priority="52" operator="equal">
      <formula>0</formula>
    </cfRule>
  </conditionalFormatting>
  <conditionalFormatting sqref="D15:F16 T15:T16 H15:H16 J15:Q16">
    <cfRule type="cellIs" dxfId="4122" priority="51" operator="equal">
      <formula>0</formula>
    </cfRule>
  </conditionalFormatting>
  <conditionalFormatting sqref="D23:F24 P23:S23 H23:H24 J24:S24 J23:N23">
    <cfRule type="expression" dxfId="4121" priority="50">
      <formula>LEN(TRIM(D23))=0</formula>
    </cfRule>
  </conditionalFormatting>
  <conditionalFormatting sqref="D23:F24 P23:S23 H23:H24 J24:S24 J23:N23">
    <cfRule type="cellIs" dxfId="4120" priority="49" operator="equal">
      <formula>0</formula>
    </cfRule>
  </conditionalFormatting>
  <conditionalFormatting sqref="U12:U17">
    <cfRule type="expression" dxfId="4119" priority="48">
      <formula>LEN(TRIM(U12))=0</formula>
    </cfRule>
  </conditionalFormatting>
  <conditionalFormatting sqref="U12:U17">
    <cfRule type="cellIs" dxfId="4118" priority="47" operator="equal">
      <formula>0</formula>
    </cfRule>
  </conditionalFormatting>
  <conditionalFormatting sqref="D12:F12 R13:R17 T12 S12:S17 H12 J12:R12">
    <cfRule type="expression" dxfId="4117" priority="46">
      <formula>LEN(TRIM(D12))=0</formula>
    </cfRule>
  </conditionalFormatting>
  <conditionalFormatting sqref="M12">
    <cfRule type="cellIs" dxfId="4116" priority="45" operator="equal">
      <formula>0</formula>
    </cfRule>
  </conditionalFormatting>
  <conditionalFormatting sqref="L12">
    <cfRule type="cellIs" dxfId="4115" priority="44" operator="equal">
      <formula>0</formula>
    </cfRule>
  </conditionalFormatting>
  <conditionalFormatting sqref="N12:Q12">
    <cfRule type="cellIs" dxfId="4114" priority="43" operator="equal">
      <formula>0</formula>
    </cfRule>
  </conditionalFormatting>
  <conditionalFormatting sqref="K12">
    <cfRule type="cellIs" dxfId="4113" priority="42" operator="equal">
      <formula>0</formula>
    </cfRule>
  </conditionalFormatting>
  <conditionalFormatting sqref="J12">
    <cfRule type="cellIs" dxfId="4112" priority="41" operator="equal">
      <formula>0</formula>
    </cfRule>
  </conditionalFormatting>
  <conditionalFormatting sqref="D12:F12 T12 R12:S17 H12">
    <cfRule type="cellIs" dxfId="4111" priority="40" operator="equal">
      <formula>0</formula>
    </cfRule>
  </conditionalFormatting>
  <conditionalFormatting sqref="D13:F14 D17:F17 T17 T13:T14 D25:F26 D29:F31 H29:H31 H25:H26 H17 H13:H14 J13:Q14 J17:Q17 J25:S26 J29:S31">
    <cfRule type="expression" dxfId="4110" priority="39">
      <formula>LEN(TRIM(D13))=0</formula>
    </cfRule>
  </conditionalFormatting>
  <conditionalFormatting sqref="Q13:Q14">
    <cfRule type="cellIs" dxfId="4109" priority="38" operator="equal">
      <formula>0</formula>
    </cfRule>
  </conditionalFormatting>
  <conditionalFormatting sqref="Q17 Q33">
    <cfRule type="cellIs" dxfId="4108" priority="37" operator="equal">
      <formula>0</formula>
    </cfRule>
  </conditionalFormatting>
  <conditionalFormatting sqref="P13:P14">
    <cfRule type="cellIs" dxfId="4107" priority="36" operator="equal">
      <formula>0</formula>
    </cfRule>
  </conditionalFormatting>
  <conditionalFormatting sqref="P17 P33">
    <cfRule type="cellIs" dxfId="4106" priority="35" operator="equal">
      <formula>0</formula>
    </cfRule>
  </conditionalFormatting>
  <conditionalFormatting sqref="O13:O14">
    <cfRule type="cellIs" dxfId="4105" priority="34" operator="equal">
      <formula>0</formula>
    </cfRule>
  </conditionalFormatting>
  <conditionalFormatting sqref="O17 O33">
    <cfRule type="cellIs" dxfId="4104" priority="33" operator="equal">
      <formula>0</formula>
    </cfRule>
  </conditionalFormatting>
  <conditionalFormatting sqref="N13:N14">
    <cfRule type="cellIs" dxfId="4103" priority="32" operator="equal">
      <formula>0</formula>
    </cfRule>
  </conditionalFormatting>
  <conditionalFormatting sqref="N17 N33">
    <cfRule type="cellIs" dxfId="4102" priority="31" operator="equal">
      <formula>0</formula>
    </cfRule>
  </conditionalFormatting>
  <conditionalFormatting sqref="M13:M14">
    <cfRule type="cellIs" dxfId="4101" priority="30" operator="equal">
      <formula>0</formula>
    </cfRule>
  </conditionalFormatting>
  <conditionalFormatting sqref="M17 M33">
    <cfRule type="cellIs" dxfId="4100" priority="29" operator="equal">
      <formula>0</formula>
    </cfRule>
  </conditionalFormatting>
  <conditionalFormatting sqref="L13:L14">
    <cfRule type="cellIs" dxfId="4099" priority="28" operator="equal">
      <formula>0</formula>
    </cfRule>
  </conditionalFormatting>
  <conditionalFormatting sqref="L17 L33">
    <cfRule type="cellIs" dxfId="4098" priority="27" operator="equal">
      <formula>0</formula>
    </cfRule>
  </conditionalFormatting>
  <conditionalFormatting sqref="D29:F31 H29:H31 J29:S31">
    <cfRule type="cellIs" dxfId="4097" priority="26" operator="equal">
      <formula>0</formula>
    </cfRule>
  </conditionalFormatting>
  <conditionalFormatting sqref="F13:F14">
    <cfRule type="cellIs" dxfId="4096" priority="25" operator="equal">
      <formula>0</formula>
    </cfRule>
  </conditionalFormatting>
  <conditionalFormatting sqref="D13:E14 J13:K14">
    <cfRule type="cellIs" dxfId="4095" priority="24" operator="equal">
      <formula>0</formula>
    </cfRule>
  </conditionalFormatting>
  <conditionalFormatting sqref="T13:T14 T17 H13:H14 D17:F17 R33:T33 D33:F33 D30:F31 D25:F26 H25:H26 H30:H31 H33 H17 J17:K17 J33:K33 J30:S31 J25:S26">
    <cfRule type="cellIs" dxfId="4094" priority="23" operator="equal">
      <formula>0</formula>
    </cfRule>
  </conditionalFormatting>
  <conditionalFormatting sqref="D20:F22 H20:H22 J20:S22">
    <cfRule type="expression" dxfId="4093" priority="22">
      <formula>LEN(TRIM(D20))=0</formula>
    </cfRule>
  </conditionalFormatting>
  <conditionalFormatting sqref="U33 D19:F22 H19:H22 J20:S22 J19:U19">
    <cfRule type="cellIs" dxfId="4092" priority="21" operator="equal">
      <formula>0</formula>
    </cfRule>
  </conditionalFormatting>
  <conditionalFormatting sqref="G12">
    <cfRule type="cellIs" dxfId="4091" priority="20" operator="equal">
      <formula>0</formula>
    </cfRule>
  </conditionalFormatting>
  <conditionalFormatting sqref="G12">
    <cfRule type="containsBlanks" dxfId="4090" priority="19">
      <formula>LEN(TRIM(G12))=0</formula>
    </cfRule>
  </conditionalFormatting>
  <conditionalFormatting sqref="G13:G19 G32:G40 G42">
    <cfRule type="cellIs" dxfId="4089" priority="18" operator="equal">
      <formula>0</formula>
    </cfRule>
  </conditionalFormatting>
  <conditionalFormatting sqref="G13:G14">
    <cfRule type="cellIs" dxfId="4088" priority="17" operator="equal">
      <formula>0</formula>
    </cfRule>
  </conditionalFormatting>
  <conditionalFormatting sqref="G13:G14">
    <cfRule type="cellIs" dxfId="4087" priority="16" operator="equal">
      <formula>0</formula>
    </cfRule>
  </conditionalFormatting>
  <conditionalFormatting sqref="G41">
    <cfRule type="cellIs" dxfId="4086" priority="15" operator="equal">
      <formula>0</formula>
    </cfRule>
  </conditionalFormatting>
  <conditionalFormatting sqref="G13:G18 G34:G42 G32">
    <cfRule type="containsBlanks" dxfId="4085" priority="14">
      <formula>LEN(TRIM(G13))=0</formula>
    </cfRule>
  </conditionalFormatting>
  <conditionalFormatting sqref="G41">
    <cfRule type="cellIs" dxfId="4084" priority="13" operator="equal">
      <formula>0</formula>
    </cfRule>
  </conditionalFormatting>
  <conditionalFormatting sqref="G20:G31">
    <cfRule type="cellIs" dxfId="4083" priority="12" operator="equal">
      <formula>0</formula>
    </cfRule>
  </conditionalFormatting>
  <conditionalFormatting sqref="G20:G31">
    <cfRule type="containsBlanks" dxfId="4082" priority="11">
      <formula>LEN(TRIM(G20))=0</formula>
    </cfRule>
  </conditionalFormatting>
  <conditionalFormatting sqref="I12">
    <cfRule type="cellIs" dxfId="4081" priority="10" operator="equal">
      <formula>0</formula>
    </cfRule>
  </conditionalFormatting>
  <conditionalFormatting sqref="I12">
    <cfRule type="containsBlanks" dxfId="4080" priority="9">
      <formula>LEN(TRIM(I12))=0</formula>
    </cfRule>
  </conditionalFormatting>
  <conditionalFormatting sqref="I13:I19 I32:I40 I42">
    <cfRule type="cellIs" dxfId="4079" priority="8" operator="equal">
      <formula>0</formula>
    </cfRule>
  </conditionalFormatting>
  <conditionalFormatting sqref="I13:I14">
    <cfRule type="cellIs" dxfId="4078" priority="7" operator="equal">
      <formula>0</formula>
    </cfRule>
  </conditionalFormatting>
  <conditionalFormatting sqref="I13:I14">
    <cfRule type="cellIs" dxfId="4077" priority="6" operator="equal">
      <formula>0</formula>
    </cfRule>
  </conditionalFormatting>
  <conditionalFormatting sqref="I41">
    <cfRule type="cellIs" dxfId="4076" priority="5" operator="equal">
      <formula>0</formula>
    </cfRule>
  </conditionalFormatting>
  <conditionalFormatting sqref="I13:I18 I34:I42 I32">
    <cfRule type="containsBlanks" dxfId="4075" priority="4">
      <formula>LEN(TRIM(I13))=0</formula>
    </cfRule>
  </conditionalFormatting>
  <conditionalFormatting sqref="I41">
    <cfRule type="cellIs" dxfId="4074" priority="3" operator="equal">
      <formula>0</formula>
    </cfRule>
  </conditionalFormatting>
  <conditionalFormatting sqref="I20:I31">
    <cfRule type="cellIs" dxfId="4073" priority="2" operator="equal">
      <formula>0</formula>
    </cfRule>
  </conditionalFormatting>
  <conditionalFormatting sqref="I20:I31">
    <cfRule type="containsBlanks" dxfId="4072" priority="1">
      <formula>LEN(TRIM(I20))=0</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9369B-AB6A-4C01-B2A5-1E7B07640D64}">
  <dimension ref="A1:X414"/>
  <sheetViews>
    <sheetView topLeftCell="A4" zoomScale="70" zoomScaleNormal="70" workbookViewId="0">
      <selection activeCell="B14" sqref="B14"/>
    </sheetView>
  </sheetViews>
  <sheetFormatPr baseColWidth="10" defaultColWidth="14.26953125" defaultRowHeight="14.5"/>
  <cols>
    <col min="3" max="3" width="58.453125" bestFit="1" customWidth="1"/>
    <col min="23" max="23" width="0" hidden="1" customWidth="1"/>
  </cols>
  <sheetData>
    <row r="1" spans="1:24" ht="15.5" hidden="1">
      <c r="D1" s="600" t="e">
        <f>LEFT(ADDRESS(1,COLUMN(#REF!),4),LEN(ADDRESS(1,COLUMN(#REF!),4))-1)</f>
        <v>#REF!</v>
      </c>
      <c r="E1" s="600" t="e">
        <f>LEFT(ADDRESS(1,COLUMN(#REF!),4),LEN(ADDRESS(1,COLUMN(#REF!),4))-1)</f>
        <v>#REF!</v>
      </c>
      <c r="F1" s="600" t="e">
        <f>LEFT(ADDRESS(1,COLUMN(#REF!),4),LEN(ADDRESS(1,COLUMN(#REF!),4))-1)</f>
        <v>#REF!</v>
      </c>
      <c r="G1" s="600" t="e">
        <f>LEFT(ADDRESS(1,COLUMN(#REF!),4),LEN(ADDRESS(1,COLUMN(#REF!),4))-1)</f>
        <v>#REF!</v>
      </c>
      <c r="H1" s="600" t="e">
        <f>LEFT(ADDRESS(1,COLUMN(#REF!),4),LEN(ADDRESS(1,COLUMN(#REF!),4))-1)</f>
        <v>#REF!</v>
      </c>
      <c r="I1" s="600" t="e">
        <f>LEFT(ADDRESS(1,COLUMN(#REF!),4),LEN(ADDRESS(1,COLUMN(#REF!),4))-1)</f>
        <v>#REF!</v>
      </c>
      <c r="J1" s="600" t="e">
        <f>LEFT(ADDRESS(1,COLUMN(#REF!),4),LEN(ADDRESS(1,COLUMN(#REF!),4))-1)</f>
        <v>#REF!</v>
      </c>
      <c r="K1" s="600" t="e">
        <f>LEFT(ADDRESS(1,COLUMN(#REF!),4),LEN(ADDRESS(1,COLUMN(#REF!),4))-1)</f>
        <v>#REF!</v>
      </c>
      <c r="L1" s="600" t="e">
        <f>LEFT(ADDRESS(1,COLUMN(#REF!),4),LEN(ADDRESS(1,COLUMN(#REF!),4))-1)</f>
        <v>#REF!</v>
      </c>
      <c r="M1" s="600" t="e">
        <f>LEFT(ADDRESS(1,COLUMN(#REF!),4),LEN(ADDRESS(1,COLUMN(#REF!),4))-1)</f>
        <v>#REF!</v>
      </c>
      <c r="N1" s="600" t="e">
        <f>LEFT(ADDRESS(1,COLUMN(#REF!),4),LEN(ADDRESS(1,COLUMN(#REF!),4))-1)</f>
        <v>#REF!</v>
      </c>
      <c r="O1" s="600" t="e">
        <f>LEFT(ADDRESS(1,COLUMN(#REF!),4),LEN(ADDRESS(1,COLUMN(#REF!),4))-1)</f>
        <v>#REF!</v>
      </c>
      <c r="P1" s="600" t="e">
        <f>LEFT(ADDRESS(1,COLUMN(#REF!),4),LEN(ADDRESS(1,COLUMN(#REF!),4))-1)</f>
        <v>#REF!</v>
      </c>
      <c r="Q1" s="600" t="e">
        <f>LEFT(ADDRESS(1,COLUMN(#REF!),4),LEN(ADDRESS(1,COLUMN(#REF!),4))-1)</f>
        <v>#REF!</v>
      </c>
      <c r="R1" s="600" t="e">
        <f>LEFT(ADDRESS(1,COLUMN(#REF!),4),LEN(ADDRESS(1,COLUMN(#REF!),4))-1)</f>
        <v>#REF!</v>
      </c>
      <c r="S1" s="600" t="e">
        <f>LEFT(ADDRESS(1,COLUMN(#REF!),4),LEN(ADDRESS(1,COLUMN(#REF!),4))-1)</f>
        <v>#REF!</v>
      </c>
      <c r="T1" s="600" t="e">
        <f>LEFT(ADDRESS(1,COLUMN(#REF!),4),LEN(ADDRESS(1,COLUMN(#REF!),4))-1)</f>
        <v>#REF!</v>
      </c>
      <c r="U1" s="600" t="e">
        <f>LEFT(ADDRESS(1,COLUMN(#REF!),4),LEN(ADDRESS(1,COLUMN(#REF!),4))-1)</f>
        <v>#REF!</v>
      </c>
      <c r="W1" t="e">
        <f>U1</f>
        <v>#REF!</v>
      </c>
    </row>
    <row r="2" spans="1:24" hidden="1">
      <c r="D2" t="e">
        <f>#REF!</f>
        <v>#REF!</v>
      </c>
      <c r="E2" s="51" t="e">
        <f>#REF!</f>
        <v>#REF!</v>
      </c>
      <c r="F2" s="51" t="e">
        <f>#REF!</f>
        <v>#REF!</v>
      </c>
      <c r="G2" s="51" t="e">
        <f>#REF!</f>
        <v>#REF!</v>
      </c>
      <c r="H2" s="51" t="e">
        <f>#REF!</f>
        <v>#REF!</v>
      </c>
      <c r="I2" s="51" t="e">
        <f>#REF!</f>
        <v>#REF!</v>
      </c>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row>
    <row r="3" spans="1:24" hidden="1"/>
    <row r="4" spans="1:24" s="603" customFormat="1" ht="18.5">
      <c r="A4" s="601"/>
      <c r="B4" s="601"/>
      <c r="C4" s="602" t="s">
        <v>409</v>
      </c>
      <c r="D4" s="601"/>
      <c r="E4" s="601"/>
      <c r="F4" s="601"/>
      <c r="G4" s="601"/>
      <c r="H4" s="601"/>
      <c r="I4" s="601"/>
      <c r="J4" s="601"/>
      <c r="K4" s="601"/>
      <c r="L4" s="601"/>
      <c r="M4" s="601"/>
      <c r="N4" s="601"/>
      <c r="O4" s="601"/>
      <c r="P4" s="601"/>
      <c r="Q4" s="601"/>
      <c r="R4" s="601"/>
      <c r="S4" s="601"/>
      <c r="T4" s="601"/>
      <c r="U4" s="601"/>
      <c r="V4" s="601"/>
      <c r="W4" s="601"/>
      <c r="X4" s="601"/>
    </row>
    <row r="5" spans="1:24">
      <c r="A5" s="51"/>
      <c r="B5" s="51"/>
      <c r="C5" s="51"/>
      <c r="D5" s="51"/>
      <c r="E5" s="51"/>
      <c r="F5" s="51"/>
      <c r="G5" s="51"/>
      <c r="H5" s="51"/>
      <c r="I5" s="51"/>
      <c r="J5" s="51"/>
      <c r="K5" s="51"/>
      <c r="L5" s="51"/>
      <c r="M5" s="51"/>
      <c r="N5" s="51"/>
      <c r="O5" s="51"/>
      <c r="P5" s="51"/>
      <c r="Q5" s="51"/>
      <c r="R5" s="51"/>
      <c r="S5" s="51"/>
      <c r="T5" s="51"/>
      <c r="U5" s="51"/>
      <c r="V5" s="51"/>
      <c r="W5" s="51"/>
      <c r="X5" s="51"/>
    </row>
    <row r="6" spans="1:24" s="607" customFormat="1" ht="15.5">
      <c r="A6" s="604"/>
      <c r="B6" s="51"/>
      <c r="C6" s="605" t="s">
        <v>341</v>
      </c>
      <c r="D6" s="604" t="s">
        <v>486</v>
      </c>
      <c r="E6" s="604"/>
      <c r="F6" s="604"/>
      <c r="G6" s="604"/>
      <c r="H6" s="604"/>
      <c r="I6" s="604"/>
      <c r="J6" s="604"/>
      <c r="K6" s="606"/>
      <c r="L6" s="606"/>
      <c r="M6" s="606"/>
      <c r="N6" s="606"/>
      <c r="O6" s="606"/>
      <c r="P6" s="606"/>
      <c r="Q6" s="606"/>
      <c r="R6" s="604"/>
      <c r="S6" s="604"/>
      <c r="T6" s="604"/>
      <c r="U6" s="604"/>
      <c r="V6" s="604"/>
      <c r="W6" s="604"/>
      <c r="X6" s="604"/>
    </row>
    <row r="7" spans="1:24" s="607" customFormat="1" ht="15.5">
      <c r="A7" s="604"/>
      <c r="B7" s="51"/>
      <c r="C7" s="605" t="s">
        <v>344</v>
      </c>
      <c r="D7" s="604" t="s">
        <v>345</v>
      </c>
      <c r="E7" s="604"/>
      <c r="F7" s="604"/>
      <c r="G7" s="604"/>
      <c r="H7" s="604"/>
      <c r="I7" s="604"/>
      <c r="J7" s="604"/>
      <c r="K7" s="604"/>
      <c r="L7" s="604"/>
      <c r="M7" s="604"/>
      <c r="N7" s="604"/>
      <c r="O7" s="604"/>
      <c r="P7" s="604"/>
      <c r="Q7" s="604"/>
      <c r="R7" s="604"/>
      <c r="S7" s="604"/>
      <c r="T7" s="604"/>
      <c r="U7" s="604"/>
      <c r="V7" s="604"/>
      <c r="W7" s="604"/>
      <c r="X7" s="604"/>
    </row>
    <row r="8" spans="1:24">
      <c r="A8" s="608"/>
      <c r="B8" s="608"/>
      <c r="C8" s="609" t="s">
        <v>358</v>
      </c>
      <c r="D8" s="608"/>
      <c r="E8" s="608"/>
      <c r="F8" s="608"/>
      <c r="G8" s="608"/>
      <c r="H8" s="608"/>
      <c r="I8" s="608"/>
      <c r="J8" s="608"/>
      <c r="K8" s="608"/>
      <c r="L8" s="608"/>
      <c r="M8" s="608"/>
      <c r="N8" s="608"/>
      <c r="O8" s="608"/>
      <c r="P8" s="608"/>
      <c r="Q8" s="608"/>
      <c r="R8" s="608"/>
      <c r="S8" s="608"/>
      <c r="T8" s="608"/>
      <c r="U8" s="608"/>
      <c r="V8" s="608"/>
      <c r="W8" s="608"/>
      <c r="X8" s="608"/>
    </row>
    <row r="9" spans="1:24">
      <c r="A9" s="51"/>
      <c r="B9" s="51"/>
      <c r="C9" s="51"/>
      <c r="D9" s="51"/>
      <c r="E9" s="51"/>
      <c r="F9" s="51"/>
      <c r="G9" s="51"/>
      <c r="H9" s="51"/>
      <c r="I9" s="51"/>
      <c r="J9" s="51"/>
      <c r="K9" s="51"/>
      <c r="L9" s="51"/>
      <c r="M9" s="51"/>
      <c r="N9" s="51"/>
      <c r="O9" s="51"/>
      <c r="P9" s="51"/>
      <c r="Q9" s="51"/>
      <c r="R9" s="51"/>
      <c r="S9" s="51"/>
      <c r="T9" s="51"/>
      <c r="U9" s="51"/>
      <c r="V9" s="51"/>
      <c r="W9" s="51"/>
      <c r="X9" s="51"/>
    </row>
    <row r="10" spans="1:24" ht="14.25" customHeight="1">
      <c r="A10" s="51"/>
      <c r="B10" s="51"/>
      <c r="C10" s="713" t="s">
        <v>128</v>
      </c>
      <c r="D10" s="711" t="s">
        <v>42</v>
      </c>
      <c r="E10" s="711" t="s">
        <v>52</v>
      </c>
      <c r="F10" s="711" t="s">
        <v>53</v>
      </c>
      <c r="G10" s="711" t="s">
        <v>487</v>
      </c>
      <c r="H10" s="711" t="s">
        <v>32</v>
      </c>
      <c r="I10" s="711" t="s">
        <v>488</v>
      </c>
      <c r="J10" s="711" t="s">
        <v>20</v>
      </c>
      <c r="K10" s="711" t="s">
        <v>55</v>
      </c>
      <c r="L10" s="715" t="s">
        <v>56</v>
      </c>
      <c r="M10" s="716"/>
      <c r="N10" s="716"/>
      <c r="O10" s="716"/>
      <c r="P10" s="716"/>
      <c r="Q10" s="717"/>
      <c r="R10" s="711" t="s">
        <v>57</v>
      </c>
      <c r="S10" s="711" t="s">
        <v>58</v>
      </c>
      <c r="T10" s="711" t="s">
        <v>31</v>
      </c>
      <c r="U10" s="711" t="s">
        <v>10</v>
      </c>
      <c r="V10" s="51"/>
      <c r="W10" s="51"/>
      <c r="X10" s="51"/>
    </row>
    <row r="11" spans="1:24" ht="24">
      <c r="A11" s="51"/>
      <c r="B11" s="51"/>
      <c r="C11" s="714"/>
      <c r="D11" s="712"/>
      <c r="E11" s="712"/>
      <c r="F11" s="712"/>
      <c r="G11" s="712"/>
      <c r="H11" s="712"/>
      <c r="I11" s="712"/>
      <c r="J11" s="712"/>
      <c r="K11" s="712"/>
      <c r="L11" s="610" t="s">
        <v>338</v>
      </c>
      <c r="M11" s="610" t="s">
        <v>40</v>
      </c>
      <c r="N11" s="610" t="s">
        <v>346</v>
      </c>
      <c r="O11" s="610" t="s">
        <v>347</v>
      </c>
      <c r="P11" s="611" t="s">
        <v>348</v>
      </c>
      <c r="Q11" s="610" t="s">
        <v>349</v>
      </c>
      <c r="R11" s="712"/>
      <c r="S11" s="712"/>
      <c r="T11" s="712"/>
      <c r="U11" s="712"/>
      <c r="V11" s="51"/>
      <c r="W11" s="51"/>
      <c r="X11" s="51"/>
    </row>
    <row r="12" spans="1:24">
      <c r="A12" s="51"/>
      <c r="B12" s="51"/>
      <c r="C12" s="612" t="s">
        <v>59</v>
      </c>
      <c r="D12" s="613">
        <v>0</v>
      </c>
      <c r="E12" s="613">
        <v>9.7691999999999997</v>
      </c>
      <c r="F12" s="613">
        <v>0</v>
      </c>
      <c r="G12" s="613">
        <v>0</v>
      </c>
      <c r="H12" s="613">
        <v>0.18608000000000002</v>
      </c>
      <c r="I12" s="613">
        <v>0</v>
      </c>
      <c r="J12" s="622">
        <v>1053.5890909090911</v>
      </c>
      <c r="K12" s="622">
        <v>140.80876550165527</v>
      </c>
      <c r="L12" s="622">
        <v>211.56428068204218</v>
      </c>
      <c r="M12" s="622">
        <v>28.846508757618857</v>
      </c>
      <c r="N12" s="613">
        <v>1.2541050018668516</v>
      </c>
      <c r="O12" s="613">
        <v>0.16066538698047411</v>
      </c>
      <c r="P12" s="622">
        <v>51.691578550496644</v>
      </c>
      <c r="Q12" s="622">
        <v>7.2966333603269149</v>
      </c>
      <c r="R12" s="613">
        <v>0</v>
      </c>
      <c r="S12" s="613">
        <v>0</v>
      </c>
      <c r="T12" s="613">
        <v>0</v>
      </c>
      <c r="U12" s="623">
        <v>1505.1669081500781</v>
      </c>
      <c r="V12" s="51"/>
      <c r="W12" s="51"/>
      <c r="X12" s="51"/>
    </row>
    <row r="13" spans="1:24">
      <c r="A13" s="51"/>
      <c r="B13" s="51"/>
      <c r="C13" s="612" t="s">
        <v>60</v>
      </c>
      <c r="D13" s="613">
        <v>55.381963306879783</v>
      </c>
      <c r="E13" s="613">
        <v>462.05884439413359</v>
      </c>
      <c r="F13" s="613">
        <v>258.77539609169685</v>
      </c>
      <c r="G13" s="613">
        <v>0.4821984357974316</v>
      </c>
      <c r="H13" s="613">
        <v>373.52108413615281</v>
      </c>
      <c r="I13" s="613">
        <v>0</v>
      </c>
      <c r="J13" s="613">
        <v>0</v>
      </c>
      <c r="K13" s="613">
        <v>0</v>
      </c>
      <c r="L13" s="613">
        <v>1.7064184013992112</v>
      </c>
      <c r="M13" s="613">
        <v>0</v>
      </c>
      <c r="N13" s="613">
        <v>2.499440757084872</v>
      </c>
      <c r="O13" s="613">
        <v>0</v>
      </c>
      <c r="P13" s="613">
        <v>0</v>
      </c>
      <c r="Q13" s="613">
        <v>0</v>
      </c>
      <c r="R13" s="613">
        <v>0</v>
      </c>
      <c r="S13" s="613">
        <v>0</v>
      </c>
      <c r="T13" s="613">
        <v>0</v>
      </c>
      <c r="U13" s="623">
        <v>1154.4253455231446</v>
      </c>
      <c r="V13" s="51"/>
      <c r="W13" s="51"/>
      <c r="X13" s="51"/>
    </row>
    <row r="14" spans="1:24">
      <c r="A14" s="51"/>
      <c r="B14" s="51"/>
      <c r="C14" s="612" t="s">
        <v>61</v>
      </c>
      <c r="D14" s="613">
        <v>0</v>
      </c>
      <c r="E14" s="613">
        <v>0</v>
      </c>
      <c r="F14" s="613">
        <v>-1.2209185925395749</v>
      </c>
      <c r="G14" s="613">
        <v>0</v>
      </c>
      <c r="H14" s="613">
        <v>0</v>
      </c>
      <c r="I14" s="613">
        <v>0</v>
      </c>
      <c r="J14" s="613">
        <v>0</v>
      </c>
      <c r="K14" s="613">
        <v>0</v>
      </c>
      <c r="L14" s="613">
        <v>0</v>
      </c>
      <c r="M14" s="613">
        <v>0</v>
      </c>
      <c r="N14" s="613">
        <v>0</v>
      </c>
      <c r="O14" s="613">
        <v>0</v>
      </c>
      <c r="P14" s="613">
        <v>0</v>
      </c>
      <c r="Q14" s="613">
        <v>0</v>
      </c>
      <c r="R14" s="613">
        <v>-44.876679511255588</v>
      </c>
      <c r="S14" s="613">
        <v>0</v>
      </c>
      <c r="T14" s="613">
        <v>0</v>
      </c>
      <c r="U14" s="623">
        <v>-46.097598103795164</v>
      </c>
      <c r="V14" s="51"/>
      <c r="W14" s="51"/>
      <c r="X14" s="51"/>
    </row>
    <row r="15" spans="1:24">
      <c r="A15" s="51"/>
      <c r="B15" s="51"/>
      <c r="C15" s="612" t="s">
        <v>62</v>
      </c>
      <c r="D15" s="613">
        <v>0</v>
      </c>
      <c r="E15" s="613">
        <v>0</v>
      </c>
      <c r="F15" s="613">
        <v>-18.690118059591438</v>
      </c>
      <c r="G15" s="613">
        <v>0</v>
      </c>
      <c r="H15" s="613">
        <v>-0.63746853416095417</v>
      </c>
      <c r="I15" s="613">
        <v>0</v>
      </c>
      <c r="J15" s="613">
        <v>0</v>
      </c>
      <c r="K15" s="613">
        <v>0</v>
      </c>
      <c r="L15" s="613">
        <v>0</v>
      </c>
      <c r="M15" s="613">
        <v>0</v>
      </c>
      <c r="N15" s="613">
        <v>-0.21915172379020703</v>
      </c>
      <c r="O15" s="613">
        <v>-1.9986637209666883E-2</v>
      </c>
      <c r="P15" s="613">
        <v>0</v>
      </c>
      <c r="Q15" s="613">
        <v>0</v>
      </c>
      <c r="R15" s="613">
        <v>0</v>
      </c>
      <c r="S15" s="613">
        <v>0</v>
      </c>
      <c r="T15" s="613">
        <v>0</v>
      </c>
      <c r="U15" s="623">
        <v>-19.566724954752267</v>
      </c>
      <c r="V15" s="51"/>
      <c r="W15" s="51"/>
      <c r="X15" s="51"/>
    </row>
    <row r="16" spans="1:24">
      <c r="A16" s="51"/>
      <c r="B16" s="51"/>
      <c r="C16" s="612" t="s">
        <v>63</v>
      </c>
      <c r="D16" s="613">
        <v>0</v>
      </c>
      <c r="E16" s="613">
        <v>0</v>
      </c>
      <c r="F16" s="613">
        <v>-61.207306845856941</v>
      </c>
      <c r="G16" s="613">
        <v>-2.3572892961241775E-2</v>
      </c>
      <c r="H16" s="613">
        <v>0</v>
      </c>
      <c r="I16" s="613">
        <v>0</v>
      </c>
      <c r="J16" s="613">
        <v>0</v>
      </c>
      <c r="K16" s="613">
        <v>0</v>
      </c>
      <c r="L16" s="613">
        <v>0</v>
      </c>
      <c r="M16" s="613">
        <v>0</v>
      </c>
      <c r="N16" s="613">
        <v>-0.99044454483745525</v>
      </c>
      <c r="O16" s="613">
        <v>0</v>
      </c>
      <c r="P16" s="613">
        <v>0</v>
      </c>
      <c r="Q16" s="613">
        <v>0</v>
      </c>
      <c r="R16" s="613">
        <v>0</v>
      </c>
      <c r="S16" s="613">
        <v>0</v>
      </c>
      <c r="T16" s="613">
        <v>0</v>
      </c>
      <c r="U16" s="623">
        <v>-62.221324283655633</v>
      </c>
      <c r="V16" s="51"/>
      <c r="W16" s="51"/>
      <c r="X16" s="51"/>
    </row>
    <row r="17" spans="1:24">
      <c r="A17" s="51"/>
      <c r="B17" s="51"/>
      <c r="C17" s="612" t="s">
        <v>64</v>
      </c>
      <c r="D17" s="613">
        <v>9.7684723496666986E-2</v>
      </c>
      <c r="E17" s="613">
        <v>-5.9567697000000003E-2</v>
      </c>
      <c r="F17" s="613">
        <v>3.8766666666666671E-2</v>
      </c>
      <c r="G17" s="613">
        <v>0</v>
      </c>
      <c r="H17" s="613">
        <v>0</v>
      </c>
      <c r="I17" s="613">
        <v>0</v>
      </c>
      <c r="J17" s="613">
        <v>0</v>
      </c>
      <c r="K17" s="613">
        <v>0</v>
      </c>
      <c r="L17" s="613">
        <v>0</v>
      </c>
      <c r="M17" s="613">
        <v>0</v>
      </c>
      <c r="N17" s="613">
        <v>0</v>
      </c>
      <c r="O17" s="613">
        <v>0</v>
      </c>
      <c r="P17" s="613">
        <v>0</v>
      </c>
      <c r="Q17" s="613">
        <v>0</v>
      </c>
      <c r="R17" s="613">
        <v>0</v>
      </c>
      <c r="S17" s="613">
        <v>0</v>
      </c>
      <c r="T17" s="613">
        <v>0</v>
      </c>
      <c r="U17" s="623">
        <v>7.6883693163333655E-2</v>
      </c>
      <c r="V17" s="51"/>
      <c r="W17" s="51"/>
      <c r="X17" s="51"/>
    </row>
    <row r="18" spans="1:24">
      <c r="A18" s="51"/>
      <c r="B18" s="51"/>
      <c r="C18" s="616" t="s">
        <v>65</v>
      </c>
      <c r="D18" s="624">
        <v>55.479648030376453</v>
      </c>
      <c r="E18" s="624">
        <v>471.76847669713356</v>
      </c>
      <c r="F18" s="624">
        <v>177.6958192603756</v>
      </c>
      <c r="G18" s="617">
        <v>0.45862554283618984</v>
      </c>
      <c r="H18" s="624">
        <v>373.06969560199184</v>
      </c>
      <c r="I18" s="617">
        <v>0</v>
      </c>
      <c r="J18" s="624">
        <v>1053.5890909090911</v>
      </c>
      <c r="K18" s="624">
        <v>140.80876550165527</v>
      </c>
      <c r="L18" s="624">
        <v>213.2706990834414</v>
      </c>
      <c r="M18" s="624">
        <v>28.846508757618857</v>
      </c>
      <c r="N18" s="624">
        <v>2.5439494903240614</v>
      </c>
      <c r="O18" s="624">
        <v>0.14067874977080724</v>
      </c>
      <c r="P18" s="624">
        <v>51.691578550496644</v>
      </c>
      <c r="Q18" s="624">
        <v>7.2966333603269149</v>
      </c>
      <c r="R18" s="624">
        <v>-44.876679511255588</v>
      </c>
      <c r="S18" s="624">
        <v>0</v>
      </c>
      <c r="T18" s="624">
        <v>0</v>
      </c>
      <c r="U18" s="624">
        <v>2531.7834900241833</v>
      </c>
      <c r="V18" s="51"/>
      <c r="W18" s="51"/>
      <c r="X18" s="51"/>
    </row>
    <row r="19" spans="1:24">
      <c r="A19" s="51"/>
      <c r="B19" s="51"/>
      <c r="C19" s="618"/>
      <c r="D19" s="625">
        <v>0</v>
      </c>
      <c r="E19" s="625">
        <v>0</v>
      </c>
      <c r="F19" s="625">
        <v>0</v>
      </c>
      <c r="G19" s="619">
        <v>0</v>
      </c>
      <c r="H19" s="625">
        <v>0</v>
      </c>
      <c r="I19" s="619">
        <v>0</v>
      </c>
      <c r="J19" s="625">
        <v>0</v>
      </c>
      <c r="K19" s="625">
        <v>0</v>
      </c>
      <c r="L19" s="625">
        <v>0</v>
      </c>
      <c r="M19" s="625">
        <v>0</v>
      </c>
      <c r="N19" s="625">
        <v>0</v>
      </c>
      <c r="O19" s="625">
        <v>0</v>
      </c>
      <c r="P19" s="625">
        <v>0</v>
      </c>
      <c r="Q19" s="625">
        <v>0</v>
      </c>
      <c r="R19" s="625">
        <v>0</v>
      </c>
      <c r="S19" s="625">
        <v>0</v>
      </c>
      <c r="T19" s="625">
        <v>0</v>
      </c>
      <c r="U19" s="625">
        <v>0</v>
      </c>
      <c r="V19" s="51"/>
      <c r="W19" s="51"/>
      <c r="X19" s="51"/>
    </row>
    <row r="20" spans="1:24">
      <c r="A20" s="51"/>
      <c r="B20" s="51"/>
      <c r="C20" s="620" t="s">
        <v>67</v>
      </c>
      <c r="D20" s="613">
        <v>0</v>
      </c>
      <c r="E20" s="613">
        <v>4.3623690669338813E-2</v>
      </c>
      <c r="F20" s="613">
        <v>-0.43976848620269193</v>
      </c>
      <c r="G20" s="613">
        <v>0</v>
      </c>
      <c r="H20" s="613">
        <v>0</v>
      </c>
      <c r="I20" s="613">
        <v>0</v>
      </c>
      <c r="J20" s="613">
        <v>0</v>
      </c>
      <c r="K20" s="613">
        <v>0</v>
      </c>
      <c r="L20" s="613">
        <v>0</v>
      </c>
      <c r="M20" s="613">
        <v>0</v>
      </c>
      <c r="N20" s="613">
        <v>0</v>
      </c>
      <c r="O20" s="613">
        <v>0</v>
      </c>
      <c r="P20" s="613">
        <v>0</v>
      </c>
      <c r="Q20" s="613">
        <v>0</v>
      </c>
      <c r="R20" s="613">
        <v>0.19176325930063415</v>
      </c>
      <c r="S20" s="613">
        <v>0</v>
      </c>
      <c r="T20" s="613">
        <v>0</v>
      </c>
      <c r="U20" s="621">
        <v>-0.20438153623271899</v>
      </c>
      <c r="V20" s="51"/>
      <c r="W20" s="51"/>
      <c r="X20" s="51"/>
    </row>
    <row r="21" spans="1:24">
      <c r="A21" s="51"/>
      <c r="B21" s="51"/>
      <c r="C21" s="620" t="s">
        <v>350</v>
      </c>
      <c r="D21" s="613">
        <v>6.8845296447860136</v>
      </c>
      <c r="E21" s="613">
        <v>0</v>
      </c>
      <c r="F21" s="613">
        <v>8.9608656289106836</v>
      </c>
      <c r="G21" s="613">
        <v>0</v>
      </c>
      <c r="H21" s="613">
        <v>46.648997158972115</v>
      </c>
      <c r="I21" s="613">
        <v>0</v>
      </c>
      <c r="J21" s="613">
        <v>1053.5890909090911</v>
      </c>
      <c r="K21" s="613">
        <v>140.80876550165527</v>
      </c>
      <c r="L21" s="613">
        <v>35.964632638361529</v>
      </c>
      <c r="M21" s="613">
        <v>11.704080283712768</v>
      </c>
      <c r="N21" s="613">
        <v>3.7008210788065874</v>
      </c>
      <c r="O21" s="613">
        <v>5.9958333108106707</v>
      </c>
      <c r="P21" s="613">
        <v>0</v>
      </c>
      <c r="Q21" s="613">
        <v>0.58332819125492874</v>
      </c>
      <c r="R21" s="613">
        <v>-536.95314024573702</v>
      </c>
      <c r="S21" s="613">
        <v>0</v>
      </c>
      <c r="T21" s="613">
        <v>0</v>
      </c>
      <c r="U21" s="621">
        <v>777.88780410062475</v>
      </c>
      <c r="V21" s="51"/>
      <c r="W21" s="51"/>
      <c r="X21" s="51"/>
    </row>
    <row r="22" spans="1:24">
      <c r="A22" s="51"/>
      <c r="B22" s="51"/>
      <c r="C22" s="620" t="s">
        <v>351</v>
      </c>
      <c r="D22" s="613">
        <v>0.51386910718324508</v>
      </c>
      <c r="E22" s="613">
        <v>0</v>
      </c>
      <c r="F22" s="613">
        <v>7.6404494382022473E-2</v>
      </c>
      <c r="G22" s="613">
        <v>0</v>
      </c>
      <c r="H22" s="613">
        <v>18.437939298309416</v>
      </c>
      <c r="I22" s="613">
        <v>0</v>
      </c>
      <c r="J22" s="613">
        <v>0</v>
      </c>
      <c r="K22" s="613">
        <v>0</v>
      </c>
      <c r="L22" s="613">
        <v>21.79805888469869</v>
      </c>
      <c r="M22" s="613">
        <v>14.969732959042592</v>
      </c>
      <c r="N22" s="613">
        <v>0</v>
      </c>
      <c r="O22" s="613">
        <v>3.0216984697001137</v>
      </c>
      <c r="P22" s="613">
        <v>0</v>
      </c>
      <c r="Q22" s="613">
        <v>4.3023879699163166</v>
      </c>
      <c r="R22" s="613">
        <v>0</v>
      </c>
      <c r="S22" s="613">
        <v>-56.500241406713869</v>
      </c>
      <c r="T22" s="613">
        <v>0</v>
      </c>
      <c r="U22" s="621">
        <v>6.61984977651852</v>
      </c>
      <c r="V22" s="51"/>
      <c r="W22" s="51"/>
      <c r="X22" s="51"/>
    </row>
    <row r="23" spans="1:24">
      <c r="A23" s="51"/>
      <c r="B23" s="51"/>
      <c r="C23" s="620" t="s">
        <v>352</v>
      </c>
      <c r="D23" s="613">
        <v>0</v>
      </c>
      <c r="E23" s="613">
        <v>0</v>
      </c>
      <c r="F23" s="613">
        <v>0</v>
      </c>
      <c r="G23" s="613">
        <v>0</v>
      </c>
      <c r="H23" s="613">
        <v>0</v>
      </c>
      <c r="I23" s="613">
        <v>0</v>
      </c>
      <c r="J23" s="613">
        <v>0</v>
      </c>
      <c r="K23" s="613">
        <v>0</v>
      </c>
      <c r="L23" s="613">
        <v>19.890638456413971</v>
      </c>
      <c r="M23" s="613">
        <v>0</v>
      </c>
      <c r="N23" s="613">
        <v>0</v>
      </c>
      <c r="O23" s="613">
        <v>-18.500220621845841</v>
      </c>
      <c r="P23" s="613">
        <v>0</v>
      </c>
      <c r="Q23" s="613">
        <v>0</v>
      </c>
      <c r="R23" s="613">
        <v>0</v>
      </c>
      <c r="S23" s="613">
        <v>0</v>
      </c>
      <c r="T23" s="613">
        <v>0</v>
      </c>
      <c r="U23" s="621">
        <v>1.3904178345681295</v>
      </c>
      <c r="V23" s="51"/>
      <c r="W23" s="51"/>
      <c r="X23" s="51"/>
    </row>
    <row r="24" spans="1:24">
      <c r="A24" s="51"/>
      <c r="B24" s="51"/>
      <c r="C24" s="620" t="s">
        <v>353</v>
      </c>
      <c r="D24" s="613">
        <v>0</v>
      </c>
      <c r="E24" s="613">
        <v>0</v>
      </c>
      <c r="F24" s="613">
        <v>0</v>
      </c>
      <c r="G24" s="613">
        <v>0</v>
      </c>
      <c r="H24" s="613">
        <v>0</v>
      </c>
      <c r="I24" s="613">
        <v>0</v>
      </c>
      <c r="J24" s="613">
        <v>0</v>
      </c>
      <c r="K24" s="613">
        <v>0</v>
      </c>
      <c r="L24" s="613">
        <v>0</v>
      </c>
      <c r="M24" s="613">
        <v>0</v>
      </c>
      <c r="N24" s="613">
        <v>0</v>
      </c>
      <c r="O24" s="613">
        <v>0</v>
      </c>
      <c r="P24" s="613">
        <v>0</v>
      </c>
      <c r="Q24" s="613">
        <v>0</v>
      </c>
      <c r="R24" s="613">
        <v>0</v>
      </c>
      <c r="S24" s="613">
        <v>0</v>
      </c>
      <c r="T24" s="613">
        <v>0</v>
      </c>
      <c r="U24" s="621">
        <v>0</v>
      </c>
      <c r="V24" s="51"/>
      <c r="W24" s="51"/>
      <c r="X24" s="51"/>
    </row>
    <row r="25" spans="1:24">
      <c r="A25" s="51"/>
      <c r="B25" s="51"/>
      <c r="C25" s="620" t="s">
        <v>72</v>
      </c>
      <c r="D25" s="613">
        <v>0</v>
      </c>
      <c r="E25" s="613">
        <v>488.94348991796431</v>
      </c>
      <c r="F25" s="613">
        <v>-484.0817118369651</v>
      </c>
      <c r="G25" s="613">
        <v>0</v>
      </c>
      <c r="H25" s="613">
        <v>0</v>
      </c>
      <c r="I25" s="613">
        <v>0</v>
      </c>
      <c r="J25" s="613">
        <v>0</v>
      </c>
      <c r="K25" s="613">
        <v>0</v>
      </c>
      <c r="L25" s="613">
        <v>0</v>
      </c>
      <c r="M25" s="613">
        <v>0</v>
      </c>
      <c r="N25" s="613">
        <v>0</v>
      </c>
      <c r="O25" s="613">
        <v>0</v>
      </c>
      <c r="P25" s="613">
        <v>0</v>
      </c>
      <c r="Q25" s="613">
        <v>0</v>
      </c>
      <c r="R25" s="613">
        <v>0</v>
      </c>
      <c r="S25" s="613">
        <v>0</v>
      </c>
      <c r="T25" s="613">
        <v>0</v>
      </c>
      <c r="U25" s="621">
        <v>4.8617780809992377</v>
      </c>
      <c r="V25" s="51"/>
      <c r="W25" s="51"/>
      <c r="X25" s="51"/>
    </row>
    <row r="26" spans="1:24">
      <c r="A26" s="51"/>
      <c r="B26" s="51"/>
      <c r="C26" s="620" t="s">
        <v>354</v>
      </c>
      <c r="D26" s="613">
        <v>0</v>
      </c>
      <c r="E26" s="613">
        <v>0</v>
      </c>
      <c r="F26" s="613">
        <v>0</v>
      </c>
      <c r="G26" s="613">
        <v>0</v>
      </c>
      <c r="H26" s="613">
        <v>0</v>
      </c>
      <c r="I26" s="613">
        <v>0</v>
      </c>
      <c r="J26" s="613">
        <v>0</v>
      </c>
      <c r="K26" s="613">
        <v>0</v>
      </c>
      <c r="L26" s="613">
        <v>46.704417237442101</v>
      </c>
      <c r="M26" s="613">
        <v>0</v>
      </c>
      <c r="N26" s="613">
        <v>-46.704417237442101</v>
      </c>
      <c r="O26" s="613">
        <v>0</v>
      </c>
      <c r="P26" s="613">
        <v>0</v>
      </c>
      <c r="Q26" s="613">
        <v>0</v>
      </c>
      <c r="R26" s="613">
        <v>0</v>
      </c>
      <c r="S26" s="613">
        <v>0</v>
      </c>
      <c r="T26" s="613">
        <v>0</v>
      </c>
      <c r="U26" s="621">
        <v>0</v>
      </c>
      <c r="V26" s="51"/>
      <c r="W26" s="51"/>
      <c r="X26" s="51"/>
    </row>
    <row r="27" spans="1:24">
      <c r="A27" s="51"/>
      <c r="B27" s="51"/>
      <c r="C27" s="620" t="s">
        <v>355</v>
      </c>
      <c r="D27" s="613">
        <v>0</v>
      </c>
      <c r="E27" s="613">
        <v>0</v>
      </c>
      <c r="F27" s="613">
        <v>0</v>
      </c>
      <c r="G27" s="613">
        <v>-4.2859805384075952E-2</v>
      </c>
      <c r="H27" s="613">
        <v>0</v>
      </c>
      <c r="I27" s="613">
        <v>0</v>
      </c>
      <c r="J27" s="613">
        <v>0</v>
      </c>
      <c r="K27" s="613">
        <v>0</v>
      </c>
      <c r="L27" s="613">
        <v>0</v>
      </c>
      <c r="M27" s="613">
        <v>0</v>
      </c>
      <c r="N27" s="613">
        <v>0</v>
      </c>
      <c r="O27" s="613">
        <v>0</v>
      </c>
      <c r="P27" s="613">
        <v>0</v>
      </c>
      <c r="Q27" s="613">
        <v>0</v>
      </c>
      <c r="R27" s="613">
        <v>0</v>
      </c>
      <c r="S27" s="613">
        <v>0</v>
      </c>
      <c r="T27" s="613">
        <v>5.969332226194423E-2</v>
      </c>
      <c r="U27" s="621">
        <v>1.6833516877868278E-2</v>
      </c>
      <c r="V27" s="51"/>
      <c r="W27" s="51"/>
      <c r="X27" s="51"/>
    </row>
    <row r="28" spans="1:24">
      <c r="A28" s="51"/>
      <c r="B28" s="51"/>
      <c r="C28" s="620" t="s">
        <v>73</v>
      </c>
      <c r="D28" s="613">
        <v>0</v>
      </c>
      <c r="E28" s="613">
        <v>0</v>
      </c>
      <c r="F28" s="613">
        <v>0</v>
      </c>
      <c r="G28" s="613">
        <v>0</v>
      </c>
      <c r="H28" s="613">
        <v>0</v>
      </c>
      <c r="I28" s="613">
        <v>0</v>
      </c>
      <c r="J28" s="613">
        <v>0</v>
      </c>
      <c r="K28" s="613">
        <v>0</v>
      </c>
      <c r="L28" s="613">
        <v>0</v>
      </c>
      <c r="M28" s="613">
        <v>0</v>
      </c>
      <c r="N28" s="613">
        <v>0</v>
      </c>
      <c r="O28" s="613">
        <v>0</v>
      </c>
      <c r="P28" s="613">
        <v>0</v>
      </c>
      <c r="Q28" s="613">
        <v>0</v>
      </c>
      <c r="R28" s="613">
        <v>3.2419807733491699</v>
      </c>
      <c r="S28" s="613">
        <v>0</v>
      </c>
      <c r="T28" s="613">
        <v>-2.1072875026769604</v>
      </c>
      <c r="U28" s="621">
        <v>1.1346932706722095</v>
      </c>
      <c r="V28" s="51"/>
      <c r="W28" s="51"/>
      <c r="X28" s="51"/>
    </row>
    <row r="29" spans="1:24">
      <c r="A29" s="51"/>
      <c r="B29" s="51"/>
      <c r="C29" s="620" t="s">
        <v>356</v>
      </c>
      <c r="D29" s="613">
        <v>29.6567859375</v>
      </c>
      <c r="E29" s="613">
        <v>-17.218594005820741</v>
      </c>
      <c r="F29" s="613">
        <v>22.383724171942411</v>
      </c>
      <c r="G29" s="613">
        <v>0</v>
      </c>
      <c r="H29" s="613">
        <v>0</v>
      </c>
      <c r="I29" s="613">
        <v>0</v>
      </c>
      <c r="J29" s="613">
        <v>0</v>
      </c>
      <c r="K29" s="613">
        <v>0</v>
      </c>
      <c r="L29" s="613">
        <v>0</v>
      </c>
      <c r="M29" s="613">
        <v>0</v>
      </c>
      <c r="N29" s="613">
        <v>0</v>
      </c>
      <c r="O29" s="613">
        <v>0</v>
      </c>
      <c r="P29" s="613">
        <v>0</v>
      </c>
      <c r="Q29" s="613">
        <v>0</v>
      </c>
      <c r="R29" s="613">
        <v>0</v>
      </c>
      <c r="S29" s="613">
        <v>0</v>
      </c>
      <c r="T29" s="613">
        <v>0</v>
      </c>
      <c r="U29" s="621">
        <v>34.821916103621675</v>
      </c>
      <c r="V29" s="51"/>
      <c r="W29" s="51"/>
      <c r="X29" s="51"/>
    </row>
    <row r="30" spans="1:24">
      <c r="A30" s="51"/>
      <c r="B30" s="51"/>
      <c r="C30" s="620" t="s">
        <v>75</v>
      </c>
      <c r="D30" s="613">
        <v>11.533194531250002</v>
      </c>
      <c r="E30" s="613">
        <v>0</v>
      </c>
      <c r="F30" s="613">
        <v>18.315545038272333</v>
      </c>
      <c r="G30" s="613">
        <v>0</v>
      </c>
      <c r="H30" s="613">
        <v>5.0521769918695103</v>
      </c>
      <c r="I30" s="613">
        <v>0</v>
      </c>
      <c r="J30" s="613">
        <v>0</v>
      </c>
      <c r="K30" s="613">
        <v>0</v>
      </c>
      <c r="L30" s="613">
        <v>0</v>
      </c>
      <c r="M30" s="613">
        <v>0</v>
      </c>
      <c r="N30" s="613">
        <v>0</v>
      </c>
      <c r="O30" s="613">
        <v>0.15840158885399455</v>
      </c>
      <c r="P30" s="613">
        <v>0</v>
      </c>
      <c r="Q30" s="613">
        <v>0</v>
      </c>
      <c r="R30" s="613">
        <v>27.462517867271458</v>
      </c>
      <c r="S30" s="613">
        <v>0</v>
      </c>
      <c r="T30" s="613">
        <v>0</v>
      </c>
      <c r="U30" s="621">
        <v>62.521836017517295</v>
      </c>
      <c r="V30" s="51"/>
      <c r="W30" s="51"/>
      <c r="X30" s="51"/>
    </row>
    <row r="31" spans="1:24">
      <c r="A31" s="51"/>
      <c r="B31" s="51"/>
      <c r="C31" s="620" t="s">
        <v>76</v>
      </c>
      <c r="D31" s="613">
        <v>0</v>
      </c>
      <c r="E31" s="613">
        <v>0</v>
      </c>
      <c r="F31" s="613">
        <v>0</v>
      </c>
      <c r="G31" s="613">
        <v>0</v>
      </c>
      <c r="H31" s="613">
        <v>4.3695792559361077</v>
      </c>
      <c r="I31" s="613">
        <v>0</v>
      </c>
      <c r="J31" s="613">
        <v>0</v>
      </c>
      <c r="K31" s="613">
        <v>0</v>
      </c>
      <c r="L31" s="613">
        <v>0</v>
      </c>
      <c r="M31" s="613">
        <v>0</v>
      </c>
      <c r="N31" s="613">
        <v>0</v>
      </c>
      <c r="O31" s="613">
        <v>0.13700000967456447</v>
      </c>
      <c r="P31" s="613">
        <v>0</v>
      </c>
      <c r="Q31" s="613">
        <v>0</v>
      </c>
      <c r="R31" s="613">
        <v>37.694603636370609</v>
      </c>
      <c r="S31" s="613">
        <v>4.3810396487584971</v>
      </c>
      <c r="T31" s="613">
        <v>0</v>
      </c>
      <c r="U31" s="621">
        <v>46.582222550739779</v>
      </c>
      <c r="V31" s="51"/>
      <c r="W31" s="51"/>
      <c r="X31" s="51"/>
    </row>
    <row r="32" spans="1:24">
      <c r="A32" s="51"/>
      <c r="B32" s="51"/>
      <c r="C32" s="616" t="s">
        <v>77</v>
      </c>
      <c r="D32" s="624">
        <v>48.588379220719261</v>
      </c>
      <c r="E32" s="624">
        <v>471.76851960281289</v>
      </c>
      <c r="F32" s="624">
        <v>-434.7849409896603</v>
      </c>
      <c r="G32" s="617">
        <v>-4.2859805384075952E-2</v>
      </c>
      <c r="H32" s="624">
        <v>74.508692705087142</v>
      </c>
      <c r="I32" s="617">
        <v>0</v>
      </c>
      <c r="J32" s="624">
        <v>1053.5890909090911</v>
      </c>
      <c r="K32" s="624">
        <v>140.80876550165527</v>
      </c>
      <c r="L32" s="624">
        <v>124.35774721691629</v>
      </c>
      <c r="M32" s="624">
        <v>26.673813242755362</v>
      </c>
      <c r="N32" s="624">
        <v>-43.003596158635517</v>
      </c>
      <c r="O32" s="624">
        <v>-9.1872872428064998</v>
      </c>
      <c r="P32" s="624">
        <v>0</v>
      </c>
      <c r="Q32" s="624">
        <v>4.8857161611712456</v>
      </c>
      <c r="R32" s="624">
        <v>-468.36227470944522</v>
      </c>
      <c r="S32" s="624">
        <v>-52.119201757955373</v>
      </c>
      <c r="T32" s="624">
        <v>-2.0475941804150164</v>
      </c>
      <c r="U32" s="624">
        <v>935.63296971590671</v>
      </c>
      <c r="V32" s="51"/>
      <c r="W32" s="51"/>
      <c r="X32" s="51"/>
    </row>
    <row r="33" spans="1:24">
      <c r="A33" s="51"/>
      <c r="B33" s="51"/>
      <c r="C33" s="618"/>
      <c r="D33" s="625">
        <v>0</v>
      </c>
      <c r="E33" s="625">
        <v>0</v>
      </c>
      <c r="F33" s="625">
        <v>0</v>
      </c>
      <c r="G33" s="619">
        <v>0</v>
      </c>
      <c r="H33" s="625">
        <v>0</v>
      </c>
      <c r="I33" s="619">
        <v>0</v>
      </c>
      <c r="J33" s="625">
        <v>0</v>
      </c>
      <c r="K33" s="625">
        <v>0</v>
      </c>
      <c r="L33" s="625">
        <v>0</v>
      </c>
      <c r="M33" s="625">
        <v>0</v>
      </c>
      <c r="N33" s="625">
        <v>0</v>
      </c>
      <c r="O33" s="625">
        <v>0</v>
      </c>
      <c r="P33" s="625">
        <v>0</v>
      </c>
      <c r="Q33" s="625">
        <v>0</v>
      </c>
      <c r="R33" s="625">
        <v>0</v>
      </c>
      <c r="S33" s="625">
        <v>0</v>
      </c>
      <c r="T33" s="625">
        <v>0</v>
      </c>
      <c r="U33" s="625">
        <v>0</v>
      </c>
      <c r="V33" s="51"/>
      <c r="W33" s="51"/>
      <c r="X33" s="51"/>
    </row>
    <row r="34" spans="1:24">
      <c r="A34" s="51"/>
      <c r="B34" s="51"/>
      <c r="C34" s="620" t="s">
        <v>78</v>
      </c>
      <c r="D34" s="613">
        <v>6.8912688096571859</v>
      </c>
      <c r="E34" s="613">
        <v>0</v>
      </c>
      <c r="F34" s="613">
        <v>23.50730673118812</v>
      </c>
      <c r="G34" s="613">
        <v>0</v>
      </c>
      <c r="H34" s="613">
        <v>103.6322985075271</v>
      </c>
      <c r="I34" s="613">
        <v>0</v>
      </c>
      <c r="J34" s="613">
        <v>0</v>
      </c>
      <c r="K34" s="613">
        <v>0</v>
      </c>
      <c r="L34" s="613">
        <v>17.934528794531492</v>
      </c>
      <c r="M34" s="613">
        <v>2.162623383313536</v>
      </c>
      <c r="N34" s="613">
        <v>0.76389416015625011</v>
      </c>
      <c r="O34" s="613">
        <v>3.2712996519108821</v>
      </c>
      <c r="P34" s="613">
        <v>1.2785699462890625</v>
      </c>
      <c r="Q34" s="613">
        <v>4.5058902280570805E-4</v>
      </c>
      <c r="R34" s="613">
        <v>115.58056111877757</v>
      </c>
      <c r="S34" s="613">
        <v>17.85711360509158</v>
      </c>
      <c r="T34" s="613">
        <v>0.15803289794921874</v>
      </c>
      <c r="U34" s="621">
        <v>293.03794819541474</v>
      </c>
      <c r="V34" s="51"/>
      <c r="W34" s="622" t="e" cm="1">
        <f t="array" aca="1" ref="W34" ca="1">_xlfn.IFNA(INDEX(#REF!,MATCH(INDIRECT("Codes_bilans!"&amp;W$1&amp;"$"&amp;#REF!),#REF!,0),MATCH(#REF!,#REF!,0)),0)</f>
        <v>#REF!</v>
      </c>
      <c r="X34" s="51"/>
    </row>
    <row r="35" spans="1:24">
      <c r="A35" s="51"/>
      <c r="B35" s="51"/>
      <c r="C35" s="620" t="s">
        <v>79</v>
      </c>
      <c r="D35" s="613">
        <v>0</v>
      </c>
      <c r="E35" s="613">
        <v>0</v>
      </c>
      <c r="F35" s="613">
        <v>390.39286283251352</v>
      </c>
      <c r="G35" s="613">
        <v>0</v>
      </c>
      <c r="H35" s="613">
        <v>3.1281168846544798</v>
      </c>
      <c r="I35" s="613">
        <v>0</v>
      </c>
      <c r="J35" s="613">
        <v>0</v>
      </c>
      <c r="K35" s="613">
        <v>0</v>
      </c>
      <c r="L35" s="613">
        <v>0</v>
      </c>
      <c r="M35" s="613">
        <v>0</v>
      </c>
      <c r="N35" s="613">
        <v>38.392031856976942</v>
      </c>
      <c r="O35" s="613">
        <v>9.8076271961114056E-2</v>
      </c>
      <c r="P35" s="613">
        <v>0</v>
      </c>
      <c r="Q35" s="613">
        <v>0</v>
      </c>
      <c r="R35" s="613">
        <v>12.839790522362275</v>
      </c>
      <c r="S35" s="613">
        <v>0</v>
      </c>
      <c r="T35" s="613">
        <v>1.404547929789267E-5</v>
      </c>
      <c r="U35" s="621">
        <v>444.85089241394763</v>
      </c>
      <c r="V35" s="51"/>
      <c r="W35" s="622" t="e" cm="1">
        <f t="array" aca="1" ref="W35" ca="1">_xlfn.IFNA(INDEX(#REF!,MATCH(INDIRECT("Codes_bilans!"&amp;W$1&amp;"$"&amp;#REF!),#REF!,0),MATCH(#REF!,#REF!,0)),0)</f>
        <v>#REF!</v>
      </c>
      <c r="X35" s="51"/>
    </row>
    <row r="36" spans="1:24">
      <c r="A36" s="51"/>
      <c r="B36" s="51"/>
      <c r="C36" s="620" t="s">
        <v>80</v>
      </c>
      <c r="D36" s="613">
        <v>0</v>
      </c>
      <c r="E36" s="613">
        <v>0</v>
      </c>
      <c r="F36" s="613">
        <v>18.209722356615</v>
      </c>
      <c r="G36" s="613">
        <v>0</v>
      </c>
      <c r="H36" s="613">
        <v>121.89469525503438</v>
      </c>
      <c r="I36" s="613">
        <v>0</v>
      </c>
      <c r="J36" s="613">
        <v>0</v>
      </c>
      <c r="K36" s="613">
        <v>0</v>
      </c>
      <c r="L36" s="613">
        <v>69.673112957297619</v>
      </c>
      <c r="M36" s="613">
        <v>0</v>
      </c>
      <c r="N36" s="613">
        <v>0</v>
      </c>
      <c r="O36" s="613">
        <v>3.8217808743327613</v>
      </c>
      <c r="P36" s="613">
        <v>41.524804077007047</v>
      </c>
      <c r="Q36" s="613">
        <v>1.3186709338752973</v>
      </c>
      <c r="R36" s="613">
        <v>166.70645822540385</v>
      </c>
      <c r="S36" s="613">
        <v>23.041532520535192</v>
      </c>
      <c r="T36" s="613">
        <v>0</v>
      </c>
      <c r="U36" s="621">
        <v>446.19077720010119</v>
      </c>
      <c r="V36" s="51"/>
      <c r="W36" s="622" t="e" cm="1">
        <f t="array" aca="1" ref="W36" ca="1">_xlfn.IFNA(INDEX(#REF!,MATCH(INDIRECT("Codes_bilans!"&amp;W$1&amp;"$"&amp;#REF!),#REF!,0),MATCH(#REF!,#REF!,0)),0)</f>
        <v>#REF!</v>
      </c>
      <c r="X36" s="51"/>
    </row>
    <row r="37" spans="1:24">
      <c r="A37" s="51"/>
      <c r="B37" s="51"/>
      <c r="C37" s="620" t="s">
        <v>81</v>
      </c>
      <c r="D37" s="613">
        <v>0</v>
      </c>
      <c r="E37" s="613">
        <v>0</v>
      </c>
      <c r="F37" s="613">
        <v>22.047417711617395</v>
      </c>
      <c r="G37" s="613">
        <v>0</v>
      </c>
      <c r="H37" s="613">
        <v>55.474573851605541</v>
      </c>
      <c r="I37" s="613">
        <v>0</v>
      </c>
      <c r="J37" s="613">
        <v>0</v>
      </c>
      <c r="K37" s="613">
        <v>0</v>
      </c>
      <c r="L37" s="613">
        <v>0.2600018184764662</v>
      </c>
      <c r="M37" s="613">
        <v>1.0072131549959035E-2</v>
      </c>
      <c r="N37" s="613">
        <v>0</v>
      </c>
      <c r="O37" s="613">
        <v>1.7393018204298767</v>
      </c>
      <c r="P37" s="613">
        <v>8.7382045272005371</v>
      </c>
      <c r="Q37" s="613">
        <v>0.83694366645922857</v>
      </c>
      <c r="R37" s="613">
        <v>120.24688741623336</v>
      </c>
      <c r="S37" s="613">
        <v>11.220555632328594</v>
      </c>
      <c r="T37" s="613">
        <v>0</v>
      </c>
      <c r="U37" s="621">
        <v>220.57395857590095</v>
      </c>
      <c r="V37" s="51"/>
      <c r="W37" s="622" t="e" cm="1">
        <f t="array" aca="1" ref="W37" ca="1">_xlfn.IFNA(INDEX(#REF!,MATCH(INDIRECT("Codes_bilans!"&amp;W$1&amp;"$"&amp;#REF!),#REF!,0),MATCH(#REF!,#REF!,0)),0)</f>
        <v>#REF!</v>
      </c>
      <c r="X37" s="51"/>
    </row>
    <row r="38" spans="1:24">
      <c r="A38" s="51"/>
      <c r="B38" s="51"/>
      <c r="C38" s="620" t="s">
        <v>82</v>
      </c>
      <c r="D38" s="613">
        <v>0</v>
      </c>
      <c r="E38" s="613">
        <v>0</v>
      </c>
      <c r="F38" s="613">
        <v>32.350878858910924</v>
      </c>
      <c r="G38" s="613">
        <v>0</v>
      </c>
      <c r="H38" s="613">
        <v>2.5949331244793301</v>
      </c>
      <c r="I38" s="613">
        <v>0</v>
      </c>
      <c r="J38" s="613">
        <v>0</v>
      </c>
      <c r="K38" s="613">
        <v>0</v>
      </c>
      <c r="L38" s="613">
        <v>1.0052852655560149</v>
      </c>
      <c r="M38" s="613">
        <v>0</v>
      </c>
      <c r="N38" s="613">
        <v>2.4838975032538144</v>
      </c>
      <c r="O38" s="613">
        <v>8.1359289381365135E-2</v>
      </c>
      <c r="P38" s="613">
        <v>0.15</v>
      </c>
      <c r="Q38" s="613">
        <v>0.25485200979833694</v>
      </c>
      <c r="R38" s="613">
        <v>8.1118979154125785</v>
      </c>
      <c r="S38" s="613">
        <v>0</v>
      </c>
      <c r="T38" s="613">
        <v>5.2098714141513347E-2</v>
      </c>
      <c r="U38" s="621">
        <v>47.085202680933875</v>
      </c>
      <c r="V38" s="51"/>
      <c r="W38" s="622" t="e" cm="1">
        <f t="array" aca="1" ref="W38" ca="1">_xlfn.IFNA(INDEX(#REF!,MATCH(INDIRECT("Codes_bilans!"&amp;W$1&amp;"$"&amp;#REF!),#REF!,0),MATCH(#REF!,#REF!,0)),0)</f>
        <v>#REF!</v>
      </c>
      <c r="X38" s="51"/>
    </row>
    <row r="39" spans="1:24">
      <c r="A39" s="51"/>
      <c r="B39" s="51"/>
      <c r="C39" s="620" t="s">
        <v>357</v>
      </c>
      <c r="D39" s="613">
        <v>0</v>
      </c>
      <c r="E39" s="613">
        <v>0</v>
      </c>
      <c r="F39" s="613">
        <v>0</v>
      </c>
      <c r="G39" s="613">
        <v>0</v>
      </c>
      <c r="H39" s="613">
        <v>0</v>
      </c>
      <c r="I39" s="613">
        <v>0</v>
      </c>
      <c r="J39" s="613">
        <v>0</v>
      </c>
      <c r="K39" s="613">
        <v>0</v>
      </c>
      <c r="L39" s="613">
        <v>0</v>
      </c>
      <c r="M39" s="613">
        <v>0</v>
      </c>
      <c r="N39" s="613">
        <v>0</v>
      </c>
      <c r="O39" s="613">
        <v>0</v>
      </c>
      <c r="P39" s="613">
        <v>0</v>
      </c>
      <c r="Q39" s="613">
        <v>0</v>
      </c>
      <c r="R39" s="613">
        <v>0</v>
      </c>
      <c r="S39" s="613">
        <v>0</v>
      </c>
      <c r="T39" s="613">
        <v>0</v>
      </c>
      <c r="U39" s="621">
        <v>0</v>
      </c>
      <c r="V39" s="51"/>
      <c r="W39" s="622" t="e" cm="1">
        <f t="array" aca="1" ref="W39" ca="1">_xlfn.IFNA(INDEX(#REF!,MATCH(INDIRECT("Codes_bilans!"&amp;W$1&amp;"$"&amp;#REF!),#REF!,0),MATCH(#REF!,#REF!,0)),0)</f>
        <v>#REF!</v>
      </c>
      <c r="X39" s="51"/>
    </row>
    <row r="40" spans="1:24">
      <c r="A40" s="51"/>
      <c r="B40" s="51"/>
      <c r="C40" s="616" t="s">
        <v>83</v>
      </c>
      <c r="D40" s="624">
        <v>6.8912688096571859</v>
      </c>
      <c r="E40" s="624">
        <v>0</v>
      </c>
      <c r="F40" s="624">
        <v>486.50818849084493</v>
      </c>
      <c r="G40" s="617">
        <v>0</v>
      </c>
      <c r="H40" s="624">
        <v>286.72461762330084</v>
      </c>
      <c r="I40" s="617">
        <v>0</v>
      </c>
      <c r="J40" s="624">
        <v>0</v>
      </c>
      <c r="K40" s="624">
        <v>0</v>
      </c>
      <c r="L40" s="624">
        <v>88.872928835861586</v>
      </c>
      <c r="M40" s="624">
        <v>2.172695514863495</v>
      </c>
      <c r="N40" s="624">
        <v>41.639823520387004</v>
      </c>
      <c r="O40" s="624">
        <v>9.0118179080160008</v>
      </c>
      <c r="P40" s="624">
        <v>51.691578550496644</v>
      </c>
      <c r="Q40" s="624">
        <v>2.4109171991556684</v>
      </c>
      <c r="R40" s="624">
        <v>423.48559519818957</v>
      </c>
      <c r="S40" s="624">
        <v>52.119201757955373</v>
      </c>
      <c r="T40" s="624">
        <v>0.21014565757002998</v>
      </c>
      <c r="U40" s="624">
        <v>1451.7387790662985</v>
      </c>
      <c r="V40" s="51"/>
      <c r="W40" s="51"/>
      <c r="X40" s="51"/>
    </row>
    <row r="41" spans="1:24">
      <c r="A41" s="51"/>
      <c r="B41" s="51"/>
      <c r="C41" s="612" t="s">
        <v>84</v>
      </c>
      <c r="D41" s="613">
        <v>0</v>
      </c>
      <c r="E41" s="613">
        <v>0</v>
      </c>
      <c r="F41" s="613">
        <v>125.97254812972785</v>
      </c>
      <c r="G41" s="613">
        <v>0.5014853482202658</v>
      </c>
      <c r="H41" s="613">
        <v>11.836385273603906</v>
      </c>
      <c r="I41" s="613">
        <v>0</v>
      </c>
      <c r="J41" s="613">
        <v>0</v>
      </c>
      <c r="K41" s="613">
        <v>0</v>
      </c>
      <c r="L41" s="613">
        <v>4.0023030663522148E-2</v>
      </c>
      <c r="M41" s="613">
        <v>0</v>
      </c>
      <c r="N41" s="613">
        <v>3.907722128572543</v>
      </c>
      <c r="O41" s="613">
        <v>0.3161480845613035</v>
      </c>
      <c r="P41" s="613">
        <v>0</v>
      </c>
      <c r="Q41" s="613">
        <v>0</v>
      </c>
      <c r="R41" s="613">
        <v>0</v>
      </c>
      <c r="S41" s="613">
        <v>0</v>
      </c>
      <c r="T41" s="613">
        <v>1.8374485228449866</v>
      </c>
      <c r="U41" s="621">
        <v>144.41176051819437</v>
      </c>
      <c r="V41" s="51"/>
      <c r="W41" s="622" t="e" cm="1">
        <f t="array" aca="1" ref="W41" ca="1">_xlfn.IFNA(INDEX(#REF!,MATCH(INDIRECT("Codes_bilans!"&amp;W$1&amp;"$"&amp;#REF!),#REF!,0),MATCH(#REF!,#REF!,0)),0)</f>
        <v>#REF!</v>
      </c>
      <c r="X41" s="51"/>
    </row>
    <row r="42" spans="1:24">
      <c r="A42" s="51"/>
      <c r="B42" s="51"/>
      <c r="C42" s="616" t="s">
        <v>85</v>
      </c>
      <c r="D42" s="624">
        <v>6.8912688096571859</v>
      </c>
      <c r="E42" s="624">
        <v>0</v>
      </c>
      <c r="F42" s="624">
        <v>612.48073662057277</v>
      </c>
      <c r="G42" s="617">
        <v>0.5014853482202658</v>
      </c>
      <c r="H42" s="624">
        <v>298.56100289690477</v>
      </c>
      <c r="I42" s="617">
        <v>0</v>
      </c>
      <c r="J42" s="624">
        <v>0</v>
      </c>
      <c r="K42" s="624">
        <v>0</v>
      </c>
      <c r="L42" s="624">
        <v>88.912951866525106</v>
      </c>
      <c r="M42" s="624">
        <v>2.172695514863495</v>
      </c>
      <c r="N42" s="624">
        <v>45.547545648959549</v>
      </c>
      <c r="O42" s="624">
        <v>9.3279659925773046</v>
      </c>
      <c r="P42" s="624">
        <v>51.691578550496644</v>
      </c>
      <c r="Q42" s="624">
        <v>2.4109171991556684</v>
      </c>
      <c r="R42" s="624">
        <v>423.48559519818957</v>
      </c>
      <c r="S42" s="624">
        <v>52.119201757955373</v>
      </c>
      <c r="T42" s="624">
        <v>2.0475941804150164</v>
      </c>
      <c r="U42" s="624">
        <v>1596.1505395844929</v>
      </c>
      <c r="V42" s="51"/>
      <c r="W42" s="51"/>
      <c r="X42" s="51"/>
    </row>
    <row r="43" spans="1:24">
      <c r="A43" s="51"/>
      <c r="B43" s="51"/>
      <c r="C43" s="51"/>
      <c r="D43" s="67">
        <v>0</v>
      </c>
      <c r="E43" s="67">
        <v>4.2905679322302603E-5</v>
      </c>
      <c r="F43" s="67">
        <v>-2.3629463129282158E-5</v>
      </c>
      <c r="G43" s="67">
        <v>0</v>
      </c>
      <c r="H43" s="67">
        <v>0</v>
      </c>
      <c r="I43" s="67">
        <v>0</v>
      </c>
      <c r="J43" s="67">
        <v>0</v>
      </c>
      <c r="K43" s="67">
        <v>0</v>
      </c>
      <c r="L43" s="67">
        <v>0</v>
      </c>
      <c r="M43" s="67">
        <v>0</v>
      </c>
      <c r="N43" s="67">
        <v>-2.9753977059954195E-14</v>
      </c>
      <c r="O43" s="67">
        <v>-2.3869795029440866E-15</v>
      </c>
      <c r="P43" s="67">
        <v>0</v>
      </c>
      <c r="Q43" s="67">
        <v>0</v>
      </c>
      <c r="R43" s="67">
        <v>-5.6843418860808015E-14</v>
      </c>
      <c r="S43" s="67">
        <v>0</v>
      </c>
      <c r="T43" s="67">
        <v>0</v>
      </c>
      <c r="U43" s="67">
        <v>1.9276216335128993E-5</v>
      </c>
      <c r="V43" s="51"/>
      <c r="W43" s="51"/>
      <c r="X43" s="51"/>
    </row>
    <row r="44" spans="1:24">
      <c r="A44" s="51"/>
      <c r="B44" s="51"/>
      <c r="C44" s="51"/>
      <c r="D44" s="51"/>
      <c r="E44" s="51"/>
      <c r="F44" s="51"/>
      <c r="G44" s="51"/>
      <c r="H44" s="51"/>
      <c r="I44" s="51"/>
      <c r="J44" s="51"/>
      <c r="K44" s="51"/>
      <c r="L44" s="51"/>
      <c r="M44" s="51"/>
      <c r="N44" s="51"/>
      <c r="O44" s="51"/>
      <c r="P44" s="51"/>
      <c r="Q44" s="51"/>
      <c r="R44" s="51"/>
      <c r="S44" s="51"/>
      <c r="T44" s="51"/>
      <c r="U44" s="51"/>
      <c r="V44" s="51"/>
      <c r="W44" s="51"/>
      <c r="X44" s="51"/>
    </row>
    <row r="45" spans="1:24">
      <c r="A45" s="608"/>
      <c r="B45" s="608"/>
      <c r="C45" s="609" t="s">
        <v>87</v>
      </c>
      <c r="D45" s="608"/>
      <c r="E45" s="608"/>
      <c r="F45" s="608"/>
      <c r="G45" s="608"/>
      <c r="H45" s="608"/>
      <c r="I45" s="608"/>
      <c r="J45" s="608"/>
      <c r="K45" s="608"/>
      <c r="L45" s="608"/>
      <c r="M45" s="608"/>
      <c r="N45" s="608"/>
      <c r="O45" s="608"/>
      <c r="P45" s="608"/>
      <c r="Q45" s="608"/>
      <c r="R45" s="608"/>
      <c r="S45" s="608"/>
      <c r="T45" s="608"/>
      <c r="U45" s="608"/>
      <c r="V45" s="608"/>
      <c r="W45" s="608"/>
      <c r="X45" s="608"/>
    </row>
    <row r="46" spans="1:24">
      <c r="A46" s="51"/>
      <c r="B46" s="51"/>
      <c r="C46" s="51"/>
      <c r="D46" s="51"/>
      <c r="E46" s="51"/>
      <c r="F46" s="51"/>
      <c r="G46" s="51"/>
      <c r="H46" s="51"/>
      <c r="I46" s="51"/>
      <c r="J46" s="51"/>
      <c r="K46" s="51"/>
      <c r="L46" s="51"/>
      <c r="M46" s="51"/>
      <c r="N46" s="51"/>
      <c r="O46" s="51"/>
      <c r="P46" s="51"/>
      <c r="Q46" s="51"/>
      <c r="R46" s="51"/>
      <c r="S46" s="51"/>
      <c r="T46" s="51"/>
      <c r="U46" s="51"/>
      <c r="V46" s="51"/>
      <c r="W46" s="51"/>
      <c r="X46" s="51"/>
    </row>
    <row r="47" spans="1:24" ht="14.25" customHeight="1">
      <c r="A47" s="51"/>
      <c r="B47" s="51"/>
      <c r="C47" s="713" t="s">
        <v>128</v>
      </c>
      <c r="D47" s="711" t="s">
        <v>42</v>
      </c>
      <c r="E47" s="711" t="s">
        <v>52</v>
      </c>
      <c r="F47" s="711" t="s">
        <v>53</v>
      </c>
      <c r="G47" s="711" t="s">
        <v>487</v>
      </c>
      <c r="H47" s="711" t="s">
        <v>32</v>
      </c>
      <c r="I47" s="711" t="s">
        <v>488</v>
      </c>
      <c r="J47" s="711" t="s">
        <v>20</v>
      </c>
      <c r="K47" s="711" t="s">
        <v>55</v>
      </c>
      <c r="L47" s="715" t="s">
        <v>56</v>
      </c>
      <c r="M47" s="716"/>
      <c r="N47" s="716"/>
      <c r="O47" s="716"/>
      <c r="P47" s="716"/>
      <c r="Q47" s="717"/>
      <c r="R47" s="711" t="s">
        <v>57</v>
      </c>
      <c r="S47" s="711" t="s">
        <v>58</v>
      </c>
      <c r="T47" s="711" t="s">
        <v>31</v>
      </c>
      <c r="U47" s="711" t="s">
        <v>10</v>
      </c>
      <c r="V47" s="51"/>
      <c r="W47" s="51"/>
      <c r="X47" s="51"/>
    </row>
    <row r="48" spans="1:24" ht="24">
      <c r="A48" s="51"/>
      <c r="B48" s="51"/>
      <c r="C48" s="714"/>
      <c r="D48" s="712"/>
      <c r="E48" s="712"/>
      <c r="F48" s="712"/>
      <c r="G48" s="712"/>
      <c r="H48" s="712"/>
      <c r="I48" s="712"/>
      <c r="J48" s="712"/>
      <c r="K48" s="712"/>
      <c r="L48" s="610" t="s">
        <v>338</v>
      </c>
      <c r="M48" s="610" t="s">
        <v>40</v>
      </c>
      <c r="N48" s="610" t="s">
        <v>346</v>
      </c>
      <c r="O48" s="610" t="s">
        <v>347</v>
      </c>
      <c r="P48" s="611" t="s">
        <v>348</v>
      </c>
      <c r="Q48" s="610" t="s">
        <v>349</v>
      </c>
      <c r="R48" s="712"/>
      <c r="S48" s="712"/>
      <c r="T48" s="712"/>
      <c r="U48" s="712"/>
      <c r="V48" s="51"/>
      <c r="W48" s="51"/>
      <c r="X48" s="51"/>
    </row>
    <row r="49" spans="1:24">
      <c r="A49" s="51"/>
      <c r="B49" s="51"/>
      <c r="C49" s="612" t="s">
        <v>59</v>
      </c>
      <c r="D49" s="613">
        <v>0</v>
      </c>
      <c r="E49" s="613">
        <v>9.7691999999999997</v>
      </c>
      <c r="F49" s="613">
        <v>0</v>
      </c>
      <c r="G49" s="613">
        <v>0</v>
      </c>
      <c r="H49" s="613">
        <v>0.18608000000000002</v>
      </c>
      <c r="I49" s="613">
        <v>0</v>
      </c>
      <c r="J49" s="614">
        <v>1053.5890909090911</v>
      </c>
      <c r="K49" s="614">
        <v>155.22027541539615</v>
      </c>
      <c r="L49" s="614">
        <v>214.90208797994541</v>
      </c>
      <c r="M49" s="614">
        <v>29.401690071090997</v>
      </c>
      <c r="N49" s="613">
        <v>1.8811575028002774</v>
      </c>
      <c r="O49" s="613">
        <v>0.15242099713737783</v>
      </c>
      <c r="P49" s="614">
        <v>63.09733962798451</v>
      </c>
      <c r="Q49" s="614">
        <v>8.6306065878365068</v>
      </c>
      <c r="R49" s="613">
        <v>0</v>
      </c>
      <c r="S49" s="613">
        <v>0</v>
      </c>
      <c r="T49" s="613">
        <v>0</v>
      </c>
      <c r="U49" s="615">
        <v>1536.8299490912823</v>
      </c>
      <c r="V49" s="51"/>
      <c r="W49" s="51"/>
      <c r="X49" s="51"/>
    </row>
    <row r="50" spans="1:24">
      <c r="A50" s="51"/>
      <c r="B50" s="51"/>
      <c r="C50" s="612" t="s">
        <v>60</v>
      </c>
      <c r="D50" s="613">
        <v>41.831603018044838</v>
      </c>
      <c r="E50" s="613">
        <v>489.64185318884552</v>
      </c>
      <c r="F50" s="613">
        <v>215.36449986293647</v>
      </c>
      <c r="G50" s="613">
        <v>0.69497003447287165</v>
      </c>
      <c r="H50" s="613">
        <v>334.30189110500646</v>
      </c>
      <c r="I50" s="613">
        <v>0</v>
      </c>
      <c r="J50" s="613">
        <v>0</v>
      </c>
      <c r="K50" s="613">
        <v>0</v>
      </c>
      <c r="L50" s="613">
        <v>2.5596276020988169</v>
      </c>
      <c r="M50" s="613">
        <v>0</v>
      </c>
      <c r="N50" s="613">
        <v>3.749161135627308</v>
      </c>
      <c r="O50" s="613">
        <v>0</v>
      </c>
      <c r="P50" s="613">
        <v>0</v>
      </c>
      <c r="Q50" s="613">
        <v>0</v>
      </c>
      <c r="R50" s="613">
        <v>0</v>
      </c>
      <c r="S50" s="613">
        <v>0</v>
      </c>
      <c r="T50" s="613">
        <v>0</v>
      </c>
      <c r="U50" s="615">
        <v>1088.1436059470323</v>
      </c>
      <c r="V50" s="51"/>
      <c r="W50" s="51"/>
      <c r="X50" s="51"/>
    </row>
    <row r="51" spans="1:24">
      <c r="A51" s="51"/>
      <c r="B51" s="51"/>
      <c r="C51" s="612" t="s">
        <v>61</v>
      </c>
      <c r="D51" s="613">
        <v>0</v>
      </c>
      <c r="E51" s="613">
        <v>0</v>
      </c>
      <c r="F51" s="613">
        <v>-8.3753888093619933E-3</v>
      </c>
      <c r="G51" s="613">
        <v>0</v>
      </c>
      <c r="H51" s="613">
        <v>0</v>
      </c>
      <c r="I51" s="613">
        <v>0</v>
      </c>
      <c r="J51" s="613">
        <v>0</v>
      </c>
      <c r="K51" s="613">
        <v>0</v>
      </c>
      <c r="L51" s="613">
        <v>0</v>
      </c>
      <c r="M51" s="613">
        <v>0</v>
      </c>
      <c r="N51" s="613">
        <v>0</v>
      </c>
      <c r="O51" s="613">
        <v>0</v>
      </c>
      <c r="P51" s="613">
        <v>0</v>
      </c>
      <c r="Q51" s="613">
        <v>0</v>
      </c>
      <c r="R51" s="613">
        <v>-43.687310100194736</v>
      </c>
      <c r="S51" s="613">
        <v>0</v>
      </c>
      <c r="T51" s="613">
        <v>0</v>
      </c>
      <c r="U51" s="615">
        <v>-43.695685489004099</v>
      </c>
      <c r="V51" s="51"/>
      <c r="W51" s="51"/>
      <c r="X51" s="51"/>
    </row>
    <row r="52" spans="1:24">
      <c r="A52" s="51"/>
      <c r="B52" s="51"/>
      <c r="C52" s="612" t="s">
        <v>62</v>
      </c>
      <c r="D52" s="613">
        <v>0</v>
      </c>
      <c r="E52" s="613">
        <v>0</v>
      </c>
      <c r="F52" s="613">
        <v>-17.986125581751292</v>
      </c>
      <c r="G52" s="613">
        <v>0</v>
      </c>
      <c r="H52" s="613">
        <v>-0.52048534400174162</v>
      </c>
      <c r="I52" s="613">
        <v>0</v>
      </c>
      <c r="J52" s="613">
        <v>0</v>
      </c>
      <c r="K52" s="613">
        <v>0</v>
      </c>
      <c r="L52" s="613">
        <v>0</v>
      </c>
      <c r="M52" s="613">
        <v>0</v>
      </c>
      <c r="N52" s="613">
        <v>-0.36525287298367837</v>
      </c>
      <c r="O52" s="613">
        <v>-2.7393965473775879E-2</v>
      </c>
      <c r="P52" s="613">
        <v>0</v>
      </c>
      <c r="Q52" s="613">
        <v>0</v>
      </c>
      <c r="R52" s="613">
        <v>0</v>
      </c>
      <c r="S52" s="613">
        <v>0</v>
      </c>
      <c r="T52" s="613">
        <v>0</v>
      </c>
      <c r="U52" s="615">
        <v>-18.899257764210489</v>
      </c>
      <c r="V52" s="51"/>
      <c r="W52" s="51"/>
      <c r="X52" s="51"/>
    </row>
    <row r="53" spans="1:24">
      <c r="A53" s="51"/>
      <c r="B53" s="51"/>
      <c r="C53" s="612" t="s">
        <v>63</v>
      </c>
      <c r="D53" s="613">
        <v>0</v>
      </c>
      <c r="E53" s="613">
        <v>0</v>
      </c>
      <c r="F53" s="613">
        <v>-76.912420126613313</v>
      </c>
      <c r="G53" s="613">
        <v>-3.9288154935402962E-2</v>
      </c>
      <c r="H53" s="613">
        <v>0</v>
      </c>
      <c r="I53" s="613">
        <v>0</v>
      </c>
      <c r="J53" s="613">
        <v>0</v>
      </c>
      <c r="K53" s="613">
        <v>0</v>
      </c>
      <c r="L53" s="613">
        <v>0</v>
      </c>
      <c r="M53" s="613">
        <v>0</v>
      </c>
      <c r="N53" s="613">
        <v>-1.6507409080624253</v>
      </c>
      <c r="O53" s="613">
        <v>0</v>
      </c>
      <c r="P53" s="613">
        <v>0</v>
      </c>
      <c r="Q53" s="613">
        <v>0</v>
      </c>
      <c r="R53" s="613">
        <v>0</v>
      </c>
      <c r="S53" s="613">
        <v>0</v>
      </c>
      <c r="T53" s="613">
        <v>0</v>
      </c>
      <c r="U53" s="615">
        <v>-78.60244918961115</v>
      </c>
      <c r="V53" s="51"/>
      <c r="W53" s="51"/>
      <c r="X53" s="51"/>
    </row>
    <row r="54" spans="1:24">
      <c r="A54" s="51"/>
      <c r="B54" s="51"/>
      <c r="C54" s="612" t="s">
        <v>64</v>
      </c>
      <c r="D54" s="613">
        <v>0</v>
      </c>
      <c r="E54" s="613">
        <v>0</v>
      </c>
      <c r="F54" s="613">
        <v>0</v>
      </c>
      <c r="G54" s="613">
        <v>0</v>
      </c>
      <c r="H54" s="613">
        <v>0</v>
      </c>
      <c r="I54" s="613">
        <v>0</v>
      </c>
      <c r="J54" s="613">
        <v>0</v>
      </c>
      <c r="K54" s="613">
        <v>0</v>
      </c>
      <c r="L54" s="613">
        <v>0</v>
      </c>
      <c r="M54" s="613">
        <v>0</v>
      </c>
      <c r="N54" s="613">
        <v>0</v>
      </c>
      <c r="O54" s="613">
        <v>0</v>
      </c>
      <c r="P54" s="613">
        <v>0</v>
      </c>
      <c r="Q54" s="613">
        <v>0</v>
      </c>
      <c r="R54" s="613">
        <v>0</v>
      </c>
      <c r="S54" s="613">
        <v>0</v>
      </c>
      <c r="T54" s="613">
        <v>0</v>
      </c>
      <c r="U54" s="615">
        <v>0</v>
      </c>
      <c r="V54" s="51"/>
      <c r="W54" s="51"/>
      <c r="X54" s="51"/>
    </row>
    <row r="55" spans="1:24">
      <c r="A55" s="51"/>
      <c r="B55" s="51"/>
      <c r="C55" s="616" t="s">
        <v>65</v>
      </c>
      <c r="D55" s="617">
        <v>41.831603018044838</v>
      </c>
      <c r="E55" s="617">
        <v>499.41105318884553</v>
      </c>
      <c r="F55" s="617">
        <v>120.45757876576252</v>
      </c>
      <c r="G55" s="617">
        <v>0.6556818795374687</v>
      </c>
      <c r="H55" s="624">
        <v>333.9674857610047</v>
      </c>
      <c r="I55" s="617">
        <v>0</v>
      </c>
      <c r="J55" s="617">
        <v>1053.5890909090911</v>
      </c>
      <c r="K55" s="617">
        <v>155.22027541539615</v>
      </c>
      <c r="L55" s="617">
        <v>217.46171558204423</v>
      </c>
      <c r="M55" s="617">
        <v>29.401690071090997</v>
      </c>
      <c r="N55" s="617">
        <v>3.6143248573814817</v>
      </c>
      <c r="O55" s="617">
        <v>0.12502703166360196</v>
      </c>
      <c r="P55" s="617">
        <v>63.09733962798451</v>
      </c>
      <c r="Q55" s="617">
        <v>8.6306065878365068</v>
      </c>
      <c r="R55" s="617">
        <v>-43.687310100194736</v>
      </c>
      <c r="S55" s="617">
        <v>0</v>
      </c>
      <c r="T55" s="617">
        <v>0</v>
      </c>
      <c r="U55" s="617">
        <v>2483.7761625954886</v>
      </c>
      <c r="V55" s="51"/>
      <c r="W55" s="51"/>
      <c r="X55" s="51"/>
    </row>
    <row r="56" spans="1:24">
      <c r="A56" s="51"/>
      <c r="B56" s="51"/>
      <c r="C56" s="618"/>
      <c r="D56" s="619">
        <v>0</v>
      </c>
      <c r="E56" s="619">
        <v>0</v>
      </c>
      <c r="F56" s="619">
        <v>0</v>
      </c>
      <c r="G56" s="619">
        <v>0</v>
      </c>
      <c r="H56" s="625">
        <v>0</v>
      </c>
      <c r="I56" s="619">
        <v>0</v>
      </c>
      <c r="J56" s="619">
        <v>0</v>
      </c>
      <c r="K56" s="619">
        <v>0</v>
      </c>
      <c r="L56" s="619">
        <v>0</v>
      </c>
      <c r="M56" s="619">
        <v>0</v>
      </c>
      <c r="N56" s="619">
        <v>0</v>
      </c>
      <c r="O56" s="619">
        <v>0</v>
      </c>
      <c r="P56" s="619">
        <v>0</v>
      </c>
      <c r="Q56" s="619">
        <v>0</v>
      </c>
      <c r="R56" s="619">
        <v>0</v>
      </c>
      <c r="S56" s="619">
        <v>0</v>
      </c>
      <c r="T56" s="619">
        <v>0</v>
      </c>
      <c r="U56" s="619">
        <v>0</v>
      </c>
      <c r="V56" s="51"/>
      <c r="W56" s="51"/>
      <c r="X56" s="51"/>
    </row>
    <row r="57" spans="1:24">
      <c r="A57" s="51"/>
      <c r="B57" s="51"/>
      <c r="C57" s="620" t="s">
        <v>67</v>
      </c>
      <c r="D57" s="613">
        <v>0</v>
      </c>
      <c r="E57" s="613">
        <v>0</v>
      </c>
      <c r="F57" s="613">
        <v>0</v>
      </c>
      <c r="G57" s="613">
        <v>0</v>
      </c>
      <c r="H57" s="613">
        <v>0</v>
      </c>
      <c r="I57" s="613">
        <v>0</v>
      </c>
      <c r="J57" s="613">
        <v>0</v>
      </c>
      <c r="K57" s="613">
        <v>0</v>
      </c>
      <c r="L57" s="613">
        <v>0</v>
      </c>
      <c r="M57" s="613">
        <v>0</v>
      </c>
      <c r="N57" s="613">
        <v>0</v>
      </c>
      <c r="O57" s="613">
        <v>0</v>
      </c>
      <c r="P57" s="613">
        <v>0</v>
      </c>
      <c r="Q57" s="613">
        <v>0</v>
      </c>
      <c r="R57" s="613">
        <v>0</v>
      </c>
      <c r="S57" s="613">
        <v>0</v>
      </c>
      <c r="T57" s="613">
        <v>0</v>
      </c>
      <c r="U57" s="621">
        <v>0</v>
      </c>
      <c r="V57" s="51"/>
      <c r="W57" s="51"/>
      <c r="X57" s="51"/>
    </row>
    <row r="58" spans="1:24">
      <c r="A58" s="51"/>
      <c r="B58" s="51"/>
      <c r="C58" s="620" t="s">
        <v>350</v>
      </c>
      <c r="D58" s="613">
        <v>5.068399788884058</v>
      </c>
      <c r="E58" s="613">
        <v>0</v>
      </c>
      <c r="F58" s="613">
        <v>4.9124728630946066</v>
      </c>
      <c r="G58" s="613">
        <v>0</v>
      </c>
      <c r="H58" s="613">
        <v>36.774004194815085</v>
      </c>
      <c r="I58" s="613">
        <v>0</v>
      </c>
      <c r="J58" s="613">
        <v>1053.5890909090911</v>
      </c>
      <c r="K58" s="613">
        <v>155.22027541539615</v>
      </c>
      <c r="L58" s="613">
        <v>34.16808670604641</v>
      </c>
      <c r="M58" s="613">
        <v>11.281848474770838</v>
      </c>
      <c r="N58" s="613">
        <v>5.5512316182098811</v>
      </c>
      <c r="O58" s="613">
        <v>5.6113721233995753</v>
      </c>
      <c r="P58" s="613">
        <v>0</v>
      </c>
      <c r="Q58" s="613">
        <v>0.31861460974897526</v>
      </c>
      <c r="R58" s="613">
        <v>-544.41932924379887</v>
      </c>
      <c r="S58" s="613">
        <v>0</v>
      </c>
      <c r="T58" s="613">
        <v>0</v>
      </c>
      <c r="U58" s="621">
        <v>768.07606745965757</v>
      </c>
      <c r="V58" s="51"/>
      <c r="W58" s="51"/>
      <c r="X58" s="51"/>
    </row>
    <row r="59" spans="1:24">
      <c r="A59" s="51"/>
      <c r="B59" s="51"/>
      <c r="C59" s="620" t="s">
        <v>351</v>
      </c>
      <c r="D59" s="613">
        <v>0.1931818181818182</v>
      </c>
      <c r="E59" s="613">
        <v>0</v>
      </c>
      <c r="F59" s="613">
        <v>0</v>
      </c>
      <c r="G59" s="613">
        <v>0</v>
      </c>
      <c r="H59" s="613">
        <v>18.699747563200777</v>
      </c>
      <c r="I59" s="613">
        <v>0</v>
      </c>
      <c r="J59" s="613">
        <v>0</v>
      </c>
      <c r="K59" s="613">
        <v>0</v>
      </c>
      <c r="L59" s="613">
        <v>26.355115374306525</v>
      </c>
      <c r="M59" s="613">
        <v>15.857266887266444</v>
      </c>
      <c r="N59" s="613">
        <v>0</v>
      </c>
      <c r="O59" s="613">
        <v>3.312429986969792</v>
      </c>
      <c r="P59" s="613">
        <v>0</v>
      </c>
      <c r="Q59" s="613">
        <v>5.6407627218251397</v>
      </c>
      <c r="R59" s="613">
        <v>0</v>
      </c>
      <c r="S59" s="613">
        <v>-63.097173845556554</v>
      </c>
      <c r="T59" s="613">
        <v>0</v>
      </c>
      <c r="U59" s="621">
        <v>6.961330506193935</v>
      </c>
      <c r="V59" s="51"/>
      <c r="W59" s="51"/>
      <c r="X59" s="51"/>
    </row>
    <row r="60" spans="1:24">
      <c r="A60" s="51"/>
      <c r="B60" s="51"/>
      <c r="C60" s="620" t="s">
        <v>352</v>
      </c>
      <c r="D60" s="613">
        <v>0</v>
      </c>
      <c r="E60" s="613">
        <v>0</v>
      </c>
      <c r="F60" s="613">
        <v>0</v>
      </c>
      <c r="G60" s="613">
        <v>0</v>
      </c>
      <c r="H60" s="613">
        <v>0</v>
      </c>
      <c r="I60" s="613">
        <v>0</v>
      </c>
      <c r="J60" s="613">
        <v>0</v>
      </c>
      <c r="K60" s="613">
        <v>0</v>
      </c>
      <c r="L60" s="613">
        <v>25.213782174041008</v>
      </c>
      <c r="M60" s="613">
        <v>0</v>
      </c>
      <c r="N60" s="613">
        <v>0</v>
      </c>
      <c r="O60" s="613">
        <v>-23.351209189873732</v>
      </c>
      <c r="P60" s="613">
        <v>0</v>
      </c>
      <c r="Q60" s="613">
        <v>0</v>
      </c>
      <c r="R60" s="613">
        <v>0</v>
      </c>
      <c r="S60" s="613">
        <v>0</v>
      </c>
      <c r="T60" s="613">
        <v>0</v>
      </c>
      <c r="U60" s="621">
        <v>1.8625729841672758</v>
      </c>
      <c r="V60" s="51"/>
      <c r="W60" s="51"/>
      <c r="X60" s="51"/>
    </row>
    <row r="61" spans="1:24">
      <c r="A61" s="51"/>
      <c r="B61" s="51"/>
      <c r="C61" s="620" t="s">
        <v>353</v>
      </c>
      <c r="D61" s="613">
        <v>0</v>
      </c>
      <c r="E61" s="613">
        <v>0</v>
      </c>
      <c r="F61" s="613">
        <v>0</v>
      </c>
      <c r="G61" s="613">
        <v>0</v>
      </c>
      <c r="H61" s="613">
        <v>0</v>
      </c>
      <c r="I61" s="613">
        <v>0</v>
      </c>
      <c r="J61" s="613">
        <v>0</v>
      </c>
      <c r="K61" s="613">
        <v>0</v>
      </c>
      <c r="L61" s="613">
        <v>0</v>
      </c>
      <c r="M61" s="613">
        <v>0</v>
      </c>
      <c r="N61" s="613">
        <v>0</v>
      </c>
      <c r="O61" s="613">
        <v>0</v>
      </c>
      <c r="P61" s="613">
        <v>0</v>
      </c>
      <c r="Q61" s="613">
        <v>0</v>
      </c>
      <c r="R61" s="613">
        <v>0</v>
      </c>
      <c r="S61" s="613">
        <v>0</v>
      </c>
      <c r="T61" s="613">
        <v>0</v>
      </c>
      <c r="U61" s="621">
        <v>0</v>
      </c>
      <c r="V61" s="51"/>
      <c r="W61" s="51"/>
      <c r="X61" s="51"/>
    </row>
    <row r="62" spans="1:24">
      <c r="A62" s="51"/>
      <c r="B62" s="51"/>
      <c r="C62" s="620" t="s">
        <v>72</v>
      </c>
      <c r="D62" s="613">
        <v>0</v>
      </c>
      <c r="E62" s="613">
        <v>517.60249070017358</v>
      </c>
      <c r="F62" s="613">
        <v>-512.45210450124512</v>
      </c>
      <c r="G62" s="613">
        <v>0</v>
      </c>
      <c r="H62" s="613">
        <v>0</v>
      </c>
      <c r="I62" s="613">
        <v>0</v>
      </c>
      <c r="J62" s="613">
        <v>0</v>
      </c>
      <c r="K62" s="613">
        <v>0</v>
      </c>
      <c r="L62" s="613">
        <v>0</v>
      </c>
      <c r="M62" s="613">
        <v>0</v>
      </c>
      <c r="N62" s="613">
        <v>0</v>
      </c>
      <c r="O62" s="613">
        <v>0</v>
      </c>
      <c r="P62" s="613">
        <v>0</v>
      </c>
      <c r="Q62" s="613">
        <v>0</v>
      </c>
      <c r="R62" s="613">
        <v>0</v>
      </c>
      <c r="S62" s="613">
        <v>0</v>
      </c>
      <c r="T62" s="613">
        <v>0</v>
      </c>
      <c r="U62" s="621">
        <v>5.1503861989284561</v>
      </c>
      <c r="V62" s="51"/>
      <c r="W62" s="51"/>
      <c r="X62" s="51"/>
    </row>
    <row r="63" spans="1:24">
      <c r="A63" s="51"/>
      <c r="B63" s="51"/>
      <c r="C63" s="620" t="s">
        <v>354</v>
      </c>
      <c r="D63" s="613">
        <v>0</v>
      </c>
      <c r="E63" s="613">
        <v>0</v>
      </c>
      <c r="F63" s="613">
        <v>0</v>
      </c>
      <c r="G63" s="613">
        <v>0</v>
      </c>
      <c r="H63" s="613">
        <v>0</v>
      </c>
      <c r="I63" s="613">
        <v>0</v>
      </c>
      <c r="J63" s="613">
        <v>0</v>
      </c>
      <c r="K63" s="613">
        <v>0</v>
      </c>
      <c r="L63" s="613">
        <v>52.070159971858487</v>
      </c>
      <c r="M63" s="613">
        <v>0</v>
      </c>
      <c r="N63" s="613">
        <v>-52.070159971858487</v>
      </c>
      <c r="O63" s="613">
        <v>0</v>
      </c>
      <c r="P63" s="613">
        <v>0</v>
      </c>
      <c r="Q63" s="613">
        <v>0</v>
      </c>
      <c r="R63" s="613">
        <v>0</v>
      </c>
      <c r="S63" s="613">
        <v>0</v>
      </c>
      <c r="T63" s="613">
        <v>0</v>
      </c>
      <c r="U63" s="621">
        <v>0</v>
      </c>
      <c r="V63" s="51"/>
      <c r="W63" s="51"/>
      <c r="X63" s="51"/>
    </row>
    <row r="64" spans="1:24">
      <c r="A64" s="51"/>
      <c r="B64" s="51"/>
      <c r="C64" s="620" t="s">
        <v>355</v>
      </c>
      <c r="D64" s="613">
        <v>0</v>
      </c>
      <c r="E64" s="613">
        <v>0</v>
      </c>
      <c r="F64" s="613">
        <v>0</v>
      </c>
      <c r="G64" s="613">
        <v>-7.143300897345993E-2</v>
      </c>
      <c r="H64" s="613">
        <v>0</v>
      </c>
      <c r="I64" s="613">
        <v>0</v>
      </c>
      <c r="J64" s="613">
        <v>0</v>
      </c>
      <c r="K64" s="613">
        <v>0</v>
      </c>
      <c r="L64" s="613">
        <v>0</v>
      </c>
      <c r="M64" s="613">
        <v>0</v>
      </c>
      <c r="N64" s="613">
        <v>0</v>
      </c>
      <c r="O64" s="613">
        <v>0</v>
      </c>
      <c r="P64" s="613">
        <v>0</v>
      </c>
      <c r="Q64" s="613">
        <v>0</v>
      </c>
      <c r="R64" s="613">
        <v>0</v>
      </c>
      <c r="S64" s="613">
        <v>0</v>
      </c>
      <c r="T64" s="613">
        <v>9.9488870436573729E-2</v>
      </c>
      <c r="U64" s="621">
        <v>2.8055861463113799E-2</v>
      </c>
      <c r="V64" s="51"/>
      <c r="W64" s="51"/>
      <c r="X64" s="51"/>
    </row>
    <row r="65" spans="1:24">
      <c r="A65" s="51"/>
      <c r="B65" s="51"/>
      <c r="C65" s="620" t="s">
        <v>73</v>
      </c>
      <c r="D65" s="613">
        <v>0</v>
      </c>
      <c r="E65" s="613">
        <v>0</v>
      </c>
      <c r="F65" s="613">
        <v>0</v>
      </c>
      <c r="G65" s="613">
        <v>0</v>
      </c>
      <c r="H65" s="613">
        <v>0</v>
      </c>
      <c r="I65" s="613">
        <v>0</v>
      </c>
      <c r="J65" s="613">
        <v>0</v>
      </c>
      <c r="K65" s="613">
        <v>0</v>
      </c>
      <c r="L65" s="613">
        <v>0</v>
      </c>
      <c r="M65" s="613">
        <v>0</v>
      </c>
      <c r="N65" s="613">
        <v>0</v>
      </c>
      <c r="O65" s="613">
        <v>0</v>
      </c>
      <c r="P65" s="613">
        <v>0</v>
      </c>
      <c r="Q65" s="613">
        <v>0</v>
      </c>
      <c r="R65" s="613">
        <v>7.9634516882678241</v>
      </c>
      <c r="S65" s="613">
        <v>0</v>
      </c>
      <c r="T65" s="613">
        <v>-5.1762435973740857</v>
      </c>
      <c r="U65" s="621">
        <v>2.7872080908937384</v>
      </c>
      <c r="V65" s="51"/>
      <c r="W65" s="51"/>
      <c r="X65" s="51"/>
    </row>
    <row r="66" spans="1:24">
      <c r="A66" s="51"/>
      <c r="B66" s="51"/>
      <c r="C66" s="620" t="s">
        <v>356</v>
      </c>
      <c r="D66" s="613">
        <v>22.178927109375</v>
      </c>
      <c r="E66" s="613">
        <v>-18.191437511328061</v>
      </c>
      <c r="F66" s="613">
        <v>23.666155984350404</v>
      </c>
      <c r="G66" s="613">
        <v>0</v>
      </c>
      <c r="H66" s="613">
        <v>0</v>
      </c>
      <c r="I66" s="613">
        <v>0</v>
      </c>
      <c r="J66" s="613">
        <v>0</v>
      </c>
      <c r="K66" s="613">
        <v>0</v>
      </c>
      <c r="L66" s="613">
        <v>0</v>
      </c>
      <c r="M66" s="613">
        <v>0</v>
      </c>
      <c r="N66" s="613">
        <v>0</v>
      </c>
      <c r="O66" s="613">
        <v>0</v>
      </c>
      <c r="P66" s="613">
        <v>0</v>
      </c>
      <c r="Q66" s="613">
        <v>0</v>
      </c>
      <c r="R66" s="613">
        <v>0</v>
      </c>
      <c r="S66" s="613">
        <v>0</v>
      </c>
      <c r="T66" s="613">
        <v>0</v>
      </c>
      <c r="U66" s="621">
        <v>27.653645582397342</v>
      </c>
      <c r="V66" s="51"/>
      <c r="W66" s="51"/>
      <c r="X66" s="51"/>
    </row>
    <row r="67" spans="1:24">
      <c r="A67" s="51"/>
      <c r="B67" s="51"/>
      <c r="C67" s="620" t="s">
        <v>75</v>
      </c>
      <c r="D67" s="613">
        <v>8.6251383203125016</v>
      </c>
      <c r="E67" s="613">
        <v>0</v>
      </c>
      <c r="F67" s="613">
        <v>20.228971403017535</v>
      </c>
      <c r="G67" s="613">
        <v>0</v>
      </c>
      <c r="H67" s="613">
        <v>5.487827419085181</v>
      </c>
      <c r="I67" s="613">
        <v>0</v>
      </c>
      <c r="J67" s="613">
        <v>0</v>
      </c>
      <c r="K67" s="613">
        <v>0</v>
      </c>
      <c r="L67" s="613">
        <v>0</v>
      </c>
      <c r="M67" s="613">
        <v>0</v>
      </c>
      <c r="N67" s="613">
        <v>0</v>
      </c>
      <c r="O67" s="613">
        <v>0.28883302205711481</v>
      </c>
      <c r="P67" s="613">
        <v>0</v>
      </c>
      <c r="Q67" s="613">
        <v>0</v>
      </c>
      <c r="R67" s="613">
        <v>27.175848689851513</v>
      </c>
      <c r="S67" s="613">
        <v>0</v>
      </c>
      <c r="T67" s="613">
        <v>0</v>
      </c>
      <c r="U67" s="621">
        <v>61.806618854323844</v>
      </c>
      <c r="V67" s="51"/>
      <c r="W67" s="51"/>
      <c r="X67" s="51"/>
    </row>
    <row r="68" spans="1:24">
      <c r="A68" s="51"/>
      <c r="B68" s="51"/>
      <c r="C68" s="620" t="s">
        <v>76</v>
      </c>
      <c r="D68" s="613">
        <v>0</v>
      </c>
      <c r="E68" s="613">
        <v>0</v>
      </c>
      <c r="F68" s="613">
        <v>0</v>
      </c>
      <c r="G68" s="613">
        <v>0</v>
      </c>
      <c r="H68" s="613">
        <v>3.8832871136431208</v>
      </c>
      <c r="I68" s="613">
        <v>0</v>
      </c>
      <c r="J68" s="613">
        <v>0</v>
      </c>
      <c r="K68" s="613">
        <v>0</v>
      </c>
      <c r="L68" s="613">
        <v>0</v>
      </c>
      <c r="M68" s="613">
        <v>0</v>
      </c>
      <c r="N68" s="613">
        <v>0</v>
      </c>
      <c r="O68" s="613">
        <v>0.20438353229700637</v>
      </c>
      <c r="P68" s="613">
        <v>0</v>
      </c>
      <c r="Q68" s="613">
        <v>0</v>
      </c>
      <c r="R68" s="613">
        <v>38.356125680711244</v>
      </c>
      <c r="S68" s="613">
        <v>4.8935866171781743</v>
      </c>
      <c r="T68" s="613">
        <v>0</v>
      </c>
      <c r="U68" s="621">
        <v>47.337382943829546</v>
      </c>
      <c r="V68" s="51"/>
      <c r="W68" s="51"/>
      <c r="X68" s="51"/>
    </row>
    <row r="69" spans="1:24">
      <c r="A69" s="51"/>
      <c r="B69" s="51"/>
      <c r="C69" s="616" t="s">
        <v>77</v>
      </c>
      <c r="D69" s="617">
        <v>36.065647036753376</v>
      </c>
      <c r="E69" s="617">
        <v>499.41105318884553</v>
      </c>
      <c r="F69" s="617">
        <v>-463.64450425078257</v>
      </c>
      <c r="G69" s="617">
        <v>-7.143300897345993E-2</v>
      </c>
      <c r="H69" s="624">
        <v>64.844866290744164</v>
      </c>
      <c r="I69" s="617">
        <v>0</v>
      </c>
      <c r="J69" s="617">
        <v>1053.5890909090911</v>
      </c>
      <c r="K69" s="617">
        <v>155.22027541539615</v>
      </c>
      <c r="L69" s="617">
        <v>137.80714422625243</v>
      </c>
      <c r="M69" s="617">
        <v>27.13911536203728</v>
      </c>
      <c r="N69" s="617">
        <v>-46.518928353648604</v>
      </c>
      <c r="O69" s="617">
        <v>-13.934190525150244</v>
      </c>
      <c r="P69" s="617">
        <v>0</v>
      </c>
      <c r="Q69" s="617">
        <v>5.9593773315741148</v>
      </c>
      <c r="R69" s="617">
        <v>-470.92390318496831</v>
      </c>
      <c r="S69" s="617">
        <v>-58.203587228378382</v>
      </c>
      <c r="T69" s="617">
        <v>-5.0767547269375122</v>
      </c>
      <c r="U69" s="617">
        <v>921.66326848185474</v>
      </c>
      <c r="V69" s="51"/>
      <c r="W69" s="51"/>
      <c r="X69" s="51"/>
    </row>
    <row r="70" spans="1:24">
      <c r="A70" s="51"/>
      <c r="B70" s="51"/>
      <c r="C70" s="618"/>
      <c r="D70" s="619">
        <v>0</v>
      </c>
      <c r="E70" s="619">
        <v>0</v>
      </c>
      <c r="F70" s="619">
        <v>0</v>
      </c>
      <c r="G70" s="619">
        <v>0</v>
      </c>
      <c r="H70" s="625">
        <v>0</v>
      </c>
      <c r="I70" s="619">
        <v>0</v>
      </c>
      <c r="J70" s="619">
        <v>0</v>
      </c>
      <c r="K70" s="619">
        <v>0</v>
      </c>
      <c r="L70" s="619">
        <v>0</v>
      </c>
      <c r="M70" s="619">
        <v>0</v>
      </c>
      <c r="N70" s="619">
        <v>0</v>
      </c>
      <c r="O70" s="619">
        <v>0</v>
      </c>
      <c r="P70" s="619">
        <v>0</v>
      </c>
      <c r="Q70" s="619">
        <v>0</v>
      </c>
      <c r="R70" s="619">
        <v>0</v>
      </c>
      <c r="S70" s="619">
        <v>0</v>
      </c>
      <c r="T70" s="619">
        <v>0</v>
      </c>
      <c r="U70" s="619">
        <v>0</v>
      </c>
      <c r="V70" s="51"/>
      <c r="W70" s="51"/>
      <c r="X70" s="51"/>
    </row>
    <row r="71" spans="1:24">
      <c r="A71" s="51"/>
      <c r="B71" s="51"/>
      <c r="C71" s="620" t="s">
        <v>78</v>
      </c>
      <c r="D71" s="613">
        <v>5.7659559812914596</v>
      </c>
      <c r="E71" s="613">
        <v>0</v>
      </c>
      <c r="F71" s="613">
        <v>20.140625662246215</v>
      </c>
      <c r="G71" s="613">
        <v>0</v>
      </c>
      <c r="H71" s="613">
        <v>96.219207826214614</v>
      </c>
      <c r="I71" s="613">
        <v>0</v>
      </c>
      <c r="J71" s="613">
        <v>0</v>
      </c>
      <c r="K71" s="613">
        <v>0</v>
      </c>
      <c r="L71" s="613">
        <v>18.774389983885822</v>
      </c>
      <c r="M71" s="613">
        <v>2.2619594529052449</v>
      </c>
      <c r="N71" s="613">
        <v>0.75934024169921888</v>
      </c>
      <c r="O71" s="613">
        <v>5.087709316109053</v>
      </c>
      <c r="P71" s="613">
        <v>1.955318115234375</v>
      </c>
      <c r="Q71" s="613">
        <v>4.7991131198633983E-4</v>
      </c>
      <c r="R71" s="613">
        <v>121.32585979507003</v>
      </c>
      <c r="S71" s="613">
        <v>18.196197954086337</v>
      </c>
      <c r="T71" s="613">
        <v>0.58506469726562504</v>
      </c>
      <c r="U71" s="621">
        <v>291.07210893731997</v>
      </c>
      <c r="V71" s="51"/>
      <c r="W71" s="622" t="e" cm="1">
        <f t="array" aca="1" ref="W71" ca="1">_xlfn.IFNA(INDEX(#REF!,MATCH(INDIRECT("Codes_bilans!"&amp;W$1&amp;"$"&amp;#REF!),#REF!,0),MATCH(#REF!,#REF!,0)),0)</f>
        <v>#REF!</v>
      </c>
      <c r="X71" s="51"/>
    </row>
    <row r="72" spans="1:24">
      <c r="A72" s="51"/>
      <c r="B72" s="51"/>
      <c r="C72" s="620" t="s">
        <v>79</v>
      </c>
      <c r="D72" s="613">
        <v>0</v>
      </c>
      <c r="E72" s="613">
        <v>0</v>
      </c>
      <c r="F72" s="613">
        <v>390.32849052575307</v>
      </c>
      <c r="G72" s="613">
        <v>0</v>
      </c>
      <c r="H72" s="613">
        <v>3.80545856067917</v>
      </c>
      <c r="I72" s="613">
        <v>0</v>
      </c>
      <c r="J72" s="613">
        <v>0</v>
      </c>
      <c r="K72" s="613">
        <v>0</v>
      </c>
      <c r="L72" s="613">
        <v>0</v>
      </c>
      <c r="M72" s="613">
        <v>0</v>
      </c>
      <c r="N72" s="613">
        <v>41.205948968253495</v>
      </c>
      <c r="O72" s="613">
        <v>0.20028729266732476</v>
      </c>
      <c r="P72" s="613">
        <v>0</v>
      </c>
      <c r="Q72" s="613">
        <v>0</v>
      </c>
      <c r="R72" s="613">
        <v>15.644073294761139</v>
      </c>
      <c r="S72" s="613">
        <v>0</v>
      </c>
      <c r="T72" s="613">
        <v>0</v>
      </c>
      <c r="U72" s="621">
        <v>451.18425864211417</v>
      </c>
      <c r="V72" s="51"/>
      <c r="W72" s="622" t="e" cm="1">
        <f t="array" aca="1" ref="W72" ca="1">_xlfn.IFNA(INDEX(#REF!,MATCH(INDIRECT("Codes_bilans!"&amp;W$1&amp;"$"&amp;#REF!),#REF!,0),MATCH(#REF!,#REF!,0)),0)</f>
        <v>#REF!</v>
      </c>
      <c r="X72" s="51"/>
    </row>
    <row r="73" spans="1:24">
      <c r="A73" s="51"/>
      <c r="B73" s="51"/>
      <c r="C73" s="620" t="s">
        <v>80</v>
      </c>
      <c r="D73" s="613">
        <v>0</v>
      </c>
      <c r="E73" s="613">
        <v>0</v>
      </c>
      <c r="F73" s="613">
        <v>12.124097766198929</v>
      </c>
      <c r="G73" s="613">
        <v>0</v>
      </c>
      <c r="H73" s="613">
        <v>106.96046467685454</v>
      </c>
      <c r="I73" s="613">
        <v>0</v>
      </c>
      <c r="J73" s="613">
        <v>0</v>
      </c>
      <c r="K73" s="613">
        <v>0</v>
      </c>
      <c r="L73" s="613">
        <v>59.150287479050967</v>
      </c>
      <c r="M73" s="613">
        <v>0</v>
      </c>
      <c r="N73" s="613">
        <v>0</v>
      </c>
      <c r="O73" s="613">
        <v>5.6294981408870823</v>
      </c>
      <c r="P73" s="613">
        <v>50.263804232391934</v>
      </c>
      <c r="Q73" s="613">
        <v>1.4653773673998376</v>
      </c>
      <c r="R73" s="613">
        <v>167.05352361968622</v>
      </c>
      <c r="S73" s="613">
        <v>26.615725966388851</v>
      </c>
      <c r="T73" s="613">
        <v>0</v>
      </c>
      <c r="U73" s="621">
        <v>429.26277924885835</v>
      </c>
      <c r="V73" s="51"/>
      <c r="W73" s="622" t="e" cm="1">
        <f t="array" aca="1" ref="W73" ca="1">_xlfn.IFNA(INDEX(#REF!,MATCH(INDIRECT("Codes_bilans!"&amp;W$1&amp;"$"&amp;#REF!),#REF!,0),MATCH(#REF!,#REF!,0)),0)</f>
        <v>#REF!</v>
      </c>
      <c r="X73" s="51"/>
    </row>
    <row r="74" spans="1:24">
      <c r="A74" s="51"/>
      <c r="B74" s="51"/>
      <c r="C74" s="620" t="s">
        <v>81</v>
      </c>
      <c r="D74" s="613">
        <v>0</v>
      </c>
      <c r="E74" s="613">
        <v>0</v>
      </c>
      <c r="F74" s="613">
        <v>17.266825593867647</v>
      </c>
      <c r="G74" s="613">
        <v>0</v>
      </c>
      <c r="H74" s="613">
        <v>47.207135385758583</v>
      </c>
      <c r="I74" s="613">
        <v>0</v>
      </c>
      <c r="J74" s="613">
        <v>0</v>
      </c>
      <c r="K74" s="613">
        <v>0</v>
      </c>
      <c r="L74" s="613">
        <v>0.34286013585192066</v>
      </c>
      <c r="M74" s="613">
        <v>6.152561484679505E-4</v>
      </c>
      <c r="N74" s="613">
        <v>0</v>
      </c>
      <c r="O74" s="613">
        <v>2.4845860729346625</v>
      </c>
      <c r="P74" s="613">
        <v>10.628217280358204</v>
      </c>
      <c r="Q74" s="613">
        <v>0.84471066492371039</v>
      </c>
      <c r="R74" s="613">
        <v>115.22915089485383</v>
      </c>
      <c r="S74" s="613">
        <v>13.391663307903183</v>
      </c>
      <c r="T74" s="613">
        <v>0</v>
      </c>
      <c r="U74" s="621">
        <v>207.39576459260022</v>
      </c>
      <c r="V74" s="51"/>
      <c r="W74" s="622" t="e" cm="1">
        <f t="array" aca="1" ref="W74" ca="1">_xlfn.IFNA(INDEX(#REF!,MATCH(INDIRECT("Codes_bilans!"&amp;W$1&amp;"$"&amp;#REF!),#REF!,0),MATCH(#REF!,#REF!,0)),0)</f>
        <v>#REF!</v>
      </c>
      <c r="X74" s="51"/>
    </row>
    <row r="75" spans="1:24">
      <c r="A75" s="51"/>
      <c r="B75" s="51"/>
      <c r="C75" s="620" t="s">
        <v>82</v>
      </c>
      <c r="D75" s="613">
        <v>0</v>
      </c>
      <c r="E75" s="613">
        <v>0</v>
      </c>
      <c r="F75" s="613">
        <v>31.022615677081973</v>
      </c>
      <c r="G75" s="613">
        <v>0</v>
      </c>
      <c r="H75" s="613">
        <v>2.3514405709880259</v>
      </c>
      <c r="I75" s="613">
        <v>0</v>
      </c>
      <c r="J75" s="613">
        <v>0</v>
      </c>
      <c r="K75" s="613">
        <v>0</v>
      </c>
      <c r="L75" s="613">
        <v>1.325152202471839</v>
      </c>
      <c r="M75" s="613">
        <v>0</v>
      </c>
      <c r="N75" s="613">
        <v>2.8798420607810633</v>
      </c>
      <c r="O75" s="613">
        <v>0.12376003005200138</v>
      </c>
      <c r="P75" s="613">
        <v>0.25</v>
      </c>
      <c r="Q75" s="613">
        <v>0.36066131262685786</v>
      </c>
      <c r="R75" s="613">
        <v>7.9839854804023167</v>
      </c>
      <c r="S75" s="613">
        <v>0</v>
      </c>
      <c r="T75" s="613">
        <v>8.6831190235855574E-2</v>
      </c>
      <c r="U75" s="621">
        <v>46.384288524639942</v>
      </c>
      <c r="V75" s="51"/>
      <c r="W75" s="622" t="e" cm="1">
        <f t="array" aca="1" ref="W75" ca="1">_xlfn.IFNA(INDEX(#REF!,MATCH(INDIRECT("Codes_bilans!"&amp;W$1&amp;"$"&amp;#REF!),#REF!,0),MATCH(#REF!,#REF!,0)),0)</f>
        <v>#REF!</v>
      </c>
      <c r="X75" s="51"/>
    </row>
    <row r="76" spans="1:24">
      <c r="A76" s="51"/>
      <c r="B76" s="51"/>
      <c r="C76" s="620" t="s">
        <v>357</v>
      </c>
      <c r="D76" s="613">
        <v>0</v>
      </c>
      <c r="E76" s="613">
        <v>0</v>
      </c>
      <c r="F76" s="613">
        <v>0</v>
      </c>
      <c r="G76" s="613">
        <v>0</v>
      </c>
      <c r="H76" s="613">
        <v>0</v>
      </c>
      <c r="I76" s="613">
        <v>0</v>
      </c>
      <c r="J76" s="613">
        <v>0</v>
      </c>
      <c r="K76" s="613">
        <v>0</v>
      </c>
      <c r="L76" s="613">
        <v>0</v>
      </c>
      <c r="M76" s="613">
        <v>0</v>
      </c>
      <c r="N76" s="613">
        <v>0</v>
      </c>
      <c r="O76" s="613">
        <v>0</v>
      </c>
      <c r="P76" s="613">
        <v>0</v>
      </c>
      <c r="Q76" s="613">
        <v>0</v>
      </c>
      <c r="R76" s="613">
        <v>0</v>
      </c>
      <c r="S76" s="613">
        <v>0</v>
      </c>
      <c r="T76" s="613">
        <v>0</v>
      </c>
      <c r="U76" s="621">
        <v>0</v>
      </c>
      <c r="V76" s="51"/>
      <c r="W76" s="622" t="e" cm="1">
        <f t="array" aca="1" ref="W76" ca="1">_xlfn.IFNA(INDEX(#REF!,MATCH(INDIRECT("Codes_bilans!"&amp;W$1&amp;"$"&amp;#REF!),#REF!,0),MATCH(#REF!,#REF!,0)),0)</f>
        <v>#REF!</v>
      </c>
      <c r="X76" s="51"/>
    </row>
    <row r="77" spans="1:24">
      <c r="A77" s="51"/>
      <c r="B77" s="51"/>
      <c r="C77" s="616" t="s">
        <v>83</v>
      </c>
      <c r="D77" s="617">
        <v>5.7659559812914596</v>
      </c>
      <c r="E77" s="617">
        <v>0</v>
      </c>
      <c r="F77" s="617">
        <v>470.88265522514774</v>
      </c>
      <c r="G77" s="617">
        <v>0</v>
      </c>
      <c r="H77" s="624">
        <v>256.54370702049494</v>
      </c>
      <c r="I77" s="617">
        <v>0</v>
      </c>
      <c r="J77" s="617">
        <v>0</v>
      </c>
      <c r="K77" s="617">
        <v>0</v>
      </c>
      <c r="L77" s="617">
        <v>79.592689801260548</v>
      </c>
      <c r="M77" s="617">
        <v>2.2625747090537129</v>
      </c>
      <c r="N77" s="617">
        <v>44.845131270733781</v>
      </c>
      <c r="O77" s="617">
        <v>13.525840852650123</v>
      </c>
      <c r="P77" s="617">
        <v>63.09733962798451</v>
      </c>
      <c r="Q77" s="617">
        <v>2.671229256262392</v>
      </c>
      <c r="R77" s="617">
        <v>427.23659308477357</v>
      </c>
      <c r="S77" s="617">
        <v>58.203587228378382</v>
      </c>
      <c r="T77" s="617">
        <v>0.67189588750148066</v>
      </c>
      <c r="U77" s="617">
        <v>1425.2991999455328</v>
      </c>
      <c r="V77" s="51"/>
      <c r="W77" s="51"/>
      <c r="X77" s="51"/>
    </row>
    <row r="78" spans="1:24">
      <c r="A78" s="51"/>
      <c r="B78" s="51"/>
      <c r="C78" s="612" t="s">
        <v>84</v>
      </c>
      <c r="D78" s="613">
        <v>0</v>
      </c>
      <c r="E78" s="613">
        <v>0</v>
      </c>
      <c r="F78" s="613">
        <v>113.21942779139728</v>
      </c>
      <c r="G78" s="613">
        <v>0.72711488851092865</v>
      </c>
      <c r="H78" s="613">
        <v>12.578912449765744</v>
      </c>
      <c r="I78" s="613">
        <v>0</v>
      </c>
      <c r="J78" s="613">
        <v>0</v>
      </c>
      <c r="K78" s="613">
        <v>0</v>
      </c>
      <c r="L78" s="613">
        <v>6.1881554531238177E-2</v>
      </c>
      <c r="M78" s="613">
        <v>0</v>
      </c>
      <c r="N78" s="613">
        <v>5.2881219402962731</v>
      </c>
      <c r="O78" s="613">
        <v>0.53337670416372851</v>
      </c>
      <c r="P78" s="613">
        <v>0</v>
      </c>
      <c r="Q78" s="613">
        <v>0</v>
      </c>
      <c r="R78" s="613">
        <v>0</v>
      </c>
      <c r="S78" s="613">
        <v>0</v>
      </c>
      <c r="T78" s="613">
        <v>4.4048588394360317</v>
      </c>
      <c r="U78" s="621">
        <v>136.81369416810119</v>
      </c>
      <c r="V78" s="51"/>
      <c r="W78" s="622" t="e" cm="1">
        <f t="array" aca="1" ref="W78" ca="1">_xlfn.IFNA(INDEX(#REF!,MATCH(INDIRECT("Codes_bilans!"&amp;W$1&amp;"$"&amp;#REF!),#REF!,0),MATCH(#REF!,#REF!,0)),0)</f>
        <v>#REF!</v>
      </c>
      <c r="X78" s="51"/>
    </row>
    <row r="79" spans="1:24">
      <c r="A79" s="51"/>
      <c r="B79" s="51"/>
      <c r="C79" s="616" t="s">
        <v>85</v>
      </c>
      <c r="D79" s="617">
        <v>5.7659559812914596</v>
      </c>
      <c r="E79" s="617">
        <v>0</v>
      </c>
      <c r="F79" s="617">
        <v>584.10208301654495</v>
      </c>
      <c r="G79" s="617">
        <v>0.72711488851092865</v>
      </c>
      <c r="H79" s="624">
        <v>269.1226194702607</v>
      </c>
      <c r="I79" s="617">
        <v>0</v>
      </c>
      <c r="J79" s="617">
        <v>0</v>
      </c>
      <c r="K79" s="617">
        <v>0</v>
      </c>
      <c r="L79" s="617">
        <v>79.654571355791788</v>
      </c>
      <c r="M79" s="617">
        <v>2.2625747090537129</v>
      </c>
      <c r="N79" s="617">
        <v>50.133253211030052</v>
      </c>
      <c r="O79" s="617">
        <v>14.059217556813852</v>
      </c>
      <c r="P79" s="617">
        <v>63.09733962798451</v>
      </c>
      <c r="Q79" s="617">
        <v>2.671229256262392</v>
      </c>
      <c r="R79" s="617">
        <v>427.23659308477357</v>
      </c>
      <c r="S79" s="617">
        <v>58.203587228378382</v>
      </c>
      <c r="T79" s="617">
        <v>5.0767547269375122</v>
      </c>
      <c r="U79" s="617">
        <v>1562.1128941136342</v>
      </c>
      <c r="V79" s="51"/>
      <c r="W79" s="51"/>
      <c r="X79" s="51"/>
    </row>
    <row r="80" spans="1:24">
      <c r="A80" s="51"/>
      <c r="B80" s="51"/>
      <c r="C80" s="51"/>
      <c r="D80" s="67">
        <v>0</v>
      </c>
      <c r="E80" s="67">
        <v>0</v>
      </c>
      <c r="F80" s="67">
        <v>-1.4210854715202004E-13</v>
      </c>
      <c r="G80" s="67">
        <v>0</v>
      </c>
      <c r="H80" s="67">
        <v>0</v>
      </c>
      <c r="I80" s="67">
        <v>0</v>
      </c>
      <c r="J80" s="67">
        <v>0</v>
      </c>
      <c r="K80" s="67">
        <v>0</v>
      </c>
      <c r="L80" s="67">
        <v>0</v>
      </c>
      <c r="M80" s="67">
        <v>0</v>
      </c>
      <c r="N80" s="67">
        <v>-3.4194869158454821E-14</v>
      </c>
      <c r="O80" s="67">
        <v>5.9952043329758453E-15</v>
      </c>
      <c r="P80" s="67">
        <v>0</v>
      </c>
      <c r="Q80" s="67">
        <v>0</v>
      </c>
      <c r="R80" s="67">
        <v>0</v>
      </c>
      <c r="S80" s="67">
        <v>0</v>
      </c>
      <c r="T80" s="67">
        <v>0</v>
      </c>
      <c r="U80" s="67">
        <v>0</v>
      </c>
      <c r="V80" s="51"/>
      <c r="W80" s="51"/>
      <c r="X80" s="51"/>
    </row>
    <row r="81" spans="1:24">
      <c r="A81" s="51"/>
      <c r="B81" s="51"/>
      <c r="C81" s="51"/>
      <c r="D81" s="51"/>
      <c r="E81" s="51"/>
      <c r="F81" s="51"/>
      <c r="G81" s="51"/>
      <c r="H81" s="51"/>
      <c r="I81" s="51"/>
      <c r="J81" s="51"/>
      <c r="K81" s="51"/>
      <c r="L81" s="51"/>
      <c r="M81" s="51"/>
      <c r="N81" s="51"/>
      <c r="O81" s="51"/>
      <c r="P81" s="51"/>
      <c r="Q81" s="51"/>
      <c r="R81" s="51"/>
      <c r="S81" s="51"/>
      <c r="T81" s="51"/>
      <c r="U81" s="51"/>
      <c r="V81" s="51"/>
      <c r="W81" s="51"/>
      <c r="X81" s="51"/>
    </row>
    <row r="82" spans="1:24">
      <c r="A82" s="608"/>
      <c r="B82" s="608"/>
      <c r="C82" s="609" t="s">
        <v>359</v>
      </c>
      <c r="D82" s="608"/>
      <c r="E82" s="608"/>
      <c r="F82" s="608"/>
      <c r="G82" s="608"/>
      <c r="H82" s="608"/>
      <c r="I82" s="608"/>
      <c r="J82" s="608"/>
      <c r="K82" s="608"/>
      <c r="L82" s="608"/>
      <c r="M82" s="608"/>
      <c r="N82" s="608"/>
      <c r="O82" s="608"/>
      <c r="P82" s="608"/>
      <c r="Q82" s="608"/>
      <c r="R82" s="608"/>
      <c r="S82" s="608"/>
      <c r="T82" s="608"/>
      <c r="U82" s="608"/>
      <c r="V82" s="608"/>
      <c r="W82" s="608"/>
      <c r="X82" s="608"/>
    </row>
    <row r="83" spans="1:24">
      <c r="A83" s="51"/>
      <c r="B83" s="51"/>
      <c r="C83" s="51"/>
      <c r="D83" s="51"/>
      <c r="E83" s="51"/>
      <c r="F83" s="51"/>
      <c r="G83" s="51"/>
      <c r="H83" s="51"/>
      <c r="I83" s="51"/>
      <c r="J83" s="51"/>
      <c r="K83" s="51"/>
      <c r="L83" s="51"/>
      <c r="M83" s="51"/>
      <c r="N83" s="51"/>
      <c r="O83" s="51"/>
      <c r="P83" s="51"/>
      <c r="Q83" s="51"/>
      <c r="R83" s="51"/>
      <c r="S83" s="51"/>
      <c r="T83" s="51"/>
      <c r="U83" s="51"/>
      <c r="V83" s="51"/>
      <c r="W83" s="51"/>
      <c r="X83" s="51"/>
    </row>
    <row r="84" spans="1:24" ht="14.25" customHeight="1">
      <c r="A84" s="51"/>
      <c r="B84" s="51"/>
      <c r="C84" s="713" t="s">
        <v>128</v>
      </c>
      <c r="D84" s="711" t="s">
        <v>42</v>
      </c>
      <c r="E84" s="711" t="s">
        <v>52</v>
      </c>
      <c r="F84" s="711" t="s">
        <v>53</v>
      </c>
      <c r="G84" s="711" t="s">
        <v>487</v>
      </c>
      <c r="H84" s="711" t="s">
        <v>32</v>
      </c>
      <c r="I84" s="711" t="s">
        <v>488</v>
      </c>
      <c r="J84" s="711" t="s">
        <v>20</v>
      </c>
      <c r="K84" s="711" t="s">
        <v>55</v>
      </c>
      <c r="L84" s="715" t="s">
        <v>56</v>
      </c>
      <c r="M84" s="716"/>
      <c r="N84" s="716"/>
      <c r="O84" s="716"/>
      <c r="P84" s="716"/>
      <c r="Q84" s="717"/>
      <c r="R84" s="711" t="s">
        <v>57</v>
      </c>
      <c r="S84" s="711" t="s">
        <v>58</v>
      </c>
      <c r="T84" s="711" t="s">
        <v>31</v>
      </c>
      <c r="U84" s="711" t="s">
        <v>10</v>
      </c>
      <c r="V84" s="51"/>
      <c r="W84" s="51"/>
      <c r="X84" s="51"/>
    </row>
    <row r="85" spans="1:24" ht="24">
      <c r="A85" s="51"/>
      <c r="B85" s="51"/>
      <c r="C85" s="714"/>
      <c r="D85" s="712"/>
      <c r="E85" s="712"/>
      <c r="F85" s="712"/>
      <c r="G85" s="712"/>
      <c r="H85" s="712"/>
      <c r="I85" s="712"/>
      <c r="J85" s="712"/>
      <c r="K85" s="712"/>
      <c r="L85" s="610" t="s">
        <v>338</v>
      </c>
      <c r="M85" s="610" t="s">
        <v>40</v>
      </c>
      <c r="N85" s="610" t="s">
        <v>346</v>
      </c>
      <c r="O85" s="610" t="s">
        <v>347</v>
      </c>
      <c r="P85" s="611" t="s">
        <v>348</v>
      </c>
      <c r="Q85" s="610" t="s">
        <v>349</v>
      </c>
      <c r="R85" s="712"/>
      <c r="S85" s="712"/>
      <c r="T85" s="712"/>
      <c r="U85" s="712"/>
      <c r="V85" s="51"/>
      <c r="W85" s="51"/>
      <c r="X85" s="51"/>
    </row>
    <row r="86" spans="1:24">
      <c r="A86" s="51"/>
      <c r="B86" s="51"/>
      <c r="C86" s="612" t="s">
        <v>59</v>
      </c>
      <c r="D86" s="613">
        <v>0</v>
      </c>
      <c r="E86" s="613">
        <v>9.7691999999999997</v>
      </c>
      <c r="F86" s="613">
        <v>0</v>
      </c>
      <c r="G86" s="613">
        <v>0</v>
      </c>
      <c r="H86" s="613">
        <v>0.18608000000000002</v>
      </c>
      <c r="I86" s="613">
        <v>0</v>
      </c>
      <c r="J86" s="614">
        <v>1044.4078145454548</v>
      </c>
      <c r="K86" s="614">
        <v>185.40677407888145</v>
      </c>
      <c r="L86" s="614">
        <v>223.71408153333834</v>
      </c>
      <c r="M86" s="614">
        <v>28.897382822906049</v>
      </c>
      <c r="N86" s="613">
        <v>1.6018700034195554</v>
      </c>
      <c r="O86" s="613">
        <v>0.1425306035599459</v>
      </c>
      <c r="P86" s="614">
        <v>79.93802880459161</v>
      </c>
      <c r="Q86" s="614">
        <v>9.9179265849836327</v>
      </c>
      <c r="R86" s="613">
        <v>0</v>
      </c>
      <c r="S86" s="613">
        <v>0</v>
      </c>
      <c r="T86" s="613">
        <v>0</v>
      </c>
      <c r="U86" s="615">
        <v>1583.981688977135</v>
      </c>
      <c r="V86" s="51"/>
      <c r="W86" s="51"/>
      <c r="X86" s="51"/>
    </row>
    <row r="87" spans="1:24">
      <c r="A87" s="51"/>
      <c r="B87" s="51"/>
      <c r="C87" s="612" t="s">
        <v>60</v>
      </c>
      <c r="D87" s="613">
        <v>27.904129505618755</v>
      </c>
      <c r="E87" s="613">
        <v>443.26764285453919</v>
      </c>
      <c r="F87" s="613">
        <v>170.8178876133114</v>
      </c>
      <c r="G87" s="613">
        <v>0.96874110820809101</v>
      </c>
      <c r="H87" s="613">
        <v>280.123967850952</v>
      </c>
      <c r="I87" s="613">
        <v>0</v>
      </c>
      <c r="J87" s="613">
        <v>0</v>
      </c>
      <c r="K87" s="613">
        <v>0</v>
      </c>
      <c r="L87" s="613">
        <v>2.543202703318971</v>
      </c>
      <c r="M87" s="613">
        <v>0</v>
      </c>
      <c r="N87" s="613">
        <v>3.3840076567254442</v>
      </c>
      <c r="O87" s="613">
        <v>0</v>
      </c>
      <c r="P87" s="613">
        <v>0</v>
      </c>
      <c r="Q87" s="613">
        <v>0</v>
      </c>
      <c r="R87" s="613">
        <v>0</v>
      </c>
      <c r="S87" s="613">
        <v>0</v>
      </c>
      <c r="T87" s="613">
        <v>0</v>
      </c>
      <c r="U87" s="615">
        <v>929.00957929267383</v>
      </c>
      <c r="V87" s="51"/>
      <c r="W87" s="51"/>
      <c r="X87" s="51"/>
    </row>
    <row r="88" spans="1:24">
      <c r="A88" s="51"/>
      <c r="B88" s="51"/>
      <c r="C88" s="612" t="s">
        <v>61</v>
      </c>
      <c r="D88" s="613">
        <v>0</v>
      </c>
      <c r="E88" s="613">
        <v>0</v>
      </c>
      <c r="F88" s="613">
        <v>-8.238229290577169E-2</v>
      </c>
      <c r="G88" s="613">
        <v>0</v>
      </c>
      <c r="H88" s="613">
        <v>0</v>
      </c>
      <c r="I88" s="613">
        <v>0</v>
      </c>
      <c r="J88" s="613">
        <v>0</v>
      </c>
      <c r="K88" s="613">
        <v>0</v>
      </c>
      <c r="L88" s="613">
        <v>0</v>
      </c>
      <c r="M88" s="613">
        <v>0</v>
      </c>
      <c r="N88" s="613">
        <v>0</v>
      </c>
      <c r="O88" s="613">
        <v>0</v>
      </c>
      <c r="P88" s="613">
        <v>0</v>
      </c>
      <c r="Q88" s="613">
        <v>0</v>
      </c>
      <c r="R88" s="613">
        <v>-57.937485455201795</v>
      </c>
      <c r="S88" s="613">
        <v>0</v>
      </c>
      <c r="T88" s="613">
        <v>0</v>
      </c>
      <c r="U88" s="615">
        <v>-58.019867748107565</v>
      </c>
      <c r="V88" s="51"/>
      <c r="W88" s="51"/>
      <c r="X88" s="51"/>
    </row>
    <row r="89" spans="1:24">
      <c r="A89" s="51"/>
      <c r="B89" s="51"/>
      <c r="C89" s="612" t="s">
        <v>62</v>
      </c>
      <c r="D89" s="613">
        <v>0</v>
      </c>
      <c r="E89" s="613">
        <v>0</v>
      </c>
      <c r="F89" s="613">
        <v>-16.913982362364816</v>
      </c>
      <c r="G89" s="613">
        <v>-0.21068566030958977</v>
      </c>
      <c r="H89" s="613">
        <v>-1.5457950077696609</v>
      </c>
      <c r="I89" s="613">
        <v>0</v>
      </c>
      <c r="J89" s="613">
        <v>0</v>
      </c>
      <c r="K89" s="613">
        <v>0</v>
      </c>
      <c r="L89" s="613">
        <v>0</v>
      </c>
      <c r="M89" s="613">
        <v>0</v>
      </c>
      <c r="N89" s="613">
        <v>-0.46212963965785603</v>
      </c>
      <c r="O89" s="613">
        <v>-0.15662240166829164</v>
      </c>
      <c r="P89" s="613">
        <v>0</v>
      </c>
      <c r="Q89" s="613">
        <v>0</v>
      </c>
      <c r="R89" s="613">
        <v>0</v>
      </c>
      <c r="S89" s="613">
        <v>0</v>
      </c>
      <c r="T89" s="613">
        <v>0</v>
      </c>
      <c r="U89" s="615">
        <v>-19.289215071770215</v>
      </c>
      <c r="V89" s="51"/>
      <c r="W89" s="51"/>
      <c r="X89" s="51"/>
    </row>
    <row r="90" spans="1:24">
      <c r="A90" s="51"/>
      <c r="B90" s="51"/>
      <c r="C90" s="612" t="s">
        <v>63</v>
      </c>
      <c r="D90" s="613">
        <v>0</v>
      </c>
      <c r="E90" s="613">
        <v>0</v>
      </c>
      <c r="F90" s="613">
        <v>-74.821470237515427</v>
      </c>
      <c r="G90" s="613">
        <v>-0.43381751781743938</v>
      </c>
      <c r="H90" s="613">
        <v>0</v>
      </c>
      <c r="I90" s="613">
        <v>0</v>
      </c>
      <c r="J90" s="613">
        <v>0</v>
      </c>
      <c r="K90" s="613">
        <v>0</v>
      </c>
      <c r="L90" s="613">
        <v>0</v>
      </c>
      <c r="M90" s="613">
        <v>0</v>
      </c>
      <c r="N90" s="613">
        <v>-2.9848679697644429</v>
      </c>
      <c r="O90" s="613">
        <v>0</v>
      </c>
      <c r="P90" s="613">
        <v>0</v>
      </c>
      <c r="Q90" s="613">
        <v>0</v>
      </c>
      <c r="R90" s="613">
        <v>0</v>
      </c>
      <c r="S90" s="613">
        <v>0</v>
      </c>
      <c r="T90" s="613">
        <v>0</v>
      </c>
      <c r="U90" s="615">
        <v>-78.24015572509731</v>
      </c>
      <c r="V90" s="51"/>
      <c r="W90" s="51"/>
      <c r="X90" s="51"/>
    </row>
    <row r="91" spans="1:24">
      <c r="A91" s="51"/>
      <c r="B91" s="51"/>
      <c r="C91" s="612" t="s">
        <v>64</v>
      </c>
      <c r="D91" s="613">
        <v>0</v>
      </c>
      <c r="E91" s="613">
        <v>0</v>
      </c>
      <c r="F91" s="613">
        <v>0</v>
      </c>
      <c r="G91" s="613">
        <v>0</v>
      </c>
      <c r="H91" s="613">
        <v>0</v>
      </c>
      <c r="I91" s="613">
        <v>0</v>
      </c>
      <c r="J91" s="613">
        <v>0</v>
      </c>
      <c r="K91" s="613">
        <v>0</v>
      </c>
      <c r="L91" s="613">
        <v>0</v>
      </c>
      <c r="M91" s="613">
        <v>0</v>
      </c>
      <c r="N91" s="613">
        <v>0</v>
      </c>
      <c r="O91" s="613">
        <v>0</v>
      </c>
      <c r="P91" s="613">
        <v>0</v>
      </c>
      <c r="Q91" s="613">
        <v>0</v>
      </c>
      <c r="R91" s="613">
        <v>0</v>
      </c>
      <c r="S91" s="613">
        <v>0</v>
      </c>
      <c r="T91" s="613">
        <v>0</v>
      </c>
      <c r="U91" s="615">
        <v>0</v>
      </c>
      <c r="V91" s="51"/>
      <c r="W91" s="51"/>
      <c r="X91" s="51"/>
    </row>
    <row r="92" spans="1:24">
      <c r="A92" s="51"/>
      <c r="B92" s="51"/>
      <c r="C92" s="616" t="s">
        <v>65</v>
      </c>
      <c r="D92" s="617">
        <v>27.904129505618755</v>
      </c>
      <c r="E92" s="617">
        <v>453.03684285453915</v>
      </c>
      <c r="F92" s="617">
        <v>79.000052720525389</v>
      </c>
      <c r="G92" s="617">
        <v>0.32423793008106183</v>
      </c>
      <c r="H92" s="624">
        <v>278.76425284318236</v>
      </c>
      <c r="I92" s="617">
        <v>0</v>
      </c>
      <c r="J92" s="617">
        <v>1044.4078145454548</v>
      </c>
      <c r="K92" s="617">
        <v>185.40677407888145</v>
      </c>
      <c r="L92" s="617">
        <v>226.25728423665731</v>
      </c>
      <c r="M92" s="617">
        <v>28.897382822906049</v>
      </c>
      <c r="N92" s="617">
        <v>1.5388800507227005</v>
      </c>
      <c r="O92" s="617">
        <v>-1.4091798108345738E-2</v>
      </c>
      <c r="P92" s="617">
        <v>79.93802880459161</v>
      </c>
      <c r="Q92" s="617">
        <v>9.9179265849836327</v>
      </c>
      <c r="R92" s="617">
        <v>-57.937485455201795</v>
      </c>
      <c r="S92" s="617">
        <v>0</v>
      </c>
      <c r="T92" s="617">
        <v>0</v>
      </c>
      <c r="U92" s="617">
        <v>2357.4420297248339</v>
      </c>
      <c r="V92" s="51"/>
      <c r="W92" s="51"/>
      <c r="X92" s="51"/>
    </row>
    <row r="93" spans="1:24">
      <c r="A93" s="51"/>
      <c r="B93" s="51"/>
      <c r="C93" s="618"/>
      <c r="D93" s="619">
        <v>0</v>
      </c>
      <c r="E93" s="619">
        <v>0</v>
      </c>
      <c r="F93" s="619">
        <v>0</v>
      </c>
      <c r="G93" s="619">
        <v>0</v>
      </c>
      <c r="H93" s="625">
        <v>0</v>
      </c>
      <c r="I93" s="619">
        <v>0</v>
      </c>
      <c r="J93" s="619">
        <v>0</v>
      </c>
      <c r="K93" s="619">
        <v>0</v>
      </c>
      <c r="L93" s="619">
        <v>0</v>
      </c>
      <c r="M93" s="619">
        <v>0</v>
      </c>
      <c r="N93" s="619">
        <v>0</v>
      </c>
      <c r="O93" s="619">
        <v>0</v>
      </c>
      <c r="P93" s="619">
        <v>0</v>
      </c>
      <c r="Q93" s="619">
        <v>0</v>
      </c>
      <c r="R93" s="619">
        <v>0</v>
      </c>
      <c r="S93" s="619">
        <v>0</v>
      </c>
      <c r="T93" s="619">
        <v>0</v>
      </c>
      <c r="U93" s="619">
        <v>0</v>
      </c>
      <c r="V93" s="51"/>
      <c r="W93" s="51"/>
      <c r="X93" s="51"/>
    </row>
    <row r="94" spans="1:24">
      <c r="A94" s="51"/>
      <c r="B94" s="51"/>
      <c r="C94" s="620" t="s">
        <v>67</v>
      </c>
      <c r="D94" s="613">
        <v>0</v>
      </c>
      <c r="E94" s="613">
        <v>0</v>
      </c>
      <c r="F94" s="613">
        <v>0</v>
      </c>
      <c r="G94" s="613">
        <v>0</v>
      </c>
      <c r="H94" s="613">
        <v>0</v>
      </c>
      <c r="I94" s="613">
        <v>0</v>
      </c>
      <c r="J94" s="613">
        <v>0</v>
      </c>
      <c r="K94" s="613">
        <v>0</v>
      </c>
      <c r="L94" s="613">
        <v>0</v>
      </c>
      <c r="M94" s="613">
        <v>0</v>
      </c>
      <c r="N94" s="613">
        <v>0</v>
      </c>
      <c r="O94" s="613">
        <v>0</v>
      </c>
      <c r="P94" s="613">
        <v>0</v>
      </c>
      <c r="Q94" s="613">
        <v>0</v>
      </c>
      <c r="R94" s="613">
        <v>0</v>
      </c>
      <c r="S94" s="613">
        <v>0</v>
      </c>
      <c r="T94" s="613">
        <v>0</v>
      </c>
      <c r="U94" s="621">
        <v>0</v>
      </c>
      <c r="V94" s="51"/>
      <c r="W94" s="51"/>
      <c r="X94" s="51"/>
    </row>
    <row r="95" spans="1:24">
      <c r="A95" s="51"/>
      <c r="B95" s="51"/>
      <c r="C95" s="620" t="s">
        <v>350</v>
      </c>
      <c r="D95" s="613">
        <v>2.0273599155536228</v>
      </c>
      <c r="E95" s="613">
        <v>0</v>
      </c>
      <c r="F95" s="613">
        <v>2.4321719640965189</v>
      </c>
      <c r="G95" s="613">
        <v>0</v>
      </c>
      <c r="H95" s="613">
        <v>36.482583105824936</v>
      </c>
      <c r="I95" s="613">
        <v>0</v>
      </c>
      <c r="J95" s="613">
        <v>1044.4078145454548</v>
      </c>
      <c r="K95" s="613">
        <v>185.40677407888145</v>
      </c>
      <c r="L95" s="613">
        <v>30.815753259183325</v>
      </c>
      <c r="M95" s="613">
        <v>10.624448622108345</v>
      </c>
      <c r="N95" s="613">
        <v>4.867247129818443</v>
      </c>
      <c r="O95" s="613">
        <v>6.1417210708324728</v>
      </c>
      <c r="P95" s="613">
        <v>0</v>
      </c>
      <c r="Q95" s="613">
        <v>0.1274458438995901</v>
      </c>
      <c r="R95" s="613">
        <v>-571.48896253419366</v>
      </c>
      <c r="S95" s="613">
        <v>0</v>
      </c>
      <c r="T95" s="613">
        <v>0</v>
      </c>
      <c r="U95" s="621">
        <v>751.84435700146003</v>
      </c>
      <c r="V95" s="51"/>
      <c r="W95" s="51"/>
      <c r="X95" s="51"/>
    </row>
    <row r="96" spans="1:24">
      <c r="A96" s="51"/>
      <c r="B96" s="51"/>
      <c r="C96" s="620" t="s">
        <v>351</v>
      </c>
      <c r="D96" s="613">
        <v>7.7272727272727285E-2</v>
      </c>
      <c r="E96" s="613">
        <v>0</v>
      </c>
      <c r="F96" s="613">
        <v>0</v>
      </c>
      <c r="G96" s="613">
        <v>0</v>
      </c>
      <c r="H96" s="613">
        <v>17.872657477712522</v>
      </c>
      <c r="I96" s="613">
        <v>0</v>
      </c>
      <c r="J96" s="613">
        <v>0</v>
      </c>
      <c r="K96" s="613">
        <v>0</v>
      </c>
      <c r="L96" s="613">
        <v>30.795424710415574</v>
      </c>
      <c r="M96" s="613">
        <v>15.788091398661473</v>
      </c>
      <c r="N96" s="613">
        <v>0</v>
      </c>
      <c r="O96" s="613">
        <v>3.9361494776423425</v>
      </c>
      <c r="P96" s="613">
        <v>0</v>
      </c>
      <c r="Q96" s="613">
        <v>6.7289973607209745</v>
      </c>
      <c r="R96" s="613">
        <v>0</v>
      </c>
      <c r="S96" s="613">
        <v>-68.166941269573059</v>
      </c>
      <c r="T96" s="613">
        <v>0</v>
      </c>
      <c r="U96" s="621">
        <v>7.0316518828525636</v>
      </c>
      <c r="V96" s="51"/>
      <c r="W96" s="51"/>
      <c r="X96" s="51"/>
    </row>
    <row r="97" spans="1:24">
      <c r="A97" s="51"/>
      <c r="B97" s="51"/>
      <c r="C97" s="620" t="s">
        <v>352</v>
      </c>
      <c r="D97" s="613">
        <v>0</v>
      </c>
      <c r="E97" s="613">
        <v>0</v>
      </c>
      <c r="F97" s="613">
        <v>0</v>
      </c>
      <c r="G97" s="613">
        <v>0</v>
      </c>
      <c r="H97" s="613">
        <v>0</v>
      </c>
      <c r="I97" s="613">
        <v>0</v>
      </c>
      <c r="J97" s="613">
        <v>0</v>
      </c>
      <c r="K97" s="613">
        <v>0</v>
      </c>
      <c r="L97" s="613">
        <v>35.174723763576111</v>
      </c>
      <c r="M97" s="613">
        <v>0</v>
      </c>
      <c r="N97" s="613">
        <v>0</v>
      </c>
      <c r="O97" s="613">
        <v>-32.520130166014376</v>
      </c>
      <c r="P97" s="613">
        <v>0</v>
      </c>
      <c r="Q97" s="613">
        <v>0</v>
      </c>
      <c r="R97" s="613">
        <v>0</v>
      </c>
      <c r="S97" s="613">
        <v>0</v>
      </c>
      <c r="T97" s="613">
        <v>0</v>
      </c>
      <c r="U97" s="621">
        <v>2.6545935975617354</v>
      </c>
      <c r="V97" s="51"/>
      <c r="W97" s="51"/>
      <c r="X97" s="51"/>
    </row>
    <row r="98" spans="1:24">
      <c r="A98" s="51"/>
      <c r="B98" s="51"/>
      <c r="C98" s="620" t="s">
        <v>353</v>
      </c>
      <c r="D98" s="613">
        <v>0</v>
      </c>
      <c r="E98" s="613">
        <v>0</v>
      </c>
      <c r="F98" s="613">
        <v>0</v>
      </c>
      <c r="G98" s="613">
        <v>0</v>
      </c>
      <c r="H98" s="613">
        <v>0</v>
      </c>
      <c r="I98" s="613">
        <v>0</v>
      </c>
      <c r="J98" s="613">
        <v>0</v>
      </c>
      <c r="K98" s="613">
        <v>0</v>
      </c>
      <c r="L98" s="613">
        <v>0</v>
      </c>
      <c r="M98" s="613">
        <v>0</v>
      </c>
      <c r="N98" s="613">
        <v>0</v>
      </c>
      <c r="O98" s="613">
        <v>0</v>
      </c>
      <c r="P98" s="613">
        <v>0</v>
      </c>
      <c r="Q98" s="613">
        <v>0</v>
      </c>
      <c r="R98" s="613">
        <v>0</v>
      </c>
      <c r="S98" s="613">
        <v>0</v>
      </c>
      <c r="T98" s="613">
        <v>0</v>
      </c>
      <c r="U98" s="621">
        <v>0</v>
      </c>
      <c r="V98" s="51"/>
      <c r="W98" s="51"/>
      <c r="X98" s="51"/>
    </row>
    <row r="99" spans="1:24">
      <c r="A99" s="51"/>
      <c r="B99" s="51"/>
      <c r="C99" s="620" t="s">
        <v>72</v>
      </c>
      <c r="D99" s="613">
        <v>0</v>
      </c>
      <c r="E99" s="613">
        <v>469.52687715624688</v>
      </c>
      <c r="F99" s="613">
        <v>-464.85369049462497</v>
      </c>
      <c r="G99" s="613">
        <v>0</v>
      </c>
      <c r="H99" s="613">
        <v>0</v>
      </c>
      <c r="I99" s="613">
        <v>0</v>
      </c>
      <c r="J99" s="613">
        <v>0</v>
      </c>
      <c r="K99" s="613">
        <v>0</v>
      </c>
      <c r="L99" s="613">
        <v>0</v>
      </c>
      <c r="M99" s="613">
        <v>0</v>
      </c>
      <c r="N99" s="613">
        <v>0</v>
      </c>
      <c r="O99" s="613">
        <v>0</v>
      </c>
      <c r="P99" s="613">
        <v>0</v>
      </c>
      <c r="Q99" s="613">
        <v>0</v>
      </c>
      <c r="R99" s="613">
        <v>0</v>
      </c>
      <c r="S99" s="613">
        <v>0</v>
      </c>
      <c r="T99" s="613">
        <v>0</v>
      </c>
      <c r="U99" s="621">
        <v>4.6731866616218856</v>
      </c>
      <c r="V99" s="51"/>
      <c r="W99" s="51"/>
      <c r="X99" s="51"/>
    </row>
    <row r="100" spans="1:24">
      <c r="A100" s="51"/>
      <c r="B100" s="51"/>
      <c r="C100" s="620" t="s">
        <v>354</v>
      </c>
      <c r="D100" s="613">
        <v>0</v>
      </c>
      <c r="E100" s="613">
        <v>0</v>
      </c>
      <c r="F100" s="613">
        <v>0</v>
      </c>
      <c r="G100" s="613">
        <v>0</v>
      </c>
      <c r="H100" s="613">
        <v>0</v>
      </c>
      <c r="I100" s="613">
        <v>0</v>
      </c>
      <c r="J100" s="613">
        <v>0</v>
      </c>
      <c r="K100" s="613">
        <v>0</v>
      </c>
      <c r="L100" s="613">
        <v>56.146757475987663</v>
      </c>
      <c r="M100" s="613">
        <v>0</v>
      </c>
      <c r="N100" s="613">
        <v>-56.146757475987663</v>
      </c>
      <c r="O100" s="613">
        <v>0</v>
      </c>
      <c r="P100" s="613">
        <v>0</v>
      </c>
      <c r="Q100" s="613">
        <v>0</v>
      </c>
      <c r="R100" s="613">
        <v>0</v>
      </c>
      <c r="S100" s="613">
        <v>0</v>
      </c>
      <c r="T100" s="613">
        <v>0</v>
      </c>
      <c r="U100" s="621">
        <v>0</v>
      </c>
      <c r="V100" s="51"/>
      <c r="W100" s="51"/>
      <c r="X100" s="51"/>
    </row>
    <row r="101" spans="1:24">
      <c r="A101" s="51"/>
      <c r="B101" s="51"/>
      <c r="C101" s="620" t="s">
        <v>355</v>
      </c>
      <c r="D101" s="613">
        <v>0</v>
      </c>
      <c r="E101" s="613">
        <v>0</v>
      </c>
      <c r="F101" s="613">
        <v>0</v>
      </c>
      <c r="G101" s="613">
        <v>-0.9610704740785061</v>
      </c>
      <c r="H101" s="613">
        <v>0</v>
      </c>
      <c r="I101" s="613">
        <v>0</v>
      </c>
      <c r="J101" s="613">
        <v>0</v>
      </c>
      <c r="K101" s="613">
        <v>0</v>
      </c>
      <c r="L101" s="613">
        <v>0</v>
      </c>
      <c r="M101" s="613">
        <v>0</v>
      </c>
      <c r="N101" s="613">
        <v>0</v>
      </c>
      <c r="O101" s="613">
        <v>0</v>
      </c>
      <c r="P101" s="613">
        <v>0</v>
      </c>
      <c r="Q101" s="613">
        <v>0</v>
      </c>
      <c r="R101" s="613">
        <v>0</v>
      </c>
      <c r="S101" s="613">
        <v>0</v>
      </c>
      <c r="T101" s="613">
        <v>1.3385382647332955</v>
      </c>
      <c r="U101" s="621">
        <v>0.37746779065478941</v>
      </c>
      <c r="V101" s="51"/>
      <c r="W101" s="51"/>
      <c r="X101" s="51"/>
    </row>
    <row r="102" spans="1:24">
      <c r="A102" s="51"/>
      <c r="B102" s="51"/>
      <c r="C102" s="620" t="s">
        <v>73</v>
      </c>
      <c r="D102" s="613">
        <v>0</v>
      </c>
      <c r="E102" s="613">
        <v>0</v>
      </c>
      <c r="F102" s="613">
        <v>0</v>
      </c>
      <c r="G102" s="613">
        <v>0</v>
      </c>
      <c r="H102" s="613">
        <v>0</v>
      </c>
      <c r="I102" s="613">
        <v>0</v>
      </c>
      <c r="J102" s="613">
        <v>0</v>
      </c>
      <c r="K102" s="613">
        <v>0</v>
      </c>
      <c r="L102" s="613">
        <v>0</v>
      </c>
      <c r="M102" s="613">
        <v>0</v>
      </c>
      <c r="N102" s="613">
        <v>0</v>
      </c>
      <c r="O102" s="613">
        <v>0</v>
      </c>
      <c r="P102" s="613">
        <v>0</v>
      </c>
      <c r="Q102" s="613">
        <v>0</v>
      </c>
      <c r="R102" s="613">
        <v>16.613212092757209</v>
      </c>
      <c r="S102" s="613">
        <v>0</v>
      </c>
      <c r="T102" s="613">
        <v>-10.798587860292187</v>
      </c>
      <c r="U102" s="621">
        <v>5.8146242324650217</v>
      </c>
      <c r="V102" s="51"/>
      <c r="W102" s="51"/>
      <c r="X102" s="51"/>
    </row>
    <row r="103" spans="1:24">
      <c r="A103" s="51"/>
      <c r="B103" s="51"/>
      <c r="C103" s="620" t="s">
        <v>356</v>
      </c>
      <c r="D103" s="613">
        <v>15.474789843749999</v>
      </c>
      <c r="E103" s="613">
        <v>-16.490034301707698</v>
      </c>
      <c r="F103" s="613">
        <v>21.458462057363484</v>
      </c>
      <c r="G103" s="613">
        <v>0</v>
      </c>
      <c r="H103" s="613">
        <v>0</v>
      </c>
      <c r="I103" s="613">
        <v>0</v>
      </c>
      <c r="J103" s="613">
        <v>0</v>
      </c>
      <c r="K103" s="613">
        <v>0</v>
      </c>
      <c r="L103" s="613">
        <v>0</v>
      </c>
      <c r="M103" s="613">
        <v>0</v>
      </c>
      <c r="N103" s="613">
        <v>0</v>
      </c>
      <c r="O103" s="613">
        <v>0</v>
      </c>
      <c r="P103" s="613">
        <v>0</v>
      </c>
      <c r="Q103" s="613">
        <v>0</v>
      </c>
      <c r="R103" s="613">
        <v>0</v>
      </c>
      <c r="S103" s="613">
        <v>0</v>
      </c>
      <c r="T103" s="613">
        <v>0</v>
      </c>
      <c r="U103" s="621">
        <v>20.443217599405784</v>
      </c>
      <c r="V103" s="51"/>
      <c r="W103" s="51"/>
      <c r="X103" s="51"/>
    </row>
    <row r="104" spans="1:24">
      <c r="A104" s="51"/>
      <c r="B104" s="51"/>
      <c r="C104" s="620" t="s">
        <v>75</v>
      </c>
      <c r="D104" s="613">
        <v>6.017973828125001</v>
      </c>
      <c r="E104" s="613">
        <v>0</v>
      </c>
      <c r="F104" s="613">
        <v>19.75864185375092</v>
      </c>
      <c r="G104" s="613">
        <v>0</v>
      </c>
      <c r="H104" s="613">
        <v>5.1351593182183395</v>
      </c>
      <c r="I104" s="613">
        <v>0</v>
      </c>
      <c r="J104" s="613">
        <v>0</v>
      </c>
      <c r="K104" s="613">
        <v>0</v>
      </c>
      <c r="L104" s="613">
        <v>0</v>
      </c>
      <c r="M104" s="613">
        <v>0</v>
      </c>
      <c r="N104" s="613">
        <v>0</v>
      </c>
      <c r="O104" s="613">
        <v>0.52030248598688023</v>
      </c>
      <c r="P104" s="613">
        <v>0</v>
      </c>
      <c r="Q104" s="613">
        <v>0</v>
      </c>
      <c r="R104" s="613">
        <v>26.891952397763561</v>
      </c>
      <c r="S104" s="613">
        <v>0</v>
      </c>
      <c r="T104" s="613">
        <v>0</v>
      </c>
      <c r="U104" s="621">
        <v>58.324029883844702</v>
      </c>
      <c r="V104" s="51"/>
      <c r="W104" s="51"/>
      <c r="X104" s="51"/>
    </row>
    <row r="105" spans="1:24">
      <c r="A105" s="51"/>
      <c r="B105" s="51"/>
      <c r="C105" s="620" t="s">
        <v>76</v>
      </c>
      <c r="D105" s="613">
        <v>0</v>
      </c>
      <c r="E105" s="613">
        <v>0</v>
      </c>
      <c r="F105" s="613">
        <v>0</v>
      </c>
      <c r="G105" s="613">
        <v>0</v>
      </c>
      <c r="H105" s="613">
        <v>3.2385327537388569</v>
      </c>
      <c r="I105" s="613">
        <v>0</v>
      </c>
      <c r="J105" s="613">
        <v>0</v>
      </c>
      <c r="K105" s="613">
        <v>0</v>
      </c>
      <c r="L105" s="613">
        <v>0</v>
      </c>
      <c r="M105" s="613">
        <v>0</v>
      </c>
      <c r="N105" s="613">
        <v>0</v>
      </c>
      <c r="O105" s="613">
        <v>0.32813327460790176</v>
      </c>
      <c r="P105" s="613">
        <v>0</v>
      </c>
      <c r="Q105" s="613">
        <v>0</v>
      </c>
      <c r="R105" s="613">
        <v>39.331667719659606</v>
      </c>
      <c r="S105" s="613">
        <v>5.2865527205622431</v>
      </c>
      <c r="T105" s="613">
        <v>0</v>
      </c>
      <c r="U105" s="621">
        <v>48.184886468568607</v>
      </c>
      <c r="V105" s="51"/>
      <c r="W105" s="51"/>
      <c r="X105" s="51"/>
    </row>
    <row r="106" spans="1:24">
      <c r="A106" s="51"/>
      <c r="B106" s="51"/>
      <c r="C106" s="616" t="s">
        <v>77</v>
      </c>
      <c r="D106" s="617">
        <v>23.597396314701349</v>
      </c>
      <c r="E106" s="617">
        <v>453.03684285453915</v>
      </c>
      <c r="F106" s="617">
        <v>-421.20441461941402</v>
      </c>
      <c r="G106" s="617">
        <v>-0.9610704740785061</v>
      </c>
      <c r="H106" s="624">
        <v>62.72893265549466</v>
      </c>
      <c r="I106" s="617">
        <v>0</v>
      </c>
      <c r="J106" s="617">
        <v>1044.4078145454548</v>
      </c>
      <c r="K106" s="617">
        <v>185.40677407888145</v>
      </c>
      <c r="L106" s="617">
        <v>152.93265920916269</v>
      </c>
      <c r="M106" s="617">
        <v>26.412540020769818</v>
      </c>
      <c r="N106" s="617">
        <v>-51.279510346169218</v>
      </c>
      <c r="O106" s="617">
        <v>-21.59382385694478</v>
      </c>
      <c r="P106" s="617">
        <v>0</v>
      </c>
      <c r="Q106" s="617">
        <v>6.8564432046205646</v>
      </c>
      <c r="R106" s="617">
        <v>-488.65213032401329</v>
      </c>
      <c r="S106" s="617">
        <v>-62.88038854901081</v>
      </c>
      <c r="T106" s="617">
        <v>-9.4600495955588926</v>
      </c>
      <c r="U106" s="617">
        <v>899.34801511843511</v>
      </c>
      <c r="V106" s="51"/>
      <c r="W106" s="51"/>
      <c r="X106" s="51"/>
    </row>
    <row r="107" spans="1:24">
      <c r="A107" s="51"/>
      <c r="B107" s="51"/>
      <c r="C107" s="618"/>
      <c r="D107" s="619">
        <v>0</v>
      </c>
      <c r="E107" s="619">
        <v>0</v>
      </c>
      <c r="F107" s="619">
        <v>0</v>
      </c>
      <c r="G107" s="619">
        <v>0</v>
      </c>
      <c r="H107" s="625">
        <v>0</v>
      </c>
      <c r="I107" s="619">
        <v>0</v>
      </c>
      <c r="J107" s="619">
        <v>0</v>
      </c>
      <c r="K107" s="619">
        <v>0</v>
      </c>
      <c r="L107" s="619">
        <v>0</v>
      </c>
      <c r="M107" s="619">
        <v>0</v>
      </c>
      <c r="N107" s="619">
        <v>0</v>
      </c>
      <c r="O107" s="619">
        <v>0</v>
      </c>
      <c r="P107" s="619">
        <v>0</v>
      </c>
      <c r="Q107" s="619">
        <v>0</v>
      </c>
      <c r="R107" s="619">
        <v>0</v>
      </c>
      <c r="S107" s="619">
        <v>0</v>
      </c>
      <c r="T107" s="619">
        <v>0</v>
      </c>
      <c r="U107" s="619">
        <v>0</v>
      </c>
      <c r="V107" s="51"/>
      <c r="W107" s="51"/>
      <c r="X107" s="51"/>
    </row>
    <row r="108" spans="1:24">
      <c r="A108" s="51"/>
      <c r="B108" s="51"/>
      <c r="C108" s="620" t="s">
        <v>78</v>
      </c>
      <c r="D108" s="613">
        <v>4.3067331909174058</v>
      </c>
      <c r="E108" s="613">
        <v>0</v>
      </c>
      <c r="F108" s="613">
        <v>15.285550941396558</v>
      </c>
      <c r="G108" s="613">
        <v>0</v>
      </c>
      <c r="H108" s="613">
        <v>81.99673295835025</v>
      </c>
      <c r="I108" s="613">
        <v>0</v>
      </c>
      <c r="J108" s="613">
        <v>0</v>
      </c>
      <c r="K108" s="613">
        <v>0</v>
      </c>
      <c r="L108" s="613">
        <v>19.904086757615648</v>
      </c>
      <c r="M108" s="613">
        <v>2.4842759722515511</v>
      </c>
      <c r="N108" s="613">
        <v>0.94250728115234383</v>
      </c>
      <c r="O108" s="613">
        <v>8.3338753773994174</v>
      </c>
      <c r="P108" s="613">
        <v>2.8483193359375001</v>
      </c>
      <c r="Q108" s="613">
        <v>5.2671642446208732E-4</v>
      </c>
      <c r="R108" s="613">
        <v>124.0609713055903</v>
      </c>
      <c r="S108" s="613">
        <v>18.086756081914288</v>
      </c>
      <c r="T108" s="613">
        <v>1.3772960205078124</v>
      </c>
      <c r="U108" s="621">
        <v>279.62763193945756</v>
      </c>
      <c r="V108" s="51"/>
      <c r="W108" s="622" t="e" cm="1">
        <f t="array" aca="1" ref="W108" ca="1">_xlfn.IFNA(INDEX(#REF!,MATCH(INDIRECT("Codes_bilans!"&amp;W$1&amp;"$"&amp;#REF!),#REF!,0),MATCH(#REF!,#REF!,0)),0)</f>
        <v>#REF!</v>
      </c>
      <c r="X108" s="51"/>
    </row>
    <row r="109" spans="1:24">
      <c r="A109" s="51"/>
      <c r="B109" s="51"/>
      <c r="C109" s="620" t="s">
        <v>79</v>
      </c>
      <c r="D109" s="613">
        <v>0</v>
      </c>
      <c r="E109" s="613">
        <v>0</v>
      </c>
      <c r="F109" s="613">
        <v>335.93998919996596</v>
      </c>
      <c r="G109" s="613">
        <v>9.4771242925738991E-2</v>
      </c>
      <c r="H109" s="613">
        <v>4.5339029695199544</v>
      </c>
      <c r="I109" s="613">
        <v>0</v>
      </c>
      <c r="J109" s="613">
        <v>0</v>
      </c>
      <c r="K109" s="613">
        <v>0</v>
      </c>
      <c r="L109" s="613">
        <v>0</v>
      </c>
      <c r="M109" s="613">
        <v>0</v>
      </c>
      <c r="N109" s="613">
        <v>38.371773390829333</v>
      </c>
      <c r="O109" s="613">
        <v>0.45938223920246229</v>
      </c>
      <c r="P109" s="613">
        <v>0</v>
      </c>
      <c r="Q109" s="613">
        <v>0</v>
      </c>
      <c r="R109" s="613">
        <v>24.830612613321723</v>
      </c>
      <c r="S109" s="613">
        <v>0</v>
      </c>
      <c r="T109" s="613">
        <v>0.39090580497267069</v>
      </c>
      <c r="U109" s="621">
        <v>404.62133746073778</v>
      </c>
      <c r="V109" s="51"/>
      <c r="W109" s="622" t="e" cm="1">
        <f t="array" aca="1" ref="W109" ca="1">_xlfn.IFNA(INDEX(#REF!,MATCH(INDIRECT("Codes_bilans!"&amp;W$1&amp;"$"&amp;#REF!),#REF!,0),MATCH(#REF!,#REF!,0)),0)</f>
        <v>#REF!</v>
      </c>
      <c r="X109" s="51"/>
    </row>
    <row r="110" spans="1:24">
      <c r="A110" s="51"/>
      <c r="B110" s="51"/>
      <c r="C110" s="620" t="s">
        <v>80</v>
      </c>
      <c r="D110" s="613">
        <v>0</v>
      </c>
      <c r="E110" s="613">
        <v>0</v>
      </c>
      <c r="F110" s="613">
        <v>7.6204805429044127</v>
      </c>
      <c r="G110" s="613">
        <v>0</v>
      </c>
      <c r="H110" s="613">
        <v>80.929799495030636</v>
      </c>
      <c r="I110" s="613">
        <v>0</v>
      </c>
      <c r="J110" s="613">
        <v>0</v>
      </c>
      <c r="K110" s="613">
        <v>0</v>
      </c>
      <c r="L110" s="613">
        <v>51.076854442173044</v>
      </c>
      <c r="M110" s="613">
        <v>0</v>
      </c>
      <c r="N110" s="613">
        <v>0</v>
      </c>
      <c r="O110" s="613">
        <v>8.1999356316550855</v>
      </c>
      <c r="P110" s="613">
        <v>62.835725387811195</v>
      </c>
      <c r="Q110" s="613">
        <v>1.6849133946274748</v>
      </c>
      <c r="R110" s="613">
        <v>167.36963395676293</v>
      </c>
      <c r="S110" s="613">
        <v>28.222608960163477</v>
      </c>
      <c r="T110" s="613">
        <v>0</v>
      </c>
      <c r="U110" s="621">
        <v>407.93995181112825</v>
      </c>
      <c r="V110" s="51"/>
      <c r="W110" s="622" t="e" cm="1">
        <f t="array" aca="1" ref="W110" ca="1">_xlfn.IFNA(INDEX(#REF!,MATCH(INDIRECT("Codes_bilans!"&amp;W$1&amp;"$"&amp;#REF!),#REF!,0),MATCH(#REF!,#REF!,0)),0)</f>
        <v>#REF!</v>
      </c>
      <c r="X110" s="51"/>
    </row>
    <row r="111" spans="1:24">
      <c r="A111" s="51"/>
      <c r="B111" s="51"/>
      <c r="C111" s="620" t="s">
        <v>81</v>
      </c>
      <c r="D111" s="613">
        <v>0</v>
      </c>
      <c r="E111" s="613">
        <v>0</v>
      </c>
      <c r="F111" s="613">
        <v>10.491369546862531</v>
      </c>
      <c r="G111" s="613">
        <v>0</v>
      </c>
      <c r="H111" s="613">
        <v>35.36343810232146</v>
      </c>
      <c r="I111" s="613">
        <v>0</v>
      </c>
      <c r="J111" s="613">
        <v>0</v>
      </c>
      <c r="K111" s="613">
        <v>0</v>
      </c>
      <c r="L111" s="613">
        <v>0.41502991649093068</v>
      </c>
      <c r="M111" s="613">
        <v>5.6682988468104167E-4</v>
      </c>
      <c r="N111" s="613">
        <v>0</v>
      </c>
      <c r="O111" s="613">
        <v>3.5830796315127467</v>
      </c>
      <c r="P111" s="613">
        <v>13.853984080842906</v>
      </c>
      <c r="Q111" s="613">
        <v>0.85666800244149366</v>
      </c>
      <c r="R111" s="613">
        <v>106.66141597563889</v>
      </c>
      <c r="S111" s="613">
        <v>16.571023506933056</v>
      </c>
      <c r="T111" s="613">
        <v>0</v>
      </c>
      <c r="U111" s="621">
        <v>187.79657559292866</v>
      </c>
      <c r="V111" s="51"/>
      <c r="W111" s="622" t="e" cm="1">
        <f t="array" aca="1" ref="W111" ca="1">_xlfn.IFNA(INDEX(#REF!,MATCH(INDIRECT("Codes_bilans!"&amp;W$1&amp;"$"&amp;#REF!),#REF!,0),MATCH(#REF!,#REF!,0)),0)</f>
        <v>#REF!</v>
      </c>
      <c r="X111" s="51"/>
    </row>
    <row r="112" spans="1:24">
      <c r="A112" s="51"/>
      <c r="B112" s="51"/>
      <c r="C112" s="620" t="s">
        <v>82</v>
      </c>
      <c r="D112" s="613">
        <v>0</v>
      </c>
      <c r="E112" s="613">
        <v>0</v>
      </c>
      <c r="F112" s="613">
        <v>28.598972580821304</v>
      </c>
      <c r="G112" s="613">
        <v>0</v>
      </c>
      <c r="H112" s="613">
        <v>1.9735950966825975</v>
      </c>
      <c r="I112" s="613">
        <v>0</v>
      </c>
      <c r="J112" s="613">
        <v>0</v>
      </c>
      <c r="K112" s="613">
        <v>0</v>
      </c>
      <c r="L112" s="613">
        <v>1.8335004892905753</v>
      </c>
      <c r="M112" s="613">
        <v>0</v>
      </c>
      <c r="N112" s="613">
        <v>3.9645164071396528</v>
      </c>
      <c r="O112" s="613">
        <v>0.19996778512643057</v>
      </c>
      <c r="P112" s="613">
        <v>0.4</v>
      </c>
      <c r="Q112" s="613">
        <v>0.5193752668696392</v>
      </c>
      <c r="R112" s="613">
        <v>7.7920110174976385</v>
      </c>
      <c r="S112" s="613">
        <v>0</v>
      </c>
      <c r="T112" s="613">
        <v>0.13892990437736891</v>
      </c>
      <c r="U112" s="621">
        <v>45.420868547805206</v>
      </c>
      <c r="V112" s="51"/>
      <c r="W112" s="622" t="e" cm="1">
        <f t="array" aca="1" ref="W112" ca="1">_xlfn.IFNA(INDEX(#REF!,MATCH(INDIRECT("Codes_bilans!"&amp;W$1&amp;"$"&amp;#REF!),#REF!,0),MATCH(#REF!,#REF!,0)),0)</f>
        <v>#REF!</v>
      </c>
      <c r="X112" s="51"/>
    </row>
    <row r="113" spans="1:24">
      <c r="A113" s="51"/>
      <c r="B113" s="51"/>
      <c r="C113" s="620" t="s">
        <v>357</v>
      </c>
      <c r="D113" s="613">
        <v>0</v>
      </c>
      <c r="E113" s="613">
        <v>0</v>
      </c>
      <c r="F113" s="613">
        <v>0</v>
      </c>
      <c r="G113" s="613">
        <v>0</v>
      </c>
      <c r="H113" s="613">
        <v>0</v>
      </c>
      <c r="I113" s="613">
        <v>0</v>
      </c>
      <c r="J113" s="613">
        <v>0</v>
      </c>
      <c r="K113" s="613">
        <v>0</v>
      </c>
      <c r="L113" s="613">
        <v>0</v>
      </c>
      <c r="M113" s="613">
        <v>0</v>
      </c>
      <c r="N113" s="613">
        <v>0</v>
      </c>
      <c r="O113" s="613">
        <v>0</v>
      </c>
      <c r="P113" s="613">
        <v>0</v>
      </c>
      <c r="Q113" s="613">
        <v>0</v>
      </c>
      <c r="R113" s="613">
        <v>0</v>
      </c>
      <c r="S113" s="613">
        <v>0</v>
      </c>
      <c r="T113" s="613">
        <v>0</v>
      </c>
      <c r="U113" s="621">
        <v>0</v>
      </c>
      <c r="V113" s="51"/>
      <c r="W113" s="622" t="e" cm="1">
        <f t="array" aca="1" ref="W113" ca="1">_xlfn.IFNA(INDEX(#REF!,MATCH(INDIRECT("Codes_bilans!"&amp;W$1&amp;"$"&amp;#REF!),#REF!,0),MATCH(#REF!,#REF!,0)),0)</f>
        <v>#REF!</v>
      </c>
      <c r="X113" s="51"/>
    </row>
    <row r="114" spans="1:24">
      <c r="A114" s="51"/>
      <c r="B114" s="51"/>
      <c r="C114" s="616" t="s">
        <v>83</v>
      </c>
      <c r="D114" s="617">
        <v>4.3067331909174058</v>
      </c>
      <c r="E114" s="617">
        <v>0</v>
      </c>
      <c r="F114" s="617">
        <v>397.93636281195074</v>
      </c>
      <c r="G114" s="617">
        <v>9.4771242925738991E-2</v>
      </c>
      <c r="H114" s="624">
        <v>204.7974686219049</v>
      </c>
      <c r="I114" s="617">
        <v>0</v>
      </c>
      <c r="J114" s="617">
        <v>0</v>
      </c>
      <c r="K114" s="617">
        <v>0</v>
      </c>
      <c r="L114" s="617">
        <v>73.229471605570197</v>
      </c>
      <c r="M114" s="617">
        <v>2.4848428021362321</v>
      </c>
      <c r="N114" s="617">
        <v>43.278797079121333</v>
      </c>
      <c r="O114" s="617">
        <v>20.776240664896143</v>
      </c>
      <c r="P114" s="617">
        <v>79.93802880459161</v>
      </c>
      <c r="Q114" s="617">
        <v>3.0614833803630699</v>
      </c>
      <c r="R114" s="617">
        <v>430.71464486881149</v>
      </c>
      <c r="S114" s="617">
        <v>62.880388549010817</v>
      </c>
      <c r="T114" s="617">
        <v>1.9071317298578518</v>
      </c>
      <c r="U114" s="617">
        <v>1325.4063653520575</v>
      </c>
      <c r="V114" s="51"/>
      <c r="W114" s="51"/>
      <c r="X114" s="51"/>
    </row>
    <row r="115" spans="1:24">
      <c r="A115" s="51"/>
      <c r="B115" s="51"/>
      <c r="C115" s="612" t="s">
        <v>84</v>
      </c>
      <c r="D115" s="613">
        <v>0</v>
      </c>
      <c r="E115" s="613">
        <v>0</v>
      </c>
      <c r="F115" s="613">
        <v>102.26810452798878</v>
      </c>
      <c r="G115" s="613">
        <v>1.1905371612338289</v>
      </c>
      <c r="H115" s="613">
        <v>11.237851565782758</v>
      </c>
      <c r="I115" s="613">
        <v>0</v>
      </c>
      <c r="J115" s="613">
        <v>0</v>
      </c>
      <c r="K115" s="613">
        <v>0</v>
      </c>
      <c r="L115" s="613">
        <v>9.5153421924450407E-2</v>
      </c>
      <c r="M115" s="613">
        <v>0</v>
      </c>
      <c r="N115" s="613">
        <v>7.1193346713498897</v>
      </c>
      <c r="O115" s="613">
        <v>0.80349139394028601</v>
      </c>
      <c r="P115" s="613">
        <v>0</v>
      </c>
      <c r="Q115" s="613">
        <v>0</v>
      </c>
      <c r="R115" s="613">
        <v>0</v>
      </c>
      <c r="S115" s="613">
        <v>0</v>
      </c>
      <c r="T115" s="613">
        <v>7.5529178657010396</v>
      </c>
      <c r="U115" s="621">
        <v>130.26739060792104</v>
      </c>
      <c r="V115" s="51"/>
      <c r="W115" s="622" t="e" cm="1">
        <f t="array" aca="1" ref="W115" ca="1">_xlfn.IFNA(INDEX(#REF!,MATCH(INDIRECT("Codes_bilans!"&amp;W$1&amp;"$"&amp;#REF!),#REF!,0),MATCH(#REF!,#REF!,0)),0)</f>
        <v>#REF!</v>
      </c>
      <c r="X115" s="51"/>
    </row>
    <row r="116" spans="1:24">
      <c r="A116" s="51"/>
      <c r="B116" s="51"/>
      <c r="C116" s="616" t="s">
        <v>85</v>
      </c>
      <c r="D116" s="617">
        <v>4.3067331909174058</v>
      </c>
      <c r="E116" s="617">
        <v>0</v>
      </c>
      <c r="F116" s="617">
        <v>500.20446733993958</v>
      </c>
      <c r="G116" s="617">
        <v>1.2853084041595679</v>
      </c>
      <c r="H116" s="624">
        <v>216.03532018768766</v>
      </c>
      <c r="I116" s="617">
        <v>0</v>
      </c>
      <c r="J116" s="617">
        <v>0</v>
      </c>
      <c r="K116" s="617">
        <v>0</v>
      </c>
      <c r="L116" s="617">
        <v>73.324625027494648</v>
      </c>
      <c r="M116" s="617">
        <v>2.4848428021362321</v>
      </c>
      <c r="N116" s="617">
        <v>50.398131750471222</v>
      </c>
      <c r="O116" s="617">
        <v>21.579732058836431</v>
      </c>
      <c r="P116" s="617">
        <v>79.93802880459161</v>
      </c>
      <c r="Q116" s="617">
        <v>3.0614833803630699</v>
      </c>
      <c r="R116" s="617">
        <v>430.71464486881149</v>
      </c>
      <c r="S116" s="617">
        <v>62.880388549010817</v>
      </c>
      <c r="T116" s="617">
        <v>9.4600495955588908</v>
      </c>
      <c r="U116" s="617">
        <v>1455.6737559599785</v>
      </c>
      <c r="V116" s="51"/>
      <c r="W116" s="51"/>
      <c r="X116" s="51"/>
    </row>
    <row r="117" spans="1:24">
      <c r="A117" s="51"/>
      <c r="B117" s="51"/>
      <c r="C117" s="51"/>
      <c r="D117" s="67">
        <v>0</v>
      </c>
      <c r="E117" s="67">
        <v>0</v>
      </c>
      <c r="F117" s="67">
        <v>1.7053025658242404E-13</v>
      </c>
      <c r="G117" s="67">
        <v>0</v>
      </c>
      <c r="H117" s="67">
        <v>0</v>
      </c>
      <c r="I117" s="67">
        <v>0</v>
      </c>
      <c r="J117" s="67">
        <v>0</v>
      </c>
      <c r="K117" s="67">
        <v>0</v>
      </c>
      <c r="L117" s="67">
        <v>0</v>
      </c>
      <c r="M117" s="67">
        <v>0</v>
      </c>
      <c r="N117" s="67">
        <v>-2.4202586464206961</v>
      </c>
      <c r="O117" s="67">
        <v>-3.9690473130349346E-15</v>
      </c>
      <c r="P117" s="67">
        <v>0</v>
      </c>
      <c r="Q117" s="67">
        <v>0</v>
      </c>
      <c r="R117" s="67">
        <v>0</v>
      </c>
      <c r="S117" s="67">
        <v>7.1054273576010019E-15</v>
      </c>
      <c r="T117" s="67">
        <v>-1.7763568394002505E-15</v>
      </c>
      <c r="U117" s="67">
        <v>-2.4202586464202795</v>
      </c>
      <c r="V117" s="51"/>
      <c r="W117" s="51"/>
      <c r="X117" s="51"/>
    </row>
    <row r="118" spans="1:24">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row>
    <row r="119" spans="1:24">
      <c r="A119" s="608"/>
      <c r="B119" s="608"/>
      <c r="C119" s="609" t="s">
        <v>88</v>
      </c>
      <c r="D119" s="608"/>
      <c r="E119" s="608"/>
      <c r="F119" s="608"/>
      <c r="G119" s="608"/>
      <c r="H119" s="608"/>
      <c r="I119" s="608"/>
      <c r="J119" s="608"/>
      <c r="K119" s="608"/>
      <c r="L119" s="608"/>
      <c r="M119" s="608"/>
      <c r="N119" s="608"/>
      <c r="O119" s="608"/>
      <c r="P119" s="608"/>
      <c r="Q119" s="608"/>
      <c r="R119" s="608"/>
      <c r="S119" s="608"/>
      <c r="T119" s="608"/>
      <c r="U119" s="608"/>
      <c r="V119" s="608"/>
      <c r="W119" s="608"/>
      <c r="X119" s="608"/>
    </row>
    <row r="120" spans="1:24">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row>
    <row r="121" spans="1:24" ht="14.25" customHeight="1">
      <c r="A121" s="51"/>
      <c r="B121" s="51"/>
      <c r="C121" s="713" t="s">
        <v>128</v>
      </c>
      <c r="D121" s="711" t="s">
        <v>42</v>
      </c>
      <c r="E121" s="711" t="s">
        <v>52</v>
      </c>
      <c r="F121" s="711" t="s">
        <v>53</v>
      </c>
      <c r="G121" s="711" t="s">
        <v>487</v>
      </c>
      <c r="H121" s="711" t="s">
        <v>32</v>
      </c>
      <c r="I121" s="711" t="s">
        <v>488</v>
      </c>
      <c r="J121" s="711" t="s">
        <v>20</v>
      </c>
      <c r="K121" s="711" t="s">
        <v>55</v>
      </c>
      <c r="L121" s="715" t="s">
        <v>56</v>
      </c>
      <c r="M121" s="716"/>
      <c r="N121" s="716"/>
      <c r="O121" s="716"/>
      <c r="P121" s="716"/>
      <c r="Q121" s="717"/>
      <c r="R121" s="711" t="s">
        <v>57</v>
      </c>
      <c r="S121" s="711" t="s">
        <v>58</v>
      </c>
      <c r="T121" s="711" t="s">
        <v>31</v>
      </c>
      <c r="U121" s="711" t="s">
        <v>10</v>
      </c>
      <c r="V121" s="51"/>
      <c r="W121" s="51"/>
      <c r="X121" s="51"/>
    </row>
    <row r="122" spans="1:24" ht="24">
      <c r="A122" s="51"/>
      <c r="B122" s="51"/>
      <c r="C122" s="714"/>
      <c r="D122" s="712"/>
      <c r="E122" s="712"/>
      <c r="F122" s="712"/>
      <c r="G122" s="712"/>
      <c r="H122" s="712"/>
      <c r="I122" s="712"/>
      <c r="J122" s="712"/>
      <c r="K122" s="712"/>
      <c r="L122" s="610" t="s">
        <v>338</v>
      </c>
      <c r="M122" s="610" t="s">
        <v>40</v>
      </c>
      <c r="N122" s="610" t="s">
        <v>346</v>
      </c>
      <c r="O122" s="610" t="s">
        <v>347</v>
      </c>
      <c r="P122" s="611" t="s">
        <v>348</v>
      </c>
      <c r="Q122" s="610" t="s">
        <v>349</v>
      </c>
      <c r="R122" s="712"/>
      <c r="S122" s="712"/>
      <c r="T122" s="712"/>
      <c r="U122" s="712"/>
      <c r="V122" s="51"/>
      <c r="W122" s="51"/>
      <c r="X122" s="51"/>
    </row>
    <row r="123" spans="1:24">
      <c r="A123" s="51"/>
      <c r="B123" s="51"/>
      <c r="C123" s="612" t="s">
        <v>59</v>
      </c>
      <c r="D123" s="613">
        <v>0</v>
      </c>
      <c r="E123" s="613">
        <v>9.7691999999999997</v>
      </c>
      <c r="F123" s="613">
        <v>0</v>
      </c>
      <c r="G123" s="613">
        <v>0</v>
      </c>
      <c r="H123" s="613">
        <v>0.18608000000000002</v>
      </c>
      <c r="I123" s="613">
        <v>0</v>
      </c>
      <c r="J123" s="614">
        <v>1038.2869636363639</v>
      </c>
      <c r="K123" s="614">
        <v>205.53110652120495</v>
      </c>
      <c r="L123" s="614">
        <v>227.83441686289595</v>
      </c>
      <c r="M123" s="614">
        <v>28.461620553474244</v>
      </c>
      <c r="N123" s="613">
        <v>1.4156783371657409</v>
      </c>
      <c r="O123" s="613">
        <v>0.13593700784165794</v>
      </c>
      <c r="P123" s="614">
        <v>91.581907146552624</v>
      </c>
      <c r="Q123" s="614">
        <v>10.82319895117076</v>
      </c>
      <c r="R123" s="613">
        <v>0</v>
      </c>
      <c r="S123" s="613">
        <v>0</v>
      </c>
      <c r="T123" s="613">
        <v>0</v>
      </c>
      <c r="U123" s="615">
        <v>1614.0261090166696</v>
      </c>
      <c r="V123" s="51"/>
      <c r="W123" s="51"/>
      <c r="X123" s="51"/>
    </row>
    <row r="124" spans="1:24">
      <c r="A124" s="51"/>
      <c r="B124" s="51"/>
      <c r="C124" s="612" t="s">
        <v>60</v>
      </c>
      <c r="D124" s="613">
        <v>19.500894978355525</v>
      </c>
      <c r="E124" s="613">
        <v>412.35150263166827</v>
      </c>
      <c r="F124" s="613">
        <v>141.77751506797006</v>
      </c>
      <c r="G124" s="613">
        <v>1.1566580598777236</v>
      </c>
      <c r="H124" s="613">
        <v>245.03499542253485</v>
      </c>
      <c r="I124" s="613">
        <v>0</v>
      </c>
      <c r="J124" s="613">
        <v>0</v>
      </c>
      <c r="K124" s="613">
        <v>0</v>
      </c>
      <c r="L124" s="613">
        <v>2.5322527707990741</v>
      </c>
      <c r="M124" s="613">
        <v>0</v>
      </c>
      <c r="N124" s="613">
        <v>3.140572004124202</v>
      </c>
      <c r="O124" s="613">
        <v>0</v>
      </c>
      <c r="P124" s="613">
        <v>0</v>
      </c>
      <c r="Q124" s="613">
        <v>0</v>
      </c>
      <c r="R124" s="613">
        <v>0</v>
      </c>
      <c r="S124" s="613">
        <v>0</v>
      </c>
      <c r="T124" s="613">
        <v>0</v>
      </c>
      <c r="U124" s="615">
        <v>825.49439093532965</v>
      </c>
      <c r="V124" s="51"/>
      <c r="W124" s="51"/>
      <c r="X124" s="51"/>
    </row>
    <row r="125" spans="1:24">
      <c r="A125" s="51"/>
      <c r="B125" s="51"/>
      <c r="C125" s="612" t="s">
        <v>61</v>
      </c>
      <c r="D125" s="613">
        <v>0</v>
      </c>
      <c r="E125" s="613">
        <v>0</v>
      </c>
      <c r="F125" s="613">
        <v>-0.13172022897004482</v>
      </c>
      <c r="G125" s="613">
        <v>0</v>
      </c>
      <c r="H125" s="613">
        <v>0</v>
      </c>
      <c r="I125" s="613">
        <v>0</v>
      </c>
      <c r="J125" s="613">
        <v>0</v>
      </c>
      <c r="K125" s="613">
        <v>0</v>
      </c>
      <c r="L125" s="613">
        <v>0</v>
      </c>
      <c r="M125" s="613">
        <v>0</v>
      </c>
      <c r="N125" s="613">
        <v>0</v>
      </c>
      <c r="O125" s="613">
        <v>0</v>
      </c>
      <c r="P125" s="613">
        <v>0</v>
      </c>
      <c r="Q125" s="613">
        <v>0</v>
      </c>
      <c r="R125" s="613">
        <v>-68.05218019677659</v>
      </c>
      <c r="S125" s="613">
        <v>0</v>
      </c>
      <c r="T125" s="613">
        <v>0</v>
      </c>
      <c r="U125" s="615">
        <v>-68.183900425746629</v>
      </c>
      <c r="V125" s="51"/>
      <c r="W125" s="51"/>
      <c r="X125" s="51"/>
    </row>
    <row r="126" spans="1:24">
      <c r="A126" s="51"/>
      <c r="B126" s="51"/>
      <c r="C126" s="612" t="s">
        <v>62</v>
      </c>
      <c r="D126" s="613">
        <v>0</v>
      </c>
      <c r="E126" s="613">
        <v>0</v>
      </c>
      <c r="F126" s="613">
        <v>-16.199220216107165</v>
      </c>
      <c r="G126" s="613">
        <v>-0.35114276718264964</v>
      </c>
      <c r="H126" s="613">
        <v>-0.92701690536219505</v>
      </c>
      <c r="I126" s="613">
        <v>0</v>
      </c>
      <c r="J126" s="613">
        <v>0</v>
      </c>
      <c r="K126" s="613">
        <v>0</v>
      </c>
      <c r="L126" s="613">
        <v>0</v>
      </c>
      <c r="M126" s="613">
        <v>0</v>
      </c>
      <c r="N126" s="613">
        <v>-0.52671415077397443</v>
      </c>
      <c r="O126" s="613">
        <v>-0.12641139618575387</v>
      </c>
      <c r="P126" s="613">
        <v>0</v>
      </c>
      <c r="Q126" s="613">
        <v>0</v>
      </c>
      <c r="R126" s="613">
        <v>0</v>
      </c>
      <c r="S126" s="613">
        <v>0</v>
      </c>
      <c r="T126" s="613">
        <v>0</v>
      </c>
      <c r="U126" s="615">
        <v>-18.130505435611738</v>
      </c>
      <c r="V126" s="51"/>
      <c r="W126" s="51"/>
      <c r="X126" s="51"/>
    </row>
    <row r="127" spans="1:24">
      <c r="A127" s="51"/>
      <c r="B127" s="51"/>
      <c r="C127" s="612" t="s">
        <v>63</v>
      </c>
      <c r="D127" s="613">
        <v>0</v>
      </c>
      <c r="E127" s="613">
        <v>0</v>
      </c>
      <c r="F127" s="613">
        <v>-73.427503644783499</v>
      </c>
      <c r="G127" s="613">
        <v>-0.69683709307213026</v>
      </c>
      <c r="H127" s="613">
        <v>0</v>
      </c>
      <c r="I127" s="613">
        <v>0</v>
      </c>
      <c r="J127" s="613">
        <v>0</v>
      </c>
      <c r="K127" s="613">
        <v>0</v>
      </c>
      <c r="L127" s="613">
        <v>0</v>
      </c>
      <c r="M127" s="613">
        <v>0</v>
      </c>
      <c r="N127" s="613">
        <v>-3.8742860108991213</v>
      </c>
      <c r="O127" s="613">
        <v>0</v>
      </c>
      <c r="P127" s="613">
        <v>0</v>
      </c>
      <c r="Q127" s="613">
        <v>0</v>
      </c>
      <c r="R127" s="613">
        <v>0</v>
      </c>
      <c r="S127" s="613">
        <v>0</v>
      </c>
      <c r="T127" s="613">
        <v>0</v>
      </c>
      <c r="U127" s="615">
        <v>-77.998626748754759</v>
      </c>
      <c r="V127" s="51"/>
      <c r="W127" s="51"/>
      <c r="X127" s="51"/>
    </row>
    <row r="128" spans="1:24">
      <c r="A128" s="51"/>
      <c r="B128" s="51"/>
      <c r="C128" s="612" t="s">
        <v>64</v>
      </c>
      <c r="D128" s="613">
        <v>0</v>
      </c>
      <c r="E128" s="613">
        <v>0</v>
      </c>
      <c r="F128" s="613">
        <v>0</v>
      </c>
      <c r="G128" s="613">
        <v>0</v>
      </c>
      <c r="H128" s="613">
        <v>0</v>
      </c>
      <c r="I128" s="613">
        <v>0</v>
      </c>
      <c r="J128" s="613">
        <v>0</v>
      </c>
      <c r="K128" s="613">
        <v>0</v>
      </c>
      <c r="L128" s="613">
        <v>0</v>
      </c>
      <c r="M128" s="613">
        <v>0</v>
      </c>
      <c r="N128" s="613">
        <v>0</v>
      </c>
      <c r="O128" s="613">
        <v>0</v>
      </c>
      <c r="P128" s="613">
        <v>0</v>
      </c>
      <c r="Q128" s="613">
        <v>0</v>
      </c>
      <c r="R128" s="613">
        <v>0</v>
      </c>
      <c r="S128" s="613">
        <v>0</v>
      </c>
      <c r="T128" s="613">
        <v>0</v>
      </c>
      <c r="U128" s="615">
        <v>0</v>
      </c>
      <c r="V128" s="51"/>
      <c r="W128" s="51"/>
      <c r="X128" s="51"/>
    </row>
    <row r="129" spans="1:24">
      <c r="A129" s="51"/>
      <c r="B129" s="51"/>
      <c r="C129" s="616" t="s">
        <v>65</v>
      </c>
      <c r="D129" s="617">
        <v>19.500894978355525</v>
      </c>
      <c r="E129" s="617">
        <v>422.12070263166828</v>
      </c>
      <c r="F129" s="617">
        <v>52.019070978109362</v>
      </c>
      <c r="G129" s="617">
        <v>0.10867819962294367</v>
      </c>
      <c r="H129" s="624">
        <v>244.29405851717266</v>
      </c>
      <c r="I129" s="617">
        <v>0</v>
      </c>
      <c r="J129" s="617">
        <v>1038.2869636363639</v>
      </c>
      <c r="K129" s="617">
        <v>205.53110652120495</v>
      </c>
      <c r="L129" s="617">
        <v>230.36666963369501</v>
      </c>
      <c r="M129" s="617">
        <v>28.461620553474244</v>
      </c>
      <c r="N129" s="617">
        <v>0.15525017961684728</v>
      </c>
      <c r="O129" s="617">
        <v>9.5256116559040704E-3</v>
      </c>
      <c r="P129" s="617">
        <v>91.581907146552624</v>
      </c>
      <c r="Q129" s="617">
        <v>10.82319895117076</v>
      </c>
      <c r="R129" s="617">
        <v>-68.05218019677659</v>
      </c>
      <c r="S129" s="617">
        <v>0</v>
      </c>
      <c r="T129" s="617">
        <v>0</v>
      </c>
      <c r="U129" s="617">
        <v>2275.2074673418865</v>
      </c>
      <c r="V129" s="51"/>
      <c r="W129" s="51"/>
      <c r="X129" s="51"/>
    </row>
    <row r="130" spans="1:24">
      <c r="A130" s="51"/>
      <c r="B130" s="51"/>
      <c r="C130" s="618"/>
      <c r="D130" s="619">
        <v>0</v>
      </c>
      <c r="E130" s="619">
        <v>0</v>
      </c>
      <c r="F130" s="619">
        <v>0</v>
      </c>
      <c r="G130" s="619">
        <v>0</v>
      </c>
      <c r="H130" s="625">
        <v>0</v>
      </c>
      <c r="I130" s="619">
        <v>0</v>
      </c>
      <c r="J130" s="619">
        <v>0</v>
      </c>
      <c r="K130" s="619">
        <v>0</v>
      </c>
      <c r="L130" s="619">
        <v>0</v>
      </c>
      <c r="M130" s="619">
        <v>0</v>
      </c>
      <c r="N130" s="619">
        <v>0</v>
      </c>
      <c r="O130" s="619">
        <v>0</v>
      </c>
      <c r="P130" s="619">
        <v>0</v>
      </c>
      <c r="Q130" s="619">
        <v>0</v>
      </c>
      <c r="R130" s="619">
        <v>0</v>
      </c>
      <c r="S130" s="619">
        <v>0</v>
      </c>
      <c r="T130" s="619">
        <v>0</v>
      </c>
      <c r="U130" s="619">
        <v>0</v>
      </c>
      <c r="V130" s="51"/>
      <c r="W130" s="51"/>
      <c r="X130" s="51"/>
    </row>
    <row r="131" spans="1:24">
      <c r="A131" s="51"/>
      <c r="B131" s="51"/>
      <c r="C131" s="620" t="s">
        <v>67</v>
      </c>
      <c r="D131" s="613">
        <v>0</v>
      </c>
      <c r="E131" s="613">
        <v>0</v>
      </c>
      <c r="F131" s="613">
        <v>0</v>
      </c>
      <c r="G131" s="613">
        <v>0</v>
      </c>
      <c r="H131" s="613">
        <v>0</v>
      </c>
      <c r="I131" s="613">
        <v>0</v>
      </c>
      <c r="J131" s="613">
        <v>0</v>
      </c>
      <c r="K131" s="613">
        <v>0</v>
      </c>
      <c r="L131" s="613">
        <v>0</v>
      </c>
      <c r="M131" s="613">
        <v>0</v>
      </c>
      <c r="N131" s="613">
        <v>0</v>
      </c>
      <c r="O131" s="613">
        <v>0</v>
      </c>
      <c r="P131" s="613">
        <v>0</v>
      </c>
      <c r="Q131" s="613">
        <v>0</v>
      </c>
      <c r="R131" s="613">
        <v>0</v>
      </c>
      <c r="S131" s="613">
        <v>0</v>
      </c>
      <c r="T131" s="613">
        <v>0</v>
      </c>
      <c r="U131" s="621">
        <v>0</v>
      </c>
      <c r="V131" s="51"/>
      <c r="W131" s="51"/>
      <c r="X131" s="51"/>
    </row>
    <row r="132" spans="1:24">
      <c r="A132" s="51"/>
      <c r="B132" s="51"/>
      <c r="C132" s="620" t="s">
        <v>350</v>
      </c>
      <c r="D132" s="613">
        <v>0</v>
      </c>
      <c r="E132" s="613">
        <v>0</v>
      </c>
      <c r="F132" s="613">
        <v>0.77863803143112786</v>
      </c>
      <c r="G132" s="613">
        <v>0</v>
      </c>
      <c r="H132" s="613">
        <v>36.279765848727266</v>
      </c>
      <c r="I132" s="613">
        <v>0</v>
      </c>
      <c r="J132" s="613">
        <v>1038.2869636363639</v>
      </c>
      <c r="K132" s="613">
        <v>205.53110652120495</v>
      </c>
      <c r="L132" s="613">
        <v>28.874786869538699</v>
      </c>
      <c r="M132" s="613">
        <v>10.263260836794805</v>
      </c>
      <c r="N132" s="613">
        <v>4.4112574708908179</v>
      </c>
      <c r="O132" s="613">
        <v>6.4977260446746659</v>
      </c>
      <c r="P132" s="613">
        <v>0</v>
      </c>
      <c r="Q132" s="613">
        <v>0</v>
      </c>
      <c r="R132" s="613">
        <v>-589.53538472779007</v>
      </c>
      <c r="S132" s="613">
        <v>0</v>
      </c>
      <c r="T132" s="613">
        <v>0</v>
      </c>
      <c r="U132" s="621">
        <v>741.38812053183608</v>
      </c>
      <c r="V132" s="51"/>
      <c r="W132" s="51"/>
      <c r="X132" s="51"/>
    </row>
    <row r="133" spans="1:24">
      <c r="A133" s="51"/>
      <c r="B133" s="51"/>
      <c r="C133" s="620" t="s">
        <v>351</v>
      </c>
      <c r="D133" s="613">
        <v>0</v>
      </c>
      <c r="E133" s="613">
        <v>0</v>
      </c>
      <c r="F133" s="613">
        <v>0</v>
      </c>
      <c r="G133" s="613">
        <v>0</v>
      </c>
      <c r="H133" s="613">
        <v>17.169661952341983</v>
      </c>
      <c r="I133" s="613">
        <v>0</v>
      </c>
      <c r="J133" s="613">
        <v>0</v>
      </c>
      <c r="K133" s="613">
        <v>0</v>
      </c>
      <c r="L133" s="613">
        <v>33.995499480106155</v>
      </c>
      <c r="M133" s="613">
        <v>15.594965202678805</v>
      </c>
      <c r="N133" s="613">
        <v>0</v>
      </c>
      <c r="O133" s="613">
        <v>4.3055711350701857</v>
      </c>
      <c r="P133" s="613">
        <v>0</v>
      </c>
      <c r="Q133" s="613">
        <v>7.5015461547405717</v>
      </c>
      <c r="R133" s="613">
        <v>0</v>
      </c>
      <c r="S133" s="613">
        <v>-71.517574001012974</v>
      </c>
      <c r="T133" s="613">
        <v>0</v>
      </c>
      <c r="U133" s="621">
        <v>7.0496699239247187</v>
      </c>
      <c r="V133" s="51"/>
      <c r="W133" s="51"/>
      <c r="X133" s="51"/>
    </row>
    <row r="134" spans="1:24">
      <c r="A134" s="51"/>
      <c r="B134" s="51"/>
      <c r="C134" s="620" t="s">
        <v>352</v>
      </c>
      <c r="D134" s="613">
        <v>0</v>
      </c>
      <c r="E134" s="613">
        <v>0</v>
      </c>
      <c r="F134" s="613">
        <v>0</v>
      </c>
      <c r="G134" s="613">
        <v>0</v>
      </c>
      <c r="H134" s="613">
        <v>0</v>
      </c>
      <c r="I134" s="613">
        <v>0</v>
      </c>
      <c r="J134" s="613">
        <v>0</v>
      </c>
      <c r="K134" s="613">
        <v>0</v>
      </c>
      <c r="L134" s="613">
        <v>40.114077633892222</v>
      </c>
      <c r="M134" s="613">
        <v>0</v>
      </c>
      <c r="N134" s="613">
        <v>0</v>
      </c>
      <c r="O134" s="613">
        <v>-36.417525890890943</v>
      </c>
      <c r="P134" s="613">
        <v>0</v>
      </c>
      <c r="Q134" s="613">
        <v>0</v>
      </c>
      <c r="R134" s="613">
        <v>0</v>
      </c>
      <c r="S134" s="613">
        <v>0</v>
      </c>
      <c r="T134" s="613">
        <v>0</v>
      </c>
      <c r="U134" s="621">
        <v>3.6965517430012795</v>
      </c>
      <c r="V134" s="51"/>
      <c r="W134" s="51"/>
      <c r="X134" s="51"/>
    </row>
    <row r="135" spans="1:24">
      <c r="A135" s="51"/>
      <c r="B135" s="51"/>
      <c r="C135" s="620" t="s">
        <v>353</v>
      </c>
      <c r="D135" s="613">
        <v>0</v>
      </c>
      <c r="E135" s="613">
        <v>0</v>
      </c>
      <c r="F135" s="613">
        <v>0</v>
      </c>
      <c r="G135" s="613">
        <v>0</v>
      </c>
      <c r="H135" s="613">
        <v>0</v>
      </c>
      <c r="I135" s="613">
        <v>0</v>
      </c>
      <c r="J135" s="613">
        <v>0</v>
      </c>
      <c r="K135" s="613">
        <v>0</v>
      </c>
      <c r="L135" s="613">
        <v>0</v>
      </c>
      <c r="M135" s="613">
        <v>0</v>
      </c>
      <c r="N135" s="613">
        <v>0</v>
      </c>
      <c r="O135" s="613">
        <v>0</v>
      </c>
      <c r="P135" s="613">
        <v>0</v>
      </c>
      <c r="Q135" s="613">
        <v>0</v>
      </c>
      <c r="R135" s="613">
        <v>0</v>
      </c>
      <c r="S135" s="613">
        <v>0</v>
      </c>
      <c r="T135" s="613">
        <v>0</v>
      </c>
      <c r="U135" s="621">
        <v>0</v>
      </c>
      <c r="V135" s="51"/>
      <c r="W135" s="51"/>
      <c r="X135" s="51"/>
    </row>
    <row r="136" spans="1:24">
      <c r="A136" s="51"/>
      <c r="B136" s="51"/>
      <c r="C136" s="620" t="s">
        <v>72</v>
      </c>
      <c r="D136" s="613">
        <v>0</v>
      </c>
      <c r="E136" s="613">
        <v>437.4764681269624</v>
      </c>
      <c r="F136" s="613">
        <v>-433.12141449021158</v>
      </c>
      <c r="G136" s="613">
        <v>0</v>
      </c>
      <c r="H136" s="613">
        <v>0</v>
      </c>
      <c r="I136" s="613">
        <v>0</v>
      </c>
      <c r="J136" s="613">
        <v>0</v>
      </c>
      <c r="K136" s="613">
        <v>0</v>
      </c>
      <c r="L136" s="613">
        <v>0</v>
      </c>
      <c r="M136" s="613">
        <v>0</v>
      </c>
      <c r="N136" s="613">
        <v>0</v>
      </c>
      <c r="O136" s="613">
        <v>0</v>
      </c>
      <c r="P136" s="613">
        <v>0</v>
      </c>
      <c r="Q136" s="613">
        <v>0</v>
      </c>
      <c r="R136" s="613">
        <v>0</v>
      </c>
      <c r="S136" s="613">
        <v>0</v>
      </c>
      <c r="T136" s="613">
        <v>0</v>
      </c>
      <c r="U136" s="621">
        <v>4.3550536367508395</v>
      </c>
      <c r="V136" s="51"/>
      <c r="W136" s="51"/>
      <c r="X136" s="51"/>
    </row>
    <row r="137" spans="1:24">
      <c r="A137" s="51"/>
      <c r="B137" s="51"/>
      <c r="C137" s="620" t="s">
        <v>354</v>
      </c>
      <c r="D137" s="613">
        <v>0</v>
      </c>
      <c r="E137" s="613">
        <v>0</v>
      </c>
      <c r="F137" s="613">
        <v>0</v>
      </c>
      <c r="G137" s="613">
        <v>0</v>
      </c>
      <c r="H137" s="613">
        <v>0</v>
      </c>
      <c r="I137" s="613">
        <v>0</v>
      </c>
      <c r="J137" s="613">
        <v>0</v>
      </c>
      <c r="K137" s="613">
        <v>0</v>
      </c>
      <c r="L137" s="613">
        <v>58.51202627390122</v>
      </c>
      <c r="M137" s="613">
        <v>0</v>
      </c>
      <c r="N137" s="613">
        <v>-58.51202627390122</v>
      </c>
      <c r="O137" s="613">
        <v>0</v>
      </c>
      <c r="P137" s="613">
        <v>0</v>
      </c>
      <c r="Q137" s="613">
        <v>0</v>
      </c>
      <c r="R137" s="613">
        <v>0</v>
      </c>
      <c r="S137" s="613">
        <v>0</v>
      </c>
      <c r="T137" s="613">
        <v>0</v>
      </c>
      <c r="U137" s="621">
        <v>0</v>
      </c>
      <c r="V137" s="51"/>
      <c r="W137" s="51"/>
      <c r="X137" s="51"/>
    </row>
    <row r="138" spans="1:24">
      <c r="A138" s="51"/>
      <c r="B138" s="51"/>
      <c r="C138" s="620" t="s">
        <v>355</v>
      </c>
      <c r="D138" s="613">
        <v>0</v>
      </c>
      <c r="E138" s="613">
        <v>0</v>
      </c>
      <c r="F138" s="613">
        <v>0</v>
      </c>
      <c r="G138" s="613">
        <v>-1.5541621174818701</v>
      </c>
      <c r="H138" s="613">
        <v>0</v>
      </c>
      <c r="I138" s="613">
        <v>0</v>
      </c>
      <c r="J138" s="613">
        <v>0</v>
      </c>
      <c r="K138" s="613">
        <v>0</v>
      </c>
      <c r="L138" s="613">
        <v>0</v>
      </c>
      <c r="M138" s="613">
        <v>0</v>
      </c>
      <c r="N138" s="613">
        <v>0</v>
      </c>
      <c r="O138" s="613">
        <v>0</v>
      </c>
      <c r="P138" s="613">
        <v>0</v>
      </c>
      <c r="Q138" s="613">
        <v>0</v>
      </c>
      <c r="R138" s="613">
        <v>0</v>
      </c>
      <c r="S138" s="613">
        <v>0</v>
      </c>
      <c r="T138" s="613">
        <v>2.1645711942644428</v>
      </c>
      <c r="U138" s="621">
        <v>0.61040907678257272</v>
      </c>
      <c r="V138" s="51"/>
      <c r="W138" s="51"/>
      <c r="X138" s="51"/>
    </row>
    <row r="139" spans="1:24">
      <c r="A139" s="51"/>
      <c r="B139" s="51"/>
      <c r="C139" s="620" t="s">
        <v>73</v>
      </c>
      <c r="D139" s="613">
        <v>0</v>
      </c>
      <c r="E139" s="613">
        <v>0</v>
      </c>
      <c r="F139" s="613">
        <v>0</v>
      </c>
      <c r="G139" s="613">
        <v>0</v>
      </c>
      <c r="H139" s="613">
        <v>0</v>
      </c>
      <c r="I139" s="613">
        <v>0</v>
      </c>
      <c r="J139" s="613">
        <v>0</v>
      </c>
      <c r="K139" s="613">
        <v>0</v>
      </c>
      <c r="L139" s="613">
        <v>0</v>
      </c>
      <c r="M139" s="613">
        <v>0</v>
      </c>
      <c r="N139" s="613">
        <v>0</v>
      </c>
      <c r="O139" s="613">
        <v>0</v>
      </c>
      <c r="P139" s="613">
        <v>0</v>
      </c>
      <c r="Q139" s="613">
        <v>0</v>
      </c>
      <c r="R139" s="613">
        <v>22.347786362655235</v>
      </c>
      <c r="S139" s="613">
        <v>0</v>
      </c>
      <c r="T139" s="613">
        <v>-14.526061135725904</v>
      </c>
      <c r="U139" s="621">
        <v>7.8217252269293311</v>
      </c>
      <c r="V139" s="51"/>
      <c r="W139" s="51"/>
      <c r="X139" s="51"/>
    </row>
    <row r="140" spans="1:24">
      <c r="A140" s="51"/>
      <c r="B140" s="51"/>
      <c r="C140" s="620" t="s">
        <v>356</v>
      </c>
      <c r="D140" s="613">
        <v>11.574443320312499</v>
      </c>
      <c r="E140" s="613">
        <v>-15.355765495294122</v>
      </c>
      <c r="F140" s="613">
        <v>19.986666106038875</v>
      </c>
      <c r="G140" s="613">
        <v>0</v>
      </c>
      <c r="H140" s="613">
        <v>0</v>
      </c>
      <c r="I140" s="613">
        <v>0</v>
      </c>
      <c r="J140" s="613">
        <v>0</v>
      </c>
      <c r="K140" s="613">
        <v>0</v>
      </c>
      <c r="L140" s="613">
        <v>0</v>
      </c>
      <c r="M140" s="613">
        <v>0</v>
      </c>
      <c r="N140" s="613">
        <v>0</v>
      </c>
      <c r="O140" s="613">
        <v>0</v>
      </c>
      <c r="P140" s="613">
        <v>0</v>
      </c>
      <c r="Q140" s="613">
        <v>0</v>
      </c>
      <c r="R140" s="613">
        <v>0</v>
      </c>
      <c r="S140" s="613">
        <v>0</v>
      </c>
      <c r="T140" s="613">
        <v>0</v>
      </c>
      <c r="U140" s="621">
        <v>16.20534393105725</v>
      </c>
      <c r="V140" s="51"/>
      <c r="W140" s="51"/>
      <c r="X140" s="51"/>
    </row>
    <row r="141" spans="1:24">
      <c r="A141" s="51"/>
      <c r="B141" s="51"/>
      <c r="C141" s="620" t="s">
        <v>75</v>
      </c>
      <c r="D141" s="613">
        <v>4.5011724023437498</v>
      </c>
      <c r="E141" s="613">
        <v>0</v>
      </c>
      <c r="F141" s="613">
        <v>19.445088820906506</v>
      </c>
      <c r="G141" s="613">
        <v>0</v>
      </c>
      <c r="H141" s="613">
        <v>4.9057031873641765</v>
      </c>
      <c r="I141" s="613">
        <v>0</v>
      </c>
      <c r="J141" s="613">
        <v>0</v>
      </c>
      <c r="K141" s="613">
        <v>0</v>
      </c>
      <c r="L141" s="613">
        <v>0</v>
      </c>
      <c r="M141" s="613">
        <v>0</v>
      </c>
      <c r="N141" s="613">
        <v>0</v>
      </c>
      <c r="O141" s="613">
        <v>0.66895952554966043</v>
      </c>
      <c r="P141" s="613">
        <v>0</v>
      </c>
      <c r="Q141" s="613">
        <v>0</v>
      </c>
      <c r="R141" s="613">
        <v>26.70268820303825</v>
      </c>
      <c r="S141" s="613">
        <v>0</v>
      </c>
      <c r="T141" s="613">
        <v>0</v>
      </c>
      <c r="U141" s="621">
        <v>56.223612139202338</v>
      </c>
      <c r="V141" s="51"/>
      <c r="W141" s="51"/>
      <c r="X141" s="51"/>
    </row>
    <row r="142" spans="1:24">
      <c r="A142" s="51"/>
      <c r="B142" s="51"/>
      <c r="C142" s="620" t="s">
        <v>76</v>
      </c>
      <c r="D142" s="613">
        <v>0</v>
      </c>
      <c r="E142" s="613">
        <v>0</v>
      </c>
      <c r="F142" s="613">
        <v>0</v>
      </c>
      <c r="G142" s="613">
        <v>0</v>
      </c>
      <c r="H142" s="613">
        <v>2.8205008916385275</v>
      </c>
      <c r="I142" s="613">
        <v>0</v>
      </c>
      <c r="J142" s="613">
        <v>0</v>
      </c>
      <c r="K142" s="613">
        <v>0</v>
      </c>
      <c r="L142" s="613">
        <v>0</v>
      </c>
      <c r="M142" s="613">
        <v>0</v>
      </c>
      <c r="N142" s="613">
        <v>0</v>
      </c>
      <c r="O142" s="613">
        <v>0.38461375795070829</v>
      </c>
      <c r="P142" s="613">
        <v>0</v>
      </c>
      <c r="Q142" s="613">
        <v>0</v>
      </c>
      <c r="R142" s="613">
        <v>39.934928469010529</v>
      </c>
      <c r="S142" s="613">
        <v>5.5462664454161024</v>
      </c>
      <c r="T142" s="613">
        <v>0</v>
      </c>
      <c r="U142" s="621">
        <v>48.686309564015865</v>
      </c>
      <c r="V142" s="51"/>
      <c r="W142" s="51"/>
      <c r="X142" s="51"/>
    </row>
    <row r="143" spans="1:24">
      <c r="A143" s="51"/>
      <c r="B143" s="51"/>
      <c r="C143" s="616" t="s">
        <v>77</v>
      </c>
      <c r="D143" s="617">
        <v>16.075615722656249</v>
      </c>
      <c r="E143" s="617">
        <v>422.12070263166828</v>
      </c>
      <c r="F143" s="617">
        <v>-392.9110215318351</v>
      </c>
      <c r="G143" s="617">
        <v>-1.5541621174818701</v>
      </c>
      <c r="H143" s="624">
        <v>61.175631880071947</v>
      </c>
      <c r="I143" s="617">
        <v>0</v>
      </c>
      <c r="J143" s="617">
        <v>1038.2869636363639</v>
      </c>
      <c r="K143" s="617">
        <v>205.53110652120495</v>
      </c>
      <c r="L143" s="617">
        <v>161.49639025743829</v>
      </c>
      <c r="M143" s="617">
        <v>25.85822603947361</v>
      </c>
      <c r="N143" s="617">
        <v>-54.100768803010403</v>
      </c>
      <c r="O143" s="617">
        <v>-24.560655427645724</v>
      </c>
      <c r="P143" s="617">
        <v>0</v>
      </c>
      <c r="Q143" s="617">
        <v>7.5015461547405717</v>
      </c>
      <c r="R143" s="617">
        <v>-500.54998169308607</v>
      </c>
      <c r="S143" s="617">
        <v>-65.971307555596866</v>
      </c>
      <c r="T143" s="617">
        <v>-12.361489941461461</v>
      </c>
      <c r="U143" s="617">
        <v>886.0367957735001</v>
      </c>
      <c r="V143" s="51"/>
      <c r="W143" s="51"/>
      <c r="X143" s="51"/>
    </row>
    <row r="144" spans="1:24">
      <c r="A144" s="51"/>
      <c r="B144" s="51"/>
      <c r="C144" s="618"/>
      <c r="D144" s="619">
        <v>0</v>
      </c>
      <c r="E144" s="619">
        <v>0</v>
      </c>
      <c r="F144" s="619">
        <v>0</v>
      </c>
      <c r="G144" s="619">
        <v>0</v>
      </c>
      <c r="H144" s="625">
        <v>0</v>
      </c>
      <c r="I144" s="619">
        <v>0</v>
      </c>
      <c r="J144" s="619">
        <v>0</v>
      </c>
      <c r="K144" s="619">
        <v>0</v>
      </c>
      <c r="L144" s="619">
        <v>0</v>
      </c>
      <c r="M144" s="619">
        <v>0</v>
      </c>
      <c r="N144" s="619">
        <v>0</v>
      </c>
      <c r="O144" s="619">
        <v>0</v>
      </c>
      <c r="P144" s="619">
        <v>0</v>
      </c>
      <c r="Q144" s="619">
        <v>0</v>
      </c>
      <c r="R144" s="619">
        <v>0</v>
      </c>
      <c r="S144" s="619">
        <v>0</v>
      </c>
      <c r="T144" s="619">
        <v>0</v>
      </c>
      <c r="U144" s="619">
        <v>0</v>
      </c>
      <c r="V144" s="51"/>
      <c r="W144" s="51"/>
      <c r="X144" s="51"/>
    </row>
    <row r="145" spans="1:24">
      <c r="A145" s="51"/>
      <c r="B145" s="51"/>
      <c r="C145" s="620" t="s">
        <v>78</v>
      </c>
      <c r="D145" s="613">
        <v>3.4252792556992748</v>
      </c>
      <c r="E145" s="613">
        <v>0</v>
      </c>
      <c r="F145" s="613">
        <v>12.308271650577865</v>
      </c>
      <c r="G145" s="613">
        <v>0</v>
      </c>
      <c r="H145" s="613">
        <v>73.413026523981316</v>
      </c>
      <c r="I145" s="613">
        <v>0</v>
      </c>
      <c r="J145" s="613">
        <v>0</v>
      </c>
      <c r="K145" s="613">
        <v>0</v>
      </c>
      <c r="L145" s="613">
        <v>20.422417009283894</v>
      </c>
      <c r="M145" s="613">
        <v>2.602859968291809</v>
      </c>
      <c r="N145" s="613">
        <v>1.0285361411132812</v>
      </c>
      <c r="O145" s="613">
        <v>10.038234189816116</v>
      </c>
      <c r="P145" s="613">
        <v>3.4088933105468748</v>
      </c>
      <c r="Q145" s="613">
        <v>5.5791983277925228E-4</v>
      </c>
      <c r="R145" s="613">
        <v>125.34883441740973</v>
      </c>
      <c r="S145" s="613">
        <v>17.986846293297361</v>
      </c>
      <c r="T145" s="613">
        <v>2.0558867187500001</v>
      </c>
      <c r="U145" s="621">
        <v>272.03964339860033</v>
      </c>
      <c r="V145" s="51"/>
      <c r="W145" s="622" t="e" cm="1">
        <f t="array" aca="1" ref="W145" ca="1">_xlfn.IFNA(INDEX(#REF!,MATCH(INDIRECT("Codes_bilans!"&amp;W$1&amp;"$"&amp;#REF!),#REF!,0),MATCH(#REF!,#REF!,0)),0)</f>
        <v>#REF!</v>
      </c>
      <c r="X145" s="51"/>
    </row>
    <row r="146" spans="1:24">
      <c r="A146" s="51"/>
      <c r="B146" s="51"/>
      <c r="C146" s="620" t="s">
        <v>79</v>
      </c>
      <c r="D146" s="613">
        <v>0</v>
      </c>
      <c r="E146" s="613">
        <v>0</v>
      </c>
      <c r="F146" s="613">
        <v>299.68098831610791</v>
      </c>
      <c r="G146" s="613">
        <v>0.15795207154289831</v>
      </c>
      <c r="H146" s="613">
        <v>4.9734474054962678</v>
      </c>
      <c r="I146" s="613">
        <v>0</v>
      </c>
      <c r="J146" s="613">
        <v>0</v>
      </c>
      <c r="K146" s="613">
        <v>0</v>
      </c>
      <c r="L146" s="613">
        <v>0</v>
      </c>
      <c r="M146" s="613">
        <v>0</v>
      </c>
      <c r="N146" s="613">
        <v>36.482323005879891</v>
      </c>
      <c r="O146" s="613">
        <v>0.67819737347676379</v>
      </c>
      <c r="P146" s="613">
        <v>0</v>
      </c>
      <c r="Q146" s="613">
        <v>0</v>
      </c>
      <c r="R146" s="613">
        <v>30.954972159028785</v>
      </c>
      <c r="S146" s="613">
        <v>0</v>
      </c>
      <c r="T146" s="613">
        <v>0.65150967495445122</v>
      </c>
      <c r="U146" s="621">
        <v>373.57939000648707</v>
      </c>
      <c r="V146" s="51"/>
      <c r="W146" s="622" t="e" cm="1">
        <f t="array" aca="1" ref="W146" ca="1">_xlfn.IFNA(INDEX(#REF!,MATCH(INDIRECT("Codes_bilans!"&amp;W$1&amp;"$"&amp;#REF!),#REF!,0),MATCH(#REF!,#REF!,0)),0)</f>
        <v>#REF!</v>
      </c>
      <c r="X146" s="51"/>
    </row>
    <row r="147" spans="1:24">
      <c r="A147" s="51"/>
      <c r="B147" s="51"/>
      <c r="C147" s="620" t="s">
        <v>80</v>
      </c>
      <c r="D147" s="613">
        <v>0</v>
      </c>
      <c r="E147" s="613">
        <v>0</v>
      </c>
      <c r="F147" s="613">
        <v>4.6180690607080663</v>
      </c>
      <c r="G147" s="613">
        <v>0</v>
      </c>
      <c r="H147" s="613">
        <v>64.670833332730624</v>
      </c>
      <c r="I147" s="613">
        <v>0</v>
      </c>
      <c r="J147" s="613">
        <v>0</v>
      </c>
      <c r="K147" s="613">
        <v>0</v>
      </c>
      <c r="L147" s="613">
        <v>45.694565750921086</v>
      </c>
      <c r="M147" s="613">
        <v>0</v>
      </c>
      <c r="N147" s="613">
        <v>0</v>
      </c>
      <c r="O147" s="613">
        <v>8.8187499999178112</v>
      </c>
      <c r="P147" s="613">
        <v>71.668518554839707</v>
      </c>
      <c r="Q147" s="613">
        <v>1.8312707461125663</v>
      </c>
      <c r="R147" s="613">
        <v>167.58037418148072</v>
      </c>
      <c r="S147" s="613">
        <v>29.293864289346555</v>
      </c>
      <c r="T147" s="613">
        <v>0</v>
      </c>
      <c r="U147" s="621">
        <v>394.17624591605716</v>
      </c>
      <c r="V147" s="51"/>
      <c r="W147" s="622" t="e" cm="1">
        <f t="array" aca="1" ref="W147" ca="1">_xlfn.IFNA(INDEX(#REF!,MATCH(INDIRECT("Codes_bilans!"&amp;W$1&amp;"$"&amp;#REF!),#REF!,0),MATCH(#REF!,#REF!,0)),0)</f>
        <v>#REF!</v>
      </c>
      <c r="X147" s="67"/>
    </row>
    <row r="148" spans="1:24">
      <c r="A148" s="51"/>
      <c r="B148" s="51"/>
      <c r="C148" s="620" t="s">
        <v>81</v>
      </c>
      <c r="D148" s="613">
        <v>0</v>
      </c>
      <c r="E148" s="613">
        <v>0</v>
      </c>
      <c r="F148" s="613">
        <v>5.9743988488591224</v>
      </c>
      <c r="G148" s="613">
        <v>0</v>
      </c>
      <c r="H148" s="613">
        <v>27.969082753856803</v>
      </c>
      <c r="I148" s="613">
        <v>0</v>
      </c>
      <c r="J148" s="613">
        <v>0</v>
      </c>
      <c r="K148" s="613">
        <v>0</v>
      </c>
      <c r="L148" s="613">
        <v>0.46314310358360405</v>
      </c>
      <c r="M148" s="613">
        <v>5.3454570882310241E-4</v>
      </c>
      <c r="N148" s="613">
        <v>0</v>
      </c>
      <c r="O148" s="613">
        <v>3.8139658300713819</v>
      </c>
      <c r="P148" s="613">
        <v>16.00449528116604</v>
      </c>
      <c r="Q148" s="613">
        <v>0.86463956078668247</v>
      </c>
      <c r="R148" s="613">
        <v>100.94959269616226</v>
      </c>
      <c r="S148" s="613">
        <v>18.690596972952971</v>
      </c>
      <c r="T148" s="613">
        <v>0</v>
      </c>
      <c r="U148" s="621">
        <v>174.73044959314768</v>
      </c>
      <c r="V148" s="51"/>
      <c r="W148" s="622" t="e" cm="1">
        <f t="array" aca="1" ref="W148" ca="1">_xlfn.IFNA(INDEX(#REF!,MATCH(INDIRECT("Codes_bilans!"&amp;W$1&amp;"$"&amp;#REF!),#REF!,0),MATCH(#REF!,#REF!,0)),0)</f>
        <v>#REF!</v>
      </c>
      <c r="X148" s="51"/>
    </row>
    <row r="149" spans="1:24">
      <c r="A149" s="51"/>
      <c r="B149" s="51"/>
      <c r="C149" s="620" t="s">
        <v>82</v>
      </c>
      <c r="D149" s="613">
        <v>0</v>
      </c>
      <c r="E149" s="613">
        <v>0</v>
      </c>
      <c r="F149" s="613">
        <v>27.024104246708042</v>
      </c>
      <c r="G149" s="613">
        <v>0</v>
      </c>
      <c r="H149" s="613">
        <v>1.735774540709758</v>
      </c>
      <c r="I149" s="613">
        <v>0</v>
      </c>
      <c r="J149" s="613">
        <v>0</v>
      </c>
      <c r="K149" s="613">
        <v>0</v>
      </c>
      <c r="L149" s="613">
        <v>2.1723993471697325</v>
      </c>
      <c r="M149" s="613">
        <v>0</v>
      </c>
      <c r="N149" s="613">
        <v>4.6410977021219679</v>
      </c>
      <c r="O149" s="613">
        <v>0.23669652827860335</v>
      </c>
      <c r="P149" s="613">
        <v>0.5</v>
      </c>
      <c r="Q149" s="613">
        <v>0.62518456969816016</v>
      </c>
      <c r="R149" s="613">
        <v>7.6640280422278524</v>
      </c>
      <c r="S149" s="613">
        <v>0</v>
      </c>
      <c r="T149" s="613">
        <v>0.17366238047171115</v>
      </c>
      <c r="U149" s="621">
        <v>44.772947357385839</v>
      </c>
      <c r="V149" s="51"/>
      <c r="W149" s="622" t="e" cm="1">
        <f t="array" aca="1" ref="W149" ca="1">_xlfn.IFNA(INDEX(#REF!,MATCH(INDIRECT("Codes_bilans!"&amp;W$1&amp;"$"&amp;#REF!),#REF!,0),MATCH(#REF!,#REF!,0)),0)</f>
        <v>#REF!</v>
      </c>
      <c r="X149" s="51"/>
    </row>
    <row r="150" spans="1:24">
      <c r="A150" s="51"/>
      <c r="B150" s="51"/>
      <c r="C150" s="620" t="s">
        <v>357</v>
      </c>
      <c r="D150" s="613">
        <v>0</v>
      </c>
      <c r="E150" s="613">
        <v>0</v>
      </c>
      <c r="F150" s="613">
        <v>0</v>
      </c>
      <c r="G150" s="613">
        <v>0</v>
      </c>
      <c r="H150" s="613">
        <v>0</v>
      </c>
      <c r="I150" s="613">
        <v>0</v>
      </c>
      <c r="J150" s="613">
        <v>0</v>
      </c>
      <c r="K150" s="613">
        <v>0</v>
      </c>
      <c r="L150" s="613">
        <v>0</v>
      </c>
      <c r="M150" s="613">
        <v>0</v>
      </c>
      <c r="N150" s="613">
        <v>0</v>
      </c>
      <c r="O150" s="613">
        <v>0</v>
      </c>
      <c r="P150" s="613">
        <v>0</v>
      </c>
      <c r="Q150" s="613">
        <v>0</v>
      </c>
      <c r="R150" s="613">
        <v>0</v>
      </c>
      <c r="S150" s="613">
        <v>0</v>
      </c>
      <c r="T150" s="613">
        <v>0</v>
      </c>
      <c r="U150" s="621">
        <v>0</v>
      </c>
      <c r="V150" s="51"/>
      <c r="W150" s="622" t="e" cm="1">
        <f t="array" aca="1" ref="W150" ca="1">_xlfn.IFNA(INDEX(#REF!,MATCH(INDIRECT("Codes_bilans!"&amp;W$1&amp;"$"&amp;#REF!),#REF!,0),MATCH(#REF!,#REF!,0)),0)</f>
        <v>#REF!</v>
      </c>
      <c r="X150" s="51"/>
    </row>
    <row r="151" spans="1:24">
      <c r="A151" s="51"/>
      <c r="B151" s="51"/>
      <c r="C151" s="616" t="s">
        <v>83</v>
      </c>
      <c r="D151" s="617">
        <v>3.4252792556992748</v>
      </c>
      <c r="E151" s="617">
        <v>0</v>
      </c>
      <c r="F151" s="617">
        <v>349.60583212296103</v>
      </c>
      <c r="G151" s="617">
        <v>0.15795207154289831</v>
      </c>
      <c r="H151" s="624">
        <v>172.76216455677479</v>
      </c>
      <c r="I151" s="617">
        <v>0</v>
      </c>
      <c r="J151" s="617">
        <v>0</v>
      </c>
      <c r="K151" s="617">
        <v>0</v>
      </c>
      <c r="L151" s="617">
        <v>68.752525210958311</v>
      </c>
      <c r="M151" s="617">
        <v>2.603394514000632</v>
      </c>
      <c r="N151" s="617">
        <v>42.151956849115138</v>
      </c>
      <c r="O151" s="617">
        <v>23.585843921560677</v>
      </c>
      <c r="P151" s="617">
        <v>91.581907146552624</v>
      </c>
      <c r="Q151" s="617">
        <v>3.3216527964301883</v>
      </c>
      <c r="R151" s="617">
        <v>432.49780149630931</v>
      </c>
      <c r="S151" s="617">
        <v>65.97130755559688</v>
      </c>
      <c r="T151" s="617">
        <v>2.8810587741761626</v>
      </c>
      <c r="U151" s="617">
        <v>1259.2986762716782</v>
      </c>
      <c r="V151" s="51"/>
      <c r="W151" s="51"/>
      <c r="X151" s="51"/>
    </row>
    <row r="152" spans="1:24">
      <c r="A152" s="51"/>
      <c r="B152" s="51"/>
      <c r="C152" s="612" t="s">
        <v>84</v>
      </c>
      <c r="D152" s="613">
        <v>0</v>
      </c>
      <c r="E152" s="613">
        <v>0</v>
      </c>
      <c r="F152" s="613">
        <v>95.324260386983326</v>
      </c>
      <c r="G152" s="613">
        <v>1.5048882455619152</v>
      </c>
      <c r="H152" s="613">
        <v>10.356262080325934</v>
      </c>
      <c r="I152" s="613">
        <v>0</v>
      </c>
      <c r="J152" s="613">
        <v>0</v>
      </c>
      <c r="K152" s="613">
        <v>0</v>
      </c>
      <c r="L152" s="613">
        <v>0.11775416529838639</v>
      </c>
      <c r="M152" s="613">
        <v>0</v>
      </c>
      <c r="N152" s="613">
        <v>8.0702977228109543</v>
      </c>
      <c r="O152" s="613">
        <v>0.98433711774094745</v>
      </c>
      <c r="P152" s="613">
        <v>0</v>
      </c>
      <c r="Q152" s="613">
        <v>0</v>
      </c>
      <c r="R152" s="613">
        <v>0</v>
      </c>
      <c r="S152" s="613">
        <v>0</v>
      </c>
      <c r="T152" s="613">
        <v>9.4804311672852979</v>
      </c>
      <c r="U152" s="621">
        <v>125.83823088600677</v>
      </c>
      <c r="V152" s="51"/>
      <c r="W152" s="622" t="e" cm="1">
        <f t="array" aca="1" ref="W152" ca="1">_xlfn.IFNA(INDEX(#REF!,MATCH(INDIRECT("Codes_bilans!"&amp;W$1&amp;"$"&amp;#REF!),#REF!,0),MATCH(#REF!,#REF!,0)),0)</f>
        <v>#REF!</v>
      </c>
      <c r="X152" s="51"/>
    </row>
    <row r="153" spans="1:24">
      <c r="A153" s="51"/>
      <c r="B153" s="51"/>
      <c r="C153" s="616" t="s">
        <v>85</v>
      </c>
      <c r="D153" s="617">
        <v>3.4252792556992748</v>
      </c>
      <c r="E153" s="617">
        <v>0</v>
      </c>
      <c r="F153" s="617">
        <v>444.9300925099443</v>
      </c>
      <c r="G153" s="617">
        <v>1.6628403171048136</v>
      </c>
      <c r="H153" s="624">
        <v>183.11842663710073</v>
      </c>
      <c r="I153" s="617">
        <v>0</v>
      </c>
      <c r="J153" s="617">
        <v>0</v>
      </c>
      <c r="K153" s="617">
        <v>0</v>
      </c>
      <c r="L153" s="617">
        <v>68.870279376256704</v>
      </c>
      <c r="M153" s="617">
        <v>2.603394514000632</v>
      </c>
      <c r="N153" s="617">
        <v>50.222254571926094</v>
      </c>
      <c r="O153" s="617">
        <v>24.570181039301623</v>
      </c>
      <c r="P153" s="617">
        <v>91.581907146552624</v>
      </c>
      <c r="Q153" s="617">
        <v>3.3216527964301883</v>
      </c>
      <c r="R153" s="617">
        <v>432.49780149630931</v>
      </c>
      <c r="S153" s="617">
        <v>65.97130755559688</v>
      </c>
      <c r="T153" s="617">
        <v>12.361489941461461</v>
      </c>
      <c r="U153" s="617">
        <v>1385.1369071576848</v>
      </c>
      <c r="V153" s="51"/>
      <c r="W153" s="51"/>
      <c r="X153" s="51"/>
    </row>
    <row r="154" spans="1:24">
      <c r="A154" s="51"/>
      <c r="B154" s="51"/>
      <c r="C154" s="51"/>
      <c r="D154" s="67">
        <v>0</v>
      </c>
      <c r="E154" s="67">
        <v>0</v>
      </c>
      <c r="F154" s="67">
        <v>-1.6342482922482304E-13</v>
      </c>
      <c r="G154" s="67">
        <v>-1.1102230246251565E-16</v>
      </c>
      <c r="H154" s="67">
        <v>0</v>
      </c>
      <c r="I154" s="67">
        <v>0</v>
      </c>
      <c r="J154" s="67">
        <v>0</v>
      </c>
      <c r="K154" s="67">
        <v>0</v>
      </c>
      <c r="L154" s="67">
        <v>0</v>
      </c>
      <c r="M154" s="67">
        <v>0</v>
      </c>
      <c r="N154" s="67">
        <v>-4.0337644107011572</v>
      </c>
      <c r="O154" s="67">
        <v>-4.801714581503802E-15</v>
      </c>
      <c r="P154" s="67">
        <v>0</v>
      </c>
      <c r="Q154" s="67">
        <v>0</v>
      </c>
      <c r="R154" s="67">
        <v>-1.7053025658242404E-13</v>
      </c>
      <c r="S154" s="67">
        <v>1.4210854715202004E-14</v>
      </c>
      <c r="T154" s="67">
        <v>0</v>
      </c>
      <c r="U154" s="67">
        <v>-4.0337644107016786</v>
      </c>
      <c r="V154" s="51"/>
      <c r="W154" s="51"/>
      <c r="X154" s="51"/>
    </row>
    <row r="155" spans="1:24">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row>
    <row r="156" spans="1:24">
      <c r="A156" s="608"/>
      <c r="B156" s="608"/>
      <c r="C156" s="609" t="s">
        <v>360</v>
      </c>
      <c r="D156" s="608"/>
      <c r="E156" s="608"/>
      <c r="F156" s="608"/>
      <c r="G156" s="608"/>
      <c r="H156" s="608"/>
      <c r="I156" s="608"/>
      <c r="J156" s="608"/>
      <c r="K156" s="608"/>
      <c r="L156" s="608"/>
      <c r="M156" s="608"/>
      <c r="N156" s="608"/>
      <c r="O156" s="608"/>
      <c r="P156" s="608"/>
      <c r="Q156" s="608"/>
      <c r="R156" s="608"/>
      <c r="S156" s="608"/>
      <c r="T156" s="608"/>
      <c r="U156" s="608"/>
      <c r="V156" s="608"/>
      <c r="W156" s="608"/>
      <c r="X156" s="608"/>
    </row>
    <row r="157" spans="1:24">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row>
    <row r="158" spans="1:24" ht="14.25" customHeight="1">
      <c r="A158" s="51"/>
      <c r="B158" s="51"/>
      <c r="C158" s="713" t="s">
        <v>128</v>
      </c>
      <c r="D158" s="711" t="s">
        <v>42</v>
      </c>
      <c r="E158" s="711" t="s">
        <v>52</v>
      </c>
      <c r="F158" s="711" t="s">
        <v>53</v>
      </c>
      <c r="G158" s="711" t="s">
        <v>487</v>
      </c>
      <c r="H158" s="711" t="s">
        <v>32</v>
      </c>
      <c r="I158" s="711" t="s">
        <v>488</v>
      </c>
      <c r="J158" s="711" t="s">
        <v>20</v>
      </c>
      <c r="K158" s="711" t="s">
        <v>55</v>
      </c>
      <c r="L158" s="715" t="s">
        <v>56</v>
      </c>
      <c r="M158" s="716"/>
      <c r="N158" s="716"/>
      <c r="O158" s="716"/>
      <c r="P158" s="716"/>
      <c r="Q158" s="717"/>
      <c r="R158" s="711" t="s">
        <v>57</v>
      </c>
      <c r="S158" s="711" t="s">
        <v>58</v>
      </c>
      <c r="T158" s="711" t="s">
        <v>31</v>
      </c>
      <c r="U158" s="711" t="s">
        <v>10</v>
      </c>
      <c r="V158" s="51"/>
      <c r="W158" s="51"/>
      <c r="X158" s="51"/>
    </row>
    <row r="159" spans="1:24" ht="24">
      <c r="A159" s="51"/>
      <c r="B159" s="51"/>
      <c r="C159" s="714"/>
      <c r="D159" s="712"/>
      <c r="E159" s="712"/>
      <c r="F159" s="712"/>
      <c r="G159" s="712"/>
      <c r="H159" s="712"/>
      <c r="I159" s="712"/>
      <c r="J159" s="712"/>
      <c r="K159" s="712"/>
      <c r="L159" s="610" t="s">
        <v>338</v>
      </c>
      <c r="M159" s="610" t="s">
        <v>40</v>
      </c>
      <c r="N159" s="610" t="s">
        <v>346</v>
      </c>
      <c r="O159" s="610" t="s">
        <v>347</v>
      </c>
      <c r="P159" s="611" t="s">
        <v>348</v>
      </c>
      <c r="Q159" s="610" t="s">
        <v>349</v>
      </c>
      <c r="R159" s="712"/>
      <c r="S159" s="712"/>
      <c r="T159" s="712"/>
      <c r="U159" s="712"/>
      <c r="V159" s="51"/>
      <c r="W159" s="51"/>
      <c r="X159" s="51"/>
    </row>
    <row r="160" spans="1:24">
      <c r="A160" s="51"/>
      <c r="B160" s="51"/>
      <c r="C160" s="612" t="s">
        <v>59</v>
      </c>
      <c r="D160" s="613">
        <v>0</v>
      </c>
      <c r="E160" s="613">
        <v>7.3966799999999999</v>
      </c>
      <c r="F160" s="613">
        <v>0</v>
      </c>
      <c r="G160" s="613">
        <v>0</v>
      </c>
      <c r="H160" s="613">
        <v>0.13025600000000001</v>
      </c>
      <c r="I160" s="613">
        <v>0</v>
      </c>
      <c r="J160" s="614">
        <v>1029.1558581818183</v>
      </c>
      <c r="K160" s="614">
        <v>252.71345318084585</v>
      </c>
      <c r="L160" s="614">
        <v>255.68410652130109</v>
      </c>
      <c r="M160" s="614">
        <v>27.770997573910321</v>
      </c>
      <c r="N160" s="613">
        <v>1.4753548538560814</v>
      </c>
      <c r="O160" s="613">
        <v>0.15089220372740705</v>
      </c>
      <c r="P160" s="614">
        <v>105.39487042391544</v>
      </c>
      <c r="Q160" s="614">
        <v>15.052128201204939</v>
      </c>
      <c r="R160" s="613">
        <v>0</v>
      </c>
      <c r="S160" s="613">
        <v>0</v>
      </c>
      <c r="T160" s="613">
        <v>0</v>
      </c>
      <c r="U160" s="615">
        <v>1694.9245971405794</v>
      </c>
      <c r="V160" s="51"/>
      <c r="W160" s="51"/>
      <c r="X160" s="51"/>
    </row>
    <row r="161" spans="1:24">
      <c r="A161" s="51"/>
      <c r="B161" s="51"/>
      <c r="C161" s="612" t="s">
        <v>60</v>
      </c>
      <c r="D161" s="613">
        <v>17.481730816264069</v>
      </c>
      <c r="E161" s="613">
        <v>368.30859161745235</v>
      </c>
      <c r="F161" s="613">
        <v>88.290951016716463</v>
      </c>
      <c r="G161" s="613">
        <v>0.96271456308499825</v>
      </c>
      <c r="H161" s="613">
        <v>191.03063115534553</v>
      </c>
      <c r="I161" s="613">
        <v>0</v>
      </c>
      <c r="J161" s="613">
        <v>0</v>
      </c>
      <c r="K161" s="613">
        <v>0</v>
      </c>
      <c r="L161" s="613">
        <v>3.0227324829465219</v>
      </c>
      <c r="M161" s="613">
        <v>0</v>
      </c>
      <c r="N161" s="613">
        <v>3.4911647532197585</v>
      </c>
      <c r="O161" s="613">
        <v>0</v>
      </c>
      <c r="P161" s="613">
        <v>0</v>
      </c>
      <c r="Q161" s="613">
        <v>0</v>
      </c>
      <c r="R161" s="613">
        <v>0</v>
      </c>
      <c r="S161" s="613">
        <v>0</v>
      </c>
      <c r="T161" s="613">
        <v>0</v>
      </c>
      <c r="U161" s="615">
        <v>672.58851640502974</v>
      </c>
      <c r="V161" s="51"/>
      <c r="W161" s="51"/>
      <c r="X161" s="51"/>
    </row>
    <row r="162" spans="1:24">
      <c r="A162" s="51"/>
      <c r="B162" s="51"/>
      <c r="C162" s="612" t="s">
        <v>61</v>
      </c>
      <c r="D162" s="613">
        <v>0</v>
      </c>
      <c r="E162" s="613">
        <v>0</v>
      </c>
      <c r="F162" s="613">
        <v>-0.25412033446216642</v>
      </c>
      <c r="G162" s="613">
        <v>0</v>
      </c>
      <c r="H162" s="613">
        <v>0</v>
      </c>
      <c r="I162" s="613">
        <v>0</v>
      </c>
      <c r="J162" s="613">
        <v>0</v>
      </c>
      <c r="K162" s="613">
        <v>0</v>
      </c>
      <c r="L162" s="613">
        <v>0</v>
      </c>
      <c r="M162" s="613">
        <v>0</v>
      </c>
      <c r="N162" s="613">
        <v>0</v>
      </c>
      <c r="O162" s="613">
        <v>0</v>
      </c>
      <c r="P162" s="613">
        <v>0</v>
      </c>
      <c r="Q162" s="613">
        <v>0</v>
      </c>
      <c r="R162" s="613">
        <v>-72.449875026853533</v>
      </c>
      <c r="S162" s="613">
        <v>0</v>
      </c>
      <c r="T162" s="613">
        <v>0</v>
      </c>
      <c r="U162" s="615">
        <v>-72.703995361315705</v>
      </c>
      <c r="V162" s="51"/>
      <c r="W162" s="51"/>
      <c r="X162" s="51"/>
    </row>
    <row r="163" spans="1:24">
      <c r="A163" s="51"/>
      <c r="B163" s="51"/>
      <c r="C163" s="612" t="s">
        <v>62</v>
      </c>
      <c r="D163" s="613">
        <v>0</v>
      </c>
      <c r="E163" s="613">
        <v>0</v>
      </c>
      <c r="F163" s="613">
        <v>-14.25530176013427</v>
      </c>
      <c r="G163" s="613">
        <v>-0.84519248028876315</v>
      </c>
      <c r="H163" s="613">
        <v>-3.1313337287141003</v>
      </c>
      <c r="I163" s="613">
        <v>0</v>
      </c>
      <c r="J163" s="613">
        <v>0</v>
      </c>
      <c r="K163" s="613">
        <v>0</v>
      </c>
      <c r="L163" s="613">
        <v>0</v>
      </c>
      <c r="M163" s="613">
        <v>0</v>
      </c>
      <c r="N163" s="613">
        <v>-0.51271510605917692</v>
      </c>
      <c r="O163" s="613">
        <v>-0.83237985193665964</v>
      </c>
      <c r="P163" s="613">
        <v>0</v>
      </c>
      <c r="Q163" s="613">
        <v>0</v>
      </c>
      <c r="R163" s="613">
        <v>0</v>
      </c>
      <c r="S163" s="613">
        <v>0</v>
      </c>
      <c r="T163" s="613">
        <v>0</v>
      </c>
      <c r="U163" s="615">
        <v>-19.576922927132969</v>
      </c>
      <c r="V163" s="51"/>
      <c r="W163" s="51"/>
      <c r="X163" s="51"/>
    </row>
    <row r="164" spans="1:24">
      <c r="A164" s="51"/>
      <c r="B164" s="51"/>
      <c r="C164" s="612" t="s">
        <v>63</v>
      </c>
      <c r="D164" s="613">
        <v>0</v>
      </c>
      <c r="E164" s="613">
        <v>0</v>
      </c>
      <c r="F164" s="613">
        <v>-65.50346802559632</v>
      </c>
      <c r="G164" s="613">
        <v>-2.6636790811189917</v>
      </c>
      <c r="H164" s="613">
        <v>0</v>
      </c>
      <c r="I164" s="613">
        <v>0</v>
      </c>
      <c r="J164" s="613">
        <v>0</v>
      </c>
      <c r="K164" s="613">
        <v>0</v>
      </c>
      <c r="L164" s="613">
        <v>0</v>
      </c>
      <c r="M164" s="613">
        <v>0</v>
      </c>
      <c r="N164" s="613">
        <v>-8.704547136030067</v>
      </c>
      <c r="O164" s="613">
        <v>0</v>
      </c>
      <c r="P164" s="613">
        <v>0</v>
      </c>
      <c r="Q164" s="613">
        <v>0</v>
      </c>
      <c r="R164" s="613">
        <v>0</v>
      </c>
      <c r="S164" s="613">
        <v>0</v>
      </c>
      <c r="T164" s="613">
        <v>-8.5933245803094055E-2</v>
      </c>
      <c r="U164" s="615">
        <v>-76.957627488548468</v>
      </c>
      <c r="V164" s="51"/>
      <c r="W164" s="51"/>
      <c r="X164" s="51"/>
    </row>
    <row r="165" spans="1:24">
      <c r="A165" s="51"/>
      <c r="B165" s="51"/>
      <c r="C165" s="612" t="s">
        <v>64</v>
      </c>
      <c r="D165" s="613">
        <v>0</v>
      </c>
      <c r="E165" s="613">
        <v>0</v>
      </c>
      <c r="F165" s="613">
        <v>0</v>
      </c>
      <c r="G165" s="613">
        <v>0</v>
      </c>
      <c r="H165" s="613">
        <v>0</v>
      </c>
      <c r="I165" s="613">
        <v>0</v>
      </c>
      <c r="J165" s="613">
        <v>0</v>
      </c>
      <c r="K165" s="613">
        <v>0</v>
      </c>
      <c r="L165" s="613">
        <v>0</v>
      </c>
      <c r="M165" s="613">
        <v>0</v>
      </c>
      <c r="N165" s="613">
        <v>0</v>
      </c>
      <c r="O165" s="613">
        <v>0</v>
      </c>
      <c r="P165" s="613">
        <v>0</v>
      </c>
      <c r="Q165" s="613">
        <v>0</v>
      </c>
      <c r="R165" s="613">
        <v>0</v>
      </c>
      <c r="S165" s="613">
        <v>0</v>
      </c>
      <c r="T165" s="613">
        <v>0</v>
      </c>
      <c r="U165" s="615">
        <v>0</v>
      </c>
      <c r="V165" s="51"/>
      <c r="W165" s="51"/>
      <c r="X165" s="51"/>
    </row>
    <row r="166" spans="1:24">
      <c r="A166" s="51"/>
      <c r="B166" s="51"/>
      <c r="C166" s="616" t="s">
        <v>65</v>
      </c>
      <c r="D166" s="617">
        <v>17.481730816264069</v>
      </c>
      <c r="E166" s="617">
        <v>375.70527161745235</v>
      </c>
      <c r="F166" s="617">
        <v>8.2780608965236979</v>
      </c>
      <c r="G166" s="617">
        <v>-2.5461569983227568</v>
      </c>
      <c r="H166" s="624">
        <v>188.02955342663142</v>
      </c>
      <c r="I166" s="617">
        <v>0</v>
      </c>
      <c r="J166" s="617">
        <v>1029.1558581818183</v>
      </c>
      <c r="K166" s="617">
        <v>252.71345318084585</v>
      </c>
      <c r="L166" s="617">
        <v>258.70683900424763</v>
      </c>
      <c r="M166" s="617">
        <v>27.770997573910321</v>
      </c>
      <c r="N166" s="617">
        <v>-4.2507426350134043</v>
      </c>
      <c r="O166" s="617">
        <v>-0.68148764820925256</v>
      </c>
      <c r="P166" s="617">
        <v>105.39487042391544</v>
      </c>
      <c r="Q166" s="617">
        <v>15.052128201204939</v>
      </c>
      <c r="R166" s="617">
        <v>-72.449875026853533</v>
      </c>
      <c r="S166" s="617">
        <v>0</v>
      </c>
      <c r="T166" s="617">
        <v>-8.5933245803094055E-2</v>
      </c>
      <c r="U166" s="617">
        <v>2198.2745677686121</v>
      </c>
      <c r="V166" s="51"/>
      <c r="W166" s="51"/>
      <c r="X166" s="51"/>
    </row>
    <row r="167" spans="1:24">
      <c r="A167" s="51"/>
      <c r="B167" s="51"/>
      <c r="C167" s="618"/>
      <c r="D167" s="619">
        <v>0</v>
      </c>
      <c r="E167" s="619">
        <v>0</v>
      </c>
      <c r="F167" s="619">
        <v>0</v>
      </c>
      <c r="G167" s="619">
        <v>0</v>
      </c>
      <c r="H167" s="625">
        <v>0</v>
      </c>
      <c r="I167" s="619">
        <v>0</v>
      </c>
      <c r="J167" s="619">
        <v>0</v>
      </c>
      <c r="K167" s="619">
        <v>0</v>
      </c>
      <c r="L167" s="619">
        <v>0</v>
      </c>
      <c r="M167" s="619">
        <v>0</v>
      </c>
      <c r="N167" s="619">
        <v>0</v>
      </c>
      <c r="O167" s="619">
        <v>0</v>
      </c>
      <c r="P167" s="619">
        <v>0</v>
      </c>
      <c r="Q167" s="619">
        <v>0</v>
      </c>
      <c r="R167" s="619">
        <v>0</v>
      </c>
      <c r="S167" s="619">
        <v>0</v>
      </c>
      <c r="T167" s="619">
        <v>0</v>
      </c>
      <c r="U167" s="619">
        <v>0</v>
      </c>
      <c r="V167" s="51"/>
      <c r="W167" s="51"/>
      <c r="X167" s="51"/>
    </row>
    <row r="168" spans="1:24">
      <c r="A168" s="51"/>
      <c r="B168" s="51"/>
      <c r="C168" s="620" t="s">
        <v>67</v>
      </c>
      <c r="D168" s="613">
        <v>0</v>
      </c>
      <c r="E168" s="613">
        <v>0</v>
      </c>
      <c r="F168" s="613">
        <v>0</v>
      </c>
      <c r="G168" s="613">
        <v>0</v>
      </c>
      <c r="H168" s="613">
        <v>0</v>
      </c>
      <c r="I168" s="613">
        <v>0</v>
      </c>
      <c r="J168" s="613">
        <v>0</v>
      </c>
      <c r="K168" s="613">
        <v>0</v>
      </c>
      <c r="L168" s="613">
        <v>0</v>
      </c>
      <c r="M168" s="613">
        <v>0</v>
      </c>
      <c r="N168" s="613">
        <v>0</v>
      </c>
      <c r="O168" s="613">
        <v>0</v>
      </c>
      <c r="P168" s="613">
        <v>0</v>
      </c>
      <c r="Q168" s="613">
        <v>0</v>
      </c>
      <c r="R168" s="613">
        <v>0</v>
      </c>
      <c r="S168" s="613">
        <v>0</v>
      </c>
      <c r="T168" s="613">
        <v>0</v>
      </c>
      <c r="U168" s="621">
        <v>0</v>
      </c>
      <c r="V168" s="51"/>
      <c r="W168" s="51"/>
      <c r="X168" s="51"/>
    </row>
    <row r="169" spans="1:24">
      <c r="A169" s="51"/>
      <c r="B169" s="51"/>
      <c r="C169" s="620" t="s">
        <v>350</v>
      </c>
      <c r="D169" s="613">
        <v>0</v>
      </c>
      <c r="E169" s="613">
        <v>0</v>
      </c>
      <c r="F169" s="613">
        <v>0.79278558393774012</v>
      </c>
      <c r="G169" s="613">
        <v>0</v>
      </c>
      <c r="H169" s="613">
        <v>20.991236399526461</v>
      </c>
      <c r="I169" s="613">
        <v>0</v>
      </c>
      <c r="J169" s="613">
        <v>1029.1558581818183</v>
      </c>
      <c r="K169" s="613">
        <v>252.71345318084585</v>
      </c>
      <c r="L169" s="613">
        <v>27.925956196472111</v>
      </c>
      <c r="M169" s="613">
        <v>10.379890035222726</v>
      </c>
      <c r="N169" s="613">
        <v>4.7819832265678626</v>
      </c>
      <c r="O169" s="613">
        <v>4.7138412807995014</v>
      </c>
      <c r="P169" s="613">
        <v>0</v>
      </c>
      <c r="Q169" s="613">
        <v>1.6766395861963883</v>
      </c>
      <c r="R169" s="613">
        <v>-625.05316091305474</v>
      </c>
      <c r="S169" s="613">
        <v>0</v>
      </c>
      <c r="T169" s="613">
        <v>0</v>
      </c>
      <c r="U169" s="621">
        <v>728.07848275833226</v>
      </c>
      <c r="V169" s="51"/>
      <c r="W169" s="51"/>
      <c r="X169" s="51"/>
    </row>
    <row r="170" spans="1:24">
      <c r="A170" s="51"/>
      <c r="B170" s="51"/>
      <c r="C170" s="620" t="s">
        <v>351</v>
      </c>
      <c r="D170" s="613">
        <v>0</v>
      </c>
      <c r="E170" s="613">
        <v>0</v>
      </c>
      <c r="F170" s="613">
        <v>0</v>
      </c>
      <c r="G170" s="613">
        <v>0</v>
      </c>
      <c r="H170" s="613">
        <v>14.235464329282825</v>
      </c>
      <c r="I170" s="613">
        <v>0</v>
      </c>
      <c r="J170" s="613">
        <v>0</v>
      </c>
      <c r="K170" s="613">
        <v>0</v>
      </c>
      <c r="L170" s="613">
        <v>35.236777417757288</v>
      </c>
      <c r="M170" s="613">
        <v>14.842062220534972</v>
      </c>
      <c r="N170" s="613">
        <v>0</v>
      </c>
      <c r="O170" s="613">
        <v>4.2657087375224645</v>
      </c>
      <c r="P170" s="613">
        <v>0</v>
      </c>
      <c r="Q170" s="613">
        <v>9.4996550719303219</v>
      </c>
      <c r="R170" s="613">
        <v>0</v>
      </c>
      <c r="S170" s="613">
        <v>-71.457959708478597</v>
      </c>
      <c r="T170" s="613">
        <v>0</v>
      </c>
      <c r="U170" s="621">
        <v>6.6217080685492906</v>
      </c>
      <c r="V170" s="51"/>
      <c r="W170" s="51"/>
      <c r="X170" s="51"/>
    </row>
    <row r="171" spans="1:24">
      <c r="A171" s="51"/>
      <c r="B171" s="51"/>
      <c r="C171" s="620" t="s">
        <v>352</v>
      </c>
      <c r="D171" s="613">
        <v>0</v>
      </c>
      <c r="E171" s="613">
        <v>0</v>
      </c>
      <c r="F171" s="613">
        <v>0</v>
      </c>
      <c r="G171" s="613">
        <v>0</v>
      </c>
      <c r="H171" s="613">
        <v>0</v>
      </c>
      <c r="I171" s="613">
        <v>0</v>
      </c>
      <c r="J171" s="613">
        <v>0</v>
      </c>
      <c r="K171" s="613">
        <v>0</v>
      </c>
      <c r="L171" s="613">
        <v>54.491320741605719</v>
      </c>
      <c r="M171" s="613">
        <v>0</v>
      </c>
      <c r="N171" s="613">
        <v>0</v>
      </c>
      <c r="O171" s="613">
        <v>-49.313224501826951</v>
      </c>
      <c r="P171" s="613">
        <v>0</v>
      </c>
      <c r="Q171" s="613">
        <v>0</v>
      </c>
      <c r="R171" s="613">
        <v>0</v>
      </c>
      <c r="S171" s="613">
        <v>0</v>
      </c>
      <c r="T171" s="613">
        <v>0</v>
      </c>
      <c r="U171" s="621">
        <v>5.1780962397787675</v>
      </c>
      <c r="V171" s="51"/>
      <c r="W171" s="51"/>
      <c r="X171" s="51"/>
    </row>
    <row r="172" spans="1:24">
      <c r="A172" s="51"/>
      <c r="B172" s="51"/>
      <c r="C172" s="620" t="s">
        <v>353</v>
      </c>
      <c r="D172" s="613">
        <v>0</v>
      </c>
      <c r="E172" s="613">
        <v>0</v>
      </c>
      <c r="F172" s="613">
        <v>0</v>
      </c>
      <c r="G172" s="613">
        <v>0</v>
      </c>
      <c r="H172" s="613">
        <v>0</v>
      </c>
      <c r="I172" s="613">
        <v>0</v>
      </c>
      <c r="J172" s="613">
        <v>0</v>
      </c>
      <c r="K172" s="613">
        <v>0</v>
      </c>
      <c r="L172" s="613">
        <v>0</v>
      </c>
      <c r="M172" s="613">
        <v>0</v>
      </c>
      <c r="N172" s="613">
        <v>0</v>
      </c>
      <c r="O172" s="613">
        <v>0</v>
      </c>
      <c r="P172" s="613">
        <v>0</v>
      </c>
      <c r="Q172" s="613">
        <v>0</v>
      </c>
      <c r="R172" s="613">
        <v>0</v>
      </c>
      <c r="S172" s="613">
        <v>0</v>
      </c>
      <c r="T172" s="613">
        <v>0</v>
      </c>
      <c r="U172" s="621">
        <v>0</v>
      </c>
      <c r="V172" s="51"/>
      <c r="W172" s="51"/>
      <c r="X172" s="51"/>
    </row>
    <row r="173" spans="1:24">
      <c r="A173" s="51"/>
      <c r="B173" s="51"/>
      <c r="C173" s="620" t="s">
        <v>72</v>
      </c>
      <c r="D173" s="613">
        <v>0</v>
      </c>
      <c r="E173" s="613">
        <v>389.35548440642862</v>
      </c>
      <c r="F173" s="613">
        <v>-385.47782639146612</v>
      </c>
      <c r="G173" s="613">
        <v>0</v>
      </c>
      <c r="H173" s="613">
        <v>0</v>
      </c>
      <c r="I173" s="613">
        <v>0</v>
      </c>
      <c r="J173" s="613">
        <v>0</v>
      </c>
      <c r="K173" s="613">
        <v>0</v>
      </c>
      <c r="L173" s="613">
        <v>0</v>
      </c>
      <c r="M173" s="613">
        <v>0</v>
      </c>
      <c r="N173" s="613">
        <v>0</v>
      </c>
      <c r="O173" s="613">
        <v>0</v>
      </c>
      <c r="P173" s="613">
        <v>0</v>
      </c>
      <c r="Q173" s="613">
        <v>0</v>
      </c>
      <c r="R173" s="613">
        <v>0</v>
      </c>
      <c r="S173" s="613">
        <v>0</v>
      </c>
      <c r="T173" s="613">
        <v>0</v>
      </c>
      <c r="U173" s="621">
        <v>3.8776580149625208</v>
      </c>
      <c r="V173" s="51"/>
      <c r="W173" s="51"/>
      <c r="X173" s="51"/>
    </row>
    <row r="174" spans="1:24">
      <c r="A174" s="51"/>
      <c r="B174" s="51"/>
      <c r="C174" s="620" t="s">
        <v>354</v>
      </c>
      <c r="D174" s="613">
        <v>0</v>
      </c>
      <c r="E174" s="613">
        <v>0</v>
      </c>
      <c r="F174" s="613">
        <v>0</v>
      </c>
      <c r="G174" s="613">
        <v>0</v>
      </c>
      <c r="H174" s="613">
        <v>0</v>
      </c>
      <c r="I174" s="613">
        <v>0</v>
      </c>
      <c r="J174" s="613">
        <v>0</v>
      </c>
      <c r="K174" s="613">
        <v>0</v>
      </c>
      <c r="L174" s="613">
        <v>76.110674115305528</v>
      </c>
      <c r="M174" s="613">
        <v>0</v>
      </c>
      <c r="N174" s="613">
        <v>-76.110674115305528</v>
      </c>
      <c r="O174" s="613">
        <v>0</v>
      </c>
      <c r="P174" s="613">
        <v>0</v>
      </c>
      <c r="Q174" s="613">
        <v>0</v>
      </c>
      <c r="R174" s="613">
        <v>0</v>
      </c>
      <c r="S174" s="613">
        <v>0</v>
      </c>
      <c r="T174" s="613">
        <v>0</v>
      </c>
      <c r="U174" s="621">
        <v>0</v>
      </c>
      <c r="V174" s="51"/>
      <c r="W174" s="51"/>
      <c r="X174" s="51"/>
    </row>
    <row r="175" spans="1:24">
      <c r="A175" s="51"/>
      <c r="B175" s="51"/>
      <c r="C175" s="620" t="s">
        <v>355</v>
      </c>
      <c r="D175" s="613">
        <v>0</v>
      </c>
      <c r="E175" s="613">
        <v>0</v>
      </c>
      <c r="F175" s="613">
        <v>0</v>
      </c>
      <c r="G175" s="613">
        <v>-5.3679652793818873</v>
      </c>
      <c r="H175" s="613">
        <v>0</v>
      </c>
      <c r="I175" s="613">
        <v>0</v>
      </c>
      <c r="J175" s="613">
        <v>0</v>
      </c>
      <c r="K175" s="613">
        <v>0</v>
      </c>
      <c r="L175" s="613">
        <v>0</v>
      </c>
      <c r="M175" s="613">
        <v>0</v>
      </c>
      <c r="N175" s="613">
        <v>0</v>
      </c>
      <c r="O175" s="613">
        <v>0</v>
      </c>
      <c r="P175" s="613">
        <v>0</v>
      </c>
      <c r="Q175" s="613">
        <v>0</v>
      </c>
      <c r="R175" s="613">
        <v>0</v>
      </c>
      <c r="S175" s="613">
        <v>0</v>
      </c>
      <c r="T175" s="613">
        <v>7.4762747623703172</v>
      </c>
      <c r="U175" s="621">
        <v>2.1083094829884299</v>
      </c>
      <c r="V175" s="51"/>
      <c r="W175" s="51"/>
      <c r="X175" s="51"/>
    </row>
    <row r="176" spans="1:24">
      <c r="A176" s="51"/>
      <c r="B176" s="51"/>
      <c r="C176" s="620" t="s">
        <v>73</v>
      </c>
      <c r="D176" s="613">
        <v>0</v>
      </c>
      <c r="E176" s="613">
        <v>0</v>
      </c>
      <c r="F176" s="613">
        <v>0</v>
      </c>
      <c r="G176" s="613">
        <v>0</v>
      </c>
      <c r="H176" s="613">
        <v>0</v>
      </c>
      <c r="I176" s="613">
        <v>0</v>
      </c>
      <c r="J176" s="613">
        <v>0</v>
      </c>
      <c r="K176" s="613">
        <v>0</v>
      </c>
      <c r="L176" s="613">
        <v>0</v>
      </c>
      <c r="M176" s="613">
        <v>0</v>
      </c>
      <c r="N176" s="613">
        <v>0</v>
      </c>
      <c r="O176" s="613">
        <v>0</v>
      </c>
      <c r="P176" s="613">
        <v>0</v>
      </c>
      <c r="Q176" s="613">
        <v>0</v>
      </c>
      <c r="R176" s="613">
        <v>40.318919655124205</v>
      </c>
      <c r="S176" s="613">
        <v>0</v>
      </c>
      <c r="T176" s="613">
        <v>-26.630646432209534</v>
      </c>
      <c r="U176" s="621">
        <v>13.68827322291467</v>
      </c>
      <c r="V176" s="51"/>
      <c r="W176" s="51"/>
      <c r="X176" s="51"/>
    </row>
    <row r="177" spans="1:24">
      <c r="A177" s="51"/>
      <c r="B177" s="51"/>
      <c r="C177" s="620" t="s">
        <v>356</v>
      </c>
      <c r="D177" s="613">
        <v>10.05823125</v>
      </c>
      <c r="E177" s="613">
        <v>-13.65021278897626</v>
      </c>
      <c r="F177" s="613">
        <v>17.774822682354454</v>
      </c>
      <c r="G177" s="613">
        <v>0</v>
      </c>
      <c r="H177" s="613">
        <v>0</v>
      </c>
      <c r="I177" s="613">
        <v>0</v>
      </c>
      <c r="J177" s="613">
        <v>0</v>
      </c>
      <c r="K177" s="613">
        <v>0</v>
      </c>
      <c r="L177" s="613">
        <v>0</v>
      </c>
      <c r="M177" s="613">
        <v>0</v>
      </c>
      <c r="N177" s="613">
        <v>0</v>
      </c>
      <c r="O177" s="613">
        <v>0</v>
      </c>
      <c r="P177" s="613">
        <v>0</v>
      </c>
      <c r="Q177" s="613">
        <v>0</v>
      </c>
      <c r="R177" s="613">
        <v>0</v>
      </c>
      <c r="S177" s="613">
        <v>0</v>
      </c>
      <c r="T177" s="613">
        <v>0</v>
      </c>
      <c r="U177" s="621">
        <v>14.182841143378196</v>
      </c>
      <c r="V177" s="51"/>
      <c r="W177" s="51"/>
      <c r="X177" s="51"/>
    </row>
    <row r="178" spans="1:24">
      <c r="A178" s="51"/>
      <c r="B178" s="51"/>
      <c r="C178" s="620" t="s">
        <v>75</v>
      </c>
      <c r="D178" s="613">
        <v>3.9115343750000005</v>
      </c>
      <c r="E178" s="613">
        <v>0</v>
      </c>
      <c r="F178" s="613">
        <v>18.970841206198273</v>
      </c>
      <c r="G178" s="613">
        <v>0</v>
      </c>
      <c r="H178" s="613">
        <v>4.3082366200216411</v>
      </c>
      <c r="I178" s="613">
        <v>0</v>
      </c>
      <c r="J178" s="613">
        <v>0</v>
      </c>
      <c r="K178" s="613">
        <v>0</v>
      </c>
      <c r="L178" s="613">
        <v>0</v>
      </c>
      <c r="M178" s="613">
        <v>0</v>
      </c>
      <c r="N178" s="613">
        <v>0</v>
      </c>
      <c r="O178" s="613">
        <v>1.1452274559551199</v>
      </c>
      <c r="P178" s="613">
        <v>0</v>
      </c>
      <c r="Q178" s="613">
        <v>0</v>
      </c>
      <c r="R178" s="613">
        <v>26.029227477010622</v>
      </c>
      <c r="S178" s="613">
        <v>0</v>
      </c>
      <c r="T178" s="613">
        <v>0</v>
      </c>
      <c r="U178" s="621">
        <v>54.365067134185658</v>
      </c>
      <c r="V178" s="51"/>
      <c r="W178" s="51"/>
      <c r="X178" s="51"/>
    </row>
    <row r="179" spans="1:24">
      <c r="A179" s="51"/>
      <c r="B179" s="51"/>
      <c r="C179" s="620" t="s">
        <v>76</v>
      </c>
      <c r="D179" s="613">
        <v>0</v>
      </c>
      <c r="E179" s="613">
        <v>0</v>
      </c>
      <c r="F179" s="613">
        <v>0</v>
      </c>
      <c r="G179" s="613">
        <v>0</v>
      </c>
      <c r="H179" s="613">
        <v>2.1520017207072755</v>
      </c>
      <c r="I179" s="613">
        <v>0</v>
      </c>
      <c r="J179" s="613">
        <v>0</v>
      </c>
      <c r="K179" s="613">
        <v>0</v>
      </c>
      <c r="L179" s="613">
        <v>0</v>
      </c>
      <c r="M179" s="613">
        <v>0</v>
      </c>
      <c r="N179" s="613">
        <v>0</v>
      </c>
      <c r="O179" s="613">
        <v>0.57205109031459223</v>
      </c>
      <c r="P179" s="613">
        <v>0</v>
      </c>
      <c r="Q179" s="613">
        <v>0</v>
      </c>
      <c r="R179" s="613">
        <v>42.311436575110221</v>
      </c>
      <c r="S179" s="613">
        <v>5.5417484036628721</v>
      </c>
      <c r="T179" s="613">
        <v>0</v>
      </c>
      <c r="U179" s="621">
        <v>50.577237789794964</v>
      </c>
      <c r="V179" s="51"/>
      <c r="W179" s="51"/>
      <c r="X179" s="51"/>
    </row>
    <row r="180" spans="1:24">
      <c r="A180" s="51"/>
      <c r="B180" s="51"/>
      <c r="C180" s="616" t="s">
        <v>77</v>
      </c>
      <c r="D180" s="617">
        <v>13.969765625000001</v>
      </c>
      <c r="E180" s="617">
        <v>375.70527161745235</v>
      </c>
      <c r="F180" s="617">
        <v>-347.93937691897565</v>
      </c>
      <c r="G180" s="617">
        <v>-5.3679652793818873</v>
      </c>
      <c r="H180" s="624">
        <v>41.686939069538198</v>
      </c>
      <c r="I180" s="617">
        <v>0</v>
      </c>
      <c r="J180" s="617">
        <v>1029.1558581818183</v>
      </c>
      <c r="K180" s="617">
        <v>252.71345318084585</v>
      </c>
      <c r="L180" s="617">
        <v>193.76472847114064</v>
      </c>
      <c r="M180" s="617">
        <v>25.221952255757699</v>
      </c>
      <c r="N180" s="617">
        <v>-71.328690888737668</v>
      </c>
      <c r="O180" s="617">
        <v>-38.616395937235275</v>
      </c>
      <c r="P180" s="617">
        <v>0</v>
      </c>
      <c r="Q180" s="617">
        <v>11.176294658126709</v>
      </c>
      <c r="R180" s="617">
        <v>-516.39357720580983</v>
      </c>
      <c r="S180" s="617">
        <v>-65.916211304815732</v>
      </c>
      <c r="T180" s="617">
        <v>-19.154371669839218</v>
      </c>
      <c r="U180" s="617">
        <v>878.6776738548848</v>
      </c>
      <c r="V180" s="51"/>
      <c r="W180" s="51"/>
      <c r="X180" s="51"/>
    </row>
    <row r="181" spans="1:24">
      <c r="A181" s="51"/>
      <c r="B181" s="51"/>
      <c r="C181" s="618"/>
      <c r="D181" s="619">
        <v>0</v>
      </c>
      <c r="E181" s="619">
        <v>0</v>
      </c>
      <c r="F181" s="619">
        <v>0</v>
      </c>
      <c r="G181" s="619">
        <v>0</v>
      </c>
      <c r="H181" s="625">
        <v>0</v>
      </c>
      <c r="I181" s="619">
        <v>0</v>
      </c>
      <c r="J181" s="619">
        <v>0</v>
      </c>
      <c r="K181" s="619">
        <v>0</v>
      </c>
      <c r="L181" s="619">
        <v>0</v>
      </c>
      <c r="M181" s="619">
        <v>0</v>
      </c>
      <c r="N181" s="619">
        <v>0</v>
      </c>
      <c r="O181" s="619">
        <v>0</v>
      </c>
      <c r="P181" s="619">
        <v>0</v>
      </c>
      <c r="Q181" s="619">
        <v>0</v>
      </c>
      <c r="R181" s="619">
        <v>0</v>
      </c>
      <c r="S181" s="619">
        <v>0</v>
      </c>
      <c r="T181" s="619">
        <v>0</v>
      </c>
      <c r="U181" s="619">
        <v>0</v>
      </c>
      <c r="V181" s="51"/>
      <c r="W181" s="51"/>
      <c r="X181" s="51"/>
    </row>
    <row r="182" spans="1:24">
      <c r="A182" s="51"/>
      <c r="B182" s="51"/>
      <c r="C182" s="620" t="s">
        <v>78</v>
      </c>
      <c r="D182" s="613">
        <v>3.5119651912640659</v>
      </c>
      <c r="E182" s="613">
        <v>0</v>
      </c>
      <c r="F182" s="613">
        <v>10.329791866978772</v>
      </c>
      <c r="G182" s="613">
        <v>0</v>
      </c>
      <c r="H182" s="613">
        <v>59.22498419444846</v>
      </c>
      <c r="I182" s="613">
        <v>0</v>
      </c>
      <c r="J182" s="613">
        <v>0</v>
      </c>
      <c r="K182" s="613">
        <v>0</v>
      </c>
      <c r="L182" s="613">
        <v>20.32032070760291</v>
      </c>
      <c r="M182" s="613">
        <v>2.5485507721439489</v>
      </c>
      <c r="N182" s="613">
        <v>1.1054608081054689</v>
      </c>
      <c r="O182" s="613">
        <v>15.774676477466111</v>
      </c>
      <c r="P182" s="613">
        <v>4.7115375976562497</v>
      </c>
      <c r="Q182" s="613">
        <v>6.3863689419622622E-4</v>
      </c>
      <c r="R182" s="613">
        <v>128.13338929673023</v>
      </c>
      <c r="S182" s="613">
        <v>18.044740545750674</v>
      </c>
      <c r="T182" s="613">
        <v>2.7711535644531251</v>
      </c>
      <c r="U182" s="621">
        <v>266.47720965949424</v>
      </c>
      <c r="V182" s="51"/>
      <c r="W182" s="622" t="e" cm="1">
        <f t="array" aca="1" ref="W182" ca="1">_xlfn.IFNA(INDEX(#REF!,MATCH(INDIRECT("Codes_bilans!"&amp;W$1&amp;"$"&amp;#REF!),#REF!,0),MATCH(#REF!,#REF!,0)),0)</f>
        <v>#REF!</v>
      </c>
      <c r="X182" s="51"/>
    </row>
    <row r="183" spans="1:24">
      <c r="A183" s="51"/>
      <c r="B183" s="51"/>
      <c r="C183" s="620" t="s">
        <v>79</v>
      </c>
      <c r="D183" s="613">
        <v>0</v>
      </c>
      <c r="E183" s="613">
        <v>0</v>
      </c>
      <c r="F183" s="613">
        <v>230.06398718142972</v>
      </c>
      <c r="G183" s="613">
        <v>0.28870182254104659</v>
      </c>
      <c r="H183" s="613">
        <v>4.7638546223905314</v>
      </c>
      <c r="I183" s="613">
        <v>0</v>
      </c>
      <c r="J183" s="613">
        <v>0</v>
      </c>
      <c r="K183" s="613">
        <v>0</v>
      </c>
      <c r="L183" s="613">
        <v>0</v>
      </c>
      <c r="M183" s="613">
        <v>0</v>
      </c>
      <c r="N183" s="613">
        <v>46.305302929407816</v>
      </c>
      <c r="O183" s="613">
        <v>1.2663411021544451</v>
      </c>
      <c r="P183" s="613">
        <v>0</v>
      </c>
      <c r="Q183" s="613">
        <v>0</v>
      </c>
      <c r="R183" s="613">
        <v>46.787013172975605</v>
      </c>
      <c r="S183" s="613">
        <v>0</v>
      </c>
      <c r="T183" s="613">
        <v>1.4725342358360081</v>
      </c>
      <c r="U183" s="621">
        <v>330.94773506673516</v>
      </c>
      <c r="V183" s="51"/>
      <c r="W183" s="622" t="e" cm="1">
        <f t="array" aca="1" ref="W183" ca="1">_xlfn.IFNA(INDEX(#REF!,MATCH(INDIRECT("Codes_bilans!"&amp;W$1&amp;"$"&amp;#REF!),#REF!,0),MATCH(#REF!,#REF!,0)),0)</f>
        <v>#REF!</v>
      </c>
      <c r="X183" s="51"/>
    </row>
    <row r="184" spans="1:24">
      <c r="A184" s="51"/>
      <c r="B184" s="51"/>
      <c r="C184" s="620" t="s">
        <v>80</v>
      </c>
      <c r="D184" s="613">
        <v>0</v>
      </c>
      <c r="E184" s="613">
        <v>0</v>
      </c>
      <c r="F184" s="613">
        <v>3.8037297943831954</v>
      </c>
      <c r="G184" s="613">
        <v>0</v>
      </c>
      <c r="H184" s="613">
        <v>48.749434252341672</v>
      </c>
      <c r="I184" s="613">
        <v>0</v>
      </c>
      <c r="J184" s="613">
        <v>0</v>
      </c>
      <c r="K184" s="613">
        <v>0</v>
      </c>
      <c r="L184" s="613">
        <v>41.434907608340509</v>
      </c>
      <c r="M184" s="613">
        <v>0</v>
      </c>
      <c r="N184" s="613">
        <v>0</v>
      </c>
      <c r="O184" s="613">
        <v>12.958710370875634</v>
      </c>
      <c r="P184" s="613">
        <v>81.342309221763003</v>
      </c>
      <c r="Q184" s="613">
        <v>2.1381357466702497</v>
      </c>
      <c r="R184" s="613">
        <v>162.42127689265124</v>
      </c>
      <c r="S184" s="613">
        <v>29.067896346898497</v>
      </c>
      <c r="T184" s="613">
        <v>0</v>
      </c>
      <c r="U184" s="621">
        <v>381.91640023392404</v>
      </c>
      <c r="V184" s="51"/>
      <c r="W184" s="622" t="e" cm="1">
        <f t="array" aca="1" ref="W184" ca="1">_xlfn.IFNA(INDEX(#REF!,MATCH(INDIRECT("Codes_bilans!"&amp;W$1&amp;"$"&amp;#REF!),#REF!,0),MATCH(#REF!,#REF!,0)),0)</f>
        <v>#REF!</v>
      </c>
      <c r="X184" s="51"/>
    </row>
    <row r="185" spans="1:24">
      <c r="A185" s="51"/>
      <c r="B185" s="51"/>
      <c r="C185" s="620" t="s">
        <v>81</v>
      </c>
      <c r="D185" s="613">
        <v>0</v>
      </c>
      <c r="E185" s="613">
        <v>0</v>
      </c>
      <c r="F185" s="613">
        <v>4.4549193893901853</v>
      </c>
      <c r="G185" s="613">
        <v>0</v>
      </c>
      <c r="H185" s="613">
        <v>22.809891612288435</v>
      </c>
      <c r="I185" s="613">
        <v>0</v>
      </c>
      <c r="J185" s="613">
        <v>0</v>
      </c>
      <c r="K185" s="613">
        <v>0</v>
      </c>
      <c r="L185" s="613">
        <v>0.44569918061681485</v>
      </c>
      <c r="M185" s="613">
        <v>4.9454600867274027E-4</v>
      </c>
      <c r="N185" s="613">
        <v>0</v>
      </c>
      <c r="O185" s="613">
        <v>6.0633889095956608</v>
      </c>
      <c r="P185" s="613">
        <v>18.691023604496184</v>
      </c>
      <c r="Q185" s="613">
        <v>0.90924384630352406</v>
      </c>
      <c r="R185" s="613">
        <v>98.49757027134045</v>
      </c>
      <c r="S185" s="613">
        <v>18.80357441216654</v>
      </c>
      <c r="T185" s="613">
        <v>0</v>
      </c>
      <c r="U185" s="621">
        <v>170.67580577220647</v>
      </c>
      <c r="V185" s="51"/>
      <c r="W185" s="622" t="e" cm="1">
        <f t="array" aca="1" ref="W185" ca="1">_xlfn.IFNA(INDEX(#REF!,MATCH(INDIRECT("Codes_bilans!"&amp;W$1&amp;"$"&amp;#REF!),#REF!,0),MATCH(#REF!,#REF!,0)),0)</f>
        <v>#REF!</v>
      </c>
      <c r="X185" s="51"/>
    </row>
    <row r="186" spans="1:24">
      <c r="A186" s="51"/>
      <c r="B186" s="51"/>
      <c r="C186" s="620" t="s">
        <v>82</v>
      </c>
      <c r="D186" s="613">
        <v>0</v>
      </c>
      <c r="E186" s="613">
        <v>0</v>
      </c>
      <c r="F186" s="613">
        <v>22.663704600568668</v>
      </c>
      <c r="G186" s="613">
        <v>0</v>
      </c>
      <c r="H186" s="613">
        <v>1.5172607097483775</v>
      </c>
      <c r="I186" s="613">
        <v>0</v>
      </c>
      <c r="J186" s="613">
        <v>0</v>
      </c>
      <c r="K186" s="613">
        <v>0</v>
      </c>
      <c r="L186" s="613">
        <v>2.5327781893790755</v>
      </c>
      <c r="M186" s="613">
        <v>0</v>
      </c>
      <c r="N186" s="613">
        <v>6.9172702223723741</v>
      </c>
      <c r="O186" s="613">
        <v>0.40332246714830289</v>
      </c>
      <c r="P186" s="613">
        <v>0.65</v>
      </c>
      <c r="Q186" s="613">
        <v>0.82781531321025892</v>
      </c>
      <c r="R186" s="613">
        <v>7.6931885452586402</v>
      </c>
      <c r="S186" s="613">
        <v>0</v>
      </c>
      <c r="T186" s="613">
        <v>0.21911019493558448</v>
      </c>
      <c r="U186" s="621">
        <v>43.424450242621276</v>
      </c>
      <c r="V186" s="51"/>
      <c r="W186" s="622" t="e" cm="1">
        <f t="array" aca="1" ref="W186" ca="1">_xlfn.IFNA(INDEX(#REF!,MATCH(INDIRECT("Codes_bilans!"&amp;W$1&amp;"$"&amp;#REF!),#REF!,0),MATCH(#REF!,#REF!,0)),0)</f>
        <v>#REF!</v>
      </c>
      <c r="X186" s="51"/>
    </row>
    <row r="187" spans="1:24">
      <c r="A187" s="51"/>
      <c r="B187" s="51"/>
      <c r="C187" s="620" t="s">
        <v>357</v>
      </c>
      <c r="D187" s="613">
        <v>0</v>
      </c>
      <c r="E187" s="613">
        <v>0</v>
      </c>
      <c r="F187" s="613">
        <v>0</v>
      </c>
      <c r="G187" s="613">
        <v>0</v>
      </c>
      <c r="H187" s="613">
        <v>0</v>
      </c>
      <c r="I187" s="613">
        <v>0</v>
      </c>
      <c r="J187" s="613">
        <v>0</v>
      </c>
      <c r="K187" s="613">
        <v>0</v>
      </c>
      <c r="L187" s="613">
        <v>0</v>
      </c>
      <c r="M187" s="613">
        <v>0</v>
      </c>
      <c r="N187" s="613">
        <v>0</v>
      </c>
      <c r="O187" s="613">
        <v>0</v>
      </c>
      <c r="P187" s="613">
        <v>0</v>
      </c>
      <c r="Q187" s="613">
        <v>0</v>
      </c>
      <c r="R187" s="613">
        <v>0.41126400000000007</v>
      </c>
      <c r="S187" s="613">
        <v>0</v>
      </c>
      <c r="T187" s="613">
        <v>0</v>
      </c>
      <c r="U187" s="621">
        <v>0.41126400000000007</v>
      </c>
      <c r="V187" s="51"/>
      <c r="W187" s="622" t="e" cm="1">
        <f t="array" aca="1" ref="W187" ca="1">_xlfn.IFNA(INDEX(#REF!,MATCH(INDIRECT("Codes_bilans!"&amp;W$1&amp;"$"&amp;#REF!),#REF!,0),MATCH(#REF!,#REF!,0)),0)</f>
        <v>#REF!</v>
      </c>
      <c r="X187" s="51"/>
    </row>
    <row r="188" spans="1:24">
      <c r="A188" s="51"/>
      <c r="B188" s="51"/>
      <c r="C188" s="616" t="s">
        <v>83</v>
      </c>
      <c r="D188" s="617">
        <v>3.5119651912640659</v>
      </c>
      <c r="E188" s="617">
        <v>0</v>
      </c>
      <c r="F188" s="617">
        <v>271.3161328327505</v>
      </c>
      <c r="G188" s="617">
        <v>0.28870182254104659</v>
      </c>
      <c r="H188" s="624">
        <v>137.06542539121747</v>
      </c>
      <c r="I188" s="617">
        <v>0</v>
      </c>
      <c r="J188" s="617">
        <v>0</v>
      </c>
      <c r="K188" s="617">
        <v>0</v>
      </c>
      <c r="L188" s="617">
        <v>64.733705685939313</v>
      </c>
      <c r="M188" s="617">
        <v>2.5490453181526216</v>
      </c>
      <c r="N188" s="617">
        <v>54.328033959885659</v>
      </c>
      <c r="O188" s="617">
        <v>36.466439327240145</v>
      </c>
      <c r="P188" s="617">
        <v>105.39487042391544</v>
      </c>
      <c r="Q188" s="617">
        <v>3.8758335430782287</v>
      </c>
      <c r="R188" s="617">
        <v>443.94370217895619</v>
      </c>
      <c r="S188" s="617">
        <v>65.916211304815718</v>
      </c>
      <c r="T188" s="617">
        <v>4.4627979952247179</v>
      </c>
      <c r="U188" s="617">
        <v>1193.8528649749812</v>
      </c>
      <c r="V188" s="51"/>
      <c r="W188" s="51"/>
      <c r="X188" s="51"/>
    </row>
    <row r="189" spans="1:24">
      <c r="A189" s="51"/>
      <c r="B189" s="51"/>
      <c r="C189" s="612" t="s">
        <v>84</v>
      </c>
      <c r="D189" s="613">
        <v>0</v>
      </c>
      <c r="E189" s="613">
        <v>0</v>
      </c>
      <c r="F189" s="613">
        <v>84.901304982748769</v>
      </c>
      <c r="G189" s="613">
        <v>2.533106458518084</v>
      </c>
      <c r="H189" s="613">
        <v>9.2771889658758084</v>
      </c>
      <c r="I189" s="613">
        <v>0</v>
      </c>
      <c r="J189" s="613">
        <v>0</v>
      </c>
      <c r="K189" s="613">
        <v>0</v>
      </c>
      <c r="L189" s="613">
        <v>0.20840484716769062</v>
      </c>
      <c r="M189" s="613">
        <v>0</v>
      </c>
      <c r="N189" s="613">
        <v>11.136408529558132</v>
      </c>
      <c r="O189" s="613">
        <v>1.4684689617858735</v>
      </c>
      <c r="P189" s="613">
        <v>0</v>
      </c>
      <c r="Q189" s="613">
        <v>0</v>
      </c>
      <c r="R189" s="613">
        <v>0</v>
      </c>
      <c r="S189" s="613">
        <v>0</v>
      </c>
      <c r="T189" s="613">
        <v>14.605640428811407</v>
      </c>
      <c r="U189" s="621">
        <v>124.13052317446576</v>
      </c>
      <c r="V189" s="51"/>
      <c r="W189" s="622" t="e" cm="1">
        <f t="array" aca="1" ref="W189" ca="1">_xlfn.IFNA(INDEX(#REF!,MATCH(INDIRECT("Codes_bilans!"&amp;W$1&amp;"$"&amp;#REF!),#REF!,0),MATCH(#REF!,#REF!,0)),0)</f>
        <v>#REF!</v>
      </c>
      <c r="X189" s="51"/>
    </row>
    <row r="190" spans="1:24">
      <c r="A190" s="51"/>
      <c r="B190" s="51"/>
      <c r="C190" s="616" t="s">
        <v>85</v>
      </c>
      <c r="D190" s="617">
        <v>3.5119651912640659</v>
      </c>
      <c r="E190" s="617">
        <v>0</v>
      </c>
      <c r="F190" s="617">
        <v>356.2174378154993</v>
      </c>
      <c r="G190" s="617">
        <v>2.8218082810591305</v>
      </c>
      <c r="H190" s="624">
        <v>146.34261435709328</v>
      </c>
      <c r="I190" s="617">
        <v>0</v>
      </c>
      <c r="J190" s="617">
        <v>0</v>
      </c>
      <c r="K190" s="617">
        <v>0</v>
      </c>
      <c r="L190" s="617">
        <v>64.942110533106998</v>
      </c>
      <c r="M190" s="617">
        <v>2.5490453181526216</v>
      </c>
      <c r="N190" s="617">
        <v>65.464442489443798</v>
      </c>
      <c r="O190" s="617">
        <v>37.934908289026019</v>
      </c>
      <c r="P190" s="617">
        <v>105.39487042391544</v>
      </c>
      <c r="Q190" s="617">
        <v>3.8758335430782287</v>
      </c>
      <c r="R190" s="617">
        <v>443.94370217895619</v>
      </c>
      <c r="S190" s="617">
        <v>65.916211304815718</v>
      </c>
      <c r="T190" s="617">
        <v>19.068438424036124</v>
      </c>
      <c r="U190" s="617">
        <v>1317.9833881494469</v>
      </c>
      <c r="V190" s="51"/>
      <c r="W190" s="51"/>
      <c r="X190" s="51"/>
    </row>
    <row r="191" spans="1:24">
      <c r="A191" s="51"/>
      <c r="B191" s="51"/>
      <c r="C191" s="51"/>
      <c r="D191" s="67">
        <v>0</v>
      </c>
      <c r="E191" s="67">
        <v>0</v>
      </c>
      <c r="F191" s="67">
        <v>-5.6843418860808015E-14</v>
      </c>
      <c r="G191" s="67">
        <v>0</v>
      </c>
      <c r="H191" s="67">
        <v>0</v>
      </c>
      <c r="I191" s="67">
        <v>0</v>
      </c>
      <c r="J191" s="67">
        <v>0</v>
      </c>
      <c r="K191" s="67">
        <v>0</v>
      </c>
      <c r="L191" s="67">
        <v>0</v>
      </c>
      <c r="M191" s="67">
        <v>0</v>
      </c>
      <c r="N191" s="67">
        <v>-1.6135057642804664</v>
      </c>
      <c r="O191" s="67">
        <v>-3.219646771412954E-15</v>
      </c>
      <c r="P191" s="67">
        <v>0</v>
      </c>
      <c r="Q191" s="67">
        <v>0</v>
      </c>
      <c r="R191" s="67">
        <v>-1.1368683772161603E-13</v>
      </c>
      <c r="S191" s="67">
        <v>-1.4210854715202004E-14</v>
      </c>
      <c r="T191" s="67">
        <v>0</v>
      </c>
      <c r="U191" s="67">
        <v>-1.6135057642804895</v>
      </c>
      <c r="V191" s="51"/>
      <c r="W191" s="51"/>
      <c r="X191" s="51"/>
    </row>
    <row r="192" spans="1:24">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row>
    <row r="193" spans="1:24">
      <c r="A193" s="608"/>
      <c r="B193" s="608"/>
      <c r="C193" s="609" t="s">
        <v>361</v>
      </c>
      <c r="D193" s="608"/>
      <c r="E193" s="608"/>
      <c r="F193" s="608"/>
      <c r="G193" s="608"/>
      <c r="H193" s="608"/>
      <c r="I193" s="608"/>
      <c r="J193" s="608"/>
      <c r="K193" s="608"/>
      <c r="L193" s="608"/>
      <c r="M193" s="608"/>
      <c r="N193" s="608"/>
      <c r="O193" s="608"/>
      <c r="P193" s="608"/>
      <c r="Q193" s="608"/>
      <c r="R193" s="608"/>
      <c r="S193" s="608"/>
      <c r="T193" s="608"/>
      <c r="U193" s="608"/>
      <c r="V193" s="608"/>
      <c r="W193" s="608"/>
      <c r="X193" s="608"/>
    </row>
    <row r="194" spans="1:24">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row>
    <row r="195" spans="1:24" ht="14.25" customHeight="1">
      <c r="A195" s="51"/>
      <c r="B195" s="51"/>
      <c r="C195" s="713" t="s">
        <v>128</v>
      </c>
      <c r="D195" s="711" t="s">
        <v>42</v>
      </c>
      <c r="E195" s="711" t="s">
        <v>52</v>
      </c>
      <c r="F195" s="711" t="s">
        <v>53</v>
      </c>
      <c r="G195" s="711" t="s">
        <v>487</v>
      </c>
      <c r="H195" s="711" t="s">
        <v>32</v>
      </c>
      <c r="I195" s="711" t="s">
        <v>488</v>
      </c>
      <c r="J195" s="711" t="s">
        <v>20</v>
      </c>
      <c r="K195" s="711" t="s">
        <v>55</v>
      </c>
      <c r="L195" s="715" t="s">
        <v>56</v>
      </c>
      <c r="M195" s="716"/>
      <c r="N195" s="716"/>
      <c r="O195" s="716"/>
      <c r="P195" s="716"/>
      <c r="Q195" s="717"/>
      <c r="R195" s="711" t="s">
        <v>57</v>
      </c>
      <c r="S195" s="711" t="s">
        <v>58</v>
      </c>
      <c r="T195" s="711" t="s">
        <v>31</v>
      </c>
      <c r="U195" s="711" t="s">
        <v>10</v>
      </c>
      <c r="V195" s="51"/>
      <c r="W195" s="51"/>
      <c r="X195" s="51"/>
    </row>
    <row r="196" spans="1:24" ht="24">
      <c r="A196" s="51"/>
      <c r="B196" s="51"/>
      <c r="C196" s="714"/>
      <c r="D196" s="712"/>
      <c r="E196" s="712"/>
      <c r="F196" s="712"/>
      <c r="G196" s="712"/>
      <c r="H196" s="712"/>
      <c r="I196" s="712"/>
      <c r="J196" s="712"/>
      <c r="K196" s="712"/>
      <c r="L196" s="610" t="s">
        <v>338</v>
      </c>
      <c r="M196" s="610" t="s">
        <v>40</v>
      </c>
      <c r="N196" s="610" t="s">
        <v>346</v>
      </c>
      <c r="O196" s="610" t="s">
        <v>347</v>
      </c>
      <c r="P196" s="611" t="s">
        <v>348</v>
      </c>
      <c r="Q196" s="610" t="s">
        <v>349</v>
      </c>
      <c r="R196" s="712"/>
      <c r="S196" s="712"/>
      <c r="T196" s="712"/>
      <c r="U196" s="712"/>
      <c r="V196" s="51"/>
      <c r="W196" s="51"/>
      <c r="X196" s="51"/>
    </row>
    <row r="197" spans="1:24">
      <c r="A197" s="51"/>
      <c r="B197" s="51"/>
      <c r="C197" s="612" t="s">
        <v>59</v>
      </c>
      <c r="D197" s="613">
        <v>0</v>
      </c>
      <c r="E197" s="613">
        <v>5.8150000000000004</v>
      </c>
      <c r="F197" s="613">
        <v>0</v>
      </c>
      <c r="G197" s="613">
        <v>0</v>
      </c>
      <c r="H197" s="613">
        <v>9.3040000000000012E-2</v>
      </c>
      <c r="I197" s="613">
        <v>0</v>
      </c>
      <c r="J197" s="614">
        <v>1023.0684545454548</v>
      </c>
      <c r="K197" s="614">
        <v>284.16835095393981</v>
      </c>
      <c r="L197" s="614">
        <v>269.81870425368078</v>
      </c>
      <c r="M197" s="614">
        <v>27.2984599449927</v>
      </c>
      <c r="N197" s="613">
        <v>1.5151391983163085</v>
      </c>
      <c r="O197" s="613">
        <v>0.16086233431790645</v>
      </c>
      <c r="P197" s="614">
        <v>114.79412791174752</v>
      </c>
      <c r="Q197" s="614">
        <v>17.865639972874789</v>
      </c>
      <c r="R197" s="613">
        <v>0</v>
      </c>
      <c r="S197" s="613">
        <v>0</v>
      </c>
      <c r="T197" s="613">
        <v>0</v>
      </c>
      <c r="U197" s="615">
        <v>1744.5977791153243</v>
      </c>
      <c r="V197" s="51"/>
      <c r="W197" s="51"/>
      <c r="X197" s="51"/>
    </row>
    <row r="198" spans="1:24">
      <c r="A198" s="51"/>
      <c r="B198" s="51"/>
      <c r="C198" s="612" t="s">
        <v>60</v>
      </c>
      <c r="D198" s="613">
        <v>16.178882267256224</v>
      </c>
      <c r="E198" s="613">
        <v>338.94665094130841</v>
      </c>
      <c r="F198" s="613">
        <v>53.154703213153105</v>
      </c>
      <c r="G198" s="613">
        <v>0.84709048921241781</v>
      </c>
      <c r="H198" s="613">
        <v>155.6476805846371</v>
      </c>
      <c r="I198" s="613">
        <v>0</v>
      </c>
      <c r="J198" s="613">
        <v>0</v>
      </c>
      <c r="K198" s="613">
        <v>0</v>
      </c>
      <c r="L198" s="613">
        <v>3.3497189577114872</v>
      </c>
      <c r="M198" s="613">
        <v>0</v>
      </c>
      <c r="N198" s="613">
        <v>3.7248932526167962</v>
      </c>
      <c r="O198" s="613">
        <v>0</v>
      </c>
      <c r="P198" s="613">
        <v>0</v>
      </c>
      <c r="Q198" s="613">
        <v>0</v>
      </c>
      <c r="R198" s="613">
        <v>0</v>
      </c>
      <c r="S198" s="613">
        <v>0</v>
      </c>
      <c r="T198" s="613">
        <v>0</v>
      </c>
      <c r="U198" s="615">
        <v>571.84961970589541</v>
      </c>
      <c r="V198" s="51"/>
      <c r="W198" s="51"/>
      <c r="X198" s="51"/>
    </row>
    <row r="199" spans="1:24">
      <c r="A199" s="51"/>
      <c r="B199" s="51"/>
      <c r="C199" s="612" t="s">
        <v>61</v>
      </c>
      <c r="D199" s="613">
        <v>0</v>
      </c>
      <c r="E199" s="613">
        <v>0</v>
      </c>
      <c r="F199" s="613">
        <v>-0.33572040479024756</v>
      </c>
      <c r="G199" s="613">
        <v>0</v>
      </c>
      <c r="H199" s="613">
        <v>0</v>
      </c>
      <c r="I199" s="613">
        <v>0</v>
      </c>
      <c r="J199" s="613">
        <v>0</v>
      </c>
      <c r="K199" s="613">
        <v>0</v>
      </c>
      <c r="L199" s="613">
        <v>0</v>
      </c>
      <c r="M199" s="613">
        <v>0</v>
      </c>
      <c r="N199" s="613">
        <v>0</v>
      </c>
      <c r="O199" s="613">
        <v>0</v>
      </c>
      <c r="P199" s="613">
        <v>0</v>
      </c>
      <c r="Q199" s="613">
        <v>0</v>
      </c>
      <c r="R199" s="613">
        <v>-76.331222061197195</v>
      </c>
      <c r="S199" s="613">
        <v>0</v>
      </c>
      <c r="T199" s="613">
        <v>0</v>
      </c>
      <c r="U199" s="615">
        <v>-76.666942465987447</v>
      </c>
      <c r="V199" s="51"/>
      <c r="W199" s="51"/>
      <c r="X199" s="51"/>
    </row>
    <row r="200" spans="1:24">
      <c r="A200" s="51"/>
      <c r="B200" s="51"/>
      <c r="C200" s="612" t="s">
        <v>62</v>
      </c>
      <c r="D200" s="613">
        <v>0</v>
      </c>
      <c r="E200" s="613">
        <v>0</v>
      </c>
      <c r="F200" s="613">
        <v>-12.959356122819004</v>
      </c>
      <c r="G200" s="613">
        <v>-1.1745589556928391</v>
      </c>
      <c r="H200" s="613">
        <v>-1.8985906548092106</v>
      </c>
      <c r="I200" s="613">
        <v>0</v>
      </c>
      <c r="J200" s="613">
        <v>0</v>
      </c>
      <c r="K200" s="613">
        <v>0</v>
      </c>
      <c r="L200" s="613">
        <v>0</v>
      </c>
      <c r="M200" s="613">
        <v>0</v>
      </c>
      <c r="N200" s="613">
        <v>-0.50338240958264524</v>
      </c>
      <c r="O200" s="613">
        <v>-0.70221846136779031</v>
      </c>
      <c r="P200" s="613">
        <v>0</v>
      </c>
      <c r="Q200" s="613">
        <v>0</v>
      </c>
      <c r="R200" s="613">
        <v>0</v>
      </c>
      <c r="S200" s="613">
        <v>0</v>
      </c>
      <c r="T200" s="613">
        <v>0</v>
      </c>
      <c r="U200" s="615">
        <v>-17.23810660427149</v>
      </c>
      <c r="V200" s="51"/>
      <c r="W200" s="51"/>
      <c r="X200" s="51"/>
    </row>
    <row r="201" spans="1:24">
      <c r="A201" s="51"/>
      <c r="B201" s="51"/>
      <c r="C201" s="612" t="s">
        <v>63</v>
      </c>
      <c r="D201" s="613">
        <v>0</v>
      </c>
      <c r="E201" s="613">
        <v>0</v>
      </c>
      <c r="F201" s="613">
        <v>-60.220777612804881</v>
      </c>
      <c r="G201" s="613">
        <v>-3.9749070731502325</v>
      </c>
      <c r="H201" s="613">
        <v>0</v>
      </c>
      <c r="I201" s="613">
        <v>0</v>
      </c>
      <c r="J201" s="613">
        <v>0</v>
      </c>
      <c r="K201" s="613">
        <v>0</v>
      </c>
      <c r="L201" s="613">
        <v>0</v>
      </c>
      <c r="M201" s="613">
        <v>0</v>
      </c>
      <c r="N201" s="613">
        <v>-11.924721219450698</v>
      </c>
      <c r="O201" s="613">
        <v>0</v>
      </c>
      <c r="P201" s="613">
        <v>0</v>
      </c>
      <c r="Q201" s="613">
        <v>0</v>
      </c>
      <c r="R201" s="613">
        <v>0</v>
      </c>
      <c r="S201" s="613">
        <v>0</v>
      </c>
      <c r="T201" s="613">
        <v>-0.14322207633849007</v>
      </c>
      <c r="U201" s="615">
        <v>-76.263627981744307</v>
      </c>
      <c r="V201" s="51"/>
      <c r="W201" s="51"/>
      <c r="X201" s="51"/>
    </row>
    <row r="202" spans="1:24">
      <c r="A202" s="51"/>
      <c r="B202" s="51"/>
      <c r="C202" s="612" t="s">
        <v>64</v>
      </c>
      <c r="D202" s="613">
        <v>0</v>
      </c>
      <c r="E202" s="613">
        <v>0</v>
      </c>
      <c r="F202" s="613">
        <v>0</v>
      </c>
      <c r="G202" s="613">
        <v>0</v>
      </c>
      <c r="H202" s="613">
        <v>0</v>
      </c>
      <c r="I202" s="613">
        <v>0</v>
      </c>
      <c r="J202" s="613">
        <v>0</v>
      </c>
      <c r="K202" s="613">
        <v>0</v>
      </c>
      <c r="L202" s="613">
        <v>0</v>
      </c>
      <c r="M202" s="613">
        <v>0</v>
      </c>
      <c r="N202" s="613">
        <v>0</v>
      </c>
      <c r="O202" s="613">
        <v>0</v>
      </c>
      <c r="P202" s="613">
        <v>0</v>
      </c>
      <c r="Q202" s="613">
        <v>0</v>
      </c>
      <c r="R202" s="613">
        <v>0</v>
      </c>
      <c r="S202" s="613">
        <v>0</v>
      </c>
      <c r="T202" s="613">
        <v>0</v>
      </c>
      <c r="U202" s="615">
        <v>0</v>
      </c>
      <c r="V202" s="51"/>
      <c r="W202" s="51"/>
      <c r="X202" s="51"/>
    </row>
    <row r="203" spans="1:24">
      <c r="A203" s="51"/>
      <c r="B203" s="51"/>
      <c r="C203" s="616" t="s">
        <v>65</v>
      </c>
      <c r="D203" s="617">
        <v>16.178882267256224</v>
      </c>
      <c r="E203" s="617">
        <v>344.7616509413084</v>
      </c>
      <c r="F203" s="617">
        <v>-20.361150927261026</v>
      </c>
      <c r="G203" s="617">
        <v>-4.3023755396306536</v>
      </c>
      <c r="H203" s="624">
        <v>153.84212992982791</v>
      </c>
      <c r="I203" s="617">
        <v>0</v>
      </c>
      <c r="J203" s="617">
        <v>1023.0684545454548</v>
      </c>
      <c r="K203" s="617">
        <v>284.16835095393981</v>
      </c>
      <c r="L203" s="617">
        <v>273.16842321139228</v>
      </c>
      <c r="M203" s="617">
        <v>27.2984599449927</v>
      </c>
      <c r="N203" s="617">
        <v>-7.1880711781002375</v>
      </c>
      <c r="O203" s="617">
        <v>-0.5413561270498839</v>
      </c>
      <c r="P203" s="617">
        <v>114.79412791174752</v>
      </c>
      <c r="Q203" s="617">
        <v>17.865639972874789</v>
      </c>
      <c r="R203" s="617">
        <v>-76.331222061197195</v>
      </c>
      <c r="S203" s="617">
        <v>0</v>
      </c>
      <c r="T203" s="617">
        <v>-0.14322207633849007</v>
      </c>
      <c r="U203" s="617">
        <v>2146.2787217692166</v>
      </c>
      <c r="V203" s="51"/>
      <c r="W203" s="51"/>
      <c r="X203" s="51"/>
    </row>
    <row r="204" spans="1:24">
      <c r="A204" s="51"/>
      <c r="B204" s="51"/>
      <c r="C204" s="618"/>
      <c r="D204" s="619">
        <v>0</v>
      </c>
      <c r="E204" s="619">
        <v>0</v>
      </c>
      <c r="F204" s="619">
        <v>0</v>
      </c>
      <c r="G204" s="619">
        <v>0</v>
      </c>
      <c r="H204" s="625">
        <v>0</v>
      </c>
      <c r="I204" s="619">
        <v>0</v>
      </c>
      <c r="J204" s="619">
        <v>0</v>
      </c>
      <c r="K204" s="619">
        <v>0</v>
      </c>
      <c r="L204" s="619">
        <v>0</v>
      </c>
      <c r="M204" s="619">
        <v>0</v>
      </c>
      <c r="N204" s="619">
        <v>0</v>
      </c>
      <c r="O204" s="619">
        <v>0</v>
      </c>
      <c r="P204" s="619">
        <v>0</v>
      </c>
      <c r="Q204" s="619">
        <v>0</v>
      </c>
      <c r="R204" s="619">
        <v>0</v>
      </c>
      <c r="S204" s="619">
        <v>0</v>
      </c>
      <c r="T204" s="619">
        <v>0</v>
      </c>
      <c r="U204" s="619">
        <v>0</v>
      </c>
      <c r="V204" s="51"/>
      <c r="W204" s="51"/>
      <c r="X204" s="51"/>
    </row>
    <row r="205" spans="1:24">
      <c r="A205" s="51"/>
      <c r="B205" s="51"/>
      <c r="C205" s="620" t="s">
        <v>67</v>
      </c>
      <c r="D205" s="613">
        <v>0</v>
      </c>
      <c r="E205" s="613">
        <v>0</v>
      </c>
      <c r="F205" s="613">
        <v>0</v>
      </c>
      <c r="G205" s="613">
        <v>0</v>
      </c>
      <c r="H205" s="613">
        <v>0</v>
      </c>
      <c r="I205" s="613">
        <v>0</v>
      </c>
      <c r="J205" s="613">
        <v>0</v>
      </c>
      <c r="K205" s="613">
        <v>0</v>
      </c>
      <c r="L205" s="613">
        <v>0</v>
      </c>
      <c r="M205" s="613">
        <v>0</v>
      </c>
      <c r="N205" s="613">
        <v>0</v>
      </c>
      <c r="O205" s="613">
        <v>0</v>
      </c>
      <c r="P205" s="613">
        <v>0</v>
      </c>
      <c r="Q205" s="613">
        <v>0</v>
      </c>
      <c r="R205" s="613">
        <v>0</v>
      </c>
      <c r="S205" s="613">
        <v>0</v>
      </c>
      <c r="T205" s="613">
        <v>0</v>
      </c>
      <c r="U205" s="621">
        <v>0</v>
      </c>
      <c r="V205" s="51"/>
      <c r="W205" s="51"/>
      <c r="X205" s="51"/>
    </row>
    <row r="206" spans="1:24">
      <c r="A206" s="51"/>
      <c r="B206" s="51"/>
      <c r="C206" s="620" t="s">
        <v>350</v>
      </c>
      <c r="D206" s="613">
        <v>0</v>
      </c>
      <c r="E206" s="613">
        <v>0</v>
      </c>
      <c r="F206" s="613">
        <v>0.802217285608815</v>
      </c>
      <c r="G206" s="613">
        <v>0</v>
      </c>
      <c r="H206" s="613">
        <v>11.570782344533336</v>
      </c>
      <c r="I206" s="613">
        <v>0</v>
      </c>
      <c r="J206" s="613">
        <v>1023.0684545454548</v>
      </c>
      <c r="K206" s="613">
        <v>284.16835095393981</v>
      </c>
      <c r="L206" s="613">
        <v>27.371602395057661</v>
      </c>
      <c r="M206" s="613">
        <v>10.452056741028787</v>
      </c>
      <c r="N206" s="613">
        <v>5.0291337303525587</v>
      </c>
      <c r="O206" s="613">
        <v>3.0057674706187218</v>
      </c>
      <c r="P206" s="613">
        <v>0</v>
      </c>
      <c r="Q206" s="613">
        <v>2.7943993103273139</v>
      </c>
      <c r="R206" s="613">
        <v>-648.73167836989808</v>
      </c>
      <c r="S206" s="613">
        <v>0</v>
      </c>
      <c r="T206" s="613">
        <v>0</v>
      </c>
      <c r="U206" s="621">
        <v>719.53108640702374</v>
      </c>
      <c r="V206" s="51"/>
      <c r="W206" s="51"/>
      <c r="X206" s="51"/>
    </row>
    <row r="207" spans="1:24">
      <c r="A207" s="51"/>
      <c r="B207" s="51"/>
      <c r="C207" s="620" t="s">
        <v>351</v>
      </c>
      <c r="D207" s="613">
        <v>0</v>
      </c>
      <c r="E207" s="613">
        <v>0</v>
      </c>
      <c r="F207" s="613">
        <v>0</v>
      </c>
      <c r="G207" s="613">
        <v>0</v>
      </c>
      <c r="H207" s="613">
        <v>12.378684044888715</v>
      </c>
      <c r="I207" s="613">
        <v>0</v>
      </c>
      <c r="J207" s="613">
        <v>0</v>
      </c>
      <c r="K207" s="613">
        <v>0</v>
      </c>
      <c r="L207" s="613">
        <v>36.0447949504767</v>
      </c>
      <c r="M207" s="613">
        <v>14.339300216640275</v>
      </c>
      <c r="N207" s="613">
        <v>0</v>
      </c>
      <c r="O207" s="613">
        <v>4.1400526748892315</v>
      </c>
      <c r="P207" s="613">
        <v>0</v>
      </c>
      <c r="Q207" s="613">
        <v>10.825953288370551</v>
      </c>
      <c r="R207" s="613">
        <v>0</v>
      </c>
      <c r="S207" s="613">
        <v>-71.400838762535344</v>
      </c>
      <c r="T207" s="613">
        <v>0</v>
      </c>
      <c r="U207" s="621">
        <v>6.3279464127301193</v>
      </c>
      <c r="V207" s="51"/>
      <c r="W207" s="51"/>
      <c r="X207" s="51"/>
    </row>
    <row r="208" spans="1:24">
      <c r="A208" s="51"/>
      <c r="B208" s="51"/>
      <c r="C208" s="620" t="s">
        <v>352</v>
      </c>
      <c r="D208" s="613">
        <v>0</v>
      </c>
      <c r="E208" s="613">
        <v>0</v>
      </c>
      <c r="F208" s="613">
        <v>0</v>
      </c>
      <c r="G208" s="613">
        <v>0</v>
      </c>
      <c r="H208" s="613">
        <v>0</v>
      </c>
      <c r="I208" s="613">
        <v>0</v>
      </c>
      <c r="J208" s="613">
        <v>0</v>
      </c>
      <c r="K208" s="613">
        <v>0</v>
      </c>
      <c r="L208" s="613">
        <v>59.968856760861129</v>
      </c>
      <c r="M208" s="613">
        <v>0</v>
      </c>
      <c r="N208" s="613">
        <v>0</v>
      </c>
      <c r="O208" s="613">
        <v>-54.406350606326953</v>
      </c>
      <c r="P208" s="613">
        <v>0</v>
      </c>
      <c r="Q208" s="613">
        <v>0</v>
      </c>
      <c r="R208" s="613">
        <v>0</v>
      </c>
      <c r="S208" s="613">
        <v>0</v>
      </c>
      <c r="T208" s="613">
        <v>0</v>
      </c>
      <c r="U208" s="621">
        <v>5.5625061545341765</v>
      </c>
      <c r="V208" s="51"/>
      <c r="W208" s="51"/>
      <c r="X208" s="51"/>
    </row>
    <row r="209" spans="1:24">
      <c r="A209" s="51"/>
      <c r="B209" s="51"/>
      <c r="C209" s="620" t="s">
        <v>353</v>
      </c>
      <c r="D209" s="613">
        <v>0</v>
      </c>
      <c r="E209" s="613">
        <v>0</v>
      </c>
      <c r="F209" s="613">
        <v>0</v>
      </c>
      <c r="G209" s="613">
        <v>0</v>
      </c>
      <c r="H209" s="613">
        <v>0</v>
      </c>
      <c r="I209" s="613">
        <v>0</v>
      </c>
      <c r="J209" s="613">
        <v>0</v>
      </c>
      <c r="K209" s="613">
        <v>0</v>
      </c>
      <c r="L209" s="613">
        <v>0</v>
      </c>
      <c r="M209" s="613">
        <v>0</v>
      </c>
      <c r="N209" s="613">
        <v>0</v>
      </c>
      <c r="O209" s="613">
        <v>0</v>
      </c>
      <c r="P209" s="613">
        <v>0</v>
      </c>
      <c r="Q209" s="613">
        <v>0</v>
      </c>
      <c r="R209" s="613">
        <v>0</v>
      </c>
      <c r="S209" s="613">
        <v>0</v>
      </c>
      <c r="T209" s="613">
        <v>0</v>
      </c>
      <c r="U209" s="621">
        <v>0</v>
      </c>
      <c r="V209" s="51"/>
      <c r="W209" s="51"/>
      <c r="X209" s="51"/>
    </row>
    <row r="210" spans="1:24">
      <c r="A210" s="51"/>
      <c r="B210" s="51"/>
      <c r="C210" s="620" t="s">
        <v>72</v>
      </c>
      <c r="D210" s="613">
        <v>0</v>
      </c>
      <c r="E210" s="613">
        <v>357.27482859273942</v>
      </c>
      <c r="F210" s="613">
        <v>-353.71543432563573</v>
      </c>
      <c r="G210" s="613">
        <v>0</v>
      </c>
      <c r="H210" s="613">
        <v>0</v>
      </c>
      <c r="I210" s="613">
        <v>0</v>
      </c>
      <c r="J210" s="613">
        <v>0</v>
      </c>
      <c r="K210" s="613">
        <v>0</v>
      </c>
      <c r="L210" s="613">
        <v>0</v>
      </c>
      <c r="M210" s="613">
        <v>0</v>
      </c>
      <c r="N210" s="613">
        <v>0</v>
      </c>
      <c r="O210" s="613">
        <v>0</v>
      </c>
      <c r="P210" s="613">
        <v>0</v>
      </c>
      <c r="Q210" s="613">
        <v>0</v>
      </c>
      <c r="R210" s="613">
        <v>0</v>
      </c>
      <c r="S210" s="613">
        <v>0</v>
      </c>
      <c r="T210" s="613">
        <v>0</v>
      </c>
      <c r="U210" s="621">
        <v>3.5593942671036793</v>
      </c>
      <c r="V210" s="51"/>
      <c r="W210" s="51"/>
      <c r="X210" s="51"/>
    </row>
    <row r="211" spans="1:24">
      <c r="A211" s="51"/>
      <c r="B211" s="51"/>
      <c r="C211" s="620" t="s">
        <v>354</v>
      </c>
      <c r="D211" s="613">
        <v>0</v>
      </c>
      <c r="E211" s="613">
        <v>0</v>
      </c>
      <c r="F211" s="613">
        <v>0</v>
      </c>
      <c r="G211" s="613">
        <v>0</v>
      </c>
      <c r="H211" s="613">
        <v>0</v>
      </c>
      <c r="I211" s="613">
        <v>0</v>
      </c>
      <c r="J211" s="613">
        <v>0</v>
      </c>
      <c r="K211" s="613">
        <v>0</v>
      </c>
      <c r="L211" s="613">
        <v>87.509483344344957</v>
      </c>
      <c r="M211" s="613">
        <v>0</v>
      </c>
      <c r="N211" s="613">
        <v>-87.509483344344957</v>
      </c>
      <c r="O211" s="613">
        <v>0</v>
      </c>
      <c r="P211" s="613">
        <v>0</v>
      </c>
      <c r="Q211" s="613">
        <v>0</v>
      </c>
      <c r="R211" s="613">
        <v>0</v>
      </c>
      <c r="S211" s="613">
        <v>0</v>
      </c>
      <c r="T211" s="613">
        <v>0</v>
      </c>
      <c r="U211" s="621">
        <v>0</v>
      </c>
      <c r="V211" s="51"/>
      <c r="W211" s="51"/>
      <c r="X211" s="51"/>
    </row>
    <row r="212" spans="1:24">
      <c r="A212" s="51"/>
      <c r="B212" s="51"/>
      <c r="C212" s="620" t="s">
        <v>355</v>
      </c>
      <c r="D212" s="613">
        <v>0</v>
      </c>
      <c r="E212" s="613">
        <v>0</v>
      </c>
      <c r="F212" s="613">
        <v>0</v>
      </c>
      <c r="G212" s="613">
        <v>-7.9105007206485656</v>
      </c>
      <c r="H212" s="613">
        <v>0</v>
      </c>
      <c r="I212" s="613">
        <v>0</v>
      </c>
      <c r="J212" s="613">
        <v>0</v>
      </c>
      <c r="K212" s="613">
        <v>0</v>
      </c>
      <c r="L212" s="613">
        <v>0</v>
      </c>
      <c r="M212" s="613">
        <v>0</v>
      </c>
      <c r="N212" s="613">
        <v>0</v>
      </c>
      <c r="O212" s="613">
        <v>0</v>
      </c>
      <c r="P212" s="613">
        <v>0</v>
      </c>
      <c r="Q212" s="613">
        <v>0</v>
      </c>
      <c r="R212" s="613">
        <v>0</v>
      </c>
      <c r="S212" s="613">
        <v>0</v>
      </c>
      <c r="T212" s="613">
        <v>11.017410474440901</v>
      </c>
      <c r="U212" s="621">
        <v>3.1069097537923351</v>
      </c>
      <c r="V212" s="51"/>
      <c r="W212" s="51"/>
      <c r="X212" s="51"/>
    </row>
    <row r="213" spans="1:24">
      <c r="A213" s="51"/>
      <c r="B213" s="51"/>
      <c r="C213" s="620" t="s">
        <v>73</v>
      </c>
      <c r="D213" s="613">
        <v>0</v>
      </c>
      <c r="E213" s="613">
        <v>0</v>
      </c>
      <c r="F213" s="613">
        <v>0</v>
      </c>
      <c r="G213" s="613">
        <v>0</v>
      </c>
      <c r="H213" s="613">
        <v>0</v>
      </c>
      <c r="I213" s="613">
        <v>0</v>
      </c>
      <c r="J213" s="613">
        <v>0</v>
      </c>
      <c r="K213" s="613">
        <v>0</v>
      </c>
      <c r="L213" s="613">
        <v>0</v>
      </c>
      <c r="M213" s="613">
        <v>0</v>
      </c>
      <c r="N213" s="613">
        <v>0</v>
      </c>
      <c r="O213" s="613">
        <v>0</v>
      </c>
      <c r="P213" s="613">
        <v>0</v>
      </c>
      <c r="Q213" s="613">
        <v>0</v>
      </c>
      <c r="R213" s="613">
        <v>51.730551312429718</v>
      </c>
      <c r="S213" s="613">
        <v>0</v>
      </c>
      <c r="T213" s="613">
        <v>-34.530143001046838</v>
      </c>
      <c r="U213" s="621">
        <v>17.20040831138288</v>
      </c>
      <c r="V213" s="51"/>
      <c r="W213" s="51"/>
      <c r="X213" s="51"/>
    </row>
    <row r="214" spans="1:24">
      <c r="A214" s="51"/>
      <c r="B214" s="51"/>
      <c r="C214" s="620" t="s">
        <v>356</v>
      </c>
      <c r="D214" s="613">
        <v>9.1080551953124989</v>
      </c>
      <c r="E214" s="613">
        <v>-12.513177651431018</v>
      </c>
      <c r="F214" s="613">
        <v>16.300260399898175</v>
      </c>
      <c r="G214" s="613">
        <v>0</v>
      </c>
      <c r="H214" s="613">
        <v>0</v>
      </c>
      <c r="I214" s="613">
        <v>0</v>
      </c>
      <c r="J214" s="613">
        <v>0</v>
      </c>
      <c r="K214" s="613">
        <v>0</v>
      </c>
      <c r="L214" s="613">
        <v>0</v>
      </c>
      <c r="M214" s="613">
        <v>0</v>
      </c>
      <c r="N214" s="613">
        <v>0</v>
      </c>
      <c r="O214" s="613">
        <v>0</v>
      </c>
      <c r="P214" s="613">
        <v>0</v>
      </c>
      <c r="Q214" s="613">
        <v>0</v>
      </c>
      <c r="R214" s="613">
        <v>0</v>
      </c>
      <c r="S214" s="613">
        <v>0</v>
      </c>
      <c r="T214" s="613">
        <v>0</v>
      </c>
      <c r="U214" s="621">
        <v>12.895137943779657</v>
      </c>
      <c r="V214" s="51"/>
      <c r="W214" s="51"/>
      <c r="X214" s="51"/>
    </row>
    <row r="215" spans="1:24">
      <c r="A215" s="51"/>
      <c r="B215" s="51"/>
      <c r="C215" s="620" t="s">
        <v>75</v>
      </c>
      <c r="D215" s="613">
        <v>3.5420214648437502</v>
      </c>
      <c r="E215" s="613">
        <v>0</v>
      </c>
      <c r="F215" s="613">
        <v>18.654676129726123</v>
      </c>
      <c r="G215" s="613">
        <v>0</v>
      </c>
      <c r="H215" s="613">
        <v>3.9220454388203256</v>
      </c>
      <c r="I215" s="613">
        <v>0</v>
      </c>
      <c r="J215" s="613">
        <v>0</v>
      </c>
      <c r="K215" s="613">
        <v>0</v>
      </c>
      <c r="L215" s="613">
        <v>0</v>
      </c>
      <c r="M215" s="613">
        <v>0</v>
      </c>
      <c r="N215" s="613">
        <v>0</v>
      </c>
      <c r="O215" s="613">
        <v>1.4506195458650522</v>
      </c>
      <c r="P215" s="613">
        <v>0</v>
      </c>
      <c r="Q215" s="613">
        <v>0</v>
      </c>
      <c r="R215" s="613">
        <v>25.580253659658865</v>
      </c>
      <c r="S215" s="613">
        <v>0</v>
      </c>
      <c r="T215" s="613">
        <v>0</v>
      </c>
      <c r="U215" s="621">
        <v>53.149616238914113</v>
      </c>
      <c r="V215" s="51"/>
      <c r="W215" s="51"/>
      <c r="X215" s="51"/>
    </row>
    <row r="216" spans="1:24">
      <c r="A216" s="51"/>
      <c r="B216" s="51"/>
      <c r="C216" s="620" t="s">
        <v>76</v>
      </c>
      <c r="D216" s="613">
        <v>0</v>
      </c>
      <c r="E216" s="613">
        <v>0</v>
      </c>
      <c r="F216" s="613">
        <v>0</v>
      </c>
      <c r="G216" s="613">
        <v>0</v>
      </c>
      <c r="H216" s="613">
        <v>1.7295723297007575</v>
      </c>
      <c r="I216" s="613">
        <v>0</v>
      </c>
      <c r="J216" s="613">
        <v>0</v>
      </c>
      <c r="K216" s="613">
        <v>0</v>
      </c>
      <c r="L216" s="613">
        <v>0</v>
      </c>
      <c r="M216" s="613">
        <v>0</v>
      </c>
      <c r="N216" s="613">
        <v>0</v>
      </c>
      <c r="O216" s="613">
        <v>0.63970483427288294</v>
      </c>
      <c r="P216" s="613">
        <v>0</v>
      </c>
      <c r="Q216" s="613">
        <v>0</v>
      </c>
      <c r="R216" s="613">
        <v>43.823002745640586</v>
      </c>
      <c r="S216" s="613">
        <v>5.5373897346121579</v>
      </c>
      <c r="T216" s="613">
        <v>0</v>
      </c>
      <c r="U216" s="621">
        <v>51.729669644226391</v>
      </c>
      <c r="V216" s="51"/>
      <c r="W216" s="51"/>
      <c r="X216" s="51"/>
    </row>
    <row r="217" spans="1:24">
      <c r="A217" s="51"/>
      <c r="B217" s="51"/>
      <c r="C217" s="616" t="s">
        <v>77</v>
      </c>
      <c r="D217" s="617">
        <v>12.650076660156248</v>
      </c>
      <c r="E217" s="617">
        <v>344.7616509413084</v>
      </c>
      <c r="F217" s="617">
        <v>-317.95828051040263</v>
      </c>
      <c r="G217" s="617">
        <v>-7.9105007206485656</v>
      </c>
      <c r="H217" s="624">
        <v>29.601084157943134</v>
      </c>
      <c r="I217" s="617">
        <v>0</v>
      </c>
      <c r="J217" s="617">
        <v>1023.0684545454548</v>
      </c>
      <c r="K217" s="617">
        <v>284.16835095393981</v>
      </c>
      <c r="L217" s="617">
        <v>210.89473745074045</v>
      </c>
      <c r="M217" s="617">
        <v>24.791356957669066</v>
      </c>
      <c r="N217" s="617">
        <v>-82.480349613992402</v>
      </c>
      <c r="O217" s="617">
        <v>-45.170206080681062</v>
      </c>
      <c r="P217" s="617">
        <v>0</v>
      </c>
      <c r="Q217" s="617">
        <v>13.620352598697865</v>
      </c>
      <c r="R217" s="617">
        <v>-527.59787065216892</v>
      </c>
      <c r="S217" s="617">
        <v>-65.863449027923181</v>
      </c>
      <c r="T217" s="617">
        <v>-23.512732526605937</v>
      </c>
      <c r="U217" s="617">
        <v>873.06267513348701</v>
      </c>
      <c r="V217" s="51"/>
      <c r="W217" s="51"/>
      <c r="X217" s="51"/>
    </row>
    <row r="218" spans="1:24">
      <c r="A218" s="51"/>
      <c r="B218" s="51"/>
      <c r="C218" s="618"/>
      <c r="D218" s="619">
        <v>0</v>
      </c>
      <c r="E218" s="619">
        <v>0</v>
      </c>
      <c r="F218" s="619">
        <v>0</v>
      </c>
      <c r="G218" s="619">
        <v>0</v>
      </c>
      <c r="H218" s="625">
        <v>0</v>
      </c>
      <c r="I218" s="619">
        <v>0</v>
      </c>
      <c r="J218" s="619">
        <v>0</v>
      </c>
      <c r="K218" s="619">
        <v>0</v>
      </c>
      <c r="L218" s="619">
        <v>0</v>
      </c>
      <c r="M218" s="619">
        <v>0</v>
      </c>
      <c r="N218" s="619">
        <v>0</v>
      </c>
      <c r="O218" s="619">
        <v>0</v>
      </c>
      <c r="P218" s="619">
        <v>0</v>
      </c>
      <c r="Q218" s="619">
        <v>0</v>
      </c>
      <c r="R218" s="619">
        <v>0</v>
      </c>
      <c r="S218" s="619">
        <v>0</v>
      </c>
      <c r="T218" s="619">
        <v>0</v>
      </c>
      <c r="U218" s="619">
        <v>0</v>
      </c>
      <c r="V218" s="51"/>
      <c r="W218" s="51"/>
      <c r="X218" s="51"/>
    </row>
    <row r="219" spans="1:24">
      <c r="A219" s="51"/>
      <c r="B219" s="51"/>
      <c r="C219" s="620" t="s">
        <v>78</v>
      </c>
      <c r="D219" s="613">
        <v>3.5288056070999749</v>
      </c>
      <c r="E219" s="613">
        <v>0</v>
      </c>
      <c r="F219" s="613">
        <v>9.0742751543652709</v>
      </c>
      <c r="G219" s="613">
        <v>0</v>
      </c>
      <c r="H219" s="613">
        <v>50.765702343803007</v>
      </c>
      <c r="I219" s="613">
        <v>0</v>
      </c>
      <c r="J219" s="613">
        <v>0</v>
      </c>
      <c r="K219" s="613">
        <v>0</v>
      </c>
      <c r="L219" s="613">
        <v>20.203559685037114</v>
      </c>
      <c r="M219" s="613">
        <v>2.5066351077817299</v>
      </c>
      <c r="N219" s="613">
        <v>1.1254933974609376</v>
      </c>
      <c r="O219" s="613">
        <v>18.810321451312785</v>
      </c>
      <c r="P219" s="613">
        <v>5.5404179687499999</v>
      </c>
      <c r="Q219" s="613">
        <v>6.9244826847420892E-4</v>
      </c>
      <c r="R219" s="613">
        <v>129.68210517319469</v>
      </c>
      <c r="S219" s="613">
        <v>18.067305271014469</v>
      </c>
      <c r="T219" s="613">
        <v>3.2886369628906249</v>
      </c>
      <c r="U219" s="621">
        <v>262.59395057097908</v>
      </c>
      <c r="V219" s="51"/>
      <c r="W219" s="622" t="e" cm="1">
        <f t="array" aca="1" ref="W219" ca="1">_xlfn.IFNA(INDEX(#REF!,MATCH(INDIRECT("Codes_bilans!"&amp;W$1&amp;"$"&amp;#REF!),#REF!,0),MATCH(#REF!,#REF!,0)),0)</f>
        <v>#REF!</v>
      </c>
      <c r="X219" s="51"/>
    </row>
    <row r="220" spans="1:24">
      <c r="A220" s="51"/>
      <c r="B220" s="51"/>
      <c r="C220" s="620" t="s">
        <v>79</v>
      </c>
      <c r="D220" s="613">
        <v>0</v>
      </c>
      <c r="E220" s="613">
        <v>0</v>
      </c>
      <c r="F220" s="613">
        <v>183.65265309164423</v>
      </c>
      <c r="G220" s="613">
        <v>0.37586832320647884</v>
      </c>
      <c r="H220" s="613">
        <v>4.5862710057628444</v>
      </c>
      <c r="I220" s="613">
        <v>0</v>
      </c>
      <c r="J220" s="613">
        <v>0</v>
      </c>
      <c r="K220" s="613">
        <v>0</v>
      </c>
      <c r="L220" s="613">
        <v>0</v>
      </c>
      <c r="M220" s="613">
        <v>0</v>
      </c>
      <c r="N220" s="613">
        <v>52.853956211759765</v>
      </c>
      <c r="O220" s="613">
        <v>1.6962920158300934</v>
      </c>
      <c r="P220" s="613">
        <v>0</v>
      </c>
      <c r="Q220" s="613">
        <v>0</v>
      </c>
      <c r="R220" s="613">
        <v>57.341707182273488</v>
      </c>
      <c r="S220" s="613">
        <v>0</v>
      </c>
      <c r="T220" s="613">
        <v>2.0198839430903792</v>
      </c>
      <c r="U220" s="621">
        <v>302.52663177356732</v>
      </c>
      <c r="V220" s="51"/>
      <c r="W220" s="622" t="e" cm="1">
        <f t="array" aca="1" ref="W220" ca="1">_xlfn.IFNA(INDEX(#REF!,MATCH(INDIRECT("Codes_bilans!"&amp;W$1&amp;"$"&amp;#REF!),#REF!,0),MATCH(#REF!,#REF!,0)),0)</f>
        <v>#REF!</v>
      </c>
      <c r="X220" s="51"/>
    </row>
    <row r="221" spans="1:24">
      <c r="A221" s="51"/>
      <c r="B221" s="51"/>
      <c r="C221" s="620" t="s">
        <v>80</v>
      </c>
      <c r="D221" s="613">
        <v>0</v>
      </c>
      <c r="E221" s="613">
        <v>0</v>
      </c>
      <c r="F221" s="613">
        <v>3.260836950166615</v>
      </c>
      <c r="G221" s="613">
        <v>0</v>
      </c>
      <c r="H221" s="613">
        <v>39.313312069692138</v>
      </c>
      <c r="I221" s="613">
        <v>0</v>
      </c>
      <c r="J221" s="613">
        <v>0</v>
      </c>
      <c r="K221" s="613">
        <v>0</v>
      </c>
      <c r="L221" s="613">
        <v>38.595135513286785</v>
      </c>
      <c r="M221" s="613">
        <v>0</v>
      </c>
      <c r="N221" s="613">
        <v>0</v>
      </c>
      <c r="O221" s="613">
        <v>14.540540080571066</v>
      </c>
      <c r="P221" s="613">
        <v>88.021667456281236</v>
      </c>
      <c r="Q221" s="613">
        <v>2.3427124137087052</v>
      </c>
      <c r="R221" s="613">
        <v>158.98187870009832</v>
      </c>
      <c r="S221" s="613">
        <v>28.917251051933125</v>
      </c>
      <c r="T221" s="613">
        <v>0</v>
      </c>
      <c r="U221" s="621">
        <v>373.97333423573804</v>
      </c>
      <c r="V221" s="51"/>
      <c r="W221" s="622" t="e" cm="1">
        <f t="array" aca="1" ref="W221" ca="1">_xlfn.IFNA(INDEX(#REF!,MATCH(INDIRECT("Codes_bilans!"&amp;W$1&amp;"$"&amp;#REF!),#REF!,0),MATCH(#REF!,#REF!,0)),0)</f>
        <v>#REF!</v>
      </c>
      <c r="X221" s="51"/>
    </row>
    <row r="222" spans="1:24">
      <c r="A222" s="51"/>
      <c r="B222" s="51"/>
      <c r="C222" s="620" t="s">
        <v>81</v>
      </c>
      <c r="D222" s="613">
        <v>0</v>
      </c>
      <c r="E222" s="613">
        <v>0</v>
      </c>
      <c r="F222" s="613">
        <v>3.4419330830775619</v>
      </c>
      <c r="G222" s="613">
        <v>0</v>
      </c>
      <c r="H222" s="613">
        <v>19.661407657447267</v>
      </c>
      <c r="I222" s="613">
        <v>0</v>
      </c>
      <c r="J222" s="613">
        <v>0</v>
      </c>
      <c r="K222" s="613">
        <v>0</v>
      </c>
      <c r="L222" s="613">
        <v>0.43406989863895534</v>
      </c>
      <c r="M222" s="613">
        <v>4.6787954190583215E-4</v>
      </c>
      <c r="N222" s="613">
        <v>0</v>
      </c>
      <c r="O222" s="613">
        <v>7.2720274897407702</v>
      </c>
      <c r="P222" s="613">
        <v>20.482042486716281</v>
      </c>
      <c r="Q222" s="613">
        <v>0.93898003664808516</v>
      </c>
      <c r="R222" s="613">
        <v>96.862888654792613</v>
      </c>
      <c r="S222" s="613">
        <v>18.878892704975588</v>
      </c>
      <c r="T222" s="613">
        <v>0</v>
      </c>
      <c r="U222" s="621">
        <v>167.97270989157903</v>
      </c>
      <c r="V222" s="51"/>
      <c r="W222" s="622" t="e" cm="1">
        <f t="array" aca="1" ref="W222" ca="1">_xlfn.IFNA(INDEX(#REF!,MATCH(INDIRECT("Codes_bilans!"&amp;W$1&amp;"$"&amp;#REF!),#REF!,0),MATCH(#REF!,#REF!,0)),0)</f>
        <v>#REF!</v>
      </c>
      <c r="X222" s="51"/>
    </row>
    <row r="223" spans="1:24">
      <c r="A223" s="51"/>
      <c r="B223" s="51"/>
      <c r="C223" s="620" t="s">
        <v>82</v>
      </c>
      <c r="D223" s="613">
        <v>0</v>
      </c>
      <c r="E223" s="613">
        <v>0</v>
      </c>
      <c r="F223" s="613">
        <v>19.85629550078999</v>
      </c>
      <c r="G223" s="613">
        <v>0</v>
      </c>
      <c r="H223" s="613">
        <v>1.376773611649958</v>
      </c>
      <c r="I223" s="613">
        <v>0</v>
      </c>
      <c r="J223" s="613">
        <v>0</v>
      </c>
      <c r="K223" s="613">
        <v>0</v>
      </c>
      <c r="L223" s="613">
        <v>2.7730307508519707</v>
      </c>
      <c r="M223" s="613">
        <v>0</v>
      </c>
      <c r="N223" s="613">
        <v>8.3214654409998232</v>
      </c>
      <c r="O223" s="613">
        <v>0.50921763718560098</v>
      </c>
      <c r="P223" s="613">
        <v>0.75</v>
      </c>
      <c r="Q223" s="613">
        <v>0.96290247555165809</v>
      </c>
      <c r="R223" s="613">
        <v>7.7126288806125016</v>
      </c>
      <c r="S223" s="613">
        <v>0</v>
      </c>
      <c r="T223" s="613">
        <v>0.24940873791150003</v>
      </c>
      <c r="U223" s="621">
        <v>42.511723035553004</v>
      </c>
      <c r="V223" s="51"/>
      <c r="W223" s="622" t="e" cm="1">
        <f t="array" aca="1" ref="W223" ca="1">_xlfn.IFNA(INDEX(#REF!,MATCH(INDIRECT("Codes_bilans!"&amp;W$1&amp;"$"&amp;#REF!),#REF!,0),MATCH(#REF!,#REF!,0)),0)</f>
        <v>#REF!</v>
      </c>
      <c r="X223" s="51"/>
    </row>
    <row r="224" spans="1:24">
      <c r="A224" s="51"/>
      <c r="B224" s="51"/>
      <c r="C224" s="620" t="s">
        <v>357</v>
      </c>
      <c r="D224" s="613">
        <v>0</v>
      </c>
      <c r="E224" s="613">
        <v>0</v>
      </c>
      <c r="F224" s="613">
        <v>0</v>
      </c>
      <c r="G224" s="613">
        <v>0</v>
      </c>
      <c r="H224" s="613">
        <v>0</v>
      </c>
      <c r="I224" s="613">
        <v>0</v>
      </c>
      <c r="J224" s="613">
        <v>0</v>
      </c>
      <c r="K224" s="613">
        <v>0</v>
      </c>
      <c r="L224" s="613">
        <v>0</v>
      </c>
      <c r="M224" s="613">
        <v>0</v>
      </c>
      <c r="N224" s="613">
        <v>0</v>
      </c>
      <c r="O224" s="613">
        <v>0</v>
      </c>
      <c r="P224" s="613">
        <v>0</v>
      </c>
      <c r="Q224" s="613">
        <v>0</v>
      </c>
      <c r="R224" s="613">
        <v>0.68544000000000005</v>
      </c>
      <c r="S224" s="613">
        <v>0</v>
      </c>
      <c r="T224" s="613">
        <v>0</v>
      </c>
      <c r="U224" s="621">
        <v>0.68544000000000005</v>
      </c>
      <c r="V224" s="51"/>
      <c r="W224" s="622" t="e" cm="1">
        <f t="array" aca="1" ref="W224" ca="1">_xlfn.IFNA(INDEX(#REF!,MATCH(INDIRECT("Codes_bilans!"&amp;W$1&amp;"$"&amp;#REF!),#REF!,0),MATCH(#REF!,#REF!,0)),0)</f>
        <v>#REF!</v>
      </c>
      <c r="X224" s="51"/>
    </row>
    <row r="225" spans="1:24">
      <c r="A225" s="51"/>
      <c r="B225" s="51"/>
      <c r="C225" s="616" t="s">
        <v>83</v>
      </c>
      <c r="D225" s="617">
        <v>3.5288056070999749</v>
      </c>
      <c r="E225" s="617">
        <v>0</v>
      </c>
      <c r="F225" s="617">
        <v>219.2859937800437</v>
      </c>
      <c r="G225" s="617">
        <v>0.37586832320647884</v>
      </c>
      <c r="H225" s="624">
        <v>115.70346668835522</v>
      </c>
      <c r="I225" s="617">
        <v>0</v>
      </c>
      <c r="J225" s="617">
        <v>0</v>
      </c>
      <c r="K225" s="617">
        <v>0</v>
      </c>
      <c r="L225" s="617">
        <v>62.005795847814824</v>
      </c>
      <c r="M225" s="617">
        <v>2.5071029873236355</v>
      </c>
      <c r="N225" s="617">
        <v>62.300915050220524</v>
      </c>
      <c r="O225" s="617">
        <v>42.828398674640319</v>
      </c>
      <c r="P225" s="617">
        <v>114.79412791174752</v>
      </c>
      <c r="Q225" s="617">
        <v>4.2452873741769226</v>
      </c>
      <c r="R225" s="617">
        <v>451.26664859097167</v>
      </c>
      <c r="S225" s="617">
        <v>65.863449027923181</v>
      </c>
      <c r="T225" s="617">
        <v>5.5579296438925034</v>
      </c>
      <c r="U225" s="617">
        <v>1150.2637895074163</v>
      </c>
      <c r="V225" s="51"/>
      <c r="W225" s="51"/>
      <c r="X225" s="51"/>
    </row>
    <row r="226" spans="1:24">
      <c r="A226" s="51"/>
      <c r="B226" s="51"/>
      <c r="C226" s="612" t="s">
        <v>84</v>
      </c>
      <c r="D226" s="613">
        <v>0</v>
      </c>
      <c r="E226" s="613">
        <v>0</v>
      </c>
      <c r="F226" s="613">
        <v>78.311135803097855</v>
      </c>
      <c r="G226" s="613">
        <v>3.2322568578114335</v>
      </c>
      <c r="H226" s="613">
        <v>8.5375790835295255</v>
      </c>
      <c r="I226" s="613">
        <v>0</v>
      </c>
      <c r="J226" s="613">
        <v>0</v>
      </c>
      <c r="K226" s="613">
        <v>0</v>
      </c>
      <c r="L226" s="613">
        <v>0.26788991283700125</v>
      </c>
      <c r="M226" s="613">
        <v>0</v>
      </c>
      <c r="N226" s="613">
        <v>12.991363385671615</v>
      </c>
      <c r="O226" s="613">
        <v>1.800451278990862</v>
      </c>
      <c r="P226" s="613">
        <v>0</v>
      </c>
      <c r="Q226" s="613">
        <v>0</v>
      </c>
      <c r="R226" s="613">
        <v>0</v>
      </c>
      <c r="S226" s="613">
        <v>0</v>
      </c>
      <c r="T226" s="613">
        <v>17.811580806374948</v>
      </c>
      <c r="U226" s="621">
        <v>122.95225712831325</v>
      </c>
      <c r="V226" s="51"/>
      <c r="W226" s="622" t="e" cm="1">
        <f t="array" aca="1" ref="W226" ca="1">_xlfn.IFNA(INDEX(#REF!,MATCH(INDIRECT("Codes_bilans!"&amp;W$1&amp;"$"&amp;#REF!),#REF!,0),MATCH(#REF!,#REF!,0)),0)</f>
        <v>#REF!</v>
      </c>
      <c r="X226" s="51"/>
    </row>
    <row r="227" spans="1:24">
      <c r="A227" s="51"/>
      <c r="B227" s="51"/>
      <c r="C227" s="616" t="s">
        <v>85</v>
      </c>
      <c r="D227" s="617">
        <v>3.5288056070999749</v>
      </c>
      <c r="E227" s="617">
        <v>0</v>
      </c>
      <c r="F227" s="617">
        <v>297.59712958314151</v>
      </c>
      <c r="G227" s="617">
        <v>3.6081251810179125</v>
      </c>
      <c r="H227" s="624">
        <v>124.24104577188474</v>
      </c>
      <c r="I227" s="617">
        <v>0</v>
      </c>
      <c r="J227" s="617">
        <v>0</v>
      </c>
      <c r="K227" s="617">
        <v>0</v>
      </c>
      <c r="L227" s="617">
        <v>62.273685760651823</v>
      </c>
      <c r="M227" s="617">
        <v>2.5071029873236355</v>
      </c>
      <c r="N227" s="617">
        <v>75.292278435892143</v>
      </c>
      <c r="O227" s="617">
        <v>44.628849953631182</v>
      </c>
      <c r="P227" s="617">
        <v>114.79412791174752</v>
      </c>
      <c r="Q227" s="617">
        <v>4.2452873741769226</v>
      </c>
      <c r="R227" s="617">
        <v>451.26664859097167</v>
      </c>
      <c r="S227" s="617">
        <v>65.863449027923181</v>
      </c>
      <c r="T227" s="617">
        <v>23.369510450267452</v>
      </c>
      <c r="U227" s="617">
        <v>1273.2160466357295</v>
      </c>
      <c r="V227" s="51"/>
      <c r="W227" s="51"/>
      <c r="X227" s="51"/>
    </row>
    <row r="228" spans="1:24">
      <c r="A228" s="51"/>
      <c r="B228" s="51"/>
      <c r="C228" s="51"/>
      <c r="D228" s="67">
        <v>0</v>
      </c>
      <c r="E228" s="67">
        <v>0</v>
      </c>
      <c r="F228" s="67">
        <v>-9.5923269327613525E-14</v>
      </c>
      <c r="G228" s="67">
        <v>0</v>
      </c>
      <c r="H228" s="67">
        <v>0</v>
      </c>
      <c r="I228" s="67">
        <v>0</v>
      </c>
      <c r="J228" s="67">
        <v>0</v>
      </c>
      <c r="K228" s="67">
        <v>0</v>
      </c>
      <c r="L228" s="67">
        <v>0</v>
      </c>
      <c r="M228" s="67">
        <v>0</v>
      </c>
      <c r="N228" s="67">
        <v>-2.1316282072803006E-14</v>
      </c>
      <c r="O228" s="67">
        <v>3.5527136788005009E-15</v>
      </c>
      <c r="P228" s="67">
        <v>0</v>
      </c>
      <c r="Q228" s="67">
        <v>0</v>
      </c>
      <c r="R228" s="67">
        <v>0</v>
      </c>
      <c r="S228" s="67">
        <v>0</v>
      </c>
      <c r="T228" s="67">
        <v>4.5796699765787707E-15</v>
      </c>
      <c r="U228" s="67">
        <v>0</v>
      </c>
      <c r="V228" s="51"/>
      <c r="W228" s="51"/>
      <c r="X228" s="51"/>
    </row>
    <row r="229" spans="1:24">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row>
    <row r="230" spans="1:24">
      <c r="A230" s="608"/>
      <c r="B230" s="608"/>
      <c r="C230" s="609" t="s">
        <v>362</v>
      </c>
      <c r="D230" s="608"/>
      <c r="E230" s="608"/>
      <c r="F230" s="608"/>
      <c r="G230" s="608"/>
      <c r="H230" s="608"/>
      <c r="I230" s="608"/>
      <c r="J230" s="608"/>
      <c r="K230" s="608"/>
      <c r="L230" s="608"/>
      <c r="M230" s="608"/>
      <c r="N230" s="608"/>
      <c r="O230" s="608"/>
      <c r="P230" s="608"/>
      <c r="Q230" s="608"/>
      <c r="R230" s="608"/>
      <c r="S230" s="608"/>
      <c r="T230" s="608"/>
      <c r="U230" s="608"/>
      <c r="V230" s="608"/>
      <c r="W230" s="608"/>
      <c r="X230" s="608"/>
    </row>
    <row r="231" spans="1:24">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row>
    <row r="232" spans="1:24" ht="14.25" customHeight="1">
      <c r="A232" s="51"/>
      <c r="B232" s="51"/>
      <c r="C232" s="713" t="s">
        <v>128</v>
      </c>
      <c r="D232" s="711" t="s">
        <v>42</v>
      </c>
      <c r="E232" s="711" t="s">
        <v>52</v>
      </c>
      <c r="F232" s="711" t="s">
        <v>53</v>
      </c>
      <c r="G232" s="711" t="s">
        <v>487</v>
      </c>
      <c r="H232" s="711" t="s">
        <v>32</v>
      </c>
      <c r="I232" s="711" t="s">
        <v>488</v>
      </c>
      <c r="J232" s="711" t="s">
        <v>20</v>
      </c>
      <c r="K232" s="711" t="s">
        <v>55</v>
      </c>
      <c r="L232" s="715" t="s">
        <v>56</v>
      </c>
      <c r="M232" s="716"/>
      <c r="N232" s="716"/>
      <c r="O232" s="716"/>
      <c r="P232" s="716"/>
      <c r="Q232" s="717"/>
      <c r="R232" s="711" t="s">
        <v>57</v>
      </c>
      <c r="S232" s="711" t="s">
        <v>58</v>
      </c>
      <c r="T232" s="711" t="s">
        <v>31</v>
      </c>
      <c r="U232" s="711" t="s">
        <v>10</v>
      </c>
      <c r="V232" s="51"/>
      <c r="W232" s="51"/>
      <c r="X232" s="51"/>
    </row>
    <row r="233" spans="1:24" ht="24">
      <c r="A233" s="51"/>
      <c r="B233" s="51"/>
      <c r="C233" s="714"/>
      <c r="D233" s="712"/>
      <c r="E233" s="712"/>
      <c r="F233" s="712"/>
      <c r="G233" s="712"/>
      <c r="H233" s="712"/>
      <c r="I233" s="712"/>
      <c r="J233" s="712"/>
      <c r="K233" s="712"/>
      <c r="L233" s="610" t="s">
        <v>338</v>
      </c>
      <c r="M233" s="610" t="s">
        <v>40</v>
      </c>
      <c r="N233" s="610" t="s">
        <v>346</v>
      </c>
      <c r="O233" s="610" t="s">
        <v>347</v>
      </c>
      <c r="P233" s="611" t="s">
        <v>348</v>
      </c>
      <c r="Q233" s="610" t="s">
        <v>349</v>
      </c>
      <c r="R233" s="712"/>
      <c r="S233" s="712"/>
      <c r="T233" s="712"/>
      <c r="U233" s="712"/>
      <c r="V233" s="51"/>
      <c r="W233" s="51"/>
      <c r="X233" s="51"/>
    </row>
    <row r="234" spans="1:24">
      <c r="A234" s="51"/>
      <c r="B234" s="51"/>
      <c r="C234" s="612" t="s">
        <v>59</v>
      </c>
      <c r="D234" s="613">
        <v>0</v>
      </c>
      <c r="E234" s="613">
        <v>2.3260000000000005</v>
      </c>
      <c r="F234" s="613">
        <v>0</v>
      </c>
      <c r="G234" s="613">
        <v>0</v>
      </c>
      <c r="H234" s="613">
        <v>3.7216000000000006E-2</v>
      </c>
      <c r="I234" s="613">
        <v>0</v>
      </c>
      <c r="J234" s="614">
        <v>1044.9429709090912</v>
      </c>
      <c r="K234" s="614">
        <v>337.76764233856375</v>
      </c>
      <c r="L234" s="614">
        <v>296.80728222554393</v>
      </c>
      <c r="M234" s="614">
        <v>27.696767252553528</v>
      </c>
      <c r="N234" s="613">
        <v>1.5522078310841105</v>
      </c>
      <c r="O234" s="613">
        <v>0.16457898409976487</v>
      </c>
      <c r="P234" s="614">
        <v>128.43983591306872</v>
      </c>
      <c r="Q234" s="614">
        <v>20.654107927982594</v>
      </c>
      <c r="R234" s="613">
        <v>0</v>
      </c>
      <c r="S234" s="613">
        <v>0</v>
      </c>
      <c r="T234" s="613">
        <v>0</v>
      </c>
      <c r="U234" s="615">
        <v>1860.3886093819874</v>
      </c>
      <c r="V234" s="51"/>
      <c r="W234" s="51"/>
      <c r="X234" s="51"/>
    </row>
    <row r="235" spans="1:24">
      <c r="A235" s="51"/>
      <c r="B235" s="51"/>
      <c r="C235" s="612" t="s">
        <v>60</v>
      </c>
      <c r="D235" s="613">
        <v>13.859177019435306</v>
      </c>
      <c r="E235" s="613">
        <v>296.13837759387053</v>
      </c>
      <c r="F235" s="613">
        <v>5.829718761745502</v>
      </c>
      <c r="G235" s="613">
        <v>0</v>
      </c>
      <c r="H235" s="613">
        <v>121.22757578406195</v>
      </c>
      <c r="I235" s="613">
        <v>0</v>
      </c>
      <c r="J235" s="613">
        <v>0</v>
      </c>
      <c r="K235" s="613">
        <v>0</v>
      </c>
      <c r="L235" s="613">
        <v>3.8185483520995893</v>
      </c>
      <c r="M235" s="613">
        <v>0</v>
      </c>
      <c r="N235" s="613">
        <v>4.0860505945061325</v>
      </c>
      <c r="O235" s="613">
        <v>0</v>
      </c>
      <c r="P235" s="613">
        <v>0</v>
      </c>
      <c r="Q235" s="613">
        <v>0</v>
      </c>
      <c r="R235" s="613">
        <v>0</v>
      </c>
      <c r="S235" s="613">
        <v>0</v>
      </c>
      <c r="T235" s="613">
        <v>0</v>
      </c>
      <c r="U235" s="615">
        <v>444.95944810571905</v>
      </c>
      <c r="V235" s="51"/>
      <c r="W235" s="51"/>
      <c r="X235" s="51"/>
    </row>
    <row r="236" spans="1:24">
      <c r="A236" s="51"/>
      <c r="B236" s="51"/>
      <c r="C236" s="612" t="s">
        <v>61</v>
      </c>
      <c r="D236" s="613">
        <v>0</v>
      </c>
      <c r="E236" s="613">
        <v>0</v>
      </c>
      <c r="F236" s="613">
        <v>-10.887346658444276</v>
      </c>
      <c r="G236" s="613">
        <v>-0.64127874443894584</v>
      </c>
      <c r="H236" s="613">
        <v>0</v>
      </c>
      <c r="I236" s="613">
        <v>0</v>
      </c>
      <c r="J236" s="613">
        <v>0</v>
      </c>
      <c r="K236" s="613">
        <v>0</v>
      </c>
      <c r="L236" s="613">
        <v>0</v>
      </c>
      <c r="M236" s="613">
        <v>0</v>
      </c>
      <c r="N236" s="613">
        <v>0</v>
      </c>
      <c r="O236" s="613">
        <v>0</v>
      </c>
      <c r="P236" s="613">
        <v>0</v>
      </c>
      <c r="Q236" s="613">
        <v>0</v>
      </c>
      <c r="R236" s="613">
        <v>-91.157732438582798</v>
      </c>
      <c r="S236" s="613">
        <v>0</v>
      </c>
      <c r="T236" s="613">
        <v>0</v>
      </c>
      <c r="U236" s="615">
        <v>-102.68635784146602</v>
      </c>
      <c r="V236" s="51"/>
      <c r="W236" s="51"/>
      <c r="X236" s="51"/>
    </row>
    <row r="237" spans="1:24">
      <c r="A237" s="51"/>
      <c r="B237" s="51"/>
      <c r="C237" s="612" t="s">
        <v>62</v>
      </c>
      <c r="D237" s="613">
        <v>0</v>
      </c>
      <c r="E237" s="613">
        <v>0</v>
      </c>
      <c r="F237" s="613">
        <v>-10.650864702914385</v>
      </c>
      <c r="G237" s="613">
        <v>-1.9080821969915447</v>
      </c>
      <c r="H237" s="613">
        <v>-4.5147113062781807</v>
      </c>
      <c r="I237" s="613">
        <v>0</v>
      </c>
      <c r="J237" s="613">
        <v>0</v>
      </c>
      <c r="K237" s="613">
        <v>0</v>
      </c>
      <c r="L237" s="613">
        <v>0</v>
      </c>
      <c r="M237" s="613">
        <v>0</v>
      </c>
      <c r="N237" s="613">
        <v>-0.48900468677593995</v>
      </c>
      <c r="O237" s="613">
        <v>-2.7436669996352929</v>
      </c>
      <c r="P237" s="613">
        <v>0</v>
      </c>
      <c r="Q237" s="613">
        <v>0</v>
      </c>
      <c r="R237" s="613">
        <v>0</v>
      </c>
      <c r="S237" s="613">
        <v>0</v>
      </c>
      <c r="T237" s="613">
        <v>0</v>
      </c>
      <c r="U237" s="615">
        <v>-20.306329892595343</v>
      </c>
      <c r="V237" s="51"/>
      <c r="W237" s="51"/>
      <c r="X237" s="51"/>
    </row>
    <row r="238" spans="1:24">
      <c r="A238" s="51"/>
      <c r="B238" s="51"/>
      <c r="C238" s="612" t="s">
        <v>63</v>
      </c>
      <c r="D238" s="613">
        <v>0</v>
      </c>
      <c r="E238" s="613">
        <v>0</v>
      </c>
      <c r="F238" s="613">
        <v>-52.2656340821949</v>
      </c>
      <c r="G238" s="613">
        <v>-8.2703034572776399</v>
      </c>
      <c r="H238" s="613">
        <v>0</v>
      </c>
      <c r="I238" s="613">
        <v>0</v>
      </c>
      <c r="J238" s="613">
        <v>0</v>
      </c>
      <c r="K238" s="613">
        <v>0</v>
      </c>
      <c r="L238" s="613">
        <v>0</v>
      </c>
      <c r="M238" s="613">
        <v>0</v>
      </c>
      <c r="N238" s="613">
        <v>-13.213101981709578</v>
      </c>
      <c r="O238" s="613">
        <v>0</v>
      </c>
      <c r="P238" s="613">
        <v>0</v>
      </c>
      <c r="Q238" s="613">
        <v>0</v>
      </c>
      <c r="R238" s="613">
        <v>0</v>
      </c>
      <c r="S238" s="613">
        <v>0</v>
      </c>
      <c r="T238" s="613">
        <v>-0.45605370393256905</v>
      </c>
      <c r="U238" s="615">
        <v>-74.20509322511468</v>
      </c>
      <c r="V238" s="51"/>
      <c r="W238" s="51"/>
      <c r="X238" s="51"/>
    </row>
    <row r="239" spans="1:24">
      <c r="A239" s="51"/>
      <c r="B239" s="51"/>
      <c r="C239" s="612" t="s">
        <v>64</v>
      </c>
      <c r="D239" s="613">
        <v>0</v>
      </c>
      <c r="E239" s="613">
        <v>0</v>
      </c>
      <c r="F239" s="613">
        <v>0</v>
      </c>
      <c r="G239" s="613">
        <v>0</v>
      </c>
      <c r="H239" s="613">
        <v>0</v>
      </c>
      <c r="I239" s="613">
        <v>0</v>
      </c>
      <c r="J239" s="613">
        <v>0</v>
      </c>
      <c r="K239" s="613">
        <v>0</v>
      </c>
      <c r="L239" s="613">
        <v>0</v>
      </c>
      <c r="M239" s="613">
        <v>0</v>
      </c>
      <c r="N239" s="613">
        <v>0</v>
      </c>
      <c r="O239" s="613">
        <v>0</v>
      </c>
      <c r="P239" s="613">
        <v>0</v>
      </c>
      <c r="Q239" s="613">
        <v>0</v>
      </c>
      <c r="R239" s="613">
        <v>0</v>
      </c>
      <c r="S239" s="613">
        <v>0</v>
      </c>
      <c r="T239" s="613">
        <v>0</v>
      </c>
      <c r="U239" s="615">
        <v>0</v>
      </c>
      <c r="V239" s="51"/>
      <c r="W239" s="51"/>
      <c r="X239" s="51"/>
    </row>
    <row r="240" spans="1:24">
      <c r="A240" s="51"/>
      <c r="B240" s="51"/>
      <c r="C240" s="616" t="s">
        <v>65</v>
      </c>
      <c r="D240" s="617">
        <v>13.859177019435306</v>
      </c>
      <c r="E240" s="617">
        <v>298.46437759387055</v>
      </c>
      <c r="F240" s="617">
        <v>-67.974126681808059</v>
      </c>
      <c r="G240" s="617">
        <v>-10.819664398708131</v>
      </c>
      <c r="H240" s="624">
        <v>116.75008047778377</v>
      </c>
      <c r="I240" s="617">
        <v>0</v>
      </c>
      <c r="J240" s="617">
        <v>1044.9429709090912</v>
      </c>
      <c r="K240" s="617">
        <v>337.76764233856375</v>
      </c>
      <c r="L240" s="617">
        <v>300.62583057764351</v>
      </c>
      <c r="M240" s="617">
        <v>27.696767252553528</v>
      </c>
      <c r="N240" s="617">
        <v>-8.0638482428952756</v>
      </c>
      <c r="O240" s="617">
        <v>-2.579088015535528</v>
      </c>
      <c r="P240" s="617">
        <v>128.43983591306872</v>
      </c>
      <c r="Q240" s="617">
        <v>20.654107927982594</v>
      </c>
      <c r="R240" s="617">
        <v>-91.157732438582798</v>
      </c>
      <c r="S240" s="617">
        <v>0</v>
      </c>
      <c r="T240" s="617">
        <v>-0.45605370393256905</v>
      </c>
      <c r="U240" s="617">
        <v>2108.1502765285304</v>
      </c>
      <c r="V240" s="51"/>
      <c r="W240" s="51"/>
      <c r="X240" s="51"/>
    </row>
    <row r="241" spans="1:24">
      <c r="A241" s="51"/>
      <c r="B241" s="51"/>
      <c r="C241" s="618"/>
      <c r="D241" s="619">
        <v>0</v>
      </c>
      <c r="E241" s="619">
        <v>0</v>
      </c>
      <c r="F241" s="619">
        <v>0</v>
      </c>
      <c r="G241" s="619">
        <v>0</v>
      </c>
      <c r="H241" s="625">
        <v>0</v>
      </c>
      <c r="I241" s="619">
        <v>0</v>
      </c>
      <c r="J241" s="619">
        <v>0</v>
      </c>
      <c r="K241" s="619">
        <v>0</v>
      </c>
      <c r="L241" s="619">
        <v>0</v>
      </c>
      <c r="M241" s="619">
        <v>0</v>
      </c>
      <c r="N241" s="619">
        <v>0</v>
      </c>
      <c r="O241" s="619">
        <v>0</v>
      </c>
      <c r="P241" s="619">
        <v>0</v>
      </c>
      <c r="Q241" s="619">
        <v>0</v>
      </c>
      <c r="R241" s="619">
        <v>0</v>
      </c>
      <c r="S241" s="619">
        <v>0</v>
      </c>
      <c r="T241" s="619">
        <v>0</v>
      </c>
      <c r="U241" s="619">
        <v>0</v>
      </c>
      <c r="V241" s="51"/>
      <c r="W241" s="51"/>
      <c r="X241" s="51"/>
    </row>
    <row r="242" spans="1:24">
      <c r="A242" s="51"/>
      <c r="B242" s="51"/>
      <c r="C242" s="620" t="s">
        <v>67</v>
      </c>
      <c r="D242" s="613">
        <v>0</v>
      </c>
      <c r="E242" s="613">
        <v>0</v>
      </c>
      <c r="F242" s="613">
        <v>0</v>
      </c>
      <c r="G242" s="613">
        <v>0</v>
      </c>
      <c r="H242" s="613">
        <v>0</v>
      </c>
      <c r="I242" s="613">
        <v>0</v>
      </c>
      <c r="J242" s="613">
        <v>0</v>
      </c>
      <c r="K242" s="613">
        <v>0</v>
      </c>
      <c r="L242" s="613">
        <v>0</v>
      </c>
      <c r="M242" s="613">
        <v>0</v>
      </c>
      <c r="N242" s="613">
        <v>0</v>
      </c>
      <c r="O242" s="613">
        <v>0</v>
      </c>
      <c r="P242" s="613">
        <v>0</v>
      </c>
      <c r="Q242" s="613">
        <v>0</v>
      </c>
      <c r="R242" s="613">
        <v>0</v>
      </c>
      <c r="S242" s="613">
        <v>0</v>
      </c>
      <c r="T242" s="613">
        <v>0</v>
      </c>
      <c r="U242" s="621">
        <v>0</v>
      </c>
      <c r="V242" s="51"/>
      <c r="W242" s="51"/>
      <c r="X242" s="51"/>
    </row>
    <row r="243" spans="1:24">
      <c r="A243" s="51"/>
      <c r="B243" s="51"/>
      <c r="C243" s="620" t="s">
        <v>350</v>
      </c>
      <c r="D243" s="613">
        <v>0</v>
      </c>
      <c r="E243" s="613">
        <v>0</v>
      </c>
      <c r="F243" s="613">
        <v>0.36057808628354604</v>
      </c>
      <c r="G243" s="613">
        <v>0</v>
      </c>
      <c r="H243" s="613">
        <v>8.1731938492631571</v>
      </c>
      <c r="I243" s="613">
        <v>0</v>
      </c>
      <c r="J243" s="613">
        <v>1044.9429709090912</v>
      </c>
      <c r="K243" s="613">
        <v>337.76764233856375</v>
      </c>
      <c r="L243" s="613">
        <v>24.329285035479781</v>
      </c>
      <c r="M243" s="613">
        <v>10.889043532649588</v>
      </c>
      <c r="N243" s="613">
        <v>5.3878161949008447</v>
      </c>
      <c r="O243" s="613">
        <v>2.156867305661093</v>
      </c>
      <c r="P243" s="613">
        <v>0</v>
      </c>
      <c r="Q243" s="613">
        <v>4.9774137725284184</v>
      </c>
      <c r="R243" s="613">
        <v>-707.90222245283019</v>
      </c>
      <c r="S243" s="613">
        <v>0</v>
      </c>
      <c r="T243" s="613">
        <v>2.1049473729599999</v>
      </c>
      <c r="U243" s="621">
        <v>733.18753594455109</v>
      </c>
      <c r="V243" s="51"/>
      <c r="W243" s="51"/>
      <c r="X243" s="51"/>
    </row>
    <row r="244" spans="1:24">
      <c r="A244" s="51"/>
      <c r="B244" s="51"/>
      <c r="C244" s="620" t="s">
        <v>351</v>
      </c>
      <c r="D244" s="613">
        <v>0</v>
      </c>
      <c r="E244" s="613">
        <v>0</v>
      </c>
      <c r="F244" s="613">
        <v>0</v>
      </c>
      <c r="G244" s="613">
        <v>0</v>
      </c>
      <c r="H244" s="613">
        <v>9.2764090353058375</v>
      </c>
      <c r="I244" s="613">
        <v>0</v>
      </c>
      <c r="J244" s="613">
        <v>0</v>
      </c>
      <c r="K244" s="613">
        <v>0</v>
      </c>
      <c r="L244" s="613">
        <v>35.764224717869801</v>
      </c>
      <c r="M244" s="613">
        <v>14.37233701187753</v>
      </c>
      <c r="N244" s="613">
        <v>0</v>
      </c>
      <c r="O244" s="613">
        <v>5.4622758911360467</v>
      </c>
      <c r="P244" s="613">
        <v>0</v>
      </c>
      <c r="Q244" s="613">
        <v>10.952590418500169</v>
      </c>
      <c r="R244" s="613">
        <v>0</v>
      </c>
      <c r="S244" s="613">
        <v>-70.157887736076944</v>
      </c>
      <c r="T244" s="613">
        <v>0</v>
      </c>
      <c r="U244" s="621">
        <v>5.6699493386124447</v>
      </c>
      <c r="V244" s="51"/>
      <c r="W244" s="51"/>
      <c r="X244" s="51"/>
    </row>
    <row r="245" spans="1:24">
      <c r="A245" s="51"/>
      <c r="B245" s="51"/>
      <c r="C245" s="620" t="s">
        <v>352</v>
      </c>
      <c r="D245" s="613">
        <v>0</v>
      </c>
      <c r="E245" s="613">
        <v>0</v>
      </c>
      <c r="F245" s="613">
        <v>0</v>
      </c>
      <c r="G245" s="613">
        <v>0</v>
      </c>
      <c r="H245" s="613">
        <v>0</v>
      </c>
      <c r="I245" s="613">
        <v>0</v>
      </c>
      <c r="J245" s="613">
        <v>0</v>
      </c>
      <c r="K245" s="613">
        <v>0</v>
      </c>
      <c r="L245" s="613">
        <v>74.596330146789299</v>
      </c>
      <c r="M245" s="613">
        <v>0</v>
      </c>
      <c r="N245" s="613">
        <v>0</v>
      </c>
      <c r="O245" s="613">
        <v>-68.378931392842205</v>
      </c>
      <c r="P245" s="613">
        <v>0</v>
      </c>
      <c r="Q245" s="613">
        <v>0</v>
      </c>
      <c r="R245" s="613">
        <v>0</v>
      </c>
      <c r="S245" s="613">
        <v>0</v>
      </c>
      <c r="T245" s="613">
        <v>0</v>
      </c>
      <c r="U245" s="621">
        <v>6.2173987539470943</v>
      </c>
      <c r="V245" s="51"/>
      <c r="W245" s="51"/>
      <c r="X245" s="51"/>
    </row>
    <row r="246" spans="1:24">
      <c r="A246" s="51"/>
      <c r="B246" s="51"/>
      <c r="C246" s="620" t="s">
        <v>353</v>
      </c>
      <c r="D246" s="613">
        <v>0</v>
      </c>
      <c r="E246" s="613">
        <v>0</v>
      </c>
      <c r="F246" s="613">
        <v>0</v>
      </c>
      <c r="G246" s="613">
        <v>0</v>
      </c>
      <c r="H246" s="613">
        <v>0</v>
      </c>
      <c r="I246" s="613">
        <v>0</v>
      </c>
      <c r="J246" s="613">
        <v>0</v>
      </c>
      <c r="K246" s="613">
        <v>0</v>
      </c>
      <c r="L246" s="613">
        <v>0</v>
      </c>
      <c r="M246" s="613">
        <v>0</v>
      </c>
      <c r="N246" s="613">
        <v>0</v>
      </c>
      <c r="O246" s="613">
        <v>0</v>
      </c>
      <c r="P246" s="613">
        <v>0</v>
      </c>
      <c r="Q246" s="613">
        <v>0</v>
      </c>
      <c r="R246" s="613">
        <v>0</v>
      </c>
      <c r="S246" s="613">
        <v>0</v>
      </c>
      <c r="T246" s="613">
        <v>0</v>
      </c>
      <c r="U246" s="621">
        <v>0</v>
      </c>
      <c r="V246" s="51"/>
      <c r="W246" s="51"/>
      <c r="X246" s="51"/>
    </row>
    <row r="247" spans="1:24">
      <c r="A247" s="51"/>
      <c r="B247" s="51"/>
      <c r="C247" s="620" t="s">
        <v>72</v>
      </c>
      <c r="D247" s="613">
        <v>0</v>
      </c>
      <c r="E247" s="613">
        <v>309.28389692910912</v>
      </c>
      <c r="F247" s="613">
        <v>-306.20133621434456</v>
      </c>
      <c r="G247" s="613">
        <v>0</v>
      </c>
      <c r="H247" s="613">
        <v>0</v>
      </c>
      <c r="I247" s="613">
        <v>0</v>
      </c>
      <c r="J247" s="613">
        <v>0</v>
      </c>
      <c r="K247" s="613">
        <v>0</v>
      </c>
      <c r="L247" s="613">
        <v>0</v>
      </c>
      <c r="M247" s="613">
        <v>0</v>
      </c>
      <c r="N247" s="613">
        <v>0</v>
      </c>
      <c r="O247" s="613">
        <v>0</v>
      </c>
      <c r="P247" s="613">
        <v>0</v>
      </c>
      <c r="Q247" s="613">
        <v>0</v>
      </c>
      <c r="R247" s="613">
        <v>0</v>
      </c>
      <c r="S247" s="613">
        <v>0</v>
      </c>
      <c r="T247" s="613">
        <v>0</v>
      </c>
      <c r="U247" s="621">
        <v>3.0825607147645133</v>
      </c>
      <c r="V247" s="51"/>
      <c r="W247" s="51"/>
      <c r="X247" s="51"/>
    </row>
    <row r="248" spans="1:24">
      <c r="A248" s="51"/>
      <c r="B248" s="51"/>
      <c r="C248" s="620" t="s">
        <v>354</v>
      </c>
      <c r="D248" s="613">
        <v>0</v>
      </c>
      <c r="E248" s="613">
        <v>0</v>
      </c>
      <c r="F248" s="613">
        <v>0</v>
      </c>
      <c r="G248" s="613">
        <v>0</v>
      </c>
      <c r="H248" s="613">
        <v>0</v>
      </c>
      <c r="I248" s="613">
        <v>0</v>
      </c>
      <c r="J248" s="613">
        <v>0</v>
      </c>
      <c r="K248" s="613">
        <v>0</v>
      </c>
      <c r="L248" s="613">
        <v>106.10331078427467</v>
      </c>
      <c r="M248" s="613">
        <v>0</v>
      </c>
      <c r="N248" s="613">
        <v>-106.10331078427467</v>
      </c>
      <c r="O248" s="613">
        <v>0</v>
      </c>
      <c r="P248" s="613">
        <v>0</v>
      </c>
      <c r="Q248" s="613">
        <v>0</v>
      </c>
      <c r="R248" s="613">
        <v>0</v>
      </c>
      <c r="S248" s="613">
        <v>0</v>
      </c>
      <c r="T248" s="613">
        <v>0</v>
      </c>
      <c r="U248" s="621">
        <v>0</v>
      </c>
      <c r="V248" s="51"/>
      <c r="W248" s="51"/>
      <c r="X248" s="51"/>
    </row>
    <row r="249" spans="1:24">
      <c r="A249" s="51"/>
      <c r="B249" s="51"/>
      <c r="C249" s="620" t="s">
        <v>355</v>
      </c>
      <c r="D249" s="613">
        <v>0</v>
      </c>
      <c r="E249" s="613">
        <v>0</v>
      </c>
      <c r="F249" s="613">
        <v>0</v>
      </c>
      <c r="G249" s="613">
        <v>-16.310777823492739</v>
      </c>
      <c r="H249" s="613">
        <v>0</v>
      </c>
      <c r="I249" s="613">
        <v>0</v>
      </c>
      <c r="J249" s="613">
        <v>0</v>
      </c>
      <c r="K249" s="613">
        <v>0</v>
      </c>
      <c r="L249" s="613">
        <v>0</v>
      </c>
      <c r="M249" s="613">
        <v>0</v>
      </c>
      <c r="N249" s="613">
        <v>0</v>
      </c>
      <c r="O249" s="613">
        <v>0</v>
      </c>
      <c r="P249" s="613">
        <v>0</v>
      </c>
      <c r="Q249" s="613">
        <v>0</v>
      </c>
      <c r="R249" s="613">
        <v>0</v>
      </c>
      <c r="S249" s="613">
        <v>0</v>
      </c>
      <c r="T249" s="613">
        <v>22.716960756953675</v>
      </c>
      <c r="U249" s="621">
        <v>6.4061829334609364</v>
      </c>
      <c r="V249" s="51"/>
      <c r="W249" s="51"/>
      <c r="X249" s="51"/>
    </row>
    <row r="250" spans="1:24">
      <c r="A250" s="51"/>
      <c r="B250" s="51"/>
      <c r="C250" s="620" t="s">
        <v>73</v>
      </c>
      <c r="D250" s="613">
        <v>0</v>
      </c>
      <c r="E250" s="613">
        <v>0</v>
      </c>
      <c r="F250" s="613">
        <v>0</v>
      </c>
      <c r="G250" s="613">
        <v>0</v>
      </c>
      <c r="H250" s="613">
        <v>0</v>
      </c>
      <c r="I250" s="613">
        <v>0</v>
      </c>
      <c r="J250" s="613">
        <v>0</v>
      </c>
      <c r="K250" s="613">
        <v>0</v>
      </c>
      <c r="L250" s="613">
        <v>0</v>
      </c>
      <c r="M250" s="613">
        <v>0</v>
      </c>
      <c r="N250" s="613">
        <v>0</v>
      </c>
      <c r="O250" s="613">
        <v>0</v>
      </c>
      <c r="P250" s="613">
        <v>0</v>
      </c>
      <c r="Q250" s="613">
        <v>0</v>
      </c>
      <c r="R250" s="613">
        <v>81.021305902580409</v>
      </c>
      <c r="S250" s="613">
        <v>0</v>
      </c>
      <c r="T250" s="613">
        <v>-54.932445401949522</v>
      </c>
      <c r="U250" s="621">
        <v>26.088860500630886</v>
      </c>
      <c r="V250" s="51"/>
      <c r="W250" s="51"/>
      <c r="X250" s="51"/>
    </row>
    <row r="251" spans="1:24">
      <c r="A251" s="51"/>
      <c r="B251" s="51"/>
      <c r="C251" s="620" t="s">
        <v>356</v>
      </c>
      <c r="D251" s="613">
        <v>7.7637663281249996</v>
      </c>
      <c r="E251" s="613">
        <v>-10.819519335238569</v>
      </c>
      <c r="F251" s="613">
        <v>14.100311366339174</v>
      </c>
      <c r="G251" s="613">
        <v>0</v>
      </c>
      <c r="H251" s="613">
        <v>0</v>
      </c>
      <c r="I251" s="613">
        <v>0</v>
      </c>
      <c r="J251" s="613">
        <v>0</v>
      </c>
      <c r="K251" s="613">
        <v>0</v>
      </c>
      <c r="L251" s="613">
        <v>0</v>
      </c>
      <c r="M251" s="613">
        <v>0</v>
      </c>
      <c r="N251" s="613">
        <v>0</v>
      </c>
      <c r="O251" s="613">
        <v>0</v>
      </c>
      <c r="P251" s="613">
        <v>0</v>
      </c>
      <c r="Q251" s="613">
        <v>0</v>
      </c>
      <c r="R251" s="613">
        <v>0</v>
      </c>
      <c r="S251" s="613">
        <v>0</v>
      </c>
      <c r="T251" s="613">
        <v>0</v>
      </c>
      <c r="U251" s="621">
        <v>11.044558359225604</v>
      </c>
      <c r="V251" s="51"/>
      <c r="W251" s="51"/>
      <c r="X251" s="51"/>
    </row>
    <row r="252" spans="1:24">
      <c r="A252" s="51"/>
      <c r="B252" s="51"/>
      <c r="C252" s="620" t="s">
        <v>75</v>
      </c>
      <c r="D252" s="613">
        <v>3.0192424609374999</v>
      </c>
      <c r="E252" s="613">
        <v>0</v>
      </c>
      <c r="F252" s="613">
        <v>18.191659515376916</v>
      </c>
      <c r="G252" s="613">
        <v>0</v>
      </c>
      <c r="H252" s="613">
        <v>3.2664120682994437</v>
      </c>
      <c r="I252" s="613">
        <v>0</v>
      </c>
      <c r="J252" s="613">
        <v>0</v>
      </c>
      <c r="K252" s="613">
        <v>0</v>
      </c>
      <c r="L252" s="613">
        <v>0</v>
      </c>
      <c r="M252" s="613">
        <v>0</v>
      </c>
      <c r="N252" s="613">
        <v>0</v>
      </c>
      <c r="O252" s="613">
        <v>1.9850542794488581</v>
      </c>
      <c r="P252" s="613">
        <v>0</v>
      </c>
      <c r="Q252" s="613">
        <v>0</v>
      </c>
      <c r="R252" s="613">
        <v>25.953415809095944</v>
      </c>
      <c r="S252" s="613">
        <v>0</v>
      </c>
      <c r="T252" s="613">
        <v>0</v>
      </c>
      <c r="U252" s="621">
        <v>52.41578413315866</v>
      </c>
      <c r="V252" s="51"/>
      <c r="W252" s="51"/>
      <c r="X252" s="51"/>
    </row>
    <row r="253" spans="1:24">
      <c r="A253" s="51"/>
      <c r="B253" s="51"/>
      <c r="C253" s="620" t="s">
        <v>76</v>
      </c>
      <c r="D253" s="613">
        <v>0</v>
      </c>
      <c r="E253" s="613">
        <v>0</v>
      </c>
      <c r="F253" s="613">
        <v>0</v>
      </c>
      <c r="G253" s="613">
        <v>0</v>
      </c>
      <c r="H253" s="613">
        <v>1.3263177549814644</v>
      </c>
      <c r="I253" s="613">
        <v>0</v>
      </c>
      <c r="J253" s="613">
        <v>0</v>
      </c>
      <c r="K253" s="613">
        <v>0</v>
      </c>
      <c r="L253" s="613">
        <v>0</v>
      </c>
      <c r="M253" s="613">
        <v>0</v>
      </c>
      <c r="N253" s="613">
        <v>0</v>
      </c>
      <c r="O253" s="613">
        <v>0.80602590254500572</v>
      </c>
      <c r="P253" s="613">
        <v>0</v>
      </c>
      <c r="Q253" s="613">
        <v>0</v>
      </c>
      <c r="R253" s="613">
        <v>47.211289773023438</v>
      </c>
      <c r="S253" s="613">
        <v>5.4411740217158124</v>
      </c>
      <c r="T253" s="613">
        <v>0</v>
      </c>
      <c r="U253" s="621">
        <v>54.784807452265724</v>
      </c>
      <c r="V253" s="51"/>
      <c r="W253" s="51"/>
      <c r="X253" s="51"/>
    </row>
    <row r="254" spans="1:24">
      <c r="A254" s="51"/>
      <c r="B254" s="51"/>
      <c r="C254" s="616" t="s">
        <v>77</v>
      </c>
      <c r="D254" s="617">
        <v>10.783008789062499</v>
      </c>
      <c r="E254" s="617">
        <v>298.46437759387055</v>
      </c>
      <c r="F254" s="617">
        <v>-273.54878724634494</v>
      </c>
      <c r="G254" s="617">
        <v>-16.310777823492739</v>
      </c>
      <c r="H254" s="624">
        <v>22.042332707849905</v>
      </c>
      <c r="I254" s="617">
        <v>0</v>
      </c>
      <c r="J254" s="617">
        <v>1044.9429709090912</v>
      </c>
      <c r="K254" s="617">
        <v>337.76764233856375</v>
      </c>
      <c r="L254" s="617">
        <v>240.79315068441355</v>
      </c>
      <c r="M254" s="617">
        <v>25.261380544527118</v>
      </c>
      <c r="N254" s="617">
        <v>-100.71549458937382</v>
      </c>
      <c r="O254" s="617">
        <v>-57.968708014051202</v>
      </c>
      <c r="P254" s="617">
        <v>0</v>
      </c>
      <c r="Q254" s="617">
        <v>15.930004191028587</v>
      </c>
      <c r="R254" s="617">
        <v>-553.71621096813044</v>
      </c>
      <c r="S254" s="617">
        <v>-64.71671371436112</v>
      </c>
      <c r="T254" s="617">
        <v>-30.110537272035849</v>
      </c>
      <c r="U254" s="617">
        <v>898.897638130617</v>
      </c>
      <c r="V254" s="51"/>
      <c r="W254" s="51"/>
      <c r="X254" s="51"/>
    </row>
    <row r="255" spans="1:24">
      <c r="A255" s="51"/>
      <c r="B255" s="51"/>
      <c r="C255" s="618"/>
      <c r="D255" s="619">
        <v>0</v>
      </c>
      <c r="E255" s="619">
        <v>0</v>
      </c>
      <c r="F255" s="619">
        <v>0</v>
      </c>
      <c r="G255" s="619">
        <v>0</v>
      </c>
      <c r="H255" s="625">
        <v>0</v>
      </c>
      <c r="I255" s="619">
        <v>0</v>
      </c>
      <c r="J255" s="619">
        <v>0</v>
      </c>
      <c r="K255" s="619">
        <v>0</v>
      </c>
      <c r="L255" s="619">
        <v>0</v>
      </c>
      <c r="M255" s="619">
        <v>0</v>
      </c>
      <c r="N255" s="619">
        <v>0</v>
      </c>
      <c r="O255" s="619">
        <v>0</v>
      </c>
      <c r="P255" s="619">
        <v>0</v>
      </c>
      <c r="Q255" s="619">
        <v>0</v>
      </c>
      <c r="R255" s="619">
        <v>0</v>
      </c>
      <c r="S255" s="619">
        <v>0</v>
      </c>
      <c r="T255" s="619">
        <v>0</v>
      </c>
      <c r="U255" s="619">
        <v>0</v>
      </c>
      <c r="V255" s="51"/>
      <c r="W255" s="51"/>
      <c r="X255" s="51"/>
    </row>
    <row r="256" spans="1:24">
      <c r="A256" s="51"/>
      <c r="B256" s="51"/>
      <c r="C256" s="620" t="s">
        <v>78</v>
      </c>
      <c r="D256" s="613">
        <v>3.0761682303728053</v>
      </c>
      <c r="E256" s="613">
        <v>0</v>
      </c>
      <c r="F256" s="613">
        <v>6.6351508306047968</v>
      </c>
      <c r="G256" s="613">
        <v>0</v>
      </c>
      <c r="H256" s="613">
        <v>38.528321178569939</v>
      </c>
      <c r="I256" s="613">
        <v>0</v>
      </c>
      <c r="J256" s="613">
        <v>0</v>
      </c>
      <c r="K256" s="613">
        <v>0</v>
      </c>
      <c r="L256" s="613">
        <v>20.031105646676835</v>
      </c>
      <c r="M256" s="613">
        <v>2.4349588281846541</v>
      </c>
      <c r="N256" s="613">
        <v>1.8349433718750003</v>
      </c>
      <c r="O256" s="613">
        <v>23.451101372697913</v>
      </c>
      <c r="P256" s="613">
        <v>6.8164926757812498</v>
      </c>
      <c r="Q256" s="613">
        <v>7.4990210834655101E-4</v>
      </c>
      <c r="R256" s="613">
        <v>132.01210341841889</v>
      </c>
      <c r="S256" s="613">
        <v>18.207144124668375</v>
      </c>
      <c r="T256" s="613">
        <v>4.1350366210937501</v>
      </c>
      <c r="U256" s="621">
        <v>257.16327620105255</v>
      </c>
      <c r="V256" s="51"/>
      <c r="W256" s="622" t="e" cm="1">
        <f t="array" aca="1" ref="W256" ca="1">_xlfn.IFNA(INDEX(#REF!,MATCH(INDIRECT("Codes_bilans!"&amp;W$1&amp;"$"&amp;#REF!),#REF!,0),MATCH(#REF!,#REF!,0)),0)</f>
        <v>#REF!</v>
      </c>
      <c r="X256" s="51"/>
    </row>
    <row r="257" spans="1:24">
      <c r="A257" s="51"/>
      <c r="B257" s="51"/>
      <c r="C257" s="620" t="s">
        <v>79</v>
      </c>
      <c r="D257" s="613">
        <v>0</v>
      </c>
      <c r="E257" s="613">
        <v>0</v>
      </c>
      <c r="F257" s="613">
        <v>110.91379205811297</v>
      </c>
      <c r="G257" s="613">
        <v>0.7006243456433674</v>
      </c>
      <c r="H257" s="613">
        <v>3.7872267703464977</v>
      </c>
      <c r="I257" s="613">
        <v>0</v>
      </c>
      <c r="J257" s="613">
        <v>0</v>
      </c>
      <c r="K257" s="613">
        <v>0</v>
      </c>
      <c r="L257" s="613">
        <v>0</v>
      </c>
      <c r="M257" s="613">
        <v>0</v>
      </c>
      <c r="N257" s="613">
        <v>63.547118628094331</v>
      </c>
      <c r="O257" s="613">
        <v>2.3015622495031773</v>
      </c>
      <c r="P257" s="613">
        <v>0</v>
      </c>
      <c r="Q257" s="613">
        <v>0</v>
      </c>
      <c r="R257" s="613">
        <v>74.297767208409297</v>
      </c>
      <c r="S257" s="613">
        <v>0</v>
      </c>
      <c r="T257" s="613">
        <v>2.9567259991236208</v>
      </c>
      <c r="U257" s="621">
        <v>258.50481725923328</v>
      </c>
      <c r="V257" s="51"/>
      <c r="W257" s="622" t="e" cm="1">
        <f t="array" aca="1" ref="W257" ca="1">_xlfn.IFNA(INDEX(#REF!,MATCH(INDIRECT("Codes_bilans!"&amp;W$1&amp;"$"&amp;#REF!),#REF!,0),MATCH(#REF!,#REF!,0)),0)</f>
        <v>#REF!</v>
      </c>
      <c r="X257" s="51"/>
    </row>
    <row r="258" spans="1:24">
      <c r="A258" s="51"/>
      <c r="B258" s="51"/>
      <c r="C258" s="620" t="s">
        <v>80</v>
      </c>
      <c r="D258" s="613">
        <v>0</v>
      </c>
      <c r="E258" s="613">
        <v>0</v>
      </c>
      <c r="F258" s="613">
        <v>2.6564398035767778</v>
      </c>
      <c r="G258" s="613">
        <v>0</v>
      </c>
      <c r="H258" s="613">
        <v>28.69836522821614</v>
      </c>
      <c r="I258" s="613">
        <v>0</v>
      </c>
      <c r="J258" s="613">
        <v>0</v>
      </c>
      <c r="K258" s="613">
        <v>0</v>
      </c>
      <c r="L258" s="613">
        <v>35.896639108009097</v>
      </c>
      <c r="M258" s="613">
        <v>0</v>
      </c>
      <c r="N258" s="613">
        <v>0</v>
      </c>
      <c r="O258" s="613">
        <v>17.440485621005948</v>
      </c>
      <c r="P258" s="613">
        <v>97.288022909546527</v>
      </c>
      <c r="Q258" s="613">
        <v>2.574236293616976</v>
      </c>
      <c r="R258" s="613">
        <v>153.30644884049457</v>
      </c>
      <c r="S258" s="613">
        <v>27.523160685886953</v>
      </c>
      <c r="T258" s="613">
        <v>0</v>
      </c>
      <c r="U258" s="621">
        <v>365.383798490353</v>
      </c>
      <c r="V258" s="51"/>
      <c r="W258" s="622" t="e" cm="1">
        <f t="array" aca="1" ref="W258" ca="1">_xlfn.IFNA(INDEX(#REF!,MATCH(INDIRECT("Codes_bilans!"&amp;W$1&amp;"$"&amp;#REF!),#REF!,0),MATCH(#REF!,#REF!,0)),0)</f>
        <v>#REF!</v>
      </c>
      <c r="X258" s="51"/>
    </row>
    <row r="259" spans="1:24">
      <c r="A259" s="51"/>
      <c r="B259" s="51"/>
      <c r="C259" s="620" t="s">
        <v>81</v>
      </c>
      <c r="D259" s="613">
        <v>0</v>
      </c>
      <c r="E259" s="613">
        <v>0</v>
      </c>
      <c r="F259" s="613">
        <v>2.1807410006338563</v>
      </c>
      <c r="G259" s="613">
        <v>0</v>
      </c>
      <c r="H259" s="613">
        <v>15.077359159365459</v>
      </c>
      <c r="I259" s="613">
        <v>0</v>
      </c>
      <c r="J259" s="613">
        <v>0</v>
      </c>
      <c r="K259" s="613">
        <v>0</v>
      </c>
      <c r="L259" s="613">
        <v>0.41672235765550286</v>
      </c>
      <c r="M259" s="613">
        <v>4.2787984175547016E-4</v>
      </c>
      <c r="N259" s="613">
        <v>0</v>
      </c>
      <c r="O259" s="613">
        <v>9.1627681064954078</v>
      </c>
      <c r="P259" s="613">
        <v>23.435320327740932</v>
      </c>
      <c r="Q259" s="613">
        <v>0.98358432216492664</v>
      </c>
      <c r="R259" s="613">
        <v>94.082065678581444</v>
      </c>
      <c r="S259" s="613">
        <v>18.986408903805792</v>
      </c>
      <c r="T259" s="613">
        <v>0</v>
      </c>
      <c r="U259" s="621">
        <v>164.32539773628508</v>
      </c>
      <c r="V259" s="51"/>
      <c r="W259" s="622" t="e" cm="1">
        <f t="array" aca="1" ref="W259" ca="1">_xlfn.IFNA(INDEX(#REF!,MATCH(INDIRECT("Codes_bilans!"&amp;W$1&amp;"$"&amp;#REF!),#REF!,0),MATCH(#REF!,#REF!,0)),0)</f>
        <v>#REF!</v>
      </c>
      <c r="X259" s="51"/>
    </row>
    <row r="260" spans="1:24">
      <c r="A260" s="51"/>
      <c r="B260" s="51"/>
      <c r="C260" s="620" t="s">
        <v>82</v>
      </c>
      <c r="D260" s="613">
        <v>0</v>
      </c>
      <c r="E260" s="613">
        <v>0</v>
      </c>
      <c r="F260" s="613">
        <v>14.020166565992641</v>
      </c>
      <c r="G260" s="613">
        <v>0</v>
      </c>
      <c r="H260" s="613">
        <v>1.1408122878946925</v>
      </c>
      <c r="I260" s="613">
        <v>0</v>
      </c>
      <c r="J260" s="613">
        <v>0</v>
      </c>
      <c r="K260" s="613">
        <v>0</v>
      </c>
      <c r="L260" s="613">
        <v>3.1334095930613137</v>
      </c>
      <c r="M260" s="613">
        <v>0</v>
      </c>
      <c r="N260" s="613">
        <v>12.27694106679661</v>
      </c>
      <c r="O260" s="613">
        <v>0.69329106884918612</v>
      </c>
      <c r="P260" s="613">
        <v>0.9</v>
      </c>
      <c r="Q260" s="613">
        <v>1.1655332190637568</v>
      </c>
      <c r="R260" s="613">
        <v>7.7417893836432903</v>
      </c>
      <c r="S260" s="613">
        <v>0</v>
      </c>
      <c r="T260" s="613">
        <v>0.29485655237537339</v>
      </c>
      <c r="U260" s="621">
        <v>41.36679973767685</v>
      </c>
      <c r="V260" s="51"/>
      <c r="W260" s="622" t="e" cm="1">
        <f t="array" aca="1" ref="W260" ca="1">_xlfn.IFNA(INDEX(#REF!,MATCH(INDIRECT("Codes_bilans!"&amp;W$1&amp;"$"&amp;#REF!),#REF!,0),MATCH(#REF!,#REF!,0)),0)</f>
        <v>#REF!</v>
      </c>
      <c r="X260" s="51"/>
    </row>
    <row r="261" spans="1:24">
      <c r="A261" s="51"/>
      <c r="B261" s="51"/>
      <c r="C261" s="620" t="s">
        <v>357</v>
      </c>
      <c r="D261" s="613">
        <v>0</v>
      </c>
      <c r="E261" s="613">
        <v>0</v>
      </c>
      <c r="F261" s="613">
        <v>0</v>
      </c>
      <c r="G261" s="613">
        <v>0</v>
      </c>
      <c r="H261" s="613">
        <v>0</v>
      </c>
      <c r="I261" s="613">
        <v>0</v>
      </c>
      <c r="J261" s="613">
        <v>0</v>
      </c>
      <c r="K261" s="613">
        <v>0</v>
      </c>
      <c r="L261" s="613">
        <v>0</v>
      </c>
      <c r="M261" s="613">
        <v>0</v>
      </c>
      <c r="N261" s="613">
        <v>0</v>
      </c>
      <c r="O261" s="613">
        <v>0</v>
      </c>
      <c r="P261" s="613">
        <v>0</v>
      </c>
      <c r="Q261" s="613">
        <v>0</v>
      </c>
      <c r="R261" s="613">
        <v>1.118304</v>
      </c>
      <c r="S261" s="613">
        <v>0</v>
      </c>
      <c r="T261" s="613">
        <v>0</v>
      </c>
      <c r="U261" s="621">
        <v>1.118304</v>
      </c>
      <c r="V261" s="51"/>
      <c r="W261" s="622" t="e" cm="1">
        <f t="array" aca="1" ref="W261" ca="1">_xlfn.IFNA(INDEX(#REF!,MATCH(INDIRECT("Codes_bilans!"&amp;W$1&amp;"$"&amp;#REF!),#REF!,0),MATCH(#REF!,#REF!,0)),0)</f>
        <v>#REF!</v>
      </c>
      <c r="X261" s="51"/>
    </row>
    <row r="262" spans="1:24">
      <c r="A262" s="51"/>
      <c r="B262" s="51"/>
      <c r="C262" s="616" t="s">
        <v>83</v>
      </c>
      <c r="D262" s="617">
        <v>3.0761682303728053</v>
      </c>
      <c r="E262" s="617">
        <v>0</v>
      </c>
      <c r="F262" s="617">
        <v>136.40629025892105</v>
      </c>
      <c r="G262" s="617">
        <v>0.7006243456433674</v>
      </c>
      <c r="H262" s="624">
        <v>87.232084624392726</v>
      </c>
      <c r="I262" s="617">
        <v>0</v>
      </c>
      <c r="J262" s="617">
        <v>0</v>
      </c>
      <c r="K262" s="617">
        <v>0</v>
      </c>
      <c r="L262" s="617">
        <v>59.47787670540275</v>
      </c>
      <c r="M262" s="617">
        <v>2.4353867080264098</v>
      </c>
      <c r="N262" s="617">
        <v>77.659003066765948</v>
      </c>
      <c r="O262" s="617">
        <v>53.049208418551629</v>
      </c>
      <c r="P262" s="617">
        <v>128.43983591306872</v>
      </c>
      <c r="Q262" s="617">
        <v>4.7241037369540066</v>
      </c>
      <c r="R262" s="617">
        <v>462.55847852954759</v>
      </c>
      <c r="S262" s="617">
        <v>64.71671371436112</v>
      </c>
      <c r="T262" s="617">
        <v>7.3866191725927441</v>
      </c>
      <c r="U262" s="617">
        <v>1087.8623934246009</v>
      </c>
      <c r="V262" s="51"/>
      <c r="W262" s="51"/>
      <c r="X262" s="51"/>
    </row>
    <row r="263" spans="1:24">
      <c r="A263" s="51"/>
      <c r="B263" s="51"/>
      <c r="C263" s="612" t="s">
        <v>84</v>
      </c>
      <c r="D263" s="613">
        <v>0</v>
      </c>
      <c r="E263" s="613">
        <v>0</v>
      </c>
      <c r="F263" s="613">
        <v>69.168370305615824</v>
      </c>
      <c r="G263" s="613">
        <v>4.7904890791412402</v>
      </c>
      <c r="H263" s="613">
        <v>7.4756631455411453</v>
      </c>
      <c r="I263" s="613">
        <v>0</v>
      </c>
      <c r="J263" s="613">
        <v>0</v>
      </c>
      <c r="K263" s="613">
        <v>0</v>
      </c>
      <c r="L263" s="613">
        <v>0.35480318782723769</v>
      </c>
      <c r="M263" s="613">
        <v>0</v>
      </c>
      <c r="N263" s="613">
        <v>14.992643279712595</v>
      </c>
      <c r="O263" s="613">
        <v>2.3404115799640408</v>
      </c>
      <c r="P263" s="613">
        <v>0</v>
      </c>
      <c r="Q263" s="613">
        <v>0</v>
      </c>
      <c r="R263" s="613">
        <v>0</v>
      </c>
      <c r="S263" s="613">
        <v>0</v>
      </c>
      <c r="T263" s="613">
        <v>22.267864395510532</v>
      </c>
      <c r="U263" s="621">
        <v>121.39024497331262</v>
      </c>
      <c r="V263" s="51"/>
      <c r="W263" s="622" t="e" cm="1">
        <f t="array" aca="1" ref="W263" ca="1">_xlfn.IFNA(INDEX(#REF!,MATCH(INDIRECT("Codes_bilans!"&amp;W$1&amp;"$"&amp;#REF!),#REF!,0),MATCH(#REF!,#REF!,0)),0)</f>
        <v>#REF!</v>
      </c>
      <c r="X263" s="51"/>
    </row>
    <row r="264" spans="1:24">
      <c r="A264" s="51"/>
      <c r="B264" s="51"/>
      <c r="C264" s="616" t="s">
        <v>85</v>
      </c>
      <c r="D264" s="617">
        <v>3.0761682303728053</v>
      </c>
      <c r="E264" s="617">
        <v>0</v>
      </c>
      <c r="F264" s="617">
        <v>205.57466056453688</v>
      </c>
      <c r="G264" s="617">
        <v>5.4911134247846078</v>
      </c>
      <c r="H264" s="624">
        <v>94.707747769933874</v>
      </c>
      <c r="I264" s="617">
        <v>0</v>
      </c>
      <c r="J264" s="617">
        <v>0</v>
      </c>
      <c r="K264" s="617">
        <v>0</v>
      </c>
      <c r="L264" s="617">
        <v>59.832679893229987</v>
      </c>
      <c r="M264" s="617">
        <v>2.4353867080264098</v>
      </c>
      <c r="N264" s="617">
        <v>92.651646346478543</v>
      </c>
      <c r="O264" s="617">
        <v>55.38961999851567</v>
      </c>
      <c r="P264" s="617">
        <v>128.43983591306872</v>
      </c>
      <c r="Q264" s="617">
        <v>4.7241037369540066</v>
      </c>
      <c r="R264" s="617">
        <v>462.55847852954759</v>
      </c>
      <c r="S264" s="617">
        <v>64.71671371436112</v>
      </c>
      <c r="T264" s="617">
        <v>29.654483568103277</v>
      </c>
      <c r="U264" s="617">
        <v>1209.2526383979134</v>
      </c>
      <c r="V264" s="51"/>
      <c r="W264" s="51"/>
      <c r="X264" s="51"/>
    </row>
    <row r="265" spans="1:24">
      <c r="A265" s="51"/>
      <c r="B265" s="51"/>
      <c r="C265" s="51"/>
      <c r="D265" s="67">
        <v>0</v>
      </c>
      <c r="E265" s="67">
        <v>0</v>
      </c>
      <c r="F265" s="67">
        <v>0</v>
      </c>
      <c r="G265" s="67">
        <v>0</v>
      </c>
      <c r="H265" s="67">
        <v>0</v>
      </c>
      <c r="I265" s="67">
        <v>0</v>
      </c>
      <c r="J265" s="67">
        <v>0</v>
      </c>
      <c r="K265" s="67">
        <v>0</v>
      </c>
      <c r="L265" s="67">
        <v>0</v>
      </c>
      <c r="M265" s="67">
        <v>0</v>
      </c>
      <c r="N265" s="67">
        <v>0</v>
      </c>
      <c r="O265" s="67">
        <v>-4.4408920985006262E-15</v>
      </c>
      <c r="P265" s="67">
        <v>0</v>
      </c>
      <c r="Q265" s="67">
        <v>0</v>
      </c>
      <c r="R265" s="67">
        <v>0</v>
      </c>
      <c r="S265" s="67">
        <v>0</v>
      </c>
      <c r="T265" s="67">
        <v>-2.55351295663786E-15</v>
      </c>
      <c r="U265" s="67">
        <v>0</v>
      </c>
      <c r="V265" s="51"/>
      <c r="W265" s="51"/>
      <c r="X265" s="51"/>
    </row>
    <row r="266" spans="1:24">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row>
    <row r="267" spans="1:24">
      <c r="A267" s="608"/>
      <c r="B267" s="608"/>
      <c r="C267" s="609" t="s">
        <v>363</v>
      </c>
      <c r="D267" s="608"/>
      <c r="E267" s="608"/>
      <c r="F267" s="608"/>
      <c r="G267" s="608"/>
      <c r="H267" s="608"/>
      <c r="I267" s="608"/>
      <c r="J267" s="608"/>
      <c r="K267" s="608"/>
      <c r="L267" s="608"/>
      <c r="M267" s="608"/>
      <c r="N267" s="608"/>
      <c r="O267" s="608"/>
      <c r="P267" s="608"/>
      <c r="Q267" s="608"/>
      <c r="R267" s="608"/>
      <c r="S267" s="608"/>
      <c r="T267" s="608"/>
      <c r="U267" s="608"/>
      <c r="V267" s="608"/>
      <c r="W267" s="608"/>
      <c r="X267" s="608"/>
    </row>
    <row r="268" spans="1:24">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row>
    <row r="269" spans="1:24" ht="14.25" customHeight="1">
      <c r="A269" s="51"/>
      <c r="B269" s="51"/>
      <c r="C269" s="713" t="s">
        <v>128</v>
      </c>
      <c r="D269" s="711" t="s">
        <v>42</v>
      </c>
      <c r="E269" s="711" t="s">
        <v>52</v>
      </c>
      <c r="F269" s="711" t="s">
        <v>53</v>
      </c>
      <c r="G269" s="711" t="s">
        <v>487</v>
      </c>
      <c r="H269" s="711" t="s">
        <v>32</v>
      </c>
      <c r="I269" s="711" t="s">
        <v>488</v>
      </c>
      <c r="J269" s="711" t="s">
        <v>20</v>
      </c>
      <c r="K269" s="711" t="s">
        <v>55</v>
      </c>
      <c r="L269" s="715" t="s">
        <v>56</v>
      </c>
      <c r="M269" s="716"/>
      <c r="N269" s="716"/>
      <c r="O269" s="716"/>
      <c r="P269" s="716"/>
      <c r="Q269" s="717"/>
      <c r="R269" s="711" t="s">
        <v>57</v>
      </c>
      <c r="S269" s="711" t="s">
        <v>58</v>
      </c>
      <c r="T269" s="711" t="s">
        <v>31</v>
      </c>
      <c r="U269" s="711" t="s">
        <v>10</v>
      </c>
      <c r="V269" s="51"/>
      <c r="W269" s="51"/>
      <c r="X269" s="51"/>
    </row>
    <row r="270" spans="1:24" ht="24">
      <c r="A270" s="51"/>
      <c r="B270" s="51"/>
      <c r="C270" s="714"/>
      <c r="D270" s="712"/>
      <c r="E270" s="712"/>
      <c r="F270" s="712"/>
      <c r="G270" s="712"/>
      <c r="H270" s="712"/>
      <c r="I270" s="712"/>
      <c r="J270" s="712"/>
      <c r="K270" s="712"/>
      <c r="L270" s="610" t="s">
        <v>338</v>
      </c>
      <c r="M270" s="610" t="s">
        <v>40</v>
      </c>
      <c r="N270" s="610" t="s">
        <v>346</v>
      </c>
      <c r="O270" s="610" t="s">
        <v>347</v>
      </c>
      <c r="P270" s="611" t="s">
        <v>348</v>
      </c>
      <c r="Q270" s="610" t="s">
        <v>349</v>
      </c>
      <c r="R270" s="712"/>
      <c r="S270" s="712"/>
      <c r="T270" s="712"/>
      <c r="U270" s="712"/>
      <c r="V270" s="51"/>
      <c r="W270" s="51"/>
      <c r="X270" s="51"/>
    </row>
    <row r="271" spans="1:24">
      <c r="A271" s="51"/>
      <c r="B271" s="51"/>
      <c r="C271" s="612" t="s">
        <v>59</v>
      </c>
      <c r="D271" s="613">
        <v>0</v>
      </c>
      <c r="E271" s="613">
        <v>0</v>
      </c>
      <c r="F271" s="613">
        <v>0</v>
      </c>
      <c r="G271" s="613">
        <v>0</v>
      </c>
      <c r="H271" s="613">
        <v>0</v>
      </c>
      <c r="I271" s="613">
        <v>0</v>
      </c>
      <c r="J271" s="614">
        <v>1059.5259818181821</v>
      </c>
      <c r="K271" s="614">
        <v>373.50050326164637</v>
      </c>
      <c r="L271" s="614">
        <v>308.68390930092909</v>
      </c>
      <c r="M271" s="614">
        <v>27.928901501759359</v>
      </c>
      <c r="N271" s="613">
        <v>1.5769202529293118</v>
      </c>
      <c r="O271" s="613">
        <v>0.16705675062100381</v>
      </c>
      <c r="P271" s="614">
        <v>137.63232647396575</v>
      </c>
      <c r="Q271" s="614">
        <v>22.505061443653027</v>
      </c>
      <c r="R271" s="613">
        <v>0</v>
      </c>
      <c r="S271" s="613">
        <v>0</v>
      </c>
      <c r="T271" s="613">
        <v>0</v>
      </c>
      <c r="U271" s="615">
        <v>1931.5206608036858</v>
      </c>
      <c r="V271" s="51"/>
      <c r="W271" s="51"/>
      <c r="X271" s="51"/>
    </row>
    <row r="272" spans="1:24">
      <c r="A272" s="51"/>
      <c r="B272" s="51"/>
      <c r="C272" s="612" t="s">
        <v>60</v>
      </c>
      <c r="D272" s="613">
        <v>12.402103294712147</v>
      </c>
      <c r="E272" s="613">
        <v>267.59952869557856</v>
      </c>
      <c r="F272" s="613">
        <v>4.6624671135986846</v>
      </c>
      <c r="G272" s="613">
        <v>0</v>
      </c>
      <c r="H272" s="613">
        <v>96.906903053247049</v>
      </c>
      <c r="I272" s="613">
        <v>0</v>
      </c>
      <c r="J272" s="613">
        <v>0</v>
      </c>
      <c r="K272" s="613">
        <v>0</v>
      </c>
      <c r="L272" s="613">
        <v>4.1311012816916577</v>
      </c>
      <c r="M272" s="613">
        <v>0</v>
      </c>
      <c r="N272" s="613">
        <v>4.3268221557656901</v>
      </c>
      <c r="O272" s="613">
        <v>0</v>
      </c>
      <c r="P272" s="613">
        <v>0</v>
      </c>
      <c r="Q272" s="613">
        <v>0</v>
      </c>
      <c r="R272" s="613">
        <v>0</v>
      </c>
      <c r="S272" s="613">
        <v>0</v>
      </c>
      <c r="T272" s="613">
        <v>0</v>
      </c>
      <c r="U272" s="615">
        <v>390.02892559459383</v>
      </c>
      <c r="V272" s="51"/>
      <c r="W272" s="51"/>
      <c r="X272" s="51"/>
    </row>
    <row r="273" spans="1:24">
      <c r="A273" s="51"/>
      <c r="B273" s="51"/>
      <c r="C273" s="612" t="s">
        <v>61</v>
      </c>
      <c r="D273" s="613">
        <v>0</v>
      </c>
      <c r="E273" s="613">
        <v>0</v>
      </c>
      <c r="F273" s="613">
        <v>-47.188845188250653</v>
      </c>
      <c r="G273" s="613">
        <v>-1.6129016816918558</v>
      </c>
      <c r="H273" s="613">
        <v>0</v>
      </c>
      <c r="I273" s="613">
        <v>0</v>
      </c>
      <c r="J273" s="613">
        <v>0</v>
      </c>
      <c r="K273" s="613">
        <v>0</v>
      </c>
      <c r="L273" s="613">
        <v>0</v>
      </c>
      <c r="M273" s="613">
        <v>0</v>
      </c>
      <c r="N273" s="613">
        <v>0</v>
      </c>
      <c r="O273" s="613">
        <v>0</v>
      </c>
      <c r="P273" s="613">
        <v>0</v>
      </c>
      <c r="Q273" s="613">
        <v>0</v>
      </c>
      <c r="R273" s="613">
        <v>-102.26809350991959</v>
      </c>
      <c r="S273" s="613">
        <v>0</v>
      </c>
      <c r="T273" s="613">
        <v>0</v>
      </c>
      <c r="U273" s="615">
        <v>-151.06984037986211</v>
      </c>
      <c r="V273" s="51"/>
      <c r="W273" s="51"/>
      <c r="X273" s="51"/>
    </row>
    <row r="274" spans="1:24">
      <c r="A274" s="51"/>
      <c r="B274" s="51"/>
      <c r="C274" s="612" t="s">
        <v>62</v>
      </c>
      <c r="D274" s="613">
        <v>0</v>
      </c>
      <c r="E274" s="613">
        <v>0</v>
      </c>
      <c r="F274" s="613">
        <v>-9.1118704229779723</v>
      </c>
      <c r="G274" s="613">
        <v>-2.3970976911906821</v>
      </c>
      <c r="H274" s="613">
        <v>-2.3731267142787753</v>
      </c>
      <c r="I274" s="613">
        <v>0</v>
      </c>
      <c r="J274" s="613">
        <v>0</v>
      </c>
      <c r="K274" s="613">
        <v>0</v>
      </c>
      <c r="L274" s="613">
        <v>0</v>
      </c>
      <c r="M274" s="613">
        <v>0</v>
      </c>
      <c r="N274" s="613">
        <v>-0.47941953823813638</v>
      </c>
      <c r="O274" s="613">
        <v>-1.9416491298644523</v>
      </c>
      <c r="P274" s="613">
        <v>0</v>
      </c>
      <c r="Q274" s="613">
        <v>0</v>
      </c>
      <c r="R274" s="613">
        <v>0</v>
      </c>
      <c r="S274" s="613">
        <v>0</v>
      </c>
      <c r="T274" s="613">
        <v>0</v>
      </c>
      <c r="U274" s="615">
        <v>-16.30316349655002</v>
      </c>
      <c r="V274" s="51"/>
      <c r="W274" s="51"/>
      <c r="X274" s="51"/>
    </row>
    <row r="275" spans="1:24">
      <c r="A275" s="51"/>
      <c r="B275" s="51"/>
      <c r="C275" s="612" t="s">
        <v>63</v>
      </c>
      <c r="D275" s="613">
        <v>0</v>
      </c>
      <c r="E275" s="613">
        <v>0</v>
      </c>
      <c r="F275" s="613">
        <v>-46.962205061788246</v>
      </c>
      <c r="G275" s="613">
        <v>-11.133901046695911</v>
      </c>
      <c r="H275" s="613">
        <v>0</v>
      </c>
      <c r="I275" s="613">
        <v>0</v>
      </c>
      <c r="J275" s="613">
        <v>0</v>
      </c>
      <c r="K275" s="613">
        <v>0</v>
      </c>
      <c r="L275" s="613">
        <v>0</v>
      </c>
      <c r="M275" s="613">
        <v>0</v>
      </c>
      <c r="N275" s="613">
        <v>-14.072022489882162</v>
      </c>
      <c r="O275" s="613">
        <v>0</v>
      </c>
      <c r="P275" s="613">
        <v>0</v>
      </c>
      <c r="Q275" s="613">
        <v>0</v>
      </c>
      <c r="R275" s="613">
        <v>0</v>
      </c>
      <c r="S275" s="613">
        <v>0</v>
      </c>
      <c r="T275" s="613">
        <v>-0.66460812232862176</v>
      </c>
      <c r="U275" s="615">
        <v>-72.832736720694939</v>
      </c>
      <c r="V275" s="51"/>
      <c r="W275" s="51"/>
      <c r="X275" s="51"/>
    </row>
    <row r="276" spans="1:24">
      <c r="A276" s="51"/>
      <c r="B276" s="51"/>
      <c r="C276" s="612" t="s">
        <v>64</v>
      </c>
      <c r="D276" s="613">
        <v>0</v>
      </c>
      <c r="E276" s="613">
        <v>0</v>
      </c>
      <c r="F276" s="613">
        <v>0</v>
      </c>
      <c r="G276" s="613">
        <v>0</v>
      </c>
      <c r="H276" s="613">
        <v>0</v>
      </c>
      <c r="I276" s="613">
        <v>0</v>
      </c>
      <c r="J276" s="613">
        <v>0</v>
      </c>
      <c r="K276" s="613">
        <v>0</v>
      </c>
      <c r="L276" s="613">
        <v>0</v>
      </c>
      <c r="M276" s="613">
        <v>0</v>
      </c>
      <c r="N276" s="613">
        <v>0</v>
      </c>
      <c r="O276" s="613">
        <v>0</v>
      </c>
      <c r="P276" s="613">
        <v>0</v>
      </c>
      <c r="Q276" s="613">
        <v>0</v>
      </c>
      <c r="R276" s="613">
        <v>0</v>
      </c>
      <c r="S276" s="613">
        <v>0</v>
      </c>
      <c r="T276" s="613">
        <v>0</v>
      </c>
      <c r="U276" s="615">
        <v>0</v>
      </c>
      <c r="V276" s="51"/>
      <c r="W276" s="51"/>
      <c r="X276" s="51"/>
    </row>
    <row r="277" spans="1:24">
      <c r="A277" s="51"/>
      <c r="B277" s="51"/>
      <c r="C277" s="616" t="s">
        <v>65</v>
      </c>
      <c r="D277" s="617">
        <v>12.402103294712147</v>
      </c>
      <c r="E277" s="617">
        <v>267.59952869557856</v>
      </c>
      <c r="F277" s="617">
        <v>-98.600453559418185</v>
      </c>
      <c r="G277" s="617">
        <v>-15.143900419578449</v>
      </c>
      <c r="H277" s="624">
        <v>94.533776338968281</v>
      </c>
      <c r="I277" s="617">
        <v>0</v>
      </c>
      <c r="J277" s="617">
        <v>1059.5259818181821</v>
      </c>
      <c r="K277" s="617">
        <v>373.50050326164637</v>
      </c>
      <c r="L277" s="617">
        <v>312.81501058262074</v>
      </c>
      <c r="M277" s="617">
        <v>27.928901501759359</v>
      </c>
      <c r="N277" s="617">
        <v>-8.647699619425298</v>
      </c>
      <c r="O277" s="617">
        <v>-1.7745923792434484</v>
      </c>
      <c r="P277" s="617">
        <v>137.63232647396575</v>
      </c>
      <c r="Q277" s="617">
        <v>22.505061443653027</v>
      </c>
      <c r="R277" s="617">
        <v>-102.26809350991959</v>
      </c>
      <c r="S277" s="617">
        <v>0</v>
      </c>
      <c r="T277" s="617">
        <v>-0.66460812232862176</v>
      </c>
      <c r="U277" s="617">
        <v>2081.3438458011728</v>
      </c>
      <c r="V277" s="51"/>
      <c r="W277" s="51"/>
      <c r="X277" s="51"/>
    </row>
    <row r="278" spans="1:24">
      <c r="A278" s="51"/>
      <c r="B278" s="51"/>
      <c r="C278" s="618"/>
      <c r="D278" s="619">
        <v>0</v>
      </c>
      <c r="E278" s="619">
        <v>0</v>
      </c>
      <c r="F278" s="619">
        <v>0</v>
      </c>
      <c r="G278" s="619">
        <v>0</v>
      </c>
      <c r="H278" s="625">
        <v>0</v>
      </c>
      <c r="I278" s="619">
        <v>0</v>
      </c>
      <c r="J278" s="619">
        <v>0</v>
      </c>
      <c r="K278" s="619">
        <v>0</v>
      </c>
      <c r="L278" s="619">
        <v>0</v>
      </c>
      <c r="M278" s="619">
        <v>0</v>
      </c>
      <c r="N278" s="619">
        <v>0</v>
      </c>
      <c r="O278" s="619">
        <v>0</v>
      </c>
      <c r="P278" s="619">
        <v>0</v>
      </c>
      <c r="Q278" s="619">
        <v>0</v>
      </c>
      <c r="R278" s="619">
        <v>0</v>
      </c>
      <c r="S278" s="619">
        <v>0</v>
      </c>
      <c r="T278" s="619">
        <v>0</v>
      </c>
      <c r="U278" s="619">
        <v>0</v>
      </c>
      <c r="V278" s="51"/>
      <c r="W278" s="51"/>
      <c r="X278" s="51"/>
    </row>
    <row r="279" spans="1:24">
      <c r="A279" s="51"/>
      <c r="B279" s="51"/>
      <c r="C279" s="620" t="s">
        <v>67</v>
      </c>
      <c r="D279" s="613">
        <v>0</v>
      </c>
      <c r="E279" s="613">
        <v>0</v>
      </c>
      <c r="F279" s="613">
        <v>0</v>
      </c>
      <c r="G279" s="613">
        <v>0</v>
      </c>
      <c r="H279" s="613">
        <v>0</v>
      </c>
      <c r="I279" s="613">
        <v>0</v>
      </c>
      <c r="J279" s="613">
        <v>0</v>
      </c>
      <c r="K279" s="613">
        <v>0</v>
      </c>
      <c r="L279" s="613">
        <v>0</v>
      </c>
      <c r="M279" s="613">
        <v>0</v>
      </c>
      <c r="N279" s="613">
        <v>0</v>
      </c>
      <c r="O279" s="613">
        <v>0</v>
      </c>
      <c r="P279" s="613">
        <v>0</v>
      </c>
      <c r="Q279" s="613">
        <v>0</v>
      </c>
      <c r="R279" s="613">
        <v>0</v>
      </c>
      <c r="S279" s="613">
        <v>0</v>
      </c>
      <c r="T279" s="613">
        <v>0</v>
      </c>
      <c r="U279" s="621">
        <v>0</v>
      </c>
      <c r="V279" s="51"/>
      <c r="W279" s="51"/>
      <c r="X279" s="51"/>
    </row>
    <row r="280" spans="1:24">
      <c r="A280" s="51"/>
      <c r="B280" s="51"/>
      <c r="C280" s="620" t="s">
        <v>350</v>
      </c>
      <c r="D280" s="613">
        <v>0</v>
      </c>
      <c r="E280" s="613">
        <v>0</v>
      </c>
      <c r="F280" s="613">
        <v>6.6151953400033478E-2</v>
      </c>
      <c r="G280" s="613">
        <v>0</v>
      </c>
      <c r="H280" s="613">
        <v>5.9573752653913026</v>
      </c>
      <c r="I280" s="613">
        <v>0</v>
      </c>
      <c r="J280" s="613">
        <v>1059.5259818181821</v>
      </c>
      <c r="K280" s="613">
        <v>373.50050326164637</v>
      </c>
      <c r="L280" s="613">
        <v>22.475624345096286</v>
      </c>
      <c r="M280" s="613">
        <v>11.159861245247702</v>
      </c>
      <c r="N280" s="613">
        <v>5.6269378379330357</v>
      </c>
      <c r="O280" s="613">
        <v>1.6032439655997406</v>
      </c>
      <c r="P280" s="613">
        <v>0</v>
      </c>
      <c r="Q280" s="613">
        <v>6.4327567473291545</v>
      </c>
      <c r="R280" s="613">
        <v>-747.34925184145163</v>
      </c>
      <c r="S280" s="613">
        <v>0</v>
      </c>
      <c r="T280" s="613">
        <v>3.5082456216</v>
      </c>
      <c r="U280" s="621">
        <v>742.50743021997425</v>
      </c>
      <c r="V280" s="51"/>
      <c r="W280" s="51"/>
      <c r="X280" s="51"/>
    </row>
    <row r="281" spans="1:24">
      <c r="A281" s="51"/>
      <c r="B281" s="51"/>
      <c r="C281" s="620" t="s">
        <v>351</v>
      </c>
      <c r="D281" s="613">
        <v>0</v>
      </c>
      <c r="E281" s="613">
        <v>0</v>
      </c>
      <c r="F281" s="613">
        <v>0</v>
      </c>
      <c r="G281" s="613">
        <v>0</v>
      </c>
      <c r="H281" s="613">
        <v>7.4585129183309293</v>
      </c>
      <c r="I281" s="613">
        <v>0</v>
      </c>
      <c r="J281" s="613">
        <v>0</v>
      </c>
      <c r="K281" s="613">
        <v>0</v>
      </c>
      <c r="L281" s="613">
        <v>35.547730315639996</v>
      </c>
      <c r="M281" s="613">
        <v>14.387113593265058</v>
      </c>
      <c r="N281" s="613">
        <v>0</v>
      </c>
      <c r="O281" s="613">
        <v>6.1169134542385972</v>
      </c>
      <c r="P281" s="613">
        <v>0</v>
      </c>
      <c r="Q281" s="613">
        <v>11.02899005085181</v>
      </c>
      <c r="R281" s="613">
        <v>0</v>
      </c>
      <c r="S281" s="613">
        <v>-69.303608577230833</v>
      </c>
      <c r="T281" s="613">
        <v>0</v>
      </c>
      <c r="U281" s="621">
        <v>5.235651755095569</v>
      </c>
      <c r="V281" s="51"/>
      <c r="W281" s="51"/>
      <c r="X281" s="51"/>
    </row>
    <row r="282" spans="1:24">
      <c r="A282" s="51"/>
      <c r="B282" s="51"/>
      <c r="C282" s="620" t="s">
        <v>352</v>
      </c>
      <c r="D282" s="613">
        <v>0</v>
      </c>
      <c r="E282" s="613">
        <v>0</v>
      </c>
      <c r="F282" s="613">
        <v>0</v>
      </c>
      <c r="G282" s="613">
        <v>0</v>
      </c>
      <c r="H282" s="613">
        <v>0</v>
      </c>
      <c r="I282" s="613">
        <v>0</v>
      </c>
      <c r="J282" s="613">
        <v>0</v>
      </c>
      <c r="K282" s="613">
        <v>0</v>
      </c>
      <c r="L282" s="613">
        <v>79.130835516272214</v>
      </c>
      <c r="M282" s="613">
        <v>0</v>
      </c>
      <c r="N282" s="613">
        <v>0</v>
      </c>
      <c r="O282" s="613">
        <v>-73.108654994289637</v>
      </c>
      <c r="P282" s="613">
        <v>0</v>
      </c>
      <c r="Q282" s="613">
        <v>0</v>
      </c>
      <c r="R282" s="613">
        <v>0</v>
      </c>
      <c r="S282" s="613">
        <v>0</v>
      </c>
      <c r="T282" s="613">
        <v>0</v>
      </c>
      <c r="U282" s="621">
        <v>6.0221805219825768</v>
      </c>
      <c r="V282" s="51"/>
      <c r="W282" s="51"/>
      <c r="X282" s="51"/>
    </row>
    <row r="283" spans="1:24">
      <c r="A283" s="51"/>
      <c r="B283" s="51"/>
      <c r="C283" s="620" t="s">
        <v>353</v>
      </c>
      <c r="D283" s="613">
        <v>0</v>
      </c>
      <c r="E283" s="613">
        <v>0</v>
      </c>
      <c r="F283" s="613">
        <v>0</v>
      </c>
      <c r="G283" s="613">
        <v>0</v>
      </c>
      <c r="H283" s="613">
        <v>0</v>
      </c>
      <c r="I283" s="613">
        <v>0</v>
      </c>
      <c r="J283" s="613">
        <v>0</v>
      </c>
      <c r="K283" s="613">
        <v>0</v>
      </c>
      <c r="L283" s="613">
        <v>0</v>
      </c>
      <c r="M283" s="613">
        <v>0</v>
      </c>
      <c r="N283" s="613">
        <v>0</v>
      </c>
      <c r="O283" s="613">
        <v>0</v>
      </c>
      <c r="P283" s="613">
        <v>0</v>
      </c>
      <c r="Q283" s="613">
        <v>0</v>
      </c>
      <c r="R283" s="613">
        <v>0</v>
      </c>
      <c r="S283" s="613">
        <v>0</v>
      </c>
      <c r="T283" s="613">
        <v>0</v>
      </c>
      <c r="U283" s="621">
        <v>0</v>
      </c>
      <c r="V283" s="51"/>
      <c r="W283" s="51"/>
      <c r="X283" s="51"/>
    </row>
    <row r="284" spans="1:24">
      <c r="A284" s="51"/>
      <c r="B284" s="51"/>
      <c r="C284" s="620" t="s">
        <v>72</v>
      </c>
      <c r="D284" s="613">
        <v>0</v>
      </c>
      <c r="E284" s="613">
        <v>277.28994248668886</v>
      </c>
      <c r="F284" s="613">
        <v>-274.5252708068171</v>
      </c>
      <c r="G284" s="613">
        <v>0</v>
      </c>
      <c r="H284" s="613">
        <v>0</v>
      </c>
      <c r="I284" s="613">
        <v>0</v>
      </c>
      <c r="J284" s="613">
        <v>0</v>
      </c>
      <c r="K284" s="613">
        <v>0</v>
      </c>
      <c r="L284" s="613">
        <v>0</v>
      </c>
      <c r="M284" s="613">
        <v>0</v>
      </c>
      <c r="N284" s="613">
        <v>0</v>
      </c>
      <c r="O284" s="613">
        <v>0</v>
      </c>
      <c r="P284" s="613">
        <v>0</v>
      </c>
      <c r="Q284" s="613">
        <v>0</v>
      </c>
      <c r="R284" s="613">
        <v>0</v>
      </c>
      <c r="S284" s="613">
        <v>0</v>
      </c>
      <c r="T284" s="613">
        <v>0</v>
      </c>
      <c r="U284" s="621">
        <v>2.7646716798717357</v>
      </c>
      <c r="V284" s="51"/>
      <c r="W284" s="51"/>
      <c r="X284" s="51"/>
    </row>
    <row r="285" spans="1:24">
      <c r="A285" s="51"/>
      <c r="B285" s="51"/>
      <c r="C285" s="620" t="s">
        <v>354</v>
      </c>
      <c r="D285" s="613">
        <v>0</v>
      </c>
      <c r="E285" s="613">
        <v>0</v>
      </c>
      <c r="F285" s="613">
        <v>0</v>
      </c>
      <c r="G285" s="613">
        <v>0</v>
      </c>
      <c r="H285" s="613">
        <v>0</v>
      </c>
      <c r="I285" s="613">
        <v>0</v>
      </c>
      <c r="J285" s="613">
        <v>0</v>
      </c>
      <c r="K285" s="613">
        <v>0</v>
      </c>
      <c r="L285" s="613">
        <v>117.50933865541684</v>
      </c>
      <c r="M285" s="613">
        <v>0</v>
      </c>
      <c r="N285" s="613">
        <v>-117.50933865541684</v>
      </c>
      <c r="O285" s="613">
        <v>0</v>
      </c>
      <c r="P285" s="613">
        <v>0</v>
      </c>
      <c r="Q285" s="613">
        <v>0</v>
      </c>
      <c r="R285" s="613">
        <v>0</v>
      </c>
      <c r="S285" s="613">
        <v>0</v>
      </c>
      <c r="T285" s="613">
        <v>0</v>
      </c>
      <c r="U285" s="621">
        <v>0</v>
      </c>
      <c r="V285" s="51"/>
      <c r="W285" s="51"/>
      <c r="X285" s="51"/>
    </row>
    <row r="286" spans="1:24">
      <c r="A286" s="51"/>
      <c r="B286" s="51"/>
      <c r="C286" s="620" t="s">
        <v>355</v>
      </c>
      <c r="D286" s="613">
        <v>0</v>
      </c>
      <c r="E286" s="613">
        <v>0</v>
      </c>
      <c r="F286" s="613">
        <v>0</v>
      </c>
      <c r="G286" s="613">
        <v>-21.910962558722186</v>
      </c>
      <c r="H286" s="613">
        <v>0</v>
      </c>
      <c r="I286" s="613">
        <v>0</v>
      </c>
      <c r="J286" s="613">
        <v>0</v>
      </c>
      <c r="K286" s="613">
        <v>0</v>
      </c>
      <c r="L286" s="613">
        <v>0</v>
      </c>
      <c r="M286" s="613">
        <v>0</v>
      </c>
      <c r="N286" s="613">
        <v>0</v>
      </c>
      <c r="O286" s="613">
        <v>0</v>
      </c>
      <c r="P286" s="613">
        <v>0</v>
      </c>
      <c r="Q286" s="613">
        <v>0</v>
      </c>
      <c r="R286" s="613">
        <v>0</v>
      </c>
      <c r="S286" s="613">
        <v>0</v>
      </c>
      <c r="T286" s="613">
        <v>30.516660945295527</v>
      </c>
      <c r="U286" s="621">
        <v>8.6056983865733407</v>
      </c>
      <c r="V286" s="51"/>
      <c r="W286" s="51"/>
      <c r="X286" s="51"/>
    </row>
    <row r="287" spans="1:24">
      <c r="A287" s="51"/>
      <c r="B287" s="51"/>
      <c r="C287" s="620" t="s">
        <v>73</v>
      </c>
      <c r="D287" s="613">
        <v>0</v>
      </c>
      <c r="E287" s="613">
        <v>0</v>
      </c>
      <c r="F287" s="613">
        <v>0</v>
      </c>
      <c r="G287" s="613">
        <v>0</v>
      </c>
      <c r="H287" s="613">
        <v>0</v>
      </c>
      <c r="I287" s="613">
        <v>0</v>
      </c>
      <c r="J287" s="613">
        <v>0</v>
      </c>
      <c r="K287" s="613">
        <v>0</v>
      </c>
      <c r="L287" s="613">
        <v>0</v>
      </c>
      <c r="M287" s="613">
        <v>0</v>
      </c>
      <c r="N287" s="613">
        <v>0</v>
      </c>
      <c r="O287" s="613">
        <v>0</v>
      </c>
      <c r="P287" s="613">
        <v>0</v>
      </c>
      <c r="Q287" s="613">
        <v>0</v>
      </c>
      <c r="R287" s="613">
        <v>99.792892977732521</v>
      </c>
      <c r="S287" s="613">
        <v>0</v>
      </c>
      <c r="T287" s="613">
        <v>-68.358131689746784</v>
      </c>
      <c r="U287" s="621">
        <v>31.434761287985737</v>
      </c>
      <c r="V287" s="51"/>
      <c r="W287" s="51"/>
      <c r="X287" s="51"/>
    </row>
    <row r="288" spans="1:24">
      <c r="A288" s="51"/>
      <c r="B288" s="51"/>
      <c r="C288" s="620" t="s">
        <v>356</v>
      </c>
      <c r="D288" s="613">
        <v>6.9248988281249995</v>
      </c>
      <c r="E288" s="613">
        <v>-9.6904137911102683</v>
      </c>
      <c r="F288" s="613">
        <v>12.633678677299837</v>
      </c>
      <c r="G288" s="613">
        <v>0</v>
      </c>
      <c r="H288" s="613">
        <v>0</v>
      </c>
      <c r="I288" s="613">
        <v>0</v>
      </c>
      <c r="J288" s="613">
        <v>0</v>
      </c>
      <c r="K288" s="613">
        <v>0</v>
      </c>
      <c r="L288" s="613">
        <v>0</v>
      </c>
      <c r="M288" s="613">
        <v>0</v>
      </c>
      <c r="N288" s="613">
        <v>0</v>
      </c>
      <c r="O288" s="613">
        <v>0</v>
      </c>
      <c r="P288" s="613">
        <v>0</v>
      </c>
      <c r="Q288" s="613">
        <v>0</v>
      </c>
      <c r="R288" s="613">
        <v>0</v>
      </c>
      <c r="S288" s="613">
        <v>0</v>
      </c>
      <c r="T288" s="613">
        <v>0</v>
      </c>
      <c r="U288" s="621">
        <v>9.8681637143145693</v>
      </c>
      <c r="V288" s="51"/>
      <c r="W288" s="51"/>
      <c r="X288" s="51"/>
    </row>
    <row r="289" spans="1:24">
      <c r="A289" s="51"/>
      <c r="B289" s="51"/>
      <c r="C289" s="620" t="s">
        <v>75</v>
      </c>
      <c r="D289" s="613">
        <v>2.6930162109375</v>
      </c>
      <c r="E289" s="613">
        <v>0</v>
      </c>
      <c r="F289" s="613">
        <v>17.882981772477446</v>
      </c>
      <c r="G289" s="613">
        <v>0</v>
      </c>
      <c r="H289" s="613">
        <v>2.8438669910513061</v>
      </c>
      <c r="I289" s="613">
        <v>0</v>
      </c>
      <c r="J289" s="613">
        <v>0</v>
      </c>
      <c r="K289" s="613">
        <v>0</v>
      </c>
      <c r="L289" s="613">
        <v>0</v>
      </c>
      <c r="M289" s="613">
        <v>0</v>
      </c>
      <c r="N289" s="613">
        <v>0</v>
      </c>
      <c r="O289" s="613">
        <v>2.3268002654056139</v>
      </c>
      <c r="P289" s="613">
        <v>0</v>
      </c>
      <c r="Q289" s="613">
        <v>0</v>
      </c>
      <c r="R289" s="613">
        <v>26.202190575387331</v>
      </c>
      <c r="S289" s="613">
        <v>0</v>
      </c>
      <c r="T289" s="613">
        <v>0</v>
      </c>
      <c r="U289" s="621">
        <v>51.948855815259193</v>
      </c>
      <c r="V289" s="51"/>
      <c r="W289" s="51"/>
      <c r="X289" s="51"/>
    </row>
    <row r="290" spans="1:24">
      <c r="A290" s="51"/>
      <c r="B290" s="51"/>
      <c r="C290" s="620" t="s">
        <v>76</v>
      </c>
      <c r="D290" s="613">
        <v>0</v>
      </c>
      <c r="E290" s="613">
        <v>0</v>
      </c>
      <c r="F290" s="613">
        <v>0</v>
      </c>
      <c r="G290" s="613">
        <v>0</v>
      </c>
      <c r="H290" s="613">
        <v>1.0471910576301744</v>
      </c>
      <c r="I290" s="613">
        <v>0</v>
      </c>
      <c r="J290" s="613">
        <v>0</v>
      </c>
      <c r="K290" s="613">
        <v>0</v>
      </c>
      <c r="L290" s="613">
        <v>0</v>
      </c>
      <c r="M290" s="613">
        <v>0</v>
      </c>
      <c r="N290" s="613">
        <v>0</v>
      </c>
      <c r="O290" s="613">
        <v>0.85679268351559712</v>
      </c>
      <c r="P290" s="613">
        <v>0</v>
      </c>
      <c r="Q290" s="613">
        <v>0</v>
      </c>
      <c r="R290" s="613">
        <v>49.376186823560346</v>
      </c>
      <c r="S290" s="613">
        <v>5.3750429512534854</v>
      </c>
      <c r="T290" s="613">
        <v>0</v>
      </c>
      <c r="U290" s="621">
        <v>56.655213515959609</v>
      </c>
      <c r="V290" s="51"/>
      <c r="W290" s="51"/>
      <c r="X290" s="51"/>
    </row>
    <row r="291" spans="1:24">
      <c r="A291" s="51"/>
      <c r="B291" s="51"/>
      <c r="C291" s="616" t="s">
        <v>77</v>
      </c>
      <c r="D291" s="617">
        <v>9.617915039062499</v>
      </c>
      <c r="E291" s="617">
        <v>267.59952869557856</v>
      </c>
      <c r="F291" s="617">
        <v>-243.94245840363976</v>
      </c>
      <c r="G291" s="617">
        <v>-21.910962558722186</v>
      </c>
      <c r="H291" s="624">
        <v>17.306946232403714</v>
      </c>
      <c r="I291" s="617">
        <v>0</v>
      </c>
      <c r="J291" s="617">
        <v>1059.5259818181821</v>
      </c>
      <c r="K291" s="617">
        <v>373.50050326164637</v>
      </c>
      <c r="L291" s="617">
        <v>254.66352883242536</v>
      </c>
      <c r="M291" s="617">
        <v>25.54697483851276</v>
      </c>
      <c r="N291" s="617">
        <v>-111.8824008174838</v>
      </c>
      <c r="O291" s="617">
        <v>-62.204904625530077</v>
      </c>
      <c r="P291" s="617">
        <v>0</v>
      </c>
      <c r="Q291" s="617">
        <v>17.461746798180965</v>
      </c>
      <c r="R291" s="617">
        <v>-571.97798146477135</v>
      </c>
      <c r="S291" s="617">
        <v>-63.928565625977342</v>
      </c>
      <c r="T291" s="617">
        <v>-34.33322512285126</v>
      </c>
      <c r="U291" s="617">
        <v>915.04262689701648</v>
      </c>
      <c r="V291" s="51"/>
      <c r="W291" s="51"/>
      <c r="X291" s="51"/>
    </row>
    <row r="292" spans="1:24">
      <c r="A292" s="51"/>
      <c r="B292" s="51"/>
      <c r="C292" s="618"/>
      <c r="D292" s="619">
        <v>0</v>
      </c>
      <c r="E292" s="619">
        <v>0</v>
      </c>
      <c r="F292" s="619">
        <v>0</v>
      </c>
      <c r="G292" s="619">
        <v>0</v>
      </c>
      <c r="H292" s="625">
        <v>0</v>
      </c>
      <c r="I292" s="619">
        <v>0</v>
      </c>
      <c r="J292" s="619">
        <v>0</v>
      </c>
      <c r="K292" s="619">
        <v>0</v>
      </c>
      <c r="L292" s="619">
        <v>0</v>
      </c>
      <c r="M292" s="619">
        <v>0</v>
      </c>
      <c r="N292" s="619">
        <v>0</v>
      </c>
      <c r="O292" s="619">
        <v>0</v>
      </c>
      <c r="P292" s="619">
        <v>0</v>
      </c>
      <c r="Q292" s="619">
        <v>0</v>
      </c>
      <c r="R292" s="619">
        <v>0</v>
      </c>
      <c r="S292" s="619">
        <v>0</v>
      </c>
      <c r="T292" s="619">
        <v>0</v>
      </c>
      <c r="U292" s="619">
        <v>0</v>
      </c>
      <c r="V292" s="51"/>
      <c r="W292" s="51"/>
      <c r="X292" s="51"/>
    </row>
    <row r="293" spans="1:24">
      <c r="A293" s="51"/>
      <c r="B293" s="51"/>
      <c r="C293" s="620" t="s">
        <v>78</v>
      </c>
      <c r="D293" s="613">
        <v>2.7841882556496467</v>
      </c>
      <c r="E293" s="613">
        <v>0</v>
      </c>
      <c r="F293" s="613">
        <v>5.1952563518908157</v>
      </c>
      <c r="G293" s="613">
        <v>0</v>
      </c>
      <c r="H293" s="613">
        <v>31.335146641416099</v>
      </c>
      <c r="I293" s="613">
        <v>0</v>
      </c>
      <c r="J293" s="613">
        <v>0</v>
      </c>
      <c r="K293" s="613">
        <v>0</v>
      </c>
      <c r="L293" s="613">
        <v>19.866368456853682</v>
      </c>
      <c r="M293" s="613">
        <v>2.3815254498716123</v>
      </c>
      <c r="N293" s="613">
        <v>2.1415231567382813</v>
      </c>
      <c r="O293" s="613">
        <v>25.676510059650784</v>
      </c>
      <c r="P293" s="613">
        <v>7.6335380859375004</v>
      </c>
      <c r="Q293" s="613">
        <v>7.8820466826144567E-4</v>
      </c>
      <c r="R293" s="613">
        <v>133.1889583814887</v>
      </c>
      <c r="S293" s="613">
        <v>18.276712147761906</v>
      </c>
      <c r="T293" s="613">
        <v>4.7382089843750004</v>
      </c>
      <c r="U293" s="621">
        <v>253.21872417630229</v>
      </c>
      <c r="V293" s="51"/>
      <c r="W293" s="622" t="e" cm="1">
        <f t="array" aca="1" ref="W293" ca="1">_xlfn.IFNA(INDEX(#REF!,MATCH(INDIRECT("Codes_bilans!"&amp;W$1&amp;"$"&amp;#REF!),#REF!,0),MATCH(#REF!,#REF!,0)),0)</f>
        <v>#REF!</v>
      </c>
      <c r="X293" s="51"/>
    </row>
    <row r="294" spans="1:24">
      <c r="A294" s="51"/>
      <c r="B294" s="51"/>
      <c r="C294" s="620" t="s">
        <v>79</v>
      </c>
      <c r="D294" s="613">
        <v>0</v>
      </c>
      <c r="E294" s="613">
        <v>0</v>
      </c>
      <c r="F294" s="613">
        <v>62.42121803575882</v>
      </c>
      <c r="G294" s="613">
        <v>0.9171283606012931</v>
      </c>
      <c r="H294" s="613">
        <v>3.2777834936114583</v>
      </c>
      <c r="I294" s="613">
        <v>0</v>
      </c>
      <c r="J294" s="613">
        <v>0</v>
      </c>
      <c r="K294" s="613">
        <v>0</v>
      </c>
      <c r="L294" s="613">
        <v>0</v>
      </c>
      <c r="M294" s="613">
        <v>0</v>
      </c>
      <c r="N294" s="613">
        <v>70.675893572317364</v>
      </c>
      <c r="O294" s="613">
        <v>2.6818228584093751</v>
      </c>
      <c r="P294" s="613">
        <v>0</v>
      </c>
      <c r="Q294" s="613">
        <v>0</v>
      </c>
      <c r="R294" s="613">
        <v>85.601807225833156</v>
      </c>
      <c r="S294" s="613">
        <v>0</v>
      </c>
      <c r="T294" s="613">
        <v>3.5812873698124483</v>
      </c>
      <c r="U294" s="621">
        <v>229.15694091634393</v>
      </c>
      <c r="V294" s="51"/>
      <c r="W294" s="622" t="e" cm="1">
        <f t="array" aca="1" ref="W294" ca="1">_xlfn.IFNA(INDEX(#REF!,MATCH(INDIRECT("Codes_bilans!"&amp;W$1&amp;"$"&amp;#REF!),#REF!,0),MATCH(#REF!,#REF!,0)),0)</f>
        <v>#REF!</v>
      </c>
      <c r="X294" s="51"/>
    </row>
    <row r="295" spans="1:24">
      <c r="A295" s="51"/>
      <c r="B295" s="51"/>
      <c r="C295" s="620" t="s">
        <v>80</v>
      </c>
      <c r="D295" s="613">
        <v>0</v>
      </c>
      <c r="E295" s="613">
        <v>0</v>
      </c>
      <c r="F295" s="613">
        <v>2.2535083725168867</v>
      </c>
      <c r="G295" s="613">
        <v>0</v>
      </c>
      <c r="H295" s="613">
        <v>22.547534156690407</v>
      </c>
      <c r="I295" s="613">
        <v>0</v>
      </c>
      <c r="J295" s="613">
        <v>0</v>
      </c>
      <c r="K295" s="613">
        <v>0</v>
      </c>
      <c r="L295" s="613">
        <v>34.097641504490639</v>
      </c>
      <c r="M295" s="613">
        <v>0</v>
      </c>
      <c r="N295" s="613">
        <v>0</v>
      </c>
      <c r="O295" s="613">
        <v>18.447982491837607</v>
      </c>
      <c r="P295" s="613">
        <v>103.59461616627088</v>
      </c>
      <c r="Q295" s="613">
        <v>2.7285855468891569</v>
      </c>
      <c r="R295" s="613">
        <v>149.5228289340921</v>
      </c>
      <c r="S295" s="613">
        <v>26.593767108522837</v>
      </c>
      <c r="T295" s="613">
        <v>0</v>
      </c>
      <c r="U295" s="621">
        <v>359.78646428131054</v>
      </c>
      <c r="V295" s="51"/>
      <c r="W295" s="622" t="e" cm="1">
        <f t="array" aca="1" ref="W295" ca="1">_xlfn.IFNA(INDEX(#REF!,MATCH(INDIRECT("Codes_bilans!"&amp;W$1&amp;"$"&amp;#REF!),#REF!,0),MATCH(#REF!,#REF!,0)),0)</f>
        <v>#REF!</v>
      </c>
      <c r="X295" s="51"/>
    </row>
    <row r="296" spans="1:24">
      <c r="A296" s="51"/>
      <c r="B296" s="51"/>
      <c r="C296" s="620" t="s">
        <v>81</v>
      </c>
      <c r="D296" s="613">
        <v>0</v>
      </c>
      <c r="E296" s="613">
        <v>0</v>
      </c>
      <c r="F296" s="613">
        <v>1.3399462790047187</v>
      </c>
      <c r="G296" s="613">
        <v>0</v>
      </c>
      <c r="H296" s="613">
        <v>12.344523773070179</v>
      </c>
      <c r="I296" s="613">
        <v>0</v>
      </c>
      <c r="J296" s="613">
        <v>0</v>
      </c>
      <c r="K296" s="613">
        <v>0</v>
      </c>
      <c r="L296" s="613">
        <v>0.40515733033320123</v>
      </c>
      <c r="M296" s="613">
        <v>4.0121337498856221E-4</v>
      </c>
      <c r="N296" s="613">
        <v>0</v>
      </c>
      <c r="O296" s="613">
        <v>10.100064905239238</v>
      </c>
      <c r="P296" s="613">
        <v>25.404172221757367</v>
      </c>
      <c r="Q296" s="613">
        <v>1.0133205125094877</v>
      </c>
      <c r="R296" s="613">
        <v>92.228183694440688</v>
      </c>
      <c r="S296" s="613">
        <v>19.0580863696926</v>
      </c>
      <c r="T296" s="613">
        <v>0</v>
      </c>
      <c r="U296" s="621">
        <v>161.89385629942248</v>
      </c>
      <c r="V296" s="51"/>
      <c r="W296" s="622" t="e" cm="1">
        <f t="array" aca="1" ref="W296" ca="1">_xlfn.IFNA(INDEX(#REF!,MATCH(INDIRECT("Codes_bilans!"&amp;W$1&amp;"$"&amp;#REF!),#REF!,0),MATCH(#REF!,#REF!,0)),0)</f>
        <v>#REF!</v>
      </c>
      <c r="X296" s="51"/>
    </row>
    <row r="297" spans="1:24">
      <c r="A297" s="51"/>
      <c r="B297" s="51"/>
      <c r="C297" s="620" t="s">
        <v>82</v>
      </c>
      <c r="D297" s="613">
        <v>0</v>
      </c>
      <c r="E297" s="613">
        <v>0</v>
      </c>
      <c r="F297" s="613">
        <v>10.678454663150182</v>
      </c>
      <c r="G297" s="613">
        <v>0</v>
      </c>
      <c r="H297" s="613">
        <v>0.98973128577551672</v>
      </c>
      <c r="I297" s="613">
        <v>0</v>
      </c>
      <c r="J297" s="613">
        <v>0</v>
      </c>
      <c r="K297" s="613">
        <v>0</v>
      </c>
      <c r="L297" s="613">
        <v>3.3736621545342089</v>
      </c>
      <c r="M297" s="613">
        <v>0</v>
      </c>
      <c r="N297" s="613">
        <v>14.289145060057182</v>
      </c>
      <c r="O297" s="613">
        <v>0.80978014290724099</v>
      </c>
      <c r="P297" s="613">
        <v>1</v>
      </c>
      <c r="Q297" s="613">
        <v>1.300620381405156</v>
      </c>
      <c r="R297" s="613">
        <v>7.76122971899715</v>
      </c>
      <c r="S297" s="613">
        <v>0</v>
      </c>
      <c r="T297" s="613">
        <v>0.325155095351289</v>
      </c>
      <c r="U297" s="621">
        <v>40.527778502177924</v>
      </c>
      <c r="V297" s="51"/>
      <c r="W297" s="622" t="e" cm="1">
        <f t="array" aca="1" ref="W297" ca="1">_xlfn.IFNA(INDEX(#REF!,MATCH(INDIRECT("Codes_bilans!"&amp;W$1&amp;"$"&amp;#REF!),#REF!,0),MATCH(#REF!,#REF!,0)),0)</f>
        <v>#REF!</v>
      </c>
      <c r="X297" s="51"/>
    </row>
    <row r="298" spans="1:24">
      <c r="A298" s="51"/>
      <c r="B298" s="51"/>
      <c r="C298" s="620" t="s">
        <v>357</v>
      </c>
      <c r="D298" s="613">
        <v>0</v>
      </c>
      <c r="E298" s="613">
        <v>0</v>
      </c>
      <c r="F298" s="613">
        <v>0</v>
      </c>
      <c r="G298" s="613">
        <v>0</v>
      </c>
      <c r="H298" s="613">
        <v>0</v>
      </c>
      <c r="I298" s="613">
        <v>0</v>
      </c>
      <c r="J298" s="613">
        <v>0</v>
      </c>
      <c r="K298" s="613">
        <v>0</v>
      </c>
      <c r="L298" s="613">
        <v>0</v>
      </c>
      <c r="M298" s="613">
        <v>0</v>
      </c>
      <c r="N298" s="613">
        <v>0</v>
      </c>
      <c r="O298" s="613">
        <v>0</v>
      </c>
      <c r="P298" s="613">
        <v>0</v>
      </c>
      <c r="Q298" s="613">
        <v>0</v>
      </c>
      <c r="R298" s="613">
        <v>1.4068800000000001</v>
      </c>
      <c r="S298" s="613">
        <v>0</v>
      </c>
      <c r="T298" s="613">
        <v>0</v>
      </c>
      <c r="U298" s="621">
        <v>1.4068800000000001</v>
      </c>
      <c r="V298" s="51"/>
      <c r="W298" s="622" t="e" cm="1">
        <f t="array" aca="1" ref="W298" ca="1">_xlfn.IFNA(INDEX(#REF!,MATCH(INDIRECT("Codes_bilans!"&amp;W$1&amp;"$"&amp;#REF!),#REF!,0),MATCH(#REF!,#REF!,0)),0)</f>
        <v>#REF!</v>
      </c>
      <c r="X298" s="51"/>
    </row>
    <row r="299" spans="1:24">
      <c r="A299" s="51"/>
      <c r="B299" s="51"/>
      <c r="C299" s="616" t="s">
        <v>83</v>
      </c>
      <c r="D299" s="617">
        <v>2.7841882556496467</v>
      </c>
      <c r="E299" s="617">
        <v>0</v>
      </c>
      <c r="F299" s="617">
        <v>81.888383702321406</v>
      </c>
      <c r="G299" s="617">
        <v>0.9171283606012931</v>
      </c>
      <c r="H299" s="624">
        <v>70.494719350563656</v>
      </c>
      <c r="I299" s="617">
        <v>0</v>
      </c>
      <c r="J299" s="617">
        <v>0</v>
      </c>
      <c r="K299" s="617">
        <v>0</v>
      </c>
      <c r="L299" s="617">
        <v>57.742829446211736</v>
      </c>
      <c r="M299" s="617">
        <v>2.3819266632466007</v>
      </c>
      <c r="N299" s="617">
        <v>87.106561789112831</v>
      </c>
      <c r="O299" s="617">
        <v>57.71616045804425</v>
      </c>
      <c r="P299" s="617">
        <v>137.63232647396575</v>
      </c>
      <c r="Q299" s="617">
        <v>5.0433146454720621</v>
      </c>
      <c r="R299" s="617">
        <v>469.70988795485181</v>
      </c>
      <c r="S299" s="617">
        <v>63.928565625977342</v>
      </c>
      <c r="T299" s="617">
        <v>8.6446514495387365</v>
      </c>
      <c r="U299" s="617">
        <v>1045.9906441755572</v>
      </c>
      <c r="V299" s="51"/>
      <c r="W299" s="51"/>
      <c r="X299" s="51"/>
    </row>
    <row r="300" spans="1:24">
      <c r="A300" s="51"/>
      <c r="B300" s="51"/>
      <c r="C300" s="612" t="s">
        <v>84</v>
      </c>
      <c r="D300" s="613">
        <v>0</v>
      </c>
      <c r="E300" s="613">
        <v>0</v>
      </c>
      <c r="F300" s="613">
        <v>63.453621141900157</v>
      </c>
      <c r="G300" s="613">
        <v>5.849933778542443</v>
      </c>
      <c r="H300" s="613">
        <v>6.7321107560009157</v>
      </c>
      <c r="I300" s="613">
        <v>0</v>
      </c>
      <c r="J300" s="613">
        <v>0</v>
      </c>
      <c r="K300" s="613">
        <v>0</v>
      </c>
      <c r="L300" s="613">
        <v>0.4086523039836884</v>
      </c>
      <c r="M300" s="613">
        <v>0</v>
      </c>
      <c r="N300" s="613">
        <v>16.128139408945682</v>
      </c>
      <c r="O300" s="613">
        <v>2.7141517882424018</v>
      </c>
      <c r="P300" s="613">
        <v>0</v>
      </c>
      <c r="Q300" s="613">
        <v>0</v>
      </c>
      <c r="R300" s="613">
        <v>0</v>
      </c>
      <c r="S300" s="613">
        <v>0</v>
      </c>
      <c r="T300" s="613">
        <v>25.023965550983899</v>
      </c>
      <c r="U300" s="621">
        <v>120.31057472859921</v>
      </c>
      <c r="V300" s="51"/>
      <c r="W300" s="622" t="e" cm="1">
        <f t="array" aca="1" ref="W300" ca="1">_xlfn.IFNA(INDEX(#REF!,MATCH(INDIRECT("Codes_bilans!"&amp;W$1&amp;"$"&amp;#REF!),#REF!,0),MATCH(#REF!,#REF!,0)),0)</f>
        <v>#REF!</v>
      </c>
      <c r="X300" s="51"/>
    </row>
    <row r="301" spans="1:24">
      <c r="A301" s="51"/>
      <c r="B301" s="51"/>
      <c r="C301" s="616" t="s">
        <v>85</v>
      </c>
      <c r="D301" s="617">
        <v>2.7841882556496467</v>
      </c>
      <c r="E301" s="617">
        <v>0</v>
      </c>
      <c r="F301" s="617">
        <v>145.34200484422155</v>
      </c>
      <c r="G301" s="617">
        <v>6.7670621391437358</v>
      </c>
      <c r="H301" s="624">
        <v>77.226830106564577</v>
      </c>
      <c r="I301" s="617">
        <v>0</v>
      </c>
      <c r="J301" s="617">
        <v>0</v>
      </c>
      <c r="K301" s="617">
        <v>0</v>
      </c>
      <c r="L301" s="617">
        <v>58.151481750195423</v>
      </c>
      <c r="M301" s="617">
        <v>2.3819266632466007</v>
      </c>
      <c r="N301" s="617">
        <v>103.23470119805852</v>
      </c>
      <c r="O301" s="617">
        <v>60.430312246286654</v>
      </c>
      <c r="P301" s="617">
        <v>137.63232647396575</v>
      </c>
      <c r="Q301" s="617">
        <v>5.0433146454720621</v>
      </c>
      <c r="R301" s="617">
        <v>469.70988795485181</v>
      </c>
      <c r="S301" s="617">
        <v>63.928565625977342</v>
      </c>
      <c r="T301" s="617">
        <v>33.668617000522637</v>
      </c>
      <c r="U301" s="617">
        <v>1166.3012189041563</v>
      </c>
      <c r="V301" s="51"/>
      <c r="W301" s="51"/>
      <c r="X301" s="51"/>
    </row>
    <row r="302" spans="1:24">
      <c r="A302" s="51"/>
      <c r="B302" s="51"/>
      <c r="C302" s="51"/>
      <c r="D302" s="67">
        <v>0</v>
      </c>
      <c r="E302" s="67">
        <v>0</v>
      </c>
      <c r="F302" s="67">
        <v>0</v>
      </c>
      <c r="G302" s="67">
        <v>0</v>
      </c>
      <c r="H302" s="67">
        <v>0</v>
      </c>
      <c r="I302" s="67">
        <v>0</v>
      </c>
      <c r="J302" s="67">
        <v>0</v>
      </c>
      <c r="K302" s="67">
        <v>0</v>
      </c>
      <c r="L302" s="67">
        <v>0</v>
      </c>
      <c r="M302" s="67">
        <v>0</v>
      </c>
      <c r="N302" s="67">
        <v>1.5987211554602254E-14</v>
      </c>
      <c r="O302" s="67">
        <v>2.5757174171303632E-14</v>
      </c>
      <c r="P302" s="67">
        <v>0</v>
      </c>
      <c r="Q302" s="67">
        <v>0</v>
      </c>
      <c r="R302" s="67">
        <v>0</v>
      </c>
      <c r="S302" s="67">
        <v>0</v>
      </c>
      <c r="T302" s="67">
        <v>-1.3322676295501878E-15</v>
      </c>
      <c r="U302" s="67">
        <v>0</v>
      </c>
      <c r="V302" s="51"/>
      <c r="W302" s="51"/>
      <c r="X302" s="51"/>
    </row>
    <row r="303" spans="1:24">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row>
    <row r="304" spans="1:24">
      <c r="A304" s="608"/>
      <c r="B304" s="608"/>
      <c r="C304" s="609" t="s">
        <v>523</v>
      </c>
      <c r="D304" s="608"/>
      <c r="E304" s="608"/>
      <c r="F304" s="608"/>
      <c r="G304" s="608"/>
      <c r="H304" s="608"/>
      <c r="I304" s="608"/>
      <c r="J304" s="608"/>
      <c r="K304" s="608"/>
      <c r="L304" s="608"/>
      <c r="M304" s="608"/>
      <c r="N304" s="608"/>
      <c r="O304" s="608"/>
      <c r="P304" s="608"/>
      <c r="Q304" s="608"/>
      <c r="R304" s="608"/>
      <c r="S304" s="608"/>
      <c r="T304" s="608"/>
      <c r="U304" s="608"/>
      <c r="V304" s="608"/>
      <c r="W304" s="608"/>
      <c r="X304" s="608"/>
    </row>
    <row r="305" spans="1:24">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row>
    <row r="306" spans="1:24" ht="14.25" customHeight="1">
      <c r="A306" s="51"/>
      <c r="B306" s="51"/>
      <c r="C306" s="713" t="s">
        <v>128</v>
      </c>
      <c r="D306" s="711" t="s">
        <v>42</v>
      </c>
      <c r="E306" s="711" t="s">
        <v>52</v>
      </c>
      <c r="F306" s="711" t="s">
        <v>53</v>
      </c>
      <c r="G306" s="711" t="s">
        <v>487</v>
      </c>
      <c r="H306" s="711" t="s">
        <v>32</v>
      </c>
      <c r="I306" s="711" t="s">
        <v>488</v>
      </c>
      <c r="J306" s="711" t="s">
        <v>20</v>
      </c>
      <c r="K306" s="711" t="s">
        <v>55</v>
      </c>
      <c r="L306" s="715" t="s">
        <v>56</v>
      </c>
      <c r="M306" s="716"/>
      <c r="N306" s="716"/>
      <c r="O306" s="716"/>
      <c r="P306" s="716"/>
      <c r="Q306" s="717"/>
      <c r="R306" s="711" t="s">
        <v>57</v>
      </c>
      <c r="S306" s="711" t="s">
        <v>58</v>
      </c>
      <c r="T306" s="711" t="s">
        <v>31</v>
      </c>
      <c r="U306" s="711" t="s">
        <v>10</v>
      </c>
      <c r="V306" s="51"/>
      <c r="W306" s="51"/>
      <c r="X306" s="51"/>
    </row>
    <row r="307" spans="1:24" ht="24">
      <c r="A307" s="51"/>
      <c r="B307" s="51"/>
      <c r="C307" s="714"/>
      <c r="D307" s="712"/>
      <c r="E307" s="712"/>
      <c r="F307" s="712"/>
      <c r="G307" s="712"/>
      <c r="H307" s="712"/>
      <c r="I307" s="712"/>
      <c r="J307" s="712"/>
      <c r="K307" s="712"/>
      <c r="L307" s="610" t="s">
        <v>338</v>
      </c>
      <c r="M307" s="610" t="s">
        <v>40</v>
      </c>
      <c r="N307" s="610" t="s">
        <v>346</v>
      </c>
      <c r="O307" s="610" t="s">
        <v>347</v>
      </c>
      <c r="P307" s="611" t="s">
        <v>348</v>
      </c>
      <c r="Q307" s="610" t="s">
        <v>349</v>
      </c>
      <c r="R307" s="712"/>
      <c r="S307" s="712"/>
      <c r="T307" s="712"/>
      <c r="U307" s="712"/>
      <c r="V307" s="51"/>
      <c r="W307" s="51"/>
      <c r="X307" s="51"/>
    </row>
    <row r="308" spans="1:24">
      <c r="A308" s="51"/>
      <c r="B308" s="51"/>
      <c r="C308" s="612" t="s">
        <v>59</v>
      </c>
      <c r="D308" s="613">
        <v>0</v>
      </c>
      <c r="E308" s="613">
        <v>0</v>
      </c>
      <c r="F308" s="613">
        <v>0</v>
      </c>
      <c r="G308" s="613">
        <v>0</v>
      </c>
      <c r="H308" s="613">
        <v>0</v>
      </c>
      <c r="I308" s="613">
        <v>0</v>
      </c>
      <c r="J308" s="614">
        <v>960.32137090909112</v>
      </c>
      <c r="K308" s="614">
        <v>427.33219668037293</v>
      </c>
      <c r="L308" s="614">
        <v>300.74509832993209</v>
      </c>
      <c r="M308" s="614">
        <v>24.5360554675092</v>
      </c>
      <c r="N308" s="613">
        <v>1.638642873490971</v>
      </c>
      <c r="O308" s="613">
        <v>0.1692153726460352</v>
      </c>
      <c r="P308" s="614">
        <v>147.47340024456145</v>
      </c>
      <c r="Q308" s="614">
        <v>23.099478079825218</v>
      </c>
      <c r="R308" s="613">
        <v>0</v>
      </c>
      <c r="S308" s="613">
        <v>0</v>
      </c>
      <c r="T308" s="613">
        <v>0</v>
      </c>
      <c r="U308" s="615">
        <v>1885.3154579574289</v>
      </c>
      <c r="V308" s="51"/>
      <c r="W308" s="51"/>
      <c r="X308" s="51"/>
    </row>
    <row r="309" spans="1:24">
      <c r="A309" s="51"/>
      <c r="B309" s="51"/>
      <c r="C309" s="612" t="s">
        <v>60</v>
      </c>
      <c r="D309" s="613">
        <v>10.379280707598515</v>
      </c>
      <c r="E309" s="613">
        <v>221.43377158510449</v>
      </c>
      <c r="F309" s="613">
        <v>3.6404081450569747</v>
      </c>
      <c r="G309" s="613">
        <v>0</v>
      </c>
      <c r="H309" s="613">
        <v>71.560916825535557</v>
      </c>
      <c r="I309" s="613">
        <v>0</v>
      </c>
      <c r="J309" s="613">
        <v>0</v>
      </c>
      <c r="K309" s="613">
        <v>0</v>
      </c>
      <c r="L309" s="613">
        <v>4.5400000946661896</v>
      </c>
      <c r="M309" s="613">
        <v>0</v>
      </c>
      <c r="N309" s="613">
        <v>4.7355769449703358</v>
      </c>
      <c r="O309" s="613">
        <v>0</v>
      </c>
      <c r="P309" s="613">
        <v>0</v>
      </c>
      <c r="Q309" s="613">
        <v>0</v>
      </c>
      <c r="R309" s="613">
        <v>0</v>
      </c>
      <c r="S309" s="613">
        <v>0</v>
      </c>
      <c r="T309" s="613">
        <v>0</v>
      </c>
      <c r="U309" s="615">
        <v>316.28995430293207</v>
      </c>
      <c r="V309" s="51"/>
      <c r="W309" s="51"/>
      <c r="X309" s="51"/>
    </row>
    <row r="310" spans="1:24">
      <c r="A310" s="51"/>
      <c r="B310" s="51"/>
      <c r="C310" s="612" t="s">
        <v>61</v>
      </c>
      <c r="D310" s="613">
        <v>0</v>
      </c>
      <c r="E310" s="613">
        <v>0</v>
      </c>
      <c r="F310" s="613">
        <v>-58.536980841071092</v>
      </c>
      <c r="G310" s="613">
        <v>-1.6667279106947781</v>
      </c>
      <c r="H310" s="613">
        <v>0</v>
      </c>
      <c r="I310" s="613">
        <v>0</v>
      </c>
      <c r="J310" s="613">
        <v>0</v>
      </c>
      <c r="K310" s="613">
        <v>0</v>
      </c>
      <c r="L310" s="613">
        <v>0</v>
      </c>
      <c r="M310" s="613">
        <v>0</v>
      </c>
      <c r="N310" s="613">
        <v>0</v>
      </c>
      <c r="O310" s="613">
        <v>0</v>
      </c>
      <c r="P310" s="613">
        <v>0</v>
      </c>
      <c r="Q310" s="613">
        <v>0</v>
      </c>
      <c r="R310" s="613">
        <v>-92.827968734039246</v>
      </c>
      <c r="S310" s="613">
        <v>0</v>
      </c>
      <c r="T310" s="613">
        <v>0</v>
      </c>
      <c r="U310" s="615">
        <v>-153.03167748580509</v>
      </c>
      <c r="V310" s="51"/>
      <c r="W310" s="51"/>
      <c r="X310" s="51"/>
    </row>
    <row r="311" spans="1:24">
      <c r="A311" s="51"/>
      <c r="B311" s="51"/>
      <c r="C311" s="612" t="s">
        <v>62</v>
      </c>
      <c r="D311" s="613">
        <v>0</v>
      </c>
      <c r="E311" s="613">
        <v>0</v>
      </c>
      <c r="F311" s="613">
        <v>-6.8572519407668047</v>
      </c>
      <c r="G311" s="613">
        <v>-2.9115063458369059</v>
      </c>
      <c r="H311" s="613">
        <v>-4.556210213526227</v>
      </c>
      <c r="I311" s="613">
        <v>-6.0214231896822394E-2</v>
      </c>
      <c r="J311" s="613">
        <v>0</v>
      </c>
      <c r="K311" s="613">
        <v>0</v>
      </c>
      <c r="L311" s="613">
        <v>0</v>
      </c>
      <c r="M311" s="613">
        <v>0</v>
      </c>
      <c r="N311" s="613">
        <v>-0.36156496915270087</v>
      </c>
      <c r="O311" s="613">
        <v>-5.4192808707140152</v>
      </c>
      <c r="P311" s="613">
        <v>0</v>
      </c>
      <c r="Q311" s="613">
        <v>0</v>
      </c>
      <c r="R311" s="613">
        <v>0</v>
      </c>
      <c r="S311" s="613">
        <v>0</v>
      </c>
      <c r="T311" s="613">
        <v>0</v>
      </c>
      <c r="U311" s="615">
        <v>-20.166028571893477</v>
      </c>
      <c r="V311" s="51"/>
      <c r="W311" s="51"/>
      <c r="X311" s="51"/>
    </row>
    <row r="312" spans="1:24">
      <c r="A312" s="51"/>
      <c r="B312" s="51"/>
      <c r="C312" s="612" t="s">
        <v>63</v>
      </c>
      <c r="D312" s="613">
        <v>0</v>
      </c>
      <c r="E312" s="613">
        <v>0</v>
      </c>
      <c r="F312" s="613">
        <v>-41.932075648688581</v>
      </c>
      <c r="G312" s="613">
        <v>-12.789597363010756</v>
      </c>
      <c r="H312" s="613">
        <v>0</v>
      </c>
      <c r="I312" s="613">
        <v>0</v>
      </c>
      <c r="J312" s="613">
        <v>0</v>
      </c>
      <c r="K312" s="613">
        <v>0</v>
      </c>
      <c r="L312" s="613">
        <v>0</v>
      </c>
      <c r="M312" s="613">
        <v>0</v>
      </c>
      <c r="N312" s="613">
        <v>-13.964845940285258</v>
      </c>
      <c r="O312" s="613">
        <v>0</v>
      </c>
      <c r="P312" s="613">
        <v>0</v>
      </c>
      <c r="Q312" s="613">
        <v>0</v>
      </c>
      <c r="R312" s="613">
        <v>0</v>
      </c>
      <c r="S312" s="613">
        <v>0</v>
      </c>
      <c r="T312" s="613">
        <v>-1.1030439884832439</v>
      </c>
      <c r="U312" s="615">
        <v>-69.789562940467846</v>
      </c>
      <c r="V312" s="51"/>
      <c r="W312" s="51"/>
      <c r="X312" s="51"/>
    </row>
    <row r="313" spans="1:24">
      <c r="A313" s="51"/>
      <c r="B313" s="51"/>
      <c r="C313" s="612" t="s">
        <v>64</v>
      </c>
      <c r="D313" s="613">
        <v>0</v>
      </c>
      <c r="E313" s="613">
        <v>0</v>
      </c>
      <c r="F313" s="613">
        <v>0</v>
      </c>
      <c r="G313" s="613">
        <v>0</v>
      </c>
      <c r="H313" s="613">
        <v>0</v>
      </c>
      <c r="I313" s="613">
        <v>0</v>
      </c>
      <c r="J313" s="613">
        <v>0</v>
      </c>
      <c r="K313" s="613">
        <v>0</v>
      </c>
      <c r="L313" s="613">
        <v>0</v>
      </c>
      <c r="M313" s="613">
        <v>0</v>
      </c>
      <c r="N313" s="613">
        <v>0</v>
      </c>
      <c r="O313" s="613">
        <v>0</v>
      </c>
      <c r="P313" s="613">
        <v>0</v>
      </c>
      <c r="Q313" s="613">
        <v>0</v>
      </c>
      <c r="R313" s="613">
        <v>0</v>
      </c>
      <c r="S313" s="613">
        <v>0</v>
      </c>
      <c r="T313" s="613">
        <v>0</v>
      </c>
      <c r="U313" s="615">
        <v>0</v>
      </c>
      <c r="V313" s="51"/>
      <c r="W313" s="51"/>
      <c r="X313" s="51"/>
    </row>
    <row r="314" spans="1:24">
      <c r="A314" s="51"/>
      <c r="B314" s="51"/>
      <c r="C314" s="616" t="s">
        <v>65</v>
      </c>
      <c r="D314" s="617">
        <v>10.379280707598515</v>
      </c>
      <c r="E314" s="617">
        <v>221.43377158510449</v>
      </c>
      <c r="F314" s="617">
        <v>-103.6859002854695</v>
      </c>
      <c r="G314" s="617">
        <v>-17.367831619542439</v>
      </c>
      <c r="H314" s="624">
        <v>67.004706612009329</v>
      </c>
      <c r="I314" s="617">
        <v>-6.0214231896822394E-2</v>
      </c>
      <c r="J314" s="617">
        <v>960.32137090909112</v>
      </c>
      <c r="K314" s="617">
        <v>427.33219668037293</v>
      </c>
      <c r="L314" s="617">
        <v>305.28509842459829</v>
      </c>
      <c r="M314" s="617">
        <v>24.5360554675092</v>
      </c>
      <c r="N314" s="617">
        <v>-7.952191090976652</v>
      </c>
      <c r="O314" s="617">
        <v>-5.25006549806798</v>
      </c>
      <c r="P314" s="617">
        <v>147.47340024456145</v>
      </c>
      <c r="Q314" s="617">
        <v>23.099478079825218</v>
      </c>
      <c r="R314" s="617">
        <v>-92.827968734039246</v>
      </c>
      <c r="S314" s="617">
        <v>0</v>
      </c>
      <c r="T314" s="617">
        <v>-1.1030439884832439</v>
      </c>
      <c r="U314" s="617">
        <v>1958.6181432621945</v>
      </c>
      <c r="V314" s="51"/>
      <c r="W314" s="51"/>
      <c r="X314" s="51"/>
    </row>
    <row r="315" spans="1:24">
      <c r="A315" s="51"/>
      <c r="B315" s="51"/>
      <c r="C315" s="618"/>
      <c r="D315" s="619">
        <v>0</v>
      </c>
      <c r="E315" s="619">
        <v>0</v>
      </c>
      <c r="F315" s="619">
        <v>0</v>
      </c>
      <c r="G315" s="619">
        <v>0</v>
      </c>
      <c r="H315" s="625">
        <v>0</v>
      </c>
      <c r="I315" s="619">
        <v>0</v>
      </c>
      <c r="J315" s="619">
        <v>0</v>
      </c>
      <c r="K315" s="619">
        <v>0</v>
      </c>
      <c r="L315" s="619">
        <v>0</v>
      </c>
      <c r="M315" s="619">
        <v>0</v>
      </c>
      <c r="N315" s="619">
        <v>0</v>
      </c>
      <c r="O315" s="619">
        <v>0</v>
      </c>
      <c r="P315" s="619">
        <v>0</v>
      </c>
      <c r="Q315" s="619">
        <v>0</v>
      </c>
      <c r="R315" s="619">
        <v>0</v>
      </c>
      <c r="S315" s="619">
        <v>0</v>
      </c>
      <c r="T315" s="619">
        <v>0</v>
      </c>
      <c r="U315" s="619">
        <v>0</v>
      </c>
      <c r="V315" s="51"/>
      <c r="W315" s="51"/>
      <c r="X315" s="51"/>
    </row>
    <row r="316" spans="1:24">
      <c r="A316" s="51"/>
      <c r="B316" s="51"/>
      <c r="C316" s="620" t="s">
        <v>67</v>
      </c>
      <c r="D316" s="613">
        <v>0</v>
      </c>
      <c r="E316" s="613">
        <v>0</v>
      </c>
      <c r="F316" s="613">
        <v>0</v>
      </c>
      <c r="G316" s="613">
        <v>0</v>
      </c>
      <c r="H316" s="613">
        <v>0</v>
      </c>
      <c r="I316" s="613">
        <v>0</v>
      </c>
      <c r="J316" s="613">
        <v>0</v>
      </c>
      <c r="K316" s="613">
        <v>0</v>
      </c>
      <c r="L316" s="613">
        <v>0</v>
      </c>
      <c r="M316" s="613">
        <v>0</v>
      </c>
      <c r="N316" s="613">
        <v>0</v>
      </c>
      <c r="O316" s="613">
        <v>0</v>
      </c>
      <c r="P316" s="613">
        <v>0</v>
      </c>
      <c r="Q316" s="613">
        <v>0</v>
      </c>
      <c r="R316" s="613">
        <v>0</v>
      </c>
      <c r="S316" s="613">
        <v>0</v>
      </c>
      <c r="T316" s="613">
        <v>0</v>
      </c>
      <c r="U316" s="621">
        <v>0</v>
      </c>
      <c r="V316" s="51"/>
      <c r="W316" s="51"/>
      <c r="X316" s="51"/>
    </row>
    <row r="317" spans="1:24">
      <c r="A317" s="51"/>
      <c r="B317" s="51"/>
      <c r="C317" s="620" t="s">
        <v>350</v>
      </c>
      <c r="D317" s="613">
        <v>0</v>
      </c>
      <c r="E317" s="613">
        <v>0</v>
      </c>
      <c r="F317" s="613">
        <v>2.6460781360013397E-2</v>
      </c>
      <c r="G317" s="613">
        <v>0</v>
      </c>
      <c r="H317" s="613">
        <v>2.3522683451330462</v>
      </c>
      <c r="I317" s="613">
        <v>0</v>
      </c>
      <c r="J317" s="613">
        <v>960.32137090909112</v>
      </c>
      <c r="K317" s="613">
        <v>427.33219668037293</v>
      </c>
      <c r="L317" s="613">
        <v>16.57632422695232</v>
      </c>
      <c r="M317" s="613">
        <v>7.7978054817441489</v>
      </c>
      <c r="N317" s="613">
        <v>6.0578717375904887</v>
      </c>
      <c r="O317" s="613">
        <v>0.70214282892924051</v>
      </c>
      <c r="P317" s="613">
        <v>0</v>
      </c>
      <c r="Q317" s="613">
        <v>6.4590957564387725</v>
      </c>
      <c r="R317" s="613">
        <v>-765.12922843091701</v>
      </c>
      <c r="S317" s="613">
        <v>0</v>
      </c>
      <c r="T317" s="613">
        <v>8.6556140354400011</v>
      </c>
      <c r="U317" s="621">
        <v>671.15192235213522</v>
      </c>
      <c r="V317" s="51"/>
      <c r="W317" s="51"/>
      <c r="X317" s="51"/>
    </row>
    <row r="318" spans="1:24">
      <c r="A318" s="51"/>
      <c r="B318" s="51"/>
      <c r="C318" s="620" t="s">
        <v>351</v>
      </c>
      <c r="D318" s="613">
        <v>0</v>
      </c>
      <c r="E318" s="613">
        <v>0</v>
      </c>
      <c r="F318" s="613">
        <v>0</v>
      </c>
      <c r="G318" s="613">
        <v>0</v>
      </c>
      <c r="H318" s="613">
        <v>4.7815870319860325</v>
      </c>
      <c r="I318" s="613">
        <v>0</v>
      </c>
      <c r="J318" s="613">
        <v>0</v>
      </c>
      <c r="K318" s="613">
        <v>0</v>
      </c>
      <c r="L318" s="613">
        <v>35.214664152844563</v>
      </c>
      <c r="M318" s="613">
        <v>14.445160723039894</v>
      </c>
      <c r="N318" s="613">
        <v>0</v>
      </c>
      <c r="O318" s="613">
        <v>7.1872449307268287</v>
      </c>
      <c r="P318" s="613">
        <v>0</v>
      </c>
      <c r="Q318" s="613">
        <v>11.182341089352812</v>
      </c>
      <c r="R318" s="613">
        <v>0</v>
      </c>
      <c r="S318" s="613">
        <v>-68.236033723831326</v>
      </c>
      <c r="T318" s="613">
        <v>0</v>
      </c>
      <c r="U318" s="621">
        <v>4.574964204118805</v>
      </c>
      <c r="V318" s="51"/>
      <c r="W318" s="51"/>
      <c r="X318" s="51"/>
    </row>
    <row r="319" spans="1:24">
      <c r="A319" s="51"/>
      <c r="B319" s="51"/>
      <c r="C319" s="620" t="s">
        <v>352</v>
      </c>
      <c r="D319" s="613">
        <v>0</v>
      </c>
      <c r="E319" s="613">
        <v>0</v>
      </c>
      <c r="F319" s="613">
        <v>0</v>
      </c>
      <c r="G319" s="613">
        <v>0</v>
      </c>
      <c r="H319" s="613">
        <v>0</v>
      </c>
      <c r="I319" s="613">
        <v>0</v>
      </c>
      <c r="J319" s="613">
        <v>0</v>
      </c>
      <c r="K319" s="613">
        <v>0</v>
      </c>
      <c r="L319" s="613">
        <v>86.712726116580654</v>
      </c>
      <c r="M319" s="613">
        <v>0</v>
      </c>
      <c r="N319" s="613">
        <v>0</v>
      </c>
      <c r="O319" s="613">
        <v>-81.058206766911681</v>
      </c>
      <c r="P319" s="613">
        <v>0</v>
      </c>
      <c r="Q319" s="613">
        <v>0</v>
      </c>
      <c r="R319" s="613">
        <v>0</v>
      </c>
      <c r="S319" s="613">
        <v>0</v>
      </c>
      <c r="T319" s="613">
        <v>0</v>
      </c>
      <c r="U319" s="621">
        <v>5.6545193496689734</v>
      </c>
      <c r="V319" s="51"/>
      <c r="W319" s="51"/>
      <c r="X319" s="51"/>
    </row>
    <row r="320" spans="1:24">
      <c r="A320" s="51"/>
      <c r="B320" s="51"/>
      <c r="C320" s="620" t="s">
        <v>353</v>
      </c>
      <c r="D320" s="613">
        <v>0</v>
      </c>
      <c r="E320" s="613">
        <v>0</v>
      </c>
      <c r="F320" s="613">
        <v>0</v>
      </c>
      <c r="G320" s="613">
        <v>0</v>
      </c>
      <c r="H320" s="613">
        <v>0</v>
      </c>
      <c r="I320" s="613">
        <v>-0.77768027176235188</v>
      </c>
      <c r="J320" s="613">
        <v>0</v>
      </c>
      <c r="K320" s="613">
        <v>0</v>
      </c>
      <c r="L320" s="613">
        <v>0</v>
      </c>
      <c r="M320" s="613">
        <v>0</v>
      </c>
      <c r="N320" s="613">
        <v>0</v>
      </c>
      <c r="O320" s="613">
        <v>0</v>
      </c>
      <c r="P320" s="613">
        <v>0</v>
      </c>
      <c r="Q320" s="613">
        <v>0</v>
      </c>
      <c r="R320" s="613">
        <v>0</v>
      </c>
      <c r="S320" s="613">
        <v>0</v>
      </c>
      <c r="T320" s="613">
        <v>1.0822986785331616</v>
      </c>
      <c r="U320" s="621">
        <v>0.30461840677080976</v>
      </c>
      <c r="V320" s="51"/>
      <c r="W320" s="51"/>
      <c r="X320" s="51"/>
    </row>
    <row r="321" spans="1:24">
      <c r="A321" s="51"/>
      <c r="B321" s="51"/>
      <c r="C321" s="620" t="s">
        <v>72</v>
      </c>
      <c r="D321" s="613">
        <v>0</v>
      </c>
      <c r="E321" s="613">
        <v>229.44376619610998</v>
      </c>
      <c r="F321" s="613">
        <v>-227.15530245315296</v>
      </c>
      <c r="G321" s="613">
        <v>0</v>
      </c>
      <c r="H321" s="613">
        <v>0</v>
      </c>
      <c r="I321" s="613">
        <v>0</v>
      </c>
      <c r="J321" s="613">
        <v>0</v>
      </c>
      <c r="K321" s="613">
        <v>0</v>
      </c>
      <c r="L321" s="613">
        <v>0</v>
      </c>
      <c r="M321" s="613">
        <v>0</v>
      </c>
      <c r="N321" s="613">
        <v>0</v>
      </c>
      <c r="O321" s="613">
        <v>0</v>
      </c>
      <c r="P321" s="613">
        <v>0</v>
      </c>
      <c r="Q321" s="613">
        <v>0</v>
      </c>
      <c r="R321" s="613">
        <v>0</v>
      </c>
      <c r="S321" s="613">
        <v>0</v>
      </c>
      <c r="T321" s="613">
        <v>0</v>
      </c>
      <c r="U321" s="621">
        <v>2.2884637429570258</v>
      </c>
      <c r="V321" s="51"/>
      <c r="W321" s="51"/>
      <c r="X321" s="51"/>
    </row>
    <row r="322" spans="1:24">
      <c r="A322" s="51"/>
      <c r="B322" s="51"/>
      <c r="C322" s="620" t="s">
        <v>354</v>
      </c>
      <c r="D322" s="613">
        <v>0</v>
      </c>
      <c r="E322" s="613">
        <v>0</v>
      </c>
      <c r="F322" s="613">
        <v>0</v>
      </c>
      <c r="G322" s="613">
        <v>0</v>
      </c>
      <c r="H322" s="613">
        <v>0</v>
      </c>
      <c r="I322" s="613">
        <v>0</v>
      </c>
      <c r="J322" s="613">
        <v>0</v>
      </c>
      <c r="K322" s="613">
        <v>0</v>
      </c>
      <c r="L322" s="613">
        <v>110.37341937246062</v>
      </c>
      <c r="M322" s="613">
        <v>0</v>
      </c>
      <c r="N322" s="613">
        <v>-110.37341937246062</v>
      </c>
      <c r="O322" s="613">
        <v>0</v>
      </c>
      <c r="P322" s="613">
        <v>0</v>
      </c>
      <c r="Q322" s="613">
        <v>0</v>
      </c>
      <c r="R322" s="613">
        <v>0</v>
      </c>
      <c r="S322" s="613">
        <v>0</v>
      </c>
      <c r="T322" s="613">
        <v>0</v>
      </c>
      <c r="U322" s="621">
        <v>0</v>
      </c>
      <c r="V322" s="51"/>
      <c r="W322" s="51"/>
      <c r="X322" s="51"/>
    </row>
    <row r="323" spans="1:24">
      <c r="A323" s="51"/>
      <c r="B323" s="51"/>
      <c r="C323" s="620" t="s">
        <v>355</v>
      </c>
      <c r="D323" s="613">
        <v>0</v>
      </c>
      <c r="E323" s="613">
        <v>0</v>
      </c>
      <c r="F323" s="613">
        <v>0</v>
      </c>
      <c r="G323" s="613">
        <v>-25.838308158403624</v>
      </c>
      <c r="H323" s="613">
        <v>0</v>
      </c>
      <c r="I323" s="613">
        <v>0</v>
      </c>
      <c r="J323" s="613">
        <v>0</v>
      </c>
      <c r="K323" s="613">
        <v>0</v>
      </c>
      <c r="L323" s="613">
        <v>0</v>
      </c>
      <c r="M323" s="613">
        <v>0</v>
      </c>
      <c r="N323" s="613">
        <v>0</v>
      </c>
      <c r="O323" s="613">
        <v>0</v>
      </c>
      <c r="P323" s="613">
        <v>0</v>
      </c>
      <c r="Q323" s="613">
        <v>0</v>
      </c>
      <c r="R323" s="613">
        <v>0</v>
      </c>
      <c r="S323" s="613">
        <v>0</v>
      </c>
      <c r="T323" s="613">
        <v>35.986501613375523</v>
      </c>
      <c r="U323" s="621">
        <v>10.148193454971899</v>
      </c>
      <c r="V323" s="51"/>
      <c r="W323" s="51"/>
      <c r="X323" s="51"/>
    </row>
    <row r="324" spans="1:24">
      <c r="A324" s="51"/>
      <c r="B324" s="51"/>
      <c r="C324" s="620" t="s">
        <v>73</v>
      </c>
      <c r="D324" s="613">
        <v>0</v>
      </c>
      <c r="E324" s="613">
        <v>0</v>
      </c>
      <c r="F324" s="613">
        <v>0</v>
      </c>
      <c r="G324" s="613">
        <v>0</v>
      </c>
      <c r="H324" s="613">
        <v>0</v>
      </c>
      <c r="I324" s="613">
        <v>0</v>
      </c>
      <c r="J324" s="613">
        <v>0</v>
      </c>
      <c r="K324" s="613">
        <v>0</v>
      </c>
      <c r="L324" s="613">
        <v>0</v>
      </c>
      <c r="M324" s="613">
        <v>0</v>
      </c>
      <c r="N324" s="613">
        <v>0</v>
      </c>
      <c r="O324" s="613">
        <v>0</v>
      </c>
      <c r="P324" s="613">
        <v>0</v>
      </c>
      <c r="Q324" s="613">
        <v>0</v>
      </c>
      <c r="R324" s="613">
        <v>123.55298997907649</v>
      </c>
      <c r="S324" s="613">
        <v>0</v>
      </c>
      <c r="T324" s="613">
        <v>-85.931104530447698</v>
      </c>
      <c r="U324" s="621">
        <v>37.621885448628788</v>
      </c>
      <c r="V324" s="51"/>
      <c r="W324" s="51"/>
      <c r="X324" s="51"/>
    </row>
    <row r="325" spans="1:24">
      <c r="A325" s="51"/>
      <c r="B325" s="51"/>
      <c r="C325" s="620" t="s">
        <v>356</v>
      </c>
      <c r="D325" s="613">
        <v>5.7430949414062491</v>
      </c>
      <c r="E325" s="613">
        <v>-8.0099946110054798</v>
      </c>
      <c r="F325" s="613">
        <v>10.446968779828495</v>
      </c>
      <c r="G325" s="613">
        <v>0</v>
      </c>
      <c r="H325" s="613">
        <v>0</v>
      </c>
      <c r="I325" s="613">
        <v>0</v>
      </c>
      <c r="J325" s="613">
        <v>0</v>
      </c>
      <c r="K325" s="613">
        <v>0</v>
      </c>
      <c r="L325" s="613">
        <v>0</v>
      </c>
      <c r="M325" s="613">
        <v>0</v>
      </c>
      <c r="N325" s="613">
        <v>0</v>
      </c>
      <c r="O325" s="613">
        <v>0</v>
      </c>
      <c r="P325" s="613">
        <v>0</v>
      </c>
      <c r="Q325" s="613">
        <v>0</v>
      </c>
      <c r="R325" s="613">
        <v>0</v>
      </c>
      <c r="S325" s="613">
        <v>0</v>
      </c>
      <c r="T325" s="613">
        <v>0</v>
      </c>
      <c r="U325" s="621">
        <v>8.1800691102292635</v>
      </c>
      <c r="V325" s="51"/>
      <c r="W325" s="51"/>
      <c r="X325" s="51"/>
    </row>
    <row r="326" spans="1:24">
      <c r="A326" s="51"/>
      <c r="B326" s="51"/>
      <c r="C326" s="620" t="s">
        <v>75</v>
      </c>
      <c r="D326" s="613">
        <v>2.2334258105468749</v>
      </c>
      <c r="E326" s="613">
        <v>0</v>
      </c>
      <c r="F326" s="613">
        <v>17.43246590348684</v>
      </c>
      <c r="G326" s="613">
        <v>0</v>
      </c>
      <c r="H326" s="613">
        <v>2.2924587532620087</v>
      </c>
      <c r="I326" s="613">
        <v>3.0296811717119062E-2</v>
      </c>
      <c r="J326" s="613">
        <v>0</v>
      </c>
      <c r="K326" s="613">
        <v>0</v>
      </c>
      <c r="L326" s="613">
        <v>0</v>
      </c>
      <c r="M326" s="613">
        <v>0</v>
      </c>
      <c r="N326" s="613">
        <v>0</v>
      </c>
      <c r="O326" s="613">
        <v>2.7267130545407157</v>
      </c>
      <c r="P326" s="613">
        <v>0</v>
      </c>
      <c r="Q326" s="613">
        <v>0</v>
      </c>
      <c r="R326" s="613">
        <v>23.595360637967065</v>
      </c>
      <c r="S326" s="613">
        <v>0</v>
      </c>
      <c r="T326" s="613">
        <v>0</v>
      </c>
      <c r="U326" s="621">
        <v>48.310720971520617</v>
      </c>
      <c r="V326" s="51"/>
      <c r="W326" s="51"/>
      <c r="X326" s="51"/>
    </row>
    <row r="327" spans="1:24">
      <c r="A327" s="51"/>
      <c r="B327" s="51"/>
      <c r="C327" s="620" t="s">
        <v>76</v>
      </c>
      <c r="D327" s="613">
        <v>0</v>
      </c>
      <c r="E327" s="613">
        <v>0</v>
      </c>
      <c r="F327" s="613">
        <v>0</v>
      </c>
      <c r="G327" s="613">
        <v>0</v>
      </c>
      <c r="H327" s="613">
        <v>0.77794253909705646</v>
      </c>
      <c r="I327" s="613">
        <v>1.0281178930798104E-2</v>
      </c>
      <c r="J327" s="613">
        <v>0</v>
      </c>
      <c r="K327" s="613">
        <v>0</v>
      </c>
      <c r="L327" s="613">
        <v>0</v>
      </c>
      <c r="M327" s="613">
        <v>0</v>
      </c>
      <c r="N327" s="613">
        <v>0</v>
      </c>
      <c r="O327" s="613">
        <v>0.92530610377182942</v>
      </c>
      <c r="P327" s="613">
        <v>0</v>
      </c>
      <c r="Q327" s="613">
        <v>0</v>
      </c>
      <c r="R327" s="613">
        <v>51.450407896446343</v>
      </c>
      <c r="S327" s="613">
        <v>5.2924074535934169</v>
      </c>
      <c r="T327" s="613">
        <v>0</v>
      </c>
      <c r="U327" s="621">
        <v>58.456345171839445</v>
      </c>
      <c r="V327" s="51"/>
      <c r="W327" s="51"/>
      <c r="X327" s="51"/>
    </row>
    <row r="328" spans="1:24">
      <c r="A328" s="51"/>
      <c r="B328" s="51"/>
      <c r="C328" s="616" t="s">
        <v>77</v>
      </c>
      <c r="D328" s="617">
        <v>7.9765207519531245</v>
      </c>
      <c r="E328" s="617">
        <v>221.43377158510449</v>
      </c>
      <c r="F328" s="617">
        <v>-199.24940698847763</v>
      </c>
      <c r="G328" s="617">
        <v>-25.838308158403624</v>
      </c>
      <c r="H328" s="624">
        <v>10.204256669478143</v>
      </c>
      <c r="I328" s="617">
        <v>-0.73710228111443477</v>
      </c>
      <c r="J328" s="617">
        <v>960.32137090909112</v>
      </c>
      <c r="K328" s="617">
        <v>427.33219668037293</v>
      </c>
      <c r="L328" s="617">
        <v>248.87713386883817</v>
      </c>
      <c r="M328" s="617">
        <v>22.242966204784043</v>
      </c>
      <c r="N328" s="617">
        <v>-104.31554763487013</v>
      </c>
      <c r="O328" s="617">
        <v>-69.51679984894308</v>
      </c>
      <c r="P328" s="617">
        <v>0</v>
      </c>
      <c r="Q328" s="617">
        <v>17.641436845791585</v>
      </c>
      <c r="R328" s="617">
        <v>-566.53046991742701</v>
      </c>
      <c r="S328" s="617">
        <v>-62.943626270237907</v>
      </c>
      <c r="T328" s="617">
        <v>-40.206690203099015</v>
      </c>
      <c r="U328" s="617">
        <v>846.69170221284094</v>
      </c>
      <c r="V328" s="51"/>
      <c r="W328" s="51"/>
      <c r="X328" s="51"/>
    </row>
    <row r="329" spans="1:24">
      <c r="A329" s="51"/>
      <c r="B329" s="51"/>
      <c r="C329" s="618"/>
      <c r="D329" s="619">
        <v>0</v>
      </c>
      <c r="E329" s="619">
        <v>0</v>
      </c>
      <c r="F329" s="619">
        <v>0</v>
      </c>
      <c r="G329" s="619">
        <v>0</v>
      </c>
      <c r="H329" s="625">
        <v>0</v>
      </c>
      <c r="I329" s="619">
        <v>0</v>
      </c>
      <c r="J329" s="619">
        <v>0</v>
      </c>
      <c r="K329" s="619">
        <v>0</v>
      </c>
      <c r="L329" s="619">
        <v>0</v>
      </c>
      <c r="M329" s="619">
        <v>0</v>
      </c>
      <c r="N329" s="619">
        <v>0</v>
      </c>
      <c r="O329" s="619">
        <v>0</v>
      </c>
      <c r="P329" s="619">
        <v>0</v>
      </c>
      <c r="Q329" s="619">
        <v>0</v>
      </c>
      <c r="R329" s="619">
        <v>0</v>
      </c>
      <c r="S329" s="619">
        <v>0</v>
      </c>
      <c r="T329" s="619">
        <v>0</v>
      </c>
      <c r="U329" s="619">
        <v>0</v>
      </c>
      <c r="V329" s="51"/>
      <c r="W329" s="51"/>
      <c r="X329" s="51"/>
    </row>
    <row r="330" spans="1:24">
      <c r="A330" s="51"/>
      <c r="B330" s="51"/>
      <c r="C330" s="620" t="s">
        <v>78</v>
      </c>
      <c r="D330" s="613">
        <v>2.4027599556453909</v>
      </c>
      <c r="E330" s="613">
        <v>0</v>
      </c>
      <c r="F330" s="613">
        <v>3.114463113040443</v>
      </c>
      <c r="G330" s="613">
        <v>0</v>
      </c>
      <c r="H330" s="613">
        <v>22.626318476237717</v>
      </c>
      <c r="I330" s="613">
        <v>0.29902623536878048</v>
      </c>
      <c r="J330" s="613">
        <v>0</v>
      </c>
      <c r="K330" s="613">
        <v>0</v>
      </c>
      <c r="L330" s="613">
        <v>19.572699923725285</v>
      </c>
      <c r="M330" s="613">
        <v>2.2927206810178133</v>
      </c>
      <c r="N330" s="613">
        <v>2.5907279394531253</v>
      </c>
      <c r="O330" s="613">
        <v>26.952636430442517</v>
      </c>
      <c r="P330" s="613">
        <v>8.8445146484374995</v>
      </c>
      <c r="Q330" s="613">
        <v>8.2107689234467234E-4</v>
      </c>
      <c r="R330" s="613">
        <v>134.99858174444151</v>
      </c>
      <c r="S330" s="613">
        <v>18.388872155735818</v>
      </c>
      <c r="T330" s="613">
        <v>5.7096738281250001</v>
      </c>
      <c r="U330" s="621">
        <v>247.79381620856324</v>
      </c>
      <c r="V330" s="51"/>
      <c r="W330" s="622" t="e" cm="1">
        <f t="array" aca="1" ref="W330" ca="1">_xlfn.IFNA(INDEX(#REF!,MATCH(INDIRECT("Codes_bilans!"&amp;W$1&amp;"$"&amp;#REF!),#REF!,0),MATCH(#REF!,#REF!,0)),0)</f>
        <v>#REF!</v>
      </c>
      <c r="X330" s="51"/>
    </row>
    <row r="331" spans="1:24">
      <c r="A331" s="51"/>
      <c r="B331" s="51"/>
      <c r="C331" s="620" t="s">
        <v>79</v>
      </c>
      <c r="D331" s="613">
        <v>0</v>
      </c>
      <c r="E331" s="613">
        <v>0</v>
      </c>
      <c r="F331" s="613">
        <v>28.084568019979141</v>
      </c>
      <c r="G331" s="613">
        <v>1.421472124111238</v>
      </c>
      <c r="H331" s="613">
        <v>2.5860362638913656</v>
      </c>
      <c r="I331" s="613">
        <v>3.4176690712220695E-2</v>
      </c>
      <c r="J331" s="613">
        <v>0</v>
      </c>
      <c r="K331" s="613">
        <v>0</v>
      </c>
      <c r="L331" s="613">
        <v>0</v>
      </c>
      <c r="M331" s="613">
        <v>0</v>
      </c>
      <c r="N331" s="613">
        <v>58.95620249302754</v>
      </c>
      <c r="O331" s="613">
        <v>3.0759021640998623</v>
      </c>
      <c r="P331" s="613">
        <v>0</v>
      </c>
      <c r="Q331" s="613">
        <v>0</v>
      </c>
      <c r="R331" s="613">
        <v>96.758599927458889</v>
      </c>
      <c r="S331" s="613">
        <v>0</v>
      </c>
      <c r="T331" s="613">
        <v>4.2910115463144054</v>
      </c>
      <c r="U331" s="621">
        <v>195.20796922959462</v>
      </c>
      <c r="V331" s="51"/>
      <c r="W331" s="622" t="e" cm="1">
        <f t="array" aca="1" ref="W331" ca="1">_xlfn.IFNA(INDEX(#REF!,MATCH(INDIRECT("Codes_bilans!"&amp;W$1&amp;"$"&amp;#REF!),#REF!,0),MATCH(#REF!,#REF!,0)),0)</f>
        <v>#REF!</v>
      </c>
      <c r="X331" s="51"/>
    </row>
    <row r="332" spans="1:24">
      <c r="A332" s="51"/>
      <c r="B332" s="51"/>
      <c r="C332" s="620" t="s">
        <v>80</v>
      </c>
      <c r="D332" s="613">
        <v>0</v>
      </c>
      <c r="E332" s="613">
        <v>0</v>
      </c>
      <c r="F332" s="613">
        <v>1.9362419459346965</v>
      </c>
      <c r="G332" s="613">
        <v>0</v>
      </c>
      <c r="H332" s="613">
        <v>16.315204996757775</v>
      </c>
      <c r="I332" s="613">
        <v>0.21561944929635826</v>
      </c>
      <c r="J332" s="613">
        <v>0</v>
      </c>
      <c r="K332" s="613">
        <v>0</v>
      </c>
      <c r="L332" s="613">
        <v>32.232635043857968</v>
      </c>
      <c r="M332" s="613">
        <v>0</v>
      </c>
      <c r="N332" s="613">
        <v>0</v>
      </c>
      <c r="O332" s="613">
        <v>19.405750436672243</v>
      </c>
      <c r="P332" s="613">
        <v>110.86834865357281</v>
      </c>
      <c r="Q332" s="613">
        <v>2.8847164087553931</v>
      </c>
      <c r="R332" s="613">
        <v>143.227613977858</v>
      </c>
      <c r="S332" s="613">
        <v>25.545428952203935</v>
      </c>
      <c r="T332" s="613">
        <v>0</v>
      </c>
      <c r="U332" s="621">
        <v>352.63155986490921</v>
      </c>
      <c r="V332" s="51"/>
      <c r="W332" s="622" t="e" cm="1">
        <f t="array" aca="1" ref="W332" ca="1">_xlfn.IFNA(INDEX(#REF!,MATCH(INDIRECT("Codes_bilans!"&amp;W$1&amp;"$"&amp;#REF!),#REF!,0),MATCH(#REF!,#REF!,0)),0)</f>
        <v>#REF!</v>
      </c>
      <c r="X332" s="51"/>
    </row>
    <row r="333" spans="1:24">
      <c r="A333" s="51"/>
      <c r="B333" s="51"/>
      <c r="C333" s="620" t="s">
        <v>81</v>
      </c>
      <c r="D333" s="613">
        <v>0</v>
      </c>
      <c r="E333" s="613">
        <v>0</v>
      </c>
      <c r="F333" s="613">
        <v>0.97723127965383472</v>
      </c>
      <c r="G333" s="613">
        <v>0</v>
      </c>
      <c r="H333" s="613">
        <v>8.896881568300115</v>
      </c>
      <c r="I333" s="613">
        <v>0.11757993262070637</v>
      </c>
      <c r="J333" s="613">
        <v>0</v>
      </c>
      <c r="K333" s="613">
        <v>0</v>
      </c>
      <c r="L333" s="613">
        <v>0.3860243395319729</v>
      </c>
      <c r="M333" s="613">
        <v>3.6858170734169985E-4</v>
      </c>
      <c r="N333" s="613">
        <v>0</v>
      </c>
      <c r="O333" s="613">
        <v>10.582193935863573</v>
      </c>
      <c r="P333" s="613">
        <v>26.610536942551132</v>
      </c>
      <c r="Q333" s="613">
        <v>1.0058473798751368</v>
      </c>
      <c r="R333" s="613">
        <v>89.039868511744515</v>
      </c>
      <c r="S333" s="613">
        <v>19.009325162298154</v>
      </c>
      <c r="T333" s="613">
        <v>0</v>
      </c>
      <c r="U333" s="621">
        <v>156.62585763414648</v>
      </c>
      <c r="V333" s="51"/>
      <c r="W333" s="622" t="e" cm="1">
        <f t="array" aca="1" ref="W333" ca="1">_xlfn.IFNA(INDEX(#REF!,MATCH(INDIRECT("Codes_bilans!"&amp;W$1&amp;"$"&amp;#REF!),#REF!,0),MATCH(#REF!,#REF!,0)),0)</f>
        <v>#REF!</v>
      </c>
      <c r="X333" s="51"/>
    </row>
    <row r="334" spans="1:24">
      <c r="A334" s="51"/>
      <c r="B334" s="51"/>
      <c r="C334" s="620" t="s">
        <v>82</v>
      </c>
      <c r="D334" s="613">
        <v>0</v>
      </c>
      <c r="E334" s="613">
        <v>0</v>
      </c>
      <c r="F334" s="613">
        <v>5.9328832606411623</v>
      </c>
      <c r="G334" s="613">
        <v>0</v>
      </c>
      <c r="H334" s="613">
        <v>0.79342108561234903</v>
      </c>
      <c r="I334" s="613">
        <v>1.0485741219546464E-2</v>
      </c>
      <c r="J334" s="613">
        <v>0</v>
      </c>
      <c r="K334" s="613">
        <v>0</v>
      </c>
      <c r="L334" s="613">
        <v>3.7340409967435519</v>
      </c>
      <c r="M334" s="613">
        <v>0</v>
      </c>
      <c r="N334" s="613">
        <v>16.919952753679041</v>
      </c>
      <c r="O334" s="613">
        <v>0.94371670975918176</v>
      </c>
      <c r="P334" s="613">
        <v>1.1499999999999999</v>
      </c>
      <c r="Q334" s="613">
        <v>1.5666563685107562</v>
      </c>
      <c r="R334" s="613">
        <v>7.7866370218848946</v>
      </c>
      <c r="S334" s="613">
        <v>0</v>
      </c>
      <c r="T334" s="613">
        <v>0.36062656029870238</v>
      </c>
      <c r="U334" s="621">
        <v>39.198420498349186</v>
      </c>
      <c r="V334" s="51"/>
      <c r="W334" s="622" t="e" cm="1">
        <f t="array" aca="1" ref="W334" ca="1">_xlfn.IFNA(INDEX(#REF!,MATCH(INDIRECT("Codes_bilans!"&amp;W$1&amp;"$"&amp;#REF!),#REF!,0),MATCH(#REF!,#REF!,0)),0)</f>
        <v>#REF!</v>
      </c>
      <c r="X334" s="51"/>
    </row>
    <row r="335" spans="1:24">
      <c r="A335" s="51"/>
      <c r="B335" s="51"/>
      <c r="C335" s="620" t="s">
        <v>357</v>
      </c>
      <c r="D335" s="613">
        <v>0</v>
      </c>
      <c r="E335" s="613">
        <v>0</v>
      </c>
      <c r="F335" s="613">
        <v>0</v>
      </c>
      <c r="G335" s="613">
        <v>0</v>
      </c>
      <c r="H335" s="613">
        <v>0</v>
      </c>
      <c r="I335" s="613">
        <v>0</v>
      </c>
      <c r="J335" s="613">
        <v>0</v>
      </c>
      <c r="K335" s="613">
        <v>0</v>
      </c>
      <c r="L335" s="613">
        <v>0</v>
      </c>
      <c r="M335" s="613">
        <v>0</v>
      </c>
      <c r="N335" s="613">
        <v>0</v>
      </c>
      <c r="O335" s="613">
        <v>0</v>
      </c>
      <c r="P335" s="613">
        <v>0</v>
      </c>
      <c r="Q335" s="613">
        <v>0</v>
      </c>
      <c r="R335" s="613">
        <v>1.8912</v>
      </c>
      <c r="S335" s="613">
        <v>0</v>
      </c>
      <c r="T335" s="613">
        <v>0</v>
      </c>
      <c r="U335" s="621">
        <v>1.8912</v>
      </c>
      <c r="V335" s="51"/>
      <c r="W335" s="622" t="e" cm="1">
        <f t="array" aca="1" ref="W335" ca="1">_xlfn.IFNA(INDEX(#REF!,MATCH(INDIRECT("Codes_bilans!"&amp;W$1&amp;"$"&amp;#REF!),#REF!,0),MATCH(#REF!,#REF!,0)),0)</f>
        <v>#REF!</v>
      </c>
      <c r="X335" s="51"/>
    </row>
    <row r="336" spans="1:24">
      <c r="A336" s="51"/>
      <c r="B336" s="51"/>
      <c r="C336" s="616" t="s">
        <v>83</v>
      </c>
      <c r="D336" s="617">
        <v>2.4027599556453909</v>
      </c>
      <c r="E336" s="617">
        <v>0</v>
      </c>
      <c r="F336" s="617">
        <v>40.045387619249276</v>
      </c>
      <c r="G336" s="617">
        <v>1.421472124111238</v>
      </c>
      <c r="H336" s="624">
        <v>51.217862390799326</v>
      </c>
      <c r="I336" s="617">
        <v>0.67688804921761236</v>
      </c>
      <c r="J336" s="617">
        <v>0</v>
      </c>
      <c r="K336" s="617">
        <v>0</v>
      </c>
      <c r="L336" s="617">
        <v>55.925400303858773</v>
      </c>
      <c r="M336" s="617">
        <v>2.2930892627251551</v>
      </c>
      <c r="N336" s="617">
        <v>78.46688318615972</v>
      </c>
      <c r="O336" s="617">
        <v>60.960199676837377</v>
      </c>
      <c r="P336" s="617">
        <v>147.47340024456145</v>
      </c>
      <c r="Q336" s="617">
        <v>5.4580412340336313</v>
      </c>
      <c r="R336" s="617">
        <v>473.70250118338788</v>
      </c>
      <c r="S336" s="617">
        <v>62.943626270237907</v>
      </c>
      <c r="T336" s="617">
        <v>10.361311934738108</v>
      </c>
      <c r="U336" s="617">
        <v>993.34882343556285</v>
      </c>
      <c r="V336" s="51"/>
      <c r="W336" s="51"/>
      <c r="X336" s="51"/>
    </row>
    <row r="337" spans="1:24">
      <c r="A337" s="51"/>
      <c r="B337" s="51"/>
      <c r="C337" s="612" t="s">
        <v>84</v>
      </c>
      <c r="D337" s="613">
        <v>0</v>
      </c>
      <c r="E337" s="613">
        <v>0</v>
      </c>
      <c r="F337" s="613">
        <v>55.51811908375884</v>
      </c>
      <c r="G337" s="613">
        <v>7.0490044147499464</v>
      </c>
      <c r="H337" s="613">
        <v>5.5825875517318595</v>
      </c>
      <c r="I337" s="613">
        <v>0</v>
      </c>
      <c r="J337" s="613">
        <v>0</v>
      </c>
      <c r="K337" s="613">
        <v>0</v>
      </c>
      <c r="L337" s="613">
        <v>0.48256425190137814</v>
      </c>
      <c r="M337" s="613">
        <v>0</v>
      </c>
      <c r="N337" s="613">
        <v>17.896473357733768</v>
      </c>
      <c r="O337" s="613">
        <v>3.3065346740377066</v>
      </c>
      <c r="P337" s="613">
        <v>0</v>
      </c>
      <c r="Q337" s="613">
        <v>0</v>
      </c>
      <c r="R337" s="613">
        <v>0</v>
      </c>
      <c r="S337" s="613">
        <v>0</v>
      </c>
      <c r="T337" s="613">
        <v>28.74233427987765</v>
      </c>
      <c r="U337" s="621">
        <v>118.57761761379115</v>
      </c>
      <c r="V337" s="51"/>
      <c r="W337" s="622" t="e" cm="1">
        <f t="array" aca="1" ref="W337" ca="1">_xlfn.IFNA(INDEX(#REF!,MATCH(INDIRECT("Codes_bilans!"&amp;W$1&amp;"$"&amp;#REF!),#REF!,0),MATCH(#REF!,#REF!,0)),0)</f>
        <v>#REF!</v>
      </c>
      <c r="X337" s="51"/>
    </row>
    <row r="338" spans="1:24">
      <c r="A338" s="51"/>
      <c r="B338" s="51"/>
      <c r="C338" s="616" t="s">
        <v>85</v>
      </c>
      <c r="D338" s="617">
        <v>2.4027599556453909</v>
      </c>
      <c r="E338" s="617">
        <v>0</v>
      </c>
      <c r="F338" s="617">
        <v>95.56350670300813</v>
      </c>
      <c r="G338" s="617">
        <v>8.4704765388611847</v>
      </c>
      <c r="H338" s="624">
        <v>56.800449942531188</v>
      </c>
      <c r="I338" s="617">
        <v>0.67688804921761236</v>
      </c>
      <c r="J338" s="617">
        <v>0</v>
      </c>
      <c r="K338" s="617">
        <v>0</v>
      </c>
      <c r="L338" s="617">
        <v>56.407964555760152</v>
      </c>
      <c r="M338" s="617">
        <v>2.2930892627251551</v>
      </c>
      <c r="N338" s="617">
        <v>96.363356543893488</v>
      </c>
      <c r="O338" s="617">
        <v>64.266734350875069</v>
      </c>
      <c r="P338" s="617">
        <v>147.47340024456145</v>
      </c>
      <c r="Q338" s="617">
        <v>5.4580412340336313</v>
      </c>
      <c r="R338" s="617">
        <v>473.70250118338788</v>
      </c>
      <c r="S338" s="617">
        <v>62.943626270237907</v>
      </c>
      <c r="T338" s="617">
        <v>39.103646214615758</v>
      </c>
      <c r="U338" s="617">
        <v>1111.926441049354</v>
      </c>
      <c r="V338" s="51"/>
      <c r="W338" s="51"/>
      <c r="X338" s="51"/>
    </row>
    <row r="339" spans="1:24">
      <c r="A339" s="51"/>
      <c r="B339" s="51"/>
      <c r="C339" s="51"/>
      <c r="D339" s="67">
        <v>0</v>
      </c>
      <c r="E339" s="67">
        <v>0</v>
      </c>
      <c r="F339" s="67">
        <v>0</v>
      </c>
      <c r="G339" s="67">
        <v>0</v>
      </c>
      <c r="H339" s="67">
        <v>0</v>
      </c>
      <c r="I339" s="67">
        <v>0</v>
      </c>
      <c r="J339" s="67">
        <v>0</v>
      </c>
      <c r="K339" s="67">
        <v>0</v>
      </c>
      <c r="L339" s="67">
        <v>0</v>
      </c>
      <c r="M339" s="67">
        <v>0</v>
      </c>
      <c r="N339" s="67">
        <v>1.1546319456101628E-14</v>
      </c>
      <c r="O339" s="67">
        <v>-3.1086244689504383E-14</v>
      </c>
      <c r="P339" s="67">
        <v>0</v>
      </c>
      <c r="Q339" s="67">
        <v>0</v>
      </c>
      <c r="R339" s="67">
        <v>1.1368683772161603E-13</v>
      </c>
      <c r="S339" s="67">
        <v>0</v>
      </c>
      <c r="T339" s="67">
        <v>-1.354472090042691E-14</v>
      </c>
      <c r="U339" s="67">
        <v>0</v>
      </c>
      <c r="V339" s="51"/>
      <c r="W339" s="51"/>
      <c r="X339" s="51"/>
    </row>
    <row r="340" spans="1:24">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row>
    <row r="341" spans="1:24">
      <c r="A341" s="608"/>
      <c r="B341" s="608"/>
      <c r="C341" s="609" t="s">
        <v>364</v>
      </c>
      <c r="D341" s="608"/>
      <c r="E341" s="608"/>
      <c r="F341" s="608"/>
      <c r="G341" s="608"/>
      <c r="H341" s="608"/>
      <c r="I341" s="608"/>
      <c r="J341" s="608"/>
      <c r="K341" s="608"/>
      <c r="L341" s="608"/>
      <c r="M341" s="608"/>
      <c r="N341" s="608"/>
      <c r="O341" s="608"/>
      <c r="P341" s="608"/>
      <c r="Q341" s="608"/>
      <c r="R341" s="608"/>
      <c r="S341" s="608"/>
      <c r="T341" s="608"/>
      <c r="U341" s="608"/>
      <c r="V341" s="608"/>
      <c r="W341" s="608"/>
      <c r="X341" s="608"/>
    </row>
    <row r="342" spans="1:24">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row>
    <row r="343" spans="1:24" ht="14.25" customHeight="1">
      <c r="A343" s="51"/>
      <c r="B343" s="51"/>
      <c r="C343" s="713" t="s">
        <v>128</v>
      </c>
      <c r="D343" s="711" t="s">
        <v>42</v>
      </c>
      <c r="E343" s="711" t="s">
        <v>52</v>
      </c>
      <c r="F343" s="711" t="s">
        <v>53</v>
      </c>
      <c r="G343" s="711" t="s">
        <v>487</v>
      </c>
      <c r="H343" s="711" t="s">
        <v>32</v>
      </c>
      <c r="I343" s="711" t="s">
        <v>488</v>
      </c>
      <c r="J343" s="711" t="s">
        <v>20</v>
      </c>
      <c r="K343" s="711" t="s">
        <v>55</v>
      </c>
      <c r="L343" s="715" t="s">
        <v>56</v>
      </c>
      <c r="M343" s="716"/>
      <c r="N343" s="716"/>
      <c r="O343" s="716"/>
      <c r="P343" s="716"/>
      <c r="Q343" s="717"/>
      <c r="R343" s="711" t="s">
        <v>57</v>
      </c>
      <c r="S343" s="711" t="s">
        <v>58</v>
      </c>
      <c r="T343" s="711" t="s">
        <v>31</v>
      </c>
      <c r="U343" s="711" t="s">
        <v>10</v>
      </c>
      <c r="V343" s="51"/>
      <c r="W343" s="51"/>
      <c r="X343" s="51"/>
    </row>
    <row r="344" spans="1:24" ht="24">
      <c r="A344" s="51"/>
      <c r="B344" s="51"/>
      <c r="C344" s="714"/>
      <c r="D344" s="712"/>
      <c r="E344" s="712"/>
      <c r="F344" s="712"/>
      <c r="G344" s="712"/>
      <c r="H344" s="712"/>
      <c r="I344" s="712"/>
      <c r="J344" s="712"/>
      <c r="K344" s="712"/>
      <c r="L344" s="610" t="s">
        <v>338</v>
      </c>
      <c r="M344" s="610" t="s">
        <v>40</v>
      </c>
      <c r="N344" s="610" t="s">
        <v>346</v>
      </c>
      <c r="O344" s="610" t="s">
        <v>347</v>
      </c>
      <c r="P344" s="611" t="s">
        <v>348</v>
      </c>
      <c r="Q344" s="610" t="s">
        <v>349</v>
      </c>
      <c r="R344" s="712"/>
      <c r="S344" s="712"/>
      <c r="T344" s="712"/>
      <c r="U344" s="712"/>
      <c r="V344" s="51"/>
      <c r="W344" s="51"/>
      <c r="X344" s="51"/>
    </row>
    <row r="345" spans="1:24">
      <c r="A345" s="51"/>
      <c r="B345" s="51"/>
      <c r="C345" s="612" t="s">
        <v>59</v>
      </c>
      <c r="D345" s="613">
        <v>0</v>
      </c>
      <c r="E345" s="613">
        <v>0</v>
      </c>
      <c r="F345" s="613">
        <v>0</v>
      </c>
      <c r="G345" s="613">
        <v>0</v>
      </c>
      <c r="H345" s="613">
        <v>0</v>
      </c>
      <c r="I345" s="613">
        <v>0</v>
      </c>
      <c r="J345" s="614">
        <v>894.1849636363637</v>
      </c>
      <c r="K345" s="614">
        <v>463.21999229285728</v>
      </c>
      <c r="L345" s="614">
        <v>288.88340552324502</v>
      </c>
      <c r="M345" s="614">
        <v>22.41045337173605</v>
      </c>
      <c r="N345" s="613">
        <v>1.6797912871987437</v>
      </c>
      <c r="O345" s="613">
        <v>0.17065445399605614</v>
      </c>
      <c r="P345" s="614">
        <v>154.03404463263311</v>
      </c>
      <c r="Q345" s="614">
        <v>23.487215011212861</v>
      </c>
      <c r="R345" s="613">
        <v>0</v>
      </c>
      <c r="S345" s="613">
        <v>0</v>
      </c>
      <c r="T345" s="613">
        <v>0</v>
      </c>
      <c r="U345" s="615">
        <v>1848.0705202092429</v>
      </c>
      <c r="V345" s="51"/>
      <c r="W345" s="51"/>
      <c r="X345" s="51"/>
    </row>
    <row r="346" spans="1:24">
      <c r="A346" s="51"/>
      <c r="B346" s="51"/>
      <c r="C346" s="612" t="s">
        <v>60</v>
      </c>
      <c r="D346" s="613">
        <v>9.1088960408946864</v>
      </c>
      <c r="E346" s="613">
        <v>190.65660017812178</v>
      </c>
      <c r="F346" s="613">
        <v>2.9590354993625017</v>
      </c>
      <c r="G346" s="613">
        <v>0</v>
      </c>
      <c r="H346" s="613">
        <v>52.772371882452688</v>
      </c>
      <c r="I346" s="613">
        <v>0</v>
      </c>
      <c r="J346" s="613">
        <v>0</v>
      </c>
      <c r="K346" s="613">
        <v>0</v>
      </c>
      <c r="L346" s="613">
        <v>4.8125993033158778</v>
      </c>
      <c r="M346" s="613">
        <v>0</v>
      </c>
      <c r="N346" s="613">
        <v>5.0080801377734332</v>
      </c>
      <c r="O346" s="613">
        <v>0</v>
      </c>
      <c r="P346" s="613">
        <v>0</v>
      </c>
      <c r="Q346" s="613">
        <v>0</v>
      </c>
      <c r="R346" s="613">
        <v>0</v>
      </c>
      <c r="S346" s="613">
        <v>0</v>
      </c>
      <c r="T346" s="613">
        <v>0</v>
      </c>
      <c r="U346" s="615">
        <v>265.31758304192095</v>
      </c>
      <c r="V346" s="51"/>
      <c r="W346" s="51"/>
      <c r="X346" s="51"/>
    </row>
    <row r="347" spans="1:24">
      <c r="A347" s="51"/>
      <c r="B347" s="51"/>
      <c r="C347" s="612" t="s">
        <v>61</v>
      </c>
      <c r="D347" s="613">
        <v>0</v>
      </c>
      <c r="E347" s="613">
        <v>0</v>
      </c>
      <c r="F347" s="613">
        <v>-64.692917922605048</v>
      </c>
      <c r="G347" s="613">
        <v>-1.6775006918768405</v>
      </c>
      <c r="H347" s="613">
        <v>0</v>
      </c>
      <c r="I347" s="613">
        <v>0</v>
      </c>
      <c r="J347" s="613">
        <v>0</v>
      </c>
      <c r="K347" s="613">
        <v>0</v>
      </c>
      <c r="L347" s="613">
        <v>0</v>
      </c>
      <c r="M347" s="613">
        <v>0</v>
      </c>
      <c r="N347" s="613">
        <v>0</v>
      </c>
      <c r="O347" s="613">
        <v>0</v>
      </c>
      <c r="P347" s="613">
        <v>0</v>
      </c>
      <c r="Q347" s="613">
        <v>0</v>
      </c>
      <c r="R347" s="613">
        <v>-88.018935105238825</v>
      </c>
      <c r="S347" s="613">
        <v>0</v>
      </c>
      <c r="T347" s="613">
        <v>0</v>
      </c>
      <c r="U347" s="615">
        <v>-154.3893537197207</v>
      </c>
      <c r="V347" s="51"/>
      <c r="W347" s="51"/>
      <c r="X347" s="51"/>
    </row>
    <row r="348" spans="1:24">
      <c r="A348" s="51"/>
      <c r="B348" s="51"/>
      <c r="C348" s="612" t="s">
        <v>62</v>
      </c>
      <c r="D348" s="613">
        <v>0</v>
      </c>
      <c r="E348" s="613">
        <v>0</v>
      </c>
      <c r="F348" s="613">
        <v>-5.3541729526260253</v>
      </c>
      <c r="G348" s="613">
        <v>-3.2544454489343884</v>
      </c>
      <c r="H348" s="613">
        <v>-2.154938128893316</v>
      </c>
      <c r="I348" s="613">
        <v>-5.5254823817777333E-2</v>
      </c>
      <c r="J348" s="613">
        <v>0</v>
      </c>
      <c r="K348" s="613">
        <v>0</v>
      </c>
      <c r="L348" s="613">
        <v>0</v>
      </c>
      <c r="M348" s="613">
        <v>0</v>
      </c>
      <c r="N348" s="613">
        <v>-0.28299525642907725</v>
      </c>
      <c r="O348" s="613">
        <v>-3.3152894290666399</v>
      </c>
      <c r="P348" s="613">
        <v>0</v>
      </c>
      <c r="Q348" s="613">
        <v>0</v>
      </c>
      <c r="R348" s="613">
        <v>0</v>
      </c>
      <c r="S348" s="613">
        <v>0</v>
      </c>
      <c r="T348" s="613">
        <v>0</v>
      </c>
      <c r="U348" s="615">
        <v>-14.417096039767225</v>
      </c>
      <c r="V348" s="51"/>
      <c r="W348" s="51"/>
      <c r="X348" s="51"/>
    </row>
    <row r="349" spans="1:24">
      <c r="A349" s="51"/>
      <c r="B349" s="51"/>
      <c r="C349" s="612" t="s">
        <v>63</v>
      </c>
      <c r="D349" s="613">
        <v>0</v>
      </c>
      <c r="E349" s="613">
        <v>0</v>
      </c>
      <c r="F349" s="613">
        <v>-38.578656039955483</v>
      </c>
      <c r="G349" s="613">
        <v>-13.893394907220655</v>
      </c>
      <c r="H349" s="613">
        <v>0</v>
      </c>
      <c r="I349" s="613">
        <v>0</v>
      </c>
      <c r="J349" s="613">
        <v>0</v>
      </c>
      <c r="K349" s="613">
        <v>0</v>
      </c>
      <c r="L349" s="613">
        <v>0</v>
      </c>
      <c r="M349" s="613">
        <v>0</v>
      </c>
      <c r="N349" s="613">
        <v>-13.893394907220655</v>
      </c>
      <c r="O349" s="613">
        <v>0</v>
      </c>
      <c r="P349" s="613">
        <v>0</v>
      </c>
      <c r="Q349" s="613">
        <v>0</v>
      </c>
      <c r="R349" s="613">
        <v>0</v>
      </c>
      <c r="S349" s="613">
        <v>0</v>
      </c>
      <c r="T349" s="613">
        <v>-1.3953345659196588</v>
      </c>
      <c r="U349" s="615">
        <v>-67.760780420316451</v>
      </c>
      <c r="V349" s="51"/>
      <c r="W349" s="51"/>
      <c r="X349" s="51"/>
    </row>
    <row r="350" spans="1:24">
      <c r="A350" s="51"/>
      <c r="B350" s="51"/>
      <c r="C350" s="612" t="s">
        <v>64</v>
      </c>
      <c r="D350" s="613">
        <v>0</v>
      </c>
      <c r="E350" s="613">
        <v>0</v>
      </c>
      <c r="F350" s="613">
        <v>0</v>
      </c>
      <c r="G350" s="613">
        <v>0</v>
      </c>
      <c r="H350" s="613">
        <v>0</v>
      </c>
      <c r="I350" s="613">
        <v>0</v>
      </c>
      <c r="J350" s="613">
        <v>0</v>
      </c>
      <c r="K350" s="613">
        <v>0</v>
      </c>
      <c r="L350" s="613">
        <v>0</v>
      </c>
      <c r="M350" s="613">
        <v>0</v>
      </c>
      <c r="N350" s="613">
        <v>0</v>
      </c>
      <c r="O350" s="613">
        <v>0</v>
      </c>
      <c r="P350" s="613">
        <v>0</v>
      </c>
      <c r="Q350" s="613">
        <v>0</v>
      </c>
      <c r="R350" s="613">
        <v>0</v>
      </c>
      <c r="S350" s="613">
        <v>0</v>
      </c>
      <c r="T350" s="613">
        <v>0</v>
      </c>
      <c r="U350" s="615">
        <v>0</v>
      </c>
      <c r="V350" s="51"/>
      <c r="W350" s="51"/>
      <c r="X350" s="51"/>
    </row>
    <row r="351" spans="1:24">
      <c r="A351" s="51"/>
      <c r="B351" s="51"/>
      <c r="C351" s="616" t="s">
        <v>65</v>
      </c>
      <c r="D351" s="617">
        <v>9.1088960408946864</v>
      </c>
      <c r="E351" s="617">
        <v>190.65660017812178</v>
      </c>
      <c r="F351" s="617">
        <v>-105.66671141582405</v>
      </c>
      <c r="G351" s="617">
        <v>-18.825341048031884</v>
      </c>
      <c r="H351" s="624">
        <v>50.617433753559375</v>
      </c>
      <c r="I351" s="617">
        <v>-5.5254823817777333E-2</v>
      </c>
      <c r="J351" s="617">
        <v>894.1849636363637</v>
      </c>
      <c r="K351" s="617">
        <v>463.21999229285728</v>
      </c>
      <c r="L351" s="617">
        <v>293.69600482656091</v>
      </c>
      <c r="M351" s="617">
        <v>22.41045337173605</v>
      </c>
      <c r="N351" s="617">
        <v>-7.4885187386775538</v>
      </c>
      <c r="O351" s="617">
        <v>-3.1446349750705838</v>
      </c>
      <c r="P351" s="617">
        <v>154.03404463263311</v>
      </c>
      <c r="Q351" s="617">
        <v>23.487215011212861</v>
      </c>
      <c r="R351" s="617">
        <v>-88.018935105238825</v>
      </c>
      <c r="S351" s="617">
        <v>0</v>
      </c>
      <c r="T351" s="617">
        <v>-1.3953345659196588</v>
      </c>
      <c r="U351" s="617">
        <v>1876.8208730713591</v>
      </c>
      <c r="V351" s="51"/>
      <c r="W351" s="51"/>
      <c r="X351" s="51"/>
    </row>
    <row r="352" spans="1:24">
      <c r="A352" s="51"/>
      <c r="B352" s="51"/>
      <c r="C352" s="618"/>
      <c r="D352" s="619">
        <v>0</v>
      </c>
      <c r="E352" s="619">
        <v>0</v>
      </c>
      <c r="F352" s="619">
        <v>0</v>
      </c>
      <c r="G352" s="619">
        <v>0</v>
      </c>
      <c r="H352" s="625">
        <v>0</v>
      </c>
      <c r="I352" s="619">
        <v>0</v>
      </c>
      <c r="J352" s="619">
        <v>0</v>
      </c>
      <c r="K352" s="619">
        <v>0</v>
      </c>
      <c r="L352" s="619">
        <v>0</v>
      </c>
      <c r="M352" s="619">
        <v>0</v>
      </c>
      <c r="N352" s="619">
        <v>0</v>
      </c>
      <c r="O352" s="619">
        <v>0</v>
      </c>
      <c r="P352" s="619">
        <v>0</v>
      </c>
      <c r="Q352" s="619">
        <v>0</v>
      </c>
      <c r="R352" s="619">
        <v>0</v>
      </c>
      <c r="S352" s="619">
        <v>0</v>
      </c>
      <c r="T352" s="619">
        <v>0</v>
      </c>
      <c r="U352" s="619">
        <v>0</v>
      </c>
      <c r="V352" s="51"/>
      <c r="W352" s="51"/>
      <c r="X352" s="51"/>
    </row>
    <row r="353" spans="1:24">
      <c r="A353" s="51"/>
      <c r="B353" s="51"/>
      <c r="C353" s="620" t="s">
        <v>67</v>
      </c>
      <c r="D353" s="613">
        <v>0</v>
      </c>
      <c r="E353" s="613">
        <v>0</v>
      </c>
      <c r="F353" s="613">
        <v>0</v>
      </c>
      <c r="G353" s="613">
        <v>0</v>
      </c>
      <c r="H353" s="613">
        <v>0</v>
      </c>
      <c r="I353" s="613">
        <v>0</v>
      </c>
      <c r="J353" s="613">
        <v>0</v>
      </c>
      <c r="K353" s="613">
        <v>0</v>
      </c>
      <c r="L353" s="613">
        <v>0</v>
      </c>
      <c r="M353" s="613">
        <v>0</v>
      </c>
      <c r="N353" s="613">
        <v>0</v>
      </c>
      <c r="O353" s="613">
        <v>0</v>
      </c>
      <c r="P353" s="613">
        <v>0</v>
      </c>
      <c r="Q353" s="613">
        <v>0</v>
      </c>
      <c r="R353" s="613">
        <v>0</v>
      </c>
      <c r="S353" s="613">
        <v>0</v>
      </c>
      <c r="T353" s="613">
        <v>0</v>
      </c>
      <c r="U353" s="621">
        <v>0</v>
      </c>
      <c r="V353" s="51"/>
      <c r="W353" s="51"/>
      <c r="X353" s="51"/>
    </row>
    <row r="354" spans="1:24">
      <c r="A354" s="51"/>
      <c r="B354" s="51"/>
      <c r="C354" s="620" t="s">
        <v>350</v>
      </c>
      <c r="D354" s="613">
        <v>0</v>
      </c>
      <c r="E354" s="613">
        <v>0</v>
      </c>
      <c r="F354" s="613">
        <v>0</v>
      </c>
      <c r="G354" s="613">
        <v>0</v>
      </c>
      <c r="H354" s="613">
        <v>0</v>
      </c>
      <c r="I354" s="613">
        <v>0</v>
      </c>
      <c r="J354" s="613">
        <v>894.1849636363637</v>
      </c>
      <c r="K354" s="613">
        <v>463.21999229285728</v>
      </c>
      <c r="L354" s="613">
        <v>14.188154051569427</v>
      </c>
      <c r="M354" s="613">
        <v>5.7060338730964091</v>
      </c>
      <c r="N354" s="613">
        <v>6.3451610040287907</v>
      </c>
      <c r="O354" s="613">
        <v>0.11419280490868838</v>
      </c>
      <c r="P354" s="613">
        <v>0</v>
      </c>
      <c r="Q354" s="613">
        <v>6.4766550958451852</v>
      </c>
      <c r="R354" s="613">
        <v>-776.98254615722715</v>
      </c>
      <c r="S354" s="613">
        <v>0</v>
      </c>
      <c r="T354" s="613">
        <v>12.087192978000001</v>
      </c>
      <c r="U354" s="621">
        <v>625.339799579442</v>
      </c>
      <c r="V354" s="51"/>
      <c r="W354" s="51"/>
      <c r="X354" s="51"/>
    </row>
    <row r="355" spans="1:24">
      <c r="A355" s="51"/>
      <c r="B355" s="51"/>
      <c r="C355" s="620" t="s">
        <v>351</v>
      </c>
      <c r="D355" s="613">
        <v>0</v>
      </c>
      <c r="E355" s="613">
        <v>0</v>
      </c>
      <c r="F355" s="613">
        <v>0</v>
      </c>
      <c r="G355" s="613">
        <v>0</v>
      </c>
      <c r="H355" s="613">
        <v>3.2711110414405256</v>
      </c>
      <c r="I355" s="613">
        <v>0</v>
      </c>
      <c r="J355" s="613">
        <v>0</v>
      </c>
      <c r="K355" s="613">
        <v>0</v>
      </c>
      <c r="L355" s="613">
        <v>34.963821149394811</v>
      </c>
      <c r="M355" s="613">
        <v>14.476121269049287</v>
      </c>
      <c r="N355" s="613">
        <v>0</v>
      </c>
      <c r="O355" s="613">
        <v>7.6477038720835147</v>
      </c>
      <c r="P355" s="613">
        <v>0</v>
      </c>
      <c r="Q355" s="613">
        <v>11.276034288959668</v>
      </c>
      <c r="R355" s="613">
        <v>0</v>
      </c>
      <c r="S355" s="613">
        <v>-67.494467143680438</v>
      </c>
      <c r="T355" s="613">
        <v>0</v>
      </c>
      <c r="U355" s="621">
        <v>4.1403244772473649</v>
      </c>
      <c r="V355" s="51"/>
      <c r="W355" s="51"/>
      <c r="X355" s="51"/>
    </row>
    <row r="356" spans="1:24">
      <c r="A356" s="51"/>
      <c r="B356" s="51"/>
      <c r="C356" s="620" t="s">
        <v>352</v>
      </c>
      <c r="D356" s="613">
        <v>0</v>
      </c>
      <c r="E356" s="613">
        <v>0</v>
      </c>
      <c r="F356" s="613">
        <v>0</v>
      </c>
      <c r="G356" s="613">
        <v>0</v>
      </c>
      <c r="H356" s="613">
        <v>0</v>
      </c>
      <c r="I356" s="613">
        <v>0</v>
      </c>
      <c r="J356" s="613">
        <v>0</v>
      </c>
      <c r="K356" s="613">
        <v>0</v>
      </c>
      <c r="L356" s="613">
        <v>85.030807044207506</v>
      </c>
      <c r="M356" s="613">
        <v>0</v>
      </c>
      <c r="N356" s="613">
        <v>0</v>
      </c>
      <c r="O356" s="613">
        <v>-80.149276434896436</v>
      </c>
      <c r="P356" s="613">
        <v>0</v>
      </c>
      <c r="Q356" s="613">
        <v>0</v>
      </c>
      <c r="R356" s="613">
        <v>0</v>
      </c>
      <c r="S356" s="613">
        <v>0</v>
      </c>
      <c r="T356" s="613">
        <v>0</v>
      </c>
      <c r="U356" s="621">
        <v>4.8815306093110706</v>
      </c>
      <c r="V356" s="51"/>
      <c r="W356" s="51"/>
      <c r="X356" s="51"/>
    </row>
    <row r="357" spans="1:24">
      <c r="A357" s="51"/>
      <c r="B357" s="51"/>
      <c r="C357" s="620" t="s">
        <v>353</v>
      </c>
      <c r="D357" s="613">
        <v>0</v>
      </c>
      <c r="E357" s="613">
        <v>0</v>
      </c>
      <c r="F357" s="613">
        <v>0</v>
      </c>
      <c r="G357" s="613">
        <v>0</v>
      </c>
      <c r="H357" s="613">
        <v>0</v>
      </c>
      <c r="I357" s="613">
        <v>-1.1466991714325052</v>
      </c>
      <c r="J357" s="613">
        <v>0</v>
      </c>
      <c r="K357" s="613">
        <v>0</v>
      </c>
      <c r="L357" s="613">
        <v>0</v>
      </c>
      <c r="M357" s="613">
        <v>0</v>
      </c>
      <c r="N357" s="613">
        <v>0</v>
      </c>
      <c r="O357" s="613">
        <v>0</v>
      </c>
      <c r="P357" s="613">
        <v>0</v>
      </c>
      <c r="Q357" s="613">
        <v>0</v>
      </c>
      <c r="R357" s="613">
        <v>0</v>
      </c>
      <c r="S357" s="613">
        <v>0</v>
      </c>
      <c r="T357" s="613">
        <v>1.5966000387788533</v>
      </c>
      <c r="U357" s="621">
        <v>0.44990086734634804</v>
      </c>
      <c r="V357" s="51"/>
      <c r="W357" s="51"/>
      <c r="X357" s="51"/>
    </row>
    <row r="358" spans="1:24">
      <c r="A358" s="51"/>
      <c r="B358" s="51"/>
      <c r="C358" s="620" t="s">
        <v>72</v>
      </c>
      <c r="D358" s="613">
        <v>0</v>
      </c>
      <c r="E358" s="613">
        <v>197.54631533572405</v>
      </c>
      <c r="F358" s="613">
        <v>-195.57532355071015</v>
      </c>
      <c r="G358" s="613">
        <v>0</v>
      </c>
      <c r="H358" s="613">
        <v>0</v>
      </c>
      <c r="I358" s="613">
        <v>0</v>
      </c>
      <c r="J358" s="613">
        <v>0</v>
      </c>
      <c r="K358" s="613">
        <v>0</v>
      </c>
      <c r="L358" s="613">
        <v>0</v>
      </c>
      <c r="M358" s="613">
        <v>0</v>
      </c>
      <c r="N358" s="613">
        <v>0</v>
      </c>
      <c r="O358" s="613">
        <v>0</v>
      </c>
      <c r="P358" s="613">
        <v>0</v>
      </c>
      <c r="Q358" s="613">
        <v>0</v>
      </c>
      <c r="R358" s="613">
        <v>0</v>
      </c>
      <c r="S358" s="613">
        <v>0</v>
      </c>
      <c r="T358" s="613">
        <v>0</v>
      </c>
      <c r="U358" s="621">
        <v>1.9709917850139052</v>
      </c>
      <c r="V358" s="51"/>
      <c r="W358" s="51"/>
      <c r="X358" s="51"/>
    </row>
    <row r="359" spans="1:24">
      <c r="A359" s="51"/>
      <c r="B359" s="51"/>
      <c r="C359" s="620" t="s">
        <v>354</v>
      </c>
      <c r="D359" s="613">
        <v>0</v>
      </c>
      <c r="E359" s="613">
        <v>0</v>
      </c>
      <c r="F359" s="613">
        <v>0</v>
      </c>
      <c r="G359" s="613">
        <v>0</v>
      </c>
      <c r="H359" s="613">
        <v>0</v>
      </c>
      <c r="I359" s="613">
        <v>0</v>
      </c>
      <c r="J359" s="613">
        <v>0</v>
      </c>
      <c r="K359" s="613">
        <v>0</v>
      </c>
      <c r="L359" s="613">
        <v>104.32434467350188</v>
      </c>
      <c r="M359" s="613">
        <v>0</v>
      </c>
      <c r="N359" s="613">
        <v>-104.32434467350188</v>
      </c>
      <c r="O359" s="613">
        <v>0</v>
      </c>
      <c r="P359" s="613">
        <v>0</v>
      </c>
      <c r="Q359" s="613">
        <v>0</v>
      </c>
      <c r="R359" s="613">
        <v>0</v>
      </c>
      <c r="S359" s="613">
        <v>0</v>
      </c>
      <c r="T359" s="613">
        <v>0</v>
      </c>
      <c r="U359" s="621">
        <v>0</v>
      </c>
      <c r="V359" s="51"/>
      <c r="W359" s="51"/>
      <c r="X359" s="51"/>
    </row>
    <row r="360" spans="1:24">
      <c r="A360" s="51"/>
      <c r="B360" s="51"/>
      <c r="C360" s="620" t="s">
        <v>355</v>
      </c>
      <c r="D360" s="613">
        <v>0</v>
      </c>
      <c r="E360" s="613">
        <v>0</v>
      </c>
      <c r="F360" s="613">
        <v>0</v>
      </c>
      <c r="G360" s="613">
        <v>-28.456538558191252</v>
      </c>
      <c r="H360" s="613">
        <v>0</v>
      </c>
      <c r="I360" s="613">
        <v>0</v>
      </c>
      <c r="J360" s="613">
        <v>0</v>
      </c>
      <c r="K360" s="613">
        <v>0</v>
      </c>
      <c r="L360" s="613">
        <v>0</v>
      </c>
      <c r="M360" s="613">
        <v>0</v>
      </c>
      <c r="N360" s="613">
        <v>0</v>
      </c>
      <c r="O360" s="613">
        <v>0</v>
      </c>
      <c r="P360" s="613">
        <v>0</v>
      </c>
      <c r="Q360" s="613">
        <v>0</v>
      </c>
      <c r="R360" s="613">
        <v>0</v>
      </c>
      <c r="S360" s="613">
        <v>0</v>
      </c>
      <c r="T360" s="613">
        <v>39.633062058762192</v>
      </c>
      <c r="U360" s="621">
        <v>11.176523500570941</v>
      </c>
      <c r="V360" s="51"/>
      <c r="W360" s="51"/>
      <c r="X360" s="51"/>
    </row>
    <row r="361" spans="1:24">
      <c r="A361" s="51"/>
      <c r="B361" s="51"/>
      <c r="C361" s="620" t="s">
        <v>73</v>
      </c>
      <c r="D361" s="613">
        <v>0</v>
      </c>
      <c r="E361" s="613">
        <v>0</v>
      </c>
      <c r="F361" s="613">
        <v>0</v>
      </c>
      <c r="G361" s="613">
        <v>0</v>
      </c>
      <c r="H361" s="613">
        <v>0</v>
      </c>
      <c r="I361" s="613">
        <v>0</v>
      </c>
      <c r="J361" s="613">
        <v>0</v>
      </c>
      <c r="K361" s="613">
        <v>0</v>
      </c>
      <c r="L361" s="613">
        <v>0</v>
      </c>
      <c r="M361" s="613">
        <v>0</v>
      </c>
      <c r="N361" s="613">
        <v>0</v>
      </c>
      <c r="O361" s="613">
        <v>0</v>
      </c>
      <c r="P361" s="613">
        <v>0</v>
      </c>
      <c r="Q361" s="613">
        <v>0</v>
      </c>
      <c r="R361" s="613">
        <v>138.41969178076673</v>
      </c>
      <c r="S361" s="613">
        <v>0</v>
      </c>
      <c r="T361" s="613">
        <v>-97.239833475988632</v>
      </c>
      <c r="U361" s="621">
        <v>41.179858304778094</v>
      </c>
      <c r="V361" s="51"/>
      <c r="W361" s="51"/>
      <c r="X361" s="51"/>
    </row>
    <row r="362" spans="1:24">
      <c r="A362" s="51"/>
      <c r="B362" s="51"/>
      <c r="C362" s="620" t="s">
        <v>356</v>
      </c>
      <c r="D362" s="613">
        <v>5.0092797656249992</v>
      </c>
      <c r="E362" s="613">
        <v>-6.8897151576022866</v>
      </c>
      <c r="F362" s="613">
        <v>8.9891621815142653</v>
      </c>
      <c r="G362" s="613">
        <v>0</v>
      </c>
      <c r="H362" s="613">
        <v>0</v>
      </c>
      <c r="I362" s="613">
        <v>0</v>
      </c>
      <c r="J362" s="613">
        <v>0</v>
      </c>
      <c r="K362" s="613">
        <v>0</v>
      </c>
      <c r="L362" s="613">
        <v>0</v>
      </c>
      <c r="M362" s="613">
        <v>0</v>
      </c>
      <c r="N362" s="613">
        <v>0</v>
      </c>
      <c r="O362" s="613">
        <v>0</v>
      </c>
      <c r="P362" s="613">
        <v>0</v>
      </c>
      <c r="Q362" s="613">
        <v>0</v>
      </c>
      <c r="R362" s="613">
        <v>0</v>
      </c>
      <c r="S362" s="613">
        <v>0</v>
      </c>
      <c r="T362" s="613">
        <v>0</v>
      </c>
      <c r="U362" s="621">
        <v>7.1087267895369788</v>
      </c>
      <c r="V362" s="51"/>
      <c r="W362" s="51"/>
      <c r="X362" s="51"/>
    </row>
    <row r="363" spans="1:24">
      <c r="A363" s="51"/>
      <c r="B363" s="51"/>
      <c r="C363" s="620" t="s">
        <v>75</v>
      </c>
      <c r="D363" s="613">
        <v>1.9480532421875001</v>
      </c>
      <c r="E363" s="613">
        <v>0</v>
      </c>
      <c r="F363" s="613">
        <v>17.132121990826434</v>
      </c>
      <c r="G363" s="613">
        <v>0</v>
      </c>
      <c r="H363" s="613">
        <v>1.9377811160090992</v>
      </c>
      <c r="I363" s="613">
        <v>4.9686695282284594E-2</v>
      </c>
      <c r="J363" s="613">
        <v>0</v>
      </c>
      <c r="K363" s="613">
        <v>0</v>
      </c>
      <c r="L363" s="613">
        <v>0</v>
      </c>
      <c r="M363" s="613">
        <v>0</v>
      </c>
      <c r="N363" s="613">
        <v>0</v>
      </c>
      <c r="O363" s="613">
        <v>2.9812017169370755</v>
      </c>
      <c r="P363" s="613">
        <v>0</v>
      </c>
      <c r="Q363" s="613">
        <v>0</v>
      </c>
      <c r="R363" s="613">
        <v>21.857474013020223</v>
      </c>
      <c r="S363" s="613">
        <v>0</v>
      </c>
      <c r="T363" s="613">
        <v>0</v>
      </c>
      <c r="U363" s="621">
        <v>45.906318774262616</v>
      </c>
      <c r="V363" s="51"/>
      <c r="W363" s="51"/>
      <c r="X363" s="51"/>
    </row>
    <row r="364" spans="1:24">
      <c r="A364" s="51"/>
      <c r="B364" s="51"/>
      <c r="C364" s="620" t="s">
        <v>76</v>
      </c>
      <c r="D364" s="613">
        <v>0</v>
      </c>
      <c r="E364" s="613">
        <v>0</v>
      </c>
      <c r="F364" s="613">
        <v>0</v>
      </c>
      <c r="G364" s="613">
        <v>0</v>
      </c>
      <c r="H364" s="613">
        <v>0.58071595304039991</v>
      </c>
      <c r="I364" s="613">
        <v>1.4890152642061536E-2</v>
      </c>
      <c r="J364" s="613">
        <v>0</v>
      </c>
      <c r="K364" s="613">
        <v>0</v>
      </c>
      <c r="L364" s="613">
        <v>0</v>
      </c>
      <c r="M364" s="613">
        <v>0</v>
      </c>
      <c r="N364" s="613">
        <v>0</v>
      </c>
      <c r="O364" s="613">
        <v>0.89340915852369218</v>
      </c>
      <c r="P364" s="613">
        <v>0</v>
      </c>
      <c r="Q364" s="613">
        <v>0</v>
      </c>
      <c r="R364" s="613">
        <v>52.719460375561816</v>
      </c>
      <c r="S364" s="613">
        <v>5.2350040213197584</v>
      </c>
      <c r="T364" s="613">
        <v>0</v>
      </c>
      <c r="U364" s="621">
        <v>59.443479661087729</v>
      </c>
      <c r="V364" s="51"/>
      <c r="W364" s="51"/>
      <c r="X364" s="51"/>
    </row>
    <row r="365" spans="1:24">
      <c r="A365" s="51"/>
      <c r="B365" s="51"/>
      <c r="C365" s="616" t="s">
        <v>77</v>
      </c>
      <c r="D365" s="617">
        <v>6.9573330078124993</v>
      </c>
      <c r="E365" s="617">
        <v>190.65660017812178</v>
      </c>
      <c r="F365" s="617">
        <v>-169.45403937836946</v>
      </c>
      <c r="G365" s="617">
        <v>-28.456538558191252</v>
      </c>
      <c r="H365" s="624">
        <v>5.7896081104900246</v>
      </c>
      <c r="I365" s="617">
        <v>-1.0821223235081592</v>
      </c>
      <c r="J365" s="617">
        <v>894.1849636363637</v>
      </c>
      <c r="K365" s="617">
        <v>463.21999229285728</v>
      </c>
      <c r="L365" s="617">
        <v>238.50712691867363</v>
      </c>
      <c r="M365" s="617">
        <v>20.182155142145696</v>
      </c>
      <c r="N365" s="617">
        <v>-97.979183669473088</v>
      </c>
      <c r="O365" s="617">
        <v>-68.512768882443467</v>
      </c>
      <c r="P365" s="617">
        <v>0</v>
      </c>
      <c r="Q365" s="617">
        <v>17.752689384804853</v>
      </c>
      <c r="R365" s="617">
        <v>-563.98591998787845</v>
      </c>
      <c r="S365" s="617">
        <v>-62.259463122360671</v>
      </c>
      <c r="T365" s="617">
        <v>-43.92297840044759</v>
      </c>
      <c r="U365" s="617">
        <v>801.59745434859713</v>
      </c>
      <c r="V365" s="51"/>
      <c r="W365" s="51"/>
      <c r="X365" s="51"/>
    </row>
    <row r="366" spans="1:24">
      <c r="A366" s="51"/>
      <c r="B366" s="51"/>
      <c r="C366" s="618"/>
      <c r="D366" s="619">
        <v>0</v>
      </c>
      <c r="E366" s="619">
        <v>0</v>
      </c>
      <c r="F366" s="619">
        <v>0</v>
      </c>
      <c r="G366" s="619">
        <v>0</v>
      </c>
      <c r="H366" s="625">
        <v>0</v>
      </c>
      <c r="I366" s="619">
        <v>0</v>
      </c>
      <c r="J366" s="619">
        <v>0</v>
      </c>
      <c r="K366" s="619">
        <v>0</v>
      </c>
      <c r="L366" s="619">
        <v>0</v>
      </c>
      <c r="M366" s="619">
        <v>0</v>
      </c>
      <c r="N366" s="619">
        <v>0</v>
      </c>
      <c r="O366" s="619">
        <v>0</v>
      </c>
      <c r="P366" s="619">
        <v>0</v>
      </c>
      <c r="Q366" s="619">
        <v>0</v>
      </c>
      <c r="R366" s="619">
        <v>0</v>
      </c>
      <c r="S366" s="619">
        <v>0</v>
      </c>
      <c r="T366" s="619">
        <v>0</v>
      </c>
      <c r="U366" s="619">
        <v>0</v>
      </c>
      <c r="V366" s="51"/>
      <c r="W366" s="51"/>
      <c r="X366" s="51"/>
    </row>
    <row r="367" spans="1:24">
      <c r="A367" s="51"/>
      <c r="B367" s="51"/>
      <c r="C367" s="620" t="s">
        <v>78</v>
      </c>
      <c r="D367" s="613">
        <v>2.1515630330821871</v>
      </c>
      <c r="E367" s="613">
        <v>0</v>
      </c>
      <c r="F367" s="613">
        <v>1.9729303012498745</v>
      </c>
      <c r="G367" s="613">
        <v>0</v>
      </c>
      <c r="H367" s="613">
        <v>17.624600662262115</v>
      </c>
      <c r="I367" s="613">
        <v>0.45191283749390032</v>
      </c>
      <c r="J367" s="613">
        <v>0</v>
      </c>
      <c r="K367" s="613">
        <v>0</v>
      </c>
      <c r="L367" s="613">
        <v>19.327819378703428</v>
      </c>
      <c r="M367" s="613">
        <v>2.2279514023281117</v>
      </c>
      <c r="N367" s="613">
        <v>2.6644658203125</v>
      </c>
      <c r="O367" s="613">
        <v>27.156120456665761</v>
      </c>
      <c r="P367" s="613">
        <v>9.6085478515625002</v>
      </c>
      <c r="Q367" s="613">
        <v>8.4299170840015686E-4</v>
      </c>
      <c r="R367" s="613">
        <v>135.80773886663795</v>
      </c>
      <c r="S367" s="613">
        <v>18.436108583667494</v>
      </c>
      <c r="T367" s="613">
        <v>6.3938178710937503</v>
      </c>
      <c r="U367" s="621">
        <v>243.82442005676796</v>
      </c>
      <c r="V367" s="51"/>
      <c r="W367" s="622" t="e" cm="1">
        <f t="array" aca="1" ref="W367" ca="1">_xlfn.IFNA(INDEX(#REF!,MATCH(INDIRECT("Codes_bilans!"&amp;W$1&amp;"$"&amp;#REF!),#REF!,0),MATCH(#REF!,#REF!,0)),0)</f>
        <v>#REF!</v>
      </c>
      <c r="X367" s="51"/>
    </row>
    <row r="368" spans="1:24">
      <c r="A368" s="51"/>
      <c r="B368" s="51"/>
      <c r="C368" s="620" t="s">
        <v>79</v>
      </c>
      <c r="D368" s="613">
        <v>0</v>
      </c>
      <c r="E368" s="613">
        <v>0</v>
      </c>
      <c r="F368" s="613">
        <v>5.1934680094593588</v>
      </c>
      <c r="G368" s="613">
        <v>1.7577012997845347</v>
      </c>
      <c r="H368" s="613">
        <v>2.152977175631825</v>
      </c>
      <c r="I368" s="613">
        <v>5.5204542964918585E-2</v>
      </c>
      <c r="J368" s="613">
        <v>0</v>
      </c>
      <c r="K368" s="613">
        <v>0</v>
      </c>
      <c r="L368" s="613">
        <v>0</v>
      </c>
      <c r="M368" s="613">
        <v>0</v>
      </c>
      <c r="N368" s="613">
        <v>51.143075106834317</v>
      </c>
      <c r="O368" s="613">
        <v>3.312272577895115</v>
      </c>
      <c r="P368" s="613">
        <v>0</v>
      </c>
      <c r="Q368" s="613">
        <v>0</v>
      </c>
      <c r="R368" s="613">
        <v>104.19646172854269</v>
      </c>
      <c r="S368" s="613">
        <v>0</v>
      </c>
      <c r="T368" s="613">
        <v>4.7641609973157095</v>
      </c>
      <c r="U368" s="621">
        <v>172.57532143842849</v>
      </c>
      <c r="V368" s="51"/>
      <c r="W368" s="622" t="e" cm="1">
        <f t="array" aca="1" ref="W368" ca="1">_xlfn.IFNA(INDEX(#REF!,MATCH(INDIRECT("Codes_bilans!"&amp;W$1&amp;"$"&amp;#REF!),#REF!,0),MATCH(#REF!,#REF!,0)),0)</f>
        <v>#REF!</v>
      </c>
      <c r="X368" s="51"/>
    </row>
    <row r="369" spans="1:24">
      <c r="A369" s="51"/>
      <c r="B369" s="51"/>
      <c r="C369" s="620" t="s">
        <v>80</v>
      </c>
      <c r="D369" s="613">
        <v>0</v>
      </c>
      <c r="E369" s="613">
        <v>0</v>
      </c>
      <c r="F369" s="613">
        <v>1.724730994879903</v>
      </c>
      <c r="G369" s="613">
        <v>0</v>
      </c>
      <c r="H369" s="613">
        <v>12.69993934515486</v>
      </c>
      <c r="I369" s="613">
        <v>0.32563947038858615</v>
      </c>
      <c r="J369" s="613">
        <v>0</v>
      </c>
      <c r="K369" s="613">
        <v>0</v>
      </c>
      <c r="L369" s="613">
        <v>30.989297403436193</v>
      </c>
      <c r="M369" s="613">
        <v>0</v>
      </c>
      <c r="N369" s="613">
        <v>0</v>
      </c>
      <c r="O369" s="613">
        <v>19.538368223315167</v>
      </c>
      <c r="P369" s="613">
        <v>115.76071669132362</v>
      </c>
      <c r="Q369" s="613">
        <v>2.9888036499995505</v>
      </c>
      <c r="R369" s="613">
        <v>139.03080400703527</v>
      </c>
      <c r="S369" s="613">
        <v>24.846536847991327</v>
      </c>
      <c r="T369" s="613">
        <v>0</v>
      </c>
      <c r="U369" s="621">
        <v>347.90483663352444</v>
      </c>
      <c r="V369" s="51"/>
      <c r="W369" s="622" t="e" cm="1">
        <f t="array" aca="1" ref="W369" ca="1">_xlfn.IFNA(INDEX(#REF!,MATCH(INDIRECT("Codes_bilans!"&amp;W$1&amp;"$"&amp;#REF!),#REF!,0),MATCH(#REF!,#REF!,0)),0)</f>
        <v>#REF!</v>
      </c>
      <c r="X369" s="51"/>
    </row>
    <row r="370" spans="1:24">
      <c r="A370" s="51"/>
      <c r="B370" s="51"/>
      <c r="C370" s="620" t="s">
        <v>81</v>
      </c>
      <c r="D370" s="613">
        <v>0</v>
      </c>
      <c r="E370" s="613">
        <v>0</v>
      </c>
      <c r="F370" s="613">
        <v>0.73542128008657859</v>
      </c>
      <c r="G370" s="613">
        <v>0</v>
      </c>
      <c r="H370" s="613">
        <v>6.9022329775494073</v>
      </c>
      <c r="I370" s="613">
        <v>0.17698033275767711</v>
      </c>
      <c r="J370" s="613">
        <v>0</v>
      </c>
      <c r="K370" s="613">
        <v>0</v>
      </c>
      <c r="L370" s="613">
        <v>0.37326901233115406</v>
      </c>
      <c r="M370" s="613">
        <v>3.4682726224379159E-4</v>
      </c>
      <c r="N370" s="613">
        <v>0</v>
      </c>
      <c r="O370" s="613">
        <v>10.618819965460625</v>
      </c>
      <c r="P370" s="613">
        <v>27.414780089746973</v>
      </c>
      <c r="Q370" s="613">
        <v>1.0008652914522365</v>
      </c>
      <c r="R370" s="613">
        <v>86.91432505661372</v>
      </c>
      <c r="S370" s="613">
        <v>18.976817690701857</v>
      </c>
      <c r="T370" s="613">
        <v>0</v>
      </c>
      <c r="U370" s="621">
        <v>153.11385852396248</v>
      </c>
      <c r="V370" s="51"/>
      <c r="W370" s="622" t="e" cm="1">
        <f t="array" aca="1" ref="W370" ca="1">_xlfn.IFNA(INDEX(#REF!,MATCH(INDIRECT("Codes_bilans!"&amp;W$1&amp;"$"&amp;#REF!),#REF!,0),MATCH(#REF!,#REF!,0)),0)</f>
        <v>#REF!</v>
      </c>
      <c r="X370" s="51"/>
    </row>
    <row r="371" spans="1:24">
      <c r="A371" s="51"/>
      <c r="B371" s="51"/>
      <c r="C371" s="620" t="s">
        <v>82</v>
      </c>
      <c r="D371" s="613">
        <v>0</v>
      </c>
      <c r="E371" s="613">
        <v>0</v>
      </c>
      <c r="F371" s="613">
        <v>3.5155989746586096</v>
      </c>
      <c r="G371" s="613">
        <v>0</v>
      </c>
      <c r="H371" s="613">
        <v>0.66808232732668293</v>
      </c>
      <c r="I371" s="613">
        <v>1.7130316085299562E-2</v>
      </c>
      <c r="J371" s="613">
        <v>0</v>
      </c>
      <c r="K371" s="613">
        <v>0</v>
      </c>
      <c r="L371" s="613">
        <v>3.9742935582164471</v>
      </c>
      <c r="M371" s="613">
        <v>0</v>
      </c>
      <c r="N371" s="613">
        <v>17.824426087880788</v>
      </c>
      <c r="O371" s="613">
        <v>1.0278189651179737</v>
      </c>
      <c r="P371" s="613">
        <v>1.25</v>
      </c>
      <c r="Q371" s="613">
        <v>1.7440136932478227</v>
      </c>
      <c r="R371" s="613">
        <v>7.8035752238100597</v>
      </c>
      <c r="S371" s="613">
        <v>0</v>
      </c>
      <c r="T371" s="613">
        <v>0.38427420359697795</v>
      </c>
      <c r="U371" s="621">
        <v>38.209213349940661</v>
      </c>
      <c r="V371" s="51"/>
      <c r="W371" s="622" t="e" cm="1">
        <f t="array" aca="1" ref="W371" ca="1">_xlfn.IFNA(INDEX(#REF!,MATCH(INDIRECT("Codes_bilans!"&amp;W$1&amp;"$"&amp;#REF!),#REF!,0),MATCH(#REF!,#REF!,0)),0)</f>
        <v>#REF!</v>
      </c>
      <c r="X371" s="51"/>
    </row>
    <row r="372" spans="1:24">
      <c r="A372" s="51"/>
      <c r="B372" s="51"/>
      <c r="C372" s="620" t="s">
        <v>357</v>
      </c>
      <c r="D372" s="613">
        <v>0</v>
      </c>
      <c r="E372" s="613">
        <v>0</v>
      </c>
      <c r="F372" s="613">
        <v>0</v>
      </c>
      <c r="G372" s="613">
        <v>0</v>
      </c>
      <c r="H372" s="613">
        <v>0</v>
      </c>
      <c r="I372" s="613">
        <v>0</v>
      </c>
      <c r="J372" s="613">
        <v>0</v>
      </c>
      <c r="K372" s="613">
        <v>0</v>
      </c>
      <c r="L372" s="613">
        <v>0</v>
      </c>
      <c r="M372" s="613">
        <v>0</v>
      </c>
      <c r="N372" s="613">
        <v>0</v>
      </c>
      <c r="O372" s="613">
        <v>0</v>
      </c>
      <c r="P372" s="613">
        <v>0</v>
      </c>
      <c r="Q372" s="613">
        <v>0</v>
      </c>
      <c r="R372" s="613">
        <v>2.21408</v>
      </c>
      <c r="S372" s="613">
        <v>0</v>
      </c>
      <c r="T372" s="613">
        <v>0</v>
      </c>
      <c r="U372" s="621">
        <v>2.21408</v>
      </c>
      <c r="V372" s="51"/>
      <c r="W372" s="622" t="e" cm="1">
        <f t="array" aca="1" ref="W372" ca="1">_xlfn.IFNA(INDEX(#REF!,MATCH(INDIRECT("Codes_bilans!"&amp;W$1&amp;"$"&amp;#REF!),#REF!,0),MATCH(#REF!,#REF!,0)),0)</f>
        <v>#REF!</v>
      </c>
      <c r="X372" s="51"/>
    </row>
    <row r="373" spans="1:24">
      <c r="A373" s="51"/>
      <c r="B373" s="51"/>
      <c r="C373" s="616" t="s">
        <v>83</v>
      </c>
      <c r="D373" s="617">
        <v>2.1515630330821871</v>
      </c>
      <c r="E373" s="617">
        <v>0</v>
      </c>
      <c r="F373" s="617">
        <v>13.142149560334325</v>
      </c>
      <c r="G373" s="617">
        <v>1.7577012997845347</v>
      </c>
      <c r="H373" s="624">
        <v>40.047832487924893</v>
      </c>
      <c r="I373" s="617">
        <v>1.0268674996903817</v>
      </c>
      <c r="J373" s="617">
        <v>0</v>
      </c>
      <c r="K373" s="617">
        <v>0</v>
      </c>
      <c r="L373" s="617">
        <v>54.664679352687223</v>
      </c>
      <c r="M373" s="617">
        <v>2.2282982295903557</v>
      </c>
      <c r="N373" s="617">
        <v>71.631967015027612</v>
      </c>
      <c r="O373" s="617">
        <v>61.65340018845464</v>
      </c>
      <c r="P373" s="617">
        <v>154.03404463263311</v>
      </c>
      <c r="Q373" s="617">
        <v>5.7345256264080096</v>
      </c>
      <c r="R373" s="617">
        <v>475.96698488263968</v>
      </c>
      <c r="S373" s="617">
        <v>62.259463122360671</v>
      </c>
      <c r="T373" s="617">
        <v>11.542253072006439</v>
      </c>
      <c r="U373" s="617">
        <v>957.84173000262399</v>
      </c>
      <c r="V373" s="51"/>
      <c r="W373" s="51"/>
      <c r="X373" s="51"/>
    </row>
    <row r="374" spans="1:24">
      <c r="A374" s="51"/>
      <c r="B374" s="51"/>
      <c r="C374" s="612" t="s">
        <v>84</v>
      </c>
      <c r="D374" s="613">
        <v>0</v>
      </c>
      <c r="E374" s="613">
        <v>0</v>
      </c>
      <c r="F374" s="613">
        <v>50.64517840221108</v>
      </c>
      <c r="G374" s="613">
        <v>7.8734962103748298</v>
      </c>
      <c r="H374" s="613">
        <v>4.7799931551444459</v>
      </c>
      <c r="I374" s="613">
        <v>0</v>
      </c>
      <c r="J374" s="613">
        <v>0</v>
      </c>
      <c r="K374" s="613">
        <v>0</v>
      </c>
      <c r="L374" s="613">
        <v>0.52419855520004055</v>
      </c>
      <c r="M374" s="613">
        <v>0</v>
      </c>
      <c r="N374" s="613">
        <v>18.858697915767927</v>
      </c>
      <c r="O374" s="613">
        <v>3.7147337189182332</v>
      </c>
      <c r="P374" s="613">
        <v>0</v>
      </c>
      <c r="Q374" s="613">
        <v>0</v>
      </c>
      <c r="R374" s="613">
        <v>0</v>
      </c>
      <c r="S374" s="613">
        <v>0</v>
      </c>
      <c r="T374" s="613">
        <v>30.985390762521494</v>
      </c>
      <c r="U374" s="621">
        <v>117.38168872013804</v>
      </c>
      <c r="V374" s="51"/>
      <c r="W374" s="622" t="e" cm="1">
        <f t="array" aca="1" ref="W374" ca="1">_xlfn.IFNA(INDEX(#REF!,MATCH(INDIRECT("Codes_bilans!"&amp;W$1&amp;"$"&amp;#REF!),#REF!,0),MATCH(#REF!,#REF!,0)),0)</f>
        <v>#REF!</v>
      </c>
      <c r="X374" s="51"/>
    </row>
    <row r="375" spans="1:24">
      <c r="A375" s="51"/>
      <c r="B375" s="51"/>
      <c r="C375" s="616" t="s">
        <v>85</v>
      </c>
      <c r="D375" s="617">
        <v>2.1515630330821871</v>
      </c>
      <c r="E375" s="617">
        <v>0</v>
      </c>
      <c r="F375" s="617">
        <v>63.787327962545405</v>
      </c>
      <c r="G375" s="617">
        <v>9.6311975101593639</v>
      </c>
      <c r="H375" s="624">
        <v>44.827825643069339</v>
      </c>
      <c r="I375" s="617">
        <v>1.0268674996903817</v>
      </c>
      <c r="J375" s="617">
        <v>0</v>
      </c>
      <c r="K375" s="617">
        <v>0</v>
      </c>
      <c r="L375" s="617">
        <v>55.18887790788726</v>
      </c>
      <c r="M375" s="617">
        <v>2.2282982295903557</v>
      </c>
      <c r="N375" s="617">
        <v>90.490664930795546</v>
      </c>
      <c r="O375" s="617">
        <v>65.368133907372865</v>
      </c>
      <c r="P375" s="617">
        <v>154.03404463263311</v>
      </c>
      <c r="Q375" s="617">
        <v>5.7345256264080096</v>
      </c>
      <c r="R375" s="617">
        <v>475.96698488263968</v>
      </c>
      <c r="S375" s="617">
        <v>62.259463122360671</v>
      </c>
      <c r="T375" s="617">
        <v>42.527643834527936</v>
      </c>
      <c r="U375" s="617">
        <v>1075.2234187227621</v>
      </c>
      <c r="V375" s="51"/>
      <c r="W375" s="51"/>
      <c r="X375" s="51"/>
    </row>
    <row r="376" spans="1:24">
      <c r="A376" s="51"/>
      <c r="B376" s="51"/>
      <c r="C376" s="51"/>
      <c r="D376" s="67">
        <v>0</v>
      </c>
      <c r="E376" s="67">
        <v>0</v>
      </c>
      <c r="F376" s="67">
        <v>0</v>
      </c>
      <c r="G376" s="67">
        <v>0</v>
      </c>
      <c r="H376" s="67">
        <v>0</v>
      </c>
      <c r="I376" s="67">
        <v>-1.3183898417423734E-16</v>
      </c>
      <c r="J376" s="67">
        <v>0</v>
      </c>
      <c r="K376" s="67">
        <v>0</v>
      </c>
      <c r="L376" s="67">
        <v>0</v>
      </c>
      <c r="M376" s="67">
        <v>0</v>
      </c>
      <c r="N376" s="67">
        <v>1.2434497875801753E-14</v>
      </c>
      <c r="O376" s="67">
        <v>-1.8207657603852567E-14</v>
      </c>
      <c r="P376" s="67">
        <v>0</v>
      </c>
      <c r="Q376" s="67">
        <v>0</v>
      </c>
      <c r="R376" s="67">
        <v>0</v>
      </c>
      <c r="S376" s="67">
        <v>0</v>
      </c>
      <c r="T376" s="67">
        <v>4.4408920985006262E-15</v>
      </c>
      <c r="U376" s="67">
        <v>0</v>
      </c>
      <c r="V376" s="51"/>
      <c r="W376" s="51"/>
      <c r="X376" s="51"/>
    </row>
    <row r="377" spans="1:24">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row>
    <row r="378" spans="1:24">
      <c r="A378" s="608"/>
      <c r="B378" s="608"/>
      <c r="C378" s="609" t="s">
        <v>89</v>
      </c>
      <c r="D378" s="608"/>
      <c r="E378" s="608"/>
      <c r="F378" s="608"/>
      <c r="G378" s="608"/>
      <c r="H378" s="608"/>
      <c r="I378" s="608"/>
      <c r="J378" s="608"/>
      <c r="K378" s="608"/>
      <c r="L378" s="608"/>
      <c r="M378" s="608"/>
      <c r="N378" s="608"/>
      <c r="O378" s="608"/>
      <c r="P378" s="608"/>
      <c r="Q378" s="608"/>
      <c r="R378" s="608"/>
      <c r="S378" s="608"/>
      <c r="T378" s="608"/>
      <c r="U378" s="608"/>
      <c r="V378" s="608"/>
      <c r="W378" s="608"/>
      <c r="X378" s="608"/>
    </row>
    <row r="379" spans="1:24">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row>
    <row r="380" spans="1:24" ht="14.25" customHeight="1">
      <c r="A380" s="51"/>
      <c r="B380" s="51"/>
      <c r="C380" s="713" t="s">
        <v>128</v>
      </c>
      <c r="D380" s="711" t="s">
        <v>42</v>
      </c>
      <c r="E380" s="711" t="s">
        <v>52</v>
      </c>
      <c r="F380" s="711" t="s">
        <v>53</v>
      </c>
      <c r="G380" s="711" t="s">
        <v>487</v>
      </c>
      <c r="H380" s="711" t="s">
        <v>32</v>
      </c>
      <c r="I380" s="711" t="s">
        <v>488</v>
      </c>
      <c r="J380" s="711" t="s">
        <v>20</v>
      </c>
      <c r="K380" s="711" t="s">
        <v>55</v>
      </c>
      <c r="L380" s="715" t="s">
        <v>56</v>
      </c>
      <c r="M380" s="716"/>
      <c r="N380" s="716"/>
      <c r="O380" s="716"/>
      <c r="P380" s="716"/>
      <c r="Q380" s="717"/>
      <c r="R380" s="711" t="s">
        <v>57</v>
      </c>
      <c r="S380" s="711" t="s">
        <v>58</v>
      </c>
      <c r="T380" s="711" t="s">
        <v>31</v>
      </c>
      <c r="U380" s="711" t="s">
        <v>10</v>
      </c>
      <c r="V380" s="51"/>
      <c r="W380" s="51"/>
      <c r="X380" s="51"/>
    </row>
    <row r="381" spans="1:24" ht="24">
      <c r="A381" s="51"/>
      <c r="B381" s="51"/>
      <c r="C381" s="714"/>
      <c r="D381" s="712"/>
      <c r="E381" s="712"/>
      <c r="F381" s="712"/>
      <c r="G381" s="712"/>
      <c r="H381" s="712"/>
      <c r="I381" s="712"/>
      <c r="J381" s="712"/>
      <c r="K381" s="712"/>
      <c r="L381" s="610" t="s">
        <v>338</v>
      </c>
      <c r="M381" s="610" t="s">
        <v>40</v>
      </c>
      <c r="N381" s="610" t="s">
        <v>346</v>
      </c>
      <c r="O381" s="610" t="s">
        <v>347</v>
      </c>
      <c r="P381" s="611" t="s">
        <v>348</v>
      </c>
      <c r="Q381" s="610" t="s">
        <v>349</v>
      </c>
      <c r="R381" s="712"/>
      <c r="S381" s="712"/>
      <c r="T381" s="712"/>
      <c r="U381" s="712"/>
      <c r="V381" s="51"/>
      <c r="W381" s="51"/>
      <c r="X381" s="51"/>
    </row>
    <row r="382" spans="1:24">
      <c r="A382" s="51"/>
      <c r="B382" s="51"/>
      <c r="C382" s="612" t="s">
        <v>59</v>
      </c>
      <c r="D382" s="613">
        <v>0</v>
      </c>
      <c r="E382" s="613">
        <v>0</v>
      </c>
      <c r="F382" s="613">
        <v>0</v>
      </c>
      <c r="G382" s="613">
        <v>0</v>
      </c>
      <c r="H382" s="613">
        <v>0</v>
      </c>
      <c r="I382" s="613">
        <v>0</v>
      </c>
      <c r="J382" s="614">
        <v>722.62832727272735</v>
      </c>
      <c r="K382" s="614">
        <v>564.70258021663687</v>
      </c>
      <c r="L382" s="614">
        <v>261.57522104592402</v>
      </c>
      <c r="M382" s="614">
        <v>19.259411243005907</v>
      </c>
      <c r="N382" s="613">
        <v>1.5563580670349855</v>
      </c>
      <c r="O382" s="613">
        <v>0.17110271620039663</v>
      </c>
      <c r="P382" s="614">
        <v>165.69550077594988</v>
      </c>
      <c r="Q382" s="614">
        <v>24.373068583718577</v>
      </c>
      <c r="R382" s="613">
        <v>0</v>
      </c>
      <c r="S382" s="613">
        <v>0</v>
      </c>
      <c r="T382" s="613">
        <v>0</v>
      </c>
      <c r="U382" s="615">
        <v>1759.9615699211979</v>
      </c>
      <c r="V382" s="51"/>
      <c r="W382" s="51"/>
      <c r="X382" s="51"/>
    </row>
    <row r="383" spans="1:24">
      <c r="A383" s="51"/>
      <c r="B383" s="51"/>
      <c r="C383" s="612" t="s">
        <v>60</v>
      </c>
      <c r="D383" s="613">
        <v>5.9311888025037742</v>
      </c>
      <c r="E383" s="613">
        <v>113.95685880900638</v>
      </c>
      <c r="F383" s="613">
        <v>1.9517818504706483</v>
      </c>
      <c r="G383" s="613">
        <v>0</v>
      </c>
      <c r="H383" s="613">
        <v>2.6585092475046008</v>
      </c>
      <c r="I383" s="613">
        <v>0</v>
      </c>
      <c r="J383" s="613">
        <v>0</v>
      </c>
      <c r="K383" s="613">
        <v>0</v>
      </c>
      <c r="L383" s="613">
        <v>5.2309321400654634</v>
      </c>
      <c r="M383" s="613">
        <v>0</v>
      </c>
      <c r="N383" s="613">
        <v>5.4084519189769722</v>
      </c>
      <c r="O383" s="613">
        <v>0</v>
      </c>
      <c r="P383" s="613">
        <v>0</v>
      </c>
      <c r="Q383" s="613">
        <v>0</v>
      </c>
      <c r="R383" s="613">
        <v>0</v>
      </c>
      <c r="S383" s="613">
        <v>0</v>
      </c>
      <c r="T383" s="613">
        <v>0</v>
      </c>
      <c r="U383" s="615">
        <v>135.13772276852782</v>
      </c>
      <c r="V383" s="51"/>
      <c r="W383" s="51"/>
      <c r="X383" s="51"/>
    </row>
    <row r="384" spans="1:24">
      <c r="A384" s="51"/>
      <c r="B384" s="51"/>
      <c r="C384" s="612" t="s">
        <v>61</v>
      </c>
      <c r="D384" s="613">
        <v>0</v>
      </c>
      <c r="E384" s="613">
        <v>0</v>
      </c>
      <c r="F384" s="613">
        <v>-32.162617358689019</v>
      </c>
      <c r="G384" s="613">
        <v>-9.0412558456810785</v>
      </c>
      <c r="H384" s="613">
        <v>0</v>
      </c>
      <c r="I384" s="613">
        <v>0</v>
      </c>
      <c r="J384" s="613">
        <v>0</v>
      </c>
      <c r="K384" s="613">
        <v>0</v>
      </c>
      <c r="L384" s="613">
        <v>0</v>
      </c>
      <c r="M384" s="613">
        <v>0</v>
      </c>
      <c r="N384" s="613">
        <v>0</v>
      </c>
      <c r="O384" s="613">
        <v>0</v>
      </c>
      <c r="P384" s="613">
        <v>0</v>
      </c>
      <c r="Q384" s="613">
        <v>0</v>
      </c>
      <c r="R384" s="613">
        <v>-51.026672969387278</v>
      </c>
      <c r="S384" s="613">
        <v>0</v>
      </c>
      <c r="T384" s="613">
        <v>0</v>
      </c>
      <c r="U384" s="615">
        <v>-92.230546173757375</v>
      </c>
      <c r="V384" s="51"/>
      <c r="W384" s="51"/>
      <c r="X384" s="51"/>
    </row>
    <row r="385" spans="1:24">
      <c r="A385" s="51"/>
      <c r="B385" s="51"/>
      <c r="C385" s="612" t="s">
        <v>62</v>
      </c>
      <c r="D385" s="613">
        <v>0</v>
      </c>
      <c r="E385" s="613">
        <v>0</v>
      </c>
      <c r="F385" s="613">
        <v>-1.6540275032482068</v>
      </c>
      <c r="G385" s="613">
        <v>-4.2955328800984329</v>
      </c>
      <c r="H385" s="613">
        <v>0</v>
      </c>
      <c r="I385" s="613">
        <v>-0.31877375583888373</v>
      </c>
      <c r="J385" s="613">
        <v>0</v>
      </c>
      <c r="K385" s="613">
        <v>0</v>
      </c>
      <c r="L385" s="613">
        <v>0</v>
      </c>
      <c r="M385" s="613">
        <v>0</v>
      </c>
      <c r="N385" s="613">
        <v>-0.24545902171991044</v>
      </c>
      <c r="O385" s="613">
        <v>-6.0567013609387903</v>
      </c>
      <c r="P385" s="613">
        <v>0</v>
      </c>
      <c r="Q385" s="613">
        <v>0</v>
      </c>
      <c r="R385" s="613">
        <v>0</v>
      </c>
      <c r="S385" s="613">
        <v>0</v>
      </c>
      <c r="T385" s="613">
        <v>0</v>
      </c>
      <c r="U385" s="615">
        <v>-12.570494521844225</v>
      </c>
      <c r="V385" s="51"/>
      <c r="W385" s="51"/>
      <c r="X385" s="51"/>
    </row>
    <row r="386" spans="1:24">
      <c r="A386" s="51"/>
      <c r="B386" s="51"/>
      <c r="C386" s="612" t="s">
        <v>63</v>
      </c>
      <c r="D386" s="613">
        <v>0</v>
      </c>
      <c r="E386" s="613">
        <v>0</v>
      </c>
      <c r="F386" s="613">
        <v>-18.714774559646315</v>
      </c>
      <c r="G386" s="613">
        <v>-28.257765893495769</v>
      </c>
      <c r="H386" s="613">
        <v>0</v>
      </c>
      <c r="I386" s="613">
        <v>0</v>
      </c>
      <c r="J386" s="613">
        <v>0</v>
      </c>
      <c r="K386" s="613">
        <v>0</v>
      </c>
      <c r="L386" s="613">
        <v>0</v>
      </c>
      <c r="M386" s="613">
        <v>0</v>
      </c>
      <c r="N386" s="613">
        <v>-13.972472121868162</v>
      </c>
      <c r="O386" s="613">
        <v>0</v>
      </c>
      <c r="P386" s="613">
        <v>0</v>
      </c>
      <c r="Q386" s="613">
        <v>0</v>
      </c>
      <c r="R386" s="613">
        <v>0</v>
      </c>
      <c r="S386" s="613">
        <v>0</v>
      </c>
      <c r="T386" s="613">
        <v>-2.6159745910871801</v>
      </c>
      <c r="U386" s="615">
        <v>-63.560987166097433</v>
      </c>
      <c r="V386" s="51"/>
      <c r="W386" s="51"/>
      <c r="X386" s="51"/>
    </row>
    <row r="387" spans="1:24">
      <c r="A387" s="51"/>
      <c r="B387" s="51"/>
      <c r="C387" s="612" t="s">
        <v>64</v>
      </c>
      <c r="D387" s="613">
        <v>0</v>
      </c>
      <c r="E387" s="613">
        <v>0</v>
      </c>
      <c r="F387" s="613">
        <v>0</v>
      </c>
      <c r="G387" s="613">
        <v>0</v>
      </c>
      <c r="H387" s="613">
        <v>0</v>
      </c>
      <c r="I387" s="613">
        <v>0</v>
      </c>
      <c r="J387" s="613">
        <v>0</v>
      </c>
      <c r="K387" s="613">
        <v>0</v>
      </c>
      <c r="L387" s="613">
        <v>0</v>
      </c>
      <c r="M387" s="613">
        <v>0</v>
      </c>
      <c r="N387" s="613">
        <v>0</v>
      </c>
      <c r="O387" s="613">
        <v>0</v>
      </c>
      <c r="P387" s="613">
        <v>0</v>
      </c>
      <c r="Q387" s="613">
        <v>0</v>
      </c>
      <c r="R387" s="613">
        <v>0</v>
      </c>
      <c r="S387" s="613">
        <v>0</v>
      </c>
      <c r="T387" s="613">
        <v>0</v>
      </c>
      <c r="U387" s="615">
        <v>0</v>
      </c>
      <c r="V387" s="51"/>
      <c r="W387" s="51"/>
      <c r="X387" s="51"/>
    </row>
    <row r="388" spans="1:24">
      <c r="A388" s="51"/>
      <c r="B388" s="51"/>
      <c r="C388" s="616" t="s">
        <v>65</v>
      </c>
      <c r="D388" s="617">
        <v>5.9311888025037742</v>
      </c>
      <c r="E388" s="617">
        <v>113.95685880900638</v>
      </c>
      <c r="F388" s="617">
        <v>-50.579637571112897</v>
      </c>
      <c r="G388" s="617">
        <v>-41.594554619275279</v>
      </c>
      <c r="H388" s="624">
        <v>2.6585092475046008</v>
      </c>
      <c r="I388" s="617">
        <v>-0.31877375583888373</v>
      </c>
      <c r="J388" s="617">
        <v>722.62832727272735</v>
      </c>
      <c r="K388" s="617">
        <v>564.70258021663687</v>
      </c>
      <c r="L388" s="617">
        <v>266.80615318598944</v>
      </c>
      <c r="M388" s="617">
        <v>19.259411243005907</v>
      </c>
      <c r="N388" s="617">
        <v>-7.2531211575761132</v>
      </c>
      <c r="O388" s="617">
        <v>-5.8855986447383941</v>
      </c>
      <c r="P388" s="617">
        <v>165.69550077594988</v>
      </c>
      <c r="Q388" s="617">
        <v>24.373068583718577</v>
      </c>
      <c r="R388" s="617">
        <v>-51.026672969387278</v>
      </c>
      <c r="S388" s="617">
        <v>0</v>
      </c>
      <c r="T388" s="617">
        <v>-2.6159745910871801</v>
      </c>
      <c r="U388" s="617">
        <v>1726.7372648280268</v>
      </c>
      <c r="V388" s="51"/>
      <c r="W388" s="51"/>
      <c r="X388" s="51"/>
    </row>
    <row r="389" spans="1:24">
      <c r="A389" s="51"/>
      <c r="B389" s="51"/>
      <c r="C389" s="618"/>
      <c r="D389" s="619">
        <v>0</v>
      </c>
      <c r="E389" s="619">
        <v>0</v>
      </c>
      <c r="F389" s="619">
        <v>0</v>
      </c>
      <c r="G389" s="619">
        <v>0</v>
      </c>
      <c r="H389" s="625">
        <v>0</v>
      </c>
      <c r="I389" s="619">
        <v>0</v>
      </c>
      <c r="J389" s="619">
        <v>0</v>
      </c>
      <c r="K389" s="619">
        <v>0</v>
      </c>
      <c r="L389" s="619">
        <v>0</v>
      </c>
      <c r="M389" s="619">
        <v>0</v>
      </c>
      <c r="N389" s="619">
        <v>0</v>
      </c>
      <c r="O389" s="619">
        <v>0</v>
      </c>
      <c r="P389" s="619">
        <v>0</v>
      </c>
      <c r="Q389" s="619">
        <v>0</v>
      </c>
      <c r="R389" s="619">
        <v>0</v>
      </c>
      <c r="S389" s="619">
        <v>0</v>
      </c>
      <c r="T389" s="619">
        <v>0</v>
      </c>
      <c r="U389" s="619">
        <v>0</v>
      </c>
      <c r="V389" s="51"/>
      <c r="W389" s="51"/>
      <c r="X389" s="51"/>
    </row>
    <row r="390" spans="1:24">
      <c r="A390" s="51"/>
      <c r="B390" s="51"/>
      <c r="C390" s="620" t="s">
        <v>67</v>
      </c>
      <c r="D390" s="613">
        <v>0</v>
      </c>
      <c r="E390" s="613">
        <v>0</v>
      </c>
      <c r="F390" s="613">
        <v>0</v>
      </c>
      <c r="G390" s="613">
        <v>0</v>
      </c>
      <c r="H390" s="613">
        <v>0</v>
      </c>
      <c r="I390" s="613">
        <v>0</v>
      </c>
      <c r="J390" s="613">
        <v>0</v>
      </c>
      <c r="K390" s="613">
        <v>0</v>
      </c>
      <c r="L390" s="613">
        <v>0</v>
      </c>
      <c r="M390" s="613">
        <v>0</v>
      </c>
      <c r="N390" s="613">
        <v>0</v>
      </c>
      <c r="O390" s="613">
        <v>0</v>
      </c>
      <c r="P390" s="613">
        <v>0</v>
      </c>
      <c r="Q390" s="613">
        <v>0</v>
      </c>
      <c r="R390" s="613">
        <v>0</v>
      </c>
      <c r="S390" s="613">
        <v>0</v>
      </c>
      <c r="T390" s="613">
        <v>0</v>
      </c>
      <c r="U390" s="621">
        <v>0</v>
      </c>
      <c r="V390" s="51"/>
      <c r="W390" s="51"/>
      <c r="X390" s="51"/>
    </row>
    <row r="391" spans="1:24">
      <c r="A391" s="51"/>
      <c r="B391" s="51"/>
      <c r="C391" s="620" t="s">
        <v>350</v>
      </c>
      <c r="D391" s="613">
        <v>0</v>
      </c>
      <c r="E391" s="613">
        <v>0</v>
      </c>
      <c r="F391" s="613">
        <v>0</v>
      </c>
      <c r="G391" s="613">
        <v>0</v>
      </c>
      <c r="H391" s="613">
        <v>0</v>
      </c>
      <c r="I391" s="613">
        <v>0</v>
      </c>
      <c r="J391" s="613">
        <v>722.62832727272735</v>
      </c>
      <c r="K391" s="613">
        <v>564.70258021663687</v>
      </c>
      <c r="L391" s="613">
        <v>14.491283228737107</v>
      </c>
      <c r="M391" s="613">
        <v>2.8360527767240682</v>
      </c>
      <c r="N391" s="613">
        <v>6.5561937148871507</v>
      </c>
      <c r="O391" s="613">
        <v>0.11326810820885491</v>
      </c>
      <c r="P391" s="613">
        <v>0</v>
      </c>
      <c r="Q391" s="613">
        <v>6.7631767445353068</v>
      </c>
      <c r="R391" s="613">
        <v>-821.10381752645753</v>
      </c>
      <c r="S391" s="613">
        <v>0</v>
      </c>
      <c r="T391" s="613">
        <v>26.28</v>
      </c>
      <c r="U391" s="621">
        <v>523.267064535999</v>
      </c>
      <c r="V391" s="51"/>
      <c r="W391" s="51"/>
      <c r="X391" s="51"/>
    </row>
    <row r="392" spans="1:24">
      <c r="A392" s="51"/>
      <c r="B392" s="51"/>
      <c r="C392" s="620" t="s">
        <v>351</v>
      </c>
      <c r="D392" s="613">
        <v>0</v>
      </c>
      <c r="E392" s="613">
        <v>0</v>
      </c>
      <c r="F392" s="613">
        <v>0</v>
      </c>
      <c r="G392" s="613">
        <v>0</v>
      </c>
      <c r="H392" s="613">
        <v>0</v>
      </c>
      <c r="I392" s="613">
        <v>0</v>
      </c>
      <c r="J392" s="613">
        <v>0</v>
      </c>
      <c r="K392" s="613">
        <v>0</v>
      </c>
      <c r="L392" s="613">
        <v>33.721862056250039</v>
      </c>
      <c r="M392" s="613">
        <v>14.376617363231052</v>
      </c>
      <c r="N392" s="613">
        <v>0</v>
      </c>
      <c r="O392" s="613">
        <v>8.1785673020738106</v>
      </c>
      <c r="P392" s="613">
        <v>0</v>
      </c>
      <c r="Q392" s="613">
        <v>11.316516045102318</v>
      </c>
      <c r="R392" s="613">
        <v>0</v>
      </c>
      <c r="S392" s="613">
        <v>-64.575476384232388</v>
      </c>
      <c r="T392" s="613">
        <v>0</v>
      </c>
      <c r="U392" s="621">
        <v>3.0180863824248352</v>
      </c>
      <c r="V392" s="51"/>
      <c r="W392" s="51"/>
      <c r="X392" s="51"/>
    </row>
    <row r="393" spans="1:24">
      <c r="A393" s="51"/>
      <c r="B393" s="51"/>
      <c r="C393" s="620" t="s">
        <v>352</v>
      </c>
      <c r="D393" s="613">
        <v>0</v>
      </c>
      <c r="E393" s="613">
        <v>0</v>
      </c>
      <c r="F393" s="613">
        <v>0</v>
      </c>
      <c r="G393" s="613">
        <v>0</v>
      </c>
      <c r="H393" s="613">
        <v>0</v>
      </c>
      <c r="I393" s="613">
        <v>0</v>
      </c>
      <c r="J393" s="613">
        <v>0</v>
      </c>
      <c r="K393" s="613">
        <v>0</v>
      </c>
      <c r="L393" s="613">
        <v>104.38683240846164</v>
      </c>
      <c r="M393" s="613">
        <v>0</v>
      </c>
      <c r="N393" s="613">
        <v>0</v>
      </c>
      <c r="O393" s="613">
        <v>-100.27188716566127</v>
      </c>
      <c r="P393" s="613">
        <v>0</v>
      </c>
      <c r="Q393" s="613">
        <v>0</v>
      </c>
      <c r="R393" s="613">
        <v>0</v>
      </c>
      <c r="S393" s="613">
        <v>0</v>
      </c>
      <c r="T393" s="613">
        <v>0</v>
      </c>
      <c r="U393" s="621">
        <v>4.1149452428003741</v>
      </c>
      <c r="V393" s="51"/>
      <c r="W393" s="51"/>
      <c r="X393" s="51"/>
    </row>
    <row r="394" spans="1:24">
      <c r="A394" s="51"/>
      <c r="B394" s="51"/>
      <c r="C394" s="620" t="s">
        <v>353</v>
      </c>
      <c r="D394" s="613">
        <v>0</v>
      </c>
      <c r="E394" s="613">
        <v>0</v>
      </c>
      <c r="F394" s="613">
        <v>0</v>
      </c>
      <c r="G394" s="613">
        <v>0</v>
      </c>
      <c r="H394" s="613">
        <v>0</v>
      </c>
      <c r="I394" s="613">
        <v>-4.5962253881571415</v>
      </c>
      <c r="J394" s="613">
        <v>0</v>
      </c>
      <c r="K394" s="613">
        <v>0</v>
      </c>
      <c r="L394" s="613">
        <v>0</v>
      </c>
      <c r="M394" s="613">
        <v>0</v>
      </c>
      <c r="N394" s="613">
        <v>0</v>
      </c>
      <c r="O394" s="613">
        <v>0</v>
      </c>
      <c r="P394" s="613">
        <v>0</v>
      </c>
      <c r="Q394" s="613">
        <v>0</v>
      </c>
      <c r="R394" s="613">
        <v>0</v>
      </c>
      <c r="S394" s="613">
        <v>0</v>
      </c>
      <c r="T394" s="613">
        <v>6.4074201765093832</v>
      </c>
      <c r="U394" s="621">
        <v>1.8111947883522417</v>
      </c>
      <c r="V394" s="51"/>
      <c r="W394" s="51"/>
      <c r="X394" s="51"/>
    </row>
    <row r="395" spans="1:24">
      <c r="A395" s="51"/>
      <c r="B395" s="51"/>
      <c r="C395" s="620" t="s">
        <v>72</v>
      </c>
      <c r="D395" s="613">
        <v>0</v>
      </c>
      <c r="E395" s="613">
        <v>118.07035586741333</v>
      </c>
      <c r="F395" s="613">
        <v>-116.89188714951831</v>
      </c>
      <c r="G395" s="613">
        <v>0</v>
      </c>
      <c r="H395" s="613">
        <v>0</v>
      </c>
      <c r="I395" s="613">
        <v>0</v>
      </c>
      <c r="J395" s="613">
        <v>0</v>
      </c>
      <c r="K395" s="613">
        <v>0</v>
      </c>
      <c r="L395" s="613">
        <v>0</v>
      </c>
      <c r="M395" s="613">
        <v>0</v>
      </c>
      <c r="N395" s="613">
        <v>0</v>
      </c>
      <c r="O395" s="613">
        <v>0</v>
      </c>
      <c r="P395" s="613">
        <v>0</v>
      </c>
      <c r="Q395" s="613">
        <v>0</v>
      </c>
      <c r="R395" s="613">
        <v>0</v>
      </c>
      <c r="S395" s="613">
        <v>0</v>
      </c>
      <c r="T395" s="613">
        <v>0</v>
      </c>
      <c r="U395" s="621">
        <v>1.1784687178950146</v>
      </c>
      <c r="V395" s="51"/>
      <c r="W395" s="51"/>
      <c r="X395" s="51"/>
    </row>
    <row r="396" spans="1:24">
      <c r="A396" s="51"/>
      <c r="B396" s="51"/>
      <c r="C396" s="620" t="s">
        <v>354</v>
      </c>
      <c r="D396" s="613">
        <v>0</v>
      </c>
      <c r="E396" s="613">
        <v>0</v>
      </c>
      <c r="F396" s="613">
        <v>0</v>
      </c>
      <c r="G396" s="613">
        <v>0</v>
      </c>
      <c r="H396" s="613">
        <v>0</v>
      </c>
      <c r="I396" s="613">
        <v>0</v>
      </c>
      <c r="J396" s="613">
        <v>0</v>
      </c>
      <c r="K396" s="613">
        <v>0</v>
      </c>
      <c r="L396" s="613">
        <v>61.244429678974598</v>
      </c>
      <c r="M396" s="613">
        <v>0</v>
      </c>
      <c r="N396" s="613">
        <v>-61.244429678974598</v>
      </c>
      <c r="O396" s="613">
        <v>0</v>
      </c>
      <c r="P396" s="613">
        <v>0</v>
      </c>
      <c r="Q396" s="613">
        <v>0</v>
      </c>
      <c r="R396" s="613">
        <v>0</v>
      </c>
      <c r="S396" s="613">
        <v>0</v>
      </c>
      <c r="T396" s="613">
        <v>0</v>
      </c>
      <c r="U396" s="621">
        <v>0</v>
      </c>
      <c r="V396" s="51"/>
      <c r="W396" s="51"/>
      <c r="X396" s="51"/>
    </row>
    <row r="397" spans="1:24">
      <c r="A397" s="51"/>
      <c r="B397" s="51"/>
      <c r="C397" s="620" t="s">
        <v>355</v>
      </c>
      <c r="D397" s="613">
        <v>0</v>
      </c>
      <c r="E397" s="613">
        <v>0</v>
      </c>
      <c r="F397" s="613">
        <v>0</v>
      </c>
      <c r="G397" s="613">
        <v>-56.725829149009897</v>
      </c>
      <c r="H397" s="613">
        <v>0</v>
      </c>
      <c r="I397" s="613">
        <v>0</v>
      </c>
      <c r="J397" s="613">
        <v>0</v>
      </c>
      <c r="K397" s="613">
        <v>0</v>
      </c>
      <c r="L397" s="613">
        <v>0</v>
      </c>
      <c r="M397" s="613">
        <v>0</v>
      </c>
      <c r="N397" s="613">
        <v>0</v>
      </c>
      <c r="O397" s="613">
        <v>0</v>
      </c>
      <c r="P397" s="613">
        <v>0</v>
      </c>
      <c r="Q397" s="613">
        <v>0</v>
      </c>
      <c r="R397" s="613">
        <v>0</v>
      </c>
      <c r="S397" s="613">
        <v>0</v>
      </c>
      <c r="T397" s="613">
        <v>79.005333076615457</v>
      </c>
      <c r="U397" s="621">
        <v>22.27950392760556</v>
      </c>
      <c r="V397" s="51"/>
      <c r="W397" s="51"/>
      <c r="X397" s="51"/>
    </row>
    <row r="398" spans="1:24">
      <c r="A398" s="51"/>
      <c r="B398" s="51"/>
      <c r="C398" s="620" t="s">
        <v>73</v>
      </c>
      <c r="D398" s="613">
        <v>0</v>
      </c>
      <c r="E398" s="613">
        <v>0</v>
      </c>
      <c r="F398" s="613">
        <v>0</v>
      </c>
      <c r="G398" s="613">
        <v>0</v>
      </c>
      <c r="H398" s="613">
        <v>0</v>
      </c>
      <c r="I398" s="613">
        <v>0</v>
      </c>
      <c r="J398" s="613">
        <v>0</v>
      </c>
      <c r="K398" s="613">
        <v>0</v>
      </c>
      <c r="L398" s="613">
        <v>0</v>
      </c>
      <c r="M398" s="613">
        <v>0</v>
      </c>
      <c r="N398" s="613">
        <v>0</v>
      </c>
      <c r="O398" s="613">
        <v>0</v>
      </c>
      <c r="P398" s="613">
        <v>0</v>
      </c>
      <c r="Q398" s="613">
        <v>0</v>
      </c>
      <c r="R398" s="613">
        <v>227.61268014910149</v>
      </c>
      <c r="S398" s="613">
        <v>0</v>
      </c>
      <c r="T398" s="613">
        <v>-163.88112970735307</v>
      </c>
      <c r="U398" s="621">
        <v>63.731550441748425</v>
      </c>
      <c r="V398" s="51"/>
      <c r="W398" s="51"/>
      <c r="X398" s="51"/>
    </row>
    <row r="399" spans="1:24">
      <c r="A399" s="51"/>
      <c r="B399" s="51"/>
      <c r="C399" s="620" t="s">
        <v>356</v>
      </c>
      <c r="D399" s="613">
        <v>3.3456624609374996</v>
      </c>
      <c r="E399" s="613">
        <v>-4.1134970584069457</v>
      </c>
      <c r="F399" s="613">
        <v>5.3691262200413341</v>
      </c>
      <c r="G399" s="613">
        <v>0</v>
      </c>
      <c r="H399" s="613">
        <v>0</v>
      </c>
      <c r="I399" s="613">
        <v>0</v>
      </c>
      <c r="J399" s="613">
        <v>0</v>
      </c>
      <c r="K399" s="613">
        <v>0</v>
      </c>
      <c r="L399" s="613">
        <v>0</v>
      </c>
      <c r="M399" s="613">
        <v>0</v>
      </c>
      <c r="N399" s="613">
        <v>0</v>
      </c>
      <c r="O399" s="613">
        <v>0</v>
      </c>
      <c r="P399" s="613">
        <v>0</v>
      </c>
      <c r="Q399" s="613">
        <v>0</v>
      </c>
      <c r="R399" s="613">
        <v>0</v>
      </c>
      <c r="S399" s="613">
        <v>0</v>
      </c>
      <c r="T399" s="613">
        <v>0</v>
      </c>
      <c r="U399" s="621">
        <v>4.6012916225718881</v>
      </c>
      <c r="V399" s="51"/>
      <c r="W399" s="51"/>
      <c r="X399" s="51"/>
    </row>
    <row r="400" spans="1:24">
      <c r="A400" s="51"/>
      <c r="B400" s="51"/>
      <c r="C400" s="620" t="s">
        <v>75</v>
      </c>
      <c r="D400" s="613">
        <v>1.3010909570312501</v>
      </c>
      <c r="E400" s="613">
        <v>0</v>
      </c>
      <c r="F400" s="613">
        <v>16.404377382526505</v>
      </c>
      <c r="G400" s="613">
        <v>0</v>
      </c>
      <c r="H400" s="613">
        <v>0</v>
      </c>
      <c r="I400" s="613">
        <v>0.23833359000000001</v>
      </c>
      <c r="J400" s="613">
        <v>0</v>
      </c>
      <c r="K400" s="613">
        <v>0</v>
      </c>
      <c r="L400" s="613">
        <v>0</v>
      </c>
      <c r="M400" s="613">
        <v>0</v>
      </c>
      <c r="N400" s="613">
        <v>0</v>
      </c>
      <c r="O400" s="613">
        <v>4.5283382100000003</v>
      </c>
      <c r="P400" s="613">
        <v>0</v>
      </c>
      <c r="Q400" s="613">
        <v>0</v>
      </c>
      <c r="R400" s="613">
        <v>17.461456726006222</v>
      </c>
      <c r="S400" s="613">
        <v>0</v>
      </c>
      <c r="T400" s="613">
        <v>0</v>
      </c>
      <c r="U400" s="621">
        <v>39.93359686556397</v>
      </c>
      <c r="V400" s="51"/>
      <c r="W400" s="51"/>
      <c r="X400" s="51"/>
    </row>
    <row r="401" spans="1:24">
      <c r="A401" s="51"/>
      <c r="B401" s="51"/>
      <c r="C401" s="620" t="s">
        <v>76</v>
      </c>
      <c r="D401" s="613">
        <v>0</v>
      </c>
      <c r="E401" s="613">
        <v>0</v>
      </c>
      <c r="F401" s="613">
        <v>0</v>
      </c>
      <c r="G401" s="613">
        <v>0</v>
      </c>
      <c r="H401" s="613">
        <v>0</v>
      </c>
      <c r="I401" s="613">
        <v>5.9340338699632358E-2</v>
      </c>
      <c r="J401" s="613">
        <v>0</v>
      </c>
      <c r="K401" s="613">
        <v>0</v>
      </c>
      <c r="L401" s="613">
        <v>0</v>
      </c>
      <c r="M401" s="613">
        <v>0</v>
      </c>
      <c r="N401" s="613">
        <v>0</v>
      </c>
      <c r="O401" s="613">
        <v>1.1274664352930146</v>
      </c>
      <c r="P401" s="613">
        <v>0</v>
      </c>
      <c r="Q401" s="613">
        <v>0</v>
      </c>
      <c r="R401" s="613">
        <v>58.914344999319319</v>
      </c>
      <c r="S401" s="613">
        <v>5.0089527300753778</v>
      </c>
      <c r="T401" s="613">
        <v>0</v>
      </c>
      <c r="U401" s="621">
        <v>65.110104503387348</v>
      </c>
      <c r="V401" s="51"/>
      <c r="W401" s="51"/>
      <c r="X401" s="51"/>
    </row>
    <row r="402" spans="1:24">
      <c r="A402" s="51"/>
      <c r="B402" s="51"/>
      <c r="C402" s="616" t="s">
        <v>77</v>
      </c>
      <c r="D402" s="617">
        <v>4.6467534179687497</v>
      </c>
      <c r="E402" s="617">
        <v>113.95685880900638</v>
      </c>
      <c r="F402" s="617">
        <v>-95.118383546950469</v>
      </c>
      <c r="G402" s="617">
        <v>-56.725829149009897</v>
      </c>
      <c r="H402" s="624">
        <v>0</v>
      </c>
      <c r="I402" s="617">
        <v>-4.2985514594575092</v>
      </c>
      <c r="J402" s="617">
        <v>722.62832727272735</v>
      </c>
      <c r="K402" s="617">
        <v>564.70258021663687</v>
      </c>
      <c r="L402" s="617">
        <v>213.8444073724234</v>
      </c>
      <c r="M402" s="617">
        <v>17.212670139955119</v>
      </c>
      <c r="N402" s="617">
        <v>-54.688235964087447</v>
      </c>
      <c r="O402" s="617">
        <v>-86.324247110085594</v>
      </c>
      <c r="P402" s="617">
        <v>0</v>
      </c>
      <c r="Q402" s="617">
        <v>18.079692789637626</v>
      </c>
      <c r="R402" s="617">
        <v>-517.11533565203058</v>
      </c>
      <c r="S402" s="617">
        <v>-59.56652365415701</v>
      </c>
      <c r="T402" s="617">
        <v>-52.188376454228234</v>
      </c>
      <c r="U402" s="617">
        <v>729.04580702834869</v>
      </c>
      <c r="V402" s="51"/>
      <c r="W402" s="51"/>
      <c r="X402" s="51"/>
    </row>
    <row r="403" spans="1:24">
      <c r="A403" s="51"/>
      <c r="B403" s="51"/>
      <c r="C403" s="618"/>
      <c r="D403" s="619">
        <v>0</v>
      </c>
      <c r="E403" s="619">
        <v>0</v>
      </c>
      <c r="F403" s="619">
        <v>0</v>
      </c>
      <c r="G403" s="619">
        <v>0</v>
      </c>
      <c r="H403" s="625">
        <v>0</v>
      </c>
      <c r="I403" s="619">
        <v>0</v>
      </c>
      <c r="J403" s="619">
        <v>0</v>
      </c>
      <c r="K403" s="619">
        <v>0</v>
      </c>
      <c r="L403" s="619">
        <v>0</v>
      </c>
      <c r="M403" s="619">
        <v>0</v>
      </c>
      <c r="N403" s="619">
        <v>0</v>
      </c>
      <c r="O403" s="619">
        <v>0</v>
      </c>
      <c r="P403" s="619">
        <v>0</v>
      </c>
      <c r="Q403" s="619">
        <v>0</v>
      </c>
      <c r="R403" s="619">
        <v>0</v>
      </c>
      <c r="S403" s="619">
        <v>0</v>
      </c>
      <c r="T403" s="619">
        <v>0</v>
      </c>
      <c r="U403" s="619">
        <v>0</v>
      </c>
      <c r="V403" s="51"/>
      <c r="W403" s="51"/>
      <c r="X403" s="51"/>
    </row>
    <row r="404" spans="1:24">
      <c r="A404" s="51"/>
      <c r="B404" s="51"/>
      <c r="C404" s="620" t="s">
        <v>78</v>
      </c>
      <c r="D404" s="613">
        <v>1.2844353845350245</v>
      </c>
      <c r="E404" s="613">
        <v>0</v>
      </c>
      <c r="F404" s="613">
        <v>0.671413025716175</v>
      </c>
      <c r="G404" s="613">
        <v>0</v>
      </c>
      <c r="H404" s="613">
        <v>0</v>
      </c>
      <c r="I404" s="613">
        <v>1.6768235413433659</v>
      </c>
      <c r="J404" s="613">
        <v>0</v>
      </c>
      <c r="K404" s="613">
        <v>0</v>
      </c>
      <c r="L404" s="613">
        <v>18.511250218523632</v>
      </c>
      <c r="M404" s="613">
        <v>2.0464486619012869</v>
      </c>
      <c r="N404" s="613">
        <v>1.4169866943359375</v>
      </c>
      <c r="O404" s="613">
        <v>31.901778101678747</v>
      </c>
      <c r="P404" s="613">
        <v>11.306912109375</v>
      </c>
      <c r="Q404" s="613">
        <v>8.5890570413253253E-4</v>
      </c>
      <c r="R404" s="613">
        <v>135.19292998685364</v>
      </c>
      <c r="S404" s="613">
        <v>18.430317312360387</v>
      </c>
      <c r="T404" s="613">
        <v>8.2355947265624998</v>
      </c>
      <c r="U404" s="621">
        <v>230.67574866888981</v>
      </c>
      <c r="V404" s="51"/>
      <c r="W404" s="622" t="e" cm="1">
        <f t="array" aca="1" ref="W404" ca="1">_xlfn.IFNA(INDEX(#REF!,MATCH(INDIRECT("Codes_bilans!"&amp;W$1&amp;"$"&amp;#REF!),#REF!,0),MATCH(#REF!,#REF!,0)),0)</f>
        <v>#REF!</v>
      </c>
      <c r="X404" s="51"/>
    </row>
    <row r="405" spans="1:24">
      <c r="A405" s="51"/>
      <c r="B405" s="51"/>
      <c r="C405" s="620" t="s">
        <v>79</v>
      </c>
      <c r="D405" s="613">
        <v>0</v>
      </c>
      <c r="E405" s="613">
        <v>0</v>
      </c>
      <c r="F405" s="613">
        <v>2.0327553633446804</v>
      </c>
      <c r="G405" s="613">
        <v>2.9414401384596758</v>
      </c>
      <c r="H405" s="613">
        <v>0</v>
      </c>
      <c r="I405" s="613">
        <v>0.25814381907328782</v>
      </c>
      <c r="J405" s="613">
        <v>0</v>
      </c>
      <c r="K405" s="613">
        <v>0</v>
      </c>
      <c r="L405" s="613">
        <v>0</v>
      </c>
      <c r="M405" s="613">
        <v>0</v>
      </c>
      <c r="N405" s="613">
        <v>11.290866079539722</v>
      </c>
      <c r="O405" s="613">
        <v>4.9047325623924678</v>
      </c>
      <c r="P405" s="613">
        <v>0</v>
      </c>
      <c r="Q405" s="613">
        <v>0</v>
      </c>
      <c r="R405" s="613">
        <v>110.4417553978261</v>
      </c>
      <c r="S405" s="613">
        <v>0</v>
      </c>
      <c r="T405" s="613">
        <v>5.3966998641798476</v>
      </c>
      <c r="U405" s="621">
        <v>137.26639322481577</v>
      </c>
      <c r="V405" s="51"/>
      <c r="W405" s="622" t="e" cm="1">
        <f t="array" aca="1" ref="W405" ca="1">_xlfn.IFNA(INDEX(#REF!,MATCH(INDIRECT("Codes_bilans!"&amp;W$1&amp;"$"&amp;#REF!),#REF!,0),MATCH(#REF!,#REF!,0)),0)</f>
        <v>#REF!</v>
      </c>
      <c r="X405" s="51"/>
    </row>
    <row r="406" spans="1:24">
      <c r="A406" s="51"/>
      <c r="B406" s="51"/>
      <c r="C406" s="620" t="s">
        <v>80</v>
      </c>
      <c r="D406" s="613">
        <v>0</v>
      </c>
      <c r="E406" s="613">
        <v>0</v>
      </c>
      <c r="F406" s="613">
        <v>1.3379901667389997</v>
      </c>
      <c r="G406" s="613">
        <v>0</v>
      </c>
      <c r="H406" s="613">
        <v>0</v>
      </c>
      <c r="I406" s="613">
        <v>1.3094987150488224</v>
      </c>
      <c r="J406" s="613">
        <v>0</v>
      </c>
      <c r="K406" s="613">
        <v>0</v>
      </c>
      <c r="L406" s="613">
        <v>28.937300829462252</v>
      </c>
      <c r="M406" s="613">
        <v>0</v>
      </c>
      <c r="N406" s="613">
        <v>0</v>
      </c>
      <c r="O406" s="613">
        <v>24.88047558592762</v>
      </c>
      <c r="P406" s="613">
        <v>123.41345399070538</v>
      </c>
      <c r="Q406" s="613">
        <v>3.1166998128913419</v>
      </c>
      <c r="R406" s="613">
        <v>128.52074855567903</v>
      </c>
      <c r="S406" s="613">
        <v>22.248806062911136</v>
      </c>
      <c r="T406" s="613">
        <v>0</v>
      </c>
      <c r="U406" s="621">
        <v>333.76497371936455</v>
      </c>
      <c r="V406" s="51"/>
      <c r="W406" s="622" t="e" cm="1">
        <f t="array" aca="1" ref="W406" ca="1">_xlfn.IFNA(INDEX(#REF!,MATCH(INDIRECT("Codes_bilans!"&amp;W$1&amp;"$"&amp;#REF!),#REF!,0),MATCH(#REF!,#REF!,0)),0)</f>
        <v>#REF!</v>
      </c>
      <c r="X406" s="51"/>
    </row>
    <row r="407" spans="1:24">
      <c r="A407" s="51"/>
      <c r="B407" s="51"/>
      <c r="C407" s="620" t="s">
        <v>81</v>
      </c>
      <c r="D407" s="613">
        <v>0</v>
      </c>
      <c r="E407" s="613">
        <v>0</v>
      </c>
      <c r="F407" s="613">
        <v>0.13103912510682203</v>
      </c>
      <c r="G407" s="613">
        <v>0</v>
      </c>
      <c r="H407" s="613">
        <v>0</v>
      </c>
      <c r="I407" s="613">
        <v>0.65398403873429223</v>
      </c>
      <c r="J407" s="613">
        <v>0</v>
      </c>
      <c r="K407" s="613">
        <v>0</v>
      </c>
      <c r="L407" s="613">
        <v>0.34200087095620557</v>
      </c>
      <c r="M407" s="613">
        <v>2.9244114949902102E-4</v>
      </c>
      <c r="N407" s="613">
        <v>0</v>
      </c>
      <c r="O407" s="613">
        <v>12.425696735951551</v>
      </c>
      <c r="P407" s="613">
        <v>29.475134675869491</v>
      </c>
      <c r="Q407" s="613">
        <v>0.98841007039498519</v>
      </c>
      <c r="R407" s="613">
        <v>81.567308013661545</v>
      </c>
      <c r="S407" s="613">
        <v>18.887400278885494</v>
      </c>
      <c r="T407" s="613">
        <v>0</v>
      </c>
      <c r="U407" s="621">
        <v>144.4712662507099</v>
      </c>
      <c r="V407" s="51"/>
      <c r="W407" s="622" t="e" cm="1">
        <f t="array" aca="1" ref="W407" ca="1">_xlfn.IFNA(INDEX(#REF!,MATCH(INDIRECT("Codes_bilans!"&amp;W$1&amp;"$"&amp;#REF!),#REF!,0),MATCH(#REF!,#REF!,0)),0)</f>
        <v>#REF!</v>
      </c>
      <c r="X407" s="51"/>
    </row>
    <row r="408" spans="1:24">
      <c r="A408" s="51"/>
      <c r="B408" s="51"/>
      <c r="C408" s="620" t="s">
        <v>82</v>
      </c>
      <c r="D408" s="613">
        <v>0</v>
      </c>
      <c r="E408" s="613">
        <v>0</v>
      </c>
      <c r="F408" s="613">
        <v>0.51674120491916908</v>
      </c>
      <c r="G408" s="613">
        <v>0</v>
      </c>
      <c r="H408" s="613">
        <v>0</v>
      </c>
      <c r="I408" s="613">
        <v>8.1327589418857746E-2</v>
      </c>
      <c r="J408" s="613">
        <v>0</v>
      </c>
      <c r="K408" s="613">
        <v>0</v>
      </c>
      <c r="L408" s="613">
        <v>4.5749249618986854</v>
      </c>
      <c r="M408" s="613">
        <v>0</v>
      </c>
      <c r="N408" s="613">
        <v>16.621294257606131</v>
      </c>
      <c r="O408" s="613">
        <v>1.5452241989582969</v>
      </c>
      <c r="P408" s="613">
        <v>1.5</v>
      </c>
      <c r="Q408" s="613">
        <v>2.1874070050904897</v>
      </c>
      <c r="R408" s="613">
        <v>7.8459207286229669</v>
      </c>
      <c r="S408" s="613">
        <v>0</v>
      </c>
      <c r="T408" s="613">
        <v>0.44339331184266689</v>
      </c>
      <c r="U408" s="621">
        <v>35.316233258357272</v>
      </c>
      <c r="V408" s="51"/>
      <c r="W408" s="622" t="e" cm="1">
        <f t="array" aca="1" ref="W408" ca="1">_xlfn.IFNA(INDEX(#REF!,MATCH(INDIRECT("Codes_bilans!"&amp;W$1&amp;"$"&amp;#REF!),#REF!,0),MATCH(#REF!,#REF!,0)),0)</f>
        <v>#REF!</v>
      </c>
      <c r="X408" s="51"/>
    </row>
    <row r="409" spans="1:24">
      <c r="A409" s="51"/>
      <c r="B409" s="51"/>
      <c r="C409" s="620" t="s">
        <v>357</v>
      </c>
      <c r="D409" s="613">
        <v>0</v>
      </c>
      <c r="E409" s="613">
        <v>0</v>
      </c>
      <c r="F409" s="613">
        <v>0</v>
      </c>
      <c r="G409" s="613">
        <v>0</v>
      </c>
      <c r="H409" s="613">
        <v>0</v>
      </c>
      <c r="I409" s="613">
        <v>0</v>
      </c>
      <c r="J409" s="613">
        <v>0</v>
      </c>
      <c r="K409" s="613">
        <v>0</v>
      </c>
      <c r="L409" s="613">
        <v>0</v>
      </c>
      <c r="M409" s="613">
        <v>0</v>
      </c>
      <c r="N409" s="613">
        <v>0</v>
      </c>
      <c r="O409" s="613">
        <v>0</v>
      </c>
      <c r="P409" s="613">
        <v>0</v>
      </c>
      <c r="Q409" s="613">
        <v>0</v>
      </c>
      <c r="R409" s="613">
        <v>2.5199999999999996</v>
      </c>
      <c r="S409" s="613">
        <v>0</v>
      </c>
      <c r="T409" s="613">
        <v>0</v>
      </c>
      <c r="U409" s="621">
        <v>2.5199999999999996</v>
      </c>
      <c r="V409" s="51"/>
      <c r="W409" s="622" t="e" cm="1">
        <f t="array" aca="1" ref="W409" ca="1">_xlfn.IFNA(INDEX(#REF!,MATCH(INDIRECT("Codes_bilans!"&amp;W$1&amp;"$"&amp;#REF!),#REF!,0),MATCH(#REF!,#REF!,0)),0)</f>
        <v>#REF!</v>
      </c>
      <c r="X409" s="51"/>
    </row>
    <row r="410" spans="1:24">
      <c r="A410" s="51"/>
      <c r="B410" s="51"/>
      <c r="C410" s="616" t="s">
        <v>83</v>
      </c>
      <c r="D410" s="617">
        <v>1.2844353845350245</v>
      </c>
      <c r="E410" s="617">
        <v>0</v>
      </c>
      <c r="F410" s="617">
        <v>4.6899388858258462</v>
      </c>
      <c r="G410" s="617">
        <v>2.9414401384596758</v>
      </c>
      <c r="H410" s="624">
        <v>0</v>
      </c>
      <c r="I410" s="617">
        <v>3.9797777036186259</v>
      </c>
      <c r="J410" s="617">
        <v>0</v>
      </c>
      <c r="K410" s="617">
        <v>0</v>
      </c>
      <c r="L410" s="617">
        <v>52.365476880840774</v>
      </c>
      <c r="M410" s="617">
        <v>2.0467411030507856</v>
      </c>
      <c r="N410" s="617">
        <v>29.329147031481789</v>
      </c>
      <c r="O410" s="617">
        <v>75.65790718490868</v>
      </c>
      <c r="P410" s="617">
        <v>165.69550077594988</v>
      </c>
      <c r="Q410" s="617">
        <v>6.2933757940809487</v>
      </c>
      <c r="R410" s="617">
        <v>466.08866268264325</v>
      </c>
      <c r="S410" s="617">
        <v>59.566523654157017</v>
      </c>
      <c r="T410" s="617">
        <v>14.075687902585015</v>
      </c>
      <c r="U410" s="617">
        <v>884.01461512213723</v>
      </c>
      <c r="V410" s="51"/>
      <c r="W410" s="51"/>
      <c r="X410" s="51"/>
    </row>
    <row r="411" spans="1:24">
      <c r="A411" s="51"/>
      <c r="B411" s="51"/>
      <c r="C411" s="612" t="s">
        <v>84</v>
      </c>
      <c r="D411" s="613">
        <v>0</v>
      </c>
      <c r="E411" s="613">
        <v>0</v>
      </c>
      <c r="F411" s="613">
        <v>39.848807090011732</v>
      </c>
      <c r="G411" s="613">
        <v>12.189834391274943</v>
      </c>
      <c r="H411" s="613">
        <v>2.6585092475046008</v>
      </c>
      <c r="I411" s="613">
        <v>0</v>
      </c>
      <c r="J411" s="613">
        <v>0</v>
      </c>
      <c r="K411" s="613">
        <v>0</v>
      </c>
      <c r="L411" s="613">
        <v>0.5962689327253029</v>
      </c>
      <c r="M411" s="613">
        <v>0</v>
      </c>
      <c r="N411" s="613">
        <v>18.105967775029544</v>
      </c>
      <c r="O411" s="613">
        <v>4.780741280438523</v>
      </c>
      <c r="P411" s="613">
        <v>0</v>
      </c>
      <c r="Q411" s="613">
        <v>0</v>
      </c>
      <c r="R411" s="613">
        <v>0</v>
      </c>
      <c r="S411" s="613">
        <v>0</v>
      </c>
      <c r="T411" s="613">
        <v>35.496713960556022</v>
      </c>
      <c r="U411" s="621">
        <v>113.67684267754068</v>
      </c>
      <c r="V411" s="51"/>
      <c r="W411" s="622" t="e" cm="1">
        <f t="array" aca="1" ref="W411" ca="1">_xlfn.IFNA(INDEX(#REF!,MATCH(INDIRECT("Codes_bilans!"&amp;W$1&amp;"$"&amp;#REF!),#REF!,0),MATCH(#REF!,#REF!,0)),0)</f>
        <v>#REF!</v>
      </c>
      <c r="X411" s="51"/>
    </row>
    <row r="412" spans="1:24">
      <c r="A412" s="51"/>
      <c r="B412" s="51"/>
      <c r="C412" s="616" t="s">
        <v>85</v>
      </c>
      <c r="D412" s="617">
        <v>1.2844353845350245</v>
      </c>
      <c r="E412" s="617">
        <v>0</v>
      </c>
      <c r="F412" s="617">
        <v>44.538745975837578</v>
      </c>
      <c r="G412" s="617">
        <v>15.131274529734618</v>
      </c>
      <c r="H412" s="624">
        <v>2.6585092475046008</v>
      </c>
      <c r="I412" s="617">
        <v>3.9797777036186259</v>
      </c>
      <c r="J412" s="617">
        <v>0</v>
      </c>
      <c r="K412" s="617">
        <v>0</v>
      </c>
      <c r="L412" s="617">
        <v>52.961745813566075</v>
      </c>
      <c r="M412" s="617">
        <v>2.0467411030507856</v>
      </c>
      <c r="N412" s="617">
        <v>47.435114806511329</v>
      </c>
      <c r="O412" s="617">
        <v>80.4386484653472</v>
      </c>
      <c r="P412" s="617">
        <v>165.69550077594988</v>
      </c>
      <c r="Q412" s="617">
        <v>6.2933757940809487</v>
      </c>
      <c r="R412" s="617">
        <v>466.08866268264325</v>
      </c>
      <c r="S412" s="617">
        <v>59.566523654157017</v>
      </c>
      <c r="T412" s="617">
        <v>49.572401863141039</v>
      </c>
      <c r="U412" s="617">
        <v>997.69145779967789</v>
      </c>
      <c r="V412" s="51"/>
      <c r="W412" s="51"/>
      <c r="X412" s="51"/>
    </row>
    <row r="413" spans="1:24">
      <c r="A413" s="51"/>
      <c r="B413" s="51"/>
      <c r="C413" s="51"/>
      <c r="D413" s="67">
        <v>0</v>
      </c>
      <c r="E413" s="67">
        <v>0</v>
      </c>
      <c r="F413" s="67">
        <v>0</v>
      </c>
      <c r="G413" s="67">
        <v>0</v>
      </c>
      <c r="H413" s="67">
        <v>0</v>
      </c>
      <c r="I413" s="67">
        <v>4.9960036108132044E-16</v>
      </c>
      <c r="J413" s="67">
        <v>0</v>
      </c>
      <c r="K413" s="67">
        <v>0</v>
      </c>
      <c r="L413" s="67">
        <v>0</v>
      </c>
      <c r="M413" s="67">
        <v>0</v>
      </c>
      <c r="N413" s="67">
        <v>0</v>
      </c>
      <c r="O413" s="67">
        <v>0</v>
      </c>
      <c r="P413" s="67">
        <v>0</v>
      </c>
      <c r="Q413" s="67">
        <v>0</v>
      </c>
      <c r="R413" s="67">
        <v>-5.6843418860808015E-14</v>
      </c>
      <c r="S413" s="67">
        <v>7.1054273576010019E-15</v>
      </c>
      <c r="T413" s="67">
        <v>-1.4654943925052066E-14</v>
      </c>
      <c r="U413" s="67">
        <v>0</v>
      </c>
      <c r="V413" s="51"/>
      <c r="W413" s="51"/>
      <c r="X413" s="51"/>
    </row>
    <row r="414" spans="1:24">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row>
  </sheetData>
  <mergeCells count="154">
    <mergeCell ref="H343:H344"/>
    <mergeCell ref="J343:J344"/>
    <mergeCell ref="K343:K344"/>
    <mergeCell ref="L343:Q343"/>
    <mergeCell ref="I306:I307"/>
    <mergeCell ref="R306:R307"/>
    <mergeCell ref="S306:S307"/>
    <mergeCell ref="C306:C307"/>
    <mergeCell ref="D306:D307"/>
    <mergeCell ref="E306:E307"/>
    <mergeCell ref="F306:F307"/>
    <mergeCell ref="G306:G307"/>
    <mergeCell ref="H306:H307"/>
    <mergeCell ref="I269:I270"/>
    <mergeCell ref="R269:R270"/>
    <mergeCell ref="S269:S270"/>
    <mergeCell ref="C269:C270"/>
    <mergeCell ref="D269:D270"/>
    <mergeCell ref="E269:E270"/>
    <mergeCell ref="F269:F270"/>
    <mergeCell ref="G269:G270"/>
    <mergeCell ref="H269:H270"/>
    <mergeCell ref="I232:I233"/>
    <mergeCell ref="R232:R233"/>
    <mergeCell ref="S232:S233"/>
    <mergeCell ref="C232:C233"/>
    <mergeCell ref="D232:D233"/>
    <mergeCell ref="E232:E233"/>
    <mergeCell ref="F232:F233"/>
    <mergeCell ref="G232:G233"/>
    <mergeCell ref="H232:H233"/>
    <mergeCell ref="J232:J233"/>
    <mergeCell ref="K232:K233"/>
    <mergeCell ref="L232:Q232"/>
    <mergeCell ref="I195:I196"/>
    <mergeCell ref="R195:R196"/>
    <mergeCell ref="S195:S196"/>
    <mergeCell ref="C195:C196"/>
    <mergeCell ref="D195:D196"/>
    <mergeCell ref="E195:E196"/>
    <mergeCell ref="F195:F196"/>
    <mergeCell ref="G195:G196"/>
    <mergeCell ref="H195:H196"/>
    <mergeCell ref="I158:I159"/>
    <mergeCell ref="R158:R159"/>
    <mergeCell ref="S158:S159"/>
    <mergeCell ref="C158:C159"/>
    <mergeCell ref="D158:D159"/>
    <mergeCell ref="E158:E159"/>
    <mergeCell ref="F158:F159"/>
    <mergeCell ref="G158:G159"/>
    <mergeCell ref="H158:H159"/>
    <mergeCell ref="I121:I122"/>
    <mergeCell ref="R121:R122"/>
    <mergeCell ref="S121:S122"/>
    <mergeCell ref="C121:C122"/>
    <mergeCell ref="D121:D122"/>
    <mergeCell ref="E121:E122"/>
    <mergeCell ref="F121:F122"/>
    <mergeCell ref="G121:G122"/>
    <mergeCell ref="H121:H122"/>
    <mergeCell ref="J121:J122"/>
    <mergeCell ref="K121:K122"/>
    <mergeCell ref="L121:Q121"/>
    <mergeCell ref="I84:I85"/>
    <mergeCell ref="R84:R85"/>
    <mergeCell ref="S84:S85"/>
    <mergeCell ref="C84:C85"/>
    <mergeCell ref="D84:D85"/>
    <mergeCell ref="E84:E85"/>
    <mergeCell ref="F84:F85"/>
    <mergeCell ref="G84:G85"/>
    <mergeCell ref="H84:H85"/>
    <mergeCell ref="I47:I48"/>
    <mergeCell ref="R47:R48"/>
    <mergeCell ref="S47:S48"/>
    <mergeCell ref="C47:C48"/>
    <mergeCell ref="D47:D48"/>
    <mergeCell ref="E47:E48"/>
    <mergeCell ref="F47:F48"/>
    <mergeCell ref="G47:G48"/>
    <mergeCell ref="H47:H48"/>
    <mergeCell ref="I10:I11"/>
    <mergeCell ref="R10:R11"/>
    <mergeCell ref="S10:S11"/>
    <mergeCell ref="C10:C11"/>
    <mergeCell ref="D10:D11"/>
    <mergeCell ref="E10:E11"/>
    <mergeCell ref="F10:F11"/>
    <mergeCell ref="G10:G11"/>
    <mergeCell ref="H10:H11"/>
    <mergeCell ref="J10:J11"/>
    <mergeCell ref="K10:K11"/>
    <mergeCell ref="L10:Q10"/>
    <mergeCell ref="T10:T11"/>
    <mergeCell ref="U10:U11"/>
    <mergeCell ref="J47:J48"/>
    <mergeCell ref="K47:K48"/>
    <mergeCell ref="L47:Q47"/>
    <mergeCell ref="T47:T48"/>
    <mergeCell ref="U47:U48"/>
    <mergeCell ref="J84:J85"/>
    <mergeCell ref="K84:K85"/>
    <mergeCell ref="L84:Q84"/>
    <mergeCell ref="T84:T85"/>
    <mergeCell ref="U84:U85"/>
    <mergeCell ref="T121:T122"/>
    <mergeCell ref="U121:U122"/>
    <mergeCell ref="J158:J159"/>
    <mergeCell ref="K158:K159"/>
    <mergeCell ref="L158:Q158"/>
    <mergeCell ref="T158:T159"/>
    <mergeCell ref="U158:U159"/>
    <mergeCell ref="J195:J196"/>
    <mergeCell ref="K195:K196"/>
    <mergeCell ref="L195:Q195"/>
    <mergeCell ref="T195:T196"/>
    <mergeCell ref="U195:U196"/>
    <mergeCell ref="T232:T233"/>
    <mergeCell ref="U232:U233"/>
    <mergeCell ref="J269:J270"/>
    <mergeCell ref="K269:K270"/>
    <mergeCell ref="L269:Q269"/>
    <mergeCell ref="T269:T270"/>
    <mergeCell ref="U269:U270"/>
    <mergeCell ref="J306:J307"/>
    <mergeCell ref="K306:K307"/>
    <mergeCell ref="L306:Q306"/>
    <mergeCell ref="T306:T307"/>
    <mergeCell ref="U306:U307"/>
    <mergeCell ref="T343:T344"/>
    <mergeCell ref="U343:U344"/>
    <mergeCell ref="C380:C381"/>
    <mergeCell ref="D380:D381"/>
    <mergeCell ref="E380:E381"/>
    <mergeCell ref="F380:F381"/>
    <mergeCell ref="G380:G381"/>
    <mergeCell ref="H380:H381"/>
    <mergeCell ref="I380:I381"/>
    <mergeCell ref="J380:J381"/>
    <mergeCell ref="K380:K381"/>
    <mergeCell ref="L380:Q380"/>
    <mergeCell ref="R380:R381"/>
    <mergeCell ref="S380:S381"/>
    <mergeCell ref="T380:T381"/>
    <mergeCell ref="U380:U381"/>
    <mergeCell ref="I343:I344"/>
    <mergeCell ref="R343:R344"/>
    <mergeCell ref="S343:S344"/>
    <mergeCell ref="C343:C344"/>
    <mergeCell ref="D343:D344"/>
    <mergeCell ref="E343:E344"/>
    <mergeCell ref="F343:F344"/>
    <mergeCell ref="G343:G344"/>
  </mergeCells>
  <conditionalFormatting sqref="L11:P11 D42:F42 R33:U33 U387:U389 D32:F40 U402:U410 U20:U31 D12:F19 N12:O12 R12:U12 H12:H19 H32:H40 H42 J42:U42 J33:K33 J34:U40 J32:U32 J13:U19 G12">
    <cfRule type="cellIs" dxfId="4071" priority="719" operator="equal">
      <formula>0</formula>
    </cfRule>
  </conditionalFormatting>
  <conditionalFormatting sqref="R12:R14">
    <cfRule type="cellIs" dxfId="4070" priority="718" operator="equal">
      <formula>0</formula>
    </cfRule>
  </conditionalFormatting>
  <conditionalFormatting sqref="R12:T12 N12:O12 D13:F14 H13:H14 J13:T14">
    <cfRule type="cellIs" dxfId="4069" priority="717" operator="equal">
      <formula>0</formula>
    </cfRule>
  </conditionalFormatting>
  <conditionalFormatting sqref="F13:F14">
    <cfRule type="cellIs" dxfId="4068" priority="716" operator="equal">
      <formula>0</formula>
    </cfRule>
  </conditionalFormatting>
  <conditionalFormatting sqref="Q11">
    <cfRule type="cellIs" dxfId="4067" priority="715" operator="equal">
      <formula>0</formula>
    </cfRule>
  </conditionalFormatting>
  <conditionalFormatting sqref="N12:O12">
    <cfRule type="cellIs" dxfId="4066" priority="714" operator="equal">
      <formula>0</formula>
    </cfRule>
  </conditionalFormatting>
  <conditionalFormatting sqref="L15:L17 L33">
    <cfRule type="cellIs" dxfId="4065" priority="713" operator="equal">
      <formula>0</formula>
    </cfRule>
  </conditionalFormatting>
  <conditionalFormatting sqref="L13:L14">
    <cfRule type="cellIs" dxfId="4064" priority="712" operator="equal">
      <formula>0</formula>
    </cfRule>
  </conditionalFormatting>
  <conditionalFormatting sqref="M15:M17 M33">
    <cfRule type="cellIs" dxfId="4063" priority="711" operator="equal">
      <formula>0</formula>
    </cfRule>
  </conditionalFormatting>
  <conditionalFormatting sqref="M13:M14">
    <cfRule type="cellIs" dxfId="4062" priority="710" operator="equal">
      <formula>0</formula>
    </cfRule>
  </conditionalFormatting>
  <conditionalFormatting sqref="N15:N17 N33">
    <cfRule type="cellIs" dxfId="4061" priority="709" operator="equal">
      <formula>0</formula>
    </cfRule>
  </conditionalFormatting>
  <conditionalFormatting sqref="N12:N14">
    <cfRule type="cellIs" dxfId="4060" priority="708" operator="equal">
      <formula>0</formula>
    </cfRule>
  </conditionalFormatting>
  <conditionalFormatting sqref="O15:O17 O33">
    <cfRule type="cellIs" dxfId="4059" priority="707" operator="equal">
      <formula>0</formula>
    </cfRule>
  </conditionalFormatting>
  <conditionalFormatting sqref="O12:O14">
    <cfRule type="cellIs" dxfId="4058" priority="706" operator="equal">
      <formula>0</formula>
    </cfRule>
  </conditionalFormatting>
  <conditionalFormatting sqref="P15:P17 P33">
    <cfRule type="cellIs" dxfId="4057" priority="705" operator="equal">
      <formula>0</formula>
    </cfRule>
  </conditionalFormatting>
  <conditionalFormatting sqref="P13:P14">
    <cfRule type="cellIs" dxfId="4056" priority="704" operator="equal">
      <formula>0</formula>
    </cfRule>
  </conditionalFormatting>
  <conditionalFormatting sqref="Q15:Q17 Q33">
    <cfRule type="cellIs" dxfId="4055" priority="703" operator="equal">
      <formula>0</formula>
    </cfRule>
  </conditionalFormatting>
  <conditionalFormatting sqref="Q13:Q14">
    <cfRule type="cellIs" dxfId="4054" priority="702" operator="equal">
      <formula>0</formula>
    </cfRule>
  </conditionalFormatting>
  <conditionalFormatting sqref="W34:W39">
    <cfRule type="cellIs" dxfId="4053" priority="701" operator="equal">
      <formula>0</formula>
    </cfRule>
  </conditionalFormatting>
  <conditionalFormatting sqref="W41">
    <cfRule type="cellIs" dxfId="4052" priority="700" operator="equal">
      <formula>0</formula>
    </cfRule>
  </conditionalFormatting>
  <conditionalFormatting sqref="D41:F41 H41 J41:U41">
    <cfRule type="cellIs" dxfId="4051" priority="699" operator="equal">
      <formula>0</formula>
    </cfRule>
  </conditionalFormatting>
  <conditionalFormatting sqref="D34:F42 U402 D32:F32 U20:U31 D12:F18 N12:O12 R12:U12 H12:H18 H32 H34:H42 J34:U42 J32:U32 J13:U18 G12">
    <cfRule type="containsBlanks" dxfId="4050" priority="698">
      <formula>LEN(TRIM(D12))=0</formula>
    </cfRule>
  </conditionalFormatting>
  <conditionalFormatting sqref="L48:P48">
    <cfRule type="cellIs" dxfId="4049" priority="697" operator="equal">
      <formula>0</formula>
    </cfRule>
  </conditionalFormatting>
  <conditionalFormatting sqref="Q48">
    <cfRule type="cellIs" dxfId="4048" priority="696" operator="equal">
      <formula>0</formula>
    </cfRule>
  </conditionalFormatting>
  <conditionalFormatting sqref="W71:W76">
    <cfRule type="cellIs" dxfId="4047" priority="695" operator="equal">
      <formula>0</formula>
    </cfRule>
  </conditionalFormatting>
  <conditionalFormatting sqref="W78">
    <cfRule type="cellIs" dxfId="4046" priority="694" operator="equal">
      <formula>0</formula>
    </cfRule>
  </conditionalFormatting>
  <conditionalFormatting sqref="L85:P85">
    <cfRule type="cellIs" dxfId="4045" priority="693" operator="equal">
      <formula>0</formula>
    </cfRule>
  </conditionalFormatting>
  <conditionalFormatting sqref="Q85">
    <cfRule type="cellIs" dxfId="4044" priority="692" operator="equal">
      <formula>0</formula>
    </cfRule>
  </conditionalFormatting>
  <conditionalFormatting sqref="W108:W113">
    <cfRule type="cellIs" dxfId="4043" priority="691" operator="equal">
      <formula>0</formula>
    </cfRule>
  </conditionalFormatting>
  <conditionalFormatting sqref="W115">
    <cfRule type="cellIs" dxfId="4042" priority="690" operator="equal">
      <formula>0</formula>
    </cfRule>
  </conditionalFormatting>
  <conditionalFormatting sqref="L122:P122">
    <cfRule type="cellIs" dxfId="4041" priority="689" operator="equal">
      <formula>0</formula>
    </cfRule>
  </conditionalFormatting>
  <conditionalFormatting sqref="Q122">
    <cfRule type="cellIs" dxfId="4040" priority="688" operator="equal">
      <formula>0</formula>
    </cfRule>
  </conditionalFormatting>
  <conditionalFormatting sqref="W145:W150">
    <cfRule type="cellIs" dxfId="4039" priority="687" operator="equal">
      <formula>0</formula>
    </cfRule>
  </conditionalFormatting>
  <conditionalFormatting sqref="W152">
    <cfRule type="cellIs" dxfId="4038" priority="686" operator="equal">
      <formula>0</formula>
    </cfRule>
  </conditionalFormatting>
  <conditionalFormatting sqref="L159:P159">
    <cfRule type="cellIs" dxfId="4037" priority="685" operator="equal">
      <formula>0</formula>
    </cfRule>
  </conditionalFormatting>
  <conditionalFormatting sqref="Q159">
    <cfRule type="cellIs" dxfId="4036" priority="684" operator="equal">
      <formula>0</formula>
    </cfRule>
  </conditionalFormatting>
  <conditionalFormatting sqref="W182:W187">
    <cfRule type="cellIs" dxfId="4035" priority="683" operator="equal">
      <formula>0</formula>
    </cfRule>
  </conditionalFormatting>
  <conditionalFormatting sqref="W189">
    <cfRule type="cellIs" dxfId="4034" priority="682" operator="equal">
      <formula>0</formula>
    </cfRule>
  </conditionalFormatting>
  <conditionalFormatting sqref="L196:P196">
    <cfRule type="cellIs" dxfId="4033" priority="681" operator="equal">
      <formula>0</formula>
    </cfRule>
  </conditionalFormatting>
  <conditionalFormatting sqref="Q196">
    <cfRule type="cellIs" dxfId="4032" priority="680" operator="equal">
      <formula>0</formula>
    </cfRule>
  </conditionalFormatting>
  <conditionalFormatting sqref="W219:W224">
    <cfRule type="cellIs" dxfId="4031" priority="679" operator="equal">
      <formula>0</formula>
    </cfRule>
  </conditionalFormatting>
  <conditionalFormatting sqref="W226">
    <cfRule type="cellIs" dxfId="4030" priority="678" operator="equal">
      <formula>0</formula>
    </cfRule>
  </conditionalFormatting>
  <conditionalFormatting sqref="D41:F41 H41 J41:T41">
    <cfRule type="cellIs" dxfId="4029" priority="677" operator="equal">
      <formula>0</formula>
    </cfRule>
  </conditionalFormatting>
  <conditionalFormatting sqref="L233:P233">
    <cfRule type="cellIs" dxfId="4028" priority="676" operator="equal">
      <formula>0</formula>
    </cfRule>
  </conditionalFormatting>
  <conditionalFormatting sqref="Q233">
    <cfRule type="cellIs" dxfId="4027" priority="675" operator="equal">
      <formula>0</formula>
    </cfRule>
  </conditionalFormatting>
  <conditionalFormatting sqref="W256:W261">
    <cfRule type="cellIs" dxfId="4026" priority="674" operator="equal">
      <formula>0</formula>
    </cfRule>
  </conditionalFormatting>
  <conditionalFormatting sqref="W263">
    <cfRule type="cellIs" dxfId="4025" priority="673" operator="equal">
      <formula>0</formula>
    </cfRule>
  </conditionalFormatting>
  <conditionalFormatting sqref="L270:P270">
    <cfRule type="cellIs" dxfId="4024" priority="672" operator="equal">
      <formula>0</formula>
    </cfRule>
  </conditionalFormatting>
  <conditionalFormatting sqref="Q270">
    <cfRule type="cellIs" dxfId="4023" priority="671" operator="equal">
      <formula>0</formula>
    </cfRule>
  </conditionalFormatting>
  <conditionalFormatting sqref="W293:W298">
    <cfRule type="cellIs" dxfId="4022" priority="670" operator="equal">
      <formula>0</formula>
    </cfRule>
  </conditionalFormatting>
  <conditionalFormatting sqref="W300">
    <cfRule type="cellIs" dxfId="4021" priority="669" operator="equal">
      <formula>0</formula>
    </cfRule>
  </conditionalFormatting>
  <conditionalFormatting sqref="L307:P307">
    <cfRule type="cellIs" dxfId="4020" priority="668" operator="equal">
      <formula>0</formula>
    </cfRule>
  </conditionalFormatting>
  <conditionalFormatting sqref="Q307">
    <cfRule type="cellIs" dxfId="4019" priority="667" operator="equal">
      <formula>0</formula>
    </cfRule>
  </conditionalFormatting>
  <conditionalFormatting sqref="W330:W335">
    <cfRule type="cellIs" dxfId="4018" priority="666" operator="equal">
      <formula>0</formula>
    </cfRule>
  </conditionalFormatting>
  <conditionalFormatting sqref="W337">
    <cfRule type="cellIs" dxfId="4017" priority="665" operator="equal">
      <formula>0</formula>
    </cfRule>
  </conditionalFormatting>
  <conditionalFormatting sqref="L344:P344">
    <cfRule type="cellIs" dxfId="4016" priority="664" operator="equal">
      <formula>0</formula>
    </cfRule>
  </conditionalFormatting>
  <conditionalFormatting sqref="Q344">
    <cfRule type="cellIs" dxfId="4015" priority="663" operator="equal">
      <formula>0</formula>
    </cfRule>
  </conditionalFormatting>
  <conditionalFormatting sqref="W367:W372">
    <cfRule type="cellIs" dxfId="4014" priority="662" operator="equal">
      <formula>0</formula>
    </cfRule>
  </conditionalFormatting>
  <conditionalFormatting sqref="W374">
    <cfRule type="cellIs" dxfId="4013" priority="661" operator="equal">
      <formula>0</formula>
    </cfRule>
  </conditionalFormatting>
  <conditionalFormatting sqref="L381:P381">
    <cfRule type="cellIs" dxfId="4012" priority="660" operator="equal">
      <formula>0</formula>
    </cfRule>
  </conditionalFormatting>
  <conditionalFormatting sqref="Q381">
    <cfRule type="cellIs" dxfId="4011" priority="659" operator="equal">
      <formula>0</formula>
    </cfRule>
  </conditionalFormatting>
  <conditionalFormatting sqref="W404:W409">
    <cfRule type="cellIs" dxfId="4010" priority="658" operator="equal">
      <formula>0</formula>
    </cfRule>
  </conditionalFormatting>
  <conditionalFormatting sqref="W411">
    <cfRule type="cellIs" dxfId="4009" priority="657" operator="equal">
      <formula>0</formula>
    </cfRule>
  </conditionalFormatting>
  <conditionalFormatting sqref="U412 U382:U384">
    <cfRule type="cellIs" dxfId="4008" priority="656" operator="equal">
      <formula>0</formula>
    </cfRule>
  </conditionalFormatting>
  <conditionalFormatting sqref="U411">
    <cfRule type="cellIs" dxfId="4007" priority="655" operator="equal">
      <formula>0</formula>
    </cfRule>
  </conditionalFormatting>
  <conditionalFormatting sqref="U404:U412 U382:U384 U387:U388">
    <cfRule type="containsBlanks" dxfId="4006" priority="654">
      <formula>LEN(TRIM(U382))=0</formula>
    </cfRule>
  </conditionalFormatting>
  <conditionalFormatting sqref="N15:N16">
    <cfRule type="cellIs" dxfId="4005" priority="653" operator="equal">
      <formula>0</formula>
    </cfRule>
  </conditionalFormatting>
  <conditionalFormatting sqref="O15:O16">
    <cfRule type="cellIs" dxfId="4004" priority="652" operator="equal">
      <formula>0</formula>
    </cfRule>
  </conditionalFormatting>
  <conditionalFormatting sqref="U385:U386">
    <cfRule type="cellIs" dxfId="4003" priority="651" operator="equal">
      <formula>0</formula>
    </cfRule>
  </conditionalFormatting>
  <conditionalFormatting sqref="U385:U386">
    <cfRule type="containsBlanks" dxfId="4002" priority="650">
      <formula>LEN(TRIM(U385))=0</formula>
    </cfRule>
  </conditionalFormatting>
  <conditionalFormatting sqref="P15:Q15">
    <cfRule type="cellIs" dxfId="4001" priority="649" operator="equal">
      <formula>0</formula>
    </cfRule>
  </conditionalFormatting>
  <conditionalFormatting sqref="P16:Q16">
    <cfRule type="cellIs" dxfId="4000" priority="648" operator="equal">
      <formula>0</formula>
    </cfRule>
  </conditionalFormatting>
  <conditionalFormatting sqref="U390:U401">
    <cfRule type="cellIs" dxfId="3999" priority="647" operator="equal">
      <formula>0</formula>
    </cfRule>
  </conditionalFormatting>
  <conditionalFormatting sqref="U390:U401">
    <cfRule type="containsBlanks" dxfId="3998" priority="646">
      <formula>LEN(TRIM(U390))=0</formula>
    </cfRule>
  </conditionalFormatting>
  <conditionalFormatting sqref="U79 U49:U77">
    <cfRule type="cellIs" dxfId="3997" priority="645" operator="equal">
      <formula>0</formula>
    </cfRule>
  </conditionalFormatting>
  <conditionalFormatting sqref="U78">
    <cfRule type="cellIs" dxfId="3996" priority="644" operator="equal">
      <formula>0</formula>
    </cfRule>
  </conditionalFormatting>
  <conditionalFormatting sqref="U71:U79 U49:U55 U57:U69">
    <cfRule type="containsBlanks" dxfId="3995" priority="643">
      <formula>LEN(TRIM(U49))=0</formula>
    </cfRule>
  </conditionalFormatting>
  <conditionalFormatting sqref="U116 U86:U114">
    <cfRule type="cellIs" dxfId="3994" priority="642" operator="equal">
      <formula>0</formula>
    </cfRule>
  </conditionalFormatting>
  <conditionalFormatting sqref="U115">
    <cfRule type="cellIs" dxfId="3993" priority="641" operator="equal">
      <formula>0</formula>
    </cfRule>
  </conditionalFormatting>
  <conditionalFormatting sqref="U108:U116 U86:U92 U94:U106">
    <cfRule type="containsBlanks" dxfId="3992" priority="640">
      <formula>LEN(TRIM(U86))=0</formula>
    </cfRule>
  </conditionalFormatting>
  <conditionalFormatting sqref="U153 U123:U151">
    <cfRule type="cellIs" dxfId="3991" priority="639" operator="equal">
      <formula>0</formula>
    </cfRule>
  </conditionalFormatting>
  <conditionalFormatting sqref="U152">
    <cfRule type="cellIs" dxfId="3990" priority="638" operator="equal">
      <formula>0</formula>
    </cfRule>
  </conditionalFormatting>
  <conditionalFormatting sqref="U145:U153 U123:U129 U131:U143">
    <cfRule type="containsBlanks" dxfId="3989" priority="637">
      <formula>LEN(TRIM(U123))=0</formula>
    </cfRule>
  </conditionalFormatting>
  <conditionalFormatting sqref="U190 U160:U188">
    <cfRule type="cellIs" dxfId="3988" priority="636" operator="equal">
      <formula>0</formula>
    </cfRule>
  </conditionalFormatting>
  <conditionalFormatting sqref="U189">
    <cfRule type="cellIs" dxfId="3987" priority="635" operator="equal">
      <formula>0</formula>
    </cfRule>
  </conditionalFormatting>
  <conditionalFormatting sqref="U182:U190 U160:U166 U168:U180">
    <cfRule type="containsBlanks" dxfId="3986" priority="634">
      <formula>LEN(TRIM(U160))=0</formula>
    </cfRule>
  </conditionalFormatting>
  <conditionalFormatting sqref="U227 U197:U225">
    <cfRule type="cellIs" dxfId="3985" priority="633" operator="equal">
      <formula>0</formula>
    </cfRule>
  </conditionalFormatting>
  <conditionalFormatting sqref="U226">
    <cfRule type="cellIs" dxfId="3984" priority="632" operator="equal">
      <formula>0</formula>
    </cfRule>
  </conditionalFormatting>
  <conditionalFormatting sqref="U219:U227 U197:U203 U205:U217">
    <cfRule type="containsBlanks" dxfId="3983" priority="631">
      <formula>LEN(TRIM(U197))=0</formula>
    </cfRule>
  </conditionalFormatting>
  <conditionalFormatting sqref="U264 U234:U262">
    <cfRule type="cellIs" dxfId="3982" priority="630" operator="equal">
      <formula>0</formula>
    </cfRule>
  </conditionalFormatting>
  <conditionalFormatting sqref="U263">
    <cfRule type="cellIs" dxfId="3981" priority="629" operator="equal">
      <formula>0</formula>
    </cfRule>
  </conditionalFormatting>
  <conditionalFormatting sqref="U256:U264 U234:U240 U242:U254">
    <cfRule type="containsBlanks" dxfId="3980" priority="628">
      <formula>LEN(TRIM(U234))=0</formula>
    </cfRule>
  </conditionalFormatting>
  <conditionalFormatting sqref="U301 U271:U299">
    <cfRule type="cellIs" dxfId="3979" priority="627" operator="equal">
      <formula>0</formula>
    </cfRule>
  </conditionalFormatting>
  <conditionalFormatting sqref="U300">
    <cfRule type="cellIs" dxfId="3978" priority="626" operator="equal">
      <formula>0</formula>
    </cfRule>
  </conditionalFormatting>
  <conditionalFormatting sqref="U293:U301 U271:U277 U279:U291">
    <cfRule type="containsBlanks" dxfId="3977" priority="625">
      <formula>LEN(TRIM(U271))=0</formula>
    </cfRule>
  </conditionalFormatting>
  <conditionalFormatting sqref="U338 U308:U336">
    <cfRule type="cellIs" dxfId="3976" priority="624" operator="equal">
      <formula>0</formula>
    </cfRule>
  </conditionalFormatting>
  <conditionalFormatting sqref="U337">
    <cfRule type="cellIs" dxfId="3975" priority="623" operator="equal">
      <formula>0</formula>
    </cfRule>
  </conditionalFormatting>
  <conditionalFormatting sqref="U330:U338 U308:U314 U316:U328">
    <cfRule type="containsBlanks" dxfId="3974" priority="622">
      <formula>LEN(TRIM(U308))=0</formula>
    </cfRule>
  </conditionalFormatting>
  <conditionalFormatting sqref="U375 U345:U373">
    <cfRule type="cellIs" dxfId="3973" priority="621" operator="equal">
      <formula>0</formula>
    </cfRule>
  </conditionalFormatting>
  <conditionalFormatting sqref="U374">
    <cfRule type="cellIs" dxfId="3972" priority="620" operator="equal">
      <formula>0</formula>
    </cfRule>
  </conditionalFormatting>
  <conditionalFormatting sqref="U367:U375 U345:U351 U353:U365">
    <cfRule type="containsBlanks" dxfId="3971" priority="619">
      <formula>LEN(TRIM(U345))=0</formula>
    </cfRule>
  </conditionalFormatting>
  <conditionalFormatting sqref="D20:F31 H20:H31 J20:T31">
    <cfRule type="cellIs" dxfId="3970" priority="618" operator="equal">
      <formula>0</formula>
    </cfRule>
  </conditionalFormatting>
  <conditionalFormatting sqref="D20:F31 H20:H31 J20:T31">
    <cfRule type="containsBlanks" dxfId="3969" priority="617">
      <formula>LEN(TRIM(D20))=0</formula>
    </cfRule>
  </conditionalFormatting>
  <conditionalFormatting sqref="J12">
    <cfRule type="cellIs" dxfId="3968" priority="616" operator="equal">
      <formula>0</formula>
    </cfRule>
  </conditionalFormatting>
  <conditionalFormatting sqref="K12">
    <cfRule type="cellIs" dxfId="3967" priority="615" operator="equal">
      <formula>0</formula>
    </cfRule>
  </conditionalFormatting>
  <conditionalFormatting sqref="L12:M12">
    <cfRule type="cellIs" dxfId="3966" priority="614" operator="equal">
      <formula>0</formula>
    </cfRule>
  </conditionalFormatting>
  <conditionalFormatting sqref="M12">
    <cfRule type="cellIs" dxfId="3965" priority="613" operator="equal">
      <formula>0</formula>
    </cfRule>
  </conditionalFormatting>
  <conditionalFormatting sqref="J12:M12">
    <cfRule type="containsBlanks" dxfId="3964" priority="612">
      <formula>LEN(TRIM(J12))=0</formula>
    </cfRule>
  </conditionalFormatting>
  <conditionalFormatting sqref="P12:Q12">
    <cfRule type="cellIs" dxfId="3963" priority="611" operator="equal">
      <formula>0</formula>
    </cfRule>
  </conditionalFormatting>
  <conditionalFormatting sqref="P12:Q12">
    <cfRule type="cellIs" dxfId="3962" priority="610" operator="equal">
      <formula>0</formula>
    </cfRule>
  </conditionalFormatting>
  <conditionalFormatting sqref="P12:Q12">
    <cfRule type="containsBlanks" dxfId="3961" priority="609">
      <formula>LEN(TRIM(P12))=0</formula>
    </cfRule>
  </conditionalFormatting>
  <conditionalFormatting sqref="D79:F79 R70:T70 D69:F77 D49:F56 N49:O49 R49:T49 J79:T79 J70:K70 J71:T77 J69:T69 J50:T56">
    <cfRule type="cellIs" dxfId="3960" priority="608" operator="equal">
      <formula>0</formula>
    </cfRule>
  </conditionalFormatting>
  <conditionalFormatting sqref="R49:R51">
    <cfRule type="cellIs" dxfId="3959" priority="607" operator="equal">
      <formula>0</formula>
    </cfRule>
  </conditionalFormatting>
  <conditionalFormatting sqref="R49:T49 N49:O49 D50:F51 J50:T51">
    <cfRule type="cellIs" dxfId="3958" priority="606" operator="equal">
      <formula>0</formula>
    </cfRule>
  </conditionalFormatting>
  <conditionalFormatting sqref="F50:F51">
    <cfRule type="cellIs" dxfId="3957" priority="605" operator="equal">
      <formula>0</formula>
    </cfRule>
  </conditionalFormatting>
  <conditionalFormatting sqref="N49:O49">
    <cfRule type="cellIs" dxfId="3956" priority="604" operator="equal">
      <formula>0</formula>
    </cfRule>
  </conditionalFormatting>
  <conditionalFormatting sqref="L52:L54 L70">
    <cfRule type="cellIs" dxfId="3955" priority="603" operator="equal">
      <formula>0</formula>
    </cfRule>
  </conditionalFormatting>
  <conditionalFormatting sqref="L50:L51">
    <cfRule type="cellIs" dxfId="3954" priority="602" operator="equal">
      <formula>0</formula>
    </cfRule>
  </conditionalFormatting>
  <conditionalFormatting sqref="M52:M54 M70">
    <cfRule type="cellIs" dxfId="3953" priority="601" operator="equal">
      <formula>0</formula>
    </cfRule>
  </conditionalFormatting>
  <conditionalFormatting sqref="M50:M51">
    <cfRule type="cellIs" dxfId="3952" priority="600" operator="equal">
      <formula>0</formula>
    </cfRule>
  </conditionalFormatting>
  <conditionalFormatting sqref="N52:N54 N70">
    <cfRule type="cellIs" dxfId="3951" priority="599" operator="equal">
      <formula>0</formula>
    </cfRule>
  </conditionalFormatting>
  <conditionalFormatting sqref="N49:N51">
    <cfRule type="cellIs" dxfId="3950" priority="598" operator="equal">
      <formula>0</formula>
    </cfRule>
  </conditionalFormatting>
  <conditionalFormatting sqref="O52:O54 O70">
    <cfRule type="cellIs" dxfId="3949" priority="597" operator="equal">
      <formula>0</formula>
    </cfRule>
  </conditionalFormatting>
  <conditionalFormatting sqref="O49:O51">
    <cfRule type="cellIs" dxfId="3948" priority="596" operator="equal">
      <formula>0</formula>
    </cfRule>
  </conditionalFormatting>
  <conditionalFormatting sqref="P52:P54 P70">
    <cfRule type="cellIs" dxfId="3947" priority="595" operator="equal">
      <formula>0</formula>
    </cfRule>
  </conditionalFormatting>
  <conditionalFormatting sqref="P50:P51">
    <cfRule type="cellIs" dxfId="3946" priority="594" operator="equal">
      <formula>0</formula>
    </cfRule>
  </conditionalFormatting>
  <conditionalFormatting sqref="Q52:Q54 Q70">
    <cfRule type="cellIs" dxfId="3945" priority="593" operator="equal">
      <formula>0</formula>
    </cfRule>
  </conditionalFormatting>
  <conditionalFormatting sqref="Q50:Q51">
    <cfRule type="cellIs" dxfId="3944" priority="592" operator="equal">
      <formula>0</formula>
    </cfRule>
  </conditionalFormatting>
  <conditionalFormatting sqref="D78:F78 J78:T78">
    <cfRule type="cellIs" dxfId="3943" priority="591" operator="equal">
      <formula>0</formula>
    </cfRule>
  </conditionalFormatting>
  <conditionalFormatting sqref="D71:F79 D69:F69 D49:F55 N49:O49 R49:T49 J71:T79 J69:T69 J50:T55">
    <cfRule type="containsBlanks" dxfId="3942" priority="590">
      <formula>LEN(TRIM(D49))=0</formula>
    </cfRule>
  </conditionalFormatting>
  <conditionalFormatting sqref="D78:F78 J78:T78">
    <cfRule type="cellIs" dxfId="3941" priority="589" operator="equal">
      <formula>0</formula>
    </cfRule>
  </conditionalFormatting>
  <conditionalFormatting sqref="N52:N53">
    <cfRule type="cellIs" dxfId="3940" priority="588" operator="equal">
      <formula>0</formula>
    </cfRule>
  </conditionalFormatting>
  <conditionalFormatting sqref="O52:O53">
    <cfRule type="cellIs" dxfId="3939" priority="587" operator="equal">
      <formula>0</formula>
    </cfRule>
  </conditionalFormatting>
  <conditionalFormatting sqref="P52:Q52">
    <cfRule type="cellIs" dxfId="3938" priority="586" operator="equal">
      <formula>0</formula>
    </cfRule>
  </conditionalFormatting>
  <conditionalFormatting sqref="P53:Q53">
    <cfRule type="cellIs" dxfId="3937" priority="585" operator="equal">
      <formula>0</formula>
    </cfRule>
  </conditionalFormatting>
  <conditionalFormatting sqref="D57:F68 J57:T68">
    <cfRule type="cellIs" dxfId="3936" priority="584" operator="equal">
      <formula>0</formula>
    </cfRule>
  </conditionalFormatting>
  <conditionalFormatting sqref="D57:F68 J57:T68">
    <cfRule type="containsBlanks" dxfId="3935" priority="583">
      <formula>LEN(TRIM(D57))=0</formula>
    </cfRule>
  </conditionalFormatting>
  <conditionalFormatting sqref="J49">
    <cfRule type="cellIs" dxfId="3934" priority="582" operator="equal">
      <formula>0</formula>
    </cfRule>
  </conditionalFormatting>
  <conditionalFormatting sqref="K49">
    <cfRule type="cellIs" dxfId="3933" priority="581" operator="equal">
      <formula>0</formula>
    </cfRule>
  </conditionalFormatting>
  <conditionalFormatting sqref="L49:M49">
    <cfRule type="cellIs" dxfId="3932" priority="580" operator="equal">
      <formula>0</formula>
    </cfRule>
  </conditionalFormatting>
  <conditionalFormatting sqref="M49">
    <cfRule type="cellIs" dxfId="3931" priority="579" operator="equal">
      <formula>0</formula>
    </cfRule>
  </conditionalFormatting>
  <conditionalFormatting sqref="J49:M49">
    <cfRule type="containsBlanks" dxfId="3930" priority="578">
      <formula>LEN(TRIM(J49))=0</formula>
    </cfRule>
  </conditionalFormatting>
  <conditionalFormatting sqref="P49:Q49">
    <cfRule type="cellIs" dxfId="3929" priority="577" operator="equal">
      <formula>0</formula>
    </cfRule>
  </conditionalFormatting>
  <conditionalFormatting sqref="P49:Q49">
    <cfRule type="cellIs" dxfId="3928" priority="576" operator="equal">
      <formula>0</formula>
    </cfRule>
  </conditionalFormatting>
  <conditionalFormatting sqref="P49:Q49">
    <cfRule type="containsBlanks" dxfId="3927" priority="575">
      <formula>LEN(TRIM(P49))=0</formula>
    </cfRule>
  </conditionalFormatting>
  <conditionalFormatting sqref="D116:F116 R107:T107 D106:F114 D86:F93 N86:O86 R86:T86 J116:T116 J107:K107 J108:T114 J106:T106 J87:T93">
    <cfRule type="cellIs" dxfId="3926" priority="574" operator="equal">
      <formula>0</formula>
    </cfRule>
  </conditionalFormatting>
  <conditionalFormatting sqref="R86:R88">
    <cfRule type="cellIs" dxfId="3925" priority="573" operator="equal">
      <formula>0</formula>
    </cfRule>
  </conditionalFormatting>
  <conditionalFormatting sqref="R86:T86 N86:O86 D87:F88 J87:T88">
    <cfRule type="cellIs" dxfId="3924" priority="572" operator="equal">
      <formula>0</formula>
    </cfRule>
  </conditionalFormatting>
  <conditionalFormatting sqref="F87:F88">
    <cfRule type="cellIs" dxfId="3923" priority="571" operator="equal">
      <formula>0</formula>
    </cfRule>
  </conditionalFormatting>
  <conditionalFormatting sqref="N86:O86">
    <cfRule type="cellIs" dxfId="3922" priority="570" operator="equal">
      <formula>0</formula>
    </cfRule>
  </conditionalFormatting>
  <conditionalFormatting sqref="L89:L91 L107">
    <cfRule type="cellIs" dxfId="3921" priority="569" operator="equal">
      <formula>0</formula>
    </cfRule>
  </conditionalFormatting>
  <conditionalFormatting sqref="L87:L88">
    <cfRule type="cellIs" dxfId="3920" priority="568" operator="equal">
      <formula>0</formula>
    </cfRule>
  </conditionalFormatting>
  <conditionalFormatting sqref="M89:M91 M107">
    <cfRule type="cellIs" dxfId="3919" priority="567" operator="equal">
      <formula>0</formula>
    </cfRule>
  </conditionalFormatting>
  <conditionalFormatting sqref="M87:M88">
    <cfRule type="cellIs" dxfId="3918" priority="566" operator="equal">
      <formula>0</formula>
    </cfRule>
  </conditionalFormatting>
  <conditionalFormatting sqref="N89:N91 N107">
    <cfRule type="cellIs" dxfId="3917" priority="565" operator="equal">
      <formula>0</formula>
    </cfRule>
  </conditionalFormatting>
  <conditionalFormatting sqref="N86:N88">
    <cfRule type="cellIs" dxfId="3916" priority="564" operator="equal">
      <formula>0</formula>
    </cfRule>
  </conditionalFormatting>
  <conditionalFormatting sqref="O89:O91 O107">
    <cfRule type="cellIs" dxfId="3915" priority="563" operator="equal">
      <formula>0</formula>
    </cfRule>
  </conditionalFormatting>
  <conditionalFormatting sqref="O86:O88">
    <cfRule type="cellIs" dxfId="3914" priority="562" operator="equal">
      <formula>0</formula>
    </cfRule>
  </conditionalFormatting>
  <conditionalFormatting sqref="P89:P91 P107">
    <cfRule type="cellIs" dxfId="3913" priority="561" operator="equal">
      <formula>0</formula>
    </cfRule>
  </conditionalFormatting>
  <conditionalFormatting sqref="P87:P88">
    <cfRule type="cellIs" dxfId="3912" priority="560" operator="equal">
      <formula>0</formula>
    </cfRule>
  </conditionalFormatting>
  <conditionalFormatting sqref="Q89:Q91 Q107">
    <cfRule type="cellIs" dxfId="3911" priority="559" operator="equal">
      <formula>0</formula>
    </cfRule>
  </conditionalFormatting>
  <conditionalFormatting sqref="Q87:Q88">
    <cfRule type="cellIs" dxfId="3910" priority="558" operator="equal">
      <formula>0</formula>
    </cfRule>
  </conditionalFormatting>
  <conditionalFormatting sqref="D115:F115 J115:T115">
    <cfRule type="cellIs" dxfId="3909" priority="557" operator="equal">
      <formula>0</formula>
    </cfRule>
  </conditionalFormatting>
  <conditionalFormatting sqref="D108:F116 D106:F106 D86:F92 N86:O86 R86:T86 J108:T116 J106:T106 J87:T92">
    <cfRule type="containsBlanks" dxfId="3908" priority="556">
      <formula>LEN(TRIM(D86))=0</formula>
    </cfRule>
  </conditionalFormatting>
  <conditionalFormatting sqref="D115:F115 J115:T115">
    <cfRule type="cellIs" dxfId="3907" priority="555" operator="equal">
      <formula>0</formula>
    </cfRule>
  </conditionalFormatting>
  <conditionalFormatting sqref="N89:N90">
    <cfRule type="cellIs" dxfId="3906" priority="554" operator="equal">
      <formula>0</formula>
    </cfRule>
  </conditionalFormatting>
  <conditionalFormatting sqref="O89:O90">
    <cfRule type="cellIs" dxfId="3905" priority="553" operator="equal">
      <formula>0</formula>
    </cfRule>
  </conditionalFormatting>
  <conditionalFormatting sqref="P89:Q89">
    <cfRule type="cellIs" dxfId="3904" priority="552" operator="equal">
      <formula>0</formula>
    </cfRule>
  </conditionalFormatting>
  <conditionalFormatting sqref="P90:Q90">
    <cfRule type="cellIs" dxfId="3903" priority="551" operator="equal">
      <formula>0</formula>
    </cfRule>
  </conditionalFormatting>
  <conditionalFormatting sqref="D94:F105 J94:T105">
    <cfRule type="cellIs" dxfId="3902" priority="550" operator="equal">
      <formula>0</formula>
    </cfRule>
  </conditionalFormatting>
  <conditionalFormatting sqref="D94:F105 J94:T105">
    <cfRule type="containsBlanks" dxfId="3901" priority="549">
      <formula>LEN(TRIM(D94))=0</formula>
    </cfRule>
  </conditionalFormatting>
  <conditionalFormatting sqref="J86">
    <cfRule type="cellIs" dxfId="3900" priority="548" operator="equal">
      <formula>0</formula>
    </cfRule>
  </conditionalFormatting>
  <conditionalFormatting sqref="K86">
    <cfRule type="cellIs" dxfId="3899" priority="547" operator="equal">
      <formula>0</formula>
    </cfRule>
  </conditionalFormatting>
  <conditionalFormatting sqref="L86:M86">
    <cfRule type="cellIs" dxfId="3898" priority="546" operator="equal">
      <formula>0</formula>
    </cfRule>
  </conditionalFormatting>
  <conditionalFormatting sqref="M86">
    <cfRule type="cellIs" dxfId="3897" priority="545" operator="equal">
      <formula>0</formula>
    </cfRule>
  </conditionalFormatting>
  <conditionalFormatting sqref="J86:M86">
    <cfRule type="containsBlanks" dxfId="3896" priority="544">
      <formula>LEN(TRIM(J86))=0</formula>
    </cfRule>
  </conditionalFormatting>
  <conditionalFormatting sqref="P86:Q86">
    <cfRule type="cellIs" dxfId="3895" priority="543" operator="equal">
      <formula>0</formula>
    </cfRule>
  </conditionalFormatting>
  <conditionalFormatting sqref="P86:Q86">
    <cfRule type="cellIs" dxfId="3894" priority="542" operator="equal">
      <formula>0</formula>
    </cfRule>
  </conditionalFormatting>
  <conditionalFormatting sqref="P86:Q86">
    <cfRule type="containsBlanks" dxfId="3893" priority="541">
      <formula>LEN(TRIM(P86))=0</formula>
    </cfRule>
  </conditionalFormatting>
  <conditionalFormatting sqref="D153:F153 R144:T144 D143:F151 D123:F130 N123:O123 R123:T123 J153:T153 J144:K144 J145:T151 J143:T143 J124:T130">
    <cfRule type="cellIs" dxfId="3892" priority="540" operator="equal">
      <formula>0</formula>
    </cfRule>
  </conditionalFormatting>
  <conditionalFormatting sqref="R123:R125">
    <cfRule type="cellIs" dxfId="3891" priority="539" operator="equal">
      <formula>0</formula>
    </cfRule>
  </conditionalFormatting>
  <conditionalFormatting sqref="R123:T123 N123:O123 D124:F125 J124:T125">
    <cfRule type="cellIs" dxfId="3890" priority="538" operator="equal">
      <formula>0</formula>
    </cfRule>
  </conditionalFormatting>
  <conditionalFormatting sqref="F124:F125">
    <cfRule type="cellIs" dxfId="3889" priority="537" operator="equal">
      <formula>0</formula>
    </cfRule>
  </conditionalFormatting>
  <conditionalFormatting sqref="N123:O123">
    <cfRule type="cellIs" dxfId="3888" priority="536" operator="equal">
      <formula>0</formula>
    </cfRule>
  </conditionalFormatting>
  <conditionalFormatting sqref="L126:L128 L144">
    <cfRule type="cellIs" dxfId="3887" priority="535" operator="equal">
      <formula>0</formula>
    </cfRule>
  </conditionalFormatting>
  <conditionalFormatting sqref="L124:L125">
    <cfRule type="cellIs" dxfId="3886" priority="534" operator="equal">
      <formula>0</formula>
    </cfRule>
  </conditionalFormatting>
  <conditionalFormatting sqref="M126:M128 M144">
    <cfRule type="cellIs" dxfId="3885" priority="533" operator="equal">
      <formula>0</formula>
    </cfRule>
  </conditionalFormatting>
  <conditionalFormatting sqref="M124:M125">
    <cfRule type="cellIs" dxfId="3884" priority="532" operator="equal">
      <formula>0</formula>
    </cfRule>
  </conditionalFormatting>
  <conditionalFormatting sqref="N126:N128 N144">
    <cfRule type="cellIs" dxfId="3883" priority="531" operator="equal">
      <formula>0</formula>
    </cfRule>
  </conditionalFormatting>
  <conditionalFormatting sqref="N123:N125">
    <cfRule type="cellIs" dxfId="3882" priority="530" operator="equal">
      <formula>0</formula>
    </cfRule>
  </conditionalFormatting>
  <conditionalFormatting sqref="O126:O128 O144">
    <cfRule type="cellIs" dxfId="3881" priority="529" operator="equal">
      <formula>0</formula>
    </cfRule>
  </conditionalFormatting>
  <conditionalFormatting sqref="O123:O125">
    <cfRule type="cellIs" dxfId="3880" priority="528" operator="equal">
      <formula>0</formula>
    </cfRule>
  </conditionalFormatting>
  <conditionalFormatting sqref="P126:P128 P144">
    <cfRule type="cellIs" dxfId="3879" priority="527" operator="equal">
      <formula>0</formula>
    </cfRule>
  </conditionalFormatting>
  <conditionalFormatting sqref="P124:P125">
    <cfRule type="cellIs" dxfId="3878" priority="526" operator="equal">
      <formula>0</formula>
    </cfRule>
  </conditionalFormatting>
  <conditionalFormatting sqref="Q126:Q128 Q144">
    <cfRule type="cellIs" dxfId="3877" priority="525" operator="equal">
      <formula>0</formula>
    </cfRule>
  </conditionalFormatting>
  <conditionalFormatting sqref="Q124:Q125">
    <cfRule type="cellIs" dxfId="3876" priority="524" operator="equal">
      <formula>0</formula>
    </cfRule>
  </conditionalFormatting>
  <conditionalFormatting sqref="D152:F152 J152:T152">
    <cfRule type="cellIs" dxfId="3875" priority="523" operator="equal">
      <formula>0</formula>
    </cfRule>
  </conditionalFormatting>
  <conditionalFormatting sqref="D145:F153 D143:F143 D123:F129 N123:O123 R123:T123 J145:T153 J143:T143 J124:T129">
    <cfRule type="containsBlanks" dxfId="3874" priority="522">
      <formula>LEN(TRIM(D123))=0</formula>
    </cfRule>
  </conditionalFormatting>
  <conditionalFormatting sqref="D152:F152 J152:T152">
    <cfRule type="cellIs" dxfId="3873" priority="521" operator="equal">
      <formula>0</formula>
    </cfRule>
  </conditionalFormatting>
  <conditionalFormatting sqref="N126:N127">
    <cfRule type="cellIs" dxfId="3872" priority="520" operator="equal">
      <formula>0</formula>
    </cfRule>
  </conditionalFormatting>
  <conditionalFormatting sqref="O126:O127">
    <cfRule type="cellIs" dxfId="3871" priority="519" operator="equal">
      <formula>0</formula>
    </cfRule>
  </conditionalFormatting>
  <conditionalFormatting sqref="P126:Q126">
    <cfRule type="cellIs" dxfId="3870" priority="518" operator="equal">
      <formula>0</formula>
    </cfRule>
  </conditionalFormatting>
  <conditionalFormatting sqref="P127:Q127">
    <cfRule type="cellIs" dxfId="3869" priority="517" operator="equal">
      <formula>0</formula>
    </cfRule>
  </conditionalFormatting>
  <conditionalFormatting sqref="D131:F142 J131:T142">
    <cfRule type="cellIs" dxfId="3868" priority="516" operator="equal">
      <formula>0</formula>
    </cfRule>
  </conditionalFormatting>
  <conditionalFormatting sqref="D131:F142 J131:T142">
    <cfRule type="containsBlanks" dxfId="3867" priority="515">
      <formula>LEN(TRIM(D131))=0</formula>
    </cfRule>
  </conditionalFormatting>
  <conditionalFormatting sqref="J123">
    <cfRule type="cellIs" dxfId="3866" priority="514" operator="equal">
      <formula>0</formula>
    </cfRule>
  </conditionalFormatting>
  <conditionalFormatting sqref="K123">
    <cfRule type="cellIs" dxfId="3865" priority="513" operator="equal">
      <formula>0</formula>
    </cfRule>
  </conditionalFormatting>
  <conditionalFormatting sqref="L123:M123">
    <cfRule type="cellIs" dxfId="3864" priority="512" operator="equal">
      <formula>0</formula>
    </cfRule>
  </conditionalFormatting>
  <conditionalFormatting sqref="M123">
    <cfRule type="cellIs" dxfId="3863" priority="511" operator="equal">
      <formula>0</formula>
    </cfRule>
  </conditionalFormatting>
  <conditionalFormatting sqref="J123:M123">
    <cfRule type="containsBlanks" dxfId="3862" priority="510">
      <formula>LEN(TRIM(J123))=0</formula>
    </cfRule>
  </conditionalFormatting>
  <conditionalFormatting sqref="P123:Q123">
    <cfRule type="cellIs" dxfId="3861" priority="509" operator="equal">
      <formula>0</formula>
    </cfRule>
  </conditionalFormatting>
  <conditionalFormatting sqref="P123:Q123">
    <cfRule type="cellIs" dxfId="3860" priority="508" operator="equal">
      <formula>0</formula>
    </cfRule>
  </conditionalFormatting>
  <conditionalFormatting sqref="P123:Q123">
    <cfRule type="containsBlanks" dxfId="3859" priority="507">
      <formula>LEN(TRIM(P123))=0</formula>
    </cfRule>
  </conditionalFormatting>
  <conditionalFormatting sqref="D190:F190 R181:T181 D180:F188 D160:F167 N160:O160 R160:T160 J190:T190 J181:K181 J182:T188 J180:T180 J161:T167">
    <cfRule type="cellIs" dxfId="3858" priority="506" operator="equal">
      <formula>0</formula>
    </cfRule>
  </conditionalFormatting>
  <conditionalFormatting sqref="R160:R162">
    <cfRule type="cellIs" dxfId="3857" priority="505" operator="equal">
      <formula>0</formula>
    </cfRule>
  </conditionalFormatting>
  <conditionalFormatting sqref="R160:T160 N160:O160 D161:F162 J161:T162">
    <cfRule type="cellIs" dxfId="3856" priority="504" operator="equal">
      <formula>0</formula>
    </cfRule>
  </conditionalFormatting>
  <conditionalFormatting sqref="F161:F162">
    <cfRule type="cellIs" dxfId="3855" priority="503" operator="equal">
      <formula>0</formula>
    </cfRule>
  </conditionalFormatting>
  <conditionalFormatting sqref="N160:O160">
    <cfRule type="cellIs" dxfId="3854" priority="502" operator="equal">
      <formula>0</formula>
    </cfRule>
  </conditionalFormatting>
  <conditionalFormatting sqref="L163:L165 L181">
    <cfRule type="cellIs" dxfId="3853" priority="501" operator="equal">
      <formula>0</formula>
    </cfRule>
  </conditionalFormatting>
  <conditionalFormatting sqref="L161:L162">
    <cfRule type="cellIs" dxfId="3852" priority="500" operator="equal">
      <formula>0</formula>
    </cfRule>
  </conditionalFormatting>
  <conditionalFormatting sqref="M163:M165 M181">
    <cfRule type="cellIs" dxfId="3851" priority="499" operator="equal">
      <formula>0</formula>
    </cfRule>
  </conditionalFormatting>
  <conditionalFormatting sqref="M161:M162">
    <cfRule type="cellIs" dxfId="3850" priority="498" operator="equal">
      <formula>0</formula>
    </cfRule>
  </conditionalFormatting>
  <conditionalFormatting sqref="N163:N165 N181">
    <cfRule type="cellIs" dxfId="3849" priority="497" operator="equal">
      <formula>0</formula>
    </cfRule>
  </conditionalFormatting>
  <conditionalFormatting sqref="N160:N162">
    <cfRule type="cellIs" dxfId="3848" priority="496" operator="equal">
      <formula>0</formula>
    </cfRule>
  </conditionalFormatting>
  <conditionalFormatting sqref="O163:O165 O181">
    <cfRule type="cellIs" dxfId="3847" priority="495" operator="equal">
      <formula>0</formula>
    </cfRule>
  </conditionalFormatting>
  <conditionalFormatting sqref="O160:O162">
    <cfRule type="cellIs" dxfId="3846" priority="494" operator="equal">
      <formula>0</formula>
    </cfRule>
  </conditionalFormatting>
  <conditionalFormatting sqref="P163:P165 P181">
    <cfRule type="cellIs" dxfId="3845" priority="493" operator="equal">
      <formula>0</formula>
    </cfRule>
  </conditionalFormatting>
  <conditionalFormatting sqref="P161:P162">
    <cfRule type="cellIs" dxfId="3844" priority="492" operator="equal">
      <formula>0</formula>
    </cfRule>
  </conditionalFormatting>
  <conditionalFormatting sqref="Q163:Q165 Q181">
    <cfRule type="cellIs" dxfId="3843" priority="491" operator="equal">
      <formula>0</formula>
    </cfRule>
  </conditionalFormatting>
  <conditionalFormatting sqref="Q161:Q162">
    <cfRule type="cellIs" dxfId="3842" priority="490" operator="equal">
      <formula>0</formula>
    </cfRule>
  </conditionalFormatting>
  <conditionalFormatting sqref="D189:F189 J189:T189">
    <cfRule type="cellIs" dxfId="3841" priority="489" operator="equal">
      <formula>0</formula>
    </cfRule>
  </conditionalFormatting>
  <conditionalFormatting sqref="D182:F190 D180:F180 D160:F166 N160:O160 R160:T160 J182:T190 J180:T180 J161:T166">
    <cfRule type="containsBlanks" dxfId="3840" priority="488">
      <formula>LEN(TRIM(D160))=0</formula>
    </cfRule>
  </conditionalFormatting>
  <conditionalFormatting sqref="D189:F189 J189:T189">
    <cfRule type="cellIs" dxfId="3839" priority="487" operator="equal">
      <formula>0</formula>
    </cfRule>
  </conditionalFormatting>
  <conditionalFormatting sqref="N163:N164">
    <cfRule type="cellIs" dxfId="3838" priority="486" operator="equal">
      <formula>0</formula>
    </cfRule>
  </conditionalFormatting>
  <conditionalFormatting sqref="O163:O164">
    <cfRule type="cellIs" dxfId="3837" priority="485" operator="equal">
      <formula>0</formula>
    </cfRule>
  </conditionalFormatting>
  <conditionalFormatting sqref="P163:Q163">
    <cfRule type="cellIs" dxfId="3836" priority="484" operator="equal">
      <formula>0</formula>
    </cfRule>
  </conditionalFormatting>
  <conditionalFormatting sqref="P164:Q164">
    <cfRule type="cellIs" dxfId="3835" priority="483" operator="equal">
      <formula>0</formula>
    </cfRule>
  </conditionalFormatting>
  <conditionalFormatting sqref="D168:F179 J168:T179">
    <cfRule type="cellIs" dxfId="3834" priority="482" operator="equal">
      <formula>0</formula>
    </cfRule>
  </conditionalFormatting>
  <conditionalFormatting sqref="D168:F179 J168:T179">
    <cfRule type="containsBlanks" dxfId="3833" priority="481">
      <formula>LEN(TRIM(D168))=0</formula>
    </cfRule>
  </conditionalFormatting>
  <conditionalFormatting sqref="J160">
    <cfRule type="cellIs" dxfId="3832" priority="480" operator="equal">
      <formula>0</formula>
    </cfRule>
  </conditionalFormatting>
  <conditionalFormatting sqref="K160">
    <cfRule type="cellIs" dxfId="3831" priority="479" operator="equal">
      <formula>0</formula>
    </cfRule>
  </conditionalFormatting>
  <conditionalFormatting sqref="L160:M160">
    <cfRule type="cellIs" dxfId="3830" priority="478" operator="equal">
      <formula>0</formula>
    </cfRule>
  </conditionalFormatting>
  <conditionalFormatting sqref="M160">
    <cfRule type="cellIs" dxfId="3829" priority="477" operator="equal">
      <formula>0</formula>
    </cfRule>
  </conditionalFormatting>
  <conditionalFormatting sqref="J160:M160">
    <cfRule type="containsBlanks" dxfId="3828" priority="476">
      <formula>LEN(TRIM(J160))=0</formula>
    </cfRule>
  </conditionalFormatting>
  <conditionalFormatting sqref="P160:Q160">
    <cfRule type="cellIs" dxfId="3827" priority="475" operator="equal">
      <formula>0</formula>
    </cfRule>
  </conditionalFormatting>
  <conditionalFormatting sqref="P160:Q160">
    <cfRule type="cellIs" dxfId="3826" priority="474" operator="equal">
      <formula>0</formula>
    </cfRule>
  </conditionalFormatting>
  <conditionalFormatting sqref="P160:Q160">
    <cfRule type="containsBlanks" dxfId="3825" priority="473">
      <formula>LEN(TRIM(P160))=0</formula>
    </cfRule>
  </conditionalFormatting>
  <conditionalFormatting sqref="D227:F227 R218:T218 D217:F225 D197:F204 N197:O197 R197:T197 J227:T227 J218:K218 J219:T225 J217:T217 J198:T204">
    <cfRule type="cellIs" dxfId="3824" priority="472" operator="equal">
      <formula>0</formula>
    </cfRule>
  </conditionalFormatting>
  <conditionalFormatting sqref="R197:R199">
    <cfRule type="cellIs" dxfId="3823" priority="471" operator="equal">
      <formula>0</formula>
    </cfRule>
  </conditionalFormatting>
  <conditionalFormatting sqref="R197:T197 N197:O197 D198:F199 J198:T199">
    <cfRule type="cellIs" dxfId="3822" priority="470" operator="equal">
      <formula>0</formula>
    </cfRule>
  </conditionalFormatting>
  <conditionalFormatting sqref="F198:F199">
    <cfRule type="cellIs" dxfId="3821" priority="469" operator="equal">
      <formula>0</formula>
    </cfRule>
  </conditionalFormatting>
  <conditionalFormatting sqref="N197:O197">
    <cfRule type="cellIs" dxfId="3820" priority="468" operator="equal">
      <formula>0</formula>
    </cfRule>
  </conditionalFormatting>
  <conditionalFormatting sqref="L200:L202 L218">
    <cfRule type="cellIs" dxfId="3819" priority="467" operator="equal">
      <formula>0</formula>
    </cfRule>
  </conditionalFormatting>
  <conditionalFormatting sqref="L198:L199">
    <cfRule type="cellIs" dxfId="3818" priority="466" operator="equal">
      <formula>0</formula>
    </cfRule>
  </conditionalFormatting>
  <conditionalFormatting sqref="M200:M202 M218">
    <cfRule type="cellIs" dxfId="3817" priority="465" operator="equal">
      <formula>0</formula>
    </cfRule>
  </conditionalFormatting>
  <conditionalFormatting sqref="M198:M199">
    <cfRule type="cellIs" dxfId="3816" priority="464" operator="equal">
      <formula>0</formula>
    </cfRule>
  </conditionalFormatting>
  <conditionalFormatting sqref="N200:N202 N218">
    <cfRule type="cellIs" dxfId="3815" priority="463" operator="equal">
      <formula>0</formula>
    </cfRule>
  </conditionalFormatting>
  <conditionalFormatting sqref="N197:N199">
    <cfRule type="cellIs" dxfId="3814" priority="462" operator="equal">
      <formula>0</formula>
    </cfRule>
  </conditionalFormatting>
  <conditionalFormatting sqref="O200:O202 O218">
    <cfRule type="cellIs" dxfId="3813" priority="461" operator="equal">
      <formula>0</formula>
    </cfRule>
  </conditionalFormatting>
  <conditionalFormatting sqref="O197:O199">
    <cfRule type="cellIs" dxfId="3812" priority="460" operator="equal">
      <formula>0</formula>
    </cfRule>
  </conditionalFormatting>
  <conditionalFormatting sqref="P200:P202 P218">
    <cfRule type="cellIs" dxfId="3811" priority="459" operator="equal">
      <formula>0</formula>
    </cfRule>
  </conditionalFormatting>
  <conditionalFormatting sqref="P198:P199">
    <cfRule type="cellIs" dxfId="3810" priority="458" operator="equal">
      <formula>0</formula>
    </cfRule>
  </conditionalFormatting>
  <conditionalFormatting sqref="Q200:Q202 Q218">
    <cfRule type="cellIs" dxfId="3809" priority="457" operator="equal">
      <formula>0</formula>
    </cfRule>
  </conditionalFormatting>
  <conditionalFormatting sqref="Q198:Q199">
    <cfRule type="cellIs" dxfId="3808" priority="456" operator="equal">
      <formula>0</formula>
    </cfRule>
  </conditionalFormatting>
  <conditionalFormatting sqref="D226:F226 J226:T226">
    <cfRule type="cellIs" dxfId="3807" priority="455" operator="equal">
      <formula>0</formula>
    </cfRule>
  </conditionalFormatting>
  <conditionalFormatting sqref="D219:F227 D217:F217 D197:F203 N197:O197 R197:T197 J219:T227 J217:T217 J198:T203">
    <cfRule type="containsBlanks" dxfId="3806" priority="454">
      <formula>LEN(TRIM(D197))=0</formula>
    </cfRule>
  </conditionalFormatting>
  <conditionalFormatting sqref="D226:F226 J226:T226">
    <cfRule type="cellIs" dxfId="3805" priority="453" operator="equal">
      <formula>0</formula>
    </cfRule>
  </conditionalFormatting>
  <conditionalFormatting sqref="N200:N201">
    <cfRule type="cellIs" dxfId="3804" priority="452" operator="equal">
      <formula>0</formula>
    </cfRule>
  </conditionalFormatting>
  <conditionalFormatting sqref="O200:O201">
    <cfRule type="cellIs" dxfId="3803" priority="451" operator="equal">
      <formula>0</formula>
    </cfRule>
  </conditionalFormatting>
  <conditionalFormatting sqref="P200:Q200">
    <cfRule type="cellIs" dxfId="3802" priority="450" operator="equal">
      <formula>0</formula>
    </cfRule>
  </conditionalFormatting>
  <conditionalFormatting sqref="P201:Q201">
    <cfRule type="cellIs" dxfId="3801" priority="449" operator="equal">
      <formula>0</formula>
    </cfRule>
  </conditionalFormatting>
  <conditionalFormatting sqref="D205:F216 J205:T216">
    <cfRule type="cellIs" dxfId="3800" priority="448" operator="equal">
      <formula>0</formula>
    </cfRule>
  </conditionalFormatting>
  <conditionalFormatting sqref="D205:F216 J205:T216">
    <cfRule type="containsBlanks" dxfId="3799" priority="447">
      <formula>LEN(TRIM(D205))=0</formula>
    </cfRule>
  </conditionalFormatting>
  <conditionalFormatting sqref="J197">
    <cfRule type="cellIs" dxfId="3798" priority="446" operator="equal">
      <formula>0</formula>
    </cfRule>
  </conditionalFormatting>
  <conditionalFormatting sqref="K197">
    <cfRule type="cellIs" dxfId="3797" priority="445" operator="equal">
      <formula>0</formula>
    </cfRule>
  </conditionalFormatting>
  <conditionalFormatting sqref="L197:M197">
    <cfRule type="cellIs" dxfId="3796" priority="444" operator="equal">
      <formula>0</formula>
    </cfRule>
  </conditionalFormatting>
  <conditionalFormatting sqref="M197">
    <cfRule type="cellIs" dxfId="3795" priority="443" operator="equal">
      <formula>0</formula>
    </cfRule>
  </conditionalFormatting>
  <conditionalFormatting sqref="J197:M197">
    <cfRule type="containsBlanks" dxfId="3794" priority="442">
      <formula>LEN(TRIM(J197))=0</formula>
    </cfRule>
  </conditionalFormatting>
  <conditionalFormatting sqref="P197:Q197">
    <cfRule type="cellIs" dxfId="3793" priority="441" operator="equal">
      <formula>0</formula>
    </cfRule>
  </conditionalFormatting>
  <conditionalFormatting sqref="P197:Q197">
    <cfRule type="cellIs" dxfId="3792" priority="440" operator="equal">
      <formula>0</formula>
    </cfRule>
  </conditionalFormatting>
  <conditionalFormatting sqref="P197:Q197">
    <cfRule type="containsBlanks" dxfId="3791" priority="439">
      <formula>LEN(TRIM(P197))=0</formula>
    </cfRule>
  </conditionalFormatting>
  <conditionalFormatting sqref="D264:F264 R255:T255 D254:F262 D234:F241 N234:O234 R234:T234 J264:T264 J255:K255 J256:T262 J254:T254 J235:T241">
    <cfRule type="cellIs" dxfId="3790" priority="438" operator="equal">
      <formula>0</formula>
    </cfRule>
  </conditionalFormatting>
  <conditionalFormatting sqref="R234:R236">
    <cfRule type="cellIs" dxfId="3789" priority="437" operator="equal">
      <formula>0</formula>
    </cfRule>
  </conditionalFormatting>
  <conditionalFormatting sqref="R234:T234 N234:O234 D235:F236 J235:T236">
    <cfRule type="cellIs" dxfId="3788" priority="436" operator="equal">
      <formula>0</formula>
    </cfRule>
  </conditionalFormatting>
  <conditionalFormatting sqref="F235:F236">
    <cfRule type="cellIs" dxfId="3787" priority="435" operator="equal">
      <formula>0</formula>
    </cfRule>
  </conditionalFormatting>
  <conditionalFormatting sqref="N234:O234">
    <cfRule type="cellIs" dxfId="3786" priority="434" operator="equal">
      <formula>0</formula>
    </cfRule>
  </conditionalFormatting>
  <conditionalFormatting sqref="L237:L239 L255">
    <cfRule type="cellIs" dxfId="3785" priority="433" operator="equal">
      <formula>0</formula>
    </cfRule>
  </conditionalFormatting>
  <conditionalFormatting sqref="L235:L236">
    <cfRule type="cellIs" dxfId="3784" priority="432" operator="equal">
      <formula>0</formula>
    </cfRule>
  </conditionalFormatting>
  <conditionalFormatting sqref="M237:M239 M255">
    <cfRule type="cellIs" dxfId="3783" priority="431" operator="equal">
      <formula>0</formula>
    </cfRule>
  </conditionalFormatting>
  <conditionalFormatting sqref="M235:M236">
    <cfRule type="cellIs" dxfId="3782" priority="430" operator="equal">
      <formula>0</formula>
    </cfRule>
  </conditionalFormatting>
  <conditionalFormatting sqref="N237:N239 N255">
    <cfRule type="cellIs" dxfId="3781" priority="429" operator="equal">
      <formula>0</formula>
    </cfRule>
  </conditionalFormatting>
  <conditionalFormatting sqref="N234:N236">
    <cfRule type="cellIs" dxfId="3780" priority="428" operator="equal">
      <formula>0</formula>
    </cfRule>
  </conditionalFormatting>
  <conditionalFormatting sqref="O237:O239 O255">
    <cfRule type="cellIs" dxfId="3779" priority="427" operator="equal">
      <formula>0</formula>
    </cfRule>
  </conditionalFormatting>
  <conditionalFormatting sqref="O234:O236">
    <cfRule type="cellIs" dxfId="3778" priority="426" operator="equal">
      <formula>0</formula>
    </cfRule>
  </conditionalFormatting>
  <conditionalFormatting sqref="P237:P239 P255">
    <cfRule type="cellIs" dxfId="3777" priority="425" operator="equal">
      <formula>0</formula>
    </cfRule>
  </conditionalFormatting>
  <conditionalFormatting sqref="P235:P236">
    <cfRule type="cellIs" dxfId="3776" priority="424" operator="equal">
      <formula>0</formula>
    </cfRule>
  </conditionalFormatting>
  <conditionalFormatting sqref="Q237:Q239 Q255">
    <cfRule type="cellIs" dxfId="3775" priority="423" operator="equal">
      <formula>0</formula>
    </cfRule>
  </conditionalFormatting>
  <conditionalFormatting sqref="Q235:Q236">
    <cfRule type="cellIs" dxfId="3774" priority="422" operator="equal">
      <formula>0</formula>
    </cfRule>
  </conditionalFormatting>
  <conditionalFormatting sqref="D263:F263 J263:T263">
    <cfRule type="cellIs" dxfId="3773" priority="421" operator="equal">
      <formula>0</formula>
    </cfRule>
  </conditionalFormatting>
  <conditionalFormatting sqref="D256:F264 D254:F254 D234:F240 N234:O234 R234:T234 J256:T264 J254:T254 J235:T240">
    <cfRule type="containsBlanks" dxfId="3772" priority="420">
      <formula>LEN(TRIM(D234))=0</formula>
    </cfRule>
  </conditionalFormatting>
  <conditionalFormatting sqref="D263:F263 J263:T263">
    <cfRule type="cellIs" dxfId="3771" priority="419" operator="equal">
      <formula>0</formula>
    </cfRule>
  </conditionalFormatting>
  <conditionalFormatting sqref="N237:N238">
    <cfRule type="cellIs" dxfId="3770" priority="418" operator="equal">
      <formula>0</formula>
    </cfRule>
  </conditionalFormatting>
  <conditionalFormatting sqref="O237:O238">
    <cfRule type="cellIs" dxfId="3769" priority="417" operator="equal">
      <formula>0</formula>
    </cfRule>
  </conditionalFormatting>
  <conditionalFormatting sqref="P237:Q237">
    <cfRule type="cellIs" dxfId="3768" priority="416" operator="equal">
      <formula>0</formula>
    </cfRule>
  </conditionalFormatting>
  <conditionalFormatting sqref="P238:Q238">
    <cfRule type="cellIs" dxfId="3767" priority="415" operator="equal">
      <formula>0</formula>
    </cfRule>
  </conditionalFormatting>
  <conditionalFormatting sqref="D242:F253 J242:T253">
    <cfRule type="cellIs" dxfId="3766" priority="414" operator="equal">
      <formula>0</formula>
    </cfRule>
  </conditionalFormatting>
  <conditionalFormatting sqref="D242:F253 J242:T253">
    <cfRule type="containsBlanks" dxfId="3765" priority="413">
      <formula>LEN(TRIM(D242))=0</formula>
    </cfRule>
  </conditionalFormatting>
  <conditionalFormatting sqref="J234">
    <cfRule type="cellIs" dxfId="3764" priority="412" operator="equal">
      <formula>0</formula>
    </cfRule>
  </conditionalFormatting>
  <conditionalFormatting sqref="K234">
    <cfRule type="cellIs" dxfId="3763" priority="411" operator="equal">
      <formula>0</formula>
    </cfRule>
  </conditionalFormatting>
  <conditionalFormatting sqref="L234:M234">
    <cfRule type="cellIs" dxfId="3762" priority="410" operator="equal">
      <formula>0</formula>
    </cfRule>
  </conditionalFormatting>
  <conditionalFormatting sqref="M234">
    <cfRule type="cellIs" dxfId="3761" priority="409" operator="equal">
      <formula>0</formula>
    </cfRule>
  </conditionalFormatting>
  <conditionalFormatting sqref="J234:M234">
    <cfRule type="containsBlanks" dxfId="3760" priority="408">
      <formula>LEN(TRIM(J234))=0</formula>
    </cfRule>
  </conditionalFormatting>
  <conditionalFormatting sqref="P234:Q234">
    <cfRule type="cellIs" dxfId="3759" priority="407" operator="equal">
      <formula>0</formula>
    </cfRule>
  </conditionalFormatting>
  <conditionalFormatting sqref="P234:Q234">
    <cfRule type="cellIs" dxfId="3758" priority="406" operator="equal">
      <formula>0</formula>
    </cfRule>
  </conditionalFormatting>
  <conditionalFormatting sqref="P234:Q234">
    <cfRule type="containsBlanks" dxfId="3757" priority="405">
      <formula>LEN(TRIM(P234))=0</formula>
    </cfRule>
  </conditionalFormatting>
  <conditionalFormatting sqref="D301:F301 R292:T292 D291:F299 D271:F278 N271:O271 R271:T271 J301:T301 J292:K292 J293:T299 J291:T291 J272:T278">
    <cfRule type="cellIs" dxfId="3756" priority="404" operator="equal">
      <formula>0</formula>
    </cfRule>
  </conditionalFormatting>
  <conditionalFormatting sqref="R271:R273">
    <cfRule type="cellIs" dxfId="3755" priority="403" operator="equal">
      <formula>0</formula>
    </cfRule>
  </conditionalFormatting>
  <conditionalFormatting sqref="R271:T271 N271:O271 D272:F273 J272:T273">
    <cfRule type="cellIs" dxfId="3754" priority="402" operator="equal">
      <formula>0</formula>
    </cfRule>
  </conditionalFormatting>
  <conditionalFormatting sqref="F272:F273">
    <cfRule type="cellIs" dxfId="3753" priority="401" operator="equal">
      <formula>0</formula>
    </cfRule>
  </conditionalFormatting>
  <conditionalFormatting sqref="N271:O271">
    <cfRule type="cellIs" dxfId="3752" priority="400" operator="equal">
      <formula>0</formula>
    </cfRule>
  </conditionalFormatting>
  <conditionalFormatting sqref="L274:L276 L292">
    <cfRule type="cellIs" dxfId="3751" priority="399" operator="equal">
      <formula>0</formula>
    </cfRule>
  </conditionalFormatting>
  <conditionalFormatting sqref="L272:L273">
    <cfRule type="cellIs" dxfId="3750" priority="398" operator="equal">
      <formula>0</formula>
    </cfRule>
  </conditionalFormatting>
  <conditionalFormatting sqref="M274:M276 M292">
    <cfRule type="cellIs" dxfId="3749" priority="397" operator="equal">
      <formula>0</formula>
    </cfRule>
  </conditionalFormatting>
  <conditionalFormatting sqref="M272:M273">
    <cfRule type="cellIs" dxfId="3748" priority="396" operator="equal">
      <formula>0</formula>
    </cfRule>
  </conditionalFormatting>
  <conditionalFormatting sqref="N274:N276 N292">
    <cfRule type="cellIs" dxfId="3747" priority="395" operator="equal">
      <formula>0</formula>
    </cfRule>
  </conditionalFormatting>
  <conditionalFormatting sqref="N271:N273">
    <cfRule type="cellIs" dxfId="3746" priority="394" operator="equal">
      <formula>0</formula>
    </cfRule>
  </conditionalFormatting>
  <conditionalFormatting sqref="O274:O276 O292">
    <cfRule type="cellIs" dxfId="3745" priority="393" operator="equal">
      <formula>0</formula>
    </cfRule>
  </conditionalFormatting>
  <conditionalFormatting sqref="O271:O273">
    <cfRule type="cellIs" dxfId="3744" priority="392" operator="equal">
      <formula>0</formula>
    </cfRule>
  </conditionalFormatting>
  <conditionalFormatting sqref="P274:P276 P292">
    <cfRule type="cellIs" dxfId="3743" priority="391" operator="equal">
      <formula>0</formula>
    </cfRule>
  </conditionalFormatting>
  <conditionalFormatting sqref="P272:P273">
    <cfRule type="cellIs" dxfId="3742" priority="390" operator="equal">
      <formula>0</formula>
    </cfRule>
  </conditionalFormatting>
  <conditionalFormatting sqref="Q274:Q276 Q292">
    <cfRule type="cellIs" dxfId="3741" priority="389" operator="equal">
      <formula>0</formula>
    </cfRule>
  </conditionalFormatting>
  <conditionalFormatting sqref="Q272:Q273">
    <cfRule type="cellIs" dxfId="3740" priority="388" operator="equal">
      <formula>0</formula>
    </cfRule>
  </conditionalFormatting>
  <conditionalFormatting sqref="D300:F300 J300:T300">
    <cfRule type="cellIs" dxfId="3739" priority="387" operator="equal">
      <formula>0</formula>
    </cfRule>
  </conditionalFormatting>
  <conditionalFormatting sqref="D293:F301 D291:F291 D271:F277 N271:O271 R271:T271 J293:T301 J291:T291 J272:T277">
    <cfRule type="containsBlanks" dxfId="3738" priority="386">
      <formula>LEN(TRIM(D271))=0</formula>
    </cfRule>
  </conditionalFormatting>
  <conditionalFormatting sqref="D300:F300 J300:T300">
    <cfRule type="cellIs" dxfId="3737" priority="385" operator="equal">
      <formula>0</formula>
    </cfRule>
  </conditionalFormatting>
  <conditionalFormatting sqref="N274:N275">
    <cfRule type="cellIs" dxfId="3736" priority="384" operator="equal">
      <formula>0</formula>
    </cfRule>
  </conditionalFormatting>
  <conditionalFormatting sqref="O274:O275">
    <cfRule type="cellIs" dxfId="3735" priority="383" operator="equal">
      <formula>0</formula>
    </cfRule>
  </conditionalFormatting>
  <conditionalFormatting sqref="P274:Q274">
    <cfRule type="cellIs" dxfId="3734" priority="382" operator="equal">
      <formula>0</formula>
    </cfRule>
  </conditionalFormatting>
  <conditionalFormatting sqref="P275:Q275">
    <cfRule type="cellIs" dxfId="3733" priority="381" operator="equal">
      <formula>0</formula>
    </cfRule>
  </conditionalFormatting>
  <conditionalFormatting sqref="D279:F290 J279:T290">
    <cfRule type="cellIs" dxfId="3732" priority="380" operator="equal">
      <formula>0</formula>
    </cfRule>
  </conditionalFormatting>
  <conditionalFormatting sqref="D279:F290 J279:T290">
    <cfRule type="containsBlanks" dxfId="3731" priority="379">
      <formula>LEN(TRIM(D279))=0</formula>
    </cfRule>
  </conditionalFormatting>
  <conditionalFormatting sqref="J271">
    <cfRule type="cellIs" dxfId="3730" priority="378" operator="equal">
      <formula>0</formula>
    </cfRule>
  </conditionalFormatting>
  <conditionalFormatting sqref="K271">
    <cfRule type="cellIs" dxfId="3729" priority="377" operator="equal">
      <formula>0</formula>
    </cfRule>
  </conditionalFormatting>
  <conditionalFormatting sqref="L271:M271">
    <cfRule type="cellIs" dxfId="3728" priority="376" operator="equal">
      <formula>0</formula>
    </cfRule>
  </conditionalFormatting>
  <conditionalFormatting sqref="M271">
    <cfRule type="cellIs" dxfId="3727" priority="375" operator="equal">
      <formula>0</formula>
    </cfRule>
  </conditionalFormatting>
  <conditionalFormatting sqref="J271:M271">
    <cfRule type="containsBlanks" dxfId="3726" priority="374">
      <formula>LEN(TRIM(J271))=0</formula>
    </cfRule>
  </conditionalFormatting>
  <conditionalFormatting sqref="P271:Q271">
    <cfRule type="cellIs" dxfId="3725" priority="373" operator="equal">
      <formula>0</formula>
    </cfRule>
  </conditionalFormatting>
  <conditionalFormatting sqref="P271:Q271">
    <cfRule type="cellIs" dxfId="3724" priority="372" operator="equal">
      <formula>0</formula>
    </cfRule>
  </conditionalFormatting>
  <conditionalFormatting sqref="P271:Q271">
    <cfRule type="containsBlanks" dxfId="3723" priority="371">
      <formula>LEN(TRIM(P271))=0</formula>
    </cfRule>
  </conditionalFormatting>
  <conditionalFormatting sqref="D338:F338 R329:T329 D328:F336 D308:F315 N308:O308 R308:T308 J338:T338 J329:K329 J330:T336 J328:T328 J309:T315">
    <cfRule type="cellIs" dxfId="3722" priority="370" operator="equal">
      <formula>0</formula>
    </cfRule>
  </conditionalFormatting>
  <conditionalFormatting sqref="R308:R310">
    <cfRule type="cellIs" dxfId="3721" priority="369" operator="equal">
      <formula>0</formula>
    </cfRule>
  </conditionalFormatting>
  <conditionalFormatting sqref="R308:T308 N308:O308 D309:F310 J309:T310">
    <cfRule type="cellIs" dxfId="3720" priority="368" operator="equal">
      <formula>0</formula>
    </cfRule>
  </conditionalFormatting>
  <conditionalFormatting sqref="F309:F310">
    <cfRule type="cellIs" dxfId="3719" priority="367" operator="equal">
      <formula>0</formula>
    </cfRule>
  </conditionalFormatting>
  <conditionalFormatting sqref="N308:O308">
    <cfRule type="cellIs" dxfId="3718" priority="366" operator="equal">
      <formula>0</formula>
    </cfRule>
  </conditionalFormatting>
  <conditionalFormatting sqref="L311:L313 L329">
    <cfRule type="cellIs" dxfId="3717" priority="365" operator="equal">
      <formula>0</formula>
    </cfRule>
  </conditionalFormatting>
  <conditionalFormatting sqref="L309:L310">
    <cfRule type="cellIs" dxfId="3716" priority="364" operator="equal">
      <formula>0</formula>
    </cfRule>
  </conditionalFormatting>
  <conditionalFormatting sqref="M311:M313 M329">
    <cfRule type="cellIs" dxfId="3715" priority="363" operator="equal">
      <formula>0</formula>
    </cfRule>
  </conditionalFormatting>
  <conditionalFormatting sqref="M309:M310">
    <cfRule type="cellIs" dxfId="3714" priority="362" operator="equal">
      <formula>0</formula>
    </cfRule>
  </conditionalFormatting>
  <conditionalFormatting sqref="N311:N313 N329">
    <cfRule type="cellIs" dxfId="3713" priority="361" operator="equal">
      <formula>0</formula>
    </cfRule>
  </conditionalFormatting>
  <conditionalFormatting sqref="N308:N310">
    <cfRule type="cellIs" dxfId="3712" priority="360" operator="equal">
      <formula>0</formula>
    </cfRule>
  </conditionalFormatting>
  <conditionalFormatting sqref="O311:O313 O329">
    <cfRule type="cellIs" dxfId="3711" priority="359" operator="equal">
      <formula>0</formula>
    </cfRule>
  </conditionalFormatting>
  <conditionalFormatting sqref="O308:O310">
    <cfRule type="cellIs" dxfId="3710" priority="358" operator="equal">
      <formula>0</formula>
    </cfRule>
  </conditionalFormatting>
  <conditionalFormatting sqref="P311:P313 P329">
    <cfRule type="cellIs" dxfId="3709" priority="357" operator="equal">
      <formula>0</formula>
    </cfRule>
  </conditionalFormatting>
  <conditionalFormatting sqref="P309:P310">
    <cfRule type="cellIs" dxfId="3708" priority="356" operator="equal">
      <formula>0</formula>
    </cfRule>
  </conditionalFormatting>
  <conditionalFormatting sqref="Q311:Q313 Q329">
    <cfRule type="cellIs" dxfId="3707" priority="355" operator="equal">
      <formula>0</formula>
    </cfRule>
  </conditionalFormatting>
  <conditionalFormatting sqref="Q309:Q310">
    <cfRule type="cellIs" dxfId="3706" priority="354" operator="equal">
      <formula>0</formula>
    </cfRule>
  </conditionalFormatting>
  <conditionalFormatting sqref="D337:F337 J337:T337">
    <cfRule type="cellIs" dxfId="3705" priority="353" operator="equal">
      <formula>0</formula>
    </cfRule>
  </conditionalFormatting>
  <conditionalFormatting sqref="D330:F338 D328:F328 D308:F314 N308:O308 R308:T308 J330:T338 J328:T328 J309:T314">
    <cfRule type="containsBlanks" dxfId="3704" priority="352">
      <formula>LEN(TRIM(D308))=0</formula>
    </cfRule>
  </conditionalFormatting>
  <conditionalFormatting sqref="D337:F337 J337:T337">
    <cfRule type="cellIs" dxfId="3703" priority="351" operator="equal">
      <formula>0</formula>
    </cfRule>
  </conditionalFormatting>
  <conditionalFormatting sqref="N311:N312">
    <cfRule type="cellIs" dxfId="3702" priority="350" operator="equal">
      <formula>0</formula>
    </cfRule>
  </conditionalFormatting>
  <conditionalFormatting sqref="O311:O312">
    <cfRule type="cellIs" dxfId="3701" priority="349" operator="equal">
      <formula>0</formula>
    </cfRule>
  </conditionalFormatting>
  <conditionalFormatting sqref="P311:Q311">
    <cfRule type="cellIs" dxfId="3700" priority="348" operator="equal">
      <formula>0</formula>
    </cfRule>
  </conditionalFormatting>
  <conditionalFormatting sqref="P312:Q312">
    <cfRule type="cellIs" dxfId="3699" priority="347" operator="equal">
      <formula>0</formula>
    </cfRule>
  </conditionalFormatting>
  <conditionalFormatting sqref="D316:F327 J316:T327">
    <cfRule type="cellIs" dxfId="3698" priority="346" operator="equal">
      <formula>0</formula>
    </cfRule>
  </conditionalFormatting>
  <conditionalFormatting sqref="D316:F327 J316:T327">
    <cfRule type="containsBlanks" dxfId="3697" priority="345">
      <formula>LEN(TRIM(D316))=0</formula>
    </cfRule>
  </conditionalFormatting>
  <conditionalFormatting sqref="J308">
    <cfRule type="cellIs" dxfId="3696" priority="344" operator="equal">
      <formula>0</formula>
    </cfRule>
  </conditionalFormatting>
  <conditionalFormatting sqref="K308">
    <cfRule type="cellIs" dxfId="3695" priority="343" operator="equal">
      <formula>0</formula>
    </cfRule>
  </conditionalFormatting>
  <conditionalFormatting sqref="L308:M308">
    <cfRule type="cellIs" dxfId="3694" priority="342" operator="equal">
      <formula>0</formula>
    </cfRule>
  </conditionalFormatting>
  <conditionalFormatting sqref="M308">
    <cfRule type="cellIs" dxfId="3693" priority="341" operator="equal">
      <formula>0</formula>
    </cfRule>
  </conditionalFormatting>
  <conditionalFormatting sqref="J308:M308">
    <cfRule type="containsBlanks" dxfId="3692" priority="340">
      <formula>LEN(TRIM(J308))=0</formula>
    </cfRule>
  </conditionalFormatting>
  <conditionalFormatting sqref="P308:Q308">
    <cfRule type="cellIs" dxfId="3691" priority="339" operator="equal">
      <formula>0</formula>
    </cfRule>
  </conditionalFormatting>
  <conditionalFormatting sqref="P308:Q308">
    <cfRule type="cellIs" dxfId="3690" priority="338" operator="equal">
      <formula>0</formula>
    </cfRule>
  </conditionalFormatting>
  <conditionalFormatting sqref="P308:Q308">
    <cfRule type="containsBlanks" dxfId="3689" priority="337">
      <formula>LEN(TRIM(P308))=0</formula>
    </cfRule>
  </conditionalFormatting>
  <conditionalFormatting sqref="D375:F375 R366:T366 D365:F373 D345:F352 N345:O345 R345:T345 J375:T375 J366:K366 J367:T373 J365:T365 J346:T352">
    <cfRule type="cellIs" dxfId="3688" priority="336" operator="equal">
      <formula>0</formula>
    </cfRule>
  </conditionalFormatting>
  <conditionalFormatting sqref="R345:R347">
    <cfRule type="cellIs" dxfId="3687" priority="335" operator="equal">
      <formula>0</formula>
    </cfRule>
  </conditionalFormatting>
  <conditionalFormatting sqref="R345:T345 N345:O345 D346:F347 J346:T347">
    <cfRule type="cellIs" dxfId="3686" priority="334" operator="equal">
      <formula>0</formula>
    </cfRule>
  </conditionalFormatting>
  <conditionalFormatting sqref="F346:F347">
    <cfRule type="cellIs" dxfId="3685" priority="333" operator="equal">
      <formula>0</formula>
    </cfRule>
  </conditionalFormatting>
  <conditionalFormatting sqref="N345:O345">
    <cfRule type="cellIs" dxfId="3684" priority="332" operator="equal">
      <formula>0</formula>
    </cfRule>
  </conditionalFormatting>
  <conditionalFormatting sqref="L348:L350 L366">
    <cfRule type="cellIs" dxfId="3683" priority="331" operator="equal">
      <formula>0</formula>
    </cfRule>
  </conditionalFormatting>
  <conditionalFormatting sqref="L346:L347">
    <cfRule type="cellIs" dxfId="3682" priority="330" operator="equal">
      <formula>0</formula>
    </cfRule>
  </conditionalFormatting>
  <conditionalFormatting sqref="M348:M350 M366">
    <cfRule type="cellIs" dxfId="3681" priority="329" operator="equal">
      <formula>0</formula>
    </cfRule>
  </conditionalFormatting>
  <conditionalFormatting sqref="M346:M347">
    <cfRule type="cellIs" dxfId="3680" priority="328" operator="equal">
      <formula>0</formula>
    </cfRule>
  </conditionalFormatting>
  <conditionalFormatting sqref="N348:N350 N366">
    <cfRule type="cellIs" dxfId="3679" priority="327" operator="equal">
      <formula>0</formula>
    </cfRule>
  </conditionalFormatting>
  <conditionalFormatting sqref="N345:N347">
    <cfRule type="cellIs" dxfId="3678" priority="326" operator="equal">
      <formula>0</formula>
    </cfRule>
  </conditionalFormatting>
  <conditionalFormatting sqref="O348:O350 O366">
    <cfRule type="cellIs" dxfId="3677" priority="325" operator="equal">
      <formula>0</formula>
    </cfRule>
  </conditionalFormatting>
  <conditionalFormatting sqref="O345:O347">
    <cfRule type="cellIs" dxfId="3676" priority="324" operator="equal">
      <formula>0</formula>
    </cfRule>
  </conditionalFormatting>
  <conditionalFormatting sqref="P348:P350 P366">
    <cfRule type="cellIs" dxfId="3675" priority="323" operator="equal">
      <formula>0</formula>
    </cfRule>
  </conditionalFormatting>
  <conditionalFormatting sqref="P346:P347">
    <cfRule type="cellIs" dxfId="3674" priority="322" operator="equal">
      <formula>0</formula>
    </cfRule>
  </conditionalFormatting>
  <conditionalFormatting sqref="Q348:Q350 Q366">
    <cfRule type="cellIs" dxfId="3673" priority="321" operator="equal">
      <formula>0</formula>
    </cfRule>
  </conditionalFormatting>
  <conditionalFormatting sqref="Q346:Q347">
    <cfRule type="cellIs" dxfId="3672" priority="320" operator="equal">
      <formula>0</formula>
    </cfRule>
  </conditionalFormatting>
  <conditionalFormatting sqref="D374:F374 J374:T374">
    <cfRule type="cellIs" dxfId="3671" priority="319" operator="equal">
      <formula>0</formula>
    </cfRule>
  </conditionalFormatting>
  <conditionalFormatting sqref="D367:F375 D365:F365 D345:F351 N345:O345 R345:T345 J367:T375 J365:T365 J346:T351">
    <cfRule type="containsBlanks" dxfId="3670" priority="318">
      <formula>LEN(TRIM(D345))=0</formula>
    </cfRule>
  </conditionalFormatting>
  <conditionalFormatting sqref="D374:F374 J374:T374">
    <cfRule type="cellIs" dxfId="3669" priority="317" operator="equal">
      <formula>0</formula>
    </cfRule>
  </conditionalFormatting>
  <conditionalFormatting sqref="N348:N349">
    <cfRule type="cellIs" dxfId="3668" priority="316" operator="equal">
      <formula>0</formula>
    </cfRule>
  </conditionalFormatting>
  <conditionalFormatting sqref="O348:O349">
    <cfRule type="cellIs" dxfId="3667" priority="315" operator="equal">
      <formula>0</formula>
    </cfRule>
  </conditionalFormatting>
  <conditionalFormatting sqref="P348:Q348">
    <cfRule type="cellIs" dxfId="3666" priority="314" operator="equal">
      <formula>0</formula>
    </cfRule>
  </conditionalFormatting>
  <conditionalFormatting sqref="P349:Q349">
    <cfRule type="cellIs" dxfId="3665" priority="313" operator="equal">
      <formula>0</formula>
    </cfRule>
  </conditionalFormatting>
  <conditionalFormatting sqref="D353:F364 J353:T364">
    <cfRule type="cellIs" dxfId="3664" priority="312" operator="equal">
      <formula>0</formula>
    </cfRule>
  </conditionalFormatting>
  <conditionalFormatting sqref="D353:F364 J353:T364">
    <cfRule type="containsBlanks" dxfId="3663" priority="311">
      <formula>LEN(TRIM(D353))=0</formula>
    </cfRule>
  </conditionalFormatting>
  <conditionalFormatting sqref="J345">
    <cfRule type="cellIs" dxfId="3662" priority="310" operator="equal">
      <formula>0</formula>
    </cfRule>
  </conditionalFormatting>
  <conditionalFormatting sqref="K345">
    <cfRule type="cellIs" dxfId="3661" priority="309" operator="equal">
      <formula>0</formula>
    </cfRule>
  </conditionalFormatting>
  <conditionalFormatting sqref="L345:M345">
    <cfRule type="cellIs" dxfId="3660" priority="308" operator="equal">
      <formula>0</formula>
    </cfRule>
  </conditionalFormatting>
  <conditionalFormatting sqref="M345">
    <cfRule type="cellIs" dxfId="3659" priority="307" operator="equal">
      <formula>0</formula>
    </cfRule>
  </conditionalFormatting>
  <conditionalFormatting sqref="J345:M345">
    <cfRule type="containsBlanks" dxfId="3658" priority="306">
      <formula>LEN(TRIM(J345))=0</formula>
    </cfRule>
  </conditionalFormatting>
  <conditionalFormatting sqref="P345:Q345">
    <cfRule type="cellIs" dxfId="3657" priority="305" operator="equal">
      <formula>0</formula>
    </cfRule>
  </conditionalFormatting>
  <conditionalFormatting sqref="P345:Q345">
    <cfRule type="cellIs" dxfId="3656" priority="304" operator="equal">
      <formula>0</formula>
    </cfRule>
  </conditionalFormatting>
  <conditionalFormatting sqref="P345:Q345">
    <cfRule type="containsBlanks" dxfId="3655" priority="303">
      <formula>LEN(TRIM(P345))=0</formula>
    </cfRule>
  </conditionalFormatting>
  <conditionalFormatting sqref="D412:F412 R403:T403 D402:F410 D382:F389 N382:O382 R382:T382 J412:T412 J403:K403 J404:T410 J402:T402 J383:T389">
    <cfRule type="cellIs" dxfId="3654" priority="302" operator="equal">
      <formula>0</formula>
    </cfRule>
  </conditionalFormatting>
  <conditionalFormatting sqref="R382:R384">
    <cfRule type="cellIs" dxfId="3653" priority="301" operator="equal">
      <formula>0</formula>
    </cfRule>
  </conditionalFormatting>
  <conditionalFormatting sqref="R382:T382 N382:O382 D383:F384 J383:T384">
    <cfRule type="cellIs" dxfId="3652" priority="300" operator="equal">
      <formula>0</formula>
    </cfRule>
  </conditionalFormatting>
  <conditionalFormatting sqref="F383:F384">
    <cfRule type="cellIs" dxfId="3651" priority="299" operator="equal">
      <formula>0</formula>
    </cfRule>
  </conditionalFormatting>
  <conditionalFormatting sqref="N382:O382">
    <cfRule type="cellIs" dxfId="3650" priority="298" operator="equal">
      <formula>0</formula>
    </cfRule>
  </conditionalFormatting>
  <conditionalFormatting sqref="L385:L387 L403">
    <cfRule type="cellIs" dxfId="3649" priority="297" operator="equal">
      <formula>0</formula>
    </cfRule>
  </conditionalFormatting>
  <conditionalFormatting sqref="L383:L384">
    <cfRule type="cellIs" dxfId="3648" priority="296" operator="equal">
      <formula>0</formula>
    </cfRule>
  </conditionalFormatting>
  <conditionalFormatting sqref="M385:M387 M403">
    <cfRule type="cellIs" dxfId="3647" priority="295" operator="equal">
      <formula>0</formula>
    </cfRule>
  </conditionalFormatting>
  <conditionalFormatting sqref="M383:M384">
    <cfRule type="cellIs" dxfId="3646" priority="294" operator="equal">
      <formula>0</formula>
    </cfRule>
  </conditionalFormatting>
  <conditionalFormatting sqref="N385:N387 N403">
    <cfRule type="cellIs" dxfId="3645" priority="293" operator="equal">
      <formula>0</formula>
    </cfRule>
  </conditionalFormatting>
  <conditionalFormatting sqref="N382:N384">
    <cfRule type="cellIs" dxfId="3644" priority="292" operator="equal">
      <formula>0</formula>
    </cfRule>
  </conditionalFormatting>
  <conditionalFormatting sqref="O385:O387 O403">
    <cfRule type="cellIs" dxfId="3643" priority="291" operator="equal">
      <formula>0</formula>
    </cfRule>
  </conditionalFormatting>
  <conditionalFormatting sqref="O382:O384">
    <cfRule type="cellIs" dxfId="3642" priority="290" operator="equal">
      <formula>0</formula>
    </cfRule>
  </conditionalFormatting>
  <conditionalFormatting sqref="P385:P387 P403">
    <cfRule type="cellIs" dxfId="3641" priority="289" operator="equal">
      <formula>0</formula>
    </cfRule>
  </conditionalFormatting>
  <conditionalFormatting sqref="P383:P384">
    <cfRule type="cellIs" dxfId="3640" priority="288" operator="equal">
      <formula>0</formula>
    </cfRule>
  </conditionalFormatting>
  <conditionalFormatting sqref="Q385:Q387 Q403">
    <cfRule type="cellIs" dxfId="3639" priority="287" operator="equal">
      <formula>0</formula>
    </cfRule>
  </conditionalFormatting>
  <conditionalFormatting sqref="Q383:Q384">
    <cfRule type="cellIs" dxfId="3638" priority="286" operator="equal">
      <formula>0</formula>
    </cfRule>
  </conditionalFormatting>
  <conditionalFormatting sqref="D411:F411 J411:T411">
    <cfRule type="cellIs" dxfId="3637" priority="285" operator="equal">
      <formula>0</formula>
    </cfRule>
  </conditionalFormatting>
  <conditionalFormatting sqref="D404:F412 D402:F402 D382:F388 N382:O382 R382:T382 J404:T412 J402:T402 J383:T388">
    <cfRule type="containsBlanks" dxfId="3636" priority="284">
      <formula>LEN(TRIM(D382))=0</formula>
    </cfRule>
  </conditionalFormatting>
  <conditionalFormatting sqref="D411:F411 J411:T411">
    <cfRule type="cellIs" dxfId="3635" priority="283" operator="equal">
      <formula>0</formula>
    </cfRule>
  </conditionalFormatting>
  <conditionalFormatting sqref="N385:N386">
    <cfRule type="cellIs" dxfId="3634" priority="282" operator="equal">
      <formula>0</formula>
    </cfRule>
  </conditionalFormatting>
  <conditionalFormatting sqref="O385:O386">
    <cfRule type="cellIs" dxfId="3633" priority="281" operator="equal">
      <formula>0</formula>
    </cfRule>
  </conditionalFormatting>
  <conditionalFormatting sqref="P385:Q385">
    <cfRule type="cellIs" dxfId="3632" priority="280" operator="equal">
      <formula>0</formula>
    </cfRule>
  </conditionalFormatting>
  <conditionalFormatting sqref="P386:Q386">
    <cfRule type="cellIs" dxfId="3631" priority="279" operator="equal">
      <formula>0</formula>
    </cfRule>
  </conditionalFormatting>
  <conditionalFormatting sqref="D390:F401 J390:T401">
    <cfRule type="cellIs" dxfId="3630" priority="278" operator="equal">
      <formula>0</formula>
    </cfRule>
  </conditionalFormatting>
  <conditionalFormatting sqref="D390:F401 J390:T401">
    <cfRule type="containsBlanks" dxfId="3629" priority="277">
      <formula>LEN(TRIM(D390))=0</formula>
    </cfRule>
  </conditionalFormatting>
  <conditionalFormatting sqref="J382">
    <cfRule type="cellIs" dxfId="3628" priority="276" operator="equal">
      <formula>0</formula>
    </cfRule>
  </conditionalFormatting>
  <conditionalFormatting sqref="K382">
    <cfRule type="cellIs" dxfId="3627" priority="275" operator="equal">
      <formula>0</formula>
    </cfRule>
  </conditionalFormatting>
  <conditionalFormatting sqref="L382:M382">
    <cfRule type="cellIs" dxfId="3626" priority="274" operator="equal">
      <formula>0</formula>
    </cfRule>
  </conditionalFormatting>
  <conditionalFormatting sqref="M382">
    <cfRule type="cellIs" dxfId="3625" priority="273" operator="equal">
      <formula>0</formula>
    </cfRule>
  </conditionalFormatting>
  <conditionalFormatting sqref="J382:M382">
    <cfRule type="containsBlanks" dxfId="3624" priority="272">
      <formula>LEN(TRIM(J382))=0</formula>
    </cfRule>
  </conditionalFormatting>
  <conditionalFormatting sqref="P382:Q382">
    <cfRule type="cellIs" dxfId="3623" priority="271" operator="equal">
      <formula>0</formula>
    </cfRule>
  </conditionalFormatting>
  <conditionalFormatting sqref="P382:Q382">
    <cfRule type="cellIs" dxfId="3622" priority="270" operator="equal">
      <formula>0</formula>
    </cfRule>
  </conditionalFormatting>
  <conditionalFormatting sqref="P382:Q382">
    <cfRule type="containsBlanks" dxfId="3621" priority="269">
      <formula>LEN(TRIM(P382))=0</formula>
    </cfRule>
  </conditionalFormatting>
  <conditionalFormatting sqref="G13:G19 G32:G40 G42">
    <cfRule type="cellIs" dxfId="3620" priority="268" operator="equal">
      <formula>0</formula>
    </cfRule>
  </conditionalFormatting>
  <conditionalFormatting sqref="G13:G14">
    <cfRule type="cellIs" dxfId="3619" priority="267" operator="equal">
      <formula>0</formula>
    </cfRule>
  </conditionalFormatting>
  <conditionalFormatting sqref="G13:G14">
    <cfRule type="cellIs" dxfId="3618" priority="266" operator="equal">
      <formula>0</formula>
    </cfRule>
  </conditionalFormatting>
  <conditionalFormatting sqref="G41">
    <cfRule type="cellIs" dxfId="3617" priority="265" operator="equal">
      <formula>0</formula>
    </cfRule>
  </conditionalFormatting>
  <conditionalFormatting sqref="G13:G18 G34:G42 G32">
    <cfRule type="containsBlanks" dxfId="3616" priority="264">
      <formula>LEN(TRIM(G13))=0</formula>
    </cfRule>
  </conditionalFormatting>
  <conditionalFormatting sqref="G41">
    <cfRule type="cellIs" dxfId="3615" priority="263" operator="equal">
      <formula>0</formula>
    </cfRule>
  </conditionalFormatting>
  <conditionalFormatting sqref="G20:G31">
    <cfRule type="cellIs" dxfId="3614" priority="262" operator="equal">
      <formula>0</formula>
    </cfRule>
  </conditionalFormatting>
  <conditionalFormatting sqref="G20:G31">
    <cfRule type="containsBlanks" dxfId="3613" priority="261">
      <formula>LEN(TRIM(G20))=0</formula>
    </cfRule>
  </conditionalFormatting>
  <conditionalFormatting sqref="I12">
    <cfRule type="cellIs" dxfId="3612" priority="260" operator="equal">
      <formula>0</formula>
    </cfRule>
  </conditionalFormatting>
  <conditionalFormatting sqref="I12">
    <cfRule type="containsBlanks" dxfId="3611" priority="259">
      <formula>LEN(TRIM(I12))=0</formula>
    </cfRule>
  </conditionalFormatting>
  <conditionalFormatting sqref="I13:I19 I32:I40 I42">
    <cfRule type="cellIs" dxfId="3610" priority="258" operator="equal">
      <formula>0</formula>
    </cfRule>
  </conditionalFormatting>
  <conditionalFormatting sqref="I13:I14">
    <cfRule type="cellIs" dxfId="3609" priority="257" operator="equal">
      <formula>0</formula>
    </cfRule>
  </conditionalFormatting>
  <conditionalFormatting sqref="I13:I14">
    <cfRule type="cellIs" dxfId="3608" priority="256" operator="equal">
      <formula>0</formula>
    </cfRule>
  </conditionalFormatting>
  <conditionalFormatting sqref="I41">
    <cfRule type="cellIs" dxfId="3607" priority="255" operator="equal">
      <formula>0</formula>
    </cfRule>
  </conditionalFormatting>
  <conditionalFormatting sqref="I13:I18 I34:I42 I32">
    <cfRule type="containsBlanks" dxfId="3606" priority="254">
      <formula>LEN(TRIM(I13))=0</formula>
    </cfRule>
  </conditionalFormatting>
  <conditionalFormatting sqref="I41">
    <cfRule type="cellIs" dxfId="3605" priority="253" operator="equal">
      <formula>0</formula>
    </cfRule>
  </conditionalFormatting>
  <conditionalFormatting sqref="I20:I31">
    <cfRule type="cellIs" dxfId="3604" priority="252" operator="equal">
      <formula>0</formula>
    </cfRule>
  </conditionalFormatting>
  <conditionalFormatting sqref="I20:I31">
    <cfRule type="containsBlanks" dxfId="3603" priority="251">
      <formula>LEN(TRIM(I20))=0</formula>
    </cfRule>
  </conditionalFormatting>
  <conditionalFormatting sqref="H49:H56 H69:H77 H79 G49">
    <cfRule type="cellIs" dxfId="3602" priority="250" operator="equal">
      <formula>0</formula>
    </cfRule>
  </conditionalFormatting>
  <conditionalFormatting sqref="H50:H51">
    <cfRule type="cellIs" dxfId="3601" priority="249" operator="equal">
      <formula>0</formula>
    </cfRule>
  </conditionalFormatting>
  <conditionalFormatting sqref="H78">
    <cfRule type="cellIs" dxfId="3600" priority="248" operator="equal">
      <formula>0</formula>
    </cfRule>
  </conditionalFormatting>
  <conditionalFormatting sqref="H49:H55 H69 H71:H79 G49">
    <cfRule type="containsBlanks" dxfId="3599" priority="247">
      <formula>LEN(TRIM(G49))=0</formula>
    </cfRule>
  </conditionalFormatting>
  <conditionalFormatting sqref="H78">
    <cfRule type="cellIs" dxfId="3598" priority="246" operator="equal">
      <formula>0</formula>
    </cfRule>
  </conditionalFormatting>
  <conditionalFormatting sqref="H57:H68">
    <cfRule type="cellIs" dxfId="3597" priority="245" operator="equal">
      <formula>0</formula>
    </cfRule>
  </conditionalFormatting>
  <conditionalFormatting sqref="H57:H68">
    <cfRule type="containsBlanks" dxfId="3596" priority="244">
      <formula>LEN(TRIM(H57))=0</formula>
    </cfRule>
  </conditionalFormatting>
  <conditionalFormatting sqref="G50:G56 G69:G77 G79">
    <cfRule type="cellIs" dxfId="3595" priority="243" operator="equal">
      <formula>0</formula>
    </cfRule>
  </conditionalFormatting>
  <conditionalFormatting sqref="G50:G51">
    <cfRule type="cellIs" dxfId="3594" priority="242" operator="equal">
      <formula>0</formula>
    </cfRule>
  </conditionalFormatting>
  <conditionalFormatting sqref="G50:G51">
    <cfRule type="cellIs" dxfId="3593" priority="241" operator="equal">
      <formula>0</formula>
    </cfRule>
  </conditionalFormatting>
  <conditionalFormatting sqref="G78">
    <cfRule type="cellIs" dxfId="3592" priority="240" operator="equal">
      <formula>0</formula>
    </cfRule>
  </conditionalFormatting>
  <conditionalFormatting sqref="G50:G55 G71:G79 G69">
    <cfRule type="containsBlanks" dxfId="3591" priority="239">
      <formula>LEN(TRIM(G50))=0</formula>
    </cfRule>
  </conditionalFormatting>
  <conditionalFormatting sqref="G78">
    <cfRule type="cellIs" dxfId="3590" priority="238" operator="equal">
      <formula>0</formula>
    </cfRule>
  </conditionalFormatting>
  <conditionalFormatting sqref="G57:G68">
    <cfRule type="cellIs" dxfId="3589" priority="237" operator="equal">
      <formula>0</formula>
    </cfRule>
  </conditionalFormatting>
  <conditionalFormatting sqref="G57:G68">
    <cfRule type="containsBlanks" dxfId="3588" priority="236">
      <formula>LEN(TRIM(G57))=0</formula>
    </cfRule>
  </conditionalFormatting>
  <conditionalFormatting sqref="I49">
    <cfRule type="cellIs" dxfId="3587" priority="235" operator="equal">
      <formula>0</formula>
    </cfRule>
  </conditionalFormatting>
  <conditionalFormatting sqref="I49">
    <cfRule type="containsBlanks" dxfId="3586" priority="234">
      <formula>LEN(TRIM(I49))=0</formula>
    </cfRule>
  </conditionalFormatting>
  <conditionalFormatting sqref="I50:I56 I69:I77 I79">
    <cfRule type="cellIs" dxfId="3585" priority="233" operator="equal">
      <formula>0</formula>
    </cfRule>
  </conditionalFormatting>
  <conditionalFormatting sqref="I50:I51">
    <cfRule type="cellIs" dxfId="3584" priority="232" operator="equal">
      <formula>0</formula>
    </cfRule>
  </conditionalFormatting>
  <conditionalFormatting sqref="I50:I51">
    <cfRule type="cellIs" dxfId="3583" priority="231" operator="equal">
      <formula>0</formula>
    </cfRule>
  </conditionalFormatting>
  <conditionalFormatting sqref="I78">
    <cfRule type="cellIs" dxfId="3582" priority="230" operator="equal">
      <formula>0</formula>
    </cfRule>
  </conditionalFormatting>
  <conditionalFormatting sqref="I50:I55 I71:I79 I69">
    <cfRule type="containsBlanks" dxfId="3581" priority="229">
      <formula>LEN(TRIM(I50))=0</formula>
    </cfRule>
  </conditionalFormatting>
  <conditionalFormatting sqref="I78">
    <cfRule type="cellIs" dxfId="3580" priority="228" operator="equal">
      <formula>0</formula>
    </cfRule>
  </conditionalFormatting>
  <conditionalFormatting sqref="I57:I68">
    <cfRule type="cellIs" dxfId="3579" priority="227" operator="equal">
      <formula>0</formula>
    </cfRule>
  </conditionalFormatting>
  <conditionalFormatting sqref="I57:I68">
    <cfRule type="containsBlanks" dxfId="3578" priority="226">
      <formula>LEN(TRIM(I57))=0</formula>
    </cfRule>
  </conditionalFormatting>
  <conditionalFormatting sqref="H86:H93 H106:H114 H116 G86">
    <cfRule type="cellIs" dxfId="3577" priority="225" operator="equal">
      <formula>0</formula>
    </cfRule>
  </conditionalFormatting>
  <conditionalFormatting sqref="H87:H88">
    <cfRule type="cellIs" dxfId="3576" priority="224" operator="equal">
      <formula>0</formula>
    </cfRule>
  </conditionalFormatting>
  <conditionalFormatting sqref="H115">
    <cfRule type="cellIs" dxfId="3575" priority="223" operator="equal">
      <formula>0</formula>
    </cfRule>
  </conditionalFormatting>
  <conditionalFormatting sqref="H86:H92 H106 H108:H116 G86">
    <cfRule type="containsBlanks" dxfId="3574" priority="222">
      <formula>LEN(TRIM(G86))=0</formula>
    </cfRule>
  </conditionalFormatting>
  <conditionalFormatting sqref="H115">
    <cfRule type="cellIs" dxfId="3573" priority="221" operator="equal">
      <formula>0</formula>
    </cfRule>
  </conditionalFormatting>
  <conditionalFormatting sqref="H94:H105">
    <cfRule type="cellIs" dxfId="3572" priority="220" operator="equal">
      <formula>0</formula>
    </cfRule>
  </conditionalFormatting>
  <conditionalFormatting sqref="H94:H105">
    <cfRule type="containsBlanks" dxfId="3571" priority="219">
      <formula>LEN(TRIM(H94))=0</formula>
    </cfRule>
  </conditionalFormatting>
  <conditionalFormatting sqref="G87:G93 G106:G114 G116">
    <cfRule type="cellIs" dxfId="3570" priority="218" operator="equal">
      <formula>0</formula>
    </cfRule>
  </conditionalFormatting>
  <conditionalFormatting sqref="G87:G88">
    <cfRule type="cellIs" dxfId="3569" priority="217" operator="equal">
      <formula>0</formula>
    </cfRule>
  </conditionalFormatting>
  <conditionalFormatting sqref="G87:G88">
    <cfRule type="cellIs" dxfId="3568" priority="216" operator="equal">
      <formula>0</formula>
    </cfRule>
  </conditionalFormatting>
  <conditionalFormatting sqref="G115">
    <cfRule type="cellIs" dxfId="3567" priority="215" operator="equal">
      <formula>0</formula>
    </cfRule>
  </conditionalFormatting>
  <conditionalFormatting sqref="G87:G92 G108:G116 G106">
    <cfRule type="containsBlanks" dxfId="3566" priority="214">
      <formula>LEN(TRIM(G87))=0</formula>
    </cfRule>
  </conditionalFormatting>
  <conditionalFormatting sqref="G115">
    <cfRule type="cellIs" dxfId="3565" priority="213" operator="equal">
      <formula>0</formula>
    </cfRule>
  </conditionalFormatting>
  <conditionalFormatting sqref="G94:G105">
    <cfRule type="cellIs" dxfId="3564" priority="212" operator="equal">
      <formula>0</formula>
    </cfRule>
  </conditionalFormatting>
  <conditionalFormatting sqref="G94:G105">
    <cfRule type="containsBlanks" dxfId="3563" priority="211">
      <formula>LEN(TRIM(G94))=0</formula>
    </cfRule>
  </conditionalFormatting>
  <conditionalFormatting sqref="I86">
    <cfRule type="cellIs" dxfId="3562" priority="210" operator="equal">
      <formula>0</formula>
    </cfRule>
  </conditionalFormatting>
  <conditionalFormatting sqref="I86">
    <cfRule type="containsBlanks" dxfId="3561" priority="209">
      <formula>LEN(TRIM(I86))=0</formula>
    </cfRule>
  </conditionalFormatting>
  <conditionalFormatting sqref="I87:I93 I106:I114 I116">
    <cfRule type="cellIs" dxfId="3560" priority="208" operator="equal">
      <formula>0</formula>
    </cfRule>
  </conditionalFormatting>
  <conditionalFormatting sqref="I87:I88">
    <cfRule type="cellIs" dxfId="3559" priority="207" operator="equal">
      <formula>0</formula>
    </cfRule>
  </conditionalFormatting>
  <conditionalFormatting sqref="I87:I88">
    <cfRule type="cellIs" dxfId="3558" priority="206" operator="equal">
      <formula>0</formula>
    </cfRule>
  </conditionalFormatting>
  <conditionalFormatting sqref="I115">
    <cfRule type="cellIs" dxfId="3557" priority="205" operator="equal">
      <formula>0</formula>
    </cfRule>
  </conditionalFormatting>
  <conditionalFormatting sqref="I87:I92 I108:I116 I106">
    <cfRule type="containsBlanks" dxfId="3556" priority="204">
      <formula>LEN(TRIM(I87))=0</formula>
    </cfRule>
  </conditionalFormatting>
  <conditionalFormatting sqref="I115">
    <cfRule type="cellIs" dxfId="3555" priority="203" operator="equal">
      <formula>0</formula>
    </cfRule>
  </conditionalFormatting>
  <conditionalFormatting sqref="I94:I105">
    <cfRule type="cellIs" dxfId="3554" priority="202" operator="equal">
      <formula>0</formula>
    </cfRule>
  </conditionalFormatting>
  <conditionalFormatting sqref="I94:I105">
    <cfRule type="containsBlanks" dxfId="3553" priority="201">
      <formula>LEN(TRIM(I94))=0</formula>
    </cfRule>
  </conditionalFormatting>
  <conditionalFormatting sqref="H123:H130 H143:H151 H153 G123">
    <cfRule type="cellIs" dxfId="3552" priority="200" operator="equal">
      <formula>0</formula>
    </cfRule>
  </conditionalFormatting>
  <conditionalFormatting sqref="H124:H125">
    <cfRule type="cellIs" dxfId="3551" priority="199" operator="equal">
      <formula>0</formula>
    </cfRule>
  </conditionalFormatting>
  <conditionalFormatting sqref="H152">
    <cfRule type="cellIs" dxfId="3550" priority="198" operator="equal">
      <formula>0</formula>
    </cfRule>
  </conditionalFormatting>
  <conditionalFormatting sqref="H123:H129 H143 H145:H153 G123">
    <cfRule type="containsBlanks" dxfId="3549" priority="197">
      <formula>LEN(TRIM(G123))=0</formula>
    </cfRule>
  </conditionalFormatting>
  <conditionalFormatting sqref="H152">
    <cfRule type="cellIs" dxfId="3548" priority="196" operator="equal">
      <formula>0</formula>
    </cfRule>
  </conditionalFormatting>
  <conditionalFormatting sqref="H131:H142">
    <cfRule type="cellIs" dxfId="3547" priority="195" operator="equal">
      <formula>0</formula>
    </cfRule>
  </conditionalFormatting>
  <conditionalFormatting sqref="H131:H142">
    <cfRule type="containsBlanks" dxfId="3546" priority="194">
      <formula>LEN(TRIM(H131))=0</formula>
    </cfRule>
  </conditionalFormatting>
  <conditionalFormatting sqref="G124:G130 G143:G151 G153">
    <cfRule type="cellIs" dxfId="3545" priority="193" operator="equal">
      <formula>0</formula>
    </cfRule>
  </conditionalFormatting>
  <conditionalFormatting sqref="G124:G125">
    <cfRule type="cellIs" dxfId="3544" priority="192" operator="equal">
      <formula>0</formula>
    </cfRule>
  </conditionalFormatting>
  <conditionalFormatting sqref="G124:G125">
    <cfRule type="cellIs" dxfId="3543" priority="191" operator="equal">
      <formula>0</formula>
    </cfRule>
  </conditionalFormatting>
  <conditionalFormatting sqref="G152">
    <cfRule type="cellIs" dxfId="3542" priority="190" operator="equal">
      <formula>0</formula>
    </cfRule>
  </conditionalFormatting>
  <conditionalFormatting sqref="G124:G129 G145:G153 G143">
    <cfRule type="containsBlanks" dxfId="3541" priority="189">
      <formula>LEN(TRIM(G124))=0</formula>
    </cfRule>
  </conditionalFormatting>
  <conditionalFormatting sqref="G152">
    <cfRule type="cellIs" dxfId="3540" priority="188" operator="equal">
      <formula>0</formula>
    </cfRule>
  </conditionalFormatting>
  <conditionalFormatting sqref="G131:G142">
    <cfRule type="cellIs" dxfId="3539" priority="187" operator="equal">
      <formula>0</formula>
    </cfRule>
  </conditionalFormatting>
  <conditionalFormatting sqref="G131:G142">
    <cfRule type="containsBlanks" dxfId="3538" priority="186">
      <formula>LEN(TRIM(G131))=0</formula>
    </cfRule>
  </conditionalFormatting>
  <conditionalFormatting sqref="I123">
    <cfRule type="cellIs" dxfId="3537" priority="185" operator="equal">
      <formula>0</formula>
    </cfRule>
  </conditionalFormatting>
  <conditionalFormatting sqref="I123">
    <cfRule type="containsBlanks" dxfId="3536" priority="184">
      <formula>LEN(TRIM(I123))=0</formula>
    </cfRule>
  </conditionalFormatting>
  <conditionalFormatting sqref="I124:I130 I143:I151 I153">
    <cfRule type="cellIs" dxfId="3535" priority="183" operator="equal">
      <formula>0</formula>
    </cfRule>
  </conditionalFormatting>
  <conditionalFormatting sqref="I124:I125">
    <cfRule type="cellIs" dxfId="3534" priority="182" operator="equal">
      <formula>0</formula>
    </cfRule>
  </conditionalFormatting>
  <conditionalFormatting sqref="I124:I125">
    <cfRule type="cellIs" dxfId="3533" priority="181" operator="equal">
      <formula>0</formula>
    </cfRule>
  </conditionalFormatting>
  <conditionalFormatting sqref="I152">
    <cfRule type="cellIs" dxfId="3532" priority="180" operator="equal">
      <formula>0</formula>
    </cfRule>
  </conditionalFormatting>
  <conditionalFormatting sqref="I124:I129 I145:I153 I143">
    <cfRule type="containsBlanks" dxfId="3531" priority="179">
      <formula>LEN(TRIM(I124))=0</formula>
    </cfRule>
  </conditionalFormatting>
  <conditionalFormatting sqref="I152">
    <cfRule type="cellIs" dxfId="3530" priority="178" operator="equal">
      <formula>0</formula>
    </cfRule>
  </conditionalFormatting>
  <conditionalFormatting sqref="I131:I142">
    <cfRule type="cellIs" dxfId="3529" priority="177" operator="equal">
      <formula>0</formula>
    </cfRule>
  </conditionalFormatting>
  <conditionalFormatting sqref="I131:I142">
    <cfRule type="containsBlanks" dxfId="3528" priority="176">
      <formula>LEN(TRIM(I131))=0</formula>
    </cfRule>
  </conditionalFormatting>
  <conditionalFormatting sqref="H160:H167 H180:H188 H190 G160">
    <cfRule type="cellIs" dxfId="3527" priority="175" operator="equal">
      <formula>0</formula>
    </cfRule>
  </conditionalFormatting>
  <conditionalFormatting sqref="H161:H162">
    <cfRule type="cellIs" dxfId="3526" priority="174" operator="equal">
      <formula>0</formula>
    </cfRule>
  </conditionalFormatting>
  <conditionalFormatting sqref="H189">
    <cfRule type="cellIs" dxfId="3525" priority="173" operator="equal">
      <formula>0</formula>
    </cfRule>
  </conditionalFormatting>
  <conditionalFormatting sqref="H160:H166 H180 H182:H190 G160">
    <cfRule type="containsBlanks" dxfId="3524" priority="172">
      <formula>LEN(TRIM(G160))=0</formula>
    </cfRule>
  </conditionalFormatting>
  <conditionalFormatting sqref="H189">
    <cfRule type="cellIs" dxfId="3523" priority="171" operator="equal">
      <formula>0</formula>
    </cfRule>
  </conditionalFormatting>
  <conditionalFormatting sqref="H168:H179">
    <cfRule type="cellIs" dxfId="3522" priority="170" operator="equal">
      <formula>0</formula>
    </cfRule>
  </conditionalFormatting>
  <conditionalFormatting sqref="H168:H179">
    <cfRule type="containsBlanks" dxfId="3521" priority="169">
      <formula>LEN(TRIM(H168))=0</formula>
    </cfRule>
  </conditionalFormatting>
  <conditionalFormatting sqref="G161:G167 G180:G188 G190">
    <cfRule type="cellIs" dxfId="3520" priority="168" operator="equal">
      <formula>0</formula>
    </cfRule>
  </conditionalFormatting>
  <conditionalFormatting sqref="G161:G162">
    <cfRule type="cellIs" dxfId="3519" priority="167" operator="equal">
      <formula>0</formula>
    </cfRule>
  </conditionalFormatting>
  <conditionalFormatting sqref="G161:G162">
    <cfRule type="cellIs" dxfId="3518" priority="166" operator="equal">
      <formula>0</formula>
    </cfRule>
  </conditionalFormatting>
  <conditionalFormatting sqref="G189">
    <cfRule type="cellIs" dxfId="3517" priority="165" operator="equal">
      <formula>0</formula>
    </cfRule>
  </conditionalFormatting>
  <conditionalFormatting sqref="G161:G166 G182:G190 G180">
    <cfRule type="containsBlanks" dxfId="3516" priority="164">
      <formula>LEN(TRIM(G161))=0</formula>
    </cfRule>
  </conditionalFormatting>
  <conditionalFormatting sqref="G189">
    <cfRule type="cellIs" dxfId="3515" priority="163" operator="equal">
      <formula>0</formula>
    </cfRule>
  </conditionalFormatting>
  <conditionalFormatting sqref="G168:G179">
    <cfRule type="cellIs" dxfId="3514" priority="162" operator="equal">
      <formula>0</formula>
    </cfRule>
  </conditionalFormatting>
  <conditionalFormatting sqref="G168:G179">
    <cfRule type="containsBlanks" dxfId="3513" priority="161">
      <formula>LEN(TRIM(G168))=0</formula>
    </cfRule>
  </conditionalFormatting>
  <conditionalFormatting sqref="I160">
    <cfRule type="cellIs" dxfId="3512" priority="160" operator="equal">
      <formula>0</formula>
    </cfRule>
  </conditionalFormatting>
  <conditionalFormatting sqref="I160">
    <cfRule type="containsBlanks" dxfId="3511" priority="159">
      <formula>LEN(TRIM(I160))=0</formula>
    </cfRule>
  </conditionalFormatting>
  <conditionalFormatting sqref="I161:I167 I180:I188 I190">
    <cfRule type="cellIs" dxfId="3510" priority="158" operator="equal">
      <formula>0</formula>
    </cfRule>
  </conditionalFormatting>
  <conditionalFormatting sqref="I161:I162">
    <cfRule type="cellIs" dxfId="3509" priority="157" operator="equal">
      <formula>0</formula>
    </cfRule>
  </conditionalFormatting>
  <conditionalFormatting sqref="I161:I162">
    <cfRule type="cellIs" dxfId="3508" priority="156" operator="equal">
      <formula>0</formula>
    </cfRule>
  </conditionalFormatting>
  <conditionalFormatting sqref="I189">
    <cfRule type="cellIs" dxfId="3507" priority="155" operator="equal">
      <formula>0</formula>
    </cfRule>
  </conditionalFormatting>
  <conditionalFormatting sqref="I161:I166 I182:I190 I180">
    <cfRule type="containsBlanks" dxfId="3506" priority="154">
      <formula>LEN(TRIM(I161))=0</formula>
    </cfRule>
  </conditionalFormatting>
  <conditionalFormatting sqref="I189">
    <cfRule type="cellIs" dxfId="3505" priority="153" operator="equal">
      <formula>0</formula>
    </cfRule>
  </conditionalFormatting>
  <conditionalFormatting sqref="I168:I179">
    <cfRule type="cellIs" dxfId="3504" priority="152" operator="equal">
      <formula>0</formula>
    </cfRule>
  </conditionalFormatting>
  <conditionalFormatting sqref="I168:I179">
    <cfRule type="containsBlanks" dxfId="3503" priority="151">
      <formula>LEN(TRIM(I168))=0</formula>
    </cfRule>
  </conditionalFormatting>
  <conditionalFormatting sqref="H197:H204 H217:H225 H227 G197">
    <cfRule type="cellIs" dxfId="3502" priority="150" operator="equal">
      <formula>0</formula>
    </cfRule>
  </conditionalFormatting>
  <conditionalFormatting sqref="H198:H199">
    <cfRule type="cellIs" dxfId="3501" priority="149" operator="equal">
      <formula>0</formula>
    </cfRule>
  </conditionalFormatting>
  <conditionalFormatting sqref="H226">
    <cfRule type="cellIs" dxfId="3500" priority="148" operator="equal">
      <formula>0</formula>
    </cfRule>
  </conditionalFormatting>
  <conditionalFormatting sqref="H197:H203 H217 H219:H227 G197">
    <cfRule type="containsBlanks" dxfId="3499" priority="147">
      <formula>LEN(TRIM(G197))=0</formula>
    </cfRule>
  </conditionalFormatting>
  <conditionalFormatting sqref="H226">
    <cfRule type="cellIs" dxfId="3498" priority="146" operator="equal">
      <formula>0</formula>
    </cfRule>
  </conditionalFormatting>
  <conditionalFormatting sqref="H205:H216">
    <cfRule type="cellIs" dxfId="3497" priority="145" operator="equal">
      <formula>0</formula>
    </cfRule>
  </conditionalFormatting>
  <conditionalFormatting sqref="H205:H216">
    <cfRule type="containsBlanks" dxfId="3496" priority="144">
      <formula>LEN(TRIM(H205))=0</formula>
    </cfRule>
  </conditionalFormatting>
  <conditionalFormatting sqref="G198:G204 G217:G225 G227">
    <cfRule type="cellIs" dxfId="3495" priority="143" operator="equal">
      <formula>0</formula>
    </cfRule>
  </conditionalFormatting>
  <conditionalFormatting sqref="G198:G199">
    <cfRule type="cellIs" dxfId="3494" priority="142" operator="equal">
      <formula>0</formula>
    </cfRule>
  </conditionalFormatting>
  <conditionalFormatting sqref="G198:G199">
    <cfRule type="cellIs" dxfId="3493" priority="141" operator="equal">
      <formula>0</formula>
    </cfRule>
  </conditionalFormatting>
  <conditionalFormatting sqref="G226">
    <cfRule type="cellIs" dxfId="3492" priority="140" operator="equal">
      <formula>0</formula>
    </cfRule>
  </conditionalFormatting>
  <conditionalFormatting sqref="G198:G203 G219:G227 G217">
    <cfRule type="containsBlanks" dxfId="3491" priority="139">
      <formula>LEN(TRIM(G198))=0</formula>
    </cfRule>
  </conditionalFormatting>
  <conditionalFormatting sqref="G226">
    <cfRule type="cellIs" dxfId="3490" priority="138" operator="equal">
      <formula>0</formula>
    </cfRule>
  </conditionalFormatting>
  <conditionalFormatting sqref="G205:G216">
    <cfRule type="cellIs" dxfId="3489" priority="137" operator="equal">
      <formula>0</formula>
    </cfRule>
  </conditionalFormatting>
  <conditionalFormatting sqref="G205:G216">
    <cfRule type="containsBlanks" dxfId="3488" priority="136">
      <formula>LEN(TRIM(G205))=0</formula>
    </cfRule>
  </conditionalFormatting>
  <conditionalFormatting sqref="I197">
    <cfRule type="cellIs" dxfId="3487" priority="135" operator="equal">
      <formula>0</formula>
    </cfRule>
  </conditionalFormatting>
  <conditionalFormatting sqref="I197">
    <cfRule type="containsBlanks" dxfId="3486" priority="134">
      <formula>LEN(TRIM(I197))=0</formula>
    </cfRule>
  </conditionalFormatting>
  <conditionalFormatting sqref="I198:I204 I217:I225 I227">
    <cfRule type="cellIs" dxfId="3485" priority="133" operator="equal">
      <formula>0</formula>
    </cfRule>
  </conditionalFormatting>
  <conditionalFormatting sqref="I198:I199">
    <cfRule type="cellIs" dxfId="3484" priority="132" operator="equal">
      <formula>0</formula>
    </cfRule>
  </conditionalFormatting>
  <conditionalFormatting sqref="I198:I199">
    <cfRule type="cellIs" dxfId="3483" priority="131" operator="equal">
      <formula>0</formula>
    </cfRule>
  </conditionalFormatting>
  <conditionalFormatting sqref="I226">
    <cfRule type="cellIs" dxfId="3482" priority="130" operator="equal">
      <formula>0</formula>
    </cfRule>
  </conditionalFormatting>
  <conditionalFormatting sqref="I198:I203 I219:I227 I217">
    <cfRule type="containsBlanks" dxfId="3481" priority="129">
      <formula>LEN(TRIM(I198))=0</formula>
    </cfRule>
  </conditionalFormatting>
  <conditionalFormatting sqref="I226">
    <cfRule type="cellIs" dxfId="3480" priority="128" operator="equal">
      <formula>0</formula>
    </cfRule>
  </conditionalFormatting>
  <conditionalFormatting sqref="I205:I216">
    <cfRule type="cellIs" dxfId="3479" priority="127" operator="equal">
      <formula>0</formula>
    </cfRule>
  </conditionalFormatting>
  <conditionalFormatting sqref="I205:I216">
    <cfRule type="containsBlanks" dxfId="3478" priority="126">
      <formula>LEN(TRIM(I205))=0</formula>
    </cfRule>
  </conditionalFormatting>
  <conditionalFormatting sqref="H234:H241 H254:H262 H264 G234">
    <cfRule type="cellIs" dxfId="3477" priority="125" operator="equal">
      <formula>0</formula>
    </cfRule>
  </conditionalFormatting>
  <conditionalFormatting sqref="H235:H236">
    <cfRule type="cellIs" dxfId="3476" priority="124" operator="equal">
      <formula>0</formula>
    </cfRule>
  </conditionalFormatting>
  <conditionalFormatting sqref="H263">
    <cfRule type="cellIs" dxfId="3475" priority="123" operator="equal">
      <formula>0</formula>
    </cfRule>
  </conditionalFormatting>
  <conditionalFormatting sqref="H234:H240 H254 H256:H264 G234">
    <cfRule type="containsBlanks" dxfId="3474" priority="122">
      <formula>LEN(TRIM(G234))=0</formula>
    </cfRule>
  </conditionalFormatting>
  <conditionalFormatting sqref="H263">
    <cfRule type="cellIs" dxfId="3473" priority="121" operator="equal">
      <formula>0</formula>
    </cfRule>
  </conditionalFormatting>
  <conditionalFormatting sqref="H242:H253">
    <cfRule type="cellIs" dxfId="3472" priority="120" operator="equal">
      <formula>0</formula>
    </cfRule>
  </conditionalFormatting>
  <conditionalFormatting sqref="H242:H253">
    <cfRule type="containsBlanks" dxfId="3471" priority="119">
      <formula>LEN(TRIM(H242))=0</formula>
    </cfRule>
  </conditionalFormatting>
  <conditionalFormatting sqref="G235:G241 G254:G262 G264">
    <cfRule type="cellIs" dxfId="3470" priority="118" operator="equal">
      <formula>0</formula>
    </cfRule>
  </conditionalFormatting>
  <conditionalFormatting sqref="G235:G236">
    <cfRule type="cellIs" dxfId="3469" priority="117" operator="equal">
      <formula>0</formula>
    </cfRule>
  </conditionalFormatting>
  <conditionalFormatting sqref="G235:G236">
    <cfRule type="cellIs" dxfId="3468" priority="116" operator="equal">
      <formula>0</formula>
    </cfRule>
  </conditionalFormatting>
  <conditionalFormatting sqref="G263">
    <cfRule type="cellIs" dxfId="3467" priority="115" operator="equal">
      <formula>0</formula>
    </cfRule>
  </conditionalFormatting>
  <conditionalFormatting sqref="G235:G240 G256:G264 G254">
    <cfRule type="containsBlanks" dxfId="3466" priority="114">
      <formula>LEN(TRIM(G235))=0</formula>
    </cfRule>
  </conditionalFormatting>
  <conditionalFormatting sqref="G263">
    <cfRule type="cellIs" dxfId="3465" priority="113" operator="equal">
      <formula>0</formula>
    </cfRule>
  </conditionalFormatting>
  <conditionalFormatting sqref="G242:G253">
    <cfRule type="cellIs" dxfId="3464" priority="112" operator="equal">
      <formula>0</formula>
    </cfRule>
  </conditionalFormatting>
  <conditionalFormatting sqref="G242:G253">
    <cfRule type="containsBlanks" dxfId="3463" priority="111">
      <formula>LEN(TRIM(G242))=0</formula>
    </cfRule>
  </conditionalFormatting>
  <conditionalFormatting sqref="I234">
    <cfRule type="cellIs" dxfId="3462" priority="110" operator="equal">
      <formula>0</formula>
    </cfRule>
  </conditionalFormatting>
  <conditionalFormatting sqref="I234">
    <cfRule type="containsBlanks" dxfId="3461" priority="109">
      <formula>LEN(TRIM(I234))=0</formula>
    </cfRule>
  </conditionalFormatting>
  <conditionalFormatting sqref="I235:I241 I254:I262 I264">
    <cfRule type="cellIs" dxfId="3460" priority="108" operator="equal">
      <formula>0</formula>
    </cfRule>
  </conditionalFormatting>
  <conditionalFormatting sqref="I235:I236">
    <cfRule type="cellIs" dxfId="3459" priority="107" operator="equal">
      <formula>0</formula>
    </cfRule>
  </conditionalFormatting>
  <conditionalFormatting sqref="I235:I236">
    <cfRule type="cellIs" dxfId="3458" priority="106" operator="equal">
      <formula>0</formula>
    </cfRule>
  </conditionalFormatting>
  <conditionalFormatting sqref="I263">
    <cfRule type="cellIs" dxfId="3457" priority="105" operator="equal">
      <formula>0</formula>
    </cfRule>
  </conditionalFormatting>
  <conditionalFormatting sqref="I235:I240 I256:I264 I254">
    <cfRule type="containsBlanks" dxfId="3456" priority="104">
      <formula>LEN(TRIM(I235))=0</formula>
    </cfRule>
  </conditionalFormatting>
  <conditionalFormatting sqref="I263">
    <cfRule type="cellIs" dxfId="3455" priority="103" operator="equal">
      <formula>0</formula>
    </cfRule>
  </conditionalFormatting>
  <conditionalFormatting sqref="I242:I253">
    <cfRule type="cellIs" dxfId="3454" priority="102" operator="equal">
      <formula>0</formula>
    </cfRule>
  </conditionalFormatting>
  <conditionalFormatting sqref="I242:I253">
    <cfRule type="containsBlanks" dxfId="3453" priority="101">
      <formula>LEN(TRIM(I242))=0</formula>
    </cfRule>
  </conditionalFormatting>
  <conditionalFormatting sqref="H271:H278 H291:H299 H301 G271">
    <cfRule type="cellIs" dxfId="3452" priority="100" operator="equal">
      <formula>0</formula>
    </cfRule>
  </conditionalFormatting>
  <conditionalFormatting sqref="H272:H273">
    <cfRule type="cellIs" dxfId="3451" priority="99" operator="equal">
      <formula>0</formula>
    </cfRule>
  </conditionalFormatting>
  <conditionalFormatting sqref="H300">
    <cfRule type="cellIs" dxfId="3450" priority="98" operator="equal">
      <formula>0</formula>
    </cfRule>
  </conditionalFormatting>
  <conditionalFormatting sqref="H271:H277 H291 H293:H301 G271">
    <cfRule type="containsBlanks" dxfId="3449" priority="97">
      <formula>LEN(TRIM(G271))=0</formula>
    </cfRule>
  </conditionalFormatting>
  <conditionalFormatting sqref="H300">
    <cfRule type="cellIs" dxfId="3448" priority="96" operator="equal">
      <formula>0</formula>
    </cfRule>
  </conditionalFormatting>
  <conditionalFormatting sqref="H279:H290">
    <cfRule type="cellIs" dxfId="3447" priority="95" operator="equal">
      <formula>0</formula>
    </cfRule>
  </conditionalFormatting>
  <conditionalFormatting sqref="H279:H290">
    <cfRule type="containsBlanks" dxfId="3446" priority="94">
      <formula>LEN(TRIM(H279))=0</formula>
    </cfRule>
  </conditionalFormatting>
  <conditionalFormatting sqref="G272:G278 G291:G299 G301">
    <cfRule type="cellIs" dxfId="3445" priority="93" operator="equal">
      <formula>0</formula>
    </cfRule>
  </conditionalFormatting>
  <conditionalFormatting sqref="G272:G273">
    <cfRule type="cellIs" dxfId="3444" priority="92" operator="equal">
      <formula>0</formula>
    </cfRule>
  </conditionalFormatting>
  <conditionalFormatting sqref="G272:G273">
    <cfRule type="cellIs" dxfId="3443" priority="91" operator="equal">
      <formula>0</formula>
    </cfRule>
  </conditionalFormatting>
  <conditionalFormatting sqref="G300">
    <cfRule type="cellIs" dxfId="3442" priority="90" operator="equal">
      <formula>0</formula>
    </cfRule>
  </conditionalFormatting>
  <conditionalFormatting sqref="G272:G277 G293:G301 G291">
    <cfRule type="containsBlanks" dxfId="3441" priority="89">
      <formula>LEN(TRIM(G272))=0</formula>
    </cfRule>
  </conditionalFormatting>
  <conditionalFormatting sqref="G300">
    <cfRule type="cellIs" dxfId="3440" priority="88" operator="equal">
      <formula>0</formula>
    </cfRule>
  </conditionalFormatting>
  <conditionalFormatting sqref="G279:G290">
    <cfRule type="cellIs" dxfId="3439" priority="87" operator="equal">
      <formula>0</formula>
    </cfRule>
  </conditionalFormatting>
  <conditionalFormatting sqref="G279:G290">
    <cfRule type="containsBlanks" dxfId="3438" priority="86">
      <formula>LEN(TRIM(G279))=0</formula>
    </cfRule>
  </conditionalFormatting>
  <conditionalFormatting sqref="I271">
    <cfRule type="cellIs" dxfId="3437" priority="85" operator="equal">
      <formula>0</formula>
    </cfRule>
  </conditionalFormatting>
  <conditionalFormatting sqref="I271">
    <cfRule type="containsBlanks" dxfId="3436" priority="84">
      <formula>LEN(TRIM(I271))=0</formula>
    </cfRule>
  </conditionalFormatting>
  <conditionalFormatting sqref="I272:I278 I291:I299 I301">
    <cfRule type="cellIs" dxfId="3435" priority="83" operator="equal">
      <formula>0</formula>
    </cfRule>
  </conditionalFormatting>
  <conditionalFormatting sqref="I272:I273">
    <cfRule type="cellIs" dxfId="3434" priority="82" operator="equal">
      <formula>0</formula>
    </cfRule>
  </conditionalFormatting>
  <conditionalFormatting sqref="I272:I273">
    <cfRule type="cellIs" dxfId="3433" priority="81" operator="equal">
      <formula>0</formula>
    </cfRule>
  </conditionalFormatting>
  <conditionalFormatting sqref="I300">
    <cfRule type="cellIs" dxfId="3432" priority="80" operator="equal">
      <formula>0</formula>
    </cfRule>
  </conditionalFormatting>
  <conditionalFormatting sqref="I272:I277 I293:I301 I291">
    <cfRule type="containsBlanks" dxfId="3431" priority="79">
      <formula>LEN(TRIM(I272))=0</formula>
    </cfRule>
  </conditionalFormatting>
  <conditionalFormatting sqref="I300">
    <cfRule type="cellIs" dxfId="3430" priority="78" operator="equal">
      <formula>0</formula>
    </cfRule>
  </conditionalFormatting>
  <conditionalFormatting sqref="I279:I290">
    <cfRule type="cellIs" dxfId="3429" priority="77" operator="equal">
      <formula>0</formula>
    </cfRule>
  </conditionalFormatting>
  <conditionalFormatting sqref="I279:I290">
    <cfRule type="containsBlanks" dxfId="3428" priority="76">
      <formula>LEN(TRIM(I279))=0</formula>
    </cfRule>
  </conditionalFormatting>
  <conditionalFormatting sqref="H308:H315 H328:H336 H338 G308">
    <cfRule type="cellIs" dxfId="3427" priority="75" operator="equal">
      <formula>0</formula>
    </cfRule>
  </conditionalFormatting>
  <conditionalFormatting sqref="H309:H310">
    <cfRule type="cellIs" dxfId="3426" priority="74" operator="equal">
      <formula>0</formula>
    </cfRule>
  </conditionalFormatting>
  <conditionalFormatting sqref="H337">
    <cfRule type="cellIs" dxfId="3425" priority="73" operator="equal">
      <formula>0</formula>
    </cfRule>
  </conditionalFormatting>
  <conditionalFormatting sqref="H308:H314 H328 H330:H338 G308">
    <cfRule type="containsBlanks" dxfId="3424" priority="72">
      <formula>LEN(TRIM(G308))=0</formula>
    </cfRule>
  </conditionalFormatting>
  <conditionalFormatting sqref="H337">
    <cfRule type="cellIs" dxfId="3423" priority="71" operator="equal">
      <formula>0</formula>
    </cfRule>
  </conditionalFormatting>
  <conditionalFormatting sqref="H316:H327">
    <cfRule type="cellIs" dxfId="3422" priority="70" operator="equal">
      <formula>0</formula>
    </cfRule>
  </conditionalFormatting>
  <conditionalFormatting sqref="H316:H327">
    <cfRule type="containsBlanks" dxfId="3421" priority="69">
      <formula>LEN(TRIM(H316))=0</formula>
    </cfRule>
  </conditionalFormatting>
  <conditionalFormatting sqref="G309:G315 G328:G336 G338">
    <cfRule type="cellIs" dxfId="3420" priority="68" operator="equal">
      <formula>0</formula>
    </cfRule>
  </conditionalFormatting>
  <conditionalFormatting sqref="G309:G310">
    <cfRule type="cellIs" dxfId="3419" priority="67" operator="equal">
      <formula>0</formula>
    </cfRule>
  </conditionalFormatting>
  <conditionalFormatting sqref="G309:G310">
    <cfRule type="cellIs" dxfId="3418" priority="66" operator="equal">
      <formula>0</formula>
    </cfRule>
  </conditionalFormatting>
  <conditionalFormatting sqref="G337">
    <cfRule type="cellIs" dxfId="3417" priority="65" operator="equal">
      <formula>0</formula>
    </cfRule>
  </conditionalFormatting>
  <conditionalFormatting sqref="G309:G314 G330:G338 G328">
    <cfRule type="containsBlanks" dxfId="3416" priority="64">
      <formula>LEN(TRIM(G309))=0</formula>
    </cfRule>
  </conditionalFormatting>
  <conditionalFormatting sqref="G337">
    <cfRule type="cellIs" dxfId="3415" priority="63" operator="equal">
      <formula>0</formula>
    </cfRule>
  </conditionalFormatting>
  <conditionalFormatting sqref="G316:G327">
    <cfRule type="cellIs" dxfId="3414" priority="62" operator="equal">
      <formula>0</formula>
    </cfRule>
  </conditionalFormatting>
  <conditionalFormatting sqref="G316:G327">
    <cfRule type="containsBlanks" dxfId="3413" priority="61">
      <formula>LEN(TRIM(G316))=0</formula>
    </cfRule>
  </conditionalFormatting>
  <conditionalFormatting sqref="I308">
    <cfRule type="cellIs" dxfId="3412" priority="60" operator="equal">
      <formula>0</formula>
    </cfRule>
  </conditionalFormatting>
  <conditionalFormatting sqref="I308">
    <cfRule type="containsBlanks" dxfId="3411" priority="59">
      <formula>LEN(TRIM(I308))=0</formula>
    </cfRule>
  </conditionalFormatting>
  <conditionalFormatting sqref="I309:I315 I328:I336 I338">
    <cfRule type="cellIs" dxfId="3410" priority="58" operator="equal">
      <formula>0</formula>
    </cfRule>
  </conditionalFormatting>
  <conditionalFormatting sqref="I309:I310">
    <cfRule type="cellIs" dxfId="3409" priority="57" operator="equal">
      <formula>0</formula>
    </cfRule>
  </conditionalFormatting>
  <conditionalFormatting sqref="I309:I310">
    <cfRule type="cellIs" dxfId="3408" priority="56" operator="equal">
      <formula>0</formula>
    </cfRule>
  </conditionalFormatting>
  <conditionalFormatting sqref="I337">
    <cfRule type="cellIs" dxfId="3407" priority="55" operator="equal">
      <formula>0</formula>
    </cfRule>
  </conditionalFormatting>
  <conditionalFormatting sqref="I309:I314 I330:I338 I328">
    <cfRule type="containsBlanks" dxfId="3406" priority="54">
      <formula>LEN(TRIM(I309))=0</formula>
    </cfRule>
  </conditionalFormatting>
  <conditionalFormatting sqref="I337">
    <cfRule type="cellIs" dxfId="3405" priority="53" operator="equal">
      <formula>0</formula>
    </cfRule>
  </conditionalFormatting>
  <conditionalFormatting sqref="I316:I327">
    <cfRule type="cellIs" dxfId="3404" priority="52" operator="equal">
      <formula>0</formula>
    </cfRule>
  </conditionalFormatting>
  <conditionalFormatting sqref="I316:I327">
    <cfRule type="containsBlanks" dxfId="3403" priority="51">
      <formula>LEN(TRIM(I316))=0</formula>
    </cfRule>
  </conditionalFormatting>
  <conditionalFormatting sqref="H345:H352 H365:H373 H375 G345">
    <cfRule type="cellIs" dxfId="3402" priority="50" operator="equal">
      <formula>0</formula>
    </cfRule>
  </conditionalFormatting>
  <conditionalFormatting sqref="H346:H347">
    <cfRule type="cellIs" dxfId="3401" priority="49" operator="equal">
      <formula>0</formula>
    </cfRule>
  </conditionalFormatting>
  <conditionalFormatting sqref="H374">
    <cfRule type="cellIs" dxfId="3400" priority="48" operator="equal">
      <formula>0</formula>
    </cfRule>
  </conditionalFormatting>
  <conditionalFormatting sqref="H345:H351 H365 H367:H375 G345">
    <cfRule type="containsBlanks" dxfId="3399" priority="47">
      <formula>LEN(TRIM(G345))=0</formula>
    </cfRule>
  </conditionalFormatting>
  <conditionalFormatting sqref="H374">
    <cfRule type="cellIs" dxfId="3398" priority="46" operator="equal">
      <formula>0</formula>
    </cfRule>
  </conditionalFormatting>
  <conditionalFormatting sqref="H353:H364">
    <cfRule type="cellIs" dxfId="3397" priority="45" operator="equal">
      <formula>0</formula>
    </cfRule>
  </conditionalFormatting>
  <conditionalFormatting sqref="H353:H364">
    <cfRule type="containsBlanks" dxfId="3396" priority="44">
      <formula>LEN(TRIM(H353))=0</formula>
    </cfRule>
  </conditionalFormatting>
  <conditionalFormatting sqref="G346:G352 G365:G373 G375">
    <cfRule type="cellIs" dxfId="3395" priority="43" operator="equal">
      <formula>0</formula>
    </cfRule>
  </conditionalFormatting>
  <conditionalFormatting sqref="G346:G347">
    <cfRule type="cellIs" dxfId="3394" priority="42" operator="equal">
      <formula>0</formula>
    </cfRule>
  </conditionalFormatting>
  <conditionalFormatting sqref="G346:G347">
    <cfRule type="cellIs" dxfId="3393" priority="41" operator="equal">
      <formula>0</formula>
    </cfRule>
  </conditionalFormatting>
  <conditionalFormatting sqref="G374">
    <cfRule type="cellIs" dxfId="3392" priority="40" operator="equal">
      <formula>0</formula>
    </cfRule>
  </conditionalFormatting>
  <conditionalFormatting sqref="G346:G351 G367:G375 G365">
    <cfRule type="containsBlanks" dxfId="3391" priority="39">
      <formula>LEN(TRIM(G346))=0</formula>
    </cfRule>
  </conditionalFormatting>
  <conditionalFormatting sqref="G374">
    <cfRule type="cellIs" dxfId="3390" priority="38" operator="equal">
      <formula>0</formula>
    </cfRule>
  </conditionalFormatting>
  <conditionalFormatting sqref="G353:G364">
    <cfRule type="cellIs" dxfId="3389" priority="37" operator="equal">
      <formula>0</formula>
    </cfRule>
  </conditionalFormatting>
  <conditionalFormatting sqref="G353:G364">
    <cfRule type="containsBlanks" dxfId="3388" priority="36">
      <formula>LEN(TRIM(G353))=0</formula>
    </cfRule>
  </conditionalFormatting>
  <conditionalFormatting sqref="I345">
    <cfRule type="cellIs" dxfId="3387" priority="35" operator="equal">
      <formula>0</formula>
    </cfRule>
  </conditionalFormatting>
  <conditionalFormatting sqref="I345">
    <cfRule type="containsBlanks" dxfId="3386" priority="34">
      <formula>LEN(TRIM(I345))=0</formula>
    </cfRule>
  </conditionalFormatting>
  <conditionalFormatting sqref="I346:I352 I365:I373 I375">
    <cfRule type="cellIs" dxfId="3385" priority="33" operator="equal">
      <formula>0</formula>
    </cfRule>
  </conditionalFormatting>
  <conditionalFormatting sqref="I346:I347">
    <cfRule type="cellIs" dxfId="3384" priority="32" operator="equal">
      <formula>0</formula>
    </cfRule>
  </conditionalFormatting>
  <conditionalFormatting sqref="I346:I347">
    <cfRule type="cellIs" dxfId="3383" priority="31" operator="equal">
      <formula>0</formula>
    </cfRule>
  </conditionalFormatting>
  <conditionalFormatting sqref="I374">
    <cfRule type="cellIs" dxfId="3382" priority="30" operator="equal">
      <formula>0</formula>
    </cfRule>
  </conditionalFormatting>
  <conditionalFormatting sqref="I346:I351 I367:I375 I365">
    <cfRule type="containsBlanks" dxfId="3381" priority="29">
      <formula>LEN(TRIM(I346))=0</formula>
    </cfRule>
  </conditionalFormatting>
  <conditionalFormatting sqref="I374">
    <cfRule type="cellIs" dxfId="3380" priority="28" operator="equal">
      <formula>0</formula>
    </cfRule>
  </conditionalFormatting>
  <conditionalFormatting sqref="I353:I364">
    <cfRule type="cellIs" dxfId="3379" priority="27" operator="equal">
      <formula>0</formula>
    </cfRule>
  </conditionalFormatting>
  <conditionalFormatting sqref="I353:I364">
    <cfRule type="containsBlanks" dxfId="3378" priority="26">
      <formula>LEN(TRIM(I353))=0</formula>
    </cfRule>
  </conditionalFormatting>
  <conditionalFormatting sqref="H382:H389 H402:H410 H412 G382">
    <cfRule type="cellIs" dxfId="3377" priority="25" operator="equal">
      <formula>0</formula>
    </cfRule>
  </conditionalFormatting>
  <conditionalFormatting sqref="H383:H384">
    <cfRule type="cellIs" dxfId="3376" priority="24" operator="equal">
      <formula>0</formula>
    </cfRule>
  </conditionalFormatting>
  <conditionalFormatting sqref="H411">
    <cfRule type="cellIs" dxfId="3375" priority="23" operator="equal">
      <formula>0</formula>
    </cfRule>
  </conditionalFormatting>
  <conditionalFormatting sqref="H382:H388 H402 H404:H412 G382">
    <cfRule type="containsBlanks" dxfId="3374" priority="22">
      <formula>LEN(TRIM(G382))=0</formula>
    </cfRule>
  </conditionalFormatting>
  <conditionalFormatting sqref="H411">
    <cfRule type="cellIs" dxfId="3373" priority="21" operator="equal">
      <formula>0</formula>
    </cfRule>
  </conditionalFormatting>
  <conditionalFormatting sqref="H390:H401">
    <cfRule type="cellIs" dxfId="3372" priority="20" operator="equal">
      <formula>0</formula>
    </cfRule>
  </conditionalFormatting>
  <conditionalFormatting sqref="H390:H401">
    <cfRule type="containsBlanks" dxfId="3371" priority="19">
      <formula>LEN(TRIM(H390))=0</formula>
    </cfRule>
  </conditionalFormatting>
  <conditionalFormatting sqref="G383:G389 G402:G410 G412">
    <cfRule type="cellIs" dxfId="3370" priority="18" operator="equal">
      <formula>0</formula>
    </cfRule>
  </conditionalFormatting>
  <conditionalFormatting sqref="G383:G384">
    <cfRule type="cellIs" dxfId="3369" priority="17" operator="equal">
      <formula>0</formula>
    </cfRule>
  </conditionalFormatting>
  <conditionalFormatting sqref="G383:G384">
    <cfRule type="cellIs" dxfId="3368" priority="16" operator="equal">
      <formula>0</formula>
    </cfRule>
  </conditionalFormatting>
  <conditionalFormatting sqref="G411">
    <cfRule type="cellIs" dxfId="3367" priority="15" operator="equal">
      <formula>0</formula>
    </cfRule>
  </conditionalFormatting>
  <conditionalFormatting sqref="G383:G388 G404:G412 G402">
    <cfRule type="containsBlanks" dxfId="3366" priority="14">
      <formula>LEN(TRIM(G383))=0</formula>
    </cfRule>
  </conditionalFormatting>
  <conditionalFormatting sqref="G411">
    <cfRule type="cellIs" dxfId="3365" priority="13" operator="equal">
      <formula>0</formula>
    </cfRule>
  </conditionalFormatting>
  <conditionalFormatting sqref="G390:G401">
    <cfRule type="cellIs" dxfId="3364" priority="12" operator="equal">
      <formula>0</formula>
    </cfRule>
  </conditionalFormatting>
  <conditionalFormatting sqref="G390:G401">
    <cfRule type="containsBlanks" dxfId="3363" priority="11">
      <formula>LEN(TRIM(G390))=0</formula>
    </cfRule>
  </conditionalFormatting>
  <conditionalFormatting sqref="I382">
    <cfRule type="cellIs" dxfId="3362" priority="10" operator="equal">
      <formula>0</formula>
    </cfRule>
  </conditionalFormatting>
  <conditionalFormatting sqref="I382">
    <cfRule type="containsBlanks" dxfId="3361" priority="9">
      <formula>LEN(TRIM(I382))=0</formula>
    </cfRule>
  </conditionalFormatting>
  <conditionalFormatting sqref="I383:I389 I402:I410 I412">
    <cfRule type="cellIs" dxfId="3360" priority="8" operator="equal">
      <formula>0</formula>
    </cfRule>
  </conditionalFormatting>
  <conditionalFormatting sqref="I383:I384">
    <cfRule type="cellIs" dxfId="3359" priority="7" operator="equal">
      <formula>0</formula>
    </cfRule>
  </conditionalFormatting>
  <conditionalFormatting sqref="I383:I384">
    <cfRule type="cellIs" dxfId="3358" priority="6" operator="equal">
      <formula>0</formula>
    </cfRule>
  </conditionalFormatting>
  <conditionalFormatting sqref="I411">
    <cfRule type="cellIs" dxfId="3357" priority="5" operator="equal">
      <formula>0</formula>
    </cfRule>
  </conditionalFormatting>
  <conditionalFormatting sqref="I383:I388 I404:I412 I402">
    <cfRule type="containsBlanks" dxfId="3356" priority="4">
      <formula>LEN(TRIM(I383))=0</formula>
    </cfRule>
  </conditionalFormatting>
  <conditionalFormatting sqref="I411">
    <cfRule type="cellIs" dxfId="3355" priority="3" operator="equal">
      <formula>0</formula>
    </cfRule>
  </conditionalFormatting>
  <conditionalFormatting sqref="I390:I401">
    <cfRule type="cellIs" dxfId="3354" priority="2" operator="equal">
      <formula>0</formula>
    </cfRule>
  </conditionalFormatting>
  <conditionalFormatting sqref="I390:I401">
    <cfRule type="containsBlanks" dxfId="3353" priority="1">
      <formula>LEN(TRIM(I390))=0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DBB63-D1FF-421E-8575-DEB53909929F}">
  <dimension ref="B2:T340"/>
  <sheetViews>
    <sheetView zoomScale="60" zoomScaleNormal="60"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87</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1">
        <v>0</v>
      </c>
      <c r="G12" s="421">
        <v>0.18608</v>
      </c>
      <c r="H12" s="422">
        <v>1105.3443526170799</v>
      </c>
      <c r="I12" s="422">
        <v>153.87272727272699</v>
      </c>
      <c r="J12" s="422">
        <v>218.29145774086999</v>
      </c>
      <c r="K12" s="422">
        <v>33.052742188380101</v>
      </c>
      <c r="L12" s="421">
        <v>0</v>
      </c>
      <c r="M12" s="421">
        <v>0</v>
      </c>
      <c r="N12" s="422">
        <v>46.498719003283597</v>
      </c>
      <c r="O12" s="422">
        <v>6.3732513149243699</v>
      </c>
      <c r="P12" s="421">
        <v>0</v>
      </c>
      <c r="Q12" s="421">
        <v>0</v>
      </c>
      <c r="R12" s="421">
        <v>0</v>
      </c>
      <c r="S12" s="423">
        <v>1573.38853013727</v>
      </c>
      <c r="T12" s="412"/>
    </row>
    <row r="13" spans="2:20" ht="13.5">
      <c r="B13" s="412"/>
      <c r="C13" s="420" t="s">
        <v>60</v>
      </c>
      <c r="D13" s="421">
        <v>32.318417934428297</v>
      </c>
      <c r="E13" s="421">
        <v>485.53946937040803</v>
      </c>
      <c r="F13" s="421">
        <v>237.248603992504</v>
      </c>
      <c r="G13" s="421">
        <v>378.89773948754799</v>
      </c>
      <c r="H13" s="421">
        <v>0</v>
      </c>
      <c r="I13" s="421">
        <v>0</v>
      </c>
      <c r="J13" s="421">
        <v>0</v>
      </c>
      <c r="K13" s="421">
        <v>0</v>
      </c>
      <c r="L13" s="421">
        <v>0</v>
      </c>
      <c r="M13" s="421">
        <v>0</v>
      </c>
      <c r="N13" s="421">
        <v>0</v>
      </c>
      <c r="O13" s="421">
        <v>0</v>
      </c>
      <c r="P13" s="421">
        <v>0</v>
      </c>
      <c r="Q13" s="421">
        <v>0</v>
      </c>
      <c r="R13" s="421">
        <v>0</v>
      </c>
      <c r="S13" s="423">
        <v>1134.0042307848901</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-56.711872034267898</v>
      </c>
      <c r="Q14" s="421">
        <v>0</v>
      </c>
      <c r="R14" s="421">
        <v>0</v>
      </c>
      <c r="S14" s="423">
        <v>-56.711872034267898</v>
      </c>
      <c r="T14" s="412"/>
    </row>
    <row r="15" spans="2:20" ht="13.5">
      <c r="B15" s="412"/>
      <c r="C15" s="420" t="s">
        <v>62</v>
      </c>
      <c r="D15" s="421">
        <v>0</v>
      </c>
      <c r="E15" s="421">
        <v>0</v>
      </c>
      <c r="F15" s="421">
        <v>-17.936302519198001</v>
      </c>
      <c r="G15" s="421">
        <v>0</v>
      </c>
      <c r="H15" s="421">
        <v>0</v>
      </c>
      <c r="I15" s="421">
        <v>0</v>
      </c>
      <c r="J15" s="421">
        <v>0</v>
      </c>
      <c r="K15" s="421">
        <v>0</v>
      </c>
      <c r="L15" s="421">
        <v>0</v>
      </c>
      <c r="M15" s="421">
        <v>0</v>
      </c>
      <c r="N15" s="421">
        <v>0</v>
      </c>
      <c r="O15" s="421">
        <v>0</v>
      </c>
      <c r="P15" s="421">
        <v>0</v>
      </c>
      <c r="Q15" s="421">
        <v>0</v>
      </c>
      <c r="R15" s="421">
        <v>0</v>
      </c>
      <c r="S15" s="423">
        <v>-17.936302519198001</v>
      </c>
      <c r="T15" s="412"/>
    </row>
    <row r="16" spans="2:20" ht="13.5">
      <c r="B16" s="412"/>
      <c r="C16" s="420" t="s">
        <v>63</v>
      </c>
      <c r="D16" s="421">
        <v>0</v>
      </c>
      <c r="E16" s="421">
        <v>0</v>
      </c>
      <c r="F16" s="421">
        <v>-77.506691397188206</v>
      </c>
      <c r="G16" s="421">
        <v>0</v>
      </c>
      <c r="H16" s="421">
        <v>0</v>
      </c>
      <c r="I16" s="421">
        <v>0</v>
      </c>
      <c r="J16" s="421">
        <v>0</v>
      </c>
      <c r="K16" s="421">
        <v>0</v>
      </c>
      <c r="L16" s="421">
        <v>-1.6666930351925899</v>
      </c>
      <c r="M16" s="421">
        <v>0</v>
      </c>
      <c r="N16" s="421">
        <v>0</v>
      </c>
      <c r="O16" s="421">
        <v>0</v>
      </c>
      <c r="P16" s="421">
        <v>0</v>
      </c>
      <c r="Q16" s="421">
        <v>0</v>
      </c>
      <c r="R16" s="421">
        <v>0</v>
      </c>
      <c r="S16" s="423">
        <v>-79.1733844323808</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32.318417934428297</v>
      </c>
      <c r="E18" s="425">
        <v>495.30866937040798</v>
      </c>
      <c r="F18" s="425">
        <v>141.805610076118</v>
      </c>
      <c r="G18" s="425">
        <v>379.083819487548</v>
      </c>
      <c r="H18" s="425">
        <v>1105.3443526170799</v>
      </c>
      <c r="I18" s="425">
        <v>153.87272727272699</v>
      </c>
      <c r="J18" s="425">
        <v>218.29145774086999</v>
      </c>
      <c r="K18" s="425">
        <v>33.052742188380101</v>
      </c>
      <c r="L18" s="425">
        <v>-1.6666930351925899</v>
      </c>
      <c r="M18" s="425">
        <v>0</v>
      </c>
      <c r="N18" s="425">
        <v>46.498719003283597</v>
      </c>
      <c r="O18" s="425">
        <v>6.3732513149243699</v>
      </c>
      <c r="P18" s="425">
        <v>-56.711872034267898</v>
      </c>
      <c r="Q18" s="425">
        <v>0</v>
      </c>
      <c r="R18" s="425">
        <v>0</v>
      </c>
      <c r="S18" s="425">
        <v>2553.57120193631</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2.2862033616275901</v>
      </c>
      <c r="E21" s="421">
        <v>0</v>
      </c>
      <c r="F21" s="421">
        <v>2.3760330578512399</v>
      </c>
      <c r="G21" s="421">
        <v>58.629502572898801</v>
      </c>
      <c r="H21" s="421">
        <v>1105.3443526170799</v>
      </c>
      <c r="I21" s="421">
        <v>153.87272727272699</v>
      </c>
      <c r="J21" s="421">
        <v>25.2066483585415</v>
      </c>
      <c r="K21" s="421">
        <v>8.6322578351855004</v>
      </c>
      <c r="L21" s="421">
        <v>0</v>
      </c>
      <c r="M21" s="421">
        <v>3.08576329331046</v>
      </c>
      <c r="N21" s="421">
        <v>0</v>
      </c>
      <c r="O21" s="421">
        <v>0</v>
      </c>
      <c r="P21" s="421">
        <v>-562.76363636363601</v>
      </c>
      <c r="Q21" s="421">
        <v>0</v>
      </c>
      <c r="R21" s="421">
        <v>0</v>
      </c>
      <c r="S21" s="429">
        <v>796.66985200558599</v>
      </c>
      <c r="T21" s="412"/>
    </row>
    <row r="22" spans="2:20" ht="13.5">
      <c r="B22" s="412"/>
      <c r="C22" s="428" t="s">
        <v>351</v>
      </c>
      <c r="D22" s="421">
        <v>0.245747462863767</v>
      </c>
      <c r="E22" s="421">
        <v>0</v>
      </c>
      <c r="F22" s="421">
        <v>0</v>
      </c>
      <c r="G22" s="421">
        <v>19.4558288450344</v>
      </c>
      <c r="H22" s="421">
        <v>0</v>
      </c>
      <c r="I22" s="421">
        <v>0</v>
      </c>
      <c r="J22" s="421">
        <v>22.468439288905699</v>
      </c>
      <c r="K22" s="421">
        <v>19.148883562300899</v>
      </c>
      <c r="L22" s="421">
        <v>0</v>
      </c>
      <c r="M22" s="421">
        <v>1.0239909918439201</v>
      </c>
      <c r="N22" s="421">
        <v>0</v>
      </c>
      <c r="O22" s="421">
        <v>4.0933772450343699</v>
      </c>
      <c r="P22" s="421">
        <v>0</v>
      </c>
      <c r="Q22" s="421">
        <v>-59.276881837433898</v>
      </c>
      <c r="R22" s="421">
        <v>0</v>
      </c>
      <c r="S22" s="429">
        <v>7.1593855585491903</v>
      </c>
      <c r="T22" s="412"/>
    </row>
    <row r="23" spans="2:20" ht="13.5">
      <c r="B23" s="412"/>
      <c r="C23" s="428" t="s">
        <v>352</v>
      </c>
      <c r="D23" s="421">
        <v>0</v>
      </c>
      <c r="E23" s="421">
        <v>0</v>
      </c>
      <c r="F23" s="421">
        <v>0</v>
      </c>
      <c r="G23" s="421">
        <v>0</v>
      </c>
      <c r="H23" s="421">
        <v>0</v>
      </c>
      <c r="I23" s="421">
        <v>0</v>
      </c>
      <c r="J23" s="421">
        <v>21.829755401481599</v>
      </c>
      <c r="K23" s="421">
        <v>0</v>
      </c>
      <c r="L23" s="421">
        <v>0</v>
      </c>
      <c r="M23" s="421">
        <v>-19.270216580657902</v>
      </c>
      <c r="N23" s="421">
        <v>0</v>
      </c>
      <c r="O23" s="421">
        <v>0</v>
      </c>
      <c r="P23" s="421">
        <v>0</v>
      </c>
      <c r="Q23" s="421">
        <v>0</v>
      </c>
      <c r="R23" s="421">
        <v>0</v>
      </c>
      <c r="S23" s="429">
        <v>2.5595388208237102</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513.08713872730902</v>
      </c>
      <c r="F25" s="421">
        <v>-507.95626734003599</v>
      </c>
      <c r="G25" s="421">
        <v>0</v>
      </c>
      <c r="H25" s="421">
        <v>0</v>
      </c>
      <c r="I25" s="421">
        <v>0</v>
      </c>
      <c r="J25" s="421">
        <v>0</v>
      </c>
      <c r="K25" s="421">
        <v>0</v>
      </c>
      <c r="L25" s="421">
        <v>0</v>
      </c>
      <c r="M25" s="421">
        <v>0</v>
      </c>
      <c r="N25" s="421">
        <v>0</v>
      </c>
      <c r="O25" s="421">
        <v>0</v>
      </c>
      <c r="P25" s="421">
        <v>0</v>
      </c>
      <c r="Q25" s="421">
        <v>0</v>
      </c>
      <c r="R25" s="421">
        <v>0</v>
      </c>
      <c r="S25" s="429">
        <v>5.13087138727309</v>
      </c>
      <c r="T25" s="412"/>
    </row>
    <row r="26" spans="2:20" ht="13.5">
      <c r="B26" s="412"/>
      <c r="C26" s="428" t="s">
        <v>354</v>
      </c>
      <c r="D26" s="421">
        <v>0</v>
      </c>
      <c r="E26" s="421">
        <v>0</v>
      </c>
      <c r="F26" s="421">
        <v>0</v>
      </c>
      <c r="G26" s="421">
        <v>0</v>
      </c>
      <c r="H26" s="421">
        <v>0</v>
      </c>
      <c r="I26" s="421">
        <v>0</v>
      </c>
      <c r="J26" s="421">
        <v>44.276682206447802</v>
      </c>
      <c r="K26" s="421">
        <v>0</v>
      </c>
      <c r="L26" s="421">
        <v>-44.276682206447802</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1">
        <v>0</v>
      </c>
      <c r="S27" s="429">
        <v>0</v>
      </c>
      <c r="T27" s="412"/>
    </row>
    <row r="28" spans="2:20" ht="13.5">
      <c r="B28" s="412"/>
      <c r="C28" s="428" t="s">
        <v>73</v>
      </c>
      <c r="D28" s="421">
        <v>0</v>
      </c>
      <c r="E28" s="421">
        <v>0</v>
      </c>
      <c r="F28" s="421">
        <v>0</v>
      </c>
      <c r="G28" s="421">
        <v>2.0927767434982698</v>
      </c>
      <c r="H28" s="421">
        <v>0</v>
      </c>
      <c r="I28" s="421">
        <v>0</v>
      </c>
      <c r="J28" s="421">
        <v>0</v>
      </c>
      <c r="K28" s="421">
        <v>3.3126659968314598E-2</v>
      </c>
      <c r="L28" s="421">
        <v>0</v>
      </c>
      <c r="M28" s="421">
        <v>0.110146144394646</v>
      </c>
      <c r="N28" s="421">
        <v>0</v>
      </c>
      <c r="O28" s="421">
        <v>0</v>
      </c>
      <c r="P28" s="421">
        <v>1.15943309889101</v>
      </c>
      <c r="Q28" s="421">
        <v>0</v>
      </c>
      <c r="R28" s="421">
        <v>-2.31886619778202</v>
      </c>
      <c r="S28" s="429">
        <v>1.0766164489702199</v>
      </c>
      <c r="T28" s="412"/>
    </row>
    <row r="29" spans="2:20" ht="13.5">
      <c r="B29" s="412"/>
      <c r="C29" s="428" t="s">
        <v>356</v>
      </c>
      <c r="D29" s="421">
        <v>13.0209692382813</v>
      </c>
      <c r="E29" s="421">
        <v>-17.778469356901301</v>
      </c>
      <c r="F29" s="421">
        <v>23.253187829923601</v>
      </c>
      <c r="G29" s="421">
        <v>0</v>
      </c>
      <c r="H29" s="421">
        <v>0</v>
      </c>
      <c r="I29" s="421">
        <v>0</v>
      </c>
      <c r="J29" s="421">
        <v>0</v>
      </c>
      <c r="K29" s="421">
        <v>0</v>
      </c>
      <c r="L29" s="421">
        <v>0</v>
      </c>
      <c r="M29" s="421">
        <v>0</v>
      </c>
      <c r="N29" s="421">
        <v>0</v>
      </c>
      <c r="O29" s="421">
        <v>0</v>
      </c>
      <c r="P29" s="421">
        <v>0</v>
      </c>
      <c r="Q29" s="421">
        <v>0</v>
      </c>
      <c r="R29" s="421">
        <v>0</v>
      </c>
      <c r="S29" s="429">
        <v>18.495687711303599</v>
      </c>
      <c r="T29" s="412"/>
    </row>
    <row r="30" spans="2:20" ht="13.5">
      <c r="B30" s="412"/>
      <c r="C30" s="428" t="s">
        <v>75</v>
      </c>
      <c r="D30" s="421">
        <v>10.2975283203125</v>
      </c>
      <c r="E30" s="421">
        <v>0</v>
      </c>
      <c r="F30" s="421">
        <v>19.839035858468499</v>
      </c>
      <c r="G30" s="421">
        <v>5.4878274190851801</v>
      </c>
      <c r="H30" s="421">
        <v>0</v>
      </c>
      <c r="I30" s="421">
        <v>0</v>
      </c>
      <c r="J30" s="421">
        <v>0</v>
      </c>
      <c r="K30" s="421">
        <v>0</v>
      </c>
      <c r="L30" s="421">
        <v>0</v>
      </c>
      <c r="M30" s="421">
        <v>0.28883302205711497</v>
      </c>
      <c r="N30" s="421">
        <v>0</v>
      </c>
      <c r="O30" s="421">
        <v>0</v>
      </c>
      <c r="P30" s="421">
        <v>33.598264462809901</v>
      </c>
      <c r="Q30" s="421">
        <v>0</v>
      </c>
      <c r="R30" s="421">
        <v>0</v>
      </c>
      <c r="S30" s="429">
        <v>69.511489082733206</v>
      </c>
      <c r="T30" s="412"/>
    </row>
    <row r="31" spans="2:20" ht="13.5">
      <c r="B31" s="412"/>
      <c r="C31" s="428" t="s">
        <v>76</v>
      </c>
      <c r="D31" s="421">
        <v>0</v>
      </c>
      <c r="E31" s="421">
        <v>0</v>
      </c>
      <c r="F31" s="421">
        <v>0</v>
      </c>
      <c r="G31" s="421">
        <v>4.3415112454446598</v>
      </c>
      <c r="H31" s="421">
        <v>0</v>
      </c>
      <c r="I31" s="421">
        <v>0</v>
      </c>
      <c r="J31" s="421">
        <v>0</v>
      </c>
      <c r="K31" s="421">
        <v>0</v>
      </c>
      <c r="L31" s="421">
        <v>0</v>
      </c>
      <c r="M31" s="421">
        <v>0.228500591865508</v>
      </c>
      <c r="N31" s="421">
        <v>0</v>
      </c>
      <c r="O31" s="421">
        <v>0</v>
      </c>
      <c r="P31" s="421">
        <v>38.783283877504701</v>
      </c>
      <c r="Q31" s="421">
        <v>4.5934115076978301</v>
      </c>
      <c r="R31" s="421">
        <v>0</v>
      </c>
      <c r="S31" s="429">
        <v>47.9467072225127</v>
      </c>
      <c r="T31" s="412"/>
    </row>
    <row r="32" spans="2:20" ht="13.5">
      <c r="B32" s="412"/>
      <c r="C32" s="424" t="s">
        <v>77</v>
      </c>
      <c r="D32" s="425">
        <v>25.850448383085102</v>
      </c>
      <c r="E32" s="425">
        <v>495.30866937040798</v>
      </c>
      <c r="F32" s="425">
        <v>-462.48801059379298</v>
      </c>
      <c r="G32" s="425">
        <v>90.007446825961395</v>
      </c>
      <c r="H32" s="425">
        <v>1105.3443526170799</v>
      </c>
      <c r="I32" s="425">
        <v>153.87272727272699</v>
      </c>
      <c r="J32" s="425">
        <v>113.78152525537701</v>
      </c>
      <c r="K32" s="425">
        <v>27.814268057454701</v>
      </c>
      <c r="L32" s="425">
        <v>-44.276682206447802</v>
      </c>
      <c r="M32" s="425">
        <v>-14.5329825371862</v>
      </c>
      <c r="N32" s="425">
        <v>0</v>
      </c>
      <c r="O32" s="425">
        <v>4.0933772450343699</v>
      </c>
      <c r="P32" s="425">
        <v>-489.22265492443103</v>
      </c>
      <c r="Q32" s="425">
        <v>-54.683470329736103</v>
      </c>
      <c r="R32" s="425">
        <v>-2.31886619778202</v>
      </c>
      <c r="S32" s="425">
        <v>948.55014823775196</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4.6620736262721998</v>
      </c>
      <c r="E34" s="421">
        <v>0</v>
      </c>
      <c r="F34" s="421">
        <v>22.712519210040199</v>
      </c>
      <c r="G34" s="421">
        <v>102.16152856063501</v>
      </c>
      <c r="H34" s="421">
        <v>0</v>
      </c>
      <c r="I34" s="421">
        <v>0</v>
      </c>
      <c r="J34" s="421">
        <v>16.960957431403401</v>
      </c>
      <c r="K34" s="421">
        <v>5.2384741309254297</v>
      </c>
      <c r="L34" s="421">
        <v>0.94215535644531201</v>
      </c>
      <c r="M34" s="421">
        <v>5.3769225558229001</v>
      </c>
      <c r="N34" s="421">
        <v>0</v>
      </c>
      <c r="O34" s="421">
        <v>0</v>
      </c>
      <c r="P34" s="421">
        <v>125.167073765151</v>
      </c>
      <c r="Q34" s="421">
        <v>21.076181994536299</v>
      </c>
      <c r="R34" s="421">
        <v>1.11776281738281</v>
      </c>
      <c r="S34" s="429">
        <v>305.41564944861398</v>
      </c>
      <c r="T34" s="412"/>
    </row>
    <row r="35" spans="2:20" ht="13.5">
      <c r="B35" s="412"/>
      <c r="C35" s="428" t="s">
        <v>79</v>
      </c>
      <c r="D35" s="421">
        <v>0</v>
      </c>
      <c r="E35" s="421">
        <v>0</v>
      </c>
      <c r="F35" s="421">
        <v>362.32110929261898</v>
      </c>
      <c r="G35" s="421">
        <v>6.7558174540043101</v>
      </c>
      <c r="H35" s="421">
        <v>0</v>
      </c>
      <c r="I35" s="421">
        <v>0</v>
      </c>
      <c r="J35" s="421">
        <v>0</v>
      </c>
      <c r="K35" s="421">
        <v>0</v>
      </c>
      <c r="L35" s="421">
        <v>39.472711189167597</v>
      </c>
      <c r="M35" s="421">
        <v>0.35556933968443699</v>
      </c>
      <c r="N35" s="421">
        <v>0</v>
      </c>
      <c r="O35" s="421">
        <v>0</v>
      </c>
      <c r="P35" s="421">
        <v>17.3099309567537</v>
      </c>
      <c r="Q35" s="421">
        <v>0</v>
      </c>
      <c r="R35" s="421">
        <v>0</v>
      </c>
      <c r="S35" s="429">
        <v>426.21513823222898</v>
      </c>
      <c r="T35" s="412"/>
    </row>
    <row r="36" spans="2:20" ht="13.5">
      <c r="B36" s="412"/>
      <c r="C36" s="428" t="s">
        <v>80</v>
      </c>
      <c r="D36" s="421">
        <v>0</v>
      </c>
      <c r="E36" s="421">
        <v>0</v>
      </c>
      <c r="F36" s="421">
        <v>34.999969618403199</v>
      </c>
      <c r="G36" s="421">
        <v>107.981806759471</v>
      </c>
      <c r="H36" s="421">
        <v>0</v>
      </c>
      <c r="I36" s="421">
        <v>0</v>
      </c>
      <c r="J36" s="421">
        <v>80.579090971434496</v>
      </c>
      <c r="K36" s="421">
        <v>0</v>
      </c>
      <c r="L36" s="421">
        <v>0</v>
      </c>
      <c r="M36" s="421">
        <v>5.6832529873405804</v>
      </c>
      <c r="N36" s="421">
        <v>35.076999538412302</v>
      </c>
      <c r="O36" s="421">
        <v>0.47984347524752502</v>
      </c>
      <c r="P36" s="421">
        <v>158.50734488006901</v>
      </c>
      <c r="Q36" s="421">
        <v>26.532250788105799</v>
      </c>
      <c r="R36" s="421">
        <v>0</v>
      </c>
      <c r="S36" s="429">
        <v>449.84055901848399</v>
      </c>
      <c r="T36" s="412"/>
    </row>
    <row r="37" spans="2:20" ht="13.5">
      <c r="B37" s="412"/>
      <c r="C37" s="428" t="s">
        <v>81</v>
      </c>
      <c r="D37" s="421">
        <v>0</v>
      </c>
      <c r="E37" s="421">
        <v>0</v>
      </c>
      <c r="F37" s="421">
        <v>14.8754398982658</v>
      </c>
      <c r="G37" s="421">
        <v>56.846051133253098</v>
      </c>
      <c r="H37" s="421">
        <v>0</v>
      </c>
      <c r="I37" s="421">
        <v>0</v>
      </c>
      <c r="J37" s="421">
        <v>6.2628201133829897</v>
      </c>
      <c r="K37" s="421">
        <v>0</v>
      </c>
      <c r="L37" s="421">
        <v>0</v>
      </c>
      <c r="M37" s="421">
        <v>2.9918974280659598</v>
      </c>
      <c r="N37" s="421">
        <v>11.4217194648713</v>
      </c>
      <c r="O37" s="421">
        <v>1.4393692820156201</v>
      </c>
      <c r="P37" s="421">
        <v>123.336653566184</v>
      </c>
      <c r="Q37" s="421">
        <v>7.0750375470940403</v>
      </c>
      <c r="R37" s="421">
        <v>0</v>
      </c>
      <c r="S37" s="429">
        <v>224.24898843313301</v>
      </c>
      <c r="T37" s="412"/>
    </row>
    <row r="38" spans="2:20" ht="13.5">
      <c r="B38" s="412"/>
      <c r="C38" s="428" t="s">
        <v>82</v>
      </c>
      <c r="D38" s="421">
        <v>0</v>
      </c>
      <c r="E38" s="421">
        <v>0</v>
      </c>
      <c r="F38" s="421">
        <v>31.7690828255494</v>
      </c>
      <c r="G38" s="421">
        <v>2.3814642991744801</v>
      </c>
      <c r="H38" s="421">
        <v>0</v>
      </c>
      <c r="I38" s="421">
        <v>0</v>
      </c>
      <c r="J38" s="421">
        <v>0.70706396927287196</v>
      </c>
      <c r="K38" s="421">
        <v>0</v>
      </c>
      <c r="L38" s="421">
        <v>2.0247618834547998</v>
      </c>
      <c r="M38" s="421">
        <v>0.12534022627234101</v>
      </c>
      <c r="N38" s="421">
        <v>0</v>
      </c>
      <c r="O38" s="421">
        <v>0.36066131262685802</v>
      </c>
      <c r="P38" s="421">
        <v>8.1897797220052908</v>
      </c>
      <c r="Q38" s="421">
        <v>0</v>
      </c>
      <c r="R38" s="421">
        <v>8.6831190235855601E-2</v>
      </c>
      <c r="S38" s="429">
        <v>45.644985428591902</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4.6620736262721998</v>
      </c>
      <c r="E40" s="425">
        <v>0</v>
      </c>
      <c r="F40" s="425">
        <v>466.67812084487798</v>
      </c>
      <c r="G40" s="425">
        <v>276.126668206538</v>
      </c>
      <c r="H40" s="425">
        <v>0</v>
      </c>
      <c r="I40" s="425">
        <v>0</v>
      </c>
      <c r="J40" s="425">
        <v>104.50993248549401</v>
      </c>
      <c r="K40" s="425">
        <v>5.2384741309254297</v>
      </c>
      <c r="L40" s="425">
        <v>42.439628429067703</v>
      </c>
      <c r="M40" s="425">
        <v>14.5329825371862</v>
      </c>
      <c r="N40" s="425">
        <v>46.498719003283597</v>
      </c>
      <c r="O40" s="425">
        <v>2.27987406989</v>
      </c>
      <c r="P40" s="425">
        <v>432.510782890163</v>
      </c>
      <c r="Q40" s="425">
        <v>54.683470329736103</v>
      </c>
      <c r="R40" s="425">
        <v>1.2045940076186701</v>
      </c>
      <c r="S40" s="425">
        <v>1451.3653205610501</v>
      </c>
      <c r="T40" s="412"/>
    </row>
    <row r="41" spans="2:20" ht="13.5">
      <c r="B41" s="412"/>
      <c r="C41" s="420" t="s">
        <v>84</v>
      </c>
      <c r="D41" s="421">
        <v>1.80589592507102</v>
      </c>
      <c r="E41" s="421">
        <v>0</v>
      </c>
      <c r="F41" s="421">
        <v>137.615499825033</v>
      </c>
      <c r="G41" s="421">
        <v>12.949704455048799</v>
      </c>
      <c r="H41" s="421">
        <v>0</v>
      </c>
      <c r="I41" s="421">
        <v>0</v>
      </c>
      <c r="J41" s="421">
        <v>0</v>
      </c>
      <c r="K41" s="421">
        <v>0</v>
      </c>
      <c r="L41" s="421">
        <v>0.1703607421875</v>
      </c>
      <c r="M41" s="421">
        <v>0</v>
      </c>
      <c r="N41" s="421">
        <v>0</v>
      </c>
      <c r="O41" s="421">
        <v>0</v>
      </c>
      <c r="P41" s="421">
        <v>0</v>
      </c>
      <c r="Q41" s="421">
        <v>0</v>
      </c>
      <c r="R41" s="421">
        <v>1.1142721901633501</v>
      </c>
      <c r="S41" s="429">
        <v>153.655733137504</v>
      </c>
      <c r="T41" s="412"/>
    </row>
    <row r="42" spans="2:20" ht="13.5">
      <c r="B42" s="412"/>
      <c r="C42" s="424" t="s">
        <v>85</v>
      </c>
      <c r="D42" s="425">
        <v>6.46796955134322</v>
      </c>
      <c r="E42" s="425">
        <v>0</v>
      </c>
      <c r="F42" s="425">
        <v>604.29362066991098</v>
      </c>
      <c r="G42" s="425">
        <v>289.07637266158702</v>
      </c>
      <c r="H42" s="425">
        <v>0</v>
      </c>
      <c r="I42" s="425">
        <v>0</v>
      </c>
      <c r="J42" s="425">
        <v>104.50993248549401</v>
      </c>
      <c r="K42" s="425">
        <v>5.2384741309254297</v>
      </c>
      <c r="L42" s="425">
        <v>42.6099891712553</v>
      </c>
      <c r="M42" s="425">
        <v>14.5329825371862</v>
      </c>
      <c r="N42" s="425">
        <v>46.498719003283597</v>
      </c>
      <c r="O42" s="425">
        <v>2.27987406989</v>
      </c>
      <c r="P42" s="425">
        <v>432.510782890163</v>
      </c>
      <c r="Q42" s="425">
        <v>54.683470329736103</v>
      </c>
      <c r="R42" s="425">
        <v>2.31886619778202</v>
      </c>
      <c r="S42" s="425">
        <v>1605.0210536985601</v>
      </c>
      <c r="T42" s="412"/>
    </row>
    <row r="43" spans="2:20">
      <c r="B43" s="412"/>
      <c r="C43" s="412"/>
      <c r="D43" s="430">
        <f t="shared" ref="D43:S43" si="0">D42+D32-D18</f>
        <v>0</v>
      </c>
      <c r="E43" s="430">
        <f t="shared" si="0"/>
        <v>0</v>
      </c>
      <c r="F43" s="430">
        <f t="shared" si="0"/>
        <v>0</v>
      </c>
      <c r="G43" s="430">
        <f t="shared" si="0"/>
        <v>0</v>
      </c>
      <c r="H43" s="430">
        <f t="shared" si="0"/>
        <v>0</v>
      </c>
      <c r="I43" s="430">
        <f t="shared" si="0"/>
        <v>0</v>
      </c>
      <c r="J43" s="430">
        <f t="shared" si="0"/>
        <v>1.0231815394945443E-12</v>
      </c>
      <c r="K43" s="430">
        <f t="shared" si="0"/>
        <v>0</v>
      </c>
      <c r="L43" s="430">
        <f t="shared" si="0"/>
        <v>8.8151708155237429E-14</v>
      </c>
      <c r="M43" s="430">
        <f t="shared" si="0"/>
        <v>0</v>
      </c>
      <c r="N43" s="430">
        <f t="shared" si="0"/>
        <v>0</v>
      </c>
      <c r="O43" s="430">
        <f t="shared" si="0"/>
        <v>0</v>
      </c>
      <c r="P43" s="430">
        <f t="shared" si="0"/>
        <v>-1.2789769243681803E-13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359</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9.7691999999999997</v>
      </c>
      <c r="F49" s="421">
        <v>0</v>
      </c>
      <c r="G49" s="421">
        <v>0.18608</v>
      </c>
      <c r="H49" s="422">
        <v>1083.7741046832</v>
      </c>
      <c r="I49" s="422">
        <v>178.309090909091</v>
      </c>
      <c r="J49" s="422">
        <v>222.134568786812</v>
      </c>
      <c r="K49" s="422">
        <v>35.473118004210797</v>
      </c>
      <c r="L49" s="421">
        <v>0</v>
      </c>
      <c r="M49" s="421">
        <v>0</v>
      </c>
      <c r="N49" s="422">
        <v>54.688192188589603</v>
      </c>
      <c r="O49" s="422">
        <v>8.0158524947922398</v>
      </c>
      <c r="P49" s="421">
        <v>0</v>
      </c>
      <c r="Q49" s="421">
        <v>0</v>
      </c>
      <c r="R49" s="421">
        <v>0</v>
      </c>
      <c r="S49" s="423">
        <v>1592.35020706669</v>
      </c>
      <c r="T49" s="412"/>
    </row>
    <row r="50" spans="2:20" ht="13.5">
      <c r="B50" s="412"/>
      <c r="C50" s="420" t="s">
        <v>60</v>
      </c>
      <c r="D50" s="421">
        <v>20.263748329507301</v>
      </c>
      <c r="E50" s="421">
        <v>439.73434116717101</v>
      </c>
      <c r="F50" s="421">
        <v>174.80444040113099</v>
      </c>
      <c r="G50" s="421">
        <v>330.67230734863398</v>
      </c>
      <c r="H50" s="421">
        <v>0</v>
      </c>
      <c r="I50" s="421">
        <v>0</v>
      </c>
      <c r="J50" s="421">
        <v>0</v>
      </c>
      <c r="K50" s="421">
        <v>0</v>
      </c>
      <c r="L50" s="421">
        <v>0</v>
      </c>
      <c r="M50" s="421">
        <v>0</v>
      </c>
      <c r="N50" s="421">
        <v>0</v>
      </c>
      <c r="O50" s="421">
        <v>0</v>
      </c>
      <c r="P50" s="421">
        <v>0</v>
      </c>
      <c r="Q50" s="421">
        <v>0</v>
      </c>
      <c r="R50" s="421">
        <v>0</v>
      </c>
      <c r="S50" s="423">
        <v>965.47483724644405</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-52.7574154473186</v>
      </c>
      <c r="Q51" s="421">
        <v>0</v>
      </c>
      <c r="R51" s="421">
        <v>0</v>
      </c>
      <c r="S51" s="423">
        <v>-52.7574154473186</v>
      </c>
      <c r="T51" s="412"/>
    </row>
    <row r="52" spans="2:20" ht="13.5">
      <c r="B52" s="412"/>
      <c r="C52" s="420" t="s">
        <v>62</v>
      </c>
      <c r="D52" s="421">
        <v>0</v>
      </c>
      <c r="E52" s="421">
        <v>0</v>
      </c>
      <c r="F52" s="421">
        <v>-16.8430892984614</v>
      </c>
      <c r="G52" s="421">
        <v>-3.3709705649534398E-2</v>
      </c>
      <c r="H52" s="421">
        <v>0</v>
      </c>
      <c r="I52" s="421">
        <v>0</v>
      </c>
      <c r="J52" s="421">
        <v>0</v>
      </c>
      <c r="K52" s="421">
        <v>0</v>
      </c>
      <c r="L52" s="421">
        <v>0</v>
      </c>
      <c r="M52" s="421">
        <v>-3.74552284994826E-3</v>
      </c>
      <c r="N52" s="421">
        <v>0</v>
      </c>
      <c r="O52" s="421">
        <v>0</v>
      </c>
      <c r="P52" s="421">
        <v>0</v>
      </c>
      <c r="Q52" s="421">
        <v>0</v>
      </c>
      <c r="R52" s="421">
        <v>0</v>
      </c>
      <c r="S52" s="423">
        <v>-16.880544526960801</v>
      </c>
      <c r="T52" s="412"/>
    </row>
    <row r="53" spans="2:20" ht="13.5">
      <c r="B53" s="412"/>
      <c r="C53" s="420" t="s">
        <v>63</v>
      </c>
      <c r="D53" s="421">
        <v>0</v>
      </c>
      <c r="E53" s="421">
        <v>0</v>
      </c>
      <c r="F53" s="421">
        <v>-75.677655886771902</v>
      </c>
      <c r="G53" s="421">
        <v>0</v>
      </c>
      <c r="H53" s="421">
        <v>0</v>
      </c>
      <c r="I53" s="421">
        <v>0</v>
      </c>
      <c r="J53" s="421">
        <v>0</v>
      </c>
      <c r="K53" s="421">
        <v>0</v>
      </c>
      <c r="L53" s="421">
        <v>-3.14984148370685</v>
      </c>
      <c r="M53" s="421">
        <v>0</v>
      </c>
      <c r="N53" s="421">
        <v>0</v>
      </c>
      <c r="O53" s="421">
        <v>0</v>
      </c>
      <c r="P53" s="421">
        <v>0</v>
      </c>
      <c r="Q53" s="421">
        <v>0</v>
      </c>
      <c r="R53" s="421">
        <v>0</v>
      </c>
      <c r="S53" s="423">
        <v>-78.827497370478696</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20.263748329507301</v>
      </c>
      <c r="E55" s="425">
        <v>449.50354116717102</v>
      </c>
      <c r="F55" s="425">
        <v>82.283695215898007</v>
      </c>
      <c r="G55" s="425">
        <v>330.82467764298502</v>
      </c>
      <c r="H55" s="425">
        <v>1083.7741046832</v>
      </c>
      <c r="I55" s="425">
        <v>178.309090909091</v>
      </c>
      <c r="J55" s="425">
        <v>222.134568786812</v>
      </c>
      <c r="K55" s="425">
        <v>35.473118004210797</v>
      </c>
      <c r="L55" s="425">
        <v>-3.14984148370685</v>
      </c>
      <c r="M55" s="425">
        <v>-3.74552284994826E-3</v>
      </c>
      <c r="N55" s="425">
        <v>54.688192188589603</v>
      </c>
      <c r="O55" s="425">
        <v>8.0158524947922398</v>
      </c>
      <c r="P55" s="425">
        <v>-52.7574154473186</v>
      </c>
      <c r="Q55" s="425">
        <v>0</v>
      </c>
      <c r="R55" s="425">
        <v>0</v>
      </c>
      <c r="S55" s="425">
        <v>2409.35958696838</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0.91448134465103803</v>
      </c>
      <c r="E58" s="421">
        <v>0</v>
      </c>
      <c r="F58" s="421">
        <v>0.95041322314049603</v>
      </c>
      <c r="G58" s="421">
        <v>50.5213015766521</v>
      </c>
      <c r="H58" s="421">
        <v>1083.7741046832</v>
      </c>
      <c r="I58" s="421">
        <v>178.309090909091</v>
      </c>
      <c r="J58" s="421">
        <v>22.646861134117799</v>
      </c>
      <c r="K58" s="421">
        <v>7.6532170524778804</v>
      </c>
      <c r="L58" s="421">
        <v>0</v>
      </c>
      <c r="M58" s="421">
        <v>4.3931566588393203</v>
      </c>
      <c r="N58" s="421">
        <v>0</v>
      </c>
      <c r="O58" s="421">
        <v>0</v>
      </c>
      <c r="P58" s="421">
        <v>-576.04545454545496</v>
      </c>
      <c r="Q58" s="421">
        <v>0</v>
      </c>
      <c r="R58" s="421">
        <v>0</v>
      </c>
      <c r="S58" s="429">
        <v>773.11717203671105</v>
      </c>
      <c r="T58" s="412"/>
    </row>
    <row r="59" spans="2:20" ht="13.5">
      <c r="B59" s="412"/>
      <c r="C59" s="428" t="s">
        <v>351</v>
      </c>
      <c r="D59" s="421">
        <v>9.8298985145506806E-2</v>
      </c>
      <c r="E59" s="421">
        <v>0</v>
      </c>
      <c r="F59" s="421">
        <v>0</v>
      </c>
      <c r="G59" s="421">
        <v>18.931106597798902</v>
      </c>
      <c r="H59" s="421">
        <v>0</v>
      </c>
      <c r="I59" s="421">
        <v>0</v>
      </c>
      <c r="J59" s="421">
        <v>24.619601434096001</v>
      </c>
      <c r="K59" s="421">
        <v>21.971315131124399</v>
      </c>
      <c r="L59" s="421">
        <v>0</v>
      </c>
      <c r="M59" s="421">
        <v>1.6461831824173001</v>
      </c>
      <c r="N59" s="421">
        <v>0</v>
      </c>
      <c r="O59" s="421">
        <v>5.09259734951259</v>
      </c>
      <c r="P59" s="421">
        <v>0</v>
      </c>
      <c r="Q59" s="421">
        <v>-65.226956220185599</v>
      </c>
      <c r="R59" s="421">
        <v>0</v>
      </c>
      <c r="S59" s="429">
        <v>7.1321464599091797</v>
      </c>
      <c r="T59" s="412"/>
    </row>
    <row r="60" spans="2:20" ht="13.5">
      <c r="B60" s="412"/>
      <c r="C60" s="428" t="s">
        <v>352</v>
      </c>
      <c r="D60" s="421">
        <v>0</v>
      </c>
      <c r="E60" s="421">
        <v>0</v>
      </c>
      <c r="F60" s="421">
        <v>0</v>
      </c>
      <c r="G60" s="421">
        <v>0</v>
      </c>
      <c r="H60" s="421">
        <v>0</v>
      </c>
      <c r="I60" s="421">
        <v>0</v>
      </c>
      <c r="J60" s="421">
        <v>31.027920583566299</v>
      </c>
      <c r="K60" s="421">
        <v>0</v>
      </c>
      <c r="L60" s="421">
        <v>0</v>
      </c>
      <c r="M60" s="421">
        <v>-27.653634220103498</v>
      </c>
      <c r="N60" s="421">
        <v>0</v>
      </c>
      <c r="O60" s="421">
        <v>0</v>
      </c>
      <c r="P60" s="421">
        <v>0</v>
      </c>
      <c r="Q60" s="421">
        <v>0</v>
      </c>
      <c r="R60" s="421">
        <v>0</v>
      </c>
      <c r="S60" s="429">
        <v>3.3742863634628399</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465.63789420124402</v>
      </c>
      <c r="F62" s="421">
        <v>-460.98151525923203</v>
      </c>
      <c r="G62" s="421">
        <v>0</v>
      </c>
      <c r="H62" s="421">
        <v>0</v>
      </c>
      <c r="I62" s="421">
        <v>0</v>
      </c>
      <c r="J62" s="421">
        <v>0</v>
      </c>
      <c r="K62" s="421">
        <v>0</v>
      </c>
      <c r="L62" s="421">
        <v>0</v>
      </c>
      <c r="M62" s="421">
        <v>0</v>
      </c>
      <c r="N62" s="421">
        <v>0</v>
      </c>
      <c r="O62" s="421">
        <v>0</v>
      </c>
      <c r="P62" s="421">
        <v>0</v>
      </c>
      <c r="Q62" s="421">
        <v>0</v>
      </c>
      <c r="R62" s="421">
        <v>0</v>
      </c>
      <c r="S62" s="429">
        <v>4.6563789420124504</v>
      </c>
      <c r="T62" s="412"/>
    </row>
    <row r="63" spans="2:20" ht="13.5">
      <c r="B63" s="412"/>
      <c r="C63" s="428" t="s">
        <v>354</v>
      </c>
      <c r="D63" s="421">
        <v>0</v>
      </c>
      <c r="E63" s="421">
        <v>0</v>
      </c>
      <c r="F63" s="421">
        <v>0</v>
      </c>
      <c r="G63" s="421">
        <v>0</v>
      </c>
      <c r="H63" s="421">
        <v>0</v>
      </c>
      <c r="I63" s="421">
        <v>0</v>
      </c>
      <c r="J63" s="421">
        <v>42.886755488040599</v>
      </c>
      <c r="K63" s="421">
        <v>0</v>
      </c>
      <c r="L63" s="421">
        <v>-42.886755488040599</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-3.2313287999265801</v>
      </c>
      <c r="M64" s="421">
        <v>0</v>
      </c>
      <c r="N64" s="421">
        <v>0</v>
      </c>
      <c r="O64" s="421">
        <v>0</v>
      </c>
      <c r="P64" s="421">
        <v>0</v>
      </c>
      <c r="Q64" s="421">
        <v>0</v>
      </c>
      <c r="R64" s="421">
        <v>4.6161839998951102</v>
      </c>
      <c r="S64" s="429">
        <v>1.3848551999685399</v>
      </c>
      <c r="T64" s="412"/>
    </row>
    <row r="65" spans="2:20" ht="13.5">
      <c r="B65" s="412"/>
      <c r="C65" s="428" t="s">
        <v>73</v>
      </c>
      <c r="D65" s="421">
        <v>0</v>
      </c>
      <c r="E65" s="421">
        <v>0</v>
      </c>
      <c r="F65" s="421">
        <v>0</v>
      </c>
      <c r="G65" s="421">
        <v>6.6130879575557797</v>
      </c>
      <c r="H65" s="421">
        <v>0</v>
      </c>
      <c r="I65" s="421">
        <v>0</v>
      </c>
      <c r="J65" s="421">
        <v>0</v>
      </c>
      <c r="K65" s="421">
        <v>0.14376278168599499</v>
      </c>
      <c r="L65" s="421">
        <v>0</v>
      </c>
      <c r="M65" s="421">
        <v>0.57505112674398096</v>
      </c>
      <c r="N65" s="421">
        <v>0</v>
      </c>
      <c r="O65" s="421">
        <v>0</v>
      </c>
      <c r="P65" s="421">
        <v>7.5862514028148196</v>
      </c>
      <c r="Q65" s="421">
        <v>0</v>
      </c>
      <c r="R65" s="421">
        <v>-10.063394718019699</v>
      </c>
      <c r="S65" s="429">
        <v>4.8547585507809101</v>
      </c>
      <c r="T65" s="412"/>
    </row>
    <row r="66" spans="2:20" ht="13.5">
      <c r="B66" s="412"/>
      <c r="C66" s="428" t="s">
        <v>356</v>
      </c>
      <c r="D66" s="421">
        <v>8.1420534667968703</v>
      </c>
      <c r="E66" s="421">
        <v>-16.134353034073101</v>
      </c>
      <c r="F66" s="421">
        <v>21.1027807897289</v>
      </c>
      <c r="G66" s="421">
        <v>0</v>
      </c>
      <c r="H66" s="421">
        <v>0</v>
      </c>
      <c r="I66" s="421">
        <v>0</v>
      </c>
      <c r="J66" s="421">
        <v>0</v>
      </c>
      <c r="K66" s="421">
        <v>0</v>
      </c>
      <c r="L66" s="421">
        <v>0</v>
      </c>
      <c r="M66" s="421">
        <v>0</v>
      </c>
      <c r="N66" s="421">
        <v>0</v>
      </c>
      <c r="O66" s="421">
        <v>0</v>
      </c>
      <c r="P66" s="421">
        <v>0</v>
      </c>
      <c r="Q66" s="421">
        <v>0</v>
      </c>
      <c r="R66" s="421">
        <v>0</v>
      </c>
      <c r="S66" s="429">
        <v>13.1104812224527</v>
      </c>
      <c r="T66" s="412"/>
    </row>
    <row r="67" spans="2:20" ht="13.5">
      <c r="B67" s="412"/>
      <c r="C67" s="428" t="s">
        <v>75</v>
      </c>
      <c r="D67" s="421">
        <v>7.5011909179687501</v>
      </c>
      <c r="E67" s="421">
        <v>0</v>
      </c>
      <c r="F67" s="421">
        <v>19.422798115452299</v>
      </c>
      <c r="G67" s="421">
        <v>5.2030248598688003</v>
      </c>
      <c r="H67" s="421">
        <v>0</v>
      </c>
      <c r="I67" s="421">
        <v>0</v>
      </c>
      <c r="J67" s="421">
        <v>0</v>
      </c>
      <c r="K67" s="421">
        <v>0</v>
      </c>
      <c r="L67" s="421">
        <v>0</v>
      </c>
      <c r="M67" s="421">
        <v>0.45243694433641801</v>
      </c>
      <c r="N67" s="421">
        <v>0</v>
      </c>
      <c r="O67" s="421">
        <v>0</v>
      </c>
      <c r="P67" s="421">
        <v>32.060578512396702</v>
      </c>
      <c r="Q67" s="421">
        <v>0</v>
      </c>
      <c r="R67" s="421">
        <v>0</v>
      </c>
      <c r="S67" s="429">
        <v>64.6400293500229</v>
      </c>
      <c r="T67" s="412"/>
    </row>
    <row r="68" spans="2:20" ht="13.5">
      <c r="B68" s="412"/>
      <c r="C68" s="428" t="s">
        <v>76</v>
      </c>
      <c r="D68" s="421">
        <v>0</v>
      </c>
      <c r="E68" s="421">
        <v>0</v>
      </c>
      <c r="F68" s="421">
        <v>0</v>
      </c>
      <c r="G68" s="421">
        <v>3.7709501209231999</v>
      </c>
      <c r="H68" s="421">
        <v>0</v>
      </c>
      <c r="I68" s="421">
        <v>0</v>
      </c>
      <c r="J68" s="421">
        <v>0</v>
      </c>
      <c r="K68" s="421">
        <v>0</v>
      </c>
      <c r="L68" s="421">
        <v>0</v>
      </c>
      <c r="M68" s="421">
        <v>0.327908706167235</v>
      </c>
      <c r="N68" s="421">
        <v>0</v>
      </c>
      <c r="O68" s="421">
        <v>0</v>
      </c>
      <c r="P68" s="421">
        <v>40.104254150641999</v>
      </c>
      <c r="Q68" s="421">
        <v>5.0544873823760099</v>
      </c>
      <c r="R68" s="421">
        <v>0</v>
      </c>
      <c r="S68" s="429">
        <v>49.257600360108398</v>
      </c>
      <c r="T68" s="412"/>
    </row>
    <row r="69" spans="2:20" ht="13.5">
      <c r="B69" s="412"/>
      <c r="C69" s="424" t="s">
        <v>77</v>
      </c>
      <c r="D69" s="425">
        <v>16.6560247145622</v>
      </c>
      <c r="E69" s="425">
        <v>449.50354116717102</v>
      </c>
      <c r="F69" s="425">
        <v>-419.50552313090998</v>
      </c>
      <c r="G69" s="425">
        <v>85.039471112798793</v>
      </c>
      <c r="H69" s="425">
        <v>1083.7741046832</v>
      </c>
      <c r="I69" s="425">
        <v>178.309090909091</v>
      </c>
      <c r="J69" s="425">
        <v>121.181138639821</v>
      </c>
      <c r="K69" s="425">
        <v>29.768294965288302</v>
      </c>
      <c r="L69" s="425">
        <v>-46.1180842879672</v>
      </c>
      <c r="M69" s="425">
        <v>-20.258897601599202</v>
      </c>
      <c r="N69" s="425">
        <v>0</v>
      </c>
      <c r="O69" s="425">
        <v>5.09259734951259</v>
      </c>
      <c r="P69" s="425">
        <v>-496.29437047960101</v>
      </c>
      <c r="Q69" s="425">
        <v>-60.172468837809603</v>
      </c>
      <c r="R69" s="425">
        <v>-5.4472107181245502</v>
      </c>
      <c r="S69" s="425">
        <v>921.527708485429</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2.4350914505274801</v>
      </c>
      <c r="E71" s="421">
        <v>0</v>
      </c>
      <c r="F71" s="421">
        <v>18.685308217690999</v>
      </c>
      <c r="G71" s="421">
        <v>90.690087499523599</v>
      </c>
      <c r="H71" s="421">
        <v>0</v>
      </c>
      <c r="I71" s="421">
        <v>0</v>
      </c>
      <c r="J71" s="421">
        <v>16.561858262516999</v>
      </c>
      <c r="K71" s="421">
        <v>5.7048230389225099</v>
      </c>
      <c r="L71" s="421">
        <v>1.05767427734375</v>
      </c>
      <c r="M71" s="421">
        <v>7.88609456517597</v>
      </c>
      <c r="N71" s="421">
        <v>0</v>
      </c>
      <c r="O71" s="421">
        <v>0</v>
      </c>
      <c r="P71" s="421">
        <v>127.88727285716099</v>
      </c>
      <c r="Q71" s="421">
        <v>21.391690796451599</v>
      </c>
      <c r="R71" s="421">
        <v>3.30515258789063</v>
      </c>
      <c r="S71" s="429">
        <v>295.60505355320402</v>
      </c>
      <c r="T71" s="412"/>
    </row>
    <row r="72" spans="2:20" ht="13.5">
      <c r="B72" s="412"/>
      <c r="C72" s="428" t="s">
        <v>79</v>
      </c>
      <c r="D72" s="421">
        <v>0</v>
      </c>
      <c r="E72" s="421">
        <v>0</v>
      </c>
      <c r="F72" s="421">
        <v>301.15735940524797</v>
      </c>
      <c r="G72" s="421">
        <v>10.6387281798364</v>
      </c>
      <c r="H72" s="421">
        <v>0</v>
      </c>
      <c r="I72" s="421">
        <v>0</v>
      </c>
      <c r="J72" s="421">
        <v>0</v>
      </c>
      <c r="K72" s="421">
        <v>0</v>
      </c>
      <c r="L72" s="421">
        <v>37.806005937221499</v>
      </c>
      <c r="M72" s="421">
        <v>1.02405009123318</v>
      </c>
      <c r="N72" s="421">
        <v>0</v>
      </c>
      <c r="O72" s="421">
        <v>0</v>
      </c>
      <c r="P72" s="421">
        <v>27.481917677670499</v>
      </c>
      <c r="Q72" s="421">
        <v>0</v>
      </c>
      <c r="R72" s="421">
        <v>0.49126373722019001</v>
      </c>
      <c r="S72" s="429">
        <v>378.59932502842901</v>
      </c>
      <c r="T72" s="412"/>
    </row>
    <row r="73" spans="2:20" ht="13.5">
      <c r="B73" s="412"/>
      <c r="C73" s="428" t="s">
        <v>80</v>
      </c>
      <c r="D73" s="421">
        <v>0</v>
      </c>
      <c r="E73" s="421">
        <v>0</v>
      </c>
      <c r="F73" s="421">
        <v>15.2825143767471</v>
      </c>
      <c r="G73" s="421">
        <v>83.376139634147805</v>
      </c>
      <c r="H73" s="421">
        <v>0</v>
      </c>
      <c r="I73" s="421">
        <v>0</v>
      </c>
      <c r="J73" s="421">
        <v>76.063688394982904</v>
      </c>
      <c r="K73" s="421">
        <v>0</v>
      </c>
      <c r="L73" s="421">
        <v>0</v>
      </c>
      <c r="M73" s="421">
        <v>7.2500990986215497</v>
      </c>
      <c r="N73" s="421">
        <v>41.655432359759601</v>
      </c>
      <c r="O73" s="421">
        <v>0.77006413908203397</v>
      </c>
      <c r="P73" s="421">
        <v>157.95415268418699</v>
      </c>
      <c r="Q73" s="421">
        <v>30.823495910793799</v>
      </c>
      <c r="R73" s="421">
        <v>0</v>
      </c>
      <c r="S73" s="429">
        <v>413.17558659832201</v>
      </c>
      <c r="T73" s="412"/>
    </row>
    <row r="74" spans="2:20" ht="13.5">
      <c r="B74" s="412"/>
      <c r="C74" s="428" t="s">
        <v>81</v>
      </c>
      <c r="D74" s="421">
        <v>0</v>
      </c>
      <c r="E74" s="421">
        <v>0</v>
      </c>
      <c r="F74" s="421">
        <v>8.0339957766220795</v>
      </c>
      <c r="G74" s="421">
        <v>45.902694704054099</v>
      </c>
      <c r="H74" s="421">
        <v>0</v>
      </c>
      <c r="I74" s="421">
        <v>0</v>
      </c>
      <c r="J74" s="421">
        <v>7.2212655206083998</v>
      </c>
      <c r="K74" s="421">
        <v>0</v>
      </c>
      <c r="L74" s="421">
        <v>0</v>
      </c>
      <c r="M74" s="421">
        <v>3.99153866991775</v>
      </c>
      <c r="N74" s="421">
        <v>13.032759828830001</v>
      </c>
      <c r="O74" s="421">
        <v>1.63381573932797</v>
      </c>
      <c r="P74" s="421">
        <v>121.78432803391701</v>
      </c>
      <c r="Q74" s="421">
        <v>7.9572821305642298</v>
      </c>
      <c r="R74" s="421">
        <v>0</v>
      </c>
      <c r="S74" s="429">
        <v>209.557680403841</v>
      </c>
      <c r="T74" s="412"/>
    </row>
    <row r="75" spans="2:20" ht="13.5">
      <c r="B75" s="412"/>
      <c r="C75" s="428" t="s">
        <v>82</v>
      </c>
      <c r="D75" s="421">
        <v>0</v>
      </c>
      <c r="E75" s="421">
        <v>0</v>
      </c>
      <c r="F75" s="421">
        <v>28.447053411837398</v>
      </c>
      <c r="G75" s="421">
        <v>2.24418576106194</v>
      </c>
      <c r="H75" s="421">
        <v>0</v>
      </c>
      <c r="I75" s="421">
        <v>0</v>
      </c>
      <c r="J75" s="421">
        <v>1.10661796888252</v>
      </c>
      <c r="K75" s="421">
        <v>0</v>
      </c>
      <c r="L75" s="421">
        <v>3.8296483052490902</v>
      </c>
      <c r="M75" s="421">
        <v>0.19514658791843001</v>
      </c>
      <c r="N75" s="421">
        <v>0</v>
      </c>
      <c r="O75" s="421">
        <v>0.51937526686963897</v>
      </c>
      <c r="P75" s="421">
        <v>7.9492837793472404</v>
      </c>
      <c r="Q75" s="421">
        <v>0</v>
      </c>
      <c r="R75" s="421">
        <v>0.13892990437736899</v>
      </c>
      <c r="S75" s="429">
        <v>44.430240985543698</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0.48</v>
      </c>
      <c r="Q76" s="421">
        <v>0</v>
      </c>
      <c r="R76" s="421">
        <v>0</v>
      </c>
      <c r="S76" s="429">
        <v>0.48</v>
      </c>
      <c r="T76" s="412"/>
    </row>
    <row r="77" spans="2:20" ht="13.5">
      <c r="B77" s="412"/>
      <c r="C77" s="424" t="s">
        <v>83</v>
      </c>
      <c r="D77" s="425">
        <v>2.4350914505274801</v>
      </c>
      <c r="E77" s="425">
        <v>0</v>
      </c>
      <c r="F77" s="425">
        <v>371.60623118814499</v>
      </c>
      <c r="G77" s="425">
        <v>232.85183577862401</v>
      </c>
      <c r="H77" s="425">
        <v>0</v>
      </c>
      <c r="I77" s="425">
        <v>0</v>
      </c>
      <c r="J77" s="425">
        <v>100.953430146991</v>
      </c>
      <c r="K77" s="425">
        <v>5.7048230389225099</v>
      </c>
      <c r="L77" s="425">
        <v>42.693328519814301</v>
      </c>
      <c r="M77" s="425">
        <v>20.346929012866902</v>
      </c>
      <c r="N77" s="425">
        <v>54.688192188589603</v>
      </c>
      <c r="O77" s="425">
        <v>2.9232551452796498</v>
      </c>
      <c r="P77" s="425">
        <v>443.53695503228198</v>
      </c>
      <c r="Q77" s="425">
        <v>60.172468837809603</v>
      </c>
      <c r="R77" s="425">
        <v>3.93534622948818</v>
      </c>
      <c r="S77" s="425">
        <v>1341.8478865693401</v>
      </c>
      <c r="T77" s="412"/>
    </row>
    <row r="78" spans="2:20" ht="13.5">
      <c r="B78" s="412"/>
      <c r="C78" s="420" t="s">
        <v>84</v>
      </c>
      <c r="D78" s="421">
        <v>1.1726321644176101</v>
      </c>
      <c r="E78" s="421">
        <v>0</v>
      </c>
      <c r="F78" s="421">
        <v>130.182987158663</v>
      </c>
      <c r="G78" s="421">
        <v>12.841593817444201</v>
      </c>
      <c r="H78" s="421">
        <v>0</v>
      </c>
      <c r="I78" s="421">
        <v>0</v>
      </c>
      <c r="J78" s="421">
        <v>0</v>
      </c>
      <c r="K78" s="421">
        <v>0</v>
      </c>
      <c r="L78" s="421">
        <v>0.27491428444602301</v>
      </c>
      <c r="M78" s="421">
        <v>0</v>
      </c>
      <c r="N78" s="421">
        <v>0</v>
      </c>
      <c r="O78" s="421">
        <v>0</v>
      </c>
      <c r="P78" s="421">
        <v>0</v>
      </c>
      <c r="Q78" s="421">
        <v>0</v>
      </c>
      <c r="R78" s="421">
        <v>1.5118644886363599</v>
      </c>
      <c r="S78" s="429">
        <v>145.98399191360701</v>
      </c>
      <c r="T78" s="412"/>
    </row>
    <row r="79" spans="2:20" ht="13.5">
      <c r="B79" s="412"/>
      <c r="C79" s="424" t="s">
        <v>85</v>
      </c>
      <c r="D79" s="425">
        <v>3.6077236149451002</v>
      </c>
      <c r="E79" s="425">
        <v>0</v>
      </c>
      <c r="F79" s="425">
        <v>501.78921834680801</v>
      </c>
      <c r="G79" s="425">
        <v>245.693429596068</v>
      </c>
      <c r="H79" s="425">
        <v>0</v>
      </c>
      <c r="I79" s="425">
        <v>0</v>
      </c>
      <c r="J79" s="425">
        <v>100.953430146991</v>
      </c>
      <c r="K79" s="425">
        <v>5.7048230389225099</v>
      </c>
      <c r="L79" s="425">
        <v>42.968242804260399</v>
      </c>
      <c r="M79" s="425">
        <v>20.346929012866902</v>
      </c>
      <c r="N79" s="425">
        <v>54.688192188589603</v>
      </c>
      <c r="O79" s="425">
        <v>2.9232551452796498</v>
      </c>
      <c r="P79" s="425">
        <v>443.53695503228198</v>
      </c>
      <c r="Q79" s="425">
        <v>60.172468837809603</v>
      </c>
      <c r="R79" s="425">
        <v>5.4472107181245502</v>
      </c>
      <c r="S79" s="425">
        <v>1487.8318784829501</v>
      </c>
      <c r="T79" s="412"/>
    </row>
    <row r="80" spans="2:20">
      <c r="B80" s="412"/>
      <c r="C80" s="412"/>
      <c r="D80" s="430">
        <f t="shared" ref="D80:S80" si="1">D79+D69-D55</f>
        <v>0</v>
      </c>
      <c r="E80" s="430">
        <f t="shared" si="1"/>
        <v>0</v>
      </c>
      <c r="F80" s="430">
        <f t="shared" si="1"/>
        <v>0</v>
      </c>
      <c r="G80" s="430">
        <f t="shared" si="1"/>
        <v>-9.1776934118229292E-2</v>
      </c>
      <c r="H80" s="430">
        <f t="shared" si="1"/>
        <v>0</v>
      </c>
      <c r="I80" s="430">
        <f t="shared" si="1"/>
        <v>0</v>
      </c>
      <c r="J80" s="430">
        <f t="shared" si="1"/>
        <v>0</v>
      </c>
      <c r="K80" s="430">
        <f t="shared" si="1"/>
        <v>0</v>
      </c>
      <c r="L80" s="430">
        <f t="shared" si="1"/>
        <v>4.8849813083506888E-14</v>
      </c>
      <c r="M80" s="430">
        <f t="shared" si="1"/>
        <v>9.1776934117648132E-2</v>
      </c>
      <c r="N80" s="430">
        <f t="shared" si="1"/>
        <v>0</v>
      </c>
      <c r="O80" s="430">
        <f t="shared" si="1"/>
        <v>0</v>
      </c>
      <c r="P80" s="430">
        <f t="shared" si="1"/>
        <v>-4.3343106881366111E-13</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88</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9.7691999999999997</v>
      </c>
      <c r="F86" s="421">
        <v>0</v>
      </c>
      <c r="G86" s="421">
        <v>0.18608</v>
      </c>
      <c r="H86" s="422">
        <v>1069.3939393939399</v>
      </c>
      <c r="I86" s="422">
        <v>194.6</v>
      </c>
      <c r="J86" s="422">
        <v>224.66743134970599</v>
      </c>
      <c r="K86" s="422">
        <v>37.278607013832001</v>
      </c>
      <c r="L86" s="421">
        <v>0</v>
      </c>
      <c r="M86" s="421">
        <v>0</v>
      </c>
      <c r="N86" s="422">
        <v>60.333738532710498</v>
      </c>
      <c r="O86" s="422">
        <v>9.1855201728338205</v>
      </c>
      <c r="P86" s="421">
        <v>0</v>
      </c>
      <c r="Q86" s="421">
        <v>0</v>
      </c>
      <c r="R86" s="421">
        <v>0</v>
      </c>
      <c r="S86" s="423">
        <v>1605.4145164630199</v>
      </c>
      <c r="T86" s="412"/>
    </row>
    <row r="87" spans="2:20" ht="13.5">
      <c r="B87" s="412"/>
      <c r="C87" s="420" t="s">
        <v>60</v>
      </c>
      <c r="D87" s="421">
        <v>12.9193471516563</v>
      </c>
      <c r="E87" s="421">
        <v>409.19758903168002</v>
      </c>
      <c r="F87" s="421">
        <v>133.03147421440801</v>
      </c>
      <c r="G87" s="421">
        <v>297.822425417403</v>
      </c>
      <c r="H87" s="421">
        <v>0</v>
      </c>
      <c r="I87" s="421">
        <v>0</v>
      </c>
      <c r="J87" s="421">
        <v>0</v>
      </c>
      <c r="K87" s="421">
        <v>0</v>
      </c>
      <c r="L87" s="421">
        <v>0</v>
      </c>
      <c r="M87" s="421">
        <v>0</v>
      </c>
      <c r="N87" s="421">
        <v>0</v>
      </c>
      <c r="O87" s="421">
        <v>0</v>
      </c>
      <c r="P87" s="421">
        <v>0</v>
      </c>
      <c r="Q87" s="421">
        <v>0</v>
      </c>
      <c r="R87" s="421">
        <v>0</v>
      </c>
      <c r="S87" s="423">
        <v>852.97083581514801</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-48.935732553446002</v>
      </c>
      <c r="Q88" s="421">
        <v>0</v>
      </c>
      <c r="R88" s="421">
        <v>0</v>
      </c>
      <c r="S88" s="423">
        <v>-48.935732553446002</v>
      </c>
      <c r="T88" s="412"/>
    </row>
    <row r="89" spans="2:20" ht="13.5">
      <c r="B89" s="412"/>
      <c r="C89" s="420" t="s">
        <v>62</v>
      </c>
      <c r="D89" s="421">
        <v>0</v>
      </c>
      <c r="E89" s="421">
        <v>0</v>
      </c>
      <c r="F89" s="421">
        <v>-16.1142804846369</v>
      </c>
      <c r="G89" s="421">
        <v>-5.6182842749223999E-2</v>
      </c>
      <c r="H89" s="421">
        <v>0</v>
      </c>
      <c r="I89" s="421">
        <v>0</v>
      </c>
      <c r="J89" s="421">
        <v>0</v>
      </c>
      <c r="K89" s="421">
        <v>0</v>
      </c>
      <c r="L89" s="421">
        <v>0</v>
      </c>
      <c r="M89" s="421">
        <v>-6.2425380832471103E-3</v>
      </c>
      <c r="N89" s="421">
        <v>0</v>
      </c>
      <c r="O89" s="421">
        <v>0</v>
      </c>
      <c r="P89" s="421">
        <v>0</v>
      </c>
      <c r="Q89" s="421">
        <v>0</v>
      </c>
      <c r="R89" s="421">
        <v>0</v>
      </c>
      <c r="S89" s="423">
        <v>-16.176705865469401</v>
      </c>
      <c r="T89" s="412"/>
    </row>
    <row r="90" spans="2:20" ht="13.5">
      <c r="B90" s="412"/>
      <c r="C90" s="420" t="s">
        <v>63</v>
      </c>
      <c r="D90" s="421">
        <v>0</v>
      </c>
      <c r="E90" s="421">
        <v>0</v>
      </c>
      <c r="F90" s="421">
        <v>-74.686327904220704</v>
      </c>
      <c r="G90" s="421">
        <v>0</v>
      </c>
      <c r="H90" s="421">
        <v>0</v>
      </c>
      <c r="I90" s="421">
        <v>0</v>
      </c>
      <c r="J90" s="421">
        <v>0</v>
      </c>
      <c r="K90" s="421">
        <v>0</v>
      </c>
      <c r="L90" s="421">
        <v>-4.14190380795604</v>
      </c>
      <c r="M90" s="421">
        <v>0</v>
      </c>
      <c r="N90" s="421">
        <v>0</v>
      </c>
      <c r="O90" s="421">
        <v>0</v>
      </c>
      <c r="P90" s="421">
        <v>0</v>
      </c>
      <c r="Q90" s="421">
        <v>0</v>
      </c>
      <c r="R90" s="421">
        <v>0</v>
      </c>
      <c r="S90" s="423">
        <v>-78.828231712176802</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12.9193471516563</v>
      </c>
      <c r="E92" s="425">
        <v>418.96678903167998</v>
      </c>
      <c r="F92" s="425">
        <v>42.230865825550602</v>
      </c>
      <c r="G92" s="425">
        <v>297.95232257465398</v>
      </c>
      <c r="H92" s="425">
        <v>1069.3939393939399</v>
      </c>
      <c r="I92" s="425">
        <v>194.6</v>
      </c>
      <c r="J92" s="425">
        <v>224.66743134970599</v>
      </c>
      <c r="K92" s="425">
        <v>37.278607013832001</v>
      </c>
      <c r="L92" s="425">
        <v>-4.14190380795604</v>
      </c>
      <c r="M92" s="425">
        <v>-6.2425380832471103E-3</v>
      </c>
      <c r="N92" s="425">
        <v>60.333738532710498</v>
      </c>
      <c r="O92" s="425">
        <v>9.1855201728338205</v>
      </c>
      <c r="P92" s="425">
        <v>-48.935732553446002</v>
      </c>
      <c r="Q92" s="425">
        <v>0</v>
      </c>
      <c r="R92" s="425">
        <v>0</v>
      </c>
      <c r="S92" s="425">
        <v>2314.4446821470801</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45.490909090909099</v>
      </c>
      <c r="H95" s="421">
        <v>1069.3939393939399</v>
      </c>
      <c r="I95" s="421">
        <v>194.6</v>
      </c>
      <c r="J95" s="421">
        <v>21.1953851819035</v>
      </c>
      <c r="K95" s="421">
        <v>7.10523467058003</v>
      </c>
      <c r="L95" s="421">
        <v>0</v>
      </c>
      <c r="M95" s="421">
        <v>5.05454545454546</v>
      </c>
      <c r="N95" s="421">
        <v>0</v>
      </c>
      <c r="O95" s="421">
        <v>0</v>
      </c>
      <c r="P95" s="421">
        <v>-584.9</v>
      </c>
      <c r="Q95" s="421">
        <v>0</v>
      </c>
      <c r="R95" s="421">
        <v>0</v>
      </c>
      <c r="S95" s="429">
        <v>757.94001379187796</v>
      </c>
      <c r="T95" s="412"/>
    </row>
    <row r="96" spans="2:20" ht="13.5">
      <c r="B96" s="412"/>
      <c r="C96" s="428" t="s">
        <v>351</v>
      </c>
      <c r="D96" s="421">
        <v>0</v>
      </c>
      <c r="E96" s="421">
        <v>0</v>
      </c>
      <c r="F96" s="421">
        <v>0</v>
      </c>
      <c r="G96" s="421">
        <v>18.367871704671401</v>
      </c>
      <c r="H96" s="421">
        <v>0</v>
      </c>
      <c r="I96" s="421">
        <v>0</v>
      </c>
      <c r="J96" s="421">
        <v>26.005723960832299</v>
      </c>
      <c r="K96" s="421">
        <v>23.958493278557299</v>
      </c>
      <c r="L96" s="421">
        <v>0</v>
      </c>
      <c r="M96" s="421">
        <v>2.0408746338523698</v>
      </c>
      <c r="N96" s="421">
        <v>0</v>
      </c>
      <c r="O96" s="421">
        <v>5.8333443106277398</v>
      </c>
      <c r="P96" s="421">
        <v>0</v>
      </c>
      <c r="Q96" s="421">
        <v>-69.146331472283194</v>
      </c>
      <c r="R96" s="421">
        <v>0</v>
      </c>
      <c r="S96" s="429">
        <v>7.0599764162579399</v>
      </c>
      <c r="T96" s="412"/>
    </row>
    <row r="97" spans="2:20" ht="13.5">
      <c r="B97" s="412"/>
      <c r="C97" s="428" t="s">
        <v>352</v>
      </c>
      <c r="D97" s="421">
        <v>0</v>
      </c>
      <c r="E97" s="421">
        <v>0</v>
      </c>
      <c r="F97" s="421">
        <v>0</v>
      </c>
      <c r="G97" s="421">
        <v>0</v>
      </c>
      <c r="H97" s="421">
        <v>0</v>
      </c>
      <c r="I97" s="421">
        <v>0</v>
      </c>
      <c r="J97" s="421">
        <v>36.4293995794851</v>
      </c>
      <c r="K97" s="421">
        <v>0</v>
      </c>
      <c r="L97" s="421">
        <v>0</v>
      </c>
      <c r="M97" s="421">
        <v>-31.693577634152</v>
      </c>
      <c r="N97" s="421">
        <v>0</v>
      </c>
      <c r="O97" s="421">
        <v>0</v>
      </c>
      <c r="P97" s="421">
        <v>0</v>
      </c>
      <c r="Q97" s="421">
        <v>0</v>
      </c>
      <c r="R97" s="421">
        <v>0</v>
      </c>
      <c r="S97" s="429">
        <v>4.7358219453330603</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434.00506451720099</v>
      </c>
      <c r="F99" s="421">
        <v>-429.66501387202902</v>
      </c>
      <c r="G99" s="421">
        <v>0</v>
      </c>
      <c r="H99" s="421">
        <v>0</v>
      </c>
      <c r="I99" s="421">
        <v>0</v>
      </c>
      <c r="J99" s="421">
        <v>0</v>
      </c>
      <c r="K99" s="421">
        <v>0</v>
      </c>
      <c r="L99" s="421">
        <v>0</v>
      </c>
      <c r="M99" s="421">
        <v>0</v>
      </c>
      <c r="N99" s="421">
        <v>0</v>
      </c>
      <c r="O99" s="421">
        <v>0</v>
      </c>
      <c r="P99" s="421">
        <v>0</v>
      </c>
      <c r="Q99" s="421">
        <v>0</v>
      </c>
      <c r="R99" s="421">
        <v>0</v>
      </c>
      <c r="S99" s="429">
        <v>4.3400506451720302</v>
      </c>
      <c r="T99" s="412"/>
    </row>
    <row r="100" spans="2:20" ht="13.5">
      <c r="B100" s="412"/>
      <c r="C100" s="428" t="s">
        <v>354</v>
      </c>
      <c r="D100" s="421">
        <v>0</v>
      </c>
      <c r="E100" s="421">
        <v>0</v>
      </c>
      <c r="F100" s="421">
        <v>0</v>
      </c>
      <c r="G100" s="421">
        <v>0</v>
      </c>
      <c r="H100" s="421">
        <v>0</v>
      </c>
      <c r="I100" s="421">
        <v>0</v>
      </c>
      <c r="J100" s="421">
        <v>42.6442412976646</v>
      </c>
      <c r="K100" s="421">
        <v>0</v>
      </c>
      <c r="L100" s="421">
        <v>-42.6442412976646</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-5.01027091961934</v>
      </c>
      <c r="M101" s="421">
        <v>0</v>
      </c>
      <c r="N101" s="421">
        <v>0</v>
      </c>
      <c r="O101" s="421">
        <v>0</v>
      </c>
      <c r="P101" s="421">
        <v>0</v>
      </c>
      <c r="Q101" s="421">
        <v>0</v>
      </c>
      <c r="R101" s="421">
        <v>7.15752988517049</v>
      </c>
      <c r="S101" s="429">
        <v>2.14725896555115</v>
      </c>
      <c r="T101" s="412"/>
    </row>
    <row r="102" spans="2:20" ht="13.5">
      <c r="B102" s="412"/>
      <c r="C102" s="428" t="s">
        <v>73</v>
      </c>
      <c r="D102" s="421">
        <v>0</v>
      </c>
      <c r="E102" s="421">
        <v>0</v>
      </c>
      <c r="F102" s="421">
        <v>0</v>
      </c>
      <c r="G102" s="421">
        <v>7.3296795740695702</v>
      </c>
      <c r="H102" s="421">
        <v>0</v>
      </c>
      <c r="I102" s="421">
        <v>0</v>
      </c>
      <c r="J102" s="421">
        <v>0</v>
      </c>
      <c r="K102" s="421">
        <v>0.208822779888022</v>
      </c>
      <c r="L102" s="421">
        <v>0</v>
      </c>
      <c r="M102" s="421">
        <v>0.81440884156328497</v>
      </c>
      <c r="N102" s="421">
        <v>0</v>
      </c>
      <c r="O102" s="421">
        <v>0</v>
      </c>
      <c r="P102" s="421">
        <v>13.4931642389183</v>
      </c>
      <c r="Q102" s="421">
        <v>0</v>
      </c>
      <c r="R102" s="421">
        <v>-14.617594592161501</v>
      </c>
      <c r="S102" s="429">
        <v>7.2284808422776798</v>
      </c>
      <c r="T102" s="412"/>
    </row>
    <row r="103" spans="2:20" ht="13.5">
      <c r="B103" s="412"/>
      <c r="C103" s="428" t="s">
        <v>356</v>
      </c>
      <c r="D103" s="421">
        <v>5.4641713867187498</v>
      </c>
      <c r="E103" s="421">
        <v>-15.038275485521</v>
      </c>
      <c r="F103" s="421">
        <v>19.669176096265801</v>
      </c>
      <c r="G103" s="421">
        <v>0</v>
      </c>
      <c r="H103" s="421">
        <v>0</v>
      </c>
      <c r="I103" s="421">
        <v>0</v>
      </c>
      <c r="J103" s="421">
        <v>0</v>
      </c>
      <c r="K103" s="421">
        <v>0</v>
      </c>
      <c r="L103" s="421">
        <v>0</v>
      </c>
      <c r="M103" s="421">
        <v>0</v>
      </c>
      <c r="N103" s="421">
        <v>0</v>
      </c>
      <c r="O103" s="421">
        <v>0</v>
      </c>
      <c r="P103" s="421">
        <v>0</v>
      </c>
      <c r="Q103" s="421">
        <v>0</v>
      </c>
      <c r="R103" s="421">
        <v>0</v>
      </c>
      <c r="S103" s="429">
        <v>10.095071997463499</v>
      </c>
      <c r="T103" s="412"/>
    </row>
    <row r="104" spans="2:20" ht="13.5">
      <c r="B104" s="412"/>
      <c r="C104" s="428" t="s">
        <v>75</v>
      </c>
      <c r="D104" s="421">
        <v>5.6084375</v>
      </c>
      <c r="E104" s="421">
        <v>0</v>
      </c>
      <c r="F104" s="421">
        <v>19.145306286774801</v>
      </c>
      <c r="G104" s="421">
        <v>5.0171964416224499</v>
      </c>
      <c r="H104" s="421">
        <v>0</v>
      </c>
      <c r="I104" s="421">
        <v>0</v>
      </c>
      <c r="J104" s="421">
        <v>0</v>
      </c>
      <c r="K104" s="421">
        <v>0</v>
      </c>
      <c r="L104" s="421">
        <v>0</v>
      </c>
      <c r="M104" s="421">
        <v>0.55746627129138404</v>
      </c>
      <c r="N104" s="421">
        <v>0</v>
      </c>
      <c r="O104" s="421">
        <v>0</v>
      </c>
      <c r="P104" s="421">
        <v>31.035454545454499</v>
      </c>
      <c r="Q104" s="421">
        <v>0</v>
      </c>
      <c r="R104" s="421">
        <v>0</v>
      </c>
      <c r="S104" s="429">
        <v>61.363861045143203</v>
      </c>
      <c r="T104" s="412"/>
    </row>
    <row r="105" spans="2:20" ht="13.5">
      <c r="B105" s="412"/>
      <c r="C105" s="428" t="s">
        <v>76</v>
      </c>
      <c r="D105" s="421">
        <v>0</v>
      </c>
      <c r="E105" s="421">
        <v>0</v>
      </c>
      <c r="F105" s="421">
        <v>0</v>
      </c>
      <c r="G105" s="421">
        <v>3.38231856174745</v>
      </c>
      <c r="H105" s="421">
        <v>0</v>
      </c>
      <c r="I105" s="421">
        <v>0</v>
      </c>
      <c r="J105" s="421">
        <v>0</v>
      </c>
      <c r="K105" s="421">
        <v>0</v>
      </c>
      <c r="L105" s="421">
        <v>0</v>
      </c>
      <c r="M105" s="421">
        <v>0.37581317352749399</v>
      </c>
      <c r="N105" s="421">
        <v>0</v>
      </c>
      <c r="O105" s="421">
        <v>0</v>
      </c>
      <c r="P105" s="421">
        <v>41.075747181961198</v>
      </c>
      <c r="Q105" s="421">
        <v>5.3582028078153003</v>
      </c>
      <c r="R105" s="421">
        <v>0</v>
      </c>
      <c r="S105" s="429">
        <v>50.192081725051402</v>
      </c>
      <c r="T105" s="412"/>
    </row>
    <row r="106" spans="2:20" ht="13.5">
      <c r="B106" s="412"/>
      <c r="C106" s="424" t="s">
        <v>77</v>
      </c>
      <c r="D106" s="425">
        <v>11.0726088867188</v>
      </c>
      <c r="E106" s="425">
        <v>418.96678903167998</v>
      </c>
      <c r="F106" s="425">
        <v>-390.850531488988</v>
      </c>
      <c r="G106" s="425">
        <v>79.587975373019901</v>
      </c>
      <c r="H106" s="425">
        <v>1069.3939393939399</v>
      </c>
      <c r="I106" s="425">
        <v>194.6</v>
      </c>
      <c r="J106" s="425">
        <v>126.274750019886</v>
      </c>
      <c r="K106" s="425">
        <v>31.272550729025401</v>
      </c>
      <c r="L106" s="425">
        <v>-47.654512217284001</v>
      </c>
      <c r="M106" s="425">
        <v>-22.850469259372002</v>
      </c>
      <c r="N106" s="425">
        <v>0</v>
      </c>
      <c r="O106" s="425">
        <v>5.8333443106277398</v>
      </c>
      <c r="P106" s="425">
        <v>-499.29563403366598</v>
      </c>
      <c r="Q106" s="425">
        <v>-63.788128664467799</v>
      </c>
      <c r="R106" s="425">
        <v>-7.46006470699104</v>
      </c>
      <c r="S106" s="425">
        <v>905.10261737412702</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1.03859638261328</v>
      </c>
      <c r="E108" s="421">
        <v>0</v>
      </c>
      <c r="F108" s="421">
        <v>16.1500825446474</v>
      </c>
      <c r="G108" s="421">
        <v>83.563747634312705</v>
      </c>
      <c r="H108" s="421">
        <v>0</v>
      </c>
      <c r="I108" s="421">
        <v>0</v>
      </c>
      <c r="J108" s="421">
        <v>16.030232994230801</v>
      </c>
      <c r="K108" s="421">
        <v>6.0060562848066503</v>
      </c>
      <c r="L108" s="421">
        <v>1.13006109375</v>
      </c>
      <c r="M108" s="421">
        <v>9.2848608482569706</v>
      </c>
      <c r="N108" s="421">
        <v>0</v>
      </c>
      <c r="O108" s="421">
        <v>0</v>
      </c>
      <c r="P108" s="421">
        <v>129.219891687043</v>
      </c>
      <c r="Q108" s="421">
        <v>21.558357485670999</v>
      </c>
      <c r="R108" s="421">
        <v>4.7486479492187499</v>
      </c>
      <c r="S108" s="429">
        <v>288.73053490454998</v>
      </c>
      <c r="T108" s="412"/>
    </row>
    <row r="109" spans="2:20" ht="13.5">
      <c r="B109" s="412"/>
      <c r="C109" s="428" t="s">
        <v>79</v>
      </c>
      <c r="D109" s="421">
        <v>0</v>
      </c>
      <c r="E109" s="421">
        <v>0</v>
      </c>
      <c r="F109" s="421">
        <v>260.38152614699999</v>
      </c>
      <c r="G109" s="421">
        <v>13.227335330391099</v>
      </c>
      <c r="H109" s="421">
        <v>0</v>
      </c>
      <c r="I109" s="421">
        <v>0</v>
      </c>
      <c r="J109" s="421">
        <v>0</v>
      </c>
      <c r="K109" s="421">
        <v>0</v>
      </c>
      <c r="L109" s="421">
        <v>36.694869102590701</v>
      </c>
      <c r="M109" s="421">
        <v>1.4697039255990101</v>
      </c>
      <c r="N109" s="421">
        <v>0</v>
      </c>
      <c r="O109" s="421">
        <v>0</v>
      </c>
      <c r="P109" s="421">
        <v>34.263242158281798</v>
      </c>
      <c r="Q109" s="421">
        <v>0</v>
      </c>
      <c r="R109" s="421">
        <v>0.81877289536698405</v>
      </c>
      <c r="S109" s="429">
        <v>346.85544955923001</v>
      </c>
      <c r="T109" s="412"/>
    </row>
    <row r="110" spans="2:20" ht="13.5">
      <c r="B110" s="412"/>
      <c r="C110" s="428" t="s">
        <v>80</v>
      </c>
      <c r="D110" s="421">
        <v>0</v>
      </c>
      <c r="E110" s="421">
        <v>0</v>
      </c>
      <c r="F110" s="421">
        <v>2.13754421564302</v>
      </c>
      <c r="G110" s="421">
        <v>67.740322251067198</v>
      </c>
      <c r="H110" s="421">
        <v>0</v>
      </c>
      <c r="I110" s="421">
        <v>0</v>
      </c>
      <c r="J110" s="421">
        <v>73.053420010681904</v>
      </c>
      <c r="K110" s="421">
        <v>0</v>
      </c>
      <c r="L110" s="421">
        <v>0</v>
      </c>
      <c r="M110" s="421">
        <v>7.5267024723407996</v>
      </c>
      <c r="N110" s="421">
        <v>46.226951794574703</v>
      </c>
      <c r="O110" s="421">
        <v>0.96354458163837398</v>
      </c>
      <c r="P110" s="421">
        <v>157.585357886932</v>
      </c>
      <c r="Q110" s="421">
        <v>33.684325992585798</v>
      </c>
      <c r="R110" s="421">
        <v>0</v>
      </c>
      <c r="S110" s="429">
        <v>388.91816920546398</v>
      </c>
      <c r="T110" s="412"/>
    </row>
    <row r="111" spans="2:20" ht="13.5">
      <c r="B111" s="412"/>
      <c r="C111" s="428" t="s">
        <v>81</v>
      </c>
      <c r="D111" s="421">
        <v>0</v>
      </c>
      <c r="E111" s="421">
        <v>0</v>
      </c>
      <c r="F111" s="421">
        <v>3.4730330288595899</v>
      </c>
      <c r="G111" s="421">
        <v>38.938580924166203</v>
      </c>
      <c r="H111" s="421">
        <v>0</v>
      </c>
      <c r="I111" s="421">
        <v>0</v>
      </c>
      <c r="J111" s="421">
        <v>7.8602291254253398</v>
      </c>
      <c r="K111" s="421">
        <v>0</v>
      </c>
      <c r="L111" s="421">
        <v>0</v>
      </c>
      <c r="M111" s="421">
        <v>4.3265089915740296</v>
      </c>
      <c r="N111" s="421">
        <v>14.106786738135799</v>
      </c>
      <c r="O111" s="421">
        <v>1.76344671086954</v>
      </c>
      <c r="P111" s="421">
        <v>120.74944434573899</v>
      </c>
      <c r="Q111" s="421">
        <v>8.5454451862110297</v>
      </c>
      <c r="R111" s="421">
        <v>0</v>
      </c>
      <c r="S111" s="429">
        <v>199.76347505098099</v>
      </c>
      <c r="T111" s="412"/>
    </row>
    <row r="112" spans="2:20" ht="13.5">
      <c r="B112" s="412"/>
      <c r="C112" s="428" t="s">
        <v>82</v>
      </c>
      <c r="D112" s="421">
        <v>0</v>
      </c>
      <c r="E112" s="421">
        <v>0</v>
      </c>
      <c r="F112" s="421">
        <v>25.7144401275857</v>
      </c>
      <c r="G112" s="421">
        <v>2.1280543516616701</v>
      </c>
      <c r="H112" s="421">
        <v>0</v>
      </c>
      <c r="I112" s="421">
        <v>0</v>
      </c>
      <c r="J112" s="421">
        <v>1.4487991994827001</v>
      </c>
      <c r="K112" s="421">
        <v>0</v>
      </c>
      <c r="L112" s="421">
        <v>5.3355985499012704</v>
      </c>
      <c r="M112" s="421">
        <v>0.23645048351796299</v>
      </c>
      <c r="N112" s="421">
        <v>0</v>
      </c>
      <c r="O112" s="421">
        <v>0.62518456969816005</v>
      </c>
      <c r="P112" s="421">
        <v>7.74196540222413</v>
      </c>
      <c r="Q112" s="421">
        <v>0</v>
      </c>
      <c r="R112" s="421">
        <v>0.17366238047171101</v>
      </c>
      <c r="S112" s="429">
        <v>43.404155064543303</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0.8</v>
      </c>
      <c r="Q113" s="421">
        <v>0</v>
      </c>
      <c r="R113" s="421">
        <v>0</v>
      </c>
      <c r="S113" s="429">
        <v>0.8</v>
      </c>
      <c r="T113" s="412"/>
    </row>
    <row r="114" spans="2:20" ht="13.5">
      <c r="B114" s="412"/>
      <c r="C114" s="424" t="s">
        <v>83</v>
      </c>
      <c r="D114" s="425">
        <v>1.03859638261328</v>
      </c>
      <c r="E114" s="425">
        <v>0</v>
      </c>
      <c r="F114" s="425">
        <v>307.85662606373597</v>
      </c>
      <c r="G114" s="425">
        <v>205.59804049159899</v>
      </c>
      <c r="H114" s="425">
        <v>0</v>
      </c>
      <c r="I114" s="425">
        <v>0</v>
      </c>
      <c r="J114" s="425">
        <v>98.392681329820704</v>
      </c>
      <c r="K114" s="425">
        <v>6.0060562848066503</v>
      </c>
      <c r="L114" s="425">
        <v>43.160528746242001</v>
      </c>
      <c r="M114" s="425">
        <v>22.844226721288798</v>
      </c>
      <c r="N114" s="425">
        <v>60.333738532710498</v>
      </c>
      <c r="O114" s="425">
        <v>3.35217586220607</v>
      </c>
      <c r="P114" s="425">
        <v>450.35990148022</v>
      </c>
      <c r="Q114" s="425">
        <v>63.788128664467799</v>
      </c>
      <c r="R114" s="425">
        <v>5.74108322505744</v>
      </c>
      <c r="S114" s="425">
        <v>1268.47178378477</v>
      </c>
      <c r="T114" s="412"/>
    </row>
    <row r="115" spans="2:20" ht="13.5">
      <c r="B115" s="412"/>
      <c r="C115" s="420" t="s">
        <v>84</v>
      </c>
      <c r="D115" s="421">
        <v>0.80814188232421902</v>
      </c>
      <c r="E115" s="421">
        <v>0</v>
      </c>
      <c r="F115" s="421">
        <v>125.224771250803</v>
      </c>
      <c r="G115" s="421">
        <v>12.7663067100353</v>
      </c>
      <c r="H115" s="421">
        <v>0</v>
      </c>
      <c r="I115" s="421">
        <v>0</v>
      </c>
      <c r="J115" s="421">
        <v>0</v>
      </c>
      <c r="K115" s="421">
        <v>0</v>
      </c>
      <c r="L115" s="421">
        <v>0.35207966308593802</v>
      </c>
      <c r="M115" s="421">
        <v>0</v>
      </c>
      <c r="N115" s="421">
        <v>0</v>
      </c>
      <c r="O115" s="421">
        <v>0</v>
      </c>
      <c r="P115" s="421">
        <v>0</v>
      </c>
      <c r="Q115" s="421">
        <v>0</v>
      </c>
      <c r="R115" s="421">
        <v>1.71898148193359</v>
      </c>
      <c r="S115" s="429">
        <v>140.870280988182</v>
      </c>
      <c r="T115" s="412"/>
    </row>
    <row r="116" spans="2:20" ht="13.5">
      <c r="B116" s="412"/>
      <c r="C116" s="424" t="s">
        <v>85</v>
      </c>
      <c r="D116" s="425">
        <v>1.8467382649374999</v>
      </c>
      <c r="E116" s="425">
        <v>0</v>
      </c>
      <c r="F116" s="425">
        <v>433.081397314539</v>
      </c>
      <c r="G116" s="425">
        <v>218.36434720163399</v>
      </c>
      <c r="H116" s="425">
        <v>0</v>
      </c>
      <c r="I116" s="425">
        <v>0</v>
      </c>
      <c r="J116" s="425">
        <v>98.392681329820704</v>
      </c>
      <c r="K116" s="425">
        <v>6.0060562848066503</v>
      </c>
      <c r="L116" s="425">
        <v>43.512608409327903</v>
      </c>
      <c r="M116" s="425">
        <v>22.844226721288798</v>
      </c>
      <c r="N116" s="425">
        <v>60.333738532710498</v>
      </c>
      <c r="O116" s="425">
        <v>3.35217586220607</v>
      </c>
      <c r="P116" s="425">
        <v>450.35990148022</v>
      </c>
      <c r="Q116" s="425">
        <v>63.788128664467799</v>
      </c>
      <c r="R116" s="425">
        <v>7.46006470699104</v>
      </c>
      <c r="S116" s="425">
        <v>1409.3420647729499</v>
      </c>
      <c r="T116" s="412"/>
    </row>
    <row r="117" spans="2:20">
      <c r="B117" s="412"/>
      <c r="C117" s="412"/>
      <c r="D117" s="430">
        <f t="shared" ref="D117:S117" si="2">D116+D106-D92</f>
        <v>0</v>
      </c>
      <c r="E117" s="430">
        <f t="shared" si="2"/>
        <v>0</v>
      </c>
      <c r="F117" s="430">
        <f t="shared" si="2"/>
        <v>4.0500935938325711E-13</v>
      </c>
      <c r="G117" s="430">
        <f t="shared" si="2"/>
        <v>0</v>
      </c>
      <c r="H117" s="430">
        <f t="shared" si="2"/>
        <v>0</v>
      </c>
      <c r="I117" s="430">
        <f t="shared" si="2"/>
        <v>0</v>
      </c>
      <c r="J117" s="430">
        <f t="shared" si="2"/>
        <v>7.1054273576010019E-13</v>
      </c>
      <c r="K117" s="430">
        <f t="shared" si="2"/>
        <v>0</v>
      </c>
      <c r="L117" s="430">
        <f t="shared" si="2"/>
        <v>-5.773159728050814E-14</v>
      </c>
      <c r="M117" s="430">
        <f t="shared" si="2"/>
        <v>4.3924065773470744E-14</v>
      </c>
      <c r="N117" s="430">
        <f t="shared" si="2"/>
        <v>0</v>
      </c>
      <c r="O117" s="430">
        <f t="shared" si="2"/>
        <v>0</v>
      </c>
      <c r="P117" s="430">
        <f t="shared" si="2"/>
        <v>0</v>
      </c>
      <c r="Q117" s="430">
        <f t="shared" si="2"/>
        <v>0</v>
      </c>
      <c r="R117" s="430">
        <f t="shared" si="2"/>
        <v>0</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360</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7.3966799999999999</v>
      </c>
      <c r="F123" s="421">
        <v>0</v>
      </c>
      <c r="G123" s="421">
        <v>0.13025600000000001</v>
      </c>
      <c r="H123" s="422">
        <v>1024.3939393939399</v>
      </c>
      <c r="I123" s="422">
        <v>225.38</v>
      </c>
      <c r="J123" s="422">
        <v>249.411773964681</v>
      </c>
      <c r="K123" s="422">
        <v>38.123330465500104</v>
      </c>
      <c r="L123" s="421">
        <v>0</v>
      </c>
      <c r="M123" s="421">
        <v>0</v>
      </c>
      <c r="N123" s="422">
        <v>69.623642523263698</v>
      </c>
      <c r="O123" s="422">
        <v>11.4063956350667</v>
      </c>
      <c r="P123" s="421">
        <v>0</v>
      </c>
      <c r="Q123" s="421">
        <v>0</v>
      </c>
      <c r="R123" s="421">
        <v>0</v>
      </c>
      <c r="S123" s="423">
        <v>1625.8660179824501</v>
      </c>
      <c r="T123" s="412"/>
    </row>
    <row r="124" spans="2:20" ht="13.5">
      <c r="B124" s="412"/>
      <c r="C124" s="420" t="s">
        <v>60</v>
      </c>
      <c r="D124" s="421">
        <v>11.0699461599751</v>
      </c>
      <c r="E124" s="421">
        <v>365.76498082844302</v>
      </c>
      <c r="F124" s="421">
        <v>76.623972898719799</v>
      </c>
      <c r="G124" s="421">
        <v>256.70615603413501</v>
      </c>
      <c r="H124" s="421">
        <v>0</v>
      </c>
      <c r="I124" s="421">
        <v>0</v>
      </c>
      <c r="J124" s="421">
        <v>0</v>
      </c>
      <c r="K124" s="421">
        <v>0</v>
      </c>
      <c r="L124" s="421">
        <v>0</v>
      </c>
      <c r="M124" s="421">
        <v>0</v>
      </c>
      <c r="N124" s="421">
        <v>0</v>
      </c>
      <c r="O124" s="421">
        <v>0</v>
      </c>
      <c r="P124" s="421">
        <v>0</v>
      </c>
      <c r="Q124" s="421">
        <v>0</v>
      </c>
      <c r="R124" s="421">
        <v>0</v>
      </c>
      <c r="S124" s="423">
        <v>710.16505592127305</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-21.729292917443001</v>
      </c>
      <c r="Q125" s="421">
        <v>0</v>
      </c>
      <c r="R125" s="421">
        <v>0</v>
      </c>
      <c r="S125" s="423">
        <v>-21.729292917443001</v>
      </c>
      <c r="T125" s="412"/>
    </row>
    <row r="126" spans="2:20" ht="13.5">
      <c r="B126" s="412"/>
      <c r="C126" s="420" t="s">
        <v>62</v>
      </c>
      <c r="D126" s="421">
        <v>0</v>
      </c>
      <c r="E126" s="421">
        <v>0</v>
      </c>
      <c r="F126" s="421">
        <v>-14.2084330221338</v>
      </c>
      <c r="G126" s="421">
        <v>-0.95675088928507901</v>
      </c>
      <c r="H126" s="421">
        <v>0</v>
      </c>
      <c r="I126" s="421">
        <v>0</v>
      </c>
      <c r="J126" s="421">
        <v>0</v>
      </c>
      <c r="K126" s="421">
        <v>0</v>
      </c>
      <c r="L126" s="421">
        <v>0</v>
      </c>
      <c r="M126" s="421">
        <v>-0.167369559736603</v>
      </c>
      <c r="N126" s="421">
        <v>0</v>
      </c>
      <c r="O126" s="421">
        <v>0</v>
      </c>
      <c r="P126" s="421">
        <v>0</v>
      </c>
      <c r="Q126" s="421">
        <v>0</v>
      </c>
      <c r="R126" s="421">
        <v>0</v>
      </c>
      <c r="S126" s="423">
        <v>-15.332553471155499</v>
      </c>
      <c r="T126" s="412"/>
    </row>
    <row r="127" spans="2:20" ht="13.5">
      <c r="B127" s="412"/>
      <c r="C127" s="420" t="s">
        <v>63</v>
      </c>
      <c r="D127" s="421">
        <v>0</v>
      </c>
      <c r="E127" s="421">
        <v>0</v>
      </c>
      <c r="F127" s="421">
        <v>-66.313833146582994</v>
      </c>
      <c r="G127" s="421">
        <v>0</v>
      </c>
      <c r="H127" s="421">
        <v>0</v>
      </c>
      <c r="I127" s="421">
        <v>0</v>
      </c>
      <c r="J127" s="421">
        <v>0</v>
      </c>
      <c r="K127" s="421">
        <v>0</v>
      </c>
      <c r="L127" s="421">
        <v>-11.3748641642475</v>
      </c>
      <c r="M127" s="421">
        <v>0</v>
      </c>
      <c r="N127" s="421">
        <v>0</v>
      </c>
      <c r="O127" s="421">
        <v>0</v>
      </c>
      <c r="P127" s="421">
        <v>0</v>
      </c>
      <c r="Q127" s="421">
        <v>0</v>
      </c>
      <c r="R127" s="421">
        <v>0</v>
      </c>
      <c r="S127" s="423">
        <v>-77.688697310830506</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11.0699461599751</v>
      </c>
      <c r="E129" s="425">
        <v>373.16166082844302</v>
      </c>
      <c r="F129" s="425">
        <v>-3.8982932699969699</v>
      </c>
      <c r="G129" s="425">
        <v>255.87966114484999</v>
      </c>
      <c r="H129" s="425">
        <v>1024.3939393939399</v>
      </c>
      <c r="I129" s="425">
        <v>225.38</v>
      </c>
      <c r="J129" s="425">
        <v>249.411773964681</v>
      </c>
      <c r="K129" s="425">
        <v>38.123330465500104</v>
      </c>
      <c r="L129" s="425">
        <v>-11.3748641642475</v>
      </c>
      <c r="M129" s="425">
        <v>-0.167369559736603</v>
      </c>
      <c r="N129" s="425">
        <v>69.623642523263698</v>
      </c>
      <c r="O129" s="425">
        <v>11.4063956350667</v>
      </c>
      <c r="P129" s="425">
        <v>-21.729292917443001</v>
      </c>
      <c r="Q129" s="425">
        <v>0</v>
      </c>
      <c r="R129" s="425">
        <v>0</v>
      </c>
      <c r="S129" s="425">
        <v>2221.2805302042998</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0</v>
      </c>
      <c r="E132" s="421">
        <v>0</v>
      </c>
      <c r="F132" s="421">
        <v>0</v>
      </c>
      <c r="G132" s="421">
        <v>32.755695067264597</v>
      </c>
      <c r="H132" s="421">
        <v>1024.3939393939399</v>
      </c>
      <c r="I132" s="421">
        <v>225.38</v>
      </c>
      <c r="J132" s="421">
        <v>19.8875173501633</v>
      </c>
      <c r="K132" s="421">
        <v>6.3668985415530699</v>
      </c>
      <c r="L132" s="421">
        <v>0</v>
      </c>
      <c r="M132" s="421">
        <v>4.8945291479820598</v>
      </c>
      <c r="N132" s="421">
        <v>0</v>
      </c>
      <c r="O132" s="421">
        <v>0</v>
      </c>
      <c r="P132" s="421">
        <v>-594.08000000000004</v>
      </c>
      <c r="Q132" s="421">
        <v>0</v>
      </c>
      <c r="R132" s="421">
        <v>1.425</v>
      </c>
      <c r="S132" s="429">
        <v>721.02357950090197</v>
      </c>
      <c r="T132" s="412"/>
    </row>
    <row r="133" spans="2:20" ht="13.5">
      <c r="B133" s="412"/>
      <c r="C133" s="428" t="s">
        <v>351</v>
      </c>
      <c r="D133" s="421">
        <v>0</v>
      </c>
      <c r="E133" s="421">
        <v>0</v>
      </c>
      <c r="F133" s="421">
        <v>0</v>
      </c>
      <c r="G133" s="421">
        <v>16.944127998060999</v>
      </c>
      <c r="H133" s="421">
        <v>0</v>
      </c>
      <c r="I133" s="421">
        <v>0</v>
      </c>
      <c r="J133" s="421">
        <v>27.801582142602999</v>
      </c>
      <c r="K133" s="421">
        <v>25.484218291937999</v>
      </c>
      <c r="L133" s="421">
        <v>0</v>
      </c>
      <c r="M133" s="421">
        <v>2.5318811951125699</v>
      </c>
      <c r="N133" s="421">
        <v>0</v>
      </c>
      <c r="O133" s="421">
        <v>7.47026455928955</v>
      </c>
      <c r="P133" s="421">
        <v>0</v>
      </c>
      <c r="Q133" s="421">
        <v>-73.132276024870606</v>
      </c>
      <c r="R133" s="421">
        <v>0</v>
      </c>
      <c r="S133" s="429">
        <v>7.09979816213355</v>
      </c>
      <c r="T133" s="412"/>
    </row>
    <row r="134" spans="2:20" ht="13.5">
      <c r="B134" s="412"/>
      <c r="C134" s="428" t="s">
        <v>352</v>
      </c>
      <c r="D134" s="421">
        <v>0</v>
      </c>
      <c r="E134" s="421">
        <v>0</v>
      </c>
      <c r="F134" s="421">
        <v>0</v>
      </c>
      <c r="G134" s="421">
        <v>0</v>
      </c>
      <c r="H134" s="421">
        <v>0</v>
      </c>
      <c r="I134" s="421">
        <v>0</v>
      </c>
      <c r="J134" s="421">
        <v>41.569838696258103</v>
      </c>
      <c r="K134" s="421">
        <v>0</v>
      </c>
      <c r="L134" s="421">
        <v>0</v>
      </c>
      <c r="M134" s="421">
        <v>-36.695775109121797</v>
      </c>
      <c r="N134" s="421">
        <v>0</v>
      </c>
      <c r="O134" s="421">
        <v>0</v>
      </c>
      <c r="P134" s="421">
        <v>0</v>
      </c>
      <c r="Q134" s="421">
        <v>0</v>
      </c>
      <c r="R134" s="421">
        <v>0</v>
      </c>
      <c r="S134" s="429">
        <v>4.8740635871362601</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386.55581999113599</v>
      </c>
      <c r="F136" s="421">
        <v>-382.69026179122397</v>
      </c>
      <c r="G136" s="421">
        <v>0</v>
      </c>
      <c r="H136" s="421">
        <v>0</v>
      </c>
      <c r="I136" s="421">
        <v>0</v>
      </c>
      <c r="J136" s="421">
        <v>0</v>
      </c>
      <c r="K136" s="421">
        <v>0</v>
      </c>
      <c r="L136" s="421">
        <v>0</v>
      </c>
      <c r="M136" s="421">
        <v>0</v>
      </c>
      <c r="N136" s="421">
        <v>0</v>
      </c>
      <c r="O136" s="421">
        <v>0</v>
      </c>
      <c r="P136" s="421">
        <v>0</v>
      </c>
      <c r="Q136" s="421">
        <v>0</v>
      </c>
      <c r="R136" s="421">
        <v>0</v>
      </c>
      <c r="S136" s="429">
        <v>3.8655581999113302</v>
      </c>
      <c r="T136" s="412"/>
    </row>
    <row r="137" spans="2:20" ht="13.5">
      <c r="B137" s="412"/>
      <c r="C137" s="428" t="s">
        <v>354</v>
      </c>
      <c r="D137" s="421">
        <v>0</v>
      </c>
      <c r="E137" s="421">
        <v>0</v>
      </c>
      <c r="F137" s="421">
        <v>0</v>
      </c>
      <c r="G137" s="421">
        <v>0</v>
      </c>
      <c r="H137" s="421">
        <v>0</v>
      </c>
      <c r="I137" s="421">
        <v>0</v>
      </c>
      <c r="J137" s="421">
        <v>59.787730212494701</v>
      </c>
      <c r="K137" s="421">
        <v>0</v>
      </c>
      <c r="L137" s="421">
        <v>-59.787730212494701</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-11.848147131187501</v>
      </c>
      <c r="M138" s="421">
        <v>0</v>
      </c>
      <c r="N138" s="421">
        <v>0</v>
      </c>
      <c r="O138" s="421">
        <v>0</v>
      </c>
      <c r="P138" s="421">
        <v>0</v>
      </c>
      <c r="Q138" s="421">
        <v>0</v>
      </c>
      <c r="R138" s="421">
        <v>16.925924473125001</v>
      </c>
      <c r="S138" s="429">
        <v>5.0777773419374901</v>
      </c>
      <c r="T138" s="412"/>
    </row>
    <row r="139" spans="2:20" ht="13.5">
      <c r="B139" s="412"/>
      <c r="C139" s="428" t="s">
        <v>73</v>
      </c>
      <c r="D139" s="421">
        <v>0</v>
      </c>
      <c r="E139" s="421">
        <v>0</v>
      </c>
      <c r="F139" s="421">
        <v>0</v>
      </c>
      <c r="G139" s="421">
        <v>12.6235241576865</v>
      </c>
      <c r="H139" s="421">
        <v>0</v>
      </c>
      <c r="I139" s="421">
        <v>0</v>
      </c>
      <c r="J139" s="421">
        <v>0</v>
      </c>
      <c r="K139" s="421">
        <v>0.435729666138086</v>
      </c>
      <c r="L139" s="421">
        <v>0</v>
      </c>
      <c r="M139" s="421">
        <v>1.88627372471178</v>
      </c>
      <c r="N139" s="421">
        <v>0</v>
      </c>
      <c r="O139" s="421">
        <v>0</v>
      </c>
      <c r="P139" s="421">
        <v>30.339450939728401</v>
      </c>
      <c r="Q139" s="421">
        <v>0</v>
      </c>
      <c r="R139" s="421">
        <v>-30.501076629665999</v>
      </c>
      <c r="S139" s="429">
        <v>14.7839018585987</v>
      </c>
      <c r="T139" s="412"/>
    </row>
    <row r="140" spans="2:20" ht="13.5">
      <c r="B140" s="412"/>
      <c r="C140" s="428" t="s">
        <v>356</v>
      </c>
      <c r="D140" s="421">
        <v>4.3307530517578101</v>
      </c>
      <c r="E140" s="421">
        <v>-13.394159162692899</v>
      </c>
      <c r="F140" s="421">
        <v>17.5187690560711</v>
      </c>
      <c r="G140" s="421">
        <v>0</v>
      </c>
      <c r="H140" s="421">
        <v>0</v>
      </c>
      <c r="I140" s="421">
        <v>0</v>
      </c>
      <c r="J140" s="421">
        <v>0</v>
      </c>
      <c r="K140" s="421">
        <v>0</v>
      </c>
      <c r="L140" s="421">
        <v>0</v>
      </c>
      <c r="M140" s="421">
        <v>0</v>
      </c>
      <c r="N140" s="421">
        <v>0</v>
      </c>
      <c r="O140" s="421">
        <v>0</v>
      </c>
      <c r="P140" s="421">
        <v>0</v>
      </c>
      <c r="Q140" s="421">
        <v>0</v>
      </c>
      <c r="R140" s="421">
        <v>0</v>
      </c>
      <c r="S140" s="429">
        <v>8.4553629451360095</v>
      </c>
      <c r="T140" s="412"/>
    </row>
    <row r="141" spans="2:20" ht="13.5">
      <c r="B141" s="412"/>
      <c r="C141" s="428" t="s">
        <v>75</v>
      </c>
      <c r="D141" s="421">
        <v>4.9205957031249996</v>
      </c>
      <c r="E141" s="421">
        <v>0</v>
      </c>
      <c r="F141" s="421">
        <v>18.729068543758601</v>
      </c>
      <c r="G141" s="421">
        <v>4.7445137460997797</v>
      </c>
      <c r="H141" s="421">
        <v>0</v>
      </c>
      <c r="I141" s="421">
        <v>0</v>
      </c>
      <c r="J141" s="421">
        <v>0</v>
      </c>
      <c r="K141" s="421">
        <v>0</v>
      </c>
      <c r="L141" s="421">
        <v>0</v>
      </c>
      <c r="M141" s="421">
        <v>0.70895032987697904</v>
      </c>
      <c r="N141" s="421">
        <v>0</v>
      </c>
      <c r="O141" s="421">
        <v>0</v>
      </c>
      <c r="P141" s="421">
        <v>32.617954545454502</v>
      </c>
      <c r="Q141" s="421">
        <v>0</v>
      </c>
      <c r="R141" s="421">
        <v>0</v>
      </c>
      <c r="S141" s="429">
        <v>61.721082868314902</v>
      </c>
      <c r="T141" s="412"/>
    </row>
    <row r="142" spans="2:20" ht="13.5">
      <c r="B142" s="412"/>
      <c r="C142" s="428" t="s">
        <v>76</v>
      </c>
      <c r="D142" s="421">
        <v>0</v>
      </c>
      <c r="E142" s="421">
        <v>0</v>
      </c>
      <c r="F142" s="421">
        <v>0</v>
      </c>
      <c r="G142" s="421">
        <v>2.9120089095411301</v>
      </c>
      <c r="H142" s="421">
        <v>0</v>
      </c>
      <c r="I142" s="421">
        <v>0</v>
      </c>
      <c r="J142" s="421">
        <v>0</v>
      </c>
      <c r="K142" s="421">
        <v>0</v>
      </c>
      <c r="L142" s="421">
        <v>0</v>
      </c>
      <c r="M142" s="421">
        <v>0.43512776809235298</v>
      </c>
      <c r="N142" s="421">
        <v>0</v>
      </c>
      <c r="O142" s="421">
        <v>0</v>
      </c>
      <c r="P142" s="421">
        <v>43.864366286105501</v>
      </c>
      <c r="Q142" s="421">
        <v>5.66707673993462</v>
      </c>
      <c r="R142" s="421">
        <v>0</v>
      </c>
      <c r="S142" s="429">
        <v>52.878579703673601</v>
      </c>
      <c r="T142" s="412"/>
    </row>
    <row r="143" spans="2:20" ht="13.5">
      <c r="B143" s="412"/>
      <c r="C143" s="424" t="s">
        <v>77</v>
      </c>
      <c r="D143" s="425">
        <v>9.2513487548828106</v>
      </c>
      <c r="E143" s="425">
        <v>373.16166082844302</v>
      </c>
      <c r="F143" s="425">
        <v>-346.44242419139499</v>
      </c>
      <c r="G143" s="425">
        <v>69.979869878653005</v>
      </c>
      <c r="H143" s="425">
        <v>1024.3939393939399</v>
      </c>
      <c r="I143" s="425">
        <v>225.38</v>
      </c>
      <c r="J143" s="425">
        <v>149.04666840151901</v>
      </c>
      <c r="K143" s="425">
        <v>32.2868464996291</v>
      </c>
      <c r="L143" s="425">
        <v>-71.635877343682196</v>
      </c>
      <c r="M143" s="425">
        <v>-26.239012943346101</v>
      </c>
      <c r="N143" s="425">
        <v>0</v>
      </c>
      <c r="O143" s="425">
        <v>7.47026455928955</v>
      </c>
      <c r="P143" s="425">
        <v>-487.25822822871203</v>
      </c>
      <c r="Q143" s="425">
        <v>-67.465199284936006</v>
      </c>
      <c r="R143" s="425">
        <v>-12.1501521565411</v>
      </c>
      <c r="S143" s="425">
        <v>879.77970416774394</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1.16328553009227</v>
      </c>
      <c r="E145" s="421">
        <v>0</v>
      </c>
      <c r="F145" s="421">
        <v>13.8112344502171</v>
      </c>
      <c r="G145" s="421">
        <v>75.974004401831806</v>
      </c>
      <c r="H145" s="421">
        <v>0</v>
      </c>
      <c r="I145" s="421">
        <v>0</v>
      </c>
      <c r="J145" s="421">
        <v>15.6078294644963</v>
      </c>
      <c r="K145" s="421">
        <v>5.8364839658710004</v>
      </c>
      <c r="L145" s="421">
        <v>1.8190377949218799</v>
      </c>
      <c r="M145" s="421">
        <v>11.352437439354199</v>
      </c>
      <c r="N145" s="421">
        <v>0</v>
      </c>
      <c r="O145" s="421">
        <v>0</v>
      </c>
      <c r="P145" s="421">
        <v>131.71593128381801</v>
      </c>
      <c r="Q145" s="421">
        <v>22.303652442230799</v>
      </c>
      <c r="R145" s="421">
        <v>5.3802006835937499</v>
      </c>
      <c r="S145" s="429">
        <v>284.964097456427</v>
      </c>
      <c r="T145" s="412"/>
    </row>
    <row r="146" spans="2:20" ht="13.5">
      <c r="B146" s="412"/>
      <c r="C146" s="428" t="s">
        <v>79</v>
      </c>
      <c r="D146" s="421">
        <v>0</v>
      </c>
      <c r="E146" s="421">
        <v>0</v>
      </c>
      <c r="F146" s="421">
        <v>189.87862112859401</v>
      </c>
      <c r="G146" s="421">
        <v>16.64955020583</v>
      </c>
      <c r="H146" s="421">
        <v>0</v>
      </c>
      <c r="I146" s="421">
        <v>0</v>
      </c>
      <c r="J146" s="421">
        <v>0</v>
      </c>
      <c r="K146" s="421">
        <v>0</v>
      </c>
      <c r="L146" s="421">
        <v>44.405791664587298</v>
      </c>
      <c r="M146" s="421">
        <v>2.5923432302996501</v>
      </c>
      <c r="N146" s="421">
        <v>0</v>
      </c>
      <c r="O146" s="421">
        <v>0</v>
      </c>
      <c r="P146" s="421">
        <v>49.821959604820101</v>
      </c>
      <c r="Q146" s="421">
        <v>0</v>
      </c>
      <c r="R146" s="421">
        <v>1.5849058336758</v>
      </c>
      <c r="S146" s="429">
        <v>304.93317166780702</v>
      </c>
      <c r="T146" s="412"/>
    </row>
    <row r="147" spans="2:20" ht="13.5">
      <c r="B147" s="412"/>
      <c r="C147" s="428" t="s">
        <v>80</v>
      </c>
      <c r="D147" s="421">
        <v>0</v>
      </c>
      <c r="E147" s="421">
        <v>0</v>
      </c>
      <c r="F147" s="421">
        <v>1.42606261735715</v>
      </c>
      <c r="G147" s="421">
        <v>47.453363010823402</v>
      </c>
      <c r="H147" s="421">
        <v>0</v>
      </c>
      <c r="I147" s="421">
        <v>0</v>
      </c>
      <c r="J147" s="421">
        <v>75.037621036530098</v>
      </c>
      <c r="K147" s="421">
        <v>0</v>
      </c>
      <c r="L147" s="421">
        <v>0</v>
      </c>
      <c r="M147" s="421">
        <v>7.0907324039161397</v>
      </c>
      <c r="N147" s="421">
        <v>55.372520536787299</v>
      </c>
      <c r="O147" s="421">
        <v>1.39422233549626</v>
      </c>
      <c r="P147" s="421">
        <v>156.615027079708</v>
      </c>
      <c r="Q147" s="421">
        <v>35.653708400257798</v>
      </c>
      <c r="R147" s="421">
        <v>0</v>
      </c>
      <c r="S147" s="429">
        <v>380.04325742087599</v>
      </c>
      <c r="T147" s="412"/>
    </row>
    <row r="148" spans="2:20" ht="13.5">
      <c r="B148" s="412"/>
      <c r="C148" s="428" t="s">
        <v>81</v>
      </c>
      <c r="D148" s="421">
        <v>0</v>
      </c>
      <c r="E148" s="421">
        <v>0</v>
      </c>
      <c r="F148" s="421">
        <v>2.6552662898972801</v>
      </c>
      <c r="G148" s="421">
        <v>32.546671207199999</v>
      </c>
      <c r="H148" s="421">
        <v>0</v>
      </c>
      <c r="I148" s="421">
        <v>0</v>
      </c>
      <c r="J148" s="421">
        <v>7.6606579921523004</v>
      </c>
      <c r="K148" s="421">
        <v>0</v>
      </c>
      <c r="L148" s="421">
        <v>0</v>
      </c>
      <c r="M148" s="421">
        <v>4.8632956976275903</v>
      </c>
      <c r="N148" s="421">
        <v>14.2511219864764</v>
      </c>
      <c r="O148" s="421">
        <v>1.71409342707066</v>
      </c>
      <c r="P148" s="421">
        <v>118.721330344538</v>
      </c>
      <c r="Q148" s="421">
        <v>9.5078384424472908</v>
      </c>
      <c r="R148" s="421">
        <v>0</v>
      </c>
      <c r="S148" s="429">
        <v>191.92027538740899</v>
      </c>
      <c r="T148" s="412"/>
    </row>
    <row r="149" spans="2:20" ht="13.5">
      <c r="B149" s="412"/>
      <c r="C149" s="428" t="s">
        <v>82</v>
      </c>
      <c r="D149" s="421">
        <v>0</v>
      </c>
      <c r="E149" s="421">
        <v>0</v>
      </c>
      <c r="F149" s="421">
        <v>20.984802440298498</v>
      </c>
      <c r="G149" s="421">
        <v>1.90707745937911</v>
      </c>
      <c r="H149" s="421">
        <v>0</v>
      </c>
      <c r="I149" s="421">
        <v>0</v>
      </c>
      <c r="J149" s="421">
        <v>2.05899706998358</v>
      </c>
      <c r="K149" s="421">
        <v>0</v>
      </c>
      <c r="L149" s="421">
        <v>7.9300402287146001</v>
      </c>
      <c r="M149" s="421">
        <v>0.28496559737848798</v>
      </c>
      <c r="N149" s="421">
        <v>0</v>
      </c>
      <c r="O149" s="421">
        <v>0.82781531321025903</v>
      </c>
      <c r="P149" s="421">
        <v>7.3746869983845702</v>
      </c>
      <c r="Q149" s="421">
        <v>0</v>
      </c>
      <c r="R149" s="421">
        <v>0.21911019493558401</v>
      </c>
      <c r="S149" s="429">
        <v>41.587495302284701</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1.28</v>
      </c>
      <c r="Q150" s="421">
        <v>0</v>
      </c>
      <c r="R150" s="421">
        <v>0</v>
      </c>
      <c r="S150" s="429">
        <v>1.28</v>
      </c>
      <c r="T150" s="412"/>
    </row>
    <row r="151" spans="2:20" ht="13.5">
      <c r="B151" s="412"/>
      <c r="C151" s="424" t="s">
        <v>83</v>
      </c>
      <c r="D151" s="425">
        <v>1.16328553009227</v>
      </c>
      <c r="E151" s="425">
        <v>0</v>
      </c>
      <c r="F151" s="425">
        <v>228.75598692636399</v>
      </c>
      <c r="G151" s="425">
        <v>174.530666285064</v>
      </c>
      <c r="H151" s="425">
        <v>0</v>
      </c>
      <c r="I151" s="425">
        <v>0</v>
      </c>
      <c r="J151" s="425">
        <v>100.365105563162</v>
      </c>
      <c r="K151" s="425">
        <v>5.8364839658710004</v>
      </c>
      <c r="L151" s="425">
        <v>54.154869688223798</v>
      </c>
      <c r="M151" s="425">
        <v>26.183774368576</v>
      </c>
      <c r="N151" s="425">
        <v>69.623642523263698</v>
      </c>
      <c r="O151" s="425">
        <v>3.9361310757771801</v>
      </c>
      <c r="P151" s="425">
        <v>465.52893531126898</v>
      </c>
      <c r="Q151" s="425">
        <v>67.465199284936006</v>
      </c>
      <c r="R151" s="425">
        <v>7.1842167122051297</v>
      </c>
      <c r="S151" s="425">
        <v>1204.7282972348</v>
      </c>
      <c r="T151" s="412"/>
    </row>
    <row r="152" spans="2:20" ht="13.5">
      <c r="B152" s="412"/>
      <c r="C152" s="420" t="s">
        <v>84</v>
      </c>
      <c r="D152" s="421">
        <v>0.65531187499999999</v>
      </c>
      <c r="E152" s="421">
        <v>0</v>
      </c>
      <c r="F152" s="421">
        <v>113.78814399503401</v>
      </c>
      <c r="G152" s="421">
        <v>11.2569939961659</v>
      </c>
      <c r="H152" s="421">
        <v>0</v>
      </c>
      <c r="I152" s="421">
        <v>0</v>
      </c>
      <c r="J152" s="421">
        <v>0</v>
      </c>
      <c r="K152" s="421">
        <v>0</v>
      </c>
      <c r="L152" s="421">
        <v>6.1061434912109398</v>
      </c>
      <c r="M152" s="421">
        <v>0</v>
      </c>
      <c r="N152" s="421">
        <v>0</v>
      </c>
      <c r="O152" s="421">
        <v>0</v>
      </c>
      <c r="P152" s="421">
        <v>0</v>
      </c>
      <c r="Q152" s="421">
        <v>0</v>
      </c>
      <c r="R152" s="421">
        <v>4.9659354443359396</v>
      </c>
      <c r="S152" s="429">
        <v>136.772528801747</v>
      </c>
      <c r="T152" s="412"/>
    </row>
    <row r="153" spans="2:20" ht="13.5">
      <c r="B153" s="412"/>
      <c r="C153" s="424" t="s">
        <v>85</v>
      </c>
      <c r="D153" s="425">
        <v>1.81859740509227</v>
      </c>
      <c r="E153" s="425">
        <v>0</v>
      </c>
      <c r="F153" s="425">
        <v>342.54413092139799</v>
      </c>
      <c r="G153" s="425">
        <v>185.78766028122999</v>
      </c>
      <c r="H153" s="425">
        <v>0</v>
      </c>
      <c r="I153" s="425">
        <v>0</v>
      </c>
      <c r="J153" s="425">
        <v>100.365105563162</v>
      </c>
      <c r="K153" s="425">
        <v>5.8364839658710004</v>
      </c>
      <c r="L153" s="425">
        <v>60.261013179434698</v>
      </c>
      <c r="M153" s="425">
        <v>26.183774368576</v>
      </c>
      <c r="N153" s="425">
        <v>69.623642523263698</v>
      </c>
      <c r="O153" s="425">
        <v>3.9361310757771801</v>
      </c>
      <c r="P153" s="425">
        <v>465.52893531126898</v>
      </c>
      <c r="Q153" s="425">
        <v>67.465199284936006</v>
      </c>
      <c r="R153" s="425">
        <v>12.1501521565411</v>
      </c>
      <c r="S153" s="425">
        <v>1341.5008260365501</v>
      </c>
      <c r="T153" s="412"/>
    </row>
    <row r="154" spans="2:20">
      <c r="B154" s="412"/>
      <c r="C154" s="412"/>
      <c r="D154" s="430">
        <f t="shared" ref="D154:S154" si="3">D153+D143-D129</f>
        <v>-1.9539925233402755E-14</v>
      </c>
      <c r="E154" s="430">
        <f t="shared" si="3"/>
        <v>0</v>
      </c>
      <c r="F154" s="430">
        <f t="shared" si="3"/>
        <v>-2.7977620220553945E-14</v>
      </c>
      <c r="G154" s="430">
        <f t="shared" si="3"/>
        <v>-0.11213098496699558</v>
      </c>
      <c r="H154" s="430">
        <f t="shared" si="3"/>
        <v>0</v>
      </c>
      <c r="I154" s="430">
        <f t="shared" si="3"/>
        <v>0</v>
      </c>
      <c r="J154" s="430">
        <f t="shared" si="3"/>
        <v>0</v>
      </c>
      <c r="K154" s="430">
        <f t="shared" si="3"/>
        <v>0</v>
      </c>
      <c r="L154" s="430">
        <f t="shared" si="3"/>
        <v>0</v>
      </c>
      <c r="M154" s="430">
        <f t="shared" si="3"/>
        <v>0.11213098496650203</v>
      </c>
      <c r="N154" s="430">
        <f t="shared" si="3"/>
        <v>0</v>
      </c>
      <c r="O154" s="430">
        <f t="shared" si="3"/>
        <v>3.0198066269804258E-14</v>
      </c>
      <c r="P154" s="430">
        <f t="shared" si="3"/>
        <v>-4.6185277824406512E-14</v>
      </c>
      <c r="Q154" s="430">
        <f t="shared" si="3"/>
        <v>0</v>
      </c>
      <c r="R154" s="430">
        <f t="shared" si="3"/>
        <v>0</v>
      </c>
      <c r="S154" s="430">
        <f t="shared" si="3"/>
        <v>-5.9117155615240335E-12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361</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5.8150000000000004</v>
      </c>
      <c r="F160" s="421">
        <v>0</v>
      </c>
      <c r="G160" s="421">
        <v>9.3039999999999998E-2</v>
      </c>
      <c r="H160" s="422">
        <v>994.39393939393995</v>
      </c>
      <c r="I160" s="422">
        <v>245.9</v>
      </c>
      <c r="J160" s="422">
        <v>264.74542837362799</v>
      </c>
      <c r="K160" s="422">
        <v>38.681123219215998</v>
      </c>
      <c r="L160" s="421">
        <v>0</v>
      </c>
      <c r="M160" s="421">
        <v>0</v>
      </c>
      <c r="N160" s="422">
        <v>76.035944637668194</v>
      </c>
      <c r="O160" s="422">
        <v>12.9897242601147</v>
      </c>
      <c r="P160" s="421">
        <v>0</v>
      </c>
      <c r="Q160" s="421">
        <v>0</v>
      </c>
      <c r="R160" s="421">
        <v>0</v>
      </c>
      <c r="S160" s="423">
        <v>1638.6541998845701</v>
      </c>
      <c r="T160" s="412"/>
    </row>
    <row r="161" spans="2:20" ht="13.5">
      <c r="B161" s="412"/>
      <c r="C161" s="420" t="s">
        <v>60</v>
      </c>
      <c r="D161" s="421">
        <v>9.9184003265082108</v>
      </c>
      <c r="E161" s="421">
        <v>336.80990869295198</v>
      </c>
      <c r="F161" s="421">
        <v>39.622058745499999</v>
      </c>
      <c r="G161" s="421">
        <v>228.981754766043</v>
      </c>
      <c r="H161" s="421">
        <v>0</v>
      </c>
      <c r="I161" s="421">
        <v>0</v>
      </c>
      <c r="J161" s="421">
        <v>0</v>
      </c>
      <c r="K161" s="421">
        <v>0</v>
      </c>
      <c r="L161" s="421">
        <v>0</v>
      </c>
      <c r="M161" s="421">
        <v>0</v>
      </c>
      <c r="N161" s="421">
        <v>0</v>
      </c>
      <c r="O161" s="421">
        <v>0</v>
      </c>
      <c r="P161" s="421">
        <v>0</v>
      </c>
      <c r="Q161" s="421">
        <v>0</v>
      </c>
      <c r="R161" s="421">
        <v>0</v>
      </c>
      <c r="S161" s="423">
        <v>615.33212253100305</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-3.4250745408713801</v>
      </c>
      <c r="Q162" s="421">
        <v>0</v>
      </c>
      <c r="R162" s="421">
        <v>0</v>
      </c>
      <c r="S162" s="423">
        <v>-3.4250745408713801</v>
      </c>
      <c r="T162" s="412"/>
    </row>
    <row r="163" spans="2:20" ht="13.5">
      <c r="B163" s="412"/>
      <c r="C163" s="420" t="s">
        <v>62</v>
      </c>
      <c r="D163" s="421">
        <v>0</v>
      </c>
      <c r="E163" s="421">
        <v>0</v>
      </c>
      <c r="F163" s="421">
        <v>-12.937868047131699</v>
      </c>
      <c r="G163" s="421">
        <v>-1.5571295869756501</v>
      </c>
      <c r="H163" s="421">
        <v>0</v>
      </c>
      <c r="I163" s="421">
        <v>0</v>
      </c>
      <c r="J163" s="421">
        <v>0</v>
      </c>
      <c r="K163" s="421">
        <v>0</v>
      </c>
      <c r="L163" s="421">
        <v>0</v>
      </c>
      <c r="M163" s="421">
        <v>-0.27478757417217298</v>
      </c>
      <c r="N163" s="421">
        <v>0</v>
      </c>
      <c r="O163" s="421">
        <v>0</v>
      </c>
      <c r="P163" s="421">
        <v>0</v>
      </c>
      <c r="Q163" s="421">
        <v>0</v>
      </c>
      <c r="R163" s="421">
        <v>0</v>
      </c>
      <c r="S163" s="423">
        <v>-14.7697852082796</v>
      </c>
      <c r="T163" s="412"/>
    </row>
    <row r="164" spans="2:20" ht="13.5">
      <c r="B164" s="412"/>
      <c r="C164" s="420" t="s">
        <v>63</v>
      </c>
      <c r="D164" s="421">
        <v>0</v>
      </c>
      <c r="E164" s="421">
        <v>0</v>
      </c>
      <c r="F164" s="421">
        <v>-61.179449557820497</v>
      </c>
      <c r="G164" s="421">
        <v>0</v>
      </c>
      <c r="H164" s="421">
        <v>0</v>
      </c>
      <c r="I164" s="421">
        <v>0</v>
      </c>
      <c r="J164" s="421">
        <v>0</v>
      </c>
      <c r="K164" s="421">
        <v>0</v>
      </c>
      <c r="L164" s="421">
        <v>-16.1518358617665</v>
      </c>
      <c r="M164" s="421">
        <v>0</v>
      </c>
      <c r="N164" s="421">
        <v>0</v>
      </c>
      <c r="O164" s="421">
        <v>0</v>
      </c>
      <c r="P164" s="421">
        <v>0</v>
      </c>
      <c r="Q164" s="421">
        <v>0</v>
      </c>
      <c r="R164" s="421">
        <v>-0.14322207633848999</v>
      </c>
      <c r="S164" s="423">
        <v>-77.474507495925394</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9.9184003265082108</v>
      </c>
      <c r="E166" s="425">
        <v>342.62490869295198</v>
      </c>
      <c r="F166" s="425">
        <v>-34.4952588594522</v>
      </c>
      <c r="G166" s="425">
        <v>227.51766517906799</v>
      </c>
      <c r="H166" s="425">
        <v>994.39393939393995</v>
      </c>
      <c r="I166" s="425">
        <v>245.9</v>
      </c>
      <c r="J166" s="425">
        <v>264.74542837362799</v>
      </c>
      <c r="K166" s="425">
        <v>38.681123219215998</v>
      </c>
      <c r="L166" s="425">
        <v>-16.1518358617665</v>
      </c>
      <c r="M166" s="425">
        <v>-0.27478757417217298</v>
      </c>
      <c r="N166" s="425">
        <v>76.035944637668194</v>
      </c>
      <c r="O166" s="425">
        <v>12.9897242601147</v>
      </c>
      <c r="P166" s="425">
        <v>-3.4250745408713801</v>
      </c>
      <c r="Q166" s="425">
        <v>0</v>
      </c>
      <c r="R166" s="425">
        <v>-0.14322207633848999</v>
      </c>
      <c r="S166" s="425">
        <v>2158.31695517049</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0</v>
      </c>
      <c r="E169" s="421">
        <v>0</v>
      </c>
      <c r="F169" s="421">
        <v>0</v>
      </c>
      <c r="G169" s="421">
        <v>24.857777777777802</v>
      </c>
      <c r="H169" s="421">
        <v>994.39393939393904</v>
      </c>
      <c r="I169" s="421">
        <v>245.9</v>
      </c>
      <c r="J169" s="421">
        <v>19.077680006004599</v>
      </c>
      <c r="K169" s="421">
        <v>5.91268147655415</v>
      </c>
      <c r="L169" s="421">
        <v>0</v>
      </c>
      <c r="M169" s="421">
        <v>4.3866666666666703</v>
      </c>
      <c r="N169" s="421">
        <v>0</v>
      </c>
      <c r="O169" s="421">
        <v>0</v>
      </c>
      <c r="P169" s="421">
        <v>-600.20000000000005</v>
      </c>
      <c r="Q169" s="421">
        <v>0</v>
      </c>
      <c r="R169" s="421">
        <v>2.375</v>
      </c>
      <c r="S169" s="429">
        <v>696.70374532094297</v>
      </c>
      <c r="T169" s="412"/>
    </row>
    <row r="170" spans="2:20" ht="13.5">
      <c r="B170" s="412"/>
      <c r="C170" s="428" t="s">
        <v>351</v>
      </c>
      <c r="D170" s="421">
        <v>0</v>
      </c>
      <c r="E170" s="421">
        <v>0</v>
      </c>
      <c r="F170" s="421">
        <v>0</v>
      </c>
      <c r="G170" s="421">
        <v>15.8957878644364</v>
      </c>
      <c r="H170" s="421">
        <v>0</v>
      </c>
      <c r="I170" s="421">
        <v>0</v>
      </c>
      <c r="J170" s="421">
        <v>29.009686446350699</v>
      </c>
      <c r="K170" s="421">
        <v>26.492019019171298</v>
      </c>
      <c r="L170" s="421">
        <v>0</v>
      </c>
      <c r="M170" s="421">
        <v>2.8051390349005398</v>
      </c>
      <c r="N170" s="421">
        <v>0</v>
      </c>
      <c r="O170" s="421">
        <v>8.6642897086234303</v>
      </c>
      <c r="P170" s="421">
        <v>0</v>
      </c>
      <c r="Q170" s="421">
        <v>-75.764237599145602</v>
      </c>
      <c r="R170" s="421">
        <v>0</v>
      </c>
      <c r="S170" s="429">
        <v>7.1026844743368098</v>
      </c>
      <c r="T170" s="412"/>
    </row>
    <row r="171" spans="2:20" ht="13.5">
      <c r="B171" s="412"/>
      <c r="C171" s="428" t="s">
        <v>352</v>
      </c>
      <c r="D171" s="421">
        <v>0</v>
      </c>
      <c r="E171" s="421">
        <v>0</v>
      </c>
      <c r="F171" s="421">
        <v>0</v>
      </c>
      <c r="G171" s="421">
        <v>0</v>
      </c>
      <c r="H171" s="421">
        <v>0</v>
      </c>
      <c r="I171" s="421">
        <v>0</v>
      </c>
      <c r="J171" s="421">
        <v>43.323904788910497</v>
      </c>
      <c r="K171" s="421">
        <v>0</v>
      </c>
      <c r="L171" s="421">
        <v>0</v>
      </c>
      <c r="M171" s="421">
        <v>-38.612430143116498</v>
      </c>
      <c r="N171" s="421">
        <v>0</v>
      </c>
      <c r="O171" s="421">
        <v>0</v>
      </c>
      <c r="P171" s="421">
        <v>0</v>
      </c>
      <c r="Q171" s="421">
        <v>0</v>
      </c>
      <c r="R171" s="421">
        <v>0</v>
      </c>
      <c r="S171" s="429">
        <v>4.71147464579402</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354.92299030709302</v>
      </c>
      <c r="F173" s="421">
        <v>-351.37376040402199</v>
      </c>
      <c r="G173" s="421">
        <v>0</v>
      </c>
      <c r="H173" s="421">
        <v>0</v>
      </c>
      <c r="I173" s="421">
        <v>0</v>
      </c>
      <c r="J173" s="421">
        <v>0</v>
      </c>
      <c r="K173" s="421">
        <v>0</v>
      </c>
      <c r="L173" s="421">
        <v>0</v>
      </c>
      <c r="M173" s="421">
        <v>0</v>
      </c>
      <c r="N173" s="421">
        <v>0</v>
      </c>
      <c r="O173" s="421">
        <v>0</v>
      </c>
      <c r="P173" s="421">
        <v>0</v>
      </c>
      <c r="Q173" s="421">
        <v>0</v>
      </c>
      <c r="R173" s="421">
        <v>0</v>
      </c>
      <c r="S173" s="429">
        <v>3.54922990307091</v>
      </c>
      <c r="T173" s="412"/>
    </row>
    <row r="174" spans="2:20" ht="13.5">
      <c r="B174" s="412"/>
      <c r="C174" s="428" t="s">
        <v>354</v>
      </c>
      <c r="D174" s="421">
        <v>0</v>
      </c>
      <c r="E174" s="421">
        <v>0</v>
      </c>
      <c r="F174" s="421">
        <v>0</v>
      </c>
      <c r="G174" s="421">
        <v>0</v>
      </c>
      <c r="H174" s="421">
        <v>0</v>
      </c>
      <c r="I174" s="421">
        <v>0</v>
      </c>
      <c r="J174" s="421">
        <v>71.6348751715379</v>
      </c>
      <c r="K174" s="421">
        <v>0</v>
      </c>
      <c r="L174" s="421">
        <v>-71.6348751715379</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-15.7927133896962</v>
      </c>
      <c r="M175" s="421">
        <v>0</v>
      </c>
      <c r="N175" s="421">
        <v>0</v>
      </c>
      <c r="O175" s="421">
        <v>0</v>
      </c>
      <c r="P175" s="421">
        <v>0</v>
      </c>
      <c r="Q175" s="421">
        <v>0</v>
      </c>
      <c r="R175" s="421">
        <v>22.561019128137399</v>
      </c>
      <c r="S175" s="429">
        <v>6.7683057384412297</v>
      </c>
      <c r="T175" s="412"/>
    </row>
    <row r="176" spans="2:20" ht="13.5">
      <c r="B176" s="412"/>
      <c r="C176" s="428" t="s">
        <v>73</v>
      </c>
      <c r="D176" s="421">
        <v>0</v>
      </c>
      <c r="E176" s="421">
        <v>0</v>
      </c>
      <c r="F176" s="421">
        <v>0</v>
      </c>
      <c r="G176" s="421">
        <v>14.420213484885</v>
      </c>
      <c r="H176" s="421">
        <v>0</v>
      </c>
      <c r="I176" s="421">
        <v>0</v>
      </c>
      <c r="J176" s="421">
        <v>0</v>
      </c>
      <c r="K176" s="421">
        <v>0.57508328952682097</v>
      </c>
      <c r="L176" s="421">
        <v>0</v>
      </c>
      <c r="M176" s="421">
        <v>2.5447435561561802</v>
      </c>
      <c r="N176" s="421">
        <v>0</v>
      </c>
      <c r="O176" s="421">
        <v>0</v>
      </c>
      <c r="P176" s="421">
        <v>41.914310165512902</v>
      </c>
      <c r="Q176" s="421">
        <v>0</v>
      </c>
      <c r="R176" s="421">
        <v>-40.255830266877503</v>
      </c>
      <c r="S176" s="429">
        <v>19.198520229203499</v>
      </c>
      <c r="T176" s="412"/>
    </row>
    <row r="177" spans="2:20" ht="13.5">
      <c r="B177" s="412"/>
      <c r="C177" s="428" t="s">
        <v>356</v>
      </c>
      <c r="D177" s="421">
        <v>3.6632235107421902</v>
      </c>
      <c r="E177" s="421">
        <v>-12.2980816141408</v>
      </c>
      <c r="F177" s="421">
        <v>16.085164362607902</v>
      </c>
      <c r="G177" s="421">
        <v>0</v>
      </c>
      <c r="H177" s="421">
        <v>0</v>
      </c>
      <c r="I177" s="421">
        <v>0</v>
      </c>
      <c r="J177" s="421">
        <v>0</v>
      </c>
      <c r="K177" s="421">
        <v>0</v>
      </c>
      <c r="L177" s="421">
        <v>0</v>
      </c>
      <c r="M177" s="421">
        <v>0</v>
      </c>
      <c r="N177" s="421">
        <v>0</v>
      </c>
      <c r="O177" s="421">
        <v>0</v>
      </c>
      <c r="P177" s="421">
        <v>0</v>
      </c>
      <c r="Q177" s="421">
        <v>0</v>
      </c>
      <c r="R177" s="421">
        <v>0</v>
      </c>
      <c r="S177" s="429">
        <v>7.4503062592093503</v>
      </c>
      <c r="T177" s="412"/>
    </row>
    <row r="178" spans="2:20" ht="13.5">
      <c r="B178" s="412"/>
      <c r="C178" s="428" t="s">
        <v>75</v>
      </c>
      <c r="D178" s="421">
        <v>4.4693862304687499</v>
      </c>
      <c r="E178" s="421">
        <v>0</v>
      </c>
      <c r="F178" s="421">
        <v>18.451576715081099</v>
      </c>
      <c r="G178" s="421">
        <v>4.5667652369825698</v>
      </c>
      <c r="H178" s="421">
        <v>0</v>
      </c>
      <c r="I178" s="421">
        <v>0</v>
      </c>
      <c r="J178" s="421">
        <v>0</v>
      </c>
      <c r="K178" s="421">
        <v>0</v>
      </c>
      <c r="L178" s="421">
        <v>0</v>
      </c>
      <c r="M178" s="421">
        <v>0.80589974770280703</v>
      </c>
      <c r="N178" s="421">
        <v>0</v>
      </c>
      <c r="O178" s="421">
        <v>0</v>
      </c>
      <c r="P178" s="421">
        <v>33.672954545454502</v>
      </c>
      <c r="Q178" s="421">
        <v>0</v>
      </c>
      <c r="R178" s="421">
        <v>0</v>
      </c>
      <c r="S178" s="429">
        <v>61.966582475689798</v>
      </c>
      <c r="T178" s="412"/>
    </row>
    <row r="179" spans="2:20" ht="13.5">
      <c r="B179" s="412"/>
      <c r="C179" s="428" t="s">
        <v>76</v>
      </c>
      <c r="D179" s="421">
        <v>0</v>
      </c>
      <c r="E179" s="421">
        <v>0</v>
      </c>
      <c r="F179" s="421">
        <v>0</v>
      </c>
      <c r="G179" s="421">
        <v>2.59451111633589</v>
      </c>
      <c r="H179" s="421">
        <v>0</v>
      </c>
      <c r="I179" s="421">
        <v>0</v>
      </c>
      <c r="J179" s="421">
        <v>0</v>
      </c>
      <c r="K179" s="421">
        <v>0</v>
      </c>
      <c r="L179" s="421">
        <v>0</v>
      </c>
      <c r="M179" s="421">
        <v>0.457854902882804</v>
      </c>
      <c r="N179" s="421">
        <v>0</v>
      </c>
      <c r="O179" s="421">
        <v>0</v>
      </c>
      <c r="P179" s="421">
        <v>45.736213123829799</v>
      </c>
      <c r="Q179" s="421">
        <v>5.8710294818526103</v>
      </c>
      <c r="R179" s="421">
        <v>0</v>
      </c>
      <c r="S179" s="429">
        <v>54.659608624901097</v>
      </c>
      <c r="T179" s="412"/>
    </row>
    <row r="180" spans="2:20" ht="13.5">
      <c r="B180" s="412"/>
      <c r="C180" s="424" t="s">
        <v>77</v>
      </c>
      <c r="D180" s="425">
        <v>8.1326097412109402</v>
      </c>
      <c r="E180" s="425">
        <v>342.62490869295198</v>
      </c>
      <c r="F180" s="425">
        <v>-316.83701932633301</v>
      </c>
      <c r="G180" s="425">
        <v>62.335055480417701</v>
      </c>
      <c r="H180" s="425">
        <v>994.39393939393995</v>
      </c>
      <c r="I180" s="425">
        <v>245.9</v>
      </c>
      <c r="J180" s="425">
        <v>163.04614641280401</v>
      </c>
      <c r="K180" s="425">
        <v>32.979783785252302</v>
      </c>
      <c r="L180" s="425">
        <v>-87.427588561234103</v>
      </c>
      <c r="M180" s="425">
        <v>-27.612126234807501</v>
      </c>
      <c r="N180" s="425">
        <v>0</v>
      </c>
      <c r="O180" s="425">
        <v>8.6642897086234303</v>
      </c>
      <c r="P180" s="425">
        <v>-478.87652216520303</v>
      </c>
      <c r="Q180" s="425">
        <v>-69.893208117293</v>
      </c>
      <c r="R180" s="425">
        <v>-15.3198111387401</v>
      </c>
      <c r="S180" s="425">
        <v>862.11045767158896</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1.22322682797306</v>
      </c>
      <c r="E182" s="421">
        <v>0</v>
      </c>
      <c r="F182" s="421">
        <v>12.3232605440811</v>
      </c>
      <c r="G182" s="421">
        <v>71.153898442538505</v>
      </c>
      <c r="H182" s="421">
        <v>0</v>
      </c>
      <c r="I182" s="421">
        <v>0</v>
      </c>
      <c r="J182" s="421">
        <v>15.298292037520801</v>
      </c>
      <c r="K182" s="421">
        <v>5.70133943396368</v>
      </c>
      <c r="L182" s="421">
        <v>2.2588896484375001</v>
      </c>
      <c r="M182" s="421">
        <v>12.5565703133891</v>
      </c>
      <c r="N182" s="421">
        <v>0</v>
      </c>
      <c r="O182" s="421">
        <v>0</v>
      </c>
      <c r="P182" s="421">
        <v>133.21901148131599</v>
      </c>
      <c r="Q182" s="421">
        <v>22.777144165315601</v>
      </c>
      <c r="R182" s="421">
        <v>5.7972734375000003</v>
      </c>
      <c r="S182" s="429">
        <v>282.30890633203597</v>
      </c>
      <c r="T182" s="412"/>
    </row>
    <row r="183" spans="2:20" ht="13.5">
      <c r="B183" s="412"/>
      <c r="C183" s="428" t="s">
        <v>79</v>
      </c>
      <c r="D183" s="421">
        <v>0</v>
      </c>
      <c r="E183" s="421">
        <v>0</v>
      </c>
      <c r="F183" s="421">
        <v>142.87668444965701</v>
      </c>
      <c r="G183" s="421">
        <v>18.931026789455998</v>
      </c>
      <c r="H183" s="421">
        <v>0</v>
      </c>
      <c r="I183" s="421">
        <v>0</v>
      </c>
      <c r="J183" s="421">
        <v>0</v>
      </c>
      <c r="K183" s="421">
        <v>0</v>
      </c>
      <c r="L183" s="421">
        <v>49.5464067059184</v>
      </c>
      <c r="M183" s="421">
        <v>3.3407694334334099</v>
      </c>
      <c r="N183" s="421">
        <v>0</v>
      </c>
      <c r="O183" s="421">
        <v>0</v>
      </c>
      <c r="P183" s="421">
        <v>60.194437902512199</v>
      </c>
      <c r="Q183" s="421">
        <v>0</v>
      </c>
      <c r="R183" s="421">
        <v>2.09566112588168</v>
      </c>
      <c r="S183" s="429">
        <v>276.98498640685898</v>
      </c>
      <c r="T183" s="412"/>
    </row>
    <row r="184" spans="2:20" ht="13.5">
      <c r="B184" s="412"/>
      <c r="C184" s="428" t="s">
        <v>80</v>
      </c>
      <c r="D184" s="421">
        <v>0</v>
      </c>
      <c r="E184" s="421">
        <v>0</v>
      </c>
      <c r="F184" s="421">
        <v>0.95174155183324205</v>
      </c>
      <c r="G184" s="421">
        <v>34.619487827616503</v>
      </c>
      <c r="H184" s="421">
        <v>0</v>
      </c>
      <c r="I184" s="421">
        <v>0</v>
      </c>
      <c r="J184" s="421">
        <v>76.360421720428903</v>
      </c>
      <c r="K184" s="421">
        <v>0</v>
      </c>
      <c r="L184" s="421">
        <v>0</v>
      </c>
      <c r="M184" s="421">
        <v>6.1093213813440803</v>
      </c>
      <c r="N184" s="421">
        <v>61.688599152298004</v>
      </c>
      <c r="O184" s="421">
        <v>1.68134083806818</v>
      </c>
      <c r="P184" s="421">
        <v>155.96813987489199</v>
      </c>
      <c r="Q184" s="421">
        <v>36.966630005372501</v>
      </c>
      <c r="R184" s="421">
        <v>0</v>
      </c>
      <c r="S184" s="429">
        <v>374.34568235185299</v>
      </c>
      <c r="T184" s="412"/>
    </row>
    <row r="185" spans="2:20" ht="13.5">
      <c r="B185" s="412"/>
      <c r="C185" s="428" t="s">
        <v>81</v>
      </c>
      <c r="D185" s="421">
        <v>0</v>
      </c>
      <c r="E185" s="421">
        <v>0</v>
      </c>
      <c r="F185" s="421">
        <v>2.11008846392241</v>
      </c>
      <c r="G185" s="421">
        <v>28.4805688295863</v>
      </c>
      <c r="H185" s="421">
        <v>0</v>
      </c>
      <c r="I185" s="421">
        <v>0</v>
      </c>
      <c r="J185" s="421">
        <v>7.5276105699702702</v>
      </c>
      <c r="K185" s="421">
        <v>0</v>
      </c>
      <c r="L185" s="421">
        <v>0</v>
      </c>
      <c r="M185" s="421">
        <v>5.0259827346328798</v>
      </c>
      <c r="N185" s="421">
        <v>14.3473454853701</v>
      </c>
      <c r="O185" s="421">
        <v>1.68119123787141</v>
      </c>
      <c r="P185" s="421">
        <v>117.369254343737</v>
      </c>
      <c r="Q185" s="421">
        <v>10.1494339466048</v>
      </c>
      <c r="R185" s="421">
        <v>0</v>
      </c>
      <c r="S185" s="429">
        <v>186.69147561169501</v>
      </c>
      <c r="T185" s="412"/>
    </row>
    <row r="186" spans="2:20" ht="13.5">
      <c r="B186" s="412"/>
      <c r="C186" s="428" t="s">
        <v>82</v>
      </c>
      <c r="D186" s="421">
        <v>0</v>
      </c>
      <c r="E186" s="421">
        <v>0</v>
      </c>
      <c r="F186" s="421">
        <v>17.601103552872999</v>
      </c>
      <c r="G186" s="421">
        <v>1.72660385440275</v>
      </c>
      <c r="H186" s="421">
        <v>0</v>
      </c>
      <c r="I186" s="421">
        <v>0</v>
      </c>
      <c r="J186" s="421">
        <v>2.5129576329044099</v>
      </c>
      <c r="K186" s="421">
        <v>0</v>
      </c>
      <c r="L186" s="421">
        <v>9.7844973088568903</v>
      </c>
      <c r="M186" s="421">
        <v>0.30469479783577902</v>
      </c>
      <c r="N186" s="421">
        <v>0</v>
      </c>
      <c r="O186" s="421">
        <v>0.96290247555165798</v>
      </c>
      <c r="P186" s="421">
        <v>7.1006040218742701</v>
      </c>
      <c r="Q186" s="421">
        <v>0</v>
      </c>
      <c r="R186" s="421">
        <v>0.24940873791150001</v>
      </c>
      <c r="S186" s="429">
        <v>40.242772382210298</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1.6</v>
      </c>
      <c r="Q187" s="421">
        <v>0</v>
      </c>
      <c r="R187" s="421">
        <v>0</v>
      </c>
      <c r="S187" s="429">
        <v>1.6</v>
      </c>
      <c r="T187" s="412"/>
    </row>
    <row r="188" spans="2:20" ht="13.5">
      <c r="B188" s="412"/>
      <c r="C188" s="424" t="s">
        <v>83</v>
      </c>
      <c r="D188" s="425">
        <v>1.22322682797306</v>
      </c>
      <c r="E188" s="425">
        <v>0</v>
      </c>
      <c r="F188" s="425">
        <v>175.862878562367</v>
      </c>
      <c r="G188" s="425">
        <v>154.9115857436</v>
      </c>
      <c r="H188" s="425">
        <v>0</v>
      </c>
      <c r="I188" s="425">
        <v>0</v>
      </c>
      <c r="J188" s="425">
        <v>101.699281960824</v>
      </c>
      <c r="K188" s="425">
        <v>5.70133943396368</v>
      </c>
      <c r="L188" s="425">
        <v>61.589793663212802</v>
      </c>
      <c r="M188" s="425">
        <v>27.3373386606353</v>
      </c>
      <c r="N188" s="425">
        <v>76.035944637668194</v>
      </c>
      <c r="O188" s="425">
        <v>4.3254345514912496</v>
      </c>
      <c r="P188" s="425">
        <v>475.45144762433102</v>
      </c>
      <c r="Q188" s="425">
        <v>69.893208117293</v>
      </c>
      <c r="R188" s="425">
        <v>8.1423433012931792</v>
      </c>
      <c r="S188" s="425">
        <v>1162.1738230846499</v>
      </c>
      <c r="T188" s="412"/>
    </row>
    <row r="189" spans="2:20" ht="13.5">
      <c r="B189" s="412"/>
      <c r="C189" s="420" t="s">
        <v>84</v>
      </c>
      <c r="D189" s="421">
        <v>0.56256375732421904</v>
      </c>
      <c r="E189" s="421">
        <v>0</v>
      </c>
      <c r="F189" s="421">
        <v>106.478881904514</v>
      </c>
      <c r="G189" s="421">
        <v>10.27102395505</v>
      </c>
      <c r="H189" s="421">
        <v>0</v>
      </c>
      <c r="I189" s="421">
        <v>0</v>
      </c>
      <c r="J189" s="421">
        <v>0</v>
      </c>
      <c r="K189" s="421">
        <v>0</v>
      </c>
      <c r="L189" s="421">
        <v>9.6859590362548804</v>
      </c>
      <c r="M189" s="421">
        <v>0</v>
      </c>
      <c r="N189" s="421">
        <v>0</v>
      </c>
      <c r="O189" s="421">
        <v>0</v>
      </c>
      <c r="P189" s="421">
        <v>0</v>
      </c>
      <c r="Q189" s="421">
        <v>0</v>
      </c>
      <c r="R189" s="421">
        <v>7.0342457611083997</v>
      </c>
      <c r="S189" s="429">
        <v>134.03267441425101</v>
      </c>
      <c r="T189" s="412"/>
    </row>
    <row r="190" spans="2:20" ht="13.5">
      <c r="B190" s="412"/>
      <c r="C190" s="424" t="s">
        <v>85</v>
      </c>
      <c r="D190" s="425">
        <v>1.78579058529727</v>
      </c>
      <c r="E190" s="425">
        <v>0</v>
      </c>
      <c r="F190" s="425">
        <v>282.34176046687998</v>
      </c>
      <c r="G190" s="425">
        <v>165.18260969865</v>
      </c>
      <c r="H190" s="425">
        <v>0</v>
      </c>
      <c r="I190" s="425">
        <v>0</v>
      </c>
      <c r="J190" s="425">
        <v>101.699281960824</v>
      </c>
      <c r="K190" s="425">
        <v>5.70133943396368</v>
      </c>
      <c r="L190" s="425">
        <v>71.275752699467702</v>
      </c>
      <c r="M190" s="425">
        <v>27.3373386606353</v>
      </c>
      <c r="N190" s="425">
        <v>76.035944637668194</v>
      </c>
      <c r="O190" s="425">
        <v>4.3254345514912496</v>
      </c>
      <c r="P190" s="425">
        <v>475.45144762433102</v>
      </c>
      <c r="Q190" s="425">
        <v>69.8932081172929</v>
      </c>
      <c r="R190" s="425">
        <v>15.1765890624016</v>
      </c>
      <c r="S190" s="425">
        <v>1296.2064974989</v>
      </c>
      <c r="T190" s="412"/>
    </row>
    <row r="191" spans="2:20">
      <c r="B191" s="412"/>
      <c r="C191" s="412"/>
      <c r="D191" s="430">
        <f t="shared" ref="D191:S191" si="4">D190+D180-D166</f>
        <v>0</v>
      </c>
      <c r="E191" s="430">
        <f t="shared" si="4"/>
        <v>0</v>
      </c>
      <c r="F191" s="430">
        <f t="shared" si="4"/>
        <v>-8.3133500083931722E-13</v>
      </c>
      <c r="G191" s="430">
        <f t="shared" si="4"/>
        <v>-2.8421709430404007E-13</v>
      </c>
      <c r="H191" s="430">
        <f t="shared" si="4"/>
        <v>0</v>
      </c>
      <c r="I191" s="430">
        <f t="shared" si="4"/>
        <v>0</v>
      </c>
      <c r="J191" s="430">
        <f t="shared" si="4"/>
        <v>0</v>
      </c>
      <c r="K191" s="430">
        <f t="shared" si="4"/>
        <v>0</v>
      </c>
      <c r="L191" s="430">
        <f t="shared" si="4"/>
        <v>9.9475983006414026E-14</v>
      </c>
      <c r="M191" s="430">
        <f t="shared" si="4"/>
        <v>-2.8255175976710234E-14</v>
      </c>
      <c r="N191" s="430">
        <f t="shared" si="4"/>
        <v>0</v>
      </c>
      <c r="O191" s="430">
        <f t="shared" si="4"/>
        <v>-1.9539925233402755E-14</v>
      </c>
      <c r="P191" s="430">
        <f t="shared" si="4"/>
        <v>-6.2350125062948791E-13</v>
      </c>
      <c r="Q191" s="430">
        <f t="shared" si="4"/>
        <v>-9.9475983006414026E-14</v>
      </c>
      <c r="R191" s="430">
        <f t="shared" si="4"/>
        <v>-9.7144514654701197E-15</v>
      </c>
      <c r="S191" s="430">
        <f t="shared" si="4"/>
        <v>0</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362</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2.3260000000000001</v>
      </c>
      <c r="F197" s="421">
        <v>0</v>
      </c>
      <c r="G197" s="421">
        <v>3.7215999999999999E-2</v>
      </c>
      <c r="H197" s="422">
        <v>949.39393939393904</v>
      </c>
      <c r="I197" s="422">
        <v>276.68</v>
      </c>
      <c r="J197" s="422">
        <v>284.734772116177</v>
      </c>
      <c r="K197" s="422">
        <v>38.511665616305898</v>
      </c>
      <c r="L197" s="421">
        <v>0</v>
      </c>
      <c r="M197" s="421">
        <v>0</v>
      </c>
      <c r="N197" s="422">
        <v>85.392433579820405</v>
      </c>
      <c r="O197" s="422">
        <v>15.074805441341001</v>
      </c>
      <c r="P197" s="421">
        <v>0</v>
      </c>
      <c r="Q197" s="421">
        <v>0</v>
      </c>
      <c r="R197" s="421">
        <v>0</v>
      </c>
      <c r="S197" s="423">
        <v>1652.1508321475801</v>
      </c>
      <c r="T197" s="412"/>
    </row>
    <row r="198" spans="2:20" ht="13.5">
      <c r="B198" s="412"/>
      <c r="C198" s="420" t="s">
        <v>60</v>
      </c>
      <c r="D198" s="421">
        <v>8.4277409701764192</v>
      </c>
      <c r="E198" s="421">
        <v>294.49378048971499</v>
      </c>
      <c r="F198" s="421">
        <v>3.02470006963182</v>
      </c>
      <c r="G198" s="421">
        <v>181.17738201956001</v>
      </c>
      <c r="H198" s="421">
        <v>0</v>
      </c>
      <c r="I198" s="421">
        <v>0</v>
      </c>
      <c r="J198" s="421">
        <v>0</v>
      </c>
      <c r="K198" s="421">
        <v>0</v>
      </c>
      <c r="L198" s="421">
        <v>0</v>
      </c>
      <c r="M198" s="421">
        <v>0</v>
      </c>
      <c r="N198" s="421">
        <v>0</v>
      </c>
      <c r="O198" s="421">
        <v>0</v>
      </c>
      <c r="P198" s="421">
        <v>13.6891405650981</v>
      </c>
      <c r="Q198" s="421">
        <v>0</v>
      </c>
      <c r="R198" s="421">
        <v>0</v>
      </c>
      <c r="S198" s="423">
        <v>500.81274411418099</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0</v>
      </c>
      <c r="Q199" s="421">
        <v>0</v>
      </c>
      <c r="R199" s="421">
        <v>0</v>
      </c>
      <c r="S199" s="423">
        <v>0</v>
      </c>
      <c r="T199" s="412"/>
    </row>
    <row r="200" spans="2:20" ht="13.5">
      <c r="B200" s="412"/>
      <c r="C200" s="420" t="s">
        <v>62</v>
      </c>
      <c r="D200" s="421">
        <v>0</v>
      </c>
      <c r="E200" s="421">
        <v>0</v>
      </c>
      <c r="F200" s="421">
        <v>-11.216317309287099</v>
      </c>
      <c r="G200" s="421">
        <v>-1.99710794114988</v>
      </c>
      <c r="H200" s="421">
        <v>0</v>
      </c>
      <c r="I200" s="421">
        <v>0</v>
      </c>
      <c r="J200" s="421">
        <v>0</v>
      </c>
      <c r="K200" s="421">
        <v>0</v>
      </c>
      <c r="L200" s="421">
        <v>0</v>
      </c>
      <c r="M200" s="421">
        <v>-0.69888193239441998</v>
      </c>
      <c r="N200" s="421">
        <v>0</v>
      </c>
      <c r="O200" s="421">
        <v>0</v>
      </c>
      <c r="P200" s="421">
        <v>0</v>
      </c>
      <c r="Q200" s="421">
        <v>0</v>
      </c>
      <c r="R200" s="421">
        <v>0</v>
      </c>
      <c r="S200" s="423">
        <v>-13.9123071828314</v>
      </c>
      <c r="T200" s="412"/>
    </row>
    <row r="201" spans="2:20" ht="13.5">
      <c r="B201" s="412"/>
      <c r="C201" s="420" t="s">
        <v>63</v>
      </c>
      <c r="D201" s="421">
        <v>0</v>
      </c>
      <c r="E201" s="421">
        <v>0</v>
      </c>
      <c r="F201" s="421">
        <v>-55.603077514900399</v>
      </c>
      <c r="G201" s="421">
        <v>0</v>
      </c>
      <c r="H201" s="421">
        <v>0</v>
      </c>
      <c r="I201" s="421">
        <v>0</v>
      </c>
      <c r="J201" s="421">
        <v>0</v>
      </c>
      <c r="K201" s="421">
        <v>0</v>
      </c>
      <c r="L201" s="421">
        <v>-22.070241117704398</v>
      </c>
      <c r="M201" s="421">
        <v>0</v>
      </c>
      <c r="N201" s="421">
        <v>0</v>
      </c>
      <c r="O201" s="421">
        <v>0</v>
      </c>
      <c r="P201" s="421">
        <v>0</v>
      </c>
      <c r="Q201" s="421">
        <v>0</v>
      </c>
      <c r="R201" s="421">
        <v>-0.48199249828489099</v>
      </c>
      <c r="S201" s="423">
        <v>-78.155311130889601</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8.4277409701764192</v>
      </c>
      <c r="E203" s="425">
        <v>296.81978048971501</v>
      </c>
      <c r="F203" s="425">
        <v>-63.794694754555699</v>
      </c>
      <c r="G203" s="425">
        <v>179.21749007841001</v>
      </c>
      <c r="H203" s="425">
        <v>949.39393939393904</v>
      </c>
      <c r="I203" s="425">
        <v>276.68</v>
      </c>
      <c r="J203" s="425">
        <v>284.734772116177</v>
      </c>
      <c r="K203" s="425">
        <v>38.511665616305898</v>
      </c>
      <c r="L203" s="425">
        <v>-22.070241117704398</v>
      </c>
      <c r="M203" s="425">
        <v>-0.69888193239441998</v>
      </c>
      <c r="N203" s="425">
        <v>85.392433579820405</v>
      </c>
      <c r="O203" s="425">
        <v>15.074805441341001</v>
      </c>
      <c r="P203" s="425">
        <v>13.6891405650981</v>
      </c>
      <c r="Q203" s="425">
        <v>0</v>
      </c>
      <c r="R203" s="425">
        <v>-0.48199249828489099</v>
      </c>
      <c r="S203" s="425">
        <v>2060.8959579480402</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0</v>
      </c>
      <c r="E206" s="421">
        <v>0</v>
      </c>
      <c r="F206" s="421">
        <v>0</v>
      </c>
      <c r="G206" s="421">
        <v>12.8533333333333</v>
      </c>
      <c r="H206" s="421">
        <v>949.39393939393904</v>
      </c>
      <c r="I206" s="421">
        <v>276.68</v>
      </c>
      <c r="J206" s="421">
        <v>18.141357717605299</v>
      </c>
      <c r="K206" s="421">
        <v>5.2928476822958697</v>
      </c>
      <c r="L206" s="421">
        <v>0</v>
      </c>
      <c r="M206" s="421">
        <v>4.05894736842105</v>
      </c>
      <c r="N206" s="421">
        <v>0</v>
      </c>
      <c r="O206" s="421">
        <v>0</v>
      </c>
      <c r="P206" s="421">
        <v>-609.38</v>
      </c>
      <c r="Q206" s="421">
        <v>0</v>
      </c>
      <c r="R206" s="421">
        <v>3.8</v>
      </c>
      <c r="S206" s="429">
        <v>660.84042549559501</v>
      </c>
      <c r="T206" s="412"/>
    </row>
    <row r="207" spans="2:20" ht="13.5">
      <c r="B207" s="412"/>
      <c r="C207" s="428" t="s">
        <v>351</v>
      </c>
      <c r="D207" s="421">
        <v>0</v>
      </c>
      <c r="E207" s="421">
        <v>0</v>
      </c>
      <c r="F207" s="421">
        <v>0</v>
      </c>
      <c r="G207" s="421">
        <v>13.2997527316566</v>
      </c>
      <c r="H207" s="421">
        <v>0</v>
      </c>
      <c r="I207" s="421">
        <v>0</v>
      </c>
      <c r="J207" s="421">
        <v>29.191829684725199</v>
      </c>
      <c r="K207" s="421">
        <v>27.043598962685898</v>
      </c>
      <c r="L207" s="421">
        <v>0</v>
      </c>
      <c r="M207" s="421">
        <v>4.1999219152599903</v>
      </c>
      <c r="N207" s="421">
        <v>0</v>
      </c>
      <c r="O207" s="421">
        <v>10.1722943931358</v>
      </c>
      <c r="P207" s="421">
        <v>0</v>
      </c>
      <c r="Q207" s="421">
        <v>-77.056499329406094</v>
      </c>
      <c r="R207" s="421">
        <v>0</v>
      </c>
      <c r="S207" s="429">
        <v>6.8508983580574103</v>
      </c>
      <c r="T207" s="412"/>
    </row>
    <row r="208" spans="2:20" ht="13.5">
      <c r="B208" s="412"/>
      <c r="C208" s="428" t="s">
        <v>352</v>
      </c>
      <c r="D208" s="421">
        <v>0</v>
      </c>
      <c r="E208" s="421">
        <v>0</v>
      </c>
      <c r="F208" s="421">
        <v>0</v>
      </c>
      <c r="G208" s="421">
        <v>0</v>
      </c>
      <c r="H208" s="421">
        <v>0</v>
      </c>
      <c r="I208" s="421">
        <v>0</v>
      </c>
      <c r="J208" s="421">
        <v>60.206069168057198</v>
      </c>
      <c r="K208" s="421">
        <v>0</v>
      </c>
      <c r="L208" s="421">
        <v>0</v>
      </c>
      <c r="M208" s="421">
        <v>-54.4262865279237</v>
      </c>
      <c r="N208" s="421">
        <v>0</v>
      </c>
      <c r="O208" s="421">
        <v>0</v>
      </c>
      <c r="P208" s="421">
        <v>0</v>
      </c>
      <c r="Q208" s="421">
        <v>0</v>
      </c>
      <c r="R208" s="421">
        <v>0</v>
      </c>
      <c r="S208" s="429">
        <v>5.7797826401334804</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307.47374578102801</v>
      </c>
      <c r="F210" s="421">
        <v>-304.399008323217</v>
      </c>
      <c r="G210" s="421">
        <v>0</v>
      </c>
      <c r="H210" s="421">
        <v>0</v>
      </c>
      <c r="I210" s="421">
        <v>0</v>
      </c>
      <c r="J210" s="421">
        <v>0</v>
      </c>
      <c r="K210" s="421">
        <v>0</v>
      </c>
      <c r="L210" s="421">
        <v>0</v>
      </c>
      <c r="M210" s="421">
        <v>0</v>
      </c>
      <c r="N210" s="421">
        <v>0</v>
      </c>
      <c r="O210" s="421">
        <v>0</v>
      </c>
      <c r="P210" s="421">
        <v>0</v>
      </c>
      <c r="Q210" s="421">
        <v>0</v>
      </c>
      <c r="R210" s="421">
        <v>0</v>
      </c>
      <c r="S210" s="429">
        <v>3.07473745781027</v>
      </c>
      <c r="T210" s="412"/>
    </row>
    <row r="211" spans="2:20" ht="13.5">
      <c r="B211" s="412"/>
      <c r="C211" s="428" t="s">
        <v>354</v>
      </c>
      <c r="D211" s="421">
        <v>0</v>
      </c>
      <c r="E211" s="421">
        <v>0</v>
      </c>
      <c r="F211" s="421">
        <v>0</v>
      </c>
      <c r="G211" s="421">
        <v>0</v>
      </c>
      <c r="H211" s="421">
        <v>0</v>
      </c>
      <c r="I211" s="421">
        <v>0</v>
      </c>
      <c r="J211" s="421">
        <v>85.931808179639404</v>
      </c>
      <c r="K211" s="421">
        <v>0</v>
      </c>
      <c r="L211" s="421">
        <v>-85.931808179639404</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-17.535700738468499</v>
      </c>
      <c r="M212" s="421">
        <v>0</v>
      </c>
      <c r="N212" s="421">
        <v>0</v>
      </c>
      <c r="O212" s="421">
        <v>0</v>
      </c>
      <c r="P212" s="421">
        <v>0</v>
      </c>
      <c r="Q212" s="421">
        <v>0</v>
      </c>
      <c r="R212" s="421">
        <v>25.051001054954899</v>
      </c>
      <c r="S212" s="429">
        <v>7.5153003164864902</v>
      </c>
      <c r="T212" s="412"/>
    </row>
    <row r="213" spans="2:20" ht="13.5">
      <c r="B213" s="412"/>
      <c r="C213" s="428" t="s">
        <v>73</v>
      </c>
      <c r="D213" s="421">
        <v>0</v>
      </c>
      <c r="E213" s="421">
        <v>0</v>
      </c>
      <c r="F213" s="421">
        <v>0</v>
      </c>
      <c r="G213" s="421">
        <v>12.8407715215872</v>
      </c>
      <c r="H213" s="421">
        <v>0</v>
      </c>
      <c r="I213" s="421">
        <v>0</v>
      </c>
      <c r="J213" s="421">
        <v>0</v>
      </c>
      <c r="K213" s="421">
        <v>0.70990554630623504</v>
      </c>
      <c r="L213" s="421">
        <v>0</v>
      </c>
      <c r="M213" s="421">
        <v>4.05498048050121</v>
      </c>
      <c r="N213" s="421">
        <v>0</v>
      </c>
      <c r="O213" s="421">
        <v>0</v>
      </c>
      <c r="P213" s="421">
        <v>55.117150379882297</v>
      </c>
      <c r="Q213" s="421">
        <v>0</v>
      </c>
      <c r="R213" s="421">
        <v>-49.693388241436402</v>
      </c>
      <c r="S213" s="429">
        <v>23.029419686840502</v>
      </c>
      <c r="T213" s="412"/>
    </row>
    <row r="214" spans="2:20" ht="13.5">
      <c r="B214" s="412"/>
      <c r="C214" s="428" t="s">
        <v>356</v>
      </c>
      <c r="D214" s="421">
        <v>2.83393890380859</v>
      </c>
      <c r="E214" s="421">
        <v>-10.6539652913126</v>
      </c>
      <c r="F214" s="421">
        <v>13.9347573224132</v>
      </c>
      <c r="G214" s="421">
        <v>0</v>
      </c>
      <c r="H214" s="421">
        <v>0</v>
      </c>
      <c r="I214" s="421">
        <v>0</v>
      </c>
      <c r="J214" s="421">
        <v>0</v>
      </c>
      <c r="K214" s="421">
        <v>0</v>
      </c>
      <c r="L214" s="421">
        <v>0</v>
      </c>
      <c r="M214" s="421">
        <v>0</v>
      </c>
      <c r="N214" s="421">
        <v>0</v>
      </c>
      <c r="O214" s="421">
        <v>0</v>
      </c>
      <c r="P214" s="421">
        <v>0</v>
      </c>
      <c r="Q214" s="421">
        <v>0</v>
      </c>
      <c r="R214" s="421">
        <v>0</v>
      </c>
      <c r="S214" s="429">
        <v>6.1147309349091996</v>
      </c>
      <c r="T214" s="412"/>
    </row>
    <row r="215" spans="2:20" ht="13.5">
      <c r="B215" s="412"/>
      <c r="C215" s="428" t="s">
        <v>75</v>
      </c>
      <c r="D215" s="421">
        <v>3.8710979003906201</v>
      </c>
      <c r="E215" s="421">
        <v>0</v>
      </c>
      <c r="F215" s="421">
        <v>18.035338972064899</v>
      </c>
      <c r="G215" s="421">
        <v>3.99111442428871</v>
      </c>
      <c r="H215" s="421">
        <v>0</v>
      </c>
      <c r="I215" s="421">
        <v>0</v>
      </c>
      <c r="J215" s="421">
        <v>0</v>
      </c>
      <c r="K215" s="421">
        <v>0</v>
      </c>
      <c r="L215" s="421">
        <v>0</v>
      </c>
      <c r="M215" s="421">
        <v>1.2603519234595899</v>
      </c>
      <c r="N215" s="421">
        <v>0</v>
      </c>
      <c r="O215" s="421">
        <v>0</v>
      </c>
      <c r="P215" s="421">
        <v>35.255454545454498</v>
      </c>
      <c r="Q215" s="421">
        <v>0</v>
      </c>
      <c r="R215" s="421">
        <v>0</v>
      </c>
      <c r="S215" s="429">
        <v>62.413357765658397</v>
      </c>
      <c r="T215" s="412"/>
    </row>
    <row r="216" spans="2:20" ht="13.5">
      <c r="B216" s="412"/>
      <c r="C216" s="428" t="s">
        <v>76</v>
      </c>
      <c r="D216" s="421">
        <v>0</v>
      </c>
      <c r="E216" s="421">
        <v>0</v>
      </c>
      <c r="F216" s="421">
        <v>0</v>
      </c>
      <c r="G216" s="421">
        <v>2.0436747905742099</v>
      </c>
      <c r="H216" s="421">
        <v>0</v>
      </c>
      <c r="I216" s="421">
        <v>0</v>
      </c>
      <c r="J216" s="421">
        <v>0</v>
      </c>
      <c r="K216" s="421">
        <v>0</v>
      </c>
      <c r="L216" s="421">
        <v>0</v>
      </c>
      <c r="M216" s="421">
        <v>0.64537098649711899</v>
      </c>
      <c r="N216" s="421">
        <v>0</v>
      </c>
      <c r="O216" s="421">
        <v>0</v>
      </c>
      <c r="P216" s="421">
        <v>47.751374577011198</v>
      </c>
      <c r="Q216" s="421">
        <v>5.9711678447141301</v>
      </c>
      <c r="R216" s="421">
        <v>0</v>
      </c>
      <c r="S216" s="429">
        <v>56.4115881987967</v>
      </c>
      <c r="T216" s="412"/>
    </row>
    <row r="217" spans="2:20" ht="13.5">
      <c r="B217" s="412"/>
      <c r="C217" s="424" t="s">
        <v>77</v>
      </c>
      <c r="D217" s="425">
        <v>6.7050368041992199</v>
      </c>
      <c r="E217" s="425">
        <v>296.81978048971501</v>
      </c>
      <c r="F217" s="425">
        <v>-272.42891202873898</v>
      </c>
      <c r="G217" s="425">
        <v>45.028646801440097</v>
      </c>
      <c r="H217" s="425">
        <v>949.39393939393904</v>
      </c>
      <c r="I217" s="425">
        <v>276.68</v>
      </c>
      <c r="J217" s="425">
        <v>193.47106475002701</v>
      </c>
      <c r="K217" s="425">
        <v>33.046352191288001</v>
      </c>
      <c r="L217" s="425">
        <v>-103.467508918108</v>
      </c>
      <c r="M217" s="425">
        <v>-40.206713853784699</v>
      </c>
      <c r="N217" s="425">
        <v>0</v>
      </c>
      <c r="O217" s="425">
        <v>10.1722943931358</v>
      </c>
      <c r="P217" s="425">
        <v>-471.256020497652</v>
      </c>
      <c r="Q217" s="425">
        <v>-71.085331484692006</v>
      </c>
      <c r="R217" s="425">
        <v>-20.842387186481499</v>
      </c>
      <c r="S217" s="425">
        <v>832.03024085428694</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1.27819257295963</v>
      </c>
      <c r="E219" s="421">
        <v>0</v>
      </c>
      <c r="F219" s="421">
        <v>9.6128944226359607</v>
      </c>
      <c r="G219" s="421">
        <v>60.199792292935904</v>
      </c>
      <c r="H219" s="421">
        <v>0</v>
      </c>
      <c r="I219" s="421">
        <v>0</v>
      </c>
      <c r="J219" s="421">
        <v>14.9029709316316</v>
      </c>
      <c r="K219" s="421">
        <v>5.4653134250178503</v>
      </c>
      <c r="L219" s="421">
        <v>3.5459101562500002</v>
      </c>
      <c r="M219" s="421">
        <v>19.010460724085</v>
      </c>
      <c r="N219" s="421">
        <v>0</v>
      </c>
      <c r="O219" s="421">
        <v>0</v>
      </c>
      <c r="P219" s="421">
        <v>136.692289377436</v>
      </c>
      <c r="Q219" s="421">
        <v>23.646366063927399</v>
      </c>
      <c r="R219" s="421">
        <v>6.4302626953124999</v>
      </c>
      <c r="S219" s="429">
        <v>280.78445266219097</v>
      </c>
      <c r="T219" s="412"/>
    </row>
    <row r="220" spans="2:20" ht="13.5">
      <c r="B220" s="412"/>
      <c r="C220" s="428" t="s">
        <v>79</v>
      </c>
      <c r="D220" s="421">
        <v>0</v>
      </c>
      <c r="E220" s="421">
        <v>0</v>
      </c>
      <c r="F220" s="421">
        <v>87.8758260186641</v>
      </c>
      <c r="G220" s="421">
        <v>18.337650579977399</v>
      </c>
      <c r="H220" s="421">
        <v>0</v>
      </c>
      <c r="I220" s="421">
        <v>0</v>
      </c>
      <c r="J220" s="421">
        <v>0</v>
      </c>
      <c r="K220" s="421">
        <v>0</v>
      </c>
      <c r="L220" s="421">
        <v>50.618247821052101</v>
      </c>
      <c r="M220" s="421">
        <v>5.9499820008855098</v>
      </c>
      <c r="N220" s="421">
        <v>0</v>
      </c>
      <c r="O220" s="421">
        <v>0</v>
      </c>
      <c r="P220" s="421">
        <v>72.745040205449797</v>
      </c>
      <c r="Q220" s="421">
        <v>0</v>
      </c>
      <c r="R220" s="421">
        <v>3.6092463767880099</v>
      </c>
      <c r="S220" s="429">
        <v>239.135993002817</v>
      </c>
      <c r="T220" s="412"/>
    </row>
    <row r="221" spans="2:20" ht="13.5">
      <c r="B221" s="412"/>
      <c r="C221" s="428" t="s">
        <v>80</v>
      </c>
      <c r="D221" s="421">
        <v>0</v>
      </c>
      <c r="E221" s="421">
        <v>0</v>
      </c>
      <c r="F221" s="421">
        <v>0.73996972526279803</v>
      </c>
      <c r="G221" s="421">
        <v>24.071010680096698</v>
      </c>
      <c r="H221" s="421">
        <v>0</v>
      </c>
      <c r="I221" s="421">
        <v>0</v>
      </c>
      <c r="J221" s="421">
        <v>65.809563312785698</v>
      </c>
      <c r="K221" s="421">
        <v>0</v>
      </c>
      <c r="L221" s="421">
        <v>0</v>
      </c>
      <c r="M221" s="421">
        <v>7.60137179371476</v>
      </c>
      <c r="N221" s="421">
        <v>70.900752846109597</v>
      </c>
      <c r="O221" s="421">
        <v>2.1051398750689501</v>
      </c>
      <c r="P221" s="421">
        <v>151.15345776916399</v>
      </c>
      <c r="Q221" s="421">
        <v>36.326109024475898</v>
      </c>
      <c r="R221" s="421">
        <v>0</v>
      </c>
      <c r="S221" s="429">
        <v>358.70737502667799</v>
      </c>
      <c r="T221" s="412"/>
    </row>
    <row r="222" spans="2:20" ht="13.5">
      <c r="B222" s="412"/>
      <c r="C222" s="428" t="s">
        <v>81</v>
      </c>
      <c r="D222" s="421">
        <v>0</v>
      </c>
      <c r="E222" s="421">
        <v>0</v>
      </c>
      <c r="F222" s="421">
        <v>1.6908527840101399</v>
      </c>
      <c r="G222" s="421">
        <v>21.232227312602799</v>
      </c>
      <c r="H222" s="421">
        <v>0</v>
      </c>
      <c r="I222" s="421">
        <v>0</v>
      </c>
      <c r="J222" s="421">
        <v>7.3285872023111196</v>
      </c>
      <c r="K222" s="421">
        <v>0</v>
      </c>
      <c r="L222" s="421">
        <v>0</v>
      </c>
      <c r="M222" s="421">
        <v>6.7049138881903696</v>
      </c>
      <c r="N222" s="421">
        <v>14.491680733710799</v>
      </c>
      <c r="O222" s="421">
        <v>1.6318379540725301</v>
      </c>
      <c r="P222" s="421">
        <v>115.122674454118</v>
      </c>
      <c r="Q222" s="421">
        <v>11.1128563962888</v>
      </c>
      <c r="R222" s="421">
        <v>0</v>
      </c>
      <c r="S222" s="429">
        <v>179.315630725305</v>
      </c>
      <c r="T222" s="412"/>
    </row>
    <row r="223" spans="2:20" ht="13.5">
      <c r="B223" s="412"/>
      <c r="C223" s="428" t="s">
        <v>82</v>
      </c>
      <c r="D223" s="421">
        <v>0</v>
      </c>
      <c r="E223" s="421">
        <v>0</v>
      </c>
      <c r="F223" s="421">
        <v>12.5124400680813</v>
      </c>
      <c r="G223" s="421">
        <v>1.3106771859998501</v>
      </c>
      <c r="H223" s="421">
        <v>0</v>
      </c>
      <c r="I223" s="421">
        <v>0</v>
      </c>
      <c r="J223" s="421">
        <v>3.2225859194218698</v>
      </c>
      <c r="K223" s="421">
        <v>0</v>
      </c>
      <c r="L223" s="421">
        <v>12.553992450054499</v>
      </c>
      <c r="M223" s="421">
        <v>0.41389805873679603</v>
      </c>
      <c r="N223" s="421">
        <v>0</v>
      </c>
      <c r="O223" s="421">
        <v>1.16553321906376</v>
      </c>
      <c r="P223" s="421">
        <v>6.6716992565826096</v>
      </c>
      <c r="Q223" s="421">
        <v>0</v>
      </c>
      <c r="R223" s="421">
        <v>0.294856552375373</v>
      </c>
      <c r="S223" s="429">
        <v>38.145682710316102</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2.56</v>
      </c>
      <c r="Q224" s="421">
        <v>0</v>
      </c>
      <c r="R224" s="421">
        <v>0</v>
      </c>
      <c r="S224" s="429">
        <v>2.56</v>
      </c>
      <c r="T224" s="412"/>
    </row>
    <row r="225" spans="2:20" ht="13.5">
      <c r="B225" s="412"/>
      <c r="C225" s="424" t="s">
        <v>83</v>
      </c>
      <c r="D225" s="425">
        <v>1.27819257295963</v>
      </c>
      <c r="E225" s="425">
        <v>0</v>
      </c>
      <c r="F225" s="425">
        <v>112.43198301865399</v>
      </c>
      <c r="G225" s="425">
        <v>125.151358051613</v>
      </c>
      <c r="H225" s="425">
        <v>0</v>
      </c>
      <c r="I225" s="425">
        <v>0</v>
      </c>
      <c r="J225" s="425">
        <v>91.2637073661502</v>
      </c>
      <c r="K225" s="425">
        <v>5.4653134250178503</v>
      </c>
      <c r="L225" s="425">
        <v>66.718150427356605</v>
      </c>
      <c r="M225" s="425">
        <v>39.680626465612498</v>
      </c>
      <c r="N225" s="425">
        <v>85.392433579820405</v>
      </c>
      <c r="O225" s="425">
        <v>4.9025110482052403</v>
      </c>
      <c r="P225" s="425">
        <v>484.94516106275</v>
      </c>
      <c r="Q225" s="425">
        <v>71.085331484692006</v>
      </c>
      <c r="R225" s="425">
        <v>10.3343656244759</v>
      </c>
      <c r="S225" s="425">
        <v>1098.6491341273099</v>
      </c>
      <c r="T225" s="412"/>
    </row>
    <row r="226" spans="2:20" ht="13.5">
      <c r="B226" s="412"/>
      <c r="C226" s="420" t="s">
        <v>84</v>
      </c>
      <c r="D226" s="421">
        <v>0.44451159301757798</v>
      </c>
      <c r="E226" s="421">
        <v>0</v>
      </c>
      <c r="F226" s="421">
        <v>96.202234255529206</v>
      </c>
      <c r="G226" s="421">
        <v>8.8646906811351496</v>
      </c>
      <c r="H226" s="421">
        <v>0</v>
      </c>
      <c r="I226" s="421">
        <v>0</v>
      </c>
      <c r="J226" s="421">
        <v>0</v>
      </c>
      <c r="K226" s="421">
        <v>0</v>
      </c>
      <c r="L226" s="421">
        <v>14.6791173730469</v>
      </c>
      <c r="M226" s="421">
        <v>0</v>
      </c>
      <c r="N226" s="421">
        <v>0</v>
      </c>
      <c r="O226" s="421">
        <v>0</v>
      </c>
      <c r="P226" s="421">
        <v>0</v>
      </c>
      <c r="Q226" s="421">
        <v>0</v>
      </c>
      <c r="R226" s="421">
        <v>10.026029063720699</v>
      </c>
      <c r="S226" s="429">
        <v>130.21658296645001</v>
      </c>
      <c r="T226" s="412"/>
    </row>
    <row r="227" spans="2:20" ht="13.5">
      <c r="B227" s="412"/>
      <c r="C227" s="424" t="s">
        <v>85</v>
      </c>
      <c r="D227" s="425">
        <v>1.72270416597721</v>
      </c>
      <c r="E227" s="425">
        <v>0</v>
      </c>
      <c r="F227" s="425">
        <v>208.63421727418401</v>
      </c>
      <c r="G227" s="425">
        <v>134.016048732748</v>
      </c>
      <c r="H227" s="425">
        <v>0</v>
      </c>
      <c r="I227" s="425">
        <v>0</v>
      </c>
      <c r="J227" s="425">
        <v>91.2637073661502</v>
      </c>
      <c r="K227" s="425">
        <v>5.4653134250178503</v>
      </c>
      <c r="L227" s="425">
        <v>81.397267800403498</v>
      </c>
      <c r="M227" s="425">
        <v>39.680626465612498</v>
      </c>
      <c r="N227" s="425">
        <v>85.392433579820405</v>
      </c>
      <c r="O227" s="425">
        <v>4.9025110482052403</v>
      </c>
      <c r="P227" s="425">
        <v>484.94516106275</v>
      </c>
      <c r="Q227" s="425">
        <v>71.085331484692006</v>
      </c>
      <c r="R227" s="425">
        <v>20.3603946881966</v>
      </c>
      <c r="S227" s="425">
        <v>1228.8657170937599</v>
      </c>
      <c r="T227" s="412"/>
    </row>
    <row r="228" spans="2:20">
      <c r="B228" s="412"/>
      <c r="C228" s="412"/>
      <c r="D228" s="430">
        <f t="shared" ref="D228:S228" si="5">D227+D217-D203</f>
        <v>0</v>
      </c>
      <c r="E228" s="430">
        <f t="shared" si="5"/>
        <v>0</v>
      </c>
      <c r="F228" s="430">
        <f t="shared" si="5"/>
        <v>7.3185901783290319E-13</v>
      </c>
      <c r="G228" s="430">
        <f t="shared" si="5"/>
        <v>-0.1727945442219152</v>
      </c>
      <c r="H228" s="430">
        <f t="shared" si="5"/>
        <v>0</v>
      </c>
      <c r="I228" s="430">
        <f t="shared" si="5"/>
        <v>0</v>
      </c>
      <c r="J228" s="430">
        <f t="shared" si="5"/>
        <v>0</v>
      </c>
      <c r="K228" s="430">
        <f t="shared" si="5"/>
        <v>0</v>
      </c>
      <c r="L228" s="430">
        <f t="shared" si="5"/>
        <v>-9.9475983006414026E-14</v>
      </c>
      <c r="M228" s="430">
        <f t="shared" si="5"/>
        <v>0.1727945442222194</v>
      </c>
      <c r="N228" s="430">
        <f t="shared" si="5"/>
        <v>0</v>
      </c>
      <c r="O228" s="430">
        <f t="shared" si="5"/>
        <v>4.0856207306205761E-14</v>
      </c>
      <c r="P228" s="430">
        <f t="shared" si="5"/>
        <v>-9.9475983006414026E-14</v>
      </c>
      <c r="Q228" s="430">
        <f t="shared" si="5"/>
        <v>0</v>
      </c>
      <c r="R228" s="430">
        <f t="shared" si="5"/>
        <v>-8.5487172896137054E-15</v>
      </c>
      <c r="S228" s="430">
        <f t="shared" si="5"/>
        <v>6.8212102632969618E-12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363</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0</v>
      </c>
      <c r="F234" s="421">
        <v>0</v>
      </c>
      <c r="G234" s="421">
        <v>0</v>
      </c>
      <c r="H234" s="422">
        <v>919.39393939393995</v>
      </c>
      <c r="I234" s="422">
        <v>297.2</v>
      </c>
      <c r="J234" s="422">
        <v>293.71785736374301</v>
      </c>
      <c r="K234" s="422">
        <v>38.3991774648144</v>
      </c>
      <c r="L234" s="421">
        <v>0</v>
      </c>
      <c r="M234" s="421">
        <v>0</v>
      </c>
      <c r="N234" s="422">
        <v>91.728344176793996</v>
      </c>
      <c r="O234" s="422">
        <v>16.494075355247801</v>
      </c>
      <c r="P234" s="421">
        <v>0</v>
      </c>
      <c r="Q234" s="421">
        <v>0</v>
      </c>
      <c r="R234" s="421">
        <v>0</v>
      </c>
      <c r="S234" s="423">
        <v>1656.93339375454</v>
      </c>
      <c r="T234" s="412"/>
    </row>
    <row r="235" spans="2:20" ht="13.5">
      <c r="B235" s="412"/>
      <c r="C235" s="420" t="s">
        <v>60</v>
      </c>
      <c r="D235" s="421">
        <v>7.4939151456434798</v>
      </c>
      <c r="E235" s="421">
        <v>266.28302835422397</v>
      </c>
      <c r="F235" s="421">
        <v>0</v>
      </c>
      <c r="G235" s="421">
        <v>151.91024428871401</v>
      </c>
      <c r="H235" s="421">
        <v>0</v>
      </c>
      <c r="I235" s="421">
        <v>0</v>
      </c>
      <c r="J235" s="421">
        <v>0</v>
      </c>
      <c r="K235" s="421">
        <v>0</v>
      </c>
      <c r="L235" s="421">
        <v>0</v>
      </c>
      <c r="M235" s="421">
        <v>0</v>
      </c>
      <c r="N235" s="421">
        <v>0</v>
      </c>
      <c r="O235" s="421">
        <v>0</v>
      </c>
      <c r="P235" s="421">
        <v>25.896699392432499</v>
      </c>
      <c r="Q235" s="421">
        <v>0</v>
      </c>
      <c r="R235" s="421">
        <v>0</v>
      </c>
      <c r="S235" s="423">
        <v>451.58388718101401</v>
      </c>
      <c r="T235" s="412"/>
    </row>
    <row r="236" spans="2:20" ht="13.5">
      <c r="B236" s="412"/>
      <c r="C236" s="420" t="s">
        <v>61</v>
      </c>
      <c r="D236" s="421">
        <v>0</v>
      </c>
      <c r="E236" s="421">
        <v>0</v>
      </c>
      <c r="F236" s="421">
        <v>-20.601925350856099</v>
      </c>
      <c r="G236" s="421">
        <v>0</v>
      </c>
      <c r="H236" s="421">
        <v>0</v>
      </c>
      <c r="I236" s="421">
        <v>0</v>
      </c>
      <c r="J236" s="421">
        <v>0</v>
      </c>
      <c r="K236" s="421">
        <v>0</v>
      </c>
      <c r="L236" s="421">
        <v>0</v>
      </c>
      <c r="M236" s="421">
        <v>0</v>
      </c>
      <c r="N236" s="421">
        <v>0</v>
      </c>
      <c r="O236" s="421">
        <v>0</v>
      </c>
      <c r="P236" s="421">
        <v>0</v>
      </c>
      <c r="Q236" s="421">
        <v>0</v>
      </c>
      <c r="R236" s="421">
        <v>0</v>
      </c>
      <c r="S236" s="423">
        <v>-20.601925350856099</v>
      </c>
      <c r="T236" s="412"/>
    </row>
    <row r="237" spans="2:20" ht="13.5">
      <c r="B237" s="412"/>
      <c r="C237" s="420" t="s">
        <v>62</v>
      </c>
      <c r="D237" s="421">
        <v>0</v>
      </c>
      <c r="E237" s="421">
        <v>0</v>
      </c>
      <c r="F237" s="421">
        <v>-10.0686168173907</v>
      </c>
      <c r="G237" s="421">
        <v>-2.2904268439326998</v>
      </c>
      <c r="H237" s="421">
        <v>0</v>
      </c>
      <c r="I237" s="421">
        <v>0</v>
      </c>
      <c r="J237" s="421">
        <v>0</v>
      </c>
      <c r="K237" s="421">
        <v>0</v>
      </c>
      <c r="L237" s="421">
        <v>0</v>
      </c>
      <c r="M237" s="421">
        <v>-0.98161150454258395</v>
      </c>
      <c r="N237" s="421">
        <v>0</v>
      </c>
      <c r="O237" s="421">
        <v>0</v>
      </c>
      <c r="P237" s="421">
        <v>0</v>
      </c>
      <c r="Q237" s="421">
        <v>0</v>
      </c>
      <c r="R237" s="421">
        <v>0</v>
      </c>
      <c r="S237" s="423">
        <v>-13.3406551658659</v>
      </c>
      <c r="T237" s="412"/>
    </row>
    <row r="238" spans="2:20" ht="13.5">
      <c r="B238" s="412"/>
      <c r="C238" s="420" t="s">
        <v>63</v>
      </c>
      <c r="D238" s="421">
        <v>0</v>
      </c>
      <c r="E238" s="421">
        <v>0</v>
      </c>
      <c r="F238" s="421">
        <v>-52.082612477609999</v>
      </c>
      <c r="G238" s="421">
        <v>0</v>
      </c>
      <c r="H238" s="421">
        <v>0</v>
      </c>
      <c r="I238" s="421">
        <v>0</v>
      </c>
      <c r="J238" s="421">
        <v>0</v>
      </c>
      <c r="K238" s="421">
        <v>0</v>
      </c>
      <c r="L238" s="421">
        <v>-26.158313394490399</v>
      </c>
      <c r="M238" s="421">
        <v>0</v>
      </c>
      <c r="N238" s="421">
        <v>0</v>
      </c>
      <c r="O238" s="421">
        <v>0</v>
      </c>
      <c r="P238" s="421">
        <v>0</v>
      </c>
      <c r="Q238" s="421">
        <v>0</v>
      </c>
      <c r="R238" s="421">
        <v>-0.70753299969045202</v>
      </c>
      <c r="S238" s="423">
        <v>-78.948458871790905</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7.4939151456434798</v>
      </c>
      <c r="E240" s="425">
        <v>266.28302835422397</v>
      </c>
      <c r="F240" s="425">
        <v>-82.753154645856696</v>
      </c>
      <c r="G240" s="425">
        <v>149.61981744478101</v>
      </c>
      <c r="H240" s="425">
        <v>919.39393939393995</v>
      </c>
      <c r="I240" s="425">
        <v>297.2</v>
      </c>
      <c r="J240" s="425">
        <v>293.71785736374301</v>
      </c>
      <c r="K240" s="425">
        <v>38.3991774648144</v>
      </c>
      <c r="L240" s="425">
        <v>-26.158313394490399</v>
      </c>
      <c r="M240" s="425">
        <v>-0.98161150454258395</v>
      </c>
      <c r="N240" s="425">
        <v>91.728344176793996</v>
      </c>
      <c r="O240" s="425">
        <v>16.494075355247801</v>
      </c>
      <c r="P240" s="425">
        <v>25.896699392432499</v>
      </c>
      <c r="Q240" s="425">
        <v>0</v>
      </c>
      <c r="R240" s="425">
        <v>-0.70753299969045202</v>
      </c>
      <c r="S240" s="425">
        <v>1995.6262415470401</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0</v>
      </c>
      <c r="E243" s="421">
        <v>0</v>
      </c>
      <c r="F243" s="421">
        <v>0</v>
      </c>
      <c r="G243" s="421">
        <v>6.2086956521739101</v>
      </c>
      <c r="H243" s="421">
        <v>919.39393939393904</v>
      </c>
      <c r="I243" s="421">
        <v>297.2</v>
      </c>
      <c r="J243" s="421">
        <v>17.565889816526202</v>
      </c>
      <c r="K243" s="421">
        <v>4.9093303559187103</v>
      </c>
      <c r="L243" s="421">
        <v>0</v>
      </c>
      <c r="M243" s="421">
        <v>2.6608695652173902</v>
      </c>
      <c r="N243" s="421">
        <v>0</v>
      </c>
      <c r="O243" s="421">
        <v>0</v>
      </c>
      <c r="P243" s="421">
        <v>-615.5</v>
      </c>
      <c r="Q243" s="421">
        <v>0</v>
      </c>
      <c r="R243" s="421">
        <v>4.75</v>
      </c>
      <c r="S243" s="429">
        <v>637.18872478377602</v>
      </c>
      <c r="T243" s="412"/>
    </row>
    <row r="244" spans="2:20" ht="13.5">
      <c r="B244" s="412"/>
      <c r="C244" s="428" t="s">
        <v>351</v>
      </c>
      <c r="D244" s="421">
        <v>0</v>
      </c>
      <c r="E244" s="421">
        <v>0</v>
      </c>
      <c r="F244" s="421">
        <v>0</v>
      </c>
      <c r="G244" s="421">
        <v>11.665233563399299</v>
      </c>
      <c r="H244" s="421">
        <v>0</v>
      </c>
      <c r="I244" s="421">
        <v>0</v>
      </c>
      <c r="J244" s="421">
        <v>29.284960707020101</v>
      </c>
      <c r="K244" s="421">
        <v>27.401179727670598</v>
      </c>
      <c r="L244" s="421">
        <v>0</v>
      </c>
      <c r="M244" s="421">
        <v>4.9993858128854303</v>
      </c>
      <c r="N244" s="421">
        <v>0</v>
      </c>
      <c r="O244" s="421">
        <v>11.2068466425665</v>
      </c>
      <c r="P244" s="421">
        <v>0</v>
      </c>
      <c r="Q244" s="421">
        <v>-77.8888709289253</v>
      </c>
      <c r="R244" s="421">
        <v>0</v>
      </c>
      <c r="S244" s="429">
        <v>6.6687355246166398</v>
      </c>
      <c r="T244" s="412"/>
    </row>
    <row r="245" spans="2:20" ht="13.5">
      <c r="B245" s="412"/>
      <c r="C245" s="428" t="s">
        <v>352</v>
      </c>
      <c r="D245" s="421">
        <v>0</v>
      </c>
      <c r="E245" s="421">
        <v>0</v>
      </c>
      <c r="F245" s="421">
        <v>0</v>
      </c>
      <c r="G245" s="421">
        <v>0</v>
      </c>
      <c r="H245" s="421">
        <v>0</v>
      </c>
      <c r="I245" s="421">
        <v>0</v>
      </c>
      <c r="J245" s="421">
        <v>67.617330016206097</v>
      </c>
      <c r="K245" s="421">
        <v>0</v>
      </c>
      <c r="L245" s="421">
        <v>0</v>
      </c>
      <c r="M245" s="421">
        <v>-61.700813639788102</v>
      </c>
      <c r="N245" s="421">
        <v>0</v>
      </c>
      <c r="O245" s="421">
        <v>0</v>
      </c>
      <c r="P245" s="421">
        <v>0</v>
      </c>
      <c r="Q245" s="421">
        <v>0</v>
      </c>
      <c r="R245" s="421">
        <v>0</v>
      </c>
      <c r="S245" s="429">
        <v>5.9165163764180404</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275.84091609698402</v>
      </c>
      <c r="F247" s="421">
        <v>-273.082506936014</v>
      </c>
      <c r="G247" s="421">
        <v>0</v>
      </c>
      <c r="H247" s="421">
        <v>0</v>
      </c>
      <c r="I247" s="421">
        <v>0</v>
      </c>
      <c r="J247" s="421">
        <v>0</v>
      </c>
      <c r="K247" s="421">
        <v>0</v>
      </c>
      <c r="L247" s="421">
        <v>0</v>
      </c>
      <c r="M247" s="421">
        <v>0</v>
      </c>
      <c r="N247" s="421">
        <v>0</v>
      </c>
      <c r="O247" s="421">
        <v>0</v>
      </c>
      <c r="P247" s="421">
        <v>0</v>
      </c>
      <c r="Q247" s="421">
        <v>0</v>
      </c>
      <c r="R247" s="421">
        <v>0</v>
      </c>
      <c r="S247" s="429">
        <v>2.7584091609698498</v>
      </c>
      <c r="T247" s="412"/>
    </row>
    <row r="248" spans="2:20" ht="13.5">
      <c r="B248" s="412"/>
      <c r="C248" s="428" t="s">
        <v>354</v>
      </c>
      <c r="D248" s="421">
        <v>0</v>
      </c>
      <c r="E248" s="421">
        <v>0</v>
      </c>
      <c r="F248" s="421">
        <v>0</v>
      </c>
      <c r="G248" s="421">
        <v>0</v>
      </c>
      <c r="H248" s="421">
        <v>0</v>
      </c>
      <c r="I248" s="421">
        <v>0</v>
      </c>
      <c r="J248" s="421">
        <v>94.973460214546293</v>
      </c>
      <c r="K248" s="421">
        <v>0</v>
      </c>
      <c r="L248" s="421">
        <v>-94.973460214546293</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-18.919398689376301</v>
      </c>
      <c r="M249" s="421">
        <v>0</v>
      </c>
      <c r="N249" s="421">
        <v>0</v>
      </c>
      <c r="O249" s="421">
        <v>0</v>
      </c>
      <c r="P249" s="421">
        <v>0</v>
      </c>
      <c r="Q249" s="421">
        <v>0</v>
      </c>
      <c r="R249" s="421">
        <v>27.027712413394799</v>
      </c>
      <c r="S249" s="429">
        <v>8.10831372401843</v>
      </c>
      <c r="T249" s="412"/>
    </row>
    <row r="250" spans="2:20" ht="13.5">
      <c r="B250" s="412"/>
      <c r="C250" s="428" t="s">
        <v>73</v>
      </c>
      <c r="D250" s="421">
        <v>0</v>
      </c>
      <c r="E250" s="421">
        <v>0</v>
      </c>
      <c r="F250" s="421">
        <v>0</v>
      </c>
      <c r="G250" s="421">
        <v>11.241873404965199</v>
      </c>
      <c r="H250" s="421">
        <v>0</v>
      </c>
      <c r="I250" s="421">
        <v>0</v>
      </c>
      <c r="J250" s="421">
        <v>0</v>
      </c>
      <c r="K250" s="421">
        <v>0.80299095749751603</v>
      </c>
      <c r="L250" s="421">
        <v>0</v>
      </c>
      <c r="M250" s="421">
        <v>4.8179457449851002</v>
      </c>
      <c r="N250" s="421">
        <v>0</v>
      </c>
      <c r="O250" s="421">
        <v>0</v>
      </c>
      <c r="P250" s="421">
        <v>64.825401386295795</v>
      </c>
      <c r="Q250" s="421">
        <v>0</v>
      </c>
      <c r="R250" s="421">
        <v>-56.209367024826101</v>
      </c>
      <c r="S250" s="429">
        <v>25.478844468917501</v>
      </c>
      <c r="T250" s="412"/>
    </row>
    <row r="251" spans="2:20" ht="13.5">
      <c r="B251" s="412"/>
      <c r="C251" s="428" t="s">
        <v>356</v>
      </c>
      <c r="D251" s="421">
        <v>2.3505202026367198</v>
      </c>
      <c r="E251" s="421">
        <v>-9.55788774276051</v>
      </c>
      <c r="F251" s="421">
        <v>12.5011526289501</v>
      </c>
      <c r="G251" s="421">
        <v>0</v>
      </c>
      <c r="H251" s="421">
        <v>0</v>
      </c>
      <c r="I251" s="421">
        <v>0</v>
      </c>
      <c r="J251" s="421">
        <v>0</v>
      </c>
      <c r="K251" s="421">
        <v>0</v>
      </c>
      <c r="L251" s="421">
        <v>0</v>
      </c>
      <c r="M251" s="421">
        <v>0</v>
      </c>
      <c r="N251" s="421">
        <v>0</v>
      </c>
      <c r="O251" s="421">
        <v>0</v>
      </c>
      <c r="P251" s="421">
        <v>0</v>
      </c>
      <c r="Q251" s="421">
        <v>0</v>
      </c>
      <c r="R251" s="421">
        <v>0</v>
      </c>
      <c r="S251" s="429">
        <v>5.2937850888262901</v>
      </c>
      <c r="T251" s="412"/>
    </row>
    <row r="252" spans="2:20" ht="13.5">
      <c r="B252" s="412"/>
      <c r="C252" s="428" t="s">
        <v>75</v>
      </c>
      <c r="D252" s="421">
        <v>3.4784289550781202</v>
      </c>
      <c r="E252" s="421">
        <v>0</v>
      </c>
      <c r="F252" s="421">
        <v>17.757847143387401</v>
      </c>
      <c r="G252" s="421">
        <v>3.6194670795198398</v>
      </c>
      <c r="H252" s="421">
        <v>0</v>
      </c>
      <c r="I252" s="421">
        <v>0</v>
      </c>
      <c r="J252" s="421">
        <v>0</v>
      </c>
      <c r="K252" s="421">
        <v>0</v>
      </c>
      <c r="L252" s="421">
        <v>0</v>
      </c>
      <c r="M252" s="421">
        <v>1.55120017693708</v>
      </c>
      <c r="N252" s="421">
        <v>0</v>
      </c>
      <c r="O252" s="421">
        <v>0</v>
      </c>
      <c r="P252" s="421">
        <v>36.310454545454498</v>
      </c>
      <c r="Q252" s="421">
        <v>0</v>
      </c>
      <c r="R252" s="421">
        <v>0</v>
      </c>
      <c r="S252" s="429">
        <v>62.717397900377001</v>
      </c>
      <c r="T252" s="412"/>
    </row>
    <row r="253" spans="2:20" ht="13.5">
      <c r="B253" s="412"/>
      <c r="C253" s="428" t="s">
        <v>76</v>
      </c>
      <c r="D253" s="421">
        <v>0</v>
      </c>
      <c r="E253" s="421">
        <v>0</v>
      </c>
      <c r="F253" s="421">
        <v>0</v>
      </c>
      <c r="G253" s="421">
        <v>1.70713713627872</v>
      </c>
      <c r="H253" s="421">
        <v>0</v>
      </c>
      <c r="I253" s="421">
        <v>0</v>
      </c>
      <c r="J253" s="421">
        <v>0</v>
      </c>
      <c r="K253" s="421">
        <v>0</v>
      </c>
      <c r="L253" s="421">
        <v>0</v>
      </c>
      <c r="M253" s="421">
        <v>0.73163020126230904</v>
      </c>
      <c r="N253" s="421">
        <v>0</v>
      </c>
      <c r="O253" s="421">
        <v>0</v>
      </c>
      <c r="P253" s="421">
        <v>49.155979731830001</v>
      </c>
      <c r="Q253" s="421">
        <v>6.0356689649720803</v>
      </c>
      <c r="R253" s="421">
        <v>0</v>
      </c>
      <c r="S253" s="429">
        <v>57.630416034343099</v>
      </c>
      <c r="T253" s="412"/>
    </row>
    <row r="254" spans="2:20" ht="13.5">
      <c r="B254" s="412"/>
      <c r="C254" s="424" t="s">
        <v>77</v>
      </c>
      <c r="D254" s="425">
        <v>5.82894915771484</v>
      </c>
      <c r="E254" s="425">
        <v>266.28302835422397</v>
      </c>
      <c r="F254" s="425">
        <v>-242.82350716367699</v>
      </c>
      <c r="G254" s="425">
        <v>34.442406836337</v>
      </c>
      <c r="H254" s="425">
        <v>919.39393939393995</v>
      </c>
      <c r="I254" s="425">
        <v>297.2</v>
      </c>
      <c r="J254" s="425">
        <v>209.44164075429899</v>
      </c>
      <c r="K254" s="425">
        <v>33.113501041086799</v>
      </c>
      <c r="L254" s="425">
        <v>-113.892858903923</v>
      </c>
      <c r="M254" s="425">
        <v>-46.939782138500803</v>
      </c>
      <c r="N254" s="425">
        <v>0</v>
      </c>
      <c r="O254" s="425">
        <v>11.2068466425665</v>
      </c>
      <c r="P254" s="425">
        <v>-465.20816433642</v>
      </c>
      <c r="Q254" s="425">
        <v>-71.853201963953296</v>
      </c>
      <c r="R254" s="425">
        <v>-24.431654611431401</v>
      </c>
      <c r="S254" s="425">
        <v>811.76114306226202</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1.2914218900282399</v>
      </c>
      <c r="E256" s="421">
        <v>0</v>
      </c>
      <c r="F256" s="421">
        <v>7.8764387202852104</v>
      </c>
      <c r="G256" s="421">
        <v>53.350379932057301</v>
      </c>
      <c r="H256" s="421">
        <v>0</v>
      </c>
      <c r="I256" s="421">
        <v>0</v>
      </c>
      <c r="J256" s="421">
        <v>14.620158681310601</v>
      </c>
      <c r="K256" s="421">
        <v>5.28567642372757</v>
      </c>
      <c r="L256" s="421">
        <v>4.3757583007812499</v>
      </c>
      <c r="M256" s="421">
        <v>22.864448542310299</v>
      </c>
      <c r="N256" s="421">
        <v>0</v>
      </c>
      <c r="O256" s="421">
        <v>0</v>
      </c>
      <c r="P256" s="421">
        <v>138.83144142059001</v>
      </c>
      <c r="Q256" s="421">
        <v>24.198968897330399</v>
      </c>
      <c r="R256" s="421">
        <v>6.850041015625</v>
      </c>
      <c r="S256" s="429">
        <v>279.54473382404501</v>
      </c>
      <c r="T256" s="412"/>
    </row>
    <row r="257" spans="2:20" ht="13.5">
      <c r="B257" s="412"/>
      <c r="C257" s="428" t="s">
        <v>79</v>
      </c>
      <c r="D257" s="421">
        <v>0</v>
      </c>
      <c r="E257" s="421">
        <v>0</v>
      </c>
      <c r="F257" s="421">
        <v>51.208587064668897</v>
      </c>
      <c r="G257" s="421">
        <v>17.942066440325</v>
      </c>
      <c r="H257" s="421">
        <v>0</v>
      </c>
      <c r="I257" s="421">
        <v>0</v>
      </c>
      <c r="J257" s="421">
        <v>0</v>
      </c>
      <c r="K257" s="421">
        <v>0</v>
      </c>
      <c r="L257" s="421">
        <v>51.332808564474597</v>
      </c>
      <c r="M257" s="421">
        <v>7.6894570458535796</v>
      </c>
      <c r="N257" s="421">
        <v>0</v>
      </c>
      <c r="O257" s="421">
        <v>0</v>
      </c>
      <c r="P257" s="421">
        <v>81.112108407408201</v>
      </c>
      <c r="Q257" s="421">
        <v>0</v>
      </c>
      <c r="R257" s="421">
        <v>4.6183032107255597</v>
      </c>
      <c r="S257" s="429">
        <v>213.90333073345599</v>
      </c>
      <c r="T257" s="412"/>
    </row>
    <row r="258" spans="2:20" ht="13.5">
      <c r="B258" s="412"/>
      <c r="C258" s="428" t="s">
        <v>80</v>
      </c>
      <c r="D258" s="421">
        <v>0</v>
      </c>
      <c r="E258" s="421">
        <v>0</v>
      </c>
      <c r="F258" s="421">
        <v>0.59878850754916801</v>
      </c>
      <c r="G258" s="421">
        <v>17.944335255265202</v>
      </c>
      <c r="H258" s="421">
        <v>0</v>
      </c>
      <c r="I258" s="421">
        <v>0</v>
      </c>
      <c r="J258" s="421">
        <v>58.7756577076902</v>
      </c>
      <c r="K258" s="421">
        <v>0</v>
      </c>
      <c r="L258" s="421">
        <v>0</v>
      </c>
      <c r="M258" s="421">
        <v>7.6904293951136404</v>
      </c>
      <c r="N258" s="421">
        <v>77.140439944189495</v>
      </c>
      <c r="O258" s="421">
        <v>2.3876725664027898</v>
      </c>
      <c r="P258" s="421">
        <v>147.94366969867801</v>
      </c>
      <c r="Q258" s="421">
        <v>35.899095037211403</v>
      </c>
      <c r="R258" s="421">
        <v>0</v>
      </c>
      <c r="S258" s="429">
        <v>348.3800881121</v>
      </c>
      <c r="T258" s="412"/>
    </row>
    <row r="259" spans="2:20" ht="13.5">
      <c r="B259" s="412"/>
      <c r="C259" s="428" t="s">
        <v>81</v>
      </c>
      <c r="D259" s="421">
        <v>0</v>
      </c>
      <c r="E259" s="421">
        <v>0</v>
      </c>
      <c r="F259" s="421">
        <v>1.41136233073529</v>
      </c>
      <c r="G259" s="421">
        <v>16.956940670956399</v>
      </c>
      <c r="H259" s="421">
        <v>0</v>
      </c>
      <c r="I259" s="421">
        <v>0</v>
      </c>
      <c r="J259" s="421">
        <v>7.1959049572050198</v>
      </c>
      <c r="K259" s="421">
        <v>0</v>
      </c>
      <c r="L259" s="421">
        <v>0</v>
      </c>
      <c r="M259" s="421">
        <v>7.2672602875527703</v>
      </c>
      <c r="N259" s="421">
        <v>14.587904232604499</v>
      </c>
      <c r="O259" s="421">
        <v>1.59893576487328</v>
      </c>
      <c r="P259" s="421">
        <v>113.624954527706</v>
      </c>
      <c r="Q259" s="421">
        <v>11.7551380294114</v>
      </c>
      <c r="R259" s="421">
        <v>0</v>
      </c>
      <c r="S259" s="429">
        <v>174.398400801045</v>
      </c>
      <c r="T259" s="412"/>
    </row>
    <row r="260" spans="2:20" ht="13.5">
      <c r="B260" s="412"/>
      <c r="C260" s="428" t="s">
        <v>82</v>
      </c>
      <c r="D260" s="421">
        <v>0</v>
      </c>
      <c r="E260" s="421">
        <v>0</v>
      </c>
      <c r="F260" s="421">
        <v>9.3172526318529894</v>
      </c>
      <c r="G260" s="421">
        <v>1.0420091806317999</v>
      </c>
      <c r="H260" s="421">
        <v>0</v>
      </c>
      <c r="I260" s="421">
        <v>0</v>
      </c>
      <c r="J260" s="421">
        <v>3.6844952632387198</v>
      </c>
      <c r="K260" s="421">
        <v>0</v>
      </c>
      <c r="L260" s="421">
        <v>14.271913525768101</v>
      </c>
      <c r="M260" s="421">
        <v>0.44657536312791402</v>
      </c>
      <c r="N260" s="421">
        <v>0</v>
      </c>
      <c r="O260" s="421">
        <v>1.30062038140516</v>
      </c>
      <c r="P260" s="421">
        <v>6.3926896744698603</v>
      </c>
      <c r="Q260" s="421">
        <v>0</v>
      </c>
      <c r="R260" s="421">
        <v>0.325155095351289</v>
      </c>
      <c r="S260" s="429">
        <v>36.780711115845897</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3.2</v>
      </c>
      <c r="Q261" s="421">
        <v>0</v>
      </c>
      <c r="R261" s="421">
        <v>0</v>
      </c>
      <c r="S261" s="429">
        <v>3.2</v>
      </c>
      <c r="T261" s="412"/>
    </row>
    <row r="262" spans="2:20" ht="13.5">
      <c r="B262" s="412"/>
      <c r="C262" s="424" t="s">
        <v>83</v>
      </c>
      <c r="D262" s="425">
        <v>1.2914218900282399</v>
      </c>
      <c r="E262" s="425">
        <v>0</v>
      </c>
      <c r="F262" s="425">
        <v>70.412429255091595</v>
      </c>
      <c r="G262" s="425">
        <v>107.23573147923599</v>
      </c>
      <c r="H262" s="425">
        <v>0</v>
      </c>
      <c r="I262" s="425">
        <v>0</v>
      </c>
      <c r="J262" s="425">
        <v>84.276216609444504</v>
      </c>
      <c r="K262" s="425">
        <v>5.28567642372757</v>
      </c>
      <c r="L262" s="425">
        <v>69.980480391024003</v>
      </c>
      <c r="M262" s="425">
        <v>45.958170633958197</v>
      </c>
      <c r="N262" s="425">
        <v>91.728344176793996</v>
      </c>
      <c r="O262" s="425">
        <v>5.2872287126812303</v>
      </c>
      <c r="P262" s="425">
        <v>491.10486372885202</v>
      </c>
      <c r="Q262" s="425">
        <v>71.853201963953296</v>
      </c>
      <c r="R262" s="425">
        <v>11.7934993217019</v>
      </c>
      <c r="S262" s="425">
        <v>1056.2072645864901</v>
      </c>
      <c r="T262" s="412"/>
    </row>
    <row r="263" spans="2:20" ht="13.5">
      <c r="B263" s="412"/>
      <c r="C263" s="420" t="s">
        <v>84</v>
      </c>
      <c r="D263" s="421">
        <v>0.373544097900391</v>
      </c>
      <c r="E263" s="421">
        <v>0</v>
      </c>
      <c r="F263" s="421">
        <v>89.657923262728701</v>
      </c>
      <c r="G263" s="421">
        <v>7.94167912920852</v>
      </c>
      <c r="H263" s="421">
        <v>0</v>
      </c>
      <c r="I263" s="421">
        <v>0</v>
      </c>
      <c r="J263" s="421">
        <v>0</v>
      </c>
      <c r="K263" s="421">
        <v>0</v>
      </c>
      <c r="L263" s="421">
        <v>17.754065118408199</v>
      </c>
      <c r="M263" s="421">
        <v>0</v>
      </c>
      <c r="N263" s="421">
        <v>0</v>
      </c>
      <c r="O263" s="421">
        <v>0</v>
      </c>
      <c r="P263" s="421">
        <v>0</v>
      </c>
      <c r="Q263" s="421">
        <v>0</v>
      </c>
      <c r="R263" s="421">
        <v>11.9306222900391</v>
      </c>
      <c r="S263" s="429">
        <v>127.65783389828501</v>
      </c>
      <c r="T263" s="412"/>
    </row>
    <row r="264" spans="2:20" ht="13.5">
      <c r="B264" s="412"/>
      <c r="C264" s="424" t="s">
        <v>85</v>
      </c>
      <c r="D264" s="425">
        <v>1.66496598792863</v>
      </c>
      <c r="E264" s="425">
        <v>0</v>
      </c>
      <c r="F264" s="425">
        <v>160.07035251782</v>
      </c>
      <c r="G264" s="425">
        <v>115.17741060844401</v>
      </c>
      <c r="H264" s="425">
        <v>0</v>
      </c>
      <c r="I264" s="425">
        <v>0</v>
      </c>
      <c r="J264" s="425">
        <v>84.276216609444504</v>
      </c>
      <c r="K264" s="425">
        <v>5.28567642372757</v>
      </c>
      <c r="L264" s="425">
        <v>87.734545509432195</v>
      </c>
      <c r="M264" s="425">
        <v>45.958170633958197</v>
      </c>
      <c r="N264" s="425">
        <v>91.728344176793996</v>
      </c>
      <c r="O264" s="425">
        <v>5.2872287126812303</v>
      </c>
      <c r="P264" s="425">
        <v>491.10486372885202</v>
      </c>
      <c r="Q264" s="425">
        <v>71.853201963953296</v>
      </c>
      <c r="R264" s="425">
        <v>23.724121611740902</v>
      </c>
      <c r="S264" s="425">
        <v>1183.86509848478</v>
      </c>
      <c r="T264" s="412"/>
    </row>
    <row r="265" spans="2:20">
      <c r="B265" s="412"/>
      <c r="C265" s="412"/>
      <c r="D265" s="430">
        <f t="shared" ref="D265:S265" si="6">D264+D254-D240</f>
        <v>-9.7699626167013776E-15</v>
      </c>
      <c r="E265" s="430">
        <f t="shared" si="6"/>
        <v>0</v>
      </c>
      <c r="F265" s="430">
        <f t="shared" si="6"/>
        <v>-2.9842794901924208E-13</v>
      </c>
      <c r="G265" s="430">
        <f t="shared" si="6"/>
        <v>0</v>
      </c>
      <c r="H265" s="430">
        <f t="shared" si="6"/>
        <v>0</v>
      </c>
      <c r="I265" s="430">
        <f t="shared" si="6"/>
        <v>0</v>
      </c>
      <c r="J265" s="430">
        <f t="shared" si="6"/>
        <v>5.1159076974727213E-13</v>
      </c>
      <c r="K265" s="430">
        <f t="shared" si="6"/>
        <v>0</v>
      </c>
      <c r="L265" s="430">
        <f t="shared" si="6"/>
        <v>-4.0500935938325711E-13</v>
      </c>
      <c r="M265" s="430">
        <f t="shared" si="6"/>
        <v>-2.19824158875781E-14</v>
      </c>
      <c r="N265" s="430">
        <f t="shared" si="6"/>
        <v>0</v>
      </c>
      <c r="O265" s="430">
        <f t="shared" si="6"/>
        <v>-7.1054273576010019E-14</v>
      </c>
      <c r="P265" s="430">
        <f t="shared" si="6"/>
        <v>-4.7251091928046662E-13</v>
      </c>
      <c r="Q265" s="430">
        <f t="shared" si="6"/>
        <v>0</v>
      </c>
      <c r="R265" s="430">
        <f t="shared" si="6"/>
        <v>-4.7739590058881731E-14</v>
      </c>
      <c r="S265" s="430">
        <f t="shared" si="6"/>
        <v>1.8189894035458565E-12</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364</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0</v>
      </c>
      <c r="F271" s="421">
        <v>0</v>
      </c>
      <c r="G271" s="421">
        <v>0</v>
      </c>
      <c r="H271" s="422">
        <v>842.12121212121201</v>
      </c>
      <c r="I271" s="422">
        <v>358.55</v>
      </c>
      <c r="J271" s="422">
        <v>303.87805553693403</v>
      </c>
      <c r="K271" s="422">
        <v>37.407021205815497</v>
      </c>
      <c r="L271" s="421">
        <v>0</v>
      </c>
      <c r="M271" s="421">
        <v>0</v>
      </c>
      <c r="N271" s="422">
        <v>108.611838905018</v>
      </c>
      <c r="O271" s="422">
        <v>19.501173338019399</v>
      </c>
      <c r="P271" s="421">
        <v>0</v>
      </c>
      <c r="Q271" s="421">
        <v>0</v>
      </c>
      <c r="R271" s="421">
        <v>0</v>
      </c>
      <c r="S271" s="423">
        <v>1670.069301107</v>
      </c>
      <c r="T271" s="412"/>
    </row>
    <row r="272" spans="2:20" ht="13.5">
      <c r="B272" s="412"/>
      <c r="C272" s="420" t="s">
        <v>60</v>
      </c>
      <c r="D272" s="421">
        <v>5.7319330443436396</v>
      </c>
      <c r="E272" s="421">
        <v>189.941148015496</v>
      </c>
      <c r="F272" s="421">
        <v>0</v>
      </c>
      <c r="G272" s="421">
        <v>90.6863865174073</v>
      </c>
      <c r="H272" s="421">
        <v>0</v>
      </c>
      <c r="I272" s="421">
        <v>0</v>
      </c>
      <c r="J272" s="421">
        <v>0</v>
      </c>
      <c r="K272" s="421">
        <v>0</v>
      </c>
      <c r="L272" s="421">
        <v>0</v>
      </c>
      <c r="M272" s="421">
        <v>0</v>
      </c>
      <c r="N272" s="421">
        <v>0</v>
      </c>
      <c r="O272" s="421">
        <v>0</v>
      </c>
      <c r="P272" s="421">
        <v>18.852796757266699</v>
      </c>
      <c r="Q272" s="421">
        <v>0</v>
      </c>
      <c r="R272" s="421">
        <v>0</v>
      </c>
      <c r="S272" s="423">
        <v>305.21226433451301</v>
      </c>
      <c r="T272" s="412"/>
    </row>
    <row r="273" spans="2:20" ht="13.5">
      <c r="B273" s="412"/>
      <c r="C273" s="420" t="s">
        <v>61</v>
      </c>
      <c r="D273" s="421">
        <v>0</v>
      </c>
      <c r="E273" s="421">
        <v>0</v>
      </c>
      <c r="F273" s="421">
        <v>-18.054674208998499</v>
      </c>
      <c r="G273" s="421">
        <v>0</v>
      </c>
      <c r="H273" s="421">
        <v>0</v>
      </c>
      <c r="I273" s="421">
        <v>0</v>
      </c>
      <c r="J273" s="421">
        <v>0</v>
      </c>
      <c r="K273" s="421">
        <v>0</v>
      </c>
      <c r="L273" s="421">
        <v>0</v>
      </c>
      <c r="M273" s="421">
        <v>0</v>
      </c>
      <c r="N273" s="421">
        <v>0</v>
      </c>
      <c r="O273" s="421">
        <v>0</v>
      </c>
      <c r="P273" s="421">
        <v>0</v>
      </c>
      <c r="Q273" s="421">
        <v>0</v>
      </c>
      <c r="R273" s="421">
        <v>0</v>
      </c>
      <c r="S273" s="423">
        <v>-18.054674208998499</v>
      </c>
      <c r="T273" s="412"/>
    </row>
    <row r="274" spans="2:20" ht="13.5">
      <c r="B274" s="412"/>
      <c r="C274" s="420" t="s">
        <v>62</v>
      </c>
      <c r="D274" s="421">
        <v>0</v>
      </c>
      <c r="E274" s="421">
        <v>0</v>
      </c>
      <c r="F274" s="421">
        <v>-7.5188933675233596</v>
      </c>
      <c r="G274" s="421">
        <v>-2.1851276585702299</v>
      </c>
      <c r="H274" s="421">
        <v>0</v>
      </c>
      <c r="I274" s="421">
        <v>0</v>
      </c>
      <c r="J274" s="421">
        <v>0</v>
      </c>
      <c r="K274" s="421">
        <v>0</v>
      </c>
      <c r="L274" s="421">
        <v>0</v>
      </c>
      <c r="M274" s="421">
        <v>-2.1851276585702299</v>
      </c>
      <c r="N274" s="421">
        <v>0</v>
      </c>
      <c r="O274" s="421">
        <v>0</v>
      </c>
      <c r="P274" s="421">
        <v>0</v>
      </c>
      <c r="Q274" s="421">
        <v>0</v>
      </c>
      <c r="R274" s="421">
        <v>0</v>
      </c>
      <c r="S274" s="423">
        <v>-11.8891486846638</v>
      </c>
      <c r="T274" s="412"/>
    </row>
    <row r="275" spans="2:20" ht="13.5">
      <c r="B275" s="412"/>
      <c r="C275" s="420" t="s">
        <v>63</v>
      </c>
      <c r="D275" s="421">
        <v>0</v>
      </c>
      <c r="E275" s="421">
        <v>0</v>
      </c>
      <c r="F275" s="421">
        <v>-48.913982221755198</v>
      </c>
      <c r="G275" s="421">
        <v>0</v>
      </c>
      <c r="H275" s="421">
        <v>0</v>
      </c>
      <c r="I275" s="421">
        <v>0</v>
      </c>
      <c r="J275" s="421">
        <v>0</v>
      </c>
      <c r="K275" s="421">
        <v>0</v>
      </c>
      <c r="L275" s="421">
        <v>-32.619142548425003</v>
      </c>
      <c r="M275" s="421">
        <v>0</v>
      </c>
      <c r="N275" s="421">
        <v>0</v>
      </c>
      <c r="O275" s="421">
        <v>0</v>
      </c>
      <c r="P275" s="421">
        <v>0</v>
      </c>
      <c r="Q275" s="421">
        <v>0</v>
      </c>
      <c r="R275" s="421">
        <v>-1.6805745775177701</v>
      </c>
      <c r="S275" s="423">
        <v>-83.213699347697997</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5.7319330443436396</v>
      </c>
      <c r="E277" s="425">
        <v>189.941148015496</v>
      </c>
      <c r="F277" s="425">
        <v>-74.487549798277101</v>
      </c>
      <c r="G277" s="425">
        <v>88.501258858837105</v>
      </c>
      <c r="H277" s="425">
        <v>842.12121212121201</v>
      </c>
      <c r="I277" s="425">
        <v>358.55</v>
      </c>
      <c r="J277" s="425">
        <v>303.87805553693403</v>
      </c>
      <c r="K277" s="425">
        <v>37.407021205815497</v>
      </c>
      <c r="L277" s="425">
        <v>-32.619142548425003</v>
      </c>
      <c r="M277" s="425">
        <v>-2.1851276585702299</v>
      </c>
      <c r="N277" s="425">
        <v>108.611838905018</v>
      </c>
      <c r="O277" s="425">
        <v>19.501173338019399</v>
      </c>
      <c r="P277" s="425">
        <v>18.852796757266699</v>
      </c>
      <c r="Q277" s="425">
        <v>0</v>
      </c>
      <c r="R277" s="425">
        <v>-1.6805745775177701</v>
      </c>
      <c r="S277" s="425">
        <v>1862.12404320015</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0</v>
      </c>
      <c r="E280" s="421">
        <v>0</v>
      </c>
      <c r="F280" s="421">
        <v>0</v>
      </c>
      <c r="G280" s="421">
        <v>2.3404255319148901</v>
      </c>
      <c r="H280" s="421">
        <v>842.12121212121201</v>
      </c>
      <c r="I280" s="421">
        <v>358.55</v>
      </c>
      <c r="J280" s="421">
        <v>16.2099501273347</v>
      </c>
      <c r="K280" s="421">
        <v>4.5869971469173096</v>
      </c>
      <c r="L280" s="421">
        <v>0</v>
      </c>
      <c r="M280" s="421">
        <v>2.3404255319148901</v>
      </c>
      <c r="N280" s="421">
        <v>0</v>
      </c>
      <c r="O280" s="421">
        <v>0</v>
      </c>
      <c r="P280" s="421">
        <v>-649</v>
      </c>
      <c r="Q280" s="421">
        <v>0</v>
      </c>
      <c r="R280" s="421">
        <v>4.25</v>
      </c>
      <c r="S280" s="429">
        <v>581.399010459294</v>
      </c>
      <c r="T280" s="412"/>
    </row>
    <row r="281" spans="2:20" ht="13.5">
      <c r="B281" s="412"/>
      <c r="C281" s="428" t="s">
        <v>351</v>
      </c>
      <c r="D281" s="421">
        <v>0</v>
      </c>
      <c r="E281" s="421">
        <v>0</v>
      </c>
      <c r="F281" s="421">
        <v>0</v>
      </c>
      <c r="G281" s="421">
        <v>6.6963140641677699</v>
      </c>
      <c r="H281" s="421">
        <v>0</v>
      </c>
      <c r="I281" s="421">
        <v>0</v>
      </c>
      <c r="J281" s="421">
        <v>28.753458003311501</v>
      </c>
      <c r="K281" s="421">
        <v>27.176732157472099</v>
      </c>
      <c r="L281" s="421">
        <v>0</v>
      </c>
      <c r="M281" s="421">
        <v>6.6963140641677699</v>
      </c>
      <c r="N281" s="421">
        <v>0</v>
      </c>
      <c r="O281" s="421">
        <v>13.1597379771096</v>
      </c>
      <c r="P281" s="421">
        <v>0</v>
      </c>
      <c r="Q281" s="421">
        <v>-76.511380322397699</v>
      </c>
      <c r="R281" s="421">
        <v>0</v>
      </c>
      <c r="S281" s="429">
        <v>5.9711759438309997</v>
      </c>
      <c r="T281" s="412"/>
    </row>
    <row r="282" spans="2:20" ht="13.5">
      <c r="B282" s="412"/>
      <c r="C282" s="428" t="s">
        <v>352</v>
      </c>
      <c r="D282" s="421">
        <v>0</v>
      </c>
      <c r="E282" s="421">
        <v>0</v>
      </c>
      <c r="F282" s="421">
        <v>0</v>
      </c>
      <c r="G282" s="421">
        <v>0</v>
      </c>
      <c r="H282" s="421">
        <v>0</v>
      </c>
      <c r="I282" s="421">
        <v>0</v>
      </c>
      <c r="J282" s="421">
        <v>90.986216688587803</v>
      </c>
      <c r="K282" s="421">
        <v>0</v>
      </c>
      <c r="L282" s="421">
        <v>0</v>
      </c>
      <c r="M282" s="421">
        <v>-84.958379832968902</v>
      </c>
      <c r="N282" s="421">
        <v>0</v>
      </c>
      <c r="O282" s="421">
        <v>0</v>
      </c>
      <c r="P282" s="421">
        <v>0</v>
      </c>
      <c r="Q282" s="421">
        <v>0</v>
      </c>
      <c r="R282" s="421">
        <v>0</v>
      </c>
      <c r="S282" s="429">
        <v>6.0278368556189399</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196.75884188687601</v>
      </c>
      <c r="F284" s="421">
        <v>-194.791253468007</v>
      </c>
      <c r="G284" s="421">
        <v>0</v>
      </c>
      <c r="H284" s="421">
        <v>0</v>
      </c>
      <c r="I284" s="421">
        <v>0</v>
      </c>
      <c r="J284" s="421">
        <v>0</v>
      </c>
      <c r="K284" s="421">
        <v>0</v>
      </c>
      <c r="L284" s="421">
        <v>0</v>
      </c>
      <c r="M284" s="421">
        <v>0</v>
      </c>
      <c r="N284" s="421">
        <v>0</v>
      </c>
      <c r="O284" s="421">
        <v>0</v>
      </c>
      <c r="P284" s="421">
        <v>0</v>
      </c>
      <c r="Q284" s="421">
        <v>0</v>
      </c>
      <c r="R284" s="421">
        <v>0</v>
      </c>
      <c r="S284" s="429">
        <v>1.96758841886876</v>
      </c>
      <c r="T284" s="412"/>
    </row>
    <row r="285" spans="2:20" ht="13.5">
      <c r="B285" s="412"/>
      <c r="C285" s="428" t="s">
        <v>354</v>
      </c>
      <c r="D285" s="421">
        <v>0</v>
      </c>
      <c r="E285" s="421">
        <v>0</v>
      </c>
      <c r="F285" s="421">
        <v>0</v>
      </c>
      <c r="G285" s="421">
        <v>0</v>
      </c>
      <c r="H285" s="421">
        <v>0</v>
      </c>
      <c r="I285" s="421">
        <v>0</v>
      </c>
      <c r="J285" s="421">
        <v>91.449866331740793</v>
      </c>
      <c r="K285" s="421">
        <v>0</v>
      </c>
      <c r="L285" s="421">
        <v>-91.449866331740793</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-17.484851678047999</v>
      </c>
      <c r="M286" s="421">
        <v>0</v>
      </c>
      <c r="N286" s="421">
        <v>0</v>
      </c>
      <c r="O286" s="421">
        <v>0</v>
      </c>
      <c r="P286" s="421">
        <v>0</v>
      </c>
      <c r="Q286" s="421">
        <v>0</v>
      </c>
      <c r="R286" s="421">
        <v>24.978359540068499</v>
      </c>
      <c r="S286" s="429">
        <v>7.4935078620205502</v>
      </c>
      <c r="T286" s="412"/>
    </row>
    <row r="287" spans="2:20" ht="13.5">
      <c r="B287" s="412"/>
      <c r="C287" s="428" t="s">
        <v>73</v>
      </c>
      <c r="D287" s="421">
        <v>0</v>
      </c>
      <c r="E287" s="421">
        <v>0</v>
      </c>
      <c r="F287" s="421">
        <v>0</v>
      </c>
      <c r="G287" s="421">
        <v>4.42513238078282</v>
      </c>
      <c r="H287" s="421">
        <v>0</v>
      </c>
      <c r="I287" s="421">
        <v>0</v>
      </c>
      <c r="J287" s="421">
        <v>0</v>
      </c>
      <c r="K287" s="421">
        <v>0.88502647615656305</v>
      </c>
      <c r="L287" s="421">
        <v>0</v>
      </c>
      <c r="M287" s="421">
        <v>4.42513238078282</v>
      </c>
      <c r="N287" s="421">
        <v>0</v>
      </c>
      <c r="O287" s="421">
        <v>0</v>
      </c>
      <c r="P287" s="421">
        <v>78.487045501144294</v>
      </c>
      <c r="Q287" s="421">
        <v>0</v>
      </c>
      <c r="R287" s="421">
        <v>-61.951853330959402</v>
      </c>
      <c r="S287" s="429">
        <v>26.270483407907101</v>
      </c>
      <c r="T287" s="412"/>
    </row>
    <row r="288" spans="2:20" ht="13.5">
      <c r="B288" s="412"/>
      <c r="C288" s="428" t="s">
        <v>356</v>
      </c>
      <c r="D288" s="421">
        <v>1.4001075134277301</v>
      </c>
      <c r="E288" s="421">
        <v>-6.81769387138025</v>
      </c>
      <c r="F288" s="421">
        <v>8.9171408952922295</v>
      </c>
      <c r="G288" s="421">
        <v>0</v>
      </c>
      <c r="H288" s="421">
        <v>0</v>
      </c>
      <c r="I288" s="421">
        <v>0</v>
      </c>
      <c r="J288" s="421">
        <v>0</v>
      </c>
      <c r="K288" s="421">
        <v>0</v>
      </c>
      <c r="L288" s="421">
        <v>0</v>
      </c>
      <c r="M288" s="421">
        <v>0</v>
      </c>
      <c r="N288" s="421">
        <v>0</v>
      </c>
      <c r="O288" s="421">
        <v>0</v>
      </c>
      <c r="P288" s="421">
        <v>0</v>
      </c>
      <c r="Q288" s="421">
        <v>0</v>
      </c>
      <c r="R288" s="421">
        <v>0</v>
      </c>
      <c r="S288" s="429">
        <v>3.4995545373397099</v>
      </c>
      <c r="T288" s="412"/>
    </row>
    <row r="289" spans="2:20" ht="13.5">
      <c r="B289" s="412"/>
      <c r="C289" s="428" t="s">
        <v>75</v>
      </c>
      <c r="D289" s="421">
        <v>2.5854230957031201</v>
      </c>
      <c r="E289" s="421">
        <v>0</v>
      </c>
      <c r="F289" s="421">
        <v>17.0641175716937</v>
      </c>
      <c r="G289" s="421">
        <v>2.4843347641142302</v>
      </c>
      <c r="H289" s="421">
        <v>0</v>
      </c>
      <c r="I289" s="421">
        <v>0</v>
      </c>
      <c r="J289" s="421">
        <v>0</v>
      </c>
      <c r="K289" s="421">
        <v>0</v>
      </c>
      <c r="L289" s="421">
        <v>0</v>
      </c>
      <c r="M289" s="421">
        <v>2.4843347641142302</v>
      </c>
      <c r="N289" s="421">
        <v>0</v>
      </c>
      <c r="O289" s="421">
        <v>0</v>
      </c>
      <c r="P289" s="421">
        <v>36.438409090909097</v>
      </c>
      <c r="Q289" s="421">
        <v>0</v>
      </c>
      <c r="R289" s="421">
        <v>0</v>
      </c>
      <c r="S289" s="429">
        <v>61.056619286534399</v>
      </c>
      <c r="T289" s="412"/>
    </row>
    <row r="290" spans="2:20" ht="13.5">
      <c r="B290" s="412"/>
      <c r="C290" s="428" t="s">
        <v>76</v>
      </c>
      <c r="D290" s="421">
        <v>0</v>
      </c>
      <c r="E290" s="421">
        <v>0</v>
      </c>
      <c r="F290" s="421">
        <v>0</v>
      </c>
      <c r="G290" s="421">
        <v>1.00741161857275</v>
      </c>
      <c r="H290" s="421">
        <v>0</v>
      </c>
      <c r="I290" s="421">
        <v>0</v>
      </c>
      <c r="J290" s="421">
        <v>0</v>
      </c>
      <c r="K290" s="421">
        <v>0</v>
      </c>
      <c r="L290" s="421">
        <v>0</v>
      </c>
      <c r="M290" s="421">
        <v>1.00741161857275</v>
      </c>
      <c r="N290" s="421">
        <v>0</v>
      </c>
      <c r="O290" s="421">
        <v>0</v>
      </c>
      <c r="P290" s="421">
        <v>51.1835476739179</v>
      </c>
      <c r="Q290" s="421">
        <v>5.9289261504441004</v>
      </c>
      <c r="R290" s="421">
        <v>0</v>
      </c>
      <c r="S290" s="429">
        <v>59.127297061507498</v>
      </c>
      <c r="T290" s="412"/>
    </row>
    <row r="291" spans="2:20" ht="13.5">
      <c r="B291" s="412"/>
      <c r="C291" s="424" t="s">
        <v>77</v>
      </c>
      <c r="D291" s="425">
        <v>3.9855306091308602</v>
      </c>
      <c r="E291" s="425">
        <v>189.941148015496</v>
      </c>
      <c r="F291" s="425">
        <v>-168.80999500102101</v>
      </c>
      <c r="G291" s="425">
        <v>16.9536183595525</v>
      </c>
      <c r="H291" s="425">
        <v>842.12121212121201</v>
      </c>
      <c r="I291" s="425">
        <v>358.55</v>
      </c>
      <c r="J291" s="425">
        <v>227.399491150975</v>
      </c>
      <c r="K291" s="425">
        <v>32.648755780545898</v>
      </c>
      <c r="L291" s="425">
        <v>-108.93471800978899</v>
      </c>
      <c r="M291" s="425">
        <v>-68.004761473416394</v>
      </c>
      <c r="N291" s="425">
        <v>0</v>
      </c>
      <c r="O291" s="425">
        <v>13.1597379771096</v>
      </c>
      <c r="P291" s="425">
        <v>-482.89099773402899</v>
      </c>
      <c r="Q291" s="425">
        <v>-70.5824541719536</v>
      </c>
      <c r="R291" s="425">
        <v>-32.723493790890899</v>
      </c>
      <c r="S291" s="425">
        <v>752.81307383292199</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1.5178805846268399</v>
      </c>
      <c r="E293" s="421">
        <v>0</v>
      </c>
      <c r="F293" s="421">
        <v>3.8156525597214102</v>
      </c>
      <c r="G293" s="421">
        <v>34.872610284028198</v>
      </c>
      <c r="H293" s="421">
        <v>0</v>
      </c>
      <c r="I293" s="421">
        <v>0</v>
      </c>
      <c r="J293" s="421">
        <v>13.9901440703837</v>
      </c>
      <c r="K293" s="421">
        <v>4.7582654252696104</v>
      </c>
      <c r="L293" s="421">
        <v>6.41300463867187</v>
      </c>
      <c r="M293" s="421">
        <v>34.872610284028198</v>
      </c>
      <c r="N293" s="421">
        <v>0</v>
      </c>
      <c r="O293" s="421">
        <v>0</v>
      </c>
      <c r="P293" s="421">
        <v>145.025733372183</v>
      </c>
      <c r="Q293" s="421">
        <v>25.700704560405001</v>
      </c>
      <c r="R293" s="421">
        <v>7.9027373046875002</v>
      </c>
      <c r="S293" s="429">
        <v>278.869343084006</v>
      </c>
      <c r="T293" s="412"/>
    </row>
    <row r="294" spans="2:20" ht="13.5">
      <c r="B294" s="412"/>
      <c r="C294" s="428" t="s">
        <v>79</v>
      </c>
      <c r="D294" s="421">
        <v>0</v>
      </c>
      <c r="E294" s="421">
        <v>0</v>
      </c>
      <c r="F294" s="421">
        <v>11.854069156927601</v>
      </c>
      <c r="G294" s="421">
        <v>13.267062862305901</v>
      </c>
      <c r="H294" s="421">
        <v>0</v>
      </c>
      <c r="I294" s="421">
        <v>0</v>
      </c>
      <c r="J294" s="421">
        <v>0</v>
      </c>
      <c r="K294" s="421">
        <v>0</v>
      </c>
      <c r="L294" s="421">
        <v>27.757428361726902</v>
      </c>
      <c r="M294" s="421">
        <v>13.267062862305901</v>
      </c>
      <c r="N294" s="421">
        <v>0</v>
      </c>
      <c r="O294" s="421">
        <v>0</v>
      </c>
      <c r="P294" s="421">
        <v>93.188917438410897</v>
      </c>
      <c r="Q294" s="421">
        <v>0</v>
      </c>
      <c r="R294" s="421">
        <v>6.3130917169295104</v>
      </c>
      <c r="S294" s="429">
        <v>165.64763239860699</v>
      </c>
      <c r="T294" s="412"/>
    </row>
    <row r="295" spans="2:20" ht="13.5">
      <c r="B295" s="412"/>
      <c r="C295" s="428" t="s">
        <v>80</v>
      </c>
      <c r="D295" s="421">
        <v>0</v>
      </c>
      <c r="E295" s="421">
        <v>0</v>
      </c>
      <c r="F295" s="421">
        <v>0.44885731405196599</v>
      </c>
      <c r="G295" s="421">
        <v>9.8184562905500599</v>
      </c>
      <c r="H295" s="421">
        <v>0</v>
      </c>
      <c r="I295" s="421">
        <v>0</v>
      </c>
      <c r="J295" s="421">
        <v>50.991915500106103</v>
      </c>
      <c r="K295" s="421">
        <v>0</v>
      </c>
      <c r="L295" s="421">
        <v>0</v>
      </c>
      <c r="M295" s="421">
        <v>9.8184562905500599</v>
      </c>
      <c r="N295" s="421">
        <v>93.7833759251793</v>
      </c>
      <c r="O295" s="421">
        <v>3.0807413757867601</v>
      </c>
      <c r="P295" s="421">
        <v>141.51501783018901</v>
      </c>
      <c r="Q295" s="421">
        <v>31.5191114304906</v>
      </c>
      <c r="R295" s="421">
        <v>0</v>
      </c>
      <c r="S295" s="429">
        <v>340.97593195690399</v>
      </c>
      <c r="T295" s="412"/>
    </row>
    <row r="296" spans="2:20" ht="13.5">
      <c r="B296" s="412"/>
      <c r="C296" s="428" t="s">
        <v>81</v>
      </c>
      <c r="D296" s="421">
        <v>0</v>
      </c>
      <c r="E296" s="421">
        <v>0</v>
      </c>
      <c r="F296" s="421">
        <v>0.71263619754816998</v>
      </c>
      <c r="G296" s="421">
        <v>7.4036276177652596</v>
      </c>
      <c r="H296" s="421">
        <v>0</v>
      </c>
      <c r="I296" s="421">
        <v>0</v>
      </c>
      <c r="J296" s="421">
        <v>6.8658928642747901</v>
      </c>
      <c r="K296" s="421">
        <v>0</v>
      </c>
      <c r="L296" s="421">
        <v>0</v>
      </c>
      <c r="M296" s="421">
        <v>7.4036276177652596</v>
      </c>
      <c r="N296" s="421">
        <v>14.8284629798388</v>
      </c>
      <c r="O296" s="421">
        <v>1.5166802918751501</v>
      </c>
      <c r="P296" s="421">
        <v>111.39588290466099</v>
      </c>
      <c r="Q296" s="421">
        <v>13.362638181057999</v>
      </c>
      <c r="R296" s="421">
        <v>0</v>
      </c>
      <c r="S296" s="429">
        <v>163.489448654786</v>
      </c>
      <c r="T296" s="412"/>
    </row>
    <row r="297" spans="2:20" ht="13.5">
      <c r="B297" s="412"/>
      <c r="C297" s="428" t="s">
        <v>82</v>
      </c>
      <c r="D297" s="421">
        <v>0</v>
      </c>
      <c r="E297" s="421">
        <v>0</v>
      </c>
      <c r="F297" s="421">
        <v>2.8549378216016801</v>
      </c>
      <c r="G297" s="421">
        <v>0.45787676019682499</v>
      </c>
      <c r="H297" s="421">
        <v>0</v>
      </c>
      <c r="I297" s="421">
        <v>0</v>
      </c>
      <c r="J297" s="421">
        <v>4.6306119511950996</v>
      </c>
      <c r="K297" s="421">
        <v>0</v>
      </c>
      <c r="L297" s="421">
        <v>17.5819516131867</v>
      </c>
      <c r="M297" s="421">
        <v>0.45787676019682499</v>
      </c>
      <c r="N297" s="421">
        <v>0</v>
      </c>
      <c r="O297" s="421">
        <v>1.7440136932478201</v>
      </c>
      <c r="P297" s="421">
        <v>5.8182429458508897</v>
      </c>
      <c r="Q297" s="421">
        <v>0</v>
      </c>
      <c r="R297" s="421">
        <v>0.384274203596978</v>
      </c>
      <c r="S297" s="429">
        <v>33.929785749072799</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4.8</v>
      </c>
      <c r="Q298" s="421">
        <v>0</v>
      </c>
      <c r="R298" s="421">
        <v>0</v>
      </c>
      <c r="S298" s="429">
        <v>4.8</v>
      </c>
      <c r="T298" s="412"/>
    </row>
    <row r="299" spans="2:20" ht="13.5">
      <c r="B299" s="412"/>
      <c r="C299" s="424" t="s">
        <v>83</v>
      </c>
      <c r="D299" s="425">
        <v>1.5178805846268399</v>
      </c>
      <c r="E299" s="425">
        <v>0</v>
      </c>
      <c r="F299" s="425">
        <v>19.686153049850802</v>
      </c>
      <c r="G299" s="425">
        <v>65.819633814846199</v>
      </c>
      <c r="H299" s="425">
        <v>0</v>
      </c>
      <c r="I299" s="425">
        <v>0</v>
      </c>
      <c r="J299" s="425">
        <v>76.4785643859597</v>
      </c>
      <c r="K299" s="425">
        <v>4.7582654252696104</v>
      </c>
      <c r="L299" s="425">
        <v>51.752384613585399</v>
      </c>
      <c r="M299" s="425">
        <v>65.819633814846199</v>
      </c>
      <c r="N299" s="425">
        <v>108.611838905018</v>
      </c>
      <c r="O299" s="425">
        <v>6.34143536090974</v>
      </c>
      <c r="P299" s="425">
        <v>501.74379449129498</v>
      </c>
      <c r="Q299" s="425">
        <v>70.5824541719536</v>
      </c>
      <c r="R299" s="425">
        <v>14.600103225213999</v>
      </c>
      <c r="S299" s="425">
        <v>987.71214184337498</v>
      </c>
      <c r="T299" s="412"/>
    </row>
    <row r="300" spans="2:20" ht="13.5">
      <c r="B300" s="412"/>
      <c r="C300" s="420" t="s">
        <v>84</v>
      </c>
      <c r="D300" s="421">
        <v>0.22852185058593699</v>
      </c>
      <c r="E300" s="421">
        <v>0</v>
      </c>
      <c r="F300" s="421">
        <v>74.636292152893304</v>
      </c>
      <c r="G300" s="421">
        <v>5.7280066844384896</v>
      </c>
      <c r="H300" s="421">
        <v>0</v>
      </c>
      <c r="I300" s="421">
        <v>0</v>
      </c>
      <c r="J300" s="421">
        <v>0</v>
      </c>
      <c r="K300" s="421">
        <v>0</v>
      </c>
      <c r="L300" s="421">
        <v>24.563190847778301</v>
      </c>
      <c r="M300" s="421">
        <v>0</v>
      </c>
      <c r="N300" s="421">
        <v>0</v>
      </c>
      <c r="O300" s="421">
        <v>0</v>
      </c>
      <c r="P300" s="421">
        <v>0</v>
      </c>
      <c r="Q300" s="421">
        <v>0</v>
      </c>
      <c r="R300" s="421">
        <v>16.4428159881592</v>
      </c>
      <c r="S300" s="429">
        <v>121.59882752385499</v>
      </c>
      <c r="T300" s="412"/>
    </row>
    <row r="301" spans="2:20" ht="13.5">
      <c r="B301" s="412"/>
      <c r="C301" s="424" t="s">
        <v>85</v>
      </c>
      <c r="D301" s="425">
        <v>1.74640243521278</v>
      </c>
      <c r="E301" s="425">
        <v>0</v>
      </c>
      <c r="F301" s="425">
        <v>94.322445202744106</v>
      </c>
      <c r="G301" s="425">
        <v>71.547640499284697</v>
      </c>
      <c r="H301" s="425">
        <v>0</v>
      </c>
      <c r="I301" s="425">
        <v>0</v>
      </c>
      <c r="J301" s="425">
        <v>76.4785643859597</v>
      </c>
      <c r="K301" s="425">
        <v>4.7582654252696104</v>
      </c>
      <c r="L301" s="425">
        <v>76.315575461363807</v>
      </c>
      <c r="M301" s="425">
        <v>65.819633814846199</v>
      </c>
      <c r="N301" s="425">
        <v>108.611838905018</v>
      </c>
      <c r="O301" s="425">
        <v>6.34143536090974</v>
      </c>
      <c r="P301" s="425">
        <v>501.74379449129498</v>
      </c>
      <c r="Q301" s="425">
        <v>70.5824541719536</v>
      </c>
      <c r="R301" s="425">
        <v>31.042919213373199</v>
      </c>
      <c r="S301" s="425">
        <v>1109.31096936723</v>
      </c>
      <c r="T301" s="412"/>
    </row>
    <row r="302" spans="2:20">
      <c r="B302" s="412"/>
      <c r="C302" s="412"/>
      <c r="D302" s="430">
        <f t="shared" ref="D302:S302" si="7">D301+D291-D277</f>
        <v>0</v>
      </c>
      <c r="E302" s="430">
        <f t="shared" si="7"/>
        <v>0</v>
      </c>
      <c r="F302" s="430">
        <f t="shared" si="7"/>
        <v>1.9895196601282805E-13</v>
      </c>
      <c r="G302" s="430">
        <f t="shared" si="7"/>
        <v>0</v>
      </c>
      <c r="H302" s="430">
        <f t="shared" si="7"/>
        <v>0</v>
      </c>
      <c r="I302" s="430">
        <f t="shared" si="7"/>
        <v>0</v>
      </c>
      <c r="J302" s="430">
        <f t="shared" si="7"/>
        <v>6.8212102632969618E-13</v>
      </c>
      <c r="K302" s="430">
        <f t="shared" si="7"/>
        <v>0</v>
      </c>
      <c r="L302" s="430">
        <f t="shared" si="7"/>
        <v>-1.8474111129762605E-13</v>
      </c>
      <c r="M302" s="430">
        <f t="shared" si="7"/>
        <v>3.4638958368304884E-14</v>
      </c>
      <c r="N302" s="430">
        <f t="shared" si="7"/>
        <v>0</v>
      </c>
      <c r="O302" s="430">
        <f t="shared" si="7"/>
        <v>-5.6843418860808015E-14</v>
      </c>
      <c r="P302" s="430">
        <f t="shared" si="7"/>
        <v>-7.0699002208129968E-13</v>
      </c>
      <c r="Q302" s="430">
        <f t="shared" si="7"/>
        <v>0</v>
      </c>
      <c r="R302" s="430">
        <f t="shared" si="7"/>
        <v>7.0610184366159956E-14</v>
      </c>
      <c r="S302" s="430">
        <f t="shared" si="7"/>
        <v>1.8189894035458565E-12</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3.5">
      <c r="B304" s="416"/>
      <c r="C304" s="417" t="s">
        <v>89</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02" t="s">
        <v>128</v>
      </c>
      <c r="D306" s="703" t="s">
        <v>42</v>
      </c>
      <c r="E306" s="703" t="s">
        <v>52</v>
      </c>
      <c r="F306" s="703" t="s">
        <v>53</v>
      </c>
      <c r="G306" s="703" t="s">
        <v>32</v>
      </c>
      <c r="H306" s="703" t="s">
        <v>20</v>
      </c>
      <c r="I306" s="703" t="s">
        <v>55</v>
      </c>
      <c r="J306" s="703" t="s">
        <v>56</v>
      </c>
      <c r="K306" s="703"/>
      <c r="L306" s="703"/>
      <c r="M306" s="703"/>
      <c r="N306" s="703"/>
      <c r="O306" s="703"/>
      <c r="P306" s="703" t="s">
        <v>57</v>
      </c>
      <c r="Q306" s="703" t="s">
        <v>58</v>
      </c>
      <c r="R306" s="703" t="s">
        <v>31</v>
      </c>
      <c r="S306" s="703" t="s">
        <v>10</v>
      </c>
      <c r="T306" s="412"/>
    </row>
    <row r="307" spans="2:20" ht="57.5">
      <c r="B307" s="412"/>
      <c r="C307" s="702"/>
      <c r="D307" s="703"/>
      <c r="E307" s="703"/>
      <c r="F307" s="703"/>
      <c r="G307" s="703"/>
      <c r="H307" s="703"/>
      <c r="I307" s="703"/>
      <c r="J307" s="418" t="s">
        <v>338</v>
      </c>
      <c r="K307" s="418" t="s">
        <v>40</v>
      </c>
      <c r="L307" s="418" t="s">
        <v>346</v>
      </c>
      <c r="M307" s="418" t="s">
        <v>347</v>
      </c>
      <c r="N307" s="419" t="s">
        <v>348</v>
      </c>
      <c r="O307" s="418" t="s">
        <v>349</v>
      </c>
      <c r="P307" s="703"/>
      <c r="Q307" s="703"/>
      <c r="R307" s="703"/>
      <c r="S307" s="703"/>
      <c r="T307" s="412"/>
    </row>
    <row r="308" spans="2:20" ht="13.5">
      <c r="B308" s="412"/>
      <c r="C308" s="420" t="s">
        <v>59</v>
      </c>
      <c r="D308" s="421">
        <v>0</v>
      </c>
      <c r="E308" s="421">
        <v>0</v>
      </c>
      <c r="F308" s="421">
        <v>0</v>
      </c>
      <c r="G308" s="421">
        <v>0</v>
      </c>
      <c r="H308" s="422">
        <v>764.84848484848499</v>
      </c>
      <c r="I308" s="422">
        <v>419.9</v>
      </c>
      <c r="J308" s="422">
        <v>351.24173188830201</v>
      </c>
      <c r="K308" s="422">
        <v>37.066117395131201</v>
      </c>
      <c r="L308" s="421">
        <v>0</v>
      </c>
      <c r="M308" s="421">
        <v>0</v>
      </c>
      <c r="N308" s="422">
        <v>121.931750282495</v>
      </c>
      <c r="O308" s="422">
        <v>22.204473213427001</v>
      </c>
      <c r="P308" s="421">
        <v>0</v>
      </c>
      <c r="Q308" s="421">
        <v>0</v>
      </c>
      <c r="R308" s="421">
        <v>0</v>
      </c>
      <c r="S308" s="423">
        <v>1717.19255762784</v>
      </c>
      <c r="T308" s="412"/>
    </row>
    <row r="309" spans="2:20" ht="13.5">
      <c r="B309" s="412"/>
      <c r="C309" s="420" t="s">
        <v>60</v>
      </c>
      <c r="D309" s="421">
        <v>4.3798405072467999</v>
      </c>
      <c r="E309" s="421">
        <v>113.59926767676799</v>
      </c>
      <c r="F309" s="421">
        <v>0.79806856250441205</v>
      </c>
      <c r="G309" s="421">
        <v>3.6153613407475298</v>
      </c>
      <c r="H309" s="421">
        <v>0</v>
      </c>
      <c r="I309" s="421">
        <v>0</v>
      </c>
      <c r="J309" s="421">
        <v>0</v>
      </c>
      <c r="K309" s="421">
        <v>0</v>
      </c>
      <c r="L309" s="421">
        <v>0</v>
      </c>
      <c r="M309" s="421">
        <v>0</v>
      </c>
      <c r="N309" s="421">
        <v>0</v>
      </c>
      <c r="O309" s="421">
        <v>0</v>
      </c>
      <c r="P309" s="421">
        <v>29.820654435364101</v>
      </c>
      <c r="Q309" s="421">
        <v>0</v>
      </c>
      <c r="R309" s="421">
        <v>0</v>
      </c>
      <c r="S309" s="423">
        <v>152.213192522631</v>
      </c>
      <c r="T309" s="412"/>
    </row>
    <row r="310" spans="2:20" ht="13.5">
      <c r="B310" s="412"/>
      <c r="C310" s="420" t="s">
        <v>61</v>
      </c>
      <c r="D310" s="421">
        <v>0</v>
      </c>
      <c r="E310" s="421">
        <v>0</v>
      </c>
      <c r="F310" s="421">
        <v>0</v>
      </c>
      <c r="G310" s="421">
        <v>0</v>
      </c>
      <c r="H310" s="421">
        <v>0</v>
      </c>
      <c r="I310" s="421">
        <v>0</v>
      </c>
      <c r="J310" s="421">
        <v>0</v>
      </c>
      <c r="K310" s="421">
        <v>0</v>
      </c>
      <c r="L310" s="421">
        <v>0</v>
      </c>
      <c r="M310" s="421">
        <v>0</v>
      </c>
      <c r="N310" s="421">
        <v>0</v>
      </c>
      <c r="O310" s="421">
        <v>0</v>
      </c>
      <c r="P310" s="421">
        <v>0</v>
      </c>
      <c r="Q310" s="421">
        <v>0</v>
      </c>
      <c r="R310" s="421">
        <v>0</v>
      </c>
      <c r="S310" s="423">
        <v>0</v>
      </c>
      <c r="T310" s="412"/>
    </row>
    <row r="311" spans="2:20" ht="13.5">
      <c r="B311" s="412"/>
      <c r="C311" s="420" t="s">
        <v>62</v>
      </c>
      <c r="D311" s="421">
        <v>0</v>
      </c>
      <c r="E311" s="421">
        <v>0</v>
      </c>
      <c r="F311" s="421">
        <v>-5.3013702027186103</v>
      </c>
      <c r="G311" s="421">
        <v>0</v>
      </c>
      <c r="H311" s="421">
        <v>0</v>
      </c>
      <c r="I311" s="421">
        <v>0</v>
      </c>
      <c r="J311" s="421">
        <v>0</v>
      </c>
      <c r="K311" s="421">
        <v>0</v>
      </c>
      <c r="L311" s="421">
        <v>0</v>
      </c>
      <c r="M311" s="421">
        <v>-5.1137296191647996</v>
      </c>
      <c r="N311" s="421">
        <v>0</v>
      </c>
      <c r="O311" s="421">
        <v>0</v>
      </c>
      <c r="P311" s="421">
        <v>0</v>
      </c>
      <c r="Q311" s="421">
        <v>0</v>
      </c>
      <c r="R311" s="421">
        <v>0</v>
      </c>
      <c r="S311" s="423">
        <v>-10.4150998218834</v>
      </c>
      <c r="T311" s="412"/>
    </row>
    <row r="312" spans="2:20" ht="13.5">
      <c r="B312" s="412"/>
      <c r="C312" s="420" t="s">
        <v>63</v>
      </c>
      <c r="D312" s="421">
        <v>0</v>
      </c>
      <c r="E312" s="421">
        <v>0</v>
      </c>
      <c r="F312" s="421">
        <v>-26.554014229686601</v>
      </c>
      <c r="G312" s="421">
        <v>0</v>
      </c>
      <c r="H312" s="421">
        <v>0</v>
      </c>
      <c r="I312" s="421">
        <v>0</v>
      </c>
      <c r="J312" s="421">
        <v>0</v>
      </c>
      <c r="K312" s="421">
        <v>0</v>
      </c>
      <c r="L312" s="421">
        <v>-53.337452419875703</v>
      </c>
      <c r="M312" s="421">
        <v>0</v>
      </c>
      <c r="N312" s="421">
        <v>0</v>
      </c>
      <c r="O312" s="421">
        <v>0</v>
      </c>
      <c r="P312" s="421">
        <v>0</v>
      </c>
      <c r="Q312" s="421">
        <v>0</v>
      </c>
      <c r="R312" s="421">
        <v>-3.3454941468715802</v>
      </c>
      <c r="S312" s="423">
        <v>-83.236960796433806</v>
      </c>
      <c r="T312" s="412"/>
    </row>
    <row r="313" spans="2:20" ht="13.5">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ht="13.5">
      <c r="B314" s="412"/>
      <c r="C314" s="424" t="s">
        <v>65</v>
      </c>
      <c r="D314" s="425">
        <v>4.3798405072467999</v>
      </c>
      <c r="E314" s="425">
        <v>113.59926767676799</v>
      </c>
      <c r="F314" s="425">
        <v>-31.057315869900801</v>
      </c>
      <c r="G314" s="425">
        <v>3.6153613407475298</v>
      </c>
      <c r="H314" s="425">
        <v>764.84848484848499</v>
      </c>
      <c r="I314" s="425">
        <v>419.9</v>
      </c>
      <c r="J314" s="425">
        <v>351.24173188830201</v>
      </c>
      <c r="K314" s="425">
        <v>37.066117395131201</v>
      </c>
      <c r="L314" s="425">
        <v>-53.337452419875703</v>
      </c>
      <c r="M314" s="425">
        <v>-5.1137296191647996</v>
      </c>
      <c r="N314" s="425">
        <v>121.931750282495</v>
      </c>
      <c r="O314" s="425">
        <v>22.204473213427001</v>
      </c>
      <c r="P314" s="425">
        <v>29.820654435364101</v>
      </c>
      <c r="Q314" s="425">
        <v>0</v>
      </c>
      <c r="R314" s="425">
        <v>-3.3454941468715802</v>
      </c>
      <c r="S314" s="425">
        <v>1775.75368953215</v>
      </c>
      <c r="T314" s="412"/>
    </row>
    <row r="315" spans="2:20" ht="13.5">
      <c r="B315" s="412"/>
      <c r="C315" s="426"/>
      <c r="D315" s="427"/>
      <c r="E315" s="427"/>
      <c r="F315" s="427"/>
      <c r="G315" s="427"/>
      <c r="H315" s="427"/>
      <c r="I315" s="427"/>
      <c r="J315" s="427"/>
      <c r="K315" s="427"/>
      <c r="L315" s="427"/>
      <c r="M315" s="427"/>
      <c r="N315" s="427"/>
      <c r="O315" s="427"/>
      <c r="P315" s="427"/>
      <c r="Q315" s="427"/>
      <c r="R315" s="427"/>
      <c r="S315" s="427"/>
      <c r="T315" s="412"/>
    </row>
    <row r="316" spans="2:20" ht="13.5">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ht="13.5">
      <c r="B317" s="412"/>
      <c r="C317" s="428" t="s">
        <v>350</v>
      </c>
      <c r="D317" s="421">
        <v>0</v>
      </c>
      <c r="E317" s="421">
        <v>0</v>
      </c>
      <c r="F317" s="421">
        <v>0</v>
      </c>
      <c r="G317" s="421">
        <v>0</v>
      </c>
      <c r="H317" s="421">
        <v>764.84848484848499</v>
      </c>
      <c r="I317" s="421">
        <v>419.9</v>
      </c>
      <c r="J317" s="421">
        <v>14.837077022078001</v>
      </c>
      <c r="K317" s="421">
        <v>4.2997987248322396</v>
      </c>
      <c r="L317" s="421">
        <v>0</v>
      </c>
      <c r="M317" s="421">
        <v>0.66666666666666696</v>
      </c>
      <c r="N317" s="421">
        <v>0</v>
      </c>
      <c r="O317" s="421">
        <v>0</v>
      </c>
      <c r="P317" s="421">
        <v>-682.5</v>
      </c>
      <c r="Q317" s="421">
        <v>0</v>
      </c>
      <c r="R317" s="421">
        <v>3.75</v>
      </c>
      <c r="S317" s="429">
        <v>525.80202726206198</v>
      </c>
      <c r="T317" s="412"/>
    </row>
    <row r="318" spans="2:20" ht="13.5">
      <c r="B318" s="412"/>
      <c r="C318" s="428" t="s">
        <v>351</v>
      </c>
      <c r="D318" s="421">
        <v>0</v>
      </c>
      <c r="E318" s="421">
        <v>0</v>
      </c>
      <c r="F318" s="421">
        <v>0</v>
      </c>
      <c r="G318" s="421">
        <v>0</v>
      </c>
      <c r="H318" s="421">
        <v>0</v>
      </c>
      <c r="I318" s="421">
        <v>0</v>
      </c>
      <c r="J318" s="421">
        <v>28.8847744791587</v>
      </c>
      <c r="K318" s="421">
        <v>27.390111238212</v>
      </c>
      <c r="L318" s="421">
        <v>0</v>
      </c>
      <c r="M318" s="421">
        <v>10.9493569082394</v>
      </c>
      <c r="N318" s="421">
        <v>0</v>
      </c>
      <c r="O318" s="421">
        <v>14.830688385513501</v>
      </c>
      <c r="P318" s="421">
        <v>0</v>
      </c>
      <c r="Q318" s="421">
        <v>-76.630571525577196</v>
      </c>
      <c r="R318" s="421">
        <v>0</v>
      </c>
      <c r="S318" s="429">
        <v>5.4243594855463497</v>
      </c>
      <c r="T318" s="412"/>
    </row>
    <row r="319" spans="2:20" ht="13.5">
      <c r="B319" s="412"/>
      <c r="C319" s="428" t="s">
        <v>352</v>
      </c>
      <c r="D319" s="421">
        <v>0</v>
      </c>
      <c r="E319" s="421">
        <v>0</v>
      </c>
      <c r="F319" s="421">
        <v>0</v>
      </c>
      <c r="G319" s="421">
        <v>0</v>
      </c>
      <c r="H319" s="421">
        <v>0</v>
      </c>
      <c r="I319" s="421">
        <v>0</v>
      </c>
      <c r="J319" s="421">
        <v>141.99486817496901</v>
      </c>
      <c r="K319" s="421">
        <v>0</v>
      </c>
      <c r="L319" s="421">
        <v>0</v>
      </c>
      <c r="M319" s="421">
        <v>-135.60509910709601</v>
      </c>
      <c r="N319" s="421">
        <v>0</v>
      </c>
      <c r="O319" s="421">
        <v>0</v>
      </c>
      <c r="P319" s="421">
        <v>0</v>
      </c>
      <c r="Q319" s="421">
        <v>0</v>
      </c>
      <c r="R319" s="421">
        <v>0</v>
      </c>
      <c r="S319" s="429">
        <v>6.3897690678736296</v>
      </c>
      <c r="T319" s="412"/>
    </row>
    <row r="320" spans="2:20" ht="13.5">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ht="13.5">
      <c r="B321" s="412"/>
      <c r="C321" s="428" t="s">
        <v>72</v>
      </c>
      <c r="D321" s="421">
        <v>0</v>
      </c>
      <c r="E321" s="421">
        <v>117.67676767676799</v>
      </c>
      <c r="F321" s="421">
        <v>-116.5</v>
      </c>
      <c r="G321" s="421">
        <v>0</v>
      </c>
      <c r="H321" s="421">
        <v>0</v>
      </c>
      <c r="I321" s="421">
        <v>0</v>
      </c>
      <c r="J321" s="421">
        <v>0</v>
      </c>
      <c r="K321" s="421">
        <v>0</v>
      </c>
      <c r="L321" s="421">
        <v>0</v>
      </c>
      <c r="M321" s="421">
        <v>0</v>
      </c>
      <c r="N321" s="421">
        <v>0</v>
      </c>
      <c r="O321" s="421">
        <v>0</v>
      </c>
      <c r="P321" s="421">
        <v>0</v>
      </c>
      <c r="Q321" s="421">
        <v>0</v>
      </c>
      <c r="R321" s="421">
        <v>0</v>
      </c>
      <c r="S321" s="429">
        <v>1.17676767676768</v>
      </c>
      <c r="T321" s="412"/>
    </row>
    <row r="322" spans="2:20" ht="13.5">
      <c r="B322" s="412"/>
      <c r="C322" s="428" t="s">
        <v>354</v>
      </c>
      <c r="D322" s="421">
        <v>0</v>
      </c>
      <c r="E322" s="421">
        <v>0</v>
      </c>
      <c r="F322" s="421">
        <v>0</v>
      </c>
      <c r="G322" s="421">
        <v>0</v>
      </c>
      <c r="H322" s="421">
        <v>0</v>
      </c>
      <c r="I322" s="421">
        <v>0</v>
      </c>
      <c r="J322" s="421">
        <v>92.683321682724895</v>
      </c>
      <c r="K322" s="421">
        <v>0</v>
      </c>
      <c r="L322" s="421">
        <v>-92.683321682724895</v>
      </c>
      <c r="M322" s="421">
        <v>0</v>
      </c>
      <c r="N322" s="421">
        <v>0</v>
      </c>
      <c r="O322" s="421">
        <v>0</v>
      </c>
      <c r="P322" s="421">
        <v>0</v>
      </c>
      <c r="Q322" s="421">
        <v>0</v>
      </c>
      <c r="R322" s="421">
        <v>0</v>
      </c>
      <c r="S322" s="429">
        <v>0</v>
      </c>
      <c r="T322" s="412"/>
    </row>
    <row r="323" spans="2:20" ht="13.5">
      <c r="B323" s="412"/>
      <c r="C323" s="428" t="s">
        <v>355</v>
      </c>
      <c r="D323" s="421">
        <v>0</v>
      </c>
      <c r="E323" s="421">
        <v>0</v>
      </c>
      <c r="F323" s="421">
        <v>0</v>
      </c>
      <c r="G323" s="421">
        <v>0</v>
      </c>
      <c r="H323" s="421">
        <v>0</v>
      </c>
      <c r="I323" s="421">
        <v>0</v>
      </c>
      <c r="J323" s="421">
        <v>0</v>
      </c>
      <c r="K323" s="421">
        <v>0</v>
      </c>
      <c r="L323" s="421">
        <v>-30.7160392407107</v>
      </c>
      <c r="M323" s="421">
        <v>0</v>
      </c>
      <c r="N323" s="421">
        <v>0</v>
      </c>
      <c r="O323" s="421">
        <v>0</v>
      </c>
      <c r="P323" s="421">
        <v>0</v>
      </c>
      <c r="Q323" s="421">
        <v>0</v>
      </c>
      <c r="R323" s="421">
        <v>43.880056058158097</v>
      </c>
      <c r="S323" s="429">
        <v>13.164016817447401</v>
      </c>
      <c r="T323" s="412"/>
    </row>
    <row r="324" spans="2:20" ht="13.5">
      <c r="B324" s="412"/>
      <c r="C324" s="428" t="s">
        <v>73</v>
      </c>
      <c r="D324" s="421">
        <v>0</v>
      </c>
      <c r="E324" s="421">
        <v>0</v>
      </c>
      <c r="F324" s="421">
        <v>0</v>
      </c>
      <c r="G324" s="421">
        <v>0</v>
      </c>
      <c r="H324" s="421">
        <v>0</v>
      </c>
      <c r="I324" s="421">
        <v>0</v>
      </c>
      <c r="J324" s="421">
        <v>0</v>
      </c>
      <c r="K324" s="421">
        <v>1.25759601218096</v>
      </c>
      <c r="L324" s="421">
        <v>0</v>
      </c>
      <c r="M324" s="421">
        <v>0</v>
      </c>
      <c r="N324" s="421">
        <v>0</v>
      </c>
      <c r="O324" s="421">
        <v>0</v>
      </c>
      <c r="P324" s="421">
        <v>121.043616172417</v>
      </c>
      <c r="Q324" s="421">
        <v>0</v>
      </c>
      <c r="R324" s="421">
        <v>-88.031720852667107</v>
      </c>
      <c r="S324" s="429">
        <v>34.2694913319311</v>
      </c>
      <c r="T324" s="412"/>
    </row>
    <row r="325" spans="2:20" ht="13.5">
      <c r="B325" s="412"/>
      <c r="C325" s="428" t="s">
        <v>356</v>
      </c>
      <c r="D325" s="421">
        <v>0.72303211975097703</v>
      </c>
      <c r="E325" s="421">
        <v>-4.0774999999999997</v>
      </c>
      <c r="F325" s="421">
        <v>5.3331291616343899</v>
      </c>
      <c r="G325" s="421">
        <v>0</v>
      </c>
      <c r="H325" s="421">
        <v>0</v>
      </c>
      <c r="I325" s="421">
        <v>0</v>
      </c>
      <c r="J325" s="421">
        <v>0</v>
      </c>
      <c r="K325" s="421">
        <v>0</v>
      </c>
      <c r="L325" s="421">
        <v>0</v>
      </c>
      <c r="M325" s="421">
        <v>0</v>
      </c>
      <c r="N325" s="421">
        <v>0</v>
      </c>
      <c r="O325" s="421">
        <v>0</v>
      </c>
      <c r="P325" s="421">
        <v>0</v>
      </c>
      <c r="Q325" s="421">
        <v>0</v>
      </c>
      <c r="R325" s="421">
        <v>0</v>
      </c>
      <c r="S325" s="429">
        <v>1.9786612813853699</v>
      </c>
      <c r="T325" s="412"/>
    </row>
    <row r="326" spans="2:20" ht="13.5">
      <c r="B326" s="412"/>
      <c r="C326" s="428" t="s">
        <v>75</v>
      </c>
      <c r="D326" s="421">
        <v>1.73775830078125</v>
      </c>
      <c r="E326" s="421">
        <v>0</v>
      </c>
      <c r="F326" s="421">
        <v>16.370387999999998</v>
      </c>
      <c r="G326" s="421">
        <v>0</v>
      </c>
      <c r="H326" s="421">
        <v>0</v>
      </c>
      <c r="I326" s="421">
        <v>0</v>
      </c>
      <c r="J326" s="421">
        <v>0</v>
      </c>
      <c r="K326" s="421">
        <v>0</v>
      </c>
      <c r="L326" s="421">
        <v>0</v>
      </c>
      <c r="M326" s="421">
        <v>4.7666718000000001</v>
      </c>
      <c r="N326" s="421">
        <v>0</v>
      </c>
      <c r="O326" s="421">
        <v>0</v>
      </c>
      <c r="P326" s="421">
        <v>36.566363636363597</v>
      </c>
      <c r="Q326" s="421">
        <v>0</v>
      </c>
      <c r="R326" s="421">
        <v>0</v>
      </c>
      <c r="S326" s="429">
        <v>59.441181737144902</v>
      </c>
      <c r="T326" s="412"/>
    </row>
    <row r="327" spans="2:20" ht="13.5">
      <c r="B327" s="412"/>
      <c r="C327" s="428" t="s">
        <v>76</v>
      </c>
      <c r="D327" s="421">
        <v>0</v>
      </c>
      <c r="E327" s="421">
        <v>0</v>
      </c>
      <c r="F327" s="421">
        <v>0</v>
      </c>
      <c r="G327" s="421">
        <v>0</v>
      </c>
      <c r="H327" s="421">
        <v>0</v>
      </c>
      <c r="I327" s="421">
        <v>0</v>
      </c>
      <c r="J327" s="421">
        <v>0</v>
      </c>
      <c r="K327" s="421">
        <v>0</v>
      </c>
      <c r="L327" s="421">
        <v>0</v>
      </c>
      <c r="M327" s="421">
        <v>1.6079656020604201</v>
      </c>
      <c r="N327" s="421">
        <v>0</v>
      </c>
      <c r="O327" s="421">
        <v>0</v>
      </c>
      <c r="P327" s="421">
        <v>54.591518299293803</v>
      </c>
      <c r="Q327" s="421">
        <v>5.9381623691406702</v>
      </c>
      <c r="R327" s="421">
        <v>0</v>
      </c>
      <c r="S327" s="429">
        <v>62.137646270494898</v>
      </c>
      <c r="T327" s="412"/>
    </row>
    <row r="328" spans="2:20" ht="13.5">
      <c r="B328" s="412"/>
      <c r="C328" s="424" t="s">
        <v>77</v>
      </c>
      <c r="D328" s="425">
        <v>2.4607904205322302</v>
      </c>
      <c r="E328" s="425">
        <v>113.59926767676799</v>
      </c>
      <c r="F328" s="425">
        <v>-94.796482838365606</v>
      </c>
      <c r="G328" s="425">
        <v>0</v>
      </c>
      <c r="H328" s="425">
        <v>764.84848484848499</v>
      </c>
      <c r="I328" s="425">
        <v>419.9</v>
      </c>
      <c r="J328" s="425">
        <v>278.40004135893099</v>
      </c>
      <c r="K328" s="425">
        <v>32.947505975225198</v>
      </c>
      <c r="L328" s="425">
        <v>-123.39936092343601</v>
      </c>
      <c r="M328" s="425">
        <v>-117.614438130129</v>
      </c>
      <c r="N328" s="425">
        <v>0</v>
      </c>
      <c r="O328" s="425">
        <v>14.830688385513501</v>
      </c>
      <c r="P328" s="425">
        <v>-470.29850189192501</v>
      </c>
      <c r="Q328" s="425">
        <v>-70.692409156436597</v>
      </c>
      <c r="R328" s="425">
        <v>-40.401664794509003</v>
      </c>
      <c r="S328" s="425">
        <v>709.78392093065395</v>
      </c>
      <c r="T328" s="412"/>
    </row>
    <row r="329" spans="2:20" ht="13.5">
      <c r="B329" s="412"/>
      <c r="C329" s="426"/>
      <c r="D329" s="427"/>
      <c r="E329" s="427"/>
      <c r="F329" s="427"/>
      <c r="G329" s="427"/>
      <c r="H329" s="427"/>
      <c r="I329" s="427"/>
      <c r="J329" s="427"/>
      <c r="K329" s="427"/>
      <c r="L329" s="427"/>
      <c r="M329" s="427"/>
      <c r="N329" s="427"/>
      <c r="O329" s="427"/>
      <c r="P329" s="427"/>
      <c r="Q329" s="427"/>
      <c r="R329" s="427"/>
      <c r="S329" s="427"/>
      <c r="T329" s="412"/>
    </row>
    <row r="330" spans="2:20" ht="13.5">
      <c r="B330" s="412"/>
      <c r="C330" s="428" t="s">
        <v>78</v>
      </c>
      <c r="D330" s="421">
        <v>1.79989703190501</v>
      </c>
      <c r="E330" s="421">
        <v>0</v>
      </c>
      <c r="F330" s="421">
        <v>5.22589106512674E-2</v>
      </c>
      <c r="G330" s="421">
        <v>0</v>
      </c>
      <c r="H330" s="421">
        <v>0</v>
      </c>
      <c r="I330" s="421">
        <v>0</v>
      </c>
      <c r="J330" s="421">
        <v>13.331842727893299</v>
      </c>
      <c r="K330" s="421">
        <v>4.1186114199060402</v>
      </c>
      <c r="L330" s="421">
        <v>8.3494072265624997</v>
      </c>
      <c r="M330" s="421">
        <v>63.939809293815799</v>
      </c>
      <c r="N330" s="421">
        <v>0</v>
      </c>
      <c r="O330" s="421">
        <v>0</v>
      </c>
      <c r="P330" s="421">
        <v>150.76353147926901</v>
      </c>
      <c r="Q330" s="421">
        <v>27.157242806109199</v>
      </c>
      <c r="R330" s="421">
        <v>8.9542294921874994</v>
      </c>
      <c r="S330" s="429">
        <v>278.46683038830002</v>
      </c>
      <c r="T330" s="412"/>
    </row>
    <row r="331" spans="2:20" ht="13.5">
      <c r="B331" s="412"/>
      <c r="C331" s="428" t="s">
        <v>79</v>
      </c>
      <c r="D331" s="421">
        <v>0</v>
      </c>
      <c r="E331" s="421">
        <v>0</v>
      </c>
      <c r="F331" s="421">
        <v>2.1712429478419102</v>
      </c>
      <c r="G331" s="421">
        <v>0</v>
      </c>
      <c r="H331" s="421">
        <v>0</v>
      </c>
      <c r="I331" s="421">
        <v>0</v>
      </c>
      <c r="J331" s="421">
        <v>0</v>
      </c>
      <c r="K331" s="421">
        <v>0</v>
      </c>
      <c r="L331" s="421">
        <v>12.7882726969122</v>
      </c>
      <c r="M331" s="421">
        <v>24.887279738493302</v>
      </c>
      <c r="N331" s="421">
        <v>0</v>
      </c>
      <c r="O331" s="421">
        <v>0</v>
      </c>
      <c r="P331" s="421">
        <v>92.289301413656304</v>
      </c>
      <c r="Q331" s="421">
        <v>0</v>
      </c>
      <c r="R331" s="421">
        <v>7.1149935986121697</v>
      </c>
      <c r="S331" s="429">
        <v>139.251090395516</v>
      </c>
      <c r="T331" s="412"/>
    </row>
    <row r="332" spans="2:20" ht="13.5">
      <c r="B332" s="412"/>
      <c r="C332" s="428" t="s">
        <v>80</v>
      </c>
      <c r="D332" s="421">
        <v>0</v>
      </c>
      <c r="E332" s="421">
        <v>0</v>
      </c>
      <c r="F332" s="421">
        <v>0.35468706008189399</v>
      </c>
      <c r="G332" s="421">
        <v>0</v>
      </c>
      <c r="H332" s="421">
        <v>0</v>
      </c>
      <c r="I332" s="421">
        <v>0</v>
      </c>
      <c r="J332" s="421">
        <v>47.9682238056754</v>
      </c>
      <c r="K332" s="421">
        <v>0</v>
      </c>
      <c r="L332" s="421">
        <v>0</v>
      </c>
      <c r="M332" s="421">
        <v>17.598271269670001</v>
      </c>
      <c r="N332" s="421">
        <v>106.862728555422</v>
      </c>
      <c r="O332" s="421">
        <v>3.7519530039459799</v>
      </c>
      <c r="P332" s="421">
        <v>134.324841663434</v>
      </c>
      <c r="Q332" s="421">
        <v>28.562960275021499</v>
      </c>
      <c r="R332" s="421">
        <v>0</v>
      </c>
      <c r="S332" s="429">
        <v>339.42366563325101</v>
      </c>
      <c r="T332" s="412"/>
    </row>
    <row r="333" spans="2:20" ht="13.5">
      <c r="B333" s="412"/>
      <c r="C333" s="428" t="s">
        <v>81</v>
      </c>
      <c r="D333" s="421">
        <v>0</v>
      </c>
      <c r="E333" s="421">
        <v>0</v>
      </c>
      <c r="F333" s="421">
        <v>1.3910064361048399E-2</v>
      </c>
      <c r="G333" s="421">
        <v>0</v>
      </c>
      <c r="H333" s="421">
        <v>0</v>
      </c>
      <c r="I333" s="421">
        <v>0</v>
      </c>
      <c r="J333" s="421">
        <v>6.5361621549849502</v>
      </c>
      <c r="K333" s="421">
        <v>0</v>
      </c>
      <c r="L333" s="421">
        <v>0</v>
      </c>
      <c r="M333" s="421">
        <v>5.4198008615464897</v>
      </c>
      <c r="N333" s="421">
        <v>15.069021727073199</v>
      </c>
      <c r="O333" s="421">
        <v>1.4344248188770199</v>
      </c>
      <c r="P333" s="421">
        <v>109.143617899049</v>
      </c>
      <c r="Q333" s="421">
        <v>14.972206075305801</v>
      </c>
      <c r="R333" s="421">
        <v>0</v>
      </c>
      <c r="S333" s="429">
        <v>152.589143601198</v>
      </c>
      <c r="T333" s="412"/>
    </row>
    <row r="334" spans="2:20" ht="13.5">
      <c r="B334" s="412"/>
      <c r="C334" s="428" t="s">
        <v>82</v>
      </c>
      <c r="D334" s="421">
        <v>0</v>
      </c>
      <c r="E334" s="421">
        <v>0</v>
      </c>
      <c r="F334" s="421">
        <v>0</v>
      </c>
      <c r="G334" s="421">
        <v>0</v>
      </c>
      <c r="H334" s="421">
        <v>0</v>
      </c>
      <c r="I334" s="421">
        <v>0</v>
      </c>
      <c r="J334" s="421">
        <v>5.0054618408177598</v>
      </c>
      <c r="K334" s="421">
        <v>0</v>
      </c>
      <c r="L334" s="421">
        <v>18.815796579352799</v>
      </c>
      <c r="M334" s="421">
        <v>0.65554734743876097</v>
      </c>
      <c r="N334" s="421">
        <v>0</v>
      </c>
      <c r="O334" s="421">
        <v>2.1874070050904901</v>
      </c>
      <c r="P334" s="421">
        <v>5.5978638718802802</v>
      </c>
      <c r="Q334" s="421">
        <v>0</v>
      </c>
      <c r="R334" s="421">
        <v>0.443393311842667</v>
      </c>
      <c r="S334" s="429">
        <v>32.705469956422696</v>
      </c>
      <c r="T334" s="412"/>
    </row>
    <row r="335" spans="2:20" ht="13.5">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8</v>
      </c>
      <c r="Q335" s="421">
        <v>0</v>
      </c>
      <c r="R335" s="421">
        <v>0</v>
      </c>
      <c r="S335" s="429">
        <v>8</v>
      </c>
      <c r="T335" s="412"/>
    </row>
    <row r="336" spans="2:20" ht="13.5">
      <c r="B336" s="412"/>
      <c r="C336" s="424" t="s">
        <v>83</v>
      </c>
      <c r="D336" s="425">
        <v>1.79989703190501</v>
      </c>
      <c r="E336" s="425">
        <v>0</v>
      </c>
      <c r="F336" s="425">
        <v>2.5920989829361201</v>
      </c>
      <c r="G336" s="425">
        <v>0</v>
      </c>
      <c r="H336" s="425">
        <v>0</v>
      </c>
      <c r="I336" s="425">
        <v>0</v>
      </c>
      <c r="J336" s="425">
        <v>72.841690529371405</v>
      </c>
      <c r="K336" s="425">
        <v>4.1186114199060402</v>
      </c>
      <c r="L336" s="425">
        <v>39.953476502827499</v>
      </c>
      <c r="M336" s="425">
        <v>112.500708510964</v>
      </c>
      <c r="N336" s="425">
        <v>121.931750282495</v>
      </c>
      <c r="O336" s="425">
        <v>7.3737848279134903</v>
      </c>
      <c r="P336" s="425">
        <v>500.11915632728898</v>
      </c>
      <c r="Q336" s="425">
        <v>70.692409156436497</v>
      </c>
      <c r="R336" s="425">
        <v>16.512616402642301</v>
      </c>
      <c r="S336" s="425">
        <v>950.43619997468704</v>
      </c>
      <c r="T336" s="412"/>
    </row>
    <row r="337" spans="2:20" ht="13.5">
      <c r="B337" s="412"/>
      <c r="C337" s="420" t="s">
        <v>84</v>
      </c>
      <c r="D337" s="421">
        <v>0.11915305480957</v>
      </c>
      <c r="E337" s="421">
        <v>0</v>
      </c>
      <c r="F337" s="421">
        <v>61.1470679855287</v>
      </c>
      <c r="G337" s="421">
        <v>3.6153613407475298</v>
      </c>
      <c r="H337" s="421">
        <v>0</v>
      </c>
      <c r="I337" s="421">
        <v>0</v>
      </c>
      <c r="J337" s="421">
        <v>0</v>
      </c>
      <c r="K337" s="421">
        <v>0</v>
      </c>
      <c r="L337" s="421">
        <v>30.1084320007324</v>
      </c>
      <c r="M337" s="421">
        <v>0</v>
      </c>
      <c r="N337" s="421">
        <v>0</v>
      </c>
      <c r="O337" s="421">
        <v>0</v>
      </c>
      <c r="P337" s="421">
        <v>0</v>
      </c>
      <c r="Q337" s="421">
        <v>0</v>
      </c>
      <c r="R337" s="421">
        <v>20.5435542449951</v>
      </c>
      <c r="S337" s="429">
        <v>115.53356862681299</v>
      </c>
      <c r="T337" s="412"/>
    </row>
    <row r="338" spans="2:20" ht="13.5">
      <c r="B338" s="412"/>
      <c r="C338" s="424" t="s">
        <v>85</v>
      </c>
      <c r="D338" s="425">
        <v>1.9190500867145801</v>
      </c>
      <c r="E338" s="425">
        <v>0</v>
      </c>
      <c r="F338" s="425">
        <v>63.7391669684649</v>
      </c>
      <c r="G338" s="425">
        <v>3.6153613407475298</v>
      </c>
      <c r="H338" s="425">
        <v>0</v>
      </c>
      <c r="I338" s="425">
        <v>0</v>
      </c>
      <c r="J338" s="425">
        <v>72.841690529371405</v>
      </c>
      <c r="K338" s="425">
        <v>4.1186114199060402</v>
      </c>
      <c r="L338" s="425">
        <v>70.061908503559906</v>
      </c>
      <c r="M338" s="425">
        <v>112.500708510964</v>
      </c>
      <c r="N338" s="425">
        <v>121.931750282495</v>
      </c>
      <c r="O338" s="425">
        <v>7.3737848279134903</v>
      </c>
      <c r="P338" s="425">
        <v>500.11915632728898</v>
      </c>
      <c r="Q338" s="425">
        <v>70.692409156436497</v>
      </c>
      <c r="R338" s="425">
        <v>37.056170647637501</v>
      </c>
      <c r="S338" s="425">
        <v>1065.9697686014999</v>
      </c>
      <c r="T338" s="412"/>
    </row>
    <row r="339" spans="2:20">
      <c r="B339" s="412"/>
      <c r="C339" s="412"/>
      <c r="D339" s="430">
        <f t="shared" ref="D339:S339" si="8">D338+D328-D314</f>
        <v>1.0658141036401503E-14</v>
      </c>
      <c r="E339" s="430">
        <f t="shared" si="8"/>
        <v>0</v>
      </c>
      <c r="F339" s="430">
        <f t="shared" si="8"/>
        <v>9.5923269327613525E-14</v>
      </c>
      <c r="G339" s="430">
        <f t="shared" si="8"/>
        <v>0</v>
      </c>
      <c r="H339" s="430">
        <f t="shared" si="8"/>
        <v>0</v>
      </c>
      <c r="I339" s="430">
        <f t="shared" si="8"/>
        <v>0</v>
      </c>
      <c r="J339" s="430">
        <f t="shared" si="8"/>
        <v>0</v>
      </c>
      <c r="K339" s="430">
        <f t="shared" si="8"/>
        <v>0</v>
      </c>
      <c r="L339" s="430">
        <f t="shared" si="8"/>
        <v>-3.979039320256561E-13</v>
      </c>
      <c r="M339" s="430">
        <f t="shared" si="8"/>
        <v>-1.9984014443252818E-13</v>
      </c>
      <c r="N339" s="430">
        <f t="shared" si="8"/>
        <v>0</v>
      </c>
      <c r="O339" s="430">
        <f t="shared" si="8"/>
        <v>0</v>
      </c>
      <c r="P339" s="430">
        <f t="shared" si="8"/>
        <v>-1.3855583347321954E-13</v>
      </c>
      <c r="Q339" s="430">
        <f t="shared" si="8"/>
        <v>-9.9475983006414026E-14</v>
      </c>
      <c r="R339" s="430">
        <f t="shared" si="8"/>
        <v>7.815970093361102E-14</v>
      </c>
      <c r="S339" s="430">
        <f t="shared" si="8"/>
        <v>3.865352482534945E-12</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sheetData>
  <mergeCells count="108">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S313:S315 S328:S336">
    <cfRule type="cellIs" dxfId="3352" priority="1" operator="equal">
      <formula>0</formula>
    </cfRule>
  </conditionalFormatting>
  <conditionalFormatting sqref="S328">
    <cfRule type="expression" dxfId="3351" priority="20">
      <formula>LEN(TRIM(S328))=0</formula>
    </cfRule>
  </conditionalFormatting>
  <conditionalFormatting sqref="J11:N11">
    <cfRule type="cellIs" dxfId="3350" priority="21" operator="equal">
      <formula>0</formula>
    </cfRule>
  </conditionalFormatting>
  <conditionalFormatting sqref="O11">
    <cfRule type="cellIs" dxfId="3349" priority="22" operator="equal">
      <formula>0</formula>
    </cfRule>
  </conditionalFormatting>
  <conditionalFormatting sqref="S42 S12:S40">
    <cfRule type="cellIs" dxfId="3348" priority="28" operator="equal">
      <formula>0</formula>
    </cfRule>
  </conditionalFormatting>
  <conditionalFormatting sqref="S41">
    <cfRule type="cellIs" dxfId="3347" priority="29" operator="equal">
      <formula>0</formula>
    </cfRule>
  </conditionalFormatting>
  <conditionalFormatting sqref="S34:S42 S12:S18 S20:S32">
    <cfRule type="expression" dxfId="3346" priority="30">
      <formula>LEN(TRIM(S12))=0</formula>
    </cfRule>
  </conditionalFormatting>
  <conditionalFormatting sqref="D42:R42 P33:R33 D33:I33 D34:R40 D32:R32 D13:R19 D12:G12 L12:M12 P12:R12">
    <cfRule type="cellIs" dxfId="3345" priority="41" operator="equal">
      <formula>0</formula>
    </cfRule>
  </conditionalFormatting>
  <conditionalFormatting sqref="P12:P14">
    <cfRule type="cellIs" dxfId="3344" priority="42" operator="equal">
      <formula>0</formula>
    </cfRule>
  </conditionalFormatting>
  <conditionalFormatting sqref="P12:R12 L12:M12 D13:R14">
    <cfRule type="cellIs" dxfId="3343" priority="43" operator="equal">
      <formula>0</formula>
    </cfRule>
  </conditionalFormatting>
  <conditionalFormatting sqref="F13:F14">
    <cfRule type="cellIs" dxfId="3342" priority="44" operator="equal">
      <formula>0</formula>
    </cfRule>
  </conditionalFormatting>
  <conditionalFormatting sqref="L12:M12">
    <cfRule type="cellIs" dxfId="3341" priority="45" operator="equal">
      <formula>0</formula>
    </cfRule>
  </conditionalFormatting>
  <conditionalFormatting sqref="J15:J17 J33">
    <cfRule type="cellIs" dxfId="3340" priority="46" operator="equal">
      <formula>0</formula>
    </cfRule>
  </conditionalFormatting>
  <conditionalFormatting sqref="J13:J14">
    <cfRule type="cellIs" dxfId="3339" priority="47" operator="equal">
      <formula>0</formula>
    </cfRule>
  </conditionalFormatting>
  <conditionalFormatting sqref="K15:K17 K33">
    <cfRule type="cellIs" dxfId="3338" priority="48" operator="equal">
      <formula>0</formula>
    </cfRule>
  </conditionalFormatting>
  <conditionalFormatting sqref="K13:K14">
    <cfRule type="cellIs" dxfId="3337" priority="49" operator="equal">
      <formula>0</formula>
    </cfRule>
  </conditionalFormatting>
  <conditionalFormatting sqref="L15:L17 L33">
    <cfRule type="cellIs" dxfId="3336" priority="50" operator="equal">
      <formula>0</formula>
    </cfRule>
  </conditionalFormatting>
  <conditionalFormatting sqref="L12:L14">
    <cfRule type="cellIs" dxfId="3335" priority="51" operator="equal">
      <formula>0</formula>
    </cfRule>
  </conditionalFormatting>
  <conditionalFormatting sqref="M15:M17 M33">
    <cfRule type="cellIs" dxfId="3334" priority="52" operator="equal">
      <formula>0</formula>
    </cfRule>
  </conditionalFormatting>
  <conditionalFormatting sqref="M12:M14">
    <cfRule type="cellIs" dxfId="3333" priority="53" operator="equal">
      <formula>0</formula>
    </cfRule>
  </conditionalFormatting>
  <conditionalFormatting sqref="N15:N17 N33">
    <cfRule type="cellIs" dxfId="3332" priority="54" operator="equal">
      <formula>0</formula>
    </cfRule>
  </conditionalFormatting>
  <conditionalFormatting sqref="N13:N14">
    <cfRule type="cellIs" dxfId="3331" priority="55" operator="equal">
      <formula>0</formula>
    </cfRule>
  </conditionalFormatting>
  <conditionalFormatting sqref="O15:O17 O33">
    <cfRule type="cellIs" dxfId="3330" priority="56" operator="equal">
      <formula>0</formula>
    </cfRule>
  </conditionalFormatting>
  <conditionalFormatting sqref="O13:O14">
    <cfRule type="cellIs" dxfId="3329" priority="57" operator="equal">
      <formula>0</formula>
    </cfRule>
  </conditionalFormatting>
  <conditionalFormatting sqref="D41:R41">
    <cfRule type="cellIs" dxfId="3328" priority="58" operator="equal">
      <formula>0</formula>
    </cfRule>
  </conditionalFormatting>
  <conditionalFormatting sqref="D34:R42 D32:R32 D13:R18 D12:G12 L12:M12 P12:R12">
    <cfRule type="expression" dxfId="3327" priority="59">
      <formula>LEN(TRIM(D12))=0</formula>
    </cfRule>
  </conditionalFormatting>
  <conditionalFormatting sqref="D41:R41">
    <cfRule type="cellIs" dxfId="3326" priority="60" operator="equal">
      <formula>0</formula>
    </cfRule>
  </conditionalFormatting>
  <conditionalFormatting sqref="L15:L16">
    <cfRule type="cellIs" dxfId="3325" priority="61" operator="equal">
      <formula>0</formula>
    </cfRule>
  </conditionalFormatting>
  <conditionalFormatting sqref="M15:M16">
    <cfRule type="cellIs" dxfId="3324" priority="62" operator="equal">
      <formula>0</formula>
    </cfRule>
  </conditionalFormatting>
  <conditionalFormatting sqref="N15:O15">
    <cfRule type="cellIs" dxfId="3323" priority="63" operator="equal">
      <formula>0</formula>
    </cfRule>
  </conditionalFormatting>
  <conditionalFormatting sqref="N16:O16">
    <cfRule type="cellIs" dxfId="3322" priority="64" operator="equal">
      <formula>0</formula>
    </cfRule>
  </conditionalFormatting>
  <conditionalFormatting sqref="D20:R31">
    <cfRule type="cellIs" dxfId="3321" priority="65" operator="equal">
      <formula>0</formula>
    </cfRule>
  </conditionalFormatting>
  <conditionalFormatting sqref="D20:R31">
    <cfRule type="expression" dxfId="3320" priority="66">
      <formula>LEN(TRIM(D20))=0</formula>
    </cfRule>
  </conditionalFormatting>
  <conditionalFormatting sqref="H12">
    <cfRule type="cellIs" dxfId="3319" priority="67" operator="equal">
      <formula>0</formula>
    </cfRule>
  </conditionalFormatting>
  <conditionalFormatting sqref="I12">
    <cfRule type="cellIs" dxfId="3318" priority="68" operator="equal">
      <formula>0</formula>
    </cfRule>
  </conditionalFormatting>
  <conditionalFormatting sqref="J12:K12">
    <cfRule type="cellIs" dxfId="3317" priority="69" operator="equal">
      <formula>0</formula>
    </cfRule>
  </conditionalFormatting>
  <conditionalFormatting sqref="K12">
    <cfRule type="cellIs" dxfId="3316" priority="70" operator="equal">
      <formula>0</formula>
    </cfRule>
  </conditionalFormatting>
  <conditionalFormatting sqref="H12:K12">
    <cfRule type="expression" dxfId="3315" priority="71">
      <formula>LEN(TRIM(H12))=0</formula>
    </cfRule>
  </conditionalFormatting>
  <conditionalFormatting sqref="N12:O12">
    <cfRule type="cellIs" dxfId="3314" priority="72" operator="equal">
      <formula>0</formula>
    </cfRule>
  </conditionalFormatting>
  <conditionalFormatting sqref="N12:O12">
    <cfRule type="cellIs" dxfId="3313" priority="73" operator="equal">
      <formula>0</formula>
    </cfRule>
  </conditionalFormatting>
  <conditionalFormatting sqref="N12:O12">
    <cfRule type="expression" dxfId="3312" priority="74">
      <formula>LEN(TRIM(N12))=0</formula>
    </cfRule>
  </conditionalFormatting>
  <conditionalFormatting sqref="J48:N48">
    <cfRule type="cellIs" dxfId="3311" priority="75" operator="equal">
      <formula>0</formula>
    </cfRule>
  </conditionalFormatting>
  <conditionalFormatting sqref="O48">
    <cfRule type="cellIs" dxfId="3310" priority="76" operator="equal">
      <formula>0</formula>
    </cfRule>
  </conditionalFormatting>
  <conditionalFormatting sqref="S79 S49:S77">
    <cfRule type="cellIs" dxfId="3309" priority="77" operator="equal">
      <formula>0</formula>
    </cfRule>
  </conditionalFormatting>
  <conditionalFormatting sqref="S78">
    <cfRule type="cellIs" dxfId="3308" priority="78" operator="equal">
      <formula>0</formula>
    </cfRule>
  </conditionalFormatting>
  <conditionalFormatting sqref="S71:S79 S49:S55 S57:S69">
    <cfRule type="expression" dxfId="3307" priority="79">
      <formula>LEN(TRIM(S49))=0</formula>
    </cfRule>
  </conditionalFormatting>
  <conditionalFormatting sqref="D79:R79 P70:R70 D70:I70 D71:R77 D69:R69 D50:R56 D49:G49 L49:M49 P49:R49">
    <cfRule type="cellIs" dxfId="3306" priority="80" operator="equal">
      <formula>0</formula>
    </cfRule>
  </conditionalFormatting>
  <conditionalFormatting sqref="P49:P51">
    <cfRule type="cellIs" dxfId="3305" priority="81" operator="equal">
      <formula>0</formula>
    </cfRule>
  </conditionalFormatting>
  <conditionalFormatting sqref="P49:R49 L49:M49 D50:R51">
    <cfRule type="cellIs" dxfId="3304" priority="82" operator="equal">
      <formula>0</formula>
    </cfRule>
  </conditionalFormatting>
  <conditionalFormatting sqref="F50:F51">
    <cfRule type="cellIs" dxfId="3303" priority="83" operator="equal">
      <formula>0</formula>
    </cfRule>
  </conditionalFormatting>
  <conditionalFormatting sqref="L49:M49">
    <cfRule type="cellIs" dxfId="3302" priority="84" operator="equal">
      <formula>0</formula>
    </cfRule>
  </conditionalFormatting>
  <conditionalFormatting sqref="J52:J54 J70">
    <cfRule type="cellIs" dxfId="3301" priority="85" operator="equal">
      <formula>0</formula>
    </cfRule>
  </conditionalFormatting>
  <conditionalFormatting sqref="J50:J51">
    <cfRule type="cellIs" dxfId="3300" priority="86" operator="equal">
      <formula>0</formula>
    </cfRule>
  </conditionalFormatting>
  <conditionalFormatting sqref="K52:K54 K70">
    <cfRule type="cellIs" dxfId="3299" priority="87" operator="equal">
      <formula>0</formula>
    </cfRule>
  </conditionalFormatting>
  <conditionalFormatting sqref="K50:K51">
    <cfRule type="cellIs" dxfId="3298" priority="88" operator="equal">
      <formula>0</formula>
    </cfRule>
  </conditionalFormatting>
  <conditionalFormatting sqref="L52:L54 L70">
    <cfRule type="cellIs" dxfId="3297" priority="89" operator="equal">
      <formula>0</formula>
    </cfRule>
  </conditionalFormatting>
  <conditionalFormatting sqref="L49:L51">
    <cfRule type="cellIs" dxfId="3296" priority="90" operator="equal">
      <formula>0</formula>
    </cfRule>
  </conditionalFormatting>
  <conditionalFormatting sqref="M52:M54 M70">
    <cfRule type="cellIs" dxfId="3295" priority="91" operator="equal">
      <formula>0</formula>
    </cfRule>
  </conditionalFormatting>
  <conditionalFormatting sqref="M49:M51">
    <cfRule type="cellIs" dxfId="3294" priority="92" operator="equal">
      <formula>0</formula>
    </cfRule>
  </conditionalFormatting>
  <conditionalFormatting sqref="N52:N54 N70">
    <cfRule type="cellIs" dxfId="3293" priority="93" operator="equal">
      <formula>0</formula>
    </cfRule>
  </conditionalFormatting>
  <conditionalFormatting sqref="N50:N51">
    <cfRule type="cellIs" dxfId="3292" priority="94" operator="equal">
      <formula>0</formula>
    </cfRule>
  </conditionalFormatting>
  <conditionalFormatting sqref="O52:O54 O70">
    <cfRule type="cellIs" dxfId="3291" priority="95" operator="equal">
      <formula>0</formula>
    </cfRule>
  </conditionalFormatting>
  <conditionalFormatting sqref="O50:O51">
    <cfRule type="cellIs" dxfId="3290" priority="96" operator="equal">
      <formula>0</formula>
    </cfRule>
  </conditionalFormatting>
  <conditionalFormatting sqref="D78:R78">
    <cfRule type="cellIs" dxfId="3289" priority="97" operator="equal">
      <formula>0</formula>
    </cfRule>
  </conditionalFormatting>
  <conditionalFormatting sqref="D71:R79 D69:R69 D50:R55 D49:G49 L49:M49 P49:R49">
    <cfRule type="expression" dxfId="3288" priority="98">
      <formula>LEN(TRIM(D49))=0</formula>
    </cfRule>
  </conditionalFormatting>
  <conditionalFormatting sqref="D78:R78">
    <cfRule type="cellIs" dxfId="3287" priority="99" operator="equal">
      <formula>0</formula>
    </cfRule>
  </conditionalFormatting>
  <conditionalFormatting sqref="L52:L53">
    <cfRule type="cellIs" dxfId="3286" priority="100" operator="equal">
      <formula>0</formula>
    </cfRule>
  </conditionalFormatting>
  <conditionalFormatting sqref="M52:M53">
    <cfRule type="cellIs" dxfId="3285" priority="101" operator="equal">
      <formula>0</formula>
    </cfRule>
  </conditionalFormatting>
  <conditionalFormatting sqref="N52:O52">
    <cfRule type="cellIs" dxfId="3284" priority="102" operator="equal">
      <formula>0</formula>
    </cfRule>
  </conditionalFormatting>
  <conditionalFormatting sqref="N53:O53">
    <cfRule type="cellIs" dxfId="3283" priority="103" operator="equal">
      <formula>0</formula>
    </cfRule>
  </conditionalFormatting>
  <conditionalFormatting sqref="D57:R68">
    <cfRule type="cellIs" dxfId="3282" priority="104" operator="equal">
      <formula>0</formula>
    </cfRule>
  </conditionalFormatting>
  <conditionalFormatting sqref="D57:R68">
    <cfRule type="expression" dxfId="3281" priority="105">
      <formula>LEN(TRIM(D57))=0</formula>
    </cfRule>
  </conditionalFormatting>
  <conditionalFormatting sqref="H49">
    <cfRule type="cellIs" dxfId="3280" priority="106" operator="equal">
      <formula>0</formula>
    </cfRule>
  </conditionalFormatting>
  <conditionalFormatting sqref="I49">
    <cfRule type="cellIs" dxfId="3279" priority="107" operator="equal">
      <formula>0</formula>
    </cfRule>
  </conditionalFormatting>
  <conditionalFormatting sqref="J49:K49">
    <cfRule type="cellIs" dxfId="3278" priority="108" operator="equal">
      <formula>0</formula>
    </cfRule>
  </conditionalFormatting>
  <conditionalFormatting sqref="K49">
    <cfRule type="cellIs" dxfId="3277" priority="109" operator="equal">
      <formula>0</formula>
    </cfRule>
  </conditionalFormatting>
  <conditionalFormatting sqref="H49:K49">
    <cfRule type="expression" dxfId="3276" priority="110">
      <formula>LEN(TRIM(H49))=0</formula>
    </cfRule>
  </conditionalFormatting>
  <conditionalFormatting sqref="N49:O49">
    <cfRule type="cellIs" dxfId="3275" priority="111" operator="equal">
      <formula>0</formula>
    </cfRule>
  </conditionalFormatting>
  <conditionalFormatting sqref="N49:O49">
    <cfRule type="cellIs" dxfId="3274" priority="112" operator="equal">
      <formula>0</formula>
    </cfRule>
  </conditionalFormatting>
  <conditionalFormatting sqref="N49:O49">
    <cfRule type="expression" dxfId="3273" priority="113">
      <formula>LEN(TRIM(N49))=0</formula>
    </cfRule>
  </conditionalFormatting>
  <conditionalFormatting sqref="J85:N85">
    <cfRule type="cellIs" dxfId="3272" priority="114" operator="equal">
      <formula>0</formula>
    </cfRule>
  </conditionalFormatting>
  <conditionalFormatting sqref="O85">
    <cfRule type="cellIs" dxfId="3271" priority="115" operator="equal">
      <formula>0</formula>
    </cfRule>
  </conditionalFormatting>
  <conditionalFormatting sqref="S116 S86:S114">
    <cfRule type="cellIs" dxfId="3270" priority="116" operator="equal">
      <formula>0</formula>
    </cfRule>
  </conditionalFormatting>
  <conditionalFormatting sqref="S115">
    <cfRule type="cellIs" dxfId="3269" priority="117" operator="equal">
      <formula>0</formula>
    </cfRule>
  </conditionalFormatting>
  <conditionalFormatting sqref="S108:S116 S86:S92 S94:S106">
    <cfRule type="expression" dxfId="3268" priority="118">
      <formula>LEN(TRIM(S86))=0</formula>
    </cfRule>
  </conditionalFormatting>
  <conditionalFormatting sqref="D116:R116 P107:R107 D107:I107 D108:R114 D106:R106 D87:R93 D86:G86 L86:M86 P86:R86">
    <cfRule type="cellIs" dxfId="3267" priority="119" operator="equal">
      <formula>0</formula>
    </cfRule>
  </conditionalFormatting>
  <conditionalFormatting sqref="P86:P88">
    <cfRule type="cellIs" dxfId="3266" priority="120" operator="equal">
      <formula>0</formula>
    </cfRule>
  </conditionalFormatting>
  <conditionalFormatting sqref="P86:R86 L86:M86 D87:R88">
    <cfRule type="cellIs" dxfId="3265" priority="121" operator="equal">
      <formula>0</formula>
    </cfRule>
  </conditionalFormatting>
  <conditionalFormatting sqref="F87:F88">
    <cfRule type="cellIs" dxfId="3264" priority="122" operator="equal">
      <formula>0</formula>
    </cfRule>
  </conditionalFormatting>
  <conditionalFormatting sqref="L86:M86">
    <cfRule type="cellIs" dxfId="3263" priority="123" operator="equal">
      <formula>0</formula>
    </cfRule>
  </conditionalFormatting>
  <conditionalFormatting sqref="J89:J91 J107">
    <cfRule type="cellIs" dxfId="3262" priority="124" operator="equal">
      <formula>0</formula>
    </cfRule>
  </conditionalFormatting>
  <conditionalFormatting sqref="J87:J88">
    <cfRule type="cellIs" dxfId="3261" priority="125" operator="equal">
      <formula>0</formula>
    </cfRule>
  </conditionalFormatting>
  <conditionalFormatting sqref="K89:K91 K107">
    <cfRule type="cellIs" dxfId="3260" priority="126" operator="equal">
      <formula>0</formula>
    </cfRule>
  </conditionalFormatting>
  <conditionalFormatting sqref="K87:K88">
    <cfRule type="cellIs" dxfId="3259" priority="127" operator="equal">
      <formula>0</formula>
    </cfRule>
  </conditionalFormatting>
  <conditionalFormatting sqref="L89:L91 L107">
    <cfRule type="cellIs" dxfId="3258" priority="128" operator="equal">
      <formula>0</formula>
    </cfRule>
  </conditionalFormatting>
  <conditionalFormatting sqref="L86:L88">
    <cfRule type="cellIs" dxfId="3257" priority="129" operator="equal">
      <formula>0</formula>
    </cfRule>
  </conditionalFormatting>
  <conditionalFormatting sqref="M89:M91 M107">
    <cfRule type="cellIs" dxfId="3256" priority="130" operator="equal">
      <formula>0</formula>
    </cfRule>
  </conditionalFormatting>
  <conditionalFormatting sqref="M86:M88">
    <cfRule type="cellIs" dxfId="3255" priority="131" operator="equal">
      <formula>0</formula>
    </cfRule>
  </conditionalFormatting>
  <conditionalFormatting sqref="N89:N91 N107">
    <cfRule type="cellIs" dxfId="3254" priority="132" operator="equal">
      <formula>0</formula>
    </cfRule>
  </conditionalFormatting>
  <conditionalFormatting sqref="N87:N88">
    <cfRule type="cellIs" dxfId="3253" priority="133" operator="equal">
      <formula>0</formula>
    </cfRule>
  </conditionalFormatting>
  <conditionalFormatting sqref="O89:O91 O107">
    <cfRule type="cellIs" dxfId="3252" priority="134" operator="equal">
      <formula>0</formula>
    </cfRule>
  </conditionalFormatting>
  <conditionalFormatting sqref="O87:O88">
    <cfRule type="cellIs" dxfId="3251" priority="135" operator="equal">
      <formula>0</formula>
    </cfRule>
  </conditionalFormatting>
  <conditionalFormatting sqref="D115:R115">
    <cfRule type="cellIs" dxfId="3250" priority="136" operator="equal">
      <formula>0</formula>
    </cfRule>
  </conditionalFormatting>
  <conditionalFormatting sqref="D108:R116 D106:R106 D87:R92 D86:G86 L86:M86 P86:R86">
    <cfRule type="expression" dxfId="3249" priority="137">
      <formula>LEN(TRIM(D86))=0</formula>
    </cfRule>
  </conditionalFormatting>
  <conditionalFormatting sqref="D115:R115">
    <cfRule type="cellIs" dxfId="3248" priority="138" operator="equal">
      <formula>0</formula>
    </cfRule>
  </conditionalFormatting>
  <conditionalFormatting sqref="L89:L90">
    <cfRule type="cellIs" dxfId="3247" priority="139" operator="equal">
      <formula>0</formula>
    </cfRule>
  </conditionalFormatting>
  <conditionalFormatting sqref="M89:M90">
    <cfRule type="cellIs" dxfId="3246" priority="140" operator="equal">
      <formula>0</formula>
    </cfRule>
  </conditionalFormatting>
  <conditionalFormatting sqref="N89:O89">
    <cfRule type="cellIs" dxfId="3245" priority="141" operator="equal">
      <formula>0</formula>
    </cfRule>
  </conditionalFormatting>
  <conditionalFormatting sqref="N90:O90">
    <cfRule type="cellIs" dxfId="3244" priority="142" operator="equal">
      <formula>0</formula>
    </cfRule>
  </conditionalFormatting>
  <conditionalFormatting sqref="D94:R105">
    <cfRule type="cellIs" dxfId="3243" priority="143" operator="equal">
      <formula>0</formula>
    </cfRule>
  </conditionalFormatting>
  <conditionalFormatting sqref="D94:R105">
    <cfRule type="expression" dxfId="3242" priority="144">
      <formula>LEN(TRIM(D94))=0</formula>
    </cfRule>
  </conditionalFormatting>
  <conditionalFormatting sqref="H86">
    <cfRule type="cellIs" dxfId="3241" priority="145" operator="equal">
      <formula>0</formula>
    </cfRule>
  </conditionalFormatting>
  <conditionalFormatting sqref="I86">
    <cfRule type="cellIs" dxfId="3240" priority="146" operator="equal">
      <formula>0</formula>
    </cfRule>
  </conditionalFormatting>
  <conditionalFormatting sqref="J86:K86">
    <cfRule type="cellIs" dxfId="3239" priority="147" operator="equal">
      <formula>0</formula>
    </cfRule>
  </conditionalFormatting>
  <conditionalFormatting sqref="K86">
    <cfRule type="cellIs" dxfId="3238" priority="148" operator="equal">
      <formula>0</formula>
    </cfRule>
  </conditionalFormatting>
  <conditionalFormatting sqref="H86:K86">
    <cfRule type="expression" dxfId="3237" priority="149">
      <formula>LEN(TRIM(H86))=0</formula>
    </cfRule>
  </conditionalFormatting>
  <conditionalFormatting sqref="N86:O86">
    <cfRule type="cellIs" dxfId="3236" priority="150" operator="equal">
      <formula>0</formula>
    </cfRule>
  </conditionalFormatting>
  <conditionalFormatting sqref="N86:O86">
    <cfRule type="cellIs" dxfId="3235" priority="151" operator="equal">
      <formula>0</formula>
    </cfRule>
  </conditionalFormatting>
  <conditionalFormatting sqref="N86:O86">
    <cfRule type="expression" dxfId="3234" priority="152">
      <formula>LEN(TRIM(N86))=0</formula>
    </cfRule>
  </conditionalFormatting>
  <conditionalFormatting sqref="J122:N122">
    <cfRule type="cellIs" dxfId="3233" priority="153" operator="equal">
      <formula>0</formula>
    </cfRule>
  </conditionalFormatting>
  <conditionalFormatting sqref="O122">
    <cfRule type="cellIs" dxfId="3232" priority="154" operator="equal">
      <formula>0</formula>
    </cfRule>
  </conditionalFormatting>
  <conditionalFormatting sqref="S153 S123:S151">
    <cfRule type="cellIs" dxfId="3231" priority="155" operator="equal">
      <formula>0</formula>
    </cfRule>
  </conditionalFormatting>
  <conditionalFormatting sqref="S152">
    <cfRule type="cellIs" dxfId="3230" priority="156" operator="equal">
      <formula>0</formula>
    </cfRule>
  </conditionalFormatting>
  <conditionalFormatting sqref="S145:S153 S123:S129 S131:S143">
    <cfRule type="expression" dxfId="3229" priority="157">
      <formula>LEN(TRIM(S123))=0</formula>
    </cfRule>
  </conditionalFormatting>
  <conditionalFormatting sqref="D153:R153 P144:R144 D144:I144 D145:R151 D143:R143 D124:R130 D123:G123 L123:M123 P123:R123">
    <cfRule type="cellIs" dxfId="3228" priority="158" operator="equal">
      <formula>0</formula>
    </cfRule>
  </conditionalFormatting>
  <conditionalFormatting sqref="P123:P125">
    <cfRule type="cellIs" dxfId="3227" priority="159" operator="equal">
      <formula>0</formula>
    </cfRule>
  </conditionalFormatting>
  <conditionalFormatting sqref="P123:R123 L123:M123 D124:R125">
    <cfRule type="cellIs" dxfId="3226" priority="160" operator="equal">
      <formula>0</formula>
    </cfRule>
  </conditionalFormatting>
  <conditionalFormatting sqref="F124:F125">
    <cfRule type="cellIs" dxfId="3225" priority="161" operator="equal">
      <formula>0</formula>
    </cfRule>
  </conditionalFormatting>
  <conditionalFormatting sqref="L123:M123">
    <cfRule type="cellIs" dxfId="3224" priority="162" operator="equal">
      <formula>0</formula>
    </cfRule>
  </conditionalFormatting>
  <conditionalFormatting sqref="J126:J128 J144">
    <cfRule type="cellIs" dxfId="3223" priority="163" operator="equal">
      <formula>0</formula>
    </cfRule>
  </conditionalFormatting>
  <conditionalFormatting sqref="J124:J125">
    <cfRule type="cellIs" dxfId="3222" priority="164" operator="equal">
      <formula>0</formula>
    </cfRule>
  </conditionalFormatting>
  <conditionalFormatting sqref="K126:K128 K144">
    <cfRule type="cellIs" dxfId="3221" priority="165" operator="equal">
      <formula>0</formula>
    </cfRule>
  </conditionalFormatting>
  <conditionalFormatting sqref="K124:K125">
    <cfRule type="cellIs" dxfId="3220" priority="166" operator="equal">
      <formula>0</formula>
    </cfRule>
  </conditionalFormatting>
  <conditionalFormatting sqref="L126:L128 L144">
    <cfRule type="cellIs" dxfId="3219" priority="167" operator="equal">
      <formula>0</formula>
    </cfRule>
  </conditionalFormatting>
  <conditionalFormatting sqref="L123:L125">
    <cfRule type="cellIs" dxfId="3218" priority="168" operator="equal">
      <formula>0</formula>
    </cfRule>
  </conditionalFormatting>
  <conditionalFormatting sqref="M126:M128 M144">
    <cfRule type="cellIs" dxfId="3217" priority="169" operator="equal">
      <formula>0</formula>
    </cfRule>
  </conditionalFormatting>
  <conditionalFormatting sqref="M123:M125">
    <cfRule type="cellIs" dxfId="3216" priority="170" operator="equal">
      <formula>0</formula>
    </cfRule>
  </conditionalFormatting>
  <conditionalFormatting sqref="N126:N128 N144">
    <cfRule type="cellIs" dxfId="3215" priority="171" operator="equal">
      <formula>0</formula>
    </cfRule>
  </conditionalFormatting>
  <conditionalFormatting sqref="N124:N125">
    <cfRule type="cellIs" dxfId="3214" priority="172" operator="equal">
      <formula>0</formula>
    </cfRule>
  </conditionalFormatting>
  <conditionalFormatting sqref="O126:O128 O144">
    <cfRule type="cellIs" dxfId="3213" priority="173" operator="equal">
      <formula>0</formula>
    </cfRule>
  </conditionalFormatting>
  <conditionalFormatting sqref="O124:O125">
    <cfRule type="cellIs" dxfId="3212" priority="174" operator="equal">
      <formula>0</formula>
    </cfRule>
  </conditionalFormatting>
  <conditionalFormatting sqref="D152:R152">
    <cfRule type="cellIs" dxfId="3211" priority="175" operator="equal">
      <formula>0</formula>
    </cfRule>
  </conditionalFormatting>
  <conditionalFormatting sqref="D145:R153 D143:R143 D124:R129 D123:G123 L123:M123 P123:R123">
    <cfRule type="expression" dxfId="3210" priority="176">
      <formula>LEN(TRIM(D123))=0</formula>
    </cfRule>
  </conditionalFormatting>
  <conditionalFormatting sqref="D152:R152">
    <cfRule type="cellIs" dxfId="3209" priority="177" operator="equal">
      <formula>0</formula>
    </cfRule>
  </conditionalFormatting>
  <conditionalFormatting sqref="L126:L127">
    <cfRule type="cellIs" dxfId="3208" priority="178" operator="equal">
      <formula>0</formula>
    </cfRule>
  </conditionalFormatting>
  <conditionalFormatting sqref="M126:M127">
    <cfRule type="cellIs" dxfId="3207" priority="179" operator="equal">
      <formula>0</formula>
    </cfRule>
  </conditionalFormatting>
  <conditionalFormatting sqref="N126:O126">
    <cfRule type="cellIs" dxfId="3206" priority="180" operator="equal">
      <formula>0</formula>
    </cfRule>
  </conditionalFormatting>
  <conditionalFormatting sqref="N127:O127">
    <cfRule type="cellIs" dxfId="3205" priority="181" operator="equal">
      <formula>0</formula>
    </cfRule>
  </conditionalFormatting>
  <conditionalFormatting sqref="D131:R142">
    <cfRule type="cellIs" dxfId="3204" priority="182" operator="equal">
      <formula>0</formula>
    </cfRule>
  </conditionalFormatting>
  <conditionalFormatting sqref="D131:R142">
    <cfRule type="expression" dxfId="3203" priority="183">
      <formula>LEN(TRIM(D131))=0</formula>
    </cfRule>
  </conditionalFormatting>
  <conditionalFormatting sqref="H123">
    <cfRule type="cellIs" dxfId="3202" priority="184" operator="equal">
      <formula>0</formula>
    </cfRule>
  </conditionalFormatting>
  <conditionalFormatting sqref="I123">
    <cfRule type="cellIs" dxfId="3201" priority="185" operator="equal">
      <formula>0</formula>
    </cfRule>
  </conditionalFormatting>
  <conditionalFormatting sqref="J123:K123">
    <cfRule type="cellIs" dxfId="3200" priority="186" operator="equal">
      <formula>0</formula>
    </cfRule>
  </conditionalFormatting>
  <conditionalFormatting sqref="K123">
    <cfRule type="cellIs" dxfId="3199" priority="187" operator="equal">
      <formula>0</formula>
    </cfRule>
  </conditionalFormatting>
  <conditionalFormatting sqref="H123:K123">
    <cfRule type="expression" dxfId="3198" priority="188">
      <formula>LEN(TRIM(H123))=0</formula>
    </cfRule>
  </conditionalFormatting>
  <conditionalFormatting sqref="N123:O123">
    <cfRule type="cellIs" dxfId="3197" priority="189" operator="equal">
      <formula>0</formula>
    </cfRule>
  </conditionalFormatting>
  <conditionalFormatting sqref="N123:O123">
    <cfRule type="cellIs" dxfId="3196" priority="190" operator="equal">
      <formula>0</formula>
    </cfRule>
  </conditionalFormatting>
  <conditionalFormatting sqref="N123:O123">
    <cfRule type="expression" dxfId="3195" priority="191">
      <formula>LEN(TRIM(N123))=0</formula>
    </cfRule>
  </conditionalFormatting>
  <conditionalFormatting sqref="J159:N159">
    <cfRule type="cellIs" dxfId="3194" priority="192" operator="equal">
      <formula>0</formula>
    </cfRule>
  </conditionalFormatting>
  <conditionalFormatting sqref="O159">
    <cfRule type="cellIs" dxfId="3193" priority="193" operator="equal">
      <formula>0</formula>
    </cfRule>
  </conditionalFormatting>
  <conditionalFormatting sqref="S190 S160:S188">
    <cfRule type="cellIs" dxfId="3192" priority="194" operator="equal">
      <formula>0</formula>
    </cfRule>
  </conditionalFormatting>
  <conditionalFormatting sqref="S189">
    <cfRule type="cellIs" dxfId="3191" priority="195" operator="equal">
      <formula>0</formula>
    </cfRule>
  </conditionalFormatting>
  <conditionalFormatting sqref="S182:S190 S160:S166 S168:S180">
    <cfRule type="expression" dxfId="3190" priority="196">
      <formula>LEN(TRIM(S160))=0</formula>
    </cfRule>
  </conditionalFormatting>
  <conditionalFormatting sqref="D190:R190 P181:R181 D181:I181 D182:R188 D180:R180 D161:R167 D160:G160 L160:M160 P160:R160">
    <cfRule type="cellIs" dxfId="3189" priority="197" operator="equal">
      <formula>0</formula>
    </cfRule>
  </conditionalFormatting>
  <conditionalFormatting sqref="P160:P162">
    <cfRule type="cellIs" dxfId="3188" priority="198" operator="equal">
      <formula>0</formula>
    </cfRule>
  </conditionalFormatting>
  <conditionalFormatting sqref="P160:R160 L160:M160 D161:R162">
    <cfRule type="cellIs" dxfId="3187" priority="199" operator="equal">
      <formula>0</formula>
    </cfRule>
  </conditionalFormatting>
  <conditionalFormatting sqref="F161:F162">
    <cfRule type="cellIs" dxfId="3186" priority="200" operator="equal">
      <formula>0</formula>
    </cfRule>
  </conditionalFormatting>
  <conditionalFormatting sqref="L160:M160">
    <cfRule type="cellIs" dxfId="3185" priority="201" operator="equal">
      <formula>0</formula>
    </cfRule>
  </conditionalFormatting>
  <conditionalFormatting sqref="J163:J165 J181">
    <cfRule type="cellIs" dxfId="3184" priority="202" operator="equal">
      <formula>0</formula>
    </cfRule>
  </conditionalFormatting>
  <conditionalFormatting sqref="J161:J162">
    <cfRule type="cellIs" dxfId="3183" priority="203" operator="equal">
      <formula>0</formula>
    </cfRule>
  </conditionalFormatting>
  <conditionalFormatting sqref="K163:K165 K181">
    <cfRule type="cellIs" dxfId="3182" priority="204" operator="equal">
      <formula>0</formula>
    </cfRule>
  </conditionalFormatting>
  <conditionalFormatting sqref="K161:K162">
    <cfRule type="cellIs" dxfId="3181" priority="205" operator="equal">
      <formula>0</formula>
    </cfRule>
  </conditionalFormatting>
  <conditionalFormatting sqref="L163:L165 L181">
    <cfRule type="cellIs" dxfId="3180" priority="206" operator="equal">
      <formula>0</formula>
    </cfRule>
  </conditionalFormatting>
  <conditionalFormatting sqref="L160:L162">
    <cfRule type="cellIs" dxfId="3179" priority="207" operator="equal">
      <formula>0</formula>
    </cfRule>
  </conditionalFormatting>
  <conditionalFormatting sqref="M163:M165 M181">
    <cfRule type="cellIs" dxfId="3178" priority="208" operator="equal">
      <formula>0</formula>
    </cfRule>
  </conditionalFormatting>
  <conditionalFormatting sqref="M160:M162">
    <cfRule type="cellIs" dxfId="3177" priority="209" operator="equal">
      <formula>0</formula>
    </cfRule>
  </conditionalFormatting>
  <conditionalFormatting sqref="N163:N165 N181">
    <cfRule type="cellIs" dxfId="3176" priority="210" operator="equal">
      <formula>0</formula>
    </cfRule>
  </conditionalFormatting>
  <conditionalFormatting sqref="N161:N162">
    <cfRule type="cellIs" dxfId="3175" priority="211" operator="equal">
      <formula>0</formula>
    </cfRule>
  </conditionalFormatting>
  <conditionalFormatting sqref="O163:O165 O181">
    <cfRule type="cellIs" dxfId="3174" priority="212" operator="equal">
      <formula>0</formula>
    </cfRule>
  </conditionalFormatting>
  <conditionalFormatting sqref="O161:O162">
    <cfRule type="cellIs" dxfId="3173" priority="213" operator="equal">
      <formula>0</formula>
    </cfRule>
  </conditionalFormatting>
  <conditionalFormatting sqref="D189:R189">
    <cfRule type="cellIs" dxfId="3172" priority="214" operator="equal">
      <formula>0</formula>
    </cfRule>
  </conditionalFormatting>
  <conditionalFormatting sqref="D182:R190 D180:R180 D161:R166 D160:G160 L160:M160 P160:R160">
    <cfRule type="expression" dxfId="3171" priority="215">
      <formula>LEN(TRIM(D160))=0</formula>
    </cfRule>
  </conditionalFormatting>
  <conditionalFormatting sqref="D189:R189">
    <cfRule type="cellIs" dxfId="3170" priority="216" operator="equal">
      <formula>0</formula>
    </cfRule>
  </conditionalFormatting>
  <conditionalFormatting sqref="L163:L164">
    <cfRule type="cellIs" dxfId="3169" priority="217" operator="equal">
      <formula>0</formula>
    </cfRule>
  </conditionalFormatting>
  <conditionalFormatting sqref="M163:M164">
    <cfRule type="cellIs" dxfId="3168" priority="218" operator="equal">
      <formula>0</formula>
    </cfRule>
  </conditionalFormatting>
  <conditionalFormatting sqref="N163:O163">
    <cfRule type="cellIs" dxfId="3167" priority="219" operator="equal">
      <formula>0</formula>
    </cfRule>
  </conditionalFormatting>
  <conditionalFormatting sqref="N164:O164">
    <cfRule type="cellIs" dxfId="3166" priority="220" operator="equal">
      <formula>0</formula>
    </cfRule>
  </conditionalFormatting>
  <conditionalFormatting sqref="D168:R179">
    <cfRule type="cellIs" dxfId="3165" priority="221" operator="equal">
      <formula>0</formula>
    </cfRule>
  </conditionalFormatting>
  <conditionalFormatting sqref="D168:R179">
    <cfRule type="expression" dxfId="3164" priority="222">
      <formula>LEN(TRIM(D168))=0</formula>
    </cfRule>
  </conditionalFormatting>
  <conditionalFormatting sqref="H160">
    <cfRule type="cellIs" dxfId="3163" priority="223" operator="equal">
      <formula>0</formula>
    </cfRule>
  </conditionalFormatting>
  <conditionalFormatting sqref="I160">
    <cfRule type="cellIs" dxfId="3162" priority="224" operator="equal">
      <formula>0</formula>
    </cfRule>
  </conditionalFormatting>
  <conditionalFormatting sqref="J160:K160">
    <cfRule type="cellIs" dxfId="3161" priority="225" operator="equal">
      <formula>0</formula>
    </cfRule>
  </conditionalFormatting>
  <conditionalFormatting sqref="K160">
    <cfRule type="cellIs" dxfId="3160" priority="226" operator="equal">
      <formula>0</formula>
    </cfRule>
  </conditionalFormatting>
  <conditionalFormatting sqref="H160:K160">
    <cfRule type="expression" dxfId="3159" priority="227">
      <formula>LEN(TRIM(H160))=0</formula>
    </cfRule>
  </conditionalFormatting>
  <conditionalFormatting sqref="N160:O160">
    <cfRule type="cellIs" dxfId="3158" priority="228" operator="equal">
      <formula>0</formula>
    </cfRule>
  </conditionalFormatting>
  <conditionalFormatting sqref="N160:O160">
    <cfRule type="cellIs" dxfId="3157" priority="229" operator="equal">
      <formula>0</formula>
    </cfRule>
  </conditionalFormatting>
  <conditionalFormatting sqref="N160:O160">
    <cfRule type="expression" dxfId="3156" priority="230">
      <formula>LEN(TRIM(N160))=0</formula>
    </cfRule>
  </conditionalFormatting>
  <conditionalFormatting sqref="J196:N196">
    <cfRule type="cellIs" dxfId="3155" priority="231" operator="equal">
      <formula>0</formula>
    </cfRule>
  </conditionalFormatting>
  <conditionalFormatting sqref="O196">
    <cfRule type="cellIs" dxfId="3154" priority="232" operator="equal">
      <formula>0</formula>
    </cfRule>
  </conditionalFormatting>
  <conditionalFormatting sqref="S227 S197:S225">
    <cfRule type="cellIs" dxfId="3153" priority="233" operator="equal">
      <formula>0</formula>
    </cfRule>
  </conditionalFormatting>
  <conditionalFormatting sqref="S226">
    <cfRule type="cellIs" dxfId="3152" priority="234" operator="equal">
      <formula>0</formula>
    </cfRule>
  </conditionalFormatting>
  <conditionalFormatting sqref="S219:S227 S197:S203 S205:S217">
    <cfRule type="expression" dxfId="3151" priority="235">
      <formula>LEN(TRIM(S197))=0</formula>
    </cfRule>
  </conditionalFormatting>
  <conditionalFormatting sqref="D227:R227 P218:R218 D218:I218 D219:R225 D217:R217 D198:R204 D197:G197 L197:M197 P197:R197">
    <cfRule type="cellIs" dxfId="3150" priority="236" operator="equal">
      <formula>0</formula>
    </cfRule>
  </conditionalFormatting>
  <conditionalFormatting sqref="P197:P199">
    <cfRule type="cellIs" dxfId="3149" priority="237" operator="equal">
      <formula>0</formula>
    </cfRule>
  </conditionalFormatting>
  <conditionalFormatting sqref="P197:R197 L197:M197 D198:R199">
    <cfRule type="cellIs" dxfId="3148" priority="238" operator="equal">
      <formula>0</formula>
    </cfRule>
  </conditionalFormatting>
  <conditionalFormatting sqref="F198:F199">
    <cfRule type="cellIs" dxfId="3147" priority="239" operator="equal">
      <formula>0</formula>
    </cfRule>
  </conditionalFormatting>
  <conditionalFormatting sqref="L197:M197">
    <cfRule type="cellIs" dxfId="3146" priority="240" operator="equal">
      <formula>0</formula>
    </cfRule>
  </conditionalFormatting>
  <conditionalFormatting sqref="J200:J202 J218">
    <cfRule type="cellIs" dxfId="3145" priority="241" operator="equal">
      <formula>0</formula>
    </cfRule>
  </conditionalFormatting>
  <conditionalFormatting sqref="J198:J199">
    <cfRule type="cellIs" dxfId="3144" priority="242" operator="equal">
      <formula>0</formula>
    </cfRule>
  </conditionalFormatting>
  <conditionalFormatting sqref="K200:K202 K218">
    <cfRule type="cellIs" dxfId="3143" priority="243" operator="equal">
      <formula>0</formula>
    </cfRule>
  </conditionalFormatting>
  <conditionalFormatting sqref="K198:K199">
    <cfRule type="cellIs" dxfId="3142" priority="244" operator="equal">
      <formula>0</formula>
    </cfRule>
  </conditionalFormatting>
  <conditionalFormatting sqref="L200:L202 L218">
    <cfRule type="cellIs" dxfId="3141" priority="245" operator="equal">
      <formula>0</formula>
    </cfRule>
  </conditionalFormatting>
  <conditionalFormatting sqref="L197:L199">
    <cfRule type="cellIs" dxfId="3140" priority="246" operator="equal">
      <formula>0</formula>
    </cfRule>
  </conditionalFormatting>
  <conditionalFormatting sqref="M200:M202 M218">
    <cfRule type="cellIs" dxfId="3139" priority="247" operator="equal">
      <formula>0</formula>
    </cfRule>
  </conditionalFormatting>
  <conditionalFormatting sqref="M197:M199">
    <cfRule type="cellIs" dxfId="3138" priority="248" operator="equal">
      <formula>0</formula>
    </cfRule>
  </conditionalFormatting>
  <conditionalFormatting sqref="N200:N202 N218">
    <cfRule type="cellIs" dxfId="3137" priority="249" operator="equal">
      <formula>0</formula>
    </cfRule>
  </conditionalFormatting>
  <conditionalFormatting sqref="N198:N199">
    <cfRule type="cellIs" dxfId="3136" priority="250" operator="equal">
      <formula>0</formula>
    </cfRule>
  </conditionalFormatting>
  <conditionalFormatting sqref="O200:O202 O218">
    <cfRule type="cellIs" dxfId="3135" priority="251" operator="equal">
      <formula>0</formula>
    </cfRule>
  </conditionalFormatting>
  <conditionalFormatting sqref="O198:O199">
    <cfRule type="cellIs" dxfId="3134" priority="252" operator="equal">
      <formula>0</formula>
    </cfRule>
  </conditionalFormatting>
  <conditionalFormatting sqref="D226:R226">
    <cfRule type="cellIs" dxfId="3133" priority="253" operator="equal">
      <formula>0</formula>
    </cfRule>
  </conditionalFormatting>
  <conditionalFormatting sqref="D219:R227 D217:R217 D198:R203 D197:G197 L197:M197 P197:R197">
    <cfRule type="expression" dxfId="3132" priority="254">
      <formula>LEN(TRIM(D197))=0</formula>
    </cfRule>
  </conditionalFormatting>
  <conditionalFormatting sqref="D226:R226">
    <cfRule type="cellIs" dxfId="3131" priority="255" operator="equal">
      <formula>0</formula>
    </cfRule>
  </conditionalFormatting>
  <conditionalFormatting sqref="L200:L201">
    <cfRule type="cellIs" dxfId="3130" priority="256" operator="equal">
      <formula>0</formula>
    </cfRule>
  </conditionalFormatting>
  <conditionalFormatting sqref="M200:M201">
    <cfRule type="cellIs" dxfId="3129" priority="257" operator="equal">
      <formula>0</formula>
    </cfRule>
  </conditionalFormatting>
  <conditionalFormatting sqref="N200:O200">
    <cfRule type="cellIs" dxfId="3128" priority="258" operator="equal">
      <formula>0</formula>
    </cfRule>
  </conditionalFormatting>
  <conditionalFormatting sqref="N201:O201">
    <cfRule type="cellIs" dxfId="3127" priority="259" operator="equal">
      <formula>0</formula>
    </cfRule>
  </conditionalFormatting>
  <conditionalFormatting sqref="D205:R216">
    <cfRule type="cellIs" dxfId="3126" priority="260" operator="equal">
      <formula>0</formula>
    </cfRule>
  </conditionalFormatting>
  <conditionalFormatting sqref="D205:R216">
    <cfRule type="expression" dxfId="3125" priority="261">
      <formula>LEN(TRIM(D205))=0</formula>
    </cfRule>
  </conditionalFormatting>
  <conditionalFormatting sqref="H197">
    <cfRule type="cellIs" dxfId="3124" priority="262" operator="equal">
      <formula>0</formula>
    </cfRule>
  </conditionalFormatting>
  <conditionalFormatting sqref="I197">
    <cfRule type="cellIs" dxfId="3123" priority="263" operator="equal">
      <formula>0</formula>
    </cfRule>
  </conditionalFormatting>
  <conditionalFormatting sqref="J197:K197">
    <cfRule type="cellIs" dxfId="3122" priority="264" operator="equal">
      <formula>0</formula>
    </cfRule>
  </conditionalFormatting>
  <conditionalFormatting sqref="K197">
    <cfRule type="cellIs" dxfId="3121" priority="265" operator="equal">
      <formula>0</formula>
    </cfRule>
  </conditionalFormatting>
  <conditionalFormatting sqref="H197:K197">
    <cfRule type="expression" dxfId="3120" priority="266">
      <formula>LEN(TRIM(H197))=0</formula>
    </cfRule>
  </conditionalFormatting>
  <conditionalFormatting sqref="N197:O197">
    <cfRule type="cellIs" dxfId="3119" priority="267" operator="equal">
      <formula>0</formula>
    </cfRule>
  </conditionalFormatting>
  <conditionalFormatting sqref="N197:O197">
    <cfRule type="cellIs" dxfId="3118" priority="268" operator="equal">
      <formula>0</formula>
    </cfRule>
  </conditionalFormatting>
  <conditionalFormatting sqref="N197:O197">
    <cfRule type="expression" dxfId="3117" priority="269">
      <formula>LEN(TRIM(N197))=0</formula>
    </cfRule>
  </conditionalFormatting>
  <conditionalFormatting sqref="J233:N233">
    <cfRule type="cellIs" dxfId="3116" priority="270" operator="equal">
      <formula>0</formula>
    </cfRule>
  </conditionalFormatting>
  <conditionalFormatting sqref="O233">
    <cfRule type="cellIs" dxfId="3115" priority="271" operator="equal">
      <formula>0</formula>
    </cfRule>
  </conditionalFormatting>
  <conditionalFormatting sqref="S264 S234:S262">
    <cfRule type="cellIs" dxfId="3114" priority="272" operator="equal">
      <formula>0</formula>
    </cfRule>
  </conditionalFormatting>
  <conditionalFormatting sqref="S263">
    <cfRule type="cellIs" dxfId="3113" priority="273" operator="equal">
      <formula>0</formula>
    </cfRule>
  </conditionalFormatting>
  <conditionalFormatting sqref="S256:S264 S234:S240 S242:S254">
    <cfRule type="expression" dxfId="3112" priority="274">
      <formula>LEN(TRIM(S234))=0</formula>
    </cfRule>
  </conditionalFormatting>
  <conditionalFormatting sqref="D264:R264 P255:R255 D255:I255 D256:R262 D254:R254 D235:R241 D234:G234 L234:M234 P234:R234">
    <cfRule type="cellIs" dxfId="3111" priority="275" operator="equal">
      <formula>0</formula>
    </cfRule>
  </conditionalFormatting>
  <conditionalFormatting sqref="P234:P236">
    <cfRule type="cellIs" dxfId="3110" priority="276" operator="equal">
      <formula>0</formula>
    </cfRule>
  </conditionalFormatting>
  <conditionalFormatting sqref="P234:R234 L234:M234 D235:R236">
    <cfRule type="cellIs" dxfId="3109" priority="277" operator="equal">
      <formula>0</formula>
    </cfRule>
  </conditionalFormatting>
  <conditionalFormatting sqref="F235:F236">
    <cfRule type="cellIs" dxfId="3108" priority="278" operator="equal">
      <formula>0</formula>
    </cfRule>
  </conditionalFormatting>
  <conditionalFormatting sqref="L234:M234">
    <cfRule type="cellIs" dxfId="3107" priority="279" operator="equal">
      <formula>0</formula>
    </cfRule>
  </conditionalFormatting>
  <conditionalFormatting sqref="J237:J239 J255">
    <cfRule type="cellIs" dxfId="3106" priority="280" operator="equal">
      <formula>0</formula>
    </cfRule>
  </conditionalFormatting>
  <conditionalFormatting sqref="J235:J236">
    <cfRule type="cellIs" dxfId="3105" priority="281" operator="equal">
      <formula>0</formula>
    </cfRule>
  </conditionalFormatting>
  <conditionalFormatting sqref="K237:K239 K255">
    <cfRule type="cellIs" dxfId="3104" priority="282" operator="equal">
      <formula>0</formula>
    </cfRule>
  </conditionalFormatting>
  <conditionalFormatting sqref="K235:K236">
    <cfRule type="cellIs" dxfId="3103" priority="283" operator="equal">
      <formula>0</formula>
    </cfRule>
  </conditionalFormatting>
  <conditionalFormatting sqref="L237:L239 L255">
    <cfRule type="cellIs" dxfId="3102" priority="284" operator="equal">
      <formula>0</formula>
    </cfRule>
  </conditionalFormatting>
  <conditionalFormatting sqref="L234:L236">
    <cfRule type="cellIs" dxfId="3101" priority="285" operator="equal">
      <formula>0</formula>
    </cfRule>
  </conditionalFormatting>
  <conditionalFormatting sqref="M237:M239 M255">
    <cfRule type="cellIs" dxfId="3100" priority="286" operator="equal">
      <formula>0</formula>
    </cfRule>
  </conditionalFormatting>
  <conditionalFormatting sqref="M234:M236">
    <cfRule type="cellIs" dxfId="3099" priority="287" operator="equal">
      <formula>0</formula>
    </cfRule>
  </conditionalFormatting>
  <conditionalFormatting sqref="N237:N239 N255">
    <cfRule type="cellIs" dxfId="3098" priority="288" operator="equal">
      <formula>0</formula>
    </cfRule>
  </conditionalFormatting>
  <conditionalFormatting sqref="N235:N236">
    <cfRule type="cellIs" dxfId="3097" priority="289" operator="equal">
      <formula>0</formula>
    </cfRule>
  </conditionalFormatting>
  <conditionalFormatting sqref="O237:O239 O255">
    <cfRule type="cellIs" dxfId="3096" priority="290" operator="equal">
      <formula>0</formula>
    </cfRule>
  </conditionalFormatting>
  <conditionalFormatting sqref="O235:O236">
    <cfRule type="cellIs" dxfId="3095" priority="291" operator="equal">
      <formula>0</formula>
    </cfRule>
  </conditionalFormatting>
  <conditionalFormatting sqref="D263:R263">
    <cfRule type="cellIs" dxfId="3094" priority="292" operator="equal">
      <formula>0</formula>
    </cfRule>
  </conditionalFormatting>
  <conditionalFormatting sqref="D256:R264 D254:R254 D235:R240 D234:G234 L234:M234 P234:R234">
    <cfRule type="expression" dxfId="3093" priority="293">
      <formula>LEN(TRIM(D234))=0</formula>
    </cfRule>
  </conditionalFormatting>
  <conditionalFormatting sqref="D263:R263">
    <cfRule type="cellIs" dxfId="3092" priority="294" operator="equal">
      <formula>0</formula>
    </cfRule>
  </conditionalFormatting>
  <conditionalFormatting sqref="L237:L238">
    <cfRule type="cellIs" dxfId="3091" priority="295" operator="equal">
      <formula>0</formula>
    </cfRule>
  </conditionalFormatting>
  <conditionalFormatting sqref="M237:M238">
    <cfRule type="cellIs" dxfId="3090" priority="296" operator="equal">
      <formula>0</formula>
    </cfRule>
  </conditionalFormatting>
  <conditionalFormatting sqref="N237:O237">
    <cfRule type="cellIs" dxfId="3089" priority="297" operator="equal">
      <formula>0</formula>
    </cfRule>
  </conditionalFormatting>
  <conditionalFormatting sqref="N238:O238">
    <cfRule type="cellIs" dxfId="3088" priority="298" operator="equal">
      <formula>0</formula>
    </cfRule>
  </conditionalFormatting>
  <conditionalFormatting sqref="D242:R253">
    <cfRule type="cellIs" dxfId="3087" priority="299" operator="equal">
      <formula>0</formula>
    </cfRule>
  </conditionalFormatting>
  <conditionalFormatting sqref="D242:R253">
    <cfRule type="expression" dxfId="3086" priority="300">
      <formula>LEN(TRIM(D242))=0</formula>
    </cfRule>
  </conditionalFormatting>
  <conditionalFormatting sqref="H234">
    <cfRule type="cellIs" dxfId="3085" priority="301" operator="equal">
      <formula>0</formula>
    </cfRule>
  </conditionalFormatting>
  <conditionalFormatting sqref="I234">
    <cfRule type="cellIs" dxfId="3084" priority="302" operator="equal">
      <formula>0</formula>
    </cfRule>
  </conditionalFormatting>
  <conditionalFormatting sqref="J234:K234">
    <cfRule type="cellIs" dxfId="3083" priority="303" operator="equal">
      <formula>0</formula>
    </cfRule>
  </conditionalFormatting>
  <conditionalFormatting sqref="K234">
    <cfRule type="cellIs" dxfId="3082" priority="304" operator="equal">
      <formula>0</formula>
    </cfRule>
  </conditionalFormatting>
  <conditionalFormatting sqref="H234:K234">
    <cfRule type="expression" dxfId="3081" priority="305">
      <formula>LEN(TRIM(H234))=0</formula>
    </cfRule>
  </conditionalFormatting>
  <conditionalFormatting sqref="N234:O234">
    <cfRule type="cellIs" dxfId="3080" priority="306" operator="equal">
      <formula>0</formula>
    </cfRule>
  </conditionalFormatting>
  <conditionalFormatting sqref="N234:O234">
    <cfRule type="cellIs" dxfId="3079" priority="307" operator="equal">
      <formula>0</formula>
    </cfRule>
  </conditionalFormatting>
  <conditionalFormatting sqref="N234:O234">
    <cfRule type="expression" dxfId="3078" priority="308">
      <formula>LEN(TRIM(N234))=0</formula>
    </cfRule>
  </conditionalFormatting>
  <conditionalFormatting sqref="J270:N270">
    <cfRule type="cellIs" dxfId="3077" priority="309" operator="equal">
      <formula>0</formula>
    </cfRule>
  </conditionalFormatting>
  <conditionalFormatting sqref="O270">
    <cfRule type="cellIs" dxfId="3076" priority="310" operator="equal">
      <formula>0</formula>
    </cfRule>
  </conditionalFormatting>
  <conditionalFormatting sqref="S301 S271:S299">
    <cfRule type="cellIs" dxfId="3075" priority="311" operator="equal">
      <formula>0</formula>
    </cfRule>
  </conditionalFormatting>
  <conditionalFormatting sqref="S300">
    <cfRule type="cellIs" dxfId="3074" priority="312" operator="equal">
      <formula>0</formula>
    </cfRule>
  </conditionalFormatting>
  <conditionalFormatting sqref="S293:S301 S271:S277 S279:S291">
    <cfRule type="expression" dxfId="3073" priority="313">
      <formula>LEN(TRIM(S271))=0</formula>
    </cfRule>
  </conditionalFormatting>
  <conditionalFormatting sqref="D301:R301 P292:R292 D292:I292 D293:R299 D291:R291 D272:R278 D271:G271 L271:M271 P271:R271">
    <cfRule type="cellIs" dxfId="3072" priority="314" operator="equal">
      <formula>0</formula>
    </cfRule>
  </conditionalFormatting>
  <conditionalFormatting sqref="P271:P273">
    <cfRule type="cellIs" dxfId="3071" priority="315" operator="equal">
      <formula>0</formula>
    </cfRule>
  </conditionalFormatting>
  <conditionalFormatting sqref="P271:R271 L271:M271 D272:R273">
    <cfRule type="cellIs" dxfId="3070" priority="316" operator="equal">
      <formula>0</formula>
    </cfRule>
  </conditionalFormatting>
  <conditionalFormatting sqref="F272:F273">
    <cfRule type="cellIs" dxfId="3069" priority="317" operator="equal">
      <formula>0</formula>
    </cfRule>
  </conditionalFormatting>
  <conditionalFormatting sqref="L271:M271">
    <cfRule type="cellIs" dxfId="3068" priority="318" operator="equal">
      <formula>0</formula>
    </cfRule>
  </conditionalFormatting>
  <conditionalFormatting sqref="J274:J276 J292">
    <cfRule type="cellIs" dxfId="3067" priority="319" operator="equal">
      <formula>0</formula>
    </cfRule>
  </conditionalFormatting>
  <conditionalFormatting sqref="J272:J273">
    <cfRule type="cellIs" dxfId="3066" priority="320" operator="equal">
      <formula>0</formula>
    </cfRule>
  </conditionalFormatting>
  <conditionalFormatting sqref="K274:K276 K292">
    <cfRule type="cellIs" dxfId="3065" priority="321" operator="equal">
      <formula>0</formula>
    </cfRule>
  </conditionalFormatting>
  <conditionalFormatting sqref="K272:K273">
    <cfRule type="cellIs" dxfId="3064" priority="322" operator="equal">
      <formula>0</formula>
    </cfRule>
  </conditionalFormatting>
  <conditionalFormatting sqref="L274:L276 L292">
    <cfRule type="cellIs" dxfId="3063" priority="323" operator="equal">
      <formula>0</formula>
    </cfRule>
  </conditionalFormatting>
  <conditionalFormatting sqref="L271:L273">
    <cfRule type="cellIs" dxfId="3062" priority="324" operator="equal">
      <formula>0</formula>
    </cfRule>
  </conditionalFormatting>
  <conditionalFormatting sqref="M274:M276 M292">
    <cfRule type="cellIs" dxfId="3061" priority="325" operator="equal">
      <formula>0</formula>
    </cfRule>
  </conditionalFormatting>
  <conditionalFormatting sqref="M271:M273">
    <cfRule type="cellIs" dxfId="3060" priority="326" operator="equal">
      <formula>0</formula>
    </cfRule>
  </conditionalFormatting>
  <conditionalFormatting sqref="N274:N276 N292">
    <cfRule type="cellIs" dxfId="3059" priority="327" operator="equal">
      <formula>0</formula>
    </cfRule>
  </conditionalFormatting>
  <conditionalFormatting sqref="N272:N273">
    <cfRule type="cellIs" dxfId="3058" priority="328" operator="equal">
      <formula>0</formula>
    </cfRule>
  </conditionalFormatting>
  <conditionalFormatting sqref="O274:O276 O292">
    <cfRule type="cellIs" dxfId="3057" priority="329" operator="equal">
      <formula>0</formula>
    </cfRule>
  </conditionalFormatting>
  <conditionalFormatting sqref="O272:O273">
    <cfRule type="cellIs" dxfId="3056" priority="330" operator="equal">
      <formula>0</formula>
    </cfRule>
  </conditionalFormatting>
  <conditionalFormatting sqref="D300:R300">
    <cfRule type="cellIs" dxfId="3055" priority="331" operator="equal">
      <formula>0</formula>
    </cfRule>
  </conditionalFormatting>
  <conditionalFormatting sqref="D293:R301 D291:R291 D272:R277 D271:G271 L271:M271 P271:R271">
    <cfRule type="expression" dxfId="3054" priority="332">
      <formula>LEN(TRIM(D271))=0</formula>
    </cfRule>
  </conditionalFormatting>
  <conditionalFormatting sqref="D300:R300">
    <cfRule type="cellIs" dxfId="3053" priority="333" operator="equal">
      <formula>0</formula>
    </cfRule>
  </conditionalFormatting>
  <conditionalFormatting sqref="L274:L275">
    <cfRule type="cellIs" dxfId="3052" priority="334" operator="equal">
      <formula>0</formula>
    </cfRule>
  </conditionalFormatting>
  <conditionalFormatting sqref="M274:M275">
    <cfRule type="cellIs" dxfId="3051" priority="335" operator="equal">
      <formula>0</formula>
    </cfRule>
  </conditionalFormatting>
  <conditionalFormatting sqref="N274:O274">
    <cfRule type="cellIs" dxfId="3050" priority="336" operator="equal">
      <formula>0</formula>
    </cfRule>
  </conditionalFormatting>
  <conditionalFormatting sqref="N275:O275">
    <cfRule type="cellIs" dxfId="3049" priority="337" operator="equal">
      <formula>0</formula>
    </cfRule>
  </conditionalFormatting>
  <conditionalFormatting sqref="D279:R290">
    <cfRule type="cellIs" dxfId="3048" priority="338" operator="equal">
      <formula>0</formula>
    </cfRule>
  </conditionalFormatting>
  <conditionalFormatting sqref="D279:R290">
    <cfRule type="expression" dxfId="3047" priority="339">
      <formula>LEN(TRIM(D279))=0</formula>
    </cfRule>
  </conditionalFormatting>
  <conditionalFormatting sqref="H271">
    <cfRule type="cellIs" dxfId="3046" priority="340" operator="equal">
      <formula>0</formula>
    </cfRule>
  </conditionalFormatting>
  <conditionalFormatting sqref="I271">
    <cfRule type="cellIs" dxfId="3045" priority="341" operator="equal">
      <formula>0</formula>
    </cfRule>
  </conditionalFormatting>
  <conditionalFormatting sqref="J271:K271">
    <cfRule type="cellIs" dxfId="3044" priority="342" operator="equal">
      <formula>0</formula>
    </cfRule>
  </conditionalFormatting>
  <conditionalFormatting sqref="K271">
    <cfRule type="cellIs" dxfId="3043" priority="343" operator="equal">
      <formula>0</formula>
    </cfRule>
  </conditionalFormatting>
  <conditionalFormatting sqref="H271:K271">
    <cfRule type="expression" dxfId="3042" priority="344">
      <formula>LEN(TRIM(H271))=0</formula>
    </cfRule>
  </conditionalFormatting>
  <conditionalFormatting sqref="N271:O271">
    <cfRule type="cellIs" dxfId="3041" priority="345" operator="equal">
      <formula>0</formula>
    </cfRule>
  </conditionalFormatting>
  <conditionalFormatting sqref="N271:O271">
    <cfRule type="cellIs" dxfId="3040" priority="346" operator="equal">
      <formula>0</formula>
    </cfRule>
  </conditionalFormatting>
  <conditionalFormatting sqref="N271:O271">
    <cfRule type="expression" dxfId="3039" priority="347">
      <formula>LEN(TRIM(N271))=0</formula>
    </cfRule>
  </conditionalFormatting>
  <conditionalFormatting sqref="J307:N307">
    <cfRule type="cellIs" dxfId="3038" priority="348" operator="equal">
      <formula>0</formula>
    </cfRule>
  </conditionalFormatting>
  <conditionalFormatting sqref="O307">
    <cfRule type="cellIs" dxfId="3037" priority="349" operator="equal">
      <formula>0</formula>
    </cfRule>
  </conditionalFormatting>
  <conditionalFormatting sqref="S338 S308:S310">
    <cfRule type="cellIs" dxfId="3036" priority="350" operator="equal">
      <formula>0</formula>
    </cfRule>
  </conditionalFormatting>
  <conditionalFormatting sqref="S337">
    <cfRule type="cellIs" dxfId="3035" priority="351" operator="equal">
      <formula>0</formula>
    </cfRule>
  </conditionalFormatting>
  <conditionalFormatting sqref="S330:S338 S308:S310 S313:S314">
    <cfRule type="expression" dxfId="3034" priority="352">
      <formula>LEN(TRIM(S308))=0</formula>
    </cfRule>
  </conditionalFormatting>
  <conditionalFormatting sqref="S311:S312">
    <cfRule type="cellIs" dxfId="3033" priority="353" operator="equal">
      <formula>0</formula>
    </cfRule>
  </conditionalFormatting>
  <conditionalFormatting sqref="S311:S312">
    <cfRule type="expression" dxfId="3032" priority="354">
      <formula>LEN(TRIM(S311))=0</formula>
    </cfRule>
  </conditionalFormatting>
  <conditionalFormatting sqref="S316:S327">
    <cfRule type="cellIs" dxfId="3031" priority="355" operator="equal">
      <formula>0</formula>
    </cfRule>
  </conditionalFormatting>
  <conditionalFormatting sqref="S316:S327">
    <cfRule type="expression" dxfId="3030" priority="356">
      <formula>LEN(TRIM(S316))=0</formula>
    </cfRule>
  </conditionalFormatting>
  <conditionalFormatting sqref="D338:R338 P329:R329 D329:I329 D330:R336 D328:R328 D309:R315 D308:G308 L308:M308 P308:R308">
    <cfRule type="cellIs" dxfId="3029" priority="357" operator="equal">
      <formula>0</formula>
    </cfRule>
  </conditionalFormatting>
  <conditionalFormatting sqref="P308:P310">
    <cfRule type="cellIs" dxfId="3028" priority="358" operator="equal">
      <formula>0</formula>
    </cfRule>
  </conditionalFormatting>
  <conditionalFormatting sqref="P308:R308 L308:M308 D309:R310">
    <cfRule type="cellIs" dxfId="3027" priority="359" operator="equal">
      <formula>0</formula>
    </cfRule>
  </conditionalFormatting>
  <conditionalFormatting sqref="F309:F310">
    <cfRule type="cellIs" dxfId="3026" priority="360" operator="equal">
      <formula>0</formula>
    </cfRule>
  </conditionalFormatting>
  <conditionalFormatting sqref="L308:M308">
    <cfRule type="cellIs" dxfId="3025" priority="361" operator="equal">
      <formula>0</formula>
    </cfRule>
  </conditionalFormatting>
  <conditionalFormatting sqref="J311:J313 J329">
    <cfRule type="cellIs" dxfId="3024" priority="362" operator="equal">
      <formula>0</formula>
    </cfRule>
  </conditionalFormatting>
  <conditionalFormatting sqref="J309:J310">
    <cfRule type="cellIs" dxfId="3023" priority="363" operator="equal">
      <formula>0</formula>
    </cfRule>
  </conditionalFormatting>
  <conditionalFormatting sqref="K311:K313 K329">
    <cfRule type="cellIs" dxfId="3022" priority="364" operator="equal">
      <formula>0</formula>
    </cfRule>
  </conditionalFormatting>
  <conditionalFormatting sqref="K309:K310">
    <cfRule type="cellIs" dxfId="3021" priority="365" operator="equal">
      <formula>0</formula>
    </cfRule>
  </conditionalFormatting>
  <conditionalFormatting sqref="L311:L313 L329">
    <cfRule type="cellIs" dxfId="3020" priority="366" operator="equal">
      <formula>0</formula>
    </cfRule>
  </conditionalFormatting>
  <conditionalFormatting sqref="L308:L310">
    <cfRule type="cellIs" dxfId="3019" priority="367" operator="equal">
      <formula>0</formula>
    </cfRule>
  </conditionalFormatting>
  <conditionalFormatting sqref="M311:M313 M329">
    <cfRule type="cellIs" dxfId="3018" priority="368" operator="equal">
      <formula>0</formula>
    </cfRule>
  </conditionalFormatting>
  <conditionalFormatting sqref="M308:M310">
    <cfRule type="cellIs" dxfId="3017" priority="369" operator="equal">
      <formula>0</formula>
    </cfRule>
  </conditionalFormatting>
  <conditionalFormatting sqref="N311:N313 N329">
    <cfRule type="cellIs" dxfId="3016" priority="370" operator="equal">
      <formula>0</formula>
    </cfRule>
  </conditionalFormatting>
  <conditionalFormatting sqref="N309:N310">
    <cfRule type="cellIs" dxfId="3015" priority="371" operator="equal">
      <formula>0</formula>
    </cfRule>
  </conditionalFormatting>
  <conditionalFormatting sqref="O311:O313 O329">
    <cfRule type="cellIs" dxfId="3014" priority="372" operator="equal">
      <formula>0</formula>
    </cfRule>
  </conditionalFormatting>
  <conditionalFormatting sqref="O309:O310">
    <cfRule type="cellIs" dxfId="3013" priority="373" operator="equal">
      <formula>0</formula>
    </cfRule>
  </conditionalFormatting>
  <conditionalFormatting sqref="D337:R337">
    <cfRule type="cellIs" dxfId="3012" priority="374" operator="equal">
      <formula>0</formula>
    </cfRule>
  </conditionalFormatting>
  <conditionalFormatting sqref="D330:R338 D328:R328 D309:R314 D308:G308 L308:M308 P308:R308">
    <cfRule type="expression" dxfId="3011" priority="375">
      <formula>LEN(TRIM(D308))=0</formula>
    </cfRule>
  </conditionalFormatting>
  <conditionalFormatting sqref="D337:R337">
    <cfRule type="cellIs" dxfId="3010" priority="376" operator="equal">
      <formula>0</formula>
    </cfRule>
  </conditionalFormatting>
  <conditionalFormatting sqref="L311:L312">
    <cfRule type="cellIs" dxfId="3009" priority="377" operator="equal">
      <formula>0</formula>
    </cfRule>
  </conditionalFormatting>
  <conditionalFormatting sqref="M311:M312">
    <cfRule type="cellIs" dxfId="3008" priority="378" operator="equal">
      <formula>0</formula>
    </cfRule>
  </conditionalFormatting>
  <conditionalFormatting sqref="N311:O311">
    <cfRule type="cellIs" dxfId="3007" priority="379" operator="equal">
      <formula>0</formula>
    </cfRule>
  </conditionalFormatting>
  <conditionalFormatting sqref="N312:O312">
    <cfRule type="cellIs" dxfId="3006" priority="380" operator="equal">
      <formula>0</formula>
    </cfRule>
  </conditionalFormatting>
  <conditionalFormatting sqref="D316:R327">
    <cfRule type="cellIs" dxfId="3005" priority="381" operator="equal">
      <formula>0</formula>
    </cfRule>
  </conditionalFormatting>
  <conditionalFormatting sqref="D316:R327">
    <cfRule type="expression" dxfId="3004" priority="382">
      <formula>LEN(TRIM(D316))=0</formula>
    </cfRule>
  </conditionalFormatting>
  <conditionalFormatting sqref="H308">
    <cfRule type="cellIs" dxfId="3003" priority="383" operator="equal">
      <formula>0</formula>
    </cfRule>
  </conditionalFormatting>
  <conditionalFormatting sqref="I308">
    <cfRule type="cellIs" dxfId="3002" priority="384" operator="equal">
      <formula>0</formula>
    </cfRule>
  </conditionalFormatting>
  <conditionalFormatting sqref="J308:K308">
    <cfRule type="cellIs" dxfId="3001" priority="385" operator="equal">
      <formula>0</formula>
    </cfRule>
  </conditionalFormatting>
  <conditionalFormatting sqref="K308">
    <cfRule type="cellIs" dxfId="3000" priority="386" operator="equal">
      <formula>0</formula>
    </cfRule>
  </conditionalFormatting>
  <conditionalFormatting sqref="H308:K308">
    <cfRule type="expression" dxfId="2999" priority="387">
      <formula>LEN(TRIM(H308))=0</formula>
    </cfRule>
  </conditionalFormatting>
  <conditionalFormatting sqref="N308:O308">
    <cfRule type="cellIs" dxfId="2998" priority="388" operator="equal">
      <formula>0</formula>
    </cfRule>
  </conditionalFormatting>
  <conditionalFormatting sqref="N308:O308">
    <cfRule type="cellIs" dxfId="2997" priority="389" operator="equal">
      <formula>0</formula>
    </cfRule>
  </conditionalFormatting>
  <conditionalFormatting sqref="N308:O308">
    <cfRule type="expression" dxfId="2996" priority="390">
      <formula>LEN(TRIM(N308))=0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AA2B2-8F49-4A43-92F7-0C9CEC29BF70}">
  <dimension ref="B2:T303"/>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359</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1">
        <v>0</v>
      </c>
      <c r="G12" s="421">
        <v>0.18608</v>
      </c>
      <c r="H12" s="422">
        <v>1083.7741046832</v>
      </c>
      <c r="I12" s="422">
        <v>178.309090909091</v>
      </c>
      <c r="J12" s="422">
        <v>222.134568786812</v>
      </c>
      <c r="K12" s="422">
        <v>35.473118004210797</v>
      </c>
      <c r="L12" s="421">
        <v>0</v>
      </c>
      <c r="M12" s="421">
        <v>0</v>
      </c>
      <c r="N12" s="422">
        <v>54.688192188589603</v>
      </c>
      <c r="O12" s="422">
        <v>8.0158524947922398</v>
      </c>
      <c r="P12" s="421">
        <v>0</v>
      </c>
      <c r="Q12" s="421">
        <v>0</v>
      </c>
      <c r="R12" s="421">
        <v>0</v>
      </c>
      <c r="S12" s="423">
        <v>1592.35020706669</v>
      </c>
      <c r="T12" s="412"/>
    </row>
    <row r="13" spans="2:20" ht="13.5">
      <c r="B13" s="412"/>
      <c r="C13" s="420" t="s">
        <v>60</v>
      </c>
      <c r="D13" s="421">
        <v>20.263748329507301</v>
      </c>
      <c r="E13" s="421">
        <v>439.73434116717101</v>
      </c>
      <c r="F13" s="421">
        <v>174.80444040113099</v>
      </c>
      <c r="G13" s="421">
        <v>330.67230734863398</v>
      </c>
      <c r="H13" s="421">
        <v>0</v>
      </c>
      <c r="I13" s="421">
        <v>0</v>
      </c>
      <c r="J13" s="421">
        <v>0</v>
      </c>
      <c r="K13" s="421">
        <v>0</v>
      </c>
      <c r="L13" s="421">
        <v>0</v>
      </c>
      <c r="M13" s="421">
        <v>0</v>
      </c>
      <c r="N13" s="421">
        <v>0</v>
      </c>
      <c r="O13" s="421">
        <v>0</v>
      </c>
      <c r="P13" s="421">
        <v>0</v>
      </c>
      <c r="Q13" s="421">
        <v>0</v>
      </c>
      <c r="R13" s="421">
        <v>0</v>
      </c>
      <c r="S13" s="423">
        <v>965.47483724644405</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-52.7574154473186</v>
      </c>
      <c r="Q14" s="421">
        <v>0</v>
      </c>
      <c r="R14" s="421">
        <v>0</v>
      </c>
      <c r="S14" s="423">
        <v>-52.7574154473186</v>
      </c>
      <c r="T14" s="412"/>
    </row>
    <row r="15" spans="2:20" ht="13.5">
      <c r="B15" s="412"/>
      <c r="C15" s="420" t="s">
        <v>62</v>
      </c>
      <c r="D15" s="421">
        <v>0</v>
      </c>
      <c r="E15" s="421">
        <v>0</v>
      </c>
      <c r="F15" s="421">
        <v>-16.8430892984614</v>
      </c>
      <c r="G15" s="421">
        <v>-3.3709705649534398E-2</v>
      </c>
      <c r="H15" s="421">
        <v>0</v>
      </c>
      <c r="I15" s="421">
        <v>0</v>
      </c>
      <c r="J15" s="421">
        <v>0</v>
      </c>
      <c r="K15" s="421">
        <v>0</v>
      </c>
      <c r="L15" s="421">
        <v>0</v>
      </c>
      <c r="M15" s="421">
        <v>-3.74552284994826E-3</v>
      </c>
      <c r="N15" s="421">
        <v>0</v>
      </c>
      <c r="O15" s="421">
        <v>0</v>
      </c>
      <c r="P15" s="421">
        <v>0</v>
      </c>
      <c r="Q15" s="421">
        <v>0</v>
      </c>
      <c r="R15" s="421">
        <v>0</v>
      </c>
      <c r="S15" s="423">
        <v>-16.880544526960801</v>
      </c>
      <c r="T15" s="412"/>
    </row>
    <row r="16" spans="2:20" ht="13.5">
      <c r="B16" s="412"/>
      <c r="C16" s="420" t="s">
        <v>63</v>
      </c>
      <c r="D16" s="421">
        <v>0</v>
      </c>
      <c r="E16" s="421">
        <v>0</v>
      </c>
      <c r="F16" s="421">
        <v>-75.677655886771902</v>
      </c>
      <c r="G16" s="421">
        <v>0</v>
      </c>
      <c r="H16" s="421">
        <v>0</v>
      </c>
      <c r="I16" s="421">
        <v>0</v>
      </c>
      <c r="J16" s="421">
        <v>0</v>
      </c>
      <c r="K16" s="421">
        <v>0</v>
      </c>
      <c r="L16" s="421">
        <v>-3.14984148370685</v>
      </c>
      <c r="M16" s="421">
        <v>0</v>
      </c>
      <c r="N16" s="421">
        <v>0</v>
      </c>
      <c r="O16" s="421">
        <v>0</v>
      </c>
      <c r="P16" s="421">
        <v>0</v>
      </c>
      <c r="Q16" s="421">
        <v>0</v>
      </c>
      <c r="R16" s="421">
        <v>0</v>
      </c>
      <c r="S16" s="423">
        <v>-78.827497370478696</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20.263748329507301</v>
      </c>
      <c r="E18" s="425">
        <v>449.50354116717102</v>
      </c>
      <c r="F18" s="425">
        <v>82.283695215898007</v>
      </c>
      <c r="G18" s="425">
        <v>330.82467764298502</v>
      </c>
      <c r="H18" s="425">
        <v>1083.7741046832</v>
      </c>
      <c r="I18" s="425">
        <v>178.309090909091</v>
      </c>
      <c r="J18" s="425">
        <v>222.134568786812</v>
      </c>
      <c r="K18" s="425">
        <v>35.473118004210797</v>
      </c>
      <c r="L18" s="425">
        <v>-3.14984148370685</v>
      </c>
      <c r="M18" s="425">
        <v>-3.74552284994826E-3</v>
      </c>
      <c r="N18" s="425">
        <v>54.688192188589603</v>
      </c>
      <c r="O18" s="425">
        <v>8.0158524947922398</v>
      </c>
      <c r="P18" s="425">
        <v>-52.7574154473186</v>
      </c>
      <c r="Q18" s="425">
        <v>0</v>
      </c>
      <c r="R18" s="425">
        <v>0</v>
      </c>
      <c r="S18" s="425">
        <v>2409.35958696838</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0.91448134465103803</v>
      </c>
      <c r="E21" s="421">
        <v>0</v>
      </c>
      <c r="F21" s="421">
        <v>0.95041322314049603</v>
      </c>
      <c r="G21" s="421">
        <v>50.5213015766521</v>
      </c>
      <c r="H21" s="421">
        <v>1083.7741046832</v>
      </c>
      <c r="I21" s="421">
        <v>178.309090909091</v>
      </c>
      <c r="J21" s="421">
        <v>22.646861134117799</v>
      </c>
      <c r="K21" s="421">
        <v>7.6532170524778804</v>
      </c>
      <c r="L21" s="421">
        <v>0</v>
      </c>
      <c r="M21" s="421">
        <v>4.3931566588393203</v>
      </c>
      <c r="N21" s="421">
        <v>0</v>
      </c>
      <c r="O21" s="421">
        <v>0</v>
      </c>
      <c r="P21" s="421">
        <v>-576.04545454545496</v>
      </c>
      <c r="Q21" s="421">
        <v>0</v>
      </c>
      <c r="R21" s="421">
        <v>0</v>
      </c>
      <c r="S21" s="429">
        <v>773.11717203671105</v>
      </c>
      <c r="T21" s="412"/>
    </row>
    <row r="22" spans="2:20" ht="13.5">
      <c r="B22" s="412"/>
      <c r="C22" s="428" t="s">
        <v>351</v>
      </c>
      <c r="D22" s="421">
        <v>9.8298985145506806E-2</v>
      </c>
      <c r="E22" s="421">
        <v>0</v>
      </c>
      <c r="F22" s="421">
        <v>0</v>
      </c>
      <c r="G22" s="421">
        <v>18.931106597798902</v>
      </c>
      <c r="H22" s="421">
        <v>0</v>
      </c>
      <c r="I22" s="421">
        <v>0</v>
      </c>
      <c r="J22" s="421">
        <v>24.619601434096001</v>
      </c>
      <c r="K22" s="421">
        <v>21.971315131124399</v>
      </c>
      <c r="L22" s="421">
        <v>0</v>
      </c>
      <c r="M22" s="421">
        <v>1.6461831824173001</v>
      </c>
      <c r="N22" s="421">
        <v>0</v>
      </c>
      <c r="O22" s="421">
        <v>5.09259734951259</v>
      </c>
      <c r="P22" s="421">
        <v>0</v>
      </c>
      <c r="Q22" s="421">
        <v>-65.226956220185599</v>
      </c>
      <c r="R22" s="421">
        <v>0</v>
      </c>
      <c r="S22" s="429">
        <v>7.1321464599091797</v>
      </c>
      <c r="T22" s="412"/>
    </row>
    <row r="23" spans="2:20" ht="13.5">
      <c r="B23" s="412"/>
      <c r="C23" s="428" t="s">
        <v>352</v>
      </c>
      <c r="D23" s="421">
        <v>0</v>
      </c>
      <c r="E23" s="421">
        <v>0</v>
      </c>
      <c r="F23" s="421">
        <v>0</v>
      </c>
      <c r="G23" s="421">
        <v>0</v>
      </c>
      <c r="H23" s="421">
        <v>0</v>
      </c>
      <c r="I23" s="421">
        <v>0</v>
      </c>
      <c r="J23" s="421">
        <v>31.027920583566299</v>
      </c>
      <c r="K23" s="421">
        <v>0</v>
      </c>
      <c r="L23" s="421">
        <v>0</v>
      </c>
      <c r="M23" s="421">
        <v>-27.653634220103498</v>
      </c>
      <c r="N23" s="421">
        <v>0</v>
      </c>
      <c r="O23" s="421">
        <v>0</v>
      </c>
      <c r="P23" s="421">
        <v>0</v>
      </c>
      <c r="Q23" s="421">
        <v>0</v>
      </c>
      <c r="R23" s="421">
        <v>0</v>
      </c>
      <c r="S23" s="429">
        <v>3.3742863634628399</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465.63789420124402</v>
      </c>
      <c r="F25" s="421">
        <v>-460.98151525923203</v>
      </c>
      <c r="G25" s="421">
        <v>0</v>
      </c>
      <c r="H25" s="421">
        <v>0</v>
      </c>
      <c r="I25" s="421">
        <v>0</v>
      </c>
      <c r="J25" s="421">
        <v>0</v>
      </c>
      <c r="K25" s="421">
        <v>0</v>
      </c>
      <c r="L25" s="421">
        <v>0</v>
      </c>
      <c r="M25" s="421">
        <v>0</v>
      </c>
      <c r="N25" s="421">
        <v>0</v>
      </c>
      <c r="O25" s="421">
        <v>0</v>
      </c>
      <c r="P25" s="421">
        <v>0</v>
      </c>
      <c r="Q25" s="421">
        <v>0</v>
      </c>
      <c r="R25" s="421">
        <v>0</v>
      </c>
      <c r="S25" s="429">
        <v>4.6563789420124504</v>
      </c>
      <c r="T25" s="412"/>
    </row>
    <row r="26" spans="2:20" ht="13.5">
      <c r="B26" s="412"/>
      <c r="C26" s="428" t="s">
        <v>354</v>
      </c>
      <c r="D26" s="421">
        <v>0</v>
      </c>
      <c r="E26" s="421">
        <v>0</v>
      </c>
      <c r="F26" s="421">
        <v>0</v>
      </c>
      <c r="G26" s="421">
        <v>0</v>
      </c>
      <c r="H26" s="421">
        <v>0</v>
      </c>
      <c r="I26" s="421">
        <v>0</v>
      </c>
      <c r="J26" s="421">
        <v>42.886755488040599</v>
      </c>
      <c r="K26" s="421">
        <v>0</v>
      </c>
      <c r="L26" s="421">
        <v>-42.886755488040599</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-3.2313287999265801</v>
      </c>
      <c r="M27" s="421">
        <v>0</v>
      </c>
      <c r="N27" s="421">
        <v>0</v>
      </c>
      <c r="O27" s="421">
        <v>0</v>
      </c>
      <c r="P27" s="421">
        <v>0</v>
      </c>
      <c r="Q27" s="421">
        <v>0</v>
      </c>
      <c r="R27" s="421">
        <v>4.6161839998951102</v>
      </c>
      <c r="S27" s="429">
        <v>1.3848551999685399</v>
      </c>
      <c r="T27" s="412"/>
    </row>
    <row r="28" spans="2:20" ht="13.5">
      <c r="B28" s="412"/>
      <c r="C28" s="428" t="s">
        <v>73</v>
      </c>
      <c r="D28" s="421">
        <v>0</v>
      </c>
      <c r="E28" s="421">
        <v>0</v>
      </c>
      <c r="F28" s="421">
        <v>0</v>
      </c>
      <c r="G28" s="421">
        <v>6.6130879575557797</v>
      </c>
      <c r="H28" s="421">
        <v>0</v>
      </c>
      <c r="I28" s="421">
        <v>0</v>
      </c>
      <c r="J28" s="421">
        <v>0</v>
      </c>
      <c r="K28" s="421">
        <v>0.14376278168599499</v>
      </c>
      <c r="L28" s="421">
        <v>0</v>
      </c>
      <c r="M28" s="421">
        <v>0.57505112674398096</v>
      </c>
      <c r="N28" s="421">
        <v>0</v>
      </c>
      <c r="O28" s="421">
        <v>0</v>
      </c>
      <c r="P28" s="421">
        <v>7.5862514028148196</v>
      </c>
      <c r="Q28" s="421">
        <v>0</v>
      </c>
      <c r="R28" s="421">
        <v>-10.063394718019699</v>
      </c>
      <c r="S28" s="429">
        <v>4.8547585507809101</v>
      </c>
      <c r="T28" s="412"/>
    </row>
    <row r="29" spans="2:20" ht="13.5">
      <c r="B29" s="412"/>
      <c r="C29" s="428" t="s">
        <v>356</v>
      </c>
      <c r="D29" s="421">
        <v>8.1420534667968703</v>
      </c>
      <c r="E29" s="421">
        <v>-16.134353034073101</v>
      </c>
      <c r="F29" s="421">
        <v>21.1027807897289</v>
      </c>
      <c r="G29" s="421">
        <v>0</v>
      </c>
      <c r="H29" s="421">
        <v>0</v>
      </c>
      <c r="I29" s="421">
        <v>0</v>
      </c>
      <c r="J29" s="421">
        <v>0</v>
      </c>
      <c r="K29" s="421">
        <v>0</v>
      </c>
      <c r="L29" s="421">
        <v>0</v>
      </c>
      <c r="M29" s="421">
        <v>0</v>
      </c>
      <c r="N29" s="421">
        <v>0</v>
      </c>
      <c r="O29" s="421">
        <v>0</v>
      </c>
      <c r="P29" s="421">
        <v>0</v>
      </c>
      <c r="Q29" s="421">
        <v>0</v>
      </c>
      <c r="R29" s="421">
        <v>0</v>
      </c>
      <c r="S29" s="429">
        <v>13.1104812224527</v>
      </c>
      <c r="T29" s="412"/>
    </row>
    <row r="30" spans="2:20" ht="13.5">
      <c r="B30" s="412"/>
      <c r="C30" s="428" t="s">
        <v>75</v>
      </c>
      <c r="D30" s="421">
        <v>7.5011909179687501</v>
      </c>
      <c r="E30" s="421">
        <v>0</v>
      </c>
      <c r="F30" s="421">
        <v>19.422798115452299</v>
      </c>
      <c r="G30" s="421">
        <v>5.2030248598688003</v>
      </c>
      <c r="H30" s="421">
        <v>0</v>
      </c>
      <c r="I30" s="421">
        <v>0</v>
      </c>
      <c r="J30" s="421">
        <v>0</v>
      </c>
      <c r="K30" s="421">
        <v>0</v>
      </c>
      <c r="L30" s="421">
        <v>0</v>
      </c>
      <c r="M30" s="421">
        <v>0.45243694433641801</v>
      </c>
      <c r="N30" s="421">
        <v>0</v>
      </c>
      <c r="O30" s="421">
        <v>0</v>
      </c>
      <c r="P30" s="421">
        <v>32.060578512396702</v>
      </c>
      <c r="Q30" s="421">
        <v>0</v>
      </c>
      <c r="R30" s="421">
        <v>0</v>
      </c>
      <c r="S30" s="429">
        <v>64.6400293500229</v>
      </c>
      <c r="T30" s="412"/>
    </row>
    <row r="31" spans="2:20" ht="13.5">
      <c r="B31" s="412"/>
      <c r="C31" s="428" t="s">
        <v>76</v>
      </c>
      <c r="D31" s="421">
        <v>0</v>
      </c>
      <c r="E31" s="421">
        <v>0</v>
      </c>
      <c r="F31" s="421">
        <v>0</v>
      </c>
      <c r="G31" s="421">
        <v>3.7709501209231999</v>
      </c>
      <c r="H31" s="421">
        <v>0</v>
      </c>
      <c r="I31" s="421">
        <v>0</v>
      </c>
      <c r="J31" s="421">
        <v>0</v>
      </c>
      <c r="K31" s="421">
        <v>0</v>
      </c>
      <c r="L31" s="421">
        <v>0</v>
      </c>
      <c r="M31" s="421">
        <v>0.327908706167235</v>
      </c>
      <c r="N31" s="421">
        <v>0</v>
      </c>
      <c r="O31" s="421">
        <v>0</v>
      </c>
      <c r="P31" s="421">
        <v>40.104254150641999</v>
      </c>
      <c r="Q31" s="421">
        <v>5.0544873823760099</v>
      </c>
      <c r="R31" s="421">
        <v>0</v>
      </c>
      <c r="S31" s="429">
        <v>49.257600360108398</v>
      </c>
      <c r="T31" s="412"/>
    </row>
    <row r="32" spans="2:20" ht="13.5">
      <c r="B32" s="412"/>
      <c r="C32" s="424" t="s">
        <v>77</v>
      </c>
      <c r="D32" s="425">
        <v>16.6560247145622</v>
      </c>
      <c r="E32" s="425">
        <v>449.50354116717102</v>
      </c>
      <c r="F32" s="425">
        <v>-419.50552313090998</v>
      </c>
      <c r="G32" s="425">
        <v>85.039471112798793</v>
      </c>
      <c r="H32" s="425">
        <v>1083.7741046832</v>
      </c>
      <c r="I32" s="425">
        <v>178.309090909091</v>
      </c>
      <c r="J32" s="425">
        <v>121.181138639821</v>
      </c>
      <c r="K32" s="425">
        <v>29.768294965288302</v>
      </c>
      <c r="L32" s="425">
        <v>-46.1180842879672</v>
      </c>
      <c r="M32" s="425">
        <v>-20.258897601599202</v>
      </c>
      <c r="N32" s="425">
        <v>0</v>
      </c>
      <c r="O32" s="425">
        <v>5.09259734951259</v>
      </c>
      <c r="P32" s="425">
        <v>-496.29437047960101</v>
      </c>
      <c r="Q32" s="425">
        <v>-60.172468837809603</v>
      </c>
      <c r="R32" s="425">
        <v>-5.4472107181245502</v>
      </c>
      <c r="S32" s="425">
        <v>921.527708485429</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2.4350914505274801</v>
      </c>
      <c r="E34" s="421">
        <v>0</v>
      </c>
      <c r="F34" s="421">
        <v>18.685308217690999</v>
      </c>
      <c r="G34" s="421">
        <v>90.690087499523599</v>
      </c>
      <c r="H34" s="421">
        <v>0</v>
      </c>
      <c r="I34" s="421">
        <v>0</v>
      </c>
      <c r="J34" s="421">
        <v>16.561858262516999</v>
      </c>
      <c r="K34" s="421">
        <v>5.7048230389225099</v>
      </c>
      <c r="L34" s="421">
        <v>1.05767427734375</v>
      </c>
      <c r="M34" s="421">
        <v>7.88609456517597</v>
      </c>
      <c r="N34" s="421">
        <v>0</v>
      </c>
      <c r="O34" s="421">
        <v>0</v>
      </c>
      <c r="P34" s="421">
        <v>127.88727285716099</v>
      </c>
      <c r="Q34" s="421">
        <v>21.391690796451599</v>
      </c>
      <c r="R34" s="421">
        <v>3.30515258789063</v>
      </c>
      <c r="S34" s="429">
        <v>295.60505355320402</v>
      </c>
      <c r="T34" s="412"/>
    </row>
    <row r="35" spans="2:20" ht="13.5">
      <c r="B35" s="412"/>
      <c r="C35" s="428" t="s">
        <v>79</v>
      </c>
      <c r="D35" s="421">
        <v>0</v>
      </c>
      <c r="E35" s="421">
        <v>0</v>
      </c>
      <c r="F35" s="421">
        <v>301.15735940524797</v>
      </c>
      <c r="G35" s="421">
        <v>10.6387281798364</v>
      </c>
      <c r="H35" s="421">
        <v>0</v>
      </c>
      <c r="I35" s="421">
        <v>0</v>
      </c>
      <c r="J35" s="421">
        <v>0</v>
      </c>
      <c r="K35" s="421">
        <v>0</v>
      </c>
      <c r="L35" s="421">
        <v>37.806005937221499</v>
      </c>
      <c r="M35" s="421">
        <v>1.02405009123318</v>
      </c>
      <c r="N35" s="421">
        <v>0</v>
      </c>
      <c r="O35" s="421">
        <v>0</v>
      </c>
      <c r="P35" s="421">
        <v>27.481917677670499</v>
      </c>
      <c r="Q35" s="421">
        <v>0</v>
      </c>
      <c r="R35" s="421">
        <v>0.49126373722019001</v>
      </c>
      <c r="S35" s="429">
        <v>378.59932502842901</v>
      </c>
      <c r="T35" s="412"/>
    </row>
    <row r="36" spans="2:20" ht="13.5">
      <c r="B36" s="412"/>
      <c r="C36" s="428" t="s">
        <v>80</v>
      </c>
      <c r="D36" s="421">
        <v>0</v>
      </c>
      <c r="E36" s="421">
        <v>0</v>
      </c>
      <c r="F36" s="421">
        <v>15.2825143767471</v>
      </c>
      <c r="G36" s="421">
        <v>83.376139634147805</v>
      </c>
      <c r="H36" s="421">
        <v>0</v>
      </c>
      <c r="I36" s="421">
        <v>0</v>
      </c>
      <c r="J36" s="421">
        <v>76.063688394982904</v>
      </c>
      <c r="K36" s="421">
        <v>0</v>
      </c>
      <c r="L36" s="421">
        <v>0</v>
      </c>
      <c r="M36" s="421">
        <v>7.2500990986215497</v>
      </c>
      <c r="N36" s="421">
        <v>41.655432359759601</v>
      </c>
      <c r="O36" s="421">
        <v>0.77006413908203397</v>
      </c>
      <c r="P36" s="421">
        <v>157.95415268418699</v>
      </c>
      <c r="Q36" s="421">
        <v>30.823495910793799</v>
      </c>
      <c r="R36" s="421">
        <v>0</v>
      </c>
      <c r="S36" s="429">
        <v>413.17558659832201</v>
      </c>
      <c r="T36" s="412"/>
    </row>
    <row r="37" spans="2:20" ht="13.5">
      <c r="B37" s="412"/>
      <c r="C37" s="428" t="s">
        <v>81</v>
      </c>
      <c r="D37" s="421">
        <v>0</v>
      </c>
      <c r="E37" s="421">
        <v>0</v>
      </c>
      <c r="F37" s="421">
        <v>8.0339957766220795</v>
      </c>
      <c r="G37" s="421">
        <v>45.902694704054099</v>
      </c>
      <c r="H37" s="421">
        <v>0</v>
      </c>
      <c r="I37" s="421">
        <v>0</v>
      </c>
      <c r="J37" s="421">
        <v>7.2212655206083998</v>
      </c>
      <c r="K37" s="421">
        <v>0</v>
      </c>
      <c r="L37" s="421">
        <v>0</v>
      </c>
      <c r="M37" s="421">
        <v>3.99153866991775</v>
      </c>
      <c r="N37" s="421">
        <v>13.032759828830001</v>
      </c>
      <c r="O37" s="421">
        <v>1.63381573932797</v>
      </c>
      <c r="P37" s="421">
        <v>121.78432803391701</v>
      </c>
      <c r="Q37" s="421">
        <v>7.9572821305642298</v>
      </c>
      <c r="R37" s="421">
        <v>0</v>
      </c>
      <c r="S37" s="429">
        <v>209.557680403841</v>
      </c>
      <c r="T37" s="412"/>
    </row>
    <row r="38" spans="2:20" ht="13.5">
      <c r="B38" s="412"/>
      <c r="C38" s="428" t="s">
        <v>82</v>
      </c>
      <c r="D38" s="421">
        <v>0</v>
      </c>
      <c r="E38" s="421">
        <v>0</v>
      </c>
      <c r="F38" s="421">
        <v>28.447053411837398</v>
      </c>
      <c r="G38" s="421">
        <v>2.24418576106194</v>
      </c>
      <c r="H38" s="421">
        <v>0</v>
      </c>
      <c r="I38" s="421">
        <v>0</v>
      </c>
      <c r="J38" s="421">
        <v>1.10661796888252</v>
      </c>
      <c r="K38" s="421">
        <v>0</v>
      </c>
      <c r="L38" s="421">
        <v>3.8296483052490902</v>
      </c>
      <c r="M38" s="421">
        <v>0.19514658791843001</v>
      </c>
      <c r="N38" s="421">
        <v>0</v>
      </c>
      <c r="O38" s="421">
        <v>0.51937526686963897</v>
      </c>
      <c r="P38" s="421">
        <v>7.9492837793472404</v>
      </c>
      <c r="Q38" s="421">
        <v>0</v>
      </c>
      <c r="R38" s="421">
        <v>0.13892990437736899</v>
      </c>
      <c r="S38" s="429">
        <v>44.430240985543698</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0.48</v>
      </c>
      <c r="Q39" s="421">
        <v>0</v>
      </c>
      <c r="R39" s="421">
        <v>0</v>
      </c>
      <c r="S39" s="429">
        <v>0.48</v>
      </c>
      <c r="T39" s="412"/>
    </row>
    <row r="40" spans="2:20" ht="13.5">
      <c r="B40" s="412"/>
      <c r="C40" s="424" t="s">
        <v>83</v>
      </c>
      <c r="D40" s="425">
        <v>2.4350914505274801</v>
      </c>
      <c r="E40" s="425">
        <v>0</v>
      </c>
      <c r="F40" s="425">
        <v>371.60623118814499</v>
      </c>
      <c r="G40" s="425">
        <v>232.85183577862401</v>
      </c>
      <c r="H40" s="425">
        <v>0</v>
      </c>
      <c r="I40" s="425">
        <v>0</v>
      </c>
      <c r="J40" s="425">
        <v>100.953430146991</v>
      </c>
      <c r="K40" s="425">
        <v>5.7048230389225099</v>
      </c>
      <c r="L40" s="425">
        <v>42.693328519814301</v>
      </c>
      <c r="M40" s="425">
        <v>20.346929012866902</v>
      </c>
      <c r="N40" s="425">
        <v>54.688192188589603</v>
      </c>
      <c r="O40" s="425">
        <v>2.9232551452796498</v>
      </c>
      <c r="P40" s="425">
        <v>443.53695503228198</v>
      </c>
      <c r="Q40" s="425">
        <v>60.172468837809603</v>
      </c>
      <c r="R40" s="425">
        <v>3.93534622948818</v>
      </c>
      <c r="S40" s="425">
        <v>1341.8478865693401</v>
      </c>
      <c r="T40" s="412"/>
    </row>
    <row r="41" spans="2:20" ht="13.5">
      <c r="B41" s="412"/>
      <c r="C41" s="420" t="s">
        <v>84</v>
      </c>
      <c r="D41" s="421">
        <v>1.1726321644176101</v>
      </c>
      <c r="E41" s="421">
        <v>0</v>
      </c>
      <c r="F41" s="421">
        <v>130.182987158663</v>
      </c>
      <c r="G41" s="421">
        <v>12.841593817444201</v>
      </c>
      <c r="H41" s="421">
        <v>0</v>
      </c>
      <c r="I41" s="421">
        <v>0</v>
      </c>
      <c r="J41" s="421">
        <v>0</v>
      </c>
      <c r="K41" s="421">
        <v>0</v>
      </c>
      <c r="L41" s="421">
        <v>0.27491428444602301</v>
      </c>
      <c r="M41" s="421">
        <v>0</v>
      </c>
      <c r="N41" s="421">
        <v>0</v>
      </c>
      <c r="O41" s="421">
        <v>0</v>
      </c>
      <c r="P41" s="421">
        <v>0</v>
      </c>
      <c r="Q41" s="421">
        <v>0</v>
      </c>
      <c r="R41" s="421">
        <v>1.5118644886363599</v>
      </c>
      <c r="S41" s="429">
        <v>145.98399191360701</v>
      </c>
      <c r="T41" s="412"/>
    </row>
    <row r="42" spans="2:20" ht="13.5">
      <c r="B42" s="412"/>
      <c r="C42" s="424" t="s">
        <v>85</v>
      </c>
      <c r="D42" s="425">
        <v>3.6077236149451002</v>
      </c>
      <c r="E42" s="425">
        <v>0</v>
      </c>
      <c r="F42" s="425">
        <v>501.78921834680801</v>
      </c>
      <c r="G42" s="425">
        <v>245.693429596068</v>
      </c>
      <c r="H42" s="425">
        <v>0</v>
      </c>
      <c r="I42" s="425">
        <v>0</v>
      </c>
      <c r="J42" s="425">
        <v>100.953430146991</v>
      </c>
      <c r="K42" s="425">
        <v>5.7048230389225099</v>
      </c>
      <c r="L42" s="425">
        <v>42.968242804260399</v>
      </c>
      <c r="M42" s="425">
        <v>20.346929012866902</v>
      </c>
      <c r="N42" s="425">
        <v>54.688192188589603</v>
      </c>
      <c r="O42" s="425">
        <v>2.9232551452796498</v>
      </c>
      <c r="P42" s="425">
        <v>443.53695503228198</v>
      </c>
      <c r="Q42" s="425">
        <v>60.172468837809603</v>
      </c>
      <c r="R42" s="425">
        <v>5.4472107181245502</v>
      </c>
      <c r="S42" s="425">
        <v>1487.8318784829501</v>
      </c>
      <c r="T42" s="412"/>
    </row>
    <row r="43" spans="2:20">
      <c r="B43" s="412"/>
      <c r="C43" s="412"/>
      <c r="D43" s="430">
        <f t="shared" ref="D43:S43" si="0">D42+D32-D18</f>
        <v>0</v>
      </c>
      <c r="E43" s="430">
        <f t="shared" si="0"/>
        <v>0</v>
      </c>
      <c r="F43" s="430">
        <f t="shared" si="0"/>
        <v>0</v>
      </c>
      <c r="G43" s="430">
        <f t="shared" si="0"/>
        <v>-9.1776934118229292E-2</v>
      </c>
      <c r="H43" s="430">
        <f t="shared" si="0"/>
        <v>0</v>
      </c>
      <c r="I43" s="430">
        <f t="shared" si="0"/>
        <v>0</v>
      </c>
      <c r="J43" s="430">
        <f t="shared" si="0"/>
        <v>0</v>
      </c>
      <c r="K43" s="430">
        <f t="shared" si="0"/>
        <v>0</v>
      </c>
      <c r="L43" s="430">
        <f t="shared" si="0"/>
        <v>4.8849813083506888E-14</v>
      </c>
      <c r="M43" s="430">
        <f t="shared" si="0"/>
        <v>9.1776934117648132E-2</v>
      </c>
      <c r="N43" s="430">
        <f t="shared" si="0"/>
        <v>0</v>
      </c>
      <c r="O43" s="430">
        <f t="shared" si="0"/>
        <v>0</v>
      </c>
      <c r="P43" s="430">
        <f t="shared" si="0"/>
        <v>-4.3343106881366111E-13</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88</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9.7691999999999997</v>
      </c>
      <c r="F49" s="421">
        <v>0</v>
      </c>
      <c r="G49" s="421">
        <v>0.18608</v>
      </c>
      <c r="H49" s="422">
        <v>1069.3939393939399</v>
      </c>
      <c r="I49" s="422">
        <v>194.6</v>
      </c>
      <c r="J49" s="422">
        <v>224.66743134970599</v>
      </c>
      <c r="K49" s="422">
        <v>37.278607013832001</v>
      </c>
      <c r="L49" s="421">
        <v>0</v>
      </c>
      <c r="M49" s="421">
        <v>0</v>
      </c>
      <c r="N49" s="422">
        <v>60.333738532710498</v>
      </c>
      <c r="O49" s="422">
        <v>9.1855201728338205</v>
      </c>
      <c r="P49" s="421">
        <v>0</v>
      </c>
      <c r="Q49" s="421">
        <v>0</v>
      </c>
      <c r="R49" s="421">
        <v>0</v>
      </c>
      <c r="S49" s="423">
        <v>1605.4145164630199</v>
      </c>
      <c r="T49" s="412"/>
    </row>
    <row r="50" spans="2:20" ht="13.5">
      <c r="B50" s="412"/>
      <c r="C50" s="420" t="s">
        <v>60</v>
      </c>
      <c r="D50" s="421">
        <v>12.9193471516563</v>
      </c>
      <c r="E50" s="421">
        <v>409.19758903168002</v>
      </c>
      <c r="F50" s="421">
        <v>133.03147421440801</v>
      </c>
      <c r="G50" s="421">
        <v>297.822425417403</v>
      </c>
      <c r="H50" s="421">
        <v>0</v>
      </c>
      <c r="I50" s="421">
        <v>0</v>
      </c>
      <c r="J50" s="421">
        <v>0</v>
      </c>
      <c r="K50" s="421">
        <v>0</v>
      </c>
      <c r="L50" s="421">
        <v>0</v>
      </c>
      <c r="M50" s="421">
        <v>0</v>
      </c>
      <c r="N50" s="421">
        <v>0</v>
      </c>
      <c r="O50" s="421">
        <v>0</v>
      </c>
      <c r="P50" s="421">
        <v>0</v>
      </c>
      <c r="Q50" s="421">
        <v>0</v>
      </c>
      <c r="R50" s="421">
        <v>0</v>
      </c>
      <c r="S50" s="423">
        <v>852.97083581514801</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-48.935732553446002</v>
      </c>
      <c r="Q51" s="421">
        <v>0</v>
      </c>
      <c r="R51" s="421">
        <v>0</v>
      </c>
      <c r="S51" s="423">
        <v>-48.935732553446002</v>
      </c>
      <c r="T51" s="412"/>
    </row>
    <row r="52" spans="2:20" ht="13.5">
      <c r="B52" s="412"/>
      <c r="C52" s="420" t="s">
        <v>62</v>
      </c>
      <c r="D52" s="421">
        <v>0</v>
      </c>
      <c r="E52" s="421">
        <v>0</v>
      </c>
      <c r="F52" s="421">
        <v>-16.1142804846369</v>
      </c>
      <c r="G52" s="421">
        <v>-5.6182842749223999E-2</v>
      </c>
      <c r="H52" s="421">
        <v>0</v>
      </c>
      <c r="I52" s="421">
        <v>0</v>
      </c>
      <c r="J52" s="421">
        <v>0</v>
      </c>
      <c r="K52" s="421">
        <v>0</v>
      </c>
      <c r="L52" s="421">
        <v>0</v>
      </c>
      <c r="M52" s="421">
        <v>-6.2425380832471103E-3</v>
      </c>
      <c r="N52" s="421">
        <v>0</v>
      </c>
      <c r="O52" s="421">
        <v>0</v>
      </c>
      <c r="P52" s="421">
        <v>0</v>
      </c>
      <c r="Q52" s="421">
        <v>0</v>
      </c>
      <c r="R52" s="421">
        <v>0</v>
      </c>
      <c r="S52" s="423">
        <v>-16.176705865469401</v>
      </c>
      <c r="T52" s="412"/>
    </row>
    <row r="53" spans="2:20" ht="13.5">
      <c r="B53" s="412"/>
      <c r="C53" s="420" t="s">
        <v>63</v>
      </c>
      <c r="D53" s="421">
        <v>0</v>
      </c>
      <c r="E53" s="421">
        <v>0</v>
      </c>
      <c r="F53" s="421">
        <v>-74.686327904220704</v>
      </c>
      <c r="G53" s="421">
        <v>0</v>
      </c>
      <c r="H53" s="421">
        <v>0</v>
      </c>
      <c r="I53" s="421">
        <v>0</v>
      </c>
      <c r="J53" s="421">
        <v>0</v>
      </c>
      <c r="K53" s="421">
        <v>0</v>
      </c>
      <c r="L53" s="421">
        <v>-4.14190380795604</v>
      </c>
      <c r="M53" s="421">
        <v>0</v>
      </c>
      <c r="N53" s="421">
        <v>0</v>
      </c>
      <c r="O53" s="421">
        <v>0</v>
      </c>
      <c r="P53" s="421">
        <v>0</v>
      </c>
      <c r="Q53" s="421">
        <v>0</v>
      </c>
      <c r="R53" s="421">
        <v>0</v>
      </c>
      <c r="S53" s="423">
        <v>-78.828231712176802</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12.9193471516563</v>
      </c>
      <c r="E55" s="425">
        <v>418.96678903167998</v>
      </c>
      <c r="F55" s="425">
        <v>42.230865825550602</v>
      </c>
      <c r="G55" s="425">
        <v>297.95232257465398</v>
      </c>
      <c r="H55" s="425">
        <v>1069.3939393939399</v>
      </c>
      <c r="I55" s="425">
        <v>194.6</v>
      </c>
      <c r="J55" s="425">
        <v>224.66743134970599</v>
      </c>
      <c r="K55" s="425">
        <v>37.278607013832001</v>
      </c>
      <c r="L55" s="425">
        <v>-4.14190380795604</v>
      </c>
      <c r="M55" s="425">
        <v>-6.2425380832471103E-3</v>
      </c>
      <c r="N55" s="425">
        <v>60.333738532710498</v>
      </c>
      <c r="O55" s="425">
        <v>9.1855201728338205</v>
      </c>
      <c r="P55" s="425">
        <v>-48.935732553446002</v>
      </c>
      <c r="Q55" s="425">
        <v>0</v>
      </c>
      <c r="R55" s="425">
        <v>0</v>
      </c>
      <c r="S55" s="425">
        <v>2314.4446821470801</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45.490909090909099</v>
      </c>
      <c r="H58" s="421">
        <v>1069.3939393939399</v>
      </c>
      <c r="I58" s="421">
        <v>194.6</v>
      </c>
      <c r="J58" s="421">
        <v>21.1953851819035</v>
      </c>
      <c r="K58" s="421">
        <v>7.10523467058003</v>
      </c>
      <c r="L58" s="421">
        <v>0</v>
      </c>
      <c r="M58" s="421">
        <v>5.05454545454546</v>
      </c>
      <c r="N58" s="421">
        <v>0</v>
      </c>
      <c r="O58" s="421">
        <v>0</v>
      </c>
      <c r="P58" s="421">
        <v>-584.9</v>
      </c>
      <c r="Q58" s="421">
        <v>0</v>
      </c>
      <c r="R58" s="421">
        <v>0</v>
      </c>
      <c r="S58" s="429">
        <v>757.94001379187796</v>
      </c>
      <c r="T58" s="412"/>
    </row>
    <row r="59" spans="2:20" ht="13.5">
      <c r="B59" s="412"/>
      <c r="C59" s="428" t="s">
        <v>351</v>
      </c>
      <c r="D59" s="421">
        <v>0</v>
      </c>
      <c r="E59" s="421">
        <v>0</v>
      </c>
      <c r="F59" s="421">
        <v>0</v>
      </c>
      <c r="G59" s="421">
        <v>18.367871704671401</v>
      </c>
      <c r="H59" s="421">
        <v>0</v>
      </c>
      <c r="I59" s="421">
        <v>0</v>
      </c>
      <c r="J59" s="421">
        <v>26.005723960832299</v>
      </c>
      <c r="K59" s="421">
        <v>23.958493278557299</v>
      </c>
      <c r="L59" s="421">
        <v>0</v>
      </c>
      <c r="M59" s="421">
        <v>2.0408746338523698</v>
      </c>
      <c r="N59" s="421">
        <v>0</v>
      </c>
      <c r="O59" s="421">
        <v>5.8333443106277398</v>
      </c>
      <c r="P59" s="421">
        <v>0</v>
      </c>
      <c r="Q59" s="421">
        <v>-69.146331472283194</v>
      </c>
      <c r="R59" s="421">
        <v>0</v>
      </c>
      <c r="S59" s="429">
        <v>7.0599764162579399</v>
      </c>
      <c r="T59" s="412"/>
    </row>
    <row r="60" spans="2:20" ht="13.5">
      <c r="B60" s="412"/>
      <c r="C60" s="428" t="s">
        <v>352</v>
      </c>
      <c r="D60" s="421">
        <v>0</v>
      </c>
      <c r="E60" s="421">
        <v>0</v>
      </c>
      <c r="F60" s="421">
        <v>0</v>
      </c>
      <c r="G60" s="421">
        <v>0</v>
      </c>
      <c r="H60" s="421">
        <v>0</v>
      </c>
      <c r="I60" s="421">
        <v>0</v>
      </c>
      <c r="J60" s="421">
        <v>36.4293995794851</v>
      </c>
      <c r="K60" s="421">
        <v>0</v>
      </c>
      <c r="L60" s="421">
        <v>0</v>
      </c>
      <c r="M60" s="421">
        <v>-31.693577634152</v>
      </c>
      <c r="N60" s="421">
        <v>0</v>
      </c>
      <c r="O60" s="421">
        <v>0</v>
      </c>
      <c r="P60" s="421">
        <v>0</v>
      </c>
      <c r="Q60" s="421">
        <v>0</v>
      </c>
      <c r="R60" s="421">
        <v>0</v>
      </c>
      <c r="S60" s="429">
        <v>4.7358219453330603</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434.00506451720099</v>
      </c>
      <c r="F62" s="421">
        <v>-429.66501387202902</v>
      </c>
      <c r="G62" s="421">
        <v>0</v>
      </c>
      <c r="H62" s="421">
        <v>0</v>
      </c>
      <c r="I62" s="421">
        <v>0</v>
      </c>
      <c r="J62" s="421">
        <v>0</v>
      </c>
      <c r="K62" s="421">
        <v>0</v>
      </c>
      <c r="L62" s="421">
        <v>0</v>
      </c>
      <c r="M62" s="421">
        <v>0</v>
      </c>
      <c r="N62" s="421">
        <v>0</v>
      </c>
      <c r="O62" s="421">
        <v>0</v>
      </c>
      <c r="P62" s="421">
        <v>0</v>
      </c>
      <c r="Q62" s="421">
        <v>0</v>
      </c>
      <c r="R62" s="421">
        <v>0</v>
      </c>
      <c r="S62" s="429">
        <v>4.3400506451720302</v>
      </c>
      <c r="T62" s="412"/>
    </row>
    <row r="63" spans="2:20" ht="13.5">
      <c r="B63" s="412"/>
      <c r="C63" s="428" t="s">
        <v>354</v>
      </c>
      <c r="D63" s="421">
        <v>0</v>
      </c>
      <c r="E63" s="421">
        <v>0</v>
      </c>
      <c r="F63" s="421">
        <v>0</v>
      </c>
      <c r="G63" s="421">
        <v>0</v>
      </c>
      <c r="H63" s="421">
        <v>0</v>
      </c>
      <c r="I63" s="421">
        <v>0</v>
      </c>
      <c r="J63" s="421">
        <v>42.6442412976646</v>
      </c>
      <c r="K63" s="421">
        <v>0</v>
      </c>
      <c r="L63" s="421">
        <v>-42.6442412976646</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-5.01027091961934</v>
      </c>
      <c r="M64" s="421">
        <v>0</v>
      </c>
      <c r="N64" s="421">
        <v>0</v>
      </c>
      <c r="O64" s="421">
        <v>0</v>
      </c>
      <c r="P64" s="421">
        <v>0</v>
      </c>
      <c r="Q64" s="421">
        <v>0</v>
      </c>
      <c r="R64" s="421">
        <v>7.15752988517049</v>
      </c>
      <c r="S64" s="429">
        <v>2.14725896555115</v>
      </c>
      <c r="T64" s="412"/>
    </row>
    <row r="65" spans="2:20" ht="13.5">
      <c r="B65" s="412"/>
      <c r="C65" s="428" t="s">
        <v>73</v>
      </c>
      <c r="D65" s="421">
        <v>0</v>
      </c>
      <c r="E65" s="421">
        <v>0</v>
      </c>
      <c r="F65" s="421">
        <v>0</v>
      </c>
      <c r="G65" s="421">
        <v>7.3296795740695702</v>
      </c>
      <c r="H65" s="421">
        <v>0</v>
      </c>
      <c r="I65" s="421">
        <v>0</v>
      </c>
      <c r="J65" s="421">
        <v>0</v>
      </c>
      <c r="K65" s="421">
        <v>0.208822779888022</v>
      </c>
      <c r="L65" s="421">
        <v>0</v>
      </c>
      <c r="M65" s="421">
        <v>0.81440884156328497</v>
      </c>
      <c r="N65" s="421">
        <v>0</v>
      </c>
      <c r="O65" s="421">
        <v>0</v>
      </c>
      <c r="P65" s="421">
        <v>13.4931642389183</v>
      </c>
      <c r="Q65" s="421">
        <v>0</v>
      </c>
      <c r="R65" s="421">
        <v>-14.617594592161501</v>
      </c>
      <c r="S65" s="429">
        <v>7.2284808422776798</v>
      </c>
      <c r="T65" s="412"/>
    </row>
    <row r="66" spans="2:20" ht="13.5">
      <c r="B66" s="412"/>
      <c r="C66" s="428" t="s">
        <v>356</v>
      </c>
      <c r="D66" s="421">
        <v>5.4641713867187498</v>
      </c>
      <c r="E66" s="421">
        <v>-15.038275485521</v>
      </c>
      <c r="F66" s="421">
        <v>19.669176096265801</v>
      </c>
      <c r="G66" s="421">
        <v>0</v>
      </c>
      <c r="H66" s="421">
        <v>0</v>
      </c>
      <c r="I66" s="421">
        <v>0</v>
      </c>
      <c r="J66" s="421">
        <v>0</v>
      </c>
      <c r="K66" s="421">
        <v>0</v>
      </c>
      <c r="L66" s="421">
        <v>0</v>
      </c>
      <c r="M66" s="421">
        <v>0</v>
      </c>
      <c r="N66" s="421">
        <v>0</v>
      </c>
      <c r="O66" s="421">
        <v>0</v>
      </c>
      <c r="P66" s="421">
        <v>0</v>
      </c>
      <c r="Q66" s="421">
        <v>0</v>
      </c>
      <c r="R66" s="421">
        <v>0</v>
      </c>
      <c r="S66" s="429">
        <v>10.095071997463499</v>
      </c>
      <c r="T66" s="412"/>
    </row>
    <row r="67" spans="2:20" ht="13.5">
      <c r="B67" s="412"/>
      <c r="C67" s="428" t="s">
        <v>75</v>
      </c>
      <c r="D67" s="421">
        <v>5.6084375</v>
      </c>
      <c r="E67" s="421">
        <v>0</v>
      </c>
      <c r="F67" s="421">
        <v>19.145306286774801</v>
      </c>
      <c r="G67" s="421">
        <v>5.0171964416224499</v>
      </c>
      <c r="H67" s="421">
        <v>0</v>
      </c>
      <c r="I67" s="421">
        <v>0</v>
      </c>
      <c r="J67" s="421">
        <v>0</v>
      </c>
      <c r="K67" s="421">
        <v>0</v>
      </c>
      <c r="L67" s="421">
        <v>0</v>
      </c>
      <c r="M67" s="421">
        <v>0.55746627129138404</v>
      </c>
      <c r="N67" s="421">
        <v>0</v>
      </c>
      <c r="O67" s="421">
        <v>0</v>
      </c>
      <c r="P67" s="421">
        <v>31.035454545454499</v>
      </c>
      <c r="Q67" s="421">
        <v>0</v>
      </c>
      <c r="R67" s="421">
        <v>0</v>
      </c>
      <c r="S67" s="429">
        <v>61.363861045143203</v>
      </c>
      <c r="T67" s="412"/>
    </row>
    <row r="68" spans="2:20" ht="13.5">
      <c r="B68" s="412"/>
      <c r="C68" s="428" t="s">
        <v>76</v>
      </c>
      <c r="D68" s="421">
        <v>0</v>
      </c>
      <c r="E68" s="421">
        <v>0</v>
      </c>
      <c r="F68" s="421">
        <v>0</v>
      </c>
      <c r="G68" s="421">
        <v>3.38231856174745</v>
      </c>
      <c r="H68" s="421">
        <v>0</v>
      </c>
      <c r="I68" s="421">
        <v>0</v>
      </c>
      <c r="J68" s="421">
        <v>0</v>
      </c>
      <c r="K68" s="421">
        <v>0</v>
      </c>
      <c r="L68" s="421">
        <v>0</v>
      </c>
      <c r="M68" s="421">
        <v>0.37581317352749399</v>
      </c>
      <c r="N68" s="421">
        <v>0</v>
      </c>
      <c r="O68" s="421">
        <v>0</v>
      </c>
      <c r="P68" s="421">
        <v>41.075747181961198</v>
      </c>
      <c r="Q68" s="421">
        <v>5.3582028078153003</v>
      </c>
      <c r="R68" s="421">
        <v>0</v>
      </c>
      <c r="S68" s="429">
        <v>50.192081725051402</v>
      </c>
      <c r="T68" s="412"/>
    </row>
    <row r="69" spans="2:20" ht="13.5">
      <c r="B69" s="412"/>
      <c r="C69" s="424" t="s">
        <v>77</v>
      </c>
      <c r="D69" s="425">
        <v>11.0726088867188</v>
      </c>
      <c r="E69" s="425">
        <v>418.96678903167998</v>
      </c>
      <c r="F69" s="425">
        <v>-390.850531488988</v>
      </c>
      <c r="G69" s="425">
        <v>79.587975373019901</v>
      </c>
      <c r="H69" s="425">
        <v>1069.3939393939399</v>
      </c>
      <c r="I69" s="425">
        <v>194.6</v>
      </c>
      <c r="J69" s="425">
        <v>126.274750019886</v>
      </c>
      <c r="K69" s="425">
        <v>31.272550729025401</v>
      </c>
      <c r="L69" s="425">
        <v>-47.654512217284001</v>
      </c>
      <c r="M69" s="425">
        <v>-22.850469259372002</v>
      </c>
      <c r="N69" s="425">
        <v>0</v>
      </c>
      <c r="O69" s="425">
        <v>5.8333443106277398</v>
      </c>
      <c r="P69" s="425">
        <v>-499.29563403366598</v>
      </c>
      <c r="Q69" s="425">
        <v>-63.788128664467799</v>
      </c>
      <c r="R69" s="425">
        <v>-7.46006470699104</v>
      </c>
      <c r="S69" s="425">
        <v>905.10261737412702</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1.03859638261328</v>
      </c>
      <c r="E71" s="421">
        <v>0</v>
      </c>
      <c r="F71" s="421">
        <v>16.1500825446474</v>
      </c>
      <c r="G71" s="421">
        <v>83.563747634312705</v>
      </c>
      <c r="H71" s="421">
        <v>0</v>
      </c>
      <c r="I71" s="421">
        <v>0</v>
      </c>
      <c r="J71" s="421">
        <v>16.030232994230801</v>
      </c>
      <c r="K71" s="421">
        <v>6.0060562848066503</v>
      </c>
      <c r="L71" s="421">
        <v>1.13006109375</v>
      </c>
      <c r="M71" s="421">
        <v>9.2848608482569706</v>
      </c>
      <c r="N71" s="421">
        <v>0</v>
      </c>
      <c r="O71" s="421">
        <v>0</v>
      </c>
      <c r="P71" s="421">
        <v>129.219891687043</v>
      </c>
      <c r="Q71" s="421">
        <v>21.558357485670999</v>
      </c>
      <c r="R71" s="421">
        <v>4.7486479492187499</v>
      </c>
      <c r="S71" s="429">
        <v>288.73053490454998</v>
      </c>
      <c r="T71" s="412"/>
    </row>
    <row r="72" spans="2:20" ht="13.5">
      <c r="B72" s="412"/>
      <c r="C72" s="428" t="s">
        <v>79</v>
      </c>
      <c r="D72" s="421">
        <v>0</v>
      </c>
      <c r="E72" s="421">
        <v>0</v>
      </c>
      <c r="F72" s="421">
        <v>260.38152614699999</v>
      </c>
      <c r="G72" s="421">
        <v>13.227335330391099</v>
      </c>
      <c r="H72" s="421">
        <v>0</v>
      </c>
      <c r="I72" s="421">
        <v>0</v>
      </c>
      <c r="J72" s="421">
        <v>0</v>
      </c>
      <c r="K72" s="421">
        <v>0</v>
      </c>
      <c r="L72" s="421">
        <v>36.694869102590701</v>
      </c>
      <c r="M72" s="421">
        <v>1.4697039255990101</v>
      </c>
      <c r="N72" s="421">
        <v>0</v>
      </c>
      <c r="O72" s="421">
        <v>0</v>
      </c>
      <c r="P72" s="421">
        <v>34.263242158281798</v>
      </c>
      <c r="Q72" s="421">
        <v>0</v>
      </c>
      <c r="R72" s="421">
        <v>0.81877289536698405</v>
      </c>
      <c r="S72" s="429">
        <v>346.85544955923001</v>
      </c>
      <c r="T72" s="412"/>
    </row>
    <row r="73" spans="2:20" ht="13.5">
      <c r="B73" s="412"/>
      <c r="C73" s="428" t="s">
        <v>80</v>
      </c>
      <c r="D73" s="421">
        <v>0</v>
      </c>
      <c r="E73" s="421">
        <v>0</v>
      </c>
      <c r="F73" s="421">
        <v>2.13754421564302</v>
      </c>
      <c r="G73" s="421">
        <v>67.740322251067198</v>
      </c>
      <c r="H73" s="421">
        <v>0</v>
      </c>
      <c r="I73" s="421">
        <v>0</v>
      </c>
      <c r="J73" s="421">
        <v>73.053420010681904</v>
      </c>
      <c r="K73" s="421">
        <v>0</v>
      </c>
      <c r="L73" s="421">
        <v>0</v>
      </c>
      <c r="M73" s="421">
        <v>7.5267024723407996</v>
      </c>
      <c r="N73" s="421">
        <v>46.226951794574703</v>
      </c>
      <c r="O73" s="421">
        <v>0.96354458163837398</v>
      </c>
      <c r="P73" s="421">
        <v>157.585357886932</v>
      </c>
      <c r="Q73" s="421">
        <v>33.684325992585798</v>
      </c>
      <c r="R73" s="421">
        <v>0</v>
      </c>
      <c r="S73" s="429">
        <v>388.91816920546398</v>
      </c>
      <c r="T73" s="412"/>
    </row>
    <row r="74" spans="2:20" ht="13.5">
      <c r="B74" s="412"/>
      <c r="C74" s="428" t="s">
        <v>81</v>
      </c>
      <c r="D74" s="421">
        <v>0</v>
      </c>
      <c r="E74" s="421">
        <v>0</v>
      </c>
      <c r="F74" s="421">
        <v>3.4730330288595899</v>
      </c>
      <c r="G74" s="421">
        <v>38.938580924166203</v>
      </c>
      <c r="H74" s="421">
        <v>0</v>
      </c>
      <c r="I74" s="421">
        <v>0</v>
      </c>
      <c r="J74" s="421">
        <v>7.8602291254253398</v>
      </c>
      <c r="K74" s="421">
        <v>0</v>
      </c>
      <c r="L74" s="421">
        <v>0</v>
      </c>
      <c r="M74" s="421">
        <v>4.3265089915740296</v>
      </c>
      <c r="N74" s="421">
        <v>14.106786738135799</v>
      </c>
      <c r="O74" s="421">
        <v>1.76344671086954</v>
      </c>
      <c r="P74" s="421">
        <v>120.74944434573899</v>
      </c>
      <c r="Q74" s="421">
        <v>8.5454451862110297</v>
      </c>
      <c r="R74" s="421">
        <v>0</v>
      </c>
      <c r="S74" s="429">
        <v>199.76347505098099</v>
      </c>
      <c r="T74" s="412"/>
    </row>
    <row r="75" spans="2:20" ht="13.5">
      <c r="B75" s="412"/>
      <c r="C75" s="428" t="s">
        <v>82</v>
      </c>
      <c r="D75" s="421">
        <v>0</v>
      </c>
      <c r="E75" s="421">
        <v>0</v>
      </c>
      <c r="F75" s="421">
        <v>25.7144401275857</v>
      </c>
      <c r="G75" s="421">
        <v>2.1280543516616701</v>
      </c>
      <c r="H75" s="421">
        <v>0</v>
      </c>
      <c r="I75" s="421">
        <v>0</v>
      </c>
      <c r="J75" s="421">
        <v>1.4487991994827001</v>
      </c>
      <c r="K75" s="421">
        <v>0</v>
      </c>
      <c r="L75" s="421">
        <v>5.3355985499012704</v>
      </c>
      <c r="M75" s="421">
        <v>0.23645048351796299</v>
      </c>
      <c r="N75" s="421">
        <v>0</v>
      </c>
      <c r="O75" s="421">
        <v>0.62518456969816005</v>
      </c>
      <c r="P75" s="421">
        <v>7.74196540222413</v>
      </c>
      <c r="Q75" s="421">
        <v>0</v>
      </c>
      <c r="R75" s="421">
        <v>0.17366238047171101</v>
      </c>
      <c r="S75" s="429">
        <v>43.404155064543303</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0.8</v>
      </c>
      <c r="Q76" s="421">
        <v>0</v>
      </c>
      <c r="R76" s="421">
        <v>0</v>
      </c>
      <c r="S76" s="429">
        <v>0.8</v>
      </c>
      <c r="T76" s="412"/>
    </row>
    <row r="77" spans="2:20" ht="13.5">
      <c r="B77" s="412"/>
      <c r="C77" s="424" t="s">
        <v>83</v>
      </c>
      <c r="D77" s="425">
        <v>1.03859638261328</v>
      </c>
      <c r="E77" s="425">
        <v>0</v>
      </c>
      <c r="F77" s="425">
        <v>307.85662606373597</v>
      </c>
      <c r="G77" s="425">
        <v>205.59804049159899</v>
      </c>
      <c r="H77" s="425">
        <v>0</v>
      </c>
      <c r="I77" s="425">
        <v>0</v>
      </c>
      <c r="J77" s="425">
        <v>98.392681329820704</v>
      </c>
      <c r="K77" s="425">
        <v>6.0060562848066503</v>
      </c>
      <c r="L77" s="425">
        <v>43.160528746242001</v>
      </c>
      <c r="M77" s="425">
        <v>22.844226721288798</v>
      </c>
      <c r="N77" s="425">
        <v>60.333738532710498</v>
      </c>
      <c r="O77" s="425">
        <v>3.35217586220607</v>
      </c>
      <c r="P77" s="425">
        <v>450.35990148022</v>
      </c>
      <c r="Q77" s="425">
        <v>63.788128664467799</v>
      </c>
      <c r="R77" s="425">
        <v>5.74108322505744</v>
      </c>
      <c r="S77" s="425">
        <v>1268.47178378477</v>
      </c>
      <c r="T77" s="412"/>
    </row>
    <row r="78" spans="2:20" ht="13.5">
      <c r="B78" s="412"/>
      <c r="C78" s="420" t="s">
        <v>84</v>
      </c>
      <c r="D78" s="421">
        <v>0.80814188232421902</v>
      </c>
      <c r="E78" s="421">
        <v>0</v>
      </c>
      <c r="F78" s="421">
        <v>125.224771250803</v>
      </c>
      <c r="G78" s="421">
        <v>12.7663067100353</v>
      </c>
      <c r="H78" s="421">
        <v>0</v>
      </c>
      <c r="I78" s="421">
        <v>0</v>
      </c>
      <c r="J78" s="421">
        <v>0</v>
      </c>
      <c r="K78" s="421">
        <v>0</v>
      </c>
      <c r="L78" s="421">
        <v>0.35207966308593802</v>
      </c>
      <c r="M78" s="421">
        <v>0</v>
      </c>
      <c r="N78" s="421">
        <v>0</v>
      </c>
      <c r="O78" s="421">
        <v>0</v>
      </c>
      <c r="P78" s="421">
        <v>0</v>
      </c>
      <c r="Q78" s="421">
        <v>0</v>
      </c>
      <c r="R78" s="421">
        <v>1.71898148193359</v>
      </c>
      <c r="S78" s="429">
        <v>140.870280988182</v>
      </c>
      <c r="T78" s="412"/>
    </row>
    <row r="79" spans="2:20" ht="13.5">
      <c r="B79" s="412"/>
      <c r="C79" s="424" t="s">
        <v>85</v>
      </c>
      <c r="D79" s="425">
        <v>1.8467382649374999</v>
      </c>
      <c r="E79" s="425">
        <v>0</v>
      </c>
      <c r="F79" s="425">
        <v>433.081397314539</v>
      </c>
      <c r="G79" s="425">
        <v>218.36434720163399</v>
      </c>
      <c r="H79" s="425">
        <v>0</v>
      </c>
      <c r="I79" s="425">
        <v>0</v>
      </c>
      <c r="J79" s="425">
        <v>98.392681329820704</v>
      </c>
      <c r="K79" s="425">
        <v>6.0060562848066503</v>
      </c>
      <c r="L79" s="425">
        <v>43.512608409327903</v>
      </c>
      <c r="M79" s="425">
        <v>22.844226721288798</v>
      </c>
      <c r="N79" s="425">
        <v>60.333738532710498</v>
      </c>
      <c r="O79" s="425">
        <v>3.35217586220607</v>
      </c>
      <c r="P79" s="425">
        <v>450.35990148022</v>
      </c>
      <c r="Q79" s="425">
        <v>63.788128664467799</v>
      </c>
      <c r="R79" s="425">
        <v>7.46006470699104</v>
      </c>
      <c r="S79" s="425">
        <v>1409.3420647729499</v>
      </c>
      <c r="T79" s="412"/>
    </row>
    <row r="80" spans="2:20">
      <c r="B80" s="412"/>
      <c r="C80" s="412"/>
      <c r="D80" s="430">
        <f t="shared" ref="D80:S80" si="1">D79+D69-D55</f>
        <v>0</v>
      </c>
      <c r="E80" s="430">
        <f t="shared" si="1"/>
        <v>0</v>
      </c>
      <c r="F80" s="430">
        <f t="shared" si="1"/>
        <v>4.0500935938325711E-13</v>
      </c>
      <c r="G80" s="430">
        <f t="shared" si="1"/>
        <v>0</v>
      </c>
      <c r="H80" s="430">
        <f t="shared" si="1"/>
        <v>0</v>
      </c>
      <c r="I80" s="430">
        <f t="shared" si="1"/>
        <v>0</v>
      </c>
      <c r="J80" s="430">
        <f t="shared" si="1"/>
        <v>7.1054273576010019E-13</v>
      </c>
      <c r="K80" s="430">
        <f t="shared" si="1"/>
        <v>0</v>
      </c>
      <c r="L80" s="430">
        <f t="shared" si="1"/>
        <v>-5.773159728050814E-14</v>
      </c>
      <c r="M80" s="430">
        <f t="shared" si="1"/>
        <v>4.3924065773470744E-14</v>
      </c>
      <c r="N80" s="430">
        <f t="shared" si="1"/>
        <v>0</v>
      </c>
      <c r="O80" s="430">
        <f t="shared" si="1"/>
        <v>0</v>
      </c>
      <c r="P80" s="430">
        <f t="shared" si="1"/>
        <v>0</v>
      </c>
      <c r="Q80" s="430">
        <f t="shared" si="1"/>
        <v>0</v>
      </c>
      <c r="R80" s="430">
        <f t="shared" si="1"/>
        <v>0</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360</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7.3966799999999999</v>
      </c>
      <c r="F86" s="421">
        <v>0</v>
      </c>
      <c r="G86" s="421">
        <v>0.13025600000000001</v>
      </c>
      <c r="H86" s="422">
        <v>1024.3939393939399</v>
      </c>
      <c r="I86" s="422">
        <v>225.38</v>
      </c>
      <c r="J86" s="422">
        <v>249.411773964681</v>
      </c>
      <c r="K86" s="422">
        <v>38.123330465500104</v>
      </c>
      <c r="L86" s="421">
        <v>0</v>
      </c>
      <c r="M86" s="421">
        <v>0</v>
      </c>
      <c r="N86" s="422">
        <v>69.623642523263698</v>
      </c>
      <c r="O86" s="422">
        <v>11.4063956350667</v>
      </c>
      <c r="P86" s="421">
        <v>0</v>
      </c>
      <c r="Q86" s="421">
        <v>0</v>
      </c>
      <c r="R86" s="421">
        <v>0</v>
      </c>
      <c r="S86" s="423">
        <v>1625.8660179824501</v>
      </c>
      <c r="T86" s="412"/>
    </row>
    <row r="87" spans="2:20" ht="13.5">
      <c r="B87" s="412"/>
      <c r="C87" s="420" t="s">
        <v>60</v>
      </c>
      <c r="D87" s="421">
        <v>11.0699461599751</v>
      </c>
      <c r="E87" s="421">
        <v>365.76498082844302</v>
      </c>
      <c r="F87" s="421">
        <v>76.623972898719799</v>
      </c>
      <c r="G87" s="421">
        <v>256.70615603413501</v>
      </c>
      <c r="H87" s="421">
        <v>0</v>
      </c>
      <c r="I87" s="421">
        <v>0</v>
      </c>
      <c r="J87" s="421">
        <v>0</v>
      </c>
      <c r="K87" s="421">
        <v>0</v>
      </c>
      <c r="L87" s="421">
        <v>0</v>
      </c>
      <c r="M87" s="421">
        <v>0</v>
      </c>
      <c r="N87" s="421">
        <v>0</v>
      </c>
      <c r="O87" s="421">
        <v>0</v>
      </c>
      <c r="P87" s="421">
        <v>0</v>
      </c>
      <c r="Q87" s="421">
        <v>0</v>
      </c>
      <c r="R87" s="421">
        <v>0</v>
      </c>
      <c r="S87" s="423">
        <v>710.16505592127305</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-21.729292917443001</v>
      </c>
      <c r="Q88" s="421">
        <v>0</v>
      </c>
      <c r="R88" s="421">
        <v>0</v>
      </c>
      <c r="S88" s="423">
        <v>-21.729292917443001</v>
      </c>
      <c r="T88" s="412"/>
    </row>
    <row r="89" spans="2:20" ht="13.5">
      <c r="B89" s="412"/>
      <c r="C89" s="420" t="s">
        <v>62</v>
      </c>
      <c r="D89" s="421">
        <v>0</v>
      </c>
      <c r="E89" s="421">
        <v>0</v>
      </c>
      <c r="F89" s="421">
        <v>-14.2084330221338</v>
      </c>
      <c r="G89" s="421">
        <v>-0.95675088928507901</v>
      </c>
      <c r="H89" s="421">
        <v>0</v>
      </c>
      <c r="I89" s="421">
        <v>0</v>
      </c>
      <c r="J89" s="421">
        <v>0</v>
      </c>
      <c r="K89" s="421">
        <v>0</v>
      </c>
      <c r="L89" s="421">
        <v>0</v>
      </c>
      <c r="M89" s="421">
        <v>-0.167369559736603</v>
      </c>
      <c r="N89" s="421">
        <v>0</v>
      </c>
      <c r="O89" s="421">
        <v>0</v>
      </c>
      <c r="P89" s="421">
        <v>0</v>
      </c>
      <c r="Q89" s="421">
        <v>0</v>
      </c>
      <c r="R89" s="421">
        <v>0</v>
      </c>
      <c r="S89" s="423">
        <v>-15.332553471155499</v>
      </c>
      <c r="T89" s="412"/>
    </row>
    <row r="90" spans="2:20" ht="13.5">
      <c r="B90" s="412"/>
      <c r="C90" s="420" t="s">
        <v>63</v>
      </c>
      <c r="D90" s="421">
        <v>0</v>
      </c>
      <c r="E90" s="421">
        <v>0</v>
      </c>
      <c r="F90" s="421">
        <v>-66.313833146582994</v>
      </c>
      <c r="G90" s="421">
        <v>0</v>
      </c>
      <c r="H90" s="421">
        <v>0</v>
      </c>
      <c r="I90" s="421">
        <v>0</v>
      </c>
      <c r="J90" s="421">
        <v>0</v>
      </c>
      <c r="K90" s="421">
        <v>0</v>
      </c>
      <c r="L90" s="421">
        <v>-11.3748641642475</v>
      </c>
      <c r="M90" s="421">
        <v>0</v>
      </c>
      <c r="N90" s="421">
        <v>0</v>
      </c>
      <c r="O90" s="421">
        <v>0</v>
      </c>
      <c r="P90" s="421">
        <v>0</v>
      </c>
      <c r="Q90" s="421">
        <v>0</v>
      </c>
      <c r="R90" s="421">
        <v>0</v>
      </c>
      <c r="S90" s="423">
        <v>-77.688697310830506</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11.0699461599751</v>
      </c>
      <c r="E92" s="425">
        <v>373.16166082844302</v>
      </c>
      <c r="F92" s="425">
        <v>-3.8982932699969699</v>
      </c>
      <c r="G92" s="425">
        <v>255.87966114484999</v>
      </c>
      <c r="H92" s="425">
        <v>1024.3939393939399</v>
      </c>
      <c r="I92" s="425">
        <v>225.38</v>
      </c>
      <c r="J92" s="425">
        <v>249.411773964681</v>
      </c>
      <c r="K92" s="425">
        <v>38.123330465500104</v>
      </c>
      <c r="L92" s="425">
        <v>-11.3748641642475</v>
      </c>
      <c r="M92" s="425">
        <v>-0.167369559736603</v>
      </c>
      <c r="N92" s="425">
        <v>69.623642523263698</v>
      </c>
      <c r="O92" s="425">
        <v>11.4063956350667</v>
      </c>
      <c r="P92" s="425">
        <v>-21.729292917443001</v>
      </c>
      <c r="Q92" s="425">
        <v>0</v>
      </c>
      <c r="R92" s="425">
        <v>0</v>
      </c>
      <c r="S92" s="425">
        <v>2221.2805302042998</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32.755695067264597</v>
      </c>
      <c r="H95" s="421">
        <v>1024.3939393939399</v>
      </c>
      <c r="I95" s="421">
        <v>225.38</v>
      </c>
      <c r="J95" s="421">
        <v>19.8875173501633</v>
      </c>
      <c r="K95" s="421">
        <v>6.3668985415530699</v>
      </c>
      <c r="L95" s="421">
        <v>0</v>
      </c>
      <c r="M95" s="421">
        <v>4.8945291479820598</v>
      </c>
      <c r="N95" s="421">
        <v>0</v>
      </c>
      <c r="O95" s="421">
        <v>0</v>
      </c>
      <c r="P95" s="421">
        <v>-594.08000000000004</v>
      </c>
      <c r="Q95" s="421">
        <v>0</v>
      </c>
      <c r="R95" s="421">
        <v>1.425</v>
      </c>
      <c r="S95" s="429">
        <v>721.02357950090197</v>
      </c>
      <c r="T95" s="412"/>
    </row>
    <row r="96" spans="2:20" ht="13.5">
      <c r="B96" s="412"/>
      <c r="C96" s="428" t="s">
        <v>351</v>
      </c>
      <c r="D96" s="421">
        <v>0</v>
      </c>
      <c r="E96" s="421">
        <v>0</v>
      </c>
      <c r="F96" s="421">
        <v>0</v>
      </c>
      <c r="G96" s="421">
        <v>16.944127998060999</v>
      </c>
      <c r="H96" s="421">
        <v>0</v>
      </c>
      <c r="I96" s="421">
        <v>0</v>
      </c>
      <c r="J96" s="421">
        <v>27.801582142602999</v>
      </c>
      <c r="K96" s="421">
        <v>25.484218291937999</v>
      </c>
      <c r="L96" s="421">
        <v>0</v>
      </c>
      <c r="M96" s="421">
        <v>2.5318811951125699</v>
      </c>
      <c r="N96" s="421">
        <v>0</v>
      </c>
      <c r="O96" s="421">
        <v>7.47026455928955</v>
      </c>
      <c r="P96" s="421">
        <v>0</v>
      </c>
      <c r="Q96" s="421">
        <v>-73.132276024870606</v>
      </c>
      <c r="R96" s="421">
        <v>0</v>
      </c>
      <c r="S96" s="429">
        <v>7.09979816213355</v>
      </c>
      <c r="T96" s="412"/>
    </row>
    <row r="97" spans="2:20" ht="13.5">
      <c r="B97" s="412"/>
      <c r="C97" s="428" t="s">
        <v>352</v>
      </c>
      <c r="D97" s="421">
        <v>0</v>
      </c>
      <c r="E97" s="421">
        <v>0</v>
      </c>
      <c r="F97" s="421">
        <v>0</v>
      </c>
      <c r="G97" s="421">
        <v>0</v>
      </c>
      <c r="H97" s="421">
        <v>0</v>
      </c>
      <c r="I97" s="421">
        <v>0</v>
      </c>
      <c r="J97" s="421">
        <v>41.569838696258103</v>
      </c>
      <c r="K97" s="421">
        <v>0</v>
      </c>
      <c r="L97" s="421">
        <v>0</v>
      </c>
      <c r="M97" s="421">
        <v>-36.695775109121797</v>
      </c>
      <c r="N97" s="421">
        <v>0</v>
      </c>
      <c r="O97" s="421">
        <v>0</v>
      </c>
      <c r="P97" s="421">
        <v>0</v>
      </c>
      <c r="Q97" s="421">
        <v>0</v>
      </c>
      <c r="R97" s="421">
        <v>0</v>
      </c>
      <c r="S97" s="429">
        <v>4.8740635871362601</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386.55581999113599</v>
      </c>
      <c r="F99" s="421">
        <v>-382.69026179122397</v>
      </c>
      <c r="G99" s="421">
        <v>0</v>
      </c>
      <c r="H99" s="421">
        <v>0</v>
      </c>
      <c r="I99" s="421">
        <v>0</v>
      </c>
      <c r="J99" s="421">
        <v>0</v>
      </c>
      <c r="K99" s="421">
        <v>0</v>
      </c>
      <c r="L99" s="421">
        <v>0</v>
      </c>
      <c r="M99" s="421">
        <v>0</v>
      </c>
      <c r="N99" s="421">
        <v>0</v>
      </c>
      <c r="O99" s="421">
        <v>0</v>
      </c>
      <c r="P99" s="421">
        <v>0</v>
      </c>
      <c r="Q99" s="421">
        <v>0</v>
      </c>
      <c r="R99" s="421">
        <v>0</v>
      </c>
      <c r="S99" s="429">
        <v>3.8655581999113302</v>
      </c>
      <c r="T99" s="412"/>
    </row>
    <row r="100" spans="2:20" ht="13.5">
      <c r="B100" s="412"/>
      <c r="C100" s="428" t="s">
        <v>354</v>
      </c>
      <c r="D100" s="421">
        <v>0</v>
      </c>
      <c r="E100" s="421">
        <v>0</v>
      </c>
      <c r="F100" s="421">
        <v>0</v>
      </c>
      <c r="G100" s="421">
        <v>0</v>
      </c>
      <c r="H100" s="421">
        <v>0</v>
      </c>
      <c r="I100" s="421">
        <v>0</v>
      </c>
      <c r="J100" s="421">
        <v>59.787730212494701</v>
      </c>
      <c r="K100" s="421">
        <v>0</v>
      </c>
      <c r="L100" s="421">
        <v>-59.787730212494701</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-11.848147131187501</v>
      </c>
      <c r="M101" s="421">
        <v>0</v>
      </c>
      <c r="N101" s="421">
        <v>0</v>
      </c>
      <c r="O101" s="421">
        <v>0</v>
      </c>
      <c r="P101" s="421">
        <v>0</v>
      </c>
      <c r="Q101" s="421">
        <v>0</v>
      </c>
      <c r="R101" s="421">
        <v>16.925924473125001</v>
      </c>
      <c r="S101" s="429">
        <v>5.0777773419374901</v>
      </c>
      <c r="T101" s="412"/>
    </row>
    <row r="102" spans="2:20" ht="13.5">
      <c r="B102" s="412"/>
      <c r="C102" s="428" t="s">
        <v>73</v>
      </c>
      <c r="D102" s="421">
        <v>0</v>
      </c>
      <c r="E102" s="421">
        <v>0</v>
      </c>
      <c r="F102" s="421">
        <v>0</v>
      </c>
      <c r="G102" s="421">
        <v>12.6235241576865</v>
      </c>
      <c r="H102" s="421">
        <v>0</v>
      </c>
      <c r="I102" s="421">
        <v>0</v>
      </c>
      <c r="J102" s="421">
        <v>0</v>
      </c>
      <c r="K102" s="421">
        <v>0.435729666138086</v>
      </c>
      <c r="L102" s="421">
        <v>0</v>
      </c>
      <c r="M102" s="421">
        <v>1.88627372471178</v>
      </c>
      <c r="N102" s="421">
        <v>0</v>
      </c>
      <c r="O102" s="421">
        <v>0</v>
      </c>
      <c r="P102" s="421">
        <v>30.339450939728401</v>
      </c>
      <c r="Q102" s="421">
        <v>0</v>
      </c>
      <c r="R102" s="421">
        <v>-30.501076629665999</v>
      </c>
      <c r="S102" s="429">
        <v>14.7839018585987</v>
      </c>
      <c r="T102" s="412"/>
    </row>
    <row r="103" spans="2:20" ht="13.5">
      <c r="B103" s="412"/>
      <c r="C103" s="428" t="s">
        <v>356</v>
      </c>
      <c r="D103" s="421">
        <v>4.3307530517578101</v>
      </c>
      <c r="E103" s="421">
        <v>-13.394159162692899</v>
      </c>
      <c r="F103" s="421">
        <v>17.5187690560711</v>
      </c>
      <c r="G103" s="421">
        <v>0</v>
      </c>
      <c r="H103" s="421">
        <v>0</v>
      </c>
      <c r="I103" s="421">
        <v>0</v>
      </c>
      <c r="J103" s="421">
        <v>0</v>
      </c>
      <c r="K103" s="421">
        <v>0</v>
      </c>
      <c r="L103" s="421">
        <v>0</v>
      </c>
      <c r="M103" s="421">
        <v>0</v>
      </c>
      <c r="N103" s="421">
        <v>0</v>
      </c>
      <c r="O103" s="421">
        <v>0</v>
      </c>
      <c r="P103" s="421">
        <v>0</v>
      </c>
      <c r="Q103" s="421">
        <v>0</v>
      </c>
      <c r="R103" s="421">
        <v>0</v>
      </c>
      <c r="S103" s="429">
        <v>8.4553629451360095</v>
      </c>
      <c r="T103" s="412"/>
    </row>
    <row r="104" spans="2:20" ht="13.5">
      <c r="B104" s="412"/>
      <c r="C104" s="428" t="s">
        <v>75</v>
      </c>
      <c r="D104" s="421">
        <v>4.9205957031249996</v>
      </c>
      <c r="E104" s="421">
        <v>0</v>
      </c>
      <c r="F104" s="421">
        <v>18.729068543758601</v>
      </c>
      <c r="G104" s="421">
        <v>4.7445137460997797</v>
      </c>
      <c r="H104" s="421">
        <v>0</v>
      </c>
      <c r="I104" s="421">
        <v>0</v>
      </c>
      <c r="J104" s="421">
        <v>0</v>
      </c>
      <c r="K104" s="421">
        <v>0</v>
      </c>
      <c r="L104" s="421">
        <v>0</v>
      </c>
      <c r="M104" s="421">
        <v>0.70895032987697904</v>
      </c>
      <c r="N104" s="421">
        <v>0</v>
      </c>
      <c r="O104" s="421">
        <v>0</v>
      </c>
      <c r="P104" s="421">
        <v>32.617954545454502</v>
      </c>
      <c r="Q104" s="421">
        <v>0</v>
      </c>
      <c r="R104" s="421">
        <v>0</v>
      </c>
      <c r="S104" s="429">
        <v>61.721082868314902</v>
      </c>
      <c r="T104" s="412"/>
    </row>
    <row r="105" spans="2:20" ht="13.5">
      <c r="B105" s="412"/>
      <c r="C105" s="428" t="s">
        <v>76</v>
      </c>
      <c r="D105" s="421">
        <v>0</v>
      </c>
      <c r="E105" s="421">
        <v>0</v>
      </c>
      <c r="F105" s="421">
        <v>0</v>
      </c>
      <c r="G105" s="421">
        <v>2.9120089095411301</v>
      </c>
      <c r="H105" s="421">
        <v>0</v>
      </c>
      <c r="I105" s="421">
        <v>0</v>
      </c>
      <c r="J105" s="421">
        <v>0</v>
      </c>
      <c r="K105" s="421">
        <v>0</v>
      </c>
      <c r="L105" s="421">
        <v>0</v>
      </c>
      <c r="M105" s="421">
        <v>0.43512776809235298</v>
      </c>
      <c r="N105" s="421">
        <v>0</v>
      </c>
      <c r="O105" s="421">
        <v>0</v>
      </c>
      <c r="P105" s="421">
        <v>43.864366286105501</v>
      </c>
      <c r="Q105" s="421">
        <v>5.66707673993462</v>
      </c>
      <c r="R105" s="421">
        <v>0</v>
      </c>
      <c r="S105" s="429">
        <v>52.878579703673601</v>
      </c>
      <c r="T105" s="412"/>
    </row>
    <row r="106" spans="2:20" ht="13.5">
      <c r="B106" s="412"/>
      <c r="C106" s="424" t="s">
        <v>77</v>
      </c>
      <c r="D106" s="425">
        <v>9.2513487548828106</v>
      </c>
      <c r="E106" s="425">
        <v>373.16166082844302</v>
      </c>
      <c r="F106" s="425">
        <v>-346.44242419139499</v>
      </c>
      <c r="G106" s="425">
        <v>69.979869878653005</v>
      </c>
      <c r="H106" s="425">
        <v>1024.3939393939399</v>
      </c>
      <c r="I106" s="425">
        <v>225.38</v>
      </c>
      <c r="J106" s="425">
        <v>149.04666840151901</v>
      </c>
      <c r="K106" s="425">
        <v>32.2868464996291</v>
      </c>
      <c r="L106" s="425">
        <v>-71.635877343682196</v>
      </c>
      <c r="M106" s="425">
        <v>-26.239012943346101</v>
      </c>
      <c r="N106" s="425">
        <v>0</v>
      </c>
      <c r="O106" s="425">
        <v>7.47026455928955</v>
      </c>
      <c r="P106" s="425">
        <v>-487.25822822871203</v>
      </c>
      <c r="Q106" s="425">
        <v>-67.465199284936006</v>
      </c>
      <c r="R106" s="425">
        <v>-12.1501521565411</v>
      </c>
      <c r="S106" s="425">
        <v>879.77970416774394</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1.16328553009227</v>
      </c>
      <c r="E108" s="421">
        <v>0</v>
      </c>
      <c r="F108" s="421">
        <v>13.8112344502171</v>
      </c>
      <c r="G108" s="421">
        <v>75.974004401831806</v>
      </c>
      <c r="H108" s="421">
        <v>0</v>
      </c>
      <c r="I108" s="421">
        <v>0</v>
      </c>
      <c r="J108" s="421">
        <v>15.6078294644963</v>
      </c>
      <c r="K108" s="421">
        <v>5.8364839658710004</v>
      </c>
      <c r="L108" s="421">
        <v>1.8190377949218799</v>
      </c>
      <c r="M108" s="421">
        <v>11.352437439354199</v>
      </c>
      <c r="N108" s="421">
        <v>0</v>
      </c>
      <c r="O108" s="421">
        <v>0</v>
      </c>
      <c r="P108" s="421">
        <v>131.71593128381801</v>
      </c>
      <c r="Q108" s="421">
        <v>22.303652442230799</v>
      </c>
      <c r="R108" s="421">
        <v>5.3802006835937499</v>
      </c>
      <c r="S108" s="429">
        <v>284.964097456427</v>
      </c>
      <c r="T108" s="412"/>
    </row>
    <row r="109" spans="2:20" ht="13.5">
      <c r="B109" s="412"/>
      <c r="C109" s="428" t="s">
        <v>79</v>
      </c>
      <c r="D109" s="421">
        <v>0</v>
      </c>
      <c r="E109" s="421">
        <v>0</v>
      </c>
      <c r="F109" s="421">
        <v>189.87862112859401</v>
      </c>
      <c r="G109" s="421">
        <v>16.64955020583</v>
      </c>
      <c r="H109" s="421">
        <v>0</v>
      </c>
      <c r="I109" s="421">
        <v>0</v>
      </c>
      <c r="J109" s="421">
        <v>0</v>
      </c>
      <c r="K109" s="421">
        <v>0</v>
      </c>
      <c r="L109" s="421">
        <v>44.405791664587298</v>
      </c>
      <c r="M109" s="421">
        <v>2.5923432302996501</v>
      </c>
      <c r="N109" s="421">
        <v>0</v>
      </c>
      <c r="O109" s="421">
        <v>0</v>
      </c>
      <c r="P109" s="421">
        <v>49.821959604820101</v>
      </c>
      <c r="Q109" s="421">
        <v>0</v>
      </c>
      <c r="R109" s="421">
        <v>1.5849058336758</v>
      </c>
      <c r="S109" s="429">
        <v>304.93317166780702</v>
      </c>
      <c r="T109" s="412"/>
    </row>
    <row r="110" spans="2:20" ht="13.5">
      <c r="B110" s="412"/>
      <c r="C110" s="428" t="s">
        <v>80</v>
      </c>
      <c r="D110" s="421">
        <v>0</v>
      </c>
      <c r="E110" s="421">
        <v>0</v>
      </c>
      <c r="F110" s="421">
        <v>1.42606261735715</v>
      </c>
      <c r="G110" s="421">
        <v>47.453363010823402</v>
      </c>
      <c r="H110" s="421">
        <v>0</v>
      </c>
      <c r="I110" s="421">
        <v>0</v>
      </c>
      <c r="J110" s="421">
        <v>75.037621036530098</v>
      </c>
      <c r="K110" s="421">
        <v>0</v>
      </c>
      <c r="L110" s="421">
        <v>0</v>
      </c>
      <c r="M110" s="421">
        <v>7.0907324039161397</v>
      </c>
      <c r="N110" s="421">
        <v>55.372520536787299</v>
      </c>
      <c r="O110" s="421">
        <v>1.39422233549626</v>
      </c>
      <c r="P110" s="421">
        <v>156.615027079708</v>
      </c>
      <c r="Q110" s="421">
        <v>35.653708400257798</v>
      </c>
      <c r="R110" s="421">
        <v>0</v>
      </c>
      <c r="S110" s="429">
        <v>380.04325742087599</v>
      </c>
      <c r="T110" s="412"/>
    </row>
    <row r="111" spans="2:20" ht="13.5">
      <c r="B111" s="412"/>
      <c r="C111" s="428" t="s">
        <v>81</v>
      </c>
      <c r="D111" s="421">
        <v>0</v>
      </c>
      <c r="E111" s="421">
        <v>0</v>
      </c>
      <c r="F111" s="421">
        <v>2.6552662898972801</v>
      </c>
      <c r="G111" s="421">
        <v>32.546671207199999</v>
      </c>
      <c r="H111" s="421">
        <v>0</v>
      </c>
      <c r="I111" s="421">
        <v>0</v>
      </c>
      <c r="J111" s="421">
        <v>7.6606579921523004</v>
      </c>
      <c r="K111" s="421">
        <v>0</v>
      </c>
      <c r="L111" s="421">
        <v>0</v>
      </c>
      <c r="M111" s="421">
        <v>4.8632956976275903</v>
      </c>
      <c r="N111" s="421">
        <v>14.2511219864764</v>
      </c>
      <c r="O111" s="421">
        <v>1.71409342707066</v>
      </c>
      <c r="P111" s="421">
        <v>118.721330344538</v>
      </c>
      <c r="Q111" s="421">
        <v>9.5078384424472908</v>
      </c>
      <c r="R111" s="421">
        <v>0</v>
      </c>
      <c r="S111" s="429">
        <v>191.92027538740899</v>
      </c>
      <c r="T111" s="412"/>
    </row>
    <row r="112" spans="2:20" ht="13.5">
      <c r="B112" s="412"/>
      <c r="C112" s="428" t="s">
        <v>82</v>
      </c>
      <c r="D112" s="421">
        <v>0</v>
      </c>
      <c r="E112" s="421">
        <v>0</v>
      </c>
      <c r="F112" s="421">
        <v>20.984802440298498</v>
      </c>
      <c r="G112" s="421">
        <v>1.90707745937911</v>
      </c>
      <c r="H112" s="421">
        <v>0</v>
      </c>
      <c r="I112" s="421">
        <v>0</v>
      </c>
      <c r="J112" s="421">
        <v>2.05899706998358</v>
      </c>
      <c r="K112" s="421">
        <v>0</v>
      </c>
      <c r="L112" s="421">
        <v>7.9300402287146001</v>
      </c>
      <c r="M112" s="421">
        <v>0.28496559737848798</v>
      </c>
      <c r="N112" s="421">
        <v>0</v>
      </c>
      <c r="O112" s="421">
        <v>0.82781531321025903</v>
      </c>
      <c r="P112" s="421">
        <v>7.3746869983845702</v>
      </c>
      <c r="Q112" s="421">
        <v>0</v>
      </c>
      <c r="R112" s="421">
        <v>0.21911019493558401</v>
      </c>
      <c r="S112" s="429">
        <v>41.587495302284701</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1.28</v>
      </c>
      <c r="Q113" s="421">
        <v>0</v>
      </c>
      <c r="R113" s="421">
        <v>0</v>
      </c>
      <c r="S113" s="429">
        <v>1.28</v>
      </c>
      <c r="T113" s="412"/>
    </row>
    <row r="114" spans="2:20" ht="13.5">
      <c r="B114" s="412"/>
      <c r="C114" s="424" t="s">
        <v>83</v>
      </c>
      <c r="D114" s="425">
        <v>1.16328553009227</v>
      </c>
      <c r="E114" s="425">
        <v>0</v>
      </c>
      <c r="F114" s="425">
        <v>228.75598692636399</v>
      </c>
      <c r="G114" s="425">
        <v>174.530666285064</v>
      </c>
      <c r="H114" s="425">
        <v>0</v>
      </c>
      <c r="I114" s="425">
        <v>0</v>
      </c>
      <c r="J114" s="425">
        <v>100.365105563162</v>
      </c>
      <c r="K114" s="425">
        <v>5.8364839658710004</v>
      </c>
      <c r="L114" s="425">
        <v>54.154869688223798</v>
      </c>
      <c r="M114" s="425">
        <v>26.183774368576</v>
      </c>
      <c r="N114" s="425">
        <v>69.623642523263698</v>
      </c>
      <c r="O114" s="425">
        <v>3.9361310757771801</v>
      </c>
      <c r="P114" s="425">
        <v>465.52893531126898</v>
      </c>
      <c r="Q114" s="425">
        <v>67.465199284936006</v>
      </c>
      <c r="R114" s="425">
        <v>7.1842167122051297</v>
      </c>
      <c r="S114" s="425">
        <v>1204.7282972348</v>
      </c>
      <c r="T114" s="412"/>
    </row>
    <row r="115" spans="2:20" ht="13.5">
      <c r="B115" s="412"/>
      <c r="C115" s="420" t="s">
        <v>84</v>
      </c>
      <c r="D115" s="421">
        <v>0.65531187499999999</v>
      </c>
      <c r="E115" s="421">
        <v>0</v>
      </c>
      <c r="F115" s="421">
        <v>113.78814399503401</v>
      </c>
      <c r="G115" s="421">
        <v>11.2569939961659</v>
      </c>
      <c r="H115" s="421">
        <v>0</v>
      </c>
      <c r="I115" s="421">
        <v>0</v>
      </c>
      <c r="J115" s="421">
        <v>0</v>
      </c>
      <c r="K115" s="421">
        <v>0</v>
      </c>
      <c r="L115" s="421">
        <v>6.1061434912109398</v>
      </c>
      <c r="M115" s="421">
        <v>0</v>
      </c>
      <c r="N115" s="421">
        <v>0</v>
      </c>
      <c r="O115" s="421">
        <v>0</v>
      </c>
      <c r="P115" s="421">
        <v>0</v>
      </c>
      <c r="Q115" s="421">
        <v>0</v>
      </c>
      <c r="R115" s="421">
        <v>4.9659354443359396</v>
      </c>
      <c r="S115" s="429">
        <v>136.772528801747</v>
      </c>
      <c r="T115" s="412"/>
    </row>
    <row r="116" spans="2:20" ht="13.5">
      <c r="B116" s="412"/>
      <c r="C116" s="424" t="s">
        <v>85</v>
      </c>
      <c r="D116" s="425">
        <v>1.81859740509227</v>
      </c>
      <c r="E116" s="425">
        <v>0</v>
      </c>
      <c r="F116" s="425">
        <v>342.54413092139799</v>
      </c>
      <c r="G116" s="425">
        <v>185.78766028122999</v>
      </c>
      <c r="H116" s="425">
        <v>0</v>
      </c>
      <c r="I116" s="425">
        <v>0</v>
      </c>
      <c r="J116" s="425">
        <v>100.365105563162</v>
      </c>
      <c r="K116" s="425">
        <v>5.8364839658710004</v>
      </c>
      <c r="L116" s="425">
        <v>60.261013179434698</v>
      </c>
      <c r="M116" s="425">
        <v>26.183774368576</v>
      </c>
      <c r="N116" s="425">
        <v>69.623642523263698</v>
      </c>
      <c r="O116" s="425">
        <v>3.9361310757771801</v>
      </c>
      <c r="P116" s="425">
        <v>465.52893531126898</v>
      </c>
      <c r="Q116" s="425">
        <v>67.465199284936006</v>
      </c>
      <c r="R116" s="425">
        <v>12.1501521565411</v>
      </c>
      <c r="S116" s="425">
        <v>1341.5008260365501</v>
      </c>
      <c r="T116" s="412"/>
    </row>
    <row r="117" spans="2:20">
      <c r="B117" s="412"/>
      <c r="C117" s="412"/>
      <c r="D117" s="430">
        <f t="shared" ref="D117:S117" si="2">D116+D106-D92</f>
        <v>-1.9539925233402755E-14</v>
      </c>
      <c r="E117" s="430">
        <f t="shared" si="2"/>
        <v>0</v>
      </c>
      <c r="F117" s="430">
        <f t="shared" si="2"/>
        <v>-2.7977620220553945E-14</v>
      </c>
      <c r="G117" s="430">
        <f t="shared" si="2"/>
        <v>-0.11213098496699558</v>
      </c>
      <c r="H117" s="430">
        <f t="shared" si="2"/>
        <v>0</v>
      </c>
      <c r="I117" s="430">
        <f t="shared" si="2"/>
        <v>0</v>
      </c>
      <c r="J117" s="430">
        <f t="shared" si="2"/>
        <v>0</v>
      </c>
      <c r="K117" s="430">
        <f t="shared" si="2"/>
        <v>0</v>
      </c>
      <c r="L117" s="430">
        <f t="shared" si="2"/>
        <v>0</v>
      </c>
      <c r="M117" s="430">
        <f t="shared" si="2"/>
        <v>0.11213098496650203</v>
      </c>
      <c r="N117" s="430">
        <f t="shared" si="2"/>
        <v>0</v>
      </c>
      <c r="O117" s="430">
        <f t="shared" si="2"/>
        <v>3.0198066269804258E-14</v>
      </c>
      <c r="P117" s="430">
        <f t="shared" si="2"/>
        <v>-4.6185277824406512E-14</v>
      </c>
      <c r="Q117" s="430">
        <f t="shared" si="2"/>
        <v>0</v>
      </c>
      <c r="R117" s="430">
        <f t="shared" si="2"/>
        <v>0</v>
      </c>
      <c r="S117" s="430">
        <f t="shared" si="2"/>
        <v>-5.9117155615240335E-12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361</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5.8150000000000004</v>
      </c>
      <c r="F123" s="421">
        <v>0</v>
      </c>
      <c r="G123" s="421">
        <v>9.3039999999999998E-2</v>
      </c>
      <c r="H123" s="422">
        <v>994.39393939393995</v>
      </c>
      <c r="I123" s="422">
        <v>245.9</v>
      </c>
      <c r="J123" s="422">
        <v>264.74542837362799</v>
      </c>
      <c r="K123" s="422">
        <v>38.681123219215998</v>
      </c>
      <c r="L123" s="421">
        <v>0</v>
      </c>
      <c r="M123" s="421">
        <v>0</v>
      </c>
      <c r="N123" s="422">
        <v>76.035944637668194</v>
      </c>
      <c r="O123" s="422">
        <v>12.9897242601147</v>
      </c>
      <c r="P123" s="421">
        <v>0</v>
      </c>
      <c r="Q123" s="421">
        <v>0</v>
      </c>
      <c r="R123" s="421">
        <v>0</v>
      </c>
      <c r="S123" s="423">
        <v>1638.6541998845701</v>
      </c>
      <c r="T123" s="412"/>
    </row>
    <row r="124" spans="2:20" ht="13.5">
      <c r="B124" s="412"/>
      <c r="C124" s="420" t="s">
        <v>60</v>
      </c>
      <c r="D124" s="421">
        <v>9.9184003265082108</v>
      </c>
      <c r="E124" s="421">
        <v>336.80990869295198</v>
      </c>
      <c r="F124" s="421">
        <v>39.622058745499999</v>
      </c>
      <c r="G124" s="421">
        <v>228.981754766043</v>
      </c>
      <c r="H124" s="421">
        <v>0</v>
      </c>
      <c r="I124" s="421">
        <v>0</v>
      </c>
      <c r="J124" s="421">
        <v>0</v>
      </c>
      <c r="K124" s="421">
        <v>0</v>
      </c>
      <c r="L124" s="421">
        <v>0</v>
      </c>
      <c r="M124" s="421">
        <v>0</v>
      </c>
      <c r="N124" s="421">
        <v>0</v>
      </c>
      <c r="O124" s="421">
        <v>0</v>
      </c>
      <c r="P124" s="421">
        <v>0</v>
      </c>
      <c r="Q124" s="421">
        <v>0</v>
      </c>
      <c r="R124" s="421">
        <v>0</v>
      </c>
      <c r="S124" s="423">
        <v>615.33212253100305</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-3.4250745408713801</v>
      </c>
      <c r="Q125" s="421">
        <v>0</v>
      </c>
      <c r="R125" s="421">
        <v>0</v>
      </c>
      <c r="S125" s="423">
        <v>-3.4250745408713801</v>
      </c>
      <c r="T125" s="412"/>
    </row>
    <row r="126" spans="2:20" ht="13.5">
      <c r="B126" s="412"/>
      <c r="C126" s="420" t="s">
        <v>62</v>
      </c>
      <c r="D126" s="421">
        <v>0</v>
      </c>
      <c r="E126" s="421">
        <v>0</v>
      </c>
      <c r="F126" s="421">
        <v>-12.937868047131699</v>
      </c>
      <c r="G126" s="421">
        <v>-1.5571295869756501</v>
      </c>
      <c r="H126" s="421">
        <v>0</v>
      </c>
      <c r="I126" s="421">
        <v>0</v>
      </c>
      <c r="J126" s="421">
        <v>0</v>
      </c>
      <c r="K126" s="421">
        <v>0</v>
      </c>
      <c r="L126" s="421">
        <v>0</v>
      </c>
      <c r="M126" s="421">
        <v>-0.27478757417217298</v>
      </c>
      <c r="N126" s="421">
        <v>0</v>
      </c>
      <c r="O126" s="421">
        <v>0</v>
      </c>
      <c r="P126" s="421">
        <v>0</v>
      </c>
      <c r="Q126" s="421">
        <v>0</v>
      </c>
      <c r="R126" s="421">
        <v>0</v>
      </c>
      <c r="S126" s="423">
        <v>-14.7697852082796</v>
      </c>
      <c r="T126" s="412"/>
    </row>
    <row r="127" spans="2:20" ht="13.5">
      <c r="B127" s="412"/>
      <c r="C127" s="420" t="s">
        <v>63</v>
      </c>
      <c r="D127" s="421">
        <v>0</v>
      </c>
      <c r="E127" s="421">
        <v>0</v>
      </c>
      <c r="F127" s="421">
        <v>-61.179449557820497</v>
      </c>
      <c r="G127" s="421">
        <v>0</v>
      </c>
      <c r="H127" s="421">
        <v>0</v>
      </c>
      <c r="I127" s="421">
        <v>0</v>
      </c>
      <c r="J127" s="421">
        <v>0</v>
      </c>
      <c r="K127" s="421">
        <v>0</v>
      </c>
      <c r="L127" s="421">
        <v>-16.1518358617665</v>
      </c>
      <c r="M127" s="421">
        <v>0</v>
      </c>
      <c r="N127" s="421">
        <v>0</v>
      </c>
      <c r="O127" s="421">
        <v>0</v>
      </c>
      <c r="P127" s="421">
        <v>0</v>
      </c>
      <c r="Q127" s="421">
        <v>0</v>
      </c>
      <c r="R127" s="421">
        <v>-0.14322207633848999</v>
      </c>
      <c r="S127" s="423">
        <v>-77.474507495925394</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9.9184003265082108</v>
      </c>
      <c r="E129" s="425">
        <v>342.62490869295198</v>
      </c>
      <c r="F129" s="425">
        <v>-34.4952588594522</v>
      </c>
      <c r="G129" s="425">
        <v>227.51766517906799</v>
      </c>
      <c r="H129" s="425">
        <v>994.39393939393995</v>
      </c>
      <c r="I129" s="425">
        <v>245.9</v>
      </c>
      <c r="J129" s="425">
        <v>264.74542837362799</v>
      </c>
      <c r="K129" s="425">
        <v>38.681123219215998</v>
      </c>
      <c r="L129" s="425">
        <v>-16.1518358617665</v>
      </c>
      <c r="M129" s="425">
        <v>-0.27478757417217298</v>
      </c>
      <c r="N129" s="425">
        <v>76.035944637668194</v>
      </c>
      <c r="O129" s="425">
        <v>12.9897242601147</v>
      </c>
      <c r="P129" s="425">
        <v>-3.4250745408713801</v>
      </c>
      <c r="Q129" s="425">
        <v>0</v>
      </c>
      <c r="R129" s="425">
        <v>-0.14322207633848999</v>
      </c>
      <c r="S129" s="425">
        <v>2158.31695517049</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0</v>
      </c>
      <c r="E132" s="421">
        <v>0</v>
      </c>
      <c r="F132" s="421">
        <v>0</v>
      </c>
      <c r="G132" s="421">
        <v>24.857777777777802</v>
      </c>
      <c r="H132" s="421">
        <v>994.39393939393904</v>
      </c>
      <c r="I132" s="421">
        <v>245.9</v>
      </c>
      <c r="J132" s="421">
        <v>19.077680006004599</v>
      </c>
      <c r="K132" s="421">
        <v>5.91268147655415</v>
      </c>
      <c r="L132" s="421">
        <v>0</v>
      </c>
      <c r="M132" s="421">
        <v>4.3866666666666703</v>
      </c>
      <c r="N132" s="421">
        <v>0</v>
      </c>
      <c r="O132" s="421">
        <v>0</v>
      </c>
      <c r="P132" s="421">
        <v>-600.20000000000005</v>
      </c>
      <c r="Q132" s="421">
        <v>0</v>
      </c>
      <c r="R132" s="421">
        <v>2.375</v>
      </c>
      <c r="S132" s="429">
        <v>696.70374532094297</v>
      </c>
      <c r="T132" s="412"/>
    </row>
    <row r="133" spans="2:20" ht="13.5">
      <c r="B133" s="412"/>
      <c r="C133" s="428" t="s">
        <v>351</v>
      </c>
      <c r="D133" s="421">
        <v>0</v>
      </c>
      <c r="E133" s="421">
        <v>0</v>
      </c>
      <c r="F133" s="421">
        <v>0</v>
      </c>
      <c r="G133" s="421">
        <v>15.8957878644364</v>
      </c>
      <c r="H133" s="421">
        <v>0</v>
      </c>
      <c r="I133" s="421">
        <v>0</v>
      </c>
      <c r="J133" s="421">
        <v>29.009686446350699</v>
      </c>
      <c r="K133" s="421">
        <v>26.492019019171298</v>
      </c>
      <c r="L133" s="421">
        <v>0</v>
      </c>
      <c r="M133" s="421">
        <v>2.8051390349005398</v>
      </c>
      <c r="N133" s="421">
        <v>0</v>
      </c>
      <c r="O133" s="421">
        <v>8.6642897086234303</v>
      </c>
      <c r="P133" s="421">
        <v>0</v>
      </c>
      <c r="Q133" s="421">
        <v>-75.764237599145602</v>
      </c>
      <c r="R133" s="421">
        <v>0</v>
      </c>
      <c r="S133" s="429">
        <v>7.1026844743368098</v>
      </c>
      <c r="T133" s="412"/>
    </row>
    <row r="134" spans="2:20" ht="13.5">
      <c r="B134" s="412"/>
      <c r="C134" s="428" t="s">
        <v>352</v>
      </c>
      <c r="D134" s="421">
        <v>0</v>
      </c>
      <c r="E134" s="421">
        <v>0</v>
      </c>
      <c r="F134" s="421">
        <v>0</v>
      </c>
      <c r="G134" s="421">
        <v>0</v>
      </c>
      <c r="H134" s="421">
        <v>0</v>
      </c>
      <c r="I134" s="421">
        <v>0</v>
      </c>
      <c r="J134" s="421">
        <v>43.323904788910497</v>
      </c>
      <c r="K134" s="421">
        <v>0</v>
      </c>
      <c r="L134" s="421">
        <v>0</v>
      </c>
      <c r="M134" s="421">
        <v>-38.612430143116498</v>
      </c>
      <c r="N134" s="421">
        <v>0</v>
      </c>
      <c r="O134" s="421">
        <v>0</v>
      </c>
      <c r="P134" s="421">
        <v>0</v>
      </c>
      <c r="Q134" s="421">
        <v>0</v>
      </c>
      <c r="R134" s="421">
        <v>0</v>
      </c>
      <c r="S134" s="429">
        <v>4.71147464579402</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354.92299030709302</v>
      </c>
      <c r="F136" s="421">
        <v>-351.37376040402199</v>
      </c>
      <c r="G136" s="421">
        <v>0</v>
      </c>
      <c r="H136" s="421">
        <v>0</v>
      </c>
      <c r="I136" s="421">
        <v>0</v>
      </c>
      <c r="J136" s="421">
        <v>0</v>
      </c>
      <c r="K136" s="421">
        <v>0</v>
      </c>
      <c r="L136" s="421">
        <v>0</v>
      </c>
      <c r="M136" s="421">
        <v>0</v>
      </c>
      <c r="N136" s="421">
        <v>0</v>
      </c>
      <c r="O136" s="421">
        <v>0</v>
      </c>
      <c r="P136" s="421">
        <v>0</v>
      </c>
      <c r="Q136" s="421">
        <v>0</v>
      </c>
      <c r="R136" s="421">
        <v>0</v>
      </c>
      <c r="S136" s="429">
        <v>3.54922990307091</v>
      </c>
      <c r="T136" s="412"/>
    </row>
    <row r="137" spans="2:20" ht="13.5">
      <c r="B137" s="412"/>
      <c r="C137" s="428" t="s">
        <v>354</v>
      </c>
      <c r="D137" s="421">
        <v>0</v>
      </c>
      <c r="E137" s="421">
        <v>0</v>
      </c>
      <c r="F137" s="421">
        <v>0</v>
      </c>
      <c r="G137" s="421">
        <v>0</v>
      </c>
      <c r="H137" s="421">
        <v>0</v>
      </c>
      <c r="I137" s="421">
        <v>0</v>
      </c>
      <c r="J137" s="421">
        <v>71.6348751715379</v>
      </c>
      <c r="K137" s="421">
        <v>0</v>
      </c>
      <c r="L137" s="421">
        <v>-71.6348751715379</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-15.7927133896962</v>
      </c>
      <c r="M138" s="421">
        <v>0</v>
      </c>
      <c r="N138" s="421">
        <v>0</v>
      </c>
      <c r="O138" s="421">
        <v>0</v>
      </c>
      <c r="P138" s="421">
        <v>0</v>
      </c>
      <c r="Q138" s="421">
        <v>0</v>
      </c>
      <c r="R138" s="421">
        <v>22.561019128137399</v>
      </c>
      <c r="S138" s="429">
        <v>6.7683057384412297</v>
      </c>
      <c r="T138" s="412"/>
    </row>
    <row r="139" spans="2:20" ht="13.5">
      <c r="B139" s="412"/>
      <c r="C139" s="428" t="s">
        <v>73</v>
      </c>
      <c r="D139" s="421">
        <v>0</v>
      </c>
      <c r="E139" s="421">
        <v>0</v>
      </c>
      <c r="F139" s="421">
        <v>0</v>
      </c>
      <c r="G139" s="421">
        <v>14.420213484885</v>
      </c>
      <c r="H139" s="421">
        <v>0</v>
      </c>
      <c r="I139" s="421">
        <v>0</v>
      </c>
      <c r="J139" s="421">
        <v>0</v>
      </c>
      <c r="K139" s="421">
        <v>0.57508328952682097</v>
      </c>
      <c r="L139" s="421">
        <v>0</v>
      </c>
      <c r="M139" s="421">
        <v>2.5447435561561802</v>
      </c>
      <c r="N139" s="421">
        <v>0</v>
      </c>
      <c r="O139" s="421">
        <v>0</v>
      </c>
      <c r="P139" s="421">
        <v>41.914310165512902</v>
      </c>
      <c r="Q139" s="421">
        <v>0</v>
      </c>
      <c r="R139" s="421">
        <v>-40.255830266877503</v>
      </c>
      <c r="S139" s="429">
        <v>19.198520229203499</v>
      </c>
      <c r="T139" s="412"/>
    </row>
    <row r="140" spans="2:20" ht="13.5">
      <c r="B140" s="412"/>
      <c r="C140" s="428" t="s">
        <v>356</v>
      </c>
      <c r="D140" s="421">
        <v>3.6632235107421902</v>
      </c>
      <c r="E140" s="421">
        <v>-12.2980816141408</v>
      </c>
      <c r="F140" s="421">
        <v>16.085164362607902</v>
      </c>
      <c r="G140" s="421">
        <v>0</v>
      </c>
      <c r="H140" s="421">
        <v>0</v>
      </c>
      <c r="I140" s="421">
        <v>0</v>
      </c>
      <c r="J140" s="421">
        <v>0</v>
      </c>
      <c r="K140" s="421">
        <v>0</v>
      </c>
      <c r="L140" s="421">
        <v>0</v>
      </c>
      <c r="M140" s="421">
        <v>0</v>
      </c>
      <c r="N140" s="421">
        <v>0</v>
      </c>
      <c r="O140" s="421">
        <v>0</v>
      </c>
      <c r="P140" s="421">
        <v>0</v>
      </c>
      <c r="Q140" s="421">
        <v>0</v>
      </c>
      <c r="R140" s="421">
        <v>0</v>
      </c>
      <c r="S140" s="429">
        <v>7.4503062592093503</v>
      </c>
      <c r="T140" s="412"/>
    </row>
    <row r="141" spans="2:20" ht="13.5">
      <c r="B141" s="412"/>
      <c r="C141" s="428" t="s">
        <v>75</v>
      </c>
      <c r="D141" s="421">
        <v>4.4693862304687499</v>
      </c>
      <c r="E141" s="421">
        <v>0</v>
      </c>
      <c r="F141" s="421">
        <v>18.451576715081099</v>
      </c>
      <c r="G141" s="421">
        <v>4.5667652369825698</v>
      </c>
      <c r="H141" s="421">
        <v>0</v>
      </c>
      <c r="I141" s="421">
        <v>0</v>
      </c>
      <c r="J141" s="421">
        <v>0</v>
      </c>
      <c r="K141" s="421">
        <v>0</v>
      </c>
      <c r="L141" s="421">
        <v>0</v>
      </c>
      <c r="M141" s="421">
        <v>0.80589974770280703</v>
      </c>
      <c r="N141" s="421">
        <v>0</v>
      </c>
      <c r="O141" s="421">
        <v>0</v>
      </c>
      <c r="P141" s="421">
        <v>33.672954545454502</v>
      </c>
      <c r="Q141" s="421">
        <v>0</v>
      </c>
      <c r="R141" s="421">
        <v>0</v>
      </c>
      <c r="S141" s="429">
        <v>61.966582475689798</v>
      </c>
      <c r="T141" s="412"/>
    </row>
    <row r="142" spans="2:20" ht="13.5">
      <c r="B142" s="412"/>
      <c r="C142" s="428" t="s">
        <v>76</v>
      </c>
      <c r="D142" s="421">
        <v>0</v>
      </c>
      <c r="E142" s="421">
        <v>0</v>
      </c>
      <c r="F142" s="421">
        <v>0</v>
      </c>
      <c r="G142" s="421">
        <v>2.59451111633589</v>
      </c>
      <c r="H142" s="421">
        <v>0</v>
      </c>
      <c r="I142" s="421">
        <v>0</v>
      </c>
      <c r="J142" s="421">
        <v>0</v>
      </c>
      <c r="K142" s="421">
        <v>0</v>
      </c>
      <c r="L142" s="421">
        <v>0</v>
      </c>
      <c r="M142" s="421">
        <v>0.457854902882804</v>
      </c>
      <c r="N142" s="421">
        <v>0</v>
      </c>
      <c r="O142" s="421">
        <v>0</v>
      </c>
      <c r="P142" s="421">
        <v>45.736213123829799</v>
      </c>
      <c r="Q142" s="421">
        <v>5.8710294818526103</v>
      </c>
      <c r="R142" s="421">
        <v>0</v>
      </c>
      <c r="S142" s="429">
        <v>54.659608624901097</v>
      </c>
      <c r="T142" s="412"/>
    </row>
    <row r="143" spans="2:20" ht="13.5">
      <c r="B143" s="412"/>
      <c r="C143" s="424" t="s">
        <v>77</v>
      </c>
      <c r="D143" s="425">
        <v>8.1326097412109402</v>
      </c>
      <c r="E143" s="425">
        <v>342.62490869295198</v>
      </c>
      <c r="F143" s="425">
        <v>-316.83701932633301</v>
      </c>
      <c r="G143" s="425">
        <v>62.335055480417701</v>
      </c>
      <c r="H143" s="425">
        <v>994.39393939393995</v>
      </c>
      <c r="I143" s="425">
        <v>245.9</v>
      </c>
      <c r="J143" s="425">
        <v>163.04614641280401</v>
      </c>
      <c r="K143" s="425">
        <v>32.979783785252302</v>
      </c>
      <c r="L143" s="425">
        <v>-87.427588561234103</v>
      </c>
      <c r="M143" s="425">
        <v>-27.612126234807501</v>
      </c>
      <c r="N143" s="425">
        <v>0</v>
      </c>
      <c r="O143" s="425">
        <v>8.6642897086234303</v>
      </c>
      <c r="P143" s="425">
        <v>-478.87652216520303</v>
      </c>
      <c r="Q143" s="425">
        <v>-69.893208117293</v>
      </c>
      <c r="R143" s="425">
        <v>-15.3198111387401</v>
      </c>
      <c r="S143" s="425">
        <v>862.11045767158896</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1.22322682797306</v>
      </c>
      <c r="E145" s="421">
        <v>0</v>
      </c>
      <c r="F145" s="421">
        <v>12.3232605440811</v>
      </c>
      <c r="G145" s="421">
        <v>71.153898442538505</v>
      </c>
      <c r="H145" s="421">
        <v>0</v>
      </c>
      <c r="I145" s="421">
        <v>0</v>
      </c>
      <c r="J145" s="421">
        <v>15.298292037520801</v>
      </c>
      <c r="K145" s="421">
        <v>5.70133943396368</v>
      </c>
      <c r="L145" s="421">
        <v>2.2588896484375001</v>
      </c>
      <c r="M145" s="421">
        <v>12.5565703133891</v>
      </c>
      <c r="N145" s="421">
        <v>0</v>
      </c>
      <c r="O145" s="421">
        <v>0</v>
      </c>
      <c r="P145" s="421">
        <v>133.21901148131599</v>
      </c>
      <c r="Q145" s="421">
        <v>22.777144165315601</v>
      </c>
      <c r="R145" s="421">
        <v>5.7972734375000003</v>
      </c>
      <c r="S145" s="429">
        <v>282.30890633203597</v>
      </c>
      <c r="T145" s="412"/>
    </row>
    <row r="146" spans="2:20" ht="13.5">
      <c r="B146" s="412"/>
      <c r="C146" s="428" t="s">
        <v>79</v>
      </c>
      <c r="D146" s="421">
        <v>0</v>
      </c>
      <c r="E146" s="421">
        <v>0</v>
      </c>
      <c r="F146" s="421">
        <v>142.87668444965701</v>
      </c>
      <c r="G146" s="421">
        <v>18.931026789455998</v>
      </c>
      <c r="H146" s="421">
        <v>0</v>
      </c>
      <c r="I146" s="421">
        <v>0</v>
      </c>
      <c r="J146" s="421">
        <v>0</v>
      </c>
      <c r="K146" s="421">
        <v>0</v>
      </c>
      <c r="L146" s="421">
        <v>49.5464067059184</v>
      </c>
      <c r="M146" s="421">
        <v>3.3407694334334099</v>
      </c>
      <c r="N146" s="421">
        <v>0</v>
      </c>
      <c r="O146" s="421">
        <v>0</v>
      </c>
      <c r="P146" s="421">
        <v>60.194437902512199</v>
      </c>
      <c r="Q146" s="421">
        <v>0</v>
      </c>
      <c r="R146" s="421">
        <v>2.09566112588168</v>
      </c>
      <c r="S146" s="429">
        <v>276.98498640685898</v>
      </c>
      <c r="T146" s="412"/>
    </row>
    <row r="147" spans="2:20" ht="13.5">
      <c r="B147" s="412"/>
      <c r="C147" s="428" t="s">
        <v>80</v>
      </c>
      <c r="D147" s="421">
        <v>0</v>
      </c>
      <c r="E147" s="421">
        <v>0</v>
      </c>
      <c r="F147" s="421">
        <v>0.95174155183324205</v>
      </c>
      <c r="G147" s="421">
        <v>34.619487827616503</v>
      </c>
      <c r="H147" s="421">
        <v>0</v>
      </c>
      <c r="I147" s="421">
        <v>0</v>
      </c>
      <c r="J147" s="421">
        <v>76.360421720428903</v>
      </c>
      <c r="K147" s="421">
        <v>0</v>
      </c>
      <c r="L147" s="421">
        <v>0</v>
      </c>
      <c r="M147" s="421">
        <v>6.1093213813440803</v>
      </c>
      <c r="N147" s="421">
        <v>61.688599152298004</v>
      </c>
      <c r="O147" s="421">
        <v>1.68134083806818</v>
      </c>
      <c r="P147" s="421">
        <v>155.96813987489199</v>
      </c>
      <c r="Q147" s="421">
        <v>36.966630005372501</v>
      </c>
      <c r="R147" s="421">
        <v>0</v>
      </c>
      <c r="S147" s="429">
        <v>374.34568235185299</v>
      </c>
      <c r="T147" s="412"/>
    </row>
    <row r="148" spans="2:20" ht="13.5">
      <c r="B148" s="412"/>
      <c r="C148" s="428" t="s">
        <v>81</v>
      </c>
      <c r="D148" s="421">
        <v>0</v>
      </c>
      <c r="E148" s="421">
        <v>0</v>
      </c>
      <c r="F148" s="421">
        <v>2.11008846392241</v>
      </c>
      <c r="G148" s="421">
        <v>28.4805688295863</v>
      </c>
      <c r="H148" s="421">
        <v>0</v>
      </c>
      <c r="I148" s="421">
        <v>0</v>
      </c>
      <c r="J148" s="421">
        <v>7.5276105699702702</v>
      </c>
      <c r="K148" s="421">
        <v>0</v>
      </c>
      <c r="L148" s="421">
        <v>0</v>
      </c>
      <c r="M148" s="421">
        <v>5.0259827346328798</v>
      </c>
      <c r="N148" s="421">
        <v>14.3473454853701</v>
      </c>
      <c r="O148" s="421">
        <v>1.68119123787141</v>
      </c>
      <c r="P148" s="421">
        <v>117.369254343737</v>
      </c>
      <c r="Q148" s="421">
        <v>10.1494339466048</v>
      </c>
      <c r="R148" s="421">
        <v>0</v>
      </c>
      <c r="S148" s="429">
        <v>186.69147561169501</v>
      </c>
      <c r="T148" s="412"/>
    </row>
    <row r="149" spans="2:20" ht="13.5">
      <c r="B149" s="412"/>
      <c r="C149" s="428" t="s">
        <v>82</v>
      </c>
      <c r="D149" s="421">
        <v>0</v>
      </c>
      <c r="E149" s="421">
        <v>0</v>
      </c>
      <c r="F149" s="421">
        <v>17.601103552872999</v>
      </c>
      <c r="G149" s="421">
        <v>1.72660385440275</v>
      </c>
      <c r="H149" s="421">
        <v>0</v>
      </c>
      <c r="I149" s="421">
        <v>0</v>
      </c>
      <c r="J149" s="421">
        <v>2.5129576329044099</v>
      </c>
      <c r="K149" s="421">
        <v>0</v>
      </c>
      <c r="L149" s="421">
        <v>9.7844973088568903</v>
      </c>
      <c r="M149" s="421">
        <v>0.30469479783577902</v>
      </c>
      <c r="N149" s="421">
        <v>0</v>
      </c>
      <c r="O149" s="421">
        <v>0.96290247555165798</v>
      </c>
      <c r="P149" s="421">
        <v>7.1006040218742701</v>
      </c>
      <c r="Q149" s="421">
        <v>0</v>
      </c>
      <c r="R149" s="421">
        <v>0.24940873791150001</v>
      </c>
      <c r="S149" s="429">
        <v>40.242772382210298</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1.6</v>
      </c>
      <c r="Q150" s="421">
        <v>0</v>
      </c>
      <c r="R150" s="421">
        <v>0</v>
      </c>
      <c r="S150" s="429">
        <v>1.6</v>
      </c>
      <c r="T150" s="412"/>
    </row>
    <row r="151" spans="2:20" ht="13.5">
      <c r="B151" s="412"/>
      <c r="C151" s="424" t="s">
        <v>83</v>
      </c>
      <c r="D151" s="425">
        <v>1.22322682797306</v>
      </c>
      <c r="E151" s="425">
        <v>0</v>
      </c>
      <c r="F151" s="425">
        <v>175.862878562367</v>
      </c>
      <c r="G151" s="425">
        <v>154.9115857436</v>
      </c>
      <c r="H151" s="425">
        <v>0</v>
      </c>
      <c r="I151" s="425">
        <v>0</v>
      </c>
      <c r="J151" s="425">
        <v>101.699281960824</v>
      </c>
      <c r="K151" s="425">
        <v>5.70133943396368</v>
      </c>
      <c r="L151" s="425">
        <v>61.589793663212802</v>
      </c>
      <c r="M151" s="425">
        <v>27.3373386606353</v>
      </c>
      <c r="N151" s="425">
        <v>76.035944637668194</v>
      </c>
      <c r="O151" s="425">
        <v>4.3254345514912496</v>
      </c>
      <c r="P151" s="425">
        <v>475.45144762433102</v>
      </c>
      <c r="Q151" s="425">
        <v>69.893208117293</v>
      </c>
      <c r="R151" s="425">
        <v>8.1423433012931792</v>
      </c>
      <c r="S151" s="425">
        <v>1162.1738230846499</v>
      </c>
      <c r="T151" s="412"/>
    </row>
    <row r="152" spans="2:20" ht="13.5">
      <c r="B152" s="412"/>
      <c r="C152" s="420" t="s">
        <v>84</v>
      </c>
      <c r="D152" s="421">
        <v>0.56256375732421904</v>
      </c>
      <c r="E152" s="421">
        <v>0</v>
      </c>
      <c r="F152" s="421">
        <v>106.478881904514</v>
      </c>
      <c r="G152" s="421">
        <v>10.27102395505</v>
      </c>
      <c r="H152" s="421">
        <v>0</v>
      </c>
      <c r="I152" s="421">
        <v>0</v>
      </c>
      <c r="J152" s="421">
        <v>0</v>
      </c>
      <c r="K152" s="421">
        <v>0</v>
      </c>
      <c r="L152" s="421">
        <v>9.6859590362548804</v>
      </c>
      <c r="M152" s="421">
        <v>0</v>
      </c>
      <c r="N152" s="421">
        <v>0</v>
      </c>
      <c r="O152" s="421">
        <v>0</v>
      </c>
      <c r="P152" s="421">
        <v>0</v>
      </c>
      <c r="Q152" s="421">
        <v>0</v>
      </c>
      <c r="R152" s="421">
        <v>7.0342457611083997</v>
      </c>
      <c r="S152" s="429">
        <v>134.03267441425101</v>
      </c>
      <c r="T152" s="412"/>
    </row>
    <row r="153" spans="2:20" ht="13.5">
      <c r="B153" s="412"/>
      <c r="C153" s="424" t="s">
        <v>85</v>
      </c>
      <c r="D153" s="425">
        <v>1.78579058529727</v>
      </c>
      <c r="E153" s="425">
        <v>0</v>
      </c>
      <c r="F153" s="425">
        <v>282.34176046687998</v>
      </c>
      <c r="G153" s="425">
        <v>165.18260969865</v>
      </c>
      <c r="H153" s="425">
        <v>0</v>
      </c>
      <c r="I153" s="425">
        <v>0</v>
      </c>
      <c r="J153" s="425">
        <v>101.699281960824</v>
      </c>
      <c r="K153" s="425">
        <v>5.70133943396368</v>
      </c>
      <c r="L153" s="425">
        <v>71.275752699467702</v>
      </c>
      <c r="M153" s="425">
        <v>27.3373386606353</v>
      </c>
      <c r="N153" s="425">
        <v>76.035944637668194</v>
      </c>
      <c r="O153" s="425">
        <v>4.3254345514912496</v>
      </c>
      <c r="P153" s="425">
        <v>475.45144762433102</v>
      </c>
      <c r="Q153" s="425">
        <v>69.8932081172929</v>
      </c>
      <c r="R153" s="425">
        <v>15.1765890624016</v>
      </c>
      <c r="S153" s="425">
        <v>1296.2064974989</v>
      </c>
      <c r="T153" s="412"/>
    </row>
    <row r="154" spans="2:20">
      <c r="B154" s="412"/>
      <c r="C154" s="412"/>
      <c r="D154" s="430">
        <f t="shared" ref="D154:S154" si="3">D153+D143-D129</f>
        <v>0</v>
      </c>
      <c r="E154" s="430">
        <f t="shared" si="3"/>
        <v>0</v>
      </c>
      <c r="F154" s="430">
        <f t="shared" si="3"/>
        <v>-8.3133500083931722E-13</v>
      </c>
      <c r="G154" s="430">
        <f t="shared" si="3"/>
        <v>-2.8421709430404007E-13</v>
      </c>
      <c r="H154" s="430">
        <f t="shared" si="3"/>
        <v>0</v>
      </c>
      <c r="I154" s="430">
        <f t="shared" si="3"/>
        <v>0</v>
      </c>
      <c r="J154" s="430">
        <f t="shared" si="3"/>
        <v>0</v>
      </c>
      <c r="K154" s="430">
        <f t="shared" si="3"/>
        <v>0</v>
      </c>
      <c r="L154" s="430">
        <f t="shared" si="3"/>
        <v>9.9475983006414026E-14</v>
      </c>
      <c r="M154" s="430">
        <f t="shared" si="3"/>
        <v>-2.8255175976710234E-14</v>
      </c>
      <c r="N154" s="430">
        <f t="shared" si="3"/>
        <v>0</v>
      </c>
      <c r="O154" s="430">
        <f t="shared" si="3"/>
        <v>-1.9539925233402755E-14</v>
      </c>
      <c r="P154" s="430">
        <f t="shared" si="3"/>
        <v>-6.2350125062948791E-13</v>
      </c>
      <c r="Q154" s="430">
        <f t="shared" si="3"/>
        <v>-9.9475983006414026E-14</v>
      </c>
      <c r="R154" s="430">
        <f t="shared" si="3"/>
        <v>-9.7144514654701197E-15</v>
      </c>
      <c r="S154" s="430">
        <f t="shared" si="3"/>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362</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2.3260000000000001</v>
      </c>
      <c r="F160" s="421">
        <v>0</v>
      </c>
      <c r="G160" s="421">
        <v>3.7215999999999999E-2</v>
      </c>
      <c r="H160" s="422">
        <v>949.39393939393904</v>
      </c>
      <c r="I160" s="422">
        <v>276.68</v>
      </c>
      <c r="J160" s="422">
        <v>284.734772116177</v>
      </c>
      <c r="K160" s="422">
        <v>38.511665616305898</v>
      </c>
      <c r="L160" s="421">
        <v>0</v>
      </c>
      <c r="M160" s="421">
        <v>0</v>
      </c>
      <c r="N160" s="422">
        <v>85.392433579820405</v>
      </c>
      <c r="O160" s="422">
        <v>15.074805441341001</v>
      </c>
      <c r="P160" s="421">
        <v>0</v>
      </c>
      <c r="Q160" s="421">
        <v>0</v>
      </c>
      <c r="R160" s="421">
        <v>0</v>
      </c>
      <c r="S160" s="423">
        <v>1652.1508321475801</v>
      </c>
      <c r="T160" s="412"/>
    </row>
    <row r="161" spans="2:20" ht="13.5">
      <c r="B161" s="412"/>
      <c r="C161" s="420" t="s">
        <v>60</v>
      </c>
      <c r="D161" s="421">
        <v>8.4277409701764192</v>
      </c>
      <c r="E161" s="421">
        <v>294.49378048971499</v>
      </c>
      <c r="F161" s="421">
        <v>3.02470006963182</v>
      </c>
      <c r="G161" s="421">
        <v>181.17738201956001</v>
      </c>
      <c r="H161" s="421">
        <v>0</v>
      </c>
      <c r="I161" s="421">
        <v>0</v>
      </c>
      <c r="J161" s="421">
        <v>0</v>
      </c>
      <c r="K161" s="421">
        <v>0</v>
      </c>
      <c r="L161" s="421">
        <v>0</v>
      </c>
      <c r="M161" s="421">
        <v>0</v>
      </c>
      <c r="N161" s="421">
        <v>0</v>
      </c>
      <c r="O161" s="421">
        <v>0</v>
      </c>
      <c r="P161" s="421">
        <v>13.6891405650981</v>
      </c>
      <c r="Q161" s="421">
        <v>0</v>
      </c>
      <c r="R161" s="421">
        <v>0</v>
      </c>
      <c r="S161" s="423">
        <v>500.81274411418099</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0</v>
      </c>
      <c r="Q162" s="421">
        <v>0</v>
      </c>
      <c r="R162" s="421">
        <v>0</v>
      </c>
      <c r="S162" s="423">
        <v>0</v>
      </c>
      <c r="T162" s="412"/>
    </row>
    <row r="163" spans="2:20" ht="13.5">
      <c r="B163" s="412"/>
      <c r="C163" s="420" t="s">
        <v>62</v>
      </c>
      <c r="D163" s="421">
        <v>0</v>
      </c>
      <c r="E163" s="421">
        <v>0</v>
      </c>
      <c r="F163" s="421">
        <v>-11.216317309287099</v>
      </c>
      <c r="G163" s="421">
        <v>-1.99710794114988</v>
      </c>
      <c r="H163" s="421">
        <v>0</v>
      </c>
      <c r="I163" s="421">
        <v>0</v>
      </c>
      <c r="J163" s="421">
        <v>0</v>
      </c>
      <c r="K163" s="421">
        <v>0</v>
      </c>
      <c r="L163" s="421">
        <v>0</v>
      </c>
      <c r="M163" s="421">
        <v>-0.69888193239441998</v>
      </c>
      <c r="N163" s="421">
        <v>0</v>
      </c>
      <c r="O163" s="421">
        <v>0</v>
      </c>
      <c r="P163" s="421">
        <v>0</v>
      </c>
      <c r="Q163" s="421">
        <v>0</v>
      </c>
      <c r="R163" s="421">
        <v>0</v>
      </c>
      <c r="S163" s="423">
        <v>-13.9123071828314</v>
      </c>
      <c r="T163" s="412"/>
    </row>
    <row r="164" spans="2:20" ht="13.5">
      <c r="B164" s="412"/>
      <c r="C164" s="420" t="s">
        <v>63</v>
      </c>
      <c r="D164" s="421">
        <v>0</v>
      </c>
      <c r="E164" s="421">
        <v>0</v>
      </c>
      <c r="F164" s="421">
        <v>-55.603077514900399</v>
      </c>
      <c r="G164" s="421">
        <v>0</v>
      </c>
      <c r="H164" s="421">
        <v>0</v>
      </c>
      <c r="I164" s="421">
        <v>0</v>
      </c>
      <c r="J164" s="421">
        <v>0</v>
      </c>
      <c r="K164" s="421">
        <v>0</v>
      </c>
      <c r="L164" s="421">
        <v>-22.070241117704398</v>
      </c>
      <c r="M164" s="421">
        <v>0</v>
      </c>
      <c r="N164" s="421">
        <v>0</v>
      </c>
      <c r="O164" s="421">
        <v>0</v>
      </c>
      <c r="P164" s="421">
        <v>0</v>
      </c>
      <c r="Q164" s="421">
        <v>0</v>
      </c>
      <c r="R164" s="421">
        <v>-0.48199249828489099</v>
      </c>
      <c r="S164" s="423">
        <v>-78.155311130889601</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8.4277409701764192</v>
      </c>
      <c r="E166" s="425">
        <v>296.81978048971501</v>
      </c>
      <c r="F166" s="425">
        <v>-63.794694754555699</v>
      </c>
      <c r="G166" s="425">
        <v>179.21749007841001</v>
      </c>
      <c r="H166" s="425">
        <v>949.39393939393904</v>
      </c>
      <c r="I166" s="425">
        <v>276.68</v>
      </c>
      <c r="J166" s="425">
        <v>284.734772116177</v>
      </c>
      <c r="K166" s="425">
        <v>38.511665616305898</v>
      </c>
      <c r="L166" s="425">
        <v>-22.070241117704398</v>
      </c>
      <c r="M166" s="425">
        <v>-0.69888193239441998</v>
      </c>
      <c r="N166" s="425">
        <v>85.392433579820405</v>
      </c>
      <c r="O166" s="425">
        <v>15.074805441341001</v>
      </c>
      <c r="P166" s="425">
        <v>13.6891405650981</v>
      </c>
      <c r="Q166" s="425">
        <v>0</v>
      </c>
      <c r="R166" s="425">
        <v>-0.48199249828489099</v>
      </c>
      <c r="S166" s="425">
        <v>2060.8959579480402</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0</v>
      </c>
      <c r="E169" s="421">
        <v>0</v>
      </c>
      <c r="F169" s="421">
        <v>0</v>
      </c>
      <c r="G169" s="421">
        <v>12.8533333333333</v>
      </c>
      <c r="H169" s="421">
        <v>949.39393939393904</v>
      </c>
      <c r="I169" s="421">
        <v>276.68</v>
      </c>
      <c r="J169" s="421">
        <v>18.141357717605299</v>
      </c>
      <c r="K169" s="421">
        <v>5.2928476822958697</v>
      </c>
      <c r="L169" s="421">
        <v>0</v>
      </c>
      <c r="M169" s="421">
        <v>4.05894736842105</v>
      </c>
      <c r="N169" s="421">
        <v>0</v>
      </c>
      <c r="O169" s="421">
        <v>0</v>
      </c>
      <c r="P169" s="421">
        <v>-609.38</v>
      </c>
      <c r="Q169" s="421">
        <v>0</v>
      </c>
      <c r="R169" s="421">
        <v>3.8</v>
      </c>
      <c r="S169" s="429">
        <v>660.84042549559501</v>
      </c>
      <c r="T169" s="412"/>
    </row>
    <row r="170" spans="2:20" ht="13.5">
      <c r="B170" s="412"/>
      <c r="C170" s="428" t="s">
        <v>351</v>
      </c>
      <c r="D170" s="421">
        <v>0</v>
      </c>
      <c r="E170" s="421">
        <v>0</v>
      </c>
      <c r="F170" s="421">
        <v>0</v>
      </c>
      <c r="G170" s="421">
        <v>13.2997527316566</v>
      </c>
      <c r="H170" s="421">
        <v>0</v>
      </c>
      <c r="I170" s="421">
        <v>0</v>
      </c>
      <c r="J170" s="421">
        <v>29.191829684725199</v>
      </c>
      <c r="K170" s="421">
        <v>27.043598962685898</v>
      </c>
      <c r="L170" s="421">
        <v>0</v>
      </c>
      <c r="M170" s="421">
        <v>4.1999219152599903</v>
      </c>
      <c r="N170" s="421">
        <v>0</v>
      </c>
      <c r="O170" s="421">
        <v>10.1722943931358</v>
      </c>
      <c r="P170" s="421">
        <v>0</v>
      </c>
      <c r="Q170" s="421">
        <v>-77.056499329406094</v>
      </c>
      <c r="R170" s="421">
        <v>0</v>
      </c>
      <c r="S170" s="429">
        <v>6.8508983580574103</v>
      </c>
      <c r="T170" s="412"/>
    </row>
    <row r="171" spans="2:20" ht="13.5">
      <c r="B171" s="412"/>
      <c r="C171" s="428" t="s">
        <v>352</v>
      </c>
      <c r="D171" s="421">
        <v>0</v>
      </c>
      <c r="E171" s="421">
        <v>0</v>
      </c>
      <c r="F171" s="421">
        <v>0</v>
      </c>
      <c r="G171" s="421">
        <v>0</v>
      </c>
      <c r="H171" s="421">
        <v>0</v>
      </c>
      <c r="I171" s="421">
        <v>0</v>
      </c>
      <c r="J171" s="421">
        <v>60.206069168057198</v>
      </c>
      <c r="K171" s="421">
        <v>0</v>
      </c>
      <c r="L171" s="421">
        <v>0</v>
      </c>
      <c r="M171" s="421">
        <v>-54.4262865279237</v>
      </c>
      <c r="N171" s="421">
        <v>0</v>
      </c>
      <c r="O171" s="421">
        <v>0</v>
      </c>
      <c r="P171" s="421">
        <v>0</v>
      </c>
      <c r="Q171" s="421">
        <v>0</v>
      </c>
      <c r="R171" s="421">
        <v>0</v>
      </c>
      <c r="S171" s="429">
        <v>5.7797826401334804</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307.47374578102801</v>
      </c>
      <c r="F173" s="421">
        <v>-304.399008323217</v>
      </c>
      <c r="G173" s="421">
        <v>0</v>
      </c>
      <c r="H173" s="421">
        <v>0</v>
      </c>
      <c r="I173" s="421">
        <v>0</v>
      </c>
      <c r="J173" s="421">
        <v>0</v>
      </c>
      <c r="K173" s="421">
        <v>0</v>
      </c>
      <c r="L173" s="421">
        <v>0</v>
      </c>
      <c r="M173" s="421">
        <v>0</v>
      </c>
      <c r="N173" s="421">
        <v>0</v>
      </c>
      <c r="O173" s="421">
        <v>0</v>
      </c>
      <c r="P173" s="421">
        <v>0</v>
      </c>
      <c r="Q173" s="421">
        <v>0</v>
      </c>
      <c r="R173" s="421">
        <v>0</v>
      </c>
      <c r="S173" s="429">
        <v>3.07473745781027</v>
      </c>
      <c r="T173" s="412"/>
    </row>
    <row r="174" spans="2:20" ht="13.5">
      <c r="B174" s="412"/>
      <c r="C174" s="428" t="s">
        <v>354</v>
      </c>
      <c r="D174" s="421">
        <v>0</v>
      </c>
      <c r="E174" s="421">
        <v>0</v>
      </c>
      <c r="F174" s="421">
        <v>0</v>
      </c>
      <c r="G174" s="421">
        <v>0</v>
      </c>
      <c r="H174" s="421">
        <v>0</v>
      </c>
      <c r="I174" s="421">
        <v>0</v>
      </c>
      <c r="J174" s="421">
        <v>85.931808179639404</v>
      </c>
      <c r="K174" s="421">
        <v>0</v>
      </c>
      <c r="L174" s="421">
        <v>-85.931808179639404</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-17.535700738468499</v>
      </c>
      <c r="M175" s="421">
        <v>0</v>
      </c>
      <c r="N175" s="421">
        <v>0</v>
      </c>
      <c r="O175" s="421">
        <v>0</v>
      </c>
      <c r="P175" s="421">
        <v>0</v>
      </c>
      <c r="Q175" s="421">
        <v>0</v>
      </c>
      <c r="R175" s="421">
        <v>25.051001054954899</v>
      </c>
      <c r="S175" s="429">
        <v>7.5153003164864902</v>
      </c>
      <c r="T175" s="412"/>
    </row>
    <row r="176" spans="2:20" ht="13.5">
      <c r="B176" s="412"/>
      <c r="C176" s="428" t="s">
        <v>73</v>
      </c>
      <c r="D176" s="421">
        <v>0</v>
      </c>
      <c r="E176" s="421">
        <v>0</v>
      </c>
      <c r="F176" s="421">
        <v>0</v>
      </c>
      <c r="G176" s="421">
        <v>12.8407715215872</v>
      </c>
      <c r="H176" s="421">
        <v>0</v>
      </c>
      <c r="I176" s="421">
        <v>0</v>
      </c>
      <c r="J176" s="421">
        <v>0</v>
      </c>
      <c r="K176" s="421">
        <v>0.70990554630623504</v>
      </c>
      <c r="L176" s="421">
        <v>0</v>
      </c>
      <c r="M176" s="421">
        <v>4.05498048050121</v>
      </c>
      <c r="N176" s="421">
        <v>0</v>
      </c>
      <c r="O176" s="421">
        <v>0</v>
      </c>
      <c r="P176" s="421">
        <v>55.117150379882297</v>
      </c>
      <c r="Q176" s="421">
        <v>0</v>
      </c>
      <c r="R176" s="421">
        <v>-49.693388241436402</v>
      </c>
      <c r="S176" s="429">
        <v>23.029419686840502</v>
      </c>
      <c r="T176" s="412"/>
    </row>
    <row r="177" spans="2:20" ht="13.5">
      <c r="B177" s="412"/>
      <c r="C177" s="428" t="s">
        <v>356</v>
      </c>
      <c r="D177" s="421">
        <v>2.83393890380859</v>
      </c>
      <c r="E177" s="421">
        <v>-10.6539652913126</v>
      </c>
      <c r="F177" s="421">
        <v>13.9347573224132</v>
      </c>
      <c r="G177" s="421">
        <v>0</v>
      </c>
      <c r="H177" s="421">
        <v>0</v>
      </c>
      <c r="I177" s="421">
        <v>0</v>
      </c>
      <c r="J177" s="421">
        <v>0</v>
      </c>
      <c r="K177" s="421">
        <v>0</v>
      </c>
      <c r="L177" s="421">
        <v>0</v>
      </c>
      <c r="M177" s="421">
        <v>0</v>
      </c>
      <c r="N177" s="421">
        <v>0</v>
      </c>
      <c r="O177" s="421">
        <v>0</v>
      </c>
      <c r="P177" s="421">
        <v>0</v>
      </c>
      <c r="Q177" s="421">
        <v>0</v>
      </c>
      <c r="R177" s="421">
        <v>0</v>
      </c>
      <c r="S177" s="429">
        <v>6.1147309349091996</v>
      </c>
      <c r="T177" s="412"/>
    </row>
    <row r="178" spans="2:20" ht="13.5">
      <c r="B178" s="412"/>
      <c r="C178" s="428" t="s">
        <v>75</v>
      </c>
      <c r="D178" s="421">
        <v>3.8710979003906201</v>
      </c>
      <c r="E178" s="421">
        <v>0</v>
      </c>
      <c r="F178" s="421">
        <v>18.035338972064899</v>
      </c>
      <c r="G178" s="421">
        <v>3.99111442428871</v>
      </c>
      <c r="H178" s="421">
        <v>0</v>
      </c>
      <c r="I178" s="421">
        <v>0</v>
      </c>
      <c r="J178" s="421">
        <v>0</v>
      </c>
      <c r="K178" s="421">
        <v>0</v>
      </c>
      <c r="L178" s="421">
        <v>0</v>
      </c>
      <c r="M178" s="421">
        <v>1.2603519234595899</v>
      </c>
      <c r="N178" s="421">
        <v>0</v>
      </c>
      <c r="O178" s="421">
        <v>0</v>
      </c>
      <c r="P178" s="421">
        <v>35.255454545454498</v>
      </c>
      <c r="Q178" s="421">
        <v>0</v>
      </c>
      <c r="R178" s="421">
        <v>0</v>
      </c>
      <c r="S178" s="429">
        <v>62.413357765658397</v>
      </c>
      <c r="T178" s="412"/>
    </row>
    <row r="179" spans="2:20" ht="13.5">
      <c r="B179" s="412"/>
      <c r="C179" s="428" t="s">
        <v>76</v>
      </c>
      <c r="D179" s="421">
        <v>0</v>
      </c>
      <c r="E179" s="421">
        <v>0</v>
      </c>
      <c r="F179" s="421">
        <v>0</v>
      </c>
      <c r="G179" s="421">
        <v>2.0436747905742099</v>
      </c>
      <c r="H179" s="421">
        <v>0</v>
      </c>
      <c r="I179" s="421">
        <v>0</v>
      </c>
      <c r="J179" s="421">
        <v>0</v>
      </c>
      <c r="K179" s="421">
        <v>0</v>
      </c>
      <c r="L179" s="421">
        <v>0</v>
      </c>
      <c r="M179" s="421">
        <v>0.64537098649711899</v>
      </c>
      <c r="N179" s="421">
        <v>0</v>
      </c>
      <c r="O179" s="421">
        <v>0</v>
      </c>
      <c r="P179" s="421">
        <v>47.751374577011198</v>
      </c>
      <c r="Q179" s="421">
        <v>5.9711678447141301</v>
      </c>
      <c r="R179" s="421">
        <v>0</v>
      </c>
      <c r="S179" s="429">
        <v>56.4115881987967</v>
      </c>
      <c r="T179" s="412"/>
    </row>
    <row r="180" spans="2:20" ht="13.5">
      <c r="B180" s="412"/>
      <c r="C180" s="424" t="s">
        <v>77</v>
      </c>
      <c r="D180" s="425">
        <v>6.7050368041992199</v>
      </c>
      <c r="E180" s="425">
        <v>296.81978048971501</v>
      </c>
      <c r="F180" s="425">
        <v>-272.42891202873898</v>
      </c>
      <c r="G180" s="425">
        <v>45.028646801440097</v>
      </c>
      <c r="H180" s="425">
        <v>949.39393939393904</v>
      </c>
      <c r="I180" s="425">
        <v>276.68</v>
      </c>
      <c r="J180" s="425">
        <v>193.47106475002701</v>
      </c>
      <c r="K180" s="425">
        <v>33.046352191288001</v>
      </c>
      <c r="L180" s="425">
        <v>-103.467508918108</v>
      </c>
      <c r="M180" s="425">
        <v>-40.206713853784699</v>
      </c>
      <c r="N180" s="425">
        <v>0</v>
      </c>
      <c r="O180" s="425">
        <v>10.1722943931358</v>
      </c>
      <c r="P180" s="425">
        <v>-471.256020497652</v>
      </c>
      <c r="Q180" s="425">
        <v>-71.085331484692006</v>
      </c>
      <c r="R180" s="425">
        <v>-20.842387186481499</v>
      </c>
      <c r="S180" s="425">
        <v>832.03024085428694</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1.27819257295963</v>
      </c>
      <c r="E182" s="421">
        <v>0</v>
      </c>
      <c r="F182" s="421">
        <v>9.6128944226359607</v>
      </c>
      <c r="G182" s="421">
        <v>60.199792292935904</v>
      </c>
      <c r="H182" s="421">
        <v>0</v>
      </c>
      <c r="I182" s="421">
        <v>0</v>
      </c>
      <c r="J182" s="421">
        <v>14.9029709316316</v>
      </c>
      <c r="K182" s="421">
        <v>5.4653134250178503</v>
      </c>
      <c r="L182" s="421">
        <v>3.5459101562500002</v>
      </c>
      <c r="M182" s="421">
        <v>19.010460724085</v>
      </c>
      <c r="N182" s="421">
        <v>0</v>
      </c>
      <c r="O182" s="421">
        <v>0</v>
      </c>
      <c r="P182" s="421">
        <v>136.692289377436</v>
      </c>
      <c r="Q182" s="421">
        <v>23.646366063927399</v>
      </c>
      <c r="R182" s="421">
        <v>6.4302626953124999</v>
      </c>
      <c r="S182" s="429">
        <v>280.78445266219097</v>
      </c>
      <c r="T182" s="412"/>
    </row>
    <row r="183" spans="2:20" ht="13.5">
      <c r="B183" s="412"/>
      <c r="C183" s="428" t="s">
        <v>79</v>
      </c>
      <c r="D183" s="421">
        <v>0</v>
      </c>
      <c r="E183" s="421">
        <v>0</v>
      </c>
      <c r="F183" s="421">
        <v>87.8758260186641</v>
      </c>
      <c r="G183" s="421">
        <v>18.337650579977399</v>
      </c>
      <c r="H183" s="421">
        <v>0</v>
      </c>
      <c r="I183" s="421">
        <v>0</v>
      </c>
      <c r="J183" s="421">
        <v>0</v>
      </c>
      <c r="K183" s="421">
        <v>0</v>
      </c>
      <c r="L183" s="421">
        <v>50.618247821052101</v>
      </c>
      <c r="M183" s="421">
        <v>5.9499820008855098</v>
      </c>
      <c r="N183" s="421">
        <v>0</v>
      </c>
      <c r="O183" s="421">
        <v>0</v>
      </c>
      <c r="P183" s="421">
        <v>72.745040205449797</v>
      </c>
      <c r="Q183" s="421">
        <v>0</v>
      </c>
      <c r="R183" s="421">
        <v>3.6092463767880099</v>
      </c>
      <c r="S183" s="429">
        <v>239.135993002817</v>
      </c>
      <c r="T183" s="412"/>
    </row>
    <row r="184" spans="2:20" ht="13.5">
      <c r="B184" s="412"/>
      <c r="C184" s="428" t="s">
        <v>80</v>
      </c>
      <c r="D184" s="421">
        <v>0</v>
      </c>
      <c r="E184" s="421">
        <v>0</v>
      </c>
      <c r="F184" s="421">
        <v>0.73996972526279803</v>
      </c>
      <c r="G184" s="421">
        <v>24.071010680096698</v>
      </c>
      <c r="H184" s="421">
        <v>0</v>
      </c>
      <c r="I184" s="421">
        <v>0</v>
      </c>
      <c r="J184" s="421">
        <v>65.809563312785698</v>
      </c>
      <c r="K184" s="421">
        <v>0</v>
      </c>
      <c r="L184" s="421">
        <v>0</v>
      </c>
      <c r="M184" s="421">
        <v>7.60137179371476</v>
      </c>
      <c r="N184" s="421">
        <v>70.900752846109597</v>
      </c>
      <c r="O184" s="421">
        <v>2.1051398750689501</v>
      </c>
      <c r="P184" s="421">
        <v>151.15345776916399</v>
      </c>
      <c r="Q184" s="421">
        <v>36.326109024475898</v>
      </c>
      <c r="R184" s="421">
        <v>0</v>
      </c>
      <c r="S184" s="429">
        <v>358.70737502667799</v>
      </c>
      <c r="T184" s="412"/>
    </row>
    <row r="185" spans="2:20" ht="13.5">
      <c r="B185" s="412"/>
      <c r="C185" s="428" t="s">
        <v>81</v>
      </c>
      <c r="D185" s="421">
        <v>0</v>
      </c>
      <c r="E185" s="421">
        <v>0</v>
      </c>
      <c r="F185" s="421">
        <v>1.6908527840101399</v>
      </c>
      <c r="G185" s="421">
        <v>21.232227312602799</v>
      </c>
      <c r="H185" s="421">
        <v>0</v>
      </c>
      <c r="I185" s="421">
        <v>0</v>
      </c>
      <c r="J185" s="421">
        <v>7.3285872023111196</v>
      </c>
      <c r="K185" s="421">
        <v>0</v>
      </c>
      <c r="L185" s="421">
        <v>0</v>
      </c>
      <c r="M185" s="421">
        <v>6.7049138881903696</v>
      </c>
      <c r="N185" s="421">
        <v>14.491680733710799</v>
      </c>
      <c r="O185" s="421">
        <v>1.6318379540725301</v>
      </c>
      <c r="P185" s="421">
        <v>115.122674454118</v>
      </c>
      <c r="Q185" s="421">
        <v>11.1128563962888</v>
      </c>
      <c r="R185" s="421">
        <v>0</v>
      </c>
      <c r="S185" s="429">
        <v>179.315630725305</v>
      </c>
      <c r="T185" s="412"/>
    </row>
    <row r="186" spans="2:20" ht="13.5">
      <c r="B186" s="412"/>
      <c r="C186" s="428" t="s">
        <v>82</v>
      </c>
      <c r="D186" s="421">
        <v>0</v>
      </c>
      <c r="E186" s="421">
        <v>0</v>
      </c>
      <c r="F186" s="421">
        <v>12.5124400680813</v>
      </c>
      <c r="G186" s="421">
        <v>1.3106771859998501</v>
      </c>
      <c r="H186" s="421">
        <v>0</v>
      </c>
      <c r="I186" s="421">
        <v>0</v>
      </c>
      <c r="J186" s="421">
        <v>3.2225859194218698</v>
      </c>
      <c r="K186" s="421">
        <v>0</v>
      </c>
      <c r="L186" s="421">
        <v>12.553992450054499</v>
      </c>
      <c r="M186" s="421">
        <v>0.41389805873679603</v>
      </c>
      <c r="N186" s="421">
        <v>0</v>
      </c>
      <c r="O186" s="421">
        <v>1.16553321906376</v>
      </c>
      <c r="P186" s="421">
        <v>6.6716992565826096</v>
      </c>
      <c r="Q186" s="421">
        <v>0</v>
      </c>
      <c r="R186" s="421">
        <v>0.294856552375373</v>
      </c>
      <c r="S186" s="429">
        <v>38.145682710316102</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2.56</v>
      </c>
      <c r="Q187" s="421">
        <v>0</v>
      </c>
      <c r="R187" s="421">
        <v>0</v>
      </c>
      <c r="S187" s="429">
        <v>2.56</v>
      </c>
      <c r="T187" s="412"/>
    </row>
    <row r="188" spans="2:20" ht="13.5">
      <c r="B188" s="412"/>
      <c r="C188" s="424" t="s">
        <v>83</v>
      </c>
      <c r="D188" s="425">
        <v>1.27819257295963</v>
      </c>
      <c r="E188" s="425">
        <v>0</v>
      </c>
      <c r="F188" s="425">
        <v>112.43198301865399</v>
      </c>
      <c r="G188" s="425">
        <v>125.151358051613</v>
      </c>
      <c r="H188" s="425">
        <v>0</v>
      </c>
      <c r="I188" s="425">
        <v>0</v>
      </c>
      <c r="J188" s="425">
        <v>91.2637073661502</v>
      </c>
      <c r="K188" s="425">
        <v>5.4653134250178503</v>
      </c>
      <c r="L188" s="425">
        <v>66.718150427356605</v>
      </c>
      <c r="M188" s="425">
        <v>39.680626465612498</v>
      </c>
      <c r="N188" s="425">
        <v>85.392433579820405</v>
      </c>
      <c r="O188" s="425">
        <v>4.9025110482052403</v>
      </c>
      <c r="P188" s="425">
        <v>484.94516106275</v>
      </c>
      <c r="Q188" s="425">
        <v>71.085331484692006</v>
      </c>
      <c r="R188" s="425">
        <v>10.3343656244759</v>
      </c>
      <c r="S188" s="425">
        <v>1098.6491341273099</v>
      </c>
      <c r="T188" s="412"/>
    </row>
    <row r="189" spans="2:20" ht="13.5">
      <c r="B189" s="412"/>
      <c r="C189" s="420" t="s">
        <v>84</v>
      </c>
      <c r="D189" s="421">
        <v>0.44451159301757798</v>
      </c>
      <c r="E189" s="421">
        <v>0</v>
      </c>
      <c r="F189" s="421">
        <v>96.202234255529206</v>
      </c>
      <c r="G189" s="421">
        <v>8.8646906811351496</v>
      </c>
      <c r="H189" s="421">
        <v>0</v>
      </c>
      <c r="I189" s="421">
        <v>0</v>
      </c>
      <c r="J189" s="421">
        <v>0</v>
      </c>
      <c r="K189" s="421">
        <v>0</v>
      </c>
      <c r="L189" s="421">
        <v>14.6791173730469</v>
      </c>
      <c r="M189" s="421">
        <v>0</v>
      </c>
      <c r="N189" s="421">
        <v>0</v>
      </c>
      <c r="O189" s="421">
        <v>0</v>
      </c>
      <c r="P189" s="421">
        <v>0</v>
      </c>
      <c r="Q189" s="421">
        <v>0</v>
      </c>
      <c r="R189" s="421">
        <v>10.026029063720699</v>
      </c>
      <c r="S189" s="429">
        <v>130.21658296645001</v>
      </c>
      <c r="T189" s="412"/>
    </row>
    <row r="190" spans="2:20" ht="13.5">
      <c r="B190" s="412"/>
      <c r="C190" s="424" t="s">
        <v>85</v>
      </c>
      <c r="D190" s="425">
        <v>1.72270416597721</v>
      </c>
      <c r="E190" s="425">
        <v>0</v>
      </c>
      <c r="F190" s="425">
        <v>208.63421727418401</v>
      </c>
      <c r="G190" s="425">
        <v>134.016048732748</v>
      </c>
      <c r="H190" s="425">
        <v>0</v>
      </c>
      <c r="I190" s="425">
        <v>0</v>
      </c>
      <c r="J190" s="425">
        <v>91.2637073661502</v>
      </c>
      <c r="K190" s="425">
        <v>5.4653134250178503</v>
      </c>
      <c r="L190" s="425">
        <v>81.397267800403498</v>
      </c>
      <c r="M190" s="425">
        <v>39.680626465612498</v>
      </c>
      <c r="N190" s="425">
        <v>85.392433579820405</v>
      </c>
      <c r="O190" s="425">
        <v>4.9025110482052403</v>
      </c>
      <c r="P190" s="425">
        <v>484.94516106275</v>
      </c>
      <c r="Q190" s="425">
        <v>71.085331484692006</v>
      </c>
      <c r="R190" s="425">
        <v>20.3603946881966</v>
      </c>
      <c r="S190" s="425">
        <v>1228.8657170937599</v>
      </c>
      <c r="T190" s="412"/>
    </row>
    <row r="191" spans="2:20">
      <c r="B191" s="412"/>
      <c r="C191" s="412"/>
      <c r="D191" s="430">
        <f t="shared" ref="D191:S191" si="4">D190+D180-D166</f>
        <v>0</v>
      </c>
      <c r="E191" s="430">
        <f t="shared" si="4"/>
        <v>0</v>
      </c>
      <c r="F191" s="430">
        <f t="shared" si="4"/>
        <v>7.3185901783290319E-13</v>
      </c>
      <c r="G191" s="430">
        <f t="shared" si="4"/>
        <v>-0.1727945442219152</v>
      </c>
      <c r="H191" s="430">
        <f t="shared" si="4"/>
        <v>0</v>
      </c>
      <c r="I191" s="430">
        <f t="shared" si="4"/>
        <v>0</v>
      </c>
      <c r="J191" s="430">
        <f t="shared" si="4"/>
        <v>0</v>
      </c>
      <c r="K191" s="430">
        <f t="shared" si="4"/>
        <v>0</v>
      </c>
      <c r="L191" s="430">
        <f t="shared" si="4"/>
        <v>-9.9475983006414026E-14</v>
      </c>
      <c r="M191" s="430">
        <f t="shared" si="4"/>
        <v>0.1727945442222194</v>
      </c>
      <c r="N191" s="430">
        <f t="shared" si="4"/>
        <v>0</v>
      </c>
      <c r="O191" s="430">
        <f t="shared" si="4"/>
        <v>4.0856207306205761E-14</v>
      </c>
      <c r="P191" s="430">
        <f t="shared" si="4"/>
        <v>-9.9475983006414026E-14</v>
      </c>
      <c r="Q191" s="430">
        <f t="shared" si="4"/>
        <v>0</v>
      </c>
      <c r="R191" s="430">
        <f t="shared" si="4"/>
        <v>-8.5487172896137054E-15</v>
      </c>
      <c r="S191" s="430">
        <f t="shared" si="4"/>
        <v>6.8212102632969618E-12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363</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0</v>
      </c>
      <c r="F197" s="421">
        <v>0</v>
      </c>
      <c r="G197" s="421">
        <v>0</v>
      </c>
      <c r="H197" s="422">
        <v>919.39393939393995</v>
      </c>
      <c r="I197" s="422">
        <v>297.2</v>
      </c>
      <c r="J197" s="422">
        <v>293.71785736374301</v>
      </c>
      <c r="K197" s="422">
        <v>38.3991774648144</v>
      </c>
      <c r="L197" s="421">
        <v>0</v>
      </c>
      <c r="M197" s="421">
        <v>0</v>
      </c>
      <c r="N197" s="422">
        <v>91.728344176793996</v>
      </c>
      <c r="O197" s="422">
        <v>16.494075355247801</v>
      </c>
      <c r="P197" s="421">
        <v>0</v>
      </c>
      <c r="Q197" s="421">
        <v>0</v>
      </c>
      <c r="R197" s="421">
        <v>0</v>
      </c>
      <c r="S197" s="423">
        <v>1656.93339375454</v>
      </c>
      <c r="T197" s="412"/>
    </row>
    <row r="198" spans="2:20" ht="13.5">
      <c r="B198" s="412"/>
      <c r="C198" s="420" t="s">
        <v>60</v>
      </c>
      <c r="D198" s="421">
        <v>7.4939151456434798</v>
      </c>
      <c r="E198" s="421">
        <v>266.28302835422397</v>
      </c>
      <c r="F198" s="421">
        <v>0</v>
      </c>
      <c r="G198" s="421">
        <v>151.91024428871401</v>
      </c>
      <c r="H198" s="421">
        <v>0</v>
      </c>
      <c r="I198" s="421">
        <v>0</v>
      </c>
      <c r="J198" s="421">
        <v>0</v>
      </c>
      <c r="K198" s="421">
        <v>0</v>
      </c>
      <c r="L198" s="421">
        <v>0</v>
      </c>
      <c r="M198" s="421">
        <v>0</v>
      </c>
      <c r="N198" s="421">
        <v>0</v>
      </c>
      <c r="O198" s="421">
        <v>0</v>
      </c>
      <c r="P198" s="421">
        <v>25.896699392432499</v>
      </c>
      <c r="Q198" s="421">
        <v>0</v>
      </c>
      <c r="R198" s="421">
        <v>0</v>
      </c>
      <c r="S198" s="423">
        <v>451.58388718101401</v>
      </c>
      <c r="T198" s="412"/>
    </row>
    <row r="199" spans="2:20" ht="13.5">
      <c r="B199" s="412"/>
      <c r="C199" s="420" t="s">
        <v>61</v>
      </c>
      <c r="D199" s="421">
        <v>0</v>
      </c>
      <c r="E199" s="421">
        <v>0</v>
      </c>
      <c r="F199" s="421">
        <v>-20.601925350856099</v>
      </c>
      <c r="G199" s="421">
        <v>0</v>
      </c>
      <c r="H199" s="421">
        <v>0</v>
      </c>
      <c r="I199" s="421">
        <v>0</v>
      </c>
      <c r="J199" s="421">
        <v>0</v>
      </c>
      <c r="K199" s="421">
        <v>0</v>
      </c>
      <c r="L199" s="421">
        <v>0</v>
      </c>
      <c r="M199" s="421">
        <v>0</v>
      </c>
      <c r="N199" s="421">
        <v>0</v>
      </c>
      <c r="O199" s="421">
        <v>0</v>
      </c>
      <c r="P199" s="421">
        <v>0</v>
      </c>
      <c r="Q199" s="421">
        <v>0</v>
      </c>
      <c r="R199" s="421">
        <v>0</v>
      </c>
      <c r="S199" s="423">
        <v>-20.601925350856099</v>
      </c>
      <c r="T199" s="412"/>
    </row>
    <row r="200" spans="2:20" ht="13.5">
      <c r="B200" s="412"/>
      <c r="C200" s="420" t="s">
        <v>62</v>
      </c>
      <c r="D200" s="421">
        <v>0</v>
      </c>
      <c r="E200" s="421">
        <v>0</v>
      </c>
      <c r="F200" s="421">
        <v>-10.0686168173907</v>
      </c>
      <c r="G200" s="421">
        <v>-2.2904268439326998</v>
      </c>
      <c r="H200" s="421">
        <v>0</v>
      </c>
      <c r="I200" s="421">
        <v>0</v>
      </c>
      <c r="J200" s="421">
        <v>0</v>
      </c>
      <c r="K200" s="421">
        <v>0</v>
      </c>
      <c r="L200" s="421">
        <v>0</v>
      </c>
      <c r="M200" s="421">
        <v>-0.98161150454258395</v>
      </c>
      <c r="N200" s="421">
        <v>0</v>
      </c>
      <c r="O200" s="421">
        <v>0</v>
      </c>
      <c r="P200" s="421">
        <v>0</v>
      </c>
      <c r="Q200" s="421">
        <v>0</v>
      </c>
      <c r="R200" s="421">
        <v>0</v>
      </c>
      <c r="S200" s="423">
        <v>-13.3406551658659</v>
      </c>
      <c r="T200" s="412"/>
    </row>
    <row r="201" spans="2:20" ht="13.5">
      <c r="B201" s="412"/>
      <c r="C201" s="420" t="s">
        <v>63</v>
      </c>
      <c r="D201" s="421">
        <v>0</v>
      </c>
      <c r="E201" s="421">
        <v>0</v>
      </c>
      <c r="F201" s="421">
        <v>-52.082612477609999</v>
      </c>
      <c r="G201" s="421">
        <v>0</v>
      </c>
      <c r="H201" s="421">
        <v>0</v>
      </c>
      <c r="I201" s="421">
        <v>0</v>
      </c>
      <c r="J201" s="421">
        <v>0</v>
      </c>
      <c r="K201" s="421">
        <v>0</v>
      </c>
      <c r="L201" s="421">
        <v>-26.158313394490399</v>
      </c>
      <c r="M201" s="421">
        <v>0</v>
      </c>
      <c r="N201" s="421">
        <v>0</v>
      </c>
      <c r="O201" s="421">
        <v>0</v>
      </c>
      <c r="P201" s="421">
        <v>0</v>
      </c>
      <c r="Q201" s="421">
        <v>0</v>
      </c>
      <c r="R201" s="421">
        <v>-0.70753299969045202</v>
      </c>
      <c r="S201" s="423">
        <v>-78.948458871790905</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7.4939151456434798</v>
      </c>
      <c r="E203" s="425">
        <v>266.28302835422397</v>
      </c>
      <c r="F203" s="425">
        <v>-82.753154645856696</v>
      </c>
      <c r="G203" s="425">
        <v>149.61981744478101</v>
      </c>
      <c r="H203" s="425">
        <v>919.39393939393995</v>
      </c>
      <c r="I203" s="425">
        <v>297.2</v>
      </c>
      <c r="J203" s="425">
        <v>293.71785736374301</v>
      </c>
      <c r="K203" s="425">
        <v>38.3991774648144</v>
      </c>
      <c r="L203" s="425">
        <v>-26.158313394490399</v>
      </c>
      <c r="M203" s="425">
        <v>-0.98161150454258395</v>
      </c>
      <c r="N203" s="425">
        <v>91.728344176793996</v>
      </c>
      <c r="O203" s="425">
        <v>16.494075355247801</v>
      </c>
      <c r="P203" s="425">
        <v>25.896699392432499</v>
      </c>
      <c r="Q203" s="425">
        <v>0</v>
      </c>
      <c r="R203" s="425">
        <v>-0.70753299969045202</v>
      </c>
      <c r="S203" s="425">
        <v>1995.6262415470401</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0</v>
      </c>
      <c r="E206" s="421">
        <v>0</v>
      </c>
      <c r="F206" s="421">
        <v>0</v>
      </c>
      <c r="G206" s="421">
        <v>6.2086956521739101</v>
      </c>
      <c r="H206" s="421">
        <v>919.39393939393904</v>
      </c>
      <c r="I206" s="421">
        <v>297.2</v>
      </c>
      <c r="J206" s="421">
        <v>17.565889816526202</v>
      </c>
      <c r="K206" s="421">
        <v>4.9093303559187103</v>
      </c>
      <c r="L206" s="421">
        <v>0</v>
      </c>
      <c r="M206" s="421">
        <v>2.6608695652173902</v>
      </c>
      <c r="N206" s="421">
        <v>0</v>
      </c>
      <c r="O206" s="421">
        <v>0</v>
      </c>
      <c r="P206" s="421">
        <v>-615.5</v>
      </c>
      <c r="Q206" s="421">
        <v>0</v>
      </c>
      <c r="R206" s="421">
        <v>4.75</v>
      </c>
      <c r="S206" s="429">
        <v>637.18872478377602</v>
      </c>
      <c r="T206" s="412"/>
    </row>
    <row r="207" spans="2:20" ht="13.5">
      <c r="B207" s="412"/>
      <c r="C207" s="428" t="s">
        <v>351</v>
      </c>
      <c r="D207" s="421">
        <v>0</v>
      </c>
      <c r="E207" s="421">
        <v>0</v>
      </c>
      <c r="F207" s="421">
        <v>0</v>
      </c>
      <c r="G207" s="421">
        <v>11.665233563399299</v>
      </c>
      <c r="H207" s="421">
        <v>0</v>
      </c>
      <c r="I207" s="421">
        <v>0</v>
      </c>
      <c r="J207" s="421">
        <v>29.284960707020101</v>
      </c>
      <c r="K207" s="421">
        <v>27.401179727670598</v>
      </c>
      <c r="L207" s="421">
        <v>0</v>
      </c>
      <c r="M207" s="421">
        <v>4.9993858128854303</v>
      </c>
      <c r="N207" s="421">
        <v>0</v>
      </c>
      <c r="O207" s="421">
        <v>11.2068466425665</v>
      </c>
      <c r="P207" s="421">
        <v>0</v>
      </c>
      <c r="Q207" s="421">
        <v>-77.8888709289253</v>
      </c>
      <c r="R207" s="421">
        <v>0</v>
      </c>
      <c r="S207" s="429">
        <v>6.6687355246166398</v>
      </c>
      <c r="T207" s="412"/>
    </row>
    <row r="208" spans="2:20" ht="13.5">
      <c r="B208" s="412"/>
      <c r="C208" s="428" t="s">
        <v>352</v>
      </c>
      <c r="D208" s="421">
        <v>0</v>
      </c>
      <c r="E208" s="421">
        <v>0</v>
      </c>
      <c r="F208" s="421">
        <v>0</v>
      </c>
      <c r="G208" s="421">
        <v>0</v>
      </c>
      <c r="H208" s="421">
        <v>0</v>
      </c>
      <c r="I208" s="421">
        <v>0</v>
      </c>
      <c r="J208" s="421">
        <v>67.617330016206097</v>
      </c>
      <c r="K208" s="421">
        <v>0</v>
      </c>
      <c r="L208" s="421">
        <v>0</v>
      </c>
      <c r="M208" s="421">
        <v>-61.700813639788102</v>
      </c>
      <c r="N208" s="421">
        <v>0</v>
      </c>
      <c r="O208" s="421">
        <v>0</v>
      </c>
      <c r="P208" s="421">
        <v>0</v>
      </c>
      <c r="Q208" s="421">
        <v>0</v>
      </c>
      <c r="R208" s="421">
        <v>0</v>
      </c>
      <c r="S208" s="429">
        <v>5.9165163764180404</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275.84091609698402</v>
      </c>
      <c r="F210" s="421">
        <v>-273.082506936014</v>
      </c>
      <c r="G210" s="421">
        <v>0</v>
      </c>
      <c r="H210" s="421">
        <v>0</v>
      </c>
      <c r="I210" s="421">
        <v>0</v>
      </c>
      <c r="J210" s="421">
        <v>0</v>
      </c>
      <c r="K210" s="421">
        <v>0</v>
      </c>
      <c r="L210" s="421">
        <v>0</v>
      </c>
      <c r="M210" s="421">
        <v>0</v>
      </c>
      <c r="N210" s="421">
        <v>0</v>
      </c>
      <c r="O210" s="421">
        <v>0</v>
      </c>
      <c r="P210" s="421">
        <v>0</v>
      </c>
      <c r="Q210" s="421">
        <v>0</v>
      </c>
      <c r="R210" s="421">
        <v>0</v>
      </c>
      <c r="S210" s="429">
        <v>2.7584091609698498</v>
      </c>
      <c r="T210" s="412"/>
    </row>
    <row r="211" spans="2:20" ht="13.5">
      <c r="B211" s="412"/>
      <c r="C211" s="428" t="s">
        <v>354</v>
      </c>
      <c r="D211" s="421">
        <v>0</v>
      </c>
      <c r="E211" s="421">
        <v>0</v>
      </c>
      <c r="F211" s="421">
        <v>0</v>
      </c>
      <c r="G211" s="421">
        <v>0</v>
      </c>
      <c r="H211" s="421">
        <v>0</v>
      </c>
      <c r="I211" s="421">
        <v>0</v>
      </c>
      <c r="J211" s="421">
        <v>94.973460214546293</v>
      </c>
      <c r="K211" s="421">
        <v>0</v>
      </c>
      <c r="L211" s="421">
        <v>-94.973460214546293</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-18.919398689376301</v>
      </c>
      <c r="M212" s="421">
        <v>0</v>
      </c>
      <c r="N212" s="421">
        <v>0</v>
      </c>
      <c r="O212" s="421">
        <v>0</v>
      </c>
      <c r="P212" s="421">
        <v>0</v>
      </c>
      <c r="Q212" s="421">
        <v>0</v>
      </c>
      <c r="R212" s="421">
        <v>27.027712413394799</v>
      </c>
      <c r="S212" s="429">
        <v>8.10831372401843</v>
      </c>
      <c r="T212" s="412"/>
    </row>
    <row r="213" spans="2:20" ht="13.5">
      <c r="B213" s="412"/>
      <c r="C213" s="428" t="s">
        <v>73</v>
      </c>
      <c r="D213" s="421">
        <v>0</v>
      </c>
      <c r="E213" s="421">
        <v>0</v>
      </c>
      <c r="F213" s="421">
        <v>0</v>
      </c>
      <c r="G213" s="421">
        <v>11.241873404965199</v>
      </c>
      <c r="H213" s="421">
        <v>0</v>
      </c>
      <c r="I213" s="421">
        <v>0</v>
      </c>
      <c r="J213" s="421">
        <v>0</v>
      </c>
      <c r="K213" s="421">
        <v>0.80299095749751603</v>
      </c>
      <c r="L213" s="421">
        <v>0</v>
      </c>
      <c r="M213" s="421">
        <v>4.8179457449851002</v>
      </c>
      <c r="N213" s="421">
        <v>0</v>
      </c>
      <c r="O213" s="421">
        <v>0</v>
      </c>
      <c r="P213" s="421">
        <v>64.825401386295795</v>
      </c>
      <c r="Q213" s="421">
        <v>0</v>
      </c>
      <c r="R213" s="421">
        <v>-56.209367024826101</v>
      </c>
      <c r="S213" s="429">
        <v>25.478844468917501</v>
      </c>
      <c r="T213" s="412"/>
    </row>
    <row r="214" spans="2:20" ht="13.5">
      <c r="B214" s="412"/>
      <c r="C214" s="428" t="s">
        <v>356</v>
      </c>
      <c r="D214" s="421">
        <v>2.3505202026367198</v>
      </c>
      <c r="E214" s="421">
        <v>-9.55788774276051</v>
      </c>
      <c r="F214" s="421">
        <v>12.5011526289501</v>
      </c>
      <c r="G214" s="421">
        <v>0</v>
      </c>
      <c r="H214" s="421">
        <v>0</v>
      </c>
      <c r="I214" s="421">
        <v>0</v>
      </c>
      <c r="J214" s="421">
        <v>0</v>
      </c>
      <c r="K214" s="421">
        <v>0</v>
      </c>
      <c r="L214" s="421">
        <v>0</v>
      </c>
      <c r="M214" s="421">
        <v>0</v>
      </c>
      <c r="N214" s="421">
        <v>0</v>
      </c>
      <c r="O214" s="421">
        <v>0</v>
      </c>
      <c r="P214" s="421">
        <v>0</v>
      </c>
      <c r="Q214" s="421">
        <v>0</v>
      </c>
      <c r="R214" s="421">
        <v>0</v>
      </c>
      <c r="S214" s="429">
        <v>5.2937850888262901</v>
      </c>
      <c r="T214" s="412"/>
    </row>
    <row r="215" spans="2:20" ht="13.5">
      <c r="B215" s="412"/>
      <c r="C215" s="428" t="s">
        <v>75</v>
      </c>
      <c r="D215" s="421">
        <v>3.4784289550781202</v>
      </c>
      <c r="E215" s="421">
        <v>0</v>
      </c>
      <c r="F215" s="421">
        <v>17.757847143387401</v>
      </c>
      <c r="G215" s="421">
        <v>3.6194670795198398</v>
      </c>
      <c r="H215" s="421">
        <v>0</v>
      </c>
      <c r="I215" s="421">
        <v>0</v>
      </c>
      <c r="J215" s="421">
        <v>0</v>
      </c>
      <c r="K215" s="421">
        <v>0</v>
      </c>
      <c r="L215" s="421">
        <v>0</v>
      </c>
      <c r="M215" s="421">
        <v>1.55120017693708</v>
      </c>
      <c r="N215" s="421">
        <v>0</v>
      </c>
      <c r="O215" s="421">
        <v>0</v>
      </c>
      <c r="P215" s="421">
        <v>36.310454545454498</v>
      </c>
      <c r="Q215" s="421">
        <v>0</v>
      </c>
      <c r="R215" s="421">
        <v>0</v>
      </c>
      <c r="S215" s="429">
        <v>62.717397900377001</v>
      </c>
      <c r="T215" s="412"/>
    </row>
    <row r="216" spans="2:20" ht="13.5">
      <c r="B216" s="412"/>
      <c r="C216" s="428" t="s">
        <v>76</v>
      </c>
      <c r="D216" s="421">
        <v>0</v>
      </c>
      <c r="E216" s="421">
        <v>0</v>
      </c>
      <c r="F216" s="421">
        <v>0</v>
      </c>
      <c r="G216" s="421">
        <v>1.70713713627872</v>
      </c>
      <c r="H216" s="421">
        <v>0</v>
      </c>
      <c r="I216" s="421">
        <v>0</v>
      </c>
      <c r="J216" s="421">
        <v>0</v>
      </c>
      <c r="K216" s="421">
        <v>0</v>
      </c>
      <c r="L216" s="421">
        <v>0</v>
      </c>
      <c r="M216" s="421">
        <v>0.73163020126230904</v>
      </c>
      <c r="N216" s="421">
        <v>0</v>
      </c>
      <c r="O216" s="421">
        <v>0</v>
      </c>
      <c r="P216" s="421">
        <v>49.155979731830001</v>
      </c>
      <c r="Q216" s="421">
        <v>6.0356689649720803</v>
      </c>
      <c r="R216" s="421">
        <v>0</v>
      </c>
      <c r="S216" s="429">
        <v>57.630416034343099</v>
      </c>
      <c r="T216" s="412"/>
    </row>
    <row r="217" spans="2:20" ht="13.5">
      <c r="B217" s="412"/>
      <c r="C217" s="424" t="s">
        <v>77</v>
      </c>
      <c r="D217" s="425">
        <v>5.82894915771484</v>
      </c>
      <c r="E217" s="425">
        <v>266.28302835422397</v>
      </c>
      <c r="F217" s="425">
        <v>-242.82350716367699</v>
      </c>
      <c r="G217" s="425">
        <v>34.442406836337</v>
      </c>
      <c r="H217" s="425">
        <v>919.39393939393995</v>
      </c>
      <c r="I217" s="425">
        <v>297.2</v>
      </c>
      <c r="J217" s="425">
        <v>209.44164075429899</v>
      </c>
      <c r="K217" s="425">
        <v>33.113501041086799</v>
      </c>
      <c r="L217" s="425">
        <v>-113.892858903923</v>
      </c>
      <c r="M217" s="425">
        <v>-46.939782138500803</v>
      </c>
      <c r="N217" s="425">
        <v>0</v>
      </c>
      <c r="O217" s="425">
        <v>11.2068466425665</v>
      </c>
      <c r="P217" s="425">
        <v>-465.20816433642</v>
      </c>
      <c r="Q217" s="425">
        <v>-71.853201963953296</v>
      </c>
      <c r="R217" s="425">
        <v>-24.431654611431401</v>
      </c>
      <c r="S217" s="425">
        <v>811.76114306226202</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1.2914218900282399</v>
      </c>
      <c r="E219" s="421">
        <v>0</v>
      </c>
      <c r="F219" s="421">
        <v>7.8764387202852104</v>
      </c>
      <c r="G219" s="421">
        <v>53.350379932057301</v>
      </c>
      <c r="H219" s="421">
        <v>0</v>
      </c>
      <c r="I219" s="421">
        <v>0</v>
      </c>
      <c r="J219" s="421">
        <v>14.620158681310601</v>
      </c>
      <c r="K219" s="421">
        <v>5.28567642372757</v>
      </c>
      <c r="L219" s="421">
        <v>4.3757583007812499</v>
      </c>
      <c r="M219" s="421">
        <v>22.864448542310299</v>
      </c>
      <c r="N219" s="421">
        <v>0</v>
      </c>
      <c r="O219" s="421">
        <v>0</v>
      </c>
      <c r="P219" s="421">
        <v>138.83144142059001</v>
      </c>
      <c r="Q219" s="421">
        <v>24.198968897330399</v>
      </c>
      <c r="R219" s="421">
        <v>6.850041015625</v>
      </c>
      <c r="S219" s="429">
        <v>279.54473382404501</v>
      </c>
      <c r="T219" s="412"/>
    </row>
    <row r="220" spans="2:20" ht="13.5">
      <c r="B220" s="412"/>
      <c r="C220" s="428" t="s">
        <v>79</v>
      </c>
      <c r="D220" s="421">
        <v>0</v>
      </c>
      <c r="E220" s="421">
        <v>0</v>
      </c>
      <c r="F220" s="421">
        <v>51.208587064668897</v>
      </c>
      <c r="G220" s="421">
        <v>17.942066440325</v>
      </c>
      <c r="H220" s="421">
        <v>0</v>
      </c>
      <c r="I220" s="421">
        <v>0</v>
      </c>
      <c r="J220" s="421">
        <v>0</v>
      </c>
      <c r="K220" s="421">
        <v>0</v>
      </c>
      <c r="L220" s="421">
        <v>51.332808564474597</v>
      </c>
      <c r="M220" s="421">
        <v>7.6894570458535796</v>
      </c>
      <c r="N220" s="421">
        <v>0</v>
      </c>
      <c r="O220" s="421">
        <v>0</v>
      </c>
      <c r="P220" s="421">
        <v>81.112108407408201</v>
      </c>
      <c r="Q220" s="421">
        <v>0</v>
      </c>
      <c r="R220" s="421">
        <v>4.6183032107255597</v>
      </c>
      <c r="S220" s="429">
        <v>213.90333073345599</v>
      </c>
      <c r="T220" s="412"/>
    </row>
    <row r="221" spans="2:20" ht="13.5">
      <c r="B221" s="412"/>
      <c r="C221" s="428" t="s">
        <v>80</v>
      </c>
      <c r="D221" s="421">
        <v>0</v>
      </c>
      <c r="E221" s="421">
        <v>0</v>
      </c>
      <c r="F221" s="421">
        <v>0.59878850754916801</v>
      </c>
      <c r="G221" s="421">
        <v>17.944335255265202</v>
      </c>
      <c r="H221" s="421">
        <v>0</v>
      </c>
      <c r="I221" s="421">
        <v>0</v>
      </c>
      <c r="J221" s="421">
        <v>58.7756577076902</v>
      </c>
      <c r="K221" s="421">
        <v>0</v>
      </c>
      <c r="L221" s="421">
        <v>0</v>
      </c>
      <c r="M221" s="421">
        <v>7.6904293951136404</v>
      </c>
      <c r="N221" s="421">
        <v>77.140439944189495</v>
      </c>
      <c r="O221" s="421">
        <v>2.3876725664027898</v>
      </c>
      <c r="P221" s="421">
        <v>147.94366969867801</v>
      </c>
      <c r="Q221" s="421">
        <v>35.899095037211403</v>
      </c>
      <c r="R221" s="421">
        <v>0</v>
      </c>
      <c r="S221" s="429">
        <v>348.3800881121</v>
      </c>
      <c r="T221" s="412"/>
    </row>
    <row r="222" spans="2:20" ht="13.5">
      <c r="B222" s="412"/>
      <c r="C222" s="428" t="s">
        <v>81</v>
      </c>
      <c r="D222" s="421">
        <v>0</v>
      </c>
      <c r="E222" s="421">
        <v>0</v>
      </c>
      <c r="F222" s="421">
        <v>1.41136233073529</v>
      </c>
      <c r="G222" s="421">
        <v>16.956940670956399</v>
      </c>
      <c r="H222" s="421">
        <v>0</v>
      </c>
      <c r="I222" s="421">
        <v>0</v>
      </c>
      <c r="J222" s="421">
        <v>7.1959049572050198</v>
      </c>
      <c r="K222" s="421">
        <v>0</v>
      </c>
      <c r="L222" s="421">
        <v>0</v>
      </c>
      <c r="M222" s="421">
        <v>7.2672602875527703</v>
      </c>
      <c r="N222" s="421">
        <v>14.587904232604499</v>
      </c>
      <c r="O222" s="421">
        <v>1.59893576487328</v>
      </c>
      <c r="P222" s="421">
        <v>113.624954527706</v>
      </c>
      <c r="Q222" s="421">
        <v>11.7551380294114</v>
      </c>
      <c r="R222" s="421">
        <v>0</v>
      </c>
      <c r="S222" s="429">
        <v>174.398400801045</v>
      </c>
      <c r="T222" s="412"/>
    </row>
    <row r="223" spans="2:20" ht="13.5">
      <c r="B223" s="412"/>
      <c r="C223" s="428" t="s">
        <v>82</v>
      </c>
      <c r="D223" s="421">
        <v>0</v>
      </c>
      <c r="E223" s="421">
        <v>0</v>
      </c>
      <c r="F223" s="421">
        <v>9.3172526318529894</v>
      </c>
      <c r="G223" s="421">
        <v>1.0420091806317999</v>
      </c>
      <c r="H223" s="421">
        <v>0</v>
      </c>
      <c r="I223" s="421">
        <v>0</v>
      </c>
      <c r="J223" s="421">
        <v>3.6844952632387198</v>
      </c>
      <c r="K223" s="421">
        <v>0</v>
      </c>
      <c r="L223" s="421">
        <v>14.271913525768101</v>
      </c>
      <c r="M223" s="421">
        <v>0.44657536312791402</v>
      </c>
      <c r="N223" s="421">
        <v>0</v>
      </c>
      <c r="O223" s="421">
        <v>1.30062038140516</v>
      </c>
      <c r="P223" s="421">
        <v>6.3926896744698603</v>
      </c>
      <c r="Q223" s="421">
        <v>0</v>
      </c>
      <c r="R223" s="421">
        <v>0.325155095351289</v>
      </c>
      <c r="S223" s="429">
        <v>36.780711115845897</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3.2</v>
      </c>
      <c r="Q224" s="421">
        <v>0</v>
      </c>
      <c r="R224" s="421">
        <v>0</v>
      </c>
      <c r="S224" s="429">
        <v>3.2</v>
      </c>
      <c r="T224" s="412"/>
    </row>
    <row r="225" spans="2:20" ht="13.5">
      <c r="B225" s="412"/>
      <c r="C225" s="424" t="s">
        <v>83</v>
      </c>
      <c r="D225" s="425">
        <v>1.2914218900282399</v>
      </c>
      <c r="E225" s="425">
        <v>0</v>
      </c>
      <c r="F225" s="425">
        <v>70.412429255091595</v>
      </c>
      <c r="G225" s="425">
        <v>107.23573147923599</v>
      </c>
      <c r="H225" s="425">
        <v>0</v>
      </c>
      <c r="I225" s="425">
        <v>0</v>
      </c>
      <c r="J225" s="425">
        <v>84.276216609444504</v>
      </c>
      <c r="K225" s="425">
        <v>5.28567642372757</v>
      </c>
      <c r="L225" s="425">
        <v>69.980480391024003</v>
      </c>
      <c r="M225" s="425">
        <v>45.958170633958197</v>
      </c>
      <c r="N225" s="425">
        <v>91.728344176793996</v>
      </c>
      <c r="O225" s="425">
        <v>5.2872287126812303</v>
      </c>
      <c r="P225" s="425">
        <v>491.10486372885202</v>
      </c>
      <c r="Q225" s="425">
        <v>71.853201963953296</v>
      </c>
      <c r="R225" s="425">
        <v>11.7934993217019</v>
      </c>
      <c r="S225" s="425">
        <v>1056.2072645864901</v>
      </c>
      <c r="T225" s="412"/>
    </row>
    <row r="226" spans="2:20" ht="13.5">
      <c r="B226" s="412"/>
      <c r="C226" s="420" t="s">
        <v>84</v>
      </c>
      <c r="D226" s="421">
        <v>0.373544097900391</v>
      </c>
      <c r="E226" s="421">
        <v>0</v>
      </c>
      <c r="F226" s="421">
        <v>89.657923262728701</v>
      </c>
      <c r="G226" s="421">
        <v>7.94167912920852</v>
      </c>
      <c r="H226" s="421">
        <v>0</v>
      </c>
      <c r="I226" s="421">
        <v>0</v>
      </c>
      <c r="J226" s="421">
        <v>0</v>
      </c>
      <c r="K226" s="421">
        <v>0</v>
      </c>
      <c r="L226" s="421">
        <v>17.754065118408199</v>
      </c>
      <c r="M226" s="421">
        <v>0</v>
      </c>
      <c r="N226" s="421">
        <v>0</v>
      </c>
      <c r="O226" s="421">
        <v>0</v>
      </c>
      <c r="P226" s="421">
        <v>0</v>
      </c>
      <c r="Q226" s="421">
        <v>0</v>
      </c>
      <c r="R226" s="421">
        <v>11.9306222900391</v>
      </c>
      <c r="S226" s="429">
        <v>127.65783389828501</v>
      </c>
      <c r="T226" s="412"/>
    </row>
    <row r="227" spans="2:20" ht="13.5">
      <c r="B227" s="412"/>
      <c r="C227" s="424" t="s">
        <v>85</v>
      </c>
      <c r="D227" s="425">
        <v>1.66496598792863</v>
      </c>
      <c r="E227" s="425">
        <v>0</v>
      </c>
      <c r="F227" s="425">
        <v>160.07035251782</v>
      </c>
      <c r="G227" s="425">
        <v>115.17741060844401</v>
      </c>
      <c r="H227" s="425">
        <v>0</v>
      </c>
      <c r="I227" s="425">
        <v>0</v>
      </c>
      <c r="J227" s="425">
        <v>84.276216609444504</v>
      </c>
      <c r="K227" s="425">
        <v>5.28567642372757</v>
      </c>
      <c r="L227" s="425">
        <v>87.734545509432195</v>
      </c>
      <c r="M227" s="425">
        <v>45.958170633958197</v>
      </c>
      <c r="N227" s="425">
        <v>91.728344176793996</v>
      </c>
      <c r="O227" s="425">
        <v>5.2872287126812303</v>
      </c>
      <c r="P227" s="425">
        <v>491.10486372885202</v>
      </c>
      <c r="Q227" s="425">
        <v>71.853201963953296</v>
      </c>
      <c r="R227" s="425">
        <v>23.724121611740902</v>
      </c>
      <c r="S227" s="425">
        <v>1183.86509848478</v>
      </c>
      <c r="T227" s="412"/>
    </row>
    <row r="228" spans="2:20">
      <c r="B228" s="412"/>
      <c r="C228" s="412"/>
      <c r="D228" s="430">
        <f t="shared" ref="D228:S228" si="5">D227+D217-D203</f>
        <v>-9.7699626167013776E-15</v>
      </c>
      <c r="E228" s="430">
        <f t="shared" si="5"/>
        <v>0</v>
      </c>
      <c r="F228" s="430">
        <f t="shared" si="5"/>
        <v>-2.9842794901924208E-13</v>
      </c>
      <c r="G228" s="430">
        <f t="shared" si="5"/>
        <v>0</v>
      </c>
      <c r="H228" s="430">
        <f t="shared" si="5"/>
        <v>0</v>
      </c>
      <c r="I228" s="430">
        <f t="shared" si="5"/>
        <v>0</v>
      </c>
      <c r="J228" s="430">
        <f t="shared" si="5"/>
        <v>5.1159076974727213E-13</v>
      </c>
      <c r="K228" s="430">
        <f t="shared" si="5"/>
        <v>0</v>
      </c>
      <c r="L228" s="430">
        <f t="shared" si="5"/>
        <v>-4.0500935938325711E-13</v>
      </c>
      <c r="M228" s="430">
        <f t="shared" si="5"/>
        <v>-2.19824158875781E-14</v>
      </c>
      <c r="N228" s="430">
        <f t="shared" si="5"/>
        <v>0</v>
      </c>
      <c r="O228" s="430">
        <f t="shared" si="5"/>
        <v>-7.1054273576010019E-14</v>
      </c>
      <c r="P228" s="430">
        <f t="shared" si="5"/>
        <v>-4.7251091928046662E-13</v>
      </c>
      <c r="Q228" s="430">
        <f t="shared" si="5"/>
        <v>0</v>
      </c>
      <c r="R228" s="430">
        <f t="shared" si="5"/>
        <v>-4.7739590058881731E-14</v>
      </c>
      <c r="S228" s="430">
        <f t="shared" si="5"/>
        <v>1.8189894035458565E-12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364</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0</v>
      </c>
      <c r="F234" s="421">
        <v>0</v>
      </c>
      <c r="G234" s="421">
        <v>0</v>
      </c>
      <c r="H234" s="422">
        <v>842.12121212121201</v>
      </c>
      <c r="I234" s="422">
        <v>358.55</v>
      </c>
      <c r="J234" s="422">
        <v>303.87805553693403</v>
      </c>
      <c r="K234" s="422">
        <v>37.407021205815497</v>
      </c>
      <c r="L234" s="421">
        <v>0</v>
      </c>
      <c r="M234" s="421">
        <v>0</v>
      </c>
      <c r="N234" s="422">
        <v>108.611838905018</v>
      </c>
      <c r="O234" s="422">
        <v>19.501173338019399</v>
      </c>
      <c r="P234" s="421">
        <v>0</v>
      </c>
      <c r="Q234" s="421">
        <v>0</v>
      </c>
      <c r="R234" s="421">
        <v>0</v>
      </c>
      <c r="S234" s="423">
        <v>1670.069301107</v>
      </c>
      <c r="T234" s="412"/>
    </row>
    <row r="235" spans="2:20" ht="13.5">
      <c r="B235" s="412"/>
      <c r="C235" s="420" t="s">
        <v>60</v>
      </c>
      <c r="D235" s="421">
        <v>5.7319330443436396</v>
      </c>
      <c r="E235" s="421">
        <v>189.941148015496</v>
      </c>
      <c r="F235" s="421">
        <v>0</v>
      </c>
      <c r="G235" s="421">
        <v>90.6863865174073</v>
      </c>
      <c r="H235" s="421">
        <v>0</v>
      </c>
      <c r="I235" s="421">
        <v>0</v>
      </c>
      <c r="J235" s="421">
        <v>0</v>
      </c>
      <c r="K235" s="421">
        <v>0</v>
      </c>
      <c r="L235" s="421">
        <v>0</v>
      </c>
      <c r="M235" s="421">
        <v>0</v>
      </c>
      <c r="N235" s="421">
        <v>0</v>
      </c>
      <c r="O235" s="421">
        <v>0</v>
      </c>
      <c r="P235" s="421">
        <v>18.852796757266699</v>
      </c>
      <c r="Q235" s="421">
        <v>0</v>
      </c>
      <c r="R235" s="421">
        <v>0</v>
      </c>
      <c r="S235" s="423">
        <v>305.21226433451301</v>
      </c>
      <c r="T235" s="412"/>
    </row>
    <row r="236" spans="2:20" ht="13.5">
      <c r="B236" s="412"/>
      <c r="C236" s="420" t="s">
        <v>61</v>
      </c>
      <c r="D236" s="421">
        <v>0</v>
      </c>
      <c r="E236" s="421">
        <v>0</v>
      </c>
      <c r="F236" s="421">
        <v>-18.054674208998499</v>
      </c>
      <c r="G236" s="421">
        <v>0</v>
      </c>
      <c r="H236" s="421">
        <v>0</v>
      </c>
      <c r="I236" s="421">
        <v>0</v>
      </c>
      <c r="J236" s="421">
        <v>0</v>
      </c>
      <c r="K236" s="421">
        <v>0</v>
      </c>
      <c r="L236" s="421">
        <v>0</v>
      </c>
      <c r="M236" s="421">
        <v>0</v>
      </c>
      <c r="N236" s="421">
        <v>0</v>
      </c>
      <c r="O236" s="421">
        <v>0</v>
      </c>
      <c r="P236" s="421">
        <v>0</v>
      </c>
      <c r="Q236" s="421">
        <v>0</v>
      </c>
      <c r="R236" s="421">
        <v>0</v>
      </c>
      <c r="S236" s="423">
        <v>-18.054674208998499</v>
      </c>
      <c r="T236" s="412"/>
    </row>
    <row r="237" spans="2:20" ht="13.5">
      <c r="B237" s="412"/>
      <c r="C237" s="420" t="s">
        <v>62</v>
      </c>
      <c r="D237" s="421">
        <v>0</v>
      </c>
      <c r="E237" s="421">
        <v>0</v>
      </c>
      <c r="F237" s="421">
        <v>-7.5188933675233596</v>
      </c>
      <c r="G237" s="421">
        <v>-2.1851276585702299</v>
      </c>
      <c r="H237" s="421">
        <v>0</v>
      </c>
      <c r="I237" s="421">
        <v>0</v>
      </c>
      <c r="J237" s="421">
        <v>0</v>
      </c>
      <c r="K237" s="421">
        <v>0</v>
      </c>
      <c r="L237" s="421">
        <v>0</v>
      </c>
      <c r="M237" s="421">
        <v>-2.1851276585702299</v>
      </c>
      <c r="N237" s="421">
        <v>0</v>
      </c>
      <c r="O237" s="421">
        <v>0</v>
      </c>
      <c r="P237" s="421">
        <v>0</v>
      </c>
      <c r="Q237" s="421">
        <v>0</v>
      </c>
      <c r="R237" s="421">
        <v>0</v>
      </c>
      <c r="S237" s="423">
        <v>-11.8891486846638</v>
      </c>
      <c r="T237" s="412"/>
    </row>
    <row r="238" spans="2:20" ht="13.5">
      <c r="B238" s="412"/>
      <c r="C238" s="420" t="s">
        <v>63</v>
      </c>
      <c r="D238" s="421">
        <v>0</v>
      </c>
      <c r="E238" s="421">
        <v>0</v>
      </c>
      <c r="F238" s="421">
        <v>-48.913982221755198</v>
      </c>
      <c r="G238" s="421">
        <v>0</v>
      </c>
      <c r="H238" s="421">
        <v>0</v>
      </c>
      <c r="I238" s="421">
        <v>0</v>
      </c>
      <c r="J238" s="421">
        <v>0</v>
      </c>
      <c r="K238" s="421">
        <v>0</v>
      </c>
      <c r="L238" s="421">
        <v>-32.619142548425003</v>
      </c>
      <c r="M238" s="421">
        <v>0</v>
      </c>
      <c r="N238" s="421">
        <v>0</v>
      </c>
      <c r="O238" s="421">
        <v>0</v>
      </c>
      <c r="P238" s="421">
        <v>0</v>
      </c>
      <c r="Q238" s="421">
        <v>0</v>
      </c>
      <c r="R238" s="421">
        <v>-1.6805745775177701</v>
      </c>
      <c r="S238" s="423">
        <v>-83.213699347697997</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5.7319330443436396</v>
      </c>
      <c r="E240" s="425">
        <v>189.941148015496</v>
      </c>
      <c r="F240" s="425">
        <v>-74.487549798277101</v>
      </c>
      <c r="G240" s="425">
        <v>88.501258858837105</v>
      </c>
      <c r="H240" s="425">
        <v>842.12121212121201</v>
      </c>
      <c r="I240" s="425">
        <v>358.55</v>
      </c>
      <c r="J240" s="425">
        <v>303.87805553693403</v>
      </c>
      <c r="K240" s="425">
        <v>37.407021205815497</v>
      </c>
      <c r="L240" s="425">
        <v>-32.619142548425003</v>
      </c>
      <c r="M240" s="425">
        <v>-2.1851276585702299</v>
      </c>
      <c r="N240" s="425">
        <v>108.611838905018</v>
      </c>
      <c r="O240" s="425">
        <v>19.501173338019399</v>
      </c>
      <c r="P240" s="425">
        <v>18.852796757266699</v>
      </c>
      <c r="Q240" s="425">
        <v>0</v>
      </c>
      <c r="R240" s="425">
        <v>-1.6805745775177701</v>
      </c>
      <c r="S240" s="425">
        <v>1862.12404320015</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0</v>
      </c>
      <c r="E243" s="421">
        <v>0</v>
      </c>
      <c r="F243" s="421">
        <v>0</v>
      </c>
      <c r="G243" s="421">
        <v>2.3404255319148901</v>
      </c>
      <c r="H243" s="421">
        <v>842.12121212121201</v>
      </c>
      <c r="I243" s="421">
        <v>358.55</v>
      </c>
      <c r="J243" s="421">
        <v>16.2099501273347</v>
      </c>
      <c r="K243" s="421">
        <v>4.5869971469173096</v>
      </c>
      <c r="L243" s="421">
        <v>0</v>
      </c>
      <c r="M243" s="421">
        <v>2.3404255319148901</v>
      </c>
      <c r="N243" s="421">
        <v>0</v>
      </c>
      <c r="O243" s="421">
        <v>0</v>
      </c>
      <c r="P243" s="421">
        <v>-649</v>
      </c>
      <c r="Q243" s="421">
        <v>0</v>
      </c>
      <c r="R243" s="421">
        <v>4.25</v>
      </c>
      <c r="S243" s="429">
        <v>581.399010459294</v>
      </c>
      <c r="T243" s="412"/>
    </row>
    <row r="244" spans="2:20" ht="13.5">
      <c r="B244" s="412"/>
      <c r="C244" s="428" t="s">
        <v>351</v>
      </c>
      <c r="D244" s="421">
        <v>0</v>
      </c>
      <c r="E244" s="421">
        <v>0</v>
      </c>
      <c r="F244" s="421">
        <v>0</v>
      </c>
      <c r="G244" s="421">
        <v>6.6963140641677699</v>
      </c>
      <c r="H244" s="421">
        <v>0</v>
      </c>
      <c r="I244" s="421">
        <v>0</v>
      </c>
      <c r="J244" s="421">
        <v>28.753458003311501</v>
      </c>
      <c r="K244" s="421">
        <v>27.176732157472099</v>
      </c>
      <c r="L244" s="421">
        <v>0</v>
      </c>
      <c r="M244" s="421">
        <v>6.6963140641677699</v>
      </c>
      <c r="N244" s="421">
        <v>0</v>
      </c>
      <c r="O244" s="421">
        <v>13.1597379771096</v>
      </c>
      <c r="P244" s="421">
        <v>0</v>
      </c>
      <c r="Q244" s="421">
        <v>-76.511380322397699</v>
      </c>
      <c r="R244" s="421">
        <v>0</v>
      </c>
      <c r="S244" s="429">
        <v>5.9711759438309997</v>
      </c>
      <c r="T244" s="412"/>
    </row>
    <row r="245" spans="2:20" ht="13.5">
      <c r="B245" s="412"/>
      <c r="C245" s="428" t="s">
        <v>352</v>
      </c>
      <c r="D245" s="421">
        <v>0</v>
      </c>
      <c r="E245" s="421">
        <v>0</v>
      </c>
      <c r="F245" s="421">
        <v>0</v>
      </c>
      <c r="G245" s="421">
        <v>0</v>
      </c>
      <c r="H245" s="421">
        <v>0</v>
      </c>
      <c r="I245" s="421">
        <v>0</v>
      </c>
      <c r="J245" s="421">
        <v>90.986216688587803</v>
      </c>
      <c r="K245" s="421">
        <v>0</v>
      </c>
      <c r="L245" s="421">
        <v>0</v>
      </c>
      <c r="M245" s="421">
        <v>-84.958379832968902</v>
      </c>
      <c r="N245" s="421">
        <v>0</v>
      </c>
      <c r="O245" s="421">
        <v>0</v>
      </c>
      <c r="P245" s="421">
        <v>0</v>
      </c>
      <c r="Q245" s="421">
        <v>0</v>
      </c>
      <c r="R245" s="421">
        <v>0</v>
      </c>
      <c r="S245" s="429">
        <v>6.0278368556189399</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196.75884188687601</v>
      </c>
      <c r="F247" s="421">
        <v>-194.791253468007</v>
      </c>
      <c r="G247" s="421">
        <v>0</v>
      </c>
      <c r="H247" s="421">
        <v>0</v>
      </c>
      <c r="I247" s="421">
        <v>0</v>
      </c>
      <c r="J247" s="421">
        <v>0</v>
      </c>
      <c r="K247" s="421">
        <v>0</v>
      </c>
      <c r="L247" s="421">
        <v>0</v>
      </c>
      <c r="M247" s="421">
        <v>0</v>
      </c>
      <c r="N247" s="421">
        <v>0</v>
      </c>
      <c r="O247" s="421">
        <v>0</v>
      </c>
      <c r="P247" s="421">
        <v>0</v>
      </c>
      <c r="Q247" s="421">
        <v>0</v>
      </c>
      <c r="R247" s="421">
        <v>0</v>
      </c>
      <c r="S247" s="429">
        <v>1.96758841886876</v>
      </c>
      <c r="T247" s="412"/>
    </row>
    <row r="248" spans="2:20" ht="13.5">
      <c r="B248" s="412"/>
      <c r="C248" s="428" t="s">
        <v>354</v>
      </c>
      <c r="D248" s="421">
        <v>0</v>
      </c>
      <c r="E248" s="421">
        <v>0</v>
      </c>
      <c r="F248" s="421">
        <v>0</v>
      </c>
      <c r="G248" s="421">
        <v>0</v>
      </c>
      <c r="H248" s="421">
        <v>0</v>
      </c>
      <c r="I248" s="421">
        <v>0</v>
      </c>
      <c r="J248" s="421">
        <v>91.449866331740793</v>
      </c>
      <c r="K248" s="421">
        <v>0</v>
      </c>
      <c r="L248" s="421">
        <v>-91.449866331740793</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-17.484851678047999</v>
      </c>
      <c r="M249" s="421">
        <v>0</v>
      </c>
      <c r="N249" s="421">
        <v>0</v>
      </c>
      <c r="O249" s="421">
        <v>0</v>
      </c>
      <c r="P249" s="421">
        <v>0</v>
      </c>
      <c r="Q249" s="421">
        <v>0</v>
      </c>
      <c r="R249" s="421">
        <v>24.978359540068499</v>
      </c>
      <c r="S249" s="429">
        <v>7.4935078620205502</v>
      </c>
      <c r="T249" s="412"/>
    </row>
    <row r="250" spans="2:20" ht="13.5">
      <c r="B250" s="412"/>
      <c r="C250" s="428" t="s">
        <v>73</v>
      </c>
      <c r="D250" s="421">
        <v>0</v>
      </c>
      <c r="E250" s="421">
        <v>0</v>
      </c>
      <c r="F250" s="421">
        <v>0</v>
      </c>
      <c r="G250" s="421">
        <v>4.42513238078282</v>
      </c>
      <c r="H250" s="421">
        <v>0</v>
      </c>
      <c r="I250" s="421">
        <v>0</v>
      </c>
      <c r="J250" s="421">
        <v>0</v>
      </c>
      <c r="K250" s="421">
        <v>0.88502647615656305</v>
      </c>
      <c r="L250" s="421">
        <v>0</v>
      </c>
      <c r="M250" s="421">
        <v>4.42513238078282</v>
      </c>
      <c r="N250" s="421">
        <v>0</v>
      </c>
      <c r="O250" s="421">
        <v>0</v>
      </c>
      <c r="P250" s="421">
        <v>78.487045501144294</v>
      </c>
      <c r="Q250" s="421">
        <v>0</v>
      </c>
      <c r="R250" s="421">
        <v>-61.951853330959402</v>
      </c>
      <c r="S250" s="429">
        <v>26.270483407907101</v>
      </c>
      <c r="T250" s="412"/>
    </row>
    <row r="251" spans="2:20" ht="13.5">
      <c r="B251" s="412"/>
      <c r="C251" s="428" t="s">
        <v>356</v>
      </c>
      <c r="D251" s="421">
        <v>1.4001075134277301</v>
      </c>
      <c r="E251" s="421">
        <v>-6.81769387138025</v>
      </c>
      <c r="F251" s="421">
        <v>8.9171408952922295</v>
      </c>
      <c r="G251" s="421">
        <v>0</v>
      </c>
      <c r="H251" s="421">
        <v>0</v>
      </c>
      <c r="I251" s="421">
        <v>0</v>
      </c>
      <c r="J251" s="421">
        <v>0</v>
      </c>
      <c r="K251" s="421">
        <v>0</v>
      </c>
      <c r="L251" s="421">
        <v>0</v>
      </c>
      <c r="M251" s="421">
        <v>0</v>
      </c>
      <c r="N251" s="421">
        <v>0</v>
      </c>
      <c r="O251" s="421">
        <v>0</v>
      </c>
      <c r="P251" s="421">
        <v>0</v>
      </c>
      <c r="Q251" s="421">
        <v>0</v>
      </c>
      <c r="R251" s="421">
        <v>0</v>
      </c>
      <c r="S251" s="429">
        <v>3.4995545373397099</v>
      </c>
      <c r="T251" s="412"/>
    </row>
    <row r="252" spans="2:20" ht="13.5">
      <c r="B252" s="412"/>
      <c r="C252" s="428" t="s">
        <v>75</v>
      </c>
      <c r="D252" s="421">
        <v>2.5854230957031201</v>
      </c>
      <c r="E252" s="421">
        <v>0</v>
      </c>
      <c r="F252" s="421">
        <v>17.0641175716937</v>
      </c>
      <c r="G252" s="421">
        <v>2.4843347641142302</v>
      </c>
      <c r="H252" s="421">
        <v>0</v>
      </c>
      <c r="I252" s="421">
        <v>0</v>
      </c>
      <c r="J252" s="421">
        <v>0</v>
      </c>
      <c r="K252" s="421">
        <v>0</v>
      </c>
      <c r="L252" s="421">
        <v>0</v>
      </c>
      <c r="M252" s="421">
        <v>2.4843347641142302</v>
      </c>
      <c r="N252" s="421">
        <v>0</v>
      </c>
      <c r="O252" s="421">
        <v>0</v>
      </c>
      <c r="P252" s="421">
        <v>36.438409090909097</v>
      </c>
      <c r="Q252" s="421">
        <v>0</v>
      </c>
      <c r="R252" s="421">
        <v>0</v>
      </c>
      <c r="S252" s="429">
        <v>61.056619286534399</v>
      </c>
      <c r="T252" s="412"/>
    </row>
    <row r="253" spans="2:20" ht="13.5">
      <c r="B253" s="412"/>
      <c r="C253" s="428" t="s">
        <v>76</v>
      </c>
      <c r="D253" s="421">
        <v>0</v>
      </c>
      <c r="E253" s="421">
        <v>0</v>
      </c>
      <c r="F253" s="421">
        <v>0</v>
      </c>
      <c r="G253" s="421">
        <v>1.00741161857275</v>
      </c>
      <c r="H253" s="421">
        <v>0</v>
      </c>
      <c r="I253" s="421">
        <v>0</v>
      </c>
      <c r="J253" s="421">
        <v>0</v>
      </c>
      <c r="K253" s="421">
        <v>0</v>
      </c>
      <c r="L253" s="421">
        <v>0</v>
      </c>
      <c r="M253" s="421">
        <v>1.00741161857275</v>
      </c>
      <c r="N253" s="421">
        <v>0</v>
      </c>
      <c r="O253" s="421">
        <v>0</v>
      </c>
      <c r="P253" s="421">
        <v>51.1835476739179</v>
      </c>
      <c r="Q253" s="421">
        <v>5.9289261504441004</v>
      </c>
      <c r="R253" s="421">
        <v>0</v>
      </c>
      <c r="S253" s="429">
        <v>59.127297061507498</v>
      </c>
      <c r="T253" s="412"/>
    </row>
    <row r="254" spans="2:20" ht="13.5">
      <c r="B254" s="412"/>
      <c r="C254" s="424" t="s">
        <v>77</v>
      </c>
      <c r="D254" s="425">
        <v>3.9855306091308602</v>
      </c>
      <c r="E254" s="425">
        <v>189.941148015496</v>
      </c>
      <c r="F254" s="425">
        <v>-168.80999500102101</v>
      </c>
      <c r="G254" s="425">
        <v>16.9536183595525</v>
      </c>
      <c r="H254" s="425">
        <v>842.12121212121201</v>
      </c>
      <c r="I254" s="425">
        <v>358.55</v>
      </c>
      <c r="J254" s="425">
        <v>227.399491150975</v>
      </c>
      <c r="K254" s="425">
        <v>32.648755780545898</v>
      </c>
      <c r="L254" s="425">
        <v>-108.93471800978899</v>
      </c>
      <c r="M254" s="425">
        <v>-68.004761473416394</v>
      </c>
      <c r="N254" s="425">
        <v>0</v>
      </c>
      <c r="O254" s="425">
        <v>13.1597379771096</v>
      </c>
      <c r="P254" s="425">
        <v>-482.89099773402899</v>
      </c>
      <c r="Q254" s="425">
        <v>-70.5824541719536</v>
      </c>
      <c r="R254" s="425">
        <v>-32.723493790890899</v>
      </c>
      <c r="S254" s="425">
        <v>752.81307383292199</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1.5178805846268399</v>
      </c>
      <c r="E256" s="421">
        <v>0</v>
      </c>
      <c r="F256" s="421">
        <v>3.8156525597214102</v>
      </c>
      <c r="G256" s="421">
        <v>34.872610284028198</v>
      </c>
      <c r="H256" s="421">
        <v>0</v>
      </c>
      <c r="I256" s="421">
        <v>0</v>
      </c>
      <c r="J256" s="421">
        <v>13.9901440703837</v>
      </c>
      <c r="K256" s="421">
        <v>4.7582654252696104</v>
      </c>
      <c r="L256" s="421">
        <v>6.41300463867187</v>
      </c>
      <c r="M256" s="421">
        <v>34.872610284028198</v>
      </c>
      <c r="N256" s="421">
        <v>0</v>
      </c>
      <c r="O256" s="421">
        <v>0</v>
      </c>
      <c r="P256" s="421">
        <v>145.025733372183</v>
      </c>
      <c r="Q256" s="421">
        <v>25.700704560405001</v>
      </c>
      <c r="R256" s="421">
        <v>7.9027373046875002</v>
      </c>
      <c r="S256" s="429">
        <v>278.869343084006</v>
      </c>
      <c r="T256" s="412"/>
    </row>
    <row r="257" spans="2:20" ht="13.5">
      <c r="B257" s="412"/>
      <c r="C257" s="428" t="s">
        <v>79</v>
      </c>
      <c r="D257" s="421">
        <v>0</v>
      </c>
      <c r="E257" s="421">
        <v>0</v>
      </c>
      <c r="F257" s="421">
        <v>11.854069156927601</v>
      </c>
      <c r="G257" s="421">
        <v>13.267062862305901</v>
      </c>
      <c r="H257" s="421">
        <v>0</v>
      </c>
      <c r="I257" s="421">
        <v>0</v>
      </c>
      <c r="J257" s="421">
        <v>0</v>
      </c>
      <c r="K257" s="421">
        <v>0</v>
      </c>
      <c r="L257" s="421">
        <v>27.757428361726902</v>
      </c>
      <c r="M257" s="421">
        <v>13.267062862305901</v>
      </c>
      <c r="N257" s="421">
        <v>0</v>
      </c>
      <c r="O257" s="421">
        <v>0</v>
      </c>
      <c r="P257" s="421">
        <v>93.188917438410897</v>
      </c>
      <c r="Q257" s="421">
        <v>0</v>
      </c>
      <c r="R257" s="421">
        <v>6.3130917169295104</v>
      </c>
      <c r="S257" s="429">
        <v>165.64763239860699</v>
      </c>
      <c r="T257" s="412"/>
    </row>
    <row r="258" spans="2:20" ht="13.5">
      <c r="B258" s="412"/>
      <c r="C258" s="428" t="s">
        <v>80</v>
      </c>
      <c r="D258" s="421">
        <v>0</v>
      </c>
      <c r="E258" s="421">
        <v>0</v>
      </c>
      <c r="F258" s="421">
        <v>0.44885731405196599</v>
      </c>
      <c r="G258" s="421">
        <v>9.8184562905500599</v>
      </c>
      <c r="H258" s="421">
        <v>0</v>
      </c>
      <c r="I258" s="421">
        <v>0</v>
      </c>
      <c r="J258" s="421">
        <v>50.991915500106103</v>
      </c>
      <c r="K258" s="421">
        <v>0</v>
      </c>
      <c r="L258" s="421">
        <v>0</v>
      </c>
      <c r="M258" s="421">
        <v>9.8184562905500599</v>
      </c>
      <c r="N258" s="421">
        <v>93.7833759251793</v>
      </c>
      <c r="O258" s="421">
        <v>3.0807413757867601</v>
      </c>
      <c r="P258" s="421">
        <v>141.51501783018901</v>
      </c>
      <c r="Q258" s="421">
        <v>31.5191114304906</v>
      </c>
      <c r="R258" s="421">
        <v>0</v>
      </c>
      <c r="S258" s="429">
        <v>340.97593195690399</v>
      </c>
      <c r="T258" s="412"/>
    </row>
    <row r="259" spans="2:20" ht="13.5">
      <c r="B259" s="412"/>
      <c r="C259" s="428" t="s">
        <v>81</v>
      </c>
      <c r="D259" s="421">
        <v>0</v>
      </c>
      <c r="E259" s="421">
        <v>0</v>
      </c>
      <c r="F259" s="421">
        <v>0.71263619754816998</v>
      </c>
      <c r="G259" s="421">
        <v>7.4036276177652596</v>
      </c>
      <c r="H259" s="421">
        <v>0</v>
      </c>
      <c r="I259" s="421">
        <v>0</v>
      </c>
      <c r="J259" s="421">
        <v>6.8658928642747901</v>
      </c>
      <c r="K259" s="421">
        <v>0</v>
      </c>
      <c r="L259" s="421">
        <v>0</v>
      </c>
      <c r="M259" s="421">
        <v>7.4036276177652596</v>
      </c>
      <c r="N259" s="421">
        <v>14.8284629798388</v>
      </c>
      <c r="O259" s="421">
        <v>1.5166802918751501</v>
      </c>
      <c r="P259" s="421">
        <v>111.39588290466099</v>
      </c>
      <c r="Q259" s="421">
        <v>13.362638181057999</v>
      </c>
      <c r="R259" s="421">
        <v>0</v>
      </c>
      <c r="S259" s="429">
        <v>163.489448654786</v>
      </c>
      <c r="T259" s="412"/>
    </row>
    <row r="260" spans="2:20" ht="13.5">
      <c r="B260" s="412"/>
      <c r="C260" s="428" t="s">
        <v>82</v>
      </c>
      <c r="D260" s="421">
        <v>0</v>
      </c>
      <c r="E260" s="421">
        <v>0</v>
      </c>
      <c r="F260" s="421">
        <v>2.8549378216016801</v>
      </c>
      <c r="G260" s="421">
        <v>0.45787676019682499</v>
      </c>
      <c r="H260" s="421">
        <v>0</v>
      </c>
      <c r="I260" s="421">
        <v>0</v>
      </c>
      <c r="J260" s="421">
        <v>4.6306119511950996</v>
      </c>
      <c r="K260" s="421">
        <v>0</v>
      </c>
      <c r="L260" s="421">
        <v>17.5819516131867</v>
      </c>
      <c r="M260" s="421">
        <v>0.45787676019682499</v>
      </c>
      <c r="N260" s="421">
        <v>0</v>
      </c>
      <c r="O260" s="421">
        <v>1.7440136932478201</v>
      </c>
      <c r="P260" s="421">
        <v>5.8182429458508897</v>
      </c>
      <c r="Q260" s="421">
        <v>0</v>
      </c>
      <c r="R260" s="421">
        <v>0.384274203596978</v>
      </c>
      <c r="S260" s="429">
        <v>33.929785749072799</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4.8</v>
      </c>
      <c r="Q261" s="421">
        <v>0</v>
      </c>
      <c r="R261" s="421">
        <v>0</v>
      </c>
      <c r="S261" s="429">
        <v>4.8</v>
      </c>
      <c r="T261" s="412"/>
    </row>
    <row r="262" spans="2:20" ht="13.5">
      <c r="B262" s="412"/>
      <c r="C262" s="424" t="s">
        <v>83</v>
      </c>
      <c r="D262" s="425">
        <v>1.5178805846268399</v>
      </c>
      <c r="E262" s="425">
        <v>0</v>
      </c>
      <c r="F262" s="425">
        <v>19.686153049850802</v>
      </c>
      <c r="G262" s="425">
        <v>65.819633814846199</v>
      </c>
      <c r="H262" s="425">
        <v>0</v>
      </c>
      <c r="I262" s="425">
        <v>0</v>
      </c>
      <c r="J262" s="425">
        <v>76.4785643859597</v>
      </c>
      <c r="K262" s="425">
        <v>4.7582654252696104</v>
      </c>
      <c r="L262" s="425">
        <v>51.752384613585399</v>
      </c>
      <c r="M262" s="425">
        <v>65.819633814846199</v>
      </c>
      <c r="N262" s="425">
        <v>108.611838905018</v>
      </c>
      <c r="O262" s="425">
        <v>6.34143536090974</v>
      </c>
      <c r="P262" s="425">
        <v>501.74379449129498</v>
      </c>
      <c r="Q262" s="425">
        <v>70.5824541719536</v>
      </c>
      <c r="R262" s="425">
        <v>14.600103225213999</v>
      </c>
      <c r="S262" s="425">
        <v>987.71214184337498</v>
      </c>
      <c r="T262" s="412"/>
    </row>
    <row r="263" spans="2:20" ht="13.5">
      <c r="B263" s="412"/>
      <c r="C263" s="420" t="s">
        <v>84</v>
      </c>
      <c r="D263" s="421">
        <v>0.22852185058593699</v>
      </c>
      <c r="E263" s="421">
        <v>0</v>
      </c>
      <c r="F263" s="421">
        <v>74.636292152893304</v>
      </c>
      <c r="G263" s="421">
        <v>5.7280066844384896</v>
      </c>
      <c r="H263" s="421">
        <v>0</v>
      </c>
      <c r="I263" s="421">
        <v>0</v>
      </c>
      <c r="J263" s="421">
        <v>0</v>
      </c>
      <c r="K263" s="421">
        <v>0</v>
      </c>
      <c r="L263" s="421">
        <v>24.563190847778301</v>
      </c>
      <c r="M263" s="421">
        <v>0</v>
      </c>
      <c r="N263" s="421">
        <v>0</v>
      </c>
      <c r="O263" s="421">
        <v>0</v>
      </c>
      <c r="P263" s="421">
        <v>0</v>
      </c>
      <c r="Q263" s="421">
        <v>0</v>
      </c>
      <c r="R263" s="421">
        <v>16.4428159881592</v>
      </c>
      <c r="S263" s="429">
        <v>121.59882752385499</v>
      </c>
      <c r="T263" s="412"/>
    </row>
    <row r="264" spans="2:20" ht="13.5">
      <c r="B264" s="412"/>
      <c r="C264" s="424" t="s">
        <v>85</v>
      </c>
      <c r="D264" s="425">
        <v>1.74640243521278</v>
      </c>
      <c r="E264" s="425">
        <v>0</v>
      </c>
      <c r="F264" s="425">
        <v>94.322445202744106</v>
      </c>
      <c r="G264" s="425">
        <v>71.547640499284697</v>
      </c>
      <c r="H264" s="425">
        <v>0</v>
      </c>
      <c r="I264" s="425">
        <v>0</v>
      </c>
      <c r="J264" s="425">
        <v>76.4785643859597</v>
      </c>
      <c r="K264" s="425">
        <v>4.7582654252696104</v>
      </c>
      <c r="L264" s="425">
        <v>76.315575461363807</v>
      </c>
      <c r="M264" s="425">
        <v>65.819633814846199</v>
      </c>
      <c r="N264" s="425">
        <v>108.611838905018</v>
      </c>
      <c r="O264" s="425">
        <v>6.34143536090974</v>
      </c>
      <c r="P264" s="425">
        <v>501.74379449129498</v>
      </c>
      <c r="Q264" s="425">
        <v>70.5824541719536</v>
      </c>
      <c r="R264" s="425">
        <v>31.042919213373199</v>
      </c>
      <c r="S264" s="425">
        <v>1109.31096936723</v>
      </c>
      <c r="T264" s="412"/>
    </row>
    <row r="265" spans="2:20">
      <c r="B265" s="412"/>
      <c r="C265" s="412"/>
      <c r="D265" s="430">
        <f t="shared" ref="D265:S265" si="6">D264+D254-D240</f>
        <v>0</v>
      </c>
      <c r="E265" s="430">
        <f t="shared" si="6"/>
        <v>0</v>
      </c>
      <c r="F265" s="430">
        <f t="shared" si="6"/>
        <v>1.9895196601282805E-13</v>
      </c>
      <c r="G265" s="430">
        <f t="shared" si="6"/>
        <v>0</v>
      </c>
      <c r="H265" s="430">
        <f t="shared" si="6"/>
        <v>0</v>
      </c>
      <c r="I265" s="430">
        <f t="shared" si="6"/>
        <v>0</v>
      </c>
      <c r="J265" s="430">
        <f t="shared" si="6"/>
        <v>6.8212102632969618E-13</v>
      </c>
      <c r="K265" s="430">
        <f t="shared" si="6"/>
        <v>0</v>
      </c>
      <c r="L265" s="430">
        <f t="shared" si="6"/>
        <v>-1.8474111129762605E-13</v>
      </c>
      <c r="M265" s="430">
        <f t="shared" si="6"/>
        <v>3.4638958368304884E-14</v>
      </c>
      <c r="N265" s="430">
        <f t="shared" si="6"/>
        <v>0</v>
      </c>
      <c r="O265" s="430">
        <f t="shared" si="6"/>
        <v>-5.6843418860808015E-14</v>
      </c>
      <c r="P265" s="430">
        <f t="shared" si="6"/>
        <v>-7.0699002208129968E-13</v>
      </c>
      <c r="Q265" s="430">
        <f t="shared" si="6"/>
        <v>0</v>
      </c>
      <c r="R265" s="430">
        <f t="shared" si="6"/>
        <v>7.0610184366159956E-14</v>
      </c>
      <c r="S265" s="430">
        <f t="shared" si="6"/>
        <v>1.8189894035458565E-12</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89</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0</v>
      </c>
      <c r="F271" s="421">
        <v>0</v>
      </c>
      <c r="G271" s="421">
        <v>0</v>
      </c>
      <c r="H271" s="422">
        <v>764.84848484848499</v>
      </c>
      <c r="I271" s="422">
        <v>419.9</v>
      </c>
      <c r="J271" s="422">
        <v>351.24173188830201</v>
      </c>
      <c r="K271" s="422">
        <v>37.066117395131201</v>
      </c>
      <c r="L271" s="421">
        <v>0</v>
      </c>
      <c r="M271" s="421">
        <v>0</v>
      </c>
      <c r="N271" s="422">
        <v>121.931750282495</v>
      </c>
      <c r="O271" s="422">
        <v>22.204473213427001</v>
      </c>
      <c r="P271" s="421">
        <v>0</v>
      </c>
      <c r="Q271" s="421">
        <v>0</v>
      </c>
      <c r="R271" s="421">
        <v>0</v>
      </c>
      <c r="S271" s="423">
        <v>1717.19255762784</v>
      </c>
      <c r="T271" s="412"/>
    </row>
    <row r="272" spans="2:20" ht="13.5">
      <c r="B272" s="412"/>
      <c r="C272" s="420" t="s">
        <v>60</v>
      </c>
      <c r="D272" s="421">
        <v>4.3798405072467999</v>
      </c>
      <c r="E272" s="421">
        <v>113.59926767676799</v>
      </c>
      <c r="F272" s="421">
        <v>0.79806856250441205</v>
      </c>
      <c r="G272" s="421">
        <v>3.6153613407475298</v>
      </c>
      <c r="H272" s="421">
        <v>0</v>
      </c>
      <c r="I272" s="421">
        <v>0</v>
      </c>
      <c r="J272" s="421">
        <v>0</v>
      </c>
      <c r="K272" s="421">
        <v>0</v>
      </c>
      <c r="L272" s="421">
        <v>0</v>
      </c>
      <c r="M272" s="421">
        <v>0</v>
      </c>
      <c r="N272" s="421">
        <v>0</v>
      </c>
      <c r="O272" s="421">
        <v>0</v>
      </c>
      <c r="P272" s="421">
        <v>29.820654435364101</v>
      </c>
      <c r="Q272" s="421">
        <v>0</v>
      </c>
      <c r="R272" s="421">
        <v>0</v>
      </c>
      <c r="S272" s="423">
        <v>152.213192522631</v>
      </c>
      <c r="T272" s="412"/>
    </row>
    <row r="273" spans="2:20" ht="13.5">
      <c r="B273" s="412"/>
      <c r="C273" s="420" t="s">
        <v>61</v>
      </c>
      <c r="D273" s="421">
        <v>0</v>
      </c>
      <c r="E273" s="421">
        <v>0</v>
      </c>
      <c r="F273" s="421">
        <v>0</v>
      </c>
      <c r="G273" s="421">
        <v>0</v>
      </c>
      <c r="H273" s="421">
        <v>0</v>
      </c>
      <c r="I273" s="421">
        <v>0</v>
      </c>
      <c r="J273" s="421">
        <v>0</v>
      </c>
      <c r="K273" s="421">
        <v>0</v>
      </c>
      <c r="L273" s="421">
        <v>0</v>
      </c>
      <c r="M273" s="421">
        <v>0</v>
      </c>
      <c r="N273" s="421">
        <v>0</v>
      </c>
      <c r="O273" s="421">
        <v>0</v>
      </c>
      <c r="P273" s="421">
        <v>0</v>
      </c>
      <c r="Q273" s="421">
        <v>0</v>
      </c>
      <c r="R273" s="421">
        <v>0</v>
      </c>
      <c r="S273" s="423">
        <v>0</v>
      </c>
      <c r="T273" s="412"/>
    </row>
    <row r="274" spans="2:20" ht="13.5">
      <c r="B274" s="412"/>
      <c r="C274" s="420" t="s">
        <v>62</v>
      </c>
      <c r="D274" s="421">
        <v>0</v>
      </c>
      <c r="E274" s="421">
        <v>0</v>
      </c>
      <c r="F274" s="421">
        <v>-5.3013702027186103</v>
      </c>
      <c r="G274" s="421">
        <v>0</v>
      </c>
      <c r="H274" s="421">
        <v>0</v>
      </c>
      <c r="I274" s="421">
        <v>0</v>
      </c>
      <c r="J274" s="421">
        <v>0</v>
      </c>
      <c r="K274" s="421">
        <v>0</v>
      </c>
      <c r="L274" s="421">
        <v>0</v>
      </c>
      <c r="M274" s="421">
        <v>-5.1137296191647996</v>
      </c>
      <c r="N274" s="421">
        <v>0</v>
      </c>
      <c r="O274" s="421">
        <v>0</v>
      </c>
      <c r="P274" s="421">
        <v>0</v>
      </c>
      <c r="Q274" s="421">
        <v>0</v>
      </c>
      <c r="R274" s="421">
        <v>0</v>
      </c>
      <c r="S274" s="423">
        <v>-10.4150998218834</v>
      </c>
      <c r="T274" s="412"/>
    </row>
    <row r="275" spans="2:20" ht="13.5">
      <c r="B275" s="412"/>
      <c r="C275" s="420" t="s">
        <v>63</v>
      </c>
      <c r="D275" s="421">
        <v>0</v>
      </c>
      <c r="E275" s="421">
        <v>0</v>
      </c>
      <c r="F275" s="421">
        <v>-26.554014229686601</v>
      </c>
      <c r="G275" s="421">
        <v>0</v>
      </c>
      <c r="H275" s="421">
        <v>0</v>
      </c>
      <c r="I275" s="421">
        <v>0</v>
      </c>
      <c r="J275" s="421">
        <v>0</v>
      </c>
      <c r="K275" s="421">
        <v>0</v>
      </c>
      <c r="L275" s="421">
        <v>-53.337452419875703</v>
      </c>
      <c r="M275" s="421">
        <v>0</v>
      </c>
      <c r="N275" s="421">
        <v>0</v>
      </c>
      <c r="O275" s="421">
        <v>0</v>
      </c>
      <c r="P275" s="421">
        <v>0</v>
      </c>
      <c r="Q275" s="421">
        <v>0</v>
      </c>
      <c r="R275" s="421">
        <v>-3.3454941468715802</v>
      </c>
      <c r="S275" s="423">
        <v>-83.236960796433806</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4.3798405072467999</v>
      </c>
      <c r="E277" s="425">
        <v>113.59926767676799</v>
      </c>
      <c r="F277" s="425">
        <v>-31.057315869900801</v>
      </c>
      <c r="G277" s="425">
        <v>3.6153613407475298</v>
      </c>
      <c r="H277" s="425">
        <v>764.84848484848499</v>
      </c>
      <c r="I277" s="425">
        <v>419.9</v>
      </c>
      <c r="J277" s="425">
        <v>351.24173188830201</v>
      </c>
      <c r="K277" s="425">
        <v>37.066117395131201</v>
      </c>
      <c r="L277" s="425">
        <v>-53.337452419875703</v>
      </c>
      <c r="M277" s="425">
        <v>-5.1137296191647996</v>
      </c>
      <c r="N277" s="425">
        <v>121.931750282495</v>
      </c>
      <c r="O277" s="425">
        <v>22.204473213427001</v>
      </c>
      <c r="P277" s="425">
        <v>29.820654435364101</v>
      </c>
      <c r="Q277" s="425">
        <v>0</v>
      </c>
      <c r="R277" s="425">
        <v>-3.3454941468715802</v>
      </c>
      <c r="S277" s="425">
        <v>1775.75368953215</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0</v>
      </c>
      <c r="E280" s="421">
        <v>0</v>
      </c>
      <c r="F280" s="421">
        <v>0</v>
      </c>
      <c r="G280" s="421">
        <v>0</v>
      </c>
      <c r="H280" s="421">
        <v>764.84848484848499</v>
      </c>
      <c r="I280" s="421">
        <v>419.9</v>
      </c>
      <c r="J280" s="421">
        <v>14.837077022078001</v>
      </c>
      <c r="K280" s="421">
        <v>4.2997987248322396</v>
      </c>
      <c r="L280" s="421">
        <v>0</v>
      </c>
      <c r="M280" s="421">
        <v>0.66666666666666696</v>
      </c>
      <c r="N280" s="421">
        <v>0</v>
      </c>
      <c r="O280" s="421">
        <v>0</v>
      </c>
      <c r="P280" s="421">
        <v>-682.5</v>
      </c>
      <c r="Q280" s="421">
        <v>0</v>
      </c>
      <c r="R280" s="421">
        <v>3.75</v>
      </c>
      <c r="S280" s="429">
        <v>525.80202726206198</v>
      </c>
      <c r="T280" s="412"/>
    </row>
    <row r="281" spans="2:20" ht="13.5">
      <c r="B281" s="412"/>
      <c r="C281" s="428" t="s">
        <v>351</v>
      </c>
      <c r="D281" s="421">
        <v>0</v>
      </c>
      <c r="E281" s="421">
        <v>0</v>
      </c>
      <c r="F281" s="421">
        <v>0</v>
      </c>
      <c r="G281" s="421">
        <v>0</v>
      </c>
      <c r="H281" s="421">
        <v>0</v>
      </c>
      <c r="I281" s="421">
        <v>0</v>
      </c>
      <c r="J281" s="421">
        <v>28.8847744791587</v>
      </c>
      <c r="K281" s="421">
        <v>27.390111238212</v>
      </c>
      <c r="L281" s="421">
        <v>0</v>
      </c>
      <c r="M281" s="421">
        <v>10.9493569082394</v>
      </c>
      <c r="N281" s="421">
        <v>0</v>
      </c>
      <c r="O281" s="421">
        <v>14.830688385513501</v>
      </c>
      <c r="P281" s="421">
        <v>0</v>
      </c>
      <c r="Q281" s="421">
        <v>-76.630571525577196</v>
      </c>
      <c r="R281" s="421">
        <v>0</v>
      </c>
      <c r="S281" s="429">
        <v>5.4243594855463497</v>
      </c>
      <c r="T281" s="412"/>
    </row>
    <row r="282" spans="2:20" ht="13.5">
      <c r="B282" s="412"/>
      <c r="C282" s="428" t="s">
        <v>352</v>
      </c>
      <c r="D282" s="421">
        <v>0</v>
      </c>
      <c r="E282" s="421">
        <v>0</v>
      </c>
      <c r="F282" s="421">
        <v>0</v>
      </c>
      <c r="G282" s="421">
        <v>0</v>
      </c>
      <c r="H282" s="421">
        <v>0</v>
      </c>
      <c r="I282" s="421">
        <v>0</v>
      </c>
      <c r="J282" s="421">
        <v>141.99486817496901</v>
      </c>
      <c r="K282" s="421">
        <v>0</v>
      </c>
      <c r="L282" s="421">
        <v>0</v>
      </c>
      <c r="M282" s="421">
        <v>-135.60509910709601</v>
      </c>
      <c r="N282" s="421">
        <v>0</v>
      </c>
      <c r="O282" s="421">
        <v>0</v>
      </c>
      <c r="P282" s="421">
        <v>0</v>
      </c>
      <c r="Q282" s="421">
        <v>0</v>
      </c>
      <c r="R282" s="421">
        <v>0</v>
      </c>
      <c r="S282" s="429">
        <v>6.3897690678736296</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117.67676767676799</v>
      </c>
      <c r="F284" s="421">
        <v>-116.5</v>
      </c>
      <c r="G284" s="421">
        <v>0</v>
      </c>
      <c r="H284" s="421">
        <v>0</v>
      </c>
      <c r="I284" s="421">
        <v>0</v>
      </c>
      <c r="J284" s="421">
        <v>0</v>
      </c>
      <c r="K284" s="421">
        <v>0</v>
      </c>
      <c r="L284" s="421">
        <v>0</v>
      </c>
      <c r="M284" s="421">
        <v>0</v>
      </c>
      <c r="N284" s="421">
        <v>0</v>
      </c>
      <c r="O284" s="421">
        <v>0</v>
      </c>
      <c r="P284" s="421">
        <v>0</v>
      </c>
      <c r="Q284" s="421">
        <v>0</v>
      </c>
      <c r="R284" s="421">
        <v>0</v>
      </c>
      <c r="S284" s="429">
        <v>1.17676767676768</v>
      </c>
      <c r="T284" s="412"/>
    </row>
    <row r="285" spans="2:20" ht="13.5">
      <c r="B285" s="412"/>
      <c r="C285" s="428" t="s">
        <v>354</v>
      </c>
      <c r="D285" s="421">
        <v>0</v>
      </c>
      <c r="E285" s="421">
        <v>0</v>
      </c>
      <c r="F285" s="421">
        <v>0</v>
      </c>
      <c r="G285" s="421">
        <v>0</v>
      </c>
      <c r="H285" s="421">
        <v>0</v>
      </c>
      <c r="I285" s="421">
        <v>0</v>
      </c>
      <c r="J285" s="421">
        <v>92.683321682724895</v>
      </c>
      <c r="K285" s="421">
        <v>0</v>
      </c>
      <c r="L285" s="421">
        <v>-92.683321682724895</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-30.7160392407107</v>
      </c>
      <c r="M286" s="421">
        <v>0</v>
      </c>
      <c r="N286" s="421">
        <v>0</v>
      </c>
      <c r="O286" s="421">
        <v>0</v>
      </c>
      <c r="P286" s="421">
        <v>0</v>
      </c>
      <c r="Q286" s="421">
        <v>0</v>
      </c>
      <c r="R286" s="421">
        <v>43.880056058158097</v>
      </c>
      <c r="S286" s="429">
        <v>13.164016817447401</v>
      </c>
      <c r="T286" s="412"/>
    </row>
    <row r="287" spans="2:20" ht="13.5">
      <c r="B287" s="412"/>
      <c r="C287" s="428" t="s">
        <v>73</v>
      </c>
      <c r="D287" s="421">
        <v>0</v>
      </c>
      <c r="E287" s="421">
        <v>0</v>
      </c>
      <c r="F287" s="421">
        <v>0</v>
      </c>
      <c r="G287" s="421">
        <v>0</v>
      </c>
      <c r="H287" s="421">
        <v>0</v>
      </c>
      <c r="I287" s="421">
        <v>0</v>
      </c>
      <c r="J287" s="421">
        <v>0</v>
      </c>
      <c r="K287" s="421">
        <v>1.25759601218096</v>
      </c>
      <c r="L287" s="421">
        <v>0</v>
      </c>
      <c r="M287" s="421">
        <v>0</v>
      </c>
      <c r="N287" s="421">
        <v>0</v>
      </c>
      <c r="O287" s="421">
        <v>0</v>
      </c>
      <c r="P287" s="421">
        <v>121.043616172417</v>
      </c>
      <c r="Q287" s="421">
        <v>0</v>
      </c>
      <c r="R287" s="421">
        <v>-88.031720852667107</v>
      </c>
      <c r="S287" s="429">
        <v>34.2694913319311</v>
      </c>
      <c r="T287" s="412"/>
    </row>
    <row r="288" spans="2:20" ht="13.5">
      <c r="B288" s="412"/>
      <c r="C288" s="428" t="s">
        <v>356</v>
      </c>
      <c r="D288" s="421">
        <v>0.72303211975097703</v>
      </c>
      <c r="E288" s="421">
        <v>-4.0774999999999997</v>
      </c>
      <c r="F288" s="421">
        <v>5.3331291616343899</v>
      </c>
      <c r="G288" s="421">
        <v>0</v>
      </c>
      <c r="H288" s="421">
        <v>0</v>
      </c>
      <c r="I288" s="421">
        <v>0</v>
      </c>
      <c r="J288" s="421">
        <v>0</v>
      </c>
      <c r="K288" s="421">
        <v>0</v>
      </c>
      <c r="L288" s="421">
        <v>0</v>
      </c>
      <c r="M288" s="421">
        <v>0</v>
      </c>
      <c r="N288" s="421">
        <v>0</v>
      </c>
      <c r="O288" s="421">
        <v>0</v>
      </c>
      <c r="P288" s="421">
        <v>0</v>
      </c>
      <c r="Q288" s="421">
        <v>0</v>
      </c>
      <c r="R288" s="421">
        <v>0</v>
      </c>
      <c r="S288" s="429">
        <v>1.9786612813853699</v>
      </c>
      <c r="T288" s="412"/>
    </row>
    <row r="289" spans="2:20" ht="13.5">
      <c r="B289" s="412"/>
      <c r="C289" s="428" t="s">
        <v>75</v>
      </c>
      <c r="D289" s="421">
        <v>1.73775830078125</v>
      </c>
      <c r="E289" s="421">
        <v>0</v>
      </c>
      <c r="F289" s="421">
        <v>16.370387999999998</v>
      </c>
      <c r="G289" s="421">
        <v>0</v>
      </c>
      <c r="H289" s="421">
        <v>0</v>
      </c>
      <c r="I289" s="421">
        <v>0</v>
      </c>
      <c r="J289" s="421">
        <v>0</v>
      </c>
      <c r="K289" s="421">
        <v>0</v>
      </c>
      <c r="L289" s="421">
        <v>0</v>
      </c>
      <c r="M289" s="421">
        <v>4.7666718000000001</v>
      </c>
      <c r="N289" s="421">
        <v>0</v>
      </c>
      <c r="O289" s="421">
        <v>0</v>
      </c>
      <c r="P289" s="421">
        <v>36.566363636363597</v>
      </c>
      <c r="Q289" s="421">
        <v>0</v>
      </c>
      <c r="R289" s="421">
        <v>0</v>
      </c>
      <c r="S289" s="429">
        <v>59.441181737144902</v>
      </c>
      <c r="T289" s="412"/>
    </row>
    <row r="290" spans="2:20" ht="13.5">
      <c r="B290" s="412"/>
      <c r="C290" s="428" t="s">
        <v>76</v>
      </c>
      <c r="D290" s="421">
        <v>0</v>
      </c>
      <c r="E290" s="421">
        <v>0</v>
      </c>
      <c r="F290" s="421">
        <v>0</v>
      </c>
      <c r="G290" s="421">
        <v>0</v>
      </c>
      <c r="H290" s="421">
        <v>0</v>
      </c>
      <c r="I290" s="421">
        <v>0</v>
      </c>
      <c r="J290" s="421">
        <v>0</v>
      </c>
      <c r="K290" s="421">
        <v>0</v>
      </c>
      <c r="L290" s="421">
        <v>0</v>
      </c>
      <c r="M290" s="421">
        <v>1.6079656020604201</v>
      </c>
      <c r="N290" s="421">
        <v>0</v>
      </c>
      <c r="O290" s="421">
        <v>0</v>
      </c>
      <c r="P290" s="421">
        <v>54.591518299293803</v>
      </c>
      <c r="Q290" s="421">
        <v>5.9381623691406702</v>
      </c>
      <c r="R290" s="421">
        <v>0</v>
      </c>
      <c r="S290" s="429">
        <v>62.137646270494898</v>
      </c>
      <c r="T290" s="412"/>
    </row>
    <row r="291" spans="2:20" ht="13.5">
      <c r="B291" s="412"/>
      <c r="C291" s="424" t="s">
        <v>77</v>
      </c>
      <c r="D291" s="425">
        <v>2.4607904205322302</v>
      </c>
      <c r="E291" s="425">
        <v>113.59926767676799</v>
      </c>
      <c r="F291" s="425">
        <v>-94.796482838365606</v>
      </c>
      <c r="G291" s="425">
        <v>0</v>
      </c>
      <c r="H291" s="425">
        <v>764.84848484848499</v>
      </c>
      <c r="I291" s="425">
        <v>419.9</v>
      </c>
      <c r="J291" s="425">
        <v>278.40004135893099</v>
      </c>
      <c r="K291" s="425">
        <v>32.947505975225198</v>
      </c>
      <c r="L291" s="425">
        <v>-123.39936092343601</v>
      </c>
      <c r="M291" s="425">
        <v>-117.614438130129</v>
      </c>
      <c r="N291" s="425">
        <v>0</v>
      </c>
      <c r="O291" s="425">
        <v>14.830688385513501</v>
      </c>
      <c r="P291" s="425">
        <v>-470.29850189192501</v>
      </c>
      <c r="Q291" s="425">
        <v>-70.692409156436597</v>
      </c>
      <c r="R291" s="425">
        <v>-40.401664794509003</v>
      </c>
      <c r="S291" s="425">
        <v>709.78392093065395</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1.79989703190501</v>
      </c>
      <c r="E293" s="421">
        <v>0</v>
      </c>
      <c r="F293" s="421">
        <v>5.22589106512674E-2</v>
      </c>
      <c r="G293" s="421">
        <v>0</v>
      </c>
      <c r="H293" s="421">
        <v>0</v>
      </c>
      <c r="I293" s="421">
        <v>0</v>
      </c>
      <c r="J293" s="421">
        <v>13.331842727893299</v>
      </c>
      <c r="K293" s="421">
        <v>4.1186114199060402</v>
      </c>
      <c r="L293" s="421">
        <v>8.3494072265624997</v>
      </c>
      <c r="M293" s="421">
        <v>63.939809293815799</v>
      </c>
      <c r="N293" s="421">
        <v>0</v>
      </c>
      <c r="O293" s="421">
        <v>0</v>
      </c>
      <c r="P293" s="421">
        <v>150.76353147926901</v>
      </c>
      <c r="Q293" s="421">
        <v>27.157242806109199</v>
      </c>
      <c r="R293" s="421">
        <v>8.9542294921874994</v>
      </c>
      <c r="S293" s="429">
        <v>278.46683038830002</v>
      </c>
      <c r="T293" s="412"/>
    </row>
    <row r="294" spans="2:20" ht="13.5">
      <c r="B294" s="412"/>
      <c r="C294" s="428" t="s">
        <v>79</v>
      </c>
      <c r="D294" s="421">
        <v>0</v>
      </c>
      <c r="E294" s="421">
        <v>0</v>
      </c>
      <c r="F294" s="421">
        <v>2.1712429478419102</v>
      </c>
      <c r="G294" s="421">
        <v>0</v>
      </c>
      <c r="H294" s="421">
        <v>0</v>
      </c>
      <c r="I294" s="421">
        <v>0</v>
      </c>
      <c r="J294" s="421">
        <v>0</v>
      </c>
      <c r="K294" s="421">
        <v>0</v>
      </c>
      <c r="L294" s="421">
        <v>12.7882726969122</v>
      </c>
      <c r="M294" s="421">
        <v>24.887279738493302</v>
      </c>
      <c r="N294" s="421">
        <v>0</v>
      </c>
      <c r="O294" s="421">
        <v>0</v>
      </c>
      <c r="P294" s="421">
        <v>92.289301413656304</v>
      </c>
      <c r="Q294" s="421">
        <v>0</v>
      </c>
      <c r="R294" s="421">
        <v>7.1149935986121697</v>
      </c>
      <c r="S294" s="429">
        <v>139.251090395516</v>
      </c>
      <c r="T294" s="412"/>
    </row>
    <row r="295" spans="2:20" ht="13.5">
      <c r="B295" s="412"/>
      <c r="C295" s="428" t="s">
        <v>80</v>
      </c>
      <c r="D295" s="421">
        <v>0</v>
      </c>
      <c r="E295" s="421">
        <v>0</v>
      </c>
      <c r="F295" s="421">
        <v>0.35468706008189399</v>
      </c>
      <c r="G295" s="421">
        <v>0</v>
      </c>
      <c r="H295" s="421">
        <v>0</v>
      </c>
      <c r="I295" s="421">
        <v>0</v>
      </c>
      <c r="J295" s="421">
        <v>47.9682238056754</v>
      </c>
      <c r="K295" s="421">
        <v>0</v>
      </c>
      <c r="L295" s="421">
        <v>0</v>
      </c>
      <c r="M295" s="421">
        <v>17.598271269670001</v>
      </c>
      <c r="N295" s="421">
        <v>106.862728555422</v>
      </c>
      <c r="O295" s="421">
        <v>3.7519530039459799</v>
      </c>
      <c r="P295" s="421">
        <v>134.324841663434</v>
      </c>
      <c r="Q295" s="421">
        <v>28.562960275021499</v>
      </c>
      <c r="R295" s="421">
        <v>0</v>
      </c>
      <c r="S295" s="429">
        <v>339.42366563325101</v>
      </c>
      <c r="T295" s="412"/>
    </row>
    <row r="296" spans="2:20" ht="13.5">
      <c r="B296" s="412"/>
      <c r="C296" s="428" t="s">
        <v>81</v>
      </c>
      <c r="D296" s="421">
        <v>0</v>
      </c>
      <c r="E296" s="421">
        <v>0</v>
      </c>
      <c r="F296" s="421">
        <v>1.3910064361048399E-2</v>
      </c>
      <c r="G296" s="421">
        <v>0</v>
      </c>
      <c r="H296" s="421">
        <v>0</v>
      </c>
      <c r="I296" s="421">
        <v>0</v>
      </c>
      <c r="J296" s="421">
        <v>6.5361621549849502</v>
      </c>
      <c r="K296" s="421">
        <v>0</v>
      </c>
      <c r="L296" s="421">
        <v>0</v>
      </c>
      <c r="M296" s="421">
        <v>5.4198008615464897</v>
      </c>
      <c r="N296" s="421">
        <v>15.069021727073199</v>
      </c>
      <c r="O296" s="421">
        <v>1.4344248188770199</v>
      </c>
      <c r="P296" s="421">
        <v>109.143617899049</v>
      </c>
      <c r="Q296" s="421">
        <v>14.972206075305801</v>
      </c>
      <c r="R296" s="421">
        <v>0</v>
      </c>
      <c r="S296" s="429">
        <v>152.589143601198</v>
      </c>
      <c r="T296" s="412"/>
    </row>
    <row r="297" spans="2:20" ht="13.5">
      <c r="B297" s="412"/>
      <c r="C297" s="428" t="s">
        <v>82</v>
      </c>
      <c r="D297" s="421">
        <v>0</v>
      </c>
      <c r="E297" s="421">
        <v>0</v>
      </c>
      <c r="F297" s="421">
        <v>0</v>
      </c>
      <c r="G297" s="421">
        <v>0</v>
      </c>
      <c r="H297" s="421">
        <v>0</v>
      </c>
      <c r="I297" s="421">
        <v>0</v>
      </c>
      <c r="J297" s="421">
        <v>5.0054618408177598</v>
      </c>
      <c r="K297" s="421">
        <v>0</v>
      </c>
      <c r="L297" s="421">
        <v>18.815796579352799</v>
      </c>
      <c r="M297" s="421">
        <v>0.65554734743876097</v>
      </c>
      <c r="N297" s="421">
        <v>0</v>
      </c>
      <c r="O297" s="421">
        <v>2.1874070050904901</v>
      </c>
      <c r="P297" s="421">
        <v>5.5978638718802802</v>
      </c>
      <c r="Q297" s="421">
        <v>0</v>
      </c>
      <c r="R297" s="421">
        <v>0.443393311842667</v>
      </c>
      <c r="S297" s="429">
        <v>32.705469956422696</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8</v>
      </c>
      <c r="Q298" s="421">
        <v>0</v>
      </c>
      <c r="R298" s="421">
        <v>0</v>
      </c>
      <c r="S298" s="429">
        <v>8</v>
      </c>
      <c r="T298" s="412"/>
    </row>
    <row r="299" spans="2:20" ht="13.5">
      <c r="B299" s="412"/>
      <c r="C299" s="424" t="s">
        <v>83</v>
      </c>
      <c r="D299" s="425">
        <v>1.79989703190501</v>
      </c>
      <c r="E299" s="425">
        <v>0</v>
      </c>
      <c r="F299" s="425">
        <v>2.5920989829361201</v>
      </c>
      <c r="G299" s="425">
        <v>0</v>
      </c>
      <c r="H299" s="425">
        <v>0</v>
      </c>
      <c r="I299" s="425">
        <v>0</v>
      </c>
      <c r="J299" s="425">
        <v>72.841690529371405</v>
      </c>
      <c r="K299" s="425">
        <v>4.1186114199060402</v>
      </c>
      <c r="L299" s="425">
        <v>39.953476502827499</v>
      </c>
      <c r="M299" s="425">
        <v>112.500708510964</v>
      </c>
      <c r="N299" s="425">
        <v>121.931750282495</v>
      </c>
      <c r="O299" s="425">
        <v>7.3737848279134903</v>
      </c>
      <c r="P299" s="425">
        <v>500.11915632728898</v>
      </c>
      <c r="Q299" s="425">
        <v>70.692409156436497</v>
      </c>
      <c r="R299" s="425">
        <v>16.512616402642301</v>
      </c>
      <c r="S299" s="425">
        <v>950.43619997468704</v>
      </c>
      <c r="T299" s="412"/>
    </row>
    <row r="300" spans="2:20" ht="13.5">
      <c r="B300" s="412"/>
      <c r="C300" s="420" t="s">
        <v>84</v>
      </c>
      <c r="D300" s="421">
        <v>0.11915305480957</v>
      </c>
      <c r="E300" s="421">
        <v>0</v>
      </c>
      <c r="F300" s="421">
        <v>61.1470679855287</v>
      </c>
      <c r="G300" s="421">
        <v>3.6153613407475298</v>
      </c>
      <c r="H300" s="421">
        <v>0</v>
      </c>
      <c r="I300" s="421">
        <v>0</v>
      </c>
      <c r="J300" s="421">
        <v>0</v>
      </c>
      <c r="K300" s="421">
        <v>0</v>
      </c>
      <c r="L300" s="421">
        <v>30.1084320007324</v>
      </c>
      <c r="M300" s="421">
        <v>0</v>
      </c>
      <c r="N300" s="421">
        <v>0</v>
      </c>
      <c r="O300" s="421">
        <v>0</v>
      </c>
      <c r="P300" s="421">
        <v>0</v>
      </c>
      <c r="Q300" s="421">
        <v>0</v>
      </c>
      <c r="R300" s="421">
        <v>20.5435542449951</v>
      </c>
      <c r="S300" s="429">
        <v>115.53356862681299</v>
      </c>
      <c r="T300" s="412"/>
    </row>
    <row r="301" spans="2:20" ht="13.5">
      <c r="B301" s="412"/>
      <c r="C301" s="424" t="s">
        <v>85</v>
      </c>
      <c r="D301" s="425">
        <v>1.9190500867145801</v>
      </c>
      <c r="E301" s="425">
        <v>0</v>
      </c>
      <c r="F301" s="425">
        <v>63.7391669684649</v>
      </c>
      <c r="G301" s="425">
        <v>3.6153613407475298</v>
      </c>
      <c r="H301" s="425">
        <v>0</v>
      </c>
      <c r="I301" s="425">
        <v>0</v>
      </c>
      <c r="J301" s="425">
        <v>72.841690529371405</v>
      </c>
      <c r="K301" s="425">
        <v>4.1186114199060402</v>
      </c>
      <c r="L301" s="425">
        <v>70.061908503559906</v>
      </c>
      <c r="M301" s="425">
        <v>112.500708510964</v>
      </c>
      <c r="N301" s="425">
        <v>121.931750282495</v>
      </c>
      <c r="O301" s="425">
        <v>7.3737848279134903</v>
      </c>
      <c r="P301" s="425">
        <v>500.11915632728898</v>
      </c>
      <c r="Q301" s="425">
        <v>70.692409156436497</v>
      </c>
      <c r="R301" s="425">
        <v>37.056170647637501</v>
      </c>
      <c r="S301" s="425">
        <v>1065.9697686014999</v>
      </c>
      <c r="T301" s="412"/>
    </row>
    <row r="302" spans="2:20">
      <c r="B302" s="412"/>
      <c r="C302" s="412"/>
      <c r="D302" s="430">
        <f t="shared" ref="D302:S302" si="7">D301+D291-D277</f>
        <v>1.0658141036401503E-14</v>
      </c>
      <c r="E302" s="430">
        <f t="shared" si="7"/>
        <v>0</v>
      </c>
      <c r="F302" s="430">
        <f t="shared" si="7"/>
        <v>9.5923269327613525E-14</v>
      </c>
      <c r="G302" s="430">
        <f t="shared" si="7"/>
        <v>0</v>
      </c>
      <c r="H302" s="430">
        <f t="shared" si="7"/>
        <v>0</v>
      </c>
      <c r="I302" s="430">
        <f t="shared" si="7"/>
        <v>0</v>
      </c>
      <c r="J302" s="430">
        <f t="shared" si="7"/>
        <v>0</v>
      </c>
      <c r="K302" s="430">
        <f t="shared" si="7"/>
        <v>0</v>
      </c>
      <c r="L302" s="430">
        <f t="shared" si="7"/>
        <v>-3.979039320256561E-13</v>
      </c>
      <c r="M302" s="430">
        <f t="shared" si="7"/>
        <v>-1.9984014443252818E-13</v>
      </c>
      <c r="N302" s="430">
        <f t="shared" si="7"/>
        <v>0</v>
      </c>
      <c r="O302" s="430">
        <f t="shared" si="7"/>
        <v>0</v>
      </c>
      <c r="P302" s="430">
        <f t="shared" si="7"/>
        <v>-1.3855583347321954E-13</v>
      </c>
      <c r="Q302" s="430">
        <f t="shared" si="7"/>
        <v>-9.9475983006414026E-14</v>
      </c>
      <c r="R302" s="430">
        <f t="shared" si="7"/>
        <v>7.815970093361102E-14</v>
      </c>
      <c r="S302" s="430">
        <f t="shared" si="7"/>
        <v>3.865352482534945E-12</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sheetData>
  <mergeCells count="96">
    <mergeCell ref="S269:S270"/>
    <mergeCell ref="C269:C270"/>
    <mergeCell ref="D269:D270"/>
    <mergeCell ref="E269:E270"/>
    <mergeCell ref="F269:F270"/>
    <mergeCell ref="G269:G270"/>
    <mergeCell ref="H269:H270"/>
    <mergeCell ref="I269:I270"/>
    <mergeCell ref="J269:O269"/>
    <mergeCell ref="P269:P270"/>
    <mergeCell ref="Q269:Q270"/>
    <mergeCell ref="R269:R270"/>
    <mergeCell ref="S232:S233"/>
    <mergeCell ref="C232:C233"/>
    <mergeCell ref="D232:D233"/>
    <mergeCell ref="E232:E233"/>
    <mergeCell ref="F232:F233"/>
    <mergeCell ref="G232:G233"/>
    <mergeCell ref="H232:H233"/>
    <mergeCell ref="I232:I233"/>
    <mergeCell ref="J232:O232"/>
    <mergeCell ref="P232:P233"/>
    <mergeCell ref="Q232:Q233"/>
    <mergeCell ref="R232:R233"/>
    <mergeCell ref="S195:S196"/>
    <mergeCell ref="C195:C196"/>
    <mergeCell ref="D195:D196"/>
    <mergeCell ref="E195:E196"/>
    <mergeCell ref="F195:F196"/>
    <mergeCell ref="G195:G196"/>
    <mergeCell ref="H195:H196"/>
    <mergeCell ref="I195:I196"/>
    <mergeCell ref="J195:O195"/>
    <mergeCell ref="P195:P196"/>
    <mergeCell ref="Q195:Q196"/>
    <mergeCell ref="R195:R196"/>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276:S278 S291:S299">
    <cfRule type="cellIs" dxfId="2995" priority="1" operator="equal">
      <formula>0</formula>
    </cfRule>
  </conditionalFormatting>
  <conditionalFormatting sqref="S291">
    <cfRule type="expression" dxfId="2994" priority="2">
      <formula>LEN(TRIM(S291))=0</formula>
    </cfRule>
  </conditionalFormatting>
  <conditionalFormatting sqref="J11:N11">
    <cfRule type="cellIs" dxfId="2993" priority="42" operator="equal">
      <formula>0</formula>
    </cfRule>
  </conditionalFormatting>
  <conditionalFormatting sqref="O11">
    <cfRule type="cellIs" dxfId="2992" priority="43" operator="equal">
      <formula>0</formula>
    </cfRule>
  </conditionalFormatting>
  <conditionalFormatting sqref="S42 S12:S40">
    <cfRule type="cellIs" dxfId="2991" priority="44" operator="equal">
      <formula>0</formula>
    </cfRule>
  </conditionalFormatting>
  <conditionalFormatting sqref="S41">
    <cfRule type="cellIs" dxfId="2990" priority="45" operator="equal">
      <formula>0</formula>
    </cfRule>
  </conditionalFormatting>
  <conditionalFormatting sqref="S34:S42 S12:S18 S20:S32">
    <cfRule type="expression" dxfId="2989" priority="46">
      <formula>LEN(TRIM(S12))=0</formula>
    </cfRule>
  </conditionalFormatting>
  <conditionalFormatting sqref="D42:R42 P33:R33 D33:I33 D34:R40 D32:R32 D13:R19 D12:G12 L12:M12 P12:R12">
    <cfRule type="cellIs" dxfId="2988" priority="47" operator="equal">
      <formula>0</formula>
    </cfRule>
  </conditionalFormatting>
  <conditionalFormatting sqref="P12:P14">
    <cfRule type="cellIs" dxfId="2987" priority="48" operator="equal">
      <formula>0</formula>
    </cfRule>
  </conditionalFormatting>
  <conditionalFormatting sqref="P12:R12 L12:M12 D13:R14">
    <cfRule type="cellIs" dxfId="2986" priority="49" operator="equal">
      <formula>0</formula>
    </cfRule>
  </conditionalFormatting>
  <conditionalFormatting sqref="F13:F14">
    <cfRule type="cellIs" dxfId="2985" priority="50" operator="equal">
      <formula>0</formula>
    </cfRule>
  </conditionalFormatting>
  <conditionalFormatting sqref="L12:M12">
    <cfRule type="cellIs" dxfId="2984" priority="51" operator="equal">
      <formula>0</formula>
    </cfRule>
  </conditionalFormatting>
  <conditionalFormatting sqref="J15:J17 J33">
    <cfRule type="cellIs" dxfId="2983" priority="52" operator="equal">
      <formula>0</formula>
    </cfRule>
  </conditionalFormatting>
  <conditionalFormatting sqref="J13:J14">
    <cfRule type="cellIs" dxfId="2982" priority="53" operator="equal">
      <formula>0</formula>
    </cfRule>
  </conditionalFormatting>
  <conditionalFormatting sqref="K15:K17 K33">
    <cfRule type="cellIs" dxfId="2981" priority="54" operator="equal">
      <formula>0</formula>
    </cfRule>
  </conditionalFormatting>
  <conditionalFormatting sqref="K13:K14">
    <cfRule type="cellIs" dxfId="2980" priority="55" operator="equal">
      <formula>0</formula>
    </cfRule>
  </conditionalFormatting>
  <conditionalFormatting sqref="L15:L17 L33">
    <cfRule type="cellIs" dxfId="2979" priority="56" operator="equal">
      <formula>0</formula>
    </cfRule>
  </conditionalFormatting>
  <conditionalFormatting sqref="L12:L14">
    <cfRule type="cellIs" dxfId="2978" priority="57" operator="equal">
      <formula>0</formula>
    </cfRule>
  </conditionalFormatting>
  <conditionalFormatting sqref="M15:M17 M33">
    <cfRule type="cellIs" dxfId="2977" priority="58" operator="equal">
      <formula>0</formula>
    </cfRule>
  </conditionalFormatting>
  <conditionalFormatting sqref="M12:M14">
    <cfRule type="cellIs" dxfId="2976" priority="59" operator="equal">
      <formula>0</formula>
    </cfRule>
  </conditionalFormatting>
  <conditionalFormatting sqref="N15:N17 N33">
    <cfRule type="cellIs" dxfId="2975" priority="60" operator="equal">
      <formula>0</formula>
    </cfRule>
  </conditionalFormatting>
  <conditionalFormatting sqref="N13:N14">
    <cfRule type="cellIs" dxfId="2974" priority="61" operator="equal">
      <formula>0</formula>
    </cfRule>
  </conditionalFormatting>
  <conditionalFormatting sqref="O15:O17 O33">
    <cfRule type="cellIs" dxfId="2973" priority="62" operator="equal">
      <formula>0</formula>
    </cfRule>
  </conditionalFormatting>
  <conditionalFormatting sqref="O13:O14">
    <cfRule type="cellIs" dxfId="2972" priority="63" operator="equal">
      <formula>0</formula>
    </cfRule>
  </conditionalFormatting>
  <conditionalFormatting sqref="D41:R41">
    <cfRule type="cellIs" dxfId="2971" priority="64" operator="equal">
      <formula>0</formula>
    </cfRule>
  </conditionalFormatting>
  <conditionalFormatting sqref="D34:R42 D32:R32 D13:R18 D12:G12 L12:M12 P12:R12">
    <cfRule type="expression" dxfId="2970" priority="65">
      <formula>LEN(TRIM(D12))=0</formula>
    </cfRule>
  </conditionalFormatting>
  <conditionalFormatting sqref="D41:R41">
    <cfRule type="cellIs" dxfId="2969" priority="66" operator="equal">
      <formula>0</formula>
    </cfRule>
  </conditionalFormatting>
  <conditionalFormatting sqref="L15:L16">
    <cfRule type="cellIs" dxfId="2968" priority="67" operator="equal">
      <formula>0</formula>
    </cfRule>
  </conditionalFormatting>
  <conditionalFormatting sqref="M15:M16">
    <cfRule type="cellIs" dxfId="2967" priority="68" operator="equal">
      <formula>0</formula>
    </cfRule>
  </conditionalFormatting>
  <conditionalFormatting sqref="N15:O15">
    <cfRule type="cellIs" dxfId="2966" priority="69" operator="equal">
      <formula>0</formula>
    </cfRule>
  </conditionalFormatting>
  <conditionalFormatting sqref="N16:O16">
    <cfRule type="cellIs" dxfId="2965" priority="70" operator="equal">
      <formula>0</formula>
    </cfRule>
  </conditionalFormatting>
  <conditionalFormatting sqref="D20:R31">
    <cfRule type="cellIs" dxfId="2964" priority="71" operator="equal">
      <formula>0</formula>
    </cfRule>
  </conditionalFormatting>
  <conditionalFormatting sqref="D20:R31">
    <cfRule type="expression" dxfId="2963" priority="72">
      <formula>LEN(TRIM(D20))=0</formula>
    </cfRule>
  </conditionalFormatting>
  <conditionalFormatting sqref="H12">
    <cfRule type="cellIs" dxfId="2962" priority="73" operator="equal">
      <formula>0</formula>
    </cfRule>
  </conditionalFormatting>
  <conditionalFormatting sqref="I12">
    <cfRule type="cellIs" dxfId="2961" priority="74" operator="equal">
      <formula>0</formula>
    </cfRule>
  </conditionalFormatting>
  <conditionalFormatting sqref="J12:K12">
    <cfRule type="cellIs" dxfId="2960" priority="75" operator="equal">
      <formula>0</formula>
    </cfRule>
  </conditionalFormatting>
  <conditionalFormatting sqref="K12">
    <cfRule type="cellIs" dxfId="2959" priority="76" operator="equal">
      <formula>0</formula>
    </cfRule>
  </conditionalFormatting>
  <conditionalFormatting sqref="H12:K12">
    <cfRule type="expression" dxfId="2958" priority="77">
      <formula>LEN(TRIM(H12))=0</formula>
    </cfRule>
  </conditionalFormatting>
  <conditionalFormatting sqref="N12:O12">
    <cfRule type="cellIs" dxfId="2957" priority="78" operator="equal">
      <formula>0</formula>
    </cfRule>
  </conditionalFormatting>
  <conditionalFormatting sqref="N12:O12">
    <cfRule type="cellIs" dxfId="2956" priority="79" operator="equal">
      <formula>0</formula>
    </cfRule>
  </conditionalFormatting>
  <conditionalFormatting sqref="N12:O12">
    <cfRule type="expression" dxfId="2955" priority="80">
      <formula>LEN(TRIM(N12))=0</formula>
    </cfRule>
  </conditionalFormatting>
  <conditionalFormatting sqref="J48:N48">
    <cfRule type="cellIs" dxfId="2954" priority="81" operator="equal">
      <formula>0</formula>
    </cfRule>
  </conditionalFormatting>
  <conditionalFormatting sqref="O48">
    <cfRule type="cellIs" dxfId="2953" priority="82" operator="equal">
      <formula>0</formula>
    </cfRule>
  </conditionalFormatting>
  <conditionalFormatting sqref="S79 S49:S77">
    <cfRule type="cellIs" dxfId="2952" priority="83" operator="equal">
      <formula>0</formula>
    </cfRule>
  </conditionalFormatting>
  <conditionalFormatting sqref="S78">
    <cfRule type="cellIs" dxfId="2951" priority="84" operator="equal">
      <formula>0</formula>
    </cfRule>
  </conditionalFormatting>
  <conditionalFormatting sqref="S71:S79 S49:S55 S57:S69">
    <cfRule type="expression" dxfId="2950" priority="85">
      <formula>LEN(TRIM(S49))=0</formula>
    </cfRule>
  </conditionalFormatting>
  <conditionalFormatting sqref="D79:R79 P70:R70 D70:I70 D71:R77 D69:R69 D50:R56 D49:G49 L49:M49 P49:R49">
    <cfRule type="cellIs" dxfId="2949" priority="86" operator="equal">
      <formula>0</formula>
    </cfRule>
  </conditionalFormatting>
  <conditionalFormatting sqref="P49:P51">
    <cfRule type="cellIs" dxfId="2948" priority="87" operator="equal">
      <formula>0</formula>
    </cfRule>
  </conditionalFormatting>
  <conditionalFormatting sqref="P49:R49 L49:M49 D50:R51">
    <cfRule type="cellIs" dxfId="2947" priority="88" operator="equal">
      <formula>0</formula>
    </cfRule>
  </conditionalFormatting>
  <conditionalFormatting sqref="F50:F51">
    <cfRule type="cellIs" dxfId="2946" priority="89" operator="equal">
      <formula>0</formula>
    </cfRule>
  </conditionalFormatting>
  <conditionalFormatting sqref="L49:M49">
    <cfRule type="cellIs" dxfId="2945" priority="90" operator="equal">
      <formula>0</formula>
    </cfRule>
  </conditionalFormatting>
  <conditionalFormatting sqref="J52:J54 J70">
    <cfRule type="cellIs" dxfId="2944" priority="91" operator="equal">
      <formula>0</formula>
    </cfRule>
  </conditionalFormatting>
  <conditionalFormatting sqref="J50:J51">
    <cfRule type="cellIs" dxfId="2943" priority="92" operator="equal">
      <formula>0</formula>
    </cfRule>
  </conditionalFormatting>
  <conditionalFormatting sqref="K52:K54 K70">
    <cfRule type="cellIs" dxfId="2942" priority="93" operator="equal">
      <formula>0</formula>
    </cfRule>
  </conditionalFormatting>
  <conditionalFormatting sqref="K50:K51">
    <cfRule type="cellIs" dxfId="2941" priority="94" operator="equal">
      <formula>0</formula>
    </cfRule>
  </conditionalFormatting>
  <conditionalFormatting sqref="L52:L54 L70">
    <cfRule type="cellIs" dxfId="2940" priority="95" operator="equal">
      <formula>0</formula>
    </cfRule>
  </conditionalFormatting>
  <conditionalFormatting sqref="L49:L51">
    <cfRule type="cellIs" dxfId="2939" priority="96" operator="equal">
      <formula>0</formula>
    </cfRule>
  </conditionalFormatting>
  <conditionalFormatting sqref="M52:M54 M70">
    <cfRule type="cellIs" dxfId="2938" priority="97" operator="equal">
      <formula>0</formula>
    </cfRule>
  </conditionalFormatting>
  <conditionalFormatting sqref="M49:M51">
    <cfRule type="cellIs" dxfId="2937" priority="98" operator="equal">
      <formula>0</formula>
    </cfRule>
  </conditionalFormatting>
  <conditionalFormatting sqref="N52:N54 N70">
    <cfRule type="cellIs" dxfId="2936" priority="99" operator="equal">
      <formula>0</formula>
    </cfRule>
  </conditionalFormatting>
  <conditionalFormatting sqref="N50:N51">
    <cfRule type="cellIs" dxfId="2935" priority="100" operator="equal">
      <formula>0</formula>
    </cfRule>
  </conditionalFormatting>
  <conditionalFormatting sqref="O52:O54 O70">
    <cfRule type="cellIs" dxfId="2934" priority="101" operator="equal">
      <formula>0</formula>
    </cfRule>
  </conditionalFormatting>
  <conditionalFormatting sqref="O50:O51">
    <cfRule type="cellIs" dxfId="2933" priority="102" operator="equal">
      <formula>0</formula>
    </cfRule>
  </conditionalFormatting>
  <conditionalFormatting sqref="D78:R78">
    <cfRule type="cellIs" dxfId="2932" priority="103" operator="equal">
      <formula>0</formula>
    </cfRule>
  </conditionalFormatting>
  <conditionalFormatting sqref="D71:R79 D69:R69 D50:R55 D49:G49 L49:M49 P49:R49">
    <cfRule type="expression" dxfId="2931" priority="104">
      <formula>LEN(TRIM(D49))=0</formula>
    </cfRule>
  </conditionalFormatting>
  <conditionalFormatting sqref="D78:R78">
    <cfRule type="cellIs" dxfId="2930" priority="105" operator="equal">
      <formula>0</formula>
    </cfRule>
  </conditionalFormatting>
  <conditionalFormatting sqref="L52:L53">
    <cfRule type="cellIs" dxfId="2929" priority="106" operator="equal">
      <formula>0</formula>
    </cfRule>
  </conditionalFormatting>
  <conditionalFormatting sqref="M52:M53">
    <cfRule type="cellIs" dxfId="2928" priority="107" operator="equal">
      <formula>0</formula>
    </cfRule>
  </conditionalFormatting>
  <conditionalFormatting sqref="N52:O52">
    <cfRule type="cellIs" dxfId="2927" priority="108" operator="equal">
      <formula>0</formula>
    </cfRule>
  </conditionalFormatting>
  <conditionalFormatting sqref="N53:O53">
    <cfRule type="cellIs" dxfId="2926" priority="109" operator="equal">
      <formula>0</formula>
    </cfRule>
  </conditionalFormatting>
  <conditionalFormatting sqref="D57:R68">
    <cfRule type="cellIs" dxfId="2925" priority="110" operator="equal">
      <formula>0</formula>
    </cfRule>
  </conditionalFormatting>
  <conditionalFormatting sqref="D57:R68">
    <cfRule type="expression" dxfId="2924" priority="111">
      <formula>LEN(TRIM(D57))=0</formula>
    </cfRule>
  </conditionalFormatting>
  <conditionalFormatting sqref="H49">
    <cfRule type="cellIs" dxfId="2923" priority="112" operator="equal">
      <formula>0</formula>
    </cfRule>
  </conditionalFormatting>
  <conditionalFormatting sqref="I49">
    <cfRule type="cellIs" dxfId="2922" priority="113" operator="equal">
      <formula>0</formula>
    </cfRule>
  </conditionalFormatting>
  <conditionalFormatting sqref="J49:K49">
    <cfRule type="cellIs" dxfId="2921" priority="114" operator="equal">
      <formula>0</formula>
    </cfRule>
  </conditionalFormatting>
  <conditionalFormatting sqref="K49">
    <cfRule type="cellIs" dxfId="2920" priority="115" operator="equal">
      <formula>0</formula>
    </cfRule>
  </conditionalFormatting>
  <conditionalFormatting sqref="H49:K49">
    <cfRule type="expression" dxfId="2919" priority="116">
      <formula>LEN(TRIM(H49))=0</formula>
    </cfRule>
  </conditionalFormatting>
  <conditionalFormatting sqref="N49:O49">
    <cfRule type="cellIs" dxfId="2918" priority="117" operator="equal">
      <formula>0</formula>
    </cfRule>
  </conditionalFormatting>
  <conditionalFormatting sqref="N49:O49">
    <cfRule type="cellIs" dxfId="2917" priority="118" operator="equal">
      <formula>0</formula>
    </cfRule>
  </conditionalFormatting>
  <conditionalFormatting sqref="N49:O49">
    <cfRule type="expression" dxfId="2916" priority="119">
      <formula>LEN(TRIM(N49))=0</formula>
    </cfRule>
  </conditionalFormatting>
  <conditionalFormatting sqref="J85:N85">
    <cfRule type="cellIs" dxfId="2915" priority="120" operator="equal">
      <formula>0</formula>
    </cfRule>
  </conditionalFormatting>
  <conditionalFormatting sqref="O85">
    <cfRule type="cellIs" dxfId="2914" priority="121" operator="equal">
      <formula>0</formula>
    </cfRule>
  </conditionalFormatting>
  <conditionalFormatting sqref="S116 S86:S114">
    <cfRule type="cellIs" dxfId="2913" priority="122" operator="equal">
      <formula>0</formula>
    </cfRule>
  </conditionalFormatting>
  <conditionalFormatting sqref="S115">
    <cfRule type="cellIs" dxfId="2912" priority="123" operator="equal">
      <formula>0</formula>
    </cfRule>
  </conditionalFormatting>
  <conditionalFormatting sqref="S108:S116 S86:S92 S94:S106">
    <cfRule type="expression" dxfId="2911" priority="124">
      <formula>LEN(TRIM(S86))=0</formula>
    </cfRule>
  </conditionalFormatting>
  <conditionalFormatting sqref="D116:R116 P107:R107 D107:I107 D108:R114 D106:R106 D87:R93 D86:G86 L86:M86 P86:R86">
    <cfRule type="cellIs" dxfId="2910" priority="125" operator="equal">
      <formula>0</formula>
    </cfRule>
  </conditionalFormatting>
  <conditionalFormatting sqref="P86:P88">
    <cfRule type="cellIs" dxfId="2909" priority="126" operator="equal">
      <formula>0</formula>
    </cfRule>
  </conditionalFormatting>
  <conditionalFormatting sqref="P86:R86 L86:M86 D87:R88">
    <cfRule type="cellIs" dxfId="2908" priority="127" operator="equal">
      <formula>0</formula>
    </cfRule>
  </conditionalFormatting>
  <conditionalFormatting sqref="F87:F88">
    <cfRule type="cellIs" dxfId="2907" priority="128" operator="equal">
      <formula>0</formula>
    </cfRule>
  </conditionalFormatting>
  <conditionalFormatting sqref="L86:M86">
    <cfRule type="cellIs" dxfId="2906" priority="129" operator="equal">
      <formula>0</formula>
    </cfRule>
  </conditionalFormatting>
  <conditionalFormatting sqref="J89:J91 J107">
    <cfRule type="cellIs" dxfId="2905" priority="130" operator="equal">
      <formula>0</formula>
    </cfRule>
  </conditionalFormatting>
  <conditionalFormatting sqref="J87:J88">
    <cfRule type="cellIs" dxfId="2904" priority="131" operator="equal">
      <formula>0</formula>
    </cfRule>
  </conditionalFormatting>
  <conditionalFormatting sqref="K89:K91 K107">
    <cfRule type="cellIs" dxfId="2903" priority="132" operator="equal">
      <formula>0</formula>
    </cfRule>
  </conditionalFormatting>
  <conditionalFormatting sqref="K87:K88">
    <cfRule type="cellIs" dxfId="2902" priority="133" operator="equal">
      <formula>0</formula>
    </cfRule>
  </conditionalFormatting>
  <conditionalFormatting sqref="L89:L91 L107">
    <cfRule type="cellIs" dxfId="2901" priority="134" operator="equal">
      <formula>0</formula>
    </cfRule>
  </conditionalFormatting>
  <conditionalFormatting sqref="L86:L88">
    <cfRule type="cellIs" dxfId="2900" priority="135" operator="equal">
      <formula>0</formula>
    </cfRule>
  </conditionalFormatting>
  <conditionalFormatting sqref="M89:M91 M107">
    <cfRule type="cellIs" dxfId="2899" priority="136" operator="equal">
      <formula>0</formula>
    </cfRule>
  </conditionalFormatting>
  <conditionalFormatting sqref="M86:M88">
    <cfRule type="cellIs" dxfId="2898" priority="137" operator="equal">
      <formula>0</formula>
    </cfRule>
  </conditionalFormatting>
  <conditionalFormatting sqref="N89:N91 N107">
    <cfRule type="cellIs" dxfId="2897" priority="138" operator="equal">
      <formula>0</formula>
    </cfRule>
  </conditionalFormatting>
  <conditionalFormatting sqref="N87:N88">
    <cfRule type="cellIs" dxfId="2896" priority="139" operator="equal">
      <formula>0</formula>
    </cfRule>
  </conditionalFormatting>
  <conditionalFormatting sqref="O89:O91 O107">
    <cfRule type="cellIs" dxfId="2895" priority="140" operator="equal">
      <formula>0</formula>
    </cfRule>
  </conditionalFormatting>
  <conditionalFormatting sqref="O87:O88">
    <cfRule type="cellIs" dxfId="2894" priority="141" operator="equal">
      <formula>0</formula>
    </cfRule>
  </conditionalFormatting>
  <conditionalFormatting sqref="D115:R115">
    <cfRule type="cellIs" dxfId="2893" priority="142" operator="equal">
      <formula>0</formula>
    </cfRule>
  </conditionalFormatting>
  <conditionalFormatting sqref="D108:R116 D106:R106 D87:R92 D86:G86 L86:M86 P86:R86">
    <cfRule type="expression" dxfId="2892" priority="143">
      <formula>LEN(TRIM(D86))=0</formula>
    </cfRule>
  </conditionalFormatting>
  <conditionalFormatting sqref="D115:R115">
    <cfRule type="cellIs" dxfId="2891" priority="144" operator="equal">
      <formula>0</formula>
    </cfRule>
  </conditionalFormatting>
  <conditionalFormatting sqref="L89:L90">
    <cfRule type="cellIs" dxfId="2890" priority="145" operator="equal">
      <formula>0</formula>
    </cfRule>
  </conditionalFormatting>
  <conditionalFormatting sqref="M89:M90">
    <cfRule type="cellIs" dxfId="2889" priority="146" operator="equal">
      <formula>0</formula>
    </cfRule>
  </conditionalFormatting>
  <conditionalFormatting sqref="N89:O89">
    <cfRule type="cellIs" dxfId="2888" priority="147" operator="equal">
      <formula>0</formula>
    </cfRule>
  </conditionalFormatting>
  <conditionalFormatting sqref="N90:O90">
    <cfRule type="cellIs" dxfId="2887" priority="148" operator="equal">
      <formula>0</formula>
    </cfRule>
  </conditionalFormatting>
  <conditionalFormatting sqref="D94:R105">
    <cfRule type="cellIs" dxfId="2886" priority="149" operator="equal">
      <formula>0</formula>
    </cfRule>
  </conditionalFormatting>
  <conditionalFormatting sqref="D94:R105">
    <cfRule type="expression" dxfId="2885" priority="150">
      <formula>LEN(TRIM(D94))=0</formula>
    </cfRule>
  </conditionalFormatting>
  <conditionalFormatting sqref="H86">
    <cfRule type="cellIs" dxfId="2884" priority="151" operator="equal">
      <formula>0</formula>
    </cfRule>
  </conditionalFormatting>
  <conditionalFormatting sqref="I86">
    <cfRule type="cellIs" dxfId="2883" priority="152" operator="equal">
      <formula>0</formula>
    </cfRule>
  </conditionalFormatting>
  <conditionalFormatting sqref="J86:K86">
    <cfRule type="cellIs" dxfId="2882" priority="153" operator="equal">
      <formula>0</formula>
    </cfRule>
  </conditionalFormatting>
  <conditionalFormatting sqref="K86">
    <cfRule type="cellIs" dxfId="2881" priority="154" operator="equal">
      <formula>0</formula>
    </cfRule>
  </conditionalFormatting>
  <conditionalFormatting sqref="H86:K86">
    <cfRule type="expression" dxfId="2880" priority="155">
      <formula>LEN(TRIM(H86))=0</formula>
    </cfRule>
  </conditionalFormatting>
  <conditionalFormatting sqref="N86:O86">
    <cfRule type="cellIs" dxfId="2879" priority="156" operator="equal">
      <formula>0</formula>
    </cfRule>
  </conditionalFormatting>
  <conditionalFormatting sqref="N86:O86">
    <cfRule type="cellIs" dxfId="2878" priority="157" operator="equal">
      <formula>0</formula>
    </cfRule>
  </conditionalFormatting>
  <conditionalFormatting sqref="N86:O86">
    <cfRule type="expression" dxfId="2877" priority="158">
      <formula>LEN(TRIM(N86))=0</formula>
    </cfRule>
  </conditionalFormatting>
  <conditionalFormatting sqref="J122:N122">
    <cfRule type="cellIs" dxfId="2876" priority="159" operator="equal">
      <formula>0</formula>
    </cfRule>
  </conditionalFormatting>
  <conditionalFormatting sqref="O122">
    <cfRule type="cellIs" dxfId="2875" priority="160" operator="equal">
      <formula>0</formula>
    </cfRule>
  </conditionalFormatting>
  <conditionalFormatting sqref="S153 S123:S151">
    <cfRule type="cellIs" dxfId="2874" priority="161" operator="equal">
      <formula>0</formula>
    </cfRule>
  </conditionalFormatting>
  <conditionalFormatting sqref="S152">
    <cfRule type="cellIs" dxfId="2873" priority="162" operator="equal">
      <formula>0</formula>
    </cfRule>
  </conditionalFormatting>
  <conditionalFormatting sqref="S145:S153 S123:S129 S131:S143">
    <cfRule type="expression" dxfId="2872" priority="163">
      <formula>LEN(TRIM(S123))=0</formula>
    </cfRule>
  </conditionalFormatting>
  <conditionalFormatting sqref="D153:R153 P144:R144 D144:I144 D145:R151 D143:R143 D124:R130 D123:G123 L123:M123 P123:R123">
    <cfRule type="cellIs" dxfId="2871" priority="164" operator="equal">
      <formula>0</formula>
    </cfRule>
  </conditionalFormatting>
  <conditionalFormatting sqref="P123:P125">
    <cfRule type="cellIs" dxfId="2870" priority="165" operator="equal">
      <formula>0</formula>
    </cfRule>
  </conditionalFormatting>
  <conditionalFormatting sqref="P123:R123 L123:M123 D124:R125">
    <cfRule type="cellIs" dxfId="2869" priority="166" operator="equal">
      <formula>0</formula>
    </cfRule>
  </conditionalFormatting>
  <conditionalFormatting sqref="F124:F125">
    <cfRule type="cellIs" dxfId="2868" priority="167" operator="equal">
      <formula>0</formula>
    </cfRule>
  </conditionalFormatting>
  <conditionalFormatting sqref="L123:M123">
    <cfRule type="cellIs" dxfId="2867" priority="168" operator="equal">
      <formula>0</formula>
    </cfRule>
  </conditionalFormatting>
  <conditionalFormatting sqref="J126:J128 J144">
    <cfRule type="cellIs" dxfId="2866" priority="169" operator="equal">
      <formula>0</formula>
    </cfRule>
  </conditionalFormatting>
  <conditionalFormatting sqref="J124:J125">
    <cfRule type="cellIs" dxfId="2865" priority="170" operator="equal">
      <formula>0</formula>
    </cfRule>
  </conditionalFormatting>
  <conditionalFormatting sqref="K126:K128 K144">
    <cfRule type="cellIs" dxfId="2864" priority="171" operator="equal">
      <formula>0</formula>
    </cfRule>
  </conditionalFormatting>
  <conditionalFormatting sqref="K124:K125">
    <cfRule type="cellIs" dxfId="2863" priority="172" operator="equal">
      <formula>0</formula>
    </cfRule>
  </conditionalFormatting>
  <conditionalFormatting sqref="L126:L128 L144">
    <cfRule type="cellIs" dxfId="2862" priority="173" operator="equal">
      <formula>0</formula>
    </cfRule>
  </conditionalFormatting>
  <conditionalFormatting sqref="L123:L125">
    <cfRule type="cellIs" dxfId="2861" priority="174" operator="equal">
      <formula>0</formula>
    </cfRule>
  </conditionalFormatting>
  <conditionalFormatting sqref="M126:M128 M144">
    <cfRule type="cellIs" dxfId="2860" priority="175" operator="equal">
      <formula>0</formula>
    </cfRule>
  </conditionalFormatting>
  <conditionalFormatting sqref="M123:M125">
    <cfRule type="cellIs" dxfId="2859" priority="176" operator="equal">
      <formula>0</formula>
    </cfRule>
  </conditionalFormatting>
  <conditionalFormatting sqref="N126:N128 N144">
    <cfRule type="cellIs" dxfId="2858" priority="177" operator="equal">
      <formula>0</formula>
    </cfRule>
  </conditionalFormatting>
  <conditionalFormatting sqref="N124:N125">
    <cfRule type="cellIs" dxfId="2857" priority="178" operator="equal">
      <formula>0</formula>
    </cfRule>
  </conditionalFormatting>
  <conditionalFormatting sqref="O126:O128 O144">
    <cfRule type="cellIs" dxfId="2856" priority="179" operator="equal">
      <formula>0</formula>
    </cfRule>
  </conditionalFormatting>
  <conditionalFormatting sqref="O124:O125">
    <cfRule type="cellIs" dxfId="2855" priority="180" operator="equal">
      <formula>0</formula>
    </cfRule>
  </conditionalFormatting>
  <conditionalFormatting sqref="D152:R152">
    <cfRule type="cellIs" dxfId="2854" priority="181" operator="equal">
      <formula>0</formula>
    </cfRule>
  </conditionalFormatting>
  <conditionalFormatting sqref="D145:R153 D143:R143 D124:R129 D123:G123 L123:M123 P123:R123">
    <cfRule type="expression" dxfId="2853" priority="182">
      <formula>LEN(TRIM(D123))=0</formula>
    </cfRule>
  </conditionalFormatting>
  <conditionalFormatting sqref="D152:R152">
    <cfRule type="cellIs" dxfId="2852" priority="183" operator="equal">
      <formula>0</formula>
    </cfRule>
  </conditionalFormatting>
  <conditionalFormatting sqref="L126:L127">
    <cfRule type="cellIs" dxfId="2851" priority="184" operator="equal">
      <formula>0</formula>
    </cfRule>
  </conditionalFormatting>
  <conditionalFormatting sqref="M126:M127">
    <cfRule type="cellIs" dxfId="2850" priority="185" operator="equal">
      <formula>0</formula>
    </cfRule>
  </conditionalFormatting>
  <conditionalFormatting sqref="N126:O126">
    <cfRule type="cellIs" dxfId="2849" priority="186" operator="equal">
      <formula>0</formula>
    </cfRule>
  </conditionalFormatting>
  <conditionalFormatting sqref="N127:O127">
    <cfRule type="cellIs" dxfId="2848" priority="187" operator="equal">
      <formula>0</formula>
    </cfRule>
  </conditionalFormatting>
  <conditionalFormatting sqref="D131:R142">
    <cfRule type="cellIs" dxfId="2847" priority="188" operator="equal">
      <formula>0</formula>
    </cfRule>
  </conditionalFormatting>
  <conditionalFormatting sqref="D131:R142">
    <cfRule type="expression" dxfId="2846" priority="189">
      <formula>LEN(TRIM(D131))=0</formula>
    </cfRule>
  </conditionalFormatting>
  <conditionalFormatting sqref="H123">
    <cfRule type="cellIs" dxfId="2845" priority="190" operator="equal">
      <formula>0</formula>
    </cfRule>
  </conditionalFormatting>
  <conditionalFormatting sqref="I123">
    <cfRule type="cellIs" dxfId="2844" priority="191" operator="equal">
      <formula>0</formula>
    </cfRule>
  </conditionalFormatting>
  <conditionalFormatting sqref="J123:K123">
    <cfRule type="cellIs" dxfId="2843" priority="192" operator="equal">
      <formula>0</formula>
    </cfRule>
  </conditionalFormatting>
  <conditionalFormatting sqref="K123">
    <cfRule type="cellIs" dxfId="2842" priority="193" operator="equal">
      <formula>0</formula>
    </cfRule>
  </conditionalFormatting>
  <conditionalFormatting sqref="H123:K123">
    <cfRule type="expression" dxfId="2841" priority="194">
      <formula>LEN(TRIM(H123))=0</formula>
    </cfRule>
  </conditionalFormatting>
  <conditionalFormatting sqref="N123:O123">
    <cfRule type="cellIs" dxfId="2840" priority="195" operator="equal">
      <formula>0</formula>
    </cfRule>
  </conditionalFormatting>
  <conditionalFormatting sqref="N123:O123">
    <cfRule type="cellIs" dxfId="2839" priority="196" operator="equal">
      <formula>0</formula>
    </cfRule>
  </conditionalFormatting>
  <conditionalFormatting sqref="N123:O123">
    <cfRule type="expression" dxfId="2838" priority="197">
      <formula>LEN(TRIM(N123))=0</formula>
    </cfRule>
  </conditionalFormatting>
  <conditionalFormatting sqref="J159:N159">
    <cfRule type="cellIs" dxfId="2837" priority="198" operator="equal">
      <formula>0</formula>
    </cfRule>
  </conditionalFormatting>
  <conditionalFormatting sqref="O159">
    <cfRule type="cellIs" dxfId="2836" priority="199" operator="equal">
      <formula>0</formula>
    </cfRule>
  </conditionalFormatting>
  <conditionalFormatting sqref="S190 S160:S188">
    <cfRule type="cellIs" dxfId="2835" priority="200" operator="equal">
      <formula>0</formula>
    </cfRule>
  </conditionalFormatting>
  <conditionalFormatting sqref="S189">
    <cfRule type="cellIs" dxfId="2834" priority="201" operator="equal">
      <formula>0</formula>
    </cfRule>
  </conditionalFormatting>
  <conditionalFormatting sqref="S182:S190 S160:S166 S168:S180">
    <cfRule type="expression" dxfId="2833" priority="202">
      <formula>LEN(TRIM(S160))=0</formula>
    </cfRule>
  </conditionalFormatting>
  <conditionalFormatting sqref="D190:R190 P181:R181 D181:I181 D182:R188 D180:R180 D161:R167 D160:G160 L160:M160 P160:R160">
    <cfRule type="cellIs" dxfId="2832" priority="203" operator="equal">
      <formula>0</formula>
    </cfRule>
  </conditionalFormatting>
  <conditionalFormatting sqref="P160:P162">
    <cfRule type="cellIs" dxfId="2831" priority="204" operator="equal">
      <formula>0</formula>
    </cfRule>
  </conditionalFormatting>
  <conditionalFormatting sqref="P160:R160 L160:M160 D161:R162">
    <cfRule type="cellIs" dxfId="2830" priority="205" operator="equal">
      <formula>0</formula>
    </cfRule>
  </conditionalFormatting>
  <conditionalFormatting sqref="F161:F162">
    <cfRule type="cellIs" dxfId="2829" priority="206" operator="equal">
      <formula>0</formula>
    </cfRule>
  </conditionalFormatting>
  <conditionalFormatting sqref="L160:M160">
    <cfRule type="cellIs" dxfId="2828" priority="207" operator="equal">
      <formula>0</formula>
    </cfRule>
  </conditionalFormatting>
  <conditionalFormatting sqref="J163:J165 J181">
    <cfRule type="cellIs" dxfId="2827" priority="208" operator="equal">
      <formula>0</formula>
    </cfRule>
  </conditionalFormatting>
  <conditionalFormatting sqref="J161:J162">
    <cfRule type="cellIs" dxfId="2826" priority="209" operator="equal">
      <formula>0</formula>
    </cfRule>
  </conditionalFormatting>
  <conditionalFormatting sqref="K163:K165 K181">
    <cfRule type="cellIs" dxfId="2825" priority="210" operator="equal">
      <formula>0</formula>
    </cfRule>
  </conditionalFormatting>
  <conditionalFormatting sqref="K161:K162">
    <cfRule type="cellIs" dxfId="2824" priority="211" operator="equal">
      <formula>0</formula>
    </cfRule>
  </conditionalFormatting>
  <conditionalFormatting sqref="L163:L165 L181">
    <cfRule type="cellIs" dxfId="2823" priority="212" operator="equal">
      <formula>0</formula>
    </cfRule>
  </conditionalFormatting>
  <conditionalFormatting sqref="L160:L162">
    <cfRule type="cellIs" dxfId="2822" priority="213" operator="equal">
      <formula>0</formula>
    </cfRule>
  </conditionalFormatting>
  <conditionalFormatting sqref="M163:M165 M181">
    <cfRule type="cellIs" dxfId="2821" priority="214" operator="equal">
      <formula>0</formula>
    </cfRule>
  </conditionalFormatting>
  <conditionalFormatting sqref="M160:M162">
    <cfRule type="cellIs" dxfId="2820" priority="215" operator="equal">
      <formula>0</formula>
    </cfRule>
  </conditionalFormatting>
  <conditionalFormatting sqref="N163:N165 N181">
    <cfRule type="cellIs" dxfId="2819" priority="216" operator="equal">
      <formula>0</formula>
    </cfRule>
  </conditionalFormatting>
  <conditionalFormatting sqref="N161:N162">
    <cfRule type="cellIs" dxfId="2818" priority="217" operator="equal">
      <formula>0</formula>
    </cfRule>
  </conditionalFormatting>
  <conditionalFormatting sqref="O163:O165 O181">
    <cfRule type="cellIs" dxfId="2817" priority="218" operator="equal">
      <formula>0</formula>
    </cfRule>
  </conditionalFormatting>
  <conditionalFormatting sqref="O161:O162">
    <cfRule type="cellIs" dxfId="2816" priority="219" operator="equal">
      <formula>0</formula>
    </cfRule>
  </conditionalFormatting>
  <conditionalFormatting sqref="D189:R189">
    <cfRule type="cellIs" dxfId="2815" priority="220" operator="equal">
      <formula>0</formula>
    </cfRule>
  </conditionalFormatting>
  <conditionalFormatting sqref="D182:R190 D180:R180 D161:R166 D160:G160 L160:M160 P160:R160">
    <cfRule type="expression" dxfId="2814" priority="221">
      <formula>LEN(TRIM(D160))=0</formula>
    </cfRule>
  </conditionalFormatting>
  <conditionalFormatting sqref="D189:R189">
    <cfRule type="cellIs" dxfId="2813" priority="222" operator="equal">
      <formula>0</formula>
    </cfRule>
  </conditionalFormatting>
  <conditionalFormatting sqref="L163:L164">
    <cfRule type="cellIs" dxfId="2812" priority="223" operator="equal">
      <formula>0</formula>
    </cfRule>
  </conditionalFormatting>
  <conditionalFormatting sqref="M163:M164">
    <cfRule type="cellIs" dxfId="2811" priority="224" operator="equal">
      <formula>0</formula>
    </cfRule>
  </conditionalFormatting>
  <conditionalFormatting sqref="N163:O163">
    <cfRule type="cellIs" dxfId="2810" priority="225" operator="equal">
      <formula>0</formula>
    </cfRule>
  </conditionalFormatting>
  <conditionalFormatting sqref="N164:O164">
    <cfRule type="cellIs" dxfId="2809" priority="226" operator="equal">
      <formula>0</formula>
    </cfRule>
  </conditionalFormatting>
  <conditionalFormatting sqref="D168:R179">
    <cfRule type="cellIs" dxfId="2808" priority="227" operator="equal">
      <formula>0</formula>
    </cfRule>
  </conditionalFormatting>
  <conditionalFormatting sqref="D168:R179">
    <cfRule type="expression" dxfId="2807" priority="228">
      <formula>LEN(TRIM(D168))=0</formula>
    </cfRule>
  </conditionalFormatting>
  <conditionalFormatting sqref="H160">
    <cfRule type="cellIs" dxfId="2806" priority="229" operator="equal">
      <formula>0</formula>
    </cfRule>
  </conditionalFormatting>
  <conditionalFormatting sqref="I160">
    <cfRule type="cellIs" dxfId="2805" priority="230" operator="equal">
      <formula>0</formula>
    </cfRule>
  </conditionalFormatting>
  <conditionalFormatting sqref="J160:K160">
    <cfRule type="cellIs" dxfId="2804" priority="231" operator="equal">
      <formula>0</formula>
    </cfRule>
  </conditionalFormatting>
  <conditionalFormatting sqref="K160">
    <cfRule type="cellIs" dxfId="2803" priority="232" operator="equal">
      <formula>0</formula>
    </cfRule>
  </conditionalFormatting>
  <conditionalFormatting sqref="H160:K160">
    <cfRule type="expression" dxfId="2802" priority="233">
      <formula>LEN(TRIM(H160))=0</formula>
    </cfRule>
  </conditionalFormatting>
  <conditionalFormatting sqref="N160:O160">
    <cfRule type="cellIs" dxfId="2801" priority="234" operator="equal">
      <formula>0</formula>
    </cfRule>
  </conditionalFormatting>
  <conditionalFormatting sqref="N160:O160">
    <cfRule type="cellIs" dxfId="2800" priority="235" operator="equal">
      <formula>0</formula>
    </cfRule>
  </conditionalFormatting>
  <conditionalFormatting sqref="N160:O160">
    <cfRule type="expression" dxfId="2799" priority="236">
      <formula>LEN(TRIM(N160))=0</formula>
    </cfRule>
  </conditionalFormatting>
  <conditionalFormatting sqref="J196:N196">
    <cfRule type="cellIs" dxfId="2798" priority="237" operator="equal">
      <formula>0</formula>
    </cfRule>
  </conditionalFormatting>
  <conditionalFormatting sqref="O196">
    <cfRule type="cellIs" dxfId="2797" priority="238" operator="equal">
      <formula>0</formula>
    </cfRule>
  </conditionalFormatting>
  <conditionalFormatting sqref="S227 S197:S225">
    <cfRule type="cellIs" dxfId="2796" priority="239" operator="equal">
      <formula>0</formula>
    </cfRule>
  </conditionalFormatting>
  <conditionalFormatting sqref="S226">
    <cfRule type="cellIs" dxfId="2795" priority="240" operator="equal">
      <formula>0</formula>
    </cfRule>
  </conditionalFormatting>
  <conditionalFormatting sqref="S219:S227 S197:S203 S205:S217">
    <cfRule type="expression" dxfId="2794" priority="241">
      <formula>LEN(TRIM(S197))=0</formula>
    </cfRule>
  </conditionalFormatting>
  <conditionalFormatting sqref="D227:R227 P218:R218 D218:I218 D219:R225 D217:R217 D198:R204 D197:G197 L197:M197 P197:R197">
    <cfRule type="cellIs" dxfId="2793" priority="242" operator="equal">
      <formula>0</formula>
    </cfRule>
  </conditionalFormatting>
  <conditionalFormatting sqref="P197:P199">
    <cfRule type="cellIs" dxfId="2792" priority="243" operator="equal">
      <formula>0</formula>
    </cfRule>
  </conditionalFormatting>
  <conditionalFormatting sqref="P197:R197 L197:M197 D198:R199">
    <cfRule type="cellIs" dxfId="2791" priority="244" operator="equal">
      <formula>0</formula>
    </cfRule>
  </conditionalFormatting>
  <conditionalFormatting sqref="F198:F199">
    <cfRule type="cellIs" dxfId="2790" priority="245" operator="equal">
      <formula>0</formula>
    </cfRule>
  </conditionalFormatting>
  <conditionalFormatting sqref="L197:M197">
    <cfRule type="cellIs" dxfId="2789" priority="246" operator="equal">
      <formula>0</formula>
    </cfRule>
  </conditionalFormatting>
  <conditionalFormatting sqref="J200:J202 J218">
    <cfRule type="cellIs" dxfId="2788" priority="247" operator="equal">
      <formula>0</formula>
    </cfRule>
  </conditionalFormatting>
  <conditionalFormatting sqref="J198:J199">
    <cfRule type="cellIs" dxfId="2787" priority="248" operator="equal">
      <formula>0</formula>
    </cfRule>
  </conditionalFormatting>
  <conditionalFormatting sqref="K200:K202 K218">
    <cfRule type="cellIs" dxfId="2786" priority="249" operator="equal">
      <formula>0</formula>
    </cfRule>
  </conditionalFormatting>
  <conditionalFormatting sqref="K198:K199">
    <cfRule type="cellIs" dxfId="2785" priority="250" operator="equal">
      <formula>0</formula>
    </cfRule>
  </conditionalFormatting>
  <conditionalFormatting sqref="L200:L202 L218">
    <cfRule type="cellIs" dxfId="2784" priority="251" operator="equal">
      <formula>0</formula>
    </cfRule>
  </conditionalFormatting>
  <conditionalFormatting sqref="L197:L199">
    <cfRule type="cellIs" dxfId="2783" priority="252" operator="equal">
      <formula>0</formula>
    </cfRule>
  </conditionalFormatting>
  <conditionalFormatting sqref="M200:M202 M218">
    <cfRule type="cellIs" dxfId="2782" priority="253" operator="equal">
      <formula>0</formula>
    </cfRule>
  </conditionalFormatting>
  <conditionalFormatting sqref="M197:M199">
    <cfRule type="cellIs" dxfId="2781" priority="254" operator="equal">
      <formula>0</formula>
    </cfRule>
  </conditionalFormatting>
  <conditionalFormatting sqref="N200:N202 N218">
    <cfRule type="cellIs" dxfId="2780" priority="255" operator="equal">
      <formula>0</formula>
    </cfRule>
  </conditionalFormatting>
  <conditionalFormatting sqref="N198:N199">
    <cfRule type="cellIs" dxfId="2779" priority="256" operator="equal">
      <formula>0</formula>
    </cfRule>
  </conditionalFormatting>
  <conditionalFormatting sqref="O200:O202 O218">
    <cfRule type="cellIs" dxfId="2778" priority="257" operator="equal">
      <formula>0</formula>
    </cfRule>
  </conditionalFormatting>
  <conditionalFormatting sqref="O198:O199">
    <cfRule type="cellIs" dxfId="2777" priority="258" operator="equal">
      <formula>0</formula>
    </cfRule>
  </conditionalFormatting>
  <conditionalFormatting sqref="D226:R226">
    <cfRule type="cellIs" dxfId="2776" priority="259" operator="equal">
      <formula>0</formula>
    </cfRule>
  </conditionalFormatting>
  <conditionalFormatting sqref="D219:R227 D217:R217 D198:R203 D197:G197 L197:M197 P197:R197">
    <cfRule type="expression" dxfId="2775" priority="260">
      <formula>LEN(TRIM(D197))=0</formula>
    </cfRule>
  </conditionalFormatting>
  <conditionalFormatting sqref="D226:R226">
    <cfRule type="cellIs" dxfId="2774" priority="261" operator="equal">
      <formula>0</formula>
    </cfRule>
  </conditionalFormatting>
  <conditionalFormatting sqref="L200:L201">
    <cfRule type="cellIs" dxfId="2773" priority="262" operator="equal">
      <formula>0</formula>
    </cfRule>
  </conditionalFormatting>
  <conditionalFormatting sqref="M200:M201">
    <cfRule type="cellIs" dxfId="2772" priority="263" operator="equal">
      <formula>0</formula>
    </cfRule>
  </conditionalFormatting>
  <conditionalFormatting sqref="N200:O200">
    <cfRule type="cellIs" dxfId="2771" priority="264" operator="equal">
      <formula>0</formula>
    </cfRule>
  </conditionalFormatting>
  <conditionalFormatting sqref="N201:O201">
    <cfRule type="cellIs" dxfId="2770" priority="265" operator="equal">
      <formula>0</formula>
    </cfRule>
  </conditionalFormatting>
  <conditionalFormatting sqref="D205:R216">
    <cfRule type="cellIs" dxfId="2769" priority="266" operator="equal">
      <formula>0</formula>
    </cfRule>
  </conditionalFormatting>
  <conditionalFormatting sqref="D205:R216">
    <cfRule type="expression" dxfId="2768" priority="267">
      <formula>LEN(TRIM(D205))=0</formula>
    </cfRule>
  </conditionalFormatting>
  <conditionalFormatting sqref="H197">
    <cfRule type="cellIs" dxfId="2767" priority="268" operator="equal">
      <formula>0</formula>
    </cfRule>
  </conditionalFormatting>
  <conditionalFormatting sqref="I197">
    <cfRule type="cellIs" dxfId="2766" priority="269" operator="equal">
      <formula>0</formula>
    </cfRule>
  </conditionalFormatting>
  <conditionalFormatting sqref="J197:K197">
    <cfRule type="cellIs" dxfId="2765" priority="270" operator="equal">
      <formula>0</formula>
    </cfRule>
  </conditionalFormatting>
  <conditionalFormatting sqref="K197">
    <cfRule type="cellIs" dxfId="2764" priority="271" operator="equal">
      <formula>0</formula>
    </cfRule>
  </conditionalFormatting>
  <conditionalFormatting sqref="H197:K197">
    <cfRule type="expression" dxfId="2763" priority="272">
      <formula>LEN(TRIM(H197))=0</formula>
    </cfRule>
  </conditionalFormatting>
  <conditionalFormatting sqref="N197:O197">
    <cfRule type="cellIs" dxfId="2762" priority="273" operator="equal">
      <formula>0</formula>
    </cfRule>
  </conditionalFormatting>
  <conditionalFormatting sqref="N197:O197">
    <cfRule type="cellIs" dxfId="2761" priority="274" operator="equal">
      <formula>0</formula>
    </cfRule>
  </conditionalFormatting>
  <conditionalFormatting sqref="N197:O197">
    <cfRule type="expression" dxfId="2760" priority="275">
      <formula>LEN(TRIM(N197))=0</formula>
    </cfRule>
  </conditionalFormatting>
  <conditionalFormatting sqref="J233:N233">
    <cfRule type="cellIs" dxfId="2759" priority="276" operator="equal">
      <formula>0</formula>
    </cfRule>
  </conditionalFormatting>
  <conditionalFormatting sqref="O233">
    <cfRule type="cellIs" dxfId="2758" priority="277" operator="equal">
      <formula>0</formula>
    </cfRule>
  </conditionalFormatting>
  <conditionalFormatting sqref="S264 S234:S262">
    <cfRule type="cellIs" dxfId="2757" priority="278" operator="equal">
      <formula>0</formula>
    </cfRule>
  </conditionalFormatting>
  <conditionalFormatting sqref="S263">
    <cfRule type="cellIs" dxfId="2756" priority="279" operator="equal">
      <formula>0</formula>
    </cfRule>
  </conditionalFormatting>
  <conditionalFormatting sqref="S256:S264 S234:S240 S242:S254">
    <cfRule type="expression" dxfId="2755" priority="280">
      <formula>LEN(TRIM(S234))=0</formula>
    </cfRule>
  </conditionalFormatting>
  <conditionalFormatting sqref="D264:R264 P255:R255 D255:I255 D256:R262 D254:R254 D235:R241 D234:G234 L234:M234 P234:R234">
    <cfRule type="cellIs" dxfId="2754" priority="281" operator="equal">
      <formula>0</formula>
    </cfRule>
  </conditionalFormatting>
  <conditionalFormatting sqref="P234:P236">
    <cfRule type="cellIs" dxfId="2753" priority="282" operator="equal">
      <formula>0</formula>
    </cfRule>
  </conditionalFormatting>
  <conditionalFormatting sqref="P234:R234 L234:M234 D235:R236">
    <cfRule type="cellIs" dxfId="2752" priority="283" operator="equal">
      <formula>0</formula>
    </cfRule>
  </conditionalFormatting>
  <conditionalFormatting sqref="F235:F236">
    <cfRule type="cellIs" dxfId="2751" priority="284" operator="equal">
      <formula>0</formula>
    </cfRule>
  </conditionalFormatting>
  <conditionalFormatting sqref="L234:M234">
    <cfRule type="cellIs" dxfId="2750" priority="285" operator="equal">
      <formula>0</formula>
    </cfRule>
  </conditionalFormatting>
  <conditionalFormatting sqref="J237:J239 J255">
    <cfRule type="cellIs" dxfId="2749" priority="286" operator="equal">
      <formula>0</formula>
    </cfRule>
  </conditionalFormatting>
  <conditionalFormatting sqref="J235:J236">
    <cfRule type="cellIs" dxfId="2748" priority="287" operator="equal">
      <formula>0</formula>
    </cfRule>
  </conditionalFormatting>
  <conditionalFormatting sqref="K237:K239 K255">
    <cfRule type="cellIs" dxfId="2747" priority="288" operator="equal">
      <formula>0</formula>
    </cfRule>
  </conditionalFormatting>
  <conditionalFormatting sqref="K235:K236">
    <cfRule type="cellIs" dxfId="2746" priority="289" operator="equal">
      <formula>0</formula>
    </cfRule>
  </conditionalFormatting>
  <conditionalFormatting sqref="L237:L239 L255">
    <cfRule type="cellIs" dxfId="2745" priority="290" operator="equal">
      <formula>0</formula>
    </cfRule>
  </conditionalFormatting>
  <conditionalFormatting sqref="L234:L236">
    <cfRule type="cellIs" dxfId="2744" priority="291" operator="equal">
      <formula>0</formula>
    </cfRule>
  </conditionalFormatting>
  <conditionalFormatting sqref="M237:M239 M255">
    <cfRule type="cellIs" dxfId="2743" priority="292" operator="equal">
      <formula>0</formula>
    </cfRule>
  </conditionalFormatting>
  <conditionalFormatting sqref="M234:M236">
    <cfRule type="cellIs" dxfId="2742" priority="293" operator="equal">
      <formula>0</formula>
    </cfRule>
  </conditionalFormatting>
  <conditionalFormatting sqref="N237:N239 N255">
    <cfRule type="cellIs" dxfId="2741" priority="294" operator="equal">
      <formula>0</formula>
    </cfRule>
  </conditionalFormatting>
  <conditionalFormatting sqref="N235:N236">
    <cfRule type="cellIs" dxfId="2740" priority="295" operator="equal">
      <formula>0</formula>
    </cfRule>
  </conditionalFormatting>
  <conditionalFormatting sqref="O237:O239 O255">
    <cfRule type="cellIs" dxfId="2739" priority="296" operator="equal">
      <formula>0</formula>
    </cfRule>
  </conditionalFormatting>
  <conditionalFormatting sqref="O235:O236">
    <cfRule type="cellIs" dxfId="2738" priority="297" operator="equal">
      <formula>0</formula>
    </cfRule>
  </conditionalFormatting>
  <conditionalFormatting sqref="D263:R263">
    <cfRule type="cellIs" dxfId="2737" priority="298" operator="equal">
      <formula>0</formula>
    </cfRule>
  </conditionalFormatting>
  <conditionalFormatting sqref="D256:R264 D254:R254 D235:R240 D234:G234 L234:M234 P234:R234">
    <cfRule type="expression" dxfId="2736" priority="299">
      <formula>LEN(TRIM(D234))=0</formula>
    </cfRule>
  </conditionalFormatting>
  <conditionalFormatting sqref="D263:R263">
    <cfRule type="cellIs" dxfId="2735" priority="300" operator="equal">
      <formula>0</formula>
    </cfRule>
  </conditionalFormatting>
  <conditionalFormatting sqref="L237:L238">
    <cfRule type="cellIs" dxfId="2734" priority="301" operator="equal">
      <formula>0</formula>
    </cfRule>
  </conditionalFormatting>
  <conditionalFormatting sqref="M237:M238">
    <cfRule type="cellIs" dxfId="2733" priority="302" operator="equal">
      <formula>0</formula>
    </cfRule>
  </conditionalFormatting>
  <conditionalFormatting sqref="N237:O237">
    <cfRule type="cellIs" dxfId="2732" priority="303" operator="equal">
      <formula>0</formula>
    </cfRule>
  </conditionalFormatting>
  <conditionalFormatting sqref="N238:O238">
    <cfRule type="cellIs" dxfId="2731" priority="304" operator="equal">
      <formula>0</formula>
    </cfRule>
  </conditionalFormatting>
  <conditionalFormatting sqref="D242:R253">
    <cfRule type="cellIs" dxfId="2730" priority="305" operator="equal">
      <formula>0</formula>
    </cfRule>
  </conditionalFormatting>
  <conditionalFormatting sqref="D242:R253">
    <cfRule type="expression" dxfId="2729" priority="306">
      <formula>LEN(TRIM(D242))=0</formula>
    </cfRule>
  </conditionalFormatting>
  <conditionalFormatting sqref="H234">
    <cfRule type="cellIs" dxfId="2728" priority="307" operator="equal">
      <formula>0</formula>
    </cfRule>
  </conditionalFormatting>
  <conditionalFormatting sqref="I234">
    <cfRule type="cellIs" dxfId="2727" priority="308" operator="equal">
      <formula>0</formula>
    </cfRule>
  </conditionalFormatting>
  <conditionalFormatting sqref="J234:K234">
    <cfRule type="cellIs" dxfId="2726" priority="309" operator="equal">
      <formula>0</formula>
    </cfRule>
  </conditionalFormatting>
  <conditionalFormatting sqref="K234">
    <cfRule type="cellIs" dxfId="2725" priority="310" operator="equal">
      <formula>0</formula>
    </cfRule>
  </conditionalFormatting>
  <conditionalFormatting sqref="H234:K234">
    <cfRule type="expression" dxfId="2724" priority="311">
      <formula>LEN(TRIM(H234))=0</formula>
    </cfRule>
  </conditionalFormatting>
  <conditionalFormatting sqref="N234:O234">
    <cfRule type="cellIs" dxfId="2723" priority="312" operator="equal">
      <formula>0</formula>
    </cfRule>
  </conditionalFormatting>
  <conditionalFormatting sqref="N234:O234">
    <cfRule type="cellIs" dxfId="2722" priority="313" operator="equal">
      <formula>0</formula>
    </cfRule>
  </conditionalFormatting>
  <conditionalFormatting sqref="N234:O234">
    <cfRule type="expression" dxfId="2721" priority="314">
      <formula>LEN(TRIM(N234))=0</formula>
    </cfRule>
  </conditionalFormatting>
  <conditionalFormatting sqref="J270:N270">
    <cfRule type="cellIs" dxfId="2720" priority="315" operator="equal">
      <formula>0</formula>
    </cfRule>
  </conditionalFormatting>
  <conditionalFormatting sqref="O270">
    <cfRule type="cellIs" dxfId="2719" priority="316" operator="equal">
      <formula>0</formula>
    </cfRule>
  </conditionalFormatting>
  <conditionalFormatting sqref="S301 S271:S273">
    <cfRule type="cellIs" dxfId="2718" priority="317" operator="equal">
      <formula>0</formula>
    </cfRule>
  </conditionalFormatting>
  <conditionalFormatting sqref="S300">
    <cfRule type="cellIs" dxfId="2717" priority="318" operator="equal">
      <formula>0</formula>
    </cfRule>
  </conditionalFormatting>
  <conditionalFormatting sqref="S293:S301 S271:S273 S276:S277">
    <cfRule type="expression" dxfId="2716" priority="319">
      <formula>LEN(TRIM(S271))=0</formula>
    </cfRule>
  </conditionalFormatting>
  <conditionalFormatting sqref="S274:S275">
    <cfRule type="cellIs" dxfId="2715" priority="320" operator="equal">
      <formula>0</formula>
    </cfRule>
  </conditionalFormatting>
  <conditionalFormatting sqref="S274:S275">
    <cfRule type="expression" dxfId="2714" priority="321">
      <formula>LEN(TRIM(S274))=0</formula>
    </cfRule>
  </conditionalFormatting>
  <conditionalFormatting sqref="S279:S290">
    <cfRule type="cellIs" dxfId="2713" priority="322" operator="equal">
      <formula>0</formula>
    </cfRule>
  </conditionalFormatting>
  <conditionalFormatting sqref="S279:S290">
    <cfRule type="expression" dxfId="2712" priority="323">
      <formula>LEN(TRIM(S279))=0</formula>
    </cfRule>
  </conditionalFormatting>
  <conditionalFormatting sqref="D301:R301 P292:R292 D292:I292 D293:R299 D291:R291 D272:R278 D271:G271 L271:M271 P271:R271">
    <cfRule type="cellIs" dxfId="2711" priority="324" operator="equal">
      <formula>0</formula>
    </cfRule>
  </conditionalFormatting>
  <conditionalFormatting sqref="P271:P273">
    <cfRule type="cellIs" dxfId="2710" priority="325" operator="equal">
      <formula>0</formula>
    </cfRule>
  </conditionalFormatting>
  <conditionalFormatting sqref="P271:R271 L271:M271 D272:R273">
    <cfRule type="cellIs" dxfId="2709" priority="326" operator="equal">
      <formula>0</formula>
    </cfRule>
  </conditionalFormatting>
  <conditionalFormatting sqref="F272:F273">
    <cfRule type="cellIs" dxfId="2708" priority="327" operator="equal">
      <formula>0</formula>
    </cfRule>
  </conditionalFormatting>
  <conditionalFormatting sqref="L271:M271">
    <cfRule type="cellIs" dxfId="2707" priority="328" operator="equal">
      <formula>0</formula>
    </cfRule>
  </conditionalFormatting>
  <conditionalFormatting sqref="J274:J276 J292">
    <cfRule type="cellIs" dxfId="2706" priority="329" operator="equal">
      <formula>0</formula>
    </cfRule>
  </conditionalFormatting>
  <conditionalFormatting sqref="J272:J273">
    <cfRule type="cellIs" dxfId="2705" priority="330" operator="equal">
      <formula>0</formula>
    </cfRule>
  </conditionalFormatting>
  <conditionalFormatting sqref="K274:K276 K292">
    <cfRule type="cellIs" dxfId="2704" priority="331" operator="equal">
      <formula>0</formula>
    </cfRule>
  </conditionalFormatting>
  <conditionalFormatting sqref="K272:K273">
    <cfRule type="cellIs" dxfId="2703" priority="332" operator="equal">
      <formula>0</formula>
    </cfRule>
  </conditionalFormatting>
  <conditionalFormatting sqref="L274:L276 L292">
    <cfRule type="cellIs" dxfId="2702" priority="333" operator="equal">
      <formula>0</formula>
    </cfRule>
  </conditionalFormatting>
  <conditionalFormatting sqref="L271:L273">
    <cfRule type="cellIs" dxfId="2701" priority="334" operator="equal">
      <formula>0</formula>
    </cfRule>
  </conditionalFormatting>
  <conditionalFormatting sqref="M274:M276 M292">
    <cfRule type="cellIs" dxfId="2700" priority="335" operator="equal">
      <formula>0</formula>
    </cfRule>
  </conditionalFormatting>
  <conditionalFormatting sqref="M271:M273">
    <cfRule type="cellIs" dxfId="2699" priority="336" operator="equal">
      <formula>0</formula>
    </cfRule>
  </conditionalFormatting>
  <conditionalFormatting sqref="N274:N276 N292">
    <cfRule type="cellIs" dxfId="2698" priority="337" operator="equal">
      <formula>0</formula>
    </cfRule>
  </conditionalFormatting>
  <conditionalFormatting sqref="N272:N273">
    <cfRule type="cellIs" dxfId="2697" priority="338" operator="equal">
      <formula>0</formula>
    </cfRule>
  </conditionalFormatting>
  <conditionalFormatting sqref="O274:O276 O292">
    <cfRule type="cellIs" dxfId="2696" priority="339" operator="equal">
      <formula>0</formula>
    </cfRule>
  </conditionalFormatting>
  <conditionalFormatting sqref="O272:O273">
    <cfRule type="cellIs" dxfId="2695" priority="340" operator="equal">
      <formula>0</formula>
    </cfRule>
  </conditionalFormatting>
  <conditionalFormatting sqref="D300:R300">
    <cfRule type="cellIs" dxfId="2694" priority="341" operator="equal">
      <formula>0</formula>
    </cfRule>
  </conditionalFormatting>
  <conditionalFormatting sqref="D293:R301 D291:R291 D272:R277 D271:G271 L271:M271 P271:R271">
    <cfRule type="expression" dxfId="2693" priority="342">
      <formula>LEN(TRIM(D271))=0</formula>
    </cfRule>
  </conditionalFormatting>
  <conditionalFormatting sqref="D300:R300">
    <cfRule type="cellIs" dxfId="2692" priority="343" operator="equal">
      <formula>0</formula>
    </cfRule>
  </conditionalFormatting>
  <conditionalFormatting sqref="L274:L275">
    <cfRule type="cellIs" dxfId="2691" priority="344" operator="equal">
      <formula>0</formula>
    </cfRule>
  </conditionalFormatting>
  <conditionalFormatting sqref="M274:M275">
    <cfRule type="cellIs" dxfId="2690" priority="345" operator="equal">
      <formula>0</formula>
    </cfRule>
  </conditionalFormatting>
  <conditionalFormatting sqref="N274:O274">
    <cfRule type="cellIs" dxfId="2689" priority="346" operator="equal">
      <formula>0</formula>
    </cfRule>
  </conditionalFormatting>
  <conditionalFormatting sqref="N275:O275">
    <cfRule type="cellIs" dxfId="2688" priority="347" operator="equal">
      <formula>0</formula>
    </cfRule>
  </conditionalFormatting>
  <conditionalFormatting sqref="D279:R290">
    <cfRule type="cellIs" dxfId="2687" priority="348" operator="equal">
      <formula>0</formula>
    </cfRule>
  </conditionalFormatting>
  <conditionalFormatting sqref="D279:R290">
    <cfRule type="expression" dxfId="2686" priority="349">
      <formula>LEN(TRIM(D279))=0</formula>
    </cfRule>
  </conditionalFormatting>
  <conditionalFormatting sqref="H271">
    <cfRule type="cellIs" dxfId="2685" priority="350" operator="equal">
      <formula>0</formula>
    </cfRule>
  </conditionalFormatting>
  <conditionalFormatting sqref="I271">
    <cfRule type="cellIs" dxfId="2684" priority="351" operator="equal">
      <formula>0</formula>
    </cfRule>
  </conditionalFormatting>
  <conditionalFormatting sqref="J271:K271">
    <cfRule type="cellIs" dxfId="2683" priority="352" operator="equal">
      <formula>0</formula>
    </cfRule>
  </conditionalFormatting>
  <conditionalFormatting sqref="K271">
    <cfRule type="cellIs" dxfId="2682" priority="353" operator="equal">
      <formula>0</formula>
    </cfRule>
  </conditionalFormatting>
  <conditionalFormatting sqref="H271:K271">
    <cfRule type="expression" dxfId="2681" priority="354">
      <formula>LEN(TRIM(H271))=0</formula>
    </cfRule>
  </conditionalFormatting>
  <conditionalFormatting sqref="N271:O271">
    <cfRule type="cellIs" dxfId="2680" priority="355" operator="equal">
      <formula>0</formula>
    </cfRule>
  </conditionalFormatting>
  <conditionalFormatting sqref="N271:O271">
    <cfRule type="cellIs" dxfId="2679" priority="356" operator="equal">
      <formula>0</formula>
    </cfRule>
  </conditionalFormatting>
  <conditionalFormatting sqref="N271:O271">
    <cfRule type="expression" dxfId="2678" priority="357">
      <formula>LEN(TRIM(N271))=0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AC4-F4B2-4613-85D7-79F3ECA66322}">
  <dimension ref="B2:T266"/>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88</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9.7691999999999997</v>
      </c>
      <c r="F12" s="421">
        <v>0</v>
      </c>
      <c r="G12" s="421">
        <v>0.18608</v>
      </c>
      <c r="H12" s="422">
        <v>1069.3939393939399</v>
      </c>
      <c r="I12" s="422">
        <v>194.6</v>
      </c>
      <c r="J12" s="422">
        <v>224.66743134970599</v>
      </c>
      <c r="K12" s="422">
        <v>37.278607013832001</v>
      </c>
      <c r="L12" s="421">
        <v>0</v>
      </c>
      <c r="M12" s="421">
        <v>0</v>
      </c>
      <c r="N12" s="422">
        <v>60.333738532710498</v>
      </c>
      <c r="O12" s="422">
        <v>9.1855201728338205</v>
      </c>
      <c r="P12" s="421">
        <v>0</v>
      </c>
      <c r="Q12" s="421">
        <v>0</v>
      </c>
      <c r="R12" s="421">
        <v>0</v>
      </c>
      <c r="S12" s="423">
        <v>1605.4145164630199</v>
      </c>
      <c r="T12" s="412"/>
    </row>
    <row r="13" spans="2:20" ht="13.5">
      <c r="B13" s="412"/>
      <c r="C13" s="420" t="s">
        <v>60</v>
      </c>
      <c r="D13" s="421">
        <v>12.9193471516563</v>
      </c>
      <c r="E13" s="421">
        <v>409.19758903168002</v>
      </c>
      <c r="F13" s="421">
        <v>133.03147421440801</v>
      </c>
      <c r="G13" s="421">
        <v>297.822425417403</v>
      </c>
      <c r="H13" s="421">
        <v>0</v>
      </c>
      <c r="I13" s="421">
        <v>0</v>
      </c>
      <c r="J13" s="421">
        <v>0</v>
      </c>
      <c r="K13" s="421">
        <v>0</v>
      </c>
      <c r="L13" s="421">
        <v>0</v>
      </c>
      <c r="M13" s="421">
        <v>0</v>
      </c>
      <c r="N13" s="421">
        <v>0</v>
      </c>
      <c r="O13" s="421">
        <v>0</v>
      </c>
      <c r="P13" s="421">
        <v>0</v>
      </c>
      <c r="Q13" s="421">
        <v>0</v>
      </c>
      <c r="R13" s="421">
        <v>0</v>
      </c>
      <c r="S13" s="423">
        <v>852.97083581514801</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-48.935732553446002</v>
      </c>
      <c r="Q14" s="421">
        <v>0</v>
      </c>
      <c r="R14" s="421">
        <v>0</v>
      </c>
      <c r="S14" s="423">
        <v>-48.935732553446002</v>
      </c>
      <c r="T14" s="412"/>
    </row>
    <row r="15" spans="2:20" ht="13.5">
      <c r="B15" s="412"/>
      <c r="C15" s="420" t="s">
        <v>62</v>
      </c>
      <c r="D15" s="421">
        <v>0</v>
      </c>
      <c r="E15" s="421">
        <v>0</v>
      </c>
      <c r="F15" s="421">
        <v>-16.1142804846369</v>
      </c>
      <c r="G15" s="421">
        <v>-5.6182842749223999E-2</v>
      </c>
      <c r="H15" s="421">
        <v>0</v>
      </c>
      <c r="I15" s="421">
        <v>0</v>
      </c>
      <c r="J15" s="421">
        <v>0</v>
      </c>
      <c r="K15" s="421">
        <v>0</v>
      </c>
      <c r="L15" s="421">
        <v>0</v>
      </c>
      <c r="M15" s="421">
        <v>-6.2425380832471103E-3</v>
      </c>
      <c r="N15" s="421">
        <v>0</v>
      </c>
      <c r="O15" s="421">
        <v>0</v>
      </c>
      <c r="P15" s="421">
        <v>0</v>
      </c>
      <c r="Q15" s="421">
        <v>0</v>
      </c>
      <c r="R15" s="421">
        <v>0</v>
      </c>
      <c r="S15" s="423">
        <v>-16.176705865469401</v>
      </c>
      <c r="T15" s="412"/>
    </row>
    <row r="16" spans="2:20" ht="13.5">
      <c r="B16" s="412"/>
      <c r="C16" s="420" t="s">
        <v>63</v>
      </c>
      <c r="D16" s="421">
        <v>0</v>
      </c>
      <c r="E16" s="421">
        <v>0</v>
      </c>
      <c r="F16" s="421">
        <v>-74.686327904220704</v>
      </c>
      <c r="G16" s="421">
        <v>0</v>
      </c>
      <c r="H16" s="421">
        <v>0</v>
      </c>
      <c r="I16" s="421">
        <v>0</v>
      </c>
      <c r="J16" s="421">
        <v>0</v>
      </c>
      <c r="K16" s="421">
        <v>0</v>
      </c>
      <c r="L16" s="421">
        <v>-4.14190380795604</v>
      </c>
      <c r="M16" s="421">
        <v>0</v>
      </c>
      <c r="N16" s="421">
        <v>0</v>
      </c>
      <c r="O16" s="421">
        <v>0</v>
      </c>
      <c r="P16" s="421">
        <v>0</v>
      </c>
      <c r="Q16" s="421">
        <v>0</v>
      </c>
      <c r="R16" s="421">
        <v>0</v>
      </c>
      <c r="S16" s="423">
        <v>-78.828231712176802</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12.9193471516563</v>
      </c>
      <c r="E18" s="425">
        <v>418.96678903167998</v>
      </c>
      <c r="F18" s="425">
        <v>42.230865825550602</v>
      </c>
      <c r="G18" s="425">
        <v>297.95232257465398</v>
      </c>
      <c r="H18" s="425">
        <v>1069.3939393939399</v>
      </c>
      <c r="I18" s="425">
        <v>194.6</v>
      </c>
      <c r="J18" s="425">
        <v>224.66743134970599</v>
      </c>
      <c r="K18" s="425">
        <v>37.278607013832001</v>
      </c>
      <c r="L18" s="425">
        <v>-4.14190380795604</v>
      </c>
      <c r="M18" s="425">
        <v>-6.2425380832471103E-3</v>
      </c>
      <c r="N18" s="425">
        <v>60.333738532710498</v>
      </c>
      <c r="O18" s="425">
        <v>9.1855201728338205</v>
      </c>
      <c r="P18" s="425">
        <v>-48.935732553446002</v>
      </c>
      <c r="Q18" s="425">
        <v>0</v>
      </c>
      <c r="R18" s="425">
        <v>0</v>
      </c>
      <c r="S18" s="425">
        <v>2314.4446821470801</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0</v>
      </c>
      <c r="E21" s="421">
        <v>0</v>
      </c>
      <c r="F21" s="421">
        <v>0</v>
      </c>
      <c r="G21" s="421">
        <v>45.490909090909099</v>
      </c>
      <c r="H21" s="421">
        <v>1069.3939393939399</v>
      </c>
      <c r="I21" s="421">
        <v>194.6</v>
      </c>
      <c r="J21" s="421">
        <v>21.1953851819035</v>
      </c>
      <c r="K21" s="421">
        <v>7.10523467058003</v>
      </c>
      <c r="L21" s="421">
        <v>0</v>
      </c>
      <c r="M21" s="421">
        <v>5.05454545454546</v>
      </c>
      <c r="N21" s="421">
        <v>0</v>
      </c>
      <c r="O21" s="421">
        <v>0</v>
      </c>
      <c r="P21" s="421">
        <v>-584.9</v>
      </c>
      <c r="Q21" s="421">
        <v>0</v>
      </c>
      <c r="R21" s="421">
        <v>0</v>
      </c>
      <c r="S21" s="429">
        <v>757.94001379187796</v>
      </c>
      <c r="T21" s="412"/>
    </row>
    <row r="22" spans="2:20" ht="13.5">
      <c r="B22" s="412"/>
      <c r="C22" s="428" t="s">
        <v>351</v>
      </c>
      <c r="D22" s="421">
        <v>0</v>
      </c>
      <c r="E22" s="421">
        <v>0</v>
      </c>
      <c r="F22" s="421">
        <v>0</v>
      </c>
      <c r="G22" s="421">
        <v>18.367871704671401</v>
      </c>
      <c r="H22" s="421">
        <v>0</v>
      </c>
      <c r="I22" s="421">
        <v>0</v>
      </c>
      <c r="J22" s="421">
        <v>26.005723960832299</v>
      </c>
      <c r="K22" s="421">
        <v>23.958493278557299</v>
      </c>
      <c r="L22" s="421">
        <v>0</v>
      </c>
      <c r="M22" s="421">
        <v>2.0408746338523698</v>
      </c>
      <c r="N22" s="421">
        <v>0</v>
      </c>
      <c r="O22" s="421">
        <v>5.8333443106277398</v>
      </c>
      <c r="P22" s="421">
        <v>0</v>
      </c>
      <c r="Q22" s="421">
        <v>-69.146331472283194</v>
      </c>
      <c r="R22" s="421">
        <v>0</v>
      </c>
      <c r="S22" s="429">
        <v>7.0599764162579399</v>
      </c>
      <c r="T22" s="412"/>
    </row>
    <row r="23" spans="2:20" ht="13.5">
      <c r="B23" s="412"/>
      <c r="C23" s="428" t="s">
        <v>352</v>
      </c>
      <c r="D23" s="421">
        <v>0</v>
      </c>
      <c r="E23" s="421">
        <v>0</v>
      </c>
      <c r="F23" s="421">
        <v>0</v>
      </c>
      <c r="G23" s="421">
        <v>0</v>
      </c>
      <c r="H23" s="421">
        <v>0</v>
      </c>
      <c r="I23" s="421">
        <v>0</v>
      </c>
      <c r="J23" s="421">
        <v>36.4293995794851</v>
      </c>
      <c r="K23" s="421">
        <v>0</v>
      </c>
      <c r="L23" s="421">
        <v>0</v>
      </c>
      <c r="M23" s="421">
        <v>-31.693577634152</v>
      </c>
      <c r="N23" s="421">
        <v>0</v>
      </c>
      <c r="O23" s="421">
        <v>0</v>
      </c>
      <c r="P23" s="421">
        <v>0</v>
      </c>
      <c r="Q23" s="421">
        <v>0</v>
      </c>
      <c r="R23" s="421">
        <v>0</v>
      </c>
      <c r="S23" s="429">
        <v>4.7358219453330603</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434.00506451720099</v>
      </c>
      <c r="F25" s="421">
        <v>-429.66501387202902</v>
      </c>
      <c r="G25" s="421">
        <v>0</v>
      </c>
      <c r="H25" s="421">
        <v>0</v>
      </c>
      <c r="I25" s="421">
        <v>0</v>
      </c>
      <c r="J25" s="421">
        <v>0</v>
      </c>
      <c r="K25" s="421">
        <v>0</v>
      </c>
      <c r="L25" s="421">
        <v>0</v>
      </c>
      <c r="M25" s="421">
        <v>0</v>
      </c>
      <c r="N25" s="421">
        <v>0</v>
      </c>
      <c r="O25" s="421">
        <v>0</v>
      </c>
      <c r="P25" s="421">
        <v>0</v>
      </c>
      <c r="Q25" s="421">
        <v>0</v>
      </c>
      <c r="R25" s="421">
        <v>0</v>
      </c>
      <c r="S25" s="429">
        <v>4.3400506451720302</v>
      </c>
      <c r="T25" s="412"/>
    </row>
    <row r="26" spans="2:20" ht="13.5">
      <c r="B26" s="412"/>
      <c r="C26" s="428" t="s">
        <v>354</v>
      </c>
      <c r="D26" s="421">
        <v>0</v>
      </c>
      <c r="E26" s="421">
        <v>0</v>
      </c>
      <c r="F26" s="421">
        <v>0</v>
      </c>
      <c r="G26" s="421">
        <v>0</v>
      </c>
      <c r="H26" s="421">
        <v>0</v>
      </c>
      <c r="I26" s="421">
        <v>0</v>
      </c>
      <c r="J26" s="421">
        <v>42.6442412976646</v>
      </c>
      <c r="K26" s="421">
        <v>0</v>
      </c>
      <c r="L26" s="421">
        <v>-42.6442412976646</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-5.01027091961934</v>
      </c>
      <c r="M27" s="421">
        <v>0</v>
      </c>
      <c r="N27" s="421">
        <v>0</v>
      </c>
      <c r="O27" s="421">
        <v>0</v>
      </c>
      <c r="P27" s="421">
        <v>0</v>
      </c>
      <c r="Q27" s="421">
        <v>0</v>
      </c>
      <c r="R27" s="421">
        <v>7.15752988517049</v>
      </c>
      <c r="S27" s="429">
        <v>2.14725896555115</v>
      </c>
      <c r="T27" s="412"/>
    </row>
    <row r="28" spans="2:20" ht="13.5">
      <c r="B28" s="412"/>
      <c r="C28" s="428" t="s">
        <v>73</v>
      </c>
      <c r="D28" s="421">
        <v>0</v>
      </c>
      <c r="E28" s="421">
        <v>0</v>
      </c>
      <c r="F28" s="421">
        <v>0</v>
      </c>
      <c r="G28" s="421">
        <v>7.3296795740695702</v>
      </c>
      <c r="H28" s="421">
        <v>0</v>
      </c>
      <c r="I28" s="421">
        <v>0</v>
      </c>
      <c r="J28" s="421">
        <v>0</v>
      </c>
      <c r="K28" s="421">
        <v>0.208822779888022</v>
      </c>
      <c r="L28" s="421">
        <v>0</v>
      </c>
      <c r="M28" s="421">
        <v>0.81440884156328497</v>
      </c>
      <c r="N28" s="421">
        <v>0</v>
      </c>
      <c r="O28" s="421">
        <v>0</v>
      </c>
      <c r="P28" s="421">
        <v>13.4931642389183</v>
      </c>
      <c r="Q28" s="421">
        <v>0</v>
      </c>
      <c r="R28" s="421">
        <v>-14.617594592161501</v>
      </c>
      <c r="S28" s="429">
        <v>7.2284808422776798</v>
      </c>
      <c r="T28" s="412"/>
    </row>
    <row r="29" spans="2:20" ht="13.5">
      <c r="B29" s="412"/>
      <c r="C29" s="428" t="s">
        <v>356</v>
      </c>
      <c r="D29" s="421">
        <v>5.4641713867187498</v>
      </c>
      <c r="E29" s="421">
        <v>-15.038275485521</v>
      </c>
      <c r="F29" s="421">
        <v>19.669176096265801</v>
      </c>
      <c r="G29" s="421">
        <v>0</v>
      </c>
      <c r="H29" s="421">
        <v>0</v>
      </c>
      <c r="I29" s="421">
        <v>0</v>
      </c>
      <c r="J29" s="421">
        <v>0</v>
      </c>
      <c r="K29" s="421">
        <v>0</v>
      </c>
      <c r="L29" s="421">
        <v>0</v>
      </c>
      <c r="M29" s="421">
        <v>0</v>
      </c>
      <c r="N29" s="421">
        <v>0</v>
      </c>
      <c r="O29" s="421">
        <v>0</v>
      </c>
      <c r="P29" s="421">
        <v>0</v>
      </c>
      <c r="Q29" s="421">
        <v>0</v>
      </c>
      <c r="R29" s="421">
        <v>0</v>
      </c>
      <c r="S29" s="429">
        <v>10.095071997463499</v>
      </c>
      <c r="T29" s="412"/>
    </row>
    <row r="30" spans="2:20" ht="13.5">
      <c r="B30" s="412"/>
      <c r="C30" s="428" t="s">
        <v>75</v>
      </c>
      <c r="D30" s="421">
        <v>5.6084375</v>
      </c>
      <c r="E30" s="421">
        <v>0</v>
      </c>
      <c r="F30" s="421">
        <v>19.145306286774801</v>
      </c>
      <c r="G30" s="421">
        <v>5.0171964416224499</v>
      </c>
      <c r="H30" s="421">
        <v>0</v>
      </c>
      <c r="I30" s="421">
        <v>0</v>
      </c>
      <c r="J30" s="421">
        <v>0</v>
      </c>
      <c r="K30" s="421">
        <v>0</v>
      </c>
      <c r="L30" s="421">
        <v>0</v>
      </c>
      <c r="M30" s="421">
        <v>0.55746627129138404</v>
      </c>
      <c r="N30" s="421">
        <v>0</v>
      </c>
      <c r="O30" s="421">
        <v>0</v>
      </c>
      <c r="P30" s="421">
        <v>31.035454545454499</v>
      </c>
      <c r="Q30" s="421">
        <v>0</v>
      </c>
      <c r="R30" s="421">
        <v>0</v>
      </c>
      <c r="S30" s="429">
        <v>61.363861045143203</v>
      </c>
      <c r="T30" s="412"/>
    </row>
    <row r="31" spans="2:20" ht="13.5">
      <c r="B31" s="412"/>
      <c r="C31" s="428" t="s">
        <v>76</v>
      </c>
      <c r="D31" s="421">
        <v>0</v>
      </c>
      <c r="E31" s="421">
        <v>0</v>
      </c>
      <c r="F31" s="421">
        <v>0</v>
      </c>
      <c r="G31" s="421">
        <v>3.38231856174745</v>
      </c>
      <c r="H31" s="421">
        <v>0</v>
      </c>
      <c r="I31" s="421">
        <v>0</v>
      </c>
      <c r="J31" s="421">
        <v>0</v>
      </c>
      <c r="K31" s="421">
        <v>0</v>
      </c>
      <c r="L31" s="421">
        <v>0</v>
      </c>
      <c r="M31" s="421">
        <v>0.37581317352749399</v>
      </c>
      <c r="N31" s="421">
        <v>0</v>
      </c>
      <c r="O31" s="421">
        <v>0</v>
      </c>
      <c r="P31" s="421">
        <v>41.075747181961198</v>
      </c>
      <c r="Q31" s="421">
        <v>5.3582028078153003</v>
      </c>
      <c r="R31" s="421">
        <v>0</v>
      </c>
      <c r="S31" s="429">
        <v>50.192081725051402</v>
      </c>
      <c r="T31" s="412"/>
    </row>
    <row r="32" spans="2:20" ht="13.5">
      <c r="B32" s="412"/>
      <c r="C32" s="424" t="s">
        <v>77</v>
      </c>
      <c r="D32" s="425">
        <v>11.0726088867188</v>
      </c>
      <c r="E32" s="425">
        <v>418.96678903167998</v>
      </c>
      <c r="F32" s="425">
        <v>-390.850531488988</v>
      </c>
      <c r="G32" s="425">
        <v>79.587975373019901</v>
      </c>
      <c r="H32" s="425">
        <v>1069.3939393939399</v>
      </c>
      <c r="I32" s="425">
        <v>194.6</v>
      </c>
      <c r="J32" s="425">
        <v>126.274750019886</v>
      </c>
      <c r="K32" s="425">
        <v>31.272550729025401</v>
      </c>
      <c r="L32" s="425">
        <v>-47.654512217284001</v>
      </c>
      <c r="M32" s="425">
        <v>-22.850469259372002</v>
      </c>
      <c r="N32" s="425">
        <v>0</v>
      </c>
      <c r="O32" s="425">
        <v>5.8333443106277398</v>
      </c>
      <c r="P32" s="425">
        <v>-499.29563403366598</v>
      </c>
      <c r="Q32" s="425">
        <v>-63.788128664467799</v>
      </c>
      <c r="R32" s="425">
        <v>-7.46006470699104</v>
      </c>
      <c r="S32" s="425">
        <v>905.10261737412702</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1.03859638261328</v>
      </c>
      <c r="E34" s="421">
        <v>0</v>
      </c>
      <c r="F34" s="421">
        <v>16.1500825446474</v>
      </c>
      <c r="G34" s="421">
        <v>83.563747634312705</v>
      </c>
      <c r="H34" s="421">
        <v>0</v>
      </c>
      <c r="I34" s="421">
        <v>0</v>
      </c>
      <c r="J34" s="421">
        <v>16.030232994230801</v>
      </c>
      <c r="K34" s="421">
        <v>6.0060562848066503</v>
      </c>
      <c r="L34" s="421">
        <v>1.13006109375</v>
      </c>
      <c r="M34" s="421">
        <v>9.2848608482569706</v>
      </c>
      <c r="N34" s="421">
        <v>0</v>
      </c>
      <c r="O34" s="421">
        <v>0</v>
      </c>
      <c r="P34" s="421">
        <v>129.219891687043</v>
      </c>
      <c r="Q34" s="421">
        <v>21.558357485670999</v>
      </c>
      <c r="R34" s="421">
        <v>4.7486479492187499</v>
      </c>
      <c r="S34" s="429">
        <v>288.73053490454998</v>
      </c>
      <c r="T34" s="412"/>
    </row>
    <row r="35" spans="2:20" ht="13.5">
      <c r="B35" s="412"/>
      <c r="C35" s="428" t="s">
        <v>79</v>
      </c>
      <c r="D35" s="421">
        <v>0</v>
      </c>
      <c r="E35" s="421">
        <v>0</v>
      </c>
      <c r="F35" s="421">
        <v>260.38152614699999</v>
      </c>
      <c r="G35" s="421">
        <v>13.227335330391099</v>
      </c>
      <c r="H35" s="421">
        <v>0</v>
      </c>
      <c r="I35" s="421">
        <v>0</v>
      </c>
      <c r="J35" s="421">
        <v>0</v>
      </c>
      <c r="K35" s="421">
        <v>0</v>
      </c>
      <c r="L35" s="421">
        <v>36.694869102590701</v>
      </c>
      <c r="M35" s="421">
        <v>1.4697039255990101</v>
      </c>
      <c r="N35" s="421">
        <v>0</v>
      </c>
      <c r="O35" s="421">
        <v>0</v>
      </c>
      <c r="P35" s="421">
        <v>34.263242158281798</v>
      </c>
      <c r="Q35" s="421">
        <v>0</v>
      </c>
      <c r="R35" s="421">
        <v>0.81877289536698405</v>
      </c>
      <c r="S35" s="429">
        <v>346.85544955923001</v>
      </c>
      <c r="T35" s="412"/>
    </row>
    <row r="36" spans="2:20" ht="13.5">
      <c r="B36" s="412"/>
      <c r="C36" s="428" t="s">
        <v>80</v>
      </c>
      <c r="D36" s="421">
        <v>0</v>
      </c>
      <c r="E36" s="421">
        <v>0</v>
      </c>
      <c r="F36" s="421">
        <v>2.13754421564302</v>
      </c>
      <c r="G36" s="421">
        <v>67.740322251067198</v>
      </c>
      <c r="H36" s="421">
        <v>0</v>
      </c>
      <c r="I36" s="421">
        <v>0</v>
      </c>
      <c r="J36" s="421">
        <v>73.053420010681904</v>
      </c>
      <c r="K36" s="421">
        <v>0</v>
      </c>
      <c r="L36" s="421">
        <v>0</v>
      </c>
      <c r="M36" s="421">
        <v>7.5267024723407996</v>
      </c>
      <c r="N36" s="421">
        <v>46.226951794574703</v>
      </c>
      <c r="O36" s="421">
        <v>0.96354458163837398</v>
      </c>
      <c r="P36" s="421">
        <v>157.585357886932</v>
      </c>
      <c r="Q36" s="421">
        <v>33.684325992585798</v>
      </c>
      <c r="R36" s="421">
        <v>0</v>
      </c>
      <c r="S36" s="429">
        <v>388.91816920546398</v>
      </c>
      <c r="T36" s="412"/>
    </row>
    <row r="37" spans="2:20" ht="13.5">
      <c r="B37" s="412"/>
      <c r="C37" s="428" t="s">
        <v>81</v>
      </c>
      <c r="D37" s="421">
        <v>0</v>
      </c>
      <c r="E37" s="421">
        <v>0</v>
      </c>
      <c r="F37" s="421">
        <v>3.4730330288595899</v>
      </c>
      <c r="G37" s="421">
        <v>38.938580924166203</v>
      </c>
      <c r="H37" s="421">
        <v>0</v>
      </c>
      <c r="I37" s="421">
        <v>0</v>
      </c>
      <c r="J37" s="421">
        <v>7.8602291254253398</v>
      </c>
      <c r="K37" s="421">
        <v>0</v>
      </c>
      <c r="L37" s="421">
        <v>0</v>
      </c>
      <c r="M37" s="421">
        <v>4.3265089915740296</v>
      </c>
      <c r="N37" s="421">
        <v>14.106786738135799</v>
      </c>
      <c r="O37" s="421">
        <v>1.76344671086954</v>
      </c>
      <c r="P37" s="421">
        <v>120.74944434573899</v>
      </c>
      <c r="Q37" s="421">
        <v>8.5454451862110297</v>
      </c>
      <c r="R37" s="421">
        <v>0</v>
      </c>
      <c r="S37" s="429">
        <v>199.76347505098099</v>
      </c>
      <c r="T37" s="412"/>
    </row>
    <row r="38" spans="2:20" ht="13.5">
      <c r="B38" s="412"/>
      <c r="C38" s="428" t="s">
        <v>82</v>
      </c>
      <c r="D38" s="421">
        <v>0</v>
      </c>
      <c r="E38" s="421">
        <v>0</v>
      </c>
      <c r="F38" s="421">
        <v>25.7144401275857</v>
      </c>
      <c r="G38" s="421">
        <v>2.1280543516616701</v>
      </c>
      <c r="H38" s="421">
        <v>0</v>
      </c>
      <c r="I38" s="421">
        <v>0</v>
      </c>
      <c r="J38" s="421">
        <v>1.4487991994827001</v>
      </c>
      <c r="K38" s="421">
        <v>0</v>
      </c>
      <c r="L38" s="421">
        <v>5.3355985499012704</v>
      </c>
      <c r="M38" s="421">
        <v>0.23645048351796299</v>
      </c>
      <c r="N38" s="421">
        <v>0</v>
      </c>
      <c r="O38" s="421">
        <v>0.62518456969816005</v>
      </c>
      <c r="P38" s="421">
        <v>7.74196540222413</v>
      </c>
      <c r="Q38" s="421">
        <v>0</v>
      </c>
      <c r="R38" s="421">
        <v>0.17366238047171101</v>
      </c>
      <c r="S38" s="429">
        <v>43.404155064543303</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0.8</v>
      </c>
      <c r="Q39" s="421">
        <v>0</v>
      </c>
      <c r="R39" s="421">
        <v>0</v>
      </c>
      <c r="S39" s="429">
        <v>0.8</v>
      </c>
      <c r="T39" s="412"/>
    </row>
    <row r="40" spans="2:20" ht="13.5">
      <c r="B40" s="412"/>
      <c r="C40" s="424" t="s">
        <v>83</v>
      </c>
      <c r="D40" s="425">
        <v>1.03859638261328</v>
      </c>
      <c r="E40" s="425">
        <v>0</v>
      </c>
      <c r="F40" s="425">
        <v>307.85662606373597</v>
      </c>
      <c r="G40" s="425">
        <v>205.59804049159899</v>
      </c>
      <c r="H40" s="425">
        <v>0</v>
      </c>
      <c r="I40" s="425">
        <v>0</v>
      </c>
      <c r="J40" s="425">
        <v>98.392681329820704</v>
      </c>
      <c r="K40" s="425">
        <v>6.0060562848066503</v>
      </c>
      <c r="L40" s="425">
        <v>43.160528746242001</v>
      </c>
      <c r="M40" s="425">
        <v>22.844226721288798</v>
      </c>
      <c r="N40" s="425">
        <v>60.333738532710498</v>
      </c>
      <c r="O40" s="425">
        <v>3.35217586220607</v>
      </c>
      <c r="P40" s="425">
        <v>450.35990148022</v>
      </c>
      <c r="Q40" s="425">
        <v>63.788128664467799</v>
      </c>
      <c r="R40" s="425">
        <v>5.74108322505744</v>
      </c>
      <c r="S40" s="425">
        <v>1268.47178378477</v>
      </c>
      <c r="T40" s="412"/>
    </row>
    <row r="41" spans="2:20" ht="13.5">
      <c r="B41" s="412"/>
      <c r="C41" s="420" t="s">
        <v>84</v>
      </c>
      <c r="D41" s="421">
        <v>0.80814188232421902</v>
      </c>
      <c r="E41" s="421">
        <v>0</v>
      </c>
      <c r="F41" s="421">
        <v>125.224771250803</v>
      </c>
      <c r="G41" s="421">
        <v>12.7663067100353</v>
      </c>
      <c r="H41" s="421">
        <v>0</v>
      </c>
      <c r="I41" s="421">
        <v>0</v>
      </c>
      <c r="J41" s="421">
        <v>0</v>
      </c>
      <c r="K41" s="421">
        <v>0</v>
      </c>
      <c r="L41" s="421">
        <v>0.35207966308593802</v>
      </c>
      <c r="M41" s="421">
        <v>0</v>
      </c>
      <c r="N41" s="421">
        <v>0</v>
      </c>
      <c r="O41" s="421">
        <v>0</v>
      </c>
      <c r="P41" s="421">
        <v>0</v>
      </c>
      <c r="Q41" s="421">
        <v>0</v>
      </c>
      <c r="R41" s="421">
        <v>1.71898148193359</v>
      </c>
      <c r="S41" s="429">
        <v>140.870280988182</v>
      </c>
      <c r="T41" s="412"/>
    </row>
    <row r="42" spans="2:20" ht="13.5">
      <c r="B42" s="412"/>
      <c r="C42" s="424" t="s">
        <v>85</v>
      </c>
      <c r="D42" s="425">
        <v>1.8467382649374999</v>
      </c>
      <c r="E42" s="425">
        <v>0</v>
      </c>
      <c r="F42" s="425">
        <v>433.081397314539</v>
      </c>
      <c r="G42" s="425">
        <v>218.36434720163399</v>
      </c>
      <c r="H42" s="425">
        <v>0</v>
      </c>
      <c r="I42" s="425">
        <v>0</v>
      </c>
      <c r="J42" s="425">
        <v>98.392681329820704</v>
      </c>
      <c r="K42" s="425">
        <v>6.0060562848066503</v>
      </c>
      <c r="L42" s="425">
        <v>43.512608409327903</v>
      </c>
      <c r="M42" s="425">
        <v>22.844226721288798</v>
      </c>
      <c r="N42" s="425">
        <v>60.333738532710498</v>
      </c>
      <c r="O42" s="425">
        <v>3.35217586220607</v>
      </c>
      <c r="P42" s="425">
        <v>450.35990148022</v>
      </c>
      <c r="Q42" s="425">
        <v>63.788128664467799</v>
      </c>
      <c r="R42" s="425">
        <v>7.46006470699104</v>
      </c>
      <c r="S42" s="425">
        <v>1409.3420647729499</v>
      </c>
      <c r="T42" s="412"/>
    </row>
    <row r="43" spans="2:20">
      <c r="B43" s="412"/>
      <c r="C43" s="412"/>
      <c r="D43" s="430">
        <f t="shared" ref="D43:S43" si="0">D42+D32-D18</f>
        <v>0</v>
      </c>
      <c r="E43" s="430">
        <f t="shared" si="0"/>
        <v>0</v>
      </c>
      <c r="F43" s="430">
        <f t="shared" si="0"/>
        <v>4.0500935938325711E-13</v>
      </c>
      <c r="G43" s="430">
        <f t="shared" si="0"/>
        <v>0</v>
      </c>
      <c r="H43" s="430">
        <f t="shared" si="0"/>
        <v>0</v>
      </c>
      <c r="I43" s="430">
        <f t="shared" si="0"/>
        <v>0</v>
      </c>
      <c r="J43" s="430">
        <f t="shared" si="0"/>
        <v>7.1054273576010019E-13</v>
      </c>
      <c r="K43" s="430">
        <f t="shared" si="0"/>
        <v>0</v>
      </c>
      <c r="L43" s="430">
        <f t="shared" si="0"/>
        <v>-5.773159728050814E-14</v>
      </c>
      <c r="M43" s="430">
        <f t="shared" si="0"/>
        <v>4.3924065773470744E-14</v>
      </c>
      <c r="N43" s="430">
        <f t="shared" si="0"/>
        <v>0</v>
      </c>
      <c r="O43" s="430">
        <f t="shared" si="0"/>
        <v>0</v>
      </c>
      <c r="P43" s="430">
        <f t="shared" si="0"/>
        <v>0</v>
      </c>
      <c r="Q43" s="430">
        <f t="shared" si="0"/>
        <v>0</v>
      </c>
      <c r="R43" s="430">
        <f t="shared" si="0"/>
        <v>0</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360</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7.3966799999999999</v>
      </c>
      <c r="F49" s="421">
        <v>0</v>
      </c>
      <c r="G49" s="421">
        <v>0.13025600000000001</v>
      </c>
      <c r="H49" s="422">
        <v>1024.3939393939399</v>
      </c>
      <c r="I49" s="422">
        <v>225.38</v>
      </c>
      <c r="J49" s="422">
        <v>249.411773964681</v>
      </c>
      <c r="K49" s="422">
        <v>38.123330465500104</v>
      </c>
      <c r="L49" s="421">
        <v>0</v>
      </c>
      <c r="M49" s="421">
        <v>0</v>
      </c>
      <c r="N49" s="422">
        <v>69.623642523263698</v>
      </c>
      <c r="O49" s="422">
        <v>11.4063956350667</v>
      </c>
      <c r="P49" s="421">
        <v>0</v>
      </c>
      <c r="Q49" s="421">
        <v>0</v>
      </c>
      <c r="R49" s="421">
        <v>0</v>
      </c>
      <c r="S49" s="423">
        <v>1625.8660179824501</v>
      </c>
      <c r="T49" s="412"/>
    </row>
    <row r="50" spans="2:20" ht="13.5">
      <c r="B50" s="412"/>
      <c r="C50" s="420" t="s">
        <v>60</v>
      </c>
      <c r="D50" s="421">
        <v>11.0699461599751</v>
      </c>
      <c r="E50" s="421">
        <v>365.76498082844302</v>
      </c>
      <c r="F50" s="421">
        <v>76.623972898719799</v>
      </c>
      <c r="G50" s="421">
        <v>256.70615603413501</v>
      </c>
      <c r="H50" s="421">
        <v>0</v>
      </c>
      <c r="I50" s="421">
        <v>0</v>
      </c>
      <c r="J50" s="421">
        <v>0</v>
      </c>
      <c r="K50" s="421">
        <v>0</v>
      </c>
      <c r="L50" s="421">
        <v>0</v>
      </c>
      <c r="M50" s="421">
        <v>0</v>
      </c>
      <c r="N50" s="421">
        <v>0</v>
      </c>
      <c r="O50" s="421">
        <v>0</v>
      </c>
      <c r="P50" s="421">
        <v>0</v>
      </c>
      <c r="Q50" s="421">
        <v>0</v>
      </c>
      <c r="R50" s="421">
        <v>0</v>
      </c>
      <c r="S50" s="423">
        <v>710.16505592127305</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-21.729292917443001</v>
      </c>
      <c r="Q51" s="421">
        <v>0</v>
      </c>
      <c r="R51" s="421">
        <v>0</v>
      </c>
      <c r="S51" s="423">
        <v>-21.729292917443001</v>
      </c>
      <c r="T51" s="412"/>
    </row>
    <row r="52" spans="2:20" ht="13.5">
      <c r="B52" s="412"/>
      <c r="C52" s="420" t="s">
        <v>62</v>
      </c>
      <c r="D52" s="421">
        <v>0</v>
      </c>
      <c r="E52" s="421">
        <v>0</v>
      </c>
      <c r="F52" s="421">
        <v>-14.2084330221338</v>
      </c>
      <c r="G52" s="421">
        <v>-0.95675088928507901</v>
      </c>
      <c r="H52" s="421">
        <v>0</v>
      </c>
      <c r="I52" s="421">
        <v>0</v>
      </c>
      <c r="J52" s="421">
        <v>0</v>
      </c>
      <c r="K52" s="421">
        <v>0</v>
      </c>
      <c r="L52" s="421">
        <v>0</v>
      </c>
      <c r="M52" s="421">
        <v>-0.167369559736603</v>
      </c>
      <c r="N52" s="421">
        <v>0</v>
      </c>
      <c r="O52" s="421">
        <v>0</v>
      </c>
      <c r="P52" s="421">
        <v>0</v>
      </c>
      <c r="Q52" s="421">
        <v>0</v>
      </c>
      <c r="R52" s="421">
        <v>0</v>
      </c>
      <c r="S52" s="423">
        <v>-15.332553471155499</v>
      </c>
      <c r="T52" s="412"/>
    </row>
    <row r="53" spans="2:20" ht="13.5">
      <c r="B53" s="412"/>
      <c r="C53" s="420" t="s">
        <v>63</v>
      </c>
      <c r="D53" s="421">
        <v>0</v>
      </c>
      <c r="E53" s="421">
        <v>0</v>
      </c>
      <c r="F53" s="421">
        <v>-66.313833146582994</v>
      </c>
      <c r="G53" s="421">
        <v>0</v>
      </c>
      <c r="H53" s="421">
        <v>0</v>
      </c>
      <c r="I53" s="421">
        <v>0</v>
      </c>
      <c r="J53" s="421">
        <v>0</v>
      </c>
      <c r="K53" s="421">
        <v>0</v>
      </c>
      <c r="L53" s="421">
        <v>-11.3748641642475</v>
      </c>
      <c r="M53" s="421">
        <v>0</v>
      </c>
      <c r="N53" s="421">
        <v>0</v>
      </c>
      <c r="O53" s="421">
        <v>0</v>
      </c>
      <c r="P53" s="421">
        <v>0</v>
      </c>
      <c r="Q53" s="421">
        <v>0</v>
      </c>
      <c r="R53" s="421">
        <v>0</v>
      </c>
      <c r="S53" s="423">
        <v>-77.688697310830506</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11.0699461599751</v>
      </c>
      <c r="E55" s="425">
        <v>373.16166082844302</v>
      </c>
      <c r="F55" s="425">
        <v>-3.8982932699969699</v>
      </c>
      <c r="G55" s="425">
        <v>255.87966114484999</v>
      </c>
      <c r="H55" s="425">
        <v>1024.3939393939399</v>
      </c>
      <c r="I55" s="425">
        <v>225.38</v>
      </c>
      <c r="J55" s="425">
        <v>249.411773964681</v>
      </c>
      <c r="K55" s="425">
        <v>38.123330465500104</v>
      </c>
      <c r="L55" s="425">
        <v>-11.3748641642475</v>
      </c>
      <c r="M55" s="425">
        <v>-0.167369559736603</v>
      </c>
      <c r="N55" s="425">
        <v>69.623642523263698</v>
      </c>
      <c r="O55" s="425">
        <v>11.4063956350667</v>
      </c>
      <c r="P55" s="425">
        <v>-21.729292917443001</v>
      </c>
      <c r="Q55" s="425">
        <v>0</v>
      </c>
      <c r="R55" s="425">
        <v>0</v>
      </c>
      <c r="S55" s="425">
        <v>2221.2805302042998</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32.755695067264597</v>
      </c>
      <c r="H58" s="421">
        <v>1024.3939393939399</v>
      </c>
      <c r="I58" s="421">
        <v>225.38</v>
      </c>
      <c r="J58" s="421">
        <v>19.8875173501633</v>
      </c>
      <c r="K58" s="421">
        <v>6.3668985415530699</v>
      </c>
      <c r="L58" s="421">
        <v>0</v>
      </c>
      <c r="M58" s="421">
        <v>4.8945291479820598</v>
      </c>
      <c r="N58" s="421">
        <v>0</v>
      </c>
      <c r="O58" s="421">
        <v>0</v>
      </c>
      <c r="P58" s="421">
        <v>-594.08000000000004</v>
      </c>
      <c r="Q58" s="421">
        <v>0</v>
      </c>
      <c r="R58" s="421">
        <v>1.425</v>
      </c>
      <c r="S58" s="429">
        <v>721.02357950090197</v>
      </c>
      <c r="T58" s="412"/>
    </row>
    <row r="59" spans="2:20" ht="13.5">
      <c r="B59" s="412"/>
      <c r="C59" s="428" t="s">
        <v>351</v>
      </c>
      <c r="D59" s="421">
        <v>0</v>
      </c>
      <c r="E59" s="421">
        <v>0</v>
      </c>
      <c r="F59" s="421">
        <v>0</v>
      </c>
      <c r="G59" s="421">
        <v>16.944127998060999</v>
      </c>
      <c r="H59" s="421">
        <v>0</v>
      </c>
      <c r="I59" s="421">
        <v>0</v>
      </c>
      <c r="J59" s="421">
        <v>27.801582142602999</v>
      </c>
      <c r="K59" s="421">
        <v>25.484218291937999</v>
      </c>
      <c r="L59" s="421">
        <v>0</v>
      </c>
      <c r="M59" s="421">
        <v>2.5318811951125699</v>
      </c>
      <c r="N59" s="421">
        <v>0</v>
      </c>
      <c r="O59" s="421">
        <v>7.47026455928955</v>
      </c>
      <c r="P59" s="421">
        <v>0</v>
      </c>
      <c r="Q59" s="421">
        <v>-73.132276024870606</v>
      </c>
      <c r="R59" s="421">
        <v>0</v>
      </c>
      <c r="S59" s="429">
        <v>7.09979816213355</v>
      </c>
      <c r="T59" s="412"/>
    </row>
    <row r="60" spans="2:20" ht="13.5">
      <c r="B60" s="412"/>
      <c r="C60" s="428" t="s">
        <v>352</v>
      </c>
      <c r="D60" s="421">
        <v>0</v>
      </c>
      <c r="E60" s="421">
        <v>0</v>
      </c>
      <c r="F60" s="421">
        <v>0</v>
      </c>
      <c r="G60" s="421">
        <v>0</v>
      </c>
      <c r="H60" s="421">
        <v>0</v>
      </c>
      <c r="I60" s="421">
        <v>0</v>
      </c>
      <c r="J60" s="421">
        <v>41.569838696258103</v>
      </c>
      <c r="K60" s="421">
        <v>0</v>
      </c>
      <c r="L60" s="421">
        <v>0</v>
      </c>
      <c r="M60" s="421">
        <v>-36.695775109121797</v>
      </c>
      <c r="N60" s="421">
        <v>0</v>
      </c>
      <c r="O60" s="421">
        <v>0</v>
      </c>
      <c r="P60" s="421">
        <v>0</v>
      </c>
      <c r="Q60" s="421">
        <v>0</v>
      </c>
      <c r="R60" s="421">
        <v>0</v>
      </c>
      <c r="S60" s="429">
        <v>4.8740635871362601</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386.55581999113599</v>
      </c>
      <c r="F62" s="421">
        <v>-382.69026179122397</v>
      </c>
      <c r="G62" s="421">
        <v>0</v>
      </c>
      <c r="H62" s="421">
        <v>0</v>
      </c>
      <c r="I62" s="421">
        <v>0</v>
      </c>
      <c r="J62" s="421">
        <v>0</v>
      </c>
      <c r="K62" s="421">
        <v>0</v>
      </c>
      <c r="L62" s="421">
        <v>0</v>
      </c>
      <c r="M62" s="421">
        <v>0</v>
      </c>
      <c r="N62" s="421">
        <v>0</v>
      </c>
      <c r="O62" s="421">
        <v>0</v>
      </c>
      <c r="P62" s="421">
        <v>0</v>
      </c>
      <c r="Q62" s="421">
        <v>0</v>
      </c>
      <c r="R62" s="421">
        <v>0</v>
      </c>
      <c r="S62" s="429">
        <v>3.8655581999113302</v>
      </c>
      <c r="T62" s="412"/>
    </row>
    <row r="63" spans="2:20" ht="13.5">
      <c r="B63" s="412"/>
      <c r="C63" s="428" t="s">
        <v>354</v>
      </c>
      <c r="D63" s="421">
        <v>0</v>
      </c>
      <c r="E63" s="421">
        <v>0</v>
      </c>
      <c r="F63" s="421">
        <v>0</v>
      </c>
      <c r="G63" s="421">
        <v>0</v>
      </c>
      <c r="H63" s="421">
        <v>0</v>
      </c>
      <c r="I63" s="421">
        <v>0</v>
      </c>
      <c r="J63" s="421">
        <v>59.787730212494701</v>
      </c>
      <c r="K63" s="421">
        <v>0</v>
      </c>
      <c r="L63" s="421">
        <v>-59.787730212494701</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-11.848147131187501</v>
      </c>
      <c r="M64" s="421">
        <v>0</v>
      </c>
      <c r="N64" s="421">
        <v>0</v>
      </c>
      <c r="O64" s="421">
        <v>0</v>
      </c>
      <c r="P64" s="421">
        <v>0</v>
      </c>
      <c r="Q64" s="421">
        <v>0</v>
      </c>
      <c r="R64" s="421">
        <v>16.925924473125001</v>
      </c>
      <c r="S64" s="429">
        <v>5.0777773419374901</v>
      </c>
      <c r="T64" s="412"/>
    </row>
    <row r="65" spans="2:20" ht="13.5">
      <c r="B65" s="412"/>
      <c r="C65" s="428" t="s">
        <v>73</v>
      </c>
      <c r="D65" s="421">
        <v>0</v>
      </c>
      <c r="E65" s="421">
        <v>0</v>
      </c>
      <c r="F65" s="421">
        <v>0</v>
      </c>
      <c r="G65" s="421">
        <v>12.6235241576865</v>
      </c>
      <c r="H65" s="421">
        <v>0</v>
      </c>
      <c r="I65" s="421">
        <v>0</v>
      </c>
      <c r="J65" s="421">
        <v>0</v>
      </c>
      <c r="K65" s="421">
        <v>0.435729666138086</v>
      </c>
      <c r="L65" s="421">
        <v>0</v>
      </c>
      <c r="M65" s="421">
        <v>1.88627372471178</v>
      </c>
      <c r="N65" s="421">
        <v>0</v>
      </c>
      <c r="O65" s="421">
        <v>0</v>
      </c>
      <c r="P65" s="421">
        <v>30.339450939728401</v>
      </c>
      <c r="Q65" s="421">
        <v>0</v>
      </c>
      <c r="R65" s="421">
        <v>-30.501076629665999</v>
      </c>
      <c r="S65" s="429">
        <v>14.7839018585987</v>
      </c>
      <c r="T65" s="412"/>
    </row>
    <row r="66" spans="2:20" ht="13.5">
      <c r="B66" s="412"/>
      <c r="C66" s="428" t="s">
        <v>356</v>
      </c>
      <c r="D66" s="421">
        <v>4.3307530517578101</v>
      </c>
      <c r="E66" s="421">
        <v>-13.394159162692899</v>
      </c>
      <c r="F66" s="421">
        <v>17.5187690560711</v>
      </c>
      <c r="G66" s="421">
        <v>0</v>
      </c>
      <c r="H66" s="421">
        <v>0</v>
      </c>
      <c r="I66" s="421">
        <v>0</v>
      </c>
      <c r="J66" s="421">
        <v>0</v>
      </c>
      <c r="K66" s="421">
        <v>0</v>
      </c>
      <c r="L66" s="421">
        <v>0</v>
      </c>
      <c r="M66" s="421">
        <v>0</v>
      </c>
      <c r="N66" s="421">
        <v>0</v>
      </c>
      <c r="O66" s="421">
        <v>0</v>
      </c>
      <c r="P66" s="421">
        <v>0</v>
      </c>
      <c r="Q66" s="421">
        <v>0</v>
      </c>
      <c r="R66" s="421">
        <v>0</v>
      </c>
      <c r="S66" s="429">
        <v>8.4553629451360095</v>
      </c>
      <c r="T66" s="412"/>
    </row>
    <row r="67" spans="2:20" ht="13.5">
      <c r="B67" s="412"/>
      <c r="C67" s="428" t="s">
        <v>75</v>
      </c>
      <c r="D67" s="421">
        <v>4.9205957031249996</v>
      </c>
      <c r="E67" s="421">
        <v>0</v>
      </c>
      <c r="F67" s="421">
        <v>18.729068543758601</v>
      </c>
      <c r="G67" s="421">
        <v>4.7445137460997797</v>
      </c>
      <c r="H67" s="421">
        <v>0</v>
      </c>
      <c r="I67" s="421">
        <v>0</v>
      </c>
      <c r="J67" s="421">
        <v>0</v>
      </c>
      <c r="K67" s="421">
        <v>0</v>
      </c>
      <c r="L67" s="421">
        <v>0</v>
      </c>
      <c r="M67" s="421">
        <v>0.70895032987697904</v>
      </c>
      <c r="N67" s="421">
        <v>0</v>
      </c>
      <c r="O67" s="421">
        <v>0</v>
      </c>
      <c r="P67" s="421">
        <v>32.617954545454502</v>
      </c>
      <c r="Q67" s="421">
        <v>0</v>
      </c>
      <c r="R67" s="421">
        <v>0</v>
      </c>
      <c r="S67" s="429">
        <v>61.721082868314902</v>
      </c>
      <c r="T67" s="412"/>
    </row>
    <row r="68" spans="2:20" ht="13.5">
      <c r="B68" s="412"/>
      <c r="C68" s="428" t="s">
        <v>76</v>
      </c>
      <c r="D68" s="421">
        <v>0</v>
      </c>
      <c r="E68" s="421">
        <v>0</v>
      </c>
      <c r="F68" s="421">
        <v>0</v>
      </c>
      <c r="G68" s="421">
        <v>2.9120089095411301</v>
      </c>
      <c r="H68" s="421">
        <v>0</v>
      </c>
      <c r="I68" s="421">
        <v>0</v>
      </c>
      <c r="J68" s="421">
        <v>0</v>
      </c>
      <c r="K68" s="421">
        <v>0</v>
      </c>
      <c r="L68" s="421">
        <v>0</v>
      </c>
      <c r="M68" s="421">
        <v>0.43512776809235298</v>
      </c>
      <c r="N68" s="421">
        <v>0</v>
      </c>
      <c r="O68" s="421">
        <v>0</v>
      </c>
      <c r="P68" s="421">
        <v>43.864366286105501</v>
      </c>
      <c r="Q68" s="421">
        <v>5.66707673993462</v>
      </c>
      <c r="R68" s="421">
        <v>0</v>
      </c>
      <c r="S68" s="429">
        <v>52.878579703673601</v>
      </c>
      <c r="T68" s="412"/>
    </row>
    <row r="69" spans="2:20" ht="13.5">
      <c r="B69" s="412"/>
      <c r="C69" s="424" t="s">
        <v>77</v>
      </c>
      <c r="D69" s="425">
        <v>9.2513487548828106</v>
      </c>
      <c r="E69" s="425">
        <v>373.16166082844302</v>
      </c>
      <c r="F69" s="425">
        <v>-346.44242419139499</v>
      </c>
      <c r="G69" s="425">
        <v>69.979869878653005</v>
      </c>
      <c r="H69" s="425">
        <v>1024.3939393939399</v>
      </c>
      <c r="I69" s="425">
        <v>225.38</v>
      </c>
      <c r="J69" s="425">
        <v>149.04666840151901</v>
      </c>
      <c r="K69" s="425">
        <v>32.2868464996291</v>
      </c>
      <c r="L69" s="425">
        <v>-71.635877343682196</v>
      </c>
      <c r="M69" s="425">
        <v>-26.239012943346101</v>
      </c>
      <c r="N69" s="425">
        <v>0</v>
      </c>
      <c r="O69" s="425">
        <v>7.47026455928955</v>
      </c>
      <c r="P69" s="425">
        <v>-487.25822822871203</v>
      </c>
      <c r="Q69" s="425">
        <v>-67.465199284936006</v>
      </c>
      <c r="R69" s="425">
        <v>-12.1501521565411</v>
      </c>
      <c r="S69" s="425">
        <v>879.77970416774394</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1.16328553009227</v>
      </c>
      <c r="E71" s="421">
        <v>0</v>
      </c>
      <c r="F71" s="421">
        <v>13.8112344502171</v>
      </c>
      <c r="G71" s="421">
        <v>75.974004401831806</v>
      </c>
      <c r="H71" s="421">
        <v>0</v>
      </c>
      <c r="I71" s="421">
        <v>0</v>
      </c>
      <c r="J71" s="421">
        <v>15.6078294644963</v>
      </c>
      <c r="K71" s="421">
        <v>5.8364839658710004</v>
      </c>
      <c r="L71" s="421">
        <v>1.8190377949218799</v>
      </c>
      <c r="M71" s="421">
        <v>11.352437439354199</v>
      </c>
      <c r="N71" s="421">
        <v>0</v>
      </c>
      <c r="O71" s="421">
        <v>0</v>
      </c>
      <c r="P71" s="421">
        <v>131.71593128381801</v>
      </c>
      <c r="Q71" s="421">
        <v>22.303652442230799</v>
      </c>
      <c r="R71" s="421">
        <v>5.3802006835937499</v>
      </c>
      <c r="S71" s="429">
        <v>284.964097456427</v>
      </c>
      <c r="T71" s="412"/>
    </row>
    <row r="72" spans="2:20" ht="13.5">
      <c r="B72" s="412"/>
      <c r="C72" s="428" t="s">
        <v>79</v>
      </c>
      <c r="D72" s="421">
        <v>0</v>
      </c>
      <c r="E72" s="421">
        <v>0</v>
      </c>
      <c r="F72" s="421">
        <v>189.87862112859401</v>
      </c>
      <c r="G72" s="421">
        <v>16.64955020583</v>
      </c>
      <c r="H72" s="421">
        <v>0</v>
      </c>
      <c r="I72" s="421">
        <v>0</v>
      </c>
      <c r="J72" s="421">
        <v>0</v>
      </c>
      <c r="K72" s="421">
        <v>0</v>
      </c>
      <c r="L72" s="421">
        <v>44.405791664587298</v>
      </c>
      <c r="M72" s="421">
        <v>2.5923432302996501</v>
      </c>
      <c r="N72" s="421">
        <v>0</v>
      </c>
      <c r="O72" s="421">
        <v>0</v>
      </c>
      <c r="P72" s="421">
        <v>49.821959604820101</v>
      </c>
      <c r="Q72" s="421">
        <v>0</v>
      </c>
      <c r="R72" s="421">
        <v>1.5849058336758</v>
      </c>
      <c r="S72" s="429">
        <v>304.93317166780702</v>
      </c>
      <c r="T72" s="412"/>
    </row>
    <row r="73" spans="2:20" ht="13.5">
      <c r="B73" s="412"/>
      <c r="C73" s="428" t="s">
        <v>80</v>
      </c>
      <c r="D73" s="421">
        <v>0</v>
      </c>
      <c r="E73" s="421">
        <v>0</v>
      </c>
      <c r="F73" s="421">
        <v>1.42606261735715</v>
      </c>
      <c r="G73" s="421">
        <v>47.453363010823402</v>
      </c>
      <c r="H73" s="421">
        <v>0</v>
      </c>
      <c r="I73" s="421">
        <v>0</v>
      </c>
      <c r="J73" s="421">
        <v>75.037621036530098</v>
      </c>
      <c r="K73" s="421">
        <v>0</v>
      </c>
      <c r="L73" s="421">
        <v>0</v>
      </c>
      <c r="M73" s="421">
        <v>7.0907324039161397</v>
      </c>
      <c r="N73" s="421">
        <v>55.372520536787299</v>
      </c>
      <c r="O73" s="421">
        <v>1.39422233549626</v>
      </c>
      <c r="P73" s="421">
        <v>156.615027079708</v>
      </c>
      <c r="Q73" s="421">
        <v>35.653708400257798</v>
      </c>
      <c r="R73" s="421">
        <v>0</v>
      </c>
      <c r="S73" s="429">
        <v>380.04325742087599</v>
      </c>
      <c r="T73" s="412"/>
    </row>
    <row r="74" spans="2:20" ht="13.5">
      <c r="B74" s="412"/>
      <c r="C74" s="428" t="s">
        <v>81</v>
      </c>
      <c r="D74" s="421">
        <v>0</v>
      </c>
      <c r="E74" s="421">
        <v>0</v>
      </c>
      <c r="F74" s="421">
        <v>2.6552662898972801</v>
      </c>
      <c r="G74" s="421">
        <v>32.546671207199999</v>
      </c>
      <c r="H74" s="421">
        <v>0</v>
      </c>
      <c r="I74" s="421">
        <v>0</v>
      </c>
      <c r="J74" s="421">
        <v>7.6606579921523004</v>
      </c>
      <c r="K74" s="421">
        <v>0</v>
      </c>
      <c r="L74" s="421">
        <v>0</v>
      </c>
      <c r="M74" s="421">
        <v>4.8632956976275903</v>
      </c>
      <c r="N74" s="421">
        <v>14.2511219864764</v>
      </c>
      <c r="O74" s="421">
        <v>1.71409342707066</v>
      </c>
      <c r="P74" s="421">
        <v>118.721330344538</v>
      </c>
      <c r="Q74" s="421">
        <v>9.5078384424472908</v>
      </c>
      <c r="R74" s="421">
        <v>0</v>
      </c>
      <c r="S74" s="429">
        <v>191.92027538740899</v>
      </c>
      <c r="T74" s="412"/>
    </row>
    <row r="75" spans="2:20" ht="13.5">
      <c r="B75" s="412"/>
      <c r="C75" s="428" t="s">
        <v>82</v>
      </c>
      <c r="D75" s="421">
        <v>0</v>
      </c>
      <c r="E75" s="421">
        <v>0</v>
      </c>
      <c r="F75" s="421">
        <v>20.984802440298498</v>
      </c>
      <c r="G75" s="421">
        <v>1.90707745937911</v>
      </c>
      <c r="H75" s="421">
        <v>0</v>
      </c>
      <c r="I75" s="421">
        <v>0</v>
      </c>
      <c r="J75" s="421">
        <v>2.05899706998358</v>
      </c>
      <c r="K75" s="421">
        <v>0</v>
      </c>
      <c r="L75" s="421">
        <v>7.9300402287146001</v>
      </c>
      <c r="M75" s="421">
        <v>0.28496559737848798</v>
      </c>
      <c r="N75" s="421">
        <v>0</v>
      </c>
      <c r="O75" s="421">
        <v>0.82781531321025903</v>
      </c>
      <c r="P75" s="421">
        <v>7.3746869983845702</v>
      </c>
      <c r="Q75" s="421">
        <v>0</v>
      </c>
      <c r="R75" s="421">
        <v>0.21911019493558401</v>
      </c>
      <c r="S75" s="429">
        <v>41.587495302284701</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1.28</v>
      </c>
      <c r="Q76" s="421">
        <v>0</v>
      </c>
      <c r="R76" s="421">
        <v>0</v>
      </c>
      <c r="S76" s="429">
        <v>1.28</v>
      </c>
      <c r="T76" s="412"/>
    </row>
    <row r="77" spans="2:20" ht="13.5">
      <c r="B77" s="412"/>
      <c r="C77" s="424" t="s">
        <v>83</v>
      </c>
      <c r="D77" s="425">
        <v>1.16328553009227</v>
      </c>
      <c r="E77" s="425">
        <v>0</v>
      </c>
      <c r="F77" s="425">
        <v>228.75598692636399</v>
      </c>
      <c r="G77" s="425">
        <v>174.530666285064</v>
      </c>
      <c r="H77" s="425">
        <v>0</v>
      </c>
      <c r="I77" s="425">
        <v>0</v>
      </c>
      <c r="J77" s="425">
        <v>100.365105563162</v>
      </c>
      <c r="K77" s="425">
        <v>5.8364839658710004</v>
      </c>
      <c r="L77" s="425">
        <v>54.154869688223798</v>
      </c>
      <c r="M77" s="425">
        <v>26.183774368576</v>
      </c>
      <c r="N77" s="425">
        <v>69.623642523263698</v>
      </c>
      <c r="O77" s="425">
        <v>3.9361310757771801</v>
      </c>
      <c r="P77" s="425">
        <v>465.52893531126898</v>
      </c>
      <c r="Q77" s="425">
        <v>67.465199284936006</v>
      </c>
      <c r="R77" s="425">
        <v>7.1842167122051297</v>
      </c>
      <c r="S77" s="425">
        <v>1204.7282972348</v>
      </c>
      <c r="T77" s="412"/>
    </row>
    <row r="78" spans="2:20" ht="13.5">
      <c r="B78" s="412"/>
      <c r="C78" s="420" t="s">
        <v>84</v>
      </c>
      <c r="D78" s="421">
        <v>0.65531187499999999</v>
      </c>
      <c r="E78" s="421">
        <v>0</v>
      </c>
      <c r="F78" s="421">
        <v>113.78814399503401</v>
      </c>
      <c r="G78" s="421">
        <v>11.2569939961659</v>
      </c>
      <c r="H78" s="421">
        <v>0</v>
      </c>
      <c r="I78" s="421">
        <v>0</v>
      </c>
      <c r="J78" s="421">
        <v>0</v>
      </c>
      <c r="K78" s="421">
        <v>0</v>
      </c>
      <c r="L78" s="421">
        <v>6.1061434912109398</v>
      </c>
      <c r="M78" s="421">
        <v>0</v>
      </c>
      <c r="N78" s="421">
        <v>0</v>
      </c>
      <c r="O78" s="421">
        <v>0</v>
      </c>
      <c r="P78" s="421">
        <v>0</v>
      </c>
      <c r="Q78" s="421">
        <v>0</v>
      </c>
      <c r="R78" s="421">
        <v>4.9659354443359396</v>
      </c>
      <c r="S78" s="429">
        <v>136.772528801747</v>
      </c>
      <c r="T78" s="412"/>
    </row>
    <row r="79" spans="2:20" ht="13.5">
      <c r="B79" s="412"/>
      <c r="C79" s="424" t="s">
        <v>85</v>
      </c>
      <c r="D79" s="425">
        <v>1.81859740509227</v>
      </c>
      <c r="E79" s="425">
        <v>0</v>
      </c>
      <c r="F79" s="425">
        <v>342.54413092139799</v>
      </c>
      <c r="G79" s="425">
        <v>185.78766028122999</v>
      </c>
      <c r="H79" s="425">
        <v>0</v>
      </c>
      <c r="I79" s="425">
        <v>0</v>
      </c>
      <c r="J79" s="425">
        <v>100.365105563162</v>
      </c>
      <c r="K79" s="425">
        <v>5.8364839658710004</v>
      </c>
      <c r="L79" s="425">
        <v>60.261013179434698</v>
      </c>
      <c r="M79" s="425">
        <v>26.183774368576</v>
      </c>
      <c r="N79" s="425">
        <v>69.623642523263698</v>
      </c>
      <c r="O79" s="425">
        <v>3.9361310757771801</v>
      </c>
      <c r="P79" s="425">
        <v>465.52893531126898</v>
      </c>
      <c r="Q79" s="425">
        <v>67.465199284936006</v>
      </c>
      <c r="R79" s="425">
        <v>12.1501521565411</v>
      </c>
      <c r="S79" s="425">
        <v>1341.5008260365501</v>
      </c>
      <c r="T79" s="412"/>
    </row>
    <row r="80" spans="2:20">
      <c r="B80" s="412"/>
      <c r="C80" s="412"/>
      <c r="D80" s="430">
        <f t="shared" ref="D80:S80" si="1">D79+D69-D55</f>
        <v>-1.9539925233402755E-14</v>
      </c>
      <c r="E80" s="430">
        <f t="shared" si="1"/>
        <v>0</v>
      </c>
      <c r="F80" s="430">
        <f t="shared" si="1"/>
        <v>-2.7977620220553945E-14</v>
      </c>
      <c r="G80" s="430">
        <f t="shared" si="1"/>
        <v>-0.11213098496699558</v>
      </c>
      <c r="H80" s="430">
        <f t="shared" si="1"/>
        <v>0</v>
      </c>
      <c r="I80" s="430">
        <f t="shared" si="1"/>
        <v>0</v>
      </c>
      <c r="J80" s="430">
        <f t="shared" si="1"/>
        <v>0</v>
      </c>
      <c r="K80" s="430">
        <f t="shared" si="1"/>
        <v>0</v>
      </c>
      <c r="L80" s="430">
        <f t="shared" si="1"/>
        <v>0</v>
      </c>
      <c r="M80" s="430">
        <f t="shared" si="1"/>
        <v>0.11213098496650203</v>
      </c>
      <c r="N80" s="430">
        <f t="shared" si="1"/>
        <v>0</v>
      </c>
      <c r="O80" s="430">
        <f t="shared" si="1"/>
        <v>3.0198066269804258E-14</v>
      </c>
      <c r="P80" s="430">
        <f t="shared" si="1"/>
        <v>-4.6185277824406512E-14</v>
      </c>
      <c r="Q80" s="430">
        <f t="shared" si="1"/>
        <v>0</v>
      </c>
      <c r="R80" s="430">
        <f t="shared" si="1"/>
        <v>0</v>
      </c>
      <c r="S80" s="430">
        <f t="shared" si="1"/>
        <v>-5.9117155615240335E-12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361</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5.8150000000000004</v>
      </c>
      <c r="F86" s="421">
        <v>0</v>
      </c>
      <c r="G86" s="421">
        <v>9.3039999999999998E-2</v>
      </c>
      <c r="H86" s="422">
        <v>994.39393939393995</v>
      </c>
      <c r="I86" s="422">
        <v>245.9</v>
      </c>
      <c r="J86" s="422">
        <v>264.74542837362799</v>
      </c>
      <c r="K86" s="422">
        <v>38.681123219215998</v>
      </c>
      <c r="L86" s="421">
        <v>0</v>
      </c>
      <c r="M86" s="421">
        <v>0</v>
      </c>
      <c r="N86" s="422">
        <v>76.035944637668194</v>
      </c>
      <c r="O86" s="422">
        <v>12.9897242601147</v>
      </c>
      <c r="P86" s="421">
        <v>0</v>
      </c>
      <c r="Q86" s="421">
        <v>0</v>
      </c>
      <c r="R86" s="421">
        <v>0</v>
      </c>
      <c r="S86" s="423">
        <v>1638.6541998845701</v>
      </c>
      <c r="T86" s="412"/>
    </row>
    <row r="87" spans="2:20" ht="13.5">
      <c r="B87" s="412"/>
      <c r="C87" s="420" t="s">
        <v>60</v>
      </c>
      <c r="D87" s="421">
        <v>9.9184003265082108</v>
      </c>
      <c r="E87" s="421">
        <v>336.80990869295198</v>
      </c>
      <c r="F87" s="421">
        <v>39.622058745499999</v>
      </c>
      <c r="G87" s="421">
        <v>228.981754766043</v>
      </c>
      <c r="H87" s="421">
        <v>0</v>
      </c>
      <c r="I87" s="421">
        <v>0</v>
      </c>
      <c r="J87" s="421">
        <v>0</v>
      </c>
      <c r="K87" s="421">
        <v>0</v>
      </c>
      <c r="L87" s="421">
        <v>0</v>
      </c>
      <c r="M87" s="421">
        <v>0</v>
      </c>
      <c r="N87" s="421">
        <v>0</v>
      </c>
      <c r="O87" s="421">
        <v>0</v>
      </c>
      <c r="P87" s="421">
        <v>0</v>
      </c>
      <c r="Q87" s="421">
        <v>0</v>
      </c>
      <c r="R87" s="421">
        <v>0</v>
      </c>
      <c r="S87" s="423">
        <v>615.33212253100305</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-3.4250745408713801</v>
      </c>
      <c r="Q88" s="421">
        <v>0</v>
      </c>
      <c r="R88" s="421">
        <v>0</v>
      </c>
      <c r="S88" s="423">
        <v>-3.4250745408713801</v>
      </c>
      <c r="T88" s="412"/>
    </row>
    <row r="89" spans="2:20" ht="13.5">
      <c r="B89" s="412"/>
      <c r="C89" s="420" t="s">
        <v>62</v>
      </c>
      <c r="D89" s="421">
        <v>0</v>
      </c>
      <c r="E89" s="421">
        <v>0</v>
      </c>
      <c r="F89" s="421">
        <v>-12.937868047131699</v>
      </c>
      <c r="G89" s="421">
        <v>-1.5571295869756501</v>
      </c>
      <c r="H89" s="421">
        <v>0</v>
      </c>
      <c r="I89" s="421">
        <v>0</v>
      </c>
      <c r="J89" s="421">
        <v>0</v>
      </c>
      <c r="K89" s="421">
        <v>0</v>
      </c>
      <c r="L89" s="421">
        <v>0</v>
      </c>
      <c r="M89" s="421">
        <v>-0.27478757417217298</v>
      </c>
      <c r="N89" s="421">
        <v>0</v>
      </c>
      <c r="O89" s="421">
        <v>0</v>
      </c>
      <c r="P89" s="421">
        <v>0</v>
      </c>
      <c r="Q89" s="421">
        <v>0</v>
      </c>
      <c r="R89" s="421">
        <v>0</v>
      </c>
      <c r="S89" s="423">
        <v>-14.7697852082796</v>
      </c>
      <c r="T89" s="412"/>
    </row>
    <row r="90" spans="2:20" ht="13.5">
      <c r="B90" s="412"/>
      <c r="C90" s="420" t="s">
        <v>63</v>
      </c>
      <c r="D90" s="421">
        <v>0</v>
      </c>
      <c r="E90" s="421">
        <v>0</v>
      </c>
      <c r="F90" s="421">
        <v>-61.179449557820497</v>
      </c>
      <c r="G90" s="421">
        <v>0</v>
      </c>
      <c r="H90" s="421">
        <v>0</v>
      </c>
      <c r="I90" s="421">
        <v>0</v>
      </c>
      <c r="J90" s="421">
        <v>0</v>
      </c>
      <c r="K90" s="421">
        <v>0</v>
      </c>
      <c r="L90" s="421">
        <v>-16.1518358617665</v>
      </c>
      <c r="M90" s="421">
        <v>0</v>
      </c>
      <c r="N90" s="421">
        <v>0</v>
      </c>
      <c r="O90" s="421">
        <v>0</v>
      </c>
      <c r="P90" s="421">
        <v>0</v>
      </c>
      <c r="Q90" s="421">
        <v>0</v>
      </c>
      <c r="R90" s="421">
        <v>-0.14322207633848999</v>
      </c>
      <c r="S90" s="423">
        <v>-77.474507495925394</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9.9184003265082108</v>
      </c>
      <c r="E92" s="425">
        <v>342.62490869295198</v>
      </c>
      <c r="F92" s="425">
        <v>-34.4952588594522</v>
      </c>
      <c r="G92" s="425">
        <v>227.51766517906799</v>
      </c>
      <c r="H92" s="425">
        <v>994.39393939393995</v>
      </c>
      <c r="I92" s="425">
        <v>245.9</v>
      </c>
      <c r="J92" s="425">
        <v>264.74542837362799</v>
      </c>
      <c r="K92" s="425">
        <v>38.681123219215998</v>
      </c>
      <c r="L92" s="425">
        <v>-16.1518358617665</v>
      </c>
      <c r="M92" s="425">
        <v>-0.27478757417217298</v>
      </c>
      <c r="N92" s="425">
        <v>76.035944637668194</v>
      </c>
      <c r="O92" s="425">
        <v>12.9897242601147</v>
      </c>
      <c r="P92" s="425">
        <v>-3.4250745408713801</v>
      </c>
      <c r="Q92" s="425">
        <v>0</v>
      </c>
      <c r="R92" s="425">
        <v>-0.14322207633848999</v>
      </c>
      <c r="S92" s="425">
        <v>2158.31695517049</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24.857777777777802</v>
      </c>
      <c r="H95" s="421">
        <v>994.39393939393904</v>
      </c>
      <c r="I95" s="421">
        <v>245.9</v>
      </c>
      <c r="J95" s="421">
        <v>19.077680006004599</v>
      </c>
      <c r="K95" s="421">
        <v>5.91268147655415</v>
      </c>
      <c r="L95" s="421">
        <v>0</v>
      </c>
      <c r="M95" s="421">
        <v>4.3866666666666703</v>
      </c>
      <c r="N95" s="421">
        <v>0</v>
      </c>
      <c r="O95" s="421">
        <v>0</v>
      </c>
      <c r="P95" s="421">
        <v>-600.20000000000005</v>
      </c>
      <c r="Q95" s="421">
        <v>0</v>
      </c>
      <c r="R95" s="421">
        <v>2.375</v>
      </c>
      <c r="S95" s="429">
        <v>696.70374532094297</v>
      </c>
      <c r="T95" s="412"/>
    </row>
    <row r="96" spans="2:20" ht="13.5">
      <c r="B96" s="412"/>
      <c r="C96" s="428" t="s">
        <v>351</v>
      </c>
      <c r="D96" s="421">
        <v>0</v>
      </c>
      <c r="E96" s="421">
        <v>0</v>
      </c>
      <c r="F96" s="421">
        <v>0</v>
      </c>
      <c r="G96" s="421">
        <v>15.8957878644364</v>
      </c>
      <c r="H96" s="421">
        <v>0</v>
      </c>
      <c r="I96" s="421">
        <v>0</v>
      </c>
      <c r="J96" s="421">
        <v>29.009686446350699</v>
      </c>
      <c r="K96" s="421">
        <v>26.492019019171298</v>
      </c>
      <c r="L96" s="421">
        <v>0</v>
      </c>
      <c r="M96" s="421">
        <v>2.8051390349005398</v>
      </c>
      <c r="N96" s="421">
        <v>0</v>
      </c>
      <c r="O96" s="421">
        <v>8.6642897086234303</v>
      </c>
      <c r="P96" s="421">
        <v>0</v>
      </c>
      <c r="Q96" s="421">
        <v>-75.764237599145602</v>
      </c>
      <c r="R96" s="421">
        <v>0</v>
      </c>
      <c r="S96" s="429">
        <v>7.1026844743368098</v>
      </c>
      <c r="T96" s="412"/>
    </row>
    <row r="97" spans="2:20" ht="13.5">
      <c r="B97" s="412"/>
      <c r="C97" s="428" t="s">
        <v>352</v>
      </c>
      <c r="D97" s="421">
        <v>0</v>
      </c>
      <c r="E97" s="421">
        <v>0</v>
      </c>
      <c r="F97" s="421">
        <v>0</v>
      </c>
      <c r="G97" s="421">
        <v>0</v>
      </c>
      <c r="H97" s="421">
        <v>0</v>
      </c>
      <c r="I97" s="421">
        <v>0</v>
      </c>
      <c r="J97" s="421">
        <v>43.323904788910497</v>
      </c>
      <c r="K97" s="421">
        <v>0</v>
      </c>
      <c r="L97" s="421">
        <v>0</v>
      </c>
      <c r="M97" s="421">
        <v>-38.612430143116498</v>
      </c>
      <c r="N97" s="421">
        <v>0</v>
      </c>
      <c r="O97" s="421">
        <v>0</v>
      </c>
      <c r="P97" s="421">
        <v>0</v>
      </c>
      <c r="Q97" s="421">
        <v>0</v>
      </c>
      <c r="R97" s="421">
        <v>0</v>
      </c>
      <c r="S97" s="429">
        <v>4.71147464579402</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354.92299030709302</v>
      </c>
      <c r="F99" s="421">
        <v>-351.37376040402199</v>
      </c>
      <c r="G99" s="421">
        <v>0</v>
      </c>
      <c r="H99" s="421">
        <v>0</v>
      </c>
      <c r="I99" s="421">
        <v>0</v>
      </c>
      <c r="J99" s="421">
        <v>0</v>
      </c>
      <c r="K99" s="421">
        <v>0</v>
      </c>
      <c r="L99" s="421">
        <v>0</v>
      </c>
      <c r="M99" s="421">
        <v>0</v>
      </c>
      <c r="N99" s="421">
        <v>0</v>
      </c>
      <c r="O99" s="421">
        <v>0</v>
      </c>
      <c r="P99" s="421">
        <v>0</v>
      </c>
      <c r="Q99" s="421">
        <v>0</v>
      </c>
      <c r="R99" s="421">
        <v>0</v>
      </c>
      <c r="S99" s="429">
        <v>3.54922990307091</v>
      </c>
      <c r="T99" s="412"/>
    </row>
    <row r="100" spans="2:20" ht="13.5">
      <c r="B100" s="412"/>
      <c r="C100" s="428" t="s">
        <v>354</v>
      </c>
      <c r="D100" s="421">
        <v>0</v>
      </c>
      <c r="E100" s="421">
        <v>0</v>
      </c>
      <c r="F100" s="421">
        <v>0</v>
      </c>
      <c r="G100" s="421">
        <v>0</v>
      </c>
      <c r="H100" s="421">
        <v>0</v>
      </c>
      <c r="I100" s="421">
        <v>0</v>
      </c>
      <c r="J100" s="421">
        <v>71.6348751715379</v>
      </c>
      <c r="K100" s="421">
        <v>0</v>
      </c>
      <c r="L100" s="421">
        <v>-71.6348751715379</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-15.7927133896962</v>
      </c>
      <c r="M101" s="421">
        <v>0</v>
      </c>
      <c r="N101" s="421">
        <v>0</v>
      </c>
      <c r="O101" s="421">
        <v>0</v>
      </c>
      <c r="P101" s="421">
        <v>0</v>
      </c>
      <c r="Q101" s="421">
        <v>0</v>
      </c>
      <c r="R101" s="421">
        <v>22.561019128137399</v>
      </c>
      <c r="S101" s="429">
        <v>6.7683057384412297</v>
      </c>
      <c r="T101" s="412"/>
    </row>
    <row r="102" spans="2:20" ht="13.5">
      <c r="B102" s="412"/>
      <c r="C102" s="428" t="s">
        <v>73</v>
      </c>
      <c r="D102" s="421">
        <v>0</v>
      </c>
      <c r="E102" s="421">
        <v>0</v>
      </c>
      <c r="F102" s="421">
        <v>0</v>
      </c>
      <c r="G102" s="421">
        <v>14.420213484885</v>
      </c>
      <c r="H102" s="421">
        <v>0</v>
      </c>
      <c r="I102" s="421">
        <v>0</v>
      </c>
      <c r="J102" s="421">
        <v>0</v>
      </c>
      <c r="K102" s="421">
        <v>0.57508328952682097</v>
      </c>
      <c r="L102" s="421">
        <v>0</v>
      </c>
      <c r="M102" s="421">
        <v>2.5447435561561802</v>
      </c>
      <c r="N102" s="421">
        <v>0</v>
      </c>
      <c r="O102" s="421">
        <v>0</v>
      </c>
      <c r="P102" s="421">
        <v>41.914310165512902</v>
      </c>
      <c r="Q102" s="421">
        <v>0</v>
      </c>
      <c r="R102" s="421">
        <v>-40.255830266877503</v>
      </c>
      <c r="S102" s="429">
        <v>19.198520229203499</v>
      </c>
      <c r="T102" s="412"/>
    </row>
    <row r="103" spans="2:20" ht="13.5">
      <c r="B103" s="412"/>
      <c r="C103" s="428" t="s">
        <v>356</v>
      </c>
      <c r="D103" s="421">
        <v>3.6632235107421902</v>
      </c>
      <c r="E103" s="421">
        <v>-12.2980816141408</v>
      </c>
      <c r="F103" s="421">
        <v>16.085164362607902</v>
      </c>
      <c r="G103" s="421">
        <v>0</v>
      </c>
      <c r="H103" s="421">
        <v>0</v>
      </c>
      <c r="I103" s="421">
        <v>0</v>
      </c>
      <c r="J103" s="421">
        <v>0</v>
      </c>
      <c r="K103" s="421">
        <v>0</v>
      </c>
      <c r="L103" s="421">
        <v>0</v>
      </c>
      <c r="M103" s="421">
        <v>0</v>
      </c>
      <c r="N103" s="421">
        <v>0</v>
      </c>
      <c r="O103" s="421">
        <v>0</v>
      </c>
      <c r="P103" s="421">
        <v>0</v>
      </c>
      <c r="Q103" s="421">
        <v>0</v>
      </c>
      <c r="R103" s="421">
        <v>0</v>
      </c>
      <c r="S103" s="429">
        <v>7.4503062592093503</v>
      </c>
      <c r="T103" s="412"/>
    </row>
    <row r="104" spans="2:20" ht="13.5">
      <c r="B104" s="412"/>
      <c r="C104" s="428" t="s">
        <v>75</v>
      </c>
      <c r="D104" s="421">
        <v>4.4693862304687499</v>
      </c>
      <c r="E104" s="421">
        <v>0</v>
      </c>
      <c r="F104" s="421">
        <v>18.451576715081099</v>
      </c>
      <c r="G104" s="421">
        <v>4.5667652369825698</v>
      </c>
      <c r="H104" s="421">
        <v>0</v>
      </c>
      <c r="I104" s="421">
        <v>0</v>
      </c>
      <c r="J104" s="421">
        <v>0</v>
      </c>
      <c r="K104" s="421">
        <v>0</v>
      </c>
      <c r="L104" s="421">
        <v>0</v>
      </c>
      <c r="M104" s="421">
        <v>0.80589974770280703</v>
      </c>
      <c r="N104" s="421">
        <v>0</v>
      </c>
      <c r="O104" s="421">
        <v>0</v>
      </c>
      <c r="P104" s="421">
        <v>33.672954545454502</v>
      </c>
      <c r="Q104" s="421">
        <v>0</v>
      </c>
      <c r="R104" s="421">
        <v>0</v>
      </c>
      <c r="S104" s="429">
        <v>61.966582475689798</v>
      </c>
      <c r="T104" s="412"/>
    </row>
    <row r="105" spans="2:20" ht="13.5">
      <c r="B105" s="412"/>
      <c r="C105" s="428" t="s">
        <v>76</v>
      </c>
      <c r="D105" s="421">
        <v>0</v>
      </c>
      <c r="E105" s="421">
        <v>0</v>
      </c>
      <c r="F105" s="421">
        <v>0</v>
      </c>
      <c r="G105" s="421">
        <v>2.59451111633589</v>
      </c>
      <c r="H105" s="421">
        <v>0</v>
      </c>
      <c r="I105" s="421">
        <v>0</v>
      </c>
      <c r="J105" s="421">
        <v>0</v>
      </c>
      <c r="K105" s="421">
        <v>0</v>
      </c>
      <c r="L105" s="421">
        <v>0</v>
      </c>
      <c r="M105" s="421">
        <v>0.457854902882804</v>
      </c>
      <c r="N105" s="421">
        <v>0</v>
      </c>
      <c r="O105" s="421">
        <v>0</v>
      </c>
      <c r="P105" s="421">
        <v>45.736213123829799</v>
      </c>
      <c r="Q105" s="421">
        <v>5.8710294818526103</v>
      </c>
      <c r="R105" s="421">
        <v>0</v>
      </c>
      <c r="S105" s="429">
        <v>54.659608624901097</v>
      </c>
      <c r="T105" s="412"/>
    </row>
    <row r="106" spans="2:20" ht="13.5">
      <c r="B106" s="412"/>
      <c r="C106" s="424" t="s">
        <v>77</v>
      </c>
      <c r="D106" s="425">
        <v>8.1326097412109402</v>
      </c>
      <c r="E106" s="425">
        <v>342.62490869295198</v>
      </c>
      <c r="F106" s="425">
        <v>-316.83701932633301</v>
      </c>
      <c r="G106" s="425">
        <v>62.335055480417701</v>
      </c>
      <c r="H106" s="425">
        <v>994.39393939393995</v>
      </c>
      <c r="I106" s="425">
        <v>245.9</v>
      </c>
      <c r="J106" s="425">
        <v>163.04614641280401</v>
      </c>
      <c r="K106" s="425">
        <v>32.979783785252302</v>
      </c>
      <c r="L106" s="425">
        <v>-87.427588561234103</v>
      </c>
      <c r="M106" s="425">
        <v>-27.612126234807501</v>
      </c>
      <c r="N106" s="425">
        <v>0</v>
      </c>
      <c r="O106" s="425">
        <v>8.6642897086234303</v>
      </c>
      <c r="P106" s="425">
        <v>-478.87652216520303</v>
      </c>
      <c r="Q106" s="425">
        <v>-69.893208117293</v>
      </c>
      <c r="R106" s="425">
        <v>-15.3198111387401</v>
      </c>
      <c r="S106" s="425">
        <v>862.11045767158896</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1.22322682797306</v>
      </c>
      <c r="E108" s="421">
        <v>0</v>
      </c>
      <c r="F108" s="421">
        <v>12.3232605440811</v>
      </c>
      <c r="G108" s="421">
        <v>71.153898442538505</v>
      </c>
      <c r="H108" s="421">
        <v>0</v>
      </c>
      <c r="I108" s="421">
        <v>0</v>
      </c>
      <c r="J108" s="421">
        <v>15.298292037520801</v>
      </c>
      <c r="K108" s="421">
        <v>5.70133943396368</v>
      </c>
      <c r="L108" s="421">
        <v>2.2588896484375001</v>
      </c>
      <c r="M108" s="421">
        <v>12.5565703133891</v>
      </c>
      <c r="N108" s="421">
        <v>0</v>
      </c>
      <c r="O108" s="421">
        <v>0</v>
      </c>
      <c r="P108" s="421">
        <v>133.21901148131599</v>
      </c>
      <c r="Q108" s="421">
        <v>22.777144165315601</v>
      </c>
      <c r="R108" s="421">
        <v>5.7972734375000003</v>
      </c>
      <c r="S108" s="429">
        <v>282.30890633203597</v>
      </c>
      <c r="T108" s="412"/>
    </row>
    <row r="109" spans="2:20" ht="13.5">
      <c r="B109" s="412"/>
      <c r="C109" s="428" t="s">
        <v>79</v>
      </c>
      <c r="D109" s="421">
        <v>0</v>
      </c>
      <c r="E109" s="421">
        <v>0</v>
      </c>
      <c r="F109" s="421">
        <v>142.87668444965701</v>
      </c>
      <c r="G109" s="421">
        <v>18.931026789455998</v>
      </c>
      <c r="H109" s="421">
        <v>0</v>
      </c>
      <c r="I109" s="421">
        <v>0</v>
      </c>
      <c r="J109" s="421">
        <v>0</v>
      </c>
      <c r="K109" s="421">
        <v>0</v>
      </c>
      <c r="L109" s="421">
        <v>49.5464067059184</v>
      </c>
      <c r="M109" s="421">
        <v>3.3407694334334099</v>
      </c>
      <c r="N109" s="421">
        <v>0</v>
      </c>
      <c r="O109" s="421">
        <v>0</v>
      </c>
      <c r="P109" s="421">
        <v>60.194437902512199</v>
      </c>
      <c r="Q109" s="421">
        <v>0</v>
      </c>
      <c r="R109" s="421">
        <v>2.09566112588168</v>
      </c>
      <c r="S109" s="429">
        <v>276.98498640685898</v>
      </c>
      <c r="T109" s="412"/>
    </row>
    <row r="110" spans="2:20" ht="13.5">
      <c r="B110" s="412"/>
      <c r="C110" s="428" t="s">
        <v>80</v>
      </c>
      <c r="D110" s="421">
        <v>0</v>
      </c>
      <c r="E110" s="421">
        <v>0</v>
      </c>
      <c r="F110" s="421">
        <v>0.95174155183324205</v>
      </c>
      <c r="G110" s="421">
        <v>34.619487827616503</v>
      </c>
      <c r="H110" s="421">
        <v>0</v>
      </c>
      <c r="I110" s="421">
        <v>0</v>
      </c>
      <c r="J110" s="421">
        <v>76.360421720428903</v>
      </c>
      <c r="K110" s="421">
        <v>0</v>
      </c>
      <c r="L110" s="421">
        <v>0</v>
      </c>
      <c r="M110" s="421">
        <v>6.1093213813440803</v>
      </c>
      <c r="N110" s="421">
        <v>61.688599152298004</v>
      </c>
      <c r="O110" s="421">
        <v>1.68134083806818</v>
      </c>
      <c r="P110" s="421">
        <v>155.96813987489199</v>
      </c>
      <c r="Q110" s="421">
        <v>36.966630005372501</v>
      </c>
      <c r="R110" s="421">
        <v>0</v>
      </c>
      <c r="S110" s="429">
        <v>374.34568235185299</v>
      </c>
      <c r="T110" s="412"/>
    </row>
    <row r="111" spans="2:20" ht="13.5">
      <c r="B111" s="412"/>
      <c r="C111" s="428" t="s">
        <v>81</v>
      </c>
      <c r="D111" s="421">
        <v>0</v>
      </c>
      <c r="E111" s="421">
        <v>0</v>
      </c>
      <c r="F111" s="421">
        <v>2.11008846392241</v>
      </c>
      <c r="G111" s="421">
        <v>28.4805688295863</v>
      </c>
      <c r="H111" s="421">
        <v>0</v>
      </c>
      <c r="I111" s="421">
        <v>0</v>
      </c>
      <c r="J111" s="421">
        <v>7.5276105699702702</v>
      </c>
      <c r="K111" s="421">
        <v>0</v>
      </c>
      <c r="L111" s="421">
        <v>0</v>
      </c>
      <c r="M111" s="421">
        <v>5.0259827346328798</v>
      </c>
      <c r="N111" s="421">
        <v>14.3473454853701</v>
      </c>
      <c r="O111" s="421">
        <v>1.68119123787141</v>
      </c>
      <c r="P111" s="421">
        <v>117.369254343737</v>
      </c>
      <c r="Q111" s="421">
        <v>10.1494339466048</v>
      </c>
      <c r="R111" s="421">
        <v>0</v>
      </c>
      <c r="S111" s="429">
        <v>186.69147561169501</v>
      </c>
      <c r="T111" s="412"/>
    </row>
    <row r="112" spans="2:20" ht="13.5">
      <c r="B112" s="412"/>
      <c r="C112" s="428" t="s">
        <v>82</v>
      </c>
      <c r="D112" s="421">
        <v>0</v>
      </c>
      <c r="E112" s="421">
        <v>0</v>
      </c>
      <c r="F112" s="421">
        <v>17.601103552872999</v>
      </c>
      <c r="G112" s="421">
        <v>1.72660385440275</v>
      </c>
      <c r="H112" s="421">
        <v>0</v>
      </c>
      <c r="I112" s="421">
        <v>0</v>
      </c>
      <c r="J112" s="421">
        <v>2.5129576329044099</v>
      </c>
      <c r="K112" s="421">
        <v>0</v>
      </c>
      <c r="L112" s="421">
        <v>9.7844973088568903</v>
      </c>
      <c r="M112" s="421">
        <v>0.30469479783577902</v>
      </c>
      <c r="N112" s="421">
        <v>0</v>
      </c>
      <c r="O112" s="421">
        <v>0.96290247555165798</v>
      </c>
      <c r="P112" s="421">
        <v>7.1006040218742701</v>
      </c>
      <c r="Q112" s="421">
        <v>0</v>
      </c>
      <c r="R112" s="421">
        <v>0.24940873791150001</v>
      </c>
      <c r="S112" s="429">
        <v>40.242772382210298</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1.6</v>
      </c>
      <c r="Q113" s="421">
        <v>0</v>
      </c>
      <c r="R113" s="421">
        <v>0</v>
      </c>
      <c r="S113" s="429">
        <v>1.6</v>
      </c>
      <c r="T113" s="412"/>
    </row>
    <row r="114" spans="2:20" ht="13.5">
      <c r="B114" s="412"/>
      <c r="C114" s="424" t="s">
        <v>83</v>
      </c>
      <c r="D114" s="425">
        <v>1.22322682797306</v>
      </c>
      <c r="E114" s="425">
        <v>0</v>
      </c>
      <c r="F114" s="425">
        <v>175.862878562367</v>
      </c>
      <c r="G114" s="425">
        <v>154.9115857436</v>
      </c>
      <c r="H114" s="425">
        <v>0</v>
      </c>
      <c r="I114" s="425">
        <v>0</v>
      </c>
      <c r="J114" s="425">
        <v>101.699281960824</v>
      </c>
      <c r="K114" s="425">
        <v>5.70133943396368</v>
      </c>
      <c r="L114" s="425">
        <v>61.589793663212802</v>
      </c>
      <c r="M114" s="425">
        <v>27.3373386606353</v>
      </c>
      <c r="N114" s="425">
        <v>76.035944637668194</v>
      </c>
      <c r="O114" s="425">
        <v>4.3254345514912496</v>
      </c>
      <c r="P114" s="425">
        <v>475.45144762433102</v>
      </c>
      <c r="Q114" s="425">
        <v>69.893208117293</v>
      </c>
      <c r="R114" s="425">
        <v>8.1423433012931792</v>
      </c>
      <c r="S114" s="425">
        <v>1162.1738230846499</v>
      </c>
      <c r="T114" s="412"/>
    </row>
    <row r="115" spans="2:20" ht="13.5">
      <c r="B115" s="412"/>
      <c r="C115" s="420" t="s">
        <v>84</v>
      </c>
      <c r="D115" s="421">
        <v>0.56256375732421904</v>
      </c>
      <c r="E115" s="421">
        <v>0</v>
      </c>
      <c r="F115" s="421">
        <v>106.478881904514</v>
      </c>
      <c r="G115" s="421">
        <v>10.27102395505</v>
      </c>
      <c r="H115" s="421">
        <v>0</v>
      </c>
      <c r="I115" s="421">
        <v>0</v>
      </c>
      <c r="J115" s="421">
        <v>0</v>
      </c>
      <c r="K115" s="421">
        <v>0</v>
      </c>
      <c r="L115" s="421">
        <v>9.6859590362548804</v>
      </c>
      <c r="M115" s="421">
        <v>0</v>
      </c>
      <c r="N115" s="421">
        <v>0</v>
      </c>
      <c r="O115" s="421">
        <v>0</v>
      </c>
      <c r="P115" s="421">
        <v>0</v>
      </c>
      <c r="Q115" s="421">
        <v>0</v>
      </c>
      <c r="R115" s="421">
        <v>7.0342457611083997</v>
      </c>
      <c r="S115" s="429">
        <v>134.03267441425101</v>
      </c>
      <c r="T115" s="412"/>
    </row>
    <row r="116" spans="2:20" ht="13.5">
      <c r="B116" s="412"/>
      <c r="C116" s="424" t="s">
        <v>85</v>
      </c>
      <c r="D116" s="425">
        <v>1.78579058529727</v>
      </c>
      <c r="E116" s="425">
        <v>0</v>
      </c>
      <c r="F116" s="425">
        <v>282.34176046687998</v>
      </c>
      <c r="G116" s="425">
        <v>165.18260969865</v>
      </c>
      <c r="H116" s="425">
        <v>0</v>
      </c>
      <c r="I116" s="425">
        <v>0</v>
      </c>
      <c r="J116" s="425">
        <v>101.699281960824</v>
      </c>
      <c r="K116" s="425">
        <v>5.70133943396368</v>
      </c>
      <c r="L116" s="425">
        <v>71.275752699467702</v>
      </c>
      <c r="M116" s="425">
        <v>27.3373386606353</v>
      </c>
      <c r="N116" s="425">
        <v>76.035944637668194</v>
      </c>
      <c r="O116" s="425">
        <v>4.3254345514912496</v>
      </c>
      <c r="P116" s="425">
        <v>475.45144762433102</v>
      </c>
      <c r="Q116" s="425">
        <v>69.8932081172929</v>
      </c>
      <c r="R116" s="425">
        <v>15.1765890624016</v>
      </c>
      <c r="S116" s="425">
        <v>1296.2064974989</v>
      </c>
      <c r="T116" s="412"/>
    </row>
    <row r="117" spans="2:20">
      <c r="B117" s="412"/>
      <c r="C117" s="412"/>
      <c r="D117" s="430">
        <f t="shared" ref="D117:S117" si="2">D116+D106-D92</f>
        <v>0</v>
      </c>
      <c r="E117" s="430">
        <f t="shared" si="2"/>
        <v>0</v>
      </c>
      <c r="F117" s="430">
        <f t="shared" si="2"/>
        <v>-8.3133500083931722E-13</v>
      </c>
      <c r="G117" s="430">
        <f t="shared" si="2"/>
        <v>-2.8421709430404007E-13</v>
      </c>
      <c r="H117" s="430">
        <f t="shared" si="2"/>
        <v>0</v>
      </c>
      <c r="I117" s="430">
        <f t="shared" si="2"/>
        <v>0</v>
      </c>
      <c r="J117" s="430">
        <f t="shared" si="2"/>
        <v>0</v>
      </c>
      <c r="K117" s="430">
        <f t="shared" si="2"/>
        <v>0</v>
      </c>
      <c r="L117" s="430">
        <f t="shared" si="2"/>
        <v>9.9475983006414026E-14</v>
      </c>
      <c r="M117" s="430">
        <f t="shared" si="2"/>
        <v>-2.8255175976710234E-14</v>
      </c>
      <c r="N117" s="430">
        <f t="shared" si="2"/>
        <v>0</v>
      </c>
      <c r="O117" s="430">
        <f t="shared" si="2"/>
        <v>-1.9539925233402755E-14</v>
      </c>
      <c r="P117" s="430">
        <f t="shared" si="2"/>
        <v>-6.2350125062948791E-13</v>
      </c>
      <c r="Q117" s="430">
        <f t="shared" si="2"/>
        <v>-9.9475983006414026E-14</v>
      </c>
      <c r="R117" s="430">
        <f t="shared" si="2"/>
        <v>-9.7144514654701197E-15</v>
      </c>
      <c r="S117" s="430">
        <f t="shared" si="2"/>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362</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2.3260000000000001</v>
      </c>
      <c r="F123" s="421">
        <v>0</v>
      </c>
      <c r="G123" s="421">
        <v>3.7215999999999999E-2</v>
      </c>
      <c r="H123" s="422">
        <v>949.39393939393904</v>
      </c>
      <c r="I123" s="422">
        <v>276.68</v>
      </c>
      <c r="J123" s="422">
        <v>284.734772116177</v>
      </c>
      <c r="K123" s="422">
        <v>38.511665616305898</v>
      </c>
      <c r="L123" s="421">
        <v>0</v>
      </c>
      <c r="M123" s="421">
        <v>0</v>
      </c>
      <c r="N123" s="422">
        <v>85.392433579820405</v>
      </c>
      <c r="O123" s="422">
        <v>15.074805441341001</v>
      </c>
      <c r="P123" s="421">
        <v>0</v>
      </c>
      <c r="Q123" s="421">
        <v>0</v>
      </c>
      <c r="R123" s="421">
        <v>0</v>
      </c>
      <c r="S123" s="423">
        <v>1652.1508321475801</v>
      </c>
      <c r="T123" s="412"/>
    </row>
    <row r="124" spans="2:20" ht="13.5">
      <c r="B124" s="412"/>
      <c r="C124" s="420" t="s">
        <v>60</v>
      </c>
      <c r="D124" s="421">
        <v>8.4277409701764192</v>
      </c>
      <c r="E124" s="421">
        <v>294.49378048971499</v>
      </c>
      <c r="F124" s="421">
        <v>3.02470006963182</v>
      </c>
      <c r="G124" s="421">
        <v>181.17738201956001</v>
      </c>
      <c r="H124" s="421">
        <v>0</v>
      </c>
      <c r="I124" s="421">
        <v>0</v>
      </c>
      <c r="J124" s="421">
        <v>0</v>
      </c>
      <c r="K124" s="421">
        <v>0</v>
      </c>
      <c r="L124" s="421">
        <v>0</v>
      </c>
      <c r="M124" s="421">
        <v>0</v>
      </c>
      <c r="N124" s="421">
        <v>0</v>
      </c>
      <c r="O124" s="421">
        <v>0</v>
      </c>
      <c r="P124" s="421">
        <v>13.6891405650981</v>
      </c>
      <c r="Q124" s="421">
        <v>0</v>
      </c>
      <c r="R124" s="421">
        <v>0</v>
      </c>
      <c r="S124" s="423">
        <v>500.81274411418099</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0</v>
      </c>
      <c r="Q125" s="421">
        <v>0</v>
      </c>
      <c r="R125" s="421">
        <v>0</v>
      </c>
      <c r="S125" s="423">
        <v>0</v>
      </c>
      <c r="T125" s="412"/>
    </row>
    <row r="126" spans="2:20" ht="13.5">
      <c r="B126" s="412"/>
      <c r="C126" s="420" t="s">
        <v>62</v>
      </c>
      <c r="D126" s="421">
        <v>0</v>
      </c>
      <c r="E126" s="421">
        <v>0</v>
      </c>
      <c r="F126" s="421">
        <v>-11.216317309287099</v>
      </c>
      <c r="G126" s="421">
        <v>-1.99710794114988</v>
      </c>
      <c r="H126" s="421">
        <v>0</v>
      </c>
      <c r="I126" s="421">
        <v>0</v>
      </c>
      <c r="J126" s="421">
        <v>0</v>
      </c>
      <c r="K126" s="421">
        <v>0</v>
      </c>
      <c r="L126" s="421">
        <v>0</v>
      </c>
      <c r="M126" s="421">
        <v>-0.69888193239441998</v>
      </c>
      <c r="N126" s="421">
        <v>0</v>
      </c>
      <c r="O126" s="421">
        <v>0</v>
      </c>
      <c r="P126" s="421">
        <v>0</v>
      </c>
      <c r="Q126" s="421">
        <v>0</v>
      </c>
      <c r="R126" s="421">
        <v>0</v>
      </c>
      <c r="S126" s="423">
        <v>-13.9123071828314</v>
      </c>
      <c r="T126" s="412"/>
    </row>
    <row r="127" spans="2:20" ht="13.5">
      <c r="B127" s="412"/>
      <c r="C127" s="420" t="s">
        <v>63</v>
      </c>
      <c r="D127" s="421">
        <v>0</v>
      </c>
      <c r="E127" s="421">
        <v>0</v>
      </c>
      <c r="F127" s="421">
        <v>-55.603077514900399</v>
      </c>
      <c r="G127" s="421">
        <v>0</v>
      </c>
      <c r="H127" s="421">
        <v>0</v>
      </c>
      <c r="I127" s="421">
        <v>0</v>
      </c>
      <c r="J127" s="421">
        <v>0</v>
      </c>
      <c r="K127" s="421">
        <v>0</v>
      </c>
      <c r="L127" s="421">
        <v>-22.070241117704398</v>
      </c>
      <c r="M127" s="421">
        <v>0</v>
      </c>
      <c r="N127" s="421">
        <v>0</v>
      </c>
      <c r="O127" s="421">
        <v>0</v>
      </c>
      <c r="P127" s="421">
        <v>0</v>
      </c>
      <c r="Q127" s="421">
        <v>0</v>
      </c>
      <c r="R127" s="421">
        <v>-0.48199249828489099</v>
      </c>
      <c r="S127" s="423">
        <v>-78.155311130889601</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8.4277409701764192</v>
      </c>
      <c r="E129" s="425">
        <v>296.81978048971501</v>
      </c>
      <c r="F129" s="425">
        <v>-63.794694754555699</v>
      </c>
      <c r="G129" s="425">
        <v>179.21749007841001</v>
      </c>
      <c r="H129" s="425">
        <v>949.39393939393904</v>
      </c>
      <c r="I129" s="425">
        <v>276.68</v>
      </c>
      <c r="J129" s="425">
        <v>284.734772116177</v>
      </c>
      <c r="K129" s="425">
        <v>38.511665616305898</v>
      </c>
      <c r="L129" s="425">
        <v>-22.070241117704398</v>
      </c>
      <c r="M129" s="425">
        <v>-0.69888193239441998</v>
      </c>
      <c r="N129" s="425">
        <v>85.392433579820405</v>
      </c>
      <c r="O129" s="425">
        <v>15.074805441341001</v>
      </c>
      <c r="P129" s="425">
        <v>13.6891405650981</v>
      </c>
      <c r="Q129" s="425">
        <v>0</v>
      </c>
      <c r="R129" s="425">
        <v>-0.48199249828489099</v>
      </c>
      <c r="S129" s="425">
        <v>2060.8959579480402</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0</v>
      </c>
      <c r="E132" s="421">
        <v>0</v>
      </c>
      <c r="F132" s="421">
        <v>0</v>
      </c>
      <c r="G132" s="421">
        <v>12.8533333333333</v>
      </c>
      <c r="H132" s="421">
        <v>949.39393939393904</v>
      </c>
      <c r="I132" s="421">
        <v>276.68</v>
      </c>
      <c r="J132" s="421">
        <v>18.141357717605299</v>
      </c>
      <c r="K132" s="421">
        <v>5.2928476822958697</v>
      </c>
      <c r="L132" s="421">
        <v>0</v>
      </c>
      <c r="M132" s="421">
        <v>4.05894736842105</v>
      </c>
      <c r="N132" s="421">
        <v>0</v>
      </c>
      <c r="O132" s="421">
        <v>0</v>
      </c>
      <c r="P132" s="421">
        <v>-609.38</v>
      </c>
      <c r="Q132" s="421">
        <v>0</v>
      </c>
      <c r="R132" s="421">
        <v>3.8</v>
      </c>
      <c r="S132" s="429">
        <v>660.84042549559501</v>
      </c>
      <c r="T132" s="412"/>
    </row>
    <row r="133" spans="2:20" ht="13.5">
      <c r="B133" s="412"/>
      <c r="C133" s="428" t="s">
        <v>351</v>
      </c>
      <c r="D133" s="421">
        <v>0</v>
      </c>
      <c r="E133" s="421">
        <v>0</v>
      </c>
      <c r="F133" s="421">
        <v>0</v>
      </c>
      <c r="G133" s="421">
        <v>13.2997527316566</v>
      </c>
      <c r="H133" s="421">
        <v>0</v>
      </c>
      <c r="I133" s="421">
        <v>0</v>
      </c>
      <c r="J133" s="421">
        <v>29.191829684725199</v>
      </c>
      <c r="K133" s="421">
        <v>27.043598962685898</v>
      </c>
      <c r="L133" s="421">
        <v>0</v>
      </c>
      <c r="M133" s="421">
        <v>4.1999219152599903</v>
      </c>
      <c r="N133" s="421">
        <v>0</v>
      </c>
      <c r="O133" s="421">
        <v>10.1722943931358</v>
      </c>
      <c r="P133" s="421">
        <v>0</v>
      </c>
      <c r="Q133" s="421">
        <v>-77.056499329406094</v>
      </c>
      <c r="R133" s="421">
        <v>0</v>
      </c>
      <c r="S133" s="429">
        <v>6.8508983580574103</v>
      </c>
      <c r="T133" s="412"/>
    </row>
    <row r="134" spans="2:20" ht="13.5">
      <c r="B134" s="412"/>
      <c r="C134" s="428" t="s">
        <v>352</v>
      </c>
      <c r="D134" s="421">
        <v>0</v>
      </c>
      <c r="E134" s="421">
        <v>0</v>
      </c>
      <c r="F134" s="421">
        <v>0</v>
      </c>
      <c r="G134" s="421">
        <v>0</v>
      </c>
      <c r="H134" s="421">
        <v>0</v>
      </c>
      <c r="I134" s="421">
        <v>0</v>
      </c>
      <c r="J134" s="421">
        <v>60.206069168057198</v>
      </c>
      <c r="K134" s="421">
        <v>0</v>
      </c>
      <c r="L134" s="421">
        <v>0</v>
      </c>
      <c r="M134" s="421">
        <v>-54.4262865279237</v>
      </c>
      <c r="N134" s="421">
        <v>0</v>
      </c>
      <c r="O134" s="421">
        <v>0</v>
      </c>
      <c r="P134" s="421">
        <v>0</v>
      </c>
      <c r="Q134" s="421">
        <v>0</v>
      </c>
      <c r="R134" s="421">
        <v>0</v>
      </c>
      <c r="S134" s="429">
        <v>5.7797826401334804</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307.47374578102801</v>
      </c>
      <c r="F136" s="421">
        <v>-304.399008323217</v>
      </c>
      <c r="G136" s="421">
        <v>0</v>
      </c>
      <c r="H136" s="421">
        <v>0</v>
      </c>
      <c r="I136" s="421">
        <v>0</v>
      </c>
      <c r="J136" s="421">
        <v>0</v>
      </c>
      <c r="K136" s="421">
        <v>0</v>
      </c>
      <c r="L136" s="421">
        <v>0</v>
      </c>
      <c r="M136" s="421">
        <v>0</v>
      </c>
      <c r="N136" s="421">
        <v>0</v>
      </c>
      <c r="O136" s="421">
        <v>0</v>
      </c>
      <c r="P136" s="421">
        <v>0</v>
      </c>
      <c r="Q136" s="421">
        <v>0</v>
      </c>
      <c r="R136" s="421">
        <v>0</v>
      </c>
      <c r="S136" s="429">
        <v>3.07473745781027</v>
      </c>
      <c r="T136" s="412"/>
    </row>
    <row r="137" spans="2:20" ht="13.5">
      <c r="B137" s="412"/>
      <c r="C137" s="428" t="s">
        <v>354</v>
      </c>
      <c r="D137" s="421">
        <v>0</v>
      </c>
      <c r="E137" s="421">
        <v>0</v>
      </c>
      <c r="F137" s="421">
        <v>0</v>
      </c>
      <c r="G137" s="421">
        <v>0</v>
      </c>
      <c r="H137" s="421">
        <v>0</v>
      </c>
      <c r="I137" s="421">
        <v>0</v>
      </c>
      <c r="J137" s="421">
        <v>85.931808179639404</v>
      </c>
      <c r="K137" s="421">
        <v>0</v>
      </c>
      <c r="L137" s="421">
        <v>-85.931808179639404</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-17.535700738468499</v>
      </c>
      <c r="M138" s="421">
        <v>0</v>
      </c>
      <c r="N138" s="421">
        <v>0</v>
      </c>
      <c r="O138" s="421">
        <v>0</v>
      </c>
      <c r="P138" s="421">
        <v>0</v>
      </c>
      <c r="Q138" s="421">
        <v>0</v>
      </c>
      <c r="R138" s="421">
        <v>25.051001054954899</v>
      </c>
      <c r="S138" s="429">
        <v>7.5153003164864902</v>
      </c>
      <c r="T138" s="412"/>
    </row>
    <row r="139" spans="2:20" ht="13.5">
      <c r="B139" s="412"/>
      <c r="C139" s="428" t="s">
        <v>73</v>
      </c>
      <c r="D139" s="421">
        <v>0</v>
      </c>
      <c r="E139" s="421">
        <v>0</v>
      </c>
      <c r="F139" s="421">
        <v>0</v>
      </c>
      <c r="G139" s="421">
        <v>12.8407715215872</v>
      </c>
      <c r="H139" s="421">
        <v>0</v>
      </c>
      <c r="I139" s="421">
        <v>0</v>
      </c>
      <c r="J139" s="421">
        <v>0</v>
      </c>
      <c r="K139" s="421">
        <v>0.70990554630623504</v>
      </c>
      <c r="L139" s="421">
        <v>0</v>
      </c>
      <c r="M139" s="421">
        <v>4.05498048050121</v>
      </c>
      <c r="N139" s="421">
        <v>0</v>
      </c>
      <c r="O139" s="421">
        <v>0</v>
      </c>
      <c r="P139" s="421">
        <v>55.117150379882297</v>
      </c>
      <c r="Q139" s="421">
        <v>0</v>
      </c>
      <c r="R139" s="421">
        <v>-49.693388241436402</v>
      </c>
      <c r="S139" s="429">
        <v>23.029419686840502</v>
      </c>
      <c r="T139" s="412"/>
    </row>
    <row r="140" spans="2:20" ht="13.5">
      <c r="B140" s="412"/>
      <c r="C140" s="428" t="s">
        <v>356</v>
      </c>
      <c r="D140" s="421">
        <v>2.83393890380859</v>
      </c>
      <c r="E140" s="421">
        <v>-10.6539652913126</v>
      </c>
      <c r="F140" s="421">
        <v>13.9347573224132</v>
      </c>
      <c r="G140" s="421">
        <v>0</v>
      </c>
      <c r="H140" s="421">
        <v>0</v>
      </c>
      <c r="I140" s="421">
        <v>0</v>
      </c>
      <c r="J140" s="421">
        <v>0</v>
      </c>
      <c r="K140" s="421">
        <v>0</v>
      </c>
      <c r="L140" s="421">
        <v>0</v>
      </c>
      <c r="M140" s="421">
        <v>0</v>
      </c>
      <c r="N140" s="421">
        <v>0</v>
      </c>
      <c r="O140" s="421">
        <v>0</v>
      </c>
      <c r="P140" s="421">
        <v>0</v>
      </c>
      <c r="Q140" s="421">
        <v>0</v>
      </c>
      <c r="R140" s="421">
        <v>0</v>
      </c>
      <c r="S140" s="429">
        <v>6.1147309349091996</v>
      </c>
      <c r="T140" s="412"/>
    </row>
    <row r="141" spans="2:20" ht="13.5">
      <c r="B141" s="412"/>
      <c r="C141" s="428" t="s">
        <v>75</v>
      </c>
      <c r="D141" s="421">
        <v>3.8710979003906201</v>
      </c>
      <c r="E141" s="421">
        <v>0</v>
      </c>
      <c r="F141" s="421">
        <v>18.035338972064899</v>
      </c>
      <c r="G141" s="421">
        <v>3.99111442428871</v>
      </c>
      <c r="H141" s="421">
        <v>0</v>
      </c>
      <c r="I141" s="421">
        <v>0</v>
      </c>
      <c r="J141" s="421">
        <v>0</v>
      </c>
      <c r="K141" s="421">
        <v>0</v>
      </c>
      <c r="L141" s="421">
        <v>0</v>
      </c>
      <c r="M141" s="421">
        <v>1.2603519234595899</v>
      </c>
      <c r="N141" s="421">
        <v>0</v>
      </c>
      <c r="O141" s="421">
        <v>0</v>
      </c>
      <c r="P141" s="421">
        <v>35.255454545454498</v>
      </c>
      <c r="Q141" s="421">
        <v>0</v>
      </c>
      <c r="R141" s="421">
        <v>0</v>
      </c>
      <c r="S141" s="429">
        <v>62.413357765658397</v>
      </c>
      <c r="T141" s="412"/>
    </row>
    <row r="142" spans="2:20" ht="13.5">
      <c r="B142" s="412"/>
      <c r="C142" s="428" t="s">
        <v>76</v>
      </c>
      <c r="D142" s="421">
        <v>0</v>
      </c>
      <c r="E142" s="421">
        <v>0</v>
      </c>
      <c r="F142" s="421">
        <v>0</v>
      </c>
      <c r="G142" s="421">
        <v>2.0436747905742099</v>
      </c>
      <c r="H142" s="421">
        <v>0</v>
      </c>
      <c r="I142" s="421">
        <v>0</v>
      </c>
      <c r="J142" s="421">
        <v>0</v>
      </c>
      <c r="K142" s="421">
        <v>0</v>
      </c>
      <c r="L142" s="421">
        <v>0</v>
      </c>
      <c r="M142" s="421">
        <v>0.64537098649711899</v>
      </c>
      <c r="N142" s="421">
        <v>0</v>
      </c>
      <c r="O142" s="421">
        <v>0</v>
      </c>
      <c r="P142" s="421">
        <v>47.751374577011198</v>
      </c>
      <c r="Q142" s="421">
        <v>5.9711678447141301</v>
      </c>
      <c r="R142" s="421">
        <v>0</v>
      </c>
      <c r="S142" s="429">
        <v>56.4115881987967</v>
      </c>
      <c r="T142" s="412"/>
    </row>
    <row r="143" spans="2:20" ht="13.5">
      <c r="B143" s="412"/>
      <c r="C143" s="424" t="s">
        <v>77</v>
      </c>
      <c r="D143" s="425">
        <v>6.7050368041992199</v>
      </c>
      <c r="E143" s="425">
        <v>296.81978048971501</v>
      </c>
      <c r="F143" s="425">
        <v>-272.42891202873898</v>
      </c>
      <c r="G143" s="425">
        <v>45.028646801440097</v>
      </c>
      <c r="H143" s="425">
        <v>949.39393939393904</v>
      </c>
      <c r="I143" s="425">
        <v>276.68</v>
      </c>
      <c r="J143" s="425">
        <v>193.47106475002701</v>
      </c>
      <c r="K143" s="425">
        <v>33.046352191288001</v>
      </c>
      <c r="L143" s="425">
        <v>-103.467508918108</v>
      </c>
      <c r="M143" s="425">
        <v>-40.206713853784699</v>
      </c>
      <c r="N143" s="425">
        <v>0</v>
      </c>
      <c r="O143" s="425">
        <v>10.1722943931358</v>
      </c>
      <c r="P143" s="425">
        <v>-471.256020497652</v>
      </c>
      <c r="Q143" s="425">
        <v>-71.085331484692006</v>
      </c>
      <c r="R143" s="425">
        <v>-20.842387186481499</v>
      </c>
      <c r="S143" s="425">
        <v>832.03024085428694</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1.27819257295963</v>
      </c>
      <c r="E145" s="421">
        <v>0</v>
      </c>
      <c r="F145" s="421">
        <v>9.6128944226359607</v>
      </c>
      <c r="G145" s="421">
        <v>60.199792292935904</v>
      </c>
      <c r="H145" s="421">
        <v>0</v>
      </c>
      <c r="I145" s="421">
        <v>0</v>
      </c>
      <c r="J145" s="421">
        <v>14.9029709316316</v>
      </c>
      <c r="K145" s="421">
        <v>5.4653134250178503</v>
      </c>
      <c r="L145" s="421">
        <v>3.5459101562500002</v>
      </c>
      <c r="M145" s="421">
        <v>19.010460724085</v>
      </c>
      <c r="N145" s="421">
        <v>0</v>
      </c>
      <c r="O145" s="421">
        <v>0</v>
      </c>
      <c r="P145" s="421">
        <v>136.692289377436</v>
      </c>
      <c r="Q145" s="421">
        <v>23.646366063927399</v>
      </c>
      <c r="R145" s="421">
        <v>6.4302626953124999</v>
      </c>
      <c r="S145" s="429">
        <v>280.78445266219097</v>
      </c>
      <c r="T145" s="412"/>
    </row>
    <row r="146" spans="2:20" ht="13.5">
      <c r="B146" s="412"/>
      <c r="C146" s="428" t="s">
        <v>79</v>
      </c>
      <c r="D146" s="421">
        <v>0</v>
      </c>
      <c r="E146" s="421">
        <v>0</v>
      </c>
      <c r="F146" s="421">
        <v>87.8758260186641</v>
      </c>
      <c r="G146" s="421">
        <v>18.337650579977399</v>
      </c>
      <c r="H146" s="421">
        <v>0</v>
      </c>
      <c r="I146" s="421">
        <v>0</v>
      </c>
      <c r="J146" s="421">
        <v>0</v>
      </c>
      <c r="K146" s="421">
        <v>0</v>
      </c>
      <c r="L146" s="421">
        <v>50.618247821052101</v>
      </c>
      <c r="M146" s="421">
        <v>5.9499820008855098</v>
      </c>
      <c r="N146" s="421">
        <v>0</v>
      </c>
      <c r="O146" s="421">
        <v>0</v>
      </c>
      <c r="P146" s="421">
        <v>72.745040205449797</v>
      </c>
      <c r="Q146" s="421">
        <v>0</v>
      </c>
      <c r="R146" s="421">
        <v>3.6092463767880099</v>
      </c>
      <c r="S146" s="429">
        <v>239.135993002817</v>
      </c>
      <c r="T146" s="412"/>
    </row>
    <row r="147" spans="2:20" ht="13.5">
      <c r="B147" s="412"/>
      <c r="C147" s="428" t="s">
        <v>80</v>
      </c>
      <c r="D147" s="421">
        <v>0</v>
      </c>
      <c r="E147" s="421">
        <v>0</v>
      </c>
      <c r="F147" s="421">
        <v>0.73996972526279803</v>
      </c>
      <c r="G147" s="421">
        <v>24.071010680096698</v>
      </c>
      <c r="H147" s="421">
        <v>0</v>
      </c>
      <c r="I147" s="421">
        <v>0</v>
      </c>
      <c r="J147" s="421">
        <v>65.809563312785698</v>
      </c>
      <c r="K147" s="421">
        <v>0</v>
      </c>
      <c r="L147" s="421">
        <v>0</v>
      </c>
      <c r="M147" s="421">
        <v>7.60137179371476</v>
      </c>
      <c r="N147" s="421">
        <v>70.900752846109597</v>
      </c>
      <c r="O147" s="421">
        <v>2.1051398750689501</v>
      </c>
      <c r="P147" s="421">
        <v>151.15345776916399</v>
      </c>
      <c r="Q147" s="421">
        <v>36.326109024475898</v>
      </c>
      <c r="R147" s="421">
        <v>0</v>
      </c>
      <c r="S147" s="429">
        <v>358.70737502667799</v>
      </c>
      <c r="T147" s="412"/>
    </row>
    <row r="148" spans="2:20" ht="13.5">
      <c r="B148" s="412"/>
      <c r="C148" s="428" t="s">
        <v>81</v>
      </c>
      <c r="D148" s="421">
        <v>0</v>
      </c>
      <c r="E148" s="421">
        <v>0</v>
      </c>
      <c r="F148" s="421">
        <v>1.6908527840101399</v>
      </c>
      <c r="G148" s="421">
        <v>21.232227312602799</v>
      </c>
      <c r="H148" s="421">
        <v>0</v>
      </c>
      <c r="I148" s="421">
        <v>0</v>
      </c>
      <c r="J148" s="421">
        <v>7.3285872023111196</v>
      </c>
      <c r="K148" s="421">
        <v>0</v>
      </c>
      <c r="L148" s="421">
        <v>0</v>
      </c>
      <c r="M148" s="421">
        <v>6.7049138881903696</v>
      </c>
      <c r="N148" s="421">
        <v>14.491680733710799</v>
      </c>
      <c r="O148" s="421">
        <v>1.6318379540725301</v>
      </c>
      <c r="P148" s="421">
        <v>115.122674454118</v>
      </c>
      <c r="Q148" s="421">
        <v>11.1128563962888</v>
      </c>
      <c r="R148" s="421">
        <v>0</v>
      </c>
      <c r="S148" s="429">
        <v>179.315630725305</v>
      </c>
      <c r="T148" s="412"/>
    </row>
    <row r="149" spans="2:20" ht="13.5">
      <c r="B149" s="412"/>
      <c r="C149" s="428" t="s">
        <v>82</v>
      </c>
      <c r="D149" s="421">
        <v>0</v>
      </c>
      <c r="E149" s="421">
        <v>0</v>
      </c>
      <c r="F149" s="421">
        <v>12.5124400680813</v>
      </c>
      <c r="G149" s="421">
        <v>1.3106771859998501</v>
      </c>
      <c r="H149" s="421">
        <v>0</v>
      </c>
      <c r="I149" s="421">
        <v>0</v>
      </c>
      <c r="J149" s="421">
        <v>3.2225859194218698</v>
      </c>
      <c r="K149" s="421">
        <v>0</v>
      </c>
      <c r="L149" s="421">
        <v>12.553992450054499</v>
      </c>
      <c r="M149" s="421">
        <v>0.41389805873679603</v>
      </c>
      <c r="N149" s="421">
        <v>0</v>
      </c>
      <c r="O149" s="421">
        <v>1.16553321906376</v>
      </c>
      <c r="P149" s="421">
        <v>6.6716992565826096</v>
      </c>
      <c r="Q149" s="421">
        <v>0</v>
      </c>
      <c r="R149" s="421">
        <v>0.294856552375373</v>
      </c>
      <c r="S149" s="429">
        <v>38.145682710316102</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2.56</v>
      </c>
      <c r="Q150" s="421">
        <v>0</v>
      </c>
      <c r="R150" s="421">
        <v>0</v>
      </c>
      <c r="S150" s="429">
        <v>2.56</v>
      </c>
      <c r="T150" s="412"/>
    </row>
    <row r="151" spans="2:20" ht="13.5">
      <c r="B151" s="412"/>
      <c r="C151" s="424" t="s">
        <v>83</v>
      </c>
      <c r="D151" s="425">
        <v>1.27819257295963</v>
      </c>
      <c r="E151" s="425">
        <v>0</v>
      </c>
      <c r="F151" s="425">
        <v>112.43198301865399</v>
      </c>
      <c r="G151" s="425">
        <v>125.151358051613</v>
      </c>
      <c r="H151" s="425">
        <v>0</v>
      </c>
      <c r="I151" s="425">
        <v>0</v>
      </c>
      <c r="J151" s="425">
        <v>91.2637073661502</v>
      </c>
      <c r="K151" s="425">
        <v>5.4653134250178503</v>
      </c>
      <c r="L151" s="425">
        <v>66.718150427356605</v>
      </c>
      <c r="M151" s="425">
        <v>39.680626465612498</v>
      </c>
      <c r="N151" s="425">
        <v>85.392433579820405</v>
      </c>
      <c r="O151" s="425">
        <v>4.9025110482052403</v>
      </c>
      <c r="P151" s="425">
        <v>484.94516106275</v>
      </c>
      <c r="Q151" s="425">
        <v>71.085331484692006</v>
      </c>
      <c r="R151" s="425">
        <v>10.3343656244759</v>
      </c>
      <c r="S151" s="425">
        <v>1098.6491341273099</v>
      </c>
      <c r="T151" s="412"/>
    </row>
    <row r="152" spans="2:20" ht="13.5">
      <c r="B152" s="412"/>
      <c r="C152" s="420" t="s">
        <v>84</v>
      </c>
      <c r="D152" s="421">
        <v>0.44451159301757798</v>
      </c>
      <c r="E152" s="421">
        <v>0</v>
      </c>
      <c r="F152" s="421">
        <v>96.202234255529206</v>
      </c>
      <c r="G152" s="421">
        <v>8.8646906811351496</v>
      </c>
      <c r="H152" s="421">
        <v>0</v>
      </c>
      <c r="I152" s="421">
        <v>0</v>
      </c>
      <c r="J152" s="421">
        <v>0</v>
      </c>
      <c r="K152" s="421">
        <v>0</v>
      </c>
      <c r="L152" s="421">
        <v>14.6791173730469</v>
      </c>
      <c r="M152" s="421">
        <v>0</v>
      </c>
      <c r="N152" s="421">
        <v>0</v>
      </c>
      <c r="O152" s="421">
        <v>0</v>
      </c>
      <c r="P152" s="421">
        <v>0</v>
      </c>
      <c r="Q152" s="421">
        <v>0</v>
      </c>
      <c r="R152" s="421">
        <v>10.026029063720699</v>
      </c>
      <c r="S152" s="429">
        <v>130.21658296645001</v>
      </c>
      <c r="T152" s="412"/>
    </row>
    <row r="153" spans="2:20" ht="13.5">
      <c r="B153" s="412"/>
      <c r="C153" s="424" t="s">
        <v>85</v>
      </c>
      <c r="D153" s="425">
        <v>1.72270416597721</v>
      </c>
      <c r="E153" s="425">
        <v>0</v>
      </c>
      <c r="F153" s="425">
        <v>208.63421727418401</v>
      </c>
      <c r="G153" s="425">
        <v>134.016048732748</v>
      </c>
      <c r="H153" s="425">
        <v>0</v>
      </c>
      <c r="I153" s="425">
        <v>0</v>
      </c>
      <c r="J153" s="425">
        <v>91.2637073661502</v>
      </c>
      <c r="K153" s="425">
        <v>5.4653134250178503</v>
      </c>
      <c r="L153" s="425">
        <v>81.397267800403498</v>
      </c>
      <c r="M153" s="425">
        <v>39.680626465612498</v>
      </c>
      <c r="N153" s="425">
        <v>85.392433579820405</v>
      </c>
      <c r="O153" s="425">
        <v>4.9025110482052403</v>
      </c>
      <c r="P153" s="425">
        <v>484.94516106275</v>
      </c>
      <c r="Q153" s="425">
        <v>71.085331484692006</v>
      </c>
      <c r="R153" s="425">
        <v>20.3603946881966</v>
      </c>
      <c r="S153" s="425">
        <v>1228.8657170937599</v>
      </c>
      <c r="T153" s="412"/>
    </row>
    <row r="154" spans="2:20">
      <c r="B154" s="412"/>
      <c r="C154" s="412"/>
      <c r="D154" s="430">
        <f t="shared" ref="D154:S154" si="3">D153+D143-D129</f>
        <v>0</v>
      </c>
      <c r="E154" s="430">
        <f t="shared" si="3"/>
        <v>0</v>
      </c>
      <c r="F154" s="430">
        <f t="shared" si="3"/>
        <v>7.3185901783290319E-13</v>
      </c>
      <c r="G154" s="430">
        <f t="shared" si="3"/>
        <v>-0.1727945442219152</v>
      </c>
      <c r="H154" s="430">
        <f t="shared" si="3"/>
        <v>0</v>
      </c>
      <c r="I154" s="430">
        <f t="shared" si="3"/>
        <v>0</v>
      </c>
      <c r="J154" s="430">
        <f t="shared" si="3"/>
        <v>0</v>
      </c>
      <c r="K154" s="430">
        <f t="shared" si="3"/>
        <v>0</v>
      </c>
      <c r="L154" s="430">
        <f t="shared" si="3"/>
        <v>-9.9475983006414026E-14</v>
      </c>
      <c r="M154" s="430">
        <f t="shared" si="3"/>
        <v>0.1727945442222194</v>
      </c>
      <c r="N154" s="430">
        <f t="shared" si="3"/>
        <v>0</v>
      </c>
      <c r="O154" s="430">
        <f t="shared" si="3"/>
        <v>4.0856207306205761E-14</v>
      </c>
      <c r="P154" s="430">
        <f t="shared" si="3"/>
        <v>-9.9475983006414026E-14</v>
      </c>
      <c r="Q154" s="430">
        <f t="shared" si="3"/>
        <v>0</v>
      </c>
      <c r="R154" s="430">
        <f t="shared" si="3"/>
        <v>-8.5487172896137054E-15</v>
      </c>
      <c r="S154" s="430">
        <f t="shared" si="3"/>
        <v>6.8212102632969618E-12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363</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0</v>
      </c>
      <c r="F160" s="421">
        <v>0</v>
      </c>
      <c r="G160" s="421">
        <v>0</v>
      </c>
      <c r="H160" s="422">
        <v>919.39393939393995</v>
      </c>
      <c r="I160" s="422">
        <v>297.2</v>
      </c>
      <c r="J160" s="422">
        <v>293.71785736374301</v>
      </c>
      <c r="K160" s="422">
        <v>38.3991774648144</v>
      </c>
      <c r="L160" s="421">
        <v>0</v>
      </c>
      <c r="M160" s="421">
        <v>0</v>
      </c>
      <c r="N160" s="422">
        <v>91.728344176793996</v>
      </c>
      <c r="O160" s="422">
        <v>16.494075355247801</v>
      </c>
      <c r="P160" s="421">
        <v>0</v>
      </c>
      <c r="Q160" s="421">
        <v>0</v>
      </c>
      <c r="R160" s="421">
        <v>0</v>
      </c>
      <c r="S160" s="423">
        <v>1656.93339375454</v>
      </c>
      <c r="T160" s="412"/>
    </row>
    <row r="161" spans="2:20" ht="13.5">
      <c r="B161" s="412"/>
      <c r="C161" s="420" t="s">
        <v>60</v>
      </c>
      <c r="D161" s="421">
        <v>7.4939151456434798</v>
      </c>
      <c r="E161" s="421">
        <v>266.28302835422397</v>
      </c>
      <c r="F161" s="421">
        <v>0</v>
      </c>
      <c r="G161" s="421">
        <v>151.91024428871401</v>
      </c>
      <c r="H161" s="421">
        <v>0</v>
      </c>
      <c r="I161" s="421">
        <v>0</v>
      </c>
      <c r="J161" s="421">
        <v>0</v>
      </c>
      <c r="K161" s="421">
        <v>0</v>
      </c>
      <c r="L161" s="421">
        <v>0</v>
      </c>
      <c r="M161" s="421">
        <v>0</v>
      </c>
      <c r="N161" s="421">
        <v>0</v>
      </c>
      <c r="O161" s="421">
        <v>0</v>
      </c>
      <c r="P161" s="421">
        <v>25.896699392432499</v>
      </c>
      <c r="Q161" s="421">
        <v>0</v>
      </c>
      <c r="R161" s="421">
        <v>0</v>
      </c>
      <c r="S161" s="423">
        <v>451.58388718101401</v>
      </c>
      <c r="T161" s="412"/>
    </row>
    <row r="162" spans="2:20" ht="13.5">
      <c r="B162" s="412"/>
      <c r="C162" s="420" t="s">
        <v>61</v>
      </c>
      <c r="D162" s="421">
        <v>0</v>
      </c>
      <c r="E162" s="421">
        <v>0</v>
      </c>
      <c r="F162" s="421">
        <v>-20.601925350856099</v>
      </c>
      <c r="G162" s="421">
        <v>0</v>
      </c>
      <c r="H162" s="421">
        <v>0</v>
      </c>
      <c r="I162" s="421">
        <v>0</v>
      </c>
      <c r="J162" s="421">
        <v>0</v>
      </c>
      <c r="K162" s="421">
        <v>0</v>
      </c>
      <c r="L162" s="421">
        <v>0</v>
      </c>
      <c r="M162" s="421">
        <v>0</v>
      </c>
      <c r="N162" s="421">
        <v>0</v>
      </c>
      <c r="O162" s="421">
        <v>0</v>
      </c>
      <c r="P162" s="421">
        <v>0</v>
      </c>
      <c r="Q162" s="421">
        <v>0</v>
      </c>
      <c r="R162" s="421">
        <v>0</v>
      </c>
      <c r="S162" s="423">
        <v>-20.601925350856099</v>
      </c>
      <c r="T162" s="412"/>
    </row>
    <row r="163" spans="2:20" ht="13.5">
      <c r="B163" s="412"/>
      <c r="C163" s="420" t="s">
        <v>62</v>
      </c>
      <c r="D163" s="421">
        <v>0</v>
      </c>
      <c r="E163" s="421">
        <v>0</v>
      </c>
      <c r="F163" s="421">
        <v>-10.0686168173907</v>
      </c>
      <c r="G163" s="421">
        <v>-2.2904268439326998</v>
      </c>
      <c r="H163" s="421">
        <v>0</v>
      </c>
      <c r="I163" s="421">
        <v>0</v>
      </c>
      <c r="J163" s="421">
        <v>0</v>
      </c>
      <c r="K163" s="421">
        <v>0</v>
      </c>
      <c r="L163" s="421">
        <v>0</v>
      </c>
      <c r="M163" s="421">
        <v>-0.98161150454258395</v>
      </c>
      <c r="N163" s="421">
        <v>0</v>
      </c>
      <c r="O163" s="421">
        <v>0</v>
      </c>
      <c r="P163" s="421">
        <v>0</v>
      </c>
      <c r="Q163" s="421">
        <v>0</v>
      </c>
      <c r="R163" s="421">
        <v>0</v>
      </c>
      <c r="S163" s="423">
        <v>-13.3406551658659</v>
      </c>
      <c r="T163" s="412"/>
    </row>
    <row r="164" spans="2:20" ht="13.5">
      <c r="B164" s="412"/>
      <c r="C164" s="420" t="s">
        <v>63</v>
      </c>
      <c r="D164" s="421">
        <v>0</v>
      </c>
      <c r="E164" s="421">
        <v>0</v>
      </c>
      <c r="F164" s="421">
        <v>-52.082612477609999</v>
      </c>
      <c r="G164" s="421">
        <v>0</v>
      </c>
      <c r="H164" s="421">
        <v>0</v>
      </c>
      <c r="I164" s="421">
        <v>0</v>
      </c>
      <c r="J164" s="421">
        <v>0</v>
      </c>
      <c r="K164" s="421">
        <v>0</v>
      </c>
      <c r="L164" s="421">
        <v>-26.158313394490399</v>
      </c>
      <c r="M164" s="421">
        <v>0</v>
      </c>
      <c r="N164" s="421">
        <v>0</v>
      </c>
      <c r="O164" s="421">
        <v>0</v>
      </c>
      <c r="P164" s="421">
        <v>0</v>
      </c>
      <c r="Q164" s="421">
        <v>0</v>
      </c>
      <c r="R164" s="421">
        <v>-0.70753299969045202</v>
      </c>
      <c r="S164" s="423">
        <v>-78.948458871790905</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7.4939151456434798</v>
      </c>
      <c r="E166" s="425">
        <v>266.28302835422397</v>
      </c>
      <c r="F166" s="425">
        <v>-82.753154645856696</v>
      </c>
      <c r="G166" s="425">
        <v>149.61981744478101</v>
      </c>
      <c r="H166" s="425">
        <v>919.39393939393995</v>
      </c>
      <c r="I166" s="425">
        <v>297.2</v>
      </c>
      <c r="J166" s="425">
        <v>293.71785736374301</v>
      </c>
      <c r="K166" s="425">
        <v>38.3991774648144</v>
      </c>
      <c r="L166" s="425">
        <v>-26.158313394490399</v>
      </c>
      <c r="M166" s="425">
        <v>-0.98161150454258395</v>
      </c>
      <c r="N166" s="425">
        <v>91.728344176793996</v>
      </c>
      <c r="O166" s="425">
        <v>16.494075355247801</v>
      </c>
      <c r="P166" s="425">
        <v>25.896699392432499</v>
      </c>
      <c r="Q166" s="425">
        <v>0</v>
      </c>
      <c r="R166" s="425">
        <v>-0.70753299969045202</v>
      </c>
      <c r="S166" s="425">
        <v>1995.6262415470401</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0</v>
      </c>
      <c r="E169" s="421">
        <v>0</v>
      </c>
      <c r="F169" s="421">
        <v>0</v>
      </c>
      <c r="G169" s="421">
        <v>6.2086956521739101</v>
      </c>
      <c r="H169" s="421">
        <v>919.39393939393904</v>
      </c>
      <c r="I169" s="421">
        <v>297.2</v>
      </c>
      <c r="J169" s="421">
        <v>17.565889816526202</v>
      </c>
      <c r="K169" s="421">
        <v>4.9093303559187103</v>
      </c>
      <c r="L169" s="421">
        <v>0</v>
      </c>
      <c r="M169" s="421">
        <v>2.6608695652173902</v>
      </c>
      <c r="N169" s="421">
        <v>0</v>
      </c>
      <c r="O169" s="421">
        <v>0</v>
      </c>
      <c r="P169" s="421">
        <v>-615.5</v>
      </c>
      <c r="Q169" s="421">
        <v>0</v>
      </c>
      <c r="R169" s="421">
        <v>4.75</v>
      </c>
      <c r="S169" s="429">
        <v>637.18872478377602</v>
      </c>
      <c r="T169" s="412"/>
    </row>
    <row r="170" spans="2:20" ht="13.5">
      <c r="B170" s="412"/>
      <c r="C170" s="428" t="s">
        <v>351</v>
      </c>
      <c r="D170" s="421">
        <v>0</v>
      </c>
      <c r="E170" s="421">
        <v>0</v>
      </c>
      <c r="F170" s="421">
        <v>0</v>
      </c>
      <c r="G170" s="421">
        <v>11.665233563399299</v>
      </c>
      <c r="H170" s="421">
        <v>0</v>
      </c>
      <c r="I170" s="421">
        <v>0</v>
      </c>
      <c r="J170" s="421">
        <v>29.284960707020101</v>
      </c>
      <c r="K170" s="421">
        <v>27.401179727670598</v>
      </c>
      <c r="L170" s="421">
        <v>0</v>
      </c>
      <c r="M170" s="421">
        <v>4.9993858128854303</v>
      </c>
      <c r="N170" s="421">
        <v>0</v>
      </c>
      <c r="O170" s="421">
        <v>11.2068466425665</v>
      </c>
      <c r="P170" s="421">
        <v>0</v>
      </c>
      <c r="Q170" s="421">
        <v>-77.8888709289253</v>
      </c>
      <c r="R170" s="421">
        <v>0</v>
      </c>
      <c r="S170" s="429">
        <v>6.6687355246166398</v>
      </c>
      <c r="T170" s="412"/>
    </row>
    <row r="171" spans="2:20" ht="13.5">
      <c r="B171" s="412"/>
      <c r="C171" s="428" t="s">
        <v>352</v>
      </c>
      <c r="D171" s="421">
        <v>0</v>
      </c>
      <c r="E171" s="421">
        <v>0</v>
      </c>
      <c r="F171" s="421">
        <v>0</v>
      </c>
      <c r="G171" s="421">
        <v>0</v>
      </c>
      <c r="H171" s="421">
        <v>0</v>
      </c>
      <c r="I171" s="421">
        <v>0</v>
      </c>
      <c r="J171" s="421">
        <v>67.617330016206097</v>
      </c>
      <c r="K171" s="421">
        <v>0</v>
      </c>
      <c r="L171" s="421">
        <v>0</v>
      </c>
      <c r="M171" s="421">
        <v>-61.700813639788102</v>
      </c>
      <c r="N171" s="421">
        <v>0</v>
      </c>
      <c r="O171" s="421">
        <v>0</v>
      </c>
      <c r="P171" s="421">
        <v>0</v>
      </c>
      <c r="Q171" s="421">
        <v>0</v>
      </c>
      <c r="R171" s="421">
        <v>0</v>
      </c>
      <c r="S171" s="429">
        <v>5.9165163764180404</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275.84091609698402</v>
      </c>
      <c r="F173" s="421">
        <v>-273.082506936014</v>
      </c>
      <c r="G173" s="421">
        <v>0</v>
      </c>
      <c r="H173" s="421">
        <v>0</v>
      </c>
      <c r="I173" s="421">
        <v>0</v>
      </c>
      <c r="J173" s="421">
        <v>0</v>
      </c>
      <c r="K173" s="421">
        <v>0</v>
      </c>
      <c r="L173" s="421">
        <v>0</v>
      </c>
      <c r="M173" s="421">
        <v>0</v>
      </c>
      <c r="N173" s="421">
        <v>0</v>
      </c>
      <c r="O173" s="421">
        <v>0</v>
      </c>
      <c r="P173" s="421">
        <v>0</v>
      </c>
      <c r="Q173" s="421">
        <v>0</v>
      </c>
      <c r="R173" s="421">
        <v>0</v>
      </c>
      <c r="S173" s="429">
        <v>2.7584091609698498</v>
      </c>
      <c r="T173" s="412"/>
    </row>
    <row r="174" spans="2:20" ht="13.5">
      <c r="B174" s="412"/>
      <c r="C174" s="428" t="s">
        <v>354</v>
      </c>
      <c r="D174" s="421">
        <v>0</v>
      </c>
      <c r="E174" s="421">
        <v>0</v>
      </c>
      <c r="F174" s="421">
        <v>0</v>
      </c>
      <c r="G174" s="421">
        <v>0</v>
      </c>
      <c r="H174" s="421">
        <v>0</v>
      </c>
      <c r="I174" s="421">
        <v>0</v>
      </c>
      <c r="J174" s="421">
        <v>94.973460214546293</v>
      </c>
      <c r="K174" s="421">
        <v>0</v>
      </c>
      <c r="L174" s="421">
        <v>-94.973460214546293</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-18.919398689376301</v>
      </c>
      <c r="M175" s="421">
        <v>0</v>
      </c>
      <c r="N175" s="421">
        <v>0</v>
      </c>
      <c r="O175" s="421">
        <v>0</v>
      </c>
      <c r="P175" s="421">
        <v>0</v>
      </c>
      <c r="Q175" s="421">
        <v>0</v>
      </c>
      <c r="R175" s="421">
        <v>27.027712413394799</v>
      </c>
      <c r="S175" s="429">
        <v>8.10831372401843</v>
      </c>
      <c r="T175" s="412"/>
    </row>
    <row r="176" spans="2:20" ht="13.5">
      <c r="B176" s="412"/>
      <c r="C176" s="428" t="s">
        <v>73</v>
      </c>
      <c r="D176" s="421">
        <v>0</v>
      </c>
      <c r="E176" s="421">
        <v>0</v>
      </c>
      <c r="F176" s="421">
        <v>0</v>
      </c>
      <c r="G176" s="421">
        <v>11.241873404965199</v>
      </c>
      <c r="H176" s="421">
        <v>0</v>
      </c>
      <c r="I176" s="421">
        <v>0</v>
      </c>
      <c r="J176" s="421">
        <v>0</v>
      </c>
      <c r="K176" s="421">
        <v>0.80299095749751603</v>
      </c>
      <c r="L176" s="421">
        <v>0</v>
      </c>
      <c r="M176" s="421">
        <v>4.8179457449851002</v>
      </c>
      <c r="N176" s="421">
        <v>0</v>
      </c>
      <c r="O176" s="421">
        <v>0</v>
      </c>
      <c r="P176" s="421">
        <v>64.825401386295795</v>
      </c>
      <c r="Q176" s="421">
        <v>0</v>
      </c>
      <c r="R176" s="421">
        <v>-56.209367024826101</v>
      </c>
      <c r="S176" s="429">
        <v>25.478844468917501</v>
      </c>
      <c r="T176" s="412"/>
    </row>
    <row r="177" spans="2:20" ht="13.5">
      <c r="B177" s="412"/>
      <c r="C177" s="428" t="s">
        <v>356</v>
      </c>
      <c r="D177" s="421">
        <v>2.3505202026367198</v>
      </c>
      <c r="E177" s="421">
        <v>-9.55788774276051</v>
      </c>
      <c r="F177" s="421">
        <v>12.5011526289501</v>
      </c>
      <c r="G177" s="421">
        <v>0</v>
      </c>
      <c r="H177" s="421">
        <v>0</v>
      </c>
      <c r="I177" s="421">
        <v>0</v>
      </c>
      <c r="J177" s="421">
        <v>0</v>
      </c>
      <c r="K177" s="421">
        <v>0</v>
      </c>
      <c r="L177" s="421">
        <v>0</v>
      </c>
      <c r="M177" s="421">
        <v>0</v>
      </c>
      <c r="N177" s="421">
        <v>0</v>
      </c>
      <c r="O177" s="421">
        <v>0</v>
      </c>
      <c r="P177" s="421">
        <v>0</v>
      </c>
      <c r="Q177" s="421">
        <v>0</v>
      </c>
      <c r="R177" s="421">
        <v>0</v>
      </c>
      <c r="S177" s="429">
        <v>5.2937850888262901</v>
      </c>
      <c r="T177" s="412"/>
    </row>
    <row r="178" spans="2:20" ht="13.5">
      <c r="B178" s="412"/>
      <c r="C178" s="428" t="s">
        <v>75</v>
      </c>
      <c r="D178" s="421">
        <v>3.4784289550781202</v>
      </c>
      <c r="E178" s="421">
        <v>0</v>
      </c>
      <c r="F178" s="421">
        <v>17.757847143387401</v>
      </c>
      <c r="G178" s="421">
        <v>3.6194670795198398</v>
      </c>
      <c r="H178" s="421">
        <v>0</v>
      </c>
      <c r="I178" s="421">
        <v>0</v>
      </c>
      <c r="J178" s="421">
        <v>0</v>
      </c>
      <c r="K178" s="421">
        <v>0</v>
      </c>
      <c r="L178" s="421">
        <v>0</v>
      </c>
      <c r="M178" s="421">
        <v>1.55120017693708</v>
      </c>
      <c r="N178" s="421">
        <v>0</v>
      </c>
      <c r="O178" s="421">
        <v>0</v>
      </c>
      <c r="P178" s="421">
        <v>36.310454545454498</v>
      </c>
      <c r="Q178" s="421">
        <v>0</v>
      </c>
      <c r="R178" s="421">
        <v>0</v>
      </c>
      <c r="S178" s="429">
        <v>62.717397900377001</v>
      </c>
      <c r="T178" s="412"/>
    </row>
    <row r="179" spans="2:20" ht="13.5">
      <c r="B179" s="412"/>
      <c r="C179" s="428" t="s">
        <v>76</v>
      </c>
      <c r="D179" s="421">
        <v>0</v>
      </c>
      <c r="E179" s="421">
        <v>0</v>
      </c>
      <c r="F179" s="421">
        <v>0</v>
      </c>
      <c r="G179" s="421">
        <v>1.70713713627872</v>
      </c>
      <c r="H179" s="421">
        <v>0</v>
      </c>
      <c r="I179" s="421">
        <v>0</v>
      </c>
      <c r="J179" s="421">
        <v>0</v>
      </c>
      <c r="K179" s="421">
        <v>0</v>
      </c>
      <c r="L179" s="421">
        <v>0</v>
      </c>
      <c r="M179" s="421">
        <v>0.73163020126230904</v>
      </c>
      <c r="N179" s="421">
        <v>0</v>
      </c>
      <c r="O179" s="421">
        <v>0</v>
      </c>
      <c r="P179" s="421">
        <v>49.155979731830001</v>
      </c>
      <c r="Q179" s="421">
        <v>6.0356689649720803</v>
      </c>
      <c r="R179" s="421">
        <v>0</v>
      </c>
      <c r="S179" s="429">
        <v>57.630416034343099</v>
      </c>
      <c r="T179" s="412"/>
    </row>
    <row r="180" spans="2:20" ht="13.5">
      <c r="B180" s="412"/>
      <c r="C180" s="424" t="s">
        <v>77</v>
      </c>
      <c r="D180" s="425">
        <v>5.82894915771484</v>
      </c>
      <c r="E180" s="425">
        <v>266.28302835422397</v>
      </c>
      <c r="F180" s="425">
        <v>-242.82350716367699</v>
      </c>
      <c r="G180" s="425">
        <v>34.442406836337</v>
      </c>
      <c r="H180" s="425">
        <v>919.39393939393995</v>
      </c>
      <c r="I180" s="425">
        <v>297.2</v>
      </c>
      <c r="J180" s="425">
        <v>209.44164075429899</v>
      </c>
      <c r="K180" s="425">
        <v>33.113501041086799</v>
      </c>
      <c r="L180" s="425">
        <v>-113.892858903923</v>
      </c>
      <c r="M180" s="425">
        <v>-46.939782138500803</v>
      </c>
      <c r="N180" s="425">
        <v>0</v>
      </c>
      <c r="O180" s="425">
        <v>11.2068466425665</v>
      </c>
      <c r="P180" s="425">
        <v>-465.20816433642</v>
      </c>
      <c r="Q180" s="425">
        <v>-71.853201963953296</v>
      </c>
      <c r="R180" s="425">
        <v>-24.431654611431401</v>
      </c>
      <c r="S180" s="425">
        <v>811.76114306226202</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1.2914218900282399</v>
      </c>
      <c r="E182" s="421">
        <v>0</v>
      </c>
      <c r="F182" s="421">
        <v>7.8764387202852104</v>
      </c>
      <c r="G182" s="421">
        <v>53.350379932057301</v>
      </c>
      <c r="H182" s="421">
        <v>0</v>
      </c>
      <c r="I182" s="421">
        <v>0</v>
      </c>
      <c r="J182" s="421">
        <v>14.620158681310601</v>
      </c>
      <c r="K182" s="421">
        <v>5.28567642372757</v>
      </c>
      <c r="L182" s="421">
        <v>4.3757583007812499</v>
      </c>
      <c r="M182" s="421">
        <v>22.864448542310299</v>
      </c>
      <c r="N182" s="421">
        <v>0</v>
      </c>
      <c r="O182" s="421">
        <v>0</v>
      </c>
      <c r="P182" s="421">
        <v>138.83144142059001</v>
      </c>
      <c r="Q182" s="421">
        <v>24.198968897330399</v>
      </c>
      <c r="R182" s="421">
        <v>6.850041015625</v>
      </c>
      <c r="S182" s="429">
        <v>279.54473382404501</v>
      </c>
      <c r="T182" s="412"/>
    </row>
    <row r="183" spans="2:20" ht="13.5">
      <c r="B183" s="412"/>
      <c r="C183" s="428" t="s">
        <v>79</v>
      </c>
      <c r="D183" s="421">
        <v>0</v>
      </c>
      <c r="E183" s="421">
        <v>0</v>
      </c>
      <c r="F183" s="421">
        <v>51.208587064668897</v>
      </c>
      <c r="G183" s="421">
        <v>17.942066440325</v>
      </c>
      <c r="H183" s="421">
        <v>0</v>
      </c>
      <c r="I183" s="421">
        <v>0</v>
      </c>
      <c r="J183" s="421">
        <v>0</v>
      </c>
      <c r="K183" s="421">
        <v>0</v>
      </c>
      <c r="L183" s="421">
        <v>51.332808564474597</v>
      </c>
      <c r="M183" s="421">
        <v>7.6894570458535796</v>
      </c>
      <c r="N183" s="421">
        <v>0</v>
      </c>
      <c r="O183" s="421">
        <v>0</v>
      </c>
      <c r="P183" s="421">
        <v>81.112108407408201</v>
      </c>
      <c r="Q183" s="421">
        <v>0</v>
      </c>
      <c r="R183" s="421">
        <v>4.6183032107255597</v>
      </c>
      <c r="S183" s="429">
        <v>213.90333073345599</v>
      </c>
      <c r="T183" s="412"/>
    </row>
    <row r="184" spans="2:20" ht="13.5">
      <c r="B184" s="412"/>
      <c r="C184" s="428" t="s">
        <v>80</v>
      </c>
      <c r="D184" s="421">
        <v>0</v>
      </c>
      <c r="E184" s="421">
        <v>0</v>
      </c>
      <c r="F184" s="421">
        <v>0.59878850754916801</v>
      </c>
      <c r="G184" s="421">
        <v>17.944335255265202</v>
      </c>
      <c r="H184" s="421">
        <v>0</v>
      </c>
      <c r="I184" s="421">
        <v>0</v>
      </c>
      <c r="J184" s="421">
        <v>58.7756577076902</v>
      </c>
      <c r="K184" s="421">
        <v>0</v>
      </c>
      <c r="L184" s="421">
        <v>0</v>
      </c>
      <c r="M184" s="421">
        <v>7.6904293951136404</v>
      </c>
      <c r="N184" s="421">
        <v>77.140439944189495</v>
      </c>
      <c r="O184" s="421">
        <v>2.3876725664027898</v>
      </c>
      <c r="P184" s="421">
        <v>147.94366969867801</v>
      </c>
      <c r="Q184" s="421">
        <v>35.899095037211403</v>
      </c>
      <c r="R184" s="421">
        <v>0</v>
      </c>
      <c r="S184" s="429">
        <v>348.3800881121</v>
      </c>
      <c r="T184" s="412"/>
    </row>
    <row r="185" spans="2:20" ht="13.5">
      <c r="B185" s="412"/>
      <c r="C185" s="428" t="s">
        <v>81</v>
      </c>
      <c r="D185" s="421">
        <v>0</v>
      </c>
      <c r="E185" s="421">
        <v>0</v>
      </c>
      <c r="F185" s="421">
        <v>1.41136233073529</v>
      </c>
      <c r="G185" s="421">
        <v>16.956940670956399</v>
      </c>
      <c r="H185" s="421">
        <v>0</v>
      </c>
      <c r="I185" s="421">
        <v>0</v>
      </c>
      <c r="J185" s="421">
        <v>7.1959049572050198</v>
      </c>
      <c r="K185" s="421">
        <v>0</v>
      </c>
      <c r="L185" s="421">
        <v>0</v>
      </c>
      <c r="M185" s="421">
        <v>7.2672602875527703</v>
      </c>
      <c r="N185" s="421">
        <v>14.587904232604499</v>
      </c>
      <c r="O185" s="421">
        <v>1.59893576487328</v>
      </c>
      <c r="P185" s="421">
        <v>113.624954527706</v>
      </c>
      <c r="Q185" s="421">
        <v>11.7551380294114</v>
      </c>
      <c r="R185" s="421">
        <v>0</v>
      </c>
      <c r="S185" s="429">
        <v>174.398400801045</v>
      </c>
      <c r="T185" s="412"/>
    </row>
    <row r="186" spans="2:20" ht="13.5">
      <c r="B186" s="412"/>
      <c r="C186" s="428" t="s">
        <v>82</v>
      </c>
      <c r="D186" s="421">
        <v>0</v>
      </c>
      <c r="E186" s="421">
        <v>0</v>
      </c>
      <c r="F186" s="421">
        <v>9.3172526318529894</v>
      </c>
      <c r="G186" s="421">
        <v>1.0420091806317999</v>
      </c>
      <c r="H186" s="421">
        <v>0</v>
      </c>
      <c r="I186" s="421">
        <v>0</v>
      </c>
      <c r="J186" s="421">
        <v>3.6844952632387198</v>
      </c>
      <c r="K186" s="421">
        <v>0</v>
      </c>
      <c r="L186" s="421">
        <v>14.271913525768101</v>
      </c>
      <c r="M186" s="421">
        <v>0.44657536312791402</v>
      </c>
      <c r="N186" s="421">
        <v>0</v>
      </c>
      <c r="O186" s="421">
        <v>1.30062038140516</v>
      </c>
      <c r="P186" s="421">
        <v>6.3926896744698603</v>
      </c>
      <c r="Q186" s="421">
        <v>0</v>
      </c>
      <c r="R186" s="421">
        <v>0.325155095351289</v>
      </c>
      <c r="S186" s="429">
        <v>36.780711115845897</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3.2</v>
      </c>
      <c r="Q187" s="421">
        <v>0</v>
      </c>
      <c r="R187" s="421">
        <v>0</v>
      </c>
      <c r="S187" s="429">
        <v>3.2</v>
      </c>
      <c r="T187" s="412"/>
    </row>
    <row r="188" spans="2:20" ht="13.5">
      <c r="B188" s="412"/>
      <c r="C188" s="424" t="s">
        <v>83</v>
      </c>
      <c r="D188" s="425">
        <v>1.2914218900282399</v>
      </c>
      <c r="E188" s="425">
        <v>0</v>
      </c>
      <c r="F188" s="425">
        <v>70.412429255091595</v>
      </c>
      <c r="G188" s="425">
        <v>107.23573147923599</v>
      </c>
      <c r="H188" s="425">
        <v>0</v>
      </c>
      <c r="I188" s="425">
        <v>0</v>
      </c>
      <c r="J188" s="425">
        <v>84.276216609444504</v>
      </c>
      <c r="K188" s="425">
        <v>5.28567642372757</v>
      </c>
      <c r="L188" s="425">
        <v>69.980480391024003</v>
      </c>
      <c r="M188" s="425">
        <v>45.958170633958197</v>
      </c>
      <c r="N188" s="425">
        <v>91.728344176793996</v>
      </c>
      <c r="O188" s="425">
        <v>5.2872287126812303</v>
      </c>
      <c r="P188" s="425">
        <v>491.10486372885202</v>
      </c>
      <c r="Q188" s="425">
        <v>71.853201963953296</v>
      </c>
      <c r="R188" s="425">
        <v>11.7934993217019</v>
      </c>
      <c r="S188" s="425">
        <v>1056.2072645864901</v>
      </c>
      <c r="T188" s="412"/>
    </row>
    <row r="189" spans="2:20" ht="13.5">
      <c r="B189" s="412"/>
      <c r="C189" s="420" t="s">
        <v>84</v>
      </c>
      <c r="D189" s="421">
        <v>0.373544097900391</v>
      </c>
      <c r="E189" s="421">
        <v>0</v>
      </c>
      <c r="F189" s="421">
        <v>89.657923262728701</v>
      </c>
      <c r="G189" s="421">
        <v>7.94167912920852</v>
      </c>
      <c r="H189" s="421">
        <v>0</v>
      </c>
      <c r="I189" s="421">
        <v>0</v>
      </c>
      <c r="J189" s="421">
        <v>0</v>
      </c>
      <c r="K189" s="421">
        <v>0</v>
      </c>
      <c r="L189" s="421">
        <v>17.754065118408199</v>
      </c>
      <c r="M189" s="421">
        <v>0</v>
      </c>
      <c r="N189" s="421">
        <v>0</v>
      </c>
      <c r="O189" s="421">
        <v>0</v>
      </c>
      <c r="P189" s="421">
        <v>0</v>
      </c>
      <c r="Q189" s="421">
        <v>0</v>
      </c>
      <c r="R189" s="421">
        <v>11.9306222900391</v>
      </c>
      <c r="S189" s="429">
        <v>127.65783389828501</v>
      </c>
      <c r="T189" s="412"/>
    </row>
    <row r="190" spans="2:20" ht="13.5">
      <c r="B190" s="412"/>
      <c r="C190" s="424" t="s">
        <v>85</v>
      </c>
      <c r="D190" s="425">
        <v>1.66496598792863</v>
      </c>
      <c r="E190" s="425">
        <v>0</v>
      </c>
      <c r="F190" s="425">
        <v>160.07035251782</v>
      </c>
      <c r="G190" s="425">
        <v>115.17741060844401</v>
      </c>
      <c r="H190" s="425">
        <v>0</v>
      </c>
      <c r="I190" s="425">
        <v>0</v>
      </c>
      <c r="J190" s="425">
        <v>84.276216609444504</v>
      </c>
      <c r="K190" s="425">
        <v>5.28567642372757</v>
      </c>
      <c r="L190" s="425">
        <v>87.734545509432195</v>
      </c>
      <c r="M190" s="425">
        <v>45.958170633958197</v>
      </c>
      <c r="N190" s="425">
        <v>91.728344176793996</v>
      </c>
      <c r="O190" s="425">
        <v>5.2872287126812303</v>
      </c>
      <c r="P190" s="425">
        <v>491.10486372885202</v>
      </c>
      <c r="Q190" s="425">
        <v>71.853201963953296</v>
      </c>
      <c r="R190" s="425">
        <v>23.724121611740902</v>
      </c>
      <c r="S190" s="425">
        <v>1183.86509848478</v>
      </c>
      <c r="T190" s="412"/>
    </row>
    <row r="191" spans="2:20">
      <c r="B191" s="412"/>
      <c r="C191" s="412"/>
      <c r="D191" s="430">
        <f t="shared" ref="D191:S191" si="4">D190+D180-D166</f>
        <v>-9.7699626167013776E-15</v>
      </c>
      <c r="E191" s="430">
        <f t="shared" si="4"/>
        <v>0</v>
      </c>
      <c r="F191" s="430">
        <f t="shared" si="4"/>
        <v>-2.9842794901924208E-13</v>
      </c>
      <c r="G191" s="430">
        <f t="shared" si="4"/>
        <v>0</v>
      </c>
      <c r="H191" s="430">
        <f t="shared" si="4"/>
        <v>0</v>
      </c>
      <c r="I191" s="430">
        <f t="shared" si="4"/>
        <v>0</v>
      </c>
      <c r="J191" s="430">
        <f t="shared" si="4"/>
        <v>5.1159076974727213E-13</v>
      </c>
      <c r="K191" s="430">
        <f t="shared" si="4"/>
        <v>0</v>
      </c>
      <c r="L191" s="430">
        <f t="shared" si="4"/>
        <v>-4.0500935938325711E-13</v>
      </c>
      <c r="M191" s="430">
        <f t="shared" si="4"/>
        <v>-2.19824158875781E-14</v>
      </c>
      <c r="N191" s="430">
        <f t="shared" si="4"/>
        <v>0</v>
      </c>
      <c r="O191" s="430">
        <f t="shared" si="4"/>
        <v>-7.1054273576010019E-14</v>
      </c>
      <c r="P191" s="430">
        <f t="shared" si="4"/>
        <v>-4.7251091928046662E-13</v>
      </c>
      <c r="Q191" s="430">
        <f t="shared" si="4"/>
        <v>0</v>
      </c>
      <c r="R191" s="430">
        <f t="shared" si="4"/>
        <v>-4.7739590058881731E-14</v>
      </c>
      <c r="S191" s="430">
        <f t="shared" si="4"/>
        <v>1.8189894035458565E-12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364</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0</v>
      </c>
      <c r="F197" s="421">
        <v>0</v>
      </c>
      <c r="G197" s="421">
        <v>0</v>
      </c>
      <c r="H197" s="422">
        <v>842.12121212121201</v>
      </c>
      <c r="I197" s="422">
        <v>358.55</v>
      </c>
      <c r="J197" s="422">
        <v>303.87805553693403</v>
      </c>
      <c r="K197" s="422">
        <v>37.407021205815497</v>
      </c>
      <c r="L197" s="421">
        <v>0</v>
      </c>
      <c r="M197" s="421">
        <v>0</v>
      </c>
      <c r="N197" s="422">
        <v>108.611838905018</v>
      </c>
      <c r="O197" s="422">
        <v>19.501173338019399</v>
      </c>
      <c r="P197" s="421">
        <v>0</v>
      </c>
      <c r="Q197" s="421">
        <v>0</v>
      </c>
      <c r="R197" s="421">
        <v>0</v>
      </c>
      <c r="S197" s="423">
        <v>1670.069301107</v>
      </c>
      <c r="T197" s="412"/>
    </row>
    <row r="198" spans="2:20" ht="13.5">
      <c r="B198" s="412"/>
      <c r="C198" s="420" t="s">
        <v>60</v>
      </c>
      <c r="D198" s="421">
        <v>5.7319330443436396</v>
      </c>
      <c r="E198" s="421">
        <v>189.941148015496</v>
      </c>
      <c r="F198" s="421">
        <v>0</v>
      </c>
      <c r="G198" s="421">
        <v>90.6863865174073</v>
      </c>
      <c r="H198" s="421">
        <v>0</v>
      </c>
      <c r="I198" s="421">
        <v>0</v>
      </c>
      <c r="J198" s="421">
        <v>0</v>
      </c>
      <c r="K198" s="421">
        <v>0</v>
      </c>
      <c r="L198" s="421">
        <v>0</v>
      </c>
      <c r="M198" s="421">
        <v>0</v>
      </c>
      <c r="N198" s="421">
        <v>0</v>
      </c>
      <c r="O198" s="421">
        <v>0</v>
      </c>
      <c r="P198" s="421">
        <v>18.852796757266699</v>
      </c>
      <c r="Q198" s="421">
        <v>0</v>
      </c>
      <c r="R198" s="421">
        <v>0</v>
      </c>
      <c r="S198" s="423">
        <v>305.21226433451301</v>
      </c>
      <c r="T198" s="412"/>
    </row>
    <row r="199" spans="2:20" ht="13.5">
      <c r="B199" s="412"/>
      <c r="C199" s="420" t="s">
        <v>61</v>
      </c>
      <c r="D199" s="421">
        <v>0</v>
      </c>
      <c r="E199" s="421">
        <v>0</v>
      </c>
      <c r="F199" s="421">
        <v>-18.054674208998499</v>
      </c>
      <c r="G199" s="421">
        <v>0</v>
      </c>
      <c r="H199" s="421">
        <v>0</v>
      </c>
      <c r="I199" s="421">
        <v>0</v>
      </c>
      <c r="J199" s="421">
        <v>0</v>
      </c>
      <c r="K199" s="421">
        <v>0</v>
      </c>
      <c r="L199" s="421">
        <v>0</v>
      </c>
      <c r="M199" s="421">
        <v>0</v>
      </c>
      <c r="N199" s="421">
        <v>0</v>
      </c>
      <c r="O199" s="421">
        <v>0</v>
      </c>
      <c r="P199" s="421">
        <v>0</v>
      </c>
      <c r="Q199" s="421">
        <v>0</v>
      </c>
      <c r="R199" s="421">
        <v>0</v>
      </c>
      <c r="S199" s="423">
        <v>-18.054674208998499</v>
      </c>
      <c r="T199" s="412"/>
    </row>
    <row r="200" spans="2:20" ht="13.5">
      <c r="B200" s="412"/>
      <c r="C200" s="420" t="s">
        <v>62</v>
      </c>
      <c r="D200" s="421">
        <v>0</v>
      </c>
      <c r="E200" s="421">
        <v>0</v>
      </c>
      <c r="F200" s="421">
        <v>-7.5188933675233596</v>
      </c>
      <c r="G200" s="421">
        <v>-2.1851276585702299</v>
      </c>
      <c r="H200" s="421">
        <v>0</v>
      </c>
      <c r="I200" s="421">
        <v>0</v>
      </c>
      <c r="J200" s="421">
        <v>0</v>
      </c>
      <c r="K200" s="421">
        <v>0</v>
      </c>
      <c r="L200" s="421">
        <v>0</v>
      </c>
      <c r="M200" s="421">
        <v>-2.1851276585702299</v>
      </c>
      <c r="N200" s="421">
        <v>0</v>
      </c>
      <c r="O200" s="421">
        <v>0</v>
      </c>
      <c r="P200" s="421">
        <v>0</v>
      </c>
      <c r="Q200" s="421">
        <v>0</v>
      </c>
      <c r="R200" s="421">
        <v>0</v>
      </c>
      <c r="S200" s="423">
        <v>-11.8891486846638</v>
      </c>
      <c r="T200" s="412"/>
    </row>
    <row r="201" spans="2:20" ht="13.5">
      <c r="B201" s="412"/>
      <c r="C201" s="420" t="s">
        <v>63</v>
      </c>
      <c r="D201" s="421">
        <v>0</v>
      </c>
      <c r="E201" s="421">
        <v>0</v>
      </c>
      <c r="F201" s="421">
        <v>-48.913982221755198</v>
      </c>
      <c r="G201" s="421">
        <v>0</v>
      </c>
      <c r="H201" s="421">
        <v>0</v>
      </c>
      <c r="I201" s="421">
        <v>0</v>
      </c>
      <c r="J201" s="421">
        <v>0</v>
      </c>
      <c r="K201" s="421">
        <v>0</v>
      </c>
      <c r="L201" s="421">
        <v>-32.619142548425003</v>
      </c>
      <c r="M201" s="421">
        <v>0</v>
      </c>
      <c r="N201" s="421">
        <v>0</v>
      </c>
      <c r="O201" s="421">
        <v>0</v>
      </c>
      <c r="P201" s="421">
        <v>0</v>
      </c>
      <c r="Q201" s="421">
        <v>0</v>
      </c>
      <c r="R201" s="421">
        <v>-1.6805745775177701</v>
      </c>
      <c r="S201" s="423">
        <v>-83.213699347697997</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5.7319330443436396</v>
      </c>
      <c r="E203" s="425">
        <v>189.941148015496</v>
      </c>
      <c r="F203" s="425">
        <v>-74.487549798277101</v>
      </c>
      <c r="G203" s="425">
        <v>88.501258858837105</v>
      </c>
      <c r="H203" s="425">
        <v>842.12121212121201</v>
      </c>
      <c r="I203" s="425">
        <v>358.55</v>
      </c>
      <c r="J203" s="425">
        <v>303.87805553693403</v>
      </c>
      <c r="K203" s="425">
        <v>37.407021205815497</v>
      </c>
      <c r="L203" s="425">
        <v>-32.619142548425003</v>
      </c>
      <c r="M203" s="425">
        <v>-2.1851276585702299</v>
      </c>
      <c r="N203" s="425">
        <v>108.611838905018</v>
      </c>
      <c r="O203" s="425">
        <v>19.501173338019399</v>
      </c>
      <c r="P203" s="425">
        <v>18.852796757266699</v>
      </c>
      <c r="Q203" s="425">
        <v>0</v>
      </c>
      <c r="R203" s="425">
        <v>-1.6805745775177701</v>
      </c>
      <c r="S203" s="425">
        <v>1862.12404320015</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0</v>
      </c>
      <c r="E206" s="421">
        <v>0</v>
      </c>
      <c r="F206" s="421">
        <v>0</v>
      </c>
      <c r="G206" s="421">
        <v>2.3404255319148901</v>
      </c>
      <c r="H206" s="421">
        <v>842.12121212121201</v>
      </c>
      <c r="I206" s="421">
        <v>358.55</v>
      </c>
      <c r="J206" s="421">
        <v>16.2099501273347</v>
      </c>
      <c r="K206" s="421">
        <v>4.5869971469173096</v>
      </c>
      <c r="L206" s="421">
        <v>0</v>
      </c>
      <c r="M206" s="421">
        <v>2.3404255319148901</v>
      </c>
      <c r="N206" s="421">
        <v>0</v>
      </c>
      <c r="O206" s="421">
        <v>0</v>
      </c>
      <c r="P206" s="421">
        <v>-649</v>
      </c>
      <c r="Q206" s="421">
        <v>0</v>
      </c>
      <c r="R206" s="421">
        <v>4.25</v>
      </c>
      <c r="S206" s="429">
        <v>581.399010459294</v>
      </c>
      <c r="T206" s="412"/>
    </row>
    <row r="207" spans="2:20" ht="13.5">
      <c r="B207" s="412"/>
      <c r="C207" s="428" t="s">
        <v>351</v>
      </c>
      <c r="D207" s="421">
        <v>0</v>
      </c>
      <c r="E207" s="421">
        <v>0</v>
      </c>
      <c r="F207" s="421">
        <v>0</v>
      </c>
      <c r="G207" s="421">
        <v>6.6963140641677699</v>
      </c>
      <c r="H207" s="421">
        <v>0</v>
      </c>
      <c r="I207" s="421">
        <v>0</v>
      </c>
      <c r="J207" s="421">
        <v>28.753458003311501</v>
      </c>
      <c r="K207" s="421">
        <v>27.176732157472099</v>
      </c>
      <c r="L207" s="421">
        <v>0</v>
      </c>
      <c r="M207" s="421">
        <v>6.6963140641677699</v>
      </c>
      <c r="N207" s="421">
        <v>0</v>
      </c>
      <c r="O207" s="421">
        <v>13.1597379771096</v>
      </c>
      <c r="P207" s="421">
        <v>0</v>
      </c>
      <c r="Q207" s="421">
        <v>-76.511380322397699</v>
      </c>
      <c r="R207" s="421">
        <v>0</v>
      </c>
      <c r="S207" s="429">
        <v>5.9711759438309997</v>
      </c>
      <c r="T207" s="412"/>
    </row>
    <row r="208" spans="2:20" ht="13.5">
      <c r="B208" s="412"/>
      <c r="C208" s="428" t="s">
        <v>352</v>
      </c>
      <c r="D208" s="421">
        <v>0</v>
      </c>
      <c r="E208" s="421">
        <v>0</v>
      </c>
      <c r="F208" s="421">
        <v>0</v>
      </c>
      <c r="G208" s="421">
        <v>0</v>
      </c>
      <c r="H208" s="421">
        <v>0</v>
      </c>
      <c r="I208" s="421">
        <v>0</v>
      </c>
      <c r="J208" s="421">
        <v>90.986216688587803</v>
      </c>
      <c r="K208" s="421">
        <v>0</v>
      </c>
      <c r="L208" s="421">
        <v>0</v>
      </c>
      <c r="M208" s="421">
        <v>-84.958379832968902</v>
      </c>
      <c r="N208" s="421">
        <v>0</v>
      </c>
      <c r="O208" s="421">
        <v>0</v>
      </c>
      <c r="P208" s="421">
        <v>0</v>
      </c>
      <c r="Q208" s="421">
        <v>0</v>
      </c>
      <c r="R208" s="421">
        <v>0</v>
      </c>
      <c r="S208" s="429">
        <v>6.0278368556189399</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196.75884188687601</v>
      </c>
      <c r="F210" s="421">
        <v>-194.791253468007</v>
      </c>
      <c r="G210" s="421">
        <v>0</v>
      </c>
      <c r="H210" s="421">
        <v>0</v>
      </c>
      <c r="I210" s="421">
        <v>0</v>
      </c>
      <c r="J210" s="421">
        <v>0</v>
      </c>
      <c r="K210" s="421">
        <v>0</v>
      </c>
      <c r="L210" s="421">
        <v>0</v>
      </c>
      <c r="M210" s="421">
        <v>0</v>
      </c>
      <c r="N210" s="421">
        <v>0</v>
      </c>
      <c r="O210" s="421">
        <v>0</v>
      </c>
      <c r="P210" s="421">
        <v>0</v>
      </c>
      <c r="Q210" s="421">
        <v>0</v>
      </c>
      <c r="R210" s="421">
        <v>0</v>
      </c>
      <c r="S210" s="429">
        <v>1.96758841886876</v>
      </c>
      <c r="T210" s="412"/>
    </row>
    <row r="211" spans="2:20" ht="13.5">
      <c r="B211" s="412"/>
      <c r="C211" s="428" t="s">
        <v>354</v>
      </c>
      <c r="D211" s="421">
        <v>0</v>
      </c>
      <c r="E211" s="421">
        <v>0</v>
      </c>
      <c r="F211" s="421">
        <v>0</v>
      </c>
      <c r="G211" s="421">
        <v>0</v>
      </c>
      <c r="H211" s="421">
        <v>0</v>
      </c>
      <c r="I211" s="421">
        <v>0</v>
      </c>
      <c r="J211" s="421">
        <v>91.449866331740793</v>
      </c>
      <c r="K211" s="421">
        <v>0</v>
      </c>
      <c r="L211" s="421">
        <v>-91.449866331740793</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-17.484851678047999</v>
      </c>
      <c r="M212" s="421">
        <v>0</v>
      </c>
      <c r="N212" s="421">
        <v>0</v>
      </c>
      <c r="O212" s="421">
        <v>0</v>
      </c>
      <c r="P212" s="421">
        <v>0</v>
      </c>
      <c r="Q212" s="421">
        <v>0</v>
      </c>
      <c r="R212" s="421">
        <v>24.978359540068499</v>
      </c>
      <c r="S212" s="429">
        <v>7.4935078620205502</v>
      </c>
      <c r="T212" s="412"/>
    </row>
    <row r="213" spans="2:20" ht="13.5">
      <c r="B213" s="412"/>
      <c r="C213" s="428" t="s">
        <v>73</v>
      </c>
      <c r="D213" s="421">
        <v>0</v>
      </c>
      <c r="E213" s="421">
        <v>0</v>
      </c>
      <c r="F213" s="421">
        <v>0</v>
      </c>
      <c r="G213" s="421">
        <v>4.42513238078282</v>
      </c>
      <c r="H213" s="421">
        <v>0</v>
      </c>
      <c r="I213" s="421">
        <v>0</v>
      </c>
      <c r="J213" s="421">
        <v>0</v>
      </c>
      <c r="K213" s="421">
        <v>0.88502647615656305</v>
      </c>
      <c r="L213" s="421">
        <v>0</v>
      </c>
      <c r="M213" s="421">
        <v>4.42513238078282</v>
      </c>
      <c r="N213" s="421">
        <v>0</v>
      </c>
      <c r="O213" s="421">
        <v>0</v>
      </c>
      <c r="P213" s="421">
        <v>78.487045501144294</v>
      </c>
      <c r="Q213" s="421">
        <v>0</v>
      </c>
      <c r="R213" s="421">
        <v>-61.951853330959402</v>
      </c>
      <c r="S213" s="429">
        <v>26.270483407907101</v>
      </c>
      <c r="T213" s="412"/>
    </row>
    <row r="214" spans="2:20" ht="13.5">
      <c r="B214" s="412"/>
      <c r="C214" s="428" t="s">
        <v>356</v>
      </c>
      <c r="D214" s="421">
        <v>1.4001075134277301</v>
      </c>
      <c r="E214" s="421">
        <v>-6.81769387138025</v>
      </c>
      <c r="F214" s="421">
        <v>8.9171408952922295</v>
      </c>
      <c r="G214" s="421">
        <v>0</v>
      </c>
      <c r="H214" s="421">
        <v>0</v>
      </c>
      <c r="I214" s="421">
        <v>0</v>
      </c>
      <c r="J214" s="421">
        <v>0</v>
      </c>
      <c r="K214" s="421">
        <v>0</v>
      </c>
      <c r="L214" s="421">
        <v>0</v>
      </c>
      <c r="M214" s="421">
        <v>0</v>
      </c>
      <c r="N214" s="421">
        <v>0</v>
      </c>
      <c r="O214" s="421">
        <v>0</v>
      </c>
      <c r="P214" s="421">
        <v>0</v>
      </c>
      <c r="Q214" s="421">
        <v>0</v>
      </c>
      <c r="R214" s="421">
        <v>0</v>
      </c>
      <c r="S214" s="429">
        <v>3.4995545373397099</v>
      </c>
      <c r="T214" s="412"/>
    </row>
    <row r="215" spans="2:20" ht="13.5">
      <c r="B215" s="412"/>
      <c r="C215" s="428" t="s">
        <v>75</v>
      </c>
      <c r="D215" s="421">
        <v>2.5854230957031201</v>
      </c>
      <c r="E215" s="421">
        <v>0</v>
      </c>
      <c r="F215" s="421">
        <v>17.0641175716937</v>
      </c>
      <c r="G215" s="421">
        <v>2.4843347641142302</v>
      </c>
      <c r="H215" s="421">
        <v>0</v>
      </c>
      <c r="I215" s="421">
        <v>0</v>
      </c>
      <c r="J215" s="421">
        <v>0</v>
      </c>
      <c r="K215" s="421">
        <v>0</v>
      </c>
      <c r="L215" s="421">
        <v>0</v>
      </c>
      <c r="M215" s="421">
        <v>2.4843347641142302</v>
      </c>
      <c r="N215" s="421">
        <v>0</v>
      </c>
      <c r="O215" s="421">
        <v>0</v>
      </c>
      <c r="P215" s="421">
        <v>36.438409090909097</v>
      </c>
      <c r="Q215" s="421">
        <v>0</v>
      </c>
      <c r="R215" s="421">
        <v>0</v>
      </c>
      <c r="S215" s="429">
        <v>61.056619286534399</v>
      </c>
      <c r="T215" s="412"/>
    </row>
    <row r="216" spans="2:20" ht="13.5">
      <c r="B216" s="412"/>
      <c r="C216" s="428" t="s">
        <v>76</v>
      </c>
      <c r="D216" s="421">
        <v>0</v>
      </c>
      <c r="E216" s="421">
        <v>0</v>
      </c>
      <c r="F216" s="421">
        <v>0</v>
      </c>
      <c r="G216" s="421">
        <v>1.00741161857275</v>
      </c>
      <c r="H216" s="421">
        <v>0</v>
      </c>
      <c r="I216" s="421">
        <v>0</v>
      </c>
      <c r="J216" s="421">
        <v>0</v>
      </c>
      <c r="K216" s="421">
        <v>0</v>
      </c>
      <c r="L216" s="421">
        <v>0</v>
      </c>
      <c r="M216" s="421">
        <v>1.00741161857275</v>
      </c>
      <c r="N216" s="421">
        <v>0</v>
      </c>
      <c r="O216" s="421">
        <v>0</v>
      </c>
      <c r="P216" s="421">
        <v>51.1835476739179</v>
      </c>
      <c r="Q216" s="421">
        <v>5.9289261504441004</v>
      </c>
      <c r="R216" s="421">
        <v>0</v>
      </c>
      <c r="S216" s="429">
        <v>59.127297061507498</v>
      </c>
      <c r="T216" s="412"/>
    </row>
    <row r="217" spans="2:20" ht="13.5">
      <c r="B217" s="412"/>
      <c r="C217" s="424" t="s">
        <v>77</v>
      </c>
      <c r="D217" s="425">
        <v>3.9855306091308602</v>
      </c>
      <c r="E217" s="425">
        <v>189.941148015496</v>
      </c>
      <c r="F217" s="425">
        <v>-168.80999500102101</v>
      </c>
      <c r="G217" s="425">
        <v>16.9536183595525</v>
      </c>
      <c r="H217" s="425">
        <v>842.12121212121201</v>
      </c>
      <c r="I217" s="425">
        <v>358.55</v>
      </c>
      <c r="J217" s="425">
        <v>227.399491150975</v>
      </c>
      <c r="K217" s="425">
        <v>32.648755780545898</v>
      </c>
      <c r="L217" s="425">
        <v>-108.93471800978899</v>
      </c>
      <c r="M217" s="425">
        <v>-68.004761473416394</v>
      </c>
      <c r="N217" s="425">
        <v>0</v>
      </c>
      <c r="O217" s="425">
        <v>13.1597379771096</v>
      </c>
      <c r="P217" s="425">
        <v>-482.89099773402899</v>
      </c>
      <c r="Q217" s="425">
        <v>-70.5824541719536</v>
      </c>
      <c r="R217" s="425">
        <v>-32.723493790890899</v>
      </c>
      <c r="S217" s="425">
        <v>752.81307383292199</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1.5178805846268399</v>
      </c>
      <c r="E219" s="421">
        <v>0</v>
      </c>
      <c r="F219" s="421">
        <v>3.8156525597214102</v>
      </c>
      <c r="G219" s="421">
        <v>34.872610284028198</v>
      </c>
      <c r="H219" s="421">
        <v>0</v>
      </c>
      <c r="I219" s="421">
        <v>0</v>
      </c>
      <c r="J219" s="421">
        <v>13.9901440703837</v>
      </c>
      <c r="K219" s="421">
        <v>4.7582654252696104</v>
      </c>
      <c r="L219" s="421">
        <v>6.41300463867187</v>
      </c>
      <c r="M219" s="421">
        <v>34.872610284028198</v>
      </c>
      <c r="N219" s="421">
        <v>0</v>
      </c>
      <c r="O219" s="421">
        <v>0</v>
      </c>
      <c r="P219" s="421">
        <v>145.025733372183</v>
      </c>
      <c r="Q219" s="421">
        <v>25.700704560405001</v>
      </c>
      <c r="R219" s="421">
        <v>7.9027373046875002</v>
      </c>
      <c r="S219" s="429">
        <v>278.869343084006</v>
      </c>
      <c r="T219" s="412"/>
    </row>
    <row r="220" spans="2:20" ht="13.5">
      <c r="B220" s="412"/>
      <c r="C220" s="428" t="s">
        <v>79</v>
      </c>
      <c r="D220" s="421">
        <v>0</v>
      </c>
      <c r="E220" s="421">
        <v>0</v>
      </c>
      <c r="F220" s="421">
        <v>11.854069156927601</v>
      </c>
      <c r="G220" s="421">
        <v>13.267062862305901</v>
      </c>
      <c r="H220" s="421">
        <v>0</v>
      </c>
      <c r="I220" s="421">
        <v>0</v>
      </c>
      <c r="J220" s="421">
        <v>0</v>
      </c>
      <c r="K220" s="421">
        <v>0</v>
      </c>
      <c r="L220" s="421">
        <v>27.757428361726902</v>
      </c>
      <c r="M220" s="421">
        <v>13.267062862305901</v>
      </c>
      <c r="N220" s="421">
        <v>0</v>
      </c>
      <c r="O220" s="421">
        <v>0</v>
      </c>
      <c r="P220" s="421">
        <v>93.188917438410897</v>
      </c>
      <c r="Q220" s="421">
        <v>0</v>
      </c>
      <c r="R220" s="421">
        <v>6.3130917169295104</v>
      </c>
      <c r="S220" s="429">
        <v>165.64763239860699</v>
      </c>
      <c r="T220" s="412"/>
    </row>
    <row r="221" spans="2:20" ht="13.5">
      <c r="B221" s="412"/>
      <c r="C221" s="428" t="s">
        <v>80</v>
      </c>
      <c r="D221" s="421">
        <v>0</v>
      </c>
      <c r="E221" s="421">
        <v>0</v>
      </c>
      <c r="F221" s="421">
        <v>0.44885731405196599</v>
      </c>
      <c r="G221" s="421">
        <v>9.8184562905500599</v>
      </c>
      <c r="H221" s="421">
        <v>0</v>
      </c>
      <c r="I221" s="421">
        <v>0</v>
      </c>
      <c r="J221" s="421">
        <v>50.991915500106103</v>
      </c>
      <c r="K221" s="421">
        <v>0</v>
      </c>
      <c r="L221" s="421">
        <v>0</v>
      </c>
      <c r="M221" s="421">
        <v>9.8184562905500599</v>
      </c>
      <c r="N221" s="421">
        <v>93.7833759251793</v>
      </c>
      <c r="O221" s="421">
        <v>3.0807413757867601</v>
      </c>
      <c r="P221" s="421">
        <v>141.51501783018901</v>
      </c>
      <c r="Q221" s="421">
        <v>31.5191114304906</v>
      </c>
      <c r="R221" s="421">
        <v>0</v>
      </c>
      <c r="S221" s="429">
        <v>340.97593195690399</v>
      </c>
      <c r="T221" s="412"/>
    </row>
    <row r="222" spans="2:20" ht="13.5">
      <c r="B222" s="412"/>
      <c r="C222" s="428" t="s">
        <v>81</v>
      </c>
      <c r="D222" s="421">
        <v>0</v>
      </c>
      <c r="E222" s="421">
        <v>0</v>
      </c>
      <c r="F222" s="421">
        <v>0.71263619754816998</v>
      </c>
      <c r="G222" s="421">
        <v>7.4036276177652596</v>
      </c>
      <c r="H222" s="421">
        <v>0</v>
      </c>
      <c r="I222" s="421">
        <v>0</v>
      </c>
      <c r="J222" s="421">
        <v>6.8658928642747901</v>
      </c>
      <c r="K222" s="421">
        <v>0</v>
      </c>
      <c r="L222" s="421">
        <v>0</v>
      </c>
      <c r="M222" s="421">
        <v>7.4036276177652596</v>
      </c>
      <c r="N222" s="421">
        <v>14.8284629798388</v>
      </c>
      <c r="O222" s="421">
        <v>1.5166802918751501</v>
      </c>
      <c r="P222" s="421">
        <v>111.39588290466099</v>
      </c>
      <c r="Q222" s="421">
        <v>13.362638181057999</v>
      </c>
      <c r="R222" s="421">
        <v>0</v>
      </c>
      <c r="S222" s="429">
        <v>163.489448654786</v>
      </c>
      <c r="T222" s="412"/>
    </row>
    <row r="223" spans="2:20" ht="13.5">
      <c r="B223" s="412"/>
      <c r="C223" s="428" t="s">
        <v>82</v>
      </c>
      <c r="D223" s="421">
        <v>0</v>
      </c>
      <c r="E223" s="421">
        <v>0</v>
      </c>
      <c r="F223" s="421">
        <v>2.8549378216016801</v>
      </c>
      <c r="G223" s="421">
        <v>0.45787676019682499</v>
      </c>
      <c r="H223" s="421">
        <v>0</v>
      </c>
      <c r="I223" s="421">
        <v>0</v>
      </c>
      <c r="J223" s="421">
        <v>4.6306119511950996</v>
      </c>
      <c r="K223" s="421">
        <v>0</v>
      </c>
      <c r="L223" s="421">
        <v>17.5819516131867</v>
      </c>
      <c r="M223" s="421">
        <v>0.45787676019682499</v>
      </c>
      <c r="N223" s="421">
        <v>0</v>
      </c>
      <c r="O223" s="421">
        <v>1.7440136932478201</v>
      </c>
      <c r="P223" s="421">
        <v>5.8182429458508897</v>
      </c>
      <c r="Q223" s="421">
        <v>0</v>
      </c>
      <c r="R223" s="421">
        <v>0.384274203596978</v>
      </c>
      <c r="S223" s="429">
        <v>33.929785749072799</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4.8</v>
      </c>
      <c r="Q224" s="421">
        <v>0</v>
      </c>
      <c r="R224" s="421">
        <v>0</v>
      </c>
      <c r="S224" s="429">
        <v>4.8</v>
      </c>
      <c r="T224" s="412"/>
    </row>
    <row r="225" spans="2:20" ht="13.5">
      <c r="B225" s="412"/>
      <c r="C225" s="424" t="s">
        <v>83</v>
      </c>
      <c r="D225" s="425">
        <v>1.5178805846268399</v>
      </c>
      <c r="E225" s="425">
        <v>0</v>
      </c>
      <c r="F225" s="425">
        <v>19.686153049850802</v>
      </c>
      <c r="G225" s="425">
        <v>65.819633814846199</v>
      </c>
      <c r="H225" s="425">
        <v>0</v>
      </c>
      <c r="I225" s="425">
        <v>0</v>
      </c>
      <c r="J225" s="425">
        <v>76.4785643859597</v>
      </c>
      <c r="K225" s="425">
        <v>4.7582654252696104</v>
      </c>
      <c r="L225" s="425">
        <v>51.752384613585399</v>
      </c>
      <c r="M225" s="425">
        <v>65.819633814846199</v>
      </c>
      <c r="N225" s="425">
        <v>108.611838905018</v>
      </c>
      <c r="O225" s="425">
        <v>6.34143536090974</v>
      </c>
      <c r="P225" s="425">
        <v>501.74379449129498</v>
      </c>
      <c r="Q225" s="425">
        <v>70.5824541719536</v>
      </c>
      <c r="R225" s="425">
        <v>14.600103225213999</v>
      </c>
      <c r="S225" s="425">
        <v>987.71214184337498</v>
      </c>
      <c r="T225" s="412"/>
    </row>
    <row r="226" spans="2:20" ht="13.5">
      <c r="B226" s="412"/>
      <c r="C226" s="420" t="s">
        <v>84</v>
      </c>
      <c r="D226" s="421">
        <v>0.22852185058593699</v>
      </c>
      <c r="E226" s="421">
        <v>0</v>
      </c>
      <c r="F226" s="421">
        <v>74.636292152893304</v>
      </c>
      <c r="G226" s="421">
        <v>5.7280066844384896</v>
      </c>
      <c r="H226" s="421">
        <v>0</v>
      </c>
      <c r="I226" s="421">
        <v>0</v>
      </c>
      <c r="J226" s="421">
        <v>0</v>
      </c>
      <c r="K226" s="421">
        <v>0</v>
      </c>
      <c r="L226" s="421">
        <v>24.563190847778301</v>
      </c>
      <c r="M226" s="421">
        <v>0</v>
      </c>
      <c r="N226" s="421">
        <v>0</v>
      </c>
      <c r="O226" s="421">
        <v>0</v>
      </c>
      <c r="P226" s="421">
        <v>0</v>
      </c>
      <c r="Q226" s="421">
        <v>0</v>
      </c>
      <c r="R226" s="421">
        <v>16.4428159881592</v>
      </c>
      <c r="S226" s="429">
        <v>121.59882752385499</v>
      </c>
      <c r="T226" s="412"/>
    </row>
    <row r="227" spans="2:20" ht="13.5">
      <c r="B227" s="412"/>
      <c r="C227" s="424" t="s">
        <v>85</v>
      </c>
      <c r="D227" s="425">
        <v>1.74640243521278</v>
      </c>
      <c r="E227" s="425">
        <v>0</v>
      </c>
      <c r="F227" s="425">
        <v>94.322445202744106</v>
      </c>
      <c r="G227" s="425">
        <v>71.547640499284697</v>
      </c>
      <c r="H227" s="425">
        <v>0</v>
      </c>
      <c r="I227" s="425">
        <v>0</v>
      </c>
      <c r="J227" s="425">
        <v>76.4785643859597</v>
      </c>
      <c r="K227" s="425">
        <v>4.7582654252696104</v>
      </c>
      <c r="L227" s="425">
        <v>76.315575461363807</v>
      </c>
      <c r="M227" s="425">
        <v>65.819633814846199</v>
      </c>
      <c r="N227" s="425">
        <v>108.611838905018</v>
      </c>
      <c r="O227" s="425">
        <v>6.34143536090974</v>
      </c>
      <c r="P227" s="425">
        <v>501.74379449129498</v>
      </c>
      <c r="Q227" s="425">
        <v>70.5824541719536</v>
      </c>
      <c r="R227" s="425">
        <v>31.042919213373199</v>
      </c>
      <c r="S227" s="425">
        <v>1109.31096936723</v>
      </c>
      <c r="T227" s="412"/>
    </row>
    <row r="228" spans="2:20">
      <c r="B228" s="412"/>
      <c r="C228" s="412"/>
      <c r="D228" s="430">
        <f t="shared" ref="D228:S228" si="5">D227+D217-D203</f>
        <v>0</v>
      </c>
      <c r="E228" s="430">
        <f t="shared" si="5"/>
        <v>0</v>
      </c>
      <c r="F228" s="430">
        <f t="shared" si="5"/>
        <v>1.9895196601282805E-13</v>
      </c>
      <c r="G228" s="430">
        <f t="shared" si="5"/>
        <v>0</v>
      </c>
      <c r="H228" s="430">
        <f t="shared" si="5"/>
        <v>0</v>
      </c>
      <c r="I228" s="430">
        <f t="shared" si="5"/>
        <v>0</v>
      </c>
      <c r="J228" s="430">
        <f t="shared" si="5"/>
        <v>6.8212102632969618E-13</v>
      </c>
      <c r="K228" s="430">
        <f t="shared" si="5"/>
        <v>0</v>
      </c>
      <c r="L228" s="430">
        <f t="shared" si="5"/>
        <v>-1.8474111129762605E-13</v>
      </c>
      <c r="M228" s="430">
        <f t="shared" si="5"/>
        <v>3.4638958368304884E-14</v>
      </c>
      <c r="N228" s="430">
        <f t="shared" si="5"/>
        <v>0</v>
      </c>
      <c r="O228" s="430">
        <f t="shared" si="5"/>
        <v>-5.6843418860808015E-14</v>
      </c>
      <c r="P228" s="430">
        <f t="shared" si="5"/>
        <v>-7.0699002208129968E-13</v>
      </c>
      <c r="Q228" s="430">
        <f t="shared" si="5"/>
        <v>0</v>
      </c>
      <c r="R228" s="430">
        <f t="shared" si="5"/>
        <v>7.0610184366159956E-14</v>
      </c>
      <c r="S228" s="430">
        <f t="shared" si="5"/>
        <v>1.8189894035458565E-12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89</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0</v>
      </c>
      <c r="F234" s="421">
        <v>0</v>
      </c>
      <c r="G234" s="421">
        <v>0</v>
      </c>
      <c r="H234" s="422">
        <v>764.84848484848499</v>
      </c>
      <c r="I234" s="422">
        <v>419.9</v>
      </c>
      <c r="J234" s="422">
        <v>351.24173188830201</v>
      </c>
      <c r="K234" s="422">
        <v>37.066117395131201</v>
      </c>
      <c r="L234" s="421">
        <v>0</v>
      </c>
      <c r="M234" s="421">
        <v>0</v>
      </c>
      <c r="N234" s="422">
        <v>121.931750282495</v>
      </c>
      <c r="O234" s="422">
        <v>22.204473213427001</v>
      </c>
      <c r="P234" s="421">
        <v>0</v>
      </c>
      <c r="Q234" s="421">
        <v>0</v>
      </c>
      <c r="R234" s="421">
        <v>0</v>
      </c>
      <c r="S234" s="423">
        <v>1717.19255762784</v>
      </c>
      <c r="T234" s="412"/>
    </row>
    <row r="235" spans="2:20" ht="13.5">
      <c r="B235" s="412"/>
      <c r="C235" s="420" t="s">
        <v>60</v>
      </c>
      <c r="D235" s="421">
        <v>4.3798405072467999</v>
      </c>
      <c r="E235" s="421">
        <v>113.59926767676799</v>
      </c>
      <c r="F235" s="421">
        <v>0.79806856250441205</v>
      </c>
      <c r="G235" s="421">
        <v>3.6153613407475298</v>
      </c>
      <c r="H235" s="421">
        <v>0</v>
      </c>
      <c r="I235" s="421">
        <v>0</v>
      </c>
      <c r="J235" s="421">
        <v>0</v>
      </c>
      <c r="K235" s="421">
        <v>0</v>
      </c>
      <c r="L235" s="421">
        <v>0</v>
      </c>
      <c r="M235" s="421">
        <v>0</v>
      </c>
      <c r="N235" s="421">
        <v>0</v>
      </c>
      <c r="O235" s="421">
        <v>0</v>
      </c>
      <c r="P235" s="421">
        <v>29.820654435364101</v>
      </c>
      <c r="Q235" s="421">
        <v>0</v>
      </c>
      <c r="R235" s="421">
        <v>0</v>
      </c>
      <c r="S235" s="423">
        <v>152.213192522631</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0</v>
      </c>
      <c r="Q236" s="421">
        <v>0</v>
      </c>
      <c r="R236" s="421">
        <v>0</v>
      </c>
      <c r="S236" s="423">
        <v>0</v>
      </c>
      <c r="T236" s="412"/>
    </row>
    <row r="237" spans="2:20" ht="13.5">
      <c r="B237" s="412"/>
      <c r="C237" s="420" t="s">
        <v>62</v>
      </c>
      <c r="D237" s="421">
        <v>0</v>
      </c>
      <c r="E237" s="421">
        <v>0</v>
      </c>
      <c r="F237" s="421">
        <v>-5.3013702027186103</v>
      </c>
      <c r="G237" s="421">
        <v>0</v>
      </c>
      <c r="H237" s="421">
        <v>0</v>
      </c>
      <c r="I237" s="421">
        <v>0</v>
      </c>
      <c r="J237" s="421">
        <v>0</v>
      </c>
      <c r="K237" s="421">
        <v>0</v>
      </c>
      <c r="L237" s="421">
        <v>0</v>
      </c>
      <c r="M237" s="421">
        <v>-5.1137296191647996</v>
      </c>
      <c r="N237" s="421">
        <v>0</v>
      </c>
      <c r="O237" s="421">
        <v>0</v>
      </c>
      <c r="P237" s="421">
        <v>0</v>
      </c>
      <c r="Q237" s="421">
        <v>0</v>
      </c>
      <c r="R237" s="421">
        <v>0</v>
      </c>
      <c r="S237" s="423">
        <v>-10.4150998218834</v>
      </c>
      <c r="T237" s="412"/>
    </row>
    <row r="238" spans="2:20" ht="13.5">
      <c r="B238" s="412"/>
      <c r="C238" s="420" t="s">
        <v>63</v>
      </c>
      <c r="D238" s="421">
        <v>0</v>
      </c>
      <c r="E238" s="421">
        <v>0</v>
      </c>
      <c r="F238" s="421">
        <v>-26.554014229686601</v>
      </c>
      <c r="G238" s="421">
        <v>0</v>
      </c>
      <c r="H238" s="421">
        <v>0</v>
      </c>
      <c r="I238" s="421">
        <v>0</v>
      </c>
      <c r="J238" s="421">
        <v>0</v>
      </c>
      <c r="K238" s="421">
        <v>0</v>
      </c>
      <c r="L238" s="421">
        <v>-53.337452419875703</v>
      </c>
      <c r="M238" s="421">
        <v>0</v>
      </c>
      <c r="N238" s="421">
        <v>0</v>
      </c>
      <c r="O238" s="421">
        <v>0</v>
      </c>
      <c r="P238" s="421">
        <v>0</v>
      </c>
      <c r="Q238" s="421">
        <v>0</v>
      </c>
      <c r="R238" s="421">
        <v>-3.3454941468715802</v>
      </c>
      <c r="S238" s="423">
        <v>-83.236960796433806</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4.3798405072467999</v>
      </c>
      <c r="E240" s="425">
        <v>113.59926767676799</v>
      </c>
      <c r="F240" s="425">
        <v>-31.057315869900801</v>
      </c>
      <c r="G240" s="425">
        <v>3.6153613407475298</v>
      </c>
      <c r="H240" s="425">
        <v>764.84848484848499</v>
      </c>
      <c r="I240" s="425">
        <v>419.9</v>
      </c>
      <c r="J240" s="425">
        <v>351.24173188830201</v>
      </c>
      <c r="K240" s="425">
        <v>37.066117395131201</v>
      </c>
      <c r="L240" s="425">
        <v>-53.337452419875703</v>
      </c>
      <c r="M240" s="425">
        <v>-5.1137296191647996</v>
      </c>
      <c r="N240" s="425">
        <v>121.931750282495</v>
      </c>
      <c r="O240" s="425">
        <v>22.204473213427001</v>
      </c>
      <c r="P240" s="425">
        <v>29.820654435364101</v>
      </c>
      <c r="Q240" s="425">
        <v>0</v>
      </c>
      <c r="R240" s="425">
        <v>-3.3454941468715802</v>
      </c>
      <c r="S240" s="425">
        <v>1775.75368953215</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0</v>
      </c>
      <c r="E243" s="421">
        <v>0</v>
      </c>
      <c r="F243" s="421">
        <v>0</v>
      </c>
      <c r="G243" s="421">
        <v>0</v>
      </c>
      <c r="H243" s="421">
        <v>764.84848484848499</v>
      </c>
      <c r="I243" s="421">
        <v>419.9</v>
      </c>
      <c r="J243" s="421">
        <v>14.837077022078001</v>
      </c>
      <c r="K243" s="421">
        <v>4.2997987248322396</v>
      </c>
      <c r="L243" s="421">
        <v>0</v>
      </c>
      <c r="M243" s="421">
        <v>0.66666666666666696</v>
      </c>
      <c r="N243" s="421">
        <v>0</v>
      </c>
      <c r="O243" s="421">
        <v>0</v>
      </c>
      <c r="P243" s="421">
        <v>-682.5</v>
      </c>
      <c r="Q243" s="421">
        <v>0</v>
      </c>
      <c r="R243" s="421">
        <v>3.75</v>
      </c>
      <c r="S243" s="429">
        <v>525.80202726206198</v>
      </c>
      <c r="T243" s="412"/>
    </row>
    <row r="244" spans="2:20" ht="13.5">
      <c r="B244" s="412"/>
      <c r="C244" s="428" t="s">
        <v>351</v>
      </c>
      <c r="D244" s="421">
        <v>0</v>
      </c>
      <c r="E244" s="421">
        <v>0</v>
      </c>
      <c r="F244" s="421">
        <v>0</v>
      </c>
      <c r="G244" s="421">
        <v>0</v>
      </c>
      <c r="H244" s="421">
        <v>0</v>
      </c>
      <c r="I244" s="421">
        <v>0</v>
      </c>
      <c r="J244" s="421">
        <v>28.8847744791587</v>
      </c>
      <c r="K244" s="421">
        <v>27.390111238212</v>
      </c>
      <c r="L244" s="421">
        <v>0</v>
      </c>
      <c r="M244" s="421">
        <v>10.9493569082394</v>
      </c>
      <c r="N244" s="421">
        <v>0</v>
      </c>
      <c r="O244" s="421">
        <v>14.830688385513501</v>
      </c>
      <c r="P244" s="421">
        <v>0</v>
      </c>
      <c r="Q244" s="421">
        <v>-76.630571525577196</v>
      </c>
      <c r="R244" s="421">
        <v>0</v>
      </c>
      <c r="S244" s="429">
        <v>5.4243594855463497</v>
      </c>
      <c r="T244" s="412"/>
    </row>
    <row r="245" spans="2:20" ht="13.5">
      <c r="B245" s="412"/>
      <c r="C245" s="428" t="s">
        <v>352</v>
      </c>
      <c r="D245" s="421">
        <v>0</v>
      </c>
      <c r="E245" s="421">
        <v>0</v>
      </c>
      <c r="F245" s="421">
        <v>0</v>
      </c>
      <c r="G245" s="421">
        <v>0</v>
      </c>
      <c r="H245" s="421">
        <v>0</v>
      </c>
      <c r="I245" s="421">
        <v>0</v>
      </c>
      <c r="J245" s="421">
        <v>141.99486817496901</v>
      </c>
      <c r="K245" s="421">
        <v>0</v>
      </c>
      <c r="L245" s="421">
        <v>0</v>
      </c>
      <c r="M245" s="421">
        <v>-135.60509910709601</v>
      </c>
      <c r="N245" s="421">
        <v>0</v>
      </c>
      <c r="O245" s="421">
        <v>0</v>
      </c>
      <c r="P245" s="421">
        <v>0</v>
      </c>
      <c r="Q245" s="421">
        <v>0</v>
      </c>
      <c r="R245" s="421">
        <v>0</v>
      </c>
      <c r="S245" s="429">
        <v>6.3897690678736296</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117.67676767676799</v>
      </c>
      <c r="F247" s="421">
        <v>-116.5</v>
      </c>
      <c r="G247" s="421">
        <v>0</v>
      </c>
      <c r="H247" s="421">
        <v>0</v>
      </c>
      <c r="I247" s="421">
        <v>0</v>
      </c>
      <c r="J247" s="421">
        <v>0</v>
      </c>
      <c r="K247" s="421">
        <v>0</v>
      </c>
      <c r="L247" s="421">
        <v>0</v>
      </c>
      <c r="M247" s="421">
        <v>0</v>
      </c>
      <c r="N247" s="421">
        <v>0</v>
      </c>
      <c r="O247" s="421">
        <v>0</v>
      </c>
      <c r="P247" s="421">
        <v>0</v>
      </c>
      <c r="Q247" s="421">
        <v>0</v>
      </c>
      <c r="R247" s="421">
        <v>0</v>
      </c>
      <c r="S247" s="429">
        <v>1.17676767676768</v>
      </c>
      <c r="T247" s="412"/>
    </row>
    <row r="248" spans="2:20" ht="13.5">
      <c r="B248" s="412"/>
      <c r="C248" s="428" t="s">
        <v>354</v>
      </c>
      <c r="D248" s="421">
        <v>0</v>
      </c>
      <c r="E248" s="421">
        <v>0</v>
      </c>
      <c r="F248" s="421">
        <v>0</v>
      </c>
      <c r="G248" s="421">
        <v>0</v>
      </c>
      <c r="H248" s="421">
        <v>0</v>
      </c>
      <c r="I248" s="421">
        <v>0</v>
      </c>
      <c r="J248" s="421">
        <v>92.683321682724895</v>
      </c>
      <c r="K248" s="421">
        <v>0</v>
      </c>
      <c r="L248" s="421">
        <v>-92.683321682724895</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-30.7160392407107</v>
      </c>
      <c r="M249" s="421">
        <v>0</v>
      </c>
      <c r="N249" s="421">
        <v>0</v>
      </c>
      <c r="O249" s="421">
        <v>0</v>
      </c>
      <c r="P249" s="421">
        <v>0</v>
      </c>
      <c r="Q249" s="421">
        <v>0</v>
      </c>
      <c r="R249" s="421">
        <v>43.880056058158097</v>
      </c>
      <c r="S249" s="429">
        <v>13.164016817447401</v>
      </c>
      <c r="T249" s="412"/>
    </row>
    <row r="250" spans="2:20" ht="13.5">
      <c r="B250" s="412"/>
      <c r="C250" s="428" t="s">
        <v>73</v>
      </c>
      <c r="D250" s="421">
        <v>0</v>
      </c>
      <c r="E250" s="421">
        <v>0</v>
      </c>
      <c r="F250" s="421">
        <v>0</v>
      </c>
      <c r="G250" s="421">
        <v>0</v>
      </c>
      <c r="H250" s="421">
        <v>0</v>
      </c>
      <c r="I250" s="421">
        <v>0</v>
      </c>
      <c r="J250" s="421">
        <v>0</v>
      </c>
      <c r="K250" s="421">
        <v>1.25759601218096</v>
      </c>
      <c r="L250" s="421">
        <v>0</v>
      </c>
      <c r="M250" s="421">
        <v>0</v>
      </c>
      <c r="N250" s="421">
        <v>0</v>
      </c>
      <c r="O250" s="421">
        <v>0</v>
      </c>
      <c r="P250" s="421">
        <v>121.043616172417</v>
      </c>
      <c r="Q250" s="421">
        <v>0</v>
      </c>
      <c r="R250" s="421">
        <v>-88.031720852667107</v>
      </c>
      <c r="S250" s="429">
        <v>34.2694913319311</v>
      </c>
      <c r="T250" s="412"/>
    </row>
    <row r="251" spans="2:20" ht="13.5">
      <c r="B251" s="412"/>
      <c r="C251" s="428" t="s">
        <v>356</v>
      </c>
      <c r="D251" s="421">
        <v>0.72303211975097703</v>
      </c>
      <c r="E251" s="421">
        <v>-4.0774999999999997</v>
      </c>
      <c r="F251" s="421">
        <v>5.3331291616343899</v>
      </c>
      <c r="G251" s="421">
        <v>0</v>
      </c>
      <c r="H251" s="421">
        <v>0</v>
      </c>
      <c r="I251" s="421">
        <v>0</v>
      </c>
      <c r="J251" s="421">
        <v>0</v>
      </c>
      <c r="K251" s="421">
        <v>0</v>
      </c>
      <c r="L251" s="421">
        <v>0</v>
      </c>
      <c r="M251" s="421">
        <v>0</v>
      </c>
      <c r="N251" s="421">
        <v>0</v>
      </c>
      <c r="O251" s="421">
        <v>0</v>
      </c>
      <c r="P251" s="421">
        <v>0</v>
      </c>
      <c r="Q251" s="421">
        <v>0</v>
      </c>
      <c r="R251" s="421">
        <v>0</v>
      </c>
      <c r="S251" s="429">
        <v>1.9786612813853699</v>
      </c>
      <c r="T251" s="412"/>
    </row>
    <row r="252" spans="2:20" ht="13.5">
      <c r="B252" s="412"/>
      <c r="C252" s="428" t="s">
        <v>75</v>
      </c>
      <c r="D252" s="421">
        <v>1.73775830078125</v>
      </c>
      <c r="E252" s="421">
        <v>0</v>
      </c>
      <c r="F252" s="421">
        <v>16.370387999999998</v>
      </c>
      <c r="G252" s="421">
        <v>0</v>
      </c>
      <c r="H252" s="421">
        <v>0</v>
      </c>
      <c r="I252" s="421">
        <v>0</v>
      </c>
      <c r="J252" s="421">
        <v>0</v>
      </c>
      <c r="K252" s="421">
        <v>0</v>
      </c>
      <c r="L252" s="421">
        <v>0</v>
      </c>
      <c r="M252" s="421">
        <v>4.7666718000000001</v>
      </c>
      <c r="N252" s="421">
        <v>0</v>
      </c>
      <c r="O252" s="421">
        <v>0</v>
      </c>
      <c r="P252" s="421">
        <v>36.566363636363597</v>
      </c>
      <c r="Q252" s="421">
        <v>0</v>
      </c>
      <c r="R252" s="421">
        <v>0</v>
      </c>
      <c r="S252" s="429">
        <v>59.441181737144902</v>
      </c>
      <c r="T252" s="412"/>
    </row>
    <row r="253" spans="2:20" ht="13.5">
      <c r="B253" s="412"/>
      <c r="C253" s="428" t="s">
        <v>76</v>
      </c>
      <c r="D253" s="421">
        <v>0</v>
      </c>
      <c r="E253" s="421">
        <v>0</v>
      </c>
      <c r="F253" s="421">
        <v>0</v>
      </c>
      <c r="G253" s="421">
        <v>0</v>
      </c>
      <c r="H253" s="421">
        <v>0</v>
      </c>
      <c r="I253" s="421">
        <v>0</v>
      </c>
      <c r="J253" s="421">
        <v>0</v>
      </c>
      <c r="K253" s="421">
        <v>0</v>
      </c>
      <c r="L253" s="421">
        <v>0</v>
      </c>
      <c r="M253" s="421">
        <v>1.6079656020604201</v>
      </c>
      <c r="N253" s="421">
        <v>0</v>
      </c>
      <c r="O253" s="421">
        <v>0</v>
      </c>
      <c r="P253" s="421">
        <v>54.591518299293803</v>
      </c>
      <c r="Q253" s="421">
        <v>5.9381623691406702</v>
      </c>
      <c r="R253" s="421">
        <v>0</v>
      </c>
      <c r="S253" s="429">
        <v>62.137646270494898</v>
      </c>
      <c r="T253" s="412"/>
    </row>
    <row r="254" spans="2:20" ht="13.5">
      <c r="B254" s="412"/>
      <c r="C254" s="424" t="s">
        <v>77</v>
      </c>
      <c r="D254" s="425">
        <v>2.4607904205322302</v>
      </c>
      <c r="E254" s="425">
        <v>113.59926767676799</v>
      </c>
      <c r="F254" s="425">
        <v>-94.796482838365606</v>
      </c>
      <c r="G254" s="425">
        <v>0</v>
      </c>
      <c r="H254" s="425">
        <v>764.84848484848499</v>
      </c>
      <c r="I254" s="425">
        <v>419.9</v>
      </c>
      <c r="J254" s="425">
        <v>278.40004135893099</v>
      </c>
      <c r="K254" s="425">
        <v>32.947505975225198</v>
      </c>
      <c r="L254" s="425">
        <v>-123.39936092343601</v>
      </c>
      <c r="M254" s="425">
        <v>-117.614438130129</v>
      </c>
      <c r="N254" s="425">
        <v>0</v>
      </c>
      <c r="O254" s="425">
        <v>14.830688385513501</v>
      </c>
      <c r="P254" s="425">
        <v>-470.29850189192501</v>
      </c>
      <c r="Q254" s="425">
        <v>-70.692409156436597</v>
      </c>
      <c r="R254" s="425">
        <v>-40.401664794509003</v>
      </c>
      <c r="S254" s="425">
        <v>709.78392093065395</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1.79989703190501</v>
      </c>
      <c r="E256" s="421">
        <v>0</v>
      </c>
      <c r="F256" s="421">
        <v>5.22589106512674E-2</v>
      </c>
      <c r="G256" s="421">
        <v>0</v>
      </c>
      <c r="H256" s="421">
        <v>0</v>
      </c>
      <c r="I256" s="421">
        <v>0</v>
      </c>
      <c r="J256" s="421">
        <v>13.331842727893299</v>
      </c>
      <c r="K256" s="421">
        <v>4.1186114199060402</v>
      </c>
      <c r="L256" s="421">
        <v>8.3494072265624997</v>
      </c>
      <c r="M256" s="421">
        <v>63.939809293815799</v>
      </c>
      <c r="N256" s="421">
        <v>0</v>
      </c>
      <c r="O256" s="421">
        <v>0</v>
      </c>
      <c r="P256" s="421">
        <v>150.76353147926901</v>
      </c>
      <c r="Q256" s="421">
        <v>27.157242806109199</v>
      </c>
      <c r="R256" s="421">
        <v>8.9542294921874994</v>
      </c>
      <c r="S256" s="429">
        <v>278.46683038830002</v>
      </c>
      <c r="T256" s="412"/>
    </row>
    <row r="257" spans="2:20" ht="13.5">
      <c r="B257" s="412"/>
      <c r="C257" s="428" t="s">
        <v>79</v>
      </c>
      <c r="D257" s="421">
        <v>0</v>
      </c>
      <c r="E257" s="421">
        <v>0</v>
      </c>
      <c r="F257" s="421">
        <v>2.1712429478419102</v>
      </c>
      <c r="G257" s="421">
        <v>0</v>
      </c>
      <c r="H257" s="421">
        <v>0</v>
      </c>
      <c r="I257" s="421">
        <v>0</v>
      </c>
      <c r="J257" s="421">
        <v>0</v>
      </c>
      <c r="K257" s="421">
        <v>0</v>
      </c>
      <c r="L257" s="421">
        <v>12.7882726969122</v>
      </c>
      <c r="M257" s="421">
        <v>24.887279738493302</v>
      </c>
      <c r="N257" s="421">
        <v>0</v>
      </c>
      <c r="O257" s="421">
        <v>0</v>
      </c>
      <c r="P257" s="421">
        <v>92.289301413656304</v>
      </c>
      <c r="Q257" s="421">
        <v>0</v>
      </c>
      <c r="R257" s="421">
        <v>7.1149935986121697</v>
      </c>
      <c r="S257" s="429">
        <v>139.251090395516</v>
      </c>
      <c r="T257" s="412"/>
    </row>
    <row r="258" spans="2:20" ht="13.5">
      <c r="B258" s="412"/>
      <c r="C258" s="428" t="s">
        <v>80</v>
      </c>
      <c r="D258" s="421">
        <v>0</v>
      </c>
      <c r="E258" s="421">
        <v>0</v>
      </c>
      <c r="F258" s="421">
        <v>0.35468706008189399</v>
      </c>
      <c r="G258" s="421">
        <v>0</v>
      </c>
      <c r="H258" s="421">
        <v>0</v>
      </c>
      <c r="I258" s="421">
        <v>0</v>
      </c>
      <c r="J258" s="421">
        <v>47.9682238056754</v>
      </c>
      <c r="K258" s="421">
        <v>0</v>
      </c>
      <c r="L258" s="421">
        <v>0</v>
      </c>
      <c r="M258" s="421">
        <v>17.598271269670001</v>
      </c>
      <c r="N258" s="421">
        <v>106.862728555422</v>
      </c>
      <c r="O258" s="421">
        <v>3.7519530039459799</v>
      </c>
      <c r="P258" s="421">
        <v>134.324841663434</v>
      </c>
      <c r="Q258" s="421">
        <v>28.562960275021499</v>
      </c>
      <c r="R258" s="421">
        <v>0</v>
      </c>
      <c r="S258" s="429">
        <v>339.42366563325101</v>
      </c>
      <c r="T258" s="412"/>
    </row>
    <row r="259" spans="2:20" ht="13.5">
      <c r="B259" s="412"/>
      <c r="C259" s="428" t="s">
        <v>81</v>
      </c>
      <c r="D259" s="421">
        <v>0</v>
      </c>
      <c r="E259" s="421">
        <v>0</v>
      </c>
      <c r="F259" s="421">
        <v>1.3910064361048399E-2</v>
      </c>
      <c r="G259" s="421">
        <v>0</v>
      </c>
      <c r="H259" s="421">
        <v>0</v>
      </c>
      <c r="I259" s="421">
        <v>0</v>
      </c>
      <c r="J259" s="421">
        <v>6.5361621549849502</v>
      </c>
      <c r="K259" s="421">
        <v>0</v>
      </c>
      <c r="L259" s="421">
        <v>0</v>
      </c>
      <c r="M259" s="421">
        <v>5.4198008615464897</v>
      </c>
      <c r="N259" s="421">
        <v>15.069021727073199</v>
      </c>
      <c r="O259" s="421">
        <v>1.4344248188770199</v>
      </c>
      <c r="P259" s="421">
        <v>109.143617899049</v>
      </c>
      <c r="Q259" s="421">
        <v>14.972206075305801</v>
      </c>
      <c r="R259" s="421">
        <v>0</v>
      </c>
      <c r="S259" s="429">
        <v>152.589143601198</v>
      </c>
      <c r="T259" s="412"/>
    </row>
    <row r="260" spans="2:20" ht="13.5">
      <c r="B260" s="412"/>
      <c r="C260" s="428" t="s">
        <v>82</v>
      </c>
      <c r="D260" s="421">
        <v>0</v>
      </c>
      <c r="E260" s="421">
        <v>0</v>
      </c>
      <c r="F260" s="421">
        <v>0</v>
      </c>
      <c r="G260" s="421">
        <v>0</v>
      </c>
      <c r="H260" s="421">
        <v>0</v>
      </c>
      <c r="I260" s="421">
        <v>0</v>
      </c>
      <c r="J260" s="421">
        <v>5.0054618408177598</v>
      </c>
      <c r="K260" s="421">
        <v>0</v>
      </c>
      <c r="L260" s="421">
        <v>18.815796579352799</v>
      </c>
      <c r="M260" s="421">
        <v>0.65554734743876097</v>
      </c>
      <c r="N260" s="421">
        <v>0</v>
      </c>
      <c r="O260" s="421">
        <v>2.1874070050904901</v>
      </c>
      <c r="P260" s="421">
        <v>5.5978638718802802</v>
      </c>
      <c r="Q260" s="421">
        <v>0</v>
      </c>
      <c r="R260" s="421">
        <v>0.443393311842667</v>
      </c>
      <c r="S260" s="429">
        <v>32.705469956422696</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8</v>
      </c>
      <c r="Q261" s="421">
        <v>0</v>
      </c>
      <c r="R261" s="421">
        <v>0</v>
      </c>
      <c r="S261" s="429">
        <v>8</v>
      </c>
      <c r="T261" s="412"/>
    </row>
    <row r="262" spans="2:20" ht="13.5">
      <c r="B262" s="412"/>
      <c r="C262" s="424" t="s">
        <v>83</v>
      </c>
      <c r="D262" s="425">
        <v>1.79989703190501</v>
      </c>
      <c r="E262" s="425">
        <v>0</v>
      </c>
      <c r="F262" s="425">
        <v>2.5920989829361201</v>
      </c>
      <c r="G262" s="425">
        <v>0</v>
      </c>
      <c r="H262" s="425">
        <v>0</v>
      </c>
      <c r="I262" s="425">
        <v>0</v>
      </c>
      <c r="J262" s="425">
        <v>72.841690529371405</v>
      </c>
      <c r="K262" s="425">
        <v>4.1186114199060402</v>
      </c>
      <c r="L262" s="425">
        <v>39.953476502827499</v>
      </c>
      <c r="M262" s="425">
        <v>112.500708510964</v>
      </c>
      <c r="N262" s="425">
        <v>121.931750282495</v>
      </c>
      <c r="O262" s="425">
        <v>7.3737848279134903</v>
      </c>
      <c r="P262" s="425">
        <v>500.11915632728898</v>
      </c>
      <c r="Q262" s="425">
        <v>70.692409156436497</v>
      </c>
      <c r="R262" s="425">
        <v>16.512616402642301</v>
      </c>
      <c r="S262" s="425">
        <v>950.43619997468704</v>
      </c>
      <c r="T262" s="412"/>
    </row>
    <row r="263" spans="2:20" ht="13.5">
      <c r="B263" s="412"/>
      <c r="C263" s="420" t="s">
        <v>84</v>
      </c>
      <c r="D263" s="421">
        <v>0.11915305480957</v>
      </c>
      <c r="E263" s="421">
        <v>0</v>
      </c>
      <c r="F263" s="421">
        <v>61.1470679855287</v>
      </c>
      <c r="G263" s="421">
        <v>3.6153613407475298</v>
      </c>
      <c r="H263" s="421">
        <v>0</v>
      </c>
      <c r="I263" s="421">
        <v>0</v>
      </c>
      <c r="J263" s="421">
        <v>0</v>
      </c>
      <c r="K263" s="421">
        <v>0</v>
      </c>
      <c r="L263" s="421">
        <v>30.1084320007324</v>
      </c>
      <c r="M263" s="421">
        <v>0</v>
      </c>
      <c r="N263" s="421">
        <v>0</v>
      </c>
      <c r="O263" s="421">
        <v>0</v>
      </c>
      <c r="P263" s="421">
        <v>0</v>
      </c>
      <c r="Q263" s="421">
        <v>0</v>
      </c>
      <c r="R263" s="421">
        <v>20.5435542449951</v>
      </c>
      <c r="S263" s="429">
        <v>115.53356862681299</v>
      </c>
      <c r="T263" s="412"/>
    </row>
    <row r="264" spans="2:20" ht="13.5">
      <c r="B264" s="412"/>
      <c r="C264" s="424" t="s">
        <v>85</v>
      </c>
      <c r="D264" s="425">
        <v>1.9190500867145801</v>
      </c>
      <c r="E264" s="425">
        <v>0</v>
      </c>
      <c r="F264" s="425">
        <v>63.7391669684649</v>
      </c>
      <c r="G264" s="425">
        <v>3.6153613407475298</v>
      </c>
      <c r="H264" s="425">
        <v>0</v>
      </c>
      <c r="I264" s="425">
        <v>0</v>
      </c>
      <c r="J264" s="425">
        <v>72.841690529371405</v>
      </c>
      <c r="K264" s="425">
        <v>4.1186114199060402</v>
      </c>
      <c r="L264" s="425">
        <v>70.061908503559906</v>
      </c>
      <c r="M264" s="425">
        <v>112.500708510964</v>
      </c>
      <c r="N264" s="425">
        <v>121.931750282495</v>
      </c>
      <c r="O264" s="425">
        <v>7.3737848279134903</v>
      </c>
      <c r="P264" s="425">
        <v>500.11915632728898</v>
      </c>
      <c r="Q264" s="425">
        <v>70.692409156436497</v>
      </c>
      <c r="R264" s="425">
        <v>37.056170647637501</v>
      </c>
      <c r="S264" s="425">
        <v>1065.9697686014999</v>
      </c>
      <c r="T264" s="412"/>
    </row>
    <row r="265" spans="2:20">
      <c r="B265" s="412"/>
      <c r="C265" s="412"/>
      <c r="D265" s="430">
        <f t="shared" ref="D265:S265" si="6">D264+D254-D240</f>
        <v>1.0658141036401503E-14</v>
      </c>
      <c r="E265" s="430">
        <f t="shared" si="6"/>
        <v>0</v>
      </c>
      <c r="F265" s="430">
        <f t="shared" si="6"/>
        <v>9.5923269327613525E-14</v>
      </c>
      <c r="G265" s="430">
        <f t="shared" si="6"/>
        <v>0</v>
      </c>
      <c r="H265" s="430">
        <f t="shared" si="6"/>
        <v>0</v>
      </c>
      <c r="I265" s="430">
        <f t="shared" si="6"/>
        <v>0</v>
      </c>
      <c r="J265" s="430">
        <f t="shared" si="6"/>
        <v>0</v>
      </c>
      <c r="K265" s="430">
        <f t="shared" si="6"/>
        <v>0</v>
      </c>
      <c r="L265" s="430">
        <f t="shared" si="6"/>
        <v>-3.979039320256561E-13</v>
      </c>
      <c r="M265" s="430">
        <f t="shared" si="6"/>
        <v>-1.9984014443252818E-13</v>
      </c>
      <c r="N265" s="430">
        <f t="shared" si="6"/>
        <v>0</v>
      </c>
      <c r="O265" s="430">
        <f t="shared" si="6"/>
        <v>0</v>
      </c>
      <c r="P265" s="430">
        <f t="shared" si="6"/>
        <v>-1.3855583347321954E-13</v>
      </c>
      <c r="Q265" s="430">
        <f t="shared" si="6"/>
        <v>-9.9475983006414026E-14</v>
      </c>
      <c r="R265" s="430">
        <f t="shared" si="6"/>
        <v>7.815970093361102E-14</v>
      </c>
      <c r="S265" s="430">
        <f t="shared" si="6"/>
        <v>3.865352482534945E-12</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sheetData>
  <mergeCells count="84">
    <mergeCell ref="S232:S233"/>
    <mergeCell ref="C232:C233"/>
    <mergeCell ref="D232:D233"/>
    <mergeCell ref="E232:E233"/>
    <mergeCell ref="F232:F233"/>
    <mergeCell ref="G232:G233"/>
    <mergeCell ref="H232:H233"/>
    <mergeCell ref="I232:I233"/>
    <mergeCell ref="J232:O232"/>
    <mergeCell ref="P232:P233"/>
    <mergeCell ref="Q232:Q233"/>
    <mergeCell ref="R232:R233"/>
    <mergeCell ref="S195:S196"/>
    <mergeCell ref="C195:C196"/>
    <mergeCell ref="D195:D196"/>
    <mergeCell ref="E195:E196"/>
    <mergeCell ref="F195:F196"/>
    <mergeCell ref="G195:G196"/>
    <mergeCell ref="H195:H196"/>
    <mergeCell ref="I195:I196"/>
    <mergeCell ref="J195:O195"/>
    <mergeCell ref="P195:P196"/>
    <mergeCell ref="Q195:Q196"/>
    <mergeCell ref="R195:R196"/>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239:S241 S254:S262">
    <cfRule type="cellIs" dxfId="2677" priority="1" operator="equal">
      <formula>0</formula>
    </cfRule>
  </conditionalFormatting>
  <conditionalFormatting sqref="S254">
    <cfRule type="expression" dxfId="2676" priority="2">
      <formula>LEN(TRIM(S254))=0</formula>
    </cfRule>
  </conditionalFormatting>
  <conditionalFormatting sqref="J11:N11">
    <cfRule type="cellIs" dxfId="2675" priority="42" operator="equal">
      <formula>0</formula>
    </cfRule>
  </conditionalFormatting>
  <conditionalFormatting sqref="O11">
    <cfRule type="cellIs" dxfId="2674" priority="43" operator="equal">
      <formula>0</formula>
    </cfRule>
  </conditionalFormatting>
  <conditionalFormatting sqref="S42 S12:S40">
    <cfRule type="cellIs" dxfId="2673" priority="44" operator="equal">
      <formula>0</formula>
    </cfRule>
  </conditionalFormatting>
  <conditionalFormatting sqref="S41">
    <cfRule type="cellIs" dxfId="2672" priority="45" operator="equal">
      <formula>0</formula>
    </cfRule>
  </conditionalFormatting>
  <conditionalFormatting sqref="S34:S42 S12:S18 S20:S32">
    <cfRule type="expression" dxfId="2671" priority="46">
      <formula>LEN(TRIM(S12))=0</formula>
    </cfRule>
  </conditionalFormatting>
  <conditionalFormatting sqref="D42:R42 P33:R33 D33:I33 D34:R40 D32:R32 D13:R19 D12:G12 L12:M12 P12:R12">
    <cfRule type="cellIs" dxfId="2670" priority="47" operator="equal">
      <formula>0</formula>
    </cfRule>
  </conditionalFormatting>
  <conditionalFormatting sqref="P12:P14">
    <cfRule type="cellIs" dxfId="2669" priority="48" operator="equal">
      <formula>0</formula>
    </cfRule>
  </conditionalFormatting>
  <conditionalFormatting sqref="P12:R12 L12:M12 D13:R14">
    <cfRule type="cellIs" dxfId="2668" priority="49" operator="equal">
      <formula>0</formula>
    </cfRule>
  </conditionalFormatting>
  <conditionalFormatting sqref="F13:F14">
    <cfRule type="cellIs" dxfId="2667" priority="50" operator="equal">
      <formula>0</formula>
    </cfRule>
  </conditionalFormatting>
  <conditionalFormatting sqref="L12:M12">
    <cfRule type="cellIs" dxfId="2666" priority="51" operator="equal">
      <formula>0</formula>
    </cfRule>
  </conditionalFormatting>
  <conditionalFormatting sqref="J15:J17 J33">
    <cfRule type="cellIs" dxfId="2665" priority="52" operator="equal">
      <formula>0</formula>
    </cfRule>
  </conditionalFormatting>
  <conditionalFormatting sqref="J13:J14">
    <cfRule type="cellIs" dxfId="2664" priority="53" operator="equal">
      <formula>0</formula>
    </cfRule>
  </conditionalFormatting>
  <conditionalFormatting sqref="K15:K17 K33">
    <cfRule type="cellIs" dxfId="2663" priority="54" operator="equal">
      <formula>0</formula>
    </cfRule>
  </conditionalFormatting>
  <conditionalFormatting sqref="K13:K14">
    <cfRule type="cellIs" dxfId="2662" priority="55" operator="equal">
      <formula>0</formula>
    </cfRule>
  </conditionalFormatting>
  <conditionalFormatting sqref="L15:L17 L33">
    <cfRule type="cellIs" dxfId="2661" priority="56" operator="equal">
      <formula>0</formula>
    </cfRule>
  </conditionalFormatting>
  <conditionalFormatting sqref="L12:L14">
    <cfRule type="cellIs" dxfId="2660" priority="57" operator="equal">
      <formula>0</formula>
    </cfRule>
  </conditionalFormatting>
  <conditionalFormatting sqref="M15:M17 M33">
    <cfRule type="cellIs" dxfId="2659" priority="58" operator="equal">
      <formula>0</formula>
    </cfRule>
  </conditionalFormatting>
  <conditionalFormatting sqref="M12:M14">
    <cfRule type="cellIs" dxfId="2658" priority="59" operator="equal">
      <formula>0</formula>
    </cfRule>
  </conditionalFormatting>
  <conditionalFormatting sqref="N15:N17 N33">
    <cfRule type="cellIs" dxfId="2657" priority="60" operator="equal">
      <formula>0</formula>
    </cfRule>
  </conditionalFormatting>
  <conditionalFormatting sqref="N13:N14">
    <cfRule type="cellIs" dxfId="2656" priority="61" operator="equal">
      <formula>0</formula>
    </cfRule>
  </conditionalFormatting>
  <conditionalFormatting sqref="O15:O17 O33">
    <cfRule type="cellIs" dxfId="2655" priority="62" operator="equal">
      <formula>0</formula>
    </cfRule>
  </conditionalFormatting>
  <conditionalFormatting sqref="O13:O14">
    <cfRule type="cellIs" dxfId="2654" priority="63" operator="equal">
      <formula>0</formula>
    </cfRule>
  </conditionalFormatting>
  <conditionalFormatting sqref="D41:R41">
    <cfRule type="cellIs" dxfId="2653" priority="64" operator="equal">
      <formula>0</formula>
    </cfRule>
  </conditionalFormatting>
  <conditionalFormatting sqref="D34:R42 D32:R32 D13:R18 D12:G12 L12:M12 P12:R12">
    <cfRule type="expression" dxfId="2652" priority="65">
      <formula>LEN(TRIM(D12))=0</formula>
    </cfRule>
  </conditionalFormatting>
  <conditionalFormatting sqref="D41:R41">
    <cfRule type="cellIs" dxfId="2651" priority="66" operator="equal">
      <formula>0</formula>
    </cfRule>
  </conditionalFormatting>
  <conditionalFormatting sqref="L15:L16">
    <cfRule type="cellIs" dxfId="2650" priority="67" operator="equal">
      <formula>0</formula>
    </cfRule>
  </conditionalFormatting>
  <conditionalFormatting sqref="M15:M16">
    <cfRule type="cellIs" dxfId="2649" priority="68" operator="equal">
      <formula>0</formula>
    </cfRule>
  </conditionalFormatting>
  <conditionalFormatting sqref="N15:O15">
    <cfRule type="cellIs" dxfId="2648" priority="69" operator="equal">
      <formula>0</formula>
    </cfRule>
  </conditionalFormatting>
  <conditionalFormatting sqref="N16:O16">
    <cfRule type="cellIs" dxfId="2647" priority="70" operator="equal">
      <formula>0</formula>
    </cfRule>
  </conditionalFormatting>
  <conditionalFormatting sqref="D20:R31">
    <cfRule type="cellIs" dxfId="2646" priority="71" operator="equal">
      <formula>0</formula>
    </cfRule>
  </conditionalFormatting>
  <conditionalFormatting sqref="D20:R31">
    <cfRule type="expression" dxfId="2645" priority="72">
      <formula>LEN(TRIM(D20))=0</formula>
    </cfRule>
  </conditionalFormatting>
  <conditionalFormatting sqref="H12">
    <cfRule type="cellIs" dxfId="2644" priority="73" operator="equal">
      <formula>0</formula>
    </cfRule>
  </conditionalFormatting>
  <conditionalFormatting sqref="I12">
    <cfRule type="cellIs" dxfId="2643" priority="74" operator="equal">
      <formula>0</formula>
    </cfRule>
  </conditionalFormatting>
  <conditionalFormatting sqref="J12:K12">
    <cfRule type="cellIs" dxfId="2642" priority="75" operator="equal">
      <formula>0</formula>
    </cfRule>
  </conditionalFormatting>
  <conditionalFormatting sqref="K12">
    <cfRule type="cellIs" dxfId="2641" priority="76" operator="equal">
      <formula>0</formula>
    </cfRule>
  </conditionalFormatting>
  <conditionalFormatting sqref="H12:K12">
    <cfRule type="expression" dxfId="2640" priority="77">
      <formula>LEN(TRIM(H12))=0</formula>
    </cfRule>
  </conditionalFormatting>
  <conditionalFormatting sqref="N12:O12">
    <cfRule type="cellIs" dxfId="2639" priority="78" operator="equal">
      <formula>0</formula>
    </cfRule>
  </conditionalFormatting>
  <conditionalFormatting sqref="N12:O12">
    <cfRule type="cellIs" dxfId="2638" priority="79" operator="equal">
      <formula>0</formula>
    </cfRule>
  </conditionalFormatting>
  <conditionalFormatting sqref="N12:O12">
    <cfRule type="expression" dxfId="2637" priority="80">
      <formula>LEN(TRIM(N12))=0</formula>
    </cfRule>
  </conditionalFormatting>
  <conditionalFormatting sqref="J48:N48">
    <cfRule type="cellIs" dxfId="2636" priority="81" operator="equal">
      <formula>0</formula>
    </cfRule>
  </conditionalFormatting>
  <conditionalFormatting sqref="O48">
    <cfRule type="cellIs" dxfId="2635" priority="82" operator="equal">
      <formula>0</formula>
    </cfRule>
  </conditionalFormatting>
  <conditionalFormatting sqref="S79 S49:S77">
    <cfRule type="cellIs" dxfId="2634" priority="83" operator="equal">
      <formula>0</formula>
    </cfRule>
  </conditionalFormatting>
  <conditionalFormatting sqref="S78">
    <cfRule type="cellIs" dxfId="2633" priority="84" operator="equal">
      <formula>0</formula>
    </cfRule>
  </conditionalFormatting>
  <conditionalFormatting sqref="S71:S79 S49:S55 S57:S69">
    <cfRule type="expression" dxfId="2632" priority="85">
      <formula>LEN(TRIM(S49))=0</formula>
    </cfRule>
  </conditionalFormatting>
  <conditionalFormatting sqref="D79:R79 P70:R70 D70:I70 D71:R77 D69:R69 D50:R56 D49:G49 L49:M49 P49:R49">
    <cfRule type="cellIs" dxfId="2631" priority="86" operator="equal">
      <formula>0</formula>
    </cfRule>
  </conditionalFormatting>
  <conditionalFormatting sqref="P49:P51">
    <cfRule type="cellIs" dxfId="2630" priority="87" operator="equal">
      <formula>0</formula>
    </cfRule>
  </conditionalFormatting>
  <conditionalFormatting sqref="P49:R49 L49:M49 D50:R51">
    <cfRule type="cellIs" dxfId="2629" priority="88" operator="equal">
      <formula>0</formula>
    </cfRule>
  </conditionalFormatting>
  <conditionalFormatting sqref="F50:F51">
    <cfRule type="cellIs" dxfId="2628" priority="89" operator="equal">
      <formula>0</formula>
    </cfRule>
  </conditionalFormatting>
  <conditionalFormatting sqref="L49:M49">
    <cfRule type="cellIs" dxfId="2627" priority="90" operator="equal">
      <formula>0</formula>
    </cfRule>
  </conditionalFormatting>
  <conditionalFormatting sqref="J52:J54 J70">
    <cfRule type="cellIs" dxfId="2626" priority="91" operator="equal">
      <formula>0</formula>
    </cfRule>
  </conditionalFormatting>
  <conditionalFormatting sqref="J50:J51">
    <cfRule type="cellIs" dxfId="2625" priority="92" operator="equal">
      <formula>0</formula>
    </cfRule>
  </conditionalFormatting>
  <conditionalFormatting sqref="K52:K54 K70">
    <cfRule type="cellIs" dxfId="2624" priority="93" operator="equal">
      <formula>0</formula>
    </cfRule>
  </conditionalFormatting>
  <conditionalFormatting sqref="K50:K51">
    <cfRule type="cellIs" dxfId="2623" priority="94" operator="equal">
      <formula>0</formula>
    </cfRule>
  </conditionalFormatting>
  <conditionalFormatting sqref="L52:L54 L70">
    <cfRule type="cellIs" dxfId="2622" priority="95" operator="equal">
      <formula>0</formula>
    </cfRule>
  </conditionalFormatting>
  <conditionalFormatting sqref="L49:L51">
    <cfRule type="cellIs" dxfId="2621" priority="96" operator="equal">
      <formula>0</formula>
    </cfRule>
  </conditionalFormatting>
  <conditionalFormatting sqref="M52:M54 M70">
    <cfRule type="cellIs" dxfId="2620" priority="97" operator="equal">
      <formula>0</formula>
    </cfRule>
  </conditionalFormatting>
  <conditionalFormatting sqref="M49:M51">
    <cfRule type="cellIs" dxfId="2619" priority="98" operator="equal">
      <formula>0</formula>
    </cfRule>
  </conditionalFormatting>
  <conditionalFormatting sqref="N52:N54 N70">
    <cfRule type="cellIs" dxfId="2618" priority="99" operator="equal">
      <formula>0</formula>
    </cfRule>
  </conditionalFormatting>
  <conditionalFormatting sqref="N50:N51">
    <cfRule type="cellIs" dxfId="2617" priority="100" operator="equal">
      <formula>0</formula>
    </cfRule>
  </conditionalFormatting>
  <conditionalFormatting sqref="O52:O54 O70">
    <cfRule type="cellIs" dxfId="2616" priority="101" operator="equal">
      <formula>0</formula>
    </cfRule>
  </conditionalFormatting>
  <conditionalFormatting sqref="O50:O51">
    <cfRule type="cellIs" dxfId="2615" priority="102" operator="equal">
      <formula>0</formula>
    </cfRule>
  </conditionalFormatting>
  <conditionalFormatting sqref="D78:R78">
    <cfRule type="cellIs" dxfId="2614" priority="103" operator="equal">
      <formula>0</formula>
    </cfRule>
  </conditionalFormatting>
  <conditionalFormatting sqref="D71:R79 D69:R69 D50:R55 D49:G49 L49:M49 P49:R49">
    <cfRule type="expression" dxfId="2613" priority="104">
      <formula>LEN(TRIM(D49))=0</formula>
    </cfRule>
  </conditionalFormatting>
  <conditionalFormatting sqref="D78:R78">
    <cfRule type="cellIs" dxfId="2612" priority="105" operator="equal">
      <formula>0</formula>
    </cfRule>
  </conditionalFormatting>
  <conditionalFormatting sqref="L52:L53">
    <cfRule type="cellIs" dxfId="2611" priority="106" operator="equal">
      <formula>0</formula>
    </cfRule>
  </conditionalFormatting>
  <conditionalFormatting sqref="M52:M53">
    <cfRule type="cellIs" dxfId="2610" priority="107" operator="equal">
      <formula>0</formula>
    </cfRule>
  </conditionalFormatting>
  <conditionalFormatting sqref="N52:O52">
    <cfRule type="cellIs" dxfId="2609" priority="108" operator="equal">
      <formula>0</formula>
    </cfRule>
  </conditionalFormatting>
  <conditionalFormatting sqref="N53:O53">
    <cfRule type="cellIs" dxfId="2608" priority="109" operator="equal">
      <formula>0</formula>
    </cfRule>
  </conditionalFormatting>
  <conditionalFormatting sqref="D57:R68">
    <cfRule type="cellIs" dxfId="2607" priority="110" operator="equal">
      <formula>0</formula>
    </cfRule>
  </conditionalFormatting>
  <conditionalFormatting sqref="D57:R68">
    <cfRule type="expression" dxfId="2606" priority="111">
      <formula>LEN(TRIM(D57))=0</formula>
    </cfRule>
  </conditionalFormatting>
  <conditionalFormatting sqref="H49">
    <cfRule type="cellIs" dxfId="2605" priority="112" operator="equal">
      <formula>0</formula>
    </cfRule>
  </conditionalFormatting>
  <conditionalFormatting sqref="I49">
    <cfRule type="cellIs" dxfId="2604" priority="113" operator="equal">
      <formula>0</formula>
    </cfRule>
  </conditionalFormatting>
  <conditionalFormatting sqref="J49:K49">
    <cfRule type="cellIs" dxfId="2603" priority="114" operator="equal">
      <formula>0</formula>
    </cfRule>
  </conditionalFormatting>
  <conditionalFormatting sqref="K49">
    <cfRule type="cellIs" dxfId="2602" priority="115" operator="equal">
      <formula>0</formula>
    </cfRule>
  </conditionalFormatting>
  <conditionalFormatting sqref="H49:K49">
    <cfRule type="expression" dxfId="2601" priority="116">
      <formula>LEN(TRIM(H49))=0</formula>
    </cfRule>
  </conditionalFormatting>
  <conditionalFormatting sqref="N49:O49">
    <cfRule type="cellIs" dxfId="2600" priority="117" operator="equal">
      <formula>0</formula>
    </cfRule>
  </conditionalFormatting>
  <conditionalFormatting sqref="N49:O49">
    <cfRule type="cellIs" dxfId="2599" priority="118" operator="equal">
      <formula>0</formula>
    </cfRule>
  </conditionalFormatting>
  <conditionalFormatting sqref="N49:O49">
    <cfRule type="expression" dxfId="2598" priority="119">
      <formula>LEN(TRIM(N49))=0</formula>
    </cfRule>
  </conditionalFormatting>
  <conditionalFormatting sqref="J85:N85">
    <cfRule type="cellIs" dxfId="2597" priority="120" operator="equal">
      <formula>0</formula>
    </cfRule>
  </conditionalFormatting>
  <conditionalFormatting sqref="O85">
    <cfRule type="cellIs" dxfId="2596" priority="121" operator="equal">
      <formula>0</formula>
    </cfRule>
  </conditionalFormatting>
  <conditionalFormatting sqref="S116 S86:S114">
    <cfRule type="cellIs" dxfId="2595" priority="122" operator="equal">
      <formula>0</formula>
    </cfRule>
  </conditionalFormatting>
  <conditionalFormatting sqref="S115">
    <cfRule type="cellIs" dxfId="2594" priority="123" operator="equal">
      <formula>0</formula>
    </cfRule>
  </conditionalFormatting>
  <conditionalFormatting sqref="S108:S116 S86:S92 S94:S106">
    <cfRule type="expression" dxfId="2593" priority="124">
      <formula>LEN(TRIM(S86))=0</formula>
    </cfRule>
  </conditionalFormatting>
  <conditionalFormatting sqref="D116:R116 P107:R107 D107:I107 D108:R114 D106:R106 D87:R93 D86:G86 L86:M86 P86:R86">
    <cfRule type="cellIs" dxfId="2592" priority="125" operator="equal">
      <formula>0</formula>
    </cfRule>
  </conditionalFormatting>
  <conditionalFormatting sqref="P86:P88">
    <cfRule type="cellIs" dxfId="2591" priority="126" operator="equal">
      <formula>0</formula>
    </cfRule>
  </conditionalFormatting>
  <conditionalFormatting sqref="P86:R86 L86:M86 D87:R88">
    <cfRule type="cellIs" dxfId="2590" priority="127" operator="equal">
      <formula>0</formula>
    </cfRule>
  </conditionalFormatting>
  <conditionalFormatting sqref="F87:F88">
    <cfRule type="cellIs" dxfId="2589" priority="128" operator="equal">
      <formula>0</formula>
    </cfRule>
  </conditionalFormatting>
  <conditionalFormatting sqref="L86:M86">
    <cfRule type="cellIs" dxfId="2588" priority="129" operator="equal">
      <formula>0</formula>
    </cfRule>
  </conditionalFormatting>
  <conditionalFormatting sqref="J89:J91 J107">
    <cfRule type="cellIs" dxfId="2587" priority="130" operator="equal">
      <formula>0</formula>
    </cfRule>
  </conditionalFormatting>
  <conditionalFormatting sqref="J87:J88">
    <cfRule type="cellIs" dxfId="2586" priority="131" operator="equal">
      <formula>0</formula>
    </cfRule>
  </conditionalFormatting>
  <conditionalFormatting sqref="K89:K91 K107">
    <cfRule type="cellIs" dxfId="2585" priority="132" operator="equal">
      <formula>0</formula>
    </cfRule>
  </conditionalFormatting>
  <conditionalFormatting sqref="K87:K88">
    <cfRule type="cellIs" dxfId="2584" priority="133" operator="equal">
      <formula>0</formula>
    </cfRule>
  </conditionalFormatting>
  <conditionalFormatting sqref="L89:L91 L107">
    <cfRule type="cellIs" dxfId="2583" priority="134" operator="equal">
      <formula>0</formula>
    </cfRule>
  </conditionalFormatting>
  <conditionalFormatting sqref="L86:L88">
    <cfRule type="cellIs" dxfId="2582" priority="135" operator="equal">
      <formula>0</formula>
    </cfRule>
  </conditionalFormatting>
  <conditionalFormatting sqref="M89:M91 M107">
    <cfRule type="cellIs" dxfId="2581" priority="136" operator="equal">
      <formula>0</formula>
    </cfRule>
  </conditionalFormatting>
  <conditionalFormatting sqref="M86:M88">
    <cfRule type="cellIs" dxfId="2580" priority="137" operator="equal">
      <formula>0</formula>
    </cfRule>
  </conditionalFormatting>
  <conditionalFormatting sqref="N89:N91 N107">
    <cfRule type="cellIs" dxfId="2579" priority="138" operator="equal">
      <formula>0</formula>
    </cfRule>
  </conditionalFormatting>
  <conditionalFormatting sqref="N87:N88">
    <cfRule type="cellIs" dxfId="2578" priority="139" operator="equal">
      <formula>0</formula>
    </cfRule>
  </conditionalFormatting>
  <conditionalFormatting sqref="O89:O91 O107">
    <cfRule type="cellIs" dxfId="2577" priority="140" operator="equal">
      <formula>0</formula>
    </cfRule>
  </conditionalFormatting>
  <conditionalFormatting sqref="O87:O88">
    <cfRule type="cellIs" dxfId="2576" priority="141" operator="equal">
      <formula>0</formula>
    </cfRule>
  </conditionalFormatting>
  <conditionalFormatting sqref="D115:R115">
    <cfRule type="cellIs" dxfId="2575" priority="142" operator="equal">
      <formula>0</formula>
    </cfRule>
  </conditionalFormatting>
  <conditionalFormatting sqref="D108:R116 D106:R106 D87:R92 D86:G86 L86:M86 P86:R86">
    <cfRule type="expression" dxfId="2574" priority="143">
      <formula>LEN(TRIM(D86))=0</formula>
    </cfRule>
  </conditionalFormatting>
  <conditionalFormatting sqref="D115:R115">
    <cfRule type="cellIs" dxfId="2573" priority="144" operator="equal">
      <formula>0</formula>
    </cfRule>
  </conditionalFormatting>
  <conditionalFormatting sqref="L89:L90">
    <cfRule type="cellIs" dxfId="2572" priority="145" operator="equal">
      <formula>0</formula>
    </cfRule>
  </conditionalFormatting>
  <conditionalFormatting sqref="M89:M90">
    <cfRule type="cellIs" dxfId="2571" priority="146" operator="equal">
      <formula>0</formula>
    </cfRule>
  </conditionalFormatting>
  <conditionalFormatting sqref="N89:O89">
    <cfRule type="cellIs" dxfId="2570" priority="147" operator="equal">
      <formula>0</formula>
    </cfRule>
  </conditionalFormatting>
  <conditionalFormatting sqref="N90:O90">
    <cfRule type="cellIs" dxfId="2569" priority="148" operator="equal">
      <formula>0</formula>
    </cfRule>
  </conditionalFormatting>
  <conditionalFormatting sqref="D94:R105">
    <cfRule type="cellIs" dxfId="2568" priority="149" operator="equal">
      <formula>0</formula>
    </cfRule>
  </conditionalFormatting>
  <conditionalFormatting sqref="D94:R105">
    <cfRule type="expression" dxfId="2567" priority="150">
      <formula>LEN(TRIM(D94))=0</formula>
    </cfRule>
  </conditionalFormatting>
  <conditionalFormatting sqref="H86">
    <cfRule type="cellIs" dxfId="2566" priority="151" operator="equal">
      <formula>0</formula>
    </cfRule>
  </conditionalFormatting>
  <conditionalFormatting sqref="I86">
    <cfRule type="cellIs" dxfId="2565" priority="152" operator="equal">
      <formula>0</formula>
    </cfRule>
  </conditionalFormatting>
  <conditionalFormatting sqref="J86:K86">
    <cfRule type="cellIs" dxfId="2564" priority="153" operator="equal">
      <formula>0</formula>
    </cfRule>
  </conditionalFormatting>
  <conditionalFormatting sqref="K86">
    <cfRule type="cellIs" dxfId="2563" priority="154" operator="equal">
      <formula>0</formula>
    </cfRule>
  </conditionalFormatting>
  <conditionalFormatting sqref="H86:K86">
    <cfRule type="expression" dxfId="2562" priority="155">
      <formula>LEN(TRIM(H86))=0</formula>
    </cfRule>
  </conditionalFormatting>
  <conditionalFormatting sqref="N86:O86">
    <cfRule type="cellIs" dxfId="2561" priority="156" operator="equal">
      <formula>0</formula>
    </cfRule>
  </conditionalFormatting>
  <conditionalFormatting sqref="N86:O86">
    <cfRule type="cellIs" dxfId="2560" priority="157" operator="equal">
      <formula>0</formula>
    </cfRule>
  </conditionalFormatting>
  <conditionalFormatting sqref="N86:O86">
    <cfRule type="expression" dxfId="2559" priority="158">
      <formula>LEN(TRIM(N86))=0</formula>
    </cfRule>
  </conditionalFormatting>
  <conditionalFormatting sqref="J122:N122">
    <cfRule type="cellIs" dxfId="2558" priority="159" operator="equal">
      <formula>0</formula>
    </cfRule>
  </conditionalFormatting>
  <conditionalFormatting sqref="O122">
    <cfRule type="cellIs" dxfId="2557" priority="160" operator="equal">
      <formula>0</formula>
    </cfRule>
  </conditionalFormatting>
  <conditionalFormatting sqref="S153 S123:S151">
    <cfRule type="cellIs" dxfId="2556" priority="161" operator="equal">
      <formula>0</formula>
    </cfRule>
  </conditionalFormatting>
  <conditionalFormatting sqref="S152">
    <cfRule type="cellIs" dxfId="2555" priority="162" operator="equal">
      <formula>0</formula>
    </cfRule>
  </conditionalFormatting>
  <conditionalFormatting sqref="S145:S153 S123:S129 S131:S143">
    <cfRule type="expression" dxfId="2554" priority="163">
      <formula>LEN(TRIM(S123))=0</formula>
    </cfRule>
  </conditionalFormatting>
  <conditionalFormatting sqref="D153:R153 P144:R144 D144:I144 D145:R151 D143:R143 D124:R130 D123:G123 L123:M123 P123:R123">
    <cfRule type="cellIs" dxfId="2553" priority="164" operator="equal">
      <formula>0</formula>
    </cfRule>
  </conditionalFormatting>
  <conditionalFormatting sqref="P123:P125">
    <cfRule type="cellIs" dxfId="2552" priority="165" operator="equal">
      <formula>0</formula>
    </cfRule>
  </conditionalFormatting>
  <conditionalFormatting sqref="P123:R123 L123:M123 D124:R125">
    <cfRule type="cellIs" dxfId="2551" priority="166" operator="equal">
      <formula>0</formula>
    </cfRule>
  </conditionalFormatting>
  <conditionalFormatting sqref="F124:F125">
    <cfRule type="cellIs" dxfId="2550" priority="167" operator="equal">
      <formula>0</formula>
    </cfRule>
  </conditionalFormatting>
  <conditionalFormatting sqref="L123:M123">
    <cfRule type="cellIs" dxfId="2549" priority="168" operator="equal">
      <formula>0</formula>
    </cfRule>
  </conditionalFormatting>
  <conditionalFormatting sqref="J126:J128 J144">
    <cfRule type="cellIs" dxfId="2548" priority="169" operator="equal">
      <formula>0</formula>
    </cfRule>
  </conditionalFormatting>
  <conditionalFormatting sqref="J124:J125">
    <cfRule type="cellIs" dxfId="2547" priority="170" operator="equal">
      <formula>0</formula>
    </cfRule>
  </conditionalFormatting>
  <conditionalFormatting sqref="K126:K128 K144">
    <cfRule type="cellIs" dxfId="2546" priority="171" operator="equal">
      <formula>0</formula>
    </cfRule>
  </conditionalFormatting>
  <conditionalFormatting sqref="K124:K125">
    <cfRule type="cellIs" dxfId="2545" priority="172" operator="equal">
      <formula>0</formula>
    </cfRule>
  </conditionalFormatting>
  <conditionalFormatting sqref="L126:L128 L144">
    <cfRule type="cellIs" dxfId="2544" priority="173" operator="equal">
      <formula>0</formula>
    </cfRule>
  </conditionalFormatting>
  <conditionalFormatting sqref="L123:L125">
    <cfRule type="cellIs" dxfId="2543" priority="174" operator="equal">
      <formula>0</formula>
    </cfRule>
  </conditionalFormatting>
  <conditionalFormatting sqref="M126:M128 M144">
    <cfRule type="cellIs" dxfId="2542" priority="175" operator="equal">
      <formula>0</formula>
    </cfRule>
  </conditionalFormatting>
  <conditionalFormatting sqref="M123:M125">
    <cfRule type="cellIs" dxfId="2541" priority="176" operator="equal">
      <formula>0</formula>
    </cfRule>
  </conditionalFormatting>
  <conditionalFormatting sqref="N126:N128 N144">
    <cfRule type="cellIs" dxfId="2540" priority="177" operator="equal">
      <formula>0</formula>
    </cfRule>
  </conditionalFormatting>
  <conditionalFormatting sqref="N124:N125">
    <cfRule type="cellIs" dxfId="2539" priority="178" operator="equal">
      <formula>0</formula>
    </cfRule>
  </conditionalFormatting>
  <conditionalFormatting sqref="O126:O128 O144">
    <cfRule type="cellIs" dxfId="2538" priority="179" operator="equal">
      <formula>0</formula>
    </cfRule>
  </conditionalFormatting>
  <conditionalFormatting sqref="O124:O125">
    <cfRule type="cellIs" dxfId="2537" priority="180" operator="equal">
      <formula>0</formula>
    </cfRule>
  </conditionalFormatting>
  <conditionalFormatting sqref="D152:R152">
    <cfRule type="cellIs" dxfId="2536" priority="181" operator="equal">
      <formula>0</formula>
    </cfRule>
  </conditionalFormatting>
  <conditionalFormatting sqref="D145:R153 D143:R143 D124:R129 D123:G123 L123:M123 P123:R123">
    <cfRule type="expression" dxfId="2535" priority="182">
      <formula>LEN(TRIM(D123))=0</formula>
    </cfRule>
  </conditionalFormatting>
  <conditionalFormatting sqref="D152:R152">
    <cfRule type="cellIs" dxfId="2534" priority="183" operator="equal">
      <formula>0</formula>
    </cfRule>
  </conditionalFormatting>
  <conditionalFormatting sqref="L126:L127">
    <cfRule type="cellIs" dxfId="2533" priority="184" operator="equal">
      <formula>0</formula>
    </cfRule>
  </conditionalFormatting>
  <conditionalFormatting sqref="M126:M127">
    <cfRule type="cellIs" dxfId="2532" priority="185" operator="equal">
      <formula>0</formula>
    </cfRule>
  </conditionalFormatting>
  <conditionalFormatting sqref="N126:O126">
    <cfRule type="cellIs" dxfId="2531" priority="186" operator="equal">
      <formula>0</formula>
    </cfRule>
  </conditionalFormatting>
  <conditionalFormatting sqref="N127:O127">
    <cfRule type="cellIs" dxfId="2530" priority="187" operator="equal">
      <formula>0</formula>
    </cfRule>
  </conditionalFormatting>
  <conditionalFormatting sqref="D131:R142">
    <cfRule type="cellIs" dxfId="2529" priority="188" operator="equal">
      <formula>0</formula>
    </cfRule>
  </conditionalFormatting>
  <conditionalFormatting sqref="D131:R142">
    <cfRule type="expression" dxfId="2528" priority="189">
      <formula>LEN(TRIM(D131))=0</formula>
    </cfRule>
  </conditionalFormatting>
  <conditionalFormatting sqref="H123">
    <cfRule type="cellIs" dxfId="2527" priority="190" operator="equal">
      <formula>0</formula>
    </cfRule>
  </conditionalFormatting>
  <conditionalFormatting sqref="I123">
    <cfRule type="cellIs" dxfId="2526" priority="191" operator="equal">
      <formula>0</formula>
    </cfRule>
  </conditionalFormatting>
  <conditionalFormatting sqref="J123:K123">
    <cfRule type="cellIs" dxfId="2525" priority="192" operator="equal">
      <formula>0</formula>
    </cfRule>
  </conditionalFormatting>
  <conditionalFormatting sqref="K123">
    <cfRule type="cellIs" dxfId="2524" priority="193" operator="equal">
      <formula>0</formula>
    </cfRule>
  </conditionalFormatting>
  <conditionalFormatting sqref="H123:K123">
    <cfRule type="expression" dxfId="2523" priority="194">
      <formula>LEN(TRIM(H123))=0</formula>
    </cfRule>
  </conditionalFormatting>
  <conditionalFormatting sqref="N123:O123">
    <cfRule type="cellIs" dxfId="2522" priority="195" operator="equal">
      <formula>0</formula>
    </cfRule>
  </conditionalFormatting>
  <conditionalFormatting sqref="N123:O123">
    <cfRule type="cellIs" dxfId="2521" priority="196" operator="equal">
      <formula>0</formula>
    </cfRule>
  </conditionalFormatting>
  <conditionalFormatting sqref="N123:O123">
    <cfRule type="expression" dxfId="2520" priority="197">
      <formula>LEN(TRIM(N123))=0</formula>
    </cfRule>
  </conditionalFormatting>
  <conditionalFormatting sqref="J159:N159">
    <cfRule type="cellIs" dxfId="2519" priority="198" operator="equal">
      <formula>0</formula>
    </cfRule>
  </conditionalFormatting>
  <conditionalFormatting sqref="O159">
    <cfRule type="cellIs" dxfId="2518" priority="199" operator="equal">
      <formula>0</formula>
    </cfRule>
  </conditionalFormatting>
  <conditionalFormatting sqref="S190 S160:S188">
    <cfRule type="cellIs" dxfId="2517" priority="200" operator="equal">
      <formula>0</formula>
    </cfRule>
  </conditionalFormatting>
  <conditionalFormatting sqref="S189">
    <cfRule type="cellIs" dxfId="2516" priority="201" operator="equal">
      <formula>0</formula>
    </cfRule>
  </conditionalFormatting>
  <conditionalFormatting sqref="S182:S190 S160:S166 S168:S180">
    <cfRule type="expression" dxfId="2515" priority="202">
      <formula>LEN(TRIM(S160))=0</formula>
    </cfRule>
  </conditionalFormatting>
  <conditionalFormatting sqref="D190:R190 P181:R181 D181:I181 D182:R188 D180:R180 D161:R167 D160:G160 L160:M160 P160:R160">
    <cfRule type="cellIs" dxfId="2514" priority="203" operator="equal">
      <formula>0</formula>
    </cfRule>
  </conditionalFormatting>
  <conditionalFormatting sqref="P160:P162">
    <cfRule type="cellIs" dxfId="2513" priority="204" operator="equal">
      <formula>0</formula>
    </cfRule>
  </conditionalFormatting>
  <conditionalFormatting sqref="P160:R160 L160:M160 D161:R162">
    <cfRule type="cellIs" dxfId="2512" priority="205" operator="equal">
      <formula>0</formula>
    </cfRule>
  </conditionalFormatting>
  <conditionalFormatting sqref="F161:F162">
    <cfRule type="cellIs" dxfId="2511" priority="206" operator="equal">
      <formula>0</formula>
    </cfRule>
  </conditionalFormatting>
  <conditionalFormatting sqref="L160:M160">
    <cfRule type="cellIs" dxfId="2510" priority="207" operator="equal">
      <formula>0</formula>
    </cfRule>
  </conditionalFormatting>
  <conditionalFormatting sqref="J163:J165 J181">
    <cfRule type="cellIs" dxfId="2509" priority="208" operator="equal">
      <formula>0</formula>
    </cfRule>
  </conditionalFormatting>
  <conditionalFormatting sqref="J161:J162">
    <cfRule type="cellIs" dxfId="2508" priority="209" operator="equal">
      <formula>0</formula>
    </cfRule>
  </conditionalFormatting>
  <conditionalFormatting sqref="K163:K165 K181">
    <cfRule type="cellIs" dxfId="2507" priority="210" operator="equal">
      <formula>0</formula>
    </cfRule>
  </conditionalFormatting>
  <conditionalFormatting sqref="K161:K162">
    <cfRule type="cellIs" dxfId="2506" priority="211" operator="equal">
      <formula>0</formula>
    </cfRule>
  </conditionalFormatting>
  <conditionalFormatting sqref="L163:L165 L181">
    <cfRule type="cellIs" dxfId="2505" priority="212" operator="equal">
      <formula>0</formula>
    </cfRule>
  </conditionalFormatting>
  <conditionalFormatting sqref="L160:L162">
    <cfRule type="cellIs" dxfId="2504" priority="213" operator="equal">
      <formula>0</formula>
    </cfRule>
  </conditionalFormatting>
  <conditionalFormatting sqref="M163:M165 M181">
    <cfRule type="cellIs" dxfId="2503" priority="214" operator="equal">
      <formula>0</formula>
    </cfRule>
  </conditionalFormatting>
  <conditionalFormatting sqref="M160:M162">
    <cfRule type="cellIs" dxfId="2502" priority="215" operator="equal">
      <formula>0</formula>
    </cfRule>
  </conditionalFormatting>
  <conditionalFormatting sqref="N163:N165 N181">
    <cfRule type="cellIs" dxfId="2501" priority="216" operator="equal">
      <formula>0</formula>
    </cfRule>
  </conditionalFormatting>
  <conditionalFormatting sqref="N161:N162">
    <cfRule type="cellIs" dxfId="2500" priority="217" operator="equal">
      <formula>0</formula>
    </cfRule>
  </conditionalFormatting>
  <conditionalFormatting sqref="O163:O165 O181">
    <cfRule type="cellIs" dxfId="2499" priority="218" operator="equal">
      <formula>0</formula>
    </cfRule>
  </conditionalFormatting>
  <conditionalFormatting sqref="O161:O162">
    <cfRule type="cellIs" dxfId="2498" priority="219" operator="equal">
      <formula>0</formula>
    </cfRule>
  </conditionalFormatting>
  <conditionalFormatting sqref="D189:R189">
    <cfRule type="cellIs" dxfId="2497" priority="220" operator="equal">
      <formula>0</formula>
    </cfRule>
  </conditionalFormatting>
  <conditionalFormatting sqref="D182:R190 D180:R180 D161:R166 D160:G160 L160:M160 P160:R160">
    <cfRule type="expression" dxfId="2496" priority="221">
      <formula>LEN(TRIM(D160))=0</formula>
    </cfRule>
  </conditionalFormatting>
  <conditionalFormatting sqref="D189:R189">
    <cfRule type="cellIs" dxfId="2495" priority="222" operator="equal">
      <formula>0</formula>
    </cfRule>
  </conditionalFormatting>
  <conditionalFormatting sqref="L163:L164">
    <cfRule type="cellIs" dxfId="2494" priority="223" operator="equal">
      <formula>0</formula>
    </cfRule>
  </conditionalFormatting>
  <conditionalFormatting sqref="M163:M164">
    <cfRule type="cellIs" dxfId="2493" priority="224" operator="equal">
      <formula>0</formula>
    </cfRule>
  </conditionalFormatting>
  <conditionalFormatting sqref="N163:O163">
    <cfRule type="cellIs" dxfId="2492" priority="225" operator="equal">
      <formula>0</formula>
    </cfRule>
  </conditionalFormatting>
  <conditionalFormatting sqref="N164:O164">
    <cfRule type="cellIs" dxfId="2491" priority="226" operator="equal">
      <formula>0</formula>
    </cfRule>
  </conditionalFormatting>
  <conditionalFormatting sqref="D168:R179">
    <cfRule type="cellIs" dxfId="2490" priority="227" operator="equal">
      <formula>0</formula>
    </cfRule>
  </conditionalFormatting>
  <conditionalFormatting sqref="D168:R179">
    <cfRule type="expression" dxfId="2489" priority="228">
      <formula>LEN(TRIM(D168))=0</formula>
    </cfRule>
  </conditionalFormatting>
  <conditionalFormatting sqref="H160">
    <cfRule type="cellIs" dxfId="2488" priority="229" operator="equal">
      <formula>0</formula>
    </cfRule>
  </conditionalFormatting>
  <conditionalFormatting sqref="I160">
    <cfRule type="cellIs" dxfId="2487" priority="230" operator="equal">
      <formula>0</formula>
    </cfRule>
  </conditionalFormatting>
  <conditionalFormatting sqref="J160:K160">
    <cfRule type="cellIs" dxfId="2486" priority="231" operator="equal">
      <formula>0</formula>
    </cfRule>
  </conditionalFormatting>
  <conditionalFormatting sqref="K160">
    <cfRule type="cellIs" dxfId="2485" priority="232" operator="equal">
      <formula>0</formula>
    </cfRule>
  </conditionalFormatting>
  <conditionalFormatting sqref="H160:K160">
    <cfRule type="expression" dxfId="2484" priority="233">
      <formula>LEN(TRIM(H160))=0</formula>
    </cfRule>
  </conditionalFormatting>
  <conditionalFormatting sqref="N160:O160">
    <cfRule type="cellIs" dxfId="2483" priority="234" operator="equal">
      <formula>0</formula>
    </cfRule>
  </conditionalFormatting>
  <conditionalFormatting sqref="N160:O160">
    <cfRule type="cellIs" dxfId="2482" priority="235" operator="equal">
      <formula>0</formula>
    </cfRule>
  </conditionalFormatting>
  <conditionalFormatting sqref="N160:O160">
    <cfRule type="expression" dxfId="2481" priority="236">
      <formula>LEN(TRIM(N160))=0</formula>
    </cfRule>
  </conditionalFormatting>
  <conditionalFormatting sqref="J196:N196">
    <cfRule type="cellIs" dxfId="2480" priority="237" operator="equal">
      <formula>0</formula>
    </cfRule>
  </conditionalFormatting>
  <conditionalFormatting sqref="O196">
    <cfRule type="cellIs" dxfId="2479" priority="238" operator="equal">
      <formula>0</formula>
    </cfRule>
  </conditionalFormatting>
  <conditionalFormatting sqref="S227 S197:S225">
    <cfRule type="cellIs" dxfId="2478" priority="239" operator="equal">
      <formula>0</formula>
    </cfRule>
  </conditionalFormatting>
  <conditionalFormatting sqref="S226">
    <cfRule type="cellIs" dxfId="2477" priority="240" operator="equal">
      <formula>0</formula>
    </cfRule>
  </conditionalFormatting>
  <conditionalFormatting sqref="S219:S227 S197:S203 S205:S217">
    <cfRule type="expression" dxfId="2476" priority="241">
      <formula>LEN(TRIM(S197))=0</formula>
    </cfRule>
  </conditionalFormatting>
  <conditionalFormatting sqref="D227:R227 P218:R218 D218:I218 D219:R225 D217:R217 D198:R204 D197:G197 L197:M197 P197:R197">
    <cfRule type="cellIs" dxfId="2475" priority="242" operator="equal">
      <formula>0</formula>
    </cfRule>
  </conditionalFormatting>
  <conditionalFormatting sqref="P197:P199">
    <cfRule type="cellIs" dxfId="2474" priority="243" operator="equal">
      <formula>0</formula>
    </cfRule>
  </conditionalFormatting>
  <conditionalFormatting sqref="P197:R197 L197:M197 D198:R199">
    <cfRule type="cellIs" dxfId="2473" priority="244" operator="equal">
      <formula>0</formula>
    </cfRule>
  </conditionalFormatting>
  <conditionalFormatting sqref="F198:F199">
    <cfRule type="cellIs" dxfId="2472" priority="245" operator="equal">
      <formula>0</formula>
    </cfRule>
  </conditionalFormatting>
  <conditionalFormatting sqref="L197:M197">
    <cfRule type="cellIs" dxfId="2471" priority="246" operator="equal">
      <formula>0</formula>
    </cfRule>
  </conditionalFormatting>
  <conditionalFormatting sqref="J200:J202 J218">
    <cfRule type="cellIs" dxfId="2470" priority="247" operator="equal">
      <formula>0</formula>
    </cfRule>
  </conditionalFormatting>
  <conditionalFormatting sqref="J198:J199">
    <cfRule type="cellIs" dxfId="2469" priority="248" operator="equal">
      <formula>0</formula>
    </cfRule>
  </conditionalFormatting>
  <conditionalFormatting sqref="K200:K202 K218">
    <cfRule type="cellIs" dxfId="2468" priority="249" operator="equal">
      <formula>0</formula>
    </cfRule>
  </conditionalFormatting>
  <conditionalFormatting sqref="K198:K199">
    <cfRule type="cellIs" dxfId="2467" priority="250" operator="equal">
      <formula>0</formula>
    </cfRule>
  </conditionalFormatting>
  <conditionalFormatting sqref="L200:L202 L218">
    <cfRule type="cellIs" dxfId="2466" priority="251" operator="equal">
      <formula>0</formula>
    </cfRule>
  </conditionalFormatting>
  <conditionalFormatting sqref="L197:L199">
    <cfRule type="cellIs" dxfId="2465" priority="252" operator="equal">
      <formula>0</formula>
    </cfRule>
  </conditionalFormatting>
  <conditionalFormatting sqref="M200:M202 M218">
    <cfRule type="cellIs" dxfId="2464" priority="253" operator="equal">
      <formula>0</formula>
    </cfRule>
  </conditionalFormatting>
  <conditionalFormatting sqref="M197:M199">
    <cfRule type="cellIs" dxfId="2463" priority="254" operator="equal">
      <formula>0</formula>
    </cfRule>
  </conditionalFormatting>
  <conditionalFormatting sqref="N200:N202 N218">
    <cfRule type="cellIs" dxfId="2462" priority="255" operator="equal">
      <formula>0</formula>
    </cfRule>
  </conditionalFormatting>
  <conditionalFormatting sqref="N198:N199">
    <cfRule type="cellIs" dxfId="2461" priority="256" operator="equal">
      <formula>0</formula>
    </cfRule>
  </conditionalFormatting>
  <conditionalFormatting sqref="O200:O202 O218">
    <cfRule type="cellIs" dxfId="2460" priority="257" operator="equal">
      <formula>0</formula>
    </cfRule>
  </conditionalFormatting>
  <conditionalFormatting sqref="O198:O199">
    <cfRule type="cellIs" dxfId="2459" priority="258" operator="equal">
      <formula>0</formula>
    </cfRule>
  </conditionalFormatting>
  <conditionalFormatting sqref="D226:R226">
    <cfRule type="cellIs" dxfId="2458" priority="259" operator="equal">
      <formula>0</formula>
    </cfRule>
  </conditionalFormatting>
  <conditionalFormatting sqref="D219:R227 D217:R217 D198:R203 D197:G197 L197:M197 P197:R197">
    <cfRule type="expression" dxfId="2457" priority="260">
      <formula>LEN(TRIM(D197))=0</formula>
    </cfRule>
  </conditionalFormatting>
  <conditionalFormatting sqref="D226:R226">
    <cfRule type="cellIs" dxfId="2456" priority="261" operator="equal">
      <formula>0</formula>
    </cfRule>
  </conditionalFormatting>
  <conditionalFormatting sqref="L200:L201">
    <cfRule type="cellIs" dxfId="2455" priority="262" operator="equal">
      <formula>0</formula>
    </cfRule>
  </conditionalFormatting>
  <conditionalFormatting sqref="M200:M201">
    <cfRule type="cellIs" dxfId="2454" priority="263" operator="equal">
      <formula>0</formula>
    </cfRule>
  </conditionalFormatting>
  <conditionalFormatting sqref="N200:O200">
    <cfRule type="cellIs" dxfId="2453" priority="264" operator="equal">
      <formula>0</formula>
    </cfRule>
  </conditionalFormatting>
  <conditionalFormatting sqref="N201:O201">
    <cfRule type="cellIs" dxfId="2452" priority="265" operator="equal">
      <formula>0</formula>
    </cfRule>
  </conditionalFormatting>
  <conditionalFormatting sqref="D205:R216">
    <cfRule type="cellIs" dxfId="2451" priority="266" operator="equal">
      <formula>0</formula>
    </cfRule>
  </conditionalFormatting>
  <conditionalFormatting sqref="D205:R216">
    <cfRule type="expression" dxfId="2450" priority="267">
      <formula>LEN(TRIM(D205))=0</formula>
    </cfRule>
  </conditionalFormatting>
  <conditionalFormatting sqref="H197">
    <cfRule type="cellIs" dxfId="2449" priority="268" operator="equal">
      <formula>0</formula>
    </cfRule>
  </conditionalFormatting>
  <conditionalFormatting sqref="I197">
    <cfRule type="cellIs" dxfId="2448" priority="269" operator="equal">
      <formula>0</formula>
    </cfRule>
  </conditionalFormatting>
  <conditionalFormatting sqref="J197:K197">
    <cfRule type="cellIs" dxfId="2447" priority="270" operator="equal">
      <formula>0</formula>
    </cfRule>
  </conditionalFormatting>
  <conditionalFormatting sqref="K197">
    <cfRule type="cellIs" dxfId="2446" priority="271" operator="equal">
      <formula>0</formula>
    </cfRule>
  </conditionalFormatting>
  <conditionalFormatting sqref="H197:K197">
    <cfRule type="expression" dxfId="2445" priority="272">
      <formula>LEN(TRIM(H197))=0</formula>
    </cfRule>
  </conditionalFormatting>
  <conditionalFormatting sqref="N197:O197">
    <cfRule type="cellIs" dxfId="2444" priority="273" operator="equal">
      <formula>0</formula>
    </cfRule>
  </conditionalFormatting>
  <conditionalFormatting sqref="N197:O197">
    <cfRule type="cellIs" dxfId="2443" priority="274" operator="equal">
      <formula>0</formula>
    </cfRule>
  </conditionalFormatting>
  <conditionalFormatting sqref="N197:O197">
    <cfRule type="expression" dxfId="2442" priority="275">
      <formula>LEN(TRIM(N197))=0</formula>
    </cfRule>
  </conditionalFormatting>
  <conditionalFormatting sqref="J233:N233">
    <cfRule type="cellIs" dxfId="2441" priority="276" operator="equal">
      <formula>0</formula>
    </cfRule>
  </conditionalFormatting>
  <conditionalFormatting sqref="O233">
    <cfRule type="cellIs" dxfId="2440" priority="277" operator="equal">
      <formula>0</formula>
    </cfRule>
  </conditionalFormatting>
  <conditionalFormatting sqref="S264 S234:S236">
    <cfRule type="cellIs" dxfId="2439" priority="278" operator="equal">
      <formula>0</formula>
    </cfRule>
  </conditionalFormatting>
  <conditionalFormatting sqref="S263">
    <cfRule type="cellIs" dxfId="2438" priority="279" operator="equal">
      <formula>0</formula>
    </cfRule>
  </conditionalFormatting>
  <conditionalFormatting sqref="S256:S264 S234:S236 S239:S240">
    <cfRule type="expression" dxfId="2437" priority="280">
      <formula>LEN(TRIM(S234))=0</formula>
    </cfRule>
  </conditionalFormatting>
  <conditionalFormatting sqref="S237:S238">
    <cfRule type="cellIs" dxfId="2436" priority="281" operator="equal">
      <formula>0</formula>
    </cfRule>
  </conditionalFormatting>
  <conditionalFormatting sqref="S237:S238">
    <cfRule type="expression" dxfId="2435" priority="282">
      <formula>LEN(TRIM(S237))=0</formula>
    </cfRule>
  </conditionalFormatting>
  <conditionalFormatting sqref="S242:S253">
    <cfRule type="cellIs" dxfId="2434" priority="283" operator="equal">
      <formula>0</formula>
    </cfRule>
  </conditionalFormatting>
  <conditionalFormatting sqref="S242:S253">
    <cfRule type="expression" dxfId="2433" priority="284">
      <formula>LEN(TRIM(S242))=0</formula>
    </cfRule>
  </conditionalFormatting>
  <conditionalFormatting sqref="D264:R264 P255:R255 D255:I255 D256:R262 D254:R254 D235:R241 D234:G234 L234:M234 P234:R234">
    <cfRule type="cellIs" dxfId="2432" priority="285" operator="equal">
      <formula>0</formula>
    </cfRule>
  </conditionalFormatting>
  <conditionalFormatting sqref="P234:P236">
    <cfRule type="cellIs" dxfId="2431" priority="286" operator="equal">
      <formula>0</formula>
    </cfRule>
  </conditionalFormatting>
  <conditionalFormatting sqref="P234:R234 L234:M234 D235:R236">
    <cfRule type="cellIs" dxfId="2430" priority="287" operator="equal">
      <formula>0</formula>
    </cfRule>
  </conditionalFormatting>
  <conditionalFormatting sqref="F235:F236">
    <cfRule type="cellIs" dxfId="2429" priority="288" operator="equal">
      <formula>0</formula>
    </cfRule>
  </conditionalFormatting>
  <conditionalFormatting sqref="L234:M234">
    <cfRule type="cellIs" dxfId="2428" priority="289" operator="equal">
      <formula>0</formula>
    </cfRule>
  </conditionalFormatting>
  <conditionalFormatting sqref="J237:J239 J255">
    <cfRule type="cellIs" dxfId="2427" priority="290" operator="equal">
      <formula>0</formula>
    </cfRule>
  </conditionalFormatting>
  <conditionalFormatting sqref="J235:J236">
    <cfRule type="cellIs" dxfId="2426" priority="291" operator="equal">
      <formula>0</formula>
    </cfRule>
  </conditionalFormatting>
  <conditionalFormatting sqref="K237:K239 K255">
    <cfRule type="cellIs" dxfId="2425" priority="292" operator="equal">
      <formula>0</formula>
    </cfRule>
  </conditionalFormatting>
  <conditionalFormatting sqref="K235:K236">
    <cfRule type="cellIs" dxfId="2424" priority="293" operator="equal">
      <formula>0</formula>
    </cfRule>
  </conditionalFormatting>
  <conditionalFormatting sqref="L237:L239 L255">
    <cfRule type="cellIs" dxfId="2423" priority="294" operator="equal">
      <formula>0</formula>
    </cfRule>
  </conditionalFormatting>
  <conditionalFormatting sqref="L234:L236">
    <cfRule type="cellIs" dxfId="2422" priority="295" operator="equal">
      <formula>0</formula>
    </cfRule>
  </conditionalFormatting>
  <conditionalFormatting sqref="M237:M239 M255">
    <cfRule type="cellIs" dxfId="2421" priority="296" operator="equal">
      <formula>0</formula>
    </cfRule>
  </conditionalFormatting>
  <conditionalFormatting sqref="M234:M236">
    <cfRule type="cellIs" dxfId="2420" priority="297" operator="equal">
      <formula>0</formula>
    </cfRule>
  </conditionalFormatting>
  <conditionalFormatting sqref="N237:N239 N255">
    <cfRule type="cellIs" dxfId="2419" priority="298" operator="equal">
      <formula>0</formula>
    </cfRule>
  </conditionalFormatting>
  <conditionalFormatting sqref="N235:N236">
    <cfRule type="cellIs" dxfId="2418" priority="299" operator="equal">
      <formula>0</formula>
    </cfRule>
  </conditionalFormatting>
  <conditionalFormatting sqref="O237:O239 O255">
    <cfRule type="cellIs" dxfId="2417" priority="300" operator="equal">
      <formula>0</formula>
    </cfRule>
  </conditionalFormatting>
  <conditionalFormatting sqref="O235:O236">
    <cfRule type="cellIs" dxfId="2416" priority="301" operator="equal">
      <formula>0</formula>
    </cfRule>
  </conditionalFormatting>
  <conditionalFormatting sqref="D263:R263">
    <cfRule type="cellIs" dxfId="2415" priority="302" operator="equal">
      <formula>0</formula>
    </cfRule>
  </conditionalFormatting>
  <conditionalFormatting sqref="D256:R264 D254:R254 D235:R240 D234:G234 L234:M234 P234:R234">
    <cfRule type="expression" dxfId="2414" priority="303">
      <formula>LEN(TRIM(D234))=0</formula>
    </cfRule>
  </conditionalFormatting>
  <conditionalFormatting sqref="D263:R263">
    <cfRule type="cellIs" dxfId="2413" priority="304" operator="equal">
      <formula>0</formula>
    </cfRule>
  </conditionalFormatting>
  <conditionalFormatting sqref="L237:L238">
    <cfRule type="cellIs" dxfId="2412" priority="305" operator="equal">
      <formula>0</formula>
    </cfRule>
  </conditionalFormatting>
  <conditionalFormatting sqref="M237:M238">
    <cfRule type="cellIs" dxfId="2411" priority="306" operator="equal">
      <formula>0</formula>
    </cfRule>
  </conditionalFormatting>
  <conditionalFormatting sqref="N237:O237">
    <cfRule type="cellIs" dxfId="2410" priority="307" operator="equal">
      <formula>0</formula>
    </cfRule>
  </conditionalFormatting>
  <conditionalFormatting sqref="N238:O238">
    <cfRule type="cellIs" dxfId="2409" priority="308" operator="equal">
      <formula>0</formula>
    </cfRule>
  </conditionalFormatting>
  <conditionalFormatting sqref="D242:R253">
    <cfRule type="cellIs" dxfId="2408" priority="309" operator="equal">
      <formula>0</formula>
    </cfRule>
  </conditionalFormatting>
  <conditionalFormatting sqref="D242:R253">
    <cfRule type="expression" dxfId="2407" priority="310">
      <formula>LEN(TRIM(D242))=0</formula>
    </cfRule>
  </conditionalFormatting>
  <conditionalFormatting sqref="H234">
    <cfRule type="cellIs" dxfId="2406" priority="311" operator="equal">
      <formula>0</formula>
    </cfRule>
  </conditionalFormatting>
  <conditionalFormatting sqref="I234">
    <cfRule type="cellIs" dxfId="2405" priority="312" operator="equal">
      <formula>0</formula>
    </cfRule>
  </conditionalFormatting>
  <conditionalFormatting sqref="J234:K234">
    <cfRule type="cellIs" dxfId="2404" priority="313" operator="equal">
      <formula>0</formula>
    </cfRule>
  </conditionalFormatting>
  <conditionalFormatting sqref="K234">
    <cfRule type="cellIs" dxfId="2403" priority="314" operator="equal">
      <formula>0</formula>
    </cfRule>
  </conditionalFormatting>
  <conditionalFormatting sqref="H234:K234">
    <cfRule type="expression" dxfId="2402" priority="315">
      <formula>LEN(TRIM(H234))=0</formula>
    </cfRule>
  </conditionalFormatting>
  <conditionalFormatting sqref="N234:O234">
    <cfRule type="cellIs" dxfId="2401" priority="316" operator="equal">
      <formula>0</formula>
    </cfRule>
  </conditionalFormatting>
  <conditionalFormatting sqref="N234:O234">
    <cfRule type="cellIs" dxfId="2400" priority="317" operator="equal">
      <formula>0</formula>
    </cfRule>
  </conditionalFormatting>
  <conditionalFormatting sqref="N234:O234">
    <cfRule type="expression" dxfId="2399" priority="318">
      <formula>LEN(TRIM(N234))=0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03F0B-1A66-4CDC-AF7F-1E2D9D08963D}">
  <dimension ref="B2:T229"/>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360</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7.3966799999999999</v>
      </c>
      <c r="F12" s="421">
        <v>0</v>
      </c>
      <c r="G12" s="421">
        <v>0.13025600000000001</v>
      </c>
      <c r="H12" s="422">
        <v>1024.3939393939399</v>
      </c>
      <c r="I12" s="422">
        <v>225.38</v>
      </c>
      <c r="J12" s="422">
        <v>249.411773964681</v>
      </c>
      <c r="K12" s="422">
        <v>38.123330465500104</v>
      </c>
      <c r="L12" s="421">
        <v>0</v>
      </c>
      <c r="M12" s="421">
        <v>0</v>
      </c>
      <c r="N12" s="422">
        <v>69.623642523263698</v>
      </c>
      <c r="O12" s="422">
        <v>11.4063956350667</v>
      </c>
      <c r="P12" s="421">
        <v>0</v>
      </c>
      <c r="Q12" s="421">
        <v>0</v>
      </c>
      <c r="R12" s="421">
        <v>0</v>
      </c>
      <c r="S12" s="423">
        <v>1625.8660179824501</v>
      </c>
      <c r="T12" s="412"/>
    </row>
    <row r="13" spans="2:20" ht="13.5">
      <c r="B13" s="412"/>
      <c r="C13" s="420" t="s">
        <v>60</v>
      </c>
      <c r="D13" s="421">
        <v>11.0699461599751</v>
      </c>
      <c r="E13" s="421">
        <v>365.76498082844302</v>
      </c>
      <c r="F13" s="421">
        <v>76.623972898719799</v>
      </c>
      <c r="G13" s="421">
        <v>256.70615603413501</v>
      </c>
      <c r="H13" s="421">
        <v>0</v>
      </c>
      <c r="I13" s="421">
        <v>0</v>
      </c>
      <c r="J13" s="421">
        <v>0</v>
      </c>
      <c r="K13" s="421">
        <v>0</v>
      </c>
      <c r="L13" s="421">
        <v>0</v>
      </c>
      <c r="M13" s="421">
        <v>0</v>
      </c>
      <c r="N13" s="421">
        <v>0</v>
      </c>
      <c r="O13" s="421">
        <v>0</v>
      </c>
      <c r="P13" s="421">
        <v>0</v>
      </c>
      <c r="Q13" s="421">
        <v>0</v>
      </c>
      <c r="R13" s="421">
        <v>0</v>
      </c>
      <c r="S13" s="423">
        <v>710.16505592127305</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-21.729292917443001</v>
      </c>
      <c r="Q14" s="421">
        <v>0</v>
      </c>
      <c r="R14" s="421">
        <v>0</v>
      </c>
      <c r="S14" s="423">
        <v>-21.729292917443001</v>
      </c>
      <c r="T14" s="412"/>
    </row>
    <row r="15" spans="2:20" ht="13.5">
      <c r="B15" s="412"/>
      <c r="C15" s="420" t="s">
        <v>62</v>
      </c>
      <c r="D15" s="421">
        <v>0</v>
      </c>
      <c r="E15" s="421">
        <v>0</v>
      </c>
      <c r="F15" s="421">
        <v>-14.2084330221338</v>
      </c>
      <c r="G15" s="421">
        <v>-0.95675088928507901</v>
      </c>
      <c r="H15" s="421">
        <v>0</v>
      </c>
      <c r="I15" s="421">
        <v>0</v>
      </c>
      <c r="J15" s="421">
        <v>0</v>
      </c>
      <c r="K15" s="421">
        <v>0</v>
      </c>
      <c r="L15" s="421">
        <v>0</v>
      </c>
      <c r="M15" s="421">
        <v>-0.167369559736603</v>
      </c>
      <c r="N15" s="421">
        <v>0</v>
      </c>
      <c r="O15" s="421">
        <v>0</v>
      </c>
      <c r="P15" s="421">
        <v>0</v>
      </c>
      <c r="Q15" s="421">
        <v>0</v>
      </c>
      <c r="R15" s="421">
        <v>0</v>
      </c>
      <c r="S15" s="423">
        <v>-15.332553471155499</v>
      </c>
      <c r="T15" s="412"/>
    </row>
    <row r="16" spans="2:20" ht="13.5">
      <c r="B16" s="412"/>
      <c r="C16" s="420" t="s">
        <v>63</v>
      </c>
      <c r="D16" s="421">
        <v>0</v>
      </c>
      <c r="E16" s="421">
        <v>0</v>
      </c>
      <c r="F16" s="421">
        <v>-66.313833146582994</v>
      </c>
      <c r="G16" s="421">
        <v>0</v>
      </c>
      <c r="H16" s="421">
        <v>0</v>
      </c>
      <c r="I16" s="421">
        <v>0</v>
      </c>
      <c r="J16" s="421">
        <v>0</v>
      </c>
      <c r="K16" s="421">
        <v>0</v>
      </c>
      <c r="L16" s="421">
        <v>-11.3748641642475</v>
      </c>
      <c r="M16" s="421">
        <v>0</v>
      </c>
      <c r="N16" s="421">
        <v>0</v>
      </c>
      <c r="O16" s="421">
        <v>0</v>
      </c>
      <c r="P16" s="421">
        <v>0</v>
      </c>
      <c r="Q16" s="421">
        <v>0</v>
      </c>
      <c r="R16" s="421">
        <v>0</v>
      </c>
      <c r="S16" s="423">
        <v>-77.688697310830506</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11.0699461599751</v>
      </c>
      <c r="E18" s="425">
        <v>373.16166082844302</v>
      </c>
      <c r="F18" s="425">
        <v>-3.8982932699969699</v>
      </c>
      <c r="G18" s="425">
        <v>255.87966114484999</v>
      </c>
      <c r="H18" s="425">
        <v>1024.3939393939399</v>
      </c>
      <c r="I18" s="425">
        <v>225.38</v>
      </c>
      <c r="J18" s="425">
        <v>249.411773964681</v>
      </c>
      <c r="K18" s="425">
        <v>38.123330465500104</v>
      </c>
      <c r="L18" s="425">
        <v>-11.3748641642475</v>
      </c>
      <c r="M18" s="425">
        <v>-0.167369559736603</v>
      </c>
      <c r="N18" s="425">
        <v>69.623642523263698</v>
      </c>
      <c r="O18" s="425">
        <v>11.4063956350667</v>
      </c>
      <c r="P18" s="425">
        <v>-21.729292917443001</v>
      </c>
      <c r="Q18" s="425">
        <v>0</v>
      </c>
      <c r="R18" s="425">
        <v>0</v>
      </c>
      <c r="S18" s="425">
        <v>2221.2805302042998</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0</v>
      </c>
      <c r="E21" s="421">
        <v>0</v>
      </c>
      <c r="F21" s="421">
        <v>0</v>
      </c>
      <c r="G21" s="421">
        <v>32.755695067264597</v>
      </c>
      <c r="H21" s="421">
        <v>1024.3939393939399</v>
      </c>
      <c r="I21" s="421">
        <v>225.38</v>
      </c>
      <c r="J21" s="421">
        <v>19.8875173501633</v>
      </c>
      <c r="K21" s="421">
        <v>6.3668985415530699</v>
      </c>
      <c r="L21" s="421">
        <v>0</v>
      </c>
      <c r="M21" s="421">
        <v>4.8945291479820598</v>
      </c>
      <c r="N21" s="421">
        <v>0</v>
      </c>
      <c r="O21" s="421">
        <v>0</v>
      </c>
      <c r="P21" s="421">
        <v>-594.08000000000004</v>
      </c>
      <c r="Q21" s="421">
        <v>0</v>
      </c>
      <c r="R21" s="421">
        <v>1.425</v>
      </c>
      <c r="S21" s="429">
        <v>721.02357950090197</v>
      </c>
      <c r="T21" s="412"/>
    </row>
    <row r="22" spans="2:20" ht="13.5">
      <c r="B22" s="412"/>
      <c r="C22" s="428" t="s">
        <v>351</v>
      </c>
      <c r="D22" s="421">
        <v>0</v>
      </c>
      <c r="E22" s="421">
        <v>0</v>
      </c>
      <c r="F22" s="421">
        <v>0</v>
      </c>
      <c r="G22" s="421">
        <v>16.944127998060999</v>
      </c>
      <c r="H22" s="421">
        <v>0</v>
      </c>
      <c r="I22" s="421">
        <v>0</v>
      </c>
      <c r="J22" s="421">
        <v>27.801582142602999</v>
      </c>
      <c r="K22" s="421">
        <v>25.484218291937999</v>
      </c>
      <c r="L22" s="421">
        <v>0</v>
      </c>
      <c r="M22" s="421">
        <v>2.5318811951125699</v>
      </c>
      <c r="N22" s="421">
        <v>0</v>
      </c>
      <c r="O22" s="421">
        <v>7.47026455928955</v>
      </c>
      <c r="P22" s="421">
        <v>0</v>
      </c>
      <c r="Q22" s="421">
        <v>-73.132276024870606</v>
      </c>
      <c r="R22" s="421">
        <v>0</v>
      </c>
      <c r="S22" s="429">
        <v>7.09979816213355</v>
      </c>
      <c r="T22" s="412"/>
    </row>
    <row r="23" spans="2:20" ht="13.5">
      <c r="B23" s="412"/>
      <c r="C23" s="428" t="s">
        <v>352</v>
      </c>
      <c r="D23" s="421">
        <v>0</v>
      </c>
      <c r="E23" s="421">
        <v>0</v>
      </c>
      <c r="F23" s="421">
        <v>0</v>
      </c>
      <c r="G23" s="421">
        <v>0</v>
      </c>
      <c r="H23" s="421">
        <v>0</v>
      </c>
      <c r="I23" s="421">
        <v>0</v>
      </c>
      <c r="J23" s="421">
        <v>41.569838696258103</v>
      </c>
      <c r="K23" s="421">
        <v>0</v>
      </c>
      <c r="L23" s="421">
        <v>0</v>
      </c>
      <c r="M23" s="421">
        <v>-36.695775109121797</v>
      </c>
      <c r="N23" s="421">
        <v>0</v>
      </c>
      <c r="O23" s="421">
        <v>0</v>
      </c>
      <c r="P23" s="421">
        <v>0</v>
      </c>
      <c r="Q23" s="421">
        <v>0</v>
      </c>
      <c r="R23" s="421">
        <v>0</v>
      </c>
      <c r="S23" s="429">
        <v>4.8740635871362601</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386.55581999113599</v>
      </c>
      <c r="F25" s="421">
        <v>-382.69026179122397</v>
      </c>
      <c r="G25" s="421">
        <v>0</v>
      </c>
      <c r="H25" s="421">
        <v>0</v>
      </c>
      <c r="I25" s="421">
        <v>0</v>
      </c>
      <c r="J25" s="421">
        <v>0</v>
      </c>
      <c r="K25" s="421">
        <v>0</v>
      </c>
      <c r="L25" s="421">
        <v>0</v>
      </c>
      <c r="M25" s="421">
        <v>0</v>
      </c>
      <c r="N25" s="421">
        <v>0</v>
      </c>
      <c r="O25" s="421">
        <v>0</v>
      </c>
      <c r="P25" s="421">
        <v>0</v>
      </c>
      <c r="Q25" s="421">
        <v>0</v>
      </c>
      <c r="R25" s="421">
        <v>0</v>
      </c>
      <c r="S25" s="429">
        <v>3.8655581999113302</v>
      </c>
      <c r="T25" s="412"/>
    </row>
    <row r="26" spans="2:20" ht="13.5">
      <c r="B26" s="412"/>
      <c r="C26" s="428" t="s">
        <v>354</v>
      </c>
      <c r="D26" s="421">
        <v>0</v>
      </c>
      <c r="E26" s="421">
        <v>0</v>
      </c>
      <c r="F26" s="421">
        <v>0</v>
      </c>
      <c r="G26" s="421">
        <v>0</v>
      </c>
      <c r="H26" s="421">
        <v>0</v>
      </c>
      <c r="I26" s="421">
        <v>0</v>
      </c>
      <c r="J26" s="421">
        <v>59.787730212494701</v>
      </c>
      <c r="K26" s="421">
        <v>0</v>
      </c>
      <c r="L26" s="421">
        <v>-59.787730212494701</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-11.848147131187501</v>
      </c>
      <c r="M27" s="421">
        <v>0</v>
      </c>
      <c r="N27" s="421">
        <v>0</v>
      </c>
      <c r="O27" s="421">
        <v>0</v>
      </c>
      <c r="P27" s="421">
        <v>0</v>
      </c>
      <c r="Q27" s="421">
        <v>0</v>
      </c>
      <c r="R27" s="421">
        <v>16.925924473125001</v>
      </c>
      <c r="S27" s="429">
        <v>5.0777773419374901</v>
      </c>
      <c r="T27" s="412"/>
    </row>
    <row r="28" spans="2:20" ht="13.5">
      <c r="B28" s="412"/>
      <c r="C28" s="428" t="s">
        <v>73</v>
      </c>
      <c r="D28" s="421">
        <v>0</v>
      </c>
      <c r="E28" s="421">
        <v>0</v>
      </c>
      <c r="F28" s="421">
        <v>0</v>
      </c>
      <c r="G28" s="421">
        <v>12.6235241576865</v>
      </c>
      <c r="H28" s="421">
        <v>0</v>
      </c>
      <c r="I28" s="421">
        <v>0</v>
      </c>
      <c r="J28" s="421">
        <v>0</v>
      </c>
      <c r="K28" s="421">
        <v>0.435729666138086</v>
      </c>
      <c r="L28" s="421">
        <v>0</v>
      </c>
      <c r="M28" s="421">
        <v>1.88627372471178</v>
      </c>
      <c r="N28" s="421">
        <v>0</v>
      </c>
      <c r="O28" s="421">
        <v>0</v>
      </c>
      <c r="P28" s="421">
        <v>30.339450939728401</v>
      </c>
      <c r="Q28" s="421">
        <v>0</v>
      </c>
      <c r="R28" s="421">
        <v>-30.501076629665999</v>
      </c>
      <c r="S28" s="429">
        <v>14.7839018585987</v>
      </c>
      <c r="T28" s="412"/>
    </row>
    <row r="29" spans="2:20" ht="13.5">
      <c r="B29" s="412"/>
      <c r="C29" s="428" t="s">
        <v>356</v>
      </c>
      <c r="D29" s="421">
        <v>4.3307530517578101</v>
      </c>
      <c r="E29" s="421">
        <v>-13.394159162692899</v>
      </c>
      <c r="F29" s="421">
        <v>17.5187690560711</v>
      </c>
      <c r="G29" s="421">
        <v>0</v>
      </c>
      <c r="H29" s="421">
        <v>0</v>
      </c>
      <c r="I29" s="421">
        <v>0</v>
      </c>
      <c r="J29" s="421">
        <v>0</v>
      </c>
      <c r="K29" s="421">
        <v>0</v>
      </c>
      <c r="L29" s="421">
        <v>0</v>
      </c>
      <c r="M29" s="421">
        <v>0</v>
      </c>
      <c r="N29" s="421">
        <v>0</v>
      </c>
      <c r="O29" s="421">
        <v>0</v>
      </c>
      <c r="P29" s="421">
        <v>0</v>
      </c>
      <c r="Q29" s="421">
        <v>0</v>
      </c>
      <c r="R29" s="421">
        <v>0</v>
      </c>
      <c r="S29" s="429">
        <v>8.4553629451360095</v>
      </c>
      <c r="T29" s="412"/>
    </row>
    <row r="30" spans="2:20" ht="13.5">
      <c r="B30" s="412"/>
      <c r="C30" s="428" t="s">
        <v>75</v>
      </c>
      <c r="D30" s="421">
        <v>4.9205957031249996</v>
      </c>
      <c r="E30" s="421">
        <v>0</v>
      </c>
      <c r="F30" s="421">
        <v>18.729068543758601</v>
      </c>
      <c r="G30" s="421">
        <v>4.7445137460997797</v>
      </c>
      <c r="H30" s="421">
        <v>0</v>
      </c>
      <c r="I30" s="421">
        <v>0</v>
      </c>
      <c r="J30" s="421">
        <v>0</v>
      </c>
      <c r="K30" s="421">
        <v>0</v>
      </c>
      <c r="L30" s="421">
        <v>0</v>
      </c>
      <c r="M30" s="421">
        <v>0.70895032987697904</v>
      </c>
      <c r="N30" s="421">
        <v>0</v>
      </c>
      <c r="O30" s="421">
        <v>0</v>
      </c>
      <c r="P30" s="421">
        <v>32.617954545454502</v>
      </c>
      <c r="Q30" s="421">
        <v>0</v>
      </c>
      <c r="R30" s="421">
        <v>0</v>
      </c>
      <c r="S30" s="429">
        <v>61.721082868314902</v>
      </c>
      <c r="T30" s="412"/>
    </row>
    <row r="31" spans="2:20" ht="13.5">
      <c r="B31" s="412"/>
      <c r="C31" s="428" t="s">
        <v>76</v>
      </c>
      <c r="D31" s="421">
        <v>0</v>
      </c>
      <c r="E31" s="421">
        <v>0</v>
      </c>
      <c r="F31" s="421">
        <v>0</v>
      </c>
      <c r="G31" s="421">
        <v>2.9120089095411301</v>
      </c>
      <c r="H31" s="421">
        <v>0</v>
      </c>
      <c r="I31" s="421">
        <v>0</v>
      </c>
      <c r="J31" s="421">
        <v>0</v>
      </c>
      <c r="K31" s="421">
        <v>0</v>
      </c>
      <c r="L31" s="421">
        <v>0</v>
      </c>
      <c r="M31" s="421">
        <v>0.43512776809235298</v>
      </c>
      <c r="N31" s="421">
        <v>0</v>
      </c>
      <c r="O31" s="421">
        <v>0</v>
      </c>
      <c r="P31" s="421">
        <v>43.864366286105501</v>
      </c>
      <c r="Q31" s="421">
        <v>5.66707673993462</v>
      </c>
      <c r="R31" s="421">
        <v>0</v>
      </c>
      <c r="S31" s="429">
        <v>52.878579703673601</v>
      </c>
      <c r="T31" s="412"/>
    </row>
    <row r="32" spans="2:20" ht="13.5">
      <c r="B32" s="412"/>
      <c r="C32" s="424" t="s">
        <v>77</v>
      </c>
      <c r="D32" s="425">
        <v>9.2513487548828106</v>
      </c>
      <c r="E32" s="425">
        <v>373.16166082844302</v>
      </c>
      <c r="F32" s="425">
        <v>-346.44242419139499</v>
      </c>
      <c r="G32" s="425">
        <v>69.979869878653005</v>
      </c>
      <c r="H32" s="425">
        <v>1024.3939393939399</v>
      </c>
      <c r="I32" s="425">
        <v>225.38</v>
      </c>
      <c r="J32" s="425">
        <v>149.04666840151901</v>
      </c>
      <c r="K32" s="425">
        <v>32.2868464996291</v>
      </c>
      <c r="L32" s="425">
        <v>-71.635877343682196</v>
      </c>
      <c r="M32" s="425">
        <v>-26.239012943346101</v>
      </c>
      <c r="N32" s="425">
        <v>0</v>
      </c>
      <c r="O32" s="425">
        <v>7.47026455928955</v>
      </c>
      <c r="P32" s="425">
        <v>-487.25822822871203</v>
      </c>
      <c r="Q32" s="425">
        <v>-67.465199284936006</v>
      </c>
      <c r="R32" s="425">
        <v>-12.1501521565411</v>
      </c>
      <c r="S32" s="425">
        <v>879.77970416774394</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1.16328553009227</v>
      </c>
      <c r="E34" s="421">
        <v>0</v>
      </c>
      <c r="F34" s="421">
        <v>13.8112344502171</v>
      </c>
      <c r="G34" s="421">
        <v>75.974004401831806</v>
      </c>
      <c r="H34" s="421">
        <v>0</v>
      </c>
      <c r="I34" s="421">
        <v>0</v>
      </c>
      <c r="J34" s="421">
        <v>15.6078294644963</v>
      </c>
      <c r="K34" s="421">
        <v>5.8364839658710004</v>
      </c>
      <c r="L34" s="421">
        <v>1.8190377949218799</v>
      </c>
      <c r="M34" s="421">
        <v>11.352437439354199</v>
      </c>
      <c r="N34" s="421">
        <v>0</v>
      </c>
      <c r="O34" s="421">
        <v>0</v>
      </c>
      <c r="P34" s="421">
        <v>131.71593128381801</v>
      </c>
      <c r="Q34" s="421">
        <v>22.303652442230799</v>
      </c>
      <c r="R34" s="421">
        <v>5.3802006835937499</v>
      </c>
      <c r="S34" s="429">
        <v>284.964097456427</v>
      </c>
      <c r="T34" s="412"/>
    </row>
    <row r="35" spans="2:20" ht="13.5">
      <c r="B35" s="412"/>
      <c r="C35" s="428" t="s">
        <v>79</v>
      </c>
      <c r="D35" s="421">
        <v>0</v>
      </c>
      <c r="E35" s="421">
        <v>0</v>
      </c>
      <c r="F35" s="421">
        <v>189.87862112859401</v>
      </c>
      <c r="G35" s="421">
        <v>16.64955020583</v>
      </c>
      <c r="H35" s="421">
        <v>0</v>
      </c>
      <c r="I35" s="421">
        <v>0</v>
      </c>
      <c r="J35" s="421">
        <v>0</v>
      </c>
      <c r="K35" s="421">
        <v>0</v>
      </c>
      <c r="L35" s="421">
        <v>44.405791664587298</v>
      </c>
      <c r="M35" s="421">
        <v>2.5923432302996501</v>
      </c>
      <c r="N35" s="421">
        <v>0</v>
      </c>
      <c r="O35" s="421">
        <v>0</v>
      </c>
      <c r="P35" s="421">
        <v>49.821959604820101</v>
      </c>
      <c r="Q35" s="421">
        <v>0</v>
      </c>
      <c r="R35" s="421">
        <v>1.5849058336758</v>
      </c>
      <c r="S35" s="429">
        <v>304.93317166780702</v>
      </c>
      <c r="T35" s="412"/>
    </row>
    <row r="36" spans="2:20" ht="13.5">
      <c r="B36" s="412"/>
      <c r="C36" s="428" t="s">
        <v>80</v>
      </c>
      <c r="D36" s="421">
        <v>0</v>
      </c>
      <c r="E36" s="421">
        <v>0</v>
      </c>
      <c r="F36" s="421">
        <v>1.42606261735715</v>
      </c>
      <c r="G36" s="421">
        <v>47.453363010823402</v>
      </c>
      <c r="H36" s="421">
        <v>0</v>
      </c>
      <c r="I36" s="421">
        <v>0</v>
      </c>
      <c r="J36" s="421">
        <v>75.037621036530098</v>
      </c>
      <c r="K36" s="421">
        <v>0</v>
      </c>
      <c r="L36" s="421">
        <v>0</v>
      </c>
      <c r="M36" s="421">
        <v>7.0907324039161397</v>
      </c>
      <c r="N36" s="421">
        <v>55.372520536787299</v>
      </c>
      <c r="O36" s="421">
        <v>1.39422233549626</v>
      </c>
      <c r="P36" s="421">
        <v>156.615027079708</v>
      </c>
      <c r="Q36" s="421">
        <v>35.653708400257798</v>
      </c>
      <c r="R36" s="421">
        <v>0</v>
      </c>
      <c r="S36" s="429">
        <v>380.04325742087599</v>
      </c>
      <c r="T36" s="412"/>
    </row>
    <row r="37" spans="2:20" ht="13.5">
      <c r="B37" s="412"/>
      <c r="C37" s="428" t="s">
        <v>81</v>
      </c>
      <c r="D37" s="421">
        <v>0</v>
      </c>
      <c r="E37" s="421">
        <v>0</v>
      </c>
      <c r="F37" s="421">
        <v>2.6552662898972801</v>
      </c>
      <c r="G37" s="421">
        <v>32.546671207199999</v>
      </c>
      <c r="H37" s="421">
        <v>0</v>
      </c>
      <c r="I37" s="421">
        <v>0</v>
      </c>
      <c r="J37" s="421">
        <v>7.6606579921523004</v>
      </c>
      <c r="K37" s="421">
        <v>0</v>
      </c>
      <c r="L37" s="421">
        <v>0</v>
      </c>
      <c r="M37" s="421">
        <v>4.8632956976275903</v>
      </c>
      <c r="N37" s="421">
        <v>14.2511219864764</v>
      </c>
      <c r="O37" s="421">
        <v>1.71409342707066</v>
      </c>
      <c r="P37" s="421">
        <v>118.721330344538</v>
      </c>
      <c r="Q37" s="421">
        <v>9.5078384424472908</v>
      </c>
      <c r="R37" s="421">
        <v>0</v>
      </c>
      <c r="S37" s="429">
        <v>191.92027538740899</v>
      </c>
      <c r="T37" s="412"/>
    </row>
    <row r="38" spans="2:20" ht="13.5">
      <c r="B38" s="412"/>
      <c r="C38" s="428" t="s">
        <v>82</v>
      </c>
      <c r="D38" s="421">
        <v>0</v>
      </c>
      <c r="E38" s="421">
        <v>0</v>
      </c>
      <c r="F38" s="421">
        <v>20.984802440298498</v>
      </c>
      <c r="G38" s="421">
        <v>1.90707745937911</v>
      </c>
      <c r="H38" s="421">
        <v>0</v>
      </c>
      <c r="I38" s="421">
        <v>0</v>
      </c>
      <c r="J38" s="421">
        <v>2.05899706998358</v>
      </c>
      <c r="K38" s="421">
        <v>0</v>
      </c>
      <c r="L38" s="421">
        <v>7.9300402287146001</v>
      </c>
      <c r="M38" s="421">
        <v>0.28496559737848798</v>
      </c>
      <c r="N38" s="421">
        <v>0</v>
      </c>
      <c r="O38" s="421">
        <v>0.82781531321025903</v>
      </c>
      <c r="P38" s="421">
        <v>7.3746869983845702</v>
      </c>
      <c r="Q38" s="421">
        <v>0</v>
      </c>
      <c r="R38" s="421">
        <v>0.21911019493558401</v>
      </c>
      <c r="S38" s="429">
        <v>41.587495302284701</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1.28</v>
      </c>
      <c r="Q39" s="421">
        <v>0</v>
      </c>
      <c r="R39" s="421">
        <v>0</v>
      </c>
      <c r="S39" s="429">
        <v>1.28</v>
      </c>
      <c r="T39" s="412"/>
    </row>
    <row r="40" spans="2:20" ht="13.5">
      <c r="B40" s="412"/>
      <c r="C40" s="424" t="s">
        <v>83</v>
      </c>
      <c r="D40" s="425">
        <v>1.16328553009227</v>
      </c>
      <c r="E40" s="425">
        <v>0</v>
      </c>
      <c r="F40" s="425">
        <v>228.75598692636399</v>
      </c>
      <c r="G40" s="425">
        <v>174.530666285064</v>
      </c>
      <c r="H40" s="425">
        <v>0</v>
      </c>
      <c r="I40" s="425">
        <v>0</v>
      </c>
      <c r="J40" s="425">
        <v>100.365105563162</v>
      </c>
      <c r="K40" s="425">
        <v>5.8364839658710004</v>
      </c>
      <c r="L40" s="425">
        <v>54.154869688223798</v>
      </c>
      <c r="M40" s="425">
        <v>26.183774368576</v>
      </c>
      <c r="N40" s="425">
        <v>69.623642523263698</v>
      </c>
      <c r="O40" s="425">
        <v>3.9361310757771801</v>
      </c>
      <c r="P40" s="425">
        <v>465.52893531126898</v>
      </c>
      <c r="Q40" s="425">
        <v>67.465199284936006</v>
      </c>
      <c r="R40" s="425">
        <v>7.1842167122051297</v>
      </c>
      <c r="S40" s="425">
        <v>1204.7282972348</v>
      </c>
      <c r="T40" s="412"/>
    </row>
    <row r="41" spans="2:20" ht="13.5">
      <c r="B41" s="412"/>
      <c r="C41" s="420" t="s">
        <v>84</v>
      </c>
      <c r="D41" s="421">
        <v>0.65531187499999999</v>
      </c>
      <c r="E41" s="421">
        <v>0</v>
      </c>
      <c r="F41" s="421">
        <v>113.78814399503401</v>
      </c>
      <c r="G41" s="421">
        <v>11.2569939961659</v>
      </c>
      <c r="H41" s="421">
        <v>0</v>
      </c>
      <c r="I41" s="421">
        <v>0</v>
      </c>
      <c r="J41" s="421">
        <v>0</v>
      </c>
      <c r="K41" s="421">
        <v>0</v>
      </c>
      <c r="L41" s="421">
        <v>6.1061434912109398</v>
      </c>
      <c r="M41" s="421">
        <v>0</v>
      </c>
      <c r="N41" s="421">
        <v>0</v>
      </c>
      <c r="O41" s="421">
        <v>0</v>
      </c>
      <c r="P41" s="421">
        <v>0</v>
      </c>
      <c r="Q41" s="421">
        <v>0</v>
      </c>
      <c r="R41" s="421">
        <v>4.9659354443359396</v>
      </c>
      <c r="S41" s="429">
        <v>136.772528801747</v>
      </c>
      <c r="T41" s="412"/>
    </row>
    <row r="42" spans="2:20" ht="13.5">
      <c r="B42" s="412"/>
      <c r="C42" s="424" t="s">
        <v>85</v>
      </c>
      <c r="D42" s="425">
        <v>1.81859740509227</v>
      </c>
      <c r="E42" s="425">
        <v>0</v>
      </c>
      <c r="F42" s="425">
        <v>342.54413092139799</v>
      </c>
      <c r="G42" s="425">
        <v>185.78766028122999</v>
      </c>
      <c r="H42" s="425">
        <v>0</v>
      </c>
      <c r="I42" s="425">
        <v>0</v>
      </c>
      <c r="J42" s="425">
        <v>100.365105563162</v>
      </c>
      <c r="K42" s="425">
        <v>5.8364839658710004</v>
      </c>
      <c r="L42" s="425">
        <v>60.261013179434698</v>
      </c>
      <c r="M42" s="425">
        <v>26.183774368576</v>
      </c>
      <c r="N42" s="425">
        <v>69.623642523263698</v>
      </c>
      <c r="O42" s="425">
        <v>3.9361310757771801</v>
      </c>
      <c r="P42" s="425">
        <v>465.52893531126898</v>
      </c>
      <c r="Q42" s="425">
        <v>67.465199284936006</v>
      </c>
      <c r="R42" s="425">
        <v>12.1501521565411</v>
      </c>
      <c r="S42" s="425">
        <v>1341.5008260365501</v>
      </c>
      <c r="T42" s="412"/>
    </row>
    <row r="43" spans="2:20">
      <c r="B43" s="412"/>
      <c r="C43" s="412"/>
      <c r="D43" s="430">
        <f t="shared" ref="D43:S43" si="0">D42+D32-D18</f>
        <v>-1.9539925233402755E-14</v>
      </c>
      <c r="E43" s="430">
        <f t="shared" si="0"/>
        <v>0</v>
      </c>
      <c r="F43" s="430">
        <f t="shared" si="0"/>
        <v>-2.7977620220553945E-14</v>
      </c>
      <c r="G43" s="430">
        <f t="shared" si="0"/>
        <v>-0.11213098496699558</v>
      </c>
      <c r="H43" s="430">
        <f t="shared" si="0"/>
        <v>0</v>
      </c>
      <c r="I43" s="430">
        <f t="shared" si="0"/>
        <v>0</v>
      </c>
      <c r="J43" s="430">
        <f t="shared" si="0"/>
        <v>0</v>
      </c>
      <c r="K43" s="430">
        <f t="shared" si="0"/>
        <v>0</v>
      </c>
      <c r="L43" s="430">
        <f t="shared" si="0"/>
        <v>0</v>
      </c>
      <c r="M43" s="430">
        <f t="shared" si="0"/>
        <v>0.11213098496650203</v>
      </c>
      <c r="N43" s="430">
        <f t="shared" si="0"/>
        <v>0</v>
      </c>
      <c r="O43" s="430">
        <f t="shared" si="0"/>
        <v>3.0198066269804258E-14</v>
      </c>
      <c r="P43" s="430">
        <f t="shared" si="0"/>
        <v>-4.6185277824406512E-14</v>
      </c>
      <c r="Q43" s="430">
        <f t="shared" si="0"/>
        <v>0</v>
      </c>
      <c r="R43" s="430">
        <f t="shared" si="0"/>
        <v>0</v>
      </c>
      <c r="S43" s="430">
        <f t="shared" si="0"/>
        <v>-5.9117155615240335E-12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361</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5.8150000000000004</v>
      </c>
      <c r="F49" s="421">
        <v>0</v>
      </c>
      <c r="G49" s="421">
        <v>9.3039999999999998E-2</v>
      </c>
      <c r="H49" s="422">
        <v>994.39393939393995</v>
      </c>
      <c r="I49" s="422">
        <v>245.9</v>
      </c>
      <c r="J49" s="422">
        <v>264.74542837362799</v>
      </c>
      <c r="K49" s="422">
        <v>38.681123219215998</v>
      </c>
      <c r="L49" s="421">
        <v>0</v>
      </c>
      <c r="M49" s="421">
        <v>0</v>
      </c>
      <c r="N49" s="422">
        <v>76.035944637668194</v>
      </c>
      <c r="O49" s="422">
        <v>12.9897242601147</v>
      </c>
      <c r="P49" s="421">
        <v>0</v>
      </c>
      <c r="Q49" s="421">
        <v>0</v>
      </c>
      <c r="R49" s="421">
        <v>0</v>
      </c>
      <c r="S49" s="423">
        <v>1638.6541998845701</v>
      </c>
      <c r="T49" s="412"/>
    </row>
    <row r="50" spans="2:20" ht="13.5">
      <c r="B50" s="412"/>
      <c r="C50" s="420" t="s">
        <v>60</v>
      </c>
      <c r="D50" s="421">
        <v>9.9184003265082108</v>
      </c>
      <c r="E50" s="421">
        <v>336.80990869295198</v>
      </c>
      <c r="F50" s="421">
        <v>39.622058745499999</v>
      </c>
      <c r="G50" s="421">
        <v>228.981754766043</v>
      </c>
      <c r="H50" s="421">
        <v>0</v>
      </c>
      <c r="I50" s="421">
        <v>0</v>
      </c>
      <c r="J50" s="421">
        <v>0</v>
      </c>
      <c r="K50" s="421">
        <v>0</v>
      </c>
      <c r="L50" s="421">
        <v>0</v>
      </c>
      <c r="M50" s="421">
        <v>0</v>
      </c>
      <c r="N50" s="421">
        <v>0</v>
      </c>
      <c r="O50" s="421">
        <v>0</v>
      </c>
      <c r="P50" s="421">
        <v>0</v>
      </c>
      <c r="Q50" s="421">
        <v>0</v>
      </c>
      <c r="R50" s="421">
        <v>0</v>
      </c>
      <c r="S50" s="423">
        <v>615.33212253100305</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-3.4250745408713801</v>
      </c>
      <c r="Q51" s="421">
        <v>0</v>
      </c>
      <c r="R51" s="421">
        <v>0</v>
      </c>
      <c r="S51" s="423">
        <v>-3.4250745408713801</v>
      </c>
      <c r="T51" s="412"/>
    </row>
    <row r="52" spans="2:20" ht="13.5">
      <c r="B52" s="412"/>
      <c r="C52" s="420" t="s">
        <v>62</v>
      </c>
      <c r="D52" s="421">
        <v>0</v>
      </c>
      <c r="E52" s="421">
        <v>0</v>
      </c>
      <c r="F52" s="421">
        <v>-12.937868047131699</v>
      </c>
      <c r="G52" s="421">
        <v>-1.5571295869756501</v>
      </c>
      <c r="H52" s="421">
        <v>0</v>
      </c>
      <c r="I52" s="421">
        <v>0</v>
      </c>
      <c r="J52" s="421">
        <v>0</v>
      </c>
      <c r="K52" s="421">
        <v>0</v>
      </c>
      <c r="L52" s="421">
        <v>0</v>
      </c>
      <c r="M52" s="421">
        <v>-0.27478757417217298</v>
      </c>
      <c r="N52" s="421">
        <v>0</v>
      </c>
      <c r="O52" s="421">
        <v>0</v>
      </c>
      <c r="P52" s="421">
        <v>0</v>
      </c>
      <c r="Q52" s="421">
        <v>0</v>
      </c>
      <c r="R52" s="421">
        <v>0</v>
      </c>
      <c r="S52" s="423">
        <v>-14.7697852082796</v>
      </c>
      <c r="T52" s="412"/>
    </row>
    <row r="53" spans="2:20" ht="13.5">
      <c r="B53" s="412"/>
      <c r="C53" s="420" t="s">
        <v>63</v>
      </c>
      <c r="D53" s="421">
        <v>0</v>
      </c>
      <c r="E53" s="421">
        <v>0</v>
      </c>
      <c r="F53" s="421">
        <v>-61.179449557820497</v>
      </c>
      <c r="G53" s="421">
        <v>0</v>
      </c>
      <c r="H53" s="421">
        <v>0</v>
      </c>
      <c r="I53" s="421">
        <v>0</v>
      </c>
      <c r="J53" s="421">
        <v>0</v>
      </c>
      <c r="K53" s="421">
        <v>0</v>
      </c>
      <c r="L53" s="421">
        <v>-16.1518358617665</v>
      </c>
      <c r="M53" s="421">
        <v>0</v>
      </c>
      <c r="N53" s="421">
        <v>0</v>
      </c>
      <c r="O53" s="421">
        <v>0</v>
      </c>
      <c r="P53" s="421">
        <v>0</v>
      </c>
      <c r="Q53" s="421">
        <v>0</v>
      </c>
      <c r="R53" s="421">
        <v>-0.14322207633848999</v>
      </c>
      <c r="S53" s="423">
        <v>-77.474507495925394</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9.9184003265082108</v>
      </c>
      <c r="E55" s="425">
        <v>342.62490869295198</v>
      </c>
      <c r="F55" s="425">
        <v>-34.4952588594522</v>
      </c>
      <c r="G55" s="425">
        <v>227.51766517906799</v>
      </c>
      <c r="H55" s="425">
        <v>994.39393939393995</v>
      </c>
      <c r="I55" s="425">
        <v>245.9</v>
      </c>
      <c r="J55" s="425">
        <v>264.74542837362799</v>
      </c>
      <c r="K55" s="425">
        <v>38.681123219215998</v>
      </c>
      <c r="L55" s="425">
        <v>-16.1518358617665</v>
      </c>
      <c r="M55" s="425">
        <v>-0.27478757417217298</v>
      </c>
      <c r="N55" s="425">
        <v>76.035944637668194</v>
      </c>
      <c r="O55" s="425">
        <v>12.9897242601147</v>
      </c>
      <c r="P55" s="425">
        <v>-3.4250745408713801</v>
      </c>
      <c r="Q55" s="425">
        <v>0</v>
      </c>
      <c r="R55" s="425">
        <v>-0.14322207633848999</v>
      </c>
      <c r="S55" s="425">
        <v>2158.31695517049</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24.857777777777802</v>
      </c>
      <c r="H58" s="421">
        <v>994.39393939393904</v>
      </c>
      <c r="I58" s="421">
        <v>245.9</v>
      </c>
      <c r="J58" s="421">
        <v>19.077680006004599</v>
      </c>
      <c r="K58" s="421">
        <v>5.91268147655415</v>
      </c>
      <c r="L58" s="421">
        <v>0</v>
      </c>
      <c r="M58" s="421">
        <v>4.3866666666666703</v>
      </c>
      <c r="N58" s="421">
        <v>0</v>
      </c>
      <c r="O58" s="421">
        <v>0</v>
      </c>
      <c r="P58" s="421">
        <v>-600.20000000000005</v>
      </c>
      <c r="Q58" s="421">
        <v>0</v>
      </c>
      <c r="R58" s="421">
        <v>2.375</v>
      </c>
      <c r="S58" s="429">
        <v>696.70374532094297</v>
      </c>
      <c r="T58" s="412"/>
    </row>
    <row r="59" spans="2:20" ht="13.5">
      <c r="B59" s="412"/>
      <c r="C59" s="428" t="s">
        <v>351</v>
      </c>
      <c r="D59" s="421">
        <v>0</v>
      </c>
      <c r="E59" s="421">
        <v>0</v>
      </c>
      <c r="F59" s="421">
        <v>0</v>
      </c>
      <c r="G59" s="421">
        <v>15.8957878644364</v>
      </c>
      <c r="H59" s="421">
        <v>0</v>
      </c>
      <c r="I59" s="421">
        <v>0</v>
      </c>
      <c r="J59" s="421">
        <v>29.009686446350699</v>
      </c>
      <c r="K59" s="421">
        <v>26.492019019171298</v>
      </c>
      <c r="L59" s="421">
        <v>0</v>
      </c>
      <c r="M59" s="421">
        <v>2.8051390349005398</v>
      </c>
      <c r="N59" s="421">
        <v>0</v>
      </c>
      <c r="O59" s="421">
        <v>8.6642897086234303</v>
      </c>
      <c r="P59" s="421">
        <v>0</v>
      </c>
      <c r="Q59" s="421">
        <v>-75.764237599145602</v>
      </c>
      <c r="R59" s="421">
        <v>0</v>
      </c>
      <c r="S59" s="429">
        <v>7.1026844743368098</v>
      </c>
      <c r="T59" s="412"/>
    </row>
    <row r="60" spans="2:20" ht="13.5">
      <c r="B60" s="412"/>
      <c r="C60" s="428" t="s">
        <v>352</v>
      </c>
      <c r="D60" s="421">
        <v>0</v>
      </c>
      <c r="E60" s="421">
        <v>0</v>
      </c>
      <c r="F60" s="421">
        <v>0</v>
      </c>
      <c r="G60" s="421">
        <v>0</v>
      </c>
      <c r="H60" s="421">
        <v>0</v>
      </c>
      <c r="I60" s="421">
        <v>0</v>
      </c>
      <c r="J60" s="421">
        <v>43.323904788910497</v>
      </c>
      <c r="K60" s="421">
        <v>0</v>
      </c>
      <c r="L60" s="421">
        <v>0</v>
      </c>
      <c r="M60" s="421">
        <v>-38.612430143116498</v>
      </c>
      <c r="N60" s="421">
        <v>0</v>
      </c>
      <c r="O60" s="421">
        <v>0</v>
      </c>
      <c r="P60" s="421">
        <v>0</v>
      </c>
      <c r="Q60" s="421">
        <v>0</v>
      </c>
      <c r="R60" s="421">
        <v>0</v>
      </c>
      <c r="S60" s="429">
        <v>4.71147464579402</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354.92299030709302</v>
      </c>
      <c r="F62" s="421">
        <v>-351.37376040402199</v>
      </c>
      <c r="G62" s="421">
        <v>0</v>
      </c>
      <c r="H62" s="421">
        <v>0</v>
      </c>
      <c r="I62" s="421">
        <v>0</v>
      </c>
      <c r="J62" s="421">
        <v>0</v>
      </c>
      <c r="K62" s="421">
        <v>0</v>
      </c>
      <c r="L62" s="421">
        <v>0</v>
      </c>
      <c r="M62" s="421">
        <v>0</v>
      </c>
      <c r="N62" s="421">
        <v>0</v>
      </c>
      <c r="O62" s="421">
        <v>0</v>
      </c>
      <c r="P62" s="421">
        <v>0</v>
      </c>
      <c r="Q62" s="421">
        <v>0</v>
      </c>
      <c r="R62" s="421">
        <v>0</v>
      </c>
      <c r="S62" s="429">
        <v>3.54922990307091</v>
      </c>
      <c r="T62" s="412"/>
    </row>
    <row r="63" spans="2:20" ht="13.5">
      <c r="B63" s="412"/>
      <c r="C63" s="428" t="s">
        <v>354</v>
      </c>
      <c r="D63" s="421">
        <v>0</v>
      </c>
      <c r="E63" s="421">
        <v>0</v>
      </c>
      <c r="F63" s="421">
        <v>0</v>
      </c>
      <c r="G63" s="421">
        <v>0</v>
      </c>
      <c r="H63" s="421">
        <v>0</v>
      </c>
      <c r="I63" s="421">
        <v>0</v>
      </c>
      <c r="J63" s="421">
        <v>71.6348751715379</v>
      </c>
      <c r="K63" s="421">
        <v>0</v>
      </c>
      <c r="L63" s="421">
        <v>-71.6348751715379</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-15.7927133896962</v>
      </c>
      <c r="M64" s="421">
        <v>0</v>
      </c>
      <c r="N64" s="421">
        <v>0</v>
      </c>
      <c r="O64" s="421">
        <v>0</v>
      </c>
      <c r="P64" s="421">
        <v>0</v>
      </c>
      <c r="Q64" s="421">
        <v>0</v>
      </c>
      <c r="R64" s="421">
        <v>22.561019128137399</v>
      </c>
      <c r="S64" s="429">
        <v>6.7683057384412297</v>
      </c>
      <c r="T64" s="412"/>
    </row>
    <row r="65" spans="2:20" ht="13.5">
      <c r="B65" s="412"/>
      <c r="C65" s="428" t="s">
        <v>73</v>
      </c>
      <c r="D65" s="421">
        <v>0</v>
      </c>
      <c r="E65" s="421">
        <v>0</v>
      </c>
      <c r="F65" s="421">
        <v>0</v>
      </c>
      <c r="G65" s="421">
        <v>14.420213484885</v>
      </c>
      <c r="H65" s="421">
        <v>0</v>
      </c>
      <c r="I65" s="421">
        <v>0</v>
      </c>
      <c r="J65" s="421">
        <v>0</v>
      </c>
      <c r="K65" s="421">
        <v>0.57508328952682097</v>
      </c>
      <c r="L65" s="421">
        <v>0</v>
      </c>
      <c r="M65" s="421">
        <v>2.5447435561561802</v>
      </c>
      <c r="N65" s="421">
        <v>0</v>
      </c>
      <c r="O65" s="421">
        <v>0</v>
      </c>
      <c r="P65" s="421">
        <v>41.914310165512902</v>
      </c>
      <c r="Q65" s="421">
        <v>0</v>
      </c>
      <c r="R65" s="421">
        <v>-40.255830266877503</v>
      </c>
      <c r="S65" s="429">
        <v>19.198520229203499</v>
      </c>
      <c r="T65" s="412"/>
    </row>
    <row r="66" spans="2:20" ht="13.5">
      <c r="B66" s="412"/>
      <c r="C66" s="428" t="s">
        <v>356</v>
      </c>
      <c r="D66" s="421">
        <v>3.6632235107421902</v>
      </c>
      <c r="E66" s="421">
        <v>-12.2980816141408</v>
      </c>
      <c r="F66" s="421">
        <v>16.085164362607902</v>
      </c>
      <c r="G66" s="421">
        <v>0</v>
      </c>
      <c r="H66" s="421">
        <v>0</v>
      </c>
      <c r="I66" s="421">
        <v>0</v>
      </c>
      <c r="J66" s="421">
        <v>0</v>
      </c>
      <c r="K66" s="421">
        <v>0</v>
      </c>
      <c r="L66" s="421">
        <v>0</v>
      </c>
      <c r="M66" s="421">
        <v>0</v>
      </c>
      <c r="N66" s="421">
        <v>0</v>
      </c>
      <c r="O66" s="421">
        <v>0</v>
      </c>
      <c r="P66" s="421">
        <v>0</v>
      </c>
      <c r="Q66" s="421">
        <v>0</v>
      </c>
      <c r="R66" s="421">
        <v>0</v>
      </c>
      <c r="S66" s="429">
        <v>7.4503062592093503</v>
      </c>
      <c r="T66" s="412"/>
    </row>
    <row r="67" spans="2:20" ht="13.5">
      <c r="B67" s="412"/>
      <c r="C67" s="428" t="s">
        <v>75</v>
      </c>
      <c r="D67" s="421">
        <v>4.4693862304687499</v>
      </c>
      <c r="E67" s="421">
        <v>0</v>
      </c>
      <c r="F67" s="421">
        <v>18.451576715081099</v>
      </c>
      <c r="G67" s="421">
        <v>4.5667652369825698</v>
      </c>
      <c r="H67" s="421">
        <v>0</v>
      </c>
      <c r="I67" s="421">
        <v>0</v>
      </c>
      <c r="J67" s="421">
        <v>0</v>
      </c>
      <c r="K67" s="421">
        <v>0</v>
      </c>
      <c r="L67" s="421">
        <v>0</v>
      </c>
      <c r="M67" s="421">
        <v>0.80589974770280703</v>
      </c>
      <c r="N67" s="421">
        <v>0</v>
      </c>
      <c r="O67" s="421">
        <v>0</v>
      </c>
      <c r="P67" s="421">
        <v>33.672954545454502</v>
      </c>
      <c r="Q67" s="421">
        <v>0</v>
      </c>
      <c r="R67" s="421">
        <v>0</v>
      </c>
      <c r="S67" s="429">
        <v>61.966582475689798</v>
      </c>
      <c r="T67" s="412"/>
    </row>
    <row r="68" spans="2:20" ht="13.5">
      <c r="B68" s="412"/>
      <c r="C68" s="428" t="s">
        <v>76</v>
      </c>
      <c r="D68" s="421">
        <v>0</v>
      </c>
      <c r="E68" s="421">
        <v>0</v>
      </c>
      <c r="F68" s="421">
        <v>0</v>
      </c>
      <c r="G68" s="421">
        <v>2.59451111633589</v>
      </c>
      <c r="H68" s="421">
        <v>0</v>
      </c>
      <c r="I68" s="421">
        <v>0</v>
      </c>
      <c r="J68" s="421">
        <v>0</v>
      </c>
      <c r="K68" s="421">
        <v>0</v>
      </c>
      <c r="L68" s="421">
        <v>0</v>
      </c>
      <c r="M68" s="421">
        <v>0.457854902882804</v>
      </c>
      <c r="N68" s="421">
        <v>0</v>
      </c>
      <c r="O68" s="421">
        <v>0</v>
      </c>
      <c r="P68" s="421">
        <v>45.736213123829799</v>
      </c>
      <c r="Q68" s="421">
        <v>5.8710294818526103</v>
      </c>
      <c r="R68" s="421">
        <v>0</v>
      </c>
      <c r="S68" s="429">
        <v>54.659608624901097</v>
      </c>
      <c r="T68" s="412"/>
    </row>
    <row r="69" spans="2:20" ht="13.5">
      <c r="B69" s="412"/>
      <c r="C69" s="424" t="s">
        <v>77</v>
      </c>
      <c r="D69" s="425">
        <v>8.1326097412109402</v>
      </c>
      <c r="E69" s="425">
        <v>342.62490869295198</v>
      </c>
      <c r="F69" s="425">
        <v>-316.83701932633301</v>
      </c>
      <c r="G69" s="425">
        <v>62.335055480417701</v>
      </c>
      <c r="H69" s="425">
        <v>994.39393939393995</v>
      </c>
      <c r="I69" s="425">
        <v>245.9</v>
      </c>
      <c r="J69" s="425">
        <v>163.04614641280401</v>
      </c>
      <c r="K69" s="425">
        <v>32.979783785252302</v>
      </c>
      <c r="L69" s="425">
        <v>-87.427588561234103</v>
      </c>
      <c r="M69" s="425">
        <v>-27.612126234807501</v>
      </c>
      <c r="N69" s="425">
        <v>0</v>
      </c>
      <c r="O69" s="425">
        <v>8.6642897086234303</v>
      </c>
      <c r="P69" s="425">
        <v>-478.87652216520303</v>
      </c>
      <c r="Q69" s="425">
        <v>-69.893208117293</v>
      </c>
      <c r="R69" s="425">
        <v>-15.3198111387401</v>
      </c>
      <c r="S69" s="425">
        <v>862.11045767158896</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1.22322682797306</v>
      </c>
      <c r="E71" s="421">
        <v>0</v>
      </c>
      <c r="F71" s="421">
        <v>12.3232605440811</v>
      </c>
      <c r="G71" s="421">
        <v>71.153898442538505</v>
      </c>
      <c r="H71" s="421">
        <v>0</v>
      </c>
      <c r="I71" s="421">
        <v>0</v>
      </c>
      <c r="J71" s="421">
        <v>15.298292037520801</v>
      </c>
      <c r="K71" s="421">
        <v>5.70133943396368</v>
      </c>
      <c r="L71" s="421">
        <v>2.2588896484375001</v>
      </c>
      <c r="M71" s="421">
        <v>12.5565703133891</v>
      </c>
      <c r="N71" s="421">
        <v>0</v>
      </c>
      <c r="O71" s="421">
        <v>0</v>
      </c>
      <c r="P71" s="421">
        <v>133.21901148131599</v>
      </c>
      <c r="Q71" s="421">
        <v>22.777144165315601</v>
      </c>
      <c r="R71" s="421">
        <v>5.7972734375000003</v>
      </c>
      <c r="S71" s="429">
        <v>282.30890633203597</v>
      </c>
      <c r="T71" s="412"/>
    </row>
    <row r="72" spans="2:20" ht="13.5">
      <c r="B72" s="412"/>
      <c r="C72" s="428" t="s">
        <v>79</v>
      </c>
      <c r="D72" s="421">
        <v>0</v>
      </c>
      <c r="E72" s="421">
        <v>0</v>
      </c>
      <c r="F72" s="421">
        <v>142.87668444965701</v>
      </c>
      <c r="G72" s="421">
        <v>18.931026789455998</v>
      </c>
      <c r="H72" s="421">
        <v>0</v>
      </c>
      <c r="I72" s="421">
        <v>0</v>
      </c>
      <c r="J72" s="421">
        <v>0</v>
      </c>
      <c r="K72" s="421">
        <v>0</v>
      </c>
      <c r="L72" s="421">
        <v>49.5464067059184</v>
      </c>
      <c r="M72" s="421">
        <v>3.3407694334334099</v>
      </c>
      <c r="N72" s="421">
        <v>0</v>
      </c>
      <c r="O72" s="421">
        <v>0</v>
      </c>
      <c r="P72" s="421">
        <v>60.194437902512199</v>
      </c>
      <c r="Q72" s="421">
        <v>0</v>
      </c>
      <c r="R72" s="421">
        <v>2.09566112588168</v>
      </c>
      <c r="S72" s="429">
        <v>276.98498640685898</v>
      </c>
      <c r="T72" s="412"/>
    </row>
    <row r="73" spans="2:20" ht="13.5">
      <c r="B73" s="412"/>
      <c r="C73" s="428" t="s">
        <v>80</v>
      </c>
      <c r="D73" s="421">
        <v>0</v>
      </c>
      <c r="E73" s="421">
        <v>0</v>
      </c>
      <c r="F73" s="421">
        <v>0.95174155183324205</v>
      </c>
      <c r="G73" s="421">
        <v>34.619487827616503</v>
      </c>
      <c r="H73" s="421">
        <v>0</v>
      </c>
      <c r="I73" s="421">
        <v>0</v>
      </c>
      <c r="J73" s="421">
        <v>76.360421720428903</v>
      </c>
      <c r="K73" s="421">
        <v>0</v>
      </c>
      <c r="L73" s="421">
        <v>0</v>
      </c>
      <c r="M73" s="421">
        <v>6.1093213813440803</v>
      </c>
      <c r="N73" s="421">
        <v>61.688599152298004</v>
      </c>
      <c r="O73" s="421">
        <v>1.68134083806818</v>
      </c>
      <c r="P73" s="421">
        <v>155.96813987489199</v>
      </c>
      <c r="Q73" s="421">
        <v>36.966630005372501</v>
      </c>
      <c r="R73" s="421">
        <v>0</v>
      </c>
      <c r="S73" s="429">
        <v>374.34568235185299</v>
      </c>
      <c r="T73" s="412"/>
    </row>
    <row r="74" spans="2:20" ht="13.5">
      <c r="B74" s="412"/>
      <c r="C74" s="428" t="s">
        <v>81</v>
      </c>
      <c r="D74" s="421">
        <v>0</v>
      </c>
      <c r="E74" s="421">
        <v>0</v>
      </c>
      <c r="F74" s="421">
        <v>2.11008846392241</v>
      </c>
      <c r="G74" s="421">
        <v>28.4805688295863</v>
      </c>
      <c r="H74" s="421">
        <v>0</v>
      </c>
      <c r="I74" s="421">
        <v>0</v>
      </c>
      <c r="J74" s="421">
        <v>7.5276105699702702</v>
      </c>
      <c r="K74" s="421">
        <v>0</v>
      </c>
      <c r="L74" s="421">
        <v>0</v>
      </c>
      <c r="M74" s="421">
        <v>5.0259827346328798</v>
      </c>
      <c r="N74" s="421">
        <v>14.3473454853701</v>
      </c>
      <c r="O74" s="421">
        <v>1.68119123787141</v>
      </c>
      <c r="P74" s="421">
        <v>117.369254343737</v>
      </c>
      <c r="Q74" s="421">
        <v>10.1494339466048</v>
      </c>
      <c r="R74" s="421">
        <v>0</v>
      </c>
      <c r="S74" s="429">
        <v>186.69147561169501</v>
      </c>
      <c r="T74" s="412"/>
    </row>
    <row r="75" spans="2:20" ht="13.5">
      <c r="B75" s="412"/>
      <c r="C75" s="428" t="s">
        <v>82</v>
      </c>
      <c r="D75" s="421">
        <v>0</v>
      </c>
      <c r="E75" s="421">
        <v>0</v>
      </c>
      <c r="F75" s="421">
        <v>17.601103552872999</v>
      </c>
      <c r="G75" s="421">
        <v>1.72660385440275</v>
      </c>
      <c r="H75" s="421">
        <v>0</v>
      </c>
      <c r="I75" s="421">
        <v>0</v>
      </c>
      <c r="J75" s="421">
        <v>2.5129576329044099</v>
      </c>
      <c r="K75" s="421">
        <v>0</v>
      </c>
      <c r="L75" s="421">
        <v>9.7844973088568903</v>
      </c>
      <c r="M75" s="421">
        <v>0.30469479783577902</v>
      </c>
      <c r="N75" s="421">
        <v>0</v>
      </c>
      <c r="O75" s="421">
        <v>0.96290247555165798</v>
      </c>
      <c r="P75" s="421">
        <v>7.1006040218742701</v>
      </c>
      <c r="Q75" s="421">
        <v>0</v>
      </c>
      <c r="R75" s="421">
        <v>0.24940873791150001</v>
      </c>
      <c r="S75" s="429">
        <v>40.242772382210298</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1.6</v>
      </c>
      <c r="Q76" s="421">
        <v>0</v>
      </c>
      <c r="R76" s="421">
        <v>0</v>
      </c>
      <c r="S76" s="429">
        <v>1.6</v>
      </c>
      <c r="T76" s="412"/>
    </row>
    <row r="77" spans="2:20" ht="13.5">
      <c r="B77" s="412"/>
      <c r="C77" s="424" t="s">
        <v>83</v>
      </c>
      <c r="D77" s="425">
        <v>1.22322682797306</v>
      </c>
      <c r="E77" s="425">
        <v>0</v>
      </c>
      <c r="F77" s="425">
        <v>175.862878562367</v>
      </c>
      <c r="G77" s="425">
        <v>154.9115857436</v>
      </c>
      <c r="H77" s="425">
        <v>0</v>
      </c>
      <c r="I77" s="425">
        <v>0</v>
      </c>
      <c r="J77" s="425">
        <v>101.699281960824</v>
      </c>
      <c r="K77" s="425">
        <v>5.70133943396368</v>
      </c>
      <c r="L77" s="425">
        <v>61.589793663212802</v>
      </c>
      <c r="M77" s="425">
        <v>27.3373386606353</v>
      </c>
      <c r="N77" s="425">
        <v>76.035944637668194</v>
      </c>
      <c r="O77" s="425">
        <v>4.3254345514912496</v>
      </c>
      <c r="P77" s="425">
        <v>475.45144762433102</v>
      </c>
      <c r="Q77" s="425">
        <v>69.893208117293</v>
      </c>
      <c r="R77" s="425">
        <v>8.1423433012931792</v>
      </c>
      <c r="S77" s="425">
        <v>1162.1738230846499</v>
      </c>
      <c r="T77" s="412"/>
    </row>
    <row r="78" spans="2:20" ht="13.5">
      <c r="B78" s="412"/>
      <c r="C78" s="420" t="s">
        <v>84</v>
      </c>
      <c r="D78" s="421">
        <v>0.56256375732421904</v>
      </c>
      <c r="E78" s="421">
        <v>0</v>
      </c>
      <c r="F78" s="421">
        <v>106.478881904514</v>
      </c>
      <c r="G78" s="421">
        <v>10.27102395505</v>
      </c>
      <c r="H78" s="421">
        <v>0</v>
      </c>
      <c r="I78" s="421">
        <v>0</v>
      </c>
      <c r="J78" s="421">
        <v>0</v>
      </c>
      <c r="K78" s="421">
        <v>0</v>
      </c>
      <c r="L78" s="421">
        <v>9.6859590362548804</v>
      </c>
      <c r="M78" s="421">
        <v>0</v>
      </c>
      <c r="N78" s="421">
        <v>0</v>
      </c>
      <c r="O78" s="421">
        <v>0</v>
      </c>
      <c r="P78" s="421">
        <v>0</v>
      </c>
      <c r="Q78" s="421">
        <v>0</v>
      </c>
      <c r="R78" s="421">
        <v>7.0342457611083997</v>
      </c>
      <c r="S78" s="429">
        <v>134.03267441425101</v>
      </c>
      <c r="T78" s="412"/>
    </row>
    <row r="79" spans="2:20" ht="13.5">
      <c r="B79" s="412"/>
      <c r="C79" s="424" t="s">
        <v>85</v>
      </c>
      <c r="D79" s="425">
        <v>1.78579058529727</v>
      </c>
      <c r="E79" s="425">
        <v>0</v>
      </c>
      <c r="F79" s="425">
        <v>282.34176046687998</v>
      </c>
      <c r="G79" s="425">
        <v>165.18260969865</v>
      </c>
      <c r="H79" s="425">
        <v>0</v>
      </c>
      <c r="I79" s="425">
        <v>0</v>
      </c>
      <c r="J79" s="425">
        <v>101.699281960824</v>
      </c>
      <c r="K79" s="425">
        <v>5.70133943396368</v>
      </c>
      <c r="L79" s="425">
        <v>71.275752699467702</v>
      </c>
      <c r="M79" s="425">
        <v>27.3373386606353</v>
      </c>
      <c r="N79" s="425">
        <v>76.035944637668194</v>
      </c>
      <c r="O79" s="425">
        <v>4.3254345514912496</v>
      </c>
      <c r="P79" s="425">
        <v>475.45144762433102</v>
      </c>
      <c r="Q79" s="425">
        <v>69.8932081172929</v>
      </c>
      <c r="R79" s="425">
        <v>15.1765890624016</v>
      </c>
      <c r="S79" s="425">
        <v>1296.2064974989</v>
      </c>
      <c r="T79" s="412"/>
    </row>
    <row r="80" spans="2:20">
      <c r="B80" s="412"/>
      <c r="C80" s="412"/>
      <c r="D80" s="430">
        <f t="shared" ref="D80:S80" si="1">D79+D69-D55</f>
        <v>0</v>
      </c>
      <c r="E80" s="430">
        <f t="shared" si="1"/>
        <v>0</v>
      </c>
      <c r="F80" s="430">
        <f t="shared" si="1"/>
        <v>-8.3133500083931722E-13</v>
      </c>
      <c r="G80" s="430">
        <f t="shared" si="1"/>
        <v>-2.8421709430404007E-13</v>
      </c>
      <c r="H80" s="430">
        <f t="shared" si="1"/>
        <v>0</v>
      </c>
      <c r="I80" s="430">
        <f t="shared" si="1"/>
        <v>0</v>
      </c>
      <c r="J80" s="430">
        <f t="shared" si="1"/>
        <v>0</v>
      </c>
      <c r="K80" s="430">
        <f t="shared" si="1"/>
        <v>0</v>
      </c>
      <c r="L80" s="430">
        <f t="shared" si="1"/>
        <v>9.9475983006414026E-14</v>
      </c>
      <c r="M80" s="430">
        <f t="shared" si="1"/>
        <v>-2.8255175976710234E-14</v>
      </c>
      <c r="N80" s="430">
        <f t="shared" si="1"/>
        <v>0</v>
      </c>
      <c r="O80" s="430">
        <f t="shared" si="1"/>
        <v>-1.9539925233402755E-14</v>
      </c>
      <c r="P80" s="430">
        <f t="shared" si="1"/>
        <v>-6.2350125062948791E-13</v>
      </c>
      <c r="Q80" s="430">
        <f t="shared" si="1"/>
        <v>-9.9475983006414026E-14</v>
      </c>
      <c r="R80" s="430">
        <f t="shared" si="1"/>
        <v>-9.7144514654701197E-15</v>
      </c>
      <c r="S80" s="430">
        <f t="shared" si="1"/>
        <v>0</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362</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2.3260000000000001</v>
      </c>
      <c r="F86" s="421">
        <v>0</v>
      </c>
      <c r="G86" s="421">
        <v>3.7215999999999999E-2</v>
      </c>
      <c r="H86" s="422">
        <v>949.39393939393904</v>
      </c>
      <c r="I86" s="422">
        <v>276.68</v>
      </c>
      <c r="J86" s="422">
        <v>284.734772116177</v>
      </c>
      <c r="K86" s="422">
        <v>38.511665616305898</v>
      </c>
      <c r="L86" s="421">
        <v>0</v>
      </c>
      <c r="M86" s="421">
        <v>0</v>
      </c>
      <c r="N86" s="422">
        <v>85.392433579820405</v>
      </c>
      <c r="O86" s="422">
        <v>15.074805441341001</v>
      </c>
      <c r="P86" s="421">
        <v>0</v>
      </c>
      <c r="Q86" s="421">
        <v>0</v>
      </c>
      <c r="R86" s="421">
        <v>0</v>
      </c>
      <c r="S86" s="423">
        <v>1652.1508321475801</v>
      </c>
      <c r="T86" s="412"/>
    </row>
    <row r="87" spans="2:20" ht="13.5">
      <c r="B87" s="412"/>
      <c r="C87" s="420" t="s">
        <v>60</v>
      </c>
      <c r="D87" s="421">
        <v>8.4277409701764192</v>
      </c>
      <c r="E87" s="421">
        <v>294.49378048971499</v>
      </c>
      <c r="F87" s="421">
        <v>3.02470006963182</v>
      </c>
      <c r="G87" s="421">
        <v>181.17738201956001</v>
      </c>
      <c r="H87" s="421">
        <v>0</v>
      </c>
      <c r="I87" s="421">
        <v>0</v>
      </c>
      <c r="J87" s="421">
        <v>0</v>
      </c>
      <c r="K87" s="421">
        <v>0</v>
      </c>
      <c r="L87" s="421">
        <v>0</v>
      </c>
      <c r="M87" s="421">
        <v>0</v>
      </c>
      <c r="N87" s="421">
        <v>0</v>
      </c>
      <c r="O87" s="421">
        <v>0</v>
      </c>
      <c r="P87" s="421">
        <v>13.6891405650981</v>
      </c>
      <c r="Q87" s="421">
        <v>0</v>
      </c>
      <c r="R87" s="421">
        <v>0</v>
      </c>
      <c r="S87" s="423">
        <v>500.81274411418099</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0</v>
      </c>
      <c r="Q88" s="421">
        <v>0</v>
      </c>
      <c r="R88" s="421">
        <v>0</v>
      </c>
      <c r="S88" s="423">
        <v>0</v>
      </c>
      <c r="T88" s="412"/>
    </row>
    <row r="89" spans="2:20" ht="13.5">
      <c r="B89" s="412"/>
      <c r="C89" s="420" t="s">
        <v>62</v>
      </c>
      <c r="D89" s="421">
        <v>0</v>
      </c>
      <c r="E89" s="421">
        <v>0</v>
      </c>
      <c r="F89" s="421">
        <v>-11.216317309287099</v>
      </c>
      <c r="G89" s="421">
        <v>-1.99710794114988</v>
      </c>
      <c r="H89" s="421">
        <v>0</v>
      </c>
      <c r="I89" s="421">
        <v>0</v>
      </c>
      <c r="J89" s="421">
        <v>0</v>
      </c>
      <c r="K89" s="421">
        <v>0</v>
      </c>
      <c r="L89" s="421">
        <v>0</v>
      </c>
      <c r="M89" s="421">
        <v>-0.69888193239441998</v>
      </c>
      <c r="N89" s="421">
        <v>0</v>
      </c>
      <c r="O89" s="421">
        <v>0</v>
      </c>
      <c r="P89" s="421">
        <v>0</v>
      </c>
      <c r="Q89" s="421">
        <v>0</v>
      </c>
      <c r="R89" s="421">
        <v>0</v>
      </c>
      <c r="S89" s="423">
        <v>-13.9123071828314</v>
      </c>
      <c r="T89" s="412"/>
    </row>
    <row r="90" spans="2:20" ht="13.5">
      <c r="B90" s="412"/>
      <c r="C90" s="420" t="s">
        <v>63</v>
      </c>
      <c r="D90" s="421">
        <v>0</v>
      </c>
      <c r="E90" s="421">
        <v>0</v>
      </c>
      <c r="F90" s="421">
        <v>-55.603077514900399</v>
      </c>
      <c r="G90" s="421">
        <v>0</v>
      </c>
      <c r="H90" s="421">
        <v>0</v>
      </c>
      <c r="I90" s="421">
        <v>0</v>
      </c>
      <c r="J90" s="421">
        <v>0</v>
      </c>
      <c r="K90" s="421">
        <v>0</v>
      </c>
      <c r="L90" s="421">
        <v>-22.070241117704398</v>
      </c>
      <c r="M90" s="421">
        <v>0</v>
      </c>
      <c r="N90" s="421">
        <v>0</v>
      </c>
      <c r="O90" s="421">
        <v>0</v>
      </c>
      <c r="P90" s="421">
        <v>0</v>
      </c>
      <c r="Q90" s="421">
        <v>0</v>
      </c>
      <c r="R90" s="421">
        <v>-0.48199249828489099</v>
      </c>
      <c r="S90" s="423">
        <v>-78.155311130889601</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8.4277409701764192</v>
      </c>
      <c r="E92" s="425">
        <v>296.81978048971501</v>
      </c>
      <c r="F92" s="425">
        <v>-63.794694754555699</v>
      </c>
      <c r="G92" s="425">
        <v>179.21749007841001</v>
      </c>
      <c r="H92" s="425">
        <v>949.39393939393904</v>
      </c>
      <c r="I92" s="425">
        <v>276.68</v>
      </c>
      <c r="J92" s="425">
        <v>284.734772116177</v>
      </c>
      <c r="K92" s="425">
        <v>38.511665616305898</v>
      </c>
      <c r="L92" s="425">
        <v>-22.070241117704398</v>
      </c>
      <c r="M92" s="425">
        <v>-0.69888193239441998</v>
      </c>
      <c r="N92" s="425">
        <v>85.392433579820405</v>
      </c>
      <c r="O92" s="425">
        <v>15.074805441341001</v>
      </c>
      <c r="P92" s="425">
        <v>13.6891405650981</v>
      </c>
      <c r="Q92" s="425">
        <v>0</v>
      </c>
      <c r="R92" s="425">
        <v>-0.48199249828489099</v>
      </c>
      <c r="S92" s="425">
        <v>2060.8959579480402</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12.8533333333333</v>
      </c>
      <c r="H95" s="421">
        <v>949.39393939393904</v>
      </c>
      <c r="I95" s="421">
        <v>276.68</v>
      </c>
      <c r="J95" s="421">
        <v>18.141357717605299</v>
      </c>
      <c r="K95" s="421">
        <v>5.2928476822958697</v>
      </c>
      <c r="L95" s="421">
        <v>0</v>
      </c>
      <c r="M95" s="421">
        <v>4.05894736842105</v>
      </c>
      <c r="N95" s="421">
        <v>0</v>
      </c>
      <c r="O95" s="421">
        <v>0</v>
      </c>
      <c r="P95" s="421">
        <v>-609.38</v>
      </c>
      <c r="Q95" s="421">
        <v>0</v>
      </c>
      <c r="R95" s="421">
        <v>3.8</v>
      </c>
      <c r="S95" s="429">
        <v>660.84042549559501</v>
      </c>
      <c r="T95" s="412"/>
    </row>
    <row r="96" spans="2:20" ht="13.5">
      <c r="B96" s="412"/>
      <c r="C96" s="428" t="s">
        <v>351</v>
      </c>
      <c r="D96" s="421">
        <v>0</v>
      </c>
      <c r="E96" s="421">
        <v>0</v>
      </c>
      <c r="F96" s="421">
        <v>0</v>
      </c>
      <c r="G96" s="421">
        <v>13.2997527316566</v>
      </c>
      <c r="H96" s="421">
        <v>0</v>
      </c>
      <c r="I96" s="421">
        <v>0</v>
      </c>
      <c r="J96" s="421">
        <v>29.191829684725199</v>
      </c>
      <c r="K96" s="421">
        <v>27.043598962685898</v>
      </c>
      <c r="L96" s="421">
        <v>0</v>
      </c>
      <c r="M96" s="421">
        <v>4.1999219152599903</v>
      </c>
      <c r="N96" s="421">
        <v>0</v>
      </c>
      <c r="O96" s="421">
        <v>10.1722943931358</v>
      </c>
      <c r="P96" s="421">
        <v>0</v>
      </c>
      <c r="Q96" s="421">
        <v>-77.056499329406094</v>
      </c>
      <c r="R96" s="421">
        <v>0</v>
      </c>
      <c r="S96" s="429">
        <v>6.8508983580574103</v>
      </c>
      <c r="T96" s="412"/>
    </row>
    <row r="97" spans="2:20" ht="13.5">
      <c r="B97" s="412"/>
      <c r="C97" s="428" t="s">
        <v>352</v>
      </c>
      <c r="D97" s="421">
        <v>0</v>
      </c>
      <c r="E97" s="421">
        <v>0</v>
      </c>
      <c r="F97" s="421">
        <v>0</v>
      </c>
      <c r="G97" s="421">
        <v>0</v>
      </c>
      <c r="H97" s="421">
        <v>0</v>
      </c>
      <c r="I97" s="421">
        <v>0</v>
      </c>
      <c r="J97" s="421">
        <v>60.206069168057198</v>
      </c>
      <c r="K97" s="421">
        <v>0</v>
      </c>
      <c r="L97" s="421">
        <v>0</v>
      </c>
      <c r="M97" s="421">
        <v>-54.4262865279237</v>
      </c>
      <c r="N97" s="421">
        <v>0</v>
      </c>
      <c r="O97" s="421">
        <v>0</v>
      </c>
      <c r="P97" s="421">
        <v>0</v>
      </c>
      <c r="Q97" s="421">
        <v>0</v>
      </c>
      <c r="R97" s="421">
        <v>0</v>
      </c>
      <c r="S97" s="429">
        <v>5.7797826401334804</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307.47374578102801</v>
      </c>
      <c r="F99" s="421">
        <v>-304.399008323217</v>
      </c>
      <c r="G99" s="421">
        <v>0</v>
      </c>
      <c r="H99" s="421">
        <v>0</v>
      </c>
      <c r="I99" s="421">
        <v>0</v>
      </c>
      <c r="J99" s="421">
        <v>0</v>
      </c>
      <c r="K99" s="421">
        <v>0</v>
      </c>
      <c r="L99" s="421">
        <v>0</v>
      </c>
      <c r="M99" s="421">
        <v>0</v>
      </c>
      <c r="N99" s="421">
        <v>0</v>
      </c>
      <c r="O99" s="421">
        <v>0</v>
      </c>
      <c r="P99" s="421">
        <v>0</v>
      </c>
      <c r="Q99" s="421">
        <v>0</v>
      </c>
      <c r="R99" s="421">
        <v>0</v>
      </c>
      <c r="S99" s="429">
        <v>3.07473745781027</v>
      </c>
      <c r="T99" s="412"/>
    </row>
    <row r="100" spans="2:20" ht="13.5">
      <c r="B100" s="412"/>
      <c r="C100" s="428" t="s">
        <v>354</v>
      </c>
      <c r="D100" s="421">
        <v>0</v>
      </c>
      <c r="E100" s="421">
        <v>0</v>
      </c>
      <c r="F100" s="421">
        <v>0</v>
      </c>
      <c r="G100" s="421">
        <v>0</v>
      </c>
      <c r="H100" s="421">
        <v>0</v>
      </c>
      <c r="I100" s="421">
        <v>0</v>
      </c>
      <c r="J100" s="421">
        <v>85.931808179639404</v>
      </c>
      <c r="K100" s="421">
        <v>0</v>
      </c>
      <c r="L100" s="421">
        <v>-85.931808179639404</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-17.535700738468499</v>
      </c>
      <c r="M101" s="421">
        <v>0</v>
      </c>
      <c r="N101" s="421">
        <v>0</v>
      </c>
      <c r="O101" s="421">
        <v>0</v>
      </c>
      <c r="P101" s="421">
        <v>0</v>
      </c>
      <c r="Q101" s="421">
        <v>0</v>
      </c>
      <c r="R101" s="421">
        <v>25.051001054954899</v>
      </c>
      <c r="S101" s="429">
        <v>7.5153003164864902</v>
      </c>
      <c r="T101" s="412"/>
    </row>
    <row r="102" spans="2:20" ht="13.5">
      <c r="B102" s="412"/>
      <c r="C102" s="428" t="s">
        <v>73</v>
      </c>
      <c r="D102" s="421">
        <v>0</v>
      </c>
      <c r="E102" s="421">
        <v>0</v>
      </c>
      <c r="F102" s="421">
        <v>0</v>
      </c>
      <c r="G102" s="421">
        <v>12.8407715215872</v>
      </c>
      <c r="H102" s="421">
        <v>0</v>
      </c>
      <c r="I102" s="421">
        <v>0</v>
      </c>
      <c r="J102" s="421">
        <v>0</v>
      </c>
      <c r="K102" s="421">
        <v>0.70990554630623504</v>
      </c>
      <c r="L102" s="421">
        <v>0</v>
      </c>
      <c r="M102" s="421">
        <v>4.05498048050121</v>
      </c>
      <c r="N102" s="421">
        <v>0</v>
      </c>
      <c r="O102" s="421">
        <v>0</v>
      </c>
      <c r="P102" s="421">
        <v>55.117150379882297</v>
      </c>
      <c r="Q102" s="421">
        <v>0</v>
      </c>
      <c r="R102" s="421">
        <v>-49.693388241436402</v>
      </c>
      <c r="S102" s="429">
        <v>23.029419686840502</v>
      </c>
      <c r="T102" s="412"/>
    </row>
    <row r="103" spans="2:20" ht="13.5">
      <c r="B103" s="412"/>
      <c r="C103" s="428" t="s">
        <v>356</v>
      </c>
      <c r="D103" s="421">
        <v>2.83393890380859</v>
      </c>
      <c r="E103" s="421">
        <v>-10.6539652913126</v>
      </c>
      <c r="F103" s="421">
        <v>13.9347573224132</v>
      </c>
      <c r="G103" s="421">
        <v>0</v>
      </c>
      <c r="H103" s="421">
        <v>0</v>
      </c>
      <c r="I103" s="421">
        <v>0</v>
      </c>
      <c r="J103" s="421">
        <v>0</v>
      </c>
      <c r="K103" s="421">
        <v>0</v>
      </c>
      <c r="L103" s="421">
        <v>0</v>
      </c>
      <c r="M103" s="421">
        <v>0</v>
      </c>
      <c r="N103" s="421">
        <v>0</v>
      </c>
      <c r="O103" s="421">
        <v>0</v>
      </c>
      <c r="P103" s="421">
        <v>0</v>
      </c>
      <c r="Q103" s="421">
        <v>0</v>
      </c>
      <c r="R103" s="421">
        <v>0</v>
      </c>
      <c r="S103" s="429">
        <v>6.1147309349091996</v>
      </c>
      <c r="T103" s="412"/>
    </row>
    <row r="104" spans="2:20" ht="13.5">
      <c r="B104" s="412"/>
      <c r="C104" s="428" t="s">
        <v>75</v>
      </c>
      <c r="D104" s="421">
        <v>3.8710979003906201</v>
      </c>
      <c r="E104" s="421">
        <v>0</v>
      </c>
      <c r="F104" s="421">
        <v>18.035338972064899</v>
      </c>
      <c r="G104" s="421">
        <v>3.99111442428871</v>
      </c>
      <c r="H104" s="421">
        <v>0</v>
      </c>
      <c r="I104" s="421">
        <v>0</v>
      </c>
      <c r="J104" s="421">
        <v>0</v>
      </c>
      <c r="K104" s="421">
        <v>0</v>
      </c>
      <c r="L104" s="421">
        <v>0</v>
      </c>
      <c r="M104" s="421">
        <v>1.2603519234595899</v>
      </c>
      <c r="N104" s="421">
        <v>0</v>
      </c>
      <c r="O104" s="421">
        <v>0</v>
      </c>
      <c r="P104" s="421">
        <v>35.255454545454498</v>
      </c>
      <c r="Q104" s="421">
        <v>0</v>
      </c>
      <c r="R104" s="421">
        <v>0</v>
      </c>
      <c r="S104" s="429">
        <v>62.413357765658397</v>
      </c>
      <c r="T104" s="412"/>
    </row>
    <row r="105" spans="2:20" ht="13.5">
      <c r="B105" s="412"/>
      <c r="C105" s="428" t="s">
        <v>76</v>
      </c>
      <c r="D105" s="421">
        <v>0</v>
      </c>
      <c r="E105" s="421">
        <v>0</v>
      </c>
      <c r="F105" s="421">
        <v>0</v>
      </c>
      <c r="G105" s="421">
        <v>2.0436747905742099</v>
      </c>
      <c r="H105" s="421">
        <v>0</v>
      </c>
      <c r="I105" s="421">
        <v>0</v>
      </c>
      <c r="J105" s="421">
        <v>0</v>
      </c>
      <c r="K105" s="421">
        <v>0</v>
      </c>
      <c r="L105" s="421">
        <v>0</v>
      </c>
      <c r="M105" s="421">
        <v>0.64537098649711899</v>
      </c>
      <c r="N105" s="421">
        <v>0</v>
      </c>
      <c r="O105" s="421">
        <v>0</v>
      </c>
      <c r="P105" s="421">
        <v>47.751374577011198</v>
      </c>
      <c r="Q105" s="421">
        <v>5.9711678447141301</v>
      </c>
      <c r="R105" s="421">
        <v>0</v>
      </c>
      <c r="S105" s="429">
        <v>56.4115881987967</v>
      </c>
      <c r="T105" s="412"/>
    </row>
    <row r="106" spans="2:20" ht="13.5">
      <c r="B106" s="412"/>
      <c r="C106" s="424" t="s">
        <v>77</v>
      </c>
      <c r="D106" s="425">
        <v>6.7050368041992199</v>
      </c>
      <c r="E106" s="425">
        <v>296.81978048971501</v>
      </c>
      <c r="F106" s="425">
        <v>-272.42891202873898</v>
      </c>
      <c r="G106" s="425">
        <v>45.028646801440097</v>
      </c>
      <c r="H106" s="425">
        <v>949.39393939393904</v>
      </c>
      <c r="I106" s="425">
        <v>276.68</v>
      </c>
      <c r="J106" s="425">
        <v>193.47106475002701</v>
      </c>
      <c r="K106" s="425">
        <v>33.046352191288001</v>
      </c>
      <c r="L106" s="425">
        <v>-103.467508918108</v>
      </c>
      <c r="M106" s="425">
        <v>-40.206713853784699</v>
      </c>
      <c r="N106" s="425">
        <v>0</v>
      </c>
      <c r="O106" s="425">
        <v>10.1722943931358</v>
      </c>
      <c r="P106" s="425">
        <v>-471.256020497652</v>
      </c>
      <c r="Q106" s="425">
        <v>-71.085331484692006</v>
      </c>
      <c r="R106" s="425">
        <v>-20.842387186481499</v>
      </c>
      <c r="S106" s="425">
        <v>832.03024085428694</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1.27819257295963</v>
      </c>
      <c r="E108" s="421">
        <v>0</v>
      </c>
      <c r="F108" s="421">
        <v>9.6128944226359607</v>
      </c>
      <c r="G108" s="421">
        <v>60.199792292935904</v>
      </c>
      <c r="H108" s="421">
        <v>0</v>
      </c>
      <c r="I108" s="421">
        <v>0</v>
      </c>
      <c r="J108" s="421">
        <v>14.9029709316316</v>
      </c>
      <c r="K108" s="421">
        <v>5.4653134250178503</v>
      </c>
      <c r="L108" s="421">
        <v>3.5459101562500002</v>
      </c>
      <c r="M108" s="421">
        <v>19.010460724085</v>
      </c>
      <c r="N108" s="421">
        <v>0</v>
      </c>
      <c r="O108" s="421">
        <v>0</v>
      </c>
      <c r="P108" s="421">
        <v>136.692289377436</v>
      </c>
      <c r="Q108" s="421">
        <v>23.646366063927399</v>
      </c>
      <c r="R108" s="421">
        <v>6.4302626953124999</v>
      </c>
      <c r="S108" s="429">
        <v>280.78445266219097</v>
      </c>
      <c r="T108" s="412"/>
    </row>
    <row r="109" spans="2:20" ht="13.5">
      <c r="B109" s="412"/>
      <c r="C109" s="428" t="s">
        <v>79</v>
      </c>
      <c r="D109" s="421">
        <v>0</v>
      </c>
      <c r="E109" s="421">
        <v>0</v>
      </c>
      <c r="F109" s="421">
        <v>87.8758260186641</v>
      </c>
      <c r="G109" s="421">
        <v>18.337650579977399</v>
      </c>
      <c r="H109" s="421">
        <v>0</v>
      </c>
      <c r="I109" s="421">
        <v>0</v>
      </c>
      <c r="J109" s="421">
        <v>0</v>
      </c>
      <c r="K109" s="421">
        <v>0</v>
      </c>
      <c r="L109" s="421">
        <v>50.618247821052101</v>
      </c>
      <c r="M109" s="421">
        <v>5.9499820008855098</v>
      </c>
      <c r="N109" s="421">
        <v>0</v>
      </c>
      <c r="O109" s="421">
        <v>0</v>
      </c>
      <c r="P109" s="421">
        <v>72.745040205449797</v>
      </c>
      <c r="Q109" s="421">
        <v>0</v>
      </c>
      <c r="R109" s="421">
        <v>3.6092463767880099</v>
      </c>
      <c r="S109" s="429">
        <v>239.135993002817</v>
      </c>
      <c r="T109" s="412"/>
    </row>
    <row r="110" spans="2:20" ht="13.5">
      <c r="B110" s="412"/>
      <c r="C110" s="428" t="s">
        <v>80</v>
      </c>
      <c r="D110" s="421">
        <v>0</v>
      </c>
      <c r="E110" s="421">
        <v>0</v>
      </c>
      <c r="F110" s="421">
        <v>0.73996972526279803</v>
      </c>
      <c r="G110" s="421">
        <v>24.071010680096698</v>
      </c>
      <c r="H110" s="421">
        <v>0</v>
      </c>
      <c r="I110" s="421">
        <v>0</v>
      </c>
      <c r="J110" s="421">
        <v>65.809563312785698</v>
      </c>
      <c r="K110" s="421">
        <v>0</v>
      </c>
      <c r="L110" s="421">
        <v>0</v>
      </c>
      <c r="M110" s="421">
        <v>7.60137179371476</v>
      </c>
      <c r="N110" s="421">
        <v>70.900752846109597</v>
      </c>
      <c r="O110" s="421">
        <v>2.1051398750689501</v>
      </c>
      <c r="P110" s="421">
        <v>151.15345776916399</v>
      </c>
      <c r="Q110" s="421">
        <v>36.326109024475898</v>
      </c>
      <c r="R110" s="421">
        <v>0</v>
      </c>
      <c r="S110" s="429">
        <v>358.70737502667799</v>
      </c>
      <c r="T110" s="412"/>
    </row>
    <row r="111" spans="2:20" ht="13.5">
      <c r="B111" s="412"/>
      <c r="C111" s="428" t="s">
        <v>81</v>
      </c>
      <c r="D111" s="421">
        <v>0</v>
      </c>
      <c r="E111" s="421">
        <v>0</v>
      </c>
      <c r="F111" s="421">
        <v>1.6908527840101399</v>
      </c>
      <c r="G111" s="421">
        <v>21.232227312602799</v>
      </c>
      <c r="H111" s="421">
        <v>0</v>
      </c>
      <c r="I111" s="421">
        <v>0</v>
      </c>
      <c r="J111" s="421">
        <v>7.3285872023111196</v>
      </c>
      <c r="K111" s="421">
        <v>0</v>
      </c>
      <c r="L111" s="421">
        <v>0</v>
      </c>
      <c r="M111" s="421">
        <v>6.7049138881903696</v>
      </c>
      <c r="N111" s="421">
        <v>14.491680733710799</v>
      </c>
      <c r="O111" s="421">
        <v>1.6318379540725301</v>
      </c>
      <c r="P111" s="421">
        <v>115.122674454118</v>
      </c>
      <c r="Q111" s="421">
        <v>11.1128563962888</v>
      </c>
      <c r="R111" s="421">
        <v>0</v>
      </c>
      <c r="S111" s="429">
        <v>179.315630725305</v>
      </c>
      <c r="T111" s="412"/>
    </row>
    <row r="112" spans="2:20" ht="13.5">
      <c r="B112" s="412"/>
      <c r="C112" s="428" t="s">
        <v>82</v>
      </c>
      <c r="D112" s="421">
        <v>0</v>
      </c>
      <c r="E112" s="421">
        <v>0</v>
      </c>
      <c r="F112" s="421">
        <v>12.5124400680813</v>
      </c>
      <c r="G112" s="421">
        <v>1.3106771859998501</v>
      </c>
      <c r="H112" s="421">
        <v>0</v>
      </c>
      <c r="I112" s="421">
        <v>0</v>
      </c>
      <c r="J112" s="421">
        <v>3.2225859194218698</v>
      </c>
      <c r="K112" s="421">
        <v>0</v>
      </c>
      <c r="L112" s="421">
        <v>12.553992450054499</v>
      </c>
      <c r="M112" s="421">
        <v>0.41389805873679603</v>
      </c>
      <c r="N112" s="421">
        <v>0</v>
      </c>
      <c r="O112" s="421">
        <v>1.16553321906376</v>
      </c>
      <c r="P112" s="421">
        <v>6.6716992565826096</v>
      </c>
      <c r="Q112" s="421">
        <v>0</v>
      </c>
      <c r="R112" s="421">
        <v>0.294856552375373</v>
      </c>
      <c r="S112" s="429">
        <v>38.145682710316102</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2.56</v>
      </c>
      <c r="Q113" s="421">
        <v>0</v>
      </c>
      <c r="R113" s="421">
        <v>0</v>
      </c>
      <c r="S113" s="429">
        <v>2.56</v>
      </c>
      <c r="T113" s="412"/>
    </row>
    <row r="114" spans="2:20" ht="13.5">
      <c r="B114" s="412"/>
      <c r="C114" s="424" t="s">
        <v>83</v>
      </c>
      <c r="D114" s="425">
        <v>1.27819257295963</v>
      </c>
      <c r="E114" s="425">
        <v>0</v>
      </c>
      <c r="F114" s="425">
        <v>112.43198301865399</v>
      </c>
      <c r="G114" s="425">
        <v>125.151358051613</v>
      </c>
      <c r="H114" s="425">
        <v>0</v>
      </c>
      <c r="I114" s="425">
        <v>0</v>
      </c>
      <c r="J114" s="425">
        <v>91.2637073661502</v>
      </c>
      <c r="K114" s="425">
        <v>5.4653134250178503</v>
      </c>
      <c r="L114" s="425">
        <v>66.718150427356605</v>
      </c>
      <c r="M114" s="425">
        <v>39.680626465612498</v>
      </c>
      <c r="N114" s="425">
        <v>85.392433579820405</v>
      </c>
      <c r="O114" s="425">
        <v>4.9025110482052403</v>
      </c>
      <c r="P114" s="425">
        <v>484.94516106275</v>
      </c>
      <c r="Q114" s="425">
        <v>71.085331484692006</v>
      </c>
      <c r="R114" s="425">
        <v>10.3343656244759</v>
      </c>
      <c r="S114" s="425">
        <v>1098.6491341273099</v>
      </c>
      <c r="T114" s="412"/>
    </row>
    <row r="115" spans="2:20" ht="13.5">
      <c r="B115" s="412"/>
      <c r="C115" s="420" t="s">
        <v>84</v>
      </c>
      <c r="D115" s="421">
        <v>0.44451159301757798</v>
      </c>
      <c r="E115" s="421">
        <v>0</v>
      </c>
      <c r="F115" s="421">
        <v>96.202234255529206</v>
      </c>
      <c r="G115" s="421">
        <v>8.8646906811351496</v>
      </c>
      <c r="H115" s="421">
        <v>0</v>
      </c>
      <c r="I115" s="421">
        <v>0</v>
      </c>
      <c r="J115" s="421">
        <v>0</v>
      </c>
      <c r="K115" s="421">
        <v>0</v>
      </c>
      <c r="L115" s="421">
        <v>14.6791173730469</v>
      </c>
      <c r="M115" s="421">
        <v>0</v>
      </c>
      <c r="N115" s="421">
        <v>0</v>
      </c>
      <c r="O115" s="421">
        <v>0</v>
      </c>
      <c r="P115" s="421">
        <v>0</v>
      </c>
      <c r="Q115" s="421">
        <v>0</v>
      </c>
      <c r="R115" s="421">
        <v>10.026029063720699</v>
      </c>
      <c r="S115" s="429">
        <v>130.21658296645001</v>
      </c>
      <c r="T115" s="412"/>
    </row>
    <row r="116" spans="2:20" ht="13.5">
      <c r="B116" s="412"/>
      <c r="C116" s="424" t="s">
        <v>85</v>
      </c>
      <c r="D116" s="425">
        <v>1.72270416597721</v>
      </c>
      <c r="E116" s="425">
        <v>0</v>
      </c>
      <c r="F116" s="425">
        <v>208.63421727418401</v>
      </c>
      <c r="G116" s="425">
        <v>134.016048732748</v>
      </c>
      <c r="H116" s="425">
        <v>0</v>
      </c>
      <c r="I116" s="425">
        <v>0</v>
      </c>
      <c r="J116" s="425">
        <v>91.2637073661502</v>
      </c>
      <c r="K116" s="425">
        <v>5.4653134250178503</v>
      </c>
      <c r="L116" s="425">
        <v>81.397267800403498</v>
      </c>
      <c r="M116" s="425">
        <v>39.680626465612498</v>
      </c>
      <c r="N116" s="425">
        <v>85.392433579820405</v>
      </c>
      <c r="O116" s="425">
        <v>4.9025110482052403</v>
      </c>
      <c r="P116" s="425">
        <v>484.94516106275</v>
      </c>
      <c r="Q116" s="425">
        <v>71.085331484692006</v>
      </c>
      <c r="R116" s="425">
        <v>20.3603946881966</v>
      </c>
      <c r="S116" s="425">
        <v>1228.8657170937599</v>
      </c>
      <c r="T116" s="412"/>
    </row>
    <row r="117" spans="2:20">
      <c r="B117" s="412"/>
      <c r="C117" s="412"/>
      <c r="D117" s="430">
        <f t="shared" ref="D117:S117" si="2">D116+D106-D92</f>
        <v>0</v>
      </c>
      <c r="E117" s="430">
        <f t="shared" si="2"/>
        <v>0</v>
      </c>
      <c r="F117" s="430">
        <f t="shared" si="2"/>
        <v>7.3185901783290319E-13</v>
      </c>
      <c r="G117" s="430">
        <f t="shared" si="2"/>
        <v>-0.1727945442219152</v>
      </c>
      <c r="H117" s="430">
        <f t="shared" si="2"/>
        <v>0</v>
      </c>
      <c r="I117" s="430">
        <f t="shared" si="2"/>
        <v>0</v>
      </c>
      <c r="J117" s="430">
        <f t="shared" si="2"/>
        <v>0</v>
      </c>
      <c r="K117" s="430">
        <f t="shared" si="2"/>
        <v>0</v>
      </c>
      <c r="L117" s="430">
        <f t="shared" si="2"/>
        <v>-9.9475983006414026E-14</v>
      </c>
      <c r="M117" s="430">
        <f t="shared" si="2"/>
        <v>0.1727945442222194</v>
      </c>
      <c r="N117" s="430">
        <f t="shared" si="2"/>
        <v>0</v>
      </c>
      <c r="O117" s="430">
        <f t="shared" si="2"/>
        <v>4.0856207306205761E-14</v>
      </c>
      <c r="P117" s="430">
        <f t="shared" si="2"/>
        <v>-9.9475983006414026E-14</v>
      </c>
      <c r="Q117" s="430">
        <f t="shared" si="2"/>
        <v>0</v>
      </c>
      <c r="R117" s="430">
        <f t="shared" si="2"/>
        <v>-8.5487172896137054E-15</v>
      </c>
      <c r="S117" s="430">
        <f t="shared" si="2"/>
        <v>6.8212102632969618E-12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363</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0</v>
      </c>
      <c r="F123" s="421">
        <v>0</v>
      </c>
      <c r="G123" s="421">
        <v>0</v>
      </c>
      <c r="H123" s="422">
        <v>919.39393939393995</v>
      </c>
      <c r="I123" s="422">
        <v>297.2</v>
      </c>
      <c r="J123" s="422">
        <v>293.71785736374301</v>
      </c>
      <c r="K123" s="422">
        <v>38.3991774648144</v>
      </c>
      <c r="L123" s="421">
        <v>0</v>
      </c>
      <c r="M123" s="421">
        <v>0</v>
      </c>
      <c r="N123" s="422">
        <v>91.728344176793996</v>
      </c>
      <c r="O123" s="422">
        <v>16.494075355247801</v>
      </c>
      <c r="P123" s="421">
        <v>0</v>
      </c>
      <c r="Q123" s="421">
        <v>0</v>
      </c>
      <c r="R123" s="421">
        <v>0</v>
      </c>
      <c r="S123" s="423">
        <v>1656.93339375454</v>
      </c>
      <c r="T123" s="412"/>
    </row>
    <row r="124" spans="2:20" ht="13.5">
      <c r="B124" s="412"/>
      <c r="C124" s="420" t="s">
        <v>60</v>
      </c>
      <c r="D124" s="421">
        <v>7.4939151456434798</v>
      </c>
      <c r="E124" s="421">
        <v>266.28302835422397</v>
      </c>
      <c r="F124" s="421">
        <v>0</v>
      </c>
      <c r="G124" s="421">
        <v>151.91024428871401</v>
      </c>
      <c r="H124" s="421">
        <v>0</v>
      </c>
      <c r="I124" s="421">
        <v>0</v>
      </c>
      <c r="J124" s="421">
        <v>0</v>
      </c>
      <c r="K124" s="421">
        <v>0</v>
      </c>
      <c r="L124" s="421">
        <v>0</v>
      </c>
      <c r="M124" s="421">
        <v>0</v>
      </c>
      <c r="N124" s="421">
        <v>0</v>
      </c>
      <c r="O124" s="421">
        <v>0</v>
      </c>
      <c r="P124" s="421">
        <v>25.896699392432499</v>
      </c>
      <c r="Q124" s="421">
        <v>0</v>
      </c>
      <c r="R124" s="421">
        <v>0</v>
      </c>
      <c r="S124" s="423">
        <v>451.58388718101401</v>
      </c>
      <c r="T124" s="412"/>
    </row>
    <row r="125" spans="2:20" ht="13.5">
      <c r="B125" s="412"/>
      <c r="C125" s="420" t="s">
        <v>61</v>
      </c>
      <c r="D125" s="421">
        <v>0</v>
      </c>
      <c r="E125" s="421">
        <v>0</v>
      </c>
      <c r="F125" s="421">
        <v>-20.601925350856099</v>
      </c>
      <c r="G125" s="421">
        <v>0</v>
      </c>
      <c r="H125" s="421">
        <v>0</v>
      </c>
      <c r="I125" s="421">
        <v>0</v>
      </c>
      <c r="J125" s="421">
        <v>0</v>
      </c>
      <c r="K125" s="421">
        <v>0</v>
      </c>
      <c r="L125" s="421">
        <v>0</v>
      </c>
      <c r="M125" s="421">
        <v>0</v>
      </c>
      <c r="N125" s="421">
        <v>0</v>
      </c>
      <c r="O125" s="421">
        <v>0</v>
      </c>
      <c r="P125" s="421">
        <v>0</v>
      </c>
      <c r="Q125" s="421">
        <v>0</v>
      </c>
      <c r="R125" s="421">
        <v>0</v>
      </c>
      <c r="S125" s="423">
        <v>-20.601925350856099</v>
      </c>
      <c r="T125" s="412"/>
    </row>
    <row r="126" spans="2:20" ht="13.5">
      <c r="B126" s="412"/>
      <c r="C126" s="420" t="s">
        <v>62</v>
      </c>
      <c r="D126" s="421">
        <v>0</v>
      </c>
      <c r="E126" s="421">
        <v>0</v>
      </c>
      <c r="F126" s="421">
        <v>-10.0686168173907</v>
      </c>
      <c r="G126" s="421">
        <v>-2.2904268439326998</v>
      </c>
      <c r="H126" s="421">
        <v>0</v>
      </c>
      <c r="I126" s="421">
        <v>0</v>
      </c>
      <c r="J126" s="421">
        <v>0</v>
      </c>
      <c r="K126" s="421">
        <v>0</v>
      </c>
      <c r="L126" s="421">
        <v>0</v>
      </c>
      <c r="M126" s="421">
        <v>-0.98161150454258395</v>
      </c>
      <c r="N126" s="421">
        <v>0</v>
      </c>
      <c r="O126" s="421">
        <v>0</v>
      </c>
      <c r="P126" s="421">
        <v>0</v>
      </c>
      <c r="Q126" s="421">
        <v>0</v>
      </c>
      <c r="R126" s="421">
        <v>0</v>
      </c>
      <c r="S126" s="423">
        <v>-13.3406551658659</v>
      </c>
      <c r="T126" s="412"/>
    </row>
    <row r="127" spans="2:20" ht="13.5">
      <c r="B127" s="412"/>
      <c r="C127" s="420" t="s">
        <v>63</v>
      </c>
      <c r="D127" s="421">
        <v>0</v>
      </c>
      <c r="E127" s="421">
        <v>0</v>
      </c>
      <c r="F127" s="421">
        <v>-52.082612477609999</v>
      </c>
      <c r="G127" s="421">
        <v>0</v>
      </c>
      <c r="H127" s="421">
        <v>0</v>
      </c>
      <c r="I127" s="421">
        <v>0</v>
      </c>
      <c r="J127" s="421">
        <v>0</v>
      </c>
      <c r="K127" s="421">
        <v>0</v>
      </c>
      <c r="L127" s="421">
        <v>-26.158313394490399</v>
      </c>
      <c r="M127" s="421">
        <v>0</v>
      </c>
      <c r="N127" s="421">
        <v>0</v>
      </c>
      <c r="O127" s="421">
        <v>0</v>
      </c>
      <c r="P127" s="421">
        <v>0</v>
      </c>
      <c r="Q127" s="421">
        <v>0</v>
      </c>
      <c r="R127" s="421">
        <v>-0.70753299969045202</v>
      </c>
      <c r="S127" s="423">
        <v>-78.948458871790905</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7.4939151456434798</v>
      </c>
      <c r="E129" s="425">
        <v>266.28302835422397</v>
      </c>
      <c r="F129" s="425">
        <v>-82.753154645856696</v>
      </c>
      <c r="G129" s="425">
        <v>149.61981744478101</v>
      </c>
      <c r="H129" s="425">
        <v>919.39393939393995</v>
      </c>
      <c r="I129" s="425">
        <v>297.2</v>
      </c>
      <c r="J129" s="425">
        <v>293.71785736374301</v>
      </c>
      <c r="K129" s="425">
        <v>38.3991774648144</v>
      </c>
      <c r="L129" s="425">
        <v>-26.158313394490399</v>
      </c>
      <c r="M129" s="425">
        <v>-0.98161150454258395</v>
      </c>
      <c r="N129" s="425">
        <v>91.728344176793996</v>
      </c>
      <c r="O129" s="425">
        <v>16.494075355247801</v>
      </c>
      <c r="P129" s="425">
        <v>25.896699392432499</v>
      </c>
      <c r="Q129" s="425">
        <v>0</v>
      </c>
      <c r="R129" s="425">
        <v>-0.70753299969045202</v>
      </c>
      <c r="S129" s="425">
        <v>1995.6262415470401</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0</v>
      </c>
      <c r="E132" s="421">
        <v>0</v>
      </c>
      <c r="F132" s="421">
        <v>0</v>
      </c>
      <c r="G132" s="421">
        <v>6.2086956521739101</v>
      </c>
      <c r="H132" s="421">
        <v>919.39393939393904</v>
      </c>
      <c r="I132" s="421">
        <v>297.2</v>
      </c>
      <c r="J132" s="421">
        <v>17.565889816526202</v>
      </c>
      <c r="K132" s="421">
        <v>4.9093303559187103</v>
      </c>
      <c r="L132" s="421">
        <v>0</v>
      </c>
      <c r="M132" s="421">
        <v>2.6608695652173902</v>
      </c>
      <c r="N132" s="421">
        <v>0</v>
      </c>
      <c r="O132" s="421">
        <v>0</v>
      </c>
      <c r="P132" s="421">
        <v>-615.5</v>
      </c>
      <c r="Q132" s="421">
        <v>0</v>
      </c>
      <c r="R132" s="421">
        <v>4.75</v>
      </c>
      <c r="S132" s="429">
        <v>637.18872478377602</v>
      </c>
      <c r="T132" s="412"/>
    </row>
    <row r="133" spans="2:20" ht="13.5">
      <c r="B133" s="412"/>
      <c r="C133" s="428" t="s">
        <v>351</v>
      </c>
      <c r="D133" s="421">
        <v>0</v>
      </c>
      <c r="E133" s="421">
        <v>0</v>
      </c>
      <c r="F133" s="421">
        <v>0</v>
      </c>
      <c r="G133" s="421">
        <v>11.665233563399299</v>
      </c>
      <c r="H133" s="421">
        <v>0</v>
      </c>
      <c r="I133" s="421">
        <v>0</v>
      </c>
      <c r="J133" s="421">
        <v>29.284960707020101</v>
      </c>
      <c r="K133" s="421">
        <v>27.401179727670598</v>
      </c>
      <c r="L133" s="421">
        <v>0</v>
      </c>
      <c r="M133" s="421">
        <v>4.9993858128854303</v>
      </c>
      <c r="N133" s="421">
        <v>0</v>
      </c>
      <c r="O133" s="421">
        <v>11.2068466425665</v>
      </c>
      <c r="P133" s="421">
        <v>0</v>
      </c>
      <c r="Q133" s="421">
        <v>-77.8888709289253</v>
      </c>
      <c r="R133" s="421">
        <v>0</v>
      </c>
      <c r="S133" s="429">
        <v>6.6687355246166398</v>
      </c>
      <c r="T133" s="412"/>
    </row>
    <row r="134" spans="2:20" ht="13.5">
      <c r="B134" s="412"/>
      <c r="C134" s="428" t="s">
        <v>352</v>
      </c>
      <c r="D134" s="421">
        <v>0</v>
      </c>
      <c r="E134" s="421">
        <v>0</v>
      </c>
      <c r="F134" s="421">
        <v>0</v>
      </c>
      <c r="G134" s="421">
        <v>0</v>
      </c>
      <c r="H134" s="421">
        <v>0</v>
      </c>
      <c r="I134" s="421">
        <v>0</v>
      </c>
      <c r="J134" s="421">
        <v>67.617330016206097</v>
      </c>
      <c r="K134" s="421">
        <v>0</v>
      </c>
      <c r="L134" s="421">
        <v>0</v>
      </c>
      <c r="M134" s="421">
        <v>-61.700813639788102</v>
      </c>
      <c r="N134" s="421">
        <v>0</v>
      </c>
      <c r="O134" s="421">
        <v>0</v>
      </c>
      <c r="P134" s="421">
        <v>0</v>
      </c>
      <c r="Q134" s="421">
        <v>0</v>
      </c>
      <c r="R134" s="421">
        <v>0</v>
      </c>
      <c r="S134" s="429">
        <v>5.9165163764180404</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275.84091609698402</v>
      </c>
      <c r="F136" s="421">
        <v>-273.082506936014</v>
      </c>
      <c r="G136" s="421">
        <v>0</v>
      </c>
      <c r="H136" s="421">
        <v>0</v>
      </c>
      <c r="I136" s="421">
        <v>0</v>
      </c>
      <c r="J136" s="421">
        <v>0</v>
      </c>
      <c r="K136" s="421">
        <v>0</v>
      </c>
      <c r="L136" s="421">
        <v>0</v>
      </c>
      <c r="M136" s="421">
        <v>0</v>
      </c>
      <c r="N136" s="421">
        <v>0</v>
      </c>
      <c r="O136" s="421">
        <v>0</v>
      </c>
      <c r="P136" s="421">
        <v>0</v>
      </c>
      <c r="Q136" s="421">
        <v>0</v>
      </c>
      <c r="R136" s="421">
        <v>0</v>
      </c>
      <c r="S136" s="429">
        <v>2.7584091609698498</v>
      </c>
      <c r="T136" s="412"/>
    </row>
    <row r="137" spans="2:20" ht="13.5">
      <c r="B137" s="412"/>
      <c r="C137" s="428" t="s">
        <v>354</v>
      </c>
      <c r="D137" s="421">
        <v>0</v>
      </c>
      <c r="E137" s="421">
        <v>0</v>
      </c>
      <c r="F137" s="421">
        <v>0</v>
      </c>
      <c r="G137" s="421">
        <v>0</v>
      </c>
      <c r="H137" s="421">
        <v>0</v>
      </c>
      <c r="I137" s="421">
        <v>0</v>
      </c>
      <c r="J137" s="421">
        <v>94.973460214546293</v>
      </c>
      <c r="K137" s="421">
        <v>0</v>
      </c>
      <c r="L137" s="421">
        <v>-94.973460214546293</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-18.919398689376301</v>
      </c>
      <c r="M138" s="421">
        <v>0</v>
      </c>
      <c r="N138" s="421">
        <v>0</v>
      </c>
      <c r="O138" s="421">
        <v>0</v>
      </c>
      <c r="P138" s="421">
        <v>0</v>
      </c>
      <c r="Q138" s="421">
        <v>0</v>
      </c>
      <c r="R138" s="421">
        <v>27.027712413394799</v>
      </c>
      <c r="S138" s="429">
        <v>8.10831372401843</v>
      </c>
      <c r="T138" s="412"/>
    </row>
    <row r="139" spans="2:20" ht="13.5">
      <c r="B139" s="412"/>
      <c r="C139" s="428" t="s">
        <v>73</v>
      </c>
      <c r="D139" s="421">
        <v>0</v>
      </c>
      <c r="E139" s="421">
        <v>0</v>
      </c>
      <c r="F139" s="421">
        <v>0</v>
      </c>
      <c r="G139" s="421">
        <v>11.241873404965199</v>
      </c>
      <c r="H139" s="421">
        <v>0</v>
      </c>
      <c r="I139" s="421">
        <v>0</v>
      </c>
      <c r="J139" s="421">
        <v>0</v>
      </c>
      <c r="K139" s="421">
        <v>0.80299095749751603</v>
      </c>
      <c r="L139" s="421">
        <v>0</v>
      </c>
      <c r="M139" s="421">
        <v>4.8179457449851002</v>
      </c>
      <c r="N139" s="421">
        <v>0</v>
      </c>
      <c r="O139" s="421">
        <v>0</v>
      </c>
      <c r="P139" s="421">
        <v>64.825401386295795</v>
      </c>
      <c r="Q139" s="421">
        <v>0</v>
      </c>
      <c r="R139" s="421">
        <v>-56.209367024826101</v>
      </c>
      <c r="S139" s="429">
        <v>25.478844468917501</v>
      </c>
      <c r="T139" s="412"/>
    </row>
    <row r="140" spans="2:20" ht="13.5">
      <c r="B140" s="412"/>
      <c r="C140" s="428" t="s">
        <v>356</v>
      </c>
      <c r="D140" s="421">
        <v>2.3505202026367198</v>
      </c>
      <c r="E140" s="421">
        <v>-9.55788774276051</v>
      </c>
      <c r="F140" s="421">
        <v>12.5011526289501</v>
      </c>
      <c r="G140" s="421">
        <v>0</v>
      </c>
      <c r="H140" s="421">
        <v>0</v>
      </c>
      <c r="I140" s="421">
        <v>0</v>
      </c>
      <c r="J140" s="421">
        <v>0</v>
      </c>
      <c r="K140" s="421">
        <v>0</v>
      </c>
      <c r="L140" s="421">
        <v>0</v>
      </c>
      <c r="M140" s="421">
        <v>0</v>
      </c>
      <c r="N140" s="421">
        <v>0</v>
      </c>
      <c r="O140" s="421">
        <v>0</v>
      </c>
      <c r="P140" s="421">
        <v>0</v>
      </c>
      <c r="Q140" s="421">
        <v>0</v>
      </c>
      <c r="R140" s="421">
        <v>0</v>
      </c>
      <c r="S140" s="429">
        <v>5.2937850888262901</v>
      </c>
      <c r="T140" s="412"/>
    </row>
    <row r="141" spans="2:20" ht="13.5">
      <c r="B141" s="412"/>
      <c r="C141" s="428" t="s">
        <v>75</v>
      </c>
      <c r="D141" s="421">
        <v>3.4784289550781202</v>
      </c>
      <c r="E141" s="421">
        <v>0</v>
      </c>
      <c r="F141" s="421">
        <v>17.757847143387401</v>
      </c>
      <c r="G141" s="421">
        <v>3.6194670795198398</v>
      </c>
      <c r="H141" s="421">
        <v>0</v>
      </c>
      <c r="I141" s="421">
        <v>0</v>
      </c>
      <c r="J141" s="421">
        <v>0</v>
      </c>
      <c r="K141" s="421">
        <v>0</v>
      </c>
      <c r="L141" s="421">
        <v>0</v>
      </c>
      <c r="M141" s="421">
        <v>1.55120017693708</v>
      </c>
      <c r="N141" s="421">
        <v>0</v>
      </c>
      <c r="O141" s="421">
        <v>0</v>
      </c>
      <c r="P141" s="421">
        <v>36.310454545454498</v>
      </c>
      <c r="Q141" s="421">
        <v>0</v>
      </c>
      <c r="R141" s="421">
        <v>0</v>
      </c>
      <c r="S141" s="429">
        <v>62.717397900377001</v>
      </c>
      <c r="T141" s="412"/>
    </row>
    <row r="142" spans="2:20" ht="13.5">
      <c r="B142" s="412"/>
      <c r="C142" s="428" t="s">
        <v>76</v>
      </c>
      <c r="D142" s="421">
        <v>0</v>
      </c>
      <c r="E142" s="421">
        <v>0</v>
      </c>
      <c r="F142" s="421">
        <v>0</v>
      </c>
      <c r="G142" s="421">
        <v>1.70713713627872</v>
      </c>
      <c r="H142" s="421">
        <v>0</v>
      </c>
      <c r="I142" s="421">
        <v>0</v>
      </c>
      <c r="J142" s="421">
        <v>0</v>
      </c>
      <c r="K142" s="421">
        <v>0</v>
      </c>
      <c r="L142" s="421">
        <v>0</v>
      </c>
      <c r="M142" s="421">
        <v>0.73163020126230904</v>
      </c>
      <c r="N142" s="421">
        <v>0</v>
      </c>
      <c r="O142" s="421">
        <v>0</v>
      </c>
      <c r="P142" s="421">
        <v>49.155979731830001</v>
      </c>
      <c r="Q142" s="421">
        <v>6.0356689649720803</v>
      </c>
      <c r="R142" s="421">
        <v>0</v>
      </c>
      <c r="S142" s="429">
        <v>57.630416034343099</v>
      </c>
      <c r="T142" s="412"/>
    </row>
    <row r="143" spans="2:20" ht="13.5">
      <c r="B143" s="412"/>
      <c r="C143" s="424" t="s">
        <v>77</v>
      </c>
      <c r="D143" s="425">
        <v>5.82894915771484</v>
      </c>
      <c r="E143" s="425">
        <v>266.28302835422397</v>
      </c>
      <c r="F143" s="425">
        <v>-242.82350716367699</v>
      </c>
      <c r="G143" s="425">
        <v>34.442406836337</v>
      </c>
      <c r="H143" s="425">
        <v>919.39393939393995</v>
      </c>
      <c r="I143" s="425">
        <v>297.2</v>
      </c>
      <c r="J143" s="425">
        <v>209.44164075429899</v>
      </c>
      <c r="K143" s="425">
        <v>33.113501041086799</v>
      </c>
      <c r="L143" s="425">
        <v>-113.892858903923</v>
      </c>
      <c r="M143" s="425">
        <v>-46.939782138500803</v>
      </c>
      <c r="N143" s="425">
        <v>0</v>
      </c>
      <c r="O143" s="425">
        <v>11.2068466425665</v>
      </c>
      <c r="P143" s="425">
        <v>-465.20816433642</v>
      </c>
      <c r="Q143" s="425">
        <v>-71.853201963953296</v>
      </c>
      <c r="R143" s="425">
        <v>-24.431654611431401</v>
      </c>
      <c r="S143" s="425">
        <v>811.76114306226202</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1.2914218900282399</v>
      </c>
      <c r="E145" s="421">
        <v>0</v>
      </c>
      <c r="F145" s="421">
        <v>7.8764387202852104</v>
      </c>
      <c r="G145" s="421">
        <v>53.350379932057301</v>
      </c>
      <c r="H145" s="421">
        <v>0</v>
      </c>
      <c r="I145" s="421">
        <v>0</v>
      </c>
      <c r="J145" s="421">
        <v>14.620158681310601</v>
      </c>
      <c r="K145" s="421">
        <v>5.28567642372757</v>
      </c>
      <c r="L145" s="421">
        <v>4.3757583007812499</v>
      </c>
      <c r="M145" s="421">
        <v>22.864448542310299</v>
      </c>
      <c r="N145" s="421">
        <v>0</v>
      </c>
      <c r="O145" s="421">
        <v>0</v>
      </c>
      <c r="P145" s="421">
        <v>138.83144142059001</v>
      </c>
      <c r="Q145" s="421">
        <v>24.198968897330399</v>
      </c>
      <c r="R145" s="421">
        <v>6.850041015625</v>
      </c>
      <c r="S145" s="429">
        <v>279.54473382404501</v>
      </c>
      <c r="T145" s="412"/>
    </row>
    <row r="146" spans="2:20" ht="13.5">
      <c r="B146" s="412"/>
      <c r="C146" s="428" t="s">
        <v>79</v>
      </c>
      <c r="D146" s="421">
        <v>0</v>
      </c>
      <c r="E146" s="421">
        <v>0</v>
      </c>
      <c r="F146" s="421">
        <v>51.208587064668897</v>
      </c>
      <c r="G146" s="421">
        <v>17.942066440325</v>
      </c>
      <c r="H146" s="421">
        <v>0</v>
      </c>
      <c r="I146" s="421">
        <v>0</v>
      </c>
      <c r="J146" s="421">
        <v>0</v>
      </c>
      <c r="K146" s="421">
        <v>0</v>
      </c>
      <c r="L146" s="421">
        <v>51.332808564474597</v>
      </c>
      <c r="M146" s="421">
        <v>7.6894570458535796</v>
      </c>
      <c r="N146" s="421">
        <v>0</v>
      </c>
      <c r="O146" s="421">
        <v>0</v>
      </c>
      <c r="P146" s="421">
        <v>81.112108407408201</v>
      </c>
      <c r="Q146" s="421">
        <v>0</v>
      </c>
      <c r="R146" s="421">
        <v>4.6183032107255597</v>
      </c>
      <c r="S146" s="429">
        <v>213.90333073345599</v>
      </c>
      <c r="T146" s="412"/>
    </row>
    <row r="147" spans="2:20" ht="13.5">
      <c r="B147" s="412"/>
      <c r="C147" s="428" t="s">
        <v>80</v>
      </c>
      <c r="D147" s="421">
        <v>0</v>
      </c>
      <c r="E147" s="421">
        <v>0</v>
      </c>
      <c r="F147" s="421">
        <v>0.59878850754916801</v>
      </c>
      <c r="G147" s="421">
        <v>17.944335255265202</v>
      </c>
      <c r="H147" s="421">
        <v>0</v>
      </c>
      <c r="I147" s="421">
        <v>0</v>
      </c>
      <c r="J147" s="421">
        <v>58.7756577076902</v>
      </c>
      <c r="K147" s="421">
        <v>0</v>
      </c>
      <c r="L147" s="421">
        <v>0</v>
      </c>
      <c r="M147" s="421">
        <v>7.6904293951136404</v>
      </c>
      <c r="N147" s="421">
        <v>77.140439944189495</v>
      </c>
      <c r="O147" s="421">
        <v>2.3876725664027898</v>
      </c>
      <c r="P147" s="421">
        <v>147.94366969867801</v>
      </c>
      <c r="Q147" s="421">
        <v>35.899095037211403</v>
      </c>
      <c r="R147" s="421">
        <v>0</v>
      </c>
      <c r="S147" s="429">
        <v>348.3800881121</v>
      </c>
      <c r="T147" s="412"/>
    </row>
    <row r="148" spans="2:20" ht="13.5">
      <c r="B148" s="412"/>
      <c r="C148" s="428" t="s">
        <v>81</v>
      </c>
      <c r="D148" s="421">
        <v>0</v>
      </c>
      <c r="E148" s="421">
        <v>0</v>
      </c>
      <c r="F148" s="421">
        <v>1.41136233073529</v>
      </c>
      <c r="G148" s="421">
        <v>16.956940670956399</v>
      </c>
      <c r="H148" s="421">
        <v>0</v>
      </c>
      <c r="I148" s="421">
        <v>0</v>
      </c>
      <c r="J148" s="421">
        <v>7.1959049572050198</v>
      </c>
      <c r="K148" s="421">
        <v>0</v>
      </c>
      <c r="L148" s="421">
        <v>0</v>
      </c>
      <c r="M148" s="421">
        <v>7.2672602875527703</v>
      </c>
      <c r="N148" s="421">
        <v>14.587904232604499</v>
      </c>
      <c r="O148" s="421">
        <v>1.59893576487328</v>
      </c>
      <c r="P148" s="421">
        <v>113.624954527706</v>
      </c>
      <c r="Q148" s="421">
        <v>11.7551380294114</v>
      </c>
      <c r="R148" s="421">
        <v>0</v>
      </c>
      <c r="S148" s="429">
        <v>174.398400801045</v>
      </c>
      <c r="T148" s="412"/>
    </row>
    <row r="149" spans="2:20" ht="13.5">
      <c r="B149" s="412"/>
      <c r="C149" s="428" t="s">
        <v>82</v>
      </c>
      <c r="D149" s="421">
        <v>0</v>
      </c>
      <c r="E149" s="421">
        <v>0</v>
      </c>
      <c r="F149" s="421">
        <v>9.3172526318529894</v>
      </c>
      <c r="G149" s="421">
        <v>1.0420091806317999</v>
      </c>
      <c r="H149" s="421">
        <v>0</v>
      </c>
      <c r="I149" s="421">
        <v>0</v>
      </c>
      <c r="J149" s="421">
        <v>3.6844952632387198</v>
      </c>
      <c r="K149" s="421">
        <v>0</v>
      </c>
      <c r="L149" s="421">
        <v>14.271913525768101</v>
      </c>
      <c r="M149" s="421">
        <v>0.44657536312791402</v>
      </c>
      <c r="N149" s="421">
        <v>0</v>
      </c>
      <c r="O149" s="421">
        <v>1.30062038140516</v>
      </c>
      <c r="P149" s="421">
        <v>6.3926896744698603</v>
      </c>
      <c r="Q149" s="421">
        <v>0</v>
      </c>
      <c r="R149" s="421">
        <v>0.325155095351289</v>
      </c>
      <c r="S149" s="429">
        <v>36.780711115845897</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3.2</v>
      </c>
      <c r="Q150" s="421">
        <v>0</v>
      </c>
      <c r="R150" s="421">
        <v>0</v>
      </c>
      <c r="S150" s="429">
        <v>3.2</v>
      </c>
      <c r="T150" s="412"/>
    </row>
    <row r="151" spans="2:20" ht="13.5">
      <c r="B151" s="412"/>
      <c r="C151" s="424" t="s">
        <v>83</v>
      </c>
      <c r="D151" s="425">
        <v>1.2914218900282399</v>
      </c>
      <c r="E151" s="425">
        <v>0</v>
      </c>
      <c r="F151" s="425">
        <v>70.412429255091595</v>
      </c>
      <c r="G151" s="425">
        <v>107.23573147923599</v>
      </c>
      <c r="H151" s="425">
        <v>0</v>
      </c>
      <c r="I151" s="425">
        <v>0</v>
      </c>
      <c r="J151" s="425">
        <v>84.276216609444504</v>
      </c>
      <c r="K151" s="425">
        <v>5.28567642372757</v>
      </c>
      <c r="L151" s="425">
        <v>69.980480391024003</v>
      </c>
      <c r="M151" s="425">
        <v>45.958170633958197</v>
      </c>
      <c r="N151" s="425">
        <v>91.728344176793996</v>
      </c>
      <c r="O151" s="425">
        <v>5.2872287126812303</v>
      </c>
      <c r="P151" s="425">
        <v>491.10486372885202</v>
      </c>
      <c r="Q151" s="425">
        <v>71.853201963953296</v>
      </c>
      <c r="R151" s="425">
        <v>11.7934993217019</v>
      </c>
      <c r="S151" s="425">
        <v>1056.2072645864901</v>
      </c>
      <c r="T151" s="412"/>
    </row>
    <row r="152" spans="2:20" ht="13.5">
      <c r="B152" s="412"/>
      <c r="C152" s="420" t="s">
        <v>84</v>
      </c>
      <c r="D152" s="421">
        <v>0.373544097900391</v>
      </c>
      <c r="E152" s="421">
        <v>0</v>
      </c>
      <c r="F152" s="421">
        <v>89.657923262728701</v>
      </c>
      <c r="G152" s="421">
        <v>7.94167912920852</v>
      </c>
      <c r="H152" s="421">
        <v>0</v>
      </c>
      <c r="I152" s="421">
        <v>0</v>
      </c>
      <c r="J152" s="421">
        <v>0</v>
      </c>
      <c r="K152" s="421">
        <v>0</v>
      </c>
      <c r="L152" s="421">
        <v>17.754065118408199</v>
      </c>
      <c r="M152" s="421">
        <v>0</v>
      </c>
      <c r="N152" s="421">
        <v>0</v>
      </c>
      <c r="O152" s="421">
        <v>0</v>
      </c>
      <c r="P152" s="421">
        <v>0</v>
      </c>
      <c r="Q152" s="421">
        <v>0</v>
      </c>
      <c r="R152" s="421">
        <v>11.9306222900391</v>
      </c>
      <c r="S152" s="429">
        <v>127.65783389828501</v>
      </c>
      <c r="T152" s="412"/>
    </row>
    <row r="153" spans="2:20" ht="13.5">
      <c r="B153" s="412"/>
      <c r="C153" s="424" t="s">
        <v>85</v>
      </c>
      <c r="D153" s="425">
        <v>1.66496598792863</v>
      </c>
      <c r="E153" s="425">
        <v>0</v>
      </c>
      <c r="F153" s="425">
        <v>160.07035251782</v>
      </c>
      <c r="G153" s="425">
        <v>115.17741060844401</v>
      </c>
      <c r="H153" s="425">
        <v>0</v>
      </c>
      <c r="I153" s="425">
        <v>0</v>
      </c>
      <c r="J153" s="425">
        <v>84.276216609444504</v>
      </c>
      <c r="K153" s="425">
        <v>5.28567642372757</v>
      </c>
      <c r="L153" s="425">
        <v>87.734545509432195</v>
      </c>
      <c r="M153" s="425">
        <v>45.958170633958197</v>
      </c>
      <c r="N153" s="425">
        <v>91.728344176793996</v>
      </c>
      <c r="O153" s="425">
        <v>5.2872287126812303</v>
      </c>
      <c r="P153" s="425">
        <v>491.10486372885202</v>
      </c>
      <c r="Q153" s="425">
        <v>71.853201963953296</v>
      </c>
      <c r="R153" s="425">
        <v>23.724121611740902</v>
      </c>
      <c r="S153" s="425">
        <v>1183.86509848478</v>
      </c>
      <c r="T153" s="412"/>
    </row>
    <row r="154" spans="2:20">
      <c r="B154" s="412"/>
      <c r="C154" s="412"/>
      <c r="D154" s="430">
        <f t="shared" ref="D154:S154" si="3">D153+D143-D129</f>
        <v>-9.7699626167013776E-15</v>
      </c>
      <c r="E154" s="430">
        <f t="shared" si="3"/>
        <v>0</v>
      </c>
      <c r="F154" s="430">
        <f t="shared" si="3"/>
        <v>-2.9842794901924208E-13</v>
      </c>
      <c r="G154" s="430">
        <f t="shared" si="3"/>
        <v>0</v>
      </c>
      <c r="H154" s="430">
        <f t="shared" si="3"/>
        <v>0</v>
      </c>
      <c r="I154" s="430">
        <f t="shared" si="3"/>
        <v>0</v>
      </c>
      <c r="J154" s="430">
        <f t="shared" si="3"/>
        <v>5.1159076974727213E-13</v>
      </c>
      <c r="K154" s="430">
        <f t="shared" si="3"/>
        <v>0</v>
      </c>
      <c r="L154" s="430">
        <f t="shared" si="3"/>
        <v>-4.0500935938325711E-13</v>
      </c>
      <c r="M154" s="430">
        <f t="shared" si="3"/>
        <v>-2.19824158875781E-14</v>
      </c>
      <c r="N154" s="430">
        <f t="shared" si="3"/>
        <v>0</v>
      </c>
      <c r="O154" s="430">
        <f t="shared" si="3"/>
        <v>-7.1054273576010019E-14</v>
      </c>
      <c r="P154" s="430">
        <f t="shared" si="3"/>
        <v>-4.7251091928046662E-13</v>
      </c>
      <c r="Q154" s="430">
        <f t="shared" si="3"/>
        <v>0</v>
      </c>
      <c r="R154" s="430">
        <f t="shared" si="3"/>
        <v>-4.7739590058881731E-14</v>
      </c>
      <c r="S154" s="430">
        <f t="shared" si="3"/>
        <v>1.8189894035458565E-12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364</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0</v>
      </c>
      <c r="F160" s="421">
        <v>0</v>
      </c>
      <c r="G160" s="421">
        <v>0</v>
      </c>
      <c r="H160" s="422">
        <v>842.12121212121201</v>
      </c>
      <c r="I160" s="422">
        <v>358.55</v>
      </c>
      <c r="J160" s="422">
        <v>303.87805553693403</v>
      </c>
      <c r="K160" s="422">
        <v>37.407021205815497</v>
      </c>
      <c r="L160" s="421">
        <v>0</v>
      </c>
      <c r="M160" s="421">
        <v>0</v>
      </c>
      <c r="N160" s="422">
        <v>108.611838905018</v>
      </c>
      <c r="O160" s="422">
        <v>19.501173338019399</v>
      </c>
      <c r="P160" s="421">
        <v>0</v>
      </c>
      <c r="Q160" s="421">
        <v>0</v>
      </c>
      <c r="R160" s="421">
        <v>0</v>
      </c>
      <c r="S160" s="423">
        <v>1670.069301107</v>
      </c>
      <c r="T160" s="412"/>
    </row>
    <row r="161" spans="2:20" ht="13.5">
      <c r="B161" s="412"/>
      <c r="C161" s="420" t="s">
        <v>60</v>
      </c>
      <c r="D161" s="421">
        <v>5.7319330443436396</v>
      </c>
      <c r="E161" s="421">
        <v>189.941148015496</v>
      </c>
      <c r="F161" s="421">
        <v>0</v>
      </c>
      <c r="G161" s="421">
        <v>90.6863865174073</v>
      </c>
      <c r="H161" s="421">
        <v>0</v>
      </c>
      <c r="I161" s="421">
        <v>0</v>
      </c>
      <c r="J161" s="421">
        <v>0</v>
      </c>
      <c r="K161" s="421">
        <v>0</v>
      </c>
      <c r="L161" s="421">
        <v>0</v>
      </c>
      <c r="M161" s="421">
        <v>0</v>
      </c>
      <c r="N161" s="421">
        <v>0</v>
      </c>
      <c r="O161" s="421">
        <v>0</v>
      </c>
      <c r="P161" s="421">
        <v>18.852796757266699</v>
      </c>
      <c r="Q161" s="421">
        <v>0</v>
      </c>
      <c r="R161" s="421">
        <v>0</v>
      </c>
      <c r="S161" s="423">
        <v>305.21226433451301</v>
      </c>
      <c r="T161" s="412"/>
    </row>
    <row r="162" spans="2:20" ht="13.5">
      <c r="B162" s="412"/>
      <c r="C162" s="420" t="s">
        <v>61</v>
      </c>
      <c r="D162" s="421">
        <v>0</v>
      </c>
      <c r="E162" s="421">
        <v>0</v>
      </c>
      <c r="F162" s="421">
        <v>-18.054674208998499</v>
      </c>
      <c r="G162" s="421">
        <v>0</v>
      </c>
      <c r="H162" s="421">
        <v>0</v>
      </c>
      <c r="I162" s="421">
        <v>0</v>
      </c>
      <c r="J162" s="421">
        <v>0</v>
      </c>
      <c r="K162" s="421">
        <v>0</v>
      </c>
      <c r="L162" s="421">
        <v>0</v>
      </c>
      <c r="M162" s="421">
        <v>0</v>
      </c>
      <c r="N162" s="421">
        <v>0</v>
      </c>
      <c r="O162" s="421">
        <v>0</v>
      </c>
      <c r="P162" s="421">
        <v>0</v>
      </c>
      <c r="Q162" s="421">
        <v>0</v>
      </c>
      <c r="R162" s="421">
        <v>0</v>
      </c>
      <c r="S162" s="423">
        <v>-18.054674208998499</v>
      </c>
      <c r="T162" s="412"/>
    </row>
    <row r="163" spans="2:20" ht="13.5">
      <c r="B163" s="412"/>
      <c r="C163" s="420" t="s">
        <v>62</v>
      </c>
      <c r="D163" s="421">
        <v>0</v>
      </c>
      <c r="E163" s="421">
        <v>0</v>
      </c>
      <c r="F163" s="421">
        <v>-7.5188933675233596</v>
      </c>
      <c r="G163" s="421">
        <v>-2.1851276585702299</v>
      </c>
      <c r="H163" s="421">
        <v>0</v>
      </c>
      <c r="I163" s="421">
        <v>0</v>
      </c>
      <c r="J163" s="421">
        <v>0</v>
      </c>
      <c r="K163" s="421">
        <v>0</v>
      </c>
      <c r="L163" s="421">
        <v>0</v>
      </c>
      <c r="M163" s="421">
        <v>-2.1851276585702299</v>
      </c>
      <c r="N163" s="421">
        <v>0</v>
      </c>
      <c r="O163" s="421">
        <v>0</v>
      </c>
      <c r="P163" s="421">
        <v>0</v>
      </c>
      <c r="Q163" s="421">
        <v>0</v>
      </c>
      <c r="R163" s="421">
        <v>0</v>
      </c>
      <c r="S163" s="423">
        <v>-11.8891486846638</v>
      </c>
      <c r="T163" s="412"/>
    </row>
    <row r="164" spans="2:20" ht="13.5">
      <c r="B164" s="412"/>
      <c r="C164" s="420" t="s">
        <v>63</v>
      </c>
      <c r="D164" s="421">
        <v>0</v>
      </c>
      <c r="E164" s="421">
        <v>0</v>
      </c>
      <c r="F164" s="421">
        <v>-48.913982221755198</v>
      </c>
      <c r="G164" s="421">
        <v>0</v>
      </c>
      <c r="H164" s="421">
        <v>0</v>
      </c>
      <c r="I164" s="421">
        <v>0</v>
      </c>
      <c r="J164" s="421">
        <v>0</v>
      </c>
      <c r="K164" s="421">
        <v>0</v>
      </c>
      <c r="L164" s="421">
        <v>-32.619142548425003</v>
      </c>
      <c r="M164" s="421">
        <v>0</v>
      </c>
      <c r="N164" s="421">
        <v>0</v>
      </c>
      <c r="O164" s="421">
        <v>0</v>
      </c>
      <c r="P164" s="421">
        <v>0</v>
      </c>
      <c r="Q164" s="421">
        <v>0</v>
      </c>
      <c r="R164" s="421">
        <v>-1.6805745775177701</v>
      </c>
      <c r="S164" s="423">
        <v>-83.213699347697997</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5.7319330443436396</v>
      </c>
      <c r="E166" s="425">
        <v>189.941148015496</v>
      </c>
      <c r="F166" s="425">
        <v>-74.487549798277101</v>
      </c>
      <c r="G166" s="425">
        <v>88.501258858837105</v>
      </c>
      <c r="H166" s="425">
        <v>842.12121212121201</v>
      </c>
      <c r="I166" s="425">
        <v>358.55</v>
      </c>
      <c r="J166" s="425">
        <v>303.87805553693403</v>
      </c>
      <c r="K166" s="425">
        <v>37.407021205815497</v>
      </c>
      <c r="L166" s="425">
        <v>-32.619142548425003</v>
      </c>
      <c r="M166" s="425">
        <v>-2.1851276585702299</v>
      </c>
      <c r="N166" s="425">
        <v>108.611838905018</v>
      </c>
      <c r="O166" s="425">
        <v>19.501173338019399</v>
      </c>
      <c r="P166" s="425">
        <v>18.852796757266699</v>
      </c>
      <c r="Q166" s="425">
        <v>0</v>
      </c>
      <c r="R166" s="425">
        <v>-1.6805745775177701</v>
      </c>
      <c r="S166" s="425">
        <v>1862.12404320015</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0</v>
      </c>
      <c r="E169" s="421">
        <v>0</v>
      </c>
      <c r="F169" s="421">
        <v>0</v>
      </c>
      <c r="G169" s="421">
        <v>2.3404255319148901</v>
      </c>
      <c r="H169" s="421">
        <v>842.12121212121201</v>
      </c>
      <c r="I169" s="421">
        <v>358.55</v>
      </c>
      <c r="J169" s="421">
        <v>16.2099501273347</v>
      </c>
      <c r="K169" s="421">
        <v>4.5869971469173096</v>
      </c>
      <c r="L169" s="421">
        <v>0</v>
      </c>
      <c r="M169" s="421">
        <v>2.3404255319148901</v>
      </c>
      <c r="N169" s="421">
        <v>0</v>
      </c>
      <c r="O169" s="421">
        <v>0</v>
      </c>
      <c r="P169" s="421">
        <v>-649</v>
      </c>
      <c r="Q169" s="421">
        <v>0</v>
      </c>
      <c r="R169" s="421">
        <v>4.25</v>
      </c>
      <c r="S169" s="429">
        <v>581.399010459294</v>
      </c>
      <c r="T169" s="412"/>
    </row>
    <row r="170" spans="2:20" ht="13.5">
      <c r="B170" s="412"/>
      <c r="C170" s="428" t="s">
        <v>351</v>
      </c>
      <c r="D170" s="421">
        <v>0</v>
      </c>
      <c r="E170" s="421">
        <v>0</v>
      </c>
      <c r="F170" s="421">
        <v>0</v>
      </c>
      <c r="G170" s="421">
        <v>6.6963140641677699</v>
      </c>
      <c r="H170" s="421">
        <v>0</v>
      </c>
      <c r="I170" s="421">
        <v>0</v>
      </c>
      <c r="J170" s="421">
        <v>28.753458003311501</v>
      </c>
      <c r="K170" s="421">
        <v>27.176732157472099</v>
      </c>
      <c r="L170" s="421">
        <v>0</v>
      </c>
      <c r="M170" s="421">
        <v>6.6963140641677699</v>
      </c>
      <c r="N170" s="421">
        <v>0</v>
      </c>
      <c r="O170" s="421">
        <v>13.1597379771096</v>
      </c>
      <c r="P170" s="421">
        <v>0</v>
      </c>
      <c r="Q170" s="421">
        <v>-76.511380322397699</v>
      </c>
      <c r="R170" s="421">
        <v>0</v>
      </c>
      <c r="S170" s="429">
        <v>5.9711759438309997</v>
      </c>
      <c r="T170" s="412"/>
    </row>
    <row r="171" spans="2:20" ht="13.5">
      <c r="B171" s="412"/>
      <c r="C171" s="428" t="s">
        <v>352</v>
      </c>
      <c r="D171" s="421">
        <v>0</v>
      </c>
      <c r="E171" s="421">
        <v>0</v>
      </c>
      <c r="F171" s="421">
        <v>0</v>
      </c>
      <c r="G171" s="421">
        <v>0</v>
      </c>
      <c r="H171" s="421">
        <v>0</v>
      </c>
      <c r="I171" s="421">
        <v>0</v>
      </c>
      <c r="J171" s="421">
        <v>90.986216688587803</v>
      </c>
      <c r="K171" s="421">
        <v>0</v>
      </c>
      <c r="L171" s="421">
        <v>0</v>
      </c>
      <c r="M171" s="421">
        <v>-84.958379832968902</v>
      </c>
      <c r="N171" s="421">
        <v>0</v>
      </c>
      <c r="O171" s="421">
        <v>0</v>
      </c>
      <c r="P171" s="421">
        <v>0</v>
      </c>
      <c r="Q171" s="421">
        <v>0</v>
      </c>
      <c r="R171" s="421">
        <v>0</v>
      </c>
      <c r="S171" s="429">
        <v>6.0278368556189399</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196.75884188687601</v>
      </c>
      <c r="F173" s="421">
        <v>-194.791253468007</v>
      </c>
      <c r="G173" s="421">
        <v>0</v>
      </c>
      <c r="H173" s="421">
        <v>0</v>
      </c>
      <c r="I173" s="421">
        <v>0</v>
      </c>
      <c r="J173" s="421">
        <v>0</v>
      </c>
      <c r="K173" s="421">
        <v>0</v>
      </c>
      <c r="L173" s="421">
        <v>0</v>
      </c>
      <c r="M173" s="421">
        <v>0</v>
      </c>
      <c r="N173" s="421">
        <v>0</v>
      </c>
      <c r="O173" s="421">
        <v>0</v>
      </c>
      <c r="P173" s="421">
        <v>0</v>
      </c>
      <c r="Q173" s="421">
        <v>0</v>
      </c>
      <c r="R173" s="421">
        <v>0</v>
      </c>
      <c r="S173" s="429">
        <v>1.96758841886876</v>
      </c>
      <c r="T173" s="412"/>
    </row>
    <row r="174" spans="2:20" ht="13.5">
      <c r="B174" s="412"/>
      <c r="C174" s="428" t="s">
        <v>354</v>
      </c>
      <c r="D174" s="421">
        <v>0</v>
      </c>
      <c r="E174" s="421">
        <v>0</v>
      </c>
      <c r="F174" s="421">
        <v>0</v>
      </c>
      <c r="G174" s="421">
        <v>0</v>
      </c>
      <c r="H174" s="421">
        <v>0</v>
      </c>
      <c r="I174" s="421">
        <v>0</v>
      </c>
      <c r="J174" s="421">
        <v>91.449866331740793</v>
      </c>
      <c r="K174" s="421">
        <v>0</v>
      </c>
      <c r="L174" s="421">
        <v>-91.449866331740793</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-17.484851678047999</v>
      </c>
      <c r="M175" s="421">
        <v>0</v>
      </c>
      <c r="N175" s="421">
        <v>0</v>
      </c>
      <c r="O175" s="421">
        <v>0</v>
      </c>
      <c r="P175" s="421">
        <v>0</v>
      </c>
      <c r="Q175" s="421">
        <v>0</v>
      </c>
      <c r="R175" s="421">
        <v>24.978359540068499</v>
      </c>
      <c r="S175" s="429">
        <v>7.4935078620205502</v>
      </c>
      <c r="T175" s="412"/>
    </row>
    <row r="176" spans="2:20" ht="13.5">
      <c r="B176" s="412"/>
      <c r="C176" s="428" t="s">
        <v>73</v>
      </c>
      <c r="D176" s="421">
        <v>0</v>
      </c>
      <c r="E176" s="421">
        <v>0</v>
      </c>
      <c r="F176" s="421">
        <v>0</v>
      </c>
      <c r="G176" s="421">
        <v>4.42513238078282</v>
      </c>
      <c r="H176" s="421">
        <v>0</v>
      </c>
      <c r="I176" s="421">
        <v>0</v>
      </c>
      <c r="J176" s="421">
        <v>0</v>
      </c>
      <c r="K176" s="421">
        <v>0.88502647615656305</v>
      </c>
      <c r="L176" s="421">
        <v>0</v>
      </c>
      <c r="M176" s="421">
        <v>4.42513238078282</v>
      </c>
      <c r="N176" s="421">
        <v>0</v>
      </c>
      <c r="O176" s="421">
        <v>0</v>
      </c>
      <c r="P176" s="421">
        <v>78.487045501144294</v>
      </c>
      <c r="Q176" s="421">
        <v>0</v>
      </c>
      <c r="R176" s="421">
        <v>-61.951853330959402</v>
      </c>
      <c r="S176" s="429">
        <v>26.270483407907101</v>
      </c>
      <c r="T176" s="412"/>
    </row>
    <row r="177" spans="2:20" ht="13.5">
      <c r="B177" s="412"/>
      <c r="C177" s="428" t="s">
        <v>356</v>
      </c>
      <c r="D177" s="421">
        <v>1.4001075134277301</v>
      </c>
      <c r="E177" s="421">
        <v>-6.81769387138025</v>
      </c>
      <c r="F177" s="421">
        <v>8.9171408952922295</v>
      </c>
      <c r="G177" s="421">
        <v>0</v>
      </c>
      <c r="H177" s="421">
        <v>0</v>
      </c>
      <c r="I177" s="421">
        <v>0</v>
      </c>
      <c r="J177" s="421">
        <v>0</v>
      </c>
      <c r="K177" s="421">
        <v>0</v>
      </c>
      <c r="L177" s="421">
        <v>0</v>
      </c>
      <c r="M177" s="421">
        <v>0</v>
      </c>
      <c r="N177" s="421">
        <v>0</v>
      </c>
      <c r="O177" s="421">
        <v>0</v>
      </c>
      <c r="P177" s="421">
        <v>0</v>
      </c>
      <c r="Q177" s="421">
        <v>0</v>
      </c>
      <c r="R177" s="421">
        <v>0</v>
      </c>
      <c r="S177" s="429">
        <v>3.4995545373397099</v>
      </c>
      <c r="T177" s="412"/>
    </row>
    <row r="178" spans="2:20" ht="13.5">
      <c r="B178" s="412"/>
      <c r="C178" s="428" t="s">
        <v>75</v>
      </c>
      <c r="D178" s="421">
        <v>2.5854230957031201</v>
      </c>
      <c r="E178" s="421">
        <v>0</v>
      </c>
      <c r="F178" s="421">
        <v>17.0641175716937</v>
      </c>
      <c r="G178" s="421">
        <v>2.4843347641142302</v>
      </c>
      <c r="H178" s="421">
        <v>0</v>
      </c>
      <c r="I178" s="421">
        <v>0</v>
      </c>
      <c r="J178" s="421">
        <v>0</v>
      </c>
      <c r="K178" s="421">
        <v>0</v>
      </c>
      <c r="L178" s="421">
        <v>0</v>
      </c>
      <c r="M178" s="421">
        <v>2.4843347641142302</v>
      </c>
      <c r="N178" s="421">
        <v>0</v>
      </c>
      <c r="O178" s="421">
        <v>0</v>
      </c>
      <c r="P178" s="421">
        <v>36.438409090909097</v>
      </c>
      <c r="Q178" s="421">
        <v>0</v>
      </c>
      <c r="R178" s="421">
        <v>0</v>
      </c>
      <c r="S178" s="429">
        <v>61.056619286534399</v>
      </c>
      <c r="T178" s="412"/>
    </row>
    <row r="179" spans="2:20" ht="13.5">
      <c r="B179" s="412"/>
      <c r="C179" s="428" t="s">
        <v>76</v>
      </c>
      <c r="D179" s="421">
        <v>0</v>
      </c>
      <c r="E179" s="421">
        <v>0</v>
      </c>
      <c r="F179" s="421">
        <v>0</v>
      </c>
      <c r="G179" s="421">
        <v>1.00741161857275</v>
      </c>
      <c r="H179" s="421">
        <v>0</v>
      </c>
      <c r="I179" s="421">
        <v>0</v>
      </c>
      <c r="J179" s="421">
        <v>0</v>
      </c>
      <c r="K179" s="421">
        <v>0</v>
      </c>
      <c r="L179" s="421">
        <v>0</v>
      </c>
      <c r="M179" s="421">
        <v>1.00741161857275</v>
      </c>
      <c r="N179" s="421">
        <v>0</v>
      </c>
      <c r="O179" s="421">
        <v>0</v>
      </c>
      <c r="P179" s="421">
        <v>51.1835476739179</v>
      </c>
      <c r="Q179" s="421">
        <v>5.9289261504441004</v>
      </c>
      <c r="R179" s="421">
        <v>0</v>
      </c>
      <c r="S179" s="429">
        <v>59.127297061507498</v>
      </c>
      <c r="T179" s="412"/>
    </row>
    <row r="180" spans="2:20" ht="13.5">
      <c r="B180" s="412"/>
      <c r="C180" s="424" t="s">
        <v>77</v>
      </c>
      <c r="D180" s="425">
        <v>3.9855306091308602</v>
      </c>
      <c r="E180" s="425">
        <v>189.941148015496</v>
      </c>
      <c r="F180" s="425">
        <v>-168.80999500102101</v>
      </c>
      <c r="G180" s="425">
        <v>16.9536183595525</v>
      </c>
      <c r="H180" s="425">
        <v>842.12121212121201</v>
      </c>
      <c r="I180" s="425">
        <v>358.55</v>
      </c>
      <c r="J180" s="425">
        <v>227.399491150975</v>
      </c>
      <c r="K180" s="425">
        <v>32.648755780545898</v>
      </c>
      <c r="L180" s="425">
        <v>-108.93471800978899</v>
      </c>
      <c r="M180" s="425">
        <v>-68.004761473416394</v>
      </c>
      <c r="N180" s="425">
        <v>0</v>
      </c>
      <c r="O180" s="425">
        <v>13.1597379771096</v>
      </c>
      <c r="P180" s="425">
        <v>-482.89099773402899</v>
      </c>
      <c r="Q180" s="425">
        <v>-70.5824541719536</v>
      </c>
      <c r="R180" s="425">
        <v>-32.723493790890899</v>
      </c>
      <c r="S180" s="425">
        <v>752.81307383292199</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1.5178805846268399</v>
      </c>
      <c r="E182" s="421">
        <v>0</v>
      </c>
      <c r="F182" s="421">
        <v>3.8156525597214102</v>
      </c>
      <c r="G182" s="421">
        <v>34.872610284028198</v>
      </c>
      <c r="H182" s="421">
        <v>0</v>
      </c>
      <c r="I182" s="421">
        <v>0</v>
      </c>
      <c r="J182" s="421">
        <v>13.9901440703837</v>
      </c>
      <c r="K182" s="421">
        <v>4.7582654252696104</v>
      </c>
      <c r="L182" s="421">
        <v>6.41300463867187</v>
      </c>
      <c r="M182" s="421">
        <v>34.872610284028198</v>
      </c>
      <c r="N182" s="421">
        <v>0</v>
      </c>
      <c r="O182" s="421">
        <v>0</v>
      </c>
      <c r="P182" s="421">
        <v>145.025733372183</v>
      </c>
      <c r="Q182" s="421">
        <v>25.700704560405001</v>
      </c>
      <c r="R182" s="421">
        <v>7.9027373046875002</v>
      </c>
      <c r="S182" s="429">
        <v>278.869343084006</v>
      </c>
      <c r="T182" s="412"/>
    </row>
    <row r="183" spans="2:20" ht="13.5">
      <c r="B183" s="412"/>
      <c r="C183" s="428" t="s">
        <v>79</v>
      </c>
      <c r="D183" s="421">
        <v>0</v>
      </c>
      <c r="E183" s="421">
        <v>0</v>
      </c>
      <c r="F183" s="421">
        <v>11.854069156927601</v>
      </c>
      <c r="G183" s="421">
        <v>13.267062862305901</v>
      </c>
      <c r="H183" s="421">
        <v>0</v>
      </c>
      <c r="I183" s="421">
        <v>0</v>
      </c>
      <c r="J183" s="421">
        <v>0</v>
      </c>
      <c r="K183" s="421">
        <v>0</v>
      </c>
      <c r="L183" s="421">
        <v>27.757428361726902</v>
      </c>
      <c r="M183" s="421">
        <v>13.267062862305901</v>
      </c>
      <c r="N183" s="421">
        <v>0</v>
      </c>
      <c r="O183" s="421">
        <v>0</v>
      </c>
      <c r="P183" s="421">
        <v>93.188917438410897</v>
      </c>
      <c r="Q183" s="421">
        <v>0</v>
      </c>
      <c r="R183" s="421">
        <v>6.3130917169295104</v>
      </c>
      <c r="S183" s="429">
        <v>165.64763239860699</v>
      </c>
      <c r="T183" s="412"/>
    </row>
    <row r="184" spans="2:20" ht="13.5">
      <c r="B184" s="412"/>
      <c r="C184" s="428" t="s">
        <v>80</v>
      </c>
      <c r="D184" s="421">
        <v>0</v>
      </c>
      <c r="E184" s="421">
        <v>0</v>
      </c>
      <c r="F184" s="421">
        <v>0.44885731405196599</v>
      </c>
      <c r="G184" s="421">
        <v>9.8184562905500599</v>
      </c>
      <c r="H184" s="421">
        <v>0</v>
      </c>
      <c r="I184" s="421">
        <v>0</v>
      </c>
      <c r="J184" s="421">
        <v>50.991915500106103</v>
      </c>
      <c r="K184" s="421">
        <v>0</v>
      </c>
      <c r="L184" s="421">
        <v>0</v>
      </c>
      <c r="M184" s="421">
        <v>9.8184562905500599</v>
      </c>
      <c r="N184" s="421">
        <v>93.7833759251793</v>
      </c>
      <c r="O184" s="421">
        <v>3.0807413757867601</v>
      </c>
      <c r="P184" s="421">
        <v>141.51501783018901</v>
      </c>
      <c r="Q184" s="421">
        <v>31.5191114304906</v>
      </c>
      <c r="R184" s="421">
        <v>0</v>
      </c>
      <c r="S184" s="429">
        <v>340.97593195690399</v>
      </c>
      <c r="T184" s="412"/>
    </row>
    <row r="185" spans="2:20" ht="13.5">
      <c r="B185" s="412"/>
      <c r="C185" s="428" t="s">
        <v>81</v>
      </c>
      <c r="D185" s="421">
        <v>0</v>
      </c>
      <c r="E185" s="421">
        <v>0</v>
      </c>
      <c r="F185" s="421">
        <v>0.71263619754816998</v>
      </c>
      <c r="G185" s="421">
        <v>7.4036276177652596</v>
      </c>
      <c r="H185" s="421">
        <v>0</v>
      </c>
      <c r="I185" s="421">
        <v>0</v>
      </c>
      <c r="J185" s="421">
        <v>6.8658928642747901</v>
      </c>
      <c r="K185" s="421">
        <v>0</v>
      </c>
      <c r="L185" s="421">
        <v>0</v>
      </c>
      <c r="M185" s="421">
        <v>7.4036276177652596</v>
      </c>
      <c r="N185" s="421">
        <v>14.8284629798388</v>
      </c>
      <c r="O185" s="421">
        <v>1.5166802918751501</v>
      </c>
      <c r="P185" s="421">
        <v>111.39588290466099</v>
      </c>
      <c r="Q185" s="421">
        <v>13.362638181057999</v>
      </c>
      <c r="R185" s="421">
        <v>0</v>
      </c>
      <c r="S185" s="429">
        <v>163.489448654786</v>
      </c>
      <c r="T185" s="412"/>
    </row>
    <row r="186" spans="2:20" ht="13.5">
      <c r="B186" s="412"/>
      <c r="C186" s="428" t="s">
        <v>82</v>
      </c>
      <c r="D186" s="421">
        <v>0</v>
      </c>
      <c r="E186" s="421">
        <v>0</v>
      </c>
      <c r="F186" s="421">
        <v>2.8549378216016801</v>
      </c>
      <c r="G186" s="421">
        <v>0.45787676019682499</v>
      </c>
      <c r="H186" s="421">
        <v>0</v>
      </c>
      <c r="I186" s="421">
        <v>0</v>
      </c>
      <c r="J186" s="421">
        <v>4.6306119511950996</v>
      </c>
      <c r="K186" s="421">
        <v>0</v>
      </c>
      <c r="L186" s="421">
        <v>17.5819516131867</v>
      </c>
      <c r="M186" s="421">
        <v>0.45787676019682499</v>
      </c>
      <c r="N186" s="421">
        <v>0</v>
      </c>
      <c r="O186" s="421">
        <v>1.7440136932478201</v>
      </c>
      <c r="P186" s="421">
        <v>5.8182429458508897</v>
      </c>
      <c r="Q186" s="421">
        <v>0</v>
      </c>
      <c r="R186" s="421">
        <v>0.384274203596978</v>
      </c>
      <c r="S186" s="429">
        <v>33.929785749072799</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4.8</v>
      </c>
      <c r="Q187" s="421">
        <v>0</v>
      </c>
      <c r="R187" s="421">
        <v>0</v>
      </c>
      <c r="S187" s="429">
        <v>4.8</v>
      </c>
      <c r="T187" s="412"/>
    </row>
    <row r="188" spans="2:20" ht="13.5">
      <c r="B188" s="412"/>
      <c r="C188" s="424" t="s">
        <v>83</v>
      </c>
      <c r="D188" s="425">
        <v>1.5178805846268399</v>
      </c>
      <c r="E188" s="425">
        <v>0</v>
      </c>
      <c r="F188" s="425">
        <v>19.686153049850802</v>
      </c>
      <c r="G188" s="425">
        <v>65.819633814846199</v>
      </c>
      <c r="H188" s="425">
        <v>0</v>
      </c>
      <c r="I188" s="425">
        <v>0</v>
      </c>
      <c r="J188" s="425">
        <v>76.4785643859597</v>
      </c>
      <c r="K188" s="425">
        <v>4.7582654252696104</v>
      </c>
      <c r="L188" s="425">
        <v>51.752384613585399</v>
      </c>
      <c r="M188" s="425">
        <v>65.819633814846199</v>
      </c>
      <c r="N188" s="425">
        <v>108.611838905018</v>
      </c>
      <c r="O188" s="425">
        <v>6.34143536090974</v>
      </c>
      <c r="P188" s="425">
        <v>501.74379449129498</v>
      </c>
      <c r="Q188" s="425">
        <v>70.5824541719536</v>
      </c>
      <c r="R188" s="425">
        <v>14.600103225213999</v>
      </c>
      <c r="S188" s="425">
        <v>987.71214184337498</v>
      </c>
      <c r="T188" s="412"/>
    </row>
    <row r="189" spans="2:20" ht="13.5">
      <c r="B189" s="412"/>
      <c r="C189" s="420" t="s">
        <v>84</v>
      </c>
      <c r="D189" s="421">
        <v>0.22852185058593699</v>
      </c>
      <c r="E189" s="421">
        <v>0</v>
      </c>
      <c r="F189" s="421">
        <v>74.636292152893304</v>
      </c>
      <c r="G189" s="421">
        <v>5.7280066844384896</v>
      </c>
      <c r="H189" s="421">
        <v>0</v>
      </c>
      <c r="I189" s="421">
        <v>0</v>
      </c>
      <c r="J189" s="421">
        <v>0</v>
      </c>
      <c r="K189" s="421">
        <v>0</v>
      </c>
      <c r="L189" s="421">
        <v>24.563190847778301</v>
      </c>
      <c r="M189" s="421">
        <v>0</v>
      </c>
      <c r="N189" s="421">
        <v>0</v>
      </c>
      <c r="O189" s="421">
        <v>0</v>
      </c>
      <c r="P189" s="421">
        <v>0</v>
      </c>
      <c r="Q189" s="421">
        <v>0</v>
      </c>
      <c r="R189" s="421">
        <v>16.4428159881592</v>
      </c>
      <c r="S189" s="429">
        <v>121.59882752385499</v>
      </c>
      <c r="T189" s="412"/>
    </row>
    <row r="190" spans="2:20" ht="13.5">
      <c r="B190" s="412"/>
      <c r="C190" s="424" t="s">
        <v>85</v>
      </c>
      <c r="D190" s="425">
        <v>1.74640243521278</v>
      </c>
      <c r="E190" s="425">
        <v>0</v>
      </c>
      <c r="F190" s="425">
        <v>94.322445202744106</v>
      </c>
      <c r="G190" s="425">
        <v>71.547640499284697</v>
      </c>
      <c r="H190" s="425">
        <v>0</v>
      </c>
      <c r="I190" s="425">
        <v>0</v>
      </c>
      <c r="J190" s="425">
        <v>76.4785643859597</v>
      </c>
      <c r="K190" s="425">
        <v>4.7582654252696104</v>
      </c>
      <c r="L190" s="425">
        <v>76.315575461363807</v>
      </c>
      <c r="M190" s="425">
        <v>65.819633814846199</v>
      </c>
      <c r="N190" s="425">
        <v>108.611838905018</v>
      </c>
      <c r="O190" s="425">
        <v>6.34143536090974</v>
      </c>
      <c r="P190" s="425">
        <v>501.74379449129498</v>
      </c>
      <c r="Q190" s="425">
        <v>70.5824541719536</v>
      </c>
      <c r="R190" s="425">
        <v>31.042919213373199</v>
      </c>
      <c r="S190" s="425">
        <v>1109.31096936723</v>
      </c>
      <c r="T190" s="412"/>
    </row>
    <row r="191" spans="2:20">
      <c r="B191" s="412"/>
      <c r="C191" s="412"/>
      <c r="D191" s="430">
        <f t="shared" ref="D191:S191" si="4">D190+D180-D166</f>
        <v>0</v>
      </c>
      <c r="E191" s="430">
        <f t="shared" si="4"/>
        <v>0</v>
      </c>
      <c r="F191" s="430">
        <f t="shared" si="4"/>
        <v>1.9895196601282805E-13</v>
      </c>
      <c r="G191" s="430">
        <f t="shared" si="4"/>
        <v>0</v>
      </c>
      <c r="H191" s="430">
        <f t="shared" si="4"/>
        <v>0</v>
      </c>
      <c r="I191" s="430">
        <f t="shared" si="4"/>
        <v>0</v>
      </c>
      <c r="J191" s="430">
        <f t="shared" si="4"/>
        <v>6.8212102632969618E-13</v>
      </c>
      <c r="K191" s="430">
        <f t="shared" si="4"/>
        <v>0</v>
      </c>
      <c r="L191" s="430">
        <f t="shared" si="4"/>
        <v>-1.8474111129762605E-13</v>
      </c>
      <c r="M191" s="430">
        <f t="shared" si="4"/>
        <v>3.4638958368304884E-14</v>
      </c>
      <c r="N191" s="430">
        <f t="shared" si="4"/>
        <v>0</v>
      </c>
      <c r="O191" s="430">
        <f t="shared" si="4"/>
        <v>-5.6843418860808015E-14</v>
      </c>
      <c r="P191" s="430">
        <f t="shared" si="4"/>
        <v>-7.0699002208129968E-13</v>
      </c>
      <c r="Q191" s="430">
        <f t="shared" si="4"/>
        <v>0</v>
      </c>
      <c r="R191" s="430">
        <f t="shared" si="4"/>
        <v>7.0610184366159956E-14</v>
      </c>
      <c r="S191" s="430">
        <f t="shared" si="4"/>
        <v>1.8189894035458565E-12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89</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0</v>
      </c>
      <c r="F197" s="421">
        <v>0</v>
      </c>
      <c r="G197" s="421">
        <v>0</v>
      </c>
      <c r="H197" s="422">
        <v>764.84848484848499</v>
      </c>
      <c r="I197" s="422">
        <v>419.9</v>
      </c>
      <c r="J197" s="422">
        <v>351.24173188830201</v>
      </c>
      <c r="K197" s="422">
        <v>37.066117395131201</v>
      </c>
      <c r="L197" s="421">
        <v>0</v>
      </c>
      <c r="M197" s="421">
        <v>0</v>
      </c>
      <c r="N197" s="422">
        <v>121.931750282495</v>
      </c>
      <c r="O197" s="422">
        <v>22.204473213427001</v>
      </c>
      <c r="P197" s="421">
        <v>0</v>
      </c>
      <c r="Q197" s="421">
        <v>0</v>
      </c>
      <c r="R197" s="421">
        <v>0</v>
      </c>
      <c r="S197" s="423">
        <v>1717.19255762784</v>
      </c>
      <c r="T197" s="412"/>
    </row>
    <row r="198" spans="2:20" ht="13.5">
      <c r="B198" s="412"/>
      <c r="C198" s="420" t="s">
        <v>60</v>
      </c>
      <c r="D198" s="421">
        <v>4.3798405072467999</v>
      </c>
      <c r="E198" s="421">
        <v>113.59926767676799</v>
      </c>
      <c r="F198" s="421">
        <v>0.79806856250441205</v>
      </c>
      <c r="G198" s="421">
        <v>3.6153613407475298</v>
      </c>
      <c r="H198" s="421">
        <v>0</v>
      </c>
      <c r="I198" s="421">
        <v>0</v>
      </c>
      <c r="J198" s="421">
        <v>0</v>
      </c>
      <c r="K198" s="421">
        <v>0</v>
      </c>
      <c r="L198" s="421">
        <v>0</v>
      </c>
      <c r="M198" s="421">
        <v>0</v>
      </c>
      <c r="N198" s="421">
        <v>0</v>
      </c>
      <c r="O198" s="421">
        <v>0</v>
      </c>
      <c r="P198" s="421">
        <v>29.820654435364101</v>
      </c>
      <c r="Q198" s="421">
        <v>0</v>
      </c>
      <c r="R198" s="421">
        <v>0</v>
      </c>
      <c r="S198" s="423">
        <v>152.213192522631</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0</v>
      </c>
      <c r="Q199" s="421">
        <v>0</v>
      </c>
      <c r="R199" s="421">
        <v>0</v>
      </c>
      <c r="S199" s="423">
        <v>0</v>
      </c>
      <c r="T199" s="412"/>
    </row>
    <row r="200" spans="2:20" ht="13.5">
      <c r="B200" s="412"/>
      <c r="C200" s="420" t="s">
        <v>62</v>
      </c>
      <c r="D200" s="421">
        <v>0</v>
      </c>
      <c r="E200" s="421">
        <v>0</v>
      </c>
      <c r="F200" s="421">
        <v>-5.3013702027186103</v>
      </c>
      <c r="G200" s="421">
        <v>0</v>
      </c>
      <c r="H200" s="421">
        <v>0</v>
      </c>
      <c r="I200" s="421">
        <v>0</v>
      </c>
      <c r="J200" s="421">
        <v>0</v>
      </c>
      <c r="K200" s="421">
        <v>0</v>
      </c>
      <c r="L200" s="421">
        <v>0</v>
      </c>
      <c r="M200" s="421">
        <v>-5.1137296191647996</v>
      </c>
      <c r="N200" s="421">
        <v>0</v>
      </c>
      <c r="O200" s="421">
        <v>0</v>
      </c>
      <c r="P200" s="421">
        <v>0</v>
      </c>
      <c r="Q200" s="421">
        <v>0</v>
      </c>
      <c r="R200" s="421">
        <v>0</v>
      </c>
      <c r="S200" s="423">
        <v>-10.4150998218834</v>
      </c>
      <c r="T200" s="412"/>
    </row>
    <row r="201" spans="2:20" ht="13.5">
      <c r="B201" s="412"/>
      <c r="C201" s="420" t="s">
        <v>63</v>
      </c>
      <c r="D201" s="421">
        <v>0</v>
      </c>
      <c r="E201" s="421">
        <v>0</v>
      </c>
      <c r="F201" s="421">
        <v>-26.554014229686601</v>
      </c>
      <c r="G201" s="421">
        <v>0</v>
      </c>
      <c r="H201" s="421">
        <v>0</v>
      </c>
      <c r="I201" s="421">
        <v>0</v>
      </c>
      <c r="J201" s="421">
        <v>0</v>
      </c>
      <c r="K201" s="421">
        <v>0</v>
      </c>
      <c r="L201" s="421">
        <v>-53.337452419875703</v>
      </c>
      <c r="M201" s="421">
        <v>0</v>
      </c>
      <c r="N201" s="421">
        <v>0</v>
      </c>
      <c r="O201" s="421">
        <v>0</v>
      </c>
      <c r="P201" s="421">
        <v>0</v>
      </c>
      <c r="Q201" s="421">
        <v>0</v>
      </c>
      <c r="R201" s="421">
        <v>-3.3454941468715802</v>
      </c>
      <c r="S201" s="423">
        <v>-83.236960796433806</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4.3798405072467999</v>
      </c>
      <c r="E203" s="425">
        <v>113.59926767676799</v>
      </c>
      <c r="F203" s="425">
        <v>-31.057315869900801</v>
      </c>
      <c r="G203" s="425">
        <v>3.6153613407475298</v>
      </c>
      <c r="H203" s="425">
        <v>764.84848484848499</v>
      </c>
      <c r="I203" s="425">
        <v>419.9</v>
      </c>
      <c r="J203" s="425">
        <v>351.24173188830201</v>
      </c>
      <c r="K203" s="425">
        <v>37.066117395131201</v>
      </c>
      <c r="L203" s="425">
        <v>-53.337452419875703</v>
      </c>
      <c r="M203" s="425">
        <v>-5.1137296191647996</v>
      </c>
      <c r="N203" s="425">
        <v>121.931750282495</v>
      </c>
      <c r="O203" s="425">
        <v>22.204473213427001</v>
      </c>
      <c r="P203" s="425">
        <v>29.820654435364101</v>
      </c>
      <c r="Q203" s="425">
        <v>0</v>
      </c>
      <c r="R203" s="425">
        <v>-3.3454941468715802</v>
      </c>
      <c r="S203" s="425">
        <v>1775.75368953215</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0</v>
      </c>
      <c r="E206" s="421">
        <v>0</v>
      </c>
      <c r="F206" s="421">
        <v>0</v>
      </c>
      <c r="G206" s="421">
        <v>0</v>
      </c>
      <c r="H206" s="421">
        <v>764.84848484848499</v>
      </c>
      <c r="I206" s="421">
        <v>419.9</v>
      </c>
      <c r="J206" s="421">
        <v>14.837077022078001</v>
      </c>
      <c r="K206" s="421">
        <v>4.2997987248322396</v>
      </c>
      <c r="L206" s="421">
        <v>0</v>
      </c>
      <c r="M206" s="421">
        <v>0.66666666666666696</v>
      </c>
      <c r="N206" s="421">
        <v>0</v>
      </c>
      <c r="O206" s="421">
        <v>0</v>
      </c>
      <c r="P206" s="421">
        <v>-682.5</v>
      </c>
      <c r="Q206" s="421">
        <v>0</v>
      </c>
      <c r="R206" s="421">
        <v>3.75</v>
      </c>
      <c r="S206" s="429">
        <v>525.80202726206198</v>
      </c>
      <c r="T206" s="412"/>
    </row>
    <row r="207" spans="2:20" ht="13.5">
      <c r="B207" s="412"/>
      <c r="C207" s="428" t="s">
        <v>351</v>
      </c>
      <c r="D207" s="421">
        <v>0</v>
      </c>
      <c r="E207" s="421">
        <v>0</v>
      </c>
      <c r="F207" s="421">
        <v>0</v>
      </c>
      <c r="G207" s="421">
        <v>0</v>
      </c>
      <c r="H207" s="421">
        <v>0</v>
      </c>
      <c r="I207" s="421">
        <v>0</v>
      </c>
      <c r="J207" s="421">
        <v>28.8847744791587</v>
      </c>
      <c r="K207" s="421">
        <v>27.390111238212</v>
      </c>
      <c r="L207" s="421">
        <v>0</v>
      </c>
      <c r="M207" s="421">
        <v>10.9493569082394</v>
      </c>
      <c r="N207" s="421">
        <v>0</v>
      </c>
      <c r="O207" s="421">
        <v>14.830688385513501</v>
      </c>
      <c r="P207" s="421">
        <v>0</v>
      </c>
      <c r="Q207" s="421">
        <v>-76.630571525577196</v>
      </c>
      <c r="R207" s="421">
        <v>0</v>
      </c>
      <c r="S207" s="429">
        <v>5.4243594855463497</v>
      </c>
      <c r="T207" s="412"/>
    </row>
    <row r="208" spans="2:20" ht="13.5">
      <c r="B208" s="412"/>
      <c r="C208" s="428" t="s">
        <v>352</v>
      </c>
      <c r="D208" s="421">
        <v>0</v>
      </c>
      <c r="E208" s="421">
        <v>0</v>
      </c>
      <c r="F208" s="421">
        <v>0</v>
      </c>
      <c r="G208" s="421">
        <v>0</v>
      </c>
      <c r="H208" s="421">
        <v>0</v>
      </c>
      <c r="I208" s="421">
        <v>0</v>
      </c>
      <c r="J208" s="421">
        <v>141.99486817496901</v>
      </c>
      <c r="K208" s="421">
        <v>0</v>
      </c>
      <c r="L208" s="421">
        <v>0</v>
      </c>
      <c r="M208" s="421">
        <v>-135.60509910709601</v>
      </c>
      <c r="N208" s="421">
        <v>0</v>
      </c>
      <c r="O208" s="421">
        <v>0</v>
      </c>
      <c r="P208" s="421">
        <v>0</v>
      </c>
      <c r="Q208" s="421">
        <v>0</v>
      </c>
      <c r="R208" s="421">
        <v>0</v>
      </c>
      <c r="S208" s="429">
        <v>6.3897690678736296</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117.67676767676799</v>
      </c>
      <c r="F210" s="421">
        <v>-116.5</v>
      </c>
      <c r="G210" s="421">
        <v>0</v>
      </c>
      <c r="H210" s="421">
        <v>0</v>
      </c>
      <c r="I210" s="421">
        <v>0</v>
      </c>
      <c r="J210" s="421">
        <v>0</v>
      </c>
      <c r="K210" s="421">
        <v>0</v>
      </c>
      <c r="L210" s="421">
        <v>0</v>
      </c>
      <c r="M210" s="421">
        <v>0</v>
      </c>
      <c r="N210" s="421">
        <v>0</v>
      </c>
      <c r="O210" s="421">
        <v>0</v>
      </c>
      <c r="P210" s="421">
        <v>0</v>
      </c>
      <c r="Q210" s="421">
        <v>0</v>
      </c>
      <c r="R210" s="421">
        <v>0</v>
      </c>
      <c r="S210" s="429">
        <v>1.17676767676768</v>
      </c>
      <c r="T210" s="412"/>
    </row>
    <row r="211" spans="2:20" ht="13.5">
      <c r="B211" s="412"/>
      <c r="C211" s="428" t="s">
        <v>354</v>
      </c>
      <c r="D211" s="421">
        <v>0</v>
      </c>
      <c r="E211" s="421">
        <v>0</v>
      </c>
      <c r="F211" s="421">
        <v>0</v>
      </c>
      <c r="G211" s="421">
        <v>0</v>
      </c>
      <c r="H211" s="421">
        <v>0</v>
      </c>
      <c r="I211" s="421">
        <v>0</v>
      </c>
      <c r="J211" s="421">
        <v>92.683321682724895</v>
      </c>
      <c r="K211" s="421">
        <v>0</v>
      </c>
      <c r="L211" s="421">
        <v>-92.683321682724895</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-30.7160392407107</v>
      </c>
      <c r="M212" s="421">
        <v>0</v>
      </c>
      <c r="N212" s="421">
        <v>0</v>
      </c>
      <c r="O212" s="421">
        <v>0</v>
      </c>
      <c r="P212" s="421">
        <v>0</v>
      </c>
      <c r="Q212" s="421">
        <v>0</v>
      </c>
      <c r="R212" s="421">
        <v>43.880056058158097</v>
      </c>
      <c r="S212" s="429">
        <v>13.164016817447401</v>
      </c>
      <c r="T212" s="412"/>
    </row>
    <row r="213" spans="2:20" ht="13.5">
      <c r="B213" s="412"/>
      <c r="C213" s="428" t="s">
        <v>73</v>
      </c>
      <c r="D213" s="421">
        <v>0</v>
      </c>
      <c r="E213" s="421">
        <v>0</v>
      </c>
      <c r="F213" s="421">
        <v>0</v>
      </c>
      <c r="G213" s="421">
        <v>0</v>
      </c>
      <c r="H213" s="421">
        <v>0</v>
      </c>
      <c r="I213" s="421">
        <v>0</v>
      </c>
      <c r="J213" s="421">
        <v>0</v>
      </c>
      <c r="K213" s="421">
        <v>1.25759601218096</v>
      </c>
      <c r="L213" s="421">
        <v>0</v>
      </c>
      <c r="M213" s="421">
        <v>0</v>
      </c>
      <c r="N213" s="421">
        <v>0</v>
      </c>
      <c r="O213" s="421">
        <v>0</v>
      </c>
      <c r="P213" s="421">
        <v>121.043616172417</v>
      </c>
      <c r="Q213" s="421">
        <v>0</v>
      </c>
      <c r="R213" s="421">
        <v>-88.031720852667107</v>
      </c>
      <c r="S213" s="429">
        <v>34.2694913319311</v>
      </c>
      <c r="T213" s="412"/>
    </row>
    <row r="214" spans="2:20" ht="13.5">
      <c r="B214" s="412"/>
      <c r="C214" s="428" t="s">
        <v>356</v>
      </c>
      <c r="D214" s="421">
        <v>0.72303211975097703</v>
      </c>
      <c r="E214" s="421">
        <v>-4.0774999999999997</v>
      </c>
      <c r="F214" s="421">
        <v>5.3331291616343899</v>
      </c>
      <c r="G214" s="421">
        <v>0</v>
      </c>
      <c r="H214" s="421">
        <v>0</v>
      </c>
      <c r="I214" s="421">
        <v>0</v>
      </c>
      <c r="J214" s="421">
        <v>0</v>
      </c>
      <c r="K214" s="421">
        <v>0</v>
      </c>
      <c r="L214" s="421">
        <v>0</v>
      </c>
      <c r="M214" s="421">
        <v>0</v>
      </c>
      <c r="N214" s="421">
        <v>0</v>
      </c>
      <c r="O214" s="421">
        <v>0</v>
      </c>
      <c r="P214" s="421">
        <v>0</v>
      </c>
      <c r="Q214" s="421">
        <v>0</v>
      </c>
      <c r="R214" s="421">
        <v>0</v>
      </c>
      <c r="S214" s="429">
        <v>1.9786612813853699</v>
      </c>
      <c r="T214" s="412"/>
    </row>
    <row r="215" spans="2:20" ht="13.5">
      <c r="B215" s="412"/>
      <c r="C215" s="428" t="s">
        <v>75</v>
      </c>
      <c r="D215" s="421">
        <v>1.73775830078125</v>
      </c>
      <c r="E215" s="421">
        <v>0</v>
      </c>
      <c r="F215" s="421">
        <v>16.370387999999998</v>
      </c>
      <c r="G215" s="421">
        <v>0</v>
      </c>
      <c r="H215" s="421">
        <v>0</v>
      </c>
      <c r="I215" s="421">
        <v>0</v>
      </c>
      <c r="J215" s="421">
        <v>0</v>
      </c>
      <c r="K215" s="421">
        <v>0</v>
      </c>
      <c r="L215" s="421">
        <v>0</v>
      </c>
      <c r="M215" s="421">
        <v>4.7666718000000001</v>
      </c>
      <c r="N215" s="421">
        <v>0</v>
      </c>
      <c r="O215" s="421">
        <v>0</v>
      </c>
      <c r="P215" s="421">
        <v>36.566363636363597</v>
      </c>
      <c r="Q215" s="421">
        <v>0</v>
      </c>
      <c r="R215" s="421">
        <v>0</v>
      </c>
      <c r="S215" s="429">
        <v>59.441181737144902</v>
      </c>
      <c r="T215" s="412"/>
    </row>
    <row r="216" spans="2:20" ht="13.5">
      <c r="B216" s="412"/>
      <c r="C216" s="428" t="s">
        <v>76</v>
      </c>
      <c r="D216" s="421">
        <v>0</v>
      </c>
      <c r="E216" s="421">
        <v>0</v>
      </c>
      <c r="F216" s="421">
        <v>0</v>
      </c>
      <c r="G216" s="421">
        <v>0</v>
      </c>
      <c r="H216" s="421">
        <v>0</v>
      </c>
      <c r="I216" s="421">
        <v>0</v>
      </c>
      <c r="J216" s="421">
        <v>0</v>
      </c>
      <c r="K216" s="421">
        <v>0</v>
      </c>
      <c r="L216" s="421">
        <v>0</v>
      </c>
      <c r="M216" s="421">
        <v>1.6079656020604201</v>
      </c>
      <c r="N216" s="421">
        <v>0</v>
      </c>
      <c r="O216" s="421">
        <v>0</v>
      </c>
      <c r="P216" s="421">
        <v>54.591518299293803</v>
      </c>
      <c r="Q216" s="421">
        <v>5.9381623691406702</v>
      </c>
      <c r="R216" s="421">
        <v>0</v>
      </c>
      <c r="S216" s="429">
        <v>62.137646270494898</v>
      </c>
      <c r="T216" s="412"/>
    </row>
    <row r="217" spans="2:20" ht="13.5">
      <c r="B217" s="412"/>
      <c r="C217" s="424" t="s">
        <v>77</v>
      </c>
      <c r="D217" s="425">
        <v>2.4607904205322302</v>
      </c>
      <c r="E217" s="425">
        <v>113.59926767676799</v>
      </c>
      <c r="F217" s="425">
        <v>-94.796482838365606</v>
      </c>
      <c r="G217" s="425">
        <v>0</v>
      </c>
      <c r="H217" s="425">
        <v>764.84848484848499</v>
      </c>
      <c r="I217" s="425">
        <v>419.9</v>
      </c>
      <c r="J217" s="425">
        <v>278.40004135893099</v>
      </c>
      <c r="K217" s="425">
        <v>32.947505975225198</v>
      </c>
      <c r="L217" s="425">
        <v>-123.39936092343601</v>
      </c>
      <c r="M217" s="425">
        <v>-117.614438130129</v>
      </c>
      <c r="N217" s="425">
        <v>0</v>
      </c>
      <c r="O217" s="425">
        <v>14.830688385513501</v>
      </c>
      <c r="P217" s="425">
        <v>-470.29850189192501</v>
      </c>
      <c r="Q217" s="425">
        <v>-70.692409156436597</v>
      </c>
      <c r="R217" s="425">
        <v>-40.401664794509003</v>
      </c>
      <c r="S217" s="425">
        <v>709.78392093065395</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1.79989703190501</v>
      </c>
      <c r="E219" s="421">
        <v>0</v>
      </c>
      <c r="F219" s="421">
        <v>5.22589106512674E-2</v>
      </c>
      <c r="G219" s="421">
        <v>0</v>
      </c>
      <c r="H219" s="421">
        <v>0</v>
      </c>
      <c r="I219" s="421">
        <v>0</v>
      </c>
      <c r="J219" s="421">
        <v>13.331842727893299</v>
      </c>
      <c r="K219" s="421">
        <v>4.1186114199060402</v>
      </c>
      <c r="L219" s="421">
        <v>8.3494072265624997</v>
      </c>
      <c r="M219" s="421">
        <v>63.939809293815799</v>
      </c>
      <c r="N219" s="421">
        <v>0</v>
      </c>
      <c r="O219" s="421">
        <v>0</v>
      </c>
      <c r="P219" s="421">
        <v>150.76353147926901</v>
      </c>
      <c r="Q219" s="421">
        <v>27.157242806109199</v>
      </c>
      <c r="R219" s="421">
        <v>8.9542294921874994</v>
      </c>
      <c r="S219" s="429">
        <v>278.46683038830002</v>
      </c>
      <c r="T219" s="412"/>
    </row>
    <row r="220" spans="2:20" ht="13.5">
      <c r="B220" s="412"/>
      <c r="C220" s="428" t="s">
        <v>79</v>
      </c>
      <c r="D220" s="421">
        <v>0</v>
      </c>
      <c r="E220" s="421">
        <v>0</v>
      </c>
      <c r="F220" s="421">
        <v>2.1712429478419102</v>
      </c>
      <c r="G220" s="421">
        <v>0</v>
      </c>
      <c r="H220" s="421">
        <v>0</v>
      </c>
      <c r="I220" s="421">
        <v>0</v>
      </c>
      <c r="J220" s="421">
        <v>0</v>
      </c>
      <c r="K220" s="421">
        <v>0</v>
      </c>
      <c r="L220" s="421">
        <v>12.7882726969122</v>
      </c>
      <c r="M220" s="421">
        <v>24.887279738493302</v>
      </c>
      <c r="N220" s="421">
        <v>0</v>
      </c>
      <c r="O220" s="421">
        <v>0</v>
      </c>
      <c r="P220" s="421">
        <v>92.289301413656304</v>
      </c>
      <c r="Q220" s="421">
        <v>0</v>
      </c>
      <c r="R220" s="421">
        <v>7.1149935986121697</v>
      </c>
      <c r="S220" s="429">
        <v>139.251090395516</v>
      </c>
      <c r="T220" s="412"/>
    </row>
    <row r="221" spans="2:20" ht="13.5">
      <c r="B221" s="412"/>
      <c r="C221" s="428" t="s">
        <v>80</v>
      </c>
      <c r="D221" s="421">
        <v>0</v>
      </c>
      <c r="E221" s="421">
        <v>0</v>
      </c>
      <c r="F221" s="421">
        <v>0.35468706008189399</v>
      </c>
      <c r="G221" s="421">
        <v>0</v>
      </c>
      <c r="H221" s="421">
        <v>0</v>
      </c>
      <c r="I221" s="421">
        <v>0</v>
      </c>
      <c r="J221" s="421">
        <v>47.9682238056754</v>
      </c>
      <c r="K221" s="421">
        <v>0</v>
      </c>
      <c r="L221" s="421">
        <v>0</v>
      </c>
      <c r="M221" s="421">
        <v>17.598271269670001</v>
      </c>
      <c r="N221" s="421">
        <v>106.862728555422</v>
      </c>
      <c r="O221" s="421">
        <v>3.7519530039459799</v>
      </c>
      <c r="P221" s="421">
        <v>134.324841663434</v>
      </c>
      <c r="Q221" s="421">
        <v>28.562960275021499</v>
      </c>
      <c r="R221" s="421">
        <v>0</v>
      </c>
      <c r="S221" s="429">
        <v>339.42366563325101</v>
      </c>
      <c r="T221" s="412"/>
    </row>
    <row r="222" spans="2:20" ht="13.5">
      <c r="B222" s="412"/>
      <c r="C222" s="428" t="s">
        <v>81</v>
      </c>
      <c r="D222" s="421">
        <v>0</v>
      </c>
      <c r="E222" s="421">
        <v>0</v>
      </c>
      <c r="F222" s="421">
        <v>1.3910064361048399E-2</v>
      </c>
      <c r="G222" s="421">
        <v>0</v>
      </c>
      <c r="H222" s="421">
        <v>0</v>
      </c>
      <c r="I222" s="421">
        <v>0</v>
      </c>
      <c r="J222" s="421">
        <v>6.5361621549849502</v>
      </c>
      <c r="K222" s="421">
        <v>0</v>
      </c>
      <c r="L222" s="421">
        <v>0</v>
      </c>
      <c r="M222" s="421">
        <v>5.4198008615464897</v>
      </c>
      <c r="N222" s="421">
        <v>15.069021727073199</v>
      </c>
      <c r="O222" s="421">
        <v>1.4344248188770199</v>
      </c>
      <c r="P222" s="421">
        <v>109.143617899049</v>
      </c>
      <c r="Q222" s="421">
        <v>14.972206075305801</v>
      </c>
      <c r="R222" s="421">
        <v>0</v>
      </c>
      <c r="S222" s="429">
        <v>152.589143601198</v>
      </c>
      <c r="T222" s="412"/>
    </row>
    <row r="223" spans="2:20" ht="13.5">
      <c r="B223" s="412"/>
      <c r="C223" s="428" t="s">
        <v>82</v>
      </c>
      <c r="D223" s="421">
        <v>0</v>
      </c>
      <c r="E223" s="421">
        <v>0</v>
      </c>
      <c r="F223" s="421">
        <v>0</v>
      </c>
      <c r="G223" s="421">
        <v>0</v>
      </c>
      <c r="H223" s="421">
        <v>0</v>
      </c>
      <c r="I223" s="421">
        <v>0</v>
      </c>
      <c r="J223" s="421">
        <v>5.0054618408177598</v>
      </c>
      <c r="K223" s="421">
        <v>0</v>
      </c>
      <c r="L223" s="421">
        <v>18.815796579352799</v>
      </c>
      <c r="M223" s="421">
        <v>0.65554734743876097</v>
      </c>
      <c r="N223" s="421">
        <v>0</v>
      </c>
      <c r="O223" s="421">
        <v>2.1874070050904901</v>
      </c>
      <c r="P223" s="421">
        <v>5.5978638718802802</v>
      </c>
      <c r="Q223" s="421">
        <v>0</v>
      </c>
      <c r="R223" s="421">
        <v>0.443393311842667</v>
      </c>
      <c r="S223" s="429">
        <v>32.705469956422696</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8</v>
      </c>
      <c r="Q224" s="421">
        <v>0</v>
      </c>
      <c r="R224" s="421">
        <v>0</v>
      </c>
      <c r="S224" s="429">
        <v>8</v>
      </c>
      <c r="T224" s="412"/>
    </row>
    <row r="225" spans="2:20" ht="13.5">
      <c r="B225" s="412"/>
      <c r="C225" s="424" t="s">
        <v>83</v>
      </c>
      <c r="D225" s="425">
        <v>1.79989703190501</v>
      </c>
      <c r="E225" s="425">
        <v>0</v>
      </c>
      <c r="F225" s="425">
        <v>2.5920989829361201</v>
      </c>
      <c r="G225" s="425">
        <v>0</v>
      </c>
      <c r="H225" s="425">
        <v>0</v>
      </c>
      <c r="I225" s="425">
        <v>0</v>
      </c>
      <c r="J225" s="425">
        <v>72.841690529371405</v>
      </c>
      <c r="K225" s="425">
        <v>4.1186114199060402</v>
      </c>
      <c r="L225" s="425">
        <v>39.953476502827499</v>
      </c>
      <c r="M225" s="425">
        <v>112.500708510964</v>
      </c>
      <c r="N225" s="425">
        <v>121.931750282495</v>
      </c>
      <c r="O225" s="425">
        <v>7.3737848279134903</v>
      </c>
      <c r="P225" s="425">
        <v>500.11915632728898</v>
      </c>
      <c r="Q225" s="425">
        <v>70.692409156436497</v>
      </c>
      <c r="R225" s="425">
        <v>16.512616402642301</v>
      </c>
      <c r="S225" s="425">
        <v>950.43619997468704</v>
      </c>
      <c r="T225" s="412"/>
    </row>
    <row r="226" spans="2:20" ht="13.5">
      <c r="B226" s="412"/>
      <c r="C226" s="420" t="s">
        <v>84</v>
      </c>
      <c r="D226" s="421">
        <v>0.11915305480957</v>
      </c>
      <c r="E226" s="421">
        <v>0</v>
      </c>
      <c r="F226" s="421">
        <v>61.1470679855287</v>
      </c>
      <c r="G226" s="421">
        <v>3.6153613407475298</v>
      </c>
      <c r="H226" s="421">
        <v>0</v>
      </c>
      <c r="I226" s="421">
        <v>0</v>
      </c>
      <c r="J226" s="421">
        <v>0</v>
      </c>
      <c r="K226" s="421">
        <v>0</v>
      </c>
      <c r="L226" s="421">
        <v>30.1084320007324</v>
      </c>
      <c r="M226" s="421">
        <v>0</v>
      </c>
      <c r="N226" s="421">
        <v>0</v>
      </c>
      <c r="O226" s="421">
        <v>0</v>
      </c>
      <c r="P226" s="421">
        <v>0</v>
      </c>
      <c r="Q226" s="421">
        <v>0</v>
      </c>
      <c r="R226" s="421">
        <v>20.5435542449951</v>
      </c>
      <c r="S226" s="429">
        <v>115.53356862681299</v>
      </c>
      <c r="T226" s="412"/>
    </row>
    <row r="227" spans="2:20" ht="13.5">
      <c r="B227" s="412"/>
      <c r="C227" s="424" t="s">
        <v>85</v>
      </c>
      <c r="D227" s="425">
        <v>1.9190500867145801</v>
      </c>
      <c r="E227" s="425">
        <v>0</v>
      </c>
      <c r="F227" s="425">
        <v>63.7391669684649</v>
      </c>
      <c r="G227" s="425">
        <v>3.6153613407475298</v>
      </c>
      <c r="H227" s="425">
        <v>0</v>
      </c>
      <c r="I227" s="425">
        <v>0</v>
      </c>
      <c r="J227" s="425">
        <v>72.841690529371405</v>
      </c>
      <c r="K227" s="425">
        <v>4.1186114199060402</v>
      </c>
      <c r="L227" s="425">
        <v>70.061908503559906</v>
      </c>
      <c r="M227" s="425">
        <v>112.500708510964</v>
      </c>
      <c r="N227" s="425">
        <v>121.931750282495</v>
      </c>
      <c r="O227" s="425">
        <v>7.3737848279134903</v>
      </c>
      <c r="P227" s="425">
        <v>500.11915632728898</v>
      </c>
      <c r="Q227" s="425">
        <v>70.692409156436497</v>
      </c>
      <c r="R227" s="425">
        <v>37.056170647637501</v>
      </c>
      <c r="S227" s="425">
        <v>1065.9697686014999</v>
      </c>
      <c r="T227" s="412"/>
    </row>
    <row r="228" spans="2:20">
      <c r="B228" s="412"/>
      <c r="C228" s="412"/>
      <c r="D228" s="430">
        <f t="shared" ref="D228:S228" si="5">D227+D217-D203</f>
        <v>1.0658141036401503E-14</v>
      </c>
      <c r="E228" s="430">
        <f t="shared" si="5"/>
        <v>0</v>
      </c>
      <c r="F228" s="430">
        <f t="shared" si="5"/>
        <v>9.5923269327613525E-14</v>
      </c>
      <c r="G228" s="430">
        <f t="shared" si="5"/>
        <v>0</v>
      </c>
      <c r="H228" s="430">
        <f t="shared" si="5"/>
        <v>0</v>
      </c>
      <c r="I228" s="430">
        <f t="shared" si="5"/>
        <v>0</v>
      </c>
      <c r="J228" s="430">
        <f t="shared" si="5"/>
        <v>0</v>
      </c>
      <c r="K228" s="430">
        <f t="shared" si="5"/>
        <v>0</v>
      </c>
      <c r="L228" s="430">
        <f t="shared" si="5"/>
        <v>-3.979039320256561E-13</v>
      </c>
      <c r="M228" s="430">
        <f t="shared" si="5"/>
        <v>-1.9984014443252818E-13</v>
      </c>
      <c r="N228" s="430">
        <f t="shared" si="5"/>
        <v>0</v>
      </c>
      <c r="O228" s="430">
        <f t="shared" si="5"/>
        <v>0</v>
      </c>
      <c r="P228" s="430">
        <f t="shared" si="5"/>
        <v>-1.3855583347321954E-13</v>
      </c>
      <c r="Q228" s="430">
        <f t="shared" si="5"/>
        <v>-9.9475983006414026E-14</v>
      </c>
      <c r="R228" s="430">
        <f t="shared" si="5"/>
        <v>7.815970093361102E-14</v>
      </c>
      <c r="S228" s="430">
        <f t="shared" si="5"/>
        <v>3.865352482534945E-12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sheetData>
  <mergeCells count="72">
    <mergeCell ref="S195:S196"/>
    <mergeCell ref="C195:C196"/>
    <mergeCell ref="D195:D196"/>
    <mergeCell ref="E195:E196"/>
    <mergeCell ref="F195:F196"/>
    <mergeCell ref="G195:G196"/>
    <mergeCell ref="H195:H196"/>
    <mergeCell ref="I195:I196"/>
    <mergeCell ref="J195:O195"/>
    <mergeCell ref="P195:P196"/>
    <mergeCell ref="Q195:Q196"/>
    <mergeCell ref="R195:R196"/>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202:S204 S217:S225">
    <cfRule type="cellIs" dxfId="2398" priority="1" operator="equal">
      <formula>0</formula>
    </cfRule>
  </conditionalFormatting>
  <conditionalFormatting sqref="S217">
    <cfRule type="expression" dxfId="2397" priority="2">
      <formula>LEN(TRIM(S217))=0</formula>
    </cfRule>
  </conditionalFormatting>
  <conditionalFormatting sqref="J11:N11">
    <cfRule type="cellIs" dxfId="2396" priority="42" operator="equal">
      <formula>0</formula>
    </cfRule>
  </conditionalFormatting>
  <conditionalFormatting sqref="O11">
    <cfRule type="cellIs" dxfId="2395" priority="43" operator="equal">
      <formula>0</formula>
    </cfRule>
  </conditionalFormatting>
  <conditionalFormatting sqref="S42 S12:S40">
    <cfRule type="cellIs" dxfId="2394" priority="44" operator="equal">
      <formula>0</formula>
    </cfRule>
  </conditionalFormatting>
  <conditionalFormatting sqref="S41">
    <cfRule type="cellIs" dxfId="2393" priority="45" operator="equal">
      <formula>0</formula>
    </cfRule>
  </conditionalFormatting>
  <conditionalFormatting sqref="S34:S42 S12:S18 S20:S32">
    <cfRule type="expression" dxfId="2392" priority="46">
      <formula>LEN(TRIM(S12))=0</formula>
    </cfRule>
  </conditionalFormatting>
  <conditionalFormatting sqref="D42:R42 P33:R33 D33:I33 D34:R40 D32:R32 D13:R19 D12:G12 L12:M12 P12:R12">
    <cfRule type="cellIs" dxfId="2391" priority="47" operator="equal">
      <formula>0</formula>
    </cfRule>
  </conditionalFormatting>
  <conditionalFormatting sqref="P12:P14">
    <cfRule type="cellIs" dxfId="2390" priority="48" operator="equal">
      <formula>0</formula>
    </cfRule>
  </conditionalFormatting>
  <conditionalFormatting sqref="P12:R12 L12:M12 D13:R14">
    <cfRule type="cellIs" dxfId="2389" priority="49" operator="equal">
      <formula>0</formula>
    </cfRule>
  </conditionalFormatting>
  <conditionalFormatting sqref="F13:F14">
    <cfRule type="cellIs" dxfId="2388" priority="50" operator="equal">
      <formula>0</formula>
    </cfRule>
  </conditionalFormatting>
  <conditionalFormatting sqref="L12:M12">
    <cfRule type="cellIs" dxfId="2387" priority="51" operator="equal">
      <formula>0</formula>
    </cfRule>
  </conditionalFormatting>
  <conditionalFormatting sqref="J15:J17 J33">
    <cfRule type="cellIs" dxfId="2386" priority="52" operator="equal">
      <formula>0</formula>
    </cfRule>
  </conditionalFormatting>
  <conditionalFormatting sqref="J13:J14">
    <cfRule type="cellIs" dxfId="2385" priority="53" operator="equal">
      <formula>0</formula>
    </cfRule>
  </conditionalFormatting>
  <conditionalFormatting sqref="K15:K17 K33">
    <cfRule type="cellIs" dxfId="2384" priority="54" operator="equal">
      <formula>0</formula>
    </cfRule>
  </conditionalFormatting>
  <conditionalFormatting sqref="K13:K14">
    <cfRule type="cellIs" dxfId="2383" priority="55" operator="equal">
      <formula>0</formula>
    </cfRule>
  </conditionalFormatting>
  <conditionalFormatting sqref="L15:L17 L33">
    <cfRule type="cellIs" dxfId="2382" priority="56" operator="equal">
      <formula>0</formula>
    </cfRule>
  </conditionalFormatting>
  <conditionalFormatting sqref="L12:L14">
    <cfRule type="cellIs" dxfId="2381" priority="57" operator="equal">
      <formula>0</formula>
    </cfRule>
  </conditionalFormatting>
  <conditionalFormatting sqref="M15:M17 M33">
    <cfRule type="cellIs" dxfId="2380" priority="58" operator="equal">
      <formula>0</formula>
    </cfRule>
  </conditionalFormatting>
  <conditionalFormatting sqref="M12:M14">
    <cfRule type="cellIs" dxfId="2379" priority="59" operator="equal">
      <formula>0</formula>
    </cfRule>
  </conditionalFormatting>
  <conditionalFormatting sqref="N15:N17 N33">
    <cfRule type="cellIs" dxfId="2378" priority="60" operator="equal">
      <formula>0</formula>
    </cfRule>
  </conditionalFormatting>
  <conditionalFormatting sqref="N13:N14">
    <cfRule type="cellIs" dxfId="2377" priority="61" operator="equal">
      <formula>0</formula>
    </cfRule>
  </conditionalFormatting>
  <conditionalFormatting sqref="O15:O17 O33">
    <cfRule type="cellIs" dxfId="2376" priority="62" operator="equal">
      <formula>0</formula>
    </cfRule>
  </conditionalFormatting>
  <conditionalFormatting sqref="O13:O14">
    <cfRule type="cellIs" dxfId="2375" priority="63" operator="equal">
      <formula>0</formula>
    </cfRule>
  </conditionalFormatting>
  <conditionalFormatting sqref="D41:R41">
    <cfRule type="cellIs" dxfId="2374" priority="64" operator="equal">
      <formula>0</formula>
    </cfRule>
  </conditionalFormatting>
  <conditionalFormatting sqref="D34:R42 D32:R32 D13:R18 D12:G12 L12:M12 P12:R12">
    <cfRule type="expression" dxfId="2373" priority="65">
      <formula>LEN(TRIM(D12))=0</formula>
    </cfRule>
  </conditionalFormatting>
  <conditionalFormatting sqref="D41:R41">
    <cfRule type="cellIs" dxfId="2372" priority="66" operator="equal">
      <formula>0</formula>
    </cfRule>
  </conditionalFormatting>
  <conditionalFormatting sqref="L15:L16">
    <cfRule type="cellIs" dxfId="2371" priority="67" operator="equal">
      <formula>0</formula>
    </cfRule>
  </conditionalFormatting>
  <conditionalFormatting sqref="M15:M16">
    <cfRule type="cellIs" dxfId="2370" priority="68" operator="equal">
      <formula>0</formula>
    </cfRule>
  </conditionalFormatting>
  <conditionalFormatting sqref="N15:O15">
    <cfRule type="cellIs" dxfId="2369" priority="69" operator="equal">
      <formula>0</formula>
    </cfRule>
  </conditionalFormatting>
  <conditionalFormatting sqref="N16:O16">
    <cfRule type="cellIs" dxfId="2368" priority="70" operator="equal">
      <formula>0</formula>
    </cfRule>
  </conditionalFormatting>
  <conditionalFormatting sqref="D20:R31">
    <cfRule type="cellIs" dxfId="2367" priority="71" operator="equal">
      <formula>0</formula>
    </cfRule>
  </conditionalFormatting>
  <conditionalFormatting sqref="D20:R31">
    <cfRule type="expression" dxfId="2366" priority="72">
      <formula>LEN(TRIM(D20))=0</formula>
    </cfRule>
  </conditionalFormatting>
  <conditionalFormatting sqref="H12">
    <cfRule type="cellIs" dxfId="2365" priority="73" operator="equal">
      <formula>0</formula>
    </cfRule>
  </conditionalFormatting>
  <conditionalFormatting sqref="I12">
    <cfRule type="cellIs" dxfId="2364" priority="74" operator="equal">
      <formula>0</formula>
    </cfRule>
  </conditionalFormatting>
  <conditionalFormatting sqref="J12:K12">
    <cfRule type="cellIs" dxfId="2363" priority="75" operator="equal">
      <formula>0</formula>
    </cfRule>
  </conditionalFormatting>
  <conditionalFormatting sqref="K12">
    <cfRule type="cellIs" dxfId="2362" priority="76" operator="equal">
      <formula>0</formula>
    </cfRule>
  </conditionalFormatting>
  <conditionalFormatting sqref="H12:K12">
    <cfRule type="expression" dxfId="2361" priority="77">
      <formula>LEN(TRIM(H12))=0</formula>
    </cfRule>
  </conditionalFormatting>
  <conditionalFormatting sqref="N12:O12">
    <cfRule type="cellIs" dxfId="2360" priority="78" operator="equal">
      <formula>0</formula>
    </cfRule>
  </conditionalFormatting>
  <conditionalFormatting sqref="N12:O12">
    <cfRule type="cellIs" dxfId="2359" priority="79" operator="equal">
      <formula>0</formula>
    </cfRule>
  </conditionalFormatting>
  <conditionalFormatting sqref="N12:O12">
    <cfRule type="expression" dxfId="2358" priority="80">
      <formula>LEN(TRIM(N12))=0</formula>
    </cfRule>
  </conditionalFormatting>
  <conditionalFormatting sqref="J48:N48">
    <cfRule type="cellIs" dxfId="2357" priority="81" operator="equal">
      <formula>0</formula>
    </cfRule>
  </conditionalFormatting>
  <conditionalFormatting sqref="O48">
    <cfRule type="cellIs" dxfId="2356" priority="82" operator="equal">
      <formula>0</formula>
    </cfRule>
  </conditionalFormatting>
  <conditionalFormatting sqref="S79 S49:S77">
    <cfRule type="cellIs" dxfId="2355" priority="83" operator="equal">
      <formula>0</formula>
    </cfRule>
  </conditionalFormatting>
  <conditionalFormatting sqref="S78">
    <cfRule type="cellIs" dxfId="2354" priority="84" operator="equal">
      <formula>0</formula>
    </cfRule>
  </conditionalFormatting>
  <conditionalFormatting sqref="S71:S79 S49:S55 S57:S69">
    <cfRule type="expression" dxfId="2353" priority="85">
      <formula>LEN(TRIM(S49))=0</formula>
    </cfRule>
  </conditionalFormatting>
  <conditionalFormatting sqref="D79:R79 P70:R70 D70:I70 D71:R77 D69:R69 D50:R56 D49:G49 L49:M49 P49:R49">
    <cfRule type="cellIs" dxfId="2352" priority="86" operator="equal">
      <formula>0</formula>
    </cfRule>
  </conditionalFormatting>
  <conditionalFormatting sqref="P49:P51">
    <cfRule type="cellIs" dxfId="2351" priority="87" operator="equal">
      <formula>0</formula>
    </cfRule>
  </conditionalFormatting>
  <conditionalFormatting sqref="P49:R49 L49:M49 D50:R51">
    <cfRule type="cellIs" dxfId="2350" priority="88" operator="equal">
      <formula>0</formula>
    </cfRule>
  </conditionalFormatting>
  <conditionalFormatting sqref="F50:F51">
    <cfRule type="cellIs" dxfId="2349" priority="89" operator="equal">
      <formula>0</formula>
    </cfRule>
  </conditionalFormatting>
  <conditionalFormatting sqref="L49:M49">
    <cfRule type="cellIs" dxfId="2348" priority="90" operator="equal">
      <formula>0</formula>
    </cfRule>
  </conditionalFormatting>
  <conditionalFormatting sqref="J52:J54 J70">
    <cfRule type="cellIs" dxfId="2347" priority="91" operator="equal">
      <formula>0</formula>
    </cfRule>
  </conditionalFormatting>
  <conditionalFormatting sqref="J50:J51">
    <cfRule type="cellIs" dxfId="2346" priority="92" operator="equal">
      <formula>0</formula>
    </cfRule>
  </conditionalFormatting>
  <conditionalFormatting sqref="K52:K54 K70">
    <cfRule type="cellIs" dxfId="2345" priority="93" operator="equal">
      <formula>0</formula>
    </cfRule>
  </conditionalFormatting>
  <conditionalFormatting sqref="K50:K51">
    <cfRule type="cellIs" dxfId="2344" priority="94" operator="equal">
      <formula>0</formula>
    </cfRule>
  </conditionalFormatting>
  <conditionalFormatting sqref="L52:L54 L70">
    <cfRule type="cellIs" dxfId="2343" priority="95" operator="equal">
      <formula>0</formula>
    </cfRule>
  </conditionalFormatting>
  <conditionalFormatting sqref="L49:L51">
    <cfRule type="cellIs" dxfId="2342" priority="96" operator="equal">
      <formula>0</formula>
    </cfRule>
  </conditionalFormatting>
  <conditionalFormatting sqref="M52:M54 M70">
    <cfRule type="cellIs" dxfId="2341" priority="97" operator="equal">
      <formula>0</formula>
    </cfRule>
  </conditionalFormatting>
  <conditionalFormatting sqref="M49:M51">
    <cfRule type="cellIs" dxfId="2340" priority="98" operator="equal">
      <formula>0</formula>
    </cfRule>
  </conditionalFormatting>
  <conditionalFormatting sqref="N52:N54 N70">
    <cfRule type="cellIs" dxfId="2339" priority="99" operator="equal">
      <formula>0</formula>
    </cfRule>
  </conditionalFormatting>
  <conditionalFormatting sqref="N50:N51">
    <cfRule type="cellIs" dxfId="2338" priority="100" operator="equal">
      <formula>0</formula>
    </cfRule>
  </conditionalFormatting>
  <conditionalFormatting sqref="O52:O54 O70">
    <cfRule type="cellIs" dxfId="2337" priority="101" operator="equal">
      <formula>0</formula>
    </cfRule>
  </conditionalFormatting>
  <conditionalFormatting sqref="O50:O51">
    <cfRule type="cellIs" dxfId="2336" priority="102" operator="equal">
      <formula>0</formula>
    </cfRule>
  </conditionalFormatting>
  <conditionalFormatting sqref="D78:R78">
    <cfRule type="cellIs" dxfId="2335" priority="103" operator="equal">
      <formula>0</formula>
    </cfRule>
  </conditionalFormatting>
  <conditionalFormatting sqref="D71:R79 D69:R69 D50:R55 D49:G49 L49:M49 P49:R49">
    <cfRule type="expression" dxfId="2334" priority="104">
      <formula>LEN(TRIM(D49))=0</formula>
    </cfRule>
  </conditionalFormatting>
  <conditionalFormatting sqref="D78:R78">
    <cfRule type="cellIs" dxfId="2333" priority="105" operator="equal">
      <formula>0</formula>
    </cfRule>
  </conditionalFormatting>
  <conditionalFormatting sqref="L52:L53">
    <cfRule type="cellIs" dxfId="2332" priority="106" operator="equal">
      <formula>0</formula>
    </cfRule>
  </conditionalFormatting>
  <conditionalFormatting sqref="M52:M53">
    <cfRule type="cellIs" dxfId="2331" priority="107" operator="equal">
      <formula>0</formula>
    </cfRule>
  </conditionalFormatting>
  <conditionalFormatting sqref="N52:O52">
    <cfRule type="cellIs" dxfId="2330" priority="108" operator="equal">
      <formula>0</formula>
    </cfRule>
  </conditionalFormatting>
  <conditionalFormatting sqref="N53:O53">
    <cfRule type="cellIs" dxfId="2329" priority="109" operator="equal">
      <formula>0</formula>
    </cfRule>
  </conditionalFormatting>
  <conditionalFormatting sqref="D57:R68">
    <cfRule type="cellIs" dxfId="2328" priority="110" operator="equal">
      <formula>0</formula>
    </cfRule>
  </conditionalFormatting>
  <conditionalFormatting sqref="D57:R68">
    <cfRule type="expression" dxfId="2327" priority="111">
      <formula>LEN(TRIM(D57))=0</formula>
    </cfRule>
  </conditionalFormatting>
  <conditionalFormatting sqref="H49">
    <cfRule type="cellIs" dxfId="2326" priority="112" operator="equal">
      <formula>0</formula>
    </cfRule>
  </conditionalFormatting>
  <conditionalFormatting sqref="I49">
    <cfRule type="cellIs" dxfId="2325" priority="113" operator="equal">
      <formula>0</formula>
    </cfRule>
  </conditionalFormatting>
  <conditionalFormatting sqref="J49:K49">
    <cfRule type="cellIs" dxfId="2324" priority="114" operator="equal">
      <formula>0</formula>
    </cfRule>
  </conditionalFormatting>
  <conditionalFormatting sqref="K49">
    <cfRule type="cellIs" dxfId="2323" priority="115" operator="equal">
      <formula>0</formula>
    </cfRule>
  </conditionalFormatting>
  <conditionalFormatting sqref="H49:K49">
    <cfRule type="expression" dxfId="2322" priority="116">
      <formula>LEN(TRIM(H49))=0</formula>
    </cfRule>
  </conditionalFormatting>
  <conditionalFormatting sqref="N49:O49">
    <cfRule type="cellIs" dxfId="2321" priority="117" operator="equal">
      <formula>0</formula>
    </cfRule>
  </conditionalFormatting>
  <conditionalFormatting sqref="N49:O49">
    <cfRule type="cellIs" dxfId="2320" priority="118" operator="equal">
      <formula>0</formula>
    </cfRule>
  </conditionalFormatting>
  <conditionalFormatting sqref="N49:O49">
    <cfRule type="expression" dxfId="2319" priority="119">
      <formula>LEN(TRIM(N49))=0</formula>
    </cfRule>
  </conditionalFormatting>
  <conditionalFormatting sqref="J85:N85">
    <cfRule type="cellIs" dxfId="2318" priority="120" operator="equal">
      <formula>0</formula>
    </cfRule>
  </conditionalFormatting>
  <conditionalFormatting sqref="O85">
    <cfRule type="cellIs" dxfId="2317" priority="121" operator="equal">
      <formula>0</formula>
    </cfRule>
  </conditionalFormatting>
  <conditionalFormatting sqref="S116 S86:S114">
    <cfRule type="cellIs" dxfId="2316" priority="122" operator="equal">
      <formula>0</formula>
    </cfRule>
  </conditionalFormatting>
  <conditionalFormatting sqref="S115">
    <cfRule type="cellIs" dxfId="2315" priority="123" operator="equal">
      <formula>0</formula>
    </cfRule>
  </conditionalFormatting>
  <conditionalFormatting sqref="S108:S116 S86:S92 S94:S106">
    <cfRule type="expression" dxfId="2314" priority="124">
      <formula>LEN(TRIM(S86))=0</formula>
    </cfRule>
  </conditionalFormatting>
  <conditionalFormatting sqref="D116:R116 P107:R107 D107:I107 D108:R114 D106:R106 D87:R93 D86:G86 L86:M86 P86:R86">
    <cfRule type="cellIs" dxfId="2313" priority="125" operator="equal">
      <formula>0</formula>
    </cfRule>
  </conditionalFormatting>
  <conditionalFormatting sqref="P86:P88">
    <cfRule type="cellIs" dxfId="2312" priority="126" operator="equal">
      <formula>0</formula>
    </cfRule>
  </conditionalFormatting>
  <conditionalFormatting sqref="P86:R86 L86:M86 D87:R88">
    <cfRule type="cellIs" dxfId="2311" priority="127" operator="equal">
      <formula>0</formula>
    </cfRule>
  </conditionalFormatting>
  <conditionalFormatting sqref="F87:F88">
    <cfRule type="cellIs" dxfId="2310" priority="128" operator="equal">
      <formula>0</formula>
    </cfRule>
  </conditionalFormatting>
  <conditionalFormatting sqref="L86:M86">
    <cfRule type="cellIs" dxfId="2309" priority="129" operator="equal">
      <formula>0</formula>
    </cfRule>
  </conditionalFormatting>
  <conditionalFormatting sqref="J89:J91 J107">
    <cfRule type="cellIs" dxfId="2308" priority="130" operator="equal">
      <formula>0</formula>
    </cfRule>
  </conditionalFormatting>
  <conditionalFormatting sqref="J87:J88">
    <cfRule type="cellIs" dxfId="2307" priority="131" operator="equal">
      <formula>0</formula>
    </cfRule>
  </conditionalFormatting>
  <conditionalFormatting sqref="K89:K91 K107">
    <cfRule type="cellIs" dxfId="2306" priority="132" operator="equal">
      <formula>0</formula>
    </cfRule>
  </conditionalFormatting>
  <conditionalFormatting sqref="K87:K88">
    <cfRule type="cellIs" dxfId="2305" priority="133" operator="equal">
      <formula>0</formula>
    </cfRule>
  </conditionalFormatting>
  <conditionalFormatting sqref="L89:L91 L107">
    <cfRule type="cellIs" dxfId="2304" priority="134" operator="equal">
      <formula>0</formula>
    </cfRule>
  </conditionalFormatting>
  <conditionalFormatting sqref="L86:L88">
    <cfRule type="cellIs" dxfId="2303" priority="135" operator="equal">
      <formula>0</formula>
    </cfRule>
  </conditionalFormatting>
  <conditionalFormatting sqref="M89:M91 M107">
    <cfRule type="cellIs" dxfId="2302" priority="136" operator="equal">
      <formula>0</formula>
    </cfRule>
  </conditionalFormatting>
  <conditionalFormatting sqref="M86:M88">
    <cfRule type="cellIs" dxfId="2301" priority="137" operator="equal">
      <formula>0</formula>
    </cfRule>
  </conditionalFormatting>
  <conditionalFormatting sqref="N89:N91 N107">
    <cfRule type="cellIs" dxfId="2300" priority="138" operator="equal">
      <formula>0</formula>
    </cfRule>
  </conditionalFormatting>
  <conditionalFormatting sqref="N87:N88">
    <cfRule type="cellIs" dxfId="2299" priority="139" operator="equal">
      <formula>0</formula>
    </cfRule>
  </conditionalFormatting>
  <conditionalFormatting sqref="O89:O91 O107">
    <cfRule type="cellIs" dxfId="2298" priority="140" operator="equal">
      <formula>0</formula>
    </cfRule>
  </conditionalFormatting>
  <conditionalFormatting sqref="O87:O88">
    <cfRule type="cellIs" dxfId="2297" priority="141" operator="equal">
      <formula>0</formula>
    </cfRule>
  </conditionalFormatting>
  <conditionalFormatting sqref="D115:R115">
    <cfRule type="cellIs" dxfId="2296" priority="142" operator="equal">
      <formula>0</formula>
    </cfRule>
  </conditionalFormatting>
  <conditionalFormatting sqref="D108:R116 D106:R106 D87:R92 D86:G86 L86:M86 P86:R86">
    <cfRule type="expression" dxfId="2295" priority="143">
      <formula>LEN(TRIM(D86))=0</formula>
    </cfRule>
  </conditionalFormatting>
  <conditionalFormatting sqref="D115:R115">
    <cfRule type="cellIs" dxfId="2294" priority="144" operator="equal">
      <formula>0</formula>
    </cfRule>
  </conditionalFormatting>
  <conditionalFormatting sqref="L89:L90">
    <cfRule type="cellIs" dxfId="2293" priority="145" operator="equal">
      <formula>0</formula>
    </cfRule>
  </conditionalFormatting>
  <conditionalFormatting sqref="M89:M90">
    <cfRule type="cellIs" dxfId="2292" priority="146" operator="equal">
      <formula>0</formula>
    </cfRule>
  </conditionalFormatting>
  <conditionalFormatting sqref="N89:O89">
    <cfRule type="cellIs" dxfId="2291" priority="147" operator="equal">
      <formula>0</formula>
    </cfRule>
  </conditionalFormatting>
  <conditionalFormatting sqref="N90:O90">
    <cfRule type="cellIs" dxfId="2290" priority="148" operator="equal">
      <formula>0</formula>
    </cfRule>
  </conditionalFormatting>
  <conditionalFormatting sqref="D94:R105">
    <cfRule type="cellIs" dxfId="2289" priority="149" operator="equal">
      <formula>0</formula>
    </cfRule>
  </conditionalFormatting>
  <conditionalFormatting sqref="D94:R105">
    <cfRule type="expression" dxfId="2288" priority="150">
      <formula>LEN(TRIM(D94))=0</formula>
    </cfRule>
  </conditionalFormatting>
  <conditionalFormatting sqref="H86">
    <cfRule type="cellIs" dxfId="2287" priority="151" operator="equal">
      <formula>0</formula>
    </cfRule>
  </conditionalFormatting>
  <conditionalFormatting sqref="I86">
    <cfRule type="cellIs" dxfId="2286" priority="152" operator="equal">
      <formula>0</formula>
    </cfRule>
  </conditionalFormatting>
  <conditionalFormatting sqref="J86:K86">
    <cfRule type="cellIs" dxfId="2285" priority="153" operator="equal">
      <formula>0</formula>
    </cfRule>
  </conditionalFormatting>
  <conditionalFormatting sqref="K86">
    <cfRule type="cellIs" dxfId="2284" priority="154" operator="equal">
      <formula>0</formula>
    </cfRule>
  </conditionalFormatting>
  <conditionalFormatting sqref="H86:K86">
    <cfRule type="expression" dxfId="2283" priority="155">
      <formula>LEN(TRIM(H86))=0</formula>
    </cfRule>
  </conditionalFormatting>
  <conditionalFormatting sqref="N86:O86">
    <cfRule type="cellIs" dxfId="2282" priority="156" operator="equal">
      <formula>0</formula>
    </cfRule>
  </conditionalFormatting>
  <conditionalFormatting sqref="N86:O86">
    <cfRule type="cellIs" dxfId="2281" priority="157" operator="equal">
      <formula>0</formula>
    </cfRule>
  </conditionalFormatting>
  <conditionalFormatting sqref="N86:O86">
    <cfRule type="expression" dxfId="2280" priority="158">
      <formula>LEN(TRIM(N86))=0</formula>
    </cfRule>
  </conditionalFormatting>
  <conditionalFormatting sqref="J122:N122">
    <cfRule type="cellIs" dxfId="2279" priority="159" operator="equal">
      <formula>0</formula>
    </cfRule>
  </conditionalFormatting>
  <conditionalFormatting sqref="O122">
    <cfRule type="cellIs" dxfId="2278" priority="160" operator="equal">
      <formula>0</formula>
    </cfRule>
  </conditionalFormatting>
  <conditionalFormatting sqref="S153 S123:S151">
    <cfRule type="cellIs" dxfId="2277" priority="161" operator="equal">
      <formula>0</formula>
    </cfRule>
  </conditionalFormatting>
  <conditionalFormatting sqref="S152">
    <cfRule type="cellIs" dxfId="2276" priority="162" operator="equal">
      <formula>0</formula>
    </cfRule>
  </conditionalFormatting>
  <conditionalFormatting sqref="S145:S153 S123:S129 S131:S143">
    <cfRule type="expression" dxfId="2275" priority="163">
      <formula>LEN(TRIM(S123))=0</formula>
    </cfRule>
  </conditionalFormatting>
  <conditionalFormatting sqref="D153:R153 P144:R144 D144:I144 D145:R151 D143:R143 D124:R130 D123:G123 L123:M123 P123:R123">
    <cfRule type="cellIs" dxfId="2274" priority="164" operator="equal">
      <formula>0</formula>
    </cfRule>
  </conditionalFormatting>
  <conditionalFormatting sqref="P123:P125">
    <cfRule type="cellIs" dxfId="2273" priority="165" operator="equal">
      <formula>0</formula>
    </cfRule>
  </conditionalFormatting>
  <conditionalFormatting sqref="P123:R123 L123:M123 D124:R125">
    <cfRule type="cellIs" dxfId="2272" priority="166" operator="equal">
      <formula>0</formula>
    </cfRule>
  </conditionalFormatting>
  <conditionalFormatting sqref="F124:F125">
    <cfRule type="cellIs" dxfId="2271" priority="167" operator="equal">
      <formula>0</formula>
    </cfRule>
  </conditionalFormatting>
  <conditionalFormatting sqref="L123:M123">
    <cfRule type="cellIs" dxfId="2270" priority="168" operator="equal">
      <formula>0</formula>
    </cfRule>
  </conditionalFormatting>
  <conditionalFormatting sqref="J126:J128 J144">
    <cfRule type="cellIs" dxfId="2269" priority="169" operator="equal">
      <formula>0</formula>
    </cfRule>
  </conditionalFormatting>
  <conditionalFormatting sqref="J124:J125">
    <cfRule type="cellIs" dxfId="2268" priority="170" operator="equal">
      <formula>0</formula>
    </cfRule>
  </conditionalFormatting>
  <conditionalFormatting sqref="K126:K128 K144">
    <cfRule type="cellIs" dxfId="2267" priority="171" operator="equal">
      <formula>0</formula>
    </cfRule>
  </conditionalFormatting>
  <conditionalFormatting sqref="K124:K125">
    <cfRule type="cellIs" dxfId="2266" priority="172" operator="equal">
      <formula>0</formula>
    </cfRule>
  </conditionalFormatting>
  <conditionalFormatting sqref="L126:L128 L144">
    <cfRule type="cellIs" dxfId="2265" priority="173" operator="equal">
      <formula>0</formula>
    </cfRule>
  </conditionalFormatting>
  <conditionalFormatting sqref="L123:L125">
    <cfRule type="cellIs" dxfId="2264" priority="174" operator="equal">
      <formula>0</formula>
    </cfRule>
  </conditionalFormatting>
  <conditionalFormatting sqref="M126:M128 M144">
    <cfRule type="cellIs" dxfId="2263" priority="175" operator="equal">
      <formula>0</formula>
    </cfRule>
  </conditionalFormatting>
  <conditionalFormatting sqref="M123:M125">
    <cfRule type="cellIs" dxfId="2262" priority="176" operator="equal">
      <formula>0</formula>
    </cfRule>
  </conditionalFormatting>
  <conditionalFormatting sqref="N126:N128 N144">
    <cfRule type="cellIs" dxfId="2261" priority="177" operator="equal">
      <formula>0</formula>
    </cfRule>
  </conditionalFormatting>
  <conditionalFormatting sqref="N124:N125">
    <cfRule type="cellIs" dxfId="2260" priority="178" operator="equal">
      <formula>0</formula>
    </cfRule>
  </conditionalFormatting>
  <conditionalFormatting sqref="O126:O128 O144">
    <cfRule type="cellIs" dxfId="2259" priority="179" operator="equal">
      <formula>0</formula>
    </cfRule>
  </conditionalFormatting>
  <conditionalFormatting sqref="O124:O125">
    <cfRule type="cellIs" dxfId="2258" priority="180" operator="equal">
      <formula>0</formula>
    </cfRule>
  </conditionalFormatting>
  <conditionalFormatting sqref="D152:R152">
    <cfRule type="cellIs" dxfId="2257" priority="181" operator="equal">
      <formula>0</formula>
    </cfRule>
  </conditionalFormatting>
  <conditionalFormatting sqref="D145:R153 D143:R143 D124:R129 D123:G123 L123:M123 P123:R123">
    <cfRule type="expression" dxfId="2256" priority="182">
      <formula>LEN(TRIM(D123))=0</formula>
    </cfRule>
  </conditionalFormatting>
  <conditionalFormatting sqref="D152:R152">
    <cfRule type="cellIs" dxfId="2255" priority="183" operator="equal">
      <formula>0</formula>
    </cfRule>
  </conditionalFormatting>
  <conditionalFormatting sqref="L126:L127">
    <cfRule type="cellIs" dxfId="2254" priority="184" operator="equal">
      <formula>0</formula>
    </cfRule>
  </conditionalFormatting>
  <conditionalFormatting sqref="M126:M127">
    <cfRule type="cellIs" dxfId="2253" priority="185" operator="equal">
      <formula>0</formula>
    </cfRule>
  </conditionalFormatting>
  <conditionalFormatting sqref="N126:O126">
    <cfRule type="cellIs" dxfId="2252" priority="186" operator="equal">
      <formula>0</formula>
    </cfRule>
  </conditionalFormatting>
  <conditionalFormatting sqref="N127:O127">
    <cfRule type="cellIs" dxfId="2251" priority="187" operator="equal">
      <formula>0</formula>
    </cfRule>
  </conditionalFormatting>
  <conditionalFormatting sqref="D131:R142">
    <cfRule type="cellIs" dxfId="2250" priority="188" operator="equal">
      <formula>0</formula>
    </cfRule>
  </conditionalFormatting>
  <conditionalFormatting sqref="D131:R142">
    <cfRule type="expression" dxfId="2249" priority="189">
      <formula>LEN(TRIM(D131))=0</formula>
    </cfRule>
  </conditionalFormatting>
  <conditionalFormatting sqref="H123">
    <cfRule type="cellIs" dxfId="2248" priority="190" operator="equal">
      <formula>0</formula>
    </cfRule>
  </conditionalFormatting>
  <conditionalFormatting sqref="I123">
    <cfRule type="cellIs" dxfId="2247" priority="191" operator="equal">
      <formula>0</formula>
    </cfRule>
  </conditionalFormatting>
  <conditionalFormatting sqref="J123:K123">
    <cfRule type="cellIs" dxfId="2246" priority="192" operator="equal">
      <formula>0</formula>
    </cfRule>
  </conditionalFormatting>
  <conditionalFormatting sqref="K123">
    <cfRule type="cellIs" dxfId="2245" priority="193" operator="equal">
      <formula>0</formula>
    </cfRule>
  </conditionalFormatting>
  <conditionalFormatting sqref="H123:K123">
    <cfRule type="expression" dxfId="2244" priority="194">
      <formula>LEN(TRIM(H123))=0</formula>
    </cfRule>
  </conditionalFormatting>
  <conditionalFormatting sqref="N123:O123">
    <cfRule type="cellIs" dxfId="2243" priority="195" operator="equal">
      <formula>0</formula>
    </cfRule>
  </conditionalFormatting>
  <conditionalFormatting sqref="N123:O123">
    <cfRule type="cellIs" dxfId="2242" priority="196" operator="equal">
      <formula>0</formula>
    </cfRule>
  </conditionalFormatting>
  <conditionalFormatting sqref="N123:O123">
    <cfRule type="expression" dxfId="2241" priority="197">
      <formula>LEN(TRIM(N123))=0</formula>
    </cfRule>
  </conditionalFormatting>
  <conditionalFormatting sqref="J159:N159">
    <cfRule type="cellIs" dxfId="2240" priority="198" operator="equal">
      <formula>0</formula>
    </cfRule>
  </conditionalFormatting>
  <conditionalFormatting sqref="O159">
    <cfRule type="cellIs" dxfId="2239" priority="199" operator="equal">
      <formula>0</formula>
    </cfRule>
  </conditionalFormatting>
  <conditionalFormatting sqref="S190 S160:S188">
    <cfRule type="cellIs" dxfId="2238" priority="200" operator="equal">
      <formula>0</formula>
    </cfRule>
  </conditionalFormatting>
  <conditionalFormatting sqref="S189">
    <cfRule type="cellIs" dxfId="2237" priority="201" operator="equal">
      <formula>0</formula>
    </cfRule>
  </conditionalFormatting>
  <conditionalFormatting sqref="S182:S190 S160:S166 S168:S180">
    <cfRule type="expression" dxfId="2236" priority="202">
      <formula>LEN(TRIM(S160))=0</formula>
    </cfRule>
  </conditionalFormatting>
  <conditionalFormatting sqref="D190:R190 P181:R181 D181:I181 D182:R188 D180:R180 D161:R167 D160:G160 L160:M160 P160:R160">
    <cfRule type="cellIs" dxfId="2235" priority="203" operator="equal">
      <formula>0</formula>
    </cfRule>
  </conditionalFormatting>
  <conditionalFormatting sqref="P160:P162">
    <cfRule type="cellIs" dxfId="2234" priority="204" operator="equal">
      <formula>0</formula>
    </cfRule>
  </conditionalFormatting>
  <conditionalFormatting sqref="P160:R160 L160:M160 D161:R162">
    <cfRule type="cellIs" dxfId="2233" priority="205" operator="equal">
      <formula>0</formula>
    </cfRule>
  </conditionalFormatting>
  <conditionalFormatting sqref="F161:F162">
    <cfRule type="cellIs" dxfId="2232" priority="206" operator="equal">
      <formula>0</formula>
    </cfRule>
  </conditionalFormatting>
  <conditionalFormatting sqref="L160:M160">
    <cfRule type="cellIs" dxfId="2231" priority="207" operator="equal">
      <formula>0</formula>
    </cfRule>
  </conditionalFormatting>
  <conditionalFormatting sqref="J163:J165 J181">
    <cfRule type="cellIs" dxfId="2230" priority="208" operator="equal">
      <formula>0</formula>
    </cfRule>
  </conditionalFormatting>
  <conditionalFormatting sqref="J161:J162">
    <cfRule type="cellIs" dxfId="2229" priority="209" operator="equal">
      <formula>0</formula>
    </cfRule>
  </conditionalFormatting>
  <conditionalFormatting sqref="K163:K165 K181">
    <cfRule type="cellIs" dxfId="2228" priority="210" operator="equal">
      <formula>0</formula>
    </cfRule>
  </conditionalFormatting>
  <conditionalFormatting sqref="K161:K162">
    <cfRule type="cellIs" dxfId="2227" priority="211" operator="equal">
      <formula>0</formula>
    </cfRule>
  </conditionalFormatting>
  <conditionalFormatting sqref="L163:L165 L181">
    <cfRule type="cellIs" dxfId="2226" priority="212" operator="equal">
      <formula>0</formula>
    </cfRule>
  </conditionalFormatting>
  <conditionalFormatting sqref="L160:L162">
    <cfRule type="cellIs" dxfId="2225" priority="213" operator="equal">
      <formula>0</formula>
    </cfRule>
  </conditionalFormatting>
  <conditionalFormatting sqref="M163:M165 M181">
    <cfRule type="cellIs" dxfId="2224" priority="214" operator="equal">
      <formula>0</formula>
    </cfRule>
  </conditionalFormatting>
  <conditionalFormatting sqref="M160:M162">
    <cfRule type="cellIs" dxfId="2223" priority="215" operator="equal">
      <formula>0</formula>
    </cfRule>
  </conditionalFormatting>
  <conditionalFormatting sqref="N163:N165 N181">
    <cfRule type="cellIs" dxfId="2222" priority="216" operator="equal">
      <formula>0</formula>
    </cfRule>
  </conditionalFormatting>
  <conditionalFormatting sqref="N161:N162">
    <cfRule type="cellIs" dxfId="2221" priority="217" operator="equal">
      <formula>0</formula>
    </cfRule>
  </conditionalFormatting>
  <conditionalFormatting sqref="O163:O165 O181">
    <cfRule type="cellIs" dxfId="2220" priority="218" operator="equal">
      <formula>0</formula>
    </cfRule>
  </conditionalFormatting>
  <conditionalFormatting sqref="O161:O162">
    <cfRule type="cellIs" dxfId="2219" priority="219" operator="equal">
      <formula>0</formula>
    </cfRule>
  </conditionalFormatting>
  <conditionalFormatting sqref="D189:R189">
    <cfRule type="cellIs" dxfId="2218" priority="220" operator="equal">
      <formula>0</formula>
    </cfRule>
  </conditionalFormatting>
  <conditionalFormatting sqref="D182:R190 D180:R180 D161:R166 D160:G160 L160:M160 P160:R160">
    <cfRule type="expression" dxfId="2217" priority="221">
      <formula>LEN(TRIM(D160))=0</formula>
    </cfRule>
  </conditionalFormatting>
  <conditionalFormatting sqref="D189:R189">
    <cfRule type="cellIs" dxfId="2216" priority="222" operator="equal">
      <formula>0</formula>
    </cfRule>
  </conditionalFormatting>
  <conditionalFormatting sqref="L163:L164">
    <cfRule type="cellIs" dxfId="2215" priority="223" operator="equal">
      <formula>0</formula>
    </cfRule>
  </conditionalFormatting>
  <conditionalFormatting sqref="M163:M164">
    <cfRule type="cellIs" dxfId="2214" priority="224" operator="equal">
      <formula>0</formula>
    </cfRule>
  </conditionalFormatting>
  <conditionalFormatting sqref="N163:O163">
    <cfRule type="cellIs" dxfId="2213" priority="225" operator="equal">
      <formula>0</formula>
    </cfRule>
  </conditionalFormatting>
  <conditionalFormatting sqref="N164:O164">
    <cfRule type="cellIs" dxfId="2212" priority="226" operator="equal">
      <formula>0</formula>
    </cfRule>
  </conditionalFormatting>
  <conditionalFormatting sqref="D168:R179">
    <cfRule type="cellIs" dxfId="2211" priority="227" operator="equal">
      <formula>0</formula>
    </cfRule>
  </conditionalFormatting>
  <conditionalFormatting sqref="D168:R179">
    <cfRule type="expression" dxfId="2210" priority="228">
      <formula>LEN(TRIM(D168))=0</formula>
    </cfRule>
  </conditionalFormatting>
  <conditionalFormatting sqref="H160">
    <cfRule type="cellIs" dxfId="2209" priority="229" operator="equal">
      <formula>0</formula>
    </cfRule>
  </conditionalFormatting>
  <conditionalFormatting sqref="I160">
    <cfRule type="cellIs" dxfId="2208" priority="230" operator="equal">
      <formula>0</formula>
    </cfRule>
  </conditionalFormatting>
  <conditionalFormatting sqref="J160:K160">
    <cfRule type="cellIs" dxfId="2207" priority="231" operator="equal">
      <formula>0</formula>
    </cfRule>
  </conditionalFormatting>
  <conditionalFormatting sqref="K160">
    <cfRule type="cellIs" dxfId="2206" priority="232" operator="equal">
      <formula>0</formula>
    </cfRule>
  </conditionalFormatting>
  <conditionalFormatting sqref="H160:K160">
    <cfRule type="expression" dxfId="2205" priority="233">
      <formula>LEN(TRIM(H160))=0</formula>
    </cfRule>
  </conditionalFormatting>
  <conditionalFormatting sqref="N160:O160">
    <cfRule type="cellIs" dxfId="2204" priority="234" operator="equal">
      <formula>0</formula>
    </cfRule>
  </conditionalFormatting>
  <conditionalFormatting sqref="N160:O160">
    <cfRule type="cellIs" dxfId="2203" priority="235" operator="equal">
      <formula>0</formula>
    </cfRule>
  </conditionalFormatting>
  <conditionalFormatting sqref="N160:O160">
    <cfRule type="expression" dxfId="2202" priority="236">
      <formula>LEN(TRIM(N160))=0</formula>
    </cfRule>
  </conditionalFormatting>
  <conditionalFormatting sqref="J196:N196">
    <cfRule type="cellIs" dxfId="2201" priority="237" operator="equal">
      <formula>0</formula>
    </cfRule>
  </conditionalFormatting>
  <conditionalFormatting sqref="O196">
    <cfRule type="cellIs" dxfId="2200" priority="238" operator="equal">
      <formula>0</formula>
    </cfRule>
  </conditionalFormatting>
  <conditionalFormatting sqref="S227 S197:S199">
    <cfRule type="cellIs" dxfId="2199" priority="239" operator="equal">
      <formula>0</formula>
    </cfRule>
  </conditionalFormatting>
  <conditionalFormatting sqref="S226">
    <cfRule type="cellIs" dxfId="2198" priority="240" operator="equal">
      <formula>0</formula>
    </cfRule>
  </conditionalFormatting>
  <conditionalFormatting sqref="S219:S227 S197:S199 S202:S203">
    <cfRule type="expression" dxfId="2197" priority="241">
      <formula>LEN(TRIM(S197))=0</formula>
    </cfRule>
  </conditionalFormatting>
  <conditionalFormatting sqref="S200:S201">
    <cfRule type="cellIs" dxfId="2196" priority="242" operator="equal">
      <formula>0</formula>
    </cfRule>
  </conditionalFormatting>
  <conditionalFormatting sqref="S200:S201">
    <cfRule type="expression" dxfId="2195" priority="243">
      <formula>LEN(TRIM(S200))=0</formula>
    </cfRule>
  </conditionalFormatting>
  <conditionalFormatting sqref="S205:S216">
    <cfRule type="cellIs" dxfId="2194" priority="244" operator="equal">
      <formula>0</formula>
    </cfRule>
  </conditionalFormatting>
  <conditionalFormatting sqref="S205:S216">
    <cfRule type="expression" dxfId="2193" priority="245">
      <formula>LEN(TRIM(S205))=0</formula>
    </cfRule>
  </conditionalFormatting>
  <conditionalFormatting sqref="D227:R227 P218:R218 D218:I218 D219:R225 D217:R217 D198:R204 D197:G197 L197:M197 P197:R197">
    <cfRule type="cellIs" dxfId="2192" priority="246" operator="equal">
      <formula>0</formula>
    </cfRule>
  </conditionalFormatting>
  <conditionalFormatting sqref="P197:P199">
    <cfRule type="cellIs" dxfId="2191" priority="247" operator="equal">
      <formula>0</formula>
    </cfRule>
  </conditionalFormatting>
  <conditionalFormatting sqref="P197:R197 L197:M197 D198:R199">
    <cfRule type="cellIs" dxfId="2190" priority="248" operator="equal">
      <formula>0</formula>
    </cfRule>
  </conditionalFormatting>
  <conditionalFormatting sqref="F198:F199">
    <cfRule type="cellIs" dxfId="2189" priority="249" operator="equal">
      <formula>0</formula>
    </cfRule>
  </conditionalFormatting>
  <conditionalFormatting sqref="L197:M197">
    <cfRule type="cellIs" dxfId="2188" priority="250" operator="equal">
      <formula>0</formula>
    </cfRule>
  </conditionalFormatting>
  <conditionalFormatting sqref="J200:J202 J218">
    <cfRule type="cellIs" dxfId="2187" priority="251" operator="equal">
      <formula>0</formula>
    </cfRule>
  </conditionalFormatting>
  <conditionalFormatting sqref="J198:J199">
    <cfRule type="cellIs" dxfId="2186" priority="252" operator="equal">
      <formula>0</formula>
    </cfRule>
  </conditionalFormatting>
  <conditionalFormatting sqref="K200:K202 K218">
    <cfRule type="cellIs" dxfId="2185" priority="253" operator="equal">
      <formula>0</formula>
    </cfRule>
  </conditionalFormatting>
  <conditionalFormatting sqref="K198:K199">
    <cfRule type="cellIs" dxfId="2184" priority="254" operator="equal">
      <formula>0</formula>
    </cfRule>
  </conditionalFormatting>
  <conditionalFormatting sqref="L200:L202 L218">
    <cfRule type="cellIs" dxfId="2183" priority="255" operator="equal">
      <formula>0</formula>
    </cfRule>
  </conditionalFormatting>
  <conditionalFormatting sqref="L197:L199">
    <cfRule type="cellIs" dxfId="2182" priority="256" operator="equal">
      <formula>0</formula>
    </cfRule>
  </conditionalFormatting>
  <conditionalFormatting sqref="M200:M202 M218">
    <cfRule type="cellIs" dxfId="2181" priority="257" operator="equal">
      <formula>0</formula>
    </cfRule>
  </conditionalFormatting>
  <conditionalFormatting sqref="M197:M199">
    <cfRule type="cellIs" dxfId="2180" priority="258" operator="equal">
      <formula>0</formula>
    </cfRule>
  </conditionalFormatting>
  <conditionalFormatting sqref="N200:N202 N218">
    <cfRule type="cellIs" dxfId="2179" priority="259" operator="equal">
      <formula>0</formula>
    </cfRule>
  </conditionalFormatting>
  <conditionalFormatting sqref="N198:N199">
    <cfRule type="cellIs" dxfId="2178" priority="260" operator="equal">
      <formula>0</formula>
    </cfRule>
  </conditionalFormatting>
  <conditionalFormatting sqref="O200:O202 O218">
    <cfRule type="cellIs" dxfId="2177" priority="261" operator="equal">
      <formula>0</formula>
    </cfRule>
  </conditionalFormatting>
  <conditionalFormatting sqref="O198:O199">
    <cfRule type="cellIs" dxfId="2176" priority="262" operator="equal">
      <formula>0</formula>
    </cfRule>
  </conditionalFormatting>
  <conditionalFormatting sqref="D226:R226">
    <cfRule type="cellIs" dxfId="2175" priority="263" operator="equal">
      <formula>0</formula>
    </cfRule>
  </conditionalFormatting>
  <conditionalFormatting sqref="D219:R227 D217:R217 D198:R203 D197:G197 L197:M197 P197:R197">
    <cfRule type="expression" dxfId="2174" priority="264">
      <formula>LEN(TRIM(D197))=0</formula>
    </cfRule>
  </conditionalFormatting>
  <conditionalFormatting sqref="D226:R226">
    <cfRule type="cellIs" dxfId="2173" priority="265" operator="equal">
      <formula>0</formula>
    </cfRule>
  </conditionalFormatting>
  <conditionalFormatting sqref="L200:L201">
    <cfRule type="cellIs" dxfId="2172" priority="266" operator="equal">
      <formula>0</formula>
    </cfRule>
  </conditionalFormatting>
  <conditionalFormatting sqref="M200:M201">
    <cfRule type="cellIs" dxfId="2171" priority="267" operator="equal">
      <formula>0</formula>
    </cfRule>
  </conditionalFormatting>
  <conditionalFormatting sqref="N200:O200">
    <cfRule type="cellIs" dxfId="2170" priority="268" operator="equal">
      <formula>0</formula>
    </cfRule>
  </conditionalFormatting>
  <conditionalFormatting sqref="N201:O201">
    <cfRule type="cellIs" dxfId="2169" priority="269" operator="equal">
      <formula>0</formula>
    </cfRule>
  </conditionalFormatting>
  <conditionalFormatting sqref="D205:R216">
    <cfRule type="cellIs" dxfId="2168" priority="270" operator="equal">
      <formula>0</formula>
    </cfRule>
  </conditionalFormatting>
  <conditionalFormatting sqref="D205:R216">
    <cfRule type="expression" dxfId="2167" priority="271">
      <formula>LEN(TRIM(D205))=0</formula>
    </cfRule>
  </conditionalFormatting>
  <conditionalFormatting sqref="H197">
    <cfRule type="cellIs" dxfId="2166" priority="272" operator="equal">
      <formula>0</formula>
    </cfRule>
  </conditionalFormatting>
  <conditionalFormatting sqref="I197">
    <cfRule type="cellIs" dxfId="2165" priority="273" operator="equal">
      <formula>0</formula>
    </cfRule>
  </conditionalFormatting>
  <conditionalFormatting sqref="J197:K197">
    <cfRule type="cellIs" dxfId="2164" priority="274" operator="equal">
      <formula>0</formula>
    </cfRule>
  </conditionalFormatting>
  <conditionalFormatting sqref="K197">
    <cfRule type="cellIs" dxfId="2163" priority="275" operator="equal">
      <formula>0</formula>
    </cfRule>
  </conditionalFormatting>
  <conditionalFormatting sqref="H197:K197">
    <cfRule type="expression" dxfId="2162" priority="276">
      <formula>LEN(TRIM(H197))=0</formula>
    </cfRule>
  </conditionalFormatting>
  <conditionalFormatting sqref="N197:O197">
    <cfRule type="cellIs" dxfId="2161" priority="277" operator="equal">
      <formula>0</formula>
    </cfRule>
  </conditionalFormatting>
  <conditionalFormatting sqref="N197:O197">
    <cfRule type="cellIs" dxfId="2160" priority="278" operator="equal">
      <formula>0</formula>
    </cfRule>
  </conditionalFormatting>
  <conditionalFormatting sqref="N197:O197">
    <cfRule type="expression" dxfId="2159" priority="279">
      <formula>LEN(TRIM(N197))=0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D2811-2030-4F14-9F53-EC7C1B6EEB7F}">
  <dimension ref="B2:T192"/>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361</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5.8150000000000004</v>
      </c>
      <c r="F12" s="421">
        <v>0</v>
      </c>
      <c r="G12" s="421">
        <v>9.3039999999999998E-2</v>
      </c>
      <c r="H12" s="422">
        <v>994.39393939393995</v>
      </c>
      <c r="I12" s="422">
        <v>245.9</v>
      </c>
      <c r="J12" s="422">
        <v>264.74542837362799</v>
      </c>
      <c r="K12" s="422">
        <v>38.681123219215998</v>
      </c>
      <c r="L12" s="421">
        <v>0</v>
      </c>
      <c r="M12" s="421">
        <v>0</v>
      </c>
      <c r="N12" s="422">
        <v>76.035944637668194</v>
      </c>
      <c r="O12" s="422">
        <v>12.9897242601147</v>
      </c>
      <c r="P12" s="421">
        <v>0</v>
      </c>
      <c r="Q12" s="421">
        <v>0</v>
      </c>
      <c r="R12" s="421">
        <v>0</v>
      </c>
      <c r="S12" s="423">
        <v>1638.6541998845701</v>
      </c>
      <c r="T12" s="412"/>
    </row>
    <row r="13" spans="2:20" ht="13.5">
      <c r="B13" s="412"/>
      <c r="C13" s="420" t="s">
        <v>60</v>
      </c>
      <c r="D13" s="421">
        <v>9.9184003265082108</v>
      </c>
      <c r="E13" s="421">
        <v>336.80990869295198</v>
      </c>
      <c r="F13" s="421">
        <v>39.622058745499999</v>
      </c>
      <c r="G13" s="421">
        <v>228.981754766043</v>
      </c>
      <c r="H13" s="421">
        <v>0</v>
      </c>
      <c r="I13" s="421">
        <v>0</v>
      </c>
      <c r="J13" s="421">
        <v>0</v>
      </c>
      <c r="K13" s="421">
        <v>0</v>
      </c>
      <c r="L13" s="421">
        <v>0</v>
      </c>
      <c r="M13" s="421">
        <v>0</v>
      </c>
      <c r="N13" s="421">
        <v>0</v>
      </c>
      <c r="O13" s="421">
        <v>0</v>
      </c>
      <c r="P13" s="421">
        <v>0</v>
      </c>
      <c r="Q13" s="421">
        <v>0</v>
      </c>
      <c r="R13" s="421">
        <v>0</v>
      </c>
      <c r="S13" s="423">
        <v>615.33212253100305</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-3.4250745408713801</v>
      </c>
      <c r="Q14" s="421">
        <v>0</v>
      </c>
      <c r="R14" s="421">
        <v>0</v>
      </c>
      <c r="S14" s="423">
        <v>-3.4250745408713801</v>
      </c>
      <c r="T14" s="412"/>
    </row>
    <row r="15" spans="2:20" ht="13.5">
      <c r="B15" s="412"/>
      <c r="C15" s="420" t="s">
        <v>62</v>
      </c>
      <c r="D15" s="421">
        <v>0</v>
      </c>
      <c r="E15" s="421">
        <v>0</v>
      </c>
      <c r="F15" s="421">
        <v>-12.937868047131699</v>
      </c>
      <c r="G15" s="421">
        <v>-1.5571295869756501</v>
      </c>
      <c r="H15" s="421">
        <v>0</v>
      </c>
      <c r="I15" s="421">
        <v>0</v>
      </c>
      <c r="J15" s="421">
        <v>0</v>
      </c>
      <c r="K15" s="421">
        <v>0</v>
      </c>
      <c r="L15" s="421">
        <v>0</v>
      </c>
      <c r="M15" s="421">
        <v>-0.27478757417217298</v>
      </c>
      <c r="N15" s="421">
        <v>0</v>
      </c>
      <c r="O15" s="421">
        <v>0</v>
      </c>
      <c r="P15" s="421">
        <v>0</v>
      </c>
      <c r="Q15" s="421">
        <v>0</v>
      </c>
      <c r="R15" s="421">
        <v>0</v>
      </c>
      <c r="S15" s="423">
        <v>-14.7697852082796</v>
      </c>
      <c r="T15" s="412"/>
    </row>
    <row r="16" spans="2:20" ht="13.5">
      <c r="B16" s="412"/>
      <c r="C16" s="420" t="s">
        <v>63</v>
      </c>
      <c r="D16" s="421">
        <v>0</v>
      </c>
      <c r="E16" s="421">
        <v>0</v>
      </c>
      <c r="F16" s="421">
        <v>-61.179449557820497</v>
      </c>
      <c r="G16" s="421">
        <v>0</v>
      </c>
      <c r="H16" s="421">
        <v>0</v>
      </c>
      <c r="I16" s="421">
        <v>0</v>
      </c>
      <c r="J16" s="421">
        <v>0</v>
      </c>
      <c r="K16" s="421">
        <v>0</v>
      </c>
      <c r="L16" s="421">
        <v>-16.1518358617665</v>
      </c>
      <c r="M16" s="421">
        <v>0</v>
      </c>
      <c r="N16" s="421">
        <v>0</v>
      </c>
      <c r="O16" s="421">
        <v>0</v>
      </c>
      <c r="P16" s="421">
        <v>0</v>
      </c>
      <c r="Q16" s="421">
        <v>0</v>
      </c>
      <c r="R16" s="421">
        <v>-0.14322207633848999</v>
      </c>
      <c r="S16" s="423">
        <v>-77.474507495925394</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9.9184003265082108</v>
      </c>
      <c r="E18" s="425">
        <v>342.62490869295198</v>
      </c>
      <c r="F18" s="425">
        <v>-34.4952588594522</v>
      </c>
      <c r="G18" s="425">
        <v>227.51766517906799</v>
      </c>
      <c r="H18" s="425">
        <v>994.39393939393995</v>
      </c>
      <c r="I18" s="425">
        <v>245.9</v>
      </c>
      <c r="J18" s="425">
        <v>264.74542837362799</v>
      </c>
      <c r="K18" s="425">
        <v>38.681123219215998</v>
      </c>
      <c r="L18" s="425">
        <v>-16.1518358617665</v>
      </c>
      <c r="M18" s="425">
        <v>-0.27478757417217298</v>
      </c>
      <c r="N18" s="425">
        <v>76.035944637668194</v>
      </c>
      <c r="O18" s="425">
        <v>12.9897242601147</v>
      </c>
      <c r="P18" s="425">
        <v>-3.4250745408713801</v>
      </c>
      <c r="Q18" s="425">
        <v>0</v>
      </c>
      <c r="R18" s="425">
        <v>-0.14322207633848999</v>
      </c>
      <c r="S18" s="425">
        <v>2158.31695517049</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0</v>
      </c>
      <c r="E21" s="421">
        <v>0</v>
      </c>
      <c r="F21" s="421">
        <v>0</v>
      </c>
      <c r="G21" s="421">
        <v>24.857777777777802</v>
      </c>
      <c r="H21" s="421">
        <v>994.39393939393904</v>
      </c>
      <c r="I21" s="421">
        <v>245.9</v>
      </c>
      <c r="J21" s="421">
        <v>19.077680006004599</v>
      </c>
      <c r="K21" s="421">
        <v>5.91268147655415</v>
      </c>
      <c r="L21" s="421">
        <v>0</v>
      </c>
      <c r="M21" s="421">
        <v>4.3866666666666703</v>
      </c>
      <c r="N21" s="421">
        <v>0</v>
      </c>
      <c r="O21" s="421">
        <v>0</v>
      </c>
      <c r="P21" s="421">
        <v>-600.20000000000005</v>
      </c>
      <c r="Q21" s="421">
        <v>0</v>
      </c>
      <c r="R21" s="421">
        <v>2.375</v>
      </c>
      <c r="S21" s="429">
        <v>696.70374532094297</v>
      </c>
      <c r="T21" s="412"/>
    </row>
    <row r="22" spans="2:20" ht="13.5">
      <c r="B22" s="412"/>
      <c r="C22" s="428" t="s">
        <v>351</v>
      </c>
      <c r="D22" s="421">
        <v>0</v>
      </c>
      <c r="E22" s="421">
        <v>0</v>
      </c>
      <c r="F22" s="421">
        <v>0</v>
      </c>
      <c r="G22" s="421">
        <v>15.8957878644364</v>
      </c>
      <c r="H22" s="421">
        <v>0</v>
      </c>
      <c r="I22" s="421">
        <v>0</v>
      </c>
      <c r="J22" s="421">
        <v>29.009686446350699</v>
      </c>
      <c r="K22" s="421">
        <v>26.492019019171298</v>
      </c>
      <c r="L22" s="421">
        <v>0</v>
      </c>
      <c r="M22" s="421">
        <v>2.8051390349005398</v>
      </c>
      <c r="N22" s="421">
        <v>0</v>
      </c>
      <c r="O22" s="421">
        <v>8.6642897086234303</v>
      </c>
      <c r="P22" s="421">
        <v>0</v>
      </c>
      <c r="Q22" s="421">
        <v>-75.764237599145602</v>
      </c>
      <c r="R22" s="421">
        <v>0</v>
      </c>
      <c r="S22" s="429">
        <v>7.1026844743368098</v>
      </c>
      <c r="T22" s="412"/>
    </row>
    <row r="23" spans="2:20" ht="13.5">
      <c r="B23" s="412"/>
      <c r="C23" s="428" t="s">
        <v>352</v>
      </c>
      <c r="D23" s="421">
        <v>0</v>
      </c>
      <c r="E23" s="421">
        <v>0</v>
      </c>
      <c r="F23" s="421">
        <v>0</v>
      </c>
      <c r="G23" s="421">
        <v>0</v>
      </c>
      <c r="H23" s="421">
        <v>0</v>
      </c>
      <c r="I23" s="421">
        <v>0</v>
      </c>
      <c r="J23" s="421">
        <v>43.323904788910497</v>
      </c>
      <c r="K23" s="421">
        <v>0</v>
      </c>
      <c r="L23" s="421">
        <v>0</v>
      </c>
      <c r="M23" s="421">
        <v>-38.612430143116498</v>
      </c>
      <c r="N23" s="421">
        <v>0</v>
      </c>
      <c r="O23" s="421">
        <v>0</v>
      </c>
      <c r="P23" s="421">
        <v>0</v>
      </c>
      <c r="Q23" s="421">
        <v>0</v>
      </c>
      <c r="R23" s="421">
        <v>0</v>
      </c>
      <c r="S23" s="429">
        <v>4.71147464579402</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354.92299030709302</v>
      </c>
      <c r="F25" s="421">
        <v>-351.37376040402199</v>
      </c>
      <c r="G25" s="421">
        <v>0</v>
      </c>
      <c r="H25" s="421">
        <v>0</v>
      </c>
      <c r="I25" s="421">
        <v>0</v>
      </c>
      <c r="J25" s="421">
        <v>0</v>
      </c>
      <c r="K25" s="421">
        <v>0</v>
      </c>
      <c r="L25" s="421">
        <v>0</v>
      </c>
      <c r="M25" s="421">
        <v>0</v>
      </c>
      <c r="N25" s="421">
        <v>0</v>
      </c>
      <c r="O25" s="421">
        <v>0</v>
      </c>
      <c r="P25" s="421">
        <v>0</v>
      </c>
      <c r="Q25" s="421">
        <v>0</v>
      </c>
      <c r="R25" s="421">
        <v>0</v>
      </c>
      <c r="S25" s="429">
        <v>3.54922990307091</v>
      </c>
      <c r="T25" s="412"/>
    </row>
    <row r="26" spans="2:20" ht="13.5">
      <c r="B26" s="412"/>
      <c r="C26" s="428" t="s">
        <v>354</v>
      </c>
      <c r="D26" s="421">
        <v>0</v>
      </c>
      <c r="E26" s="421">
        <v>0</v>
      </c>
      <c r="F26" s="421">
        <v>0</v>
      </c>
      <c r="G26" s="421">
        <v>0</v>
      </c>
      <c r="H26" s="421">
        <v>0</v>
      </c>
      <c r="I26" s="421">
        <v>0</v>
      </c>
      <c r="J26" s="421">
        <v>71.6348751715379</v>
      </c>
      <c r="K26" s="421">
        <v>0</v>
      </c>
      <c r="L26" s="421">
        <v>-71.6348751715379</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-15.7927133896962</v>
      </c>
      <c r="M27" s="421">
        <v>0</v>
      </c>
      <c r="N27" s="421">
        <v>0</v>
      </c>
      <c r="O27" s="421">
        <v>0</v>
      </c>
      <c r="P27" s="421">
        <v>0</v>
      </c>
      <c r="Q27" s="421">
        <v>0</v>
      </c>
      <c r="R27" s="421">
        <v>22.561019128137399</v>
      </c>
      <c r="S27" s="429">
        <v>6.7683057384412297</v>
      </c>
      <c r="T27" s="412"/>
    </row>
    <row r="28" spans="2:20" ht="13.5">
      <c r="B28" s="412"/>
      <c r="C28" s="428" t="s">
        <v>73</v>
      </c>
      <c r="D28" s="421">
        <v>0</v>
      </c>
      <c r="E28" s="421">
        <v>0</v>
      </c>
      <c r="F28" s="421">
        <v>0</v>
      </c>
      <c r="G28" s="421">
        <v>14.420213484885</v>
      </c>
      <c r="H28" s="421">
        <v>0</v>
      </c>
      <c r="I28" s="421">
        <v>0</v>
      </c>
      <c r="J28" s="421">
        <v>0</v>
      </c>
      <c r="K28" s="421">
        <v>0.57508328952682097</v>
      </c>
      <c r="L28" s="421">
        <v>0</v>
      </c>
      <c r="M28" s="421">
        <v>2.5447435561561802</v>
      </c>
      <c r="N28" s="421">
        <v>0</v>
      </c>
      <c r="O28" s="421">
        <v>0</v>
      </c>
      <c r="P28" s="421">
        <v>41.914310165512902</v>
      </c>
      <c r="Q28" s="421">
        <v>0</v>
      </c>
      <c r="R28" s="421">
        <v>-40.255830266877503</v>
      </c>
      <c r="S28" s="429">
        <v>19.198520229203499</v>
      </c>
      <c r="T28" s="412"/>
    </row>
    <row r="29" spans="2:20" ht="13.5">
      <c r="B29" s="412"/>
      <c r="C29" s="428" t="s">
        <v>356</v>
      </c>
      <c r="D29" s="421">
        <v>3.6632235107421902</v>
      </c>
      <c r="E29" s="421">
        <v>-12.2980816141408</v>
      </c>
      <c r="F29" s="421">
        <v>16.085164362607902</v>
      </c>
      <c r="G29" s="421">
        <v>0</v>
      </c>
      <c r="H29" s="421">
        <v>0</v>
      </c>
      <c r="I29" s="421">
        <v>0</v>
      </c>
      <c r="J29" s="421">
        <v>0</v>
      </c>
      <c r="K29" s="421">
        <v>0</v>
      </c>
      <c r="L29" s="421">
        <v>0</v>
      </c>
      <c r="M29" s="421">
        <v>0</v>
      </c>
      <c r="N29" s="421">
        <v>0</v>
      </c>
      <c r="O29" s="421">
        <v>0</v>
      </c>
      <c r="P29" s="421">
        <v>0</v>
      </c>
      <c r="Q29" s="421">
        <v>0</v>
      </c>
      <c r="R29" s="421">
        <v>0</v>
      </c>
      <c r="S29" s="429">
        <v>7.4503062592093503</v>
      </c>
      <c r="T29" s="412"/>
    </row>
    <row r="30" spans="2:20" ht="13.5">
      <c r="B30" s="412"/>
      <c r="C30" s="428" t="s">
        <v>75</v>
      </c>
      <c r="D30" s="421">
        <v>4.4693862304687499</v>
      </c>
      <c r="E30" s="421">
        <v>0</v>
      </c>
      <c r="F30" s="421">
        <v>18.451576715081099</v>
      </c>
      <c r="G30" s="421">
        <v>4.5667652369825698</v>
      </c>
      <c r="H30" s="421">
        <v>0</v>
      </c>
      <c r="I30" s="421">
        <v>0</v>
      </c>
      <c r="J30" s="421">
        <v>0</v>
      </c>
      <c r="K30" s="421">
        <v>0</v>
      </c>
      <c r="L30" s="421">
        <v>0</v>
      </c>
      <c r="M30" s="421">
        <v>0.80589974770280703</v>
      </c>
      <c r="N30" s="421">
        <v>0</v>
      </c>
      <c r="O30" s="421">
        <v>0</v>
      </c>
      <c r="P30" s="421">
        <v>33.672954545454502</v>
      </c>
      <c r="Q30" s="421">
        <v>0</v>
      </c>
      <c r="R30" s="421">
        <v>0</v>
      </c>
      <c r="S30" s="429">
        <v>61.966582475689798</v>
      </c>
      <c r="T30" s="412"/>
    </row>
    <row r="31" spans="2:20" ht="13.5">
      <c r="B31" s="412"/>
      <c r="C31" s="428" t="s">
        <v>76</v>
      </c>
      <c r="D31" s="421">
        <v>0</v>
      </c>
      <c r="E31" s="421">
        <v>0</v>
      </c>
      <c r="F31" s="421">
        <v>0</v>
      </c>
      <c r="G31" s="421">
        <v>2.59451111633589</v>
      </c>
      <c r="H31" s="421">
        <v>0</v>
      </c>
      <c r="I31" s="421">
        <v>0</v>
      </c>
      <c r="J31" s="421">
        <v>0</v>
      </c>
      <c r="K31" s="421">
        <v>0</v>
      </c>
      <c r="L31" s="421">
        <v>0</v>
      </c>
      <c r="M31" s="421">
        <v>0.457854902882804</v>
      </c>
      <c r="N31" s="421">
        <v>0</v>
      </c>
      <c r="O31" s="421">
        <v>0</v>
      </c>
      <c r="P31" s="421">
        <v>45.736213123829799</v>
      </c>
      <c r="Q31" s="421">
        <v>5.8710294818526103</v>
      </c>
      <c r="R31" s="421">
        <v>0</v>
      </c>
      <c r="S31" s="429">
        <v>54.659608624901097</v>
      </c>
      <c r="T31" s="412"/>
    </row>
    <row r="32" spans="2:20" ht="13.5">
      <c r="B32" s="412"/>
      <c r="C32" s="424" t="s">
        <v>77</v>
      </c>
      <c r="D32" s="425">
        <v>8.1326097412109402</v>
      </c>
      <c r="E32" s="425">
        <v>342.62490869295198</v>
      </c>
      <c r="F32" s="425">
        <v>-316.83701932633301</v>
      </c>
      <c r="G32" s="425">
        <v>62.335055480417701</v>
      </c>
      <c r="H32" s="425">
        <v>994.39393939393995</v>
      </c>
      <c r="I32" s="425">
        <v>245.9</v>
      </c>
      <c r="J32" s="425">
        <v>163.04614641280401</v>
      </c>
      <c r="K32" s="425">
        <v>32.979783785252302</v>
      </c>
      <c r="L32" s="425">
        <v>-87.427588561234103</v>
      </c>
      <c r="M32" s="425">
        <v>-27.612126234807501</v>
      </c>
      <c r="N32" s="425">
        <v>0</v>
      </c>
      <c r="O32" s="425">
        <v>8.6642897086234303</v>
      </c>
      <c r="P32" s="425">
        <v>-478.87652216520303</v>
      </c>
      <c r="Q32" s="425">
        <v>-69.893208117293</v>
      </c>
      <c r="R32" s="425">
        <v>-15.3198111387401</v>
      </c>
      <c r="S32" s="425">
        <v>862.11045767158896</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1.22322682797306</v>
      </c>
      <c r="E34" s="421">
        <v>0</v>
      </c>
      <c r="F34" s="421">
        <v>12.3232605440811</v>
      </c>
      <c r="G34" s="421">
        <v>71.153898442538505</v>
      </c>
      <c r="H34" s="421">
        <v>0</v>
      </c>
      <c r="I34" s="421">
        <v>0</v>
      </c>
      <c r="J34" s="421">
        <v>15.298292037520801</v>
      </c>
      <c r="K34" s="421">
        <v>5.70133943396368</v>
      </c>
      <c r="L34" s="421">
        <v>2.2588896484375001</v>
      </c>
      <c r="M34" s="421">
        <v>12.5565703133891</v>
      </c>
      <c r="N34" s="421">
        <v>0</v>
      </c>
      <c r="O34" s="421">
        <v>0</v>
      </c>
      <c r="P34" s="421">
        <v>133.21901148131599</v>
      </c>
      <c r="Q34" s="421">
        <v>22.777144165315601</v>
      </c>
      <c r="R34" s="421">
        <v>5.7972734375000003</v>
      </c>
      <c r="S34" s="429">
        <v>282.30890633203597</v>
      </c>
      <c r="T34" s="412"/>
    </row>
    <row r="35" spans="2:20" ht="13.5">
      <c r="B35" s="412"/>
      <c r="C35" s="428" t="s">
        <v>79</v>
      </c>
      <c r="D35" s="421">
        <v>0</v>
      </c>
      <c r="E35" s="421">
        <v>0</v>
      </c>
      <c r="F35" s="421">
        <v>142.87668444965701</v>
      </c>
      <c r="G35" s="421">
        <v>18.931026789455998</v>
      </c>
      <c r="H35" s="421">
        <v>0</v>
      </c>
      <c r="I35" s="421">
        <v>0</v>
      </c>
      <c r="J35" s="421">
        <v>0</v>
      </c>
      <c r="K35" s="421">
        <v>0</v>
      </c>
      <c r="L35" s="421">
        <v>49.5464067059184</v>
      </c>
      <c r="M35" s="421">
        <v>3.3407694334334099</v>
      </c>
      <c r="N35" s="421">
        <v>0</v>
      </c>
      <c r="O35" s="421">
        <v>0</v>
      </c>
      <c r="P35" s="421">
        <v>60.194437902512199</v>
      </c>
      <c r="Q35" s="421">
        <v>0</v>
      </c>
      <c r="R35" s="421">
        <v>2.09566112588168</v>
      </c>
      <c r="S35" s="429">
        <v>276.98498640685898</v>
      </c>
      <c r="T35" s="412"/>
    </row>
    <row r="36" spans="2:20" ht="13.5">
      <c r="B36" s="412"/>
      <c r="C36" s="428" t="s">
        <v>80</v>
      </c>
      <c r="D36" s="421">
        <v>0</v>
      </c>
      <c r="E36" s="421">
        <v>0</v>
      </c>
      <c r="F36" s="421">
        <v>0.95174155183324205</v>
      </c>
      <c r="G36" s="421">
        <v>34.619487827616503</v>
      </c>
      <c r="H36" s="421">
        <v>0</v>
      </c>
      <c r="I36" s="421">
        <v>0</v>
      </c>
      <c r="J36" s="421">
        <v>76.360421720428903</v>
      </c>
      <c r="K36" s="421">
        <v>0</v>
      </c>
      <c r="L36" s="421">
        <v>0</v>
      </c>
      <c r="M36" s="421">
        <v>6.1093213813440803</v>
      </c>
      <c r="N36" s="421">
        <v>61.688599152298004</v>
      </c>
      <c r="O36" s="421">
        <v>1.68134083806818</v>
      </c>
      <c r="P36" s="421">
        <v>155.96813987489199</v>
      </c>
      <c r="Q36" s="421">
        <v>36.966630005372501</v>
      </c>
      <c r="R36" s="421">
        <v>0</v>
      </c>
      <c r="S36" s="429">
        <v>374.34568235185299</v>
      </c>
      <c r="T36" s="412"/>
    </row>
    <row r="37" spans="2:20" ht="13.5">
      <c r="B37" s="412"/>
      <c r="C37" s="428" t="s">
        <v>81</v>
      </c>
      <c r="D37" s="421">
        <v>0</v>
      </c>
      <c r="E37" s="421">
        <v>0</v>
      </c>
      <c r="F37" s="421">
        <v>2.11008846392241</v>
      </c>
      <c r="G37" s="421">
        <v>28.4805688295863</v>
      </c>
      <c r="H37" s="421">
        <v>0</v>
      </c>
      <c r="I37" s="421">
        <v>0</v>
      </c>
      <c r="J37" s="421">
        <v>7.5276105699702702</v>
      </c>
      <c r="K37" s="421">
        <v>0</v>
      </c>
      <c r="L37" s="421">
        <v>0</v>
      </c>
      <c r="M37" s="421">
        <v>5.0259827346328798</v>
      </c>
      <c r="N37" s="421">
        <v>14.3473454853701</v>
      </c>
      <c r="O37" s="421">
        <v>1.68119123787141</v>
      </c>
      <c r="P37" s="421">
        <v>117.369254343737</v>
      </c>
      <c r="Q37" s="421">
        <v>10.1494339466048</v>
      </c>
      <c r="R37" s="421">
        <v>0</v>
      </c>
      <c r="S37" s="429">
        <v>186.69147561169501</v>
      </c>
      <c r="T37" s="412"/>
    </row>
    <row r="38" spans="2:20" ht="13.5">
      <c r="B38" s="412"/>
      <c r="C38" s="428" t="s">
        <v>82</v>
      </c>
      <c r="D38" s="421">
        <v>0</v>
      </c>
      <c r="E38" s="421">
        <v>0</v>
      </c>
      <c r="F38" s="421">
        <v>17.601103552872999</v>
      </c>
      <c r="G38" s="421">
        <v>1.72660385440275</v>
      </c>
      <c r="H38" s="421">
        <v>0</v>
      </c>
      <c r="I38" s="421">
        <v>0</v>
      </c>
      <c r="J38" s="421">
        <v>2.5129576329044099</v>
      </c>
      <c r="K38" s="421">
        <v>0</v>
      </c>
      <c r="L38" s="421">
        <v>9.7844973088568903</v>
      </c>
      <c r="M38" s="421">
        <v>0.30469479783577902</v>
      </c>
      <c r="N38" s="421">
        <v>0</v>
      </c>
      <c r="O38" s="421">
        <v>0.96290247555165798</v>
      </c>
      <c r="P38" s="421">
        <v>7.1006040218742701</v>
      </c>
      <c r="Q38" s="421">
        <v>0</v>
      </c>
      <c r="R38" s="421">
        <v>0.24940873791150001</v>
      </c>
      <c r="S38" s="429">
        <v>40.242772382210298</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1.6</v>
      </c>
      <c r="Q39" s="421">
        <v>0</v>
      </c>
      <c r="R39" s="421">
        <v>0</v>
      </c>
      <c r="S39" s="429">
        <v>1.6</v>
      </c>
      <c r="T39" s="412"/>
    </row>
    <row r="40" spans="2:20" ht="13.5">
      <c r="B40" s="412"/>
      <c r="C40" s="424" t="s">
        <v>83</v>
      </c>
      <c r="D40" s="425">
        <v>1.22322682797306</v>
      </c>
      <c r="E40" s="425">
        <v>0</v>
      </c>
      <c r="F40" s="425">
        <v>175.862878562367</v>
      </c>
      <c r="G40" s="425">
        <v>154.9115857436</v>
      </c>
      <c r="H40" s="425">
        <v>0</v>
      </c>
      <c r="I40" s="425">
        <v>0</v>
      </c>
      <c r="J40" s="425">
        <v>101.699281960824</v>
      </c>
      <c r="K40" s="425">
        <v>5.70133943396368</v>
      </c>
      <c r="L40" s="425">
        <v>61.589793663212802</v>
      </c>
      <c r="M40" s="425">
        <v>27.3373386606353</v>
      </c>
      <c r="N40" s="425">
        <v>76.035944637668194</v>
      </c>
      <c r="O40" s="425">
        <v>4.3254345514912496</v>
      </c>
      <c r="P40" s="425">
        <v>475.45144762433102</v>
      </c>
      <c r="Q40" s="425">
        <v>69.893208117293</v>
      </c>
      <c r="R40" s="425">
        <v>8.1423433012931792</v>
      </c>
      <c r="S40" s="425">
        <v>1162.1738230846499</v>
      </c>
      <c r="T40" s="412"/>
    </row>
    <row r="41" spans="2:20" ht="13.5">
      <c r="B41" s="412"/>
      <c r="C41" s="420" t="s">
        <v>84</v>
      </c>
      <c r="D41" s="421">
        <v>0.56256375732421904</v>
      </c>
      <c r="E41" s="421">
        <v>0</v>
      </c>
      <c r="F41" s="421">
        <v>106.478881904514</v>
      </c>
      <c r="G41" s="421">
        <v>10.27102395505</v>
      </c>
      <c r="H41" s="421">
        <v>0</v>
      </c>
      <c r="I41" s="421">
        <v>0</v>
      </c>
      <c r="J41" s="421">
        <v>0</v>
      </c>
      <c r="K41" s="421">
        <v>0</v>
      </c>
      <c r="L41" s="421">
        <v>9.6859590362548804</v>
      </c>
      <c r="M41" s="421">
        <v>0</v>
      </c>
      <c r="N41" s="421">
        <v>0</v>
      </c>
      <c r="O41" s="421">
        <v>0</v>
      </c>
      <c r="P41" s="421">
        <v>0</v>
      </c>
      <c r="Q41" s="421">
        <v>0</v>
      </c>
      <c r="R41" s="421">
        <v>7.0342457611083997</v>
      </c>
      <c r="S41" s="429">
        <v>134.03267441425101</v>
      </c>
      <c r="T41" s="412"/>
    </row>
    <row r="42" spans="2:20" ht="13.5">
      <c r="B42" s="412"/>
      <c r="C42" s="424" t="s">
        <v>85</v>
      </c>
      <c r="D42" s="425">
        <v>1.78579058529727</v>
      </c>
      <c r="E42" s="425">
        <v>0</v>
      </c>
      <c r="F42" s="425">
        <v>282.34176046687998</v>
      </c>
      <c r="G42" s="425">
        <v>165.18260969865</v>
      </c>
      <c r="H42" s="425">
        <v>0</v>
      </c>
      <c r="I42" s="425">
        <v>0</v>
      </c>
      <c r="J42" s="425">
        <v>101.699281960824</v>
      </c>
      <c r="K42" s="425">
        <v>5.70133943396368</v>
      </c>
      <c r="L42" s="425">
        <v>71.275752699467702</v>
      </c>
      <c r="M42" s="425">
        <v>27.3373386606353</v>
      </c>
      <c r="N42" s="425">
        <v>76.035944637668194</v>
      </c>
      <c r="O42" s="425">
        <v>4.3254345514912496</v>
      </c>
      <c r="P42" s="425">
        <v>475.45144762433102</v>
      </c>
      <c r="Q42" s="425">
        <v>69.8932081172929</v>
      </c>
      <c r="R42" s="425">
        <v>15.1765890624016</v>
      </c>
      <c r="S42" s="425">
        <v>1296.2064974989</v>
      </c>
      <c r="T42" s="412"/>
    </row>
    <row r="43" spans="2:20">
      <c r="B43" s="412"/>
      <c r="C43" s="412"/>
      <c r="D43" s="430">
        <f t="shared" ref="D43:S43" si="0">D42+D32-D18</f>
        <v>0</v>
      </c>
      <c r="E43" s="430">
        <f t="shared" si="0"/>
        <v>0</v>
      </c>
      <c r="F43" s="430">
        <f t="shared" si="0"/>
        <v>-8.3133500083931722E-13</v>
      </c>
      <c r="G43" s="430">
        <f t="shared" si="0"/>
        <v>-2.8421709430404007E-13</v>
      </c>
      <c r="H43" s="430">
        <f t="shared" si="0"/>
        <v>0</v>
      </c>
      <c r="I43" s="430">
        <f t="shared" si="0"/>
        <v>0</v>
      </c>
      <c r="J43" s="430">
        <f t="shared" si="0"/>
        <v>0</v>
      </c>
      <c r="K43" s="430">
        <f t="shared" si="0"/>
        <v>0</v>
      </c>
      <c r="L43" s="430">
        <f t="shared" si="0"/>
        <v>9.9475983006414026E-14</v>
      </c>
      <c r="M43" s="430">
        <f t="shared" si="0"/>
        <v>-2.8255175976710234E-14</v>
      </c>
      <c r="N43" s="430">
        <f t="shared" si="0"/>
        <v>0</v>
      </c>
      <c r="O43" s="430">
        <f t="shared" si="0"/>
        <v>-1.9539925233402755E-14</v>
      </c>
      <c r="P43" s="430">
        <f t="shared" si="0"/>
        <v>-6.2350125062948791E-13</v>
      </c>
      <c r="Q43" s="430">
        <f t="shared" si="0"/>
        <v>-9.9475983006414026E-14</v>
      </c>
      <c r="R43" s="430">
        <f t="shared" si="0"/>
        <v>-9.7144514654701197E-15</v>
      </c>
      <c r="S43" s="430">
        <f t="shared" si="0"/>
        <v>0</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362</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2.3260000000000001</v>
      </c>
      <c r="F49" s="421">
        <v>0</v>
      </c>
      <c r="G49" s="421">
        <v>3.7215999999999999E-2</v>
      </c>
      <c r="H49" s="422">
        <v>949.39393939393904</v>
      </c>
      <c r="I49" s="422">
        <v>276.68</v>
      </c>
      <c r="J49" s="422">
        <v>284.734772116177</v>
      </c>
      <c r="K49" s="422">
        <v>38.511665616305898</v>
      </c>
      <c r="L49" s="421">
        <v>0</v>
      </c>
      <c r="M49" s="421">
        <v>0</v>
      </c>
      <c r="N49" s="422">
        <v>85.392433579820405</v>
      </c>
      <c r="O49" s="422">
        <v>15.074805441341001</v>
      </c>
      <c r="P49" s="421">
        <v>0</v>
      </c>
      <c r="Q49" s="421">
        <v>0</v>
      </c>
      <c r="R49" s="421">
        <v>0</v>
      </c>
      <c r="S49" s="423">
        <v>1652.1508321475801</v>
      </c>
      <c r="T49" s="412"/>
    </row>
    <row r="50" spans="2:20" ht="13.5">
      <c r="B50" s="412"/>
      <c r="C50" s="420" t="s">
        <v>60</v>
      </c>
      <c r="D50" s="421">
        <v>8.4277409701764192</v>
      </c>
      <c r="E50" s="421">
        <v>294.49378048971499</v>
      </c>
      <c r="F50" s="421">
        <v>3.02470006963182</v>
      </c>
      <c r="G50" s="421">
        <v>181.17738201956001</v>
      </c>
      <c r="H50" s="421">
        <v>0</v>
      </c>
      <c r="I50" s="421">
        <v>0</v>
      </c>
      <c r="J50" s="421">
        <v>0</v>
      </c>
      <c r="K50" s="421">
        <v>0</v>
      </c>
      <c r="L50" s="421">
        <v>0</v>
      </c>
      <c r="M50" s="421">
        <v>0</v>
      </c>
      <c r="N50" s="421">
        <v>0</v>
      </c>
      <c r="O50" s="421">
        <v>0</v>
      </c>
      <c r="P50" s="421">
        <v>13.6891405650981</v>
      </c>
      <c r="Q50" s="421">
        <v>0</v>
      </c>
      <c r="R50" s="421">
        <v>0</v>
      </c>
      <c r="S50" s="423">
        <v>500.81274411418099</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0</v>
      </c>
      <c r="Q51" s="421">
        <v>0</v>
      </c>
      <c r="R51" s="421">
        <v>0</v>
      </c>
      <c r="S51" s="423">
        <v>0</v>
      </c>
      <c r="T51" s="412"/>
    </row>
    <row r="52" spans="2:20" ht="13.5">
      <c r="B52" s="412"/>
      <c r="C52" s="420" t="s">
        <v>62</v>
      </c>
      <c r="D52" s="421">
        <v>0</v>
      </c>
      <c r="E52" s="421">
        <v>0</v>
      </c>
      <c r="F52" s="421">
        <v>-11.216317309287099</v>
      </c>
      <c r="G52" s="421">
        <v>-1.99710794114988</v>
      </c>
      <c r="H52" s="421">
        <v>0</v>
      </c>
      <c r="I52" s="421">
        <v>0</v>
      </c>
      <c r="J52" s="421">
        <v>0</v>
      </c>
      <c r="K52" s="421">
        <v>0</v>
      </c>
      <c r="L52" s="421">
        <v>0</v>
      </c>
      <c r="M52" s="421">
        <v>-0.69888193239441998</v>
      </c>
      <c r="N52" s="421">
        <v>0</v>
      </c>
      <c r="O52" s="421">
        <v>0</v>
      </c>
      <c r="P52" s="421">
        <v>0</v>
      </c>
      <c r="Q52" s="421">
        <v>0</v>
      </c>
      <c r="R52" s="421">
        <v>0</v>
      </c>
      <c r="S52" s="423">
        <v>-13.9123071828314</v>
      </c>
      <c r="T52" s="412"/>
    </row>
    <row r="53" spans="2:20" ht="13.5">
      <c r="B53" s="412"/>
      <c r="C53" s="420" t="s">
        <v>63</v>
      </c>
      <c r="D53" s="421">
        <v>0</v>
      </c>
      <c r="E53" s="421">
        <v>0</v>
      </c>
      <c r="F53" s="421">
        <v>-55.603077514900399</v>
      </c>
      <c r="G53" s="421">
        <v>0</v>
      </c>
      <c r="H53" s="421">
        <v>0</v>
      </c>
      <c r="I53" s="421">
        <v>0</v>
      </c>
      <c r="J53" s="421">
        <v>0</v>
      </c>
      <c r="K53" s="421">
        <v>0</v>
      </c>
      <c r="L53" s="421">
        <v>-22.070241117704398</v>
      </c>
      <c r="M53" s="421">
        <v>0</v>
      </c>
      <c r="N53" s="421">
        <v>0</v>
      </c>
      <c r="O53" s="421">
        <v>0</v>
      </c>
      <c r="P53" s="421">
        <v>0</v>
      </c>
      <c r="Q53" s="421">
        <v>0</v>
      </c>
      <c r="R53" s="421">
        <v>-0.48199249828489099</v>
      </c>
      <c r="S53" s="423">
        <v>-78.155311130889601</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8.4277409701764192</v>
      </c>
      <c r="E55" s="425">
        <v>296.81978048971501</v>
      </c>
      <c r="F55" s="425">
        <v>-63.794694754555699</v>
      </c>
      <c r="G55" s="425">
        <v>179.21749007841001</v>
      </c>
      <c r="H55" s="425">
        <v>949.39393939393904</v>
      </c>
      <c r="I55" s="425">
        <v>276.68</v>
      </c>
      <c r="J55" s="425">
        <v>284.734772116177</v>
      </c>
      <c r="K55" s="425">
        <v>38.511665616305898</v>
      </c>
      <c r="L55" s="425">
        <v>-22.070241117704398</v>
      </c>
      <c r="M55" s="425">
        <v>-0.69888193239441998</v>
      </c>
      <c r="N55" s="425">
        <v>85.392433579820405</v>
      </c>
      <c r="O55" s="425">
        <v>15.074805441341001</v>
      </c>
      <c r="P55" s="425">
        <v>13.6891405650981</v>
      </c>
      <c r="Q55" s="425">
        <v>0</v>
      </c>
      <c r="R55" s="425">
        <v>-0.48199249828489099</v>
      </c>
      <c r="S55" s="425">
        <v>2060.8959579480402</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12.8533333333333</v>
      </c>
      <c r="H58" s="421">
        <v>949.39393939393904</v>
      </c>
      <c r="I58" s="421">
        <v>276.68</v>
      </c>
      <c r="J58" s="421">
        <v>18.141357717605299</v>
      </c>
      <c r="K58" s="421">
        <v>5.2928476822958697</v>
      </c>
      <c r="L58" s="421">
        <v>0</v>
      </c>
      <c r="M58" s="421">
        <v>4.05894736842105</v>
      </c>
      <c r="N58" s="421">
        <v>0</v>
      </c>
      <c r="O58" s="421">
        <v>0</v>
      </c>
      <c r="P58" s="421">
        <v>-609.38</v>
      </c>
      <c r="Q58" s="421">
        <v>0</v>
      </c>
      <c r="R58" s="421">
        <v>3.8</v>
      </c>
      <c r="S58" s="429">
        <v>660.84042549559501</v>
      </c>
      <c r="T58" s="412"/>
    </row>
    <row r="59" spans="2:20" ht="13.5">
      <c r="B59" s="412"/>
      <c r="C59" s="428" t="s">
        <v>351</v>
      </c>
      <c r="D59" s="421">
        <v>0</v>
      </c>
      <c r="E59" s="421">
        <v>0</v>
      </c>
      <c r="F59" s="421">
        <v>0</v>
      </c>
      <c r="G59" s="421">
        <v>13.2997527316566</v>
      </c>
      <c r="H59" s="421">
        <v>0</v>
      </c>
      <c r="I59" s="421">
        <v>0</v>
      </c>
      <c r="J59" s="421">
        <v>29.191829684725199</v>
      </c>
      <c r="K59" s="421">
        <v>27.043598962685898</v>
      </c>
      <c r="L59" s="421">
        <v>0</v>
      </c>
      <c r="M59" s="421">
        <v>4.1999219152599903</v>
      </c>
      <c r="N59" s="421">
        <v>0</v>
      </c>
      <c r="O59" s="421">
        <v>10.1722943931358</v>
      </c>
      <c r="P59" s="421">
        <v>0</v>
      </c>
      <c r="Q59" s="421">
        <v>-77.056499329406094</v>
      </c>
      <c r="R59" s="421">
        <v>0</v>
      </c>
      <c r="S59" s="429">
        <v>6.8508983580574103</v>
      </c>
      <c r="T59" s="412"/>
    </row>
    <row r="60" spans="2:20" ht="13.5">
      <c r="B60" s="412"/>
      <c r="C60" s="428" t="s">
        <v>352</v>
      </c>
      <c r="D60" s="421">
        <v>0</v>
      </c>
      <c r="E60" s="421">
        <v>0</v>
      </c>
      <c r="F60" s="421">
        <v>0</v>
      </c>
      <c r="G60" s="421">
        <v>0</v>
      </c>
      <c r="H60" s="421">
        <v>0</v>
      </c>
      <c r="I60" s="421">
        <v>0</v>
      </c>
      <c r="J60" s="421">
        <v>60.206069168057198</v>
      </c>
      <c r="K60" s="421">
        <v>0</v>
      </c>
      <c r="L60" s="421">
        <v>0</v>
      </c>
      <c r="M60" s="421">
        <v>-54.4262865279237</v>
      </c>
      <c r="N60" s="421">
        <v>0</v>
      </c>
      <c r="O60" s="421">
        <v>0</v>
      </c>
      <c r="P60" s="421">
        <v>0</v>
      </c>
      <c r="Q60" s="421">
        <v>0</v>
      </c>
      <c r="R60" s="421">
        <v>0</v>
      </c>
      <c r="S60" s="429">
        <v>5.7797826401334804</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307.47374578102801</v>
      </c>
      <c r="F62" s="421">
        <v>-304.399008323217</v>
      </c>
      <c r="G62" s="421">
        <v>0</v>
      </c>
      <c r="H62" s="421">
        <v>0</v>
      </c>
      <c r="I62" s="421">
        <v>0</v>
      </c>
      <c r="J62" s="421">
        <v>0</v>
      </c>
      <c r="K62" s="421">
        <v>0</v>
      </c>
      <c r="L62" s="421">
        <v>0</v>
      </c>
      <c r="M62" s="421">
        <v>0</v>
      </c>
      <c r="N62" s="421">
        <v>0</v>
      </c>
      <c r="O62" s="421">
        <v>0</v>
      </c>
      <c r="P62" s="421">
        <v>0</v>
      </c>
      <c r="Q62" s="421">
        <v>0</v>
      </c>
      <c r="R62" s="421">
        <v>0</v>
      </c>
      <c r="S62" s="429">
        <v>3.07473745781027</v>
      </c>
      <c r="T62" s="412"/>
    </row>
    <row r="63" spans="2:20" ht="13.5">
      <c r="B63" s="412"/>
      <c r="C63" s="428" t="s">
        <v>354</v>
      </c>
      <c r="D63" s="421">
        <v>0</v>
      </c>
      <c r="E63" s="421">
        <v>0</v>
      </c>
      <c r="F63" s="421">
        <v>0</v>
      </c>
      <c r="G63" s="421">
        <v>0</v>
      </c>
      <c r="H63" s="421">
        <v>0</v>
      </c>
      <c r="I63" s="421">
        <v>0</v>
      </c>
      <c r="J63" s="421">
        <v>85.931808179639404</v>
      </c>
      <c r="K63" s="421">
        <v>0</v>
      </c>
      <c r="L63" s="421">
        <v>-85.931808179639404</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-17.535700738468499</v>
      </c>
      <c r="M64" s="421">
        <v>0</v>
      </c>
      <c r="N64" s="421">
        <v>0</v>
      </c>
      <c r="O64" s="421">
        <v>0</v>
      </c>
      <c r="P64" s="421">
        <v>0</v>
      </c>
      <c r="Q64" s="421">
        <v>0</v>
      </c>
      <c r="R64" s="421">
        <v>25.051001054954899</v>
      </c>
      <c r="S64" s="429">
        <v>7.5153003164864902</v>
      </c>
      <c r="T64" s="412"/>
    </row>
    <row r="65" spans="2:20" ht="13.5">
      <c r="B65" s="412"/>
      <c r="C65" s="428" t="s">
        <v>73</v>
      </c>
      <c r="D65" s="421">
        <v>0</v>
      </c>
      <c r="E65" s="421">
        <v>0</v>
      </c>
      <c r="F65" s="421">
        <v>0</v>
      </c>
      <c r="G65" s="421">
        <v>12.8407715215872</v>
      </c>
      <c r="H65" s="421">
        <v>0</v>
      </c>
      <c r="I65" s="421">
        <v>0</v>
      </c>
      <c r="J65" s="421">
        <v>0</v>
      </c>
      <c r="K65" s="421">
        <v>0.70990554630623504</v>
      </c>
      <c r="L65" s="421">
        <v>0</v>
      </c>
      <c r="M65" s="421">
        <v>4.05498048050121</v>
      </c>
      <c r="N65" s="421">
        <v>0</v>
      </c>
      <c r="O65" s="421">
        <v>0</v>
      </c>
      <c r="P65" s="421">
        <v>55.117150379882297</v>
      </c>
      <c r="Q65" s="421">
        <v>0</v>
      </c>
      <c r="R65" s="421">
        <v>-49.693388241436402</v>
      </c>
      <c r="S65" s="429">
        <v>23.029419686840502</v>
      </c>
      <c r="T65" s="412"/>
    </row>
    <row r="66" spans="2:20" ht="13.5">
      <c r="B66" s="412"/>
      <c r="C66" s="428" t="s">
        <v>356</v>
      </c>
      <c r="D66" s="421">
        <v>2.83393890380859</v>
      </c>
      <c r="E66" s="421">
        <v>-10.6539652913126</v>
      </c>
      <c r="F66" s="421">
        <v>13.9347573224132</v>
      </c>
      <c r="G66" s="421">
        <v>0</v>
      </c>
      <c r="H66" s="421">
        <v>0</v>
      </c>
      <c r="I66" s="421">
        <v>0</v>
      </c>
      <c r="J66" s="421">
        <v>0</v>
      </c>
      <c r="K66" s="421">
        <v>0</v>
      </c>
      <c r="L66" s="421">
        <v>0</v>
      </c>
      <c r="M66" s="421">
        <v>0</v>
      </c>
      <c r="N66" s="421">
        <v>0</v>
      </c>
      <c r="O66" s="421">
        <v>0</v>
      </c>
      <c r="P66" s="421">
        <v>0</v>
      </c>
      <c r="Q66" s="421">
        <v>0</v>
      </c>
      <c r="R66" s="421">
        <v>0</v>
      </c>
      <c r="S66" s="429">
        <v>6.1147309349091996</v>
      </c>
      <c r="T66" s="412"/>
    </row>
    <row r="67" spans="2:20" ht="13.5">
      <c r="B67" s="412"/>
      <c r="C67" s="428" t="s">
        <v>75</v>
      </c>
      <c r="D67" s="421">
        <v>3.8710979003906201</v>
      </c>
      <c r="E67" s="421">
        <v>0</v>
      </c>
      <c r="F67" s="421">
        <v>18.035338972064899</v>
      </c>
      <c r="G67" s="421">
        <v>3.99111442428871</v>
      </c>
      <c r="H67" s="421">
        <v>0</v>
      </c>
      <c r="I67" s="421">
        <v>0</v>
      </c>
      <c r="J67" s="421">
        <v>0</v>
      </c>
      <c r="K67" s="421">
        <v>0</v>
      </c>
      <c r="L67" s="421">
        <v>0</v>
      </c>
      <c r="M67" s="421">
        <v>1.2603519234595899</v>
      </c>
      <c r="N67" s="421">
        <v>0</v>
      </c>
      <c r="O67" s="421">
        <v>0</v>
      </c>
      <c r="P67" s="421">
        <v>35.255454545454498</v>
      </c>
      <c r="Q67" s="421">
        <v>0</v>
      </c>
      <c r="R67" s="421">
        <v>0</v>
      </c>
      <c r="S67" s="429">
        <v>62.413357765658397</v>
      </c>
      <c r="T67" s="412"/>
    </row>
    <row r="68" spans="2:20" ht="13.5">
      <c r="B68" s="412"/>
      <c r="C68" s="428" t="s">
        <v>76</v>
      </c>
      <c r="D68" s="421">
        <v>0</v>
      </c>
      <c r="E68" s="421">
        <v>0</v>
      </c>
      <c r="F68" s="421">
        <v>0</v>
      </c>
      <c r="G68" s="421">
        <v>2.0436747905742099</v>
      </c>
      <c r="H68" s="421">
        <v>0</v>
      </c>
      <c r="I68" s="421">
        <v>0</v>
      </c>
      <c r="J68" s="421">
        <v>0</v>
      </c>
      <c r="K68" s="421">
        <v>0</v>
      </c>
      <c r="L68" s="421">
        <v>0</v>
      </c>
      <c r="M68" s="421">
        <v>0.64537098649711899</v>
      </c>
      <c r="N68" s="421">
        <v>0</v>
      </c>
      <c r="O68" s="421">
        <v>0</v>
      </c>
      <c r="P68" s="421">
        <v>47.751374577011198</v>
      </c>
      <c r="Q68" s="421">
        <v>5.9711678447141301</v>
      </c>
      <c r="R68" s="421">
        <v>0</v>
      </c>
      <c r="S68" s="429">
        <v>56.4115881987967</v>
      </c>
      <c r="T68" s="412"/>
    </row>
    <row r="69" spans="2:20" ht="13.5">
      <c r="B69" s="412"/>
      <c r="C69" s="424" t="s">
        <v>77</v>
      </c>
      <c r="D69" s="425">
        <v>6.7050368041992199</v>
      </c>
      <c r="E69" s="425">
        <v>296.81978048971501</v>
      </c>
      <c r="F69" s="425">
        <v>-272.42891202873898</v>
      </c>
      <c r="G69" s="425">
        <v>45.028646801440097</v>
      </c>
      <c r="H69" s="425">
        <v>949.39393939393904</v>
      </c>
      <c r="I69" s="425">
        <v>276.68</v>
      </c>
      <c r="J69" s="425">
        <v>193.47106475002701</v>
      </c>
      <c r="K69" s="425">
        <v>33.046352191288001</v>
      </c>
      <c r="L69" s="425">
        <v>-103.467508918108</v>
      </c>
      <c r="M69" s="425">
        <v>-40.206713853784699</v>
      </c>
      <c r="N69" s="425">
        <v>0</v>
      </c>
      <c r="O69" s="425">
        <v>10.1722943931358</v>
      </c>
      <c r="P69" s="425">
        <v>-471.256020497652</v>
      </c>
      <c r="Q69" s="425">
        <v>-71.085331484692006</v>
      </c>
      <c r="R69" s="425">
        <v>-20.842387186481499</v>
      </c>
      <c r="S69" s="425">
        <v>832.03024085428694</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1.27819257295963</v>
      </c>
      <c r="E71" s="421">
        <v>0</v>
      </c>
      <c r="F71" s="421">
        <v>9.6128944226359607</v>
      </c>
      <c r="G71" s="421">
        <v>60.199792292935904</v>
      </c>
      <c r="H71" s="421">
        <v>0</v>
      </c>
      <c r="I71" s="421">
        <v>0</v>
      </c>
      <c r="J71" s="421">
        <v>14.9029709316316</v>
      </c>
      <c r="K71" s="421">
        <v>5.4653134250178503</v>
      </c>
      <c r="L71" s="421">
        <v>3.5459101562500002</v>
      </c>
      <c r="M71" s="421">
        <v>19.010460724085</v>
      </c>
      <c r="N71" s="421">
        <v>0</v>
      </c>
      <c r="O71" s="421">
        <v>0</v>
      </c>
      <c r="P71" s="421">
        <v>136.692289377436</v>
      </c>
      <c r="Q71" s="421">
        <v>23.646366063927399</v>
      </c>
      <c r="R71" s="421">
        <v>6.4302626953124999</v>
      </c>
      <c r="S71" s="429">
        <v>280.78445266219097</v>
      </c>
      <c r="T71" s="412"/>
    </row>
    <row r="72" spans="2:20" ht="13.5">
      <c r="B72" s="412"/>
      <c r="C72" s="428" t="s">
        <v>79</v>
      </c>
      <c r="D72" s="421">
        <v>0</v>
      </c>
      <c r="E72" s="421">
        <v>0</v>
      </c>
      <c r="F72" s="421">
        <v>87.8758260186641</v>
      </c>
      <c r="G72" s="421">
        <v>18.337650579977399</v>
      </c>
      <c r="H72" s="421">
        <v>0</v>
      </c>
      <c r="I72" s="421">
        <v>0</v>
      </c>
      <c r="J72" s="421">
        <v>0</v>
      </c>
      <c r="K72" s="421">
        <v>0</v>
      </c>
      <c r="L72" s="421">
        <v>50.618247821052101</v>
      </c>
      <c r="M72" s="421">
        <v>5.9499820008855098</v>
      </c>
      <c r="N72" s="421">
        <v>0</v>
      </c>
      <c r="O72" s="421">
        <v>0</v>
      </c>
      <c r="P72" s="421">
        <v>72.745040205449797</v>
      </c>
      <c r="Q72" s="421">
        <v>0</v>
      </c>
      <c r="R72" s="421">
        <v>3.6092463767880099</v>
      </c>
      <c r="S72" s="429">
        <v>239.135993002817</v>
      </c>
      <c r="T72" s="412"/>
    </row>
    <row r="73" spans="2:20" ht="13.5">
      <c r="B73" s="412"/>
      <c r="C73" s="428" t="s">
        <v>80</v>
      </c>
      <c r="D73" s="421">
        <v>0</v>
      </c>
      <c r="E73" s="421">
        <v>0</v>
      </c>
      <c r="F73" s="421">
        <v>0.73996972526279803</v>
      </c>
      <c r="G73" s="421">
        <v>24.071010680096698</v>
      </c>
      <c r="H73" s="421">
        <v>0</v>
      </c>
      <c r="I73" s="421">
        <v>0</v>
      </c>
      <c r="J73" s="421">
        <v>65.809563312785698</v>
      </c>
      <c r="K73" s="421">
        <v>0</v>
      </c>
      <c r="L73" s="421">
        <v>0</v>
      </c>
      <c r="M73" s="421">
        <v>7.60137179371476</v>
      </c>
      <c r="N73" s="421">
        <v>70.900752846109597</v>
      </c>
      <c r="O73" s="421">
        <v>2.1051398750689501</v>
      </c>
      <c r="P73" s="421">
        <v>151.15345776916399</v>
      </c>
      <c r="Q73" s="421">
        <v>36.326109024475898</v>
      </c>
      <c r="R73" s="421">
        <v>0</v>
      </c>
      <c r="S73" s="429">
        <v>358.70737502667799</v>
      </c>
      <c r="T73" s="412"/>
    </row>
    <row r="74" spans="2:20" ht="13.5">
      <c r="B74" s="412"/>
      <c r="C74" s="428" t="s">
        <v>81</v>
      </c>
      <c r="D74" s="421">
        <v>0</v>
      </c>
      <c r="E74" s="421">
        <v>0</v>
      </c>
      <c r="F74" s="421">
        <v>1.6908527840101399</v>
      </c>
      <c r="G74" s="421">
        <v>21.232227312602799</v>
      </c>
      <c r="H74" s="421">
        <v>0</v>
      </c>
      <c r="I74" s="421">
        <v>0</v>
      </c>
      <c r="J74" s="421">
        <v>7.3285872023111196</v>
      </c>
      <c r="K74" s="421">
        <v>0</v>
      </c>
      <c r="L74" s="421">
        <v>0</v>
      </c>
      <c r="M74" s="421">
        <v>6.7049138881903696</v>
      </c>
      <c r="N74" s="421">
        <v>14.491680733710799</v>
      </c>
      <c r="O74" s="421">
        <v>1.6318379540725301</v>
      </c>
      <c r="P74" s="421">
        <v>115.122674454118</v>
      </c>
      <c r="Q74" s="421">
        <v>11.1128563962888</v>
      </c>
      <c r="R74" s="421">
        <v>0</v>
      </c>
      <c r="S74" s="429">
        <v>179.315630725305</v>
      </c>
      <c r="T74" s="412"/>
    </row>
    <row r="75" spans="2:20" ht="13.5">
      <c r="B75" s="412"/>
      <c r="C75" s="428" t="s">
        <v>82</v>
      </c>
      <c r="D75" s="421">
        <v>0</v>
      </c>
      <c r="E75" s="421">
        <v>0</v>
      </c>
      <c r="F75" s="421">
        <v>12.5124400680813</v>
      </c>
      <c r="G75" s="421">
        <v>1.3106771859998501</v>
      </c>
      <c r="H75" s="421">
        <v>0</v>
      </c>
      <c r="I75" s="421">
        <v>0</v>
      </c>
      <c r="J75" s="421">
        <v>3.2225859194218698</v>
      </c>
      <c r="K75" s="421">
        <v>0</v>
      </c>
      <c r="L75" s="421">
        <v>12.553992450054499</v>
      </c>
      <c r="M75" s="421">
        <v>0.41389805873679603</v>
      </c>
      <c r="N75" s="421">
        <v>0</v>
      </c>
      <c r="O75" s="421">
        <v>1.16553321906376</v>
      </c>
      <c r="P75" s="421">
        <v>6.6716992565826096</v>
      </c>
      <c r="Q75" s="421">
        <v>0</v>
      </c>
      <c r="R75" s="421">
        <v>0.294856552375373</v>
      </c>
      <c r="S75" s="429">
        <v>38.145682710316102</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2.56</v>
      </c>
      <c r="Q76" s="421">
        <v>0</v>
      </c>
      <c r="R76" s="421">
        <v>0</v>
      </c>
      <c r="S76" s="429">
        <v>2.56</v>
      </c>
      <c r="T76" s="412"/>
    </row>
    <row r="77" spans="2:20" ht="13.5">
      <c r="B77" s="412"/>
      <c r="C77" s="424" t="s">
        <v>83</v>
      </c>
      <c r="D77" s="425">
        <v>1.27819257295963</v>
      </c>
      <c r="E77" s="425">
        <v>0</v>
      </c>
      <c r="F77" s="425">
        <v>112.43198301865399</v>
      </c>
      <c r="G77" s="425">
        <v>125.151358051613</v>
      </c>
      <c r="H77" s="425">
        <v>0</v>
      </c>
      <c r="I77" s="425">
        <v>0</v>
      </c>
      <c r="J77" s="425">
        <v>91.2637073661502</v>
      </c>
      <c r="K77" s="425">
        <v>5.4653134250178503</v>
      </c>
      <c r="L77" s="425">
        <v>66.718150427356605</v>
      </c>
      <c r="M77" s="425">
        <v>39.680626465612498</v>
      </c>
      <c r="N77" s="425">
        <v>85.392433579820405</v>
      </c>
      <c r="O77" s="425">
        <v>4.9025110482052403</v>
      </c>
      <c r="P77" s="425">
        <v>484.94516106275</v>
      </c>
      <c r="Q77" s="425">
        <v>71.085331484692006</v>
      </c>
      <c r="R77" s="425">
        <v>10.3343656244759</v>
      </c>
      <c r="S77" s="425">
        <v>1098.6491341273099</v>
      </c>
      <c r="T77" s="412"/>
    </row>
    <row r="78" spans="2:20" ht="13.5">
      <c r="B78" s="412"/>
      <c r="C78" s="420" t="s">
        <v>84</v>
      </c>
      <c r="D78" s="421">
        <v>0.44451159301757798</v>
      </c>
      <c r="E78" s="421">
        <v>0</v>
      </c>
      <c r="F78" s="421">
        <v>96.202234255529206</v>
      </c>
      <c r="G78" s="421">
        <v>8.8646906811351496</v>
      </c>
      <c r="H78" s="421">
        <v>0</v>
      </c>
      <c r="I78" s="421">
        <v>0</v>
      </c>
      <c r="J78" s="421">
        <v>0</v>
      </c>
      <c r="K78" s="421">
        <v>0</v>
      </c>
      <c r="L78" s="421">
        <v>14.6791173730469</v>
      </c>
      <c r="M78" s="421">
        <v>0</v>
      </c>
      <c r="N78" s="421">
        <v>0</v>
      </c>
      <c r="O78" s="421">
        <v>0</v>
      </c>
      <c r="P78" s="421">
        <v>0</v>
      </c>
      <c r="Q78" s="421">
        <v>0</v>
      </c>
      <c r="R78" s="421">
        <v>10.026029063720699</v>
      </c>
      <c r="S78" s="429">
        <v>130.21658296645001</v>
      </c>
      <c r="T78" s="412"/>
    </row>
    <row r="79" spans="2:20" ht="13.5">
      <c r="B79" s="412"/>
      <c r="C79" s="424" t="s">
        <v>85</v>
      </c>
      <c r="D79" s="425">
        <v>1.72270416597721</v>
      </c>
      <c r="E79" s="425">
        <v>0</v>
      </c>
      <c r="F79" s="425">
        <v>208.63421727418401</v>
      </c>
      <c r="G79" s="425">
        <v>134.016048732748</v>
      </c>
      <c r="H79" s="425">
        <v>0</v>
      </c>
      <c r="I79" s="425">
        <v>0</v>
      </c>
      <c r="J79" s="425">
        <v>91.2637073661502</v>
      </c>
      <c r="K79" s="425">
        <v>5.4653134250178503</v>
      </c>
      <c r="L79" s="425">
        <v>81.397267800403498</v>
      </c>
      <c r="M79" s="425">
        <v>39.680626465612498</v>
      </c>
      <c r="N79" s="425">
        <v>85.392433579820405</v>
      </c>
      <c r="O79" s="425">
        <v>4.9025110482052403</v>
      </c>
      <c r="P79" s="425">
        <v>484.94516106275</v>
      </c>
      <c r="Q79" s="425">
        <v>71.085331484692006</v>
      </c>
      <c r="R79" s="425">
        <v>20.3603946881966</v>
      </c>
      <c r="S79" s="425">
        <v>1228.8657170937599</v>
      </c>
      <c r="T79" s="412"/>
    </row>
    <row r="80" spans="2:20">
      <c r="B80" s="412"/>
      <c r="C80" s="412"/>
      <c r="D80" s="430">
        <f t="shared" ref="D80:S80" si="1">D79+D69-D55</f>
        <v>0</v>
      </c>
      <c r="E80" s="430">
        <f t="shared" si="1"/>
        <v>0</v>
      </c>
      <c r="F80" s="430">
        <f t="shared" si="1"/>
        <v>7.3185901783290319E-13</v>
      </c>
      <c r="G80" s="430">
        <f t="shared" si="1"/>
        <v>-0.1727945442219152</v>
      </c>
      <c r="H80" s="430">
        <f t="shared" si="1"/>
        <v>0</v>
      </c>
      <c r="I80" s="430">
        <f t="shared" si="1"/>
        <v>0</v>
      </c>
      <c r="J80" s="430">
        <f t="shared" si="1"/>
        <v>0</v>
      </c>
      <c r="K80" s="430">
        <f t="shared" si="1"/>
        <v>0</v>
      </c>
      <c r="L80" s="430">
        <f t="shared" si="1"/>
        <v>-9.9475983006414026E-14</v>
      </c>
      <c r="M80" s="430">
        <f t="shared" si="1"/>
        <v>0.1727945442222194</v>
      </c>
      <c r="N80" s="430">
        <f t="shared" si="1"/>
        <v>0</v>
      </c>
      <c r="O80" s="430">
        <f t="shared" si="1"/>
        <v>4.0856207306205761E-14</v>
      </c>
      <c r="P80" s="430">
        <f t="shared" si="1"/>
        <v>-9.9475983006414026E-14</v>
      </c>
      <c r="Q80" s="430">
        <f t="shared" si="1"/>
        <v>0</v>
      </c>
      <c r="R80" s="430">
        <f t="shared" si="1"/>
        <v>-8.5487172896137054E-15</v>
      </c>
      <c r="S80" s="430">
        <f t="shared" si="1"/>
        <v>6.8212102632969618E-12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363</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0</v>
      </c>
      <c r="F86" s="421">
        <v>0</v>
      </c>
      <c r="G86" s="421">
        <v>0</v>
      </c>
      <c r="H86" s="422">
        <v>919.39393939393995</v>
      </c>
      <c r="I86" s="422">
        <v>297.2</v>
      </c>
      <c r="J86" s="422">
        <v>293.71785736374301</v>
      </c>
      <c r="K86" s="422">
        <v>38.3991774648144</v>
      </c>
      <c r="L86" s="421">
        <v>0</v>
      </c>
      <c r="M86" s="421">
        <v>0</v>
      </c>
      <c r="N86" s="422">
        <v>91.728344176793996</v>
      </c>
      <c r="O86" s="422">
        <v>16.494075355247801</v>
      </c>
      <c r="P86" s="421">
        <v>0</v>
      </c>
      <c r="Q86" s="421">
        <v>0</v>
      </c>
      <c r="R86" s="421">
        <v>0</v>
      </c>
      <c r="S86" s="423">
        <v>1656.93339375454</v>
      </c>
      <c r="T86" s="412"/>
    </row>
    <row r="87" spans="2:20" ht="13.5">
      <c r="B87" s="412"/>
      <c r="C87" s="420" t="s">
        <v>60</v>
      </c>
      <c r="D87" s="421">
        <v>7.4939151456434798</v>
      </c>
      <c r="E87" s="421">
        <v>266.28302835422397</v>
      </c>
      <c r="F87" s="421">
        <v>0</v>
      </c>
      <c r="G87" s="421">
        <v>151.91024428871401</v>
      </c>
      <c r="H87" s="421">
        <v>0</v>
      </c>
      <c r="I87" s="421">
        <v>0</v>
      </c>
      <c r="J87" s="421">
        <v>0</v>
      </c>
      <c r="K87" s="421">
        <v>0</v>
      </c>
      <c r="L87" s="421">
        <v>0</v>
      </c>
      <c r="M87" s="421">
        <v>0</v>
      </c>
      <c r="N87" s="421">
        <v>0</v>
      </c>
      <c r="O87" s="421">
        <v>0</v>
      </c>
      <c r="P87" s="421">
        <v>25.896699392432499</v>
      </c>
      <c r="Q87" s="421">
        <v>0</v>
      </c>
      <c r="R87" s="421">
        <v>0</v>
      </c>
      <c r="S87" s="423">
        <v>451.58388718101401</v>
      </c>
      <c r="T87" s="412"/>
    </row>
    <row r="88" spans="2:20" ht="13.5">
      <c r="B88" s="412"/>
      <c r="C88" s="420" t="s">
        <v>61</v>
      </c>
      <c r="D88" s="421">
        <v>0</v>
      </c>
      <c r="E88" s="421">
        <v>0</v>
      </c>
      <c r="F88" s="421">
        <v>-20.601925350856099</v>
      </c>
      <c r="G88" s="421">
        <v>0</v>
      </c>
      <c r="H88" s="421">
        <v>0</v>
      </c>
      <c r="I88" s="421">
        <v>0</v>
      </c>
      <c r="J88" s="421">
        <v>0</v>
      </c>
      <c r="K88" s="421">
        <v>0</v>
      </c>
      <c r="L88" s="421">
        <v>0</v>
      </c>
      <c r="M88" s="421">
        <v>0</v>
      </c>
      <c r="N88" s="421">
        <v>0</v>
      </c>
      <c r="O88" s="421">
        <v>0</v>
      </c>
      <c r="P88" s="421">
        <v>0</v>
      </c>
      <c r="Q88" s="421">
        <v>0</v>
      </c>
      <c r="R88" s="421">
        <v>0</v>
      </c>
      <c r="S88" s="423">
        <v>-20.601925350856099</v>
      </c>
      <c r="T88" s="412"/>
    </row>
    <row r="89" spans="2:20" ht="13.5">
      <c r="B89" s="412"/>
      <c r="C89" s="420" t="s">
        <v>62</v>
      </c>
      <c r="D89" s="421">
        <v>0</v>
      </c>
      <c r="E89" s="421">
        <v>0</v>
      </c>
      <c r="F89" s="421">
        <v>-10.0686168173907</v>
      </c>
      <c r="G89" s="421">
        <v>-2.2904268439326998</v>
      </c>
      <c r="H89" s="421">
        <v>0</v>
      </c>
      <c r="I89" s="421">
        <v>0</v>
      </c>
      <c r="J89" s="421">
        <v>0</v>
      </c>
      <c r="K89" s="421">
        <v>0</v>
      </c>
      <c r="L89" s="421">
        <v>0</v>
      </c>
      <c r="M89" s="421">
        <v>-0.98161150454258395</v>
      </c>
      <c r="N89" s="421">
        <v>0</v>
      </c>
      <c r="O89" s="421">
        <v>0</v>
      </c>
      <c r="P89" s="421">
        <v>0</v>
      </c>
      <c r="Q89" s="421">
        <v>0</v>
      </c>
      <c r="R89" s="421">
        <v>0</v>
      </c>
      <c r="S89" s="423">
        <v>-13.3406551658659</v>
      </c>
      <c r="T89" s="412"/>
    </row>
    <row r="90" spans="2:20" ht="13.5">
      <c r="B90" s="412"/>
      <c r="C90" s="420" t="s">
        <v>63</v>
      </c>
      <c r="D90" s="421">
        <v>0</v>
      </c>
      <c r="E90" s="421">
        <v>0</v>
      </c>
      <c r="F90" s="421">
        <v>-52.082612477609999</v>
      </c>
      <c r="G90" s="421">
        <v>0</v>
      </c>
      <c r="H90" s="421">
        <v>0</v>
      </c>
      <c r="I90" s="421">
        <v>0</v>
      </c>
      <c r="J90" s="421">
        <v>0</v>
      </c>
      <c r="K90" s="421">
        <v>0</v>
      </c>
      <c r="L90" s="421">
        <v>-26.158313394490399</v>
      </c>
      <c r="M90" s="421">
        <v>0</v>
      </c>
      <c r="N90" s="421">
        <v>0</v>
      </c>
      <c r="O90" s="421">
        <v>0</v>
      </c>
      <c r="P90" s="421">
        <v>0</v>
      </c>
      <c r="Q90" s="421">
        <v>0</v>
      </c>
      <c r="R90" s="421">
        <v>-0.70753299969045202</v>
      </c>
      <c r="S90" s="423">
        <v>-78.948458871790905</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7.4939151456434798</v>
      </c>
      <c r="E92" s="425">
        <v>266.28302835422397</v>
      </c>
      <c r="F92" s="425">
        <v>-82.753154645856696</v>
      </c>
      <c r="G92" s="425">
        <v>149.61981744478101</v>
      </c>
      <c r="H92" s="425">
        <v>919.39393939393995</v>
      </c>
      <c r="I92" s="425">
        <v>297.2</v>
      </c>
      <c r="J92" s="425">
        <v>293.71785736374301</v>
      </c>
      <c r="K92" s="425">
        <v>38.3991774648144</v>
      </c>
      <c r="L92" s="425">
        <v>-26.158313394490399</v>
      </c>
      <c r="M92" s="425">
        <v>-0.98161150454258395</v>
      </c>
      <c r="N92" s="425">
        <v>91.728344176793996</v>
      </c>
      <c r="O92" s="425">
        <v>16.494075355247801</v>
      </c>
      <c r="P92" s="425">
        <v>25.896699392432499</v>
      </c>
      <c r="Q92" s="425">
        <v>0</v>
      </c>
      <c r="R92" s="425">
        <v>-0.70753299969045202</v>
      </c>
      <c r="S92" s="425">
        <v>1995.6262415470401</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6.2086956521739101</v>
      </c>
      <c r="H95" s="421">
        <v>919.39393939393904</v>
      </c>
      <c r="I95" s="421">
        <v>297.2</v>
      </c>
      <c r="J95" s="421">
        <v>17.565889816526202</v>
      </c>
      <c r="K95" s="421">
        <v>4.9093303559187103</v>
      </c>
      <c r="L95" s="421">
        <v>0</v>
      </c>
      <c r="M95" s="421">
        <v>2.6608695652173902</v>
      </c>
      <c r="N95" s="421">
        <v>0</v>
      </c>
      <c r="O95" s="421">
        <v>0</v>
      </c>
      <c r="P95" s="421">
        <v>-615.5</v>
      </c>
      <c r="Q95" s="421">
        <v>0</v>
      </c>
      <c r="R95" s="421">
        <v>4.75</v>
      </c>
      <c r="S95" s="429">
        <v>637.18872478377602</v>
      </c>
      <c r="T95" s="412"/>
    </row>
    <row r="96" spans="2:20" ht="13.5">
      <c r="B96" s="412"/>
      <c r="C96" s="428" t="s">
        <v>351</v>
      </c>
      <c r="D96" s="421">
        <v>0</v>
      </c>
      <c r="E96" s="421">
        <v>0</v>
      </c>
      <c r="F96" s="421">
        <v>0</v>
      </c>
      <c r="G96" s="421">
        <v>11.665233563399299</v>
      </c>
      <c r="H96" s="421">
        <v>0</v>
      </c>
      <c r="I96" s="421">
        <v>0</v>
      </c>
      <c r="J96" s="421">
        <v>29.284960707020101</v>
      </c>
      <c r="K96" s="421">
        <v>27.401179727670598</v>
      </c>
      <c r="L96" s="421">
        <v>0</v>
      </c>
      <c r="M96" s="421">
        <v>4.9993858128854303</v>
      </c>
      <c r="N96" s="421">
        <v>0</v>
      </c>
      <c r="O96" s="421">
        <v>11.2068466425665</v>
      </c>
      <c r="P96" s="421">
        <v>0</v>
      </c>
      <c r="Q96" s="421">
        <v>-77.8888709289253</v>
      </c>
      <c r="R96" s="421">
        <v>0</v>
      </c>
      <c r="S96" s="429">
        <v>6.6687355246166398</v>
      </c>
      <c r="T96" s="412"/>
    </row>
    <row r="97" spans="2:20" ht="13.5">
      <c r="B97" s="412"/>
      <c r="C97" s="428" t="s">
        <v>352</v>
      </c>
      <c r="D97" s="421">
        <v>0</v>
      </c>
      <c r="E97" s="421">
        <v>0</v>
      </c>
      <c r="F97" s="421">
        <v>0</v>
      </c>
      <c r="G97" s="421">
        <v>0</v>
      </c>
      <c r="H97" s="421">
        <v>0</v>
      </c>
      <c r="I97" s="421">
        <v>0</v>
      </c>
      <c r="J97" s="421">
        <v>67.617330016206097</v>
      </c>
      <c r="K97" s="421">
        <v>0</v>
      </c>
      <c r="L97" s="421">
        <v>0</v>
      </c>
      <c r="M97" s="421">
        <v>-61.700813639788102</v>
      </c>
      <c r="N97" s="421">
        <v>0</v>
      </c>
      <c r="O97" s="421">
        <v>0</v>
      </c>
      <c r="P97" s="421">
        <v>0</v>
      </c>
      <c r="Q97" s="421">
        <v>0</v>
      </c>
      <c r="R97" s="421">
        <v>0</v>
      </c>
      <c r="S97" s="429">
        <v>5.9165163764180404</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275.84091609698402</v>
      </c>
      <c r="F99" s="421">
        <v>-273.082506936014</v>
      </c>
      <c r="G99" s="421">
        <v>0</v>
      </c>
      <c r="H99" s="421">
        <v>0</v>
      </c>
      <c r="I99" s="421">
        <v>0</v>
      </c>
      <c r="J99" s="421">
        <v>0</v>
      </c>
      <c r="K99" s="421">
        <v>0</v>
      </c>
      <c r="L99" s="421">
        <v>0</v>
      </c>
      <c r="M99" s="421">
        <v>0</v>
      </c>
      <c r="N99" s="421">
        <v>0</v>
      </c>
      <c r="O99" s="421">
        <v>0</v>
      </c>
      <c r="P99" s="421">
        <v>0</v>
      </c>
      <c r="Q99" s="421">
        <v>0</v>
      </c>
      <c r="R99" s="421">
        <v>0</v>
      </c>
      <c r="S99" s="429">
        <v>2.7584091609698498</v>
      </c>
      <c r="T99" s="412"/>
    </row>
    <row r="100" spans="2:20" ht="13.5">
      <c r="B100" s="412"/>
      <c r="C100" s="428" t="s">
        <v>354</v>
      </c>
      <c r="D100" s="421">
        <v>0</v>
      </c>
      <c r="E100" s="421">
        <v>0</v>
      </c>
      <c r="F100" s="421">
        <v>0</v>
      </c>
      <c r="G100" s="421">
        <v>0</v>
      </c>
      <c r="H100" s="421">
        <v>0</v>
      </c>
      <c r="I100" s="421">
        <v>0</v>
      </c>
      <c r="J100" s="421">
        <v>94.973460214546293</v>
      </c>
      <c r="K100" s="421">
        <v>0</v>
      </c>
      <c r="L100" s="421">
        <v>-94.973460214546293</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-18.919398689376301</v>
      </c>
      <c r="M101" s="421">
        <v>0</v>
      </c>
      <c r="N101" s="421">
        <v>0</v>
      </c>
      <c r="O101" s="421">
        <v>0</v>
      </c>
      <c r="P101" s="421">
        <v>0</v>
      </c>
      <c r="Q101" s="421">
        <v>0</v>
      </c>
      <c r="R101" s="421">
        <v>27.027712413394799</v>
      </c>
      <c r="S101" s="429">
        <v>8.10831372401843</v>
      </c>
      <c r="T101" s="412"/>
    </row>
    <row r="102" spans="2:20" ht="13.5">
      <c r="B102" s="412"/>
      <c r="C102" s="428" t="s">
        <v>73</v>
      </c>
      <c r="D102" s="421">
        <v>0</v>
      </c>
      <c r="E102" s="421">
        <v>0</v>
      </c>
      <c r="F102" s="421">
        <v>0</v>
      </c>
      <c r="G102" s="421">
        <v>11.241873404965199</v>
      </c>
      <c r="H102" s="421">
        <v>0</v>
      </c>
      <c r="I102" s="421">
        <v>0</v>
      </c>
      <c r="J102" s="421">
        <v>0</v>
      </c>
      <c r="K102" s="421">
        <v>0.80299095749751603</v>
      </c>
      <c r="L102" s="421">
        <v>0</v>
      </c>
      <c r="M102" s="421">
        <v>4.8179457449851002</v>
      </c>
      <c r="N102" s="421">
        <v>0</v>
      </c>
      <c r="O102" s="421">
        <v>0</v>
      </c>
      <c r="P102" s="421">
        <v>64.825401386295795</v>
      </c>
      <c r="Q102" s="421">
        <v>0</v>
      </c>
      <c r="R102" s="421">
        <v>-56.209367024826101</v>
      </c>
      <c r="S102" s="429">
        <v>25.478844468917501</v>
      </c>
      <c r="T102" s="412"/>
    </row>
    <row r="103" spans="2:20" ht="13.5">
      <c r="B103" s="412"/>
      <c r="C103" s="428" t="s">
        <v>356</v>
      </c>
      <c r="D103" s="421">
        <v>2.3505202026367198</v>
      </c>
      <c r="E103" s="421">
        <v>-9.55788774276051</v>
      </c>
      <c r="F103" s="421">
        <v>12.5011526289501</v>
      </c>
      <c r="G103" s="421">
        <v>0</v>
      </c>
      <c r="H103" s="421">
        <v>0</v>
      </c>
      <c r="I103" s="421">
        <v>0</v>
      </c>
      <c r="J103" s="421">
        <v>0</v>
      </c>
      <c r="K103" s="421">
        <v>0</v>
      </c>
      <c r="L103" s="421">
        <v>0</v>
      </c>
      <c r="M103" s="421">
        <v>0</v>
      </c>
      <c r="N103" s="421">
        <v>0</v>
      </c>
      <c r="O103" s="421">
        <v>0</v>
      </c>
      <c r="P103" s="421">
        <v>0</v>
      </c>
      <c r="Q103" s="421">
        <v>0</v>
      </c>
      <c r="R103" s="421">
        <v>0</v>
      </c>
      <c r="S103" s="429">
        <v>5.2937850888262901</v>
      </c>
      <c r="T103" s="412"/>
    </row>
    <row r="104" spans="2:20" ht="13.5">
      <c r="B104" s="412"/>
      <c r="C104" s="428" t="s">
        <v>75</v>
      </c>
      <c r="D104" s="421">
        <v>3.4784289550781202</v>
      </c>
      <c r="E104" s="421">
        <v>0</v>
      </c>
      <c r="F104" s="421">
        <v>17.757847143387401</v>
      </c>
      <c r="G104" s="421">
        <v>3.6194670795198398</v>
      </c>
      <c r="H104" s="421">
        <v>0</v>
      </c>
      <c r="I104" s="421">
        <v>0</v>
      </c>
      <c r="J104" s="421">
        <v>0</v>
      </c>
      <c r="K104" s="421">
        <v>0</v>
      </c>
      <c r="L104" s="421">
        <v>0</v>
      </c>
      <c r="M104" s="421">
        <v>1.55120017693708</v>
      </c>
      <c r="N104" s="421">
        <v>0</v>
      </c>
      <c r="O104" s="421">
        <v>0</v>
      </c>
      <c r="P104" s="421">
        <v>36.310454545454498</v>
      </c>
      <c r="Q104" s="421">
        <v>0</v>
      </c>
      <c r="R104" s="421">
        <v>0</v>
      </c>
      <c r="S104" s="429">
        <v>62.717397900377001</v>
      </c>
      <c r="T104" s="412"/>
    </row>
    <row r="105" spans="2:20" ht="13.5">
      <c r="B105" s="412"/>
      <c r="C105" s="428" t="s">
        <v>76</v>
      </c>
      <c r="D105" s="421">
        <v>0</v>
      </c>
      <c r="E105" s="421">
        <v>0</v>
      </c>
      <c r="F105" s="421">
        <v>0</v>
      </c>
      <c r="G105" s="421">
        <v>1.70713713627872</v>
      </c>
      <c r="H105" s="421">
        <v>0</v>
      </c>
      <c r="I105" s="421">
        <v>0</v>
      </c>
      <c r="J105" s="421">
        <v>0</v>
      </c>
      <c r="K105" s="421">
        <v>0</v>
      </c>
      <c r="L105" s="421">
        <v>0</v>
      </c>
      <c r="M105" s="421">
        <v>0.73163020126230904</v>
      </c>
      <c r="N105" s="421">
        <v>0</v>
      </c>
      <c r="O105" s="421">
        <v>0</v>
      </c>
      <c r="P105" s="421">
        <v>49.155979731830001</v>
      </c>
      <c r="Q105" s="421">
        <v>6.0356689649720803</v>
      </c>
      <c r="R105" s="421">
        <v>0</v>
      </c>
      <c r="S105" s="429">
        <v>57.630416034343099</v>
      </c>
      <c r="T105" s="412"/>
    </row>
    <row r="106" spans="2:20" ht="13.5">
      <c r="B106" s="412"/>
      <c r="C106" s="424" t="s">
        <v>77</v>
      </c>
      <c r="D106" s="425">
        <v>5.82894915771484</v>
      </c>
      <c r="E106" s="425">
        <v>266.28302835422397</v>
      </c>
      <c r="F106" s="425">
        <v>-242.82350716367699</v>
      </c>
      <c r="G106" s="425">
        <v>34.442406836337</v>
      </c>
      <c r="H106" s="425">
        <v>919.39393939393995</v>
      </c>
      <c r="I106" s="425">
        <v>297.2</v>
      </c>
      <c r="J106" s="425">
        <v>209.44164075429899</v>
      </c>
      <c r="K106" s="425">
        <v>33.113501041086799</v>
      </c>
      <c r="L106" s="425">
        <v>-113.892858903923</v>
      </c>
      <c r="M106" s="425">
        <v>-46.939782138500803</v>
      </c>
      <c r="N106" s="425">
        <v>0</v>
      </c>
      <c r="O106" s="425">
        <v>11.2068466425665</v>
      </c>
      <c r="P106" s="425">
        <v>-465.20816433642</v>
      </c>
      <c r="Q106" s="425">
        <v>-71.853201963953296</v>
      </c>
      <c r="R106" s="425">
        <v>-24.431654611431401</v>
      </c>
      <c r="S106" s="425">
        <v>811.76114306226202</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1.2914218900282399</v>
      </c>
      <c r="E108" s="421">
        <v>0</v>
      </c>
      <c r="F108" s="421">
        <v>7.8764387202852104</v>
      </c>
      <c r="G108" s="421">
        <v>53.350379932057301</v>
      </c>
      <c r="H108" s="421">
        <v>0</v>
      </c>
      <c r="I108" s="421">
        <v>0</v>
      </c>
      <c r="J108" s="421">
        <v>14.620158681310601</v>
      </c>
      <c r="K108" s="421">
        <v>5.28567642372757</v>
      </c>
      <c r="L108" s="421">
        <v>4.3757583007812499</v>
      </c>
      <c r="M108" s="421">
        <v>22.864448542310299</v>
      </c>
      <c r="N108" s="421">
        <v>0</v>
      </c>
      <c r="O108" s="421">
        <v>0</v>
      </c>
      <c r="P108" s="421">
        <v>138.83144142059001</v>
      </c>
      <c r="Q108" s="421">
        <v>24.198968897330399</v>
      </c>
      <c r="R108" s="421">
        <v>6.850041015625</v>
      </c>
      <c r="S108" s="429">
        <v>279.54473382404501</v>
      </c>
      <c r="T108" s="412"/>
    </row>
    <row r="109" spans="2:20" ht="13.5">
      <c r="B109" s="412"/>
      <c r="C109" s="428" t="s">
        <v>79</v>
      </c>
      <c r="D109" s="421">
        <v>0</v>
      </c>
      <c r="E109" s="421">
        <v>0</v>
      </c>
      <c r="F109" s="421">
        <v>51.208587064668897</v>
      </c>
      <c r="G109" s="421">
        <v>17.942066440325</v>
      </c>
      <c r="H109" s="421">
        <v>0</v>
      </c>
      <c r="I109" s="421">
        <v>0</v>
      </c>
      <c r="J109" s="421">
        <v>0</v>
      </c>
      <c r="K109" s="421">
        <v>0</v>
      </c>
      <c r="L109" s="421">
        <v>51.332808564474597</v>
      </c>
      <c r="M109" s="421">
        <v>7.6894570458535796</v>
      </c>
      <c r="N109" s="421">
        <v>0</v>
      </c>
      <c r="O109" s="421">
        <v>0</v>
      </c>
      <c r="P109" s="421">
        <v>81.112108407408201</v>
      </c>
      <c r="Q109" s="421">
        <v>0</v>
      </c>
      <c r="R109" s="421">
        <v>4.6183032107255597</v>
      </c>
      <c r="S109" s="429">
        <v>213.90333073345599</v>
      </c>
      <c r="T109" s="412"/>
    </row>
    <row r="110" spans="2:20" ht="13.5">
      <c r="B110" s="412"/>
      <c r="C110" s="428" t="s">
        <v>80</v>
      </c>
      <c r="D110" s="421">
        <v>0</v>
      </c>
      <c r="E110" s="421">
        <v>0</v>
      </c>
      <c r="F110" s="421">
        <v>0.59878850754916801</v>
      </c>
      <c r="G110" s="421">
        <v>17.944335255265202</v>
      </c>
      <c r="H110" s="421">
        <v>0</v>
      </c>
      <c r="I110" s="421">
        <v>0</v>
      </c>
      <c r="J110" s="421">
        <v>58.7756577076902</v>
      </c>
      <c r="K110" s="421">
        <v>0</v>
      </c>
      <c r="L110" s="421">
        <v>0</v>
      </c>
      <c r="M110" s="421">
        <v>7.6904293951136404</v>
      </c>
      <c r="N110" s="421">
        <v>77.140439944189495</v>
      </c>
      <c r="O110" s="421">
        <v>2.3876725664027898</v>
      </c>
      <c r="P110" s="421">
        <v>147.94366969867801</v>
      </c>
      <c r="Q110" s="421">
        <v>35.899095037211403</v>
      </c>
      <c r="R110" s="421">
        <v>0</v>
      </c>
      <c r="S110" s="429">
        <v>348.3800881121</v>
      </c>
      <c r="T110" s="412"/>
    </row>
    <row r="111" spans="2:20" ht="13.5">
      <c r="B111" s="412"/>
      <c r="C111" s="428" t="s">
        <v>81</v>
      </c>
      <c r="D111" s="421">
        <v>0</v>
      </c>
      <c r="E111" s="421">
        <v>0</v>
      </c>
      <c r="F111" s="421">
        <v>1.41136233073529</v>
      </c>
      <c r="G111" s="421">
        <v>16.956940670956399</v>
      </c>
      <c r="H111" s="421">
        <v>0</v>
      </c>
      <c r="I111" s="421">
        <v>0</v>
      </c>
      <c r="J111" s="421">
        <v>7.1959049572050198</v>
      </c>
      <c r="K111" s="421">
        <v>0</v>
      </c>
      <c r="L111" s="421">
        <v>0</v>
      </c>
      <c r="M111" s="421">
        <v>7.2672602875527703</v>
      </c>
      <c r="N111" s="421">
        <v>14.587904232604499</v>
      </c>
      <c r="O111" s="421">
        <v>1.59893576487328</v>
      </c>
      <c r="P111" s="421">
        <v>113.624954527706</v>
      </c>
      <c r="Q111" s="421">
        <v>11.7551380294114</v>
      </c>
      <c r="R111" s="421">
        <v>0</v>
      </c>
      <c r="S111" s="429">
        <v>174.398400801045</v>
      </c>
      <c r="T111" s="412"/>
    </row>
    <row r="112" spans="2:20" ht="13.5">
      <c r="B112" s="412"/>
      <c r="C112" s="428" t="s">
        <v>82</v>
      </c>
      <c r="D112" s="421">
        <v>0</v>
      </c>
      <c r="E112" s="421">
        <v>0</v>
      </c>
      <c r="F112" s="421">
        <v>9.3172526318529894</v>
      </c>
      <c r="G112" s="421">
        <v>1.0420091806317999</v>
      </c>
      <c r="H112" s="421">
        <v>0</v>
      </c>
      <c r="I112" s="421">
        <v>0</v>
      </c>
      <c r="J112" s="421">
        <v>3.6844952632387198</v>
      </c>
      <c r="K112" s="421">
        <v>0</v>
      </c>
      <c r="L112" s="421">
        <v>14.271913525768101</v>
      </c>
      <c r="M112" s="421">
        <v>0.44657536312791402</v>
      </c>
      <c r="N112" s="421">
        <v>0</v>
      </c>
      <c r="O112" s="421">
        <v>1.30062038140516</v>
      </c>
      <c r="P112" s="421">
        <v>6.3926896744698603</v>
      </c>
      <c r="Q112" s="421">
        <v>0</v>
      </c>
      <c r="R112" s="421">
        <v>0.325155095351289</v>
      </c>
      <c r="S112" s="429">
        <v>36.780711115845897</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3.2</v>
      </c>
      <c r="Q113" s="421">
        <v>0</v>
      </c>
      <c r="R113" s="421">
        <v>0</v>
      </c>
      <c r="S113" s="429">
        <v>3.2</v>
      </c>
      <c r="T113" s="412"/>
    </row>
    <row r="114" spans="2:20" ht="13.5">
      <c r="B114" s="412"/>
      <c r="C114" s="424" t="s">
        <v>83</v>
      </c>
      <c r="D114" s="425">
        <v>1.2914218900282399</v>
      </c>
      <c r="E114" s="425">
        <v>0</v>
      </c>
      <c r="F114" s="425">
        <v>70.412429255091595</v>
      </c>
      <c r="G114" s="425">
        <v>107.23573147923599</v>
      </c>
      <c r="H114" s="425">
        <v>0</v>
      </c>
      <c r="I114" s="425">
        <v>0</v>
      </c>
      <c r="J114" s="425">
        <v>84.276216609444504</v>
      </c>
      <c r="K114" s="425">
        <v>5.28567642372757</v>
      </c>
      <c r="L114" s="425">
        <v>69.980480391024003</v>
      </c>
      <c r="M114" s="425">
        <v>45.958170633958197</v>
      </c>
      <c r="N114" s="425">
        <v>91.728344176793996</v>
      </c>
      <c r="O114" s="425">
        <v>5.2872287126812303</v>
      </c>
      <c r="P114" s="425">
        <v>491.10486372885202</v>
      </c>
      <c r="Q114" s="425">
        <v>71.853201963953296</v>
      </c>
      <c r="R114" s="425">
        <v>11.7934993217019</v>
      </c>
      <c r="S114" s="425">
        <v>1056.2072645864901</v>
      </c>
      <c r="T114" s="412"/>
    </row>
    <row r="115" spans="2:20" ht="13.5">
      <c r="B115" s="412"/>
      <c r="C115" s="420" t="s">
        <v>84</v>
      </c>
      <c r="D115" s="421">
        <v>0.373544097900391</v>
      </c>
      <c r="E115" s="421">
        <v>0</v>
      </c>
      <c r="F115" s="421">
        <v>89.657923262728701</v>
      </c>
      <c r="G115" s="421">
        <v>7.94167912920852</v>
      </c>
      <c r="H115" s="421">
        <v>0</v>
      </c>
      <c r="I115" s="421">
        <v>0</v>
      </c>
      <c r="J115" s="421">
        <v>0</v>
      </c>
      <c r="K115" s="421">
        <v>0</v>
      </c>
      <c r="L115" s="421">
        <v>17.754065118408199</v>
      </c>
      <c r="M115" s="421">
        <v>0</v>
      </c>
      <c r="N115" s="421">
        <v>0</v>
      </c>
      <c r="O115" s="421">
        <v>0</v>
      </c>
      <c r="P115" s="421">
        <v>0</v>
      </c>
      <c r="Q115" s="421">
        <v>0</v>
      </c>
      <c r="R115" s="421">
        <v>11.9306222900391</v>
      </c>
      <c r="S115" s="429">
        <v>127.65783389828501</v>
      </c>
      <c r="T115" s="412"/>
    </row>
    <row r="116" spans="2:20" ht="13.5">
      <c r="B116" s="412"/>
      <c r="C116" s="424" t="s">
        <v>85</v>
      </c>
      <c r="D116" s="425">
        <v>1.66496598792863</v>
      </c>
      <c r="E116" s="425">
        <v>0</v>
      </c>
      <c r="F116" s="425">
        <v>160.07035251782</v>
      </c>
      <c r="G116" s="425">
        <v>115.17741060844401</v>
      </c>
      <c r="H116" s="425">
        <v>0</v>
      </c>
      <c r="I116" s="425">
        <v>0</v>
      </c>
      <c r="J116" s="425">
        <v>84.276216609444504</v>
      </c>
      <c r="K116" s="425">
        <v>5.28567642372757</v>
      </c>
      <c r="L116" s="425">
        <v>87.734545509432195</v>
      </c>
      <c r="M116" s="425">
        <v>45.958170633958197</v>
      </c>
      <c r="N116" s="425">
        <v>91.728344176793996</v>
      </c>
      <c r="O116" s="425">
        <v>5.2872287126812303</v>
      </c>
      <c r="P116" s="425">
        <v>491.10486372885202</v>
      </c>
      <c r="Q116" s="425">
        <v>71.853201963953296</v>
      </c>
      <c r="R116" s="425">
        <v>23.724121611740902</v>
      </c>
      <c r="S116" s="425">
        <v>1183.86509848478</v>
      </c>
      <c r="T116" s="412"/>
    </row>
    <row r="117" spans="2:20">
      <c r="B117" s="412"/>
      <c r="C117" s="412"/>
      <c r="D117" s="430">
        <f t="shared" ref="D117:S117" si="2">D116+D106-D92</f>
        <v>-9.7699626167013776E-15</v>
      </c>
      <c r="E117" s="430">
        <f t="shared" si="2"/>
        <v>0</v>
      </c>
      <c r="F117" s="430">
        <f t="shared" si="2"/>
        <v>-2.9842794901924208E-13</v>
      </c>
      <c r="G117" s="430">
        <f t="shared" si="2"/>
        <v>0</v>
      </c>
      <c r="H117" s="430">
        <f t="shared" si="2"/>
        <v>0</v>
      </c>
      <c r="I117" s="430">
        <f t="shared" si="2"/>
        <v>0</v>
      </c>
      <c r="J117" s="430">
        <f t="shared" si="2"/>
        <v>5.1159076974727213E-13</v>
      </c>
      <c r="K117" s="430">
        <f t="shared" si="2"/>
        <v>0</v>
      </c>
      <c r="L117" s="430">
        <f t="shared" si="2"/>
        <v>-4.0500935938325711E-13</v>
      </c>
      <c r="M117" s="430">
        <f t="shared" si="2"/>
        <v>-2.19824158875781E-14</v>
      </c>
      <c r="N117" s="430">
        <f t="shared" si="2"/>
        <v>0</v>
      </c>
      <c r="O117" s="430">
        <f t="shared" si="2"/>
        <v>-7.1054273576010019E-14</v>
      </c>
      <c r="P117" s="430">
        <f t="shared" si="2"/>
        <v>-4.7251091928046662E-13</v>
      </c>
      <c r="Q117" s="430">
        <f t="shared" si="2"/>
        <v>0</v>
      </c>
      <c r="R117" s="430">
        <f t="shared" si="2"/>
        <v>-4.7739590058881731E-14</v>
      </c>
      <c r="S117" s="430">
        <f t="shared" si="2"/>
        <v>1.8189894035458565E-12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364</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0</v>
      </c>
      <c r="F123" s="421">
        <v>0</v>
      </c>
      <c r="G123" s="421">
        <v>0</v>
      </c>
      <c r="H123" s="422">
        <v>842.12121212121201</v>
      </c>
      <c r="I123" s="422">
        <v>358.55</v>
      </c>
      <c r="J123" s="422">
        <v>303.87805553693403</v>
      </c>
      <c r="K123" s="422">
        <v>37.407021205815497</v>
      </c>
      <c r="L123" s="421">
        <v>0</v>
      </c>
      <c r="M123" s="421">
        <v>0</v>
      </c>
      <c r="N123" s="422">
        <v>108.611838905018</v>
      </c>
      <c r="O123" s="422">
        <v>19.501173338019399</v>
      </c>
      <c r="P123" s="421">
        <v>0</v>
      </c>
      <c r="Q123" s="421">
        <v>0</v>
      </c>
      <c r="R123" s="421">
        <v>0</v>
      </c>
      <c r="S123" s="423">
        <v>1670.069301107</v>
      </c>
      <c r="T123" s="412"/>
    </row>
    <row r="124" spans="2:20" ht="13.5">
      <c r="B124" s="412"/>
      <c r="C124" s="420" t="s">
        <v>60</v>
      </c>
      <c r="D124" s="421">
        <v>5.7319330443436396</v>
      </c>
      <c r="E124" s="421">
        <v>189.941148015496</v>
      </c>
      <c r="F124" s="421">
        <v>0</v>
      </c>
      <c r="G124" s="421">
        <v>90.6863865174073</v>
      </c>
      <c r="H124" s="421">
        <v>0</v>
      </c>
      <c r="I124" s="421">
        <v>0</v>
      </c>
      <c r="J124" s="421">
        <v>0</v>
      </c>
      <c r="K124" s="421">
        <v>0</v>
      </c>
      <c r="L124" s="421">
        <v>0</v>
      </c>
      <c r="M124" s="421">
        <v>0</v>
      </c>
      <c r="N124" s="421">
        <v>0</v>
      </c>
      <c r="O124" s="421">
        <v>0</v>
      </c>
      <c r="P124" s="421">
        <v>18.852796757266699</v>
      </c>
      <c r="Q124" s="421">
        <v>0</v>
      </c>
      <c r="R124" s="421">
        <v>0</v>
      </c>
      <c r="S124" s="423">
        <v>305.21226433451301</v>
      </c>
      <c r="T124" s="412"/>
    </row>
    <row r="125" spans="2:20" ht="13.5">
      <c r="B125" s="412"/>
      <c r="C125" s="420" t="s">
        <v>61</v>
      </c>
      <c r="D125" s="421">
        <v>0</v>
      </c>
      <c r="E125" s="421">
        <v>0</v>
      </c>
      <c r="F125" s="421">
        <v>-18.054674208998499</v>
      </c>
      <c r="G125" s="421">
        <v>0</v>
      </c>
      <c r="H125" s="421">
        <v>0</v>
      </c>
      <c r="I125" s="421">
        <v>0</v>
      </c>
      <c r="J125" s="421">
        <v>0</v>
      </c>
      <c r="K125" s="421">
        <v>0</v>
      </c>
      <c r="L125" s="421">
        <v>0</v>
      </c>
      <c r="M125" s="421">
        <v>0</v>
      </c>
      <c r="N125" s="421">
        <v>0</v>
      </c>
      <c r="O125" s="421">
        <v>0</v>
      </c>
      <c r="P125" s="421">
        <v>0</v>
      </c>
      <c r="Q125" s="421">
        <v>0</v>
      </c>
      <c r="R125" s="421">
        <v>0</v>
      </c>
      <c r="S125" s="423">
        <v>-18.054674208998499</v>
      </c>
      <c r="T125" s="412"/>
    </row>
    <row r="126" spans="2:20" ht="13.5">
      <c r="B126" s="412"/>
      <c r="C126" s="420" t="s">
        <v>62</v>
      </c>
      <c r="D126" s="421">
        <v>0</v>
      </c>
      <c r="E126" s="421">
        <v>0</v>
      </c>
      <c r="F126" s="421">
        <v>-7.5188933675233596</v>
      </c>
      <c r="G126" s="421">
        <v>-2.1851276585702299</v>
      </c>
      <c r="H126" s="421">
        <v>0</v>
      </c>
      <c r="I126" s="421">
        <v>0</v>
      </c>
      <c r="J126" s="421">
        <v>0</v>
      </c>
      <c r="K126" s="421">
        <v>0</v>
      </c>
      <c r="L126" s="421">
        <v>0</v>
      </c>
      <c r="M126" s="421">
        <v>-2.1851276585702299</v>
      </c>
      <c r="N126" s="421">
        <v>0</v>
      </c>
      <c r="O126" s="421">
        <v>0</v>
      </c>
      <c r="P126" s="421">
        <v>0</v>
      </c>
      <c r="Q126" s="421">
        <v>0</v>
      </c>
      <c r="R126" s="421">
        <v>0</v>
      </c>
      <c r="S126" s="423">
        <v>-11.8891486846638</v>
      </c>
      <c r="T126" s="412"/>
    </row>
    <row r="127" spans="2:20" ht="13.5">
      <c r="B127" s="412"/>
      <c r="C127" s="420" t="s">
        <v>63</v>
      </c>
      <c r="D127" s="421">
        <v>0</v>
      </c>
      <c r="E127" s="421">
        <v>0</v>
      </c>
      <c r="F127" s="421">
        <v>-48.913982221755198</v>
      </c>
      <c r="G127" s="421">
        <v>0</v>
      </c>
      <c r="H127" s="421">
        <v>0</v>
      </c>
      <c r="I127" s="421">
        <v>0</v>
      </c>
      <c r="J127" s="421">
        <v>0</v>
      </c>
      <c r="K127" s="421">
        <v>0</v>
      </c>
      <c r="L127" s="421">
        <v>-32.619142548425003</v>
      </c>
      <c r="M127" s="421">
        <v>0</v>
      </c>
      <c r="N127" s="421">
        <v>0</v>
      </c>
      <c r="O127" s="421">
        <v>0</v>
      </c>
      <c r="P127" s="421">
        <v>0</v>
      </c>
      <c r="Q127" s="421">
        <v>0</v>
      </c>
      <c r="R127" s="421">
        <v>-1.6805745775177701</v>
      </c>
      <c r="S127" s="423">
        <v>-83.213699347697997</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5.7319330443436396</v>
      </c>
      <c r="E129" s="425">
        <v>189.941148015496</v>
      </c>
      <c r="F129" s="425">
        <v>-74.487549798277101</v>
      </c>
      <c r="G129" s="425">
        <v>88.501258858837105</v>
      </c>
      <c r="H129" s="425">
        <v>842.12121212121201</v>
      </c>
      <c r="I129" s="425">
        <v>358.55</v>
      </c>
      <c r="J129" s="425">
        <v>303.87805553693403</v>
      </c>
      <c r="K129" s="425">
        <v>37.407021205815497</v>
      </c>
      <c r="L129" s="425">
        <v>-32.619142548425003</v>
      </c>
      <c r="M129" s="425">
        <v>-2.1851276585702299</v>
      </c>
      <c r="N129" s="425">
        <v>108.611838905018</v>
      </c>
      <c r="O129" s="425">
        <v>19.501173338019399</v>
      </c>
      <c r="P129" s="425">
        <v>18.852796757266699</v>
      </c>
      <c r="Q129" s="425">
        <v>0</v>
      </c>
      <c r="R129" s="425">
        <v>-1.6805745775177701</v>
      </c>
      <c r="S129" s="425">
        <v>1862.12404320015</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0</v>
      </c>
      <c r="E132" s="421">
        <v>0</v>
      </c>
      <c r="F132" s="421">
        <v>0</v>
      </c>
      <c r="G132" s="421">
        <v>2.3404255319148901</v>
      </c>
      <c r="H132" s="421">
        <v>842.12121212121201</v>
      </c>
      <c r="I132" s="421">
        <v>358.55</v>
      </c>
      <c r="J132" s="421">
        <v>16.2099501273347</v>
      </c>
      <c r="K132" s="421">
        <v>4.5869971469173096</v>
      </c>
      <c r="L132" s="421">
        <v>0</v>
      </c>
      <c r="M132" s="421">
        <v>2.3404255319148901</v>
      </c>
      <c r="N132" s="421">
        <v>0</v>
      </c>
      <c r="O132" s="421">
        <v>0</v>
      </c>
      <c r="P132" s="421">
        <v>-649</v>
      </c>
      <c r="Q132" s="421">
        <v>0</v>
      </c>
      <c r="R132" s="421">
        <v>4.25</v>
      </c>
      <c r="S132" s="429">
        <v>581.399010459294</v>
      </c>
      <c r="T132" s="412"/>
    </row>
    <row r="133" spans="2:20" ht="13.5">
      <c r="B133" s="412"/>
      <c r="C133" s="428" t="s">
        <v>351</v>
      </c>
      <c r="D133" s="421">
        <v>0</v>
      </c>
      <c r="E133" s="421">
        <v>0</v>
      </c>
      <c r="F133" s="421">
        <v>0</v>
      </c>
      <c r="G133" s="421">
        <v>6.6963140641677699</v>
      </c>
      <c r="H133" s="421">
        <v>0</v>
      </c>
      <c r="I133" s="421">
        <v>0</v>
      </c>
      <c r="J133" s="421">
        <v>28.753458003311501</v>
      </c>
      <c r="K133" s="421">
        <v>27.176732157472099</v>
      </c>
      <c r="L133" s="421">
        <v>0</v>
      </c>
      <c r="M133" s="421">
        <v>6.6963140641677699</v>
      </c>
      <c r="N133" s="421">
        <v>0</v>
      </c>
      <c r="O133" s="421">
        <v>13.1597379771096</v>
      </c>
      <c r="P133" s="421">
        <v>0</v>
      </c>
      <c r="Q133" s="421">
        <v>-76.511380322397699</v>
      </c>
      <c r="R133" s="421">
        <v>0</v>
      </c>
      <c r="S133" s="429">
        <v>5.9711759438309997</v>
      </c>
      <c r="T133" s="412"/>
    </row>
    <row r="134" spans="2:20" ht="13.5">
      <c r="B134" s="412"/>
      <c r="C134" s="428" t="s">
        <v>352</v>
      </c>
      <c r="D134" s="421">
        <v>0</v>
      </c>
      <c r="E134" s="421">
        <v>0</v>
      </c>
      <c r="F134" s="421">
        <v>0</v>
      </c>
      <c r="G134" s="421">
        <v>0</v>
      </c>
      <c r="H134" s="421">
        <v>0</v>
      </c>
      <c r="I134" s="421">
        <v>0</v>
      </c>
      <c r="J134" s="421">
        <v>90.986216688587803</v>
      </c>
      <c r="K134" s="421">
        <v>0</v>
      </c>
      <c r="L134" s="421">
        <v>0</v>
      </c>
      <c r="M134" s="421">
        <v>-84.958379832968902</v>
      </c>
      <c r="N134" s="421">
        <v>0</v>
      </c>
      <c r="O134" s="421">
        <v>0</v>
      </c>
      <c r="P134" s="421">
        <v>0</v>
      </c>
      <c r="Q134" s="421">
        <v>0</v>
      </c>
      <c r="R134" s="421">
        <v>0</v>
      </c>
      <c r="S134" s="429">
        <v>6.0278368556189399</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196.75884188687601</v>
      </c>
      <c r="F136" s="421">
        <v>-194.791253468007</v>
      </c>
      <c r="G136" s="421">
        <v>0</v>
      </c>
      <c r="H136" s="421">
        <v>0</v>
      </c>
      <c r="I136" s="421">
        <v>0</v>
      </c>
      <c r="J136" s="421">
        <v>0</v>
      </c>
      <c r="K136" s="421">
        <v>0</v>
      </c>
      <c r="L136" s="421">
        <v>0</v>
      </c>
      <c r="M136" s="421">
        <v>0</v>
      </c>
      <c r="N136" s="421">
        <v>0</v>
      </c>
      <c r="O136" s="421">
        <v>0</v>
      </c>
      <c r="P136" s="421">
        <v>0</v>
      </c>
      <c r="Q136" s="421">
        <v>0</v>
      </c>
      <c r="R136" s="421">
        <v>0</v>
      </c>
      <c r="S136" s="429">
        <v>1.96758841886876</v>
      </c>
      <c r="T136" s="412"/>
    </row>
    <row r="137" spans="2:20" ht="13.5">
      <c r="B137" s="412"/>
      <c r="C137" s="428" t="s">
        <v>354</v>
      </c>
      <c r="D137" s="421">
        <v>0</v>
      </c>
      <c r="E137" s="421">
        <v>0</v>
      </c>
      <c r="F137" s="421">
        <v>0</v>
      </c>
      <c r="G137" s="421">
        <v>0</v>
      </c>
      <c r="H137" s="421">
        <v>0</v>
      </c>
      <c r="I137" s="421">
        <v>0</v>
      </c>
      <c r="J137" s="421">
        <v>91.449866331740793</v>
      </c>
      <c r="K137" s="421">
        <v>0</v>
      </c>
      <c r="L137" s="421">
        <v>-91.449866331740793</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-17.484851678047999</v>
      </c>
      <c r="M138" s="421">
        <v>0</v>
      </c>
      <c r="N138" s="421">
        <v>0</v>
      </c>
      <c r="O138" s="421">
        <v>0</v>
      </c>
      <c r="P138" s="421">
        <v>0</v>
      </c>
      <c r="Q138" s="421">
        <v>0</v>
      </c>
      <c r="R138" s="421">
        <v>24.978359540068499</v>
      </c>
      <c r="S138" s="429">
        <v>7.4935078620205502</v>
      </c>
      <c r="T138" s="412"/>
    </row>
    <row r="139" spans="2:20" ht="13.5">
      <c r="B139" s="412"/>
      <c r="C139" s="428" t="s">
        <v>73</v>
      </c>
      <c r="D139" s="421">
        <v>0</v>
      </c>
      <c r="E139" s="421">
        <v>0</v>
      </c>
      <c r="F139" s="421">
        <v>0</v>
      </c>
      <c r="G139" s="421">
        <v>4.42513238078282</v>
      </c>
      <c r="H139" s="421">
        <v>0</v>
      </c>
      <c r="I139" s="421">
        <v>0</v>
      </c>
      <c r="J139" s="421">
        <v>0</v>
      </c>
      <c r="K139" s="421">
        <v>0.88502647615656305</v>
      </c>
      <c r="L139" s="421">
        <v>0</v>
      </c>
      <c r="M139" s="421">
        <v>4.42513238078282</v>
      </c>
      <c r="N139" s="421">
        <v>0</v>
      </c>
      <c r="O139" s="421">
        <v>0</v>
      </c>
      <c r="P139" s="421">
        <v>78.487045501144294</v>
      </c>
      <c r="Q139" s="421">
        <v>0</v>
      </c>
      <c r="R139" s="421">
        <v>-61.951853330959402</v>
      </c>
      <c r="S139" s="429">
        <v>26.270483407907101</v>
      </c>
      <c r="T139" s="412"/>
    </row>
    <row r="140" spans="2:20" ht="13.5">
      <c r="B140" s="412"/>
      <c r="C140" s="428" t="s">
        <v>356</v>
      </c>
      <c r="D140" s="421">
        <v>1.4001075134277301</v>
      </c>
      <c r="E140" s="421">
        <v>-6.81769387138025</v>
      </c>
      <c r="F140" s="421">
        <v>8.9171408952922295</v>
      </c>
      <c r="G140" s="421">
        <v>0</v>
      </c>
      <c r="H140" s="421">
        <v>0</v>
      </c>
      <c r="I140" s="421">
        <v>0</v>
      </c>
      <c r="J140" s="421">
        <v>0</v>
      </c>
      <c r="K140" s="421">
        <v>0</v>
      </c>
      <c r="L140" s="421">
        <v>0</v>
      </c>
      <c r="M140" s="421">
        <v>0</v>
      </c>
      <c r="N140" s="421">
        <v>0</v>
      </c>
      <c r="O140" s="421">
        <v>0</v>
      </c>
      <c r="P140" s="421">
        <v>0</v>
      </c>
      <c r="Q140" s="421">
        <v>0</v>
      </c>
      <c r="R140" s="421">
        <v>0</v>
      </c>
      <c r="S140" s="429">
        <v>3.4995545373397099</v>
      </c>
      <c r="T140" s="412"/>
    </row>
    <row r="141" spans="2:20" ht="13.5">
      <c r="B141" s="412"/>
      <c r="C141" s="428" t="s">
        <v>75</v>
      </c>
      <c r="D141" s="421">
        <v>2.5854230957031201</v>
      </c>
      <c r="E141" s="421">
        <v>0</v>
      </c>
      <c r="F141" s="421">
        <v>17.0641175716937</v>
      </c>
      <c r="G141" s="421">
        <v>2.4843347641142302</v>
      </c>
      <c r="H141" s="421">
        <v>0</v>
      </c>
      <c r="I141" s="421">
        <v>0</v>
      </c>
      <c r="J141" s="421">
        <v>0</v>
      </c>
      <c r="K141" s="421">
        <v>0</v>
      </c>
      <c r="L141" s="421">
        <v>0</v>
      </c>
      <c r="M141" s="421">
        <v>2.4843347641142302</v>
      </c>
      <c r="N141" s="421">
        <v>0</v>
      </c>
      <c r="O141" s="421">
        <v>0</v>
      </c>
      <c r="P141" s="421">
        <v>36.438409090909097</v>
      </c>
      <c r="Q141" s="421">
        <v>0</v>
      </c>
      <c r="R141" s="421">
        <v>0</v>
      </c>
      <c r="S141" s="429">
        <v>61.056619286534399</v>
      </c>
      <c r="T141" s="412"/>
    </row>
    <row r="142" spans="2:20" ht="13.5">
      <c r="B142" s="412"/>
      <c r="C142" s="428" t="s">
        <v>76</v>
      </c>
      <c r="D142" s="421">
        <v>0</v>
      </c>
      <c r="E142" s="421">
        <v>0</v>
      </c>
      <c r="F142" s="421">
        <v>0</v>
      </c>
      <c r="G142" s="421">
        <v>1.00741161857275</v>
      </c>
      <c r="H142" s="421">
        <v>0</v>
      </c>
      <c r="I142" s="421">
        <v>0</v>
      </c>
      <c r="J142" s="421">
        <v>0</v>
      </c>
      <c r="K142" s="421">
        <v>0</v>
      </c>
      <c r="L142" s="421">
        <v>0</v>
      </c>
      <c r="M142" s="421">
        <v>1.00741161857275</v>
      </c>
      <c r="N142" s="421">
        <v>0</v>
      </c>
      <c r="O142" s="421">
        <v>0</v>
      </c>
      <c r="P142" s="421">
        <v>51.1835476739179</v>
      </c>
      <c r="Q142" s="421">
        <v>5.9289261504441004</v>
      </c>
      <c r="R142" s="421">
        <v>0</v>
      </c>
      <c r="S142" s="429">
        <v>59.127297061507498</v>
      </c>
      <c r="T142" s="412"/>
    </row>
    <row r="143" spans="2:20" ht="13.5">
      <c r="B143" s="412"/>
      <c r="C143" s="424" t="s">
        <v>77</v>
      </c>
      <c r="D143" s="425">
        <v>3.9855306091308602</v>
      </c>
      <c r="E143" s="425">
        <v>189.941148015496</v>
      </c>
      <c r="F143" s="425">
        <v>-168.80999500102101</v>
      </c>
      <c r="G143" s="425">
        <v>16.9536183595525</v>
      </c>
      <c r="H143" s="425">
        <v>842.12121212121201</v>
      </c>
      <c r="I143" s="425">
        <v>358.55</v>
      </c>
      <c r="J143" s="425">
        <v>227.399491150975</v>
      </c>
      <c r="K143" s="425">
        <v>32.648755780545898</v>
      </c>
      <c r="L143" s="425">
        <v>-108.93471800978899</v>
      </c>
      <c r="M143" s="425">
        <v>-68.004761473416394</v>
      </c>
      <c r="N143" s="425">
        <v>0</v>
      </c>
      <c r="O143" s="425">
        <v>13.1597379771096</v>
      </c>
      <c r="P143" s="425">
        <v>-482.89099773402899</v>
      </c>
      <c r="Q143" s="425">
        <v>-70.5824541719536</v>
      </c>
      <c r="R143" s="425">
        <v>-32.723493790890899</v>
      </c>
      <c r="S143" s="425">
        <v>752.81307383292199</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1.5178805846268399</v>
      </c>
      <c r="E145" s="421">
        <v>0</v>
      </c>
      <c r="F145" s="421">
        <v>3.8156525597214102</v>
      </c>
      <c r="G145" s="421">
        <v>34.872610284028198</v>
      </c>
      <c r="H145" s="421">
        <v>0</v>
      </c>
      <c r="I145" s="421">
        <v>0</v>
      </c>
      <c r="J145" s="421">
        <v>13.9901440703837</v>
      </c>
      <c r="K145" s="421">
        <v>4.7582654252696104</v>
      </c>
      <c r="L145" s="421">
        <v>6.41300463867187</v>
      </c>
      <c r="M145" s="421">
        <v>34.872610284028198</v>
      </c>
      <c r="N145" s="421">
        <v>0</v>
      </c>
      <c r="O145" s="421">
        <v>0</v>
      </c>
      <c r="P145" s="421">
        <v>145.025733372183</v>
      </c>
      <c r="Q145" s="421">
        <v>25.700704560405001</v>
      </c>
      <c r="R145" s="421">
        <v>7.9027373046875002</v>
      </c>
      <c r="S145" s="429">
        <v>278.869343084006</v>
      </c>
      <c r="T145" s="412"/>
    </row>
    <row r="146" spans="2:20" ht="13.5">
      <c r="B146" s="412"/>
      <c r="C146" s="428" t="s">
        <v>79</v>
      </c>
      <c r="D146" s="421">
        <v>0</v>
      </c>
      <c r="E146" s="421">
        <v>0</v>
      </c>
      <c r="F146" s="421">
        <v>11.854069156927601</v>
      </c>
      <c r="G146" s="421">
        <v>13.267062862305901</v>
      </c>
      <c r="H146" s="421">
        <v>0</v>
      </c>
      <c r="I146" s="421">
        <v>0</v>
      </c>
      <c r="J146" s="421">
        <v>0</v>
      </c>
      <c r="K146" s="421">
        <v>0</v>
      </c>
      <c r="L146" s="421">
        <v>27.757428361726902</v>
      </c>
      <c r="M146" s="421">
        <v>13.267062862305901</v>
      </c>
      <c r="N146" s="421">
        <v>0</v>
      </c>
      <c r="O146" s="421">
        <v>0</v>
      </c>
      <c r="P146" s="421">
        <v>93.188917438410897</v>
      </c>
      <c r="Q146" s="421">
        <v>0</v>
      </c>
      <c r="R146" s="421">
        <v>6.3130917169295104</v>
      </c>
      <c r="S146" s="429">
        <v>165.64763239860699</v>
      </c>
      <c r="T146" s="412"/>
    </row>
    <row r="147" spans="2:20" ht="13.5">
      <c r="B147" s="412"/>
      <c r="C147" s="428" t="s">
        <v>80</v>
      </c>
      <c r="D147" s="421">
        <v>0</v>
      </c>
      <c r="E147" s="421">
        <v>0</v>
      </c>
      <c r="F147" s="421">
        <v>0.44885731405196599</v>
      </c>
      <c r="G147" s="421">
        <v>9.8184562905500599</v>
      </c>
      <c r="H147" s="421">
        <v>0</v>
      </c>
      <c r="I147" s="421">
        <v>0</v>
      </c>
      <c r="J147" s="421">
        <v>50.991915500106103</v>
      </c>
      <c r="K147" s="421">
        <v>0</v>
      </c>
      <c r="L147" s="421">
        <v>0</v>
      </c>
      <c r="M147" s="421">
        <v>9.8184562905500599</v>
      </c>
      <c r="N147" s="421">
        <v>93.7833759251793</v>
      </c>
      <c r="O147" s="421">
        <v>3.0807413757867601</v>
      </c>
      <c r="P147" s="421">
        <v>141.51501783018901</v>
      </c>
      <c r="Q147" s="421">
        <v>31.5191114304906</v>
      </c>
      <c r="R147" s="421">
        <v>0</v>
      </c>
      <c r="S147" s="429">
        <v>340.97593195690399</v>
      </c>
      <c r="T147" s="412"/>
    </row>
    <row r="148" spans="2:20" ht="13.5">
      <c r="B148" s="412"/>
      <c r="C148" s="428" t="s">
        <v>81</v>
      </c>
      <c r="D148" s="421">
        <v>0</v>
      </c>
      <c r="E148" s="421">
        <v>0</v>
      </c>
      <c r="F148" s="421">
        <v>0.71263619754816998</v>
      </c>
      <c r="G148" s="421">
        <v>7.4036276177652596</v>
      </c>
      <c r="H148" s="421">
        <v>0</v>
      </c>
      <c r="I148" s="421">
        <v>0</v>
      </c>
      <c r="J148" s="421">
        <v>6.8658928642747901</v>
      </c>
      <c r="K148" s="421">
        <v>0</v>
      </c>
      <c r="L148" s="421">
        <v>0</v>
      </c>
      <c r="M148" s="421">
        <v>7.4036276177652596</v>
      </c>
      <c r="N148" s="421">
        <v>14.8284629798388</v>
      </c>
      <c r="O148" s="421">
        <v>1.5166802918751501</v>
      </c>
      <c r="P148" s="421">
        <v>111.39588290466099</v>
      </c>
      <c r="Q148" s="421">
        <v>13.362638181057999</v>
      </c>
      <c r="R148" s="421">
        <v>0</v>
      </c>
      <c r="S148" s="429">
        <v>163.489448654786</v>
      </c>
      <c r="T148" s="412"/>
    </row>
    <row r="149" spans="2:20" ht="13.5">
      <c r="B149" s="412"/>
      <c r="C149" s="428" t="s">
        <v>82</v>
      </c>
      <c r="D149" s="421">
        <v>0</v>
      </c>
      <c r="E149" s="421">
        <v>0</v>
      </c>
      <c r="F149" s="421">
        <v>2.8549378216016801</v>
      </c>
      <c r="G149" s="421">
        <v>0.45787676019682499</v>
      </c>
      <c r="H149" s="421">
        <v>0</v>
      </c>
      <c r="I149" s="421">
        <v>0</v>
      </c>
      <c r="J149" s="421">
        <v>4.6306119511950996</v>
      </c>
      <c r="K149" s="421">
        <v>0</v>
      </c>
      <c r="L149" s="421">
        <v>17.5819516131867</v>
      </c>
      <c r="M149" s="421">
        <v>0.45787676019682499</v>
      </c>
      <c r="N149" s="421">
        <v>0</v>
      </c>
      <c r="O149" s="421">
        <v>1.7440136932478201</v>
      </c>
      <c r="P149" s="421">
        <v>5.8182429458508897</v>
      </c>
      <c r="Q149" s="421">
        <v>0</v>
      </c>
      <c r="R149" s="421">
        <v>0.384274203596978</v>
      </c>
      <c r="S149" s="429">
        <v>33.929785749072799</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4.8</v>
      </c>
      <c r="Q150" s="421">
        <v>0</v>
      </c>
      <c r="R150" s="421">
        <v>0</v>
      </c>
      <c r="S150" s="429">
        <v>4.8</v>
      </c>
      <c r="T150" s="412"/>
    </row>
    <row r="151" spans="2:20" ht="13.5">
      <c r="B151" s="412"/>
      <c r="C151" s="424" t="s">
        <v>83</v>
      </c>
      <c r="D151" s="425">
        <v>1.5178805846268399</v>
      </c>
      <c r="E151" s="425">
        <v>0</v>
      </c>
      <c r="F151" s="425">
        <v>19.686153049850802</v>
      </c>
      <c r="G151" s="425">
        <v>65.819633814846199</v>
      </c>
      <c r="H151" s="425">
        <v>0</v>
      </c>
      <c r="I151" s="425">
        <v>0</v>
      </c>
      <c r="J151" s="425">
        <v>76.4785643859597</v>
      </c>
      <c r="K151" s="425">
        <v>4.7582654252696104</v>
      </c>
      <c r="L151" s="425">
        <v>51.752384613585399</v>
      </c>
      <c r="M151" s="425">
        <v>65.819633814846199</v>
      </c>
      <c r="N151" s="425">
        <v>108.611838905018</v>
      </c>
      <c r="O151" s="425">
        <v>6.34143536090974</v>
      </c>
      <c r="P151" s="425">
        <v>501.74379449129498</v>
      </c>
      <c r="Q151" s="425">
        <v>70.5824541719536</v>
      </c>
      <c r="R151" s="425">
        <v>14.600103225213999</v>
      </c>
      <c r="S151" s="425">
        <v>987.71214184337498</v>
      </c>
      <c r="T151" s="412"/>
    </row>
    <row r="152" spans="2:20" ht="13.5">
      <c r="B152" s="412"/>
      <c r="C152" s="420" t="s">
        <v>84</v>
      </c>
      <c r="D152" s="421">
        <v>0.22852185058593699</v>
      </c>
      <c r="E152" s="421">
        <v>0</v>
      </c>
      <c r="F152" s="421">
        <v>74.636292152893304</v>
      </c>
      <c r="G152" s="421">
        <v>5.7280066844384896</v>
      </c>
      <c r="H152" s="421">
        <v>0</v>
      </c>
      <c r="I152" s="421">
        <v>0</v>
      </c>
      <c r="J152" s="421">
        <v>0</v>
      </c>
      <c r="K152" s="421">
        <v>0</v>
      </c>
      <c r="L152" s="421">
        <v>24.563190847778301</v>
      </c>
      <c r="M152" s="421">
        <v>0</v>
      </c>
      <c r="N152" s="421">
        <v>0</v>
      </c>
      <c r="O152" s="421">
        <v>0</v>
      </c>
      <c r="P152" s="421">
        <v>0</v>
      </c>
      <c r="Q152" s="421">
        <v>0</v>
      </c>
      <c r="R152" s="421">
        <v>16.4428159881592</v>
      </c>
      <c r="S152" s="429">
        <v>121.59882752385499</v>
      </c>
      <c r="T152" s="412"/>
    </row>
    <row r="153" spans="2:20" ht="13.5">
      <c r="B153" s="412"/>
      <c r="C153" s="424" t="s">
        <v>85</v>
      </c>
      <c r="D153" s="425">
        <v>1.74640243521278</v>
      </c>
      <c r="E153" s="425">
        <v>0</v>
      </c>
      <c r="F153" s="425">
        <v>94.322445202744106</v>
      </c>
      <c r="G153" s="425">
        <v>71.547640499284697</v>
      </c>
      <c r="H153" s="425">
        <v>0</v>
      </c>
      <c r="I153" s="425">
        <v>0</v>
      </c>
      <c r="J153" s="425">
        <v>76.4785643859597</v>
      </c>
      <c r="K153" s="425">
        <v>4.7582654252696104</v>
      </c>
      <c r="L153" s="425">
        <v>76.315575461363807</v>
      </c>
      <c r="M153" s="425">
        <v>65.819633814846199</v>
      </c>
      <c r="N153" s="425">
        <v>108.611838905018</v>
      </c>
      <c r="O153" s="425">
        <v>6.34143536090974</v>
      </c>
      <c r="P153" s="425">
        <v>501.74379449129498</v>
      </c>
      <c r="Q153" s="425">
        <v>70.5824541719536</v>
      </c>
      <c r="R153" s="425">
        <v>31.042919213373199</v>
      </c>
      <c r="S153" s="425">
        <v>1109.31096936723</v>
      </c>
      <c r="T153" s="412"/>
    </row>
    <row r="154" spans="2:20">
      <c r="B154" s="412"/>
      <c r="C154" s="412"/>
      <c r="D154" s="430">
        <f t="shared" ref="D154:S154" si="3">D153+D143-D129</f>
        <v>0</v>
      </c>
      <c r="E154" s="430">
        <f t="shared" si="3"/>
        <v>0</v>
      </c>
      <c r="F154" s="430">
        <f t="shared" si="3"/>
        <v>1.9895196601282805E-13</v>
      </c>
      <c r="G154" s="430">
        <f t="shared" si="3"/>
        <v>0</v>
      </c>
      <c r="H154" s="430">
        <f t="shared" si="3"/>
        <v>0</v>
      </c>
      <c r="I154" s="430">
        <f t="shared" si="3"/>
        <v>0</v>
      </c>
      <c r="J154" s="430">
        <f t="shared" si="3"/>
        <v>6.8212102632969618E-13</v>
      </c>
      <c r="K154" s="430">
        <f t="shared" si="3"/>
        <v>0</v>
      </c>
      <c r="L154" s="430">
        <f t="shared" si="3"/>
        <v>-1.8474111129762605E-13</v>
      </c>
      <c r="M154" s="430">
        <f t="shared" si="3"/>
        <v>3.4638958368304884E-14</v>
      </c>
      <c r="N154" s="430">
        <f t="shared" si="3"/>
        <v>0</v>
      </c>
      <c r="O154" s="430">
        <f t="shared" si="3"/>
        <v>-5.6843418860808015E-14</v>
      </c>
      <c r="P154" s="430">
        <f t="shared" si="3"/>
        <v>-7.0699002208129968E-13</v>
      </c>
      <c r="Q154" s="430">
        <f t="shared" si="3"/>
        <v>0</v>
      </c>
      <c r="R154" s="430">
        <f t="shared" si="3"/>
        <v>7.0610184366159956E-14</v>
      </c>
      <c r="S154" s="430">
        <f t="shared" si="3"/>
        <v>1.8189894035458565E-12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89</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0</v>
      </c>
      <c r="F160" s="421">
        <v>0</v>
      </c>
      <c r="G160" s="421">
        <v>0</v>
      </c>
      <c r="H160" s="422">
        <v>764.84848484848499</v>
      </c>
      <c r="I160" s="422">
        <v>419.9</v>
      </c>
      <c r="J160" s="422">
        <v>351.24173188830201</v>
      </c>
      <c r="K160" s="422">
        <v>37.066117395131201</v>
      </c>
      <c r="L160" s="421">
        <v>0</v>
      </c>
      <c r="M160" s="421">
        <v>0</v>
      </c>
      <c r="N160" s="422">
        <v>121.931750282495</v>
      </c>
      <c r="O160" s="422">
        <v>22.204473213427001</v>
      </c>
      <c r="P160" s="421">
        <v>0</v>
      </c>
      <c r="Q160" s="421">
        <v>0</v>
      </c>
      <c r="R160" s="421">
        <v>0</v>
      </c>
      <c r="S160" s="423">
        <v>1717.19255762784</v>
      </c>
      <c r="T160" s="412"/>
    </row>
    <row r="161" spans="2:20" ht="13.5">
      <c r="B161" s="412"/>
      <c r="C161" s="420" t="s">
        <v>60</v>
      </c>
      <c r="D161" s="421">
        <v>4.3798405072467999</v>
      </c>
      <c r="E161" s="421">
        <v>113.59926767676799</v>
      </c>
      <c r="F161" s="421">
        <v>0.79806856250441205</v>
      </c>
      <c r="G161" s="421">
        <v>3.6153613407475298</v>
      </c>
      <c r="H161" s="421">
        <v>0</v>
      </c>
      <c r="I161" s="421">
        <v>0</v>
      </c>
      <c r="J161" s="421">
        <v>0</v>
      </c>
      <c r="K161" s="421">
        <v>0</v>
      </c>
      <c r="L161" s="421">
        <v>0</v>
      </c>
      <c r="M161" s="421">
        <v>0</v>
      </c>
      <c r="N161" s="421">
        <v>0</v>
      </c>
      <c r="O161" s="421">
        <v>0</v>
      </c>
      <c r="P161" s="421">
        <v>29.820654435364101</v>
      </c>
      <c r="Q161" s="421">
        <v>0</v>
      </c>
      <c r="R161" s="421">
        <v>0</v>
      </c>
      <c r="S161" s="423">
        <v>152.213192522631</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0</v>
      </c>
      <c r="Q162" s="421">
        <v>0</v>
      </c>
      <c r="R162" s="421">
        <v>0</v>
      </c>
      <c r="S162" s="423">
        <v>0</v>
      </c>
      <c r="T162" s="412"/>
    </row>
    <row r="163" spans="2:20" ht="13.5">
      <c r="B163" s="412"/>
      <c r="C163" s="420" t="s">
        <v>62</v>
      </c>
      <c r="D163" s="421">
        <v>0</v>
      </c>
      <c r="E163" s="421">
        <v>0</v>
      </c>
      <c r="F163" s="421">
        <v>-5.3013702027186103</v>
      </c>
      <c r="G163" s="421">
        <v>0</v>
      </c>
      <c r="H163" s="421">
        <v>0</v>
      </c>
      <c r="I163" s="421">
        <v>0</v>
      </c>
      <c r="J163" s="421">
        <v>0</v>
      </c>
      <c r="K163" s="421">
        <v>0</v>
      </c>
      <c r="L163" s="421">
        <v>0</v>
      </c>
      <c r="M163" s="421">
        <v>-5.1137296191647996</v>
      </c>
      <c r="N163" s="421">
        <v>0</v>
      </c>
      <c r="O163" s="421">
        <v>0</v>
      </c>
      <c r="P163" s="421">
        <v>0</v>
      </c>
      <c r="Q163" s="421">
        <v>0</v>
      </c>
      <c r="R163" s="421">
        <v>0</v>
      </c>
      <c r="S163" s="423">
        <v>-10.4150998218834</v>
      </c>
      <c r="T163" s="412"/>
    </row>
    <row r="164" spans="2:20" ht="13.5">
      <c r="B164" s="412"/>
      <c r="C164" s="420" t="s">
        <v>63</v>
      </c>
      <c r="D164" s="421">
        <v>0</v>
      </c>
      <c r="E164" s="421">
        <v>0</v>
      </c>
      <c r="F164" s="421">
        <v>-26.554014229686601</v>
      </c>
      <c r="G164" s="421">
        <v>0</v>
      </c>
      <c r="H164" s="421">
        <v>0</v>
      </c>
      <c r="I164" s="421">
        <v>0</v>
      </c>
      <c r="J164" s="421">
        <v>0</v>
      </c>
      <c r="K164" s="421">
        <v>0</v>
      </c>
      <c r="L164" s="421">
        <v>-53.337452419875703</v>
      </c>
      <c r="M164" s="421">
        <v>0</v>
      </c>
      <c r="N164" s="421">
        <v>0</v>
      </c>
      <c r="O164" s="421">
        <v>0</v>
      </c>
      <c r="P164" s="421">
        <v>0</v>
      </c>
      <c r="Q164" s="421">
        <v>0</v>
      </c>
      <c r="R164" s="421">
        <v>-3.3454941468715802</v>
      </c>
      <c r="S164" s="423">
        <v>-83.236960796433806</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4.3798405072467999</v>
      </c>
      <c r="E166" s="425">
        <v>113.59926767676799</v>
      </c>
      <c r="F166" s="425">
        <v>-31.057315869900801</v>
      </c>
      <c r="G166" s="425">
        <v>3.6153613407475298</v>
      </c>
      <c r="H166" s="425">
        <v>764.84848484848499</v>
      </c>
      <c r="I166" s="425">
        <v>419.9</v>
      </c>
      <c r="J166" s="425">
        <v>351.24173188830201</v>
      </c>
      <c r="K166" s="425">
        <v>37.066117395131201</v>
      </c>
      <c r="L166" s="425">
        <v>-53.337452419875703</v>
      </c>
      <c r="M166" s="425">
        <v>-5.1137296191647996</v>
      </c>
      <c r="N166" s="425">
        <v>121.931750282495</v>
      </c>
      <c r="O166" s="425">
        <v>22.204473213427001</v>
      </c>
      <c r="P166" s="425">
        <v>29.820654435364101</v>
      </c>
      <c r="Q166" s="425">
        <v>0</v>
      </c>
      <c r="R166" s="425">
        <v>-3.3454941468715802</v>
      </c>
      <c r="S166" s="425">
        <v>1775.75368953215</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0</v>
      </c>
      <c r="E169" s="421">
        <v>0</v>
      </c>
      <c r="F169" s="421">
        <v>0</v>
      </c>
      <c r="G169" s="421">
        <v>0</v>
      </c>
      <c r="H169" s="421">
        <v>764.84848484848499</v>
      </c>
      <c r="I169" s="421">
        <v>419.9</v>
      </c>
      <c r="J169" s="421">
        <v>14.837077022078001</v>
      </c>
      <c r="K169" s="421">
        <v>4.2997987248322396</v>
      </c>
      <c r="L169" s="421">
        <v>0</v>
      </c>
      <c r="M169" s="421">
        <v>0.66666666666666696</v>
      </c>
      <c r="N169" s="421">
        <v>0</v>
      </c>
      <c r="O169" s="421">
        <v>0</v>
      </c>
      <c r="P169" s="421">
        <v>-682.5</v>
      </c>
      <c r="Q169" s="421">
        <v>0</v>
      </c>
      <c r="R169" s="421">
        <v>3.75</v>
      </c>
      <c r="S169" s="429">
        <v>525.80202726206198</v>
      </c>
      <c r="T169" s="412"/>
    </row>
    <row r="170" spans="2:20" ht="13.5">
      <c r="B170" s="412"/>
      <c r="C170" s="428" t="s">
        <v>351</v>
      </c>
      <c r="D170" s="421">
        <v>0</v>
      </c>
      <c r="E170" s="421">
        <v>0</v>
      </c>
      <c r="F170" s="421">
        <v>0</v>
      </c>
      <c r="G170" s="421">
        <v>0</v>
      </c>
      <c r="H170" s="421">
        <v>0</v>
      </c>
      <c r="I170" s="421">
        <v>0</v>
      </c>
      <c r="J170" s="421">
        <v>28.8847744791587</v>
      </c>
      <c r="K170" s="421">
        <v>27.390111238212</v>
      </c>
      <c r="L170" s="421">
        <v>0</v>
      </c>
      <c r="M170" s="421">
        <v>10.9493569082394</v>
      </c>
      <c r="N170" s="421">
        <v>0</v>
      </c>
      <c r="O170" s="421">
        <v>14.830688385513501</v>
      </c>
      <c r="P170" s="421">
        <v>0</v>
      </c>
      <c r="Q170" s="421">
        <v>-76.630571525577196</v>
      </c>
      <c r="R170" s="421">
        <v>0</v>
      </c>
      <c r="S170" s="429">
        <v>5.4243594855463497</v>
      </c>
      <c r="T170" s="412"/>
    </row>
    <row r="171" spans="2:20" ht="13.5">
      <c r="B171" s="412"/>
      <c r="C171" s="428" t="s">
        <v>352</v>
      </c>
      <c r="D171" s="421">
        <v>0</v>
      </c>
      <c r="E171" s="421">
        <v>0</v>
      </c>
      <c r="F171" s="421">
        <v>0</v>
      </c>
      <c r="G171" s="421">
        <v>0</v>
      </c>
      <c r="H171" s="421">
        <v>0</v>
      </c>
      <c r="I171" s="421">
        <v>0</v>
      </c>
      <c r="J171" s="421">
        <v>141.99486817496901</v>
      </c>
      <c r="K171" s="421">
        <v>0</v>
      </c>
      <c r="L171" s="421">
        <v>0</v>
      </c>
      <c r="M171" s="421">
        <v>-135.60509910709601</v>
      </c>
      <c r="N171" s="421">
        <v>0</v>
      </c>
      <c r="O171" s="421">
        <v>0</v>
      </c>
      <c r="P171" s="421">
        <v>0</v>
      </c>
      <c r="Q171" s="421">
        <v>0</v>
      </c>
      <c r="R171" s="421">
        <v>0</v>
      </c>
      <c r="S171" s="429">
        <v>6.3897690678736296</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117.67676767676799</v>
      </c>
      <c r="F173" s="421">
        <v>-116.5</v>
      </c>
      <c r="G173" s="421">
        <v>0</v>
      </c>
      <c r="H173" s="421">
        <v>0</v>
      </c>
      <c r="I173" s="421">
        <v>0</v>
      </c>
      <c r="J173" s="421">
        <v>0</v>
      </c>
      <c r="K173" s="421">
        <v>0</v>
      </c>
      <c r="L173" s="421">
        <v>0</v>
      </c>
      <c r="M173" s="421">
        <v>0</v>
      </c>
      <c r="N173" s="421">
        <v>0</v>
      </c>
      <c r="O173" s="421">
        <v>0</v>
      </c>
      <c r="P173" s="421">
        <v>0</v>
      </c>
      <c r="Q173" s="421">
        <v>0</v>
      </c>
      <c r="R173" s="421">
        <v>0</v>
      </c>
      <c r="S173" s="429">
        <v>1.17676767676768</v>
      </c>
      <c r="T173" s="412"/>
    </row>
    <row r="174" spans="2:20" ht="13.5">
      <c r="B174" s="412"/>
      <c r="C174" s="428" t="s">
        <v>354</v>
      </c>
      <c r="D174" s="421">
        <v>0</v>
      </c>
      <c r="E174" s="421">
        <v>0</v>
      </c>
      <c r="F174" s="421">
        <v>0</v>
      </c>
      <c r="G174" s="421">
        <v>0</v>
      </c>
      <c r="H174" s="421">
        <v>0</v>
      </c>
      <c r="I174" s="421">
        <v>0</v>
      </c>
      <c r="J174" s="421">
        <v>92.683321682724895</v>
      </c>
      <c r="K174" s="421">
        <v>0</v>
      </c>
      <c r="L174" s="421">
        <v>-92.683321682724895</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-30.7160392407107</v>
      </c>
      <c r="M175" s="421">
        <v>0</v>
      </c>
      <c r="N175" s="421">
        <v>0</v>
      </c>
      <c r="O175" s="421">
        <v>0</v>
      </c>
      <c r="P175" s="421">
        <v>0</v>
      </c>
      <c r="Q175" s="421">
        <v>0</v>
      </c>
      <c r="R175" s="421">
        <v>43.880056058158097</v>
      </c>
      <c r="S175" s="429">
        <v>13.164016817447401</v>
      </c>
      <c r="T175" s="412"/>
    </row>
    <row r="176" spans="2:20" ht="13.5">
      <c r="B176" s="412"/>
      <c r="C176" s="428" t="s">
        <v>73</v>
      </c>
      <c r="D176" s="421">
        <v>0</v>
      </c>
      <c r="E176" s="421">
        <v>0</v>
      </c>
      <c r="F176" s="421">
        <v>0</v>
      </c>
      <c r="G176" s="421">
        <v>0</v>
      </c>
      <c r="H176" s="421">
        <v>0</v>
      </c>
      <c r="I176" s="421">
        <v>0</v>
      </c>
      <c r="J176" s="421">
        <v>0</v>
      </c>
      <c r="K176" s="421">
        <v>1.25759601218096</v>
      </c>
      <c r="L176" s="421">
        <v>0</v>
      </c>
      <c r="M176" s="421">
        <v>0</v>
      </c>
      <c r="N176" s="421">
        <v>0</v>
      </c>
      <c r="O176" s="421">
        <v>0</v>
      </c>
      <c r="P176" s="421">
        <v>121.043616172417</v>
      </c>
      <c r="Q176" s="421">
        <v>0</v>
      </c>
      <c r="R176" s="421">
        <v>-88.031720852667107</v>
      </c>
      <c r="S176" s="429">
        <v>34.2694913319311</v>
      </c>
      <c r="T176" s="412"/>
    </row>
    <row r="177" spans="2:20" ht="13.5">
      <c r="B177" s="412"/>
      <c r="C177" s="428" t="s">
        <v>356</v>
      </c>
      <c r="D177" s="421">
        <v>0.72303211975097703</v>
      </c>
      <c r="E177" s="421">
        <v>-4.0774999999999997</v>
      </c>
      <c r="F177" s="421">
        <v>5.3331291616343899</v>
      </c>
      <c r="G177" s="421">
        <v>0</v>
      </c>
      <c r="H177" s="421">
        <v>0</v>
      </c>
      <c r="I177" s="421">
        <v>0</v>
      </c>
      <c r="J177" s="421">
        <v>0</v>
      </c>
      <c r="K177" s="421">
        <v>0</v>
      </c>
      <c r="L177" s="421">
        <v>0</v>
      </c>
      <c r="M177" s="421">
        <v>0</v>
      </c>
      <c r="N177" s="421">
        <v>0</v>
      </c>
      <c r="O177" s="421">
        <v>0</v>
      </c>
      <c r="P177" s="421">
        <v>0</v>
      </c>
      <c r="Q177" s="421">
        <v>0</v>
      </c>
      <c r="R177" s="421">
        <v>0</v>
      </c>
      <c r="S177" s="429">
        <v>1.9786612813853699</v>
      </c>
      <c r="T177" s="412"/>
    </row>
    <row r="178" spans="2:20" ht="13.5">
      <c r="B178" s="412"/>
      <c r="C178" s="428" t="s">
        <v>75</v>
      </c>
      <c r="D178" s="421">
        <v>1.73775830078125</v>
      </c>
      <c r="E178" s="421">
        <v>0</v>
      </c>
      <c r="F178" s="421">
        <v>16.370387999999998</v>
      </c>
      <c r="G178" s="421">
        <v>0</v>
      </c>
      <c r="H178" s="421">
        <v>0</v>
      </c>
      <c r="I178" s="421">
        <v>0</v>
      </c>
      <c r="J178" s="421">
        <v>0</v>
      </c>
      <c r="K178" s="421">
        <v>0</v>
      </c>
      <c r="L178" s="421">
        <v>0</v>
      </c>
      <c r="M178" s="421">
        <v>4.7666718000000001</v>
      </c>
      <c r="N178" s="421">
        <v>0</v>
      </c>
      <c r="O178" s="421">
        <v>0</v>
      </c>
      <c r="P178" s="421">
        <v>36.566363636363597</v>
      </c>
      <c r="Q178" s="421">
        <v>0</v>
      </c>
      <c r="R178" s="421">
        <v>0</v>
      </c>
      <c r="S178" s="429">
        <v>59.441181737144902</v>
      </c>
      <c r="T178" s="412"/>
    </row>
    <row r="179" spans="2:20" ht="13.5">
      <c r="B179" s="412"/>
      <c r="C179" s="428" t="s">
        <v>76</v>
      </c>
      <c r="D179" s="421">
        <v>0</v>
      </c>
      <c r="E179" s="421">
        <v>0</v>
      </c>
      <c r="F179" s="421">
        <v>0</v>
      </c>
      <c r="G179" s="421">
        <v>0</v>
      </c>
      <c r="H179" s="421">
        <v>0</v>
      </c>
      <c r="I179" s="421">
        <v>0</v>
      </c>
      <c r="J179" s="421">
        <v>0</v>
      </c>
      <c r="K179" s="421">
        <v>0</v>
      </c>
      <c r="L179" s="421">
        <v>0</v>
      </c>
      <c r="M179" s="421">
        <v>1.6079656020604201</v>
      </c>
      <c r="N179" s="421">
        <v>0</v>
      </c>
      <c r="O179" s="421">
        <v>0</v>
      </c>
      <c r="P179" s="421">
        <v>54.591518299293803</v>
      </c>
      <c r="Q179" s="421">
        <v>5.9381623691406702</v>
      </c>
      <c r="R179" s="421">
        <v>0</v>
      </c>
      <c r="S179" s="429">
        <v>62.137646270494898</v>
      </c>
      <c r="T179" s="412"/>
    </row>
    <row r="180" spans="2:20" ht="13.5">
      <c r="B180" s="412"/>
      <c r="C180" s="424" t="s">
        <v>77</v>
      </c>
      <c r="D180" s="425">
        <v>2.4607904205322302</v>
      </c>
      <c r="E180" s="425">
        <v>113.59926767676799</v>
      </c>
      <c r="F180" s="425">
        <v>-94.796482838365606</v>
      </c>
      <c r="G180" s="425">
        <v>0</v>
      </c>
      <c r="H180" s="425">
        <v>764.84848484848499</v>
      </c>
      <c r="I180" s="425">
        <v>419.9</v>
      </c>
      <c r="J180" s="425">
        <v>278.40004135893099</v>
      </c>
      <c r="K180" s="425">
        <v>32.947505975225198</v>
      </c>
      <c r="L180" s="425">
        <v>-123.39936092343601</v>
      </c>
      <c r="M180" s="425">
        <v>-117.614438130129</v>
      </c>
      <c r="N180" s="425">
        <v>0</v>
      </c>
      <c r="O180" s="425">
        <v>14.830688385513501</v>
      </c>
      <c r="P180" s="425">
        <v>-470.29850189192501</v>
      </c>
      <c r="Q180" s="425">
        <v>-70.692409156436597</v>
      </c>
      <c r="R180" s="425">
        <v>-40.401664794509003</v>
      </c>
      <c r="S180" s="425">
        <v>709.78392093065395</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1.79989703190501</v>
      </c>
      <c r="E182" s="421">
        <v>0</v>
      </c>
      <c r="F182" s="421">
        <v>5.22589106512674E-2</v>
      </c>
      <c r="G182" s="421">
        <v>0</v>
      </c>
      <c r="H182" s="421">
        <v>0</v>
      </c>
      <c r="I182" s="421">
        <v>0</v>
      </c>
      <c r="J182" s="421">
        <v>13.331842727893299</v>
      </c>
      <c r="K182" s="421">
        <v>4.1186114199060402</v>
      </c>
      <c r="L182" s="421">
        <v>8.3494072265624997</v>
      </c>
      <c r="M182" s="421">
        <v>63.939809293815799</v>
      </c>
      <c r="N182" s="421">
        <v>0</v>
      </c>
      <c r="O182" s="421">
        <v>0</v>
      </c>
      <c r="P182" s="421">
        <v>150.76353147926901</v>
      </c>
      <c r="Q182" s="421">
        <v>27.157242806109199</v>
      </c>
      <c r="R182" s="421">
        <v>8.9542294921874994</v>
      </c>
      <c r="S182" s="429">
        <v>278.46683038830002</v>
      </c>
      <c r="T182" s="412"/>
    </row>
    <row r="183" spans="2:20" ht="13.5">
      <c r="B183" s="412"/>
      <c r="C183" s="428" t="s">
        <v>79</v>
      </c>
      <c r="D183" s="421">
        <v>0</v>
      </c>
      <c r="E183" s="421">
        <v>0</v>
      </c>
      <c r="F183" s="421">
        <v>2.1712429478419102</v>
      </c>
      <c r="G183" s="421">
        <v>0</v>
      </c>
      <c r="H183" s="421">
        <v>0</v>
      </c>
      <c r="I183" s="421">
        <v>0</v>
      </c>
      <c r="J183" s="421">
        <v>0</v>
      </c>
      <c r="K183" s="421">
        <v>0</v>
      </c>
      <c r="L183" s="421">
        <v>12.7882726969122</v>
      </c>
      <c r="M183" s="421">
        <v>24.887279738493302</v>
      </c>
      <c r="N183" s="421">
        <v>0</v>
      </c>
      <c r="O183" s="421">
        <v>0</v>
      </c>
      <c r="P183" s="421">
        <v>92.289301413656304</v>
      </c>
      <c r="Q183" s="421">
        <v>0</v>
      </c>
      <c r="R183" s="421">
        <v>7.1149935986121697</v>
      </c>
      <c r="S183" s="429">
        <v>139.251090395516</v>
      </c>
      <c r="T183" s="412"/>
    </row>
    <row r="184" spans="2:20" ht="13.5">
      <c r="B184" s="412"/>
      <c r="C184" s="428" t="s">
        <v>80</v>
      </c>
      <c r="D184" s="421">
        <v>0</v>
      </c>
      <c r="E184" s="421">
        <v>0</v>
      </c>
      <c r="F184" s="421">
        <v>0.35468706008189399</v>
      </c>
      <c r="G184" s="421">
        <v>0</v>
      </c>
      <c r="H184" s="421">
        <v>0</v>
      </c>
      <c r="I184" s="421">
        <v>0</v>
      </c>
      <c r="J184" s="421">
        <v>47.9682238056754</v>
      </c>
      <c r="K184" s="421">
        <v>0</v>
      </c>
      <c r="L184" s="421">
        <v>0</v>
      </c>
      <c r="M184" s="421">
        <v>17.598271269670001</v>
      </c>
      <c r="N184" s="421">
        <v>106.862728555422</v>
      </c>
      <c r="O184" s="421">
        <v>3.7519530039459799</v>
      </c>
      <c r="P184" s="421">
        <v>134.324841663434</v>
      </c>
      <c r="Q184" s="421">
        <v>28.562960275021499</v>
      </c>
      <c r="R184" s="421">
        <v>0</v>
      </c>
      <c r="S184" s="429">
        <v>339.42366563325101</v>
      </c>
      <c r="T184" s="412"/>
    </row>
    <row r="185" spans="2:20" ht="13.5">
      <c r="B185" s="412"/>
      <c r="C185" s="428" t="s">
        <v>81</v>
      </c>
      <c r="D185" s="421">
        <v>0</v>
      </c>
      <c r="E185" s="421">
        <v>0</v>
      </c>
      <c r="F185" s="421">
        <v>1.3910064361048399E-2</v>
      </c>
      <c r="G185" s="421">
        <v>0</v>
      </c>
      <c r="H185" s="421">
        <v>0</v>
      </c>
      <c r="I185" s="421">
        <v>0</v>
      </c>
      <c r="J185" s="421">
        <v>6.5361621549849502</v>
      </c>
      <c r="K185" s="421">
        <v>0</v>
      </c>
      <c r="L185" s="421">
        <v>0</v>
      </c>
      <c r="M185" s="421">
        <v>5.4198008615464897</v>
      </c>
      <c r="N185" s="421">
        <v>15.069021727073199</v>
      </c>
      <c r="O185" s="421">
        <v>1.4344248188770199</v>
      </c>
      <c r="P185" s="421">
        <v>109.143617899049</v>
      </c>
      <c r="Q185" s="421">
        <v>14.972206075305801</v>
      </c>
      <c r="R185" s="421">
        <v>0</v>
      </c>
      <c r="S185" s="429">
        <v>152.589143601198</v>
      </c>
      <c r="T185" s="412"/>
    </row>
    <row r="186" spans="2:20" ht="13.5">
      <c r="B186" s="412"/>
      <c r="C186" s="428" t="s">
        <v>82</v>
      </c>
      <c r="D186" s="421">
        <v>0</v>
      </c>
      <c r="E186" s="421">
        <v>0</v>
      </c>
      <c r="F186" s="421">
        <v>0</v>
      </c>
      <c r="G186" s="421">
        <v>0</v>
      </c>
      <c r="H186" s="421">
        <v>0</v>
      </c>
      <c r="I186" s="421">
        <v>0</v>
      </c>
      <c r="J186" s="421">
        <v>5.0054618408177598</v>
      </c>
      <c r="K186" s="421">
        <v>0</v>
      </c>
      <c r="L186" s="421">
        <v>18.815796579352799</v>
      </c>
      <c r="M186" s="421">
        <v>0.65554734743876097</v>
      </c>
      <c r="N186" s="421">
        <v>0</v>
      </c>
      <c r="O186" s="421">
        <v>2.1874070050904901</v>
      </c>
      <c r="P186" s="421">
        <v>5.5978638718802802</v>
      </c>
      <c r="Q186" s="421">
        <v>0</v>
      </c>
      <c r="R186" s="421">
        <v>0.443393311842667</v>
      </c>
      <c r="S186" s="429">
        <v>32.705469956422696</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8</v>
      </c>
      <c r="Q187" s="421">
        <v>0</v>
      </c>
      <c r="R187" s="421">
        <v>0</v>
      </c>
      <c r="S187" s="429">
        <v>8</v>
      </c>
      <c r="T187" s="412"/>
    </row>
    <row r="188" spans="2:20" ht="13.5">
      <c r="B188" s="412"/>
      <c r="C188" s="424" t="s">
        <v>83</v>
      </c>
      <c r="D188" s="425">
        <v>1.79989703190501</v>
      </c>
      <c r="E188" s="425">
        <v>0</v>
      </c>
      <c r="F188" s="425">
        <v>2.5920989829361201</v>
      </c>
      <c r="G188" s="425">
        <v>0</v>
      </c>
      <c r="H188" s="425">
        <v>0</v>
      </c>
      <c r="I188" s="425">
        <v>0</v>
      </c>
      <c r="J188" s="425">
        <v>72.841690529371405</v>
      </c>
      <c r="K188" s="425">
        <v>4.1186114199060402</v>
      </c>
      <c r="L188" s="425">
        <v>39.953476502827499</v>
      </c>
      <c r="M188" s="425">
        <v>112.500708510964</v>
      </c>
      <c r="N188" s="425">
        <v>121.931750282495</v>
      </c>
      <c r="O188" s="425">
        <v>7.3737848279134903</v>
      </c>
      <c r="P188" s="425">
        <v>500.11915632728898</v>
      </c>
      <c r="Q188" s="425">
        <v>70.692409156436497</v>
      </c>
      <c r="R188" s="425">
        <v>16.512616402642301</v>
      </c>
      <c r="S188" s="425">
        <v>950.43619997468704</v>
      </c>
      <c r="T188" s="412"/>
    </row>
    <row r="189" spans="2:20" ht="13.5">
      <c r="B189" s="412"/>
      <c r="C189" s="420" t="s">
        <v>84</v>
      </c>
      <c r="D189" s="421">
        <v>0.11915305480957</v>
      </c>
      <c r="E189" s="421">
        <v>0</v>
      </c>
      <c r="F189" s="421">
        <v>61.1470679855287</v>
      </c>
      <c r="G189" s="421">
        <v>3.6153613407475298</v>
      </c>
      <c r="H189" s="421">
        <v>0</v>
      </c>
      <c r="I189" s="421">
        <v>0</v>
      </c>
      <c r="J189" s="421">
        <v>0</v>
      </c>
      <c r="K189" s="421">
        <v>0</v>
      </c>
      <c r="L189" s="421">
        <v>30.1084320007324</v>
      </c>
      <c r="M189" s="421">
        <v>0</v>
      </c>
      <c r="N189" s="421">
        <v>0</v>
      </c>
      <c r="O189" s="421">
        <v>0</v>
      </c>
      <c r="P189" s="421">
        <v>0</v>
      </c>
      <c r="Q189" s="421">
        <v>0</v>
      </c>
      <c r="R189" s="421">
        <v>20.5435542449951</v>
      </c>
      <c r="S189" s="429">
        <v>115.53356862681299</v>
      </c>
      <c r="T189" s="412"/>
    </row>
    <row r="190" spans="2:20" ht="13.5">
      <c r="B190" s="412"/>
      <c r="C190" s="424" t="s">
        <v>85</v>
      </c>
      <c r="D190" s="425">
        <v>1.9190500867145801</v>
      </c>
      <c r="E190" s="425">
        <v>0</v>
      </c>
      <c r="F190" s="425">
        <v>63.7391669684649</v>
      </c>
      <c r="G190" s="425">
        <v>3.6153613407475298</v>
      </c>
      <c r="H190" s="425">
        <v>0</v>
      </c>
      <c r="I190" s="425">
        <v>0</v>
      </c>
      <c r="J190" s="425">
        <v>72.841690529371405</v>
      </c>
      <c r="K190" s="425">
        <v>4.1186114199060402</v>
      </c>
      <c r="L190" s="425">
        <v>70.061908503559906</v>
      </c>
      <c r="M190" s="425">
        <v>112.500708510964</v>
      </c>
      <c r="N190" s="425">
        <v>121.931750282495</v>
      </c>
      <c r="O190" s="425">
        <v>7.3737848279134903</v>
      </c>
      <c r="P190" s="425">
        <v>500.11915632728898</v>
      </c>
      <c r="Q190" s="425">
        <v>70.692409156436497</v>
      </c>
      <c r="R190" s="425">
        <v>37.056170647637501</v>
      </c>
      <c r="S190" s="425">
        <v>1065.9697686014999</v>
      </c>
      <c r="T190" s="412"/>
    </row>
    <row r="191" spans="2:20">
      <c r="B191" s="412"/>
      <c r="C191" s="412"/>
      <c r="D191" s="430">
        <f t="shared" ref="D191:S191" si="4">D190+D180-D166</f>
        <v>1.0658141036401503E-14</v>
      </c>
      <c r="E191" s="430">
        <f t="shared" si="4"/>
        <v>0</v>
      </c>
      <c r="F191" s="430">
        <f t="shared" si="4"/>
        <v>9.5923269327613525E-14</v>
      </c>
      <c r="G191" s="430">
        <f t="shared" si="4"/>
        <v>0</v>
      </c>
      <c r="H191" s="430">
        <f t="shared" si="4"/>
        <v>0</v>
      </c>
      <c r="I191" s="430">
        <f t="shared" si="4"/>
        <v>0</v>
      </c>
      <c r="J191" s="430">
        <f t="shared" si="4"/>
        <v>0</v>
      </c>
      <c r="K191" s="430">
        <f t="shared" si="4"/>
        <v>0</v>
      </c>
      <c r="L191" s="430">
        <f t="shared" si="4"/>
        <v>-3.979039320256561E-13</v>
      </c>
      <c r="M191" s="430">
        <f t="shared" si="4"/>
        <v>-1.9984014443252818E-13</v>
      </c>
      <c r="N191" s="430">
        <f t="shared" si="4"/>
        <v>0</v>
      </c>
      <c r="O191" s="430">
        <f t="shared" si="4"/>
        <v>0</v>
      </c>
      <c r="P191" s="430">
        <f t="shared" si="4"/>
        <v>-1.3855583347321954E-13</v>
      </c>
      <c r="Q191" s="430">
        <f t="shared" si="4"/>
        <v>-9.9475983006414026E-14</v>
      </c>
      <c r="R191" s="430">
        <f t="shared" si="4"/>
        <v>7.815970093361102E-14</v>
      </c>
      <c r="S191" s="430">
        <f t="shared" si="4"/>
        <v>3.865352482534945E-12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sheetData>
  <mergeCells count="60">
    <mergeCell ref="S158:S159"/>
    <mergeCell ref="C158:C159"/>
    <mergeCell ref="D158:D159"/>
    <mergeCell ref="E158:E159"/>
    <mergeCell ref="F158:F159"/>
    <mergeCell ref="G158:G159"/>
    <mergeCell ref="H158:H159"/>
    <mergeCell ref="I158:I159"/>
    <mergeCell ref="J158:O158"/>
    <mergeCell ref="P158:P159"/>
    <mergeCell ref="Q158:Q159"/>
    <mergeCell ref="R158:R159"/>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165:S167 S180:S188">
    <cfRule type="cellIs" dxfId="2158" priority="1" operator="equal">
      <formula>0</formula>
    </cfRule>
  </conditionalFormatting>
  <conditionalFormatting sqref="S180">
    <cfRule type="expression" dxfId="2157" priority="2">
      <formula>LEN(TRIM(S180))=0</formula>
    </cfRule>
  </conditionalFormatting>
  <conditionalFormatting sqref="J11:N11">
    <cfRule type="cellIs" dxfId="2156" priority="42" operator="equal">
      <formula>0</formula>
    </cfRule>
  </conditionalFormatting>
  <conditionalFormatting sqref="O11">
    <cfRule type="cellIs" dxfId="2155" priority="43" operator="equal">
      <formula>0</formula>
    </cfRule>
  </conditionalFormatting>
  <conditionalFormatting sqref="S42 S12:S40">
    <cfRule type="cellIs" dxfId="2154" priority="44" operator="equal">
      <formula>0</formula>
    </cfRule>
  </conditionalFormatting>
  <conditionalFormatting sqref="S41">
    <cfRule type="cellIs" dxfId="2153" priority="45" operator="equal">
      <formula>0</formula>
    </cfRule>
  </conditionalFormatting>
  <conditionalFormatting sqref="S34:S42 S12:S18 S20:S32">
    <cfRule type="expression" dxfId="2152" priority="46">
      <formula>LEN(TRIM(S12))=0</formula>
    </cfRule>
  </conditionalFormatting>
  <conditionalFormatting sqref="D42:R42 P33:R33 D33:I33 D34:R40 D32:R32 D13:R19 D12:G12 L12:M12 P12:R12">
    <cfRule type="cellIs" dxfId="2151" priority="47" operator="equal">
      <formula>0</formula>
    </cfRule>
  </conditionalFormatting>
  <conditionalFormatting sqref="P12:P14">
    <cfRule type="cellIs" dxfId="2150" priority="48" operator="equal">
      <formula>0</formula>
    </cfRule>
  </conditionalFormatting>
  <conditionalFormatting sqref="P12:R12 L12:M12 D13:R14">
    <cfRule type="cellIs" dxfId="2149" priority="49" operator="equal">
      <formula>0</formula>
    </cfRule>
  </conditionalFormatting>
  <conditionalFormatting sqref="F13:F14">
    <cfRule type="cellIs" dxfId="2148" priority="50" operator="equal">
      <formula>0</formula>
    </cfRule>
  </conditionalFormatting>
  <conditionalFormatting sqref="L12:M12">
    <cfRule type="cellIs" dxfId="2147" priority="51" operator="equal">
      <formula>0</formula>
    </cfRule>
  </conditionalFormatting>
  <conditionalFormatting sqref="J15:J17 J33">
    <cfRule type="cellIs" dxfId="2146" priority="52" operator="equal">
      <formula>0</formula>
    </cfRule>
  </conditionalFormatting>
  <conditionalFormatting sqref="J13:J14">
    <cfRule type="cellIs" dxfId="2145" priority="53" operator="equal">
      <formula>0</formula>
    </cfRule>
  </conditionalFormatting>
  <conditionalFormatting sqref="K15:K17 K33">
    <cfRule type="cellIs" dxfId="2144" priority="54" operator="equal">
      <formula>0</formula>
    </cfRule>
  </conditionalFormatting>
  <conditionalFormatting sqref="K13:K14">
    <cfRule type="cellIs" dxfId="2143" priority="55" operator="equal">
      <formula>0</formula>
    </cfRule>
  </conditionalFormatting>
  <conditionalFormatting sqref="L15:L17 L33">
    <cfRule type="cellIs" dxfId="2142" priority="56" operator="equal">
      <formula>0</formula>
    </cfRule>
  </conditionalFormatting>
  <conditionalFormatting sqref="L12:L14">
    <cfRule type="cellIs" dxfId="2141" priority="57" operator="equal">
      <formula>0</formula>
    </cfRule>
  </conditionalFormatting>
  <conditionalFormatting sqref="M15:M17 M33">
    <cfRule type="cellIs" dxfId="2140" priority="58" operator="equal">
      <formula>0</formula>
    </cfRule>
  </conditionalFormatting>
  <conditionalFormatting sqref="M12:M14">
    <cfRule type="cellIs" dxfId="2139" priority="59" operator="equal">
      <formula>0</formula>
    </cfRule>
  </conditionalFormatting>
  <conditionalFormatting sqref="N15:N17 N33">
    <cfRule type="cellIs" dxfId="2138" priority="60" operator="equal">
      <formula>0</formula>
    </cfRule>
  </conditionalFormatting>
  <conditionalFormatting sqref="N13:N14">
    <cfRule type="cellIs" dxfId="2137" priority="61" operator="equal">
      <formula>0</formula>
    </cfRule>
  </conditionalFormatting>
  <conditionalFormatting sqref="O15:O17 O33">
    <cfRule type="cellIs" dxfId="2136" priority="62" operator="equal">
      <formula>0</formula>
    </cfRule>
  </conditionalFormatting>
  <conditionalFormatting sqref="O13:O14">
    <cfRule type="cellIs" dxfId="2135" priority="63" operator="equal">
      <formula>0</formula>
    </cfRule>
  </conditionalFormatting>
  <conditionalFormatting sqref="D41:R41">
    <cfRule type="cellIs" dxfId="2134" priority="64" operator="equal">
      <formula>0</formula>
    </cfRule>
  </conditionalFormatting>
  <conditionalFormatting sqref="D34:R42 D32:R32 D13:R18 D12:G12 L12:M12 P12:R12">
    <cfRule type="expression" dxfId="2133" priority="65">
      <formula>LEN(TRIM(D12))=0</formula>
    </cfRule>
  </conditionalFormatting>
  <conditionalFormatting sqref="D41:R41">
    <cfRule type="cellIs" dxfId="2132" priority="66" operator="equal">
      <formula>0</formula>
    </cfRule>
  </conditionalFormatting>
  <conditionalFormatting sqref="L15:L16">
    <cfRule type="cellIs" dxfId="2131" priority="67" operator="equal">
      <formula>0</formula>
    </cfRule>
  </conditionalFormatting>
  <conditionalFormatting sqref="M15:M16">
    <cfRule type="cellIs" dxfId="2130" priority="68" operator="equal">
      <formula>0</formula>
    </cfRule>
  </conditionalFormatting>
  <conditionalFormatting sqref="N15:O15">
    <cfRule type="cellIs" dxfId="2129" priority="69" operator="equal">
      <formula>0</formula>
    </cfRule>
  </conditionalFormatting>
  <conditionalFormatting sqref="N16:O16">
    <cfRule type="cellIs" dxfId="2128" priority="70" operator="equal">
      <formula>0</formula>
    </cfRule>
  </conditionalFormatting>
  <conditionalFormatting sqref="D20:R31">
    <cfRule type="cellIs" dxfId="2127" priority="71" operator="equal">
      <formula>0</formula>
    </cfRule>
  </conditionalFormatting>
  <conditionalFormatting sqref="D20:R31">
    <cfRule type="expression" dxfId="2126" priority="72">
      <formula>LEN(TRIM(D20))=0</formula>
    </cfRule>
  </conditionalFormatting>
  <conditionalFormatting sqref="H12">
    <cfRule type="cellIs" dxfId="2125" priority="73" operator="equal">
      <formula>0</formula>
    </cfRule>
  </conditionalFormatting>
  <conditionalFormatting sqref="I12">
    <cfRule type="cellIs" dxfId="2124" priority="74" operator="equal">
      <formula>0</formula>
    </cfRule>
  </conditionalFormatting>
  <conditionalFormatting sqref="J12:K12">
    <cfRule type="cellIs" dxfId="2123" priority="75" operator="equal">
      <formula>0</formula>
    </cfRule>
  </conditionalFormatting>
  <conditionalFormatting sqref="K12">
    <cfRule type="cellIs" dxfId="2122" priority="76" operator="equal">
      <formula>0</formula>
    </cfRule>
  </conditionalFormatting>
  <conditionalFormatting sqref="H12:K12">
    <cfRule type="expression" dxfId="2121" priority="77">
      <formula>LEN(TRIM(H12))=0</formula>
    </cfRule>
  </conditionalFormatting>
  <conditionalFormatting sqref="N12:O12">
    <cfRule type="cellIs" dxfId="2120" priority="78" operator="equal">
      <formula>0</formula>
    </cfRule>
  </conditionalFormatting>
  <conditionalFormatting sqref="N12:O12">
    <cfRule type="cellIs" dxfId="2119" priority="79" operator="equal">
      <formula>0</formula>
    </cfRule>
  </conditionalFormatting>
  <conditionalFormatting sqref="N12:O12">
    <cfRule type="expression" dxfId="2118" priority="80">
      <formula>LEN(TRIM(N12))=0</formula>
    </cfRule>
  </conditionalFormatting>
  <conditionalFormatting sqref="J48:N48">
    <cfRule type="cellIs" dxfId="2117" priority="81" operator="equal">
      <formula>0</formula>
    </cfRule>
  </conditionalFormatting>
  <conditionalFormatting sqref="O48">
    <cfRule type="cellIs" dxfId="2116" priority="82" operator="equal">
      <formula>0</formula>
    </cfRule>
  </conditionalFormatting>
  <conditionalFormatting sqref="S79 S49:S77">
    <cfRule type="cellIs" dxfId="2115" priority="83" operator="equal">
      <formula>0</formula>
    </cfRule>
  </conditionalFormatting>
  <conditionalFormatting sqref="S78">
    <cfRule type="cellIs" dxfId="2114" priority="84" operator="equal">
      <formula>0</formula>
    </cfRule>
  </conditionalFormatting>
  <conditionalFormatting sqref="S71:S79 S49:S55 S57:S69">
    <cfRule type="expression" dxfId="2113" priority="85">
      <formula>LEN(TRIM(S49))=0</formula>
    </cfRule>
  </conditionalFormatting>
  <conditionalFormatting sqref="D79:R79 P70:R70 D70:I70 D71:R77 D69:R69 D50:R56 D49:G49 L49:M49 P49:R49">
    <cfRule type="cellIs" dxfId="2112" priority="86" operator="equal">
      <formula>0</formula>
    </cfRule>
  </conditionalFormatting>
  <conditionalFormatting sqref="P49:P51">
    <cfRule type="cellIs" dxfId="2111" priority="87" operator="equal">
      <formula>0</formula>
    </cfRule>
  </conditionalFormatting>
  <conditionalFormatting sqref="P49:R49 L49:M49 D50:R51">
    <cfRule type="cellIs" dxfId="2110" priority="88" operator="equal">
      <formula>0</formula>
    </cfRule>
  </conditionalFormatting>
  <conditionalFormatting sqref="F50:F51">
    <cfRule type="cellIs" dxfId="2109" priority="89" operator="equal">
      <formula>0</formula>
    </cfRule>
  </conditionalFormatting>
  <conditionalFormatting sqref="L49:M49">
    <cfRule type="cellIs" dxfId="2108" priority="90" operator="equal">
      <formula>0</formula>
    </cfRule>
  </conditionalFormatting>
  <conditionalFormatting sqref="J52:J54 J70">
    <cfRule type="cellIs" dxfId="2107" priority="91" operator="equal">
      <formula>0</formula>
    </cfRule>
  </conditionalFormatting>
  <conditionalFormatting sqref="J50:J51">
    <cfRule type="cellIs" dxfId="2106" priority="92" operator="equal">
      <formula>0</formula>
    </cfRule>
  </conditionalFormatting>
  <conditionalFormatting sqref="K52:K54 K70">
    <cfRule type="cellIs" dxfId="2105" priority="93" operator="equal">
      <formula>0</formula>
    </cfRule>
  </conditionalFormatting>
  <conditionalFormatting sqref="K50:K51">
    <cfRule type="cellIs" dxfId="2104" priority="94" operator="equal">
      <formula>0</formula>
    </cfRule>
  </conditionalFormatting>
  <conditionalFormatting sqref="L52:L54 L70">
    <cfRule type="cellIs" dxfId="2103" priority="95" operator="equal">
      <formula>0</formula>
    </cfRule>
  </conditionalFormatting>
  <conditionalFormatting sqref="L49:L51">
    <cfRule type="cellIs" dxfId="2102" priority="96" operator="equal">
      <formula>0</formula>
    </cfRule>
  </conditionalFormatting>
  <conditionalFormatting sqref="M52:M54 M70">
    <cfRule type="cellIs" dxfId="2101" priority="97" operator="equal">
      <formula>0</formula>
    </cfRule>
  </conditionalFormatting>
  <conditionalFormatting sqref="M49:M51">
    <cfRule type="cellIs" dxfId="2100" priority="98" operator="equal">
      <formula>0</formula>
    </cfRule>
  </conditionalFormatting>
  <conditionalFormatting sqref="N52:N54 N70">
    <cfRule type="cellIs" dxfId="2099" priority="99" operator="equal">
      <formula>0</formula>
    </cfRule>
  </conditionalFormatting>
  <conditionalFormatting sqref="N50:N51">
    <cfRule type="cellIs" dxfId="2098" priority="100" operator="equal">
      <formula>0</formula>
    </cfRule>
  </conditionalFormatting>
  <conditionalFormatting sqref="O52:O54 O70">
    <cfRule type="cellIs" dxfId="2097" priority="101" operator="equal">
      <formula>0</formula>
    </cfRule>
  </conditionalFormatting>
  <conditionalFormatting sqref="O50:O51">
    <cfRule type="cellIs" dxfId="2096" priority="102" operator="equal">
      <formula>0</formula>
    </cfRule>
  </conditionalFormatting>
  <conditionalFormatting sqref="D78:R78">
    <cfRule type="cellIs" dxfId="2095" priority="103" operator="equal">
      <formula>0</formula>
    </cfRule>
  </conditionalFormatting>
  <conditionalFormatting sqref="D71:R79 D69:R69 D50:R55 D49:G49 L49:M49 P49:R49">
    <cfRule type="expression" dxfId="2094" priority="104">
      <formula>LEN(TRIM(D49))=0</formula>
    </cfRule>
  </conditionalFormatting>
  <conditionalFormatting sqref="D78:R78">
    <cfRule type="cellIs" dxfId="2093" priority="105" operator="equal">
      <formula>0</formula>
    </cfRule>
  </conditionalFormatting>
  <conditionalFormatting sqref="L52:L53">
    <cfRule type="cellIs" dxfId="2092" priority="106" operator="equal">
      <formula>0</formula>
    </cfRule>
  </conditionalFormatting>
  <conditionalFormatting sqref="M52:M53">
    <cfRule type="cellIs" dxfId="2091" priority="107" operator="equal">
      <formula>0</formula>
    </cfRule>
  </conditionalFormatting>
  <conditionalFormatting sqref="N52:O52">
    <cfRule type="cellIs" dxfId="2090" priority="108" operator="equal">
      <formula>0</formula>
    </cfRule>
  </conditionalFormatting>
  <conditionalFormatting sqref="N53:O53">
    <cfRule type="cellIs" dxfId="2089" priority="109" operator="equal">
      <formula>0</formula>
    </cfRule>
  </conditionalFormatting>
  <conditionalFormatting sqref="D57:R68">
    <cfRule type="cellIs" dxfId="2088" priority="110" operator="equal">
      <formula>0</formula>
    </cfRule>
  </conditionalFormatting>
  <conditionalFormatting sqref="D57:R68">
    <cfRule type="expression" dxfId="2087" priority="111">
      <formula>LEN(TRIM(D57))=0</formula>
    </cfRule>
  </conditionalFormatting>
  <conditionalFormatting sqref="H49">
    <cfRule type="cellIs" dxfId="2086" priority="112" operator="equal">
      <formula>0</formula>
    </cfRule>
  </conditionalFormatting>
  <conditionalFormatting sqref="I49">
    <cfRule type="cellIs" dxfId="2085" priority="113" operator="equal">
      <formula>0</formula>
    </cfRule>
  </conditionalFormatting>
  <conditionalFormatting sqref="J49:K49">
    <cfRule type="cellIs" dxfId="2084" priority="114" operator="equal">
      <formula>0</formula>
    </cfRule>
  </conditionalFormatting>
  <conditionalFormatting sqref="K49">
    <cfRule type="cellIs" dxfId="2083" priority="115" operator="equal">
      <formula>0</formula>
    </cfRule>
  </conditionalFormatting>
  <conditionalFormatting sqref="H49:K49">
    <cfRule type="expression" dxfId="2082" priority="116">
      <formula>LEN(TRIM(H49))=0</formula>
    </cfRule>
  </conditionalFormatting>
  <conditionalFormatting sqref="N49:O49">
    <cfRule type="cellIs" dxfId="2081" priority="117" operator="equal">
      <formula>0</formula>
    </cfRule>
  </conditionalFormatting>
  <conditionalFormatting sqref="N49:O49">
    <cfRule type="cellIs" dxfId="2080" priority="118" operator="equal">
      <formula>0</formula>
    </cfRule>
  </conditionalFormatting>
  <conditionalFormatting sqref="N49:O49">
    <cfRule type="expression" dxfId="2079" priority="119">
      <formula>LEN(TRIM(N49))=0</formula>
    </cfRule>
  </conditionalFormatting>
  <conditionalFormatting sqref="J85:N85">
    <cfRule type="cellIs" dxfId="2078" priority="120" operator="equal">
      <formula>0</formula>
    </cfRule>
  </conditionalFormatting>
  <conditionalFormatting sqref="O85">
    <cfRule type="cellIs" dxfId="2077" priority="121" operator="equal">
      <formula>0</formula>
    </cfRule>
  </conditionalFormatting>
  <conditionalFormatting sqref="S116 S86:S114">
    <cfRule type="cellIs" dxfId="2076" priority="122" operator="equal">
      <formula>0</formula>
    </cfRule>
  </conditionalFormatting>
  <conditionalFormatting sqref="S115">
    <cfRule type="cellIs" dxfId="2075" priority="123" operator="equal">
      <formula>0</formula>
    </cfRule>
  </conditionalFormatting>
  <conditionalFormatting sqref="S108:S116 S86:S92 S94:S106">
    <cfRule type="expression" dxfId="2074" priority="124">
      <formula>LEN(TRIM(S86))=0</formula>
    </cfRule>
  </conditionalFormatting>
  <conditionalFormatting sqref="D116:R116 P107:R107 D107:I107 D108:R114 D106:R106 D87:R93 D86:G86 L86:M86 P86:R86">
    <cfRule type="cellIs" dxfId="2073" priority="125" operator="equal">
      <formula>0</formula>
    </cfRule>
  </conditionalFormatting>
  <conditionalFormatting sqref="P86:P88">
    <cfRule type="cellIs" dxfId="2072" priority="126" operator="equal">
      <formula>0</formula>
    </cfRule>
  </conditionalFormatting>
  <conditionalFormatting sqref="P86:R86 L86:M86 D87:R88">
    <cfRule type="cellIs" dxfId="2071" priority="127" operator="equal">
      <formula>0</formula>
    </cfRule>
  </conditionalFormatting>
  <conditionalFormatting sqref="F87:F88">
    <cfRule type="cellIs" dxfId="2070" priority="128" operator="equal">
      <formula>0</formula>
    </cfRule>
  </conditionalFormatting>
  <conditionalFormatting sqref="L86:M86">
    <cfRule type="cellIs" dxfId="2069" priority="129" operator="equal">
      <formula>0</formula>
    </cfRule>
  </conditionalFormatting>
  <conditionalFormatting sqref="J89:J91 J107">
    <cfRule type="cellIs" dxfId="2068" priority="130" operator="equal">
      <formula>0</formula>
    </cfRule>
  </conditionalFormatting>
  <conditionalFormatting sqref="J87:J88">
    <cfRule type="cellIs" dxfId="2067" priority="131" operator="equal">
      <formula>0</formula>
    </cfRule>
  </conditionalFormatting>
  <conditionalFormatting sqref="K89:K91 K107">
    <cfRule type="cellIs" dxfId="2066" priority="132" operator="equal">
      <formula>0</formula>
    </cfRule>
  </conditionalFormatting>
  <conditionalFormatting sqref="K87:K88">
    <cfRule type="cellIs" dxfId="2065" priority="133" operator="equal">
      <formula>0</formula>
    </cfRule>
  </conditionalFormatting>
  <conditionalFormatting sqref="L89:L91 L107">
    <cfRule type="cellIs" dxfId="2064" priority="134" operator="equal">
      <formula>0</formula>
    </cfRule>
  </conditionalFormatting>
  <conditionalFormatting sqref="L86:L88">
    <cfRule type="cellIs" dxfId="2063" priority="135" operator="equal">
      <formula>0</formula>
    </cfRule>
  </conditionalFormatting>
  <conditionalFormatting sqref="M89:M91 M107">
    <cfRule type="cellIs" dxfId="2062" priority="136" operator="equal">
      <formula>0</formula>
    </cfRule>
  </conditionalFormatting>
  <conditionalFormatting sqref="M86:M88">
    <cfRule type="cellIs" dxfId="2061" priority="137" operator="equal">
      <formula>0</formula>
    </cfRule>
  </conditionalFormatting>
  <conditionalFormatting sqref="N89:N91 N107">
    <cfRule type="cellIs" dxfId="2060" priority="138" operator="equal">
      <formula>0</formula>
    </cfRule>
  </conditionalFormatting>
  <conditionalFormatting sqref="N87:N88">
    <cfRule type="cellIs" dxfId="2059" priority="139" operator="equal">
      <formula>0</formula>
    </cfRule>
  </conditionalFormatting>
  <conditionalFormatting sqref="O89:O91 O107">
    <cfRule type="cellIs" dxfId="2058" priority="140" operator="equal">
      <formula>0</formula>
    </cfRule>
  </conditionalFormatting>
  <conditionalFormatting sqref="O87:O88">
    <cfRule type="cellIs" dxfId="2057" priority="141" operator="equal">
      <formula>0</formula>
    </cfRule>
  </conditionalFormatting>
  <conditionalFormatting sqref="D115:R115">
    <cfRule type="cellIs" dxfId="2056" priority="142" operator="equal">
      <formula>0</formula>
    </cfRule>
  </conditionalFormatting>
  <conditionalFormatting sqref="D108:R116 D106:R106 D87:R92 D86:G86 L86:M86 P86:R86">
    <cfRule type="expression" dxfId="2055" priority="143">
      <formula>LEN(TRIM(D86))=0</formula>
    </cfRule>
  </conditionalFormatting>
  <conditionalFormatting sqref="D115:R115">
    <cfRule type="cellIs" dxfId="2054" priority="144" operator="equal">
      <formula>0</formula>
    </cfRule>
  </conditionalFormatting>
  <conditionalFormatting sqref="L89:L90">
    <cfRule type="cellIs" dxfId="2053" priority="145" operator="equal">
      <formula>0</formula>
    </cfRule>
  </conditionalFormatting>
  <conditionalFormatting sqref="M89:M90">
    <cfRule type="cellIs" dxfId="2052" priority="146" operator="equal">
      <formula>0</formula>
    </cfRule>
  </conditionalFormatting>
  <conditionalFormatting sqref="N89:O89">
    <cfRule type="cellIs" dxfId="2051" priority="147" operator="equal">
      <formula>0</formula>
    </cfRule>
  </conditionalFormatting>
  <conditionalFormatting sqref="N90:O90">
    <cfRule type="cellIs" dxfId="2050" priority="148" operator="equal">
      <formula>0</formula>
    </cfRule>
  </conditionalFormatting>
  <conditionalFormatting sqref="D94:R105">
    <cfRule type="cellIs" dxfId="2049" priority="149" operator="equal">
      <formula>0</formula>
    </cfRule>
  </conditionalFormatting>
  <conditionalFormatting sqref="D94:R105">
    <cfRule type="expression" dxfId="2048" priority="150">
      <formula>LEN(TRIM(D94))=0</formula>
    </cfRule>
  </conditionalFormatting>
  <conditionalFormatting sqref="H86">
    <cfRule type="cellIs" dxfId="2047" priority="151" operator="equal">
      <formula>0</formula>
    </cfRule>
  </conditionalFormatting>
  <conditionalFormatting sqref="I86">
    <cfRule type="cellIs" dxfId="2046" priority="152" operator="equal">
      <formula>0</formula>
    </cfRule>
  </conditionalFormatting>
  <conditionalFormatting sqref="J86:K86">
    <cfRule type="cellIs" dxfId="2045" priority="153" operator="equal">
      <formula>0</formula>
    </cfRule>
  </conditionalFormatting>
  <conditionalFormatting sqref="K86">
    <cfRule type="cellIs" dxfId="2044" priority="154" operator="equal">
      <formula>0</formula>
    </cfRule>
  </conditionalFormatting>
  <conditionalFormatting sqref="H86:K86">
    <cfRule type="expression" dxfId="2043" priority="155">
      <formula>LEN(TRIM(H86))=0</formula>
    </cfRule>
  </conditionalFormatting>
  <conditionalFormatting sqref="N86:O86">
    <cfRule type="cellIs" dxfId="2042" priority="156" operator="equal">
      <formula>0</formula>
    </cfRule>
  </conditionalFormatting>
  <conditionalFormatting sqref="N86:O86">
    <cfRule type="cellIs" dxfId="2041" priority="157" operator="equal">
      <formula>0</formula>
    </cfRule>
  </conditionalFormatting>
  <conditionalFormatting sqref="N86:O86">
    <cfRule type="expression" dxfId="2040" priority="158">
      <formula>LEN(TRIM(N86))=0</formula>
    </cfRule>
  </conditionalFormatting>
  <conditionalFormatting sqref="J122:N122">
    <cfRule type="cellIs" dxfId="2039" priority="159" operator="equal">
      <formula>0</formula>
    </cfRule>
  </conditionalFormatting>
  <conditionalFormatting sqref="O122">
    <cfRule type="cellIs" dxfId="2038" priority="160" operator="equal">
      <formula>0</formula>
    </cfRule>
  </conditionalFormatting>
  <conditionalFormatting sqref="S153 S123:S151">
    <cfRule type="cellIs" dxfId="2037" priority="161" operator="equal">
      <formula>0</formula>
    </cfRule>
  </conditionalFormatting>
  <conditionalFormatting sqref="S152">
    <cfRule type="cellIs" dxfId="2036" priority="162" operator="equal">
      <formula>0</formula>
    </cfRule>
  </conditionalFormatting>
  <conditionalFormatting sqref="S145:S153 S123:S129 S131:S143">
    <cfRule type="expression" dxfId="2035" priority="163">
      <formula>LEN(TRIM(S123))=0</formula>
    </cfRule>
  </conditionalFormatting>
  <conditionalFormatting sqref="D153:R153 P144:R144 D144:I144 D145:R151 D143:R143 D124:R130 D123:G123 L123:M123 P123:R123">
    <cfRule type="cellIs" dxfId="2034" priority="164" operator="equal">
      <formula>0</formula>
    </cfRule>
  </conditionalFormatting>
  <conditionalFormatting sqref="P123:P125">
    <cfRule type="cellIs" dxfId="2033" priority="165" operator="equal">
      <formula>0</formula>
    </cfRule>
  </conditionalFormatting>
  <conditionalFormatting sqref="P123:R123 L123:M123 D124:R125">
    <cfRule type="cellIs" dxfId="2032" priority="166" operator="equal">
      <formula>0</formula>
    </cfRule>
  </conditionalFormatting>
  <conditionalFormatting sqref="F124:F125">
    <cfRule type="cellIs" dxfId="2031" priority="167" operator="equal">
      <formula>0</formula>
    </cfRule>
  </conditionalFormatting>
  <conditionalFormatting sqref="L123:M123">
    <cfRule type="cellIs" dxfId="2030" priority="168" operator="equal">
      <formula>0</formula>
    </cfRule>
  </conditionalFormatting>
  <conditionalFormatting sqref="J126:J128 J144">
    <cfRule type="cellIs" dxfId="2029" priority="169" operator="equal">
      <formula>0</formula>
    </cfRule>
  </conditionalFormatting>
  <conditionalFormatting sqref="J124:J125">
    <cfRule type="cellIs" dxfId="2028" priority="170" operator="equal">
      <formula>0</formula>
    </cfRule>
  </conditionalFormatting>
  <conditionalFormatting sqref="K126:K128 K144">
    <cfRule type="cellIs" dxfId="2027" priority="171" operator="equal">
      <formula>0</formula>
    </cfRule>
  </conditionalFormatting>
  <conditionalFormatting sqref="K124:K125">
    <cfRule type="cellIs" dxfId="2026" priority="172" operator="equal">
      <formula>0</formula>
    </cfRule>
  </conditionalFormatting>
  <conditionalFormatting sqref="L126:L128 L144">
    <cfRule type="cellIs" dxfId="2025" priority="173" operator="equal">
      <formula>0</formula>
    </cfRule>
  </conditionalFormatting>
  <conditionalFormatting sqref="L123:L125">
    <cfRule type="cellIs" dxfId="2024" priority="174" operator="equal">
      <formula>0</formula>
    </cfRule>
  </conditionalFormatting>
  <conditionalFormatting sqref="M126:M128 M144">
    <cfRule type="cellIs" dxfId="2023" priority="175" operator="equal">
      <formula>0</formula>
    </cfRule>
  </conditionalFormatting>
  <conditionalFormatting sqref="M123:M125">
    <cfRule type="cellIs" dxfId="2022" priority="176" operator="equal">
      <formula>0</formula>
    </cfRule>
  </conditionalFormatting>
  <conditionalFormatting sqref="N126:N128 N144">
    <cfRule type="cellIs" dxfId="2021" priority="177" operator="equal">
      <formula>0</formula>
    </cfRule>
  </conditionalFormatting>
  <conditionalFormatting sqref="N124:N125">
    <cfRule type="cellIs" dxfId="2020" priority="178" operator="equal">
      <formula>0</formula>
    </cfRule>
  </conditionalFormatting>
  <conditionalFormatting sqref="O126:O128 O144">
    <cfRule type="cellIs" dxfId="2019" priority="179" operator="equal">
      <formula>0</formula>
    </cfRule>
  </conditionalFormatting>
  <conditionalFormatting sqref="O124:O125">
    <cfRule type="cellIs" dxfId="2018" priority="180" operator="equal">
      <formula>0</formula>
    </cfRule>
  </conditionalFormatting>
  <conditionalFormatting sqref="D152:R152">
    <cfRule type="cellIs" dxfId="2017" priority="181" operator="equal">
      <formula>0</formula>
    </cfRule>
  </conditionalFormatting>
  <conditionalFormatting sqref="D145:R153 D143:R143 D124:R129 D123:G123 L123:M123 P123:R123">
    <cfRule type="expression" dxfId="2016" priority="182">
      <formula>LEN(TRIM(D123))=0</formula>
    </cfRule>
  </conditionalFormatting>
  <conditionalFormatting sqref="D152:R152">
    <cfRule type="cellIs" dxfId="2015" priority="183" operator="equal">
      <formula>0</formula>
    </cfRule>
  </conditionalFormatting>
  <conditionalFormatting sqref="L126:L127">
    <cfRule type="cellIs" dxfId="2014" priority="184" operator="equal">
      <formula>0</formula>
    </cfRule>
  </conditionalFormatting>
  <conditionalFormatting sqref="M126:M127">
    <cfRule type="cellIs" dxfId="2013" priority="185" operator="equal">
      <formula>0</formula>
    </cfRule>
  </conditionalFormatting>
  <conditionalFormatting sqref="N126:O126">
    <cfRule type="cellIs" dxfId="2012" priority="186" operator="equal">
      <formula>0</formula>
    </cfRule>
  </conditionalFormatting>
  <conditionalFormatting sqref="N127:O127">
    <cfRule type="cellIs" dxfId="2011" priority="187" operator="equal">
      <formula>0</formula>
    </cfRule>
  </conditionalFormatting>
  <conditionalFormatting sqref="D131:R142">
    <cfRule type="cellIs" dxfId="2010" priority="188" operator="equal">
      <formula>0</formula>
    </cfRule>
  </conditionalFormatting>
  <conditionalFormatting sqref="D131:R142">
    <cfRule type="expression" dxfId="2009" priority="189">
      <formula>LEN(TRIM(D131))=0</formula>
    </cfRule>
  </conditionalFormatting>
  <conditionalFormatting sqref="H123">
    <cfRule type="cellIs" dxfId="2008" priority="190" operator="equal">
      <formula>0</formula>
    </cfRule>
  </conditionalFormatting>
  <conditionalFormatting sqref="I123">
    <cfRule type="cellIs" dxfId="2007" priority="191" operator="equal">
      <formula>0</formula>
    </cfRule>
  </conditionalFormatting>
  <conditionalFormatting sqref="J123:K123">
    <cfRule type="cellIs" dxfId="2006" priority="192" operator="equal">
      <formula>0</formula>
    </cfRule>
  </conditionalFormatting>
  <conditionalFormatting sqref="K123">
    <cfRule type="cellIs" dxfId="2005" priority="193" operator="equal">
      <formula>0</formula>
    </cfRule>
  </conditionalFormatting>
  <conditionalFormatting sqref="H123:K123">
    <cfRule type="expression" dxfId="2004" priority="194">
      <formula>LEN(TRIM(H123))=0</formula>
    </cfRule>
  </conditionalFormatting>
  <conditionalFormatting sqref="N123:O123">
    <cfRule type="cellIs" dxfId="2003" priority="195" operator="equal">
      <formula>0</formula>
    </cfRule>
  </conditionalFormatting>
  <conditionalFormatting sqref="N123:O123">
    <cfRule type="cellIs" dxfId="2002" priority="196" operator="equal">
      <formula>0</formula>
    </cfRule>
  </conditionalFormatting>
  <conditionalFormatting sqref="N123:O123">
    <cfRule type="expression" dxfId="2001" priority="197">
      <formula>LEN(TRIM(N123))=0</formula>
    </cfRule>
  </conditionalFormatting>
  <conditionalFormatting sqref="J159:N159">
    <cfRule type="cellIs" dxfId="2000" priority="198" operator="equal">
      <formula>0</formula>
    </cfRule>
  </conditionalFormatting>
  <conditionalFormatting sqref="O159">
    <cfRule type="cellIs" dxfId="1999" priority="199" operator="equal">
      <formula>0</formula>
    </cfRule>
  </conditionalFormatting>
  <conditionalFormatting sqref="S190 S160:S162">
    <cfRule type="cellIs" dxfId="1998" priority="200" operator="equal">
      <formula>0</formula>
    </cfRule>
  </conditionalFormatting>
  <conditionalFormatting sqref="S189">
    <cfRule type="cellIs" dxfId="1997" priority="201" operator="equal">
      <formula>0</formula>
    </cfRule>
  </conditionalFormatting>
  <conditionalFormatting sqref="S182:S190 S160:S162 S165:S166">
    <cfRule type="expression" dxfId="1996" priority="202">
      <formula>LEN(TRIM(S160))=0</formula>
    </cfRule>
  </conditionalFormatting>
  <conditionalFormatting sqref="S163:S164">
    <cfRule type="cellIs" dxfId="1995" priority="203" operator="equal">
      <formula>0</formula>
    </cfRule>
  </conditionalFormatting>
  <conditionalFormatting sqref="S163:S164">
    <cfRule type="expression" dxfId="1994" priority="204">
      <formula>LEN(TRIM(S163))=0</formula>
    </cfRule>
  </conditionalFormatting>
  <conditionalFormatting sqref="S168:S179">
    <cfRule type="cellIs" dxfId="1993" priority="205" operator="equal">
      <formula>0</formula>
    </cfRule>
  </conditionalFormatting>
  <conditionalFormatting sqref="S168:S179">
    <cfRule type="expression" dxfId="1992" priority="206">
      <formula>LEN(TRIM(S168))=0</formula>
    </cfRule>
  </conditionalFormatting>
  <conditionalFormatting sqref="D190:R190 P181:R181 D181:I181 D182:R188 D180:R180 D161:R167 D160:G160 L160:M160 P160:R160">
    <cfRule type="cellIs" dxfId="1991" priority="207" operator="equal">
      <formula>0</formula>
    </cfRule>
  </conditionalFormatting>
  <conditionalFormatting sqref="P160:P162">
    <cfRule type="cellIs" dxfId="1990" priority="208" operator="equal">
      <formula>0</formula>
    </cfRule>
  </conditionalFormatting>
  <conditionalFormatting sqref="P160:R160 L160:M160 D161:R162">
    <cfRule type="cellIs" dxfId="1989" priority="209" operator="equal">
      <formula>0</formula>
    </cfRule>
  </conditionalFormatting>
  <conditionalFormatting sqref="F161:F162">
    <cfRule type="cellIs" dxfId="1988" priority="210" operator="equal">
      <formula>0</formula>
    </cfRule>
  </conditionalFormatting>
  <conditionalFormatting sqref="L160:M160">
    <cfRule type="cellIs" dxfId="1987" priority="211" operator="equal">
      <formula>0</formula>
    </cfRule>
  </conditionalFormatting>
  <conditionalFormatting sqref="J163:J165 J181">
    <cfRule type="cellIs" dxfId="1986" priority="212" operator="equal">
      <formula>0</formula>
    </cfRule>
  </conditionalFormatting>
  <conditionalFormatting sqref="J161:J162">
    <cfRule type="cellIs" dxfId="1985" priority="213" operator="equal">
      <formula>0</formula>
    </cfRule>
  </conditionalFormatting>
  <conditionalFormatting sqref="K163:K165 K181">
    <cfRule type="cellIs" dxfId="1984" priority="214" operator="equal">
      <formula>0</formula>
    </cfRule>
  </conditionalFormatting>
  <conditionalFormatting sqref="K161:K162">
    <cfRule type="cellIs" dxfId="1983" priority="215" operator="equal">
      <formula>0</formula>
    </cfRule>
  </conditionalFormatting>
  <conditionalFormatting sqref="L163:L165 L181">
    <cfRule type="cellIs" dxfId="1982" priority="216" operator="equal">
      <formula>0</formula>
    </cfRule>
  </conditionalFormatting>
  <conditionalFormatting sqref="L160:L162">
    <cfRule type="cellIs" dxfId="1981" priority="217" operator="equal">
      <formula>0</formula>
    </cfRule>
  </conditionalFormatting>
  <conditionalFormatting sqref="M163:M165 M181">
    <cfRule type="cellIs" dxfId="1980" priority="218" operator="equal">
      <formula>0</formula>
    </cfRule>
  </conditionalFormatting>
  <conditionalFormatting sqref="M160:M162">
    <cfRule type="cellIs" dxfId="1979" priority="219" operator="equal">
      <formula>0</formula>
    </cfRule>
  </conditionalFormatting>
  <conditionalFormatting sqref="N163:N165 N181">
    <cfRule type="cellIs" dxfId="1978" priority="220" operator="equal">
      <formula>0</formula>
    </cfRule>
  </conditionalFormatting>
  <conditionalFormatting sqref="N161:N162">
    <cfRule type="cellIs" dxfId="1977" priority="221" operator="equal">
      <formula>0</formula>
    </cfRule>
  </conditionalFormatting>
  <conditionalFormatting sqref="O163:O165 O181">
    <cfRule type="cellIs" dxfId="1976" priority="222" operator="equal">
      <formula>0</formula>
    </cfRule>
  </conditionalFormatting>
  <conditionalFormatting sqref="O161:O162">
    <cfRule type="cellIs" dxfId="1975" priority="223" operator="equal">
      <formula>0</formula>
    </cfRule>
  </conditionalFormatting>
  <conditionalFormatting sqref="D189:R189">
    <cfRule type="cellIs" dxfId="1974" priority="224" operator="equal">
      <formula>0</formula>
    </cfRule>
  </conditionalFormatting>
  <conditionalFormatting sqref="D182:R190 D180:R180 D161:R166 D160:G160 L160:M160 P160:R160">
    <cfRule type="expression" dxfId="1973" priority="225">
      <formula>LEN(TRIM(D160))=0</formula>
    </cfRule>
  </conditionalFormatting>
  <conditionalFormatting sqref="D189:R189">
    <cfRule type="cellIs" dxfId="1972" priority="226" operator="equal">
      <formula>0</formula>
    </cfRule>
  </conditionalFormatting>
  <conditionalFormatting sqref="L163:L164">
    <cfRule type="cellIs" dxfId="1971" priority="227" operator="equal">
      <formula>0</formula>
    </cfRule>
  </conditionalFormatting>
  <conditionalFormatting sqref="M163:M164">
    <cfRule type="cellIs" dxfId="1970" priority="228" operator="equal">
      <formula>0</formula>
    </cfRule>
  </conditionalFormatting>
  <conditionalFormatting sqref="N163:O163">
    <cfRule type="cellIs" dxfId="1969" priority="229" operator="equal">
      <formula>0</formula>
    </cfRule>
  </conditionalFormatting>
  <conditionalFormatting sqref="N164:O164">
    <cfRule type="cellIs" dxfId="1968" priority="230" operator="equal">
      <formula>0</formula>
    </cfRule>
  </conditionalFormatting>
  <conditionalFormatting sqref="D168:R179">
    <cfRule type="cellIs" dxfId="1967" priority="231" operator="equal">
      <formula>0</formula>
    </cfRule>
  </conditionalFormatting>
  <conditionalFormatting sqref="D168:R179">
    <cfRule type="expression" dxfId="1966" priority="232">
      <formula>LEN(TRIM(D168))=0</formula>
    </cfRule>
  </conditionalFormatting>
  <conditionalFormatting sqref="H160">
    <cfRule type="cellIs" dxfId="1965" priority="233" operator="equal">
      <formula>0</formula>
    </cfRule>
  </conditionalFormatting>
  <conditionalFormatting sqref="I160">
    <cfRule type="cellIs" dxfId="1964" priority="234" operator="equal">
      <formula>0</formula>
    </cfRule>
  </conditionalFormatting>
  <conditionalFormatting sqref="J160:K160">
    <cfRule type="cellIs" dxfId="1963" priority="235" operator="equal">
      <formula>0</formula>
    </cfRule>
  </conditionalFormatting>
  <conditionalFormatting sqref="K160">
    <cfRule type="cellIs" dxfId="1962" priority="236" operator="equal">
      <formula>0</formula>
    </cfRule>
  </conditionalFormatting>
  <conditionalFormatting sqref="H160:K160">
    <cfRule type="expression" dxfId="1961" priority="237">
      <formula>LEN(TRIM(H160))=0</formula>
    </cfRule>
  </conditionalFormatting>
  <conditionalFormatting sqref="N160:O160">
    <cfRule type="cellIs" dxfId="1960" priority="238" operator="equal">
      <formula>0</formula>
    </cfRule>
  </conditionalFormatting>
  <conditionalFormatting sqref="N160:O160">
    <cfRule type="cellIs" dxfId="1959" priority="239" operator="equal">
      <formula>0</formula>
    </cfRule>
  </conditionalFormatting>
  <conditionalFormatting sqref="N160:O160">
    <cfRule type="expression" dxfId="1958" priority="240">
      <formula>LEN(TRIM(N160))=0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5FD24-6618-49D5-A5FA-810D2978CABD}">
  <dimension ref="B2:T155"/>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362</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2.3260000000000001</v>
      </c>
      <c r="F12" s="421">
        <v>0</v>
      </c>
      <c r="G12" s="421">
        <v>3.7215999999999999E-2</v>
      </c>
      <c r="H12" s="422">
        <v>949.39393939393904</v>
      </c>
      <c r="I12" s="422">
        <v>276.68</v>
      </c>
      <c r="J12" s="422">
        <v>284.734772116177</v>
      </c>
      <c r="K12" s="422">
        <v>38.511665616305898</v>
      </c>
      <c r="L12" s="421">
        <v>0</v>
      </c>
      <c r="M12" s="421">
        <v>0</v>
      </c>
      <c r="N12" s="422">
        <v>85.392433579820405</v>
      </c>
      <c r="O12" s="422">
        <v>15.074805441341001</v>
      </c>
      <c r="P12" s="421">
        <v>0</v>
      </c>
      <c r="Q12" s="421">
        <v>0</v>
      </c>
      <c r="R12" s="421">
        <v>0</v>
      </c>
      <c r="S12" s="423">
        <v>1652.1508321475801</v>
      </c>
      <c r="T12" s="412"/>
    </row>
    <row r="13" spans="2:20" ht="13.5">
      <c r="B13" s="412"/>
      <c r="C13" s="420" t="s">
        <v>60</v>
      </c>
      <c r="D13" s="421">
        <v>8.4277409701764192</v>
      </c>
      <c r="E13" s="421">
        <v>294.49378048971499</v>
      </c>
      <c r="F13" s="421">
        <v>3.02470006963182</v>
      </c>
      <c r="G13" s="421">
        <v>181.17738201956001</v>
      </c>
      <c r="H13" s="421">
        <v>0</v>
      </c>
      <c r="I13" s="421">
        <v>0</v>
      </c>
      <c r="J13" s="421">
        <v>0</v>
      </c>
      <c r="K13" s="421">
        <v>0</v>
      </c>
      <c r="L13" s="421">
        <v>0</v>
      </c>
      <c r="M13" s="421">
        <v>0</v>
      </c>
      <c r="N13" s="421">
        <v>0</v>
      </c>
      <c r="O13" s="421">
        <v>0</v>
      </c>
      <c r="P13" s="421">
        <v>13.6891405650981</v>
      </c>
      <c r="Q13" s="421">
        <v>0</v>
      </c>
      <c r="R13" s="421">
        <v>0</v>
      </c>
      <c r="S13" s="423">
        <v>500.81274411418099</v>
      </c>
      <c r="T13" s="412"/>
    </row>
    <row r="14" spans="2:20" ht="13.5">
      <c r="B14" s="412"/>
      <c r="C14" s="420" t="s">
        <v>61</v>
      </c>
      <c r="D14" s="421">
        <v>0</v>
      </c>
      <c r="E14" s="421">
        <v>0</v>
      </c>
      <c r="F14" s="421">
        <v>0</v>
      </c>
      <c r="G14" s="421">
        <v>0</v>
      </c>
      <c r="H14" s="421">
        <v>0</v>
      </c>
      <c r="I14" s="421">
        <v>0</v>
      </c>
      <c r="J14" s="421">
        <v>0</v>
      </c>
      <c r="K14" s="421">
        <v>0</v>
      </c>
      <c r="L14" s="421">
        <v>0</v>
      </c>
      <c r="M14" s="421">
        <v>0</v>
      </c>
      <c r="N14" s="421">
        <v>0</v>
      </c>
      <c r="O14" s="421">
        <v>0</v>
      </c>
      <c r="P14" s="421">
        <v>0</v>
      </c>
      <c r="Q14" s="421">
        <v>0</v>
      </c>
      <c r="R14" s="421">
        <v>0</v>
      </c>
      <c r="S14" s="423">
        <v>0</v>
      </c>
      <c r="T14" s="412"/>
    </row>
    <row r="15" spans="2:20" ht="13.5">
      <c r="B15" s="412"/>
      <c r="C15" s="420" t="s">
        <v>62</v>
      </c>
      <c r="D15" s="421">
        <v>0</v>
      </c>
      <c r="E15" s="421">
        <v>0</v>
      </c>
      <c r="F15" s="421">
        <v>-11.216317309287099</v>
      </c>
      <c r="G15" s="421">
        <v>-1.99710794114988</v>
      </c>
      <c r="H15" s="421">
        <v>0</v>
      </c>
      <c r="I15" s="421">
        <v>0</v>
      </c>
      <c r="J15" s="421">
        <v>0</v>
      </c>
      <c r="K15" s="421">
        <v>0</v>
      </c>
      <c r="L15" s="421">
        <v>0</v>
      </c>
      <c r="M15" s="421">
        <v>-0.69888193239441998</v>
      </c>
      <c r="N15" s="421">
        <v>0</v>
      </c>
      <c r="O15" s="421">
        <v>0</v>
      </c>
      <c r="P15" s="421">
        <v>0</v>
      </c>
      <c r="Q15" s="421">
        <v>0</v>
      </c>
      <c r="R15" s="421">
        <v>0</v>
      </c>
      <c r="S15" s="423">
        <v>-13.9123071828314</v>
      </c>
      <c r="T15" s="412"/>
    </row>
    <row r="16" spans="2:20" ht="13.5">
      <c r="B16" s="412"/>
      <c r="C16" s="420" t="s">
        <v>63</v>
      </c>
      <c r="D16" s="421">
        <v>0</v>
      </c>
      <c r="E16" s="421">
        <v>0</v>
      </c>
      <c r="F16" s="421">
        <v>-55.603077514900399</v>
      </c>
      <c r="G16" s="421">
        <v>0</v>
      </c>
      <c r="H16" s="421">
        <v>0</v>
      </c>
      <c r="I16" s="421">
        <v>0</v>
      </c>
      <c r="J16" s="421">
        <v>0</v>
      </c>
      <c r="K16" s="421">
        <v>0</v>
      </c>
      <c r="L16" s="421">
        <v>-22.070241117704398</v>
      </c>
      <c r="M16" s="421">
        <v>0</v>
      </c>
      <c r="N16" s="421">
        <v>0</v>
      </c>
      <c r="O16" s="421">
        <v>0</v>
      </c>
      <c r="P16" s="421">
        <v>0</v>
      </c>
      <c r="Q16" s="421">
        <v>0</v>
      </c>
      <c r="R16" s="421">
        <v>-0.48199249828489099</v>
      </c>
      <c r="S16" s="423">
        <v>-78.155311130889601</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8.4277409701764192</v>
      </c>
      <c r="E18" s="425">
        <v>296.81978048971501</v>
      </c>
      <c r="F18" s="425">
        <v>-63.794694754555699</v>
      </c>
      <c r="G18" s="425">
        <v>179.21749007841001</v>
      </c>
      <c r="H18" s="425">
        <v>949.39393939393904</v>
      </c>
      <c r="I18" s="425">
        <v>276.68</v>
      </c>
      <c r="J18" s="425">
        <v>284.734772116177</v>
      </c>
      <c r="K18" s="425">
        <v>38.511665616305898</v>
      </c>
      <c r="L18" s="425">
        <v>-22.070241117704398</v>
      </c>
      <c r="M18" s="425">
        <v>-0.69888193239441998</v>
      </c>
      <c r="N18" s="425">
        <v>85.392433579820405</v>
      </c>
      <c r="O18" s="425">
        <v>15.074805441341001</v>
      </c>
      <c r="P18" s="425">
        <v>13.6891405650981</v>
      </c>
      <c r="Q18" s="425">
        <v>0</v>
      </c>
      <c r="R18" s="425">
        <v>-0.48199249828489099</v>
      </c>
      <c r="S18" s="425">
        <v>2060.8959579480402</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0</v>
      </c>
      <c r="E21" s="421">
        <v>0</v>
      </c>
      <c r="F21" s="421">
        <v>0</v>
      </c>
      <c r="G21" s="421">
        <v>12.8533333333333</v>
      </c>
      <c r="H21" s="421">
        <v>949.39393939393904</v>
      </c>
      <c r="I21" s="421">
        <v>276.68</v>
      </c>
      <c r="J21" s="421">
        <v>18.141357717605299</v>
      </c>
      <c r="K21" s="421">
        <v>5.2928476822958697</v>
      </c>
      <c r="L21" s="421">
        <v>0</v>
      </c>
      <c r="M21" s="421">
        <v>4.05894736842105</v>
      </c>
      <c r="N21" s="421">
        <v>0</v>
      </c>
      <c r="O21" s="421">
        <v>0</v>
      </c>
      <c r="P21" s="421">
        <v>-609.38</v>
      </c>
      <c r="Q21" s="421">
        <v>0</v>
      </c>
      <c r="R21" s="421">
        <v>3.8</v>
      </c>
      <c r="S21" s="429">
        <v>660.84042549559501</v>
      </c>
      <c r="T21" s="412"/>
    </row>
    <row r="22" spans="2:20" ht="13.5">
      <c r="B22" s="412"/>
      <c r="C22" s="428" t="s">
        <v>351</v>
      </c>
      <c r="D22" s="421">
        <v>0</v>
      </c>
      <c r="E22" s="421">
        <v>0</v>
      </c>
      <c r="F22" s="421">
        <v>0</v>
      </c>
      <c r="G22" s="421">
        <v>13.2997527316566</v>
      </c>
      <c r="H22" s="421">
        <v>0</v>
      </c>
      <c r="I22" s="421">
        <v>0</v>
      </c>
      <c r="J22" s="421">
        <v>29.191829684725199</v>
      </c>
      <c r="K22" s="421">
        <v>27.043598962685898</v>
      </c>
      <c r="L22" s="421">
        <v>0</v>
      </c>
      <c r="M22" s="421">
        <v>4.1999219152599903</v>
      </c>
      <c r="N22" s="421">
        <v>0</v>
      </c>
      <c r="O22" s="421">
        <v>10.1722943931358</v>
      </c>
      <c r="P22" s="421">
        <v>0</v>
      </c>
      <c r="Q22" s="421">
        <v>-77.056499329406094</v>
      </c>
      <c r="R22" s="421">
        <v>0</v>
      </c>
      <c r="S22" s="429">
        <v>6.8508983580574103</v>
      </c>
      <c r="T22" s="412"/>
    </row>
    <row r="23" spans="2:20" ht="13.5">
      <c r="B23" s="412"/>
      <c r="C23" s="428" t="s">
        <v>352</v>
      </c>
      <c r="D23" s="421">
        <v>0</v>
      </c>
      <c r="E23" s="421">
        <v>0</v>
      </c>
      <c r="F23" s="421">
        <v>0</v>
      </c>
      <c r="G23" s="421">
        <v>0</v>
      </c>
      <c r="H23" s="421">
        <v>0</v>
      </c>
      <c r="I23" s="421">
        <v>0</v>
      </c>
      <c r="J23" s="421">
        <v>60.206069168057198</v>
      </c>
      <c r="K23" s="421">
        <v>0</v>
      </c>
      <c r="L23" s="421">
        <v>0</v>
      </c>
      <c r="M23" s="421">
        <v>-54.4262865279237</v>
      </c>
      <c r="N23" s="421">
        <v>0</v>
      </c>
      <c r="O23" s="421">
        <v>0</v>
      </c>
      <c r="P23" s="421">
        <v>0</v>
      </c>
      <c r="Q23" s="421">
        <v>0</v>
      </c>
      <c r="R23" s="421">
        <v>0</v>
      </c>
      <c r="S23" s="429">
        <v>5.7797826401334804</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307.47374578102801</v>
      </c>
      <c r="F25" s="421">
        <v>-304.399008323217</v>
      </c>
      <c r="G25" s="421">
        <v>0</v>
      </c>
      <c r="H25" s="421">
        <v>0</v>
      </c>
      <c r="I25" s="421">
        <v>0</v>
      </c>
      <c r="J25" s="421">
        <v>0</v>
      </c>
      <c r="K25" s="421">
        <v>0</v>
      </c>
      <c r="L25" s="421">
        <v>0</v>
      </c>
      <c r="M25" s="421">
        <v>0</v>
      </c>
      <c r="N25" s="421">
        <v>0</v>
      </c>
      <c r="O25" s="421">
        <v>0</v>
      </c>
      <c r="P25" s="421">
        <v>0</v>
      </c>
      <c r="Q25" s="421">
        <v>0</v>
      </c>
      <c r="R25" s="421">
        <v>0</v>
      </c>
      <c r="S25" s="429">
        <v>3.07473745781027</v>
      </c>
      <c r="T25" s="412"/>
    </row>
    <row r="26" spans="2:20" ht="13.5">
      <c r="B26" s="412"/>
      <c r="C26" s="428" t="s">
        <v>354</v>
      </c>
      <c r="D26" s="421">
        <v>0</v>
      </c>
      <c r="E26" s="421">
        <v>0</v>
      </c>
      <c r="F26" s="421">
        <v>0</v>
      </c>
      <c r="G26" s="421">
        <v>0</v>
      </c>
      <c r="H26" s="421">
        <v>0</v>
      </c>
      <c r="I26" s="421">
        <v>0</v>
      </c>
      <c r="J26" s="421">
        <v>85.931808179639404</v>
      </c>
      <c r="K26" s="421">
        <v>0</v>
      </c>
      <c r="L26" s="421">
        <v>-85.931808179639404</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-17.535700738468499</v>
      </c>
      <c r="M27" s="421">
        <v>0</v>
      </c>
      <c r="N27" s="421">
        <v>0</v>
      </c>
      <c r="O27" s="421">
        <v>0</v>
      </c>
      <c r="P27" s="421">
        <v>0</v>
      </c>
      <c r="Q27" s="421">
        <v>0</v>
      </c>
      <c r="R27" s="421">
        <v>25.051001054954899</v>
      </c>
      <c r="S27" s="429">
        <v>7.5153003164864902</v>
      </c>
      <c r="T27" s="412"/>
    </row>
    <row r="28" spans="2:20" ht="13.5">
      <c r="B28" s="412"/>
      <c r="C28" s="428" t="s">
        <v>73</v>
      </c>
      <c r="D28" s="421">
        <v>0</v>
      </c>
      <c r="E28" s="421">
        <v>0</v>
      </c>
      <c r="F28" s="421">
        <v>0</v>
      </c>
      <c r="G28" s="421">
        <v>12.8407715215872</v>
      </c>
      <c r="H28" s="421">
        <v>0</v>
      </c>
      <c r="I28" s="421">
        <v>0</v>
      </c>
      <c r="J28" s="421">
        <v>0</v>
      </c>
      <c r="K28" s="421">
        <v>0.70990554630623504</v>
      </c>
      <c r="L28" s="421">
        <v>0</v>
      </c>
      <c r="M28" s="421">
        <v>4.05498048050121</v>
      </c>
      <c r="N28" s="421">
        <v>0</v>
      </c>
      <c r="O28" s="421">
        <v>0</v>
      </c>
      <c r="P28" s="421">
        <v>55.117150379882297</v>
      </c>
      <c r="Q28" s="421">
        <v>0</v>
      </c>
      <c r="R28" s="421">
        <v>-49.693388241436402</v>
      </c>
      <c r="S28" s="429">
        <v>23.029419686840502</v>
      </c>
      <c r="T28" s="412"/>
    </row>
    <row r="29" spans="2:20" ht="13.5">
      <c r="B29" s="412"/>
      <c r="C29" s="428" t="s">
        <v>356</v>
      </c>
      <c r="D29" s="421">
        <v>2.83393890380859</v>
      </c>
      <c r="E29" s="421">
        <v>-10.6539652913126</v>
      </c>
      <c r="F29" s="421">
        <v>13.9347573224132</v>
      </c>
      <c r="G29" s="421">
        <v>0</v>
      </c>
      <c r="H29" s="421">
        <v>0</v>
      </c>
      <c r="I29" s="421">
        <v>0</v>
      </c>
      <c r="J29" s="421">
        <v>0</v>
      </c>
      <c r="K29" s="421">
        <v>0</v>
      </c>
      <c r="L29" s="421">
        <v>0</v>
      </c>
      <c r="M29" s="421">
        <v>0</v>
      </c>
      <c r="N29" s="421">
        <v>0</v>
      </c>
      <c r="O29" s="421">
        <v>0</v>
      </c>
      <c r="P29" s="421">
        <v>0</v>
      </c>
      <c r="Q29" s="421">
        <v>0</v>
      </c>
      <c r="R29" s="421">
        <v>0</v>
      </c>
      <c r="S29" s="429">
        <v>6.1147309349091996</v>
      </c>
      <c r="T29" s="412"/>
    </row>
    <row r="30" spans="2:20" ht="13.5">
      <c r="B30" s="412"/>
      <c r="C30" s="428" t="s">
        <v>75</v>
      </c>
      <c r="D30" s="421">
        <v>3.8710979003906201</v>
      </c>
      <c r="E30" s="421">
        <v>0</v>
      </c>
      <c r="F30" s="421">
        <v>18.035338972064899</v>
      </c>
      <c r="G30" s="421">
        <v>3.99111442428871</v>
      </c>
      <c r="H30" s="421">
        <v>0</v>
      </c>
      <c r="I30" s="421">
        <v>0</v>
      </c>
      <c r="J30" s="421">
        <v>0</v>
      </c>
      <c r="K30" s="421">
        <v>0</v>
      </c>
      <c r="L30" s="421">
        <v>0</v>
      </c>
      <c r="M30" s="421">
        <v>1.2603519234595899</v>
      </c>
      <c r="N30" s="421">
        <v>0</v>
      </c>
      <c r="O30" s="421">
        <v>0</v>
      </c>
      <c r="P30" s="421">
        <v>35.255454545454498</v>
      </c>
      <c r="Q30" s="421">
        <v>0</v>
      </c>
      <c r="R30" s="421">
        <v>0</v>
      </c>
      <c r="S30" s="429">
        <v>62.413357765658397</v>
      </c>
      <c r="T30" s="412"/>
    </row>
    <row r="31" spans="2:20" ht="13.5">
      <c r="B31" s="412"/>
      <c r="C31" s="428" t="s">
        <v>76</v>
      </c>
      <c r="D31" s="421">
        <v>0</v>
      </c>
      <c r="E31" s="421">
        <v>0</v>
      </c>
      <c r="F31" s="421">
        <v>0</v>
      </c>
      <c r="G31" s="421">
        <v>2.0436747905742099</v>
      </c>
      <c r="H31" s="421">
        <v>0</v>
      </c>
      <c r="I31" s="421">
        <v>0</v>
      </c>
      <c r="J31" s="421">
        <v>0</v>
      </c>
      <c r="K31" s="421">
        <v>0</v>
      </c>
      <c r="L31" s="421">
        <v>0</v>
      </c>
      <c r="M31" s="421">
        <v>0.64537098649711899</v>
      </c>
      <c r="N31" s="421">
        <v>0</v>
      </c>
      <c r="O31" s="421">
        <v>0</v>
      </c>
      <c r="P31" s="421">
        <v>47.751374577011198</v>
      </c>
      <c r="Q31" s="421">
        <v>5.9711678447141301</v>
      </c>
      <c r="R31" s="421">
        <v>0</v>
      </c>
      <c r="S31" s="429">
        <v>56.4115881987967</v>
      </c>
      <c r="T31" s="412"/>
    </row>
    <row r="32" spans="2:20" ht="13.5">
      <c r="B32" s="412"/>
      <c r="C32" s="424" t="s">
        <v>77</v>
      </c>
      <c r="D32" s="425">
        <v>6.7050368041992199</v>
      </c>
      <c r="E32" s="425">
        <v>296.81978048971501</v>
      </c>
      <c r="F32" s="425">
        <v>-272.42891202873898</v>
      </c>
      <c r="G32" s="425">
        <v>45.028646801440097</v>
      </c>
      <c r="H32" s="425">
        <v>949.39393939393904</v>
      </c>
      <c r="I32" s="425">
        <v>276.68</v>
      </c>
      <c r="J32" s="425">
        <v>193.47106475002701</v>
      </c>
      <c r="K32" s="425">
        <v>33.046352191288001</v>
      </c>
      <c r="L32" s="425">
        <v>-103.467508918108</v>
      </c>
      <c r="M32" s="425">
        <v>-40.206713853784699</v>
      </c>
      <c r="N32" s="425">
        <v>0</v>
      </c>
      <c r="O32" s="425">
        <v>10.1722943931358</v>
      </c>
      <c r="P32" s="425">
        <v>-471.256020497652</v>
      </c>
      <c r="Q32" s="425">
        <v>-71.085331484692006</v>
      </c>
      <c r="R32" s="425">
        <v>-20.842387186481499</v>
      </c>
      <c r="S32" s="425">
        <v>832.03024085428694</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1.27819257295963</v>
      </c>
      <c r="E34" s="421">
        <v>0</v>
      </c>
      <c r="F34" s="421">
        <v>9.6128944226359607</v>
      </c>
      <c r="G34" s="421">
        <v>60.199792292935904</v>
      </c>
      <c r="H34" s="421">
        <v>0</v>
      </c>
      <c r="I34" s="421">
        <v>0</v>
      </c>
      <c r="J34" s="421">
        <v>14.9029709316316</v>
      </c>
      <c r="K34" s="421">
        <v>5.4653134250178503</v>
      </c>
      <c r="L34" s="421">
        <v>3.5459101562500002</v>
      </c>
      <c r="M34" s="421">
        <v>19.010460724085</v>
      </c>
      <c r="N34" s="421">
        <v>0</v>
      </c>
      <c r="O34" s="421">
        <v>0</v>
      </c>
      <c r="P34" s="421">
        <v>136.692289377436</v>
      </c>
      <c r="Q34" s="421">
        <v>23.646366063927399</v>
      </c>
      <c r="R34" s="421">
        <v>6.4302626953124999</v>
      </c>
      <c r="S34" s="429">
        <v>280.78445266219097</v>
      </c>
      <c r="T34" s="412"/>
    </row>
    <row r="35" spans="2:20" ht="13.5">
      <c r="B35" s="412"/>
      <c r="C35" s="428" t="s">
        <v>79</v>
      </c>
      <c r="D35" s="421">
        <v>0</v>
      </c>
      <c r="E35" s="421">
        <v>0</v>
      </c>
      <c r="F35" s="421">
        <v>87.8758260186641</v>
      </c>
      <c r="G35" s="421">
        <v>18.337650579977399</v>
      </c>
      <c r="H35" s="421">
        <v>0</v>
      </c>
      <c r="I35" s="421">
        <v>0</v>
      </c>
      <c r="J35" s="421">
        <v>0</v>
      </c>
      <c r="K35" s="421">
        <v>0</v>
      </c>
      <c r="L35" s="421">
        <v>50.618247821052101</v>
      </c>
      <c r="M35" s="421">
        <v>5.9499820008855098</v>
      </c>
      <c r="N35" s="421">
        <v>0</v>
      </c>
      <c r="O35" s="421">
        <v>0</v>
      </c>
      <c r="P35" s="421">
        <v>72.745040205449797</v>
      </c>
      <c r="Q35" s="421">
        <v>0</v>
      </c>
      <c r="R35" s="421">
        <v>3.6092463767880099</v>
      </c>
      <c r="S35" s="429">
        <v>239.135993002817</v>
      </c>
      <c r="T35" s="412"/>
    </row>
    <row r="36" spans="2:20" ht="13.5">
      <c r="B36" s="412"/>
      <c r="C36" s="428" t="s">
        <v>80</v>
      </c>
      <c r="D36" s="421">
        <v>0</v>
      </c>
      <c r="E36" s="421">
        <v>0</v>
      </c>
      <c r="F36" s="421">
        <v>0.73996972526279803</v>
      </c>
      <c r="G36" s="421">
        <v>24.071010680096698</v>
      </c>
      <c r="H36" s="421">
        <v>0</v>
      </c>
      <c r="I36" s="421">
        <v>0</v>
      </c>
      <c r="J36" s="421">
        <v>65.809563312785698</v>
      </c>
      <c r="K36" s="421">
        <v>0</v>
      </c>
      <c r="L36" s="421">
        <v>0</v>
      </c>
      <c r="M36" s="421">
        <v>7.60137179371476</v>
      </c>
      <c r="N36" s="421">
        <v>70.900752846109597</v>
      </c>
      <c r="O36" s="421">
        <v>2.1051398750689501</v>
      </c>
      <c r="P36" s="421">
        <v>151.15345776916399</v>
      </c>
      <c r="Q36" s="421">
        <v>36.326109024475898</v>
      </c>
      <c r="R36" s="421">
        <v>0</v>
      </c>
      <c r="S36" s="429">
        <v>358.70737502667799</v>
      </c>
      <c r="T36" s="412"/>
    </row>
    <row r="37" spans="2:20" ht="13.5">
      <c r="B37" s="412"/>
      <c r="C37" s="428" t="s">
        <v>81</v>
      </c>
      <c r="D37" s="421">
        <v>0</v>
      </c>
      <c r="E37" s="421">
        <v>0</v>
      </c>
      <c r="F37" s="421">
        <v>1.6908527840101399</v>
      </c>
      <c r="G37" s="421">
        <v>21.232227312602799</v>
      </c>
      <c r="H37" s="421">
        <v>0</v>
      </c>
      <c r="I37" s="421">
        <v>0</v>
      </c>
      <c r="J37" s="421">
        <v>7.3285872023111196</v>
      </c>
      <c r="K37" s="421">
        <v>0</v>
      </c>
      <c r="L37" s="421">
        <v>0</v>
      </c>
      <c r="M37" s="421">
        <v>6.7049138881903696</v>
      </c>
      <c r="N37" s="421">
        <v>14.491680733710799</v>
      </c>
      <c r="O37" s="421">
        <v>1.6318379540725301</v>
      </c>
      <c r="P37" s="421">
        <v>115.122674454118</v>
      </c>
      <c r="Q37" s="421">
        <v>11.1128563962888</v>
      </c>
      <c r="R37" s="421">
        <v>0</v>
      </c>
      <c r="S37" s="429">
        <v>179.315630725305</v>
      </c>
      <c r="T37" s="412"/>
    </row>
    <row r="38" spans="2:20" ht="13.5">
      <c r="B38" s="412"/>
      <c r="C38" s="428" t="s">
        <v>82</v>
      </c>
      <c r="D38" s="421">
        <v>0</v>
      </c>
      <c r="E38" s="421">
        <v>0</v>
      </c>
      <c r="F38" s="421">
        <v>12.5124400680813</v>
      </c>
      <c r="G38" s="421">
        <v>1.3106771859998501</v>
      </c>
      <c r="H38" s="421">
        <v>0</v>
      </c>
      <c r="I38" s="421">
        <v>0</v>
      </c>
      <c r="J38" s="421">
        <v>3.2225859194218698</v>
      </c>
      <c r="K38" s="421">
        <v>0</v>
      </c>
      <c r="L38" s="421">
        <v>12.553992450054499</v>
      </c>
      <c r="M38" s="421">
        <v>0.41389805873679603</v>
      </c>
      <c r="N38" s="421">
        <v>0</v>
      </c>
      <c r="O38" s="421">
        <v>1.16553321906376</v>
      </c>
      <c r="P38" s="421">
        <v>6.6716992565826096</v>
      </c>
      <c r="Q38" s="421">
        <v>0</v>
      </c>
      <c r="R38" s="421">
        <v>0.294856552375373</v>
      </c>
      <c r="S38" s="429">
        <v>38.145682710316102</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2.56</v>
      </c>
      <c r="Q39" s="421">
        <v>0</v>
      </c>
      <c r="R39" s="421">
        <v>0</v>
      </c>
      <c r="S39" s="429">
        <v>2.56</v>
      </c>
      <c r="T39" s="412"/>
    </row>
    <row r="40" spans="2:20" ht="13.5">
      <c r="B40" s="412"/>
      <c r="C40" s="424" t="s">
        <v>83</v>
      </c>
      <c r="D40" s="425">
        <v>1.27819257295963</v>
      </c>
      <c r="E40" s="425">
        <v>0</v>
      </c>
      <c r="F40" s="425">
        <v>112.43198301865399</v>
      </c>
      <c r="G40" s="425">
        <v>125.151358051613</v>
      </c>
      <c r="H40" s="425">
        <v>0</v>
      </c>
      <c r="I40" s="425">
        <v>0</v>
      </c>
      <c r="J40" s="425">
        <v>91.2637073661502</v>
      </c>
      <c r="K40" s="425">
        <v>5.4653134250178503</v>
      </c>
      <c r="L40" s="425">
        <v>66.718150427356605</v>
      </c>
      <c r="M40" s="425">
        <v>39.680626465612498</v>
      </c>
      <c r="N40" s="425">
        <v>85.392433579820405</v>
      </c>
      <c r="O40" s="425">
        <v>4.9025110482052403</v>
      </c>
      <c r="P40" s="425">
        <v>484.94516106275</v>
      </c>
      <c r="Q40" s="425">
        <v>71.085331484692006</v>
      </c>
      <c r="R40" s="425">
        <v>10.3343656244759</v>
      </c>
      <c r="S40" s="425">
        <v>1098.6491341273099</v>
      </c>
      <c r="T40" s="412"/>
    </row>
    <row r="41" spans="2:20" ht="13.5">
      <c r="B41" s="412"/>
      <c r="C41" s="420" t="s">
        <v>84</v>
      </c>
      <c r="D41" s="421">
        <v>0.44451159301757798</v>
      </c>
      <c r="E41" s="421">
        <v>0</v>
      </c>
      <c r="F41" s="421">
        <v>96.202234255529206</v>
      </c>
      <c r="G41" s="421">
        <v>8.8646906811351496</v>
      </c>
      <c r="H41" s="421">
        <v>0</v>
      </c>
      <c r="I41" s="421">
        <v>0</v>
      </c>
      <c r="J41" s="421">
        <v>0</v>
      </c>
      <c r="K41" s="421">
        <v>0</v>
      </c>
      <c r="L41" s="421">
        <v>14.6791173730469</v>
      </c>
      <c r="M41" s="421">
        <v>0</v>
      </c>
      <c r="N41" s="421">
        <v>0</v>
      </c>
      <c r="O41" s="421">
        <v>0</v>
      </c>
      <c r="P41" s="421">
        <v>0</v>
      </c>
      <c r="Q41" s="421">
        <v>0</v>
      </c>
      <c r="R41" s="421">
        <v>10.026029063720699</v>
      </c>
      <c r="S41" s="429">
        <v>130.21658296645001</v>
      </c>
      <c r="T41" s="412"/>
    </row>
    <row r="42" spans="2:20" ht="13.5">
      <c r="B42" s="412"/>
      <c r="C42" s="424" t="s">
        <v>85</v>
      </c>
      <c r="D42" s="425">
        <v>1.72270416597721</v>
      </c>
      <c r="E42" s="425">
        <v>0</v>
      </c>
      <c r="F42" s="425">
        <v>208.63421727418401</v>
      </c>
      <c r="G42" s="425">
        <v>134.016048732748</v>
      </c>
      <c r="H42" s="425">
        <v>0</v>
      </c>
      <c r="I42" s="425">
        <v>0</v>
      </c>
      <c r="J42" s="425">
        <v>91.2637073661502</v>
      </c>
      <c r="K42" s="425">
        <v>5.4653134250178503</v>
      </c>
      <c r="L42" s="425">
        <v>81.397267800403498</v>
      </c>
      <c r="M42" s="425">
        <v>39.680626465612498</v>
      </c>
      <c r="N42" s="425">
        <v>85.392433579820405</v>
      </c>
      <c r="O42" s="425">
        <v>4.9025110482052403</v>
      </c>
      <c r="P42" s="425">
        <v>484.94516106275</v>
      </c>
      <c r="Q42" s="425">
        <v>71.085331484692006</v>
      </c>
      <c r="R42" s="425">
        <v>20.3603946881966</v>
      </c>
      <c r="S42" s="425">
        <v>1228.8657170937599</v>
      </c>
      <c r="T42" s="412"/>
    </row>
    <row r="43" spans="2:20">
      <c r="B43" s="412"/>
      <c r="C43" s="412"/>
      <c r="D43" s="430">
        <f t="shared" ref="D43:S43" si="0">D42+D32-D18</f>
        <v>0</v>
      </c>
      <c r="E43" s="430">
        <f t="shared" si="0"/>
        <v>0</v>
      </c>
      <c r="F43" s="430">
        <f t="shared" si="0"/>
        <v>7.3185901783290319E-13</v>
      </c>
      <c r="G43" s="430">
        <f t="shared" si="0"/>
        <v>-0.1727945442219152</v>
      </c>
      <c r="H43" s="430">
        <f t="shared" si="0"/>
        <v>0</v>
      </c>
      <c r="I43" s="430">
        <f t="shared" si="0"/>
        <v>0</v>
      </c>
      <c r="J43" s="430">
        <f t="shared" si="0"/>
        <v>0</v>
      </c>
      <c r="K43" s="430">
        <f t="shared" si="0"/>
        <v>0</v>
      </c>
      <c r="L43" s="430">
        <f t="shared" si="0"/>
        <v>-9.9475983006414026E-14</v>
      </c>
      <c r="M43" s="430">
        <f t="shared" si="0"/>
        <v>0.1727945442222194</v>
      </c>
      <c r="N43" s="430">
        <f t="shared" si="0"/>
        <v>0</v>
      </c>
      <c r="O43" s="430">
        <f t="shared" si="0"/>
        <v>4.0856207306205761E-14</v>
      </c>
      <c r="P43" s="430">
        <f t="shared" si="0"/>
        <v>-9.9475983006414026E-14</v>
      </c>
      <c r="Q43" s="430">
        <f t="shared" si="0"/>
        <v>0</v>
      </c>
      <c r="R43" s="430">
        <f t="shared" si="0"/>
        <v>-8.5487172896137054E-15</v>
      </c>
      <c r="S43" s="430">
        <f t="shared" si="0"/>
        <v>6.8212102632969618E-12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363</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0</v>
      </c>
      <c r="F49" s="421">
        <v>0</v>
      </c>
      <c r="G49" s="421">
        <v>0</v>
      </c>
      <c r="H49" s="422">
        <v>919.39393939393995</v>
      </c>
      <c r="I49" s="422">
        <v>297.2</v>
      </c>
      <c r="J49" s="422">
        <v>293.71785736374301</v>
      </c>
      <c r="K49" s="422">
        <v>38.3991774648144</v>
      </c>
      <c r="L49" s="421">
        <v>0</v>
      </c>
      <c r="M49" s="421">
        <v>0</v>
      </c>
      <c r="N49" s="422">
        <v>91.728344176793996</v>
      </c>
      <c r="O49" s="422">
        <v>16.494075355247801</v>
      </c>
      <c r="P49" s="421">
        <v>0</v>
      </c>
      <c r="Q49" s="421">
        <v>0</v>
      </c>
      <c r="R49" s="421">
        <v>0</v>
      </c>
      <c r="S49" s="423">
        <v>1656.93339375454</v>
      </c>
      <c r="T49" s="412"/>
    </row>
    <row r="50" spans="2:20" ht="13.5">
      <c r="B50" s="412"/>
      <c r="C50" s="420" t="s">
        <v>60</v>
      </c>
      <c r="D50" s="421">
        <v>7.4939151456434798</v>
      </c>
      <c r="E50" s="421">
        <v>266.28302835422397</v>
      </c>
      <c r="F50" s="421">
        <v>0</v>
      </c>
      <c r="G50" s="421">
        <v>151.91024428871401</v>
      </c>
      <c r="H50" s="421">
        <v>0</v>
      </c>
      <c r="I50" s="421">
        <v>0</v>
      </c>
      <c r="J50" s="421">
        <v>0</v>
      </c>
      <c r="K50" s="421">
        <v>0</v>
      </c>
      <c r="L50" s="421">
        <v>0</v>
      </c>
      <c r="M50" s="421">
        <v>0</v>
      </c>
      <c r="N50" s="421">
        <v>0</v>
      </c>
      <c r="O50" s="421">
        <v>0</v>
      </c>
      <c r="P50" s="421">
        <v>25.896699392432499</v>
      </c>
      <c r="Q50" s="421">
        <v>0</v>
      </c>
      <c r="R50" s="421">
        <v>0</v>
      </c>
      <c r="S50" s="423">
        <v>451.58388718101401</v>
      </c>
      <c r="T50" s="412"/>
    </row>
    <row r="51" spans="2:20" ht="13.5">
      <c r="B51" s="412"/>
      <c r="C51" s="420" t="s">
        <v>61</v>
      </c>
      <c r="D51" s="421">
        <v>0</v>
      </c>
      <c r="E51" s="421">
        <v>0</v>
      </c>
      <c r="F51" s="421">
        <v>-20.601925350856099</v>
      </c>
      <c r="G51" s="421">
        <v>0</v>
      </c>
      <c r="H51" s="421">
        <v>0</v>
      </c>
      <c r="I51" s="421">
        <v>0</v>
      </c>
      <c r="J51" s="421">
        <v>0</v>
      </c>
      <c r="K51" s="421">
        <v>0</v>
      </c>
      <c r="L51" s="421">
        <v>0</v>
      </c>
      <c r="M51" s="421">
        <v>0</v>
      </c>
      <c r="N51" s="421">
        <v>0</v>
      </c>
      <c r="O51" s="421">
        <v>0</v>
      </c>
      <c r="P51" s="421">
        <v>0</v>
      </c>
      <c r="Q51" s="421">
        <v>0</v>
      </c>
      <c r="R51" s="421">
        <v>0</v>
      </c>
      <c r="S51" s="423">
        <v>-20.601925350856099</v>
      </c>
      <c r="T51" s="412"/>
    </row>
    <row r="52" spans="2:20" ht="13.5">
      <c r="B52" s="412"/>
      <c r="C52" s="420" t="s">
        <v>62</v>
      </c>
      <c r="D52" s="421">
        <v>0</v>
      </c>
      <c r="E52" s="421">
        <v>0</v>
      </c>
      <c r="F52" s="421">
        <v>-10.0686168173907</v>
      </c>
      <c r="G52" s="421">
        <v>-2.2904268439326998</v>
      </c>
      <c r="H52" s="421">
        <v>0</v>
      </c>
      <c r="I52" s="421">
        <v>0</v>
      </c>
      <c r="J52" s="421">
        <v>0</v>
      </c>
      <c r="K52" s="421">
        <v>0</v>
      </c>
      <c r="L52" s="421">
        <v>0</v>
      </c>
      <c r="M52" s="421">
        <v>-0.98161150454258395</v>
      </c>
      <c r="N52" s="421">
        <v>0</v>
      </c>
      <c r="O52" s="421">
        <v>0</v>
      </c>
      <c r="P52" s="421">
        <v>0</v>
      </c>
      <c r="Q52" s="421">
        <v>0</v>
      </c>
      <c r="R52" s="421">
        <v>0</v>
      </c>
      <c r="S52" s="423">
        <v>-13.3406551658659</v>
      </c>
      <c r="T52" s="412"/>
    </row>
    <row r="53" spans="2:20" ht="13.5">
      <c r="B53" s="412"/>
      <c r="C53" s="420" t="s">
        <v>63</v>
      </c>
      <c r="D53" s="421">
        <v>0</v>
      </c>
      <c r="E53" s="421">
        <v>0</v>
      </c>
      <c r="F53" s="421">
        <v>-52.082612477609999</v>
      </c>
      <c r="G53" s="421">
        <v>0</v>
      </c>
      <c r="H53" s="421">
        <v>0</v>
      </c>
      <c r="I53" s="421">
        <v>0</v>
      </c>
      <c r="J53" s="421">
        <v>0</v>
      </c>
      <c r="K53" s="421">
        <v>0</v>
      </c>
      <c r="L53" s="421">
        <v>-26.158313394490399</v>
      </c>
      <c r="M53" s="421">
        <v>0</v>
      </c>
      <c r="N53" s="421">
        <v>0</v>
      </c>
      <c r="O53" s="421">
        <v>0</v>
      </c>
      <c r="P53" s="421">
        <v>0</v>
      </c>
      <c r="Q53" s="421">
        <v>0</v>
      </c>
      <c r="R53" s="421">
        <v>-0.70753299969045202</v>
      </c>
      <c r="S53" s="423">
        <v>-78.948458871790905</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7.4939151456434798</v>
      </c>
      <c r="E55" s="425">
        <v>266.28302835422397</v>
      </c>
      <c r="F55" s="425">
        <v>-82.753154645856696</v>
      </c>
      <c r="G55" s="425">
        <v>149.61981744478101</v>
      </c>
      <c r="H55" s="425">
        <v>919.39393939393995</v>
      </c>
      <c r="I55" s="425">
        <v>297.2</v>
      </c>
      <c r="J55" s="425">
        <v>293.71785736374301</v>
      </c>
      <c r="K55" s="425">
        <v>38.3991774648144</v>
      </c>
      <c r="L55" s="425">
        <v>-26.158313394490399</v>
      </c>
      <c r="M55" s="425">
        <v>-0.98161150454258395</v>
      </c>
      <c r="N55" s="425">
        <v>91.728344176793996</v>
      </c>
      <c r="O55" s="425">
        <v>16.494075355247801</v>
      </c>
      <c r="P55" s="425">
        <v>25.896699392432499</v>
      </c>
      <c r="Q55" s="425">
        <v>0</v>
      </c>
      <c r="R55" s="425">
        <v>-0.70753299969045202</v>
      </c>
      <c r="S55" s="425">
        <v>1995.6262415470401</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6.2086956521739101</v>
      </c>
      <c r="H58" s="421">
        <v>919.39393939393904</v>
      </c>
      <c r="I58" s="421">
        <v>297.2</v>
      </c>
      <c r="J58" s="421">
        <v>17.565889816526202</v>
      </c>
      <c r="K58" s="421">
        <v>4.9093303559187103</v>
      </c>
      <c r="L58" s="421">
        <v>0</v>
      </c>
      <c r="M58" s="421">
        <v>2.6608695652173902</v>
      </c>
      <c r="N58" s="421">
        <v>0</v>
      </c>
      <c r="O58" s="421">
        <v>0</v>
      </c>
      <c r="P58" s="421">
        <v>-615.5</v>
      </c>
      <c r="Q58" s="421">
        <v>0</v>
      </c>
      <c r="R58" s="421">
        <v>4.75</v>
      </c>
      <c r="S58" s="429">
        <v>637.18872478377602</v>
      </c>
      <c r="T58" s="412"/>
    </row>
    <row r="59" spans="2:20" ht="13.5">
      <c r="B59" s="412"/>
      <c r="C59" s="428" t="s">
        <v>351</v>
      </c>
      <c r="D59" s="421">
        <v>0</v>
      </c>
      <c r="E59" s="421">
        <v>0</v>
      </c>
      <c r="F59" s="421">
        <v>0</v>
      </c>
      <c r="G59" s="421">
        <v>11.665233563399299</v>
      </c>
      <c r="H59" s="421">
        <v>0</v>
      </c>
      <c r="I59" s="421">
        <v>0</v>
      </c>
      <c r="J59" s="421">
        <v>29.284960707020101</v>
      </c>
      <c r="K59" s="421">
        <v>27.401179727670598</v>
      </c>
      <c r="L59" s="421">
        <v>0</v>
      </c>
      <c r="M59" s="421">
        <v>4.9993858128854303</v>
      </c>
      <c r="N59" s="421">
        <v>0</v>
      </c>
      <c r="O59" s="421">
        <v>11.2068466425665</v>
      </c>
      <c r="P59" s="421">
        <v>0</v>
      </c>
      <c r="Q59" s="421">
        <v>-77.8888709289253</v>
      </c>
      <c r="R59" s="421">
        <v>0</v>
      </c>
      <c r="S59" s="429">
        <v>6.6687355246166398</v>
      </c>
      <c r="T59" s="412"/>
    </row>
    <row r="60" spans="2:20" ht="13.5">
      <c r="B60" s="412"/>
      <c r="C60" s="428" t="s">
        <v>352</v>
      </c>
      <c r="D60" s="421">
        <v>0</v>
      </c>
      <c r="E60" s="421">
        <v>0</v>
      </c>
      <c r="F60" s="421">
        <v>0</v>
      </c>
      <c r="G60" s="421">
        <v>0</v>
      </c>
      <c r="H60" s="421">
        <v>0</v>
      </c>
      <c r="I60" s="421">
        <v>0</v>
      </c>
      <c r="J60" s="421">
        <v>67.617330016206097</v>
      </c>
      <c r="K60" s="421">
        <v>0</v>
      </c>
      <c r="L60" s="421">
        <v>0</v>
      </c>
      <c r="M60" s="421">
        <v>-61.700813639788102</v>
      </c>
      <c r="N60" s="421">
        <v>0</v>
      </c>
      <c r="O60" s="421">
        <v>0</v>
      </c>
      <c r="P60" s="421">
        <v>0</v>
      </c>
      <c r="Q60" s="421">
        <v>0</v>
      </c>
      <c r="R60" s="421">
        <v>0</v>
      </c>
      <c r="S60" s="429">
        <v>5.9165163764180404</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275.84091609698402</v>
      </c>
      <c r="F62" s="421">
        <v>-273.082506936014</v>
      </c>
      <c r="G62" s="421">
        <v>0</v>
      </c>
      <c r="H62" s="421">
        <v>0</v>
      </c>
      <c r="I62" s="421">
        <v>0</v>
      </c>
      <c r="J62" s="421">
        <v>0</v>
      </c>
      <c r="K62" s="421">
        <v>0</v>
      </c>
      <c r="L62" s="421">
        <v>0</v>
      </c>
      <c r="M62" s="421">
        <v>0</v>
      </c>
      <c r="N62" s="421">
        <v>0</v>
      </c>
      <c r="O62" s="421">
        <v>0</v>
      </c>
      <c r="P62" s="421">
        <v>0</v>
      </c>
      <c r="Q62" s="421">
        <v>0</v>
      </c>
      <c r="R62" s="421">
        <v>0</v>
      </c>
      <c r="S62" s="429">
        <v>2.7584091609698498</v>
      </c>
      <c r="T62" s="412"/>
    </row>
    <row r="63" spans="2:20" ht="13.5">
      <c r="B63" s="412"/>
      <c r="C63" s="428" t="s">
        <v>354</v>
      </c>
      <c r="D63" s="421">
        <v>0</v>
      </c>
      <c r="E63" s="421">
        <v>0</v>
      </c>
      <c r="F63" s="421">
        <v>0</v>
      </c>
      <c r="G63" s="421">
        <v>0</v>
      </c>
      <c r="H63" s="421">
        <v>0</v>
      </c>
      <c r="I63" s="421">
        <v>0</v>
      </c>
      <c r="J63" s="421">
        <v>94.973460214546293</v>
      </c>
      <c r="K63" s="421">
        <v>0</v>
      </c>
      <c r="L63" s="421">
        <v>-94.973460214546293</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-18.919398689376301</v>
      </c>
      <c r="M64" s="421">
        <v>0</v>
      </c>
      <c r="N64" s="421">
        <v>0</v>
      </c>
      <c r="O64" s="421">
        <v>0</v>
      </c>
      <c r="P64" s="421">
        <v>0</v>
      </c>
      <c r="Q64" s="421">
        <v>0</v>
      </c>
      <c r="R64" s="421">
        <v>27.027712413394799</v>
      </c>
      <c r="S64" s="429">
        <v>8.10831372401843</v>
      </c>
      <c r="T64" s="412"/>
    </row>
    <row r="65" spans="2:20" ht="13.5">
      <c r="B65" s="412"/>
      <c r="C65" s="428" t="s">
        <v>73</v>
      </c>
      <c r="D65" s="421">
        <v>0</v>
      </c>
      <c r="E65" s="421">
        <v>0</v>
      </c>
      <c r="F65" s="421">
        <v>0</v>
      </c>
      <c r="G65" s="421">
        <v>11.241873404965199</v>
      </c>
      <c r="H65" s="421">
        <v>0</v>
      </c>
      <c r="I65" s="421">
        <v>0</v>
      </c>
      <c r="J65" s="421">
        <v>0</v>
      </c>
      <c r="K65" s="421">
        <v>0.80299095749751603</v>
      </c>
      <c r="L65" s="421">
        <v>0</v>
      </c>
      <c r="M65" s="421">
        <v>4.8179457449851002</v>
      </c>
      <c r="N65" s="421">
        <v>0</v>
      </c>
      <c r="O65" s="421">
        <v>0</v>
      </c>
      <c r="P65" s="421">
        <v>64.825401386295795</v>
      </c>
      <c r="Q65" s="421">
        <v>0</v>
      </c>
      <c r="R65" s="421">
        <v>-56.209367024826101</v>
      </c>
      <c r="S65" s="429">
        <v>25.478844468917501</v>
      </c>
      <c r="T65" s="412"/>
    </row>
    <row r="66" spans="2:20" ht="13.5">
      <c r="B66" s="412"/>
      <c r="C66" s="428" t="s">
        <v>356</v>
      </c>
      <c r="D66" s="421">
        <v>2.3505202026367198</v>
      </c>
      <c r="E66" s="421">
        <v>-9.55788774276051</v>
      </c>
      <c r="F66" s="421">
        <v>12.5011526289501</v>
      </c>
      <c r="G66" s="421">
        <v>0</v>
      </c>
      <c r="H66" s="421">
        <v>0</v>
      </c>
      <c r="I66" s="421">
        <v>0</v>
      </c>
      <c r="J66" s="421">
        <v>0</v>
      </c>
      <c r="K66" s="421">
        <v>0</v>
      </c>
      <c r="L66" s="421">
        <v>0</v>
      </c>
      <c r="M66" s="421">
        <v>0</v>
      </c>
      <c r="N66" s="421">
        <v>0</v>
      </c>
      <c r="O66" s="421">
        <v>0</v>
      </c>
      <c r="P66" s="421">
        <v>0</v>
      </c>
      <c r="Q66" s="421">
        <v>0</v>
      </c>
      <c r="R66" s="421">
        <v>0</v>
      </c>
      <c r="S66" s="429">
        <v>5.2937850888262901</v>
      </c>
      <c r="T66" s="412"/>
    </row>
    <row r="67" spans="2:20" ht="13.5">
      <c r="B67" s="412"/>
      <c r="C67" s="428" t="s">
        <v>75</v>
      </c>
      <c r="D67" s="421">
        <v>3.4784289550781202</v>
      </c>
      <c r="E67" s="421">
        <v>0</v>
      </c>
      <c r="F67" s="421">
        <v>17.757847143387401</v>
      </c>
      <c r="G67" s="421">
        <v>3.6194670795198398</v>
      </c>
      <c r="H67" s="421">
        <v>0</v>
      </c>
      <c r="I67" s="421">
        <v>0</v>
      </c>
      <c r="J67" s="421">
        <v>0</v>
      </c>
      <c r="K67" s="421">
        <v>0</v>
      </c>
      <c r="L67" s="421">
        <v>0</v>
      </c>
      <c r="M67" s="421">
        <v>1.55120017693708</v>
      </c>
      <c r="N67" s="421">
        <v>0</v>
      </c>
      <c r="O67" s="421">
        <v>0</v>
      </c>
      <c r="P67" s="421">
        <v>36.310454545454498</v>
      </c>
      <c r="Q67" s="421">
        <v>0</v>
      </c>
      <c r="R67" s="421">
        <v>0</v>
      </c>
      <c r="S67" s="429">
        <v>62.717397900377001</v>
      </c>
      <c r="T67" s="412"/>
    </row>
    <row r="68" spans="2:20" ht="13.5">
      <c r="B68" s="412"/>
      <c r="C68" s="428" t="s">
        <v>76</v>
      </c>
      <c r="D68" s="421">
        <v>0</v>
      </c>
      <c r="E68" s="421">
        <v>0</v>
      </c>
      <c r="F68" s="421">
        <v>0</v>
      </c>
      <c r="G68" s="421">
        <v>1.70713713627872</v>
      </c>
      <c r="H68" s="421">
        <v>0</v>
      </c>
      <c r="I68" s="421">
        <v>0</v>
      </c>
      <c r="J68" s="421">
        <v>0</v>
      </c>
      <c r="K68" s="421">
        <v>0</v>
      </c>
      <c r="L68" s="421">
        <v>0</v>
      </c>
      <c r="M68" s="421">
        <v>0.73163020126230904</v>
      </c>
      <c r="N68" s="421">
        <v>0</v>
      </c>
      <c r="O68" s="421">
        <v>0</v>
      </c>
      <c r="P68" s="421">
        <v>49.155979731830001</v>
      </c>
      <c r="Q68" s="421">
        <v>6.0356689649720803</v>
      </c>
      <c r="R68" s="421">
        <v>0</v>
      </c>
      <c r="S68" s="429">
        <v>57.630416034343099</v>
      </c>
      <c r="T68" s="412"/>
    </row>
    <row r="69" spans="2:20" ht="13.5">
      <c r="B69" s="412"/>
      <c r="C69" s="424" t="s">
        <v>77</v>
      </c>
      <c r="D69" s="425">
        <v>5.82894915771484</v>
      </c>
      <c r="E69" s="425">
        <v>266.28302835422397</v>
      </c>
      <c r="F69" s="425">
        <v>-242.82350716367699</v>
      </c>
      <c r="G69" s="425">
        <v>34.442406836337</v>
      </c>
      <c r="H69" s="425">
        <v>919.39393939393995</v>
      </c>
      <c r="I69" s="425">
        <v>297.2</v>
      </c>
      <c r="J69" s="425">
        <v>209.44164075429899</v>
      </c>
      <c r="K69" s="425">
        <v>33.113501041086799</v>
      </c>
      <c r="L69" s="425">
        <v>-113.892858903923</v>
      </c>
      <c r="M69" s="425">
        <v>-46.939782138500803</v>
      </c>
      <c r="N69" s="425">
        <v>0</v>
      </c>
      <c r="O69" s="425">
        <v>11.2068466425665</v>
      </c>
      <c r="P69" s="425">
        <v>-465.20816433642</v>
      </c>
      <c r="Q69" s="425">
        <v>-71.853201963953296</v>
      </c>
      <c r="R69" s="425">
        <v>-24.431654611431401</v>
      </c>
      <c r="S69" s="425">
        <v>811.76114306226202</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1.2914218900282399</v>
      </c>
      <c r="E71" s="421">
        <v>0</v>
      </c>
      <c r="F71" s="421">
        <v>7.8764387202852104</v>
      </c>
      <c r="G71" s="421">
        <v>53.350379932057301</v>
      </c>
      <c r="H71" s="421">
        <v>0</v>
      </c>
      <c r="I71" s="421">
        <v>0</v>
      </c>
      <c r="J71" s="421">
        <v>14.620158681310601</v>
      </c>
      <c r="K71" s="421">
        <v>5.28567642372757</v>
      </c>
      <c r="L71" s="421">
        <v>4.3757583007812499</v>
      </c>
      <c r="M71" s="421">
        <v>22.864448542310299</v>
      </c>
      <c r="N71" s="421">
        <v>0</v>
      </c>
      <c r="O71" s="421">
        <v>0</v>
      </c>
      <c r="P71" s="421">
        <v>138.83144142059001</v>
      </c>
      <c r="Q71" s="421">
        <v>24.198968897330399</v>
      </c>
      <c r="R71" s="421">
        <v>6.850041015625</v>
      </c>
      <c r="S71" s="429">
        <v>279.54473382404501</v>
      </c>
      <c r="T71" s="412"/>
    </row>
    <row r="72" spans="2:20" ht="13.5">
      <c r="B72" s="412"/>
      <c r="C72" s="428" t="s">
        <v>79</v>
      </c>
      <c r="D72" s="421">
        <v>0</v>
      </c>
      <c r="E72" s="421">
        <v>0</v>
      </c>
      <c r="F72" s="421">
        <v>51.208587064668897</v>
      </c>
      <c r="G72" s="421">
        <v>17.942066440325</v>
      </c>
      <c r="H72" s="421">
        <v>0</v>
      </c>
      <c r="I72" s="421">
        <v>0</v>
      </c>
      <c r="J72" s="421">
        <v>0</v>
      </c>
      <c r="K72" s="421">
        <v>0</v>
      </c>
      <c r="L72" s="421">
        <v>51.332808564474597</v>
      </c>
      <c r="M72" s="421">
        <v>7.6894570458535796</v>
      </c>
      <c r="N72" s="421">
        <v>0</v>
      </c>
      <c r="O72" s="421">
        <v>0</v>
      </c>
      <c r="P72" s="421">
        <v>81.112108407408201</v>
      </c>
      <c r="Q72" s="421">
        <v>0</v>
      </c>
      <c r="R72" s="421">
        <v>4.6183032107255597</v>
      </c>
      <c r="S72" s="429">
        <v>213.90333073345599</v>
      </c>
      <c r="T72" s="412"/>
    </row>
    <row r="73" spans="2:20" ht="13.5">
      <c r="B73" s="412"/>
      <c r="C73" s="428" t="s">
        <v>80</v>
      </c>
      <c r="D73" s="421">
        <v>0</v>
      </c>
      <c r="E73" s="421">
        <v>0</v>
      </c>
      <c r="F73" s="421">
        <v>0.59878850754916801</v>
      </c>
      <c r="G73" s="421">
        <v>17.944335255265202</v>
      </c>
      <c r="H73" s="421">
        <v>0</v>
      </c>
      <c r="I73" s="421">
        <v>0</v>
      </c>
      <c r="J73" s="421">
        <v>58.7756577076902</v>
      </c>
      <c r="K73" s="421">
        <v>0</v>
      </c>
      <c r="L73" s="421">
        <v>0</v>
      </c>
      <c r="M73" s="421">
        <v>7.6904293951136404</v>
      </c>
      <c r="N73" s="421">
        <v>77.140439944189495</v>
      </c>
      <c r="O73" s="421">
        <v>2.3876725664027898</v>
      </c>
      <c r="P73" s="421">
        <v>147.94366969867801</v>
      </c>
      <c r="Q73" s="421">
        <v>35.899095037211403</v>
      </c>
      <c r="R73" s="421">
        <v>0</v>
      </c>
      <c r="S73" s="429">
        <v>348.3800881121</v>
      </c>
      <c r="T73" s="412"/>
    </row>
    <row r="74" spans="2:20" ht="13.5">
      <c r="B74" s="412"/>
      <c r="C74" s="428" t="s">
        <v>81</v>
      </c>
      <c r="D74" s="421">
        <v>0</v>
      </c>
      <c r="E74" s="421">
        <v>0</v>
      </c>
      <c r="F74" s="421">
        <v>1.41136233073529</v>
      </c>
      <c r="G74" s="421">
        <v>16.956940670956399</v>
      </c>
      <c r="H74" s="421">
        <v>0</v>
      </c>
      <c r="I74" s="421">
        <v>0</v>
      </c>
      <c r="J74" s="421">
        <v>7.1959049572050198</v>
      </c>
      <c r="K74" s="421">
        <v>0</v>
      </c>
      <c r="L74" s="421">
        <v>0</v>
      </c>
      <c r="M74" s="421">
        <v>7.2672602875527703</v>
      </c>
      <c r="N74" s="421">
        <v>14.587904232604499</v>
      </c>
      <c r="O74" s="421">
        <v>1.59893576487328</v>
      </c>
      <c r="P74" s="421">
        <v>113.624954527706</v>
      </c>
      <c r="Q74" s="421">
        <v>11.7551380294114</v>
      </c>
      <c r="R74" s="421">
        <v>0</v>
      </c>
      <c r="S74" s="429">
        <v>174.398400801045</v>
      </c>
      <c r="T74" s="412"/>
    </row>
    <row r="75" spans="2:20" ht="13.5">
      <c r="B75" s="412"/>
      <c r="C75" s="428" t="s">
        <v>82</v>
      </c>
      <c r="D75" s="421">
        <v>0</v>
      </c>
      <c r="E75" s="421">
        <v>0</v>
      </c>
      <c r="F75" s="421">
        <v>9.3172526318529894</v>
      </c>
      <c r="G75" s="421">
        <v>1.0420091806317999</v>
      </c>
      <c r="H75" s="421">
        <v>0</v>
      </c>
      <c r="I75" s="421">
        <v>0</v>
      </c>
      <c r="J75" s="421">
        <v>3.6844952632387198</v>
      </c>
      <c r="K75" s="421">
        <v>0</v>
      </c>
      <c r="L75" s="421">
        <v>14.271913525768101</v>
      </c>
      <c r="M75" s="421">
        <v>0.44657536312791402</v>
      </c>
      <c r="N75" s="421">
        <v>0</v>
      </c>
      <c r="O75" s="421">
        <v>1.30062038140516</v>
      </c>
      <c r="P75" s="421">
        <v>6.3926896744698603</v>
      </c>
      <c r="Q75" s="421">
        <v>0</v>
      </c>
      <c r="R75" s="421">
        <v>0.325155095351289</v>
      </c>
      <c r="S75" s="429">
        <v>36.780711115845897</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3.2</v>
      </c>
      <c r="Q76" s="421">
        <v>0</v>
      </c>
      <c r="R76" s="421">
        <v>0</v>
      </c>
      <c r="S76" s="429">
        <v>3.2</v>
      </c>
      <c r="T76" s="412"/>
    </row>
    <row r="77" spans="2:20" ht="13.5">
      <c r="B77" s="412"/>
      <c r="C77" s="424" t="s">
        <v>83</v>
      </c>
      <c r="D77" s="425">
        <v>1.2914218900282399</v>
      </c>
      <c r="E77" s="425">
        <v>0</v>
      </c>
      <c r="F77" s="425">
        <v>70.412429255091595</v>
      </c>
      <c r="G77" s="425">
        <v>107.23573147923599</v>
      </c>
      <c r="H77" s="425">
        <v>0</v>
      </c>
      <c r="I77" s="425">
        <v>0</v>
      </c>
      <c r="J77" s="425">
        <v>84.276216609444504</v>
      </c>
      <c r="K77" s="425">
        <v>5.28567642372757</v>
      </c>
      <c r="L77" s="425">
        <v>69.980480391024003</v>
      </c>
      <c r="M77" s="425">
        <v>45.958170633958197</v>
      </c>
      <c r="N77" s="425">
        <v>91.728344176793996</v>
      </c>
      <c r="O77" s="425">
        <v>5.2872287126812303</v>
      </c>
      <c r="P77" s="425">
        <v>491.10486372885202</v>
      </c>
      <c r="Q77" s="425">
        <v>71.853201963953296</v>
      </c>
      <c r="R77" s="425">
        <v>11.7934993217019</v>
      </c>
      <c r="S77" s="425">
        <v>1056.2072645864901</v>
      </c>
      <c r="T77" s="412"/>
    </row>
    <row r="78" spans="2:20" ht="13.5">
      <c r="B78" s="412"/>
      <c r="C78" s="420" t="s">
        <v>84</v>
      </c>
      <c r="D78" s="421">
        <v>0.373544097900391</v>
      </c>
      <c r="E78" s="421">
        <v>0</v>
      </c>
      <c r="F78" s="421">
        <v>89.657923262728701</v>
      </c>
      <c r="G78" s="421">
        <v>7.94167912920852</v>
      </c>
      <c r="H78" s="421">
        <v>0</v>
      </c>
      <c r="I78" s="421">
        <v>0</v>
      </c>
      <c r="J78" s="421">
        <v>0</v>
      </c>
      <c r="K78" s="421">
        <v>0</v>
      </c>
      <c r="L78" s="421">
        <v>17.754065118408199</v>
      </c>
      <c r="M78" s="421">
        <v>0</v>
      </c>
      <c r="N78" s="421">
        <v>0</v>
      </c>
      <c r="O78" s="421">
        <v>0</v>
      </c>
      <c r="P78" s="421">
        <v>0</v>
      </c>
      <c r="Q78" s="421">
        <v>0</v>
      </c>
      <c r="R78" s="421">
        <v>11.9306222900391</v>
      </c>
      <c r="S78" s="429">
        <v>127.65783389828501</v>
      </c>
      <c r="T78" s="412"/>
    </row>
    <row r="79" spans="2:20" ht="13.5">
      <c r="B79" s="412"/>
      <c r="C79" s="424" t="s">
        <v>85</v>
      </c>
      <c r="D79" s="425">
        <v>1.66496598792863</v>
      </c>
      <c r="E79" s="425">
        <v>0</v>
      </c>
      <c r="F79" s="425">
        <v>160.07035251782</v>
      </c>
      <c r="G79" s="425">
        <v>115.17741060844401</v>
      </c>
      <c r="H79" s="425">
        <v>0</v>
      </c>
      <c r="I79" s="425">
        <v>0</v>
      </c>
      <c r="J79" s="425">
        <v>84.276216609444504</v>
      </c>
      <c r="K79" s="425">
        <v>5.28567642372757</v>
      </c>
      <c r="L79" s="425">
        <v>87.734545509432195</v>
      </c>
      <c r="M79" s="425">
        <v>45.958170633958197</v>
      </c>
      <c r="N79" s="425">
        <v>91.728344176793996</v>
      </c>
      <c r="O79" s="425">
        <v>5.2872287126812303</v>
      </c>
      <c r="P79" s="425">
        <v>491.10486372885202</v>
      </c>
      <c r="Q79" s="425">
        <v>71.853201963953296</v>
      </c>
      <c r="R79" s="425">
        <v>23.724121611740902</v>
      </c>
      <c r="S79" s="425">
        <v>1183.86509848478</v>
      </c>
      <c r="T79" s="412"/>
    </row>
    <row r="80" spans="2:20">
      <c r="B80" s="412"/>
      <c r="C80" s="412"/>
      <c r="D80" s="430">
        <f t="shared" ref="D80:S80" si="1">D79+D69-D55</f>
        <v>-9.7699626167013776E-15</v>
      </c>
      <c r="E80" s="430">
        <f t="shared" si="1"/>
        <v>0</v>
      </c>
      <c r="F80" s="430">
        <f t="shared" si="1"/>
        <v>-2.9842794901924208E-13</v>
      </c>
      <c r="G80" s="430">
        <f t="shared" si="1"/>
        <v>0</v>
      </c>
      <c r="H80" s="430">
        <f t="shared" si="1"/>
        <v>0</v>
      </c>
      <c r="I80" s="430">
        <f t="shared" si="1"/>
        <v>0</v>
      </c>
      <c r="J80" s="430">
        <f t="shared" si="1"/>
        <v>5.1159076974727213E-13</v>
      </c>
      <c r="K80" s="430">
        <f t="shared" si="1"/>
        <v>0</v>
      </c>
      <c r="L80" s="430">
        <f t="shared" si="1"/>
        <v>-4.0500935938325711E-13</v>
      </c>
      <c r="M80" s="430">
        <f t="shared" si="1"/>
        <v>-2.19824158875781E-14</v>
      </c>
      <c r="N80" s="430">
        <f t="shared" si="1"/>
        <v>0</v>
      </c>
      <c r="O80" s="430">
        <f t="shared" si="1"/>
        <v>-7.1054273576010019E-14</v>
      </c>
      <c r="P80" s="430">
        <f t="shared" si="1"/>
        <v>-4.7251091928046662E-13</v>
      </c>
      <c r="Q80" s="430">
        <f t="shared" si="1"/>
        <v>0</v>
      </c>
      <c r="R80" s="430">
        <f t="shared" si="1"/>
        <v>-4.7739590058881731E-14</v>
      </c>
      <c r="S80" s="430">
        <f t="shared" si="1"/>
        <v>1.8189894035458565E-12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364</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0</v>
      </c>
      <c r="F86" s="421">
        <v>0</v>
      </c>
      <c r="G86" s="421">
        <v>0</v>
      </c>
      <c r="H86" s="422">
        <v>842.12121212121201</v>
      </c>
      <c r="I86" s="422">
        <v>358.55</v>
      </c>
      <c r="J86" s="422">
        <v>303.87805553693403</v>
      </c>
      <c r="K86" s="422">
        <v>37.407021205815497</v>
      </c>
      <c r="L86" s="421">
        <v>0</v>
      </c>
      <c r="M86" s="421">
        <v>0</v>
      </c>
      <c r="N86" s="422">
        <v>108.611838905018</v>
      </c>
      <c r="O86" s="422">
        <v>19.501173338019399</v>
      </c>
      <c r="P86" s="421">
        <v>0</v>
      </c>
      <c r="Q86" s="421">
        <v>0</v>
      </c>
      <c r="R86" s="421">
        <v>0</v>
      </c>
      <c r="S86" s="423">
        <v>1670.069301107</v>
      </c>
      <c r="T86" s="412"/>
    </row>
    <row r="87" spans="2:20" ht="13.5">
      <c r="B87" s="412"/>
      <c r="C87" s="420" t="s">
        <v>60</v>
      </c>
      <c r="D87" s="421">
        <v>5.7319330443436396</v>
      </c>
      <c r="E87" s="421">
        <v>189.941148015496</v>
      </c>
      <c r="F87" s="421">
        <v>0</v>
      </c>
      <c r="G87" s="421">
        <v>90.6863865174073</v>
      </c>
      <c r="H87" s="421">
        <v>0</v>
      </c>
      <c r="I87" s="421">
        <v>0</v>
      </c>
      <c r="J87" s="421">
        <v>0</v>
      </c>
      <c r="K87" s="421">
        <v>0</v>
      </c>
      <c r="L87" s="421">
        <v>0</v>
      </c>
      <c r="M87" s="421">
        <v>0</v>
      </c>
      <c r="N87" s="421">
        <v>0</v>
      </c>
      <c r="O87" s="421">
        <v>0</v>
      </c>
      <c r="P87" s="421">
        <v>18.852796757266699</v>
      </c>
      <c r="Q87" s="421">
        <v>0</v>
      </c>
      <c r="R87" s="421">
        <v>0</v>
      </c>
      <c r="S87" s="423">
        <v>305.21226433451301</v>
      </c>
      <c r="T87" s="412"/>
    </row>
    <row r="88" spans="2:20" ht="13.5">
      <c r="B88" s="412"/>
      <c r="C88" s="420" t="s">
        <v>61</v>
      </c>
      <c r="D88" s="421">
        <v>0</v>
      </c>
      <c r="E88" s="421">
        <v>0</v>
      </c>
      <c r="F88" s="421">
        <v>-18.054674208998499</v>
      </c>
      <c r="G88" s="421">
        <v>0</v>
      </c>
      <c r="H88" s="421">
        <v>0</v>
      </c>
      <c r="I88" s="421">
        <v>0</v>
      </c>
      <c r="J88" s="421">
        <v>0</v>
      </c>
      <c r="K88" s="421">
        <v>0</v>
      </c>
      <c r="L88" s="421">
        <v>0</v>
      </c>
      <c r="M88" s="421">
        <v>0</v>
      </c>
      <c r="N88" s="421">
        <v>0</v>
      </c>
      <c r="O88" s="421">
        <v>0</v>
      </c>
      <c r="P88" s="421">
        <v>0</v>
      </c>
      <c r="Q88" s="421">
        <v>0</v>
      </c>
      <c r="R88" s="421">
        <v>0</v>
      </c>
      <c r="S88" s="423">
        <v>-18.054674208998499</v>
      </c>
      <c r="T88" s="412"/>
    </row>
    <row r="89" spans="2:20" ht="13.5">
      <c r="B89" s="412"/>
      <c r="C89" s="420" t="s">
        <v>62</v>
      </c>
      <c r="D89" s="421">
        <v>0</v>
      </c>
      <c r="E89" s="421">
        <v>0</v>
      </c>
      <c r="F89" s="421">
        <v>-7.5188933675233596</v>
      </c>
      <c r="G89" s="421">
        <v>-2.1851276585702299</v>
      </c>
      <c r="H89" s="421">
        <v>0</v>
      </c>
      <c r="I89" s="421">
        <v>0</v>
      </c>
      <c r="J89" s="421">
        <v>0</v>
      </c>
      <c r="K89" s="421">
        <v>0</v>
      </c>
      <c r="L89" s="421">
        <v>0</v>
      </c>
      <c r="M89" s="421">
        <v>-2.1851276585702299</v>
      </c>
      <c r="N89" s="421">
        <v>0</v>
      </c>
      <c r="O89" s="421">
        <v>0</v>
      </c>
      <c r="P89" s="421">
        <v>0</v>
      </c>
      <c r="Q89" s="421">
        <v>0</v>
      </c>
      <c r="R89" s="421">
        <v>0</v>
      </c>
      <c r="S89" s="423">
        <v>-11.8891486846638</v>
      </c>
      <c r="T89" s="412"/>
    </row>
    <row r="90" spans="2:20" ht="13.5">
      <c r="B90" s="412"/>
      <c r="C90" s="420" t="s">
        <v>63</v>
      </c>
      <c r="D90" s="421">
        <v>0</v>
      </c>
      <c r="E90" s="421">
        <v>0</v>
      </c>
      <c r="F90" s="421">
        <v>-48.913982221755198</v>
      </c>
      <c r="G90" s="421">
        <v>0</v>
      </c>
      <c r="H90" s="421">
        <v>0</v>
      </c>
      <c r="I90" s="421">
        <v>0</v>
      </c>
      <c r="J90" s="421">
        <v>0</v>
      </c>
      <c r="K90" s="421">
        <v>0</v>
      </c>
      <c r="L90" s="421">
        <v>-32.619142548425003</v>
      </c>
      <c r="M90" s="421">
        <v>0</v>
      </c>
      <c r="N90" s="421">
        <v>0</v>
      </c>
      <c r="O90" s="421">
        <v>0</v>
      </c>
      <c r="P90" s="421">
        <v>0</v>
      </c>
      <c r="Q90" s="421">
        <v>0</v>
      </c>
      <c r="R90" s="421">
        <v>-1.6805745775177701</v>
      </c>
      <c r="S90" s="423">
        <v>-83.213699347697997</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5.7319330443436396</v>
      </c>
      <c r="E92" s="425">
        <v>189.941148015496</v>
      </c>
      <c r="F92" s="425">
        <v>-74.487549798277101</v>
      </c>
      <c r="G92" s="425">
        <v>88.501258858837105</v>
      </c>
      <c r="H92" s="425">
        <v>842.12121212121201</v>
      </c>
      <c r="I92" s="425">
        <v>358.55</v>
      </c>
      <c r="J92" s="425">
        <v>303.87805553693403</v>
      </c>
      <c r="K92" s="425">
        <v>37.407021205815497</v>
      </c>
      <c r="L92" s="425">
        <v>-32.619142548425003</v>
      </c>
      <c r="M92" s="425">
        <v>-2.1851276585702299</v>
      </c>
      <c r="N92" s="425">
        <v>108.611838905018</v>
      </c>
      <c r="O92" s="425">
        <v>19.501173338019399</v>
      </c>
      <c r="P92" s="425">
        <v>18.852796757266699</v>
      </c>
      <c r="Q92" s="425">
        <v>0</v>
      </c>
      <c r="R92" s="425">
        <v>-1.6805745775177701</v>
      </c>
      <c r="S92" s="425">
        <v>1862.12404320015</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2.3404255319148901</v>
      </c>
      <c r="H95" s="421">
        <v>842.12121212121201</v>
      </c>
      <c r="I95" s="421">
        <v>358.55</v>
      </c>
      <c r="J95" s="421">
        <v>16.2099501273347</v>
      </c>
      <c r="K95" s="421">
        <v>4.5869971469173096</v>
      </c>
      <c r="L95" s="421">
        <v>0</v>
      </c>
      <c r="M95" s="421">
        <v>2.3404255319148901</v>
      </c>
      <c r="N95" s="421">
        <v>0</v>
      </c>
      <c r="O95" s="421">
        <v>0</v>
      </c>
      <c r="P95" s="421">
        <v>-649</v>
      </c>
      <c r="Q95" s="421">
        <v>0</v>
      </c>
      <c r="R95" s="421">
        <v>4.25</v>
      </c>
      <c r="S95" s="429">
        <v>581.399010459294</v>
      </c>
      <c r="T95" s="412"/>
    </row>
    <row r="96" spans="2:20" ht="13.5">
      <c r="B96" s="412"/>
      <c r="C96" s="428" t="s">
        <v>351</v>
      </c>
      <c r="D96" s="421">
        <v>0</v>
      </c>
      <c r="E96" s="421">
        <v>0</v>
      </c>
      <c r="F96" s="421">
        <v>0</v>
      </c>
      <c r="G96" s="421">
        <v>6.6963140641677699</v>
      </c>
      <c r="H96" s="421">
        <v>0</v>
      </c>
      <c r="I96" s="421">
        <v>0</v>
      </c>
      <c r="J96" s="421">
        <v>28.753458003311501</v>
      </c>
      <c r="K96" s="421">
        <v>27.176732157472099</v>
      </c>
      <c r="L96" s="421">
        <v>0</v>
      </c>
      <c r="M96" s="421">
        <v>6.6963140641677699</v>
      </c>
      <c r="N96" s="421">
        <v>0</v>
      </c>
      <c r="O96" s="421">
        <v>13.1597379771096</v>
      </c>
      <c r="P96" s="421">
        <v>0</v>
      </c>
      <c r="Q96" s="421">
        <v>-76.511380322397699</v>
      </c>
      <c r="R96" s="421">
        <v>0</v>
      </c>
      <c r="S96" s="429">
        <v>5.9711759438309997</v>
      </c>
      <c r="T96" s="412"/>
    </row>
    <row r="97" spans="2:20" ht="13.5">
      <c r="B97" s="412"/>
      <c r="C97" s="428" t="s">
        <v>352</v>
      </c>
      <c r="D97" s="421">
        <v>0</v>
      </c>
      <c r="E97" s="421">
        <v>0</v>
      </c>
      <c r="F97" s="421">
        <v>0</v>
      </c>
      <c r="G97" s="421">
        <v>0</v>
      </c>
      <c r="H97" s="421">
        <v>0</v>
      </c>
      <c r="I97" s="421">
        <v>0</v>
      </c>
      <c r="J97" s="421">
        <v>90.986216688587803</v>
      </c>
      <c r="K97" s="421">
        <v>0</v>
      </c>
      <c r="L97" s="421">
        <v>0</v>
      </c>
      <c r="M97" s="421">
        <v>-84.958379832968902</v>
      </c>
      <c r="N97" s="421">
        <v>0</v>
      </c>
      <c r="O97" s="421">
        <v>0</v>
      </c>
      <c r="P97" s="421">
        <v>0</v>
      </c>
      <c r="Q97" s="421">
        <v>0</v>
      </c>
      <c r="R97" s="421">
        <v>0</v>
      </c>
      <c r="S97" s="429">
        <v>6.0278368556189399</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196.75884188687601</v>
      </c>
      <c r="F99" s="421">
        <v>-194.791253468007</v>
      </c>
      <c r="G99" s="421">
        <v>0</v>
      </c>
      <c r="H99" s="421">
        <v>0</v>
      </c>
      <c r="I99" s="421">
        <v>0</v>
      </c>
      <c r="J99" s="421">
        <v>0</v>
      </c>
      <c r="K99" s="421">
        <v>0</v>
      </c>
      <c r="L99" s="421">
        <v>0</v>
      </c>
      <c r="M99" s="421">
        <v>0</v>
      </c>
      <c r="N99" s="421">
        <v>0</v>
      </c>
      <c r="O99" s="421">
        <v>0</v>
      </c>
      <c r="P99" s="421">
        <v>0</v>
      </c>
      <c r="Q99" s="421">
        <v>0</v>
      </c>
      <c r="R99" s="421">
        <v>0</v>
      </c>
      <c r="S99" s="429">
        <v>1.96758841886876</v>
      </c>
      <c r="T99" s="412"/>
    </row>
    <row r="100" spans="2:20" ht="13.5">
      <c r="B100" s="412"/>
      <c r="C100" s="428" t="s">
        <v>354</v>
      </c>
      <c r="D100" s="421">
        <v>0</v>
      </c>
      <c r="E100" s="421">
        <v>0</v>
      </c>
      <c r="F100" s="421">
        <v>0</v>
      </c>
      <c r="G100" s="421">
        <v>0</v>
      </c>
      <c r="H100" s="421">
        <v>0</v>
      </c>
      <c r="I100" s="421">
        <v>0</v>
      </c>
      <c r="J100" s="421">
        <v>91.449866331740793</v>
      </c>
      <c r="K100" s="421">
        <v>0</v>
      </c>
      <c r="L100" s="421">
        <v>-91.449866331740793</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-17.484851678047999</v>
      </c>
      <c r="M101" s="421">
        <v>0</v>
      </c>
      <c r="N101" s="421">
        <v>0</v>
      </c>
      <c r="O101" s="421">
        <v>0</v>
      </c>
      <c r="P101" s="421">
        <v>0</v>
      </c>
      <c r="Q101" s="421">
        <v>0</v>
      </c>
      <c r="R101" s="421">
        <v>24.978359540068499</v>
      </c>
      <c r="S101" s="429">
        <v>7.4935078620205502</v>
      </c>
      <c r="T101" s="412"/>
    </row>
    <row r="102" spans="2:20" ht="13.5">
      <c r="B102" s="412"/>
      <c r="C102" s="428" t="s">
        <v>73</v>
      </c>
      <c r="D102" s="421">
        <v>0</v>
      </c>
      <c r="E102" s="421">
        <v>0</v>
      </c>
      <c r="F102" s="421">
        <v>0</v>
      </c>
      <c r="G102" s="421">
        <v>4.42513238078282</v>
      </c>
      <c r="H102" s="421">
        <v>0</v>
      </c>
      <c r="I102" s="421">
        <v>0</v>
      </c>
      <c r="J102" s="421">
        <v>0</v>
      </c>
      <c r="K102" s="421">
        <v>0.88502647615656305</v>
      </c>
      <c r="L102" s="421">
        <v>0</v>
      </c>
      <c r="M102" s="421">
        <v>4.42513238078282</v>
      </c>
      <c r="N102" s="421">
        <v>0</v>
      </c>
      <c r="O102" s="421">
        <v>0</v>
      </c>
      <c r="P102" s="421">
        <v>78.487045501144294</v>
      </c>
      <c r="Q102" s="421">
        <v>0</v>
      </c>
      <c r="R102" s="421">
        <v>-61.951853330959402</v>
      </c>
      <c r="S102" s="429">
        <v>26.270483407907101</v>
      </c>
      <c r="T102" s="412"/>
    </row>
    <row r="103" spans="2:20" ht="13.5">
      <c r="B103" s="412"/>
      <c r="C103" s="428" t="s">
        <v>356</v>
      </c>
      <c r="D103" s="421">
        <v>1.4001075134277301</v>
      </c>
      <c r="E103" s="421">
        <v>-6.81769387138025</v>
      </c>
      <c r="F103" s="421">
        <v>8.9171408952922295</v>
      </c>
      <c r="G103" s="421">
        <v>0</v>
      </c>
      <c r="H103" s="421">
        <v>0</v>
      </c>
      <c r="I103" s="421">
        <v>0</v>
      </c>
      <c r="J103" s="421">
        <v>0</v>
      </c>
      <c r="K103" s="421">
        <v>0</v>
      </c>
      <c r="L103" s="421">
        <v>0</v>
      </c>
      <c r="M103" s="421">
        <v>0</v>
      </c>
      <c r="N103" s="421">
        <v>0</v>
      </c>
      <c r="O103" s="421">
        <v>0</v>
      </c>
      <c r="P103" s="421">
        <v>0</v>
      </c>
      <c r="Q103" s="421">
        <v>0</v>
      </c>
      <c r="R103" s="421">
        <v>0</v>
      </c>
      <c r="S103" s="429">
        <v>3.4995545373397099</v>
      </c>
      <c r="T103" s="412"/>
    </row>
    <row r="104" spans="2:20" ht="13.5">
      <c r="B104" s="412"/>
      <c r="C104" s="428" t="s">
        <v>75</v>
      </c>
      <c r="D104" s="421">
        <v>2.5854230957031201</v>
      </c>
      <c r="E104" s="421">
        <v>0</v>
      </c>
      <c r="F104" s="421">
        <v>17.0641175716937</v>
      </c>
      <c r="G104" s="421">
        <v>2.4843347641142302</v>
      </c>
      <c r="H104" s="421">
        <v>0</v>
      </c>
      <c r="I104" s="421">
        <v>0</v>
      </c>
      <c r="J104" s="421">
        <v>0</v>
      </c>
      <c r="K104" s="421">
        <v>0</v>
      </c>
      <c r="L104" s="421">
        <v>0</v>
      </c>
      <c r="M104" s="421">
        <v>2.4843347641142302</v>
      </c>
      <c r="N104" s="421">
        <v>0</v>
      </c>
      <c r="O104" s="421">
        <v>0</v>
      </c>
      <c r="P104" s="421">
        <v>36.438409090909097</v>
      </c>
      <c r="Q104" s="421">
        <v>0</v>
      </c>
      <c r="R104" s="421">
        <v>0</v>
      </c>
      <c r="S104" s="429">
        <v>61.056619286534399</v>
      </c>
      <c r="T104" s="412"/>
    </row>
    <row r="105" spans="2:20" ht="13.5">
      <c r="B105" s="412"/>
      <c r="C105" s="428" t="s">
        <v>76</v>
      </c>
      <c r="D105" s="421">
        <v>0</v>
      </c>
      <c r="E105" s="421">
        <v>0</v>
      </c>
      <c r="F105" s="421">
        <v>0</v>
      </c>
      <c r="G105" s="421">
        <v>1.00741161857275</v>
      </c>
      <c r="H105" s="421">
        <v>0</v>
      </c>
      <c r="I105" s="421">
        <v>0</v>
      </c>
      <c r="J105" s="421">
        <v>0</v>
      </c>
      <c r="K105" s="421">
        <v>0</v>
      </c>
      <c r="L105" s="421">
        <v>0</v>
      </c>
      <c r="M105" s="421">
        <v>1.00741161857275</v>
      </c>
      <c r="N105" s="421">
        <v>0</v>
      </c>
      <c r="O105" s="421">
        <v>0</v>
      </c>
      <c r="P105" s="421">
        <v>51.1835476739179</v>
      </c>
      <c r="Q105" s="421">
        <v>5.9289261504441004</v>
      </c>
      <c r="R105" s="421">
        <v>0</v>
      </c>
      <c r="S105" s="429">
        <v>59.127297061507498</v>
      </c>
      <c r="T105" s="412"/>
    </row>
    <row r="106" spans="2:20" ht="13.5">
      <c r="B106" s="412"/>
      <c r="C106" s="424" t="s">
        <v>77</v>
      </c>
      <c r="D106" s="425">
        <v>3.9855306091308602</v>
      </c>
      <c r="E106" s="425">
        <v>189.941148015496</v>
      </c>
      <c r="F106" s="425">
        <v>-168.80999500102101</v>
      </c>
      <c r="G106" s="425">
        <v>16.9536183595525</v>
      </c>
      <c r="H106" s="425">
        <v>842.12121212121201</v>
      </c>
      <c r="I106" s="425">
        <v>358.55</v>
      </c>
      <c r="J106" s="425">
        <v>227.399491150975</v>
      </c>
      <c r="K106" s="425">
        <v>32.648755780545898</v>
      </c>
      <c r="L106" s="425">
        <v>-108.93471800978899</v>
      </c>
      <c r="M106" s="425">
        <v>-68.004761473416394</v>
      </c>
      <c r="N106" s="425">
        <v>0</v>
      </c>
      <c r="O106" s="425">
        <v>13.1597379771096</v>
      </c>
      <c r="P106" s="425">
        <v>-482.89099773402899</v>
      </c>
      <c r="Q106" s="425">
        <v>-70.5824541719536</v>
      </c>
      <c r="R106" s="425">
        <v>-32.723493790890899</v>
      </c>
      <c r="S106" s="425">
        <v>752.81307383292199</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1.5178805846268399</v>
      </c>
      <c r="E108" s="421">
        <v>0</v>
      </c>
      <c r="F108" s="421">
        <v>3.8156525597214102</v>
      </c>
      <c r="G108" s="421">
        <v>34.872610284028198</v>
      </c>
      <c r="H108" s="421">
        <v>0</v>
      </c>
      <c r="I108" s="421">
        <v>0</v>
      </c>
      <c r="J108" s="421">
        <v>13.9901440703837</v>
      </c>
      <c r="K108" s="421">
        <v>4.7582654252696104</v>
      </c>
      <c r="L108" s="421">
        <v>6.41300463867187</v>
      </c>
      <c r="M108" s="421">
        <v>34.872610284028198</v>
      </c>
      <c r="N108" s="421">
        <v>0</v>
      </c>
      <c r="O108" s="421">
        <v>0</v>
      </c>
      <c r="P108" s="421">
        <v>145.025733372183</v>
      </c>
      <c r="Q108" s="421">
        <v>25.700704560405001</v>
      </c>
      <c r="R108" s="421">
        <v>7.9027373046875002</v>
      </c>
      <c r="S108" s="429">
        <v>278.869343084006</v>
      </c>
      <c r="T108" s="412"/>
    </row>
    <row r="109" spans="2:20" ht="13.5">
      <c r="B109" s="412"/>
      <c r="C109" s="428" t="s">
        <v>79</v>
      </c>
      <c r="D109" s="421">
        <v>0</v>
      </c>
      <c r="E109" s="421">
        <v>0</v>
      </c>
      <c r="F109" s="421">
        <v>11.854069156927601</v>
      </c>
      <c r="G109" s="421">
        <v>13.267062862305901</v>
      </c>
      <c r="H109" s="421">
        <v>0</v>
      </c>
      <c r="I109" s="421">
        <v>0</v>
      </c>
      <c r="J109" s="421">
        <v>0</v>
      </c>
      <c r="K109" s="421">
        <v>0</v>
      </c>
      <c r="L109" s="421">
        <v>27.757428361726902</v>
      </c>
      <c r="M109" s="421">
        <v>13.267062862305901</v>
      </c>
      <c r="N109" s="421">
        <v>0</v>
      </c>
      <c r="O109" s="421">
        <v>0</v>
      </c>
      <c r="P109" s="421">
        <v>93.188917438410897</v>
      </c>
      <c r="Q109" s="421">
        <v>0</v>
      </c>
      <c r="R109" s="421">
        <v>6.3130917169295104</v>
      </c>
      <c r="S109" s="429">
        <v>165.64763239860699</v>
      </c>
      <c r="T109" s="412"/>
    </row>
    <row r="110" spans="2:20" ht="13.5">
      <c r="B110" s="412"/>
      <c r="C110" s="428" t="s">
        <v>80</v>
      </c>
      <c r="D110" s="421">
        <v>0</v>
      </c>
      <c r="E110" s="421">
        <v>0</v>
      </c>
      <c r="F110" s="421">
        <v>0.44885731405196599</v>
      </c>
      <c r="G110" s="421">
        <v>9.8184562905500599</v>
      </c>
      <c r="H110" s="421">
        <v>0</v>
      </c>
      <c r="I110" s="421">
        <v>0</v>
      </c>
      <c r="J110" s="421">
        <v>50.991915500106103</v>
      </c>
      <c r="K110" s="421">
        <v>0</v>
      </c>
      <c r="L110" s="421">
        <v>0</v>
      </c>
      <c r="M110" s="421">
        <v>9.8184562905500599</v>
      </c>
      <c r="N110" s="421">
        <v>93.7833759251793</v>
      </c>
      <c r="O110" s="421">
        <v>3.0807413757867601</v>
      </c>
      <c r="P110" s="421">
        <v>141.51501783018901</v>
      </c>
      <c r="Q110" s="421">
        <v>31.5191114304906</v>
      </c>
      <c r="R110" s="421">
        <v>0</v>
      </c>
      <c r="S110" s="429">
        <v>340.97593195690399</v>
      </c>
      <c r="T110" s="412"/>
    </row>
    <row r="111" spans="2:20" ht="13.5">
      <c r="B111" s="412"/>
      <c r="C111" s="428" t="s">
        <v>81</v>
      </c>
      <c r="D111" s="421">
        <v>0</v>
      </c>
      <c r="E111" s="421">
        <v>0</v>
      </c>
      <c r="F111" s="421">
        <v>0.71263619754816998</v>
      </c>
      <c r="G111" s="421">
        <v>7.4036276177652596</v>
      </c>
      <c r="H111" s="421">
        <v>0</v>
      </c>
      <c r="I111" s="421">
        <v>0</v>
      </c>
      <c r="J111" s="421">
        <v>6.8658928642747901</v>
      </c>
      <c r="K111" s="421">
        <v>0</v>
      </c>
      <c r="L111" s="421">
        <v>0</v>
      </c>
      <c r="M111" s="421">
        <v>7.4036276177652596</v>
      </c>
      <c r="N111" s="421">
        <v>14.8284629798388</v>
      </c>
      <c r="O111" s="421">
        <v>1.5166802918751501</v>
      </c>
      <c r="P111" s="421">
        <v>111.39588290466099</v>
      </c>
      <c r="Q111" s="421">
        <v>13.362638181057999</v>
      </c>
      <c r="R111" s="421">
        <v>0</v>
      </c>
      <c r="S111" s="429">
        <v>163.489448654786</v>
      </c>
      <c r="T111" s="412"/>
    </row>
    <row r="112" spans="2:20" ht="13.5">
      <c r="B112" s="412"/>
      <c r="C112" s="428" t="s">
        <v>82</v>
      </c>
      <c r="D112" s="421">
        <v>0</v>
      </c>
      <c r="E112" s="421">
        <v>0</v>
      </c>
      <c r="F112" s="421">
        <v>2.8549378216016801</v>
      </c>
      <c r="G112" s="421">
        <v>0.45787676019682499</v>
      </c>
      <c r="H112" s="421">
        <v>0</v>
      </c>
      <c r="I112" s="421">
        <v>0</v>
      </c>
      <c r="J112" s="421">
        <v>4.6306119511950996</v>
      </c>
      <c r="K112" s="421">
        <v>0</v>
      </c>
      <c r="L112" s="421">
        <v>17.5819516131867</v>
      </c>
      <c r="M112" s="421">
        <v>0.45787676019682499</v>
      </c>
      <c r="N112" s="421">
        <v>0</v>
      </c>
      <c r="O112" s="421">
        <v>1.7440136932478201</v>
      </c>
      <c r="P112" s="421">
        <v>5.8182429458508897</v>
      </c>
      <c r="Q112" s="421">
        <v>0</v>
      </c>
      <c r="R112" s="421">
        <v>0.384274203596978</v>
      </c>
      <c r="S112" s="429">
        <v>33.929785749072799</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4.8</v>
      </c>
      <c r="Q113" s="421">
        <v>0</v>
      </c>
      <c r="R113" s="421">
        <v>0</v>
      </c>
      <c r="S113" s="429">
        <v>4.8</v>
      </c>
      <c r="T113" s="412"/>
    </row>
    <row r="114" spans="2:20" ht="13.5">
      <c r="B114" s="412"/>
      <c r="C114" s="424" t="s">
        <v>83</v>
      </c>
      <c r="D114" s="425">
        <v>1.5178805846268399</v>
      </c>
      <c r="E114" s="425">
        <v>0</v>
      </c>
      <c r="F114" s="425">
        <v>19.686153049850802</v>
      </c>
      <c r="G114" s="425">
        <v>65.819633814846199</v>
      </c>
      <c r="H114" s="425">
        <v>0</v>
      </c>
      <c r="I114" s="425">
        <v>0</v>
      </c>
      <c r="J114" s="425">
        <v>76.4785643859597</v>
      </c>
      <c r="K114" s="425">
        <v>4.7582654252696104</v>
      </c>
      <c r="L114" s="425">
        <v>51.752384613585399</v>
      </c>
      <c r="M114" s="425">
        <v>65.819633814846199</v>
      </c>
      <c r="N114" s="425">
        <v>108.611838905018</v>
      </c>
      <c r="O114" s="425">
        <v>6.34143536090974</v>
      </c>
      <c r="P114" s="425">
        <v>501.74379449129498</v>
      </c>
      <c r="Q114" s="425">
        <v>70.5824541719536</v>
      </c>
      <c r="R114" s="425">
        <v>14.600103225213999</v>
      </c>
      <c r="S114" s="425">
        <v>987.71214184337498</v>
      </c>
      <c r="T114" s="412"/>
    </row>
    <row r="115" spans="2:20" ht="13.5">
      <c r="B115" s="412"/>
      <c r="C115" s="420" t="s">
        <v>84</v>
      </c>
      <c r="D115" s="421">
        <v>0.22852185058593699</v>
      </c>
      <c r="E115" s="421">
        <v>0</v>
      </c>
      <c r="F115" s="421">
        <v>74.636292152893304</v>
      </c>
      <c r="G115" s="421">
        <v>5.7280066844384896</v>
      </c>
      <c r="H115" s="421">
        <v>0</v>
      </c>
      <c r="I115" s="421">
        <v>0</v>
      </c>
      <c r="J115" s="421">
        <v>0</v>
      </c>
      <c r="K115" s="421">
        <v>0</v>
      </c>
      <c r="L115" s="421">
        <v>24.563190847778301</v>
      </c>
      <c r="M115" s="421">
        <v>0</v>
      </c>
      <c r="N115" s="421">
        <v>0</v>
      </c>
      <c r="O115" s="421">
        <v>0</v>
      </c>
      <c r="P115" s="421">
        <v>0</v>
      </c>
      <c r="Q115" s="421">
        <v>0</v>
      </c>
      <c r="R115" s="421">
        <v>16.4428159881592</v>
      </c>
      <c r="S115" s="429">
        <v>121.59882752385499</v>
      </c>
      <c r="T115" s="412"/>
    </row>
    <row r="116" spans="2:20" ht="13.5">
      <c r="B116" s="412"/>
      <c r="C116" s="424" t="s">
        <v>85</v>
      </c>
      <c r="D116" s="425">
        <v>1.74640243521278</v>
      </c>
      <c r="E116" s="425">
        <v>0</v>
      </c>
      <c r="F116" s="425">
        <v>94.322445202744106</v>
      </c>
      <c r="G116" s="425">
        <v>71.547640499284697</v>
      </c>
      <c r="H116" s="425">
        <v>0</v>
      </c>
      <c r="I116" s="425">
        <v>0</v>
      </c>
      <c r="J116" s="425">
        <v>76.4785643859597</v>
      </c>
      <c r="K116" s="425">
        <v>4.7582654252696104</v>
      </c>
      <c r="L116" s="425">
        <v>76.315575461363807</v>
      </c>
      <c r="M116" s="425">
        <v>65.819633814846199</v>
      </c>
      <c r="N116" s="425">
        <v>108.611838905018</v>
      </c>
      <c r="O116" s="425">
        <v>6.34143536090974</v>
      </c>
      <c r="P116" s="425">
        <v>501.74379449129498</v>
      </c>
      <c r="Q116" s="425">
        <v>70.5824541719536</v>
      </c>
      <c r="R116" s="425">
        <v>31.042919213373199</v>
      </c>
      <c r="S116" s="425">
        <v>1109.31096936723</v>
      </c>
      <c r="T116" s="412"/>
    </row>
    <row r="117" spans="2:20">
      <c r="B117" s="412"/>
      <c r="C117" s="412"/>
      <c r="D117" s="430">
        <f t="shared" ref="D117:S117" si="2">D116+D106-D92</f>
        <v>0</v>
      </c>
      <c r="E117" s="430">
        <f t="shared" si="2"/>
        <v>0</v>
      </c>
      <c r="F117" s="430">
        <f t="shared" si="2"/>
        <v>1.9895196601282805E-13</v>
      </c>
      <c r="G117" s="430">
        <f t="shared" si="2"/>
        <v>0</v>
      </c>
      <c r="H117" s="430">
        <f t="shared" si="2"/>
        <v>0</v>
      </c>
      <c r="I117" s="430">
        <f t="shared" si="2"/>
        <v>0</v>
      </c>
      <c r="J117" s="430">
        <f t="shared" si="2"/>
        <v>6.8212102632969618E-13</v>
      </c>
      <c r="K117" s="430">
        <f t="shared" si="2"/>
        <v>0</v>
      </c>
      <c r="L117" s="430">
        <f t="shared" si="2"/>
        <v>-1.8474111129762605E-13</v>
      </c>
      <c r="M117" s="430">
        <f t="shared" si="2"/>
        <v>3.4638958368304884E-14</v>
      </c>
      <c r="N117" s="430">
        <f t="shared" si="2"/>
        <v>0</v>
      </c>
      <c r="O117" s="430">
        <f t="shared" si="2"/>
        <v>-5.6843418860808015E-14</v>
      </c>
      <c r="P117" s="430">
        <f t="shared" si="2"/>
        <v>-7.0699002208129968E-13</v>
      </c>
      <c r="Q117" s="430">
        <f t="shared" si="2"/>
        <v>0</v>
      </c>
      <c r="R117" s="430">
        <f t="shared" si="2"/>
        <v>7.0610184366159956E-14</v>
      </c>
      <c r="S117" s="430">
        <f t="shared" si="2"/>
        <v>1.8189894035458565E-12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89</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0</v>
      </c>
      <c r="F123" s="421">
        <v>0</v>
      </c>
      <c r="G123" s="421">
        <v>0</v>
      </c>
      <c r="H123" s="422">
        <v>764.84848484848499</v>
      </c>
      <c r="I123" s="422">
        <v>419.9</v>
      </c>
      <c r="J123" s="422">
        <v>351.24173188830201</v>
      </c>
      <c r="K123" s="422">
        <v>37.066117395131201</v>
      </c>
      <c r="L123" s="421">
        <v>0</v>
      </c>
      <c r="M123" s="421">
        <v>0</v>
      </c>
      <c r="N123" s="422">
        <v>121.931750282495</v>
      </c>
      <c r="O123" s="422">
        <v>22.204473213427001</v>
      </c>
      <c r="P123" s="421">
        <v>0</v>
      </c>
      <c r="Q123" s="421">
        <v>0</v>
      </c>
      <c r="R123" s="421">
        <v>0</v>
      </c>
      <c r="S123" s="423">
        <v>1717.19255762784</v>
      </c>
      <c r="T123" s="412"/>
    </row>
    <row r="124" spans="2:20" ht="13.5">
      <c r="B124" s="412"/>
      <c r="C124" s="420" t="s">
        <v>60</v>
      </c>
      <c r="D124" s="421">
        <v>4.3798405072467999</v>
      </c>
      <c r="E124" s="421">
        <v>113.59926767676799</v>
      </c>
      <c r="F124" s="421">
        <v>0.79806856250441205</v>
      </c>
      <c r="G124" s="421">
        <v>3.6153613407475298</v>
      </c>
      <c r="H124" s="421">
        <v>0</v>
      </c>
      <c r="I124" s="421">
        <v>0</v>
      </c>
      <c r="J124" s="421">
        <v>0</v>
      </c>
      <c r="K124" s="421">
        <v>0</v>
      </c>
      <c r="L124" s="421">
        <v>0</v>
      </c>
      <c r="M124" s="421">
        <v>0</v>
      </c>
      <c r="N124" s="421">
        <v>0</v>
      </c>
      <c r="O124" s="421">
        <v>0</v>
      </c>
      <c r="P124" s="421">
        <v>29.820654435364101</v>
      </c>
      <c r="Q124" s="421">
        <v>0</v>
      </c>
      <c r="R124" s="421">
        <v>0</v>
      </c>
      <c r="S124" s="423">
        <v>152.213192522631</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0</v>
      </c>
      <c r="Q125" s="421">
        <v>0</v>
      </c>
      <c r="R125" s="421">
        <v>0</v>
      </c>
      <c r="S125" s="423">
        <v>0</v>
      </c>
      <c r="T125" s="412"/>
    </row>
    <row r="126" spans="2:20" ht="13.5">
      <c r="B126" s="412"/>
      <c r="C126" s="420" t="s">
        <v>62</v>
      </c>
      <c r="D126" s="421">
        <v>0</v>
      </c>
      <c r="E126" s="421">
        <v>0</v>
      </c>
      <c r="F126" s="421">
        <v>-5.3013702027186103</v>
      </c>
      <c r="G126" s="421">
        <v>0</v>
      </c>
      <c r="H126" s="421">
        <v>0</v>
      </c>
      <c r="I126" s="421">
        <v>0</v>
      </c>
      <c r="J126" s="421">
        <v>0</v>
      </c>
      <c r="K126" s="421">
        <v>0</v>
      </c>
      <c r="L126" s="421">
        <v>0</v>
      </c>
      <c r="M126" s="421">
        <v>-5.1137296191647996</v>
      </c>
      <c r="N126" s="421">
        <v>0</v>
      </c>
      <c r="O126" s="421">
        <v>0</v>
      </c>
      <c r="P126" s="421">
        <v>0</v>
      </c>
      <c r="Q126" s="421">
        <v>0</v>
      </c>
      <c r="R126" s="421">
        <v>0</v>
      </c>
      <c r="S126" s="423">
        <v>-10.4150998218834</v>
      </c>
      <c r="T126" s="412"/>
    </row>
    <row r="127" spans="2:20" ht="13.5">
      <c r="B127" s="412"/>
      <c r="C127" s="420" t="s">
        <v>63</v>
      </c>
      <c r="D127" s="421">
        <v>0</v>
      </c>
      <c r="E127" s="421">
        <v>0</v>
      </c>
      <c r="F127" s="421">
        <v>-26.554014229686601</v>
      </c>
      <c r="G127" s="421">
        <v>0</v>
      </c>
      <c r="H127" s="421">
        <v>0</v>
      </c>
      <c r="I127" s="421">
        <v>0</v>
      </c>
      <c r="J127" s="421">
        <v>0</v>
      </c>
      <c r="K127" s="421">
        <v>0</v>
      </c>
      <c r="L127" s="421">
        <v>-53.337452419875703</v>
      </c>
      <c r="M127" s="421">
        <v>0</v>
      </c>
      <c r="N127" s="421">
        <v>0</v>
      </c>
      <c r="O127" s="421">
        <v>0</v>
      </c>
      <c r="P127" s="421">
        <v>0</v>
      </c>
      <c r="Q127" s="421">
        <v>0</v>
      </c>
      <c r="R127" s="421">
        <v>-3.3454941468715802</v>
      </c>
      <c r="S127" s="423">
        <v>-83.236960796433806</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4.3798405072467999</v>
      </c>
      <c r="E129" s="425">
        <v>113.59926767676799</v>
      </c>
      <c r="F129" s="425">
        <v>-31.057315869900801</v>
      </c>
      <c r="G129" s="425">
        <v>3.6153613407475298</v>
      </c>
      <c r="H129" s="425">
        <v>764.84848484848499</v>
      </c>
      <c r="I129" s="425">
        <v>419.9</v>
      </c>
      <c r="J129" s="425">
        <v>351.24173188830201</v>
      </c>
      <c r="K129" s="425">
        <v>37.066117395131201</v>
      </c>
      <c r="L129" s="425">
        <v>-53.337452419875703</v>
      </c>
      <c r="M129" s="425">
        <v>-5.1137296191647996</v>
      </c>
      <c r="N129" s="425">
        <v>121.931750282495</v>
      </c>
      <c r="O129" s="425">
        <v>22.204473213427001</v>
      </c>
      <c r="P129" s="425">
        <v>29.820654435364101</v>
      </c>
      <c r="Q129" s="425">
        <v>0</v>
      </c>
      <c r="R129" s="425">
        <v>-3.3454941468715802</v>
      </c>
      <c r="S129" s="425">
        <v>1775.75368953215</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0</v>
      </c>
      <c r="E132" s="421">
        <v>0</v>
      </c>
      <c r="F132" s="421">
        <v>0</v>
      </c>
      <c r="G132" s="421">
        <v>0</v>
      </c>
      <c r="H132" s="421">
        <v>764.84848484848499</v>
      </c>
      <c r="I132" s="421">
        <v>419.9</v>
      </c>
      <c r="J132" s="421">
        <v>14.837077022078001</v>
      </c>
      <c r="K132" s="421">
        <v>4.2997987248322396</v>
      </c>
      <c r="L132" s="421">
        <v>0</v>
      </c>
      <c r="M132" s="421">
        <v>0.66666666666666696</v>
      </c>
      <c r="N132" s="421">
        <v>0</v>
      </c>
      <c r="O132" s="421">
        <v>0</v>
      </c>
      <c r="P132" s="421">
        <v>-682.5</v>
      </c>
      <c r="Q132" s="421">
        <v>0</v>
      </c>
      <c r="R132" s="421">
        <v>3.75</v>
      </c>
      <c r="S132" s="429">
        <v>525.80202726206198</v>
      </c>
      <c r="T132" s="412"/>
    </row>
    <row r="133" spans="2:20" ht="13.5">
      <c r="B133" s="412"/>
      <c r="C133" s="428" t="s">
        <v>351</v>
      </c>
      <c r="D133" s="421">
        <v>0</v>
      </c>
      <c r="E133" s="421">
        <v>0</v>
      </c>
      <c r="F133" s="421">
        <v>0</v>
      </c>
      <c r="G133" s="421">
        <v>0</v>
      </c>
      <c r="H133" s="421">
        <v>0</v>
      </c>
      <c r="I133" s="421">
        <v>0</v>
      </c>
      <c r="J133" s="421">
        <v>28.8847744791587</v>
      </c>
      <c r="K133" s="421">
        <v>27.390111238212</v>
      </c>
      <c r="L133" s="421">
        <v>0</v>
      </c>
      <c r="M133" s="421">
        <v>10.9493569082394</v>
      </c>
      <c r="N133" s="421">
        <v>0</v>
      </c>
      <c r="O133" s="421">
        <v>14.830688385513501</v>
      </c>
      <c r="P133" s="421">
        <v>0</v>
      </c>
      <c r="Q133" s="421">
        <v>-76.630571525577196</v>
      </c>
      <c r="R133" s="421">
        <v>0</v>
      </c>
      <c r="S133" s="429">
        <v>5.4243594855463497</v>
      </c>
      <c r="T133" s="412"/>
    </row>
    <row r="134" spans="2:20" ht="13.5">
      <c r="B134" s="412"/>
      <c r="C134" s="428" t="s">
        <v>352</v>
      </c>
      <c r="D134" s="421">
        <v>0</v>
      </c>
      <c r="E134" s="421">
        <v>0</v>
      </c>
      <c r="F134" s="421">
        <v>0</v>
      </c>
      <c r="G134" s="421">
        <v>0</v>
      </c>
      <c r="H134" s="421">
        <v>0</v>
      </c>
      <c r="I134" s="421">
        <v>0</v>
      </c>
      <c r="J134" s="421">
        <v>141.99486817496901</v>
      </c>
      <c r="K134" s="421">
        <v>0</v>
      </c>
      <c r="L134" s="421">
        <v>0</v>
      </c>
      <c r="M134" s="421">
        <v>-135.60509910709601</v>
      </c>
      <c r="N134" s="421">
        <v>0</v>
      </c>
      <c r="O134" s="421">
        <v>0</v>
      </c>
      <c r="P134" s="421">
        <v>0</v>
      </c>
      <c r="Q134" s="421">
        <v>0</v>
      </c>
      <c r="R134" s="421">
        <v>0</v>
      </c>
      <c r="S134" s="429">
        <v>6.3897690678736296</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117.67676767676799</v>
      </c>
      <c r="F136" s="421">
        <v>-116.5</v>
      </c>
      <c r="G136" s="421">
        <v>0</v>
      </c>
      <c r="H136" s="421">
        <v>0</v>
      </c>
      <c r="I136" s="421">
        <v>0</v>
      </c>
      <c r="J136" s="421">
        <v>0</v>
      </c>
      <c r="K136" s="421">
        <v>0</v>
      </c>
      <c r="L136" s="421">
        <v>0</v>
      </c>
      <c r="M136" s="421">
        <v>0</v>
      </c>
      <c r="N136" s="421">
        <v>0</v>
      </c>
      <c r="O136" s="421">
        <v>0</v>
      </c>
      <c r="P136" s="421">
        <v>0</v>
      </c>
      <c r="Q136" s="421">
        <v>0</v>
      </c>
      <c r="R136" s="421">
        <v>0</v>
      </c>
      <c r="S136" s="429">
        <v>1.17676767676768</v>
      </c>
      <c r="T136" s="412"/>
    </row>
    <row r="137" spans="2:20" ht="13.5">
      <c r="B137" s="412"/>
      <c r="C137" s="428" t="s">
        <v>354</v>
      </c>
      <c r="D137" s="421">
        <v>0</v>
      </c>
      <c r="E137" s="421">
        <v>0</v>
      </c>
      <c r="F137" s="421">
        <v>0</v>
      </c>
      <c r="G137" s="421">
        <v>0</v>
      </c>
      <c r="H137" s="421">
        <v>0</v>
      </c>
      <c r="I137" s="421">
        <v>0</v>
      </c>
      <c r="J137" s="421">
        <v>92.683321682724895</v>
      </c>
      <c r="K137" s="421">
        <v>0</v>
      </c>
      <c r="L137" s="421">
        <v>-92.683321682724895</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-30.7160392407107</v>
      </c>
      <c r="M138" s="421">
        <v>0</v>
      </c>
      <c r="N138" s="421">
        <v>0</v>
      </c>
      <c r="O138" s="421">
        <v>0</v>
      </c>
      <c r="P138" s="421">
        <v>0</v>
      </c>
      <c r="Q138" s="421">
        <v>0</v>
      </c>
      <c r="R138" s="421">
        <v>43.880056058158097</v>
      </c>
      <c r="S138" s="429">
        <v>13.164016817447401</v>
      </c>
      <c r="T138" s="412"/>
    </row>
    <row r="139" spans="2:20" ht="13.5">
      <c r="B139" s="412"/>
      <c r="C139" s="428" t="s">
        <v>73</v>
      </c>
      <c r="D139" s="421">
        <v>0</v>
      </c>
      <c r="E139" s="421">
        <v>0</v>
      </c>
      <c r="F139" s="421">
        <v>0</v>
      </c>
      <c r="G139" s="421">
        <v>0</v>
      </c>
      <c r="H139" s="421">
        <v>0</v>
      </c>
      <c r="I139" s="421">
        <v>0</v>
      </c>
      <c r="J139" s="421">
        <v>0</v>
      </c>
      <c r="K139" s="421">
        <v>1.25759601218096</v>
      </c>
      <c r="L139" s="421">
        <v>0</v>
      </c>
      <c r="M139" s="421">
        <v>0</v>
      </c>
      <c r="N139" s="421">
        <v>0</v>
      </c>
      <c r="O139" s="421">
        <v>0</v>
      </c>
      <c r="P139" s="421">
        <v>121.043616172417</v>
      </c>
      <c r="Q139" s="421">
        <v>0</v>
      </c>
      <c r="R139" s="421">
        <v>-88.031720852667107</v>
      </c>
      <c r="S139" s="429">
        <v>34.2694913319311</v>
      </c>
      <c r="T139" s="412"/>
    </row>
    <row r="140" spans="2:20" ht="13.5">
      <c r="B140" s="412"/>
      <c r="C140" s="428" t="s">
        <v>356</v>
      </c>
      <c r="D140" s="421">
        <v>0.72303211975097703</v>
      </c>
      <c r="E140" s="421">
        <v>-4.0774999999999997</v>
      </c>
      <c r="F140" s="421">
        <v>5.3331291616343899</v>
      </c>
      <c r="G140" s="421">
        <v>0</v>
      </c>
      <c r="H140" s="421">
        <v>0</v>
      </c>
      <c r="I140" s="421">
        <v>0</v>
      </c>
      <c r="J140" s="421">
        <v>0</v>
      </c>
      <c r="K140" s="421">
        <v>0</v>
      </c>
      <c r="L140" s="421">
        <v>0</v>
      </c>
      <c r="M140" s="421">
        <v>0</v>
      </c>
      <c r="N140" s="421">
        <v>0</v>
      </c>
      <c r="O140" s="421">
        <v>0</v>
      </c>
      <c r="P140" s="421">
        <v>0</v>
      </c>
      <c r="Q140" s="421">
        <v>0</v>
      </c>
      <c r="R140" s="421">
        <v>0</v>
      </c>
      <c r="S140" s="429">
        <v>1.9786612813853699</v>
      </c>
      <c r="T140" s="412"/>
    </row>
    <row r="141" spans="2:20" ht="13.5">
      <c r="B141" s="412"/>
      <c r="C141" s="428" t="s">
        <v>75</v>
      </c>
      <c r="D141" s="421">
        <v>1.73775830078125</v>
      </c>
      <c r="E141" s="421">
        <v>0</v>
      </c>
      <c r="F141" s="421">
        <v>16.370387999999998</v>
      </c>
      <c r="G141" s="421">
        <v>0</v>
      </c>
      <c r="H141" s="421">
        <v>0</v>
      </c>
      <c r="I141" s="421">
        <v>0</v>
      </c>
      <c r="J141" s="421">
        <v>0</v>
      </c>
      <c r="K141" s="421">
        <v>0</v>
      </c>
      <c r="L141" s="421">
        <v>0</v>
      </c>
      <c r="M141" s="421">
        <v>4.7666718000000001</v>
      </c>
      <c r="N141" s="421">
        <v>0</v>
      </c>
      <c r="O141" s="421">
        <v>0</v>
      </c>
      <c r="P141" s="421">
        <v>36.566363636363597</v>
      </c>
      <c r="Q141" s="421">
        <v>0</v>
      </c>
      <c r="R141" s="421">
        <v>0</v>
      </c>
      <c r="S141" s="429">
        <v>59.441181737144902</v>
      </c>
      <c r="T141" s="412"/>
    </row>
    <row r="142" spans="2:20" ht="13.5">
      <c r="B142" s="412"/>
      <c r="C142" s="428" t="s">
        <v>76</v>
      </c>
      <c r="D142" s="421">
        <v>0</v>
      </c>
      <c r="E142" s="421">
        <v>0</v>
      </c>
      <c r="F142" s="421">
        <v>0</v>
      </c>
      <c r="G142" s="421">
        <v>0</v>
      </c>
      <c r="H142" s="421">
        <v>0</v>
      </c>
      <c r="I142" s="421">
        <v>0</v>
      </c>
      <c r="J142" s="421">
        <v>0</v>
      </c>
      <c r="K142" s="421">
        <v>0</v>
      </c>
      <c r="L142" s="421">
        <v>0</v>
      </c>
      <c r="M142" s="421">
        <v>1.6079656020604201</v>
      </c>
      <c r="N142" s="421">
        <v>0</v>
      </c>
      <c r="O142" s="421">
        <v>0</v>
      </c>
      <c r="P142" s="421">
        <v>54.591518299293803</v>
      </c>
      <c r="Q142" s="421">
        <v>5.9381623691406702</v>
      </c>
      <c r="R142" s="421">
        <v>0</v>
      </c>
      <c r="S142" s="429">
        <v>62.137646270494898</v>
      </c>
      <c r="T142" s="412"/>
    </row>
    <row r="143" spans="2:20" ht="13.5">
      <c r="B143" s="412"/>
      <c r="C143" s="424" t="s">
        <v>77</v>
      </c>
      <c r="D143" s="425">
        <v>2.4607904205322302</v>
      </c>
      <c r="E143" s="425">
        <v>113.59926767676799</v>
      </c>
      <c r="F143" s="425">
        <v>-94.796482838365606</v>
      </c>
      <c r="G143" s="425">
        <v>0</v>
      </c>
      <c r="H143" s="425">
        <v>764.84848484848499</v>
      </c>
      <c r="I143" s="425">
        <v>419.9</v>
      </c>
      <c r="J143" s="425">
        <v>278.40004135893099</v>
      </c>
      <c r="K143" s="425">
        <v>32.947505975225198</v>
      </c>
      <c r="L143" s="425">
        <v>-123.39936092343601</v>
      </c>
      <c r="M143" s="425">
        <v>-117.614438130129</v>
      </c>
      <c r="N143" s="425">
        <v>0</v>
      </c>
      <c r="O143" s="425">
        <v>14.830688385513501</v>
      </c>
      <c r="P143" s="425">
        <v>-470.29850189192501</v>
      </c>
      <c r="Q143" s="425">
        <v>-70.692409156436597</v>
      </c>
      <c r="R143" s="425">
        <v>-40.401664794509003</v>
      </c>
      <c r="S143" s="425">
        <v>709.78392093065395</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1.79989703190501</v>
      </c>
      <c r="E145" s="421">
        <v>0</v>
      </c>
      <c r="F145" s="421">
        <v>5.22589106512674E-2</v>
      </c>
      <c r="G145" s="421">
        <v>0</v>
      </c>
      <c r="H145" s="421">
        <v>0</v>
      </c>
      <c r="I145" s="421">
        <v>0</v>
      </c>
      <c r="J145" s="421">
        <v>13.331842727893299</v>
      </c>
      <c r="K145" s="421">
        <v>4.1186114199060402</v>
      </c>
      <c r="L145" s="421">
        <v>8.3494072265624997</v>
      </c>
      <c r="M145" s="421">
        <v>63.939809293815799</v>
      </c>
      <c r="N145" s="421">
        <v>0</v>
      </c>
      <c r="O145" s="421">
        <v>0</v>
      </c>
      <c r="P145" s="421">
        <v>150.76353147926901</v>
      </c>
      <c r="Q145" s="421">
        <v>27.157242806109199</v>
      </c>
      <c r="R145" s="421">
        <v>8.9542294921874994</v>
      </c>
      <c r="S145" s="429">
        <v>278.46683038830002</v>
      </c>
      <c r="T145" s="412"/>
    </row>
    <row r="146" spans="2:20" ht="13.5">
      <c r="B146" s="412"/>
      <c r="C146" s="428" t="s">
        <v>79</v>
      </c>
      <c r="D146" s="421">
        <v>0</v>
      </c>
      <c r="E146" s="421">
        <v>0</v>
      </c>
      <c r="F146" s="421">
        <v>2.1712429478419102</v>
      </c>
      <c r="G146" s="421">
        <v>0</v>
      </c>
      <c r="H146" s="421">
        <v>0</v>
      </c>
      <c r="I146" s="421">
        <v>0</v>
      </c>
      <c r="J146" s="421">
        <v>0</v>
      </c>
      <c r="K146" s="421">
        <v>0</v>
      </c>
      <c r="L146" s="421">
        <v>12.7882726969122</v>
      </c>
      <c r="M146" s="421">
        <v>24.887279738493302</v>
      </c>
      <c r="N146" s="421">
        <v>0</v>
      </c>
      <c r="O146" s="421">
        <v>0</v>
      </c>
      <c r="P146" s="421">
        <v>92.289301413656304</v>
      </c>
      <c r="Q146" s="421">
        <v>0</v>
      </c>
      <c r="R146" s="421">
        <v>7.1149935986121697</v>
      </c>
      <c r="S146" s="429">
        <v>139.251090395516</v>
      </c>
      <c r="T146" s="412"/>
    </row>
    <row r="147" spans="2:20" ht="13.5">
      <c r="B147" s="412"/>
      <c r="C147" s="428" t="s">
        <v>80</v>
      </c>
      <c r="D147" s="421">
        <v>0</v>
      </c>
      <c r="E147" s="421">
        <v>0</v>
      </c>
      <c r="F147" s="421">
        <v>0.35468706008189399</v>
      </c>
      <c r="G147" s="421">
        <v>0</v>
      </c>
      <c r="H147" s="421">
        <v>0</v>
      </c>
      <c r="I147" s="421">
        <v>0</v>
      </c>
      <c r="J147" s="421">
        <v>47.9682238056754</v>
      </c>
      <c r="K147" s="421">
        <v>0</v>
      </c>
      <c r="L147" s="421">
        <v>0</v>
      </c>
      <c r="M147" s="421">
        <v>17.598271269670001</v>
      </c>
      <c r="N147" s="421">
        <v>106.862728555422</v>
      </c>
      <c r="O147" s="421">
        <v>3.7519530039459799</v>
      </c>
      <c r="P147" s="421">
        <v>134.324841663434</v>
      </c>
      <c r="Q147" s="421">
        <v>28.562960275021499</v>
      </c>
      <c r="R147" s="421">
        <v>0</v>
      </c>
      <c r="S147" s="429">
        <v>339.42366563325101</v>
      </c>
      <c r="T147" s="412"/>
    </row>
    <row r="148" spans="2:20" ht="13.5">
      <c r="B148" s="412"/>
      <c r="C148" s="428" t="s">
        <v>81</v>
      </c>
      <c r="D148" s="421">
        <v>0</v>
      </c>
      <c r="E148" s="421">
        <v>0</v>
      </c>
      <c r="F148" s="421">
        <v>1.3910064361048399E-2</v>
      </c>
      <c r="G148" s="421">
        <v>0</v>
      </c>
      <c r="H148" s="421">
        <v>0</v>
      </c>
      <c r="I148" s="421">
        <v>0</v>
      </c>
      <c r="J148" s="421">
        <v>6.5361621549849502</v>
      </c>
      <c r="K148" s="421">
        <v>0</v>
      </c>
      <c r="L148" s="421">
        <v>0</v>
      </c>
      <c r="M148" s="421">
        <v>5.4198008615464897</v>
      </c>
      <c r="N148" s="421">
        <v>15.069021727073199</v>
      </c>
      <c r="O148" s="421">
        <v>1.4344248188770199</v>
      </c>
      <c r="P148" s="421">
        <v>109.143617899049</v>
      </c>
      <c r="Q148" s="421">
        <v>14.972206075305801</v>
      </c>
      <c r="R148" s="421">
        <v>0</v>
      </c>
      <c r="S148" s="429">
        <v>152.589143601198</v>
      </c>
      <c r="T148" s="412"/>
    </row>
    <row r="149" spans="2:20" ht="13.5">
      <c r="B149" s="412"/>
      <c r="C149" s="428" t="s">
        <v>82</v>
      </c>
      <c r="D149" s="421">
        <v>0</v>
      </c>
      <c r="E149" s="421">
        <v>0</v>
      </c>
      <c r="F149" s="421">
        <v>0</v>
      </c>
      <c r="G149" s="421">
        <v>0</v>
      </c>
      <c r="H149" s="421">
        <v>0</v>
      </c>
      <c r="I149" s="421">
        <v>0</v>
      </c>
      <c r="J149" s="421">
        <v>5.0054618408177598</v>
      </c>
      <c r="K149" s="421">
        <v>0</v>
      </c>
      <c r="L149" s="421">
        <v>18.815796579352799</v>
      </c>
      <c r="M149" s="421">
        <v>0.65554734743876097</v>
      </c>
      <c r="N149" s="421">
        <v>0</v>
      </c>
      <c r="O149" s="421">
        <v>2.1874070050904901</v>
      </c>
      <c r="P149" s="421">
        <v>5.5978638718802802</v>
      </c>
      <c r="Q149" s="421">
        <v>0</v>
      </c>
      <c r="R149" s="421">
        <v>0.443393311842667</v>
      </c>
      <c r="S149" s="429">
        <v>32.705469956422696</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8</v>
      </c>
      <c r="Q150" s="421">
        <v>0</v>
      </c>
      <c r="R150" s="421">
        <v>0</v>
      </c>
      <c r="S150" s="429">
        <v>8</v>
      </c>
      <c r="T150" s="412"/>
    </row>
    <row r="151" spans="2:20" ht="13.5">
      <c r="B151" s="412"/>
      <c r="C151" s="424" t="s">
        <v>83</v>
      </c>
      <c r="D151" s="425">
        <v>1.79989703190501</v>
      </c>
      <c r="E151" s="425">
        <v>0</v>
      </c>
      <c r="F151" s="425">
        <v>2.5920989829361201</v>
      </c>
      <c r="G151" s="425">
        <v>0</v>
      </c>
      <c r="H151" s="425">
        <v>0</v>
      </c>
      <c r="I151" s="425">
        <v>0</v>
      </c>
      <c r="J151" s="425">
        <v>72.841690529371405</v>
      </c>
      <c r="K151" s="425">
        <v>4.1186114199060402</v>
      </c>
      <c r="L151" s="425">
        <v>39.953476502827499</v>
      </c>
      <c r="M151" s="425">
        <v>112.500708510964</v>
      </c>
      <c r="N151" s="425">
        <v>121.931750282495</v>
      </c>
      <c r="O151" s="425">
        <v>7.3737848279134903</v>
      </c>
      <c r="P151" s="425">
        <v>500.11915632728898</v>
      </c>
      <c r="Q151" s="425">
        <v>70.692409156436497</v>
      </c>
      <c r="R151" s="425">
        <v>16.512616402642301</v>
      </c>
      <c r="S151" s="425">
        <v>950.43619997468704</v>
      </c>
      <c r="T151" s="412"/>
    </row>
    <row r="152" spans="2:20" ht="13.5">
      <c r="B152" s="412"/>
      <c r="C152" s="420" t="s">
        <v>84</v>
      </c>
      <c r="D152" s="421">
        <v>0.11915305480957</v>
      </c>
      <c r="E152" s="421">
        <v>0</v>
      </c>
      <c r="F152" s="421">
        <v>61.1470679855287</v>
      </c>
      <c r="G152" s="421">
        <v>3.6153613407475298</v>
      </c>
      <c r="H152" s="421">
        <v>0</v>
      </c>
      <c r="I152" s="421">
        <v>0</v>
      </c>
      <c r="J152" s="421">
        <v>0</v>
      </c>
      <c r="K152" s="421">
        <v>0</v>
      </c>
      <c r="L152" s="421">
        <v>30.1084320007324</v>
      </c>
      <c r="M152" s="421">
        <v>0</v>
      </c>
      <c r="N152" s="421">
        <v>0</v>
      </c>
      <c r="O152" s="421">
        <v>0</v>
      </c>
      <c r="P152" s="421">
        <v>0</v>
      </c>
      <c r="Q152" s="421">
        <v>0</v>
      </c>
      <c r="R152" s="421">
        <v>20.5435542449951</v>
      </c>
      <c r="S152" s="429">
        <v>115.53356862681299</v>
      </c>
      <c r="T152" s="412"/>
    </row>
    <row r="153" spans="2:20" ht="13.5">
      <c r="B153" s="412"/>
      <c r="C153" s="424" t="s">
        <v>85</v>
      </c>
      <c r="D153" s="425">
        <v>1.9190500867145801</v>
      </c>
      <c r="E153" s="425">
        <v>0</v>
      </c>
      <c r="F153" s="425">
        <v>63.7391669684649</v>
      </c>
      <c r="G153" s="425">
        <v>3.6153613407475298</v>
      </c>
      <c r="H153" s="425">
        <v>0</v>
      </c>
      <c r="I153" s="425">
        <v>0</v>
      </c>
      <c r="J153" s="425">
        <v>72.841690529371405</v>
      </c>
      <c r="K153" s="425">
        <v>4.1186114199060402</v>
      </c>
      <c r="L153" s="425">
        <v>70.061908503559906</v>
      </c>
      <c r="M153" s="425">
        <v>112.500708510964</v>
      </c>
      <c r="N153" s="425">
        <v>121.931750282495</v>
      </c>
      <c r="O153" s="425">
        <v>7.3737848279134903</v>
      </c>
      <c r="P153" s="425">
        <v>500.11915632728898</v>
      </c>
      <c r="Q153" s="425">
        <v>70.692409156436497</v>
      </c>
      <c r="R153" s="425">
        <v>37.056170647637501</v>
      </c>
      <c r="S153" s="425">
        <v>1065.9697686014999</v>
      </c>
      <c r="T153" s="412"/>
    </row>
    <row r="154" spans="2:20">
      <c r="B154" s="412"/>
      <c r="C154" s="412"/>
      <c r="D154" s="430">
        <f t="shared" ref="D154:S154" si="3">D153+D143-D129</f>
        <v>1.0658141036401503E-14</v>
      </c>
      <c r="E154" s="430">
        <f t="shared" si="3"/>
        <v>0</v>
      </c>
      <c r="F154" s="430">
        <f t="shared" si="3"/>
        <v>9.5923269327613525E-14</v>
      </c>
      <c r="G154" s="430">
        <f t="shared" si="3"/>
        <v>0</v>
      </c>
      <c r="H154" s="430">
        <f t="shared" si="3"/>
        <v>0</v>
      </c>
      <c r="I154" s="430">
        <f t="shared" si="3"/>
        <v>0</v>
      </c>
      <c r="J154" s="430">
        <f t="shared" si="3"/>
        <v>0</v>
      </c>
      <c r="K154" s="430">
        <f t="shared" si="3"/>
        <v>0</v>
      </c>
      <c r="L154" s="430">
        <f t="shared" si="3"/>
        <v>-3.979039320256561E-13</v>
      </c>
      <c r="M154" s="430">
        <f t="shared" si="3"/>
        <v>-1.9984014443252818E-13</v>
      </c>
      <c r="N154" s="430">
        <f t="shared" si="3"/>
        <v>0</v>
      </c>
      <c r="O154" s="430">
        <f t="shared" si="3"/>
        <v>0</v>
      </c>
      <c r="P154" s="430">
        <f t="shared" si="3"/>
        <v>-1.3855583347321954E-13</v>
      </c>
      <c r="Q154" s="430">
        <f t="shared" si="3"/>
        <v>-9.9475983006414026E-14</v>
      </c>
      <c r="R154" s="430">
        <f t="shared" si="3"/>
        <v>7.815970093361102E-14</v>
      </c>
      <c r="S154" s="430">
        <f t="shared" si="3"/>
        <v>3.865352482534945E-12</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sheetData>
  <mergeCells count="48">
    <mergeCell ref="S121:S122"/>
    <mergeCell ref="C121:C122"/>
    <mergeCell ref="D121:D122"/>
    <mergeCell ref="E121:E122"/>
    <mergeCell ref="F121:F122"/>
    <mergeCell ref="G121:G122"/>
    <mergeCell ref="H121:H122"/>
    <mergeCell ref="I121:I122"/>
    <mergeCell ref="J121:O121"/>
    <mergeCell ref="P121:P122"/>
    <mergeCell ref="Q121:Q122"/>
    <mergeCell ref="R121:R122"/>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128:S130 S143:S151">
    <cfRule type="cellIs" dxfId="1957" priority="1" operator="equal">
      <formula>0</formula>
    </cfRule>
  </conditionalFormatting>
  <conditionalFormatting sqref="S143">
    <cfRule type="expression" dxfId="1956" priority="2">
      <formula>LEN(TRIM(S143))=0</formula>
    </cfRule>
  </conditionalFormatting>
  <conditionalFormatting sqref="J11:N11">
    <cfRule type="cellIs" dxfId="1955" priority="42" operator="equal">
      <formula>0</formula>
    </cfRule>
  </conditionalFormatting>
  <conditionalFormatting sqref="O11">
    <cfRule type="cellIs" dxfId="1954" priority="43" operator="equal">
      <formula>0</formula>
    </cfRule>
  </conditionalFormatting>
  <conditionalFormatting sqref="S42 S12:S40">
    <cfRule type="cellIs" dxfId="1953" priority="44" operator="equal">
      <formula>0</formula>
    </cfRule>
  </conditionalFormatting>
  <conditionalFormatting sqref="S41">
    <cfRule type="cellIs" dxfId="1952" priority="45" operator="equal">
      <formula>0</formula>
    </cfRule>
  </conditionalFormatting>
  <conditionalFormatting sqref="S34:S42 S12:S18 S20:S32">
    <cfRule type="expression" dxfId="1951" priority="46">
      <formula>LEN(TRIM(S12))=0</formula>
    </cfRule>
  </conditionalFormatting>
  <conditionalFormatting sqref="D42:R42 P33:R33 D33:I33 D34:R40 D32:R32 D13:R19 D12:G12 L12:M12 P12:R12">
    <cfRule type="cellIs" dxfId="1950" priority="47" operator="equal">
      <formula>0</formula>
    </cfRule>
  </conditionalFormatting>
  <conditionalFormatting sqref="P12:P14">
    <cfRule type="cellIs" dxfId="1949" priority="48" operator="equal">
      <formula>0</formula>
    </cfRule>
  </conditionalFormatting>
  <conditionalFormatting sqref="P12:R12 L12:M12 D13:R14">
    <cfRule type="cellIs" dxfId="1948" priority="49" operator="equal">
      <formula>0</formula>
    </cfRule>
  </conditionalFormatting>
  <conditionalFormatting sqref="F13:F14">
    <cfRule type="cellIs" dxfId="1947" priority="50" operator="equal">
      <formula>0</formula>
    </cfRule>
  </conditionalFormatting>
  <conditionalFormatting sqref="L12:M12">
    <cfRule type="cellIs" dxfId="1946" priority="51" operator="equal">
      <formula>0</formula>
    </cfRule>
  </conditionalFormatting>
  <conditionalFormatting sqref="J15:J17 J33">
    <cfRule type="cellIs" dxfId="1945" priority="52" operator="equal">
      <formula>0</formula>
    </cfRule>
  </conditionalFormatting>
  <conditionalFormatting sqref="J13:J14">
    <cfRule type="cellIs" dxfId="1944" priority="53" operator="equal">
      <formula>0</formula>
    </cfRule>
  </conditionalFormatting>
  <conditionalFormatting sqref="K15:K17 K33">
    <cfRule type="cellIs" dxfId="1943" priority="54" operator="equal">
      <formula>0</formula>
    </cfRule>
  </conditionalFormatting>
  <conditionalFormatting sqref="K13:K14">
    <cfRule type="cellIs" dxfId="1942" priority="55" operator="equal">
      <formula>0</formula>
    </cfRule>
  </conditionalFormatting>
  <conditionalFormatting sqref="L15:L17 L33">
    <cfRule type="cellIs" dxfId="1941" priority="56" operator="equal">
      <formula>0</formula>
    </cfRule>
  </conditionalFormatting>
  <conditionalFormatting sqref="L12:L14">
    <cfRule type="cellIs" dxfId="1940" priority="57" operator="equal">
      <formula>0</formula>
    </cfRule>
  </conditionalFormatting>
  <conditionalFormatting sqref="M15:M17 M33">
    <cfRule type="cellIs" dxfId="1939" priority="58" operator="equal">
      <formula>0</formula>
    </cfRule>
  </conditionalFormatting>
  <conditionalFormatting sqref="M12:M14">
    <cfRule type="cellIs" dxfId="1938" priority="59" operator="equal">
      <formula>0</formula>
    </cfRule>
  </conditionalFormatting>
  <conditionalFormatting sqref="N15:N17 N33">
    <cfRule type="cellIs" dxfId="1937" priority="60" operator="equal">
      <formula>0</formula>
    </cfRule>
  </conditionalFormatting>
  <conditionalFormatting sqref="N13:N14">
    <cfRule type="cellIs" dxfId="1936" priority="61" operator="equal">
      <formula>0</formula>
    </cfRule>
  </conditionalFormatting>
  <conditionalFormatting sqref="O15:O17 O33">
    <cfRule type="cellIs" dxfId="1935" priority="62" operator="equal">
      <formula>0</formula>
    </cfRule>
  </conditionalFormatting>
  <conditionalFormatting sqref="O13:O14">
    <cfRule type="cellIs" dxfId="1934" priority="63" operator="equal">
      <formula>0</formula>
    </cfRule>
  </conditionalFormatting>
  <conditionalFormatting sqref="D41:R41">
    <cfRule type="cellIs" dxfId="1933" priority="64" operator="equal">
      <formula>0</formula>
    </cfRule>
  </conditionalFormatting>
  <conditionalFormatting sqref="D34:R42 D32:R32 D13:R18 D12:G12 L12:M12 P12:R12">
    <cfRule type="expression" dxfId="1932" priority="65">
      <formula>LEN(TRIM(D12))=0</formula>
    </cfRule>
  </conditionalFormatting>
  <conditionalFormatting sqref="D41:R41">
    <cfRule type="cellIs" dxfId="1931" priority="66" operator="equal">
      <formula>0</formula>
    </cfRule>
  </conditionalFormatting>
  <conditionalFormatting sqref="L15:L16">
    <cfRule type="cellIs" dxfId="1930" priority="67" operator="equal">
      <formula>0</formula>
    </cfRule>
  </conditionalFormatting>
  <conditionalFormatting sqref="M15:M16">
    <cfRule type="cellIs" dxfId="1929" priority="68" operator="equal">
      <formula>0</formula>
    </cfRule>
  </conditionalFormatting>
  <conditionalFormatting sqref="N15:O15">
    <cfRule type="cellIs" dxfId="1928" priority="69" operator="equal">
      <formula>0</formula>
    </cfRule>
  </conditionalFormatting>
  <conditionalFormatting sqref="N16:O16">
    <cfRule type="cellIs" dxfId="1927" priority="70" operator="equal">
      <formula>0</formula>
    </cfRule>
  </conditionalFormatting>
  <conditionalFormatting sqref="D20:R31">
    <cfRule type="cellIs" dxfId="1926" priority="71" operator="equal">
      <formula>0</formula>
    </cfRule>
  </conditionalFormatting>
  <conditionalFormatting sqref="D20:R31">
    <cfRule type="expression" dxfId="1925" priority="72">
      <formula>LEN(TRIM(D20))=0</formula>
    </cfRule>
  </conditionalFormatting>
  <conditionalFormatting sqref="H12">
    <cfRule type="cellIs" dxfId="1924" priority="73" operator="equal">
      <formula>0</formula>
    </cfRule>
  </conditionalFormatting>
  <conditionalFormatting sqref="I12">
    <cfRule type="cellIs" dxfId="1923" priority="74" operator="equal">
      <formula>0</formula>
    </cfRule>
  </conditionalFormatting>
  <conditionalFormatting sqref="J12:K12">
    <cfRule type="cellIs" dxfId="1922" priority="75" operator="equal">
      <formula>0</formula>
    </cfRule>
  </conditionalFormatting>
  <conditionalFormatting sqref="K12">
    <cfRule type="cellIs" dxfId="1921" priority="76" operator="equal">
      <formula>0</formula>
    </cfRule>
  </conditionalFormatting>
  <conditionalFormatting sqref="H12:K12">
    <cfRule type="expression" dxfId="1920" priority="77">
      <formula>LEN(TRIM(H12))=0</formula>
    </cfRule>
  </conditionalFormatting>
  <conditionalFormatting sqref="N12:O12">
    <cfRule type="cellIs" dxfId="1919" priority="78" operator="equal">
      <formula>0</formula>
    </cfRule>
  </conditionalFormatting>
  <conditionalFormatting sqref="N12:O12">
    <cfRule type="cellIs" dxfId="1918" priority="79" operator="equal">
      <formula>0</formula>
    </cfRule>
  </conditionalFormatting>
  <conditionalFormatting sqref="N12:O12">
    <cfRule type="expression" dxfId="1917" priority="80">
      <formula>LEN(TRIM(N12))=0</formula>
    </cfRule>
  </conditionalFormatting>
  <conditionalFormatting sqref="J48:N48">
    <cfRule type="cellIs" dxfId="1916" priority="81" operator="equal">
      <formula>0</formula>
    </cfRule>
  </conditionalFormatting>
  <conditionalFormatting sqref="O48">
    <cfRule type="cellIs" dxfId="1915" priority="82" operator="equal">
      <formula>0</formula>
    </cfRule>
  </conditionalFormatting>
  <conditionalFormatting sqref="S79 S49:S77">
    <cfRule type="cellIs" dxfId="1914" priority="83" operator="equal">
      <formula>0</formula>
    </cfRule>
  </conditionalFormatting>
  <conditionalFormatting sqref="S78">
    <cfRule type="cellIs" dxfId="1913" priority="84" operator="equal">
      <formula>0</formula>
    </cfRule>
  </conditionalFormatting>
  <conditionalFormatting sqref="S71:S79 S49:S55 S57:S69">
    <cfRule type="expression" dxfId="1912" priority="85">
      <formula>LEN(TRIM(S49))=0</formula>
    </cfRule>
  </conditionalFormatting>
  <conditionalFormatting sqref="D79:R79 P70:R70 D70:I70 D71:R77 D69:R69 D50:R56 D49:G49 L49:M49 P49:R49">
    <cfRule type="cellIs" dxfId="1911" priority="86" operator="equal">
      <formula>0</formula>
    </cfRule>
  </conditionalFormatting>
  <conditionalFormatting sqref="P49:P51">
    <cfRule type="cellIs" dxfId="1910" priority="87" operator="equal">
      <formula>0</formula>
    </cfRule>
  </conditionalFormatting>
  <conditionalFormatting sqref="P49:R49 L49:M49 D50:R51">
    <cfRule type="cellIs" dxfId="1909" priority="88" operator="equal">
      <formula>0</formula>
    </cfRule>
  </conditionalFormatting>
  <conditionalFormatting sqref="F50:F51">
    <cfRule type="cellIs" dxfId="1908" priority="89" operator="equal">
      <formula>0</formula>
    </cfRule>
  </conditionalFormatting>
  <conditionalFormatting sqref="L49:M49">
    <cfRule type="cellIs" dxfId="1907" priority="90" operator="equal">
      <formula>0</formula>
    </cfRule>
  </conditionalFormatting>
  <conditionalFormatting sqref="J52:J54 J70">
    <cfRule type="cellIs" dxfId="1906" priority="91" operator="equal">
      <formula>0</formula>
    </cfRule>
  </conditionalFormatting>
  <conditionalFormatting sqref="J50:J51">
    <cfRule type="cellIs" dxfId="1905" priority="92" operator="equal">
      <formula>0</formula>
    </cfRule>
  </conditionalFormatting>
  <conditionalFormatting sqref="K52:K54 K70">
    <cfRule type="cellIs" dxfId="1904" priority="93" operator="equal">
      <formula>0</formula>
    </cfRule>
  </conditionalFormatting>
  <conditionalFormatting sqref="K50:K51">
    <cfRule type="cellIs" dxfId="1903" priority="94" operator="equal">
      <formula>0</formula>
    </cfRule>
  </conditionalFormatting>
  <conditionalFormatting sqref="L52:L54 L70">
    <cfRule type="cellIs" dxfId="1902" priority="95" operator="equal">
      <formula>0</formula>
    </cfRule>
  </conditionalFormatting>
  <conditionalFormatting sqref="L49:L51">
    <cfRule type="cellIs" dxfId="1901" priority="96" operator="equal">
      <formula>0</formula>
    </cfRule>
  </conditionalFormatting>
  <conditionalFormatting sqref="M52:M54 M70">
    <cfRule type="cellIs" dxfId="1900" priority="97" operator="equal">
      <formula>0</formula>
    </cfRule>
  </conditionalFormatting>
  <conditionalFormatting sqref="M49:M51">
    <cfRule type="cellIs" dxfId="1899" priority="98" operator="equal">
      <formula>0</formula>
    </cfRule>
  </conditionalFormatting>
  <conditionalFormatting sqref="N52:N54 N70">
    <cfRule type="cellIs" dxfId="1898" priority="99" operator="equal">
      <formula>0</formula>
    </cfRule>
  </conditionalFormatting>
  <conditionalFormatting sqref="N50:N51">
    <cfRule type="cellIs" dxfId="1897" priority="100" operator="equal">
      <formula>0</formula>
    </cfRule>
  </conditionalFormatting>
  <conditionalFormatting sqref="O52:O54 O70">
    <cfRule type="cellIs" dxfId="1896" priority="101" operator="equal">
      <formula>0</formula>
    </cfRule>
  </conditionalFormatting>
  <conditionalFormatting sqref="O50:O51">
    <cfRule type="cellIs" dxfId="1895" priority="102" operator="equal">
      <formula>0</formula>
    </cfRule>
  </conditionalFormatting>
  <conditionalFormatting sqref="D78:R78">
    <cfRule type="cellIs" dxfId="1894" priority="103" operator="equal">
      <formula>0</formula>
    </cfRule>
  </conditionalFormatting>
  <conditionalFormatting sqref="D71:R79 D69:R69 D50:R55 D49:G49 L49:M49 P49:R49">
    <cfRule type="expression" dxfId="1893" priority="104">
      <formula>LEN(TRIM(D49))=0</formula>
    </cfRule>
  </conditionalFormatting>
  <conditionalFormatting sqref="D78:R78">
    <cfRule type="cellIs" dxfId="1892" priority="105" operator="equal">
      <formula>0</formula>
    </cfRule>
  </conditionalFormatting>
  <conditionalFormatting sqref="L52:L53">
    <cfRule type="cellIs" dxfId="1891" priority="106" operator="equal">
      <formula>0</formula>
    </cfRule>
  </conditionalFormatting>
  <conditionalFormatting sqref="M52:M53">
    <cfRule type="cellIs" dxfId="1890" priority="107" operator="equal">
      <formula>0</formula>
    </cfRule>
  </conditionalFormatting>
  <conditionalFormatting sqref="N52:O52">
    <cfRule type="cellIs" dxfId="1889" priority="108" operator="equal">
      <formula>0</formula>
    </cfRule>
  </conditionalFormatting>
  <conditionalFormatting sqref="N53:O53">
    <cfRule type="cellIs" dxfId="1888" priority="109" operator="equal">
      <formula>0</formula>
    </cfRule>
  </conditionalFormatting>
  <conditionalFormatting sqref="D57:R68">
    <cfRule type="cellIs" dxfId="1887" priority="110" operator="equal">
      <formula>0</formula>
    </cfRule>
  </conditionalFormatting>
  <conditionalFormatting sqref="D57:R68">
    <cfRule type="expression" dxfId="1886" priority="111">
      <formula>LEN(TRIM(D57))=0</formula>
    </cfRule>
  </conditionalFormatting>
  <conditionalFormatting sqref="H49">
    <cfRule type="cellIs" dxfId="1885" priority="112" operator="equal">
      <formula>0</formula>
    </cfRule>
  </conditionalFormatting>
  <conditionalFormatting sqref="I49">
    <cfRule type="cellIs" dxfId="1884" priority="113" operator="equal">
      <formula>0</formula>
    </cfRule>
  </conditionalFormatting>
  <conditionalFormatting sqref="J49:K49">
    <cfRule type="cellIs" dxfId="1883" priority="114" operator="equal">
      <formula>0</formula>
    </cfRule>
  </conditionalFormatting>
  <conditionalFormatting sqref="K49">
    <cfRule type="cellIs" dxfId="1882" priority="115" operator="equal">
      <formula>0</formula>
    </cfRule>
  </conditionalFormatting>
  <conditionalFormatting sqref="H49:K49">
    <cfRule type="expression" dxfId="1881" priority="116">
      <formula>LEN(TRIM(H49))=0</formula>
    </cfRule>
  </conditionalFormatting>
  <conditionalFormatting sqref="N49:O49">
    <cfRule type="cellIs" dxfId="1880" priority="117" operator="equal">
      <formula>0</formula>
    </cfRule>
  </conditionalFormatting>
  <conditionalFormatting sqref="N49:O49">
    <cfRule type="cellIs" dxfId="1879" priority="118" operator="equal">
      <formula>0</formula>
    </cfRule>
  </conditionalFormatting>
  <conditionalFormatting sqref="N49:O49">
    <cfRule type="expression" dxfId="1878" priority="119">
      <formula>LEN(TRIM(N49))=0</formula>
    </cfRule>
  </conditionalFormatting>
  <conditionalFormatting sqref="J85:N85">
    <cfRule type="cellIs" dxfId="1877" priority="120" operator="equal">
      <formula>0</formula>
    </cfRule>
  </conditionalFormatting>
  <conditionalFormatting sqref="O85">
    <cfRule type="cellIs" dxfId="1876" priority="121" operator="equal">
      <formula>0</formula>
    </cfRule>
  </conditionalFormatting>
  <conditionalFormatting sqref="S116 S86:S114">
    <cfRule type="cellIs" dxfId="1875" priority="122" operator="equal">
      <formula>0</formula>
    </cfRule>
  </conditionalFormatting>
  <conditionalFormatting sqref="S115">
    <cfRule type="cellIs" dxfId="1874" priority="123" operator="equal">
      <formula>0</formula>
    </cfRule>
  </conditionalFormatting>
  <conditionalFormatting sqref="S108:S116 S86:S92 S94:S106">
    <cfRule type="expression" dxfId="1873" priority="124">
      <formula>LEN(TRIM(S86))=0</formula>
    </cfRule>
  </conditionalFormatting>
  <conditionalFormatting sqref="D116:R116 P107:R107 D107:I107 D108:R114 D106:R106 D87:R93 D86:G86 L86:M86 P86:R86">
    <cfRule type="cellIs" dxfId="1872" priority="125" operator="equal">
      <formula>0</formula>
    </cfRule>
  </conditionalFormatting>
  <conditionalFormatting sqref="P86:P88">
    <cfRule type="cellIs" dxfId="1871" priority="126" operator="equal">
      <formula>0</formula>
    </cfRule>
  </conditionalFormatting>
  <conditionalFormatting sqref="P86:R86 L86:M86 D87:R88">
    <cfRule type="cellIs" dxfId="1870" priority="127" operator="equal">
      <formula>0</formula>
    </cfRule>
  </conditionalFormatting>
  <conditionalFormatting sqref="F87:F88">
    <cfRule type="cellIs" dxfId="1869" priority="128" operator="equal">
      <formula>0</formula>
    </cfRule>
  </conditionalFormatting>
  <conditionalFormatting sqref="L86:M86">
    <cfRule type="cellIs" dxfId="1868" priority="129" operator="equal">
      <formula>0</formula>
    </cfRule>
  </conditionalFormatting>
  <conditionalFormatting sqref="J89:J91 J107">
    <cfRule type="cellIs" dxfId="1867" priority="130" operator="equal">
      <formula>0</formula>
    </cfRule>
  </conditionalFormatting>
  <conditionalFormatting sqref="J87:J88">
    <cfRule type="cellIs" dxfId="1866" priority="131" operator="equal">
      <formula>0</formula>
    </cfRule>
  </conditionalFormatting>
  <conditionalFormatting sqref="K89:K91 K107">
    <cfRule type="cellIs" dxfId="1865" priority="132" operator="equal">
      <formula>0</formula>
    </cfRule>
  </conditionalFormatting>
  <conditionalFormatting sqref="K87:K88">
    <cfRule type="cellIs" dxfId="1864" priority="133" operator="equal">
      <formula>0</formula>
    </cfRule>
  </conditionalFormatting>
  <conditionalFormatting sqref="L89:L91 L107">
    <cfRule type="cellIs" dxfId="1863" priority="134" operator="equal">
      <formula>0</formula>
    </cfRule>
  </conditionalFormatting>
  <conditionalFormatting sqref="L86:L88">
    <cfRule type="cellIs" dxfId="1862" priority="135" operator="equal">
      <formula>0</formula>
    </cfRule>
  </conditionalFormatting>
  <conditionalFormatting sqref="M89:M91 M107">
    <cfRule type="cellIs" dxfId="1861" priority="136" operator="equal">
      <formula>0</formula>
    </cfRule>
  </conditionalFormatting>
  <conditionalFormatting sqref="M86:M88">
    <cfRule type="cellIs" dxfId="1860" priority="137" operator="equal">
      <formula>0</formula>
    </cfRule>
  </conditionalFormatting>
  <conditionalFormatting sqref="N89:N91 N107">
    <cfRule type="cellIs" dxfId="1859" priority="138" operator="equal">
      <formula>0</formula>
    </cfRule>
  </conditionalFormatting>
  <conditionalFormatting sqref="N87:N88">
    <cfRule type="cellIs" dxfId="1858" priority="139" operator="equal">
      <formula>0</formula>
    </cfRule>
  </conditionalFormatting>
  <conditionalFormatting sqref="O89:O91 O107">
    <cfRule type="cellIs" dxfId="1857" priority="140" operator="equal">
      <formula>0</formula>
    </cfRule>
  </conditionalFormatting>
  <conditionalFormatting sqref="O87:O88">
    <cfRule type="cellIs" dxfId="1856" priority="141" operator="equal">
      <formula>0</formula>
    </cfRule>
  </conditionalFormatting>
  <conditionalFormatting sqref="D115:R115">
    <cfRule type="cellIs" dxfId="1855" priority="142" operator="equal">
      <formula>0</formula>
    </cfRule>
  </conditionalFormatting>
  <conditionalFormatting sqref="D108:R116 D106:R106 D87:R92 D86:G86 L86:M86 P86:R86">
    <cfRule type="expression" dxfId="1854" priority="143">
      <formula>LEN(TRIM(D86))=0</formula>
    </cfRule>
  </conditionalFormatting>
  <conditionalFormatting sqref="D115:R115">
    <cfRule type="cellIs" dxfId="1853" priority="144" operator="equal">
      <formula>0</formula>
    </cfRule>
  </conditionalFormatting>
  <conditionalFormatting sqref="L89:L90">
    <cfRule type="cellIs" dxfId="1852" priority="145" operator="equal">
      <formula>0</formula>
    </cfRule>
  </conditionalFormatting>
  <conditionalFormatting sqref="M89:M90">
    <cfRule type="cellIs" dxfId="1851" priority="146" operator="equal">
      <formula>0</formula>
    </cfRule>
  </conditionalFormatting>
  <conditionalFormatting sqref="N89:O89">
    <cfRule type="cellIs" dxfId="1850" priority="147" operator="equal">
      <formula>0</formula>
    </cfRule>
  </conditionalFormatting>
  <conditionalFormatting sqref="N90:O90">
    <cfRule type="cellIs" dxfId="1849" priority="148" operator="equal">
      <formula>0</formula>
    </cfRule>
  </conditionalFormatting>
  <conditionalFormatting sqref="D94:R105">
    <cfRule type="cellIs" dxfId="1848" priority="149" operator="equal">
      <formula>0</formula>
    </cfRule>
  </conditionalFormatting>
  <conditionalFormatting sqref="D94:R105">
    <cfRule type="expression" dxfId="1847" priority="150">
      <formula>LEN(TRIM(D94))=0</formula>
    </cfRule>
  </conditionalFormatting>
  <conditionalFormatting sqref="H86">
    <cfRule type="cellIs" dxfId="1846" priority="151" operator="equal">
      <formula>0</formula>
    </cfRule>
  </conditionalFormatting>
  <conditionalFormatting sqref="I86">
    <cfRule type="cellIs" dxfId="1845" priority="152" operator="equal">
      <formula>0</formula>
    </cfRule>
  </conditionalFormatting>
  <conditionalFormatting sqref="J86:K86">
    <cfRule type="cellIs" dxfId="1844" priority="153" operator="equal">
      <formula>0</formula>
    </cfRule>
  </conditionalFormatting>
  <conditionalFormatting sqref="K86">
    <cfRule type="cellIs" dxfId="1843" priority="154" operator="equal">
      <formula>0</formula>
    </cfRule>
  </conditionalFormatting>
  <conditionalFormatting sqref="H86:K86">
    <cfRule type="expression" dxfId="1842" priority="155">
      <formula>LEN(TRIM(H86))=0</formula>
    </cfRule>
  </conditionalFormatting>
  <conditionalFormatting sqref="N86:O86">
    <cfRule type="cellIs" dxfId="1841" priority="156" operator="equal">
      <formula>0</formula>
    </cfRule>
  </conditionalFormatting>
  <conditionalFormatting sqref="N86:O86">
    <cfRule type="cellIs" dxfId="1840" priority="157" operator="equal">
      <formula>0</formula>
    </cfRule>
  </conditionalFormatting>
  <conditionalFormatting sqref="N86:O86">
    <cfRule type="expression" dxfId="1839" priority="158">
      <formula>LEN(TRIM(N86))=0</formula>
    </cfRule>
  </conditionalFormatting>
  <conditionalFormatting sqref="J122:N122">
    <cfRule type="cellIs" dxfId="1838" priority="159" operator="equal">
      <formula>0</formula>
    </cfRule>
  </conditionalFormatting>
  <conditionalFormatting sqref="O122">
    <cfRule type="cellIs" dxfId="1837" priority="160" operator="equal">
      <formula>0</formula>
    </cfRule>
  </conditionalFormatting>
  <conditionalFormatting sqref="S153 S123:S125">
    <cfRule type="cellIs" dxfId="1836" priority="161" operator="equal">
      <formula>0</formula>
    </cfRule>
  </conditionalFormatting>
  <conditionalFormatting sqref="S152">
    <cfRule type="cellIs" dxfId="1835" priority="162" operator="equal">
      <formula>0</formula>
    </cfRule>
  </conditionalFormatting>
  <conditionalFormatting sqref="S145:S153 S123:S125 S128:S129">
    <cfRule type="expression" dxfId="1834" priority="163">
      <formula>LEN(TRIM(S123))=0</formula>
    </cfRule>
  </conditionalFormatting>
  <conditionalFormatting sqref="S126:S127">
    <cfRule type="cellIs" dxfId="1833" priority="164" operator="equal">
      <formula>0</formula>
    </cfRule>
  </conditionalFormatting>
  <conditionalFormatting sqref="S126:S127">
    <cfRule type="expression" dxfId="1832" priority="165">
      <formula>LEN(TRIM(S126))=0</formula>
    </cfRule>
  </conditionalFormatting>
  <conditionalFormatting sqref="S131:S142">
    <cfRule type="cellIs" dxfId="1831" priority="166" operator="equal">
      <formula>0</formula>
    </cfRule>
  </conditionalFormatting>
  <conditionalFormatting sqref="S131:S142">
    <cfRule type="expression" dxfId="1830" priority="167">
      <formula>LEN(TRIM(S131))=0</formula>
    </cfRule>
  </conditionalFormatting>
  <conditionalFormatting sqref="D153:R153 P144:R144 D144:I144 D145:R151 D143:R143 D124:R130 D123:G123 L123:M123 P123:R123">
    <cfRule type="cellIs" dxfId="1829" priority="168" operator="equal">
      <formula>0</formula>
    </cfRule>
  </conditionalFormatting>
  <conditionalFormatting sqref="P123:P125">
    <cfRule type="cellIs" dxfId="1828" priority="169" operator="equal">
      <formula>0</formula>
    </cfRule>
  </conditionalFormatting>
  <conditionalFormatting sqref="P123:R123 L123:M123 D124:R125">
    <cfRule type="cellIs" dxfId="1827" priority="170" operator="equal">
      <formula>0</formula>
    </cfRule>
  </conditionalFormatting>
  <conditionalFormatting sqref="F124:F125">
    <cfRule type="cellIs" dxfId="1826" priority="171" operator="equal">
      <formula>0</formula>
    </cfRule>
  </conditionalFormatting>
  <conditionalFormatting sqref="L123:M123">
    <cfRule type="cellIs" dxfId="1825" priority="172" operator="equal">
      <formula>0</formula>
    </cfRule>
  </conditionalFormatting>
  <conditionalFormatting sqref="J126:J128 J144">
    <cfRule type="cellIs" dxfId="1824" priority="173" operator="equal">
      <formula>0</formula>
    </cfRule>
  </conditionalFormatting>
  <conditionalFormatting sqref="J124:J125">
    <cfRule type="cellIs" dxfId="1823" priority="174" operator="equal">
      <formula>0</formula>
    </cfRule>
  </conditionalFormatting>
  <conditionalFormatting sqref="K126:K128 K144">
    <cfRule type="cellIs" dxfId="1822" priority="175" operator="equal">
      <formula>0</formula>
    </cfRule>
  </conditionalFormatting>
  <conditionalFormatting sqref="K124:K125">
    <cfRule type="cellIs" dxfId="1821" priority="176" operator="equal">
      <formula>0</formula>
    </cfRule>
  </conditionalFormatting>
  <conditionalFormatting sqref="L126:L128 L144">
    <cfRule type="cellIs" dxfId="1820" priority="177" operator="equal">
      <formula>0</formula>
    </cfRule>
  </conditionalFormatting>
  <conditionalFormatting sqref="L123:L125">
    <cfRule type="cellIs" dxfId="1819" priority="178" operator="equal">
      <formula>0</formula>
    </cfRule>
  </conditionalFormatting>
  <conditionalFormatting sqref="M126:M128 M144">
    <cfRule type="cellIs" dxfId="1818" priority="179" operator="equal">
      <formula>0</formula>
    </cfRule>
  </conditionalFormatting>
  <conditionalFormatting sqref="M123:M125">
    <cfRule type="cellIs" dxfId="1817" priority="180" operator="equal">
      <formula>0</formula>
    </cfRule>
  </conditionalFormatting>
  <conditionalFormatting sqref="N126:N128 N144">
    <cfRule type="cellIs" dxfId="1816" priority="181" operator="equal">
      <formula>0</formula>
    </cfRule>
  </conditionalFormatting>
  <conditionalFormatting sqref="N124:N125">
    <cfRule type="cellIs" dxfId="1815" priority="182" operator="equal">
      <formula>0</formula>
    </cfRule>
  </conditionalFormatting>
  <conditionalFormatting sqref="O126:O128 O144">
    <cfRule type="cellIs" dxfId="1814" priority="183" operator="equal">
      <formula>0</formula>
    </cfRule>
  </conditionalFormatting>
  <conditionalFormatting sqref="O124:O125">
    <cfRule type="cellIs" dxfId="1813" priority="184" operator="equal">
      <formula>0</formula>
    </cfRule>
  </conditionalFormatting>
  <conditionalFormatting sqref="D152:R152">
    <cfRule type="cellIs" dxfId="1812" priority="185" operator="equal">
      <formula>0</formula>
    </cfRule>
  </conditionalFormatting>
  <conditionalFormatting sqref="D145:R153 D143:R143 D124:R129 D123:G123 L123:M123 P123:R123">
    <cfRule type="expression" dxfId="1811" priority="186">
      <formula>LEN(TRIM(D123))=0</formula>
    </cfRule>
  </conditionalFormatting>
  <conditionalFormatting sqref="D152:R152">
    <cfRule type="cellIs" dxfId="1810" priority="187" operator="equal">
      <formula>0</formula>
    </cfRule>
  </conditionalFormatting>
  <conditionalFormatting sqref="L126:L127">
    <cfRule type="cellIs" dxfId="1809" priority="188" operator="equal">
      <formula>0</formula>
    </cfRule>
  </conditionalFormatting>
  <conditionalFormatting sqref="M126:M127">
    <cfRule type="cellIs" dxfId="1808" priority="189" operator="equal">
      <formula>0</formula>
    </cfRule>
  </conditionalFormatting>
  <conditionalFormatting sqref="N126:O126">
    <cfRule type="cellIs" dxfId="1807" priority="190" operator="equal">
      <formula>0</formula>
    </cfRule>
  </conditionalFormatting>
  <conditionalFormatting sqref="N127:O127">
    <cfRule type="cellIs" dxfId="1806" priority="191" operator="equal">
      <formula>0</formula>
    </cfRule>
  </conditionalFormatting>
  <conditionalFormatting sqref="D131:R142">
    <cfRule type="cellIs" dxfId="1805" priority="192" operator="equal">
      <formula>0</formula>
    </cfRule>
  </conditionalFormatting>
  <conditionalFormatting sqref="D131:R142">
    <cfRule type="expression" dxfId="1804" priority="193">
      <formula>LEN(TRIM(D131))=0</formula>
    </cfRule>
  </conditionalFormatting>
  <conditionalFormatting sqref="H123">
    <cfRule type="cellIs" dxfId="1803" priority="194" operator="equal">
      <formula>0</formula>
    </cfRule>
  </conditionalFormatting>
  <conditionalFormatting sqref="I123">
    <cfRule type="cellIs" dxfId="1802" priority="195" operator="equal">
      <formula>0</formula>
    </cfRule>
  </conditionalFormatting>
  <conditionalFormatting sqref="J123:K123">
    <cfRule type="cellIs" dxfId="1801" priority="196" operator="equal">
      <formula>0</formula>
    </cfRule>
  </conditionalFormatting>
  <conditionalFormatting sqref="K123">
    <cfRule type="cellIs" dxfId="1800" priority="197" operator="equal">
      <formula>0</formula>
    </cfRule>
  </conditionalFormatting>
  <conditionalFormatting sqref="H123:K123">
    <cfRule type="expression" dxfId="1799" priority="198">
      <formula>LEN(TRIM(H123))=0</formula>
    </cfRule>
  </conditionalFormatting>
  <conditionalFormatting sqref="N123:O123">
    <cfRule type="cellIs" dxfId="1798" priority="199" operator="equal">
      <formula>0</formula>
    </cfRule>
  </conditionalFormatting>
  <conditionalFormatting sqref="N123:O123">
    <cfRule type="cellIs" dxfId="1797" priority="200" operator="equal">
      <formula>0</formula>
    </cfRule>
  </conditionalFormatting>
  <conditionalFormatting sqref="N123:O123">
    <cfRule type="expression" dxfId="1796" priority="201">
      <formula>LEN(TRIM(N123))=0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A9A2-817A-49BD-AD7E-EB986C260D60}">
  <dimension ref="B2:T118"/>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363</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0</v>
      </c>
      <c r="F12" s="421">
        <v>0</v>
      </c>
      <c r="G12" s="421">
        <v>0</v>
      </c>
      <c r="H12" s="422">
        <v>919.39393939393995</v>
      </c>
      <c r="I12" s="422">
        <v>297.2</v>
      </c>
      <c r="J12" s="422">
        <v>293.71785736374301</v>
      </c>
      <c r="K12" s="422">
        <v>38.3991774648144</v>
      </c>
      <c r="L12" s="421">
        <v>0</v>
      </c>
      <c r="M12" s="421">
        <v>0</v>
      </c>
      <c r="N12" s="422">
        <v>91.728344176793996</v>
      </c>
      <c r="O12" s="422">
        <v>16.494075355247801</v>
      </c>
      <c r="P12" s="421">
        <v>0</v>
      </c>
      <c r="Q12" s="421">
        <v>0</v>
      </c>
      <c r="R12" s="421">
        <v>0</v>
      </c>
      <c r="S12" s="423">
        <v>1656.93339375454</v>
      </c>
      <c r="T12" s="412"/>
    </row>
    <row r="13" spans="2:20" ht="13.5">
      <c r="B13" s="412"/>
      <c r="C13" s="420" t="s">
        <v>60</v>
      </c>
      <c r="D13" s="421">
        <v>7.4939151456434798</v>
      </c>
      <c r="E13" s="421">
        <v>266.28302835422397</v>
      </c>
      <c r="F13" s="421">
        <v>0</v>
      </c>
      <c r="G13" s="421">
        <v>151.91024428871401</v>
      </c>
      <c r="H13" s="421">
        <v>0</v>
      </c>
      <c r="I13" s="421">
        <v>0</v>
      </c>
      <c r="J13" s="421">
        <v>0</v>
      </c>
      <c r="K13" s="421">
        <v>0</v>
      </c>
      <c r="L13" s="421">
        <v>0</v>
      </c>
      <c r="M13" s="421">
        <v>0</v>
      </c>
      <c r="N13" s="421">
        <v>0</v>
      </c>
      <c r="O13" s="421">
        <v>0</v>
      </c>
      <c r="P13" s="421">
        <v>25.896699392432499</v>
      </c>
      <c r="Q13" s="421">
        <v>0</v>
      </c>
      <c r="R13" s="421">
        <v>0</v>
      </c>
      <c r="S13" s="423">
        <v>451.58388718101401</v>
      </c>
      <c r="T13" s="412"/>
    </row>
    <row r="14" spans="2:20" ht="13.5">
      <c r="B14" s="412"/>
      <c r="C14" s="420" t="s">
        <v>61</v>
      </c>
      <c r="D14" s="421">
        <v>0</v>
      </c>
      <c r="E14" s="421">
        <v>0</v>
      </c>
      <c r="F14" s="421">
        <v>-20.601925350856099</v>
      </c>
      <c r="G14" s="421">
        <v>0</v>
      </c>
      <c r="H14" s="421">
        <v>0</v>
      </c>
      <c r="I14" s="421">
        <v>0</v>
      </c>
      <c r="J14" s="421">
        <v>0</v>
      </c>
      <c r="K14" s="421">
        <v>0</v>
      </c>
      <c r="L14" s="421">
        <v>0</v>
      </c>
      <c r="M14" s="421">
        <v>0</v>
      </c>
      <c r="N14" s="421">
        <v>0</v>
      </c>
      <c r="O14" s="421">
        <v>0</v>
      </c>
      <c r="P14" s="421">
        <v>0</v>
      </c>
      <c r="Q14" s="421">
        <v>0</v>
      </c>
      <c r="R14" s="421">
        <v>0</v>
      </c>
      <c r="S14" s="423">
        <v>-20.601925350856099</v>
      </c>
      <c r="T14" s="412"/>
    </row>
    <row r="15" spans="2:20" ht="13.5">
      <c r="B15" s="412"/>
      <c r="C15" s="420" t="s">
        <v>62</v>
      </c>
      <c r="D15" s="421">
        <v>0</v>
      </c>
      <c r="E15" s="421">
        <v>0</v>
      </c>
      <c r="F15" s="421">
        <v>-10.0686168173907</v>
      </c>
      <c r="G15" s="421">
        <v>-2.2904268439326998</v>
      </c>
      <c r="H15" s="421">
        <v>0</v>
      </c>
      <c r="I15" s="421">
        <v>0</v>
      </c>
      <c r="J15" s="421">
        <v>0</v>
      </c>
      <c r="K15" s="421">
        <v>0</v>
      </c>
      <c r="L15" s="421">
        <v>0</v>
      </c>
      <c r="M15" s="421">
        <v>-0.98161150454258395</v>
      </c>
      <c r="N15" s="421">
        <v>0</v>
      </c>
      <c r="O15" s="421">
        <v>0</v>
      </c>
      <c r="P15" s="421">
        <v>0</v>
      </c>
      <c r="Q15" s="421">
        <v>0</v>
      </c>
      <c r="R15" s="421">
        <v>0</v>
      </c>
      <c r="S15" s="423">
        <v>-13.3406551658659</v>
      </c>
      <c r="T15" s="412"/>
    </row>
    <row r="16" spans="2:20" ht="13.5">
      <c r="B16" s="412"/>
      <c r="C16" s="420" t="s">
        <v>63</v>
      </c>
      <c r="D16" s="421">
        <v>0</v>
      </c>
      <c r="E16" s="421">
        <v>0</v>
      </c>
      <c r="F16" s="421">
        <v>-52.082612477609999</v>
      </c>
      <c r="G16" s="421">
        <v>0</v>
      </c>
      <c r="H16" s="421">
        <v>0</v>
      </c>
      <c r="I16" s="421">
        <v>0</v>
      </c>
      <c r="J16" s="421">
        <v>0</v>
      </c>
      <c r="K16" s="421">
        <v>0</v>
      </c>
      <c r="L16" s="421">
        <v>-26.158313394490399</v>
      </c>
      <c r="M16" s="421">
        <v>0</v>
      </c>
      <c r="N16" s="421">
        <v>0</v>
      </c>
      <c r="O16" s="421">
        <v>0</v>
      </c>
      <c r="P16" s="421">
        <v>0</v>
      </c>
      <c r="Q16" s="421">
        <v>0</v>
      </c>
      <c r="R16" s="421">
        <v>-0.70753299969045202</v>
      </c>
      <c r="S16" s="423">
        <v>-78.948458871790905</v>
      </c>
      <c r="T16" s="412"/>
    </row>
    <row r="17" spans="2:20" ht="13.5">
      <c r="B17" s="412"/>
      <c r="C17" s="420" t="s">
        <v>64</v>
      </c>
      <c r="D17" s="421">
        <v>0</v>
      </c>
      <c r="E17" s="421">
        <v>0</v>
      </c>
      <c r="F17" s="421">
        <v>0</v>
      </c>
      <c r="G17" s="421">
        <v>0</v>
      </c>
      <c r="H17" s="421">
        <v>0</v>
      </c>
      <c r="I17" s="421">
        <v>0</v>
      </c>
      <c r="J17" s="421">
        <v>0</v>
      </c>
      <c r="K17" s="421">
        <v>0</v>
      </c>
      <c r="L17" s="421">
        <v>0</v>
      </c>
      <c r="M17" s="421">
        <v>0</v>
      </c>
      <c r="N17" s="421">
        <v>0</v>
      </c>
      <c r="O17" s="421">
        <v>0</v>
      </c>
      <c r="P17" s="421">
        <v>0</v>
      </c>
      <c r="Q17" s="421">
        <v>0</v>
      </c>
      <c r="R17" s="421">
        <v>0</v>
      </c>
      <c r="S17" s="423">
        <v>0</v>
      </c>
      <c r="T17" s="412"/>
    </row>
    <row r="18" spans="2:20" ht="13.5">
      <c r="B18" s="412"/>
      <c r="C18" s="424" t="s">
        <v>65</v>
      </c>
      <c r="D18" s="425">
        <v>7.4939151456434798</v>
      </c>
      <c r="E18" s="425">
        <v>266.28302835422397</v>
      </c>
      <c r="F18" s="425">
        <v>-82.753154645856696</v>
      </c>
      <c r="G18" s="425">
        <v>149.61981744478101</v>
      </c>
      <c r="H18" s="425">
        <v>919.39393939393995</v>
      </c>
      <c r="I18" s="425">
        <v>297.2</v>
      </c>
      <c r="J18" s="425">
        <v>293.71785736374301</v>
      </c>
      <c r="K18" s="425">
        <v>38.3991774648144</v>
      </c>
      <c r="L18" s="425">
        <v>-26.158313394490399</v>
      </c>
      <c r="M18" s="425">
        <v>-0.98161150454258395</v>
      </c>
      <c r="N18" s="425">
        <v>91.728344176793996</v>
      </c>
      <c r="O18" s="425">
        <v>16.494075355247801</v>
      </c>
      <c r="P18" s="425">
        <v>25.896699392432499</v>
      </c>
      <c r="Q18" s="425">
        <v>0</v>
      </c>
      <c r="R18" s="425">
        <v>-0.70753299969045202</v>
      </c>
      <c r="S18" s="425">
        <v>1995.6262415470401</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0</v>
      </c>
      <c r="E20" s="421">
        <v>0</v>
      </c>
      <c r="F20" s="421">
        <v>0</v>
      </c>
      <c r="G20" s="421">
        <v>0</v>
      </c>
      <c r="H20" s="421">
        <v>0</v>
      </c>
      <c r="I20" s="421">
        <v>0</v>
      </c>
      <c r="J20" s="421">
        <v>0</v>
      </c>
      <c r="K20" s="421">
        <v>0</v>
      </c>
      <c r="L20" s="421">
        <v>0</v>
      </c>
      <c r="M20" s="421">
        <v>0</v>
      </c>
      <c r="N20" s="421">
        <v>0</v>
      </c>
      <c r="O20" s="421">
        <v>0</v>
      </c>
      <c r="P20" s="421">
        <v>0</v>
      </c>
      <c r="Q20" s="421">
        <v>0</v>
      </c>
      <c r="R20" s="421">
        <v>0</v>
      </c>
      <c r="S20" s="429">
        <v>0</v>
      </c>
      <c r="T20" s="412"/>
    </row>
    <row r="21" spans="2:20" ht="13.5">
      <c r="B21" s="412"/>
      <c r="C21" s="428" t="s">
        <v>350</v>
      </c>
      <c r="D21" s="421">
        <v>0</v>
      </c>
      <c r="E21" s="421">
        <v>0</v>
      </c>
      <c r="F21" s="421">
        <v>0</v>
      </c>
      <c r="G21" s="421">
        <v>6.2086956521739101</v>
      </c>
      <c r="H21" s="421">
        <v>919.39393939393904</v>
      </c>
      <c r="I21" s="421">
        <v>297.2</v>
      </c>
      <c r="J21" s="421">
        <v>17.565889816526202</v>
      </c>
      <c r="K21" s="421">
        <v>4.9093303559187103</v>
      </c>
      <c r="L21" s="421">
        <v>0</v>
      </c>
      <c r="M21" s="421">
        <v>2.6608695652173902</v>
      </c>
      <c r="N21" s="421">
        <v>0</v>
      </c>
      <c r="O21" s="421">
        <v>0</v>
      </c>
      <c r="P21" s="421">
        <v>-615.5</v>
      </c>
      <c r="Q21" s="421">
        <v>0</v>
      </c>
      <c r="R21" s="421">
        <v>4.75</v>
      </c>
      <c r="S21" s="429">
        <v>637.18872478377602</v>
      </c>
      <c r="T21" s="412"/>
    </row>
    <row r="22" spans="2:20" ht="13.5">
      <c r="B22" s="412"/>
      <c r="C22" s="428" t="s">
        <v>351</v>
      </c>
      <c r="D22" s="421">
        <v>0</v>
      </c>
      <c r="E22" s="421">
        <v>0</v>
      </c>
      <c r="F22" s="421">
        <v>0</v>
      </c>
      <c r="G22" s="421">
        <v>11.665233563399299</v>
      </c>
      <c r="H22" s="421">
        <v>0</v>
      </c>
      <c r="I22" s="421">
        <v>0</v>
      </c>
      <c r="J22" s="421">
        <v>29.284960707020101</v>
      </c>
      <c r="K22" s="421">
        <v>27.401179727670598</v>
      </c>
      <c r="L22" s="421">
        <v>0</v>
      </c>
      <c r="M22" s="421">
        <v>4.9993858128854303</v>
      </c>
      <c r="N22" s="421">
        <v>0</v>
      </c>
      <c r="O22" s="421">
        <v>11.2068466425665</v>
      </c>
      <c r="P22" s="421">
        <v>0</v>
      </c>
      <c r="Q22" s="421">
        <v>-77.8888709289253</v>
      </c>
      <c r="R22" s="421">
        <v>0</v>
      </c>
      <c r="S22" s="429">
        <v>6.6687355246166398</v>
      </c>
      <c r="T22" s="412"/>
    </row>
    <row r="23" spans="2:20" ht="13.5">
      <c r="B23" s="412"/>
      <c r="C23" s="428" t="s">
        <v>352</v>
      </c>
      <c r="D23" s="421">
        <v>0</v>
      </c>
      <c r="E23" s="421">
        <v>0</v>
      </c>
      <c r="F23" s="421">
        <v>0</v>
      </c>
      <c r="G23" s="421">
        <v>0</v>
      </c>
      <c r="H23" s="421">
        <v>0</v>
      </c>
      <c r="I23" s="421">
        <v>0</v>
      </c>
      <c r="J23" s="421">
        <v>67.617330016206097</v>
      </c>
      <c r="K23" s="421">
        <v>0</v>
      </c>
      <c r="L23" s="421">
        <v>0</v>
      </c>
      <c r="M23" s="421">
        <v>-61.700813639788102</v>
      </c>
      <c r="N23" s="421">
        <v>0</v>
      </c>
      <c r="O23" s="421">
        <v>0</v>
      </c>
      <c r="P23" s="421">
        <v>0</v>
      </c>
      <c r="Q23" s="421">
        <v>0</v>
      </c>
      <c r="R23" s="421">
        <v>0</v>
      </c>
      <c r="S23" s="429">
        <v>5.9165163764180404</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275.84091609698402</v>
      </c>
      <c r="F25" s="421">
        <v>-273.082506936014</v>
      </c>
      <c r="G25" s="421">
        <v>0</v>
      </c>
      <c r="H25" s="421">
        <v>0</v>
      </c>
      <c r="I25" s="421">
        <v>0</v>
      </c>
      <c r="J25" s="421">
        <v>0</v>
      </c>
      <c r="K25" s="421">
        <v>0</v>
      </c>
      <c r="L25" s="421">
        <v>0</v>
      </c>
      <c r="M25" s="421">
        <v>0</v>
      </c>
      <c r="N25" s="421">
        <v>0</v>
      </c>
      <c r="O25" s="421">
        <v>0</v>
      </c>
      <c r="P25" s="421">
        <v>0</v>
      </c>
      <c r="Q25" s="421">
        <v>0</v>
      </c>
      <c r="R25" s="421">
        <v>0</v>
      </c>
      <c r="S25" s="429">
        <v>2.7584091609698498</v>
      </c>
      <c r="T25" s="412"/>
    </row>
    <row r="26" spans="2:20" ht="13.5">
      <c r="B26" s="412"/>
      <c r="C26" s="428" t="s">
        <v>354</v>
      </c>
      <c r="D26" s="421">
        <v>0</v>
      </c>
      <c r="E26" s="421">
        <v>0</v>
      </c>
      <c r="F26" s="421">
        <v>0</v>
      </c>
      <c r="G26" s="421">
        <v>0</v>
      </c>
      <c r="H26" s="421">
        <v>0</v>
      </c>
      <c r="I26" s="421">
        <v>0</v>
      </c>
      <c r="J26" s="421">
        <v>94.973460214546293</v>
      </c>
      <c r="K26" s="421">
        <v>0</v>
      </c>
      <c r="L26" s="421">
        <v>-94.973460214546293</v>
      </c>
      <c r="M26" s="421">
        <v>0</v>
      </c>
      <c r="N26" s="421">
        <v>0</v>
      </c>
      <c r="O26" s="421">
        <v>0</v>
      </c>
      <c r="P26" s="421">
        <v>0</v>
      </c>
      <c r="Q26" s="421">
        <v>0</v>
      </c>
      <c r="R26" s="421">
        <v>0</v>
      </c>
      <c r="S26" s="429">
        <v>0</v>
      </c>
      <c r="T26" s="412"/>
    </row>
    <row r="27" spans="2:20" ht="13.5">
      <c r="B27" s="412"/>
      <c r="C27" s="428" t="s">
        <v>355</v>
      </c>
      <c r="D27" s="421">
        <v>0</v>
      </c>
      <c r="E27" s="421">
        <v>0</v>
      </c>
      <c r="F27" s="421">
        <v>0</v>
      </c>
      <c r="G27" s="421">
        <v>0</v>
      </c>
      <c r="H27" s="421">
        <v>0</v>
      </c>
      <c r="I27" s="421">
        <v>0</v>
      </c>
      <c r="J27" s="421">
        <v>0</v>
      </c>
      <c r="K27" s="421">
        <v>0</v>
      </c>
      <c r="L27" s="421">
        <v>-18.919398689376301</v>
      </c>
      <c r="M27" s="421">
        <v>0</v>
      </c>
      <c r="N27" s="421">
        <v>0</v>
      </c>
      <c r="O27" s="421">
        <v>0</v>
      </c>
      <c r="P27" s="421">
        <v>0</v>
      </c>
      <c r="Q27" s="421">
        <v>0</v>
      </c>
      <c r="R27" s="421">
        <v>27.027712413394799</v>
      </c>
      <c r="S27" s="429">
        <v>8.10831372401843</v>
      </c>
      <c r="T27" s="412"/>
    </row>
    <row r="28" spans="2:20" ht="13.5">
      <c r="B28" s="412"/>
      <c r="C28" s="428" t="s">
        <v>73</v>
      </c>
      <c r="D28" s="421">
        <v>0</v>
      </c>
      <c r="E28" s="421">
        <v>0</v>
      </c>
      <c r="F28" s="421">
        <v>0</v>
      </c>
      <c r="G28" s="421">
        <v>11.241873404965199</v>
      </c>
      <c r="H28" s="421">
        <v>0</v>
      </c>
      <c r="I28" s="421">
        <v>0</v>
      </c>
      <c r="J28" s="421">
        <v>0</v>
      </c>
      <c r="K28" s="421">
        <v>0.80299095749751603</v>
      </c>
      <c r="L28" s="421">
        <v>0</v>
      </c>
      <c r="M28" s="421">
        <v>4.8179457449851002</v>
      </c>
      <c r="N28" s="421">
        <v>0</v>
      </c>
      <c r="O28" s="421">
        <v>0</v>
      </c>
      <c r="P28" s="421">
        <v>64.825401386295795</v>
      </c>
      <c r="Q28" s="421">
        <v>0</v>
      </c>
      <c r="R28" s="421">
        <v>-56.209367024826101</v>
      </c>
      <c r="S28" s="429">
        <v>25.478844468917501</v>
      </c>
      <c r="T28" s="412"/>
    </row>
    <row r="29" spans="2:20" ht="13.5">
      <c r="B29" s="412"/>
      <c r="C29" s="428" t="s">
        <v>356</v>
      </c>
      <c r="D29" s="421">
        <v>2.3505202026367198</v>
      </c>
      <c r="E29" s="421">
        <v>-9.55788774276051</v>
      </c>
      <c r="F29" s="421">
        <v>12.5011526289501</v>
      </c>
      <c r="G29" s="421">
        <v>0</v>
      </c>
      <c r="H29" s="421">
        <v>0</v>
      </c>
      <c r="I29" s="421">
        <v>0</v>
      </c>
      <c r="J29" s="421">
        <v>0</v>
      </c>
      <c r="K29" s="421">
        <v>0</v>
      </c>
      <c r="L29" s="421">
        <v>0</v>
      </c>
      <c r="M29" s="421">
        <v>0</v>
      </c>
      <c r="N29" s="421">
        <v>0</v>
      </c>
      <c r="O29" s="421">
        <v>0</v>
      </c>
      <c r="P29" s="421">
        <v>0</v>
      </c>
      <c r="Q29" s="421">
        <v>0</v>
      </c>
      <c r="R29" s="421">
        <v>0</v>
      </c>
      <c r="S29" s="429">
        <v>5.2937850888262901</v>
      </c>
      <c r="T29" s="412"/>
    </row>
    <row r="30" spans="2:20" ht="13.5">
      <c r="B30" s="412"/>
      <c r="C30" s="428" t="s">
        <v>75</v>
      </c>
      <c r="D30" s="421">
        <v>3.4784289550781202</v>
      </c>
      <c r="E30" s="421">
        <v>0</v>
      </c>
      <c r="F30" s="421">
        <v>17.757847143387401</v>
      </c>
      <c r="G30" s="421">
        <v>3.6194670795198398</v>
      </c>
      <c r="H30" s="421">
        <v>0</v>
      </c>
      <c r="I30" s="421">
        <v>0</v>
      </c>
      <c r="J30" s="421">
        <v>0</v>
      </c>
      <c r="K30" s="421">
        <v>0</v>
      </c>
      <c r="L30" s="421">
        <v>0</v>
      </c>
      <c r="M30" s="421">
        <v>1.55120017693708</v>
      </c>
      <c r="N30" s="421">
        <v>0</v>
      </c>
      <c r="O30" s="421">
        <v>0</v>
      </c>
      <c r="P30" s="421">
        <v>36.310454545454498</v>
      </c>
      <c r="Q30" s="421">
        <v>0</v>
      </c>
      <c r="R30" s="421">
        <v>0</v>
      </c>
      <c r="S30" s="429">
        <v>62.717397900377001</v>
      </c>
      <c r="T30" s="412"/>
    </row>
    <row r="31" spans="2:20" ht="13.5">
      <c r="B31" s="412"/>
      <c r="C31" s="428" t="s">
        <v>76</v>
      </c>
      <c r="D31" s="421">
        <v>0</v>
      </c>
      <c r="E31" s="421">
        <v>0</v>
      </c>
      <c r="F31" s="421">
        <v>0</v>
      </c>
      <c r="G31" s="421">
        <v>1.70713713627872</v>
      </c>
      <c r="H31" s="421">
        <v>0</v>
      </c>
      <c r="I31" s="421">
        <v>0</v>
      </c>
      <c r="J31" s="421">
        <v>0</v>
      </c>
      <c r="K31" s="421">
        <v>0</v>
      </c>
      <c r="L31" s="421">
        <v>0</v>
      </c>
      <c r="M31" s="421">
        <v>0.73163020126230904</v>
      </c>
      <c r="N31" s="421">
        <v>0</v>
      </c>
      <c r="O31" s="421">
        <v>0</v>
      </c>
      <c r="P31" s="421">
        <v>49.155979731830001</v>
      </c>
      <c r="Q31" s="421">
        <v>6.0356689649720803</v>
      </c>
      <c r="R31" s="421">
        <v>0</v>
      </c>
      <c r="S31" s="429">
        <v>57.630416034343099</v>
      </c>
      <c r="T31" s="412"/>
    </row>
    <row r="32" spans="2:20" ht="13.5">
      <c r="B32" s="412"/>
      <c r="C32" s="424" t="s">
        <v>77</v>
      </c>
      <c r="D32" s="425">
        <v>5.82894915771484</v>
      </c>
      <c r="E32" s="425">
        <v>266.28302835422397</v>
      </c>
      <c r="F32" s="425">
        <v>-242.82350716367699</v>
      </c>
      <c r="G32" s="425">
        <v>34.442406836337</v>
      </c>
      <c r="H32" s="425">
        <v>919.39393939393995</v>
      </c>
      <c r="I32" s="425">
        <v>297.2</v>
      </c>
      <c r="J32" s="425">
        <v>209.44164075429899</v>
      </c>
      <c r="K32" s="425">
        <v>33.113501041086799</v>
      </c>
      <c r="L32" s="425">
        <v>-113.892858903923</v>
      </c>
      <c r="M32" s="425">
        <v>-46.939782138500803</v>
      </c>
      <c r="N32" s="425">
        <v>0</v>
      </c>
      <c r="O32" s="425">
        <v>11.2068466425665</v>
      </c>
      <c r="P32" s="425">
        <v>-465.20816433642</v>
      </c>
      <c r="Q32" s="425">
        <v>-71.853201963953296</v>
      </c>
      <c r="R32" s="425">
        <v>-24.431654611431401</v>
      </c>
      <c r="S32" s="425">
        <v>811.76114306226202</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1.2914218900282399</v>
      </c>
      <c r="E34" s="421">
        <v>0</v>
      </c>
      <c r="F34" s="421">
        <v>7.8764387202852104</v>
      </c>
      <c r="G34" s="421">
        <v>53.350379932057301</v>
      </c>
      <c r="H34" s="421">
        <v>0</v>
      </c>
      <c r="I34" s="421">
        <v>0</v>
      </c>
      <c r="J34" s="421">
        <v>14.620158681310601</v>
      </c>
      <c r="K34" s="421">
        <v>5.28567642372757</v>
      </c>
      <c r="L34" s="421">
        <v>4.3757583007812499</v>
      </c>
      <c r="M34" s="421">
        <v>22.864448542310299</v>
      </c>
      <c r="N34" s="421">
        <v>0</v>
      </c>
      <c r="O34" s="421">
        <v>0</v>
      </c>
      <c r="P34" s="421">
        <v>138.83144142059001</v>
      </c>
      <c r="Q34" s="421">
        <v>24.198968897330399</v>
      </c>
      <c r="R34" s="421">
        <v>6.850041015625</v>
      </c>
      <c r="S34" s="429">
        <v>279.54473382404501</v>
      </c>
      <c r="T34" s="412"/>
    </row>
    <row r="35" spans="2:20" ht="13.5">
      <c r="B35" s="412"/>
      <c r="C35" s="428" t="s">
        <v>79</v>
      </c>
      <c r="D35" s="421">
        <v>0</v>
      </c>
      <c r="E35" s="421">
        <v>0</v>
      </c>
      <c r="F35" s="421">
        <v>51.208587064668897</v>
      </c>
      <c r="G35" s="421">
        <v>17.942066440325</v>
      </c>
      <c r="H35" s="421">
        <v>0</v>
      </c>
      <c r="I35" s="421">
        <v>0</v>
      </c>
      <c r="J35" s="421">
        <v>0</v>
      </c>
      <c r="K35" s="421">
        <v>0</v>
      </c>
      <c r="L35" s="421">
        <v>51.332808564474597</v>
      </c>
      <c r="M35" s="421">
        <v>7.6894570458535796</v>
      </c>
      <c r="N35" s="421">
        <v>0</v>
      </c>
      <c r="O35" s="421">
        <v>0</v>
      </c>
      <c r="P35" s="421">
        <v>81.112108407408201</v>
      </c>
      <c r="Q35" s="421">
        <v>0</v>
      </c>
      <c r="R35" s="421">
        <v>4.6183032107255597</v>
      </c>
      <c r="S35" s="429">
        <v>213.90333073345599</v>
      </c>
      <c r="T35" s="412"/>
    </row>
    <row r="36" spans="2:20" ht="13.5">
      <c r="B36" s="412"/>
      <c r="C36" s="428" t="s">
        <v>80</v>
      </c>
      <c r="D36" s="421">
        <v>0</v>
      </c>
      <c r="E36" s="421">
        <v>0</v>
      </c>
      <c r="F36" s="421">
        <v>0.59878850754916801</v>
      </c>
      <c r="G36" s="421">
        <v>17.944335255265202</v>
      </c>
      <c r="H36" s="421">
        <v>0</v>
      </c>
      <c r="I36" s="421">
        <v>0</v>
      </c>
      <c r="J36" s="421">
        <v>58.7756577076902</v>
      </c>
      <c r="K36" s="421">
        <v>0</v>
      </c>
      <c r="L36" s="421">
        <v>0</v>
      </c>
      <c r="M36" s="421">
        <v>7.6904293951136404</v>
      </c>
      <c r="N36" s="421">
        <v>77.140439944189495</v>
      </c>
      <c r="O36" s="421">
        <v>2.3876725664027898</v>
      </c>
      <c r="P36" s="421">
        <v>147.94366969867801</v>
      </c>
      <c r="Q36" s="421">
        <v>35.899095037211403</v>
      </c>
      <c r="R36" s="421">
        <v>0</v>
      </c>
      <c r="S36" s="429">
        <v>348.3800881121</v>
      </c>
      <c r="T36" s="412"/>
    </row>
    <row r="37" spans="2:20" ht="13.5">
      <c r="B37" s="412"/>
      <c r="C37" s="428" t="s">
        <v>81</v>
      </c>
      <c r="D37" s="421">
        <v>0</v>
      </c>
      <c r="E37" s="421">
        <v>0</v>
      </c>
      <c r="F37" s="421">
        <v>1.41136233073529</v>
      </c>
      <c r="G37" s="421">
        <v>16.956940670956399</v>
      </c>
      <c r="H37" s="421">
        <v>0</v>
      </c>
      <c r="I37" s="421">
        <v>0</v>
      </c>
      <c r="J37" s="421">
        <v>7.1959049572050198</v>
      </c>
      <c r="K37" s="421">
        <v>0</v>
      </c>
      <c r="L37" s="421">
        <v>0</v>
      </c>
      <c r="M37" s="421">
        <v>7.2672602875527703</v>
      </c>
      <c r="N37" s="421">
        <v>14.587904232604499</v>
      </c>
      <c r="O37" s="421">
        <v>1.59893576487328</v>
      </c>
      <c r="P37" s="421">
        <v>113.624954527706</v>
      </c>
      <c r="Q37" s="421">
        <v>11.7551380294114</v>
      </c>
      <c r="R37" s="421">
        <v>0</v>
      </c>
      <c r="S37" s="429">
        <v>174.398400801045</v>
      </c>
      <c r="T37" s="412"/>
    </row>
    <row r="38" spans="2:20" ht="13.5">
      <c r="B38" s="412"/>
      <c r="C38" s="428" t="s">
        <v>82</v>
      </c>
      <c r="D38" s="421">
        <v>0</v>
      </c>
      <c r="E38" s="421">
        <v>0</v>
      </c>
      <c r="F38" s="421">
        <v>9.3172526318529894</v>
      </c>
      <c r="G38" s="421">
        <v>1.0420091806317999</v>
      </c>
      <c r="H38" s="421">
        <v>0</v>
      </c>
      <c r="I38" s="421">
        <v>0</v>
      </c>
      <c r="J38" s="421">
        <v>3.6844952632387198</v>
      </c>
      <c r="K38" s="421">
        <v>0</v>
      </c>
      <c r="L38" s="421">
        <v>14.271913525768101</v>
      </c>
      <c r="M38" s="421">
        <v>0.44657536312791402</v>
      </c>
      <c r="N38" s="421">
        <v>0</v>
      </c>
      <c r="O38" s="421">
        <v>1.30062038140516</v>
      </c>
      <c r="P38" s="421">
        <v>6.3926896744698603</v>
      </c>
      <c r="Q38" s="421">
        <v>0</v>
      </c>
      <c r="R38" s="421">
        <v>0.325155095351289</v>
      </c>
      <c r="S38" s="429">
        <v>36.780711115845897</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3.2</v>
      </c>
      <c r="Q39" s="421">
        <v>0</v>
      </c>
      <c r="R39" s="421">
        <v>0</v>
      </c>
      <c r="S39" s="429">
        <v>3.2</v>
      </c>
      <c r="T39" s="412"/>
    </row>
    <row r="40" spans="2:20" ht="13.5">
      <c r="B40" s="412"/>
      <c r="C40" s="424" t="s">
        <v>83</v>
      </c>
      <c r="D40" s="425">
        <v>1.2914218900282399</v>
      </c>
      <c r="E40" s="425">
        <v>0</v>
      </c>
      <c r="F40" s="425">
        <v>70.412429255091595</v>
      </c>
      <c r="G40" s="425">
        <v>107.23573147923599</v>
      </c>
      <c r="H40" s="425">
        <v>0</v>
      </c>
      <c r="I40" s="425">
        <v>0</v>
      </c>
      <c r="J40" s="425">
        <v>84.276216609444504</v>
      </c>
      <c r="K40" s="425">
        <v>5.28567642372757</v>
      </c>
      <c r="L40" s="425">
        <v>69.980480391024003</v>
      </c>
      <c r="M40" s="425">
        <v>45.958170633958197</v>
      </c>
      <c r="N40" s="425">
        <v>91.728344176793996</v>
      </c>
      <c r="O40" s="425">
        <v>5.2872287126812303</v>
      </c>
      <c r="P40" s="425">
        <v>491.10486372885202</v>
      </c>
      <c r="Q40" s="425">
        <v>71.853201963953296</v>
      </c>
      <c r="R40" s="425">
        <v>11.7934993217019</v>
      </c>
      <c r="S40" s="425">
        <v>1056.2072645864901</v>
      </c>
      <c r="T40" s="412"/>
    </row>
    <row r="41" spans="2:20" ht="13.5">
      <c r="B41" s="412"/>
      <c r="C41" s="420" t="s">
        <v>84</v>
      </c>
      <c r="D41" s="421">
        <v>0.373544097900391</v>
      </c>
      <c r="E41" s="421">
        <v>0</v>
      </c>
      <c r="F41" s="421">
        <v>89.657923262728701</v>
      </c>
      <c r="G41" s="421">
        <v>7.94167912920852</v>
      </c>
      <c r="H41" s="421">
        <v>0</v>
      </c>
      <c r="I41" s="421">
        <v>0</v>
      </c>
      <c r="J41" s="421">
        <v>0</v>
      </c>
      <c r="K41" s="421">
        <v>0</v>
      </c>
      <c r="L41" s="421">
        <v>17.754065118408199</v>
      </c>
      <c r="M41" s="421">
        <v>0</v>
      </c>
      <c r="N41" s="421">
        <v>0</v>
      </c>
      <c r="O41" s="421">
        <v>0</v>
      </c>
      <c r="P41" s="421">
        <v>0</v>
      </c>
      <c r="Q41" s="421">
        <v>0</v>
      </c>
      <c r="R41" s="421">
        <v>11.9306222900391</v>
      </c>
      <c r="S41" s="429">
        <v>127.65783389828501</v>
      </c>
      <c r="T41" s="412"/>
    </row>
    <row r="42" spans="2:20" ht="13.5">
      <c r="B42" s="412"/>
      <c r="C42" s="424" t="s">
        <v>85</v>
      </c>
      <c r="D42" s="425">
        <v>1.66496598792863</v>
      </c>
      <c r="E42" s="425">
        <v>0</v>
      </c>
      <c r="F42" s="425">
        <v>160.07035251782</v>
      </c>
      <c r="G42" s="425">
        <v>115.17741060844401</v>
      </c>
      <c r="H42" s="425">
        <v>0</v>
      </c>
      <c r="I42" s="425">
        <v>0</v>
      </c>
      <c r="J42" s="425">
        <v>84.276216609444504</v>
      </c>
      <c r="K42" s="425">
        <v>5.28567642372757</v>
      </c>
      <c r="L42" s="425">
        <v>87.734545509432195</v>
      </c>
      <c r="M42" s="425">
        <v>45.958170633958197</v>
      </c>
      <c r="N42" s="425">
        <v>91.728344176793996</v>
      </c>
      <c r="O42" s="425">
        <v>5.2872287126812303</v>
      </c>
      <c r="P42" s="425">
        <v>491.10486372885202</v>
      </c>
      <c r="Q42" s="425">
        <v>71.853201963953296</v>
      </c>
      <c r="R42" s="425">
        <v>23.724121611740902</v>
      </c>
      <c r="S42" s="425">
        <v>1183.86509848478</v>
      </c>
      <c r="T42" s="412"/>
    </row>
    <row r="43" spans="2:20">
      <c r="B43" s="412"/>
      <c r="C43" s="412"/>
      <c r="D43" s="430">
        <f t="shared" ref="D43:S43" si="0">D42+D32-D18</f>
        <v>-9.7699626167013776E-15</v>
      </c>
      <c r="E43" s="430">
        <f t="shared" si="0"/>
        <v>0</v>
      </c>
      <c r="F43" s="430">
        <f t="shared" si="0"/>
        <v>-2.9842794901924208E-13</v>
      </c>
      <c r="G43" s="430">
        <f t="shared" si="0"/>
        <v>0</v>
      </c>
      <c r="H43" s="430">
        <f t="shared" si="0"/>
        <v>0</v>
      </c>
      <c r="I43" s="430">
        <f t="shared" si="0"/>
        <v>0</v>
      </c>
      <c r="J43" s="430">
        <f t="shared" si="0"/>
        <v>5.1159076974727213E-13</v>
      </c>
      <c r="K43" s="430">
        <f t="shared" si="0"/>
        <v>0</v>
      </c>
      <c r="L43" s="430">
        <f t="shared" si="0"/>
        <v>-4.0500935938325711E-13</v>
      </c>
      <c r="M43" s="430">
        <f t="shared" si="0"/>
        <v>-2.19824158875781E-14</v>
      </c>
      <c r="N43" s="430">
        <f t="shared" si="0"/>
        <v>0</v>
      </c>
      <c r="O43" s="430">
        <f t="shared" si="0"/>
        <v>-7.1054273576010019E-14</v>
      </c>
      <c r="P43" s="430">
        <f t="shared" si="0"/>
        <v>-4.7251091928046662E-13</v>
      </c>
      <c r="Q43" s="430">
        <f t="shared" si="0"/>
        <v>0</v>
      </c>
      <c r="R43" s="430">
        <f t="shared" si="0"/>
        <v>-4.7739590058881731E-14</v>
      </c>
      <c r="S43" s="430">
        <f t="shared" si="0"/>
        <v>1.8189894035458565E-12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364</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0</v>
      </c>
      <c r="F49" s="421">
        <v>0</v>
      </c>
      <c r="G49" s="421">
        <v>0</v>
      </c>
      <c r="H49" s="422">
        <v>842.12121212121201</v>
      </c>
      <c r="I49" s="422">
        <v>358.55</v>
      </c>
      <c r="J49" s="422">
        <v>303.87805553693403</v>
      </c>
      <c r="K49" s="422">
        <v>37.407021205815497</v>
      </c>
      <c r="L49" s="421">
        <v>0</v>
      </c>
      <c r="M49" s="421">
        <v>0</v>
      </c>
      <c r="N49" s="422">
        <v>108.611838905018</v>
      </c>
      <c r="O49" s="422">
        <v>19.501173338019399</v>
      </c>
      <c r="P49" s="421">
        <v>0</v>
      </c>
      <c r="Q49" s="421">
        <v>0</v>
      </c>
      <c r="R49" s="421">
        <v>0</v>
      </c>
      <c r="S49" s="423">
        <v>1670.069301107</v>
      </c>
      <c r="T49" s="412"/>
    </row>
    <row r="50" spans="2:20" ht="13.5">
      <c r="B50" s="412"/>
      <c r="C50" s="420" t="s">
        <v>60</v>
      </c>
      <c r="D50" s="421">
        <v>5.7319330443436396</v>
      </c>
      <c r="E50" s="421">
        <v>189.941148015496</v>
      </c>
      <c r="F50" s="421">
        <v>0</v>
      </c>
      <c r="G50" s="421">
        <v>90.6863865174073</v>
      </c>
      <c r="H50" s="421">
        <v>0</v>
      </c>
      <c r="I50" s="421">
        <v>0</v>
      </c>
      <c r="J50" s="421">
        <v>0</v>
      </c>
      <c r="K50" s="421">
        <v>0</v>
      </c>
      <c r="L50" s="421">
        <v>0</v>
      </c>
      <c r="M50" s="421">
        <v>0</v>
      </c>
      <c r="N50" s="421">
        <v>0</v>
      </c>
      <c r="O50" s="421">
        <v>0</v>
      </c>
      <c r="P50" s="421">
        <v>18.852796757266699</v>
      </c>
      <c r="Q50" s="421">
        <v>0</v>
      </c>
      <c r="R50" s="421">
        <v>0</v>
      </c>
      <c r="S50" s="423">
        <v>305.21226433451301</v>
      </c>
      <c r="T50" s="412"/>
    </row>
    <row r="51" spans="2:20" ht="13.5">
      <c r="B51" s="412"/>
      <c r="C51" s="420" t="s">
        <v>61</v>
      </c>
      <c r="D51" s="421">
        <v>0</v>
      </c>
      <c r="E51" s="421">
        <v>0</v>
      </c>
      <c r="F51" s="421">
        <v>-18.054674208998499</v>
      </c>
      <c r="G51" s="421">
        <v>0</v>
      </c>
      <c r="H51" s="421">
        <v>0</v>
      </c>
      <c r="I51" s="421">
        <v>0</v>
      </c>
      <c r="J51" s="421">
        <v>0</v>
      </c>
      <c r="K51" s="421">
        <v>0</v>
      </c>
      <c r="L51" s="421">
        <v>0</v>
      </c>
      <c r="M51" s="421">
        <v>0</v>
      </c>
      <c r="N51" s="421">
        <v>0</v>
      </c>
      <c r="O51" s="421">
        <v>0</v>
      </c>
      <c r="P51" s="421">
        <v>0</v>
      </c>
      <c r="Q51" s="421">
        <v>0</v>
      </c>
      <c r="R51" s="421">
        <v>0</v>
      </c>
      <c r="S51" s="423">
        <v>-18.054674208998499</v>
      </c>
      <c r="T51" s="412"/>
    </row>
    <row r="52" spans="2:20" ht="13.5">
      <c r="B52" s="412"/>
      <c r="C52" s="420" t="s">
        <v>62</v>
      </c>
      <c r="D52" s="421">
        <v>0</v>
      </c>
      <c r="E52" s="421">
        <v>0</v>
      </c>
      <c r="F52" s="421">
        <v>-7.5188933675233596</v>
      </c>
      <c r="G52" s="421">
        <v>-2.1851276585702299</v>
      </c>
      <c r="H52" s="421">
        <v>0</v>
      </c>
      <c r="I52" s="421">
        <v>0</v>
      </c>
      <c r="J52" s="421">
        <v>0</v>
      </c>
      <c r="K52" s="421">
        <v>0</v>
      </c>
      <c r="L52" s="421">
        <v>0</v>
      </c>
      <c r="M52" s="421">
        <v>-2.1851276585702299</v>
      </c>
      <c r="N52" s="421">
        <v>0</v>
      </c>
      <c r="O52" s="421">
        <v>0</v>
      </c>
      <c r="P52" s="421">
        <v>0</v>
      </c>
      <c r="Q52" s="421">
        <v>0</v>
      </c>
      <c r="R52" s="421">
        <v>0</v>
      </c>
      <c r="S52" s="423">
        <v>-11.8891486846638</v>
      </c>
      <c r="T52" s="412"/>
    </row>
    <row r="53" spans="2:20" ht="13.5">
      <c r="B53" s="412"/>
      <c r="C53" s="420" t="s">
        <v>63</v>
      </c>
      <c r="D53" s="421">
        <v>0</v>
      </c>
      <c r="E53" s="421">
        <v>0</v>
      </c>
      <c r="F53" s="421">
        <v>-48.913982221755198</v>
      </c>
      <c r="G53" s="421">
        <v>0</v>
      </c>
      <c r="H53" s="421">
        <v>0</v>
      </c>
      <c r="I53" s="421">
        <v>0</v>
      </c>
      <c r="J53" s="421">
        <v>0</v>
      </c>
      <c r="K53" s="421">
        <v>0</v>
      </c>
      <c r="L53" s="421">
        <v>-32.619142548425003</v>
      </c>
      <c r="M53" s="421">
        <v>0</v>
      </c>
      <c r="N53" s="421">
        <v>0</v>
      </c>
      <c r="O53" s="421">
        <v>0</v>
      </c>
      <c r="P53" s="421">
        <v>0</v>
      </c>
      <c r="Q53" s="421">
        <v>0</v>
      </c>
      <c r="R53" s="421">
        <v>-1.6805745775177701</v>
      </c>
      <c r="S53" s="423">
        <v>-83.213699347697997</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5.7319330443436396</v>
      </c>
      <c r="E55" s="425">
        <v>189.941148015496</v>
      </c>
      <c r="F55" s="425">
        <v>-74.487549798277101</v>
      </c>
      <c r="G55" s="425">
        <v>88.501258858837105</v>
      </c>
      <c r="H55" s="425">
        <v>842.12121212121201</v>
      </c>
      <c r="I55" s="425">
        <v>358.55</v>
      </c>
      <c r="J55" s="425">
        <v>303.87805553693403</v>
      </c>
      <c r="K55" s="425">
        <v>37.407021205815497</v>
      </c>
      <c r="L55" s="425">
        <v>-32.619142548425003</v>
      </c>
      <c r="M55" s="425">
        <v>-2.1851276585702299</v>
      </c>
      <c r="N55" s="425">
        <v>108.611838905018</v>
      </c>
      <c r="O55" s="425">
        <v>19.501173338019399</v>
      </c>
      <c r="P55" s="425">
        <v>18.852796757266699</v>
      </c>
      <c r="Q55" s="425">
        <v>0</v>
      </c>
      <c r="R55" s="425">
        <v>-1.6805745775177701</v>
      </c>
      <c r="S55" s="425">
        <v>1862.12404320015</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2.3404255319148901</v>
      </c>
      <c r="H58" s="421">
        <v>842.12121212121201</v>
      </c>
      <c r="I58" s="421">
        <v>358.55</v>
      </c>
      <c r="J58" s="421">
        <v>16.2099501273347</v>
      </c>
      <c r="K58" s="421">
        <v>4.5869971469173096</v>
      </c>
      <c r="L58" s="421">
        <v>0</v>
      </c>
      <c r="M58" s="421">
        <v>2.3404255319148901</v>
      </c>
      <c r="N58" s="421">
        <v>0</v>
      </c>
      <c r="O58" s="421">
        <v>0</v>
      </c>
      <c r="P58" s="421">
        <v>-649</v>
      </c>
      <c r="Q58" s="421">
        <v>0</v>
      </c>
      <c r="R58" s="421">
        <v>4.25</v>
      </c>
      <c r="S58" s="429">
        <v>581.399010459294</v>
      </c>
      <c r="T58" s="412"/>
    </row>
    <row r="59" spans="2:20" ht="13.5">
      <c r="B59" s="412"/>
      <c r="C59" s="428" t="s">
        <v>351</v>
      </c>
      <c r="D59" s="421">
        <v>0</v>
      </c>
      <c r="E59" s="421">
        <v>0</v>
      </c>
      <c r="F59" s="421">
        <v>0</v>
      </c>
      <c r="G59" s="421">
        <v>6.6963140641677699</v>
      </c>
      <c r="H59" s="421">
        <v>0</v>
      </c>
      <c r="I59" s="421">
        <v>0</v>
      </c>
      <c r="J59" s="421">
        <v>28.753458003311501</v>
      </c>
      <c r="K59" s="421">
        <v>27.176732157472099</v>
      </c>
      <c r="L59" s="421">
        <v>0</v>
      </c>
      <c r="M59" s="421">
        <v>6.6963140641677699</v>
      </c>
      <c r="N59" s="421">
        <v>0</v>
      </c>
      <c r="O59" s="421">
        <v>13.1597379771096</v>
      </c>
      <c r="P59" s="421">
        <v>0</v>
      </c>
      <c r="Q59" s="421">
        <v>-76.511380322397699</v>
      </c>
      <c r="R59" s="421">
        <v>0</v>
      </c>
      <c r="S59" s="429">
        <v>5.9711759438309997</v>
      </c>
      <c r="T59" s="412"/>
    </row>
    <row r="60" spans="2:20" ht="13.5">
      <c r="B60" s="412"/>
      <c r="C60" s="428" t="s">
        <v>352</v>
      </c>
      <c r="D60" s="421">
        <v>0</v>
      </c>
      <c r="E60" s="421">
        <v>0</v>
      </c>
      <c r="F60" s="421">
        <v>0</v>
      </c>
      <c r="G60" s="421">
        <v>0</v>
      </c>
      <c r="H60" s="421">
        <v>0</v>
      </c>
      <c r="I60" s="421">
        <v>0</v>
      </c>
      <c r="J60" s="421">
        <v>90.986216688587803</v>
      </c>
      <c r="K60" s="421">
        <v>0</v>
      </c>
      <c r="L60" s="421">
        <v>0</v>
      </c>
      <c r="M60" s="421">
        <v>-84.958379832968902</v>
      </c>
      <c r="N60" s="421">
        <v>0</v>
      </c>
      <c r="O60" s="421">
        <v>0</v>
      </c>
      <c r="P60" s="421">
        <v>0</v>
      </c>
      <c r="Q60" s="421">
        <v>0</v>
      </c>
      <c r="R60" s="421">
        <v>0</v>
      </c>
      <c r="S60" s="429">
        <v>6.0278368556189399</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196.75884188687601</v>
      </c>
      <c r="F62" s="421">
        <v>-194.791253468007</v>
      </c>
      <c r="G62" s="421">
        <v>0</v>
      </c>
      <c r="H62" s="421">
        <v>0</v>
      </c>
      <c r="I62" s="421">
        <v>0</v>
      </c>
      <c r="J62" s="421">
        <v>0</v>
      </c>
      <c r="K62" s="421">
        <v>0</v>
      </c>
      <c r="L62" s="421">
        <v>0</v>
      </c>
      <c r="M62" s="421">
        <v>0</v>
      </c>
      <c r="N62" s="421">
        <v>0</v>
      </c>
      <c r="O62" s="421">
        <v>0</v>
      </c>
      <c r="P62" s="421">
        <v>0</v>
      </c>
      <c r="Q62" s="421">
        <v>0</v>
      </c>
      <c r="R62" s="421">
        <v>0</v>
      </c>
      <c r="S62" s="429">
        <v>1.96758841886876</v>
      </c>
      <c r="T62" s="412"/>
    </row>
    <row r="63" spans="2:20" ht="13.5">
      <c r="B63" s="412"/>
      <c r="C63" s="428" t="s">
        <v>354</v>
      </c>
      <c r="D63" s="421">
        <v>0</v>
      </c>
      <c r="E63" s="421">
        <v>0</v>
      </c>
      <c r="F63" s="421">
        <v>0</v>
      </c>
      <c r="G63" s="421">
        <v>0</v>
      </c>
      <c r="H63" s="421">
        <v>0</v>
      </c>
      <c r="I63" s="421">
        <v>0</v>
      </c>
      <c r="J63" s="421">
        <v>91.449866331740793</v>
      </c>
      <c r="K63" s="421">
        <v>0</v>
      </c>
      <c r="L63" s="421">
        <v>-91.449866331740793</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-17.484851678047999</v>
      </c>
      <c r="M64" s="421">
        <v>0</v>
      </c>
      <c r="N64" s="421">
        <v>0</v>
      </c>
      <c r="O64" s="421">
        <v>0</v>
      </c>
      <c r="P64" s="421">
        <v>0</v>
      </c>
      <c r="Q64" s="421">
        <v>0</v>
      </c>
      <c r="R64" s="421">
        <v>24.978359540068499</v>
      </c>
      <c r="S64" s="429">
        <v>7.4935078620205502</v>
      </c>
      <c r="T64" s="412"/>
    </row>
    <row r="65" spans="2:20" ht="13.5">
      <c r="B65" s="412"/>
      <c r="C65" s="428" t="s">
        <v>73</v>
      </c>
      <c r="D65" s="421">
        <v>0</v>
      </c>
      <c r="E65" s="421">
        <v>0</v>
      </c>
      <c r="F65" s="421">
        <v>0</v>
      </c>
      <c r="G65" s="421">
        <v>4.42513238078282</v>
      </c>
      <c r="H65" s="421">
        <v>0</v>
      </c>
      <c r="I65" s="421">
        <v>0</v>
      </c>
      <c r="J65" s="421">
        <v>0</v>
      </c>
      <c r="K65" s="421">
        <v>0.88502647615656305</v>
      </c>
      <c r="L65" s="421">
        <v>0</v>
      </c>
      <c r="M65" s="421">
        <v>4.42513238078282</v>
      </c>
      <c r="N65" s="421">
        <v>0</v>
      </c>
      <c r="O65" s="421">
        <v>0</v>
      </c>
      <c r="P65" s="421">
        <v>78.487045501144294</v>
      </c>
      <c r="Q65" s="421">
        <v>0</v>
      </c>
      <c r="R65" s="421">
        <v>-61.951853330959402</v>
      </c>
      <c r="S65" s="429">
        <v>26.270483407907101</v>
      </c>
      <c r="T65" s="412"/>
    </row>
    <row r="66" spans="2:20" ht="13.5">
      <c r="B66" s="412"/>
      <c r="C66" s="428" t="s">
        <v>356</v>
      </c>
      <c r="D66" s="421">
        <v>1.4001075134277301</v>
      </c>
      <c r="E66" s="421">
        <v>-6.81769387138025</v>
      </c>
      <c r="F66" s="421">
        <v>8.9171408952922295</v>
      </c>
      <c r="G66" s="421">
        <v>0</v>
      </c>
      <c r="H66" s="421">
        <v>0</v>
      </c>
      <c r="I66" s="421">
        <v>0</v>
      </c>
      <c r="J66" s="421">
        <v>0</v>
      </c>
      <c r="K66" s="421">
        <v>0</v>
      </c>
      <c r="L66" s="421">
        <v>0</v>
      </c>
      <c r="M66" s="421">
        <v>0</v>
      </c>
      <c r="N66" s="421">
        <v>0</v>
      </c>
      <c r="O66" s="421">
        <v>0</v>
      </c>
      <c r="P66" s="421">
        <v>0</v>
      </c>
      <c r="Q66" s="421">
        <v>0</v>
      </c>
      <c r="R66" s="421">
        <v>0</v>
      </c>
      <c r="S66" s="429">
        <v>3.4995545373397099</v>
      </c>
      <c r="T66" s="412"/>
    </row>
    <row r="67" spans="2:20" ht="13.5">
      <c r="B67" s="412"/>
      <c r="C67" s="428" t="s">
        <v>75</v>
      </c>
      <c r="D67" s="421">
        <v>2.5854230957031201</v>
      </c>
      <c r="E67" s="421">
        <v>0</v>
      </c>
      <c r="F67" s="421">
        <v>17.0641175716937</v>
      </c>
      <c r="G67" s="421">
        <v>2.4843347641142302</v>
      </c>
      <c r="H67" s="421">
        <v>0</v>
      </c>
      <c r="I67" s="421">
        <v>0</v>
      </c>
      <c r="J67" s="421">
        <v>0</v>
      </c>
      <c r="K67" s="421">
        <v>0</v>
      </c>
      <c r="L67" s="421">
        <v>0</v>
      </c>
      <c r="M67" s="421">
        <v>2.4843347641142302</v>
      </c>
      <c r="N67" s="421">
        <v>0</v>
      </c>
      <c r="O67" s="421">
        <v>0</v>
      </c>
      <c r="P67" s="421">
        <v>36.438409090909097</v>
      </c>
      <c r="Q67" s="421">
        <v>0</v>
      </c>
      <c r="R67" s="421">
        <v>0</v>
      </c>
      <c r="S67" s="429">
        <v>61.056619286534399</v>
      </c>
      <c r="T67" s="412"/>
    </row>
    <row r="68" spans="2:20" ht="13.5">
      <c r="B68" s="412"/>
      <c r="C68" s="428" t="s">
        <v>76</v>
      </c>
      <c r="D68" s="421">
        <v>0</v>
      </c>
      <c r="E68" s="421">
        <v>0</v>
      </c>
      <c r="F68" s="421">
        <v>0</v>
      </c>
      <c r="G68" s="421">
        <v>1.00741161857275</v>
      </c>
      <c r="H68" s="421">
        <v>0</v>
      </c>
      <c r="I68" s="421">
        <v>0</v>
      </c>
      <c r="J68" s="421">
        <v>0</v>
      </c>
      <c r="K68" s="421">
        <v>0</v>
      </c>
      <c r="L68" s="421">
        <v>0</v>
      </c>
      <c r="M68" s="421">
        <v>1.00741161857275</v>
      </c>
      <c r="N68" s="421">
        <v>0</v>
      </c>
      <c r="O68" s="421">
        <v>0</v>
      </c>
      <c r="P68" s="421">
        <v>51.1835476739179</v>
      </c>
      <c r="Q68" s="421">
        <v>5.9289261504441004</v>
      </c>
      <c r="R68" s="421">
        <v>0</v>
      </c>
      <c r="S68" s="429">
        <v>59.127297061507498</v>
      </c>
      <c r="T68" s="412"/>
    </row>
    <row r="69" spans="2:20" ht="13.5">
      <c r="B69" s="412"/>
      <c r="C69" s="424" t="s">
        <v>77</v>
      </c>
      <c r="D69" s="425">
        <v>3.9855306091308602</v>
      </c>
      <c r="E69" s="425">
        <v>189.941148015496</v>
      </c>
      <c r="F69" s="425">
        <v>-168.80999500102101</v>
      </c>
      <c r="G69" s="425">
        <v>16.9536183595525</v>
      </c>
      <c r="H69" s="425">
        <v>842.12121212121201</v>
      </c>
      <c r="I69" s="425">
        <v>358.55</v>
      </c>
      <c r="J69" s="425">
        <v>227.399491150975</v>
      </c>
      <c r="K69" s="425">
        <v>32.648755780545898</v>
      </c>
      <c r="L69" s="425">
        <v>-108.93471800978899</v>
      </c>
      <c r="M69" s="425">
        <v>-68.004761473416394</v>
      </c>
      <c r="N69" s="425">
        <v>0</v>
      </c>
      <c r="O69" s="425">
        <v>13.1597379771096</v>
      </c>
      <c r="P69" s="425">
        <v>-482.89099773402899</v>
      </c>
      <c r="Q69" s="425">
        <v>-70.5824541719536</v>
      </c>
      <c r="R69" s="425">
        <v>-32.723493790890899</v>
      </c>
      <c r="S69" s="425">
        <v>752.81307383292199</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1.5178805846268399</v>
      </c>
      <c r="E71" s="421">
        <v>0</v>
      </c>
      <c r="F71" s="421">
        <v>3.8156525597214102</v>
      </c>
      <c r="G71" s="421">
        <v>34.872610284028198</v>
      </c>
      <c r="H71" s="421">
        <v>0</v>
      </c>
      <c r="I71" s="421">
        <v>0</v>
      </c>
      <c r="J71" s="421">
        <v>13.9901440703837</v>
      </c>
      <c r="K71" s="421">
        <v>4.7582654252696104</v>
      </c>
      <c r="L71" s="421">
        <v>6.41300463867187</v>
      </c>
      <c r="M71" s="421">
        <v>34.872610284028198</v>
      </c>
      <c r="N71" s="421">
        <v>0</v>
      </c>
      <c r="O71" s="421">
        <v>0</v>
      </c>
      <c r="P71" s="421">
        <v>145.025733372183</v>
      </c>
      <c r="Q71" s="421">
        <v>25.700704560405001</v>
      </c>
      <c r="R71" s="421">
        <v>7.9027373046875002</v>
      </c>
      <c r="S71" s="429">
        <v>278.869343084006</v>
      </c>
      <c r="T71" s="412"/>
    </row>
    <row r="72" spans="2:20" ht="13.5">
      <c r="B72" s="412"/>
      <c r="C72" s="428" t="s">
        <v>79</v>
      </c>
      <c r="D72" s="421">
        <v>0</v>
      </c>
      <c r="E72" s="421">
        <v>0</v>
      </c>
      <c r="F72" s="421">
        <v>11.854069156927601</v>
      </c>
      <c r="G72" s="421">
        <v>13.267062862305901</v>
      </c>
      <c r="H72" s="421">
        <v>0</v>
      </c>
      <c r="I72" s="421">
        <v>0</v>
      </c>
      <c r="J72" s="421">
        <v>0</v>
      </c>
      <c r="K72" s="421">
        <v>0</v>
      </c>
      <c r="L72" s="421">
        <v>27.757428361726902</v>
      </c>
      <c r="M72" s="421">
        <v>13.267062862305901</v>
      </c>
      <c r="N72" s="421">
        <v>0</v>
      </c>
      <c r="O72" s="421">
        <v>0</v>
      </c>
      <c r="P72" s="421">
        <v>93.188917438410897</v>
      </c>
      <c r="Q72" s="421">
        <v>0</v>
      </c>
      <c r="R72" s="421">
        <v>6.3130917169295104</v>
      </c>
      <c r="S72" s="429">
        <v>165.64763239860699</v>
      </c>
      <c r="T72" s="412"/>
    </row>
    <row r="73" spans="2:20" ht="13.5">
      <c r="B73" s="412"/>
      <c r="C73" s="428" t="s">
        <v>80</v>
      </c>
      <c r="D73" s="421">
        <v>0</v>
      </c>
      <c r="E73" s="421">
        <v>0</v>
      </c>
      <c r="F73" s="421">
        <v>0.44885731405196599</v>
      </c>
      <c r="G73" s="421">
        <v>9.8184562905500599</v>
      </c>
      <c r="H73" s="421">
        <v>0</v>
      </c>
      <c r="I73" s="421">
        <v>0</v>
      </c>
      <c r="J73" s="421">
        <v>50.991915500106103</v>
      </c>
      <c r="K73" s="421">
        <v>0</v>
      </c>
      <c r="L73" s="421">
        <v>0</v>
      </c>
      <c r="M73" s="421">
        <v>9.8184562905500599</v>
      </c>
      <c r="N73" s="421">
        <v>93.7833759251793</v>
      </c>
      <c r="O73" s="421">
        <v>3.0807413757867601</v>
      </c>
      <c r="P73" s="421">
        <v>141.51501783018901</v>
      </c>
      <c r="Q73" s="421">
        <v>31.5191114304906</v>
      </c>
      <c r="R73" s="421">
        <v>0</v>
      </c>
      <c r="S73" s="429">
        <v>340.97593195690399</v>
      </c>
      <c r="T73" s="412"/>
    </row>
    <row r="74" spans="2:20" ht="13.5">
      <c r="B74" s="412"/>
      <c r="C74" s="428" t="s">
        <v>81</v>
      </c>
      <c r="D74" s="421">
        <v>0</v>
      </c>
      <c r="E74" s="421">
        <v>0</v>
      </c>
      <c r="F74" s="421">
        <v>0.71263619754816998</v>
      </c>
      <c r="G74" s="421">
        <v>7.4036276177652596</v>
      </c>
      <c r="H74" s="421">
        <v>0</v>
      </c>
      <c r="I74" s="421">
        <v>0</v>
      </c>
      <c r="J74" s="421">
        <v>6.8658928642747901</v>
      </c>
      <c r="K74" s="421">
        <v>0</v>
      </c>
      <c r="L74" s="421">
        <v>0</v>
      </c>
      <c r="M74" s="421">
        <v>7.4036276177652596</v>
      </c>
      <c r="N74" s="421">
        <v>14.8284629798388</v>
      </c>
      <c r="O74" s="421">
        <v>1.5166802918751501</v>
      </c>
      <c r="P74" s="421">
        <v>111.39588290466099</v>
      </c>
      <c r="Q74" s="421">
        <v>13.362638181057999</v>
      </c>
      <c r="R74" s="421">
        <v>0</v>
      </c>
      <c r="S74" s="429">
        <v>163.489448654786</v>
      </c>
      <c r="T74" s="412"/>
    </row>
    <row r="75" spans="2:20" ht="13.5">
      <c r="B75" s="412"/>
      <c r="C75" s="428" t="s">
        <v>82</v>
      </c>
      <c r="D75" s="421">
        <v>0</v>
      </c>
      <c r="E75" s="421">
        <v>0</v>
      </c>
      <c r="F75" s="421">
        <v>2.8549378216016801</v>
      </c>
      <c r="G75" s="421">
        <v>0.45787676019682499</v>
      </c>
      <c r="H75" s="421">
        <v>0</v>
      </c>
      <c r="I75" s="421">
        <v>0</v>
      </c>
      <c r="J75" s="421">
        <v>4.6306119511950996</v>
      </c>
      <c r="K75" s="421">
        <v>0</v>
      </c>
      <c r="L75" s="421">
        <v>17.5819516131867</v>
      </c>
      <c r="M75" s="421">
        <v>0.45787676019682499</v>
      </c>
      <c r="N75" s="421">
        <v>0</v>
      </c>
      <c r="O75" s="421">
        <v>1.7440136932478201</v>
      </c>
      <c r="P75" s="421">
        <v>5.8182429458508897</v>
      </c>
      <c r="Q75" s="421">
        <v>0</v>
      </c>
      <c r="R75" s="421">
        <v>0.384274203596978</v>
      </c>
      <c r="S75" s="429">
        <v>33.929785749072799</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4.8</v>
      </c>
      <c r="Q76" s="421">
        <v>0</v>
      </c>
      <c r="R76" s="421">
        <v>0</v>
      </c>
      <c r="S76" s="429">
        <v>4.8</v>
      </c>
      <c r="T76" s="412"/>
    </row>
    <row r="77" spans="2:20" ht="13.5">
      <c r="B77" s="412"/>
      <c r="C77" s="424" t="s">
        <v>83</v>
      </c>
      <c r="D77" s="425">
        <v>1.5178805846268399</v>
      </c>
      <c r="E77" s="425">
        <v>0</v>
      </c>
      <c r="F77" s="425">
        <v>19.686153049850802</v>
      </c>
      <c r="G77" s="425">
        <v>65.819633814846199</v>
      </c>
      <c r="H77" s="425">
        <v>0</v>
      </c>
      <c r="I77" s="425">
        <v>0</v>
      </c>
      <c r="J77" s="425">
        <v>76.4785643859597</v>
      </c>
      <c r="K77" s="425">
        <v>4.7582654252696104</v>
      </c>
      <c r="L77" s="425">
        <v>51.752384613585399</v>
      </c>
      <c r="M77" s="425">
        <v>65.819633814846199</v>
      </c>
      <c r="N77" s="425">
        <v>108.611838905018</v>
      </c>
      <c r="O77" s="425">
        <v>6.34143536090974</v>
      </c>
      <c r="P77" s="425">
        <v>501.74379449129498</v>
      </c>
      <c r="Q77" s="425">
        <v>70.5824541719536</v>
      </c>
      <c r="R77" s="425">
        <v>14.600103225213999</v>
      </c>
      <c r="S77" s="425">
        <v>987.71214184337498</v>
      </c>
      <c r="T77" s="412"/>
    </row>
    <row r="78" spans="2:20" ht="13.5">
      <c r="B78" s="412"/>
      <c r="C78" s="420" t="s">
        <v>84</v>
      </c>
      <c r="D78" s="421">
        <v>0.22852185058593699</v>
      </c>
      <c r="E78" s="421">
        <v>0</v>
      </c>
      <c r="F78" s="421">
        <v>74.636292152893304</v>
      </c>
      <c r="G78" s="421">
        <v>5.7280066844384896</v>
      </c>
      <c r="H78" s="421">
        <v>0</v>
      </c>
      <c r="I78" s="421">
        <v>0</v>
      </c>
      <c r="J78" s="421">
        <v>0</v>
      </c>
      <c r="K78" s="421">
        <v>0</v>
      </c>
      <c r="L78" s="421">
        <v>24.563190847778301</v>
      </c>
      <c r="M78" s="421">
        <v>0</v>
      </c>
      <c r="N78" s="421">
        <v>0</v>
      </c>
      <c r="O78" s="421">
        <v>0</v>
      </c>
      <c r="P78" s="421">
        <v>0</v>
      </c>
      <c r="Q78" s="421">
        <v>0</v>
      </c>
      <c r="R78" s="421">
        <v>16.4428159881592</v>
      </c>
      <c r="S78" s="429">
        <v>121.59882752385499</v>
      </c>
      <c r="T78" s="412"/>
    </row>
    <row r="79" spans="2:20" ht="13.5">
      <c r="B79" s="412"/>
      <c r="C79" s="424" t="s">
        <v>85</v>
      </c>
      <c r="D79" s="425">
        <v>1.74640243521278</v>
      </c>
      <c r="E79" s="425">
        <v>0</v>
      </c>
      <c r="F79" s="425">
        <v>94.322445202744106</v>
      </c>
      <c r="G79" s="425">
        <v>71.547640499284697</v>
      </c>
      <c r="H79" s="425">
        <v>0</v>
      </c>
      <c r="I79" s="425">
        <v>0</v>
      </c>
      <c r="J79" s="425">
        <v>76.4785643859597</v>
      </c>
      <c r="K79" s="425">
        <v>4.7582654252696104</v>
      </c>
      <c r="L79" s="425">
        <v>76.315575461363807</v>
      </c>
      <c r="M79" s="425">
        <v>65.819633814846199</v>
      </c>
      <c r="N79" s="425">
        <v>108.611838905018</v>
      </c>
      <c r="O79" s="425">
        <v>6.34143536090974</v>
      </c>
      <c r="P79" s="425">
        <v>501.74379449129498</v>
      </c>
      <c r="Q79" s="425">
        <v>70.5824541719536</v>
      </c>
      <c r="R79" s="425">
        <v>31.042919213373199</v>
      </c>
      <c r="S79" s="425">
        <v>1109.31096936723</v>
      </c>
      <c r="T79" s="412"/>
    </row>
    <row r="80" spans="2:20">
      <c r="B80" s="412"/>
      <c r="C80" s="412"/>
      <c r="D80" s="430">
        <f t="shared" ref="D80:S80" si="1">D79+D69-D55</f>
        <v>0</v>
      </c>
      <c r="E80" s="430">
        <f t="shared" si="1"/>
        <v>0</v>
      </c>
      <c r="F80" s="430">
        <f t="shared" si="1"/>
        <v>1.9895196601282805E-13</v>
      </c>
      <c r="G80" s="430">
        <f t="shared" si="1"/>
        <v>0</v>
      </c>
      <c r="H80" s="430">
        <f t="shared" si="1"/>
        <v>0</v>
      </c>
      <c r="I80" s="430">
        <f t="shared" si="1"/>
        <v>0</v>
      </c>
      <c r="J80" s="430">
        <f t="shared" si="1"/>
        <v>6.8212102632969618E-13</v>
      </c>
      <c r="K80" s="430">
        <f t="shared" si="1"/>
        <v>0</v>
      </c>
      <c r="L80" s="430">
        <f t="shared" si="1"/>
        <v>-1.8474111129762605E-13</v>
      </c>
      <c r="M80" s="430">
        <f t="shared" si="1"/>
        <v>3.4638958368304884E-14</v>
      </c>
      <c r="N80" s="430">
        <f t="shared" si="1"/>
        <v>0</v>
      </c>
      <c r="O80" s="430">
        <f t="shared" si="1"/>
        <v>-5.6843418860808015E-14</v>
      </c>
      <c r="P80" s="430">
        <f t="shared" si="1"/>
        <v>-7.0699002208129968E-13</v>
      </c>
      <c r="Q80" s="430">
        <f t="shared" si="1"/>
        <v>0</v>
      </c>
      <c r="R80" s="430">
        <f t="shared" si="1"/>
        <v>7.0610184366159956E-14</v>
      </c>
      <c r="S80" s="430">
        <f t="shared" si="1"/>
        <v>1.8189894035458565E-12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89</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0</v>
      </c>
      <c r="F86" s="421">
        <v>0</v>
      </c>
      <c r="G86" s="421">
        <v>0</v>
      </c>
      <c r="H86" s="422">
        <v>764.84848484848499</v>
      </c>
      <c r="I86" s="422">
        <v>419.9</v>
      </c>
      <c r="J86" s="422">
        <v>351.24173188830201</v>
      </c>
      <c r="K86" s="422">
        <v>37.066117395131201</v>
      </c>
      <c r="L86" s="421">
        <v>0</v>
      </c>
      <c r="M86" s="421">
        <v>0</v>
      </c>
      <c r="N86" s="422">
        <v>121.931750282495</v>
      </c>
      <c r="O86" s="422">
        <v>22.204473213427001</v>
      </c>
      <c r="P86" s="421">
        <v>0</v>
      </c>
      <c r="Q86" s="421">
        <v>0</v>
      </c>
      <c r="R86" s="421">
        <v>0</v>
      </c>
      <c r="S86" s="423">
        <v>1717.19255762784</v>
      </c>
      <c r="T86" s="412"/>
    </row>
    <row r="87" spans="2:20" ht="13.5">
      <c r="B87" s="412"/>
      <c r="C87" s="420" t="s">
        <v>60</v>
      </c>
      <c r="D87" s="421">
        <v>4.3798405072467999</v>
      </c>
      <c r="E87" s="421">
        <v>113.59926767676799</v>
      </c>
      <c r="F87" s="421">
        <v>0.79806856250441205</v>
      </c>
      <c r="G87" s="421">
        <v>3.6153613407475298</v>
      </c>
      <c r="H87" s="421">
        <v>0</v>
      </c>
      <c r="I87" s="421">
        <v>0</v>
      </c>
      <c r="J87" s="421">
        <v>0</v>
      </c>
      <c r="K87" s="421">
        <v>0</v>
      </c>
      <c r="L87" s="421">
        <v>0</v>
      </c>
      <c r="M87" s="421">
        <v>0</v>
      </c>
      <c r="N87" s="421">
        <v>0</v>
      </c>
      <c r="O87" s="421">
        <v>0</v>
      </c>
      <c r="P87" s="421">
        <v>29.820654435364101</v>
      </c>
      <c r="Q87" s="421">
        <v>0</v>
      </c>
      <c r="R87" s="421">
        <v>0</v>
      </c>
      <c r="S87" s="423">
        <v>152.213192522631</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0</v>
      </c>
      <c r="Q88" s="421">
        <v>0</v>
      </c>
      <c r="R88" s="421">
        <v>0</v>
      </c>
      <c r="S88" s="423">
        <v>0</v>
      </c>
      <c r="T88" s="412"/>
    </row>
    <row r="89" spans="2:20" ht="13.5">
      <c r="B89" s="412"/>
      <c r="C89" s="420" t="s">
        <v>62</v>
      </c>
      <c r="D89" s="421">
        <v>0</v>
      </c>
      <c r="E89" s="421">
        <v>0</v>
      </c>
      <c r="F89" s="421">
        <v>-5.3013702027186103</v>
      </c>
      <c r="G89" s="421">
        <v>0</v>
      </c>
      <c r="H89" s="421">
        <v>0</v>
      </c>
      <c r="I89" s="421">
        <v>0</v>
      </c>
      <c r="J89" s="421">
        <v>0</v>
      </c>
      <c r="K89" s="421">
        <v>0</v>
      </c>
      <c r="L89" s="421">
        <v>0</v>
      </c>
      <c r="M89" s="421">
        <v>-5.1137296191647996</v>
      </c>
      <c r="N89" s="421">
        <v>0</v>
      </c>
      <c r="O89" s="421">
        <v>0</v>
      </c>
      <c r="P89" s="421">
        <v>0</v>
      </c>
      <c r="Q89" s="421">
        <v>0</v>
      </c>
      <c r="R89" s="421">
        <v>0</v>
      </c>
      <c r="S89" s="423">
        <v>-10.4150998218834</v>
      </c>
      <c r="T89" s="412"/>
    </row>
    <row r="90" spans="2:20" ht="13.5">
      <c r="B90" s="412"/>
      <c r="C90" s="420" t="s">
        <v>63</v>
      </c>
      <c r="D90" s="421">
        <v>0</v>
      </c>
      <c r="E90" s="421">
        <v>0</v>
      </c>
      <c r="F90" s="421">
        <v>-26.554014229686601</v>
      </c>
      <c r="G90" s="421">
        <v>0</v>
      </c>
      <c r="H90" s="421">
        <v>0</v>
      </c>
      <c r="I90" s="421">
        <v>0</v>
      </c>
      <c r="J90" s="421">
        <v>0</v>
      </c>
      <c r="K90" s="421">
        <v>0</v>
      </c>
      <c r="L90" s="421">
        <v>-53.337452419875703</v>
      </c>
      <c r="M90" s="421">
        <v>0</v>
      </c>
      <c r="N90" s="421">
        <v>0</v>
      </c>
      <c r="O90" s="421">
        <v>0</v>
      </c>
      <c r="P90" s="421">
        <v>0</v>
      </c>
      <c r="Q90" s="421">
        <v>0</v>
      </c>
      <c r="R90" s="421">
        <v>-3.3454941468715802</v>
      </c>
      <c r="S90" s="423">
        <v>-83.236960796433806</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4.3798405072467999</v>
      </c>
      <c r="E92" s="425">
        <v>113.59926767676799</v>
      </c>
      <c r="F92" s="425">
        <v>-31.057315869900801</v>
      </c>
      <c r="G92" s="425">
        <v>3.6153613407475298</v>
      </c>
      <c r="H92" s="425">
        <v>764.84848484848499</v>
      </c>
      <c r="I92" s="425">
        <v>419.9</v>
      </c>
      <c r="J92" s="425">
        <v>351.24173188830201</v>
      </c>
      <c r="K92" s="425">
        <v>37.066117395131201</v>
      </c>
      <c r="L92" s="425">
        <v>-53.337452419875703</v>
      </c>
      <c r="M92" s="425">
        <v>-5.1137296191647996</v>
      </c>
      <c r="N92" s="425">
        <v>121.931750282495</v>
      </c>
      <c r="O92" s="425">
        <v>22.204473213427001</v>
      </c>
      <c r="P92" s="425">
        <v>29.820654435364101</v>
      </c>
      <c r="Q92" s="425">
        <v>0</v>
      </c>
      <c r="R92" s="425">
        <v>-3.3454941468715802</v>
      </c>
      <c r="S92" s="425">
        <v>1775.75368953215</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0</v>
      </c>
      <c r="E95" s="421">
        <v>0</v>
      </c>
      <c r="F95" s="421">
        <v>0</v>
      </c>
      <c r="G95" s="421">
        <v>0</v>
      </c>
      <c r="H95" s="421">
        <v>764.84848484848499</v>
      </c>
      <c r="I95" s="421">
        <v>419.9</v>
      </c>
      <c r="J95" s="421">
        <v>14.837077022078001</v>
      </c>
      <c r="K95" s="421">
        <v>4.2997987248322396</v>
      </c>
      <c r="L95" s="421">
        <v>0</v>
      </c>
      <c r="M95" s="421">
        <v>0.66666666666666696</v>
      </c>
      <c r="N95" s="421">
        <v>0</v>
      </c>
      <c r="O95" s="421">
        <v>0</v>
      </c>
      <c r="P95" s="421">
        <v>-682.5</v>
      </c>
      <c r="Q95" s="421">
        <v>0</v>
      </c>
      <c r="R95" s="421">
        <v>3.75</v>
      </c>
      <c r="S95" s="429">
        <v>525.80202726206198</v>
      </c>
      <c r="T95" s="412"/>
    </row>
    <row r="96" spans="2:20" ht="13.5">
      <c r="B96" s="412"/>
      <c r="C96" s="428" t="s">
        <v>351</v>
      </c>
      <c r="D96" s="421">
        <v>0</v>
      </c>
      <c r="E96" s="421">
        <v>0</v>
      </c>
      <c r="F96" s="421">
        <v>0</v>
      </c>
      <c r="G96" s="421">
        <v>0</v>
      </c>
      <c r="H96" s="421">
        <v>0</v>
      </c>
      <c r="I96" s="421">
        <v>0</v>
      </c>
      <c r="J96" s="421">
        <v>28.8847744791587</v>
      </c>
      <c r="K96" s="421">
        <v>27.390111238212</v>
      </c>
      <c r="L96" s="421">
        <v>0</v>
      </c>
      <c r="M96" s="421">
        <v>10.9493569082394</v>
      </c>
      <c r="N96" s="421">
        <v>0</v>
      </c>
      <c r="O96" s="421">
        <v>14.830688385513501</v>
      </c>
      <c r="P96" s="421">
        <v>0</v>
      </c>
      <c r="Q96" s="421">
        <v>-76.630571525577196</v>
      </c>
      <c r="R96" s="421">
        <v>0</v>
      </c>
      <c r="S96" s="429">
        <v>5.4243594855463497</v>
      </c>
      <c r="T96" s="412"/>
    </row>
    <row r="97" spans="2:20" ht="13.5">
      <c r="B97" s="412"/>
      <c r="C97" s="428" t="s">
        <v>352</v>
      </c>
      <c r="D97" s="421">
        <v>0</v>
      </c>
      <c r="E97" s="421">
        <v>0</v>
      </c>
      <c r="F97" s="421">
        <v>0</v>
      </c>
      <c r="G97" s="421">
        <v>0</v>
      </c>
      <c r="H97" s="421">
        <v>0</v>
      </c>
      <c r="I97" s="421">
        <v>0</v>
      </c>
      <c r="J97" s="421">
        <v>141.99486817496901</v>
      </c>
      <c r="K97" s="421">
        <v>0</v>
      </c>
      <c r="L97" s="421">
        <v>0</v>
      </c>
      <c r="M97" s="421">
        <v>-135.60509910709601</v>
      </c>
      <c r="N97" s="421">
        <v>0</v>
      </c>
      <c r="O97" s="421">
        <v>0</v>
      </c>
      <c r="P97" s="421">
        <v>0</v>
      </c>
      <c r="Q97" s="421">
        <v>0</v>
      </c>
      <c r="R97" s="421">
        <v>0</v>
      </c>
      <c r="S97" s="429">
        <v>6.3897690678736296</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117.67676767676799</v>
      </c>
      <c r="F99" s="421">
        <v>-116.5</v>
      </c>
      <c r="G99" s="421">
        <v>0</v>
      </c>
      <c r="H99" s="421">
        <v>0</v>
      </c>
      <c r="I99" s="421">
        <v>0</v>
      </c>
      <c r="J99" s="421">
        <v>0</v>
      </c>
      <c r="K99" s="421">
        <v>0</v>
      </c>
      <c r="L99" s="421">
        <v>0</v>
      </c>
      <c r="M99" s="421">
        <v>0</v>
      </c>
      <c r="N99" s="421">
        <v>0</v>
      </c>
      <c r="O99" s="421">
        <v>0</v>
      </c>
      <c r="P99" s="421">
        <v>0</v>
      </c>
      <c r="Q99" s="421">
        <v>0</v>
      </c>
      <c r="R99" s="421">
        <v>0</v>
      </c>
      <c r="S99" s="429">
        <v>1.17676767676768</v>
      </c>
      <c r="T99" s="412"/>
    </row>
    <row r="100" spans="2:20" ht="13.5">
      <c r="B100" s="412"/>
      <c r="C100" s="428" t="s">
        <v>354</v>
      </c>
      <c r="D100" s="421">
        <v>0</v>
      </c>
      <c r="E100" s="421">
        <v>0</v>
      </c>
      <c r="F100" s="421">
        <v>0</v>
      </c>
      <c r="G100" s="421">
        <v>0</v>
      </c>
      <c r="H100" s="421">
        <v>0</v>
      </c>
      <c r="I100" s="421">
        <v>0</v>
      </c>
      <c r="J100" s="421">
        <v>92.683321682724895</v>
      </c>
      <c r="K100" s="421">
        <v>0</v>
      </c>
      <c r="L100" s="421">
        <v>-92.683321682724895</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-30.7160392407107</v>
      </c>
      <c r="M101" s="421">
        <v>0</v>
      </c>
      <c r="N101" s="421">
        <v>0</v>
      </c>
      <c r="O101" s="421">
        <v>0</v>
      </c>
      <c r="P101" s="421">
        <v>0</v>
      </c>
      <c r="Q101" s="421">
        <v>0</v>
      </c>
      <c r="R101" s="421">
        <v>43.880056058158097</v>
      </c>
      <c r="S101" s="429">
        <v>13.164016817447401</v>
      </c>
      <c r="T101" s="412"/>
    </row>
    <row r="102" spans="2:20" ht="13.5">
      <c r="B102" s="412"/>
      <c r="C102" s="428" t="s">
        <v>73</v>
      </c>
      <c r="D102" s="421">
        <v>0</v>
      </c>
      <c r="E102" s="421">
        <v>0</v>
      </c>
      <c r="F102" s="421">
        <v>0</v>
      </c>
      <c r="G102" s="421">
        <v>0</v>
      </c>
      <c r="H102" s="421">
        <v>0</v>
      </c>
      <c r="I102" s="421">
        <v>0</v>
      </c>
      <c r="J102" s="421">
        <v>0</v>
      </c>
      <c r="K102" s="421">
        <v>1.25759601218096</v>
      </c>
      <c r="L102" s="421">
        <v>0</v>
      </c>
      <c r="M102" s="421">
        <v>0</v>
      </c>
      <c r="N102" s="421">
        <v>0</v>
      </c>
      <c r="O102" s="421">
        <v>0</v>
      </c>
      <c r="P102" s="421">
        <v>121.043616172417</v>
      </c>
      <c r="Q102" s="421">
        <v>0</v>
      </c>
      <c r="R102" s="421">
        <v>-88.031720852667107</v>
      </c>
      <c r="S102" s="429">
        <v>34.2694913319311</v>
      </c>
      <c r="T102" s="412"/>
    </row>
    <row r="103" spans="2:20" ht="13.5">
      <c r="B103" s="412"/>
      <c r="C103" s="428" t="s">
        <v>356</v>
      </c>
      <c r="D103" s="421">
        <v>0.72303211975097703</v>
      </c>
      <c r="E103" s="421">
        <v>-4.0774999999999997</v>
      </c>
      <c r="F103" s="421">
        <v>5.3331291616343899</v>
      </c>
      <c r="G103" s="421">
        <v>0</v>
      </c>
      <c r="H103" s="421">
        <v>0</v>
      </c>
      <c r="I103" s="421">
        <v>0</v>
      </c>
      <c r="J103" s="421">
        <v>0</v>
      </c>
      <c r="K103" s="421">
        <v>0</v>
      </c>
      <c r="L103" s="421">
        <v>0</v>
      </c>
      <c r="M103" s="421">
        <v>0</v>
      </c>
      <c r="N103" s="421">
        <v>0</v>
      </c>
      <c r="O103" s="421">
        <v>0</v>
      </c>
      <c r="P103" s="421">
        <v>0</v>
      </c>
      <c r="Q103" s="421">
        <v>0</v>
      </c>
      <c r="R103" s="421">
        <v>0</v>
      </c>
      <c r="S103" s="429">
        <v>1.9786612813853699</v>
      </c>
      <c r="T103" s="412"/>
    </row>
    <row r="104" spans="2:20" ht="13.5">
      <c r="B104" s="412"/>
      <c r="C104" s="428" t="s">
        <v>75</v>
      </c>
      <c r="D104" s="421">
        <v>1.73775830078125</v>
      </c>
      <c r="E104" s="421">
        <v>0</v>
      </c>
      <c r="F104" s="421">
        <v>16.370387999999998</v>
      </c>
      <c r="G104" s="421">
        <v>0</v>
      </c>
      <c r="H104" s="421">
        <v>0</v>
      </c>
      <c r="I104" s="421">
        <v>0</v>
      </c>
      <c r="J104" s="421">
        <v>0</v>
      </c>
      <c r="K104" s="421">
        <v>0</v>
      </c>
      <c r="L104" s="421">
        <v>0</v>
      </c>
      <c r="M104" s="421">
        <v>4.7666718000000001</v>
      </c>
      <c r="N104" s="421">
        <v>0</v>
      </c>
      <c r="O104" s="421">
        <v>0</v>
      </c>
      <c r="P104" s="421">
        <v>36.566363636363597</v>
      </c>
      <c r="Q104" s="421">
        <v>0</v>
      </c>
      <c r="R104" s="421">
        <v>0</v>
      </c>
      <c r="S104" s="429">
        <v>59.441181737144902</v>
      </c>
      <c r="T104" s="412"/>
    </row>
    <row r="105" spans="2:20" ht="13.5">
      <c r="B105" s="412"/>
      <c r="C105" s="428" t="s">
        <v>76</v>
      </c>
      <c r="D105" s="421">
        <v>0</v>
      </c>
      <c r="E105" s="421">
        <v>0</v>
      </c>
      <c r="F105" s="421">
        <v>0</v>
      </c>
      <c r="G105" s="421">
        <v>0</v>
      </c>
      <c r="H105" s="421">
        <v>0</v>
      </c>
      <c r="I105" s="421">
        <v>0</v>
      </c>
      <c r="J105" s="421">
        <v>0</v>
      </c>
      <c r="K105" s="421">
        <v>0</v>
      </c>
      <c r="L105" s="421">
        <v>0</v>
      </c>
      <c r="M105" s="421">
        <v>1.6079656020604201</v>
      </c>
      <c r="N105" s="421">
        <v>0</v>
      </c>
      <c r="O105" s="421">
        <v>0</v>
      </c>
      <c r="P105" s="421">
        <v>54.591518299293803</v>
      </c>
      <c r="Q105" s="421">
        <v>5.9381623691406702</v>
      </c>
      <c r="R105" s="421">
        <v>0</v>
      </c>
      <c r="S105" s="429">
        <v>62.137646270494898</v>
      </c>
      <c r="T105" s="412"/>
    </row>
    <row r="106" spans="2:20" ht="13.5">
      <c r="B106" s="412"/>
      <c r="C106" s="424" t="s">
        <v>77</v>
      </c>
      <c r="D106" s="425">
        <v>2.4607904205322302</v>
      </c>
      <c r="E106" s="425">
        <v>113.59926767676799</v>
      </c>
      <c r="F106" s="425">
        <v>-94.796482838365606</v>
      </c>
      <c r="G106" s="425">
        <v>0</v>
      </c>
      <c r="H106" s="425">
        <v>764.84848484848499</v>
      </c>
      <c r="I106" s="425">
        <v>419.9</v>
      </c>
      <c r="J106" s="425">
        <v>278.40004135893099</v>
      </c>
      <c r="K106" s="425">
        <v>32.947505975225198</v>
      </c>
      <c r="L106" s="425">
        <v>-123.39936092343601</v>
      </c>
      <c r="M106" s="425">
        <v>-117.614438130129</v>
      </c>
      <c r="N106" s="425">
        <v>0</v>
      </c>
      <c r="O106" s="425">
        <v>14.830688385513501</v>
      </c>
      <c r="P106" s="425">
        <v>-470.29850189192501</v>
      </c>
      <c r="Q106" s="425">
        <v>-70.692409156436597</v>
      </c>
      <c r="R106" s="425">
        <v>-40.401664794509003</v>
      </c>
      <c r="S106" s="425">
        <v>709.78392093065395</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1.79989703190501</v>
      </c>
      <c r="E108" s="421">
        <v>0</v>
      </c>
      <c r="F108" s="421">
        <v>5.22589106512674E-2</v>
      </c>
      <c r="G108" s="421">
        <v>0</v>
      </c>
      <c r="H108" s="421">
        <v>0</v>
      </c>
      <c r="I108" s="421">
        <v>0</v>
      </c>
      <c r="J108" s="421">
        <v>13.331842727893299</v>
      </c>
      <c r="K108" s="421">
        <v>4.1186114199060402</v>
      </c>
      <c r="L108" s="421">
        <v>8.3494072265624997</v>
      </c>
      <c r="M108" s="421">
        <v>63.939809293815799</v>
      </c>
      <c r="N108" s="421">
        <v>0</v>
      </c>
      <c r="O108" s="421">
        <v>0</v>
      </c>
      <c r="P108" s="421">
        <v>150.76353147926901</v>
      </c>
      <c r="Q108" s="421">
        <v>27.157242806109199</v>
      </c>
      <c r="R108" s="421">
        <v>8.9542294921874994</v>
      </c>
      <c r="S108" s="429">
        <v>278.46683038830002</v>
      </c>
      <c r="T108" s="412"/>
    </row>
    <row r="109" spans="2:20" ht="13.5">
      <c r="B109" s="412"/>
      <c r="C109" s="428" t="s">
        <v>79</v>
      </c>
      <c r="D109" s="421">
        <v>0</v>
      </c>
      <c r="E109" s="421">
        <v>0</v>
      </c>
      <c r="F109" s="421">
        <v>2.1712429478419102</v>
      </c>
      <c r="G109" s="421">
        <v>0</v>
      </c>
      <c r="H109" s="421">
        <v>0</v>
      </c>
      <c r="I109" s="421">
        <v>0</v>
      </c>
      <c r="J109" s="421">
        <v>0</v>
      </c>
      <c r="K109" s="421">
        <v>0</v>
      </c>
      <c r="L109" s="421">
        <v>12.7882726969122</v>
      </c>
      <c r="M109" s="421">
        <v>24.887279738493302</v>
      </c>
      <c r="N109" s="421">
        <v>0</v>
      </c>
      <c r="O109" s="421">
        <v>0</v>
      </c>
      <c r="P109" s="421">
        <v>92.289301413656304</v>
      </c>
      <c r="Q109" s="421">
        <v>0</v>
      </c>
      <c r="R109" s="421">
        <v>7.1149935986121697</v>
      </c>
      <c r="S109" s="429">
        <v>139.251090395516</v>
      </c>
      <c r="T109" s="412"/>
    </row>
    <row r="110" spans="2:20" ht="13.5">
      <c r="B110" s="412"/>
      <c r="C110" s="428" t="s">
        <v>80</v>
      </c>
      <c r="D110" s="421">
        <v>0</v>
      </c>
      <c r="E110" s="421">
        <v>0</v>
      </c>
      <c r="F110" s="421">
        <v>0.35468706008189399</v>
      </c>
      <c r="G110" s="421">
        <v>0</v>
      </c>
      <c r="H110" s="421">
        <v>0</v>
      </c>
      <c r="I110" s="421">
        <v>0</v>
      </c>
      <c r="J110" s="421">
        <v>47.9682238056754</v>
      </c>
      <c r="K110" s="421">
        <v>0</v>
      </c>
      <c r="L110" s="421">
        <v>0</v>
      </c>
      <c r="M110" s="421">
        <v>17.598271269670001</v>
      </c>
      <c r="N110" s="421">
        <v>106.862728555422</v>
      </c>
      <c r="O110" s="421">
        <v>3.7519530039459799</v>
      </c>
      <c r="P110" s="421">
        <v>134.324841663434</v>
      </c>
      <c r="Q110" s="421">
        <v>28.562960275021499</v>
      </c>
      <c r="R110" s="421">
        <v>0</v>
      </c>
      <c r="S110" s="429">
        <v>339.42366563325101</v>
      </c>
      <c r="T110" s="412"/>
    </row>
    <row r="111" spans="2:20" ht="13.5">
      <c r="B111" s="412"/>
      <c r="C111" s="428" t="s">
        <v>81</v>
      </c>
      <c r="D111" s="421">
        <v>0</v>
      </c>
      <c r="E111" s="421">
        <v>0</v>
      </c>
      <c r="F111" s="421">
        <v>1.3910064361048399E-2</v>
      </c>
      <c r="G111" s="421">
        <v>0</v>
      </c>
      <c r="H111" s="421">
        <v>0</v>
      </c>
      <c r="I111" s="421">
        <v>0</v>
      </c>
      <c r="J111" s="421">
        <v>6.5361621549849502</v>
      </c>
      <c r="K111" s="421">
        <v>0</v>
      </c>
      <c r="L111" s="421">
        <v>0</v>
      </c>
      <c r="M111" s="421">
        <v>5.4198008615464897</v>
      </c>
      <c r="N111" s="421">
        <v>15.069021727073199</v>
      </c>
      <c r="O111" s="421">
        <v>1.4344248188770199</v>
      </c>
      <c r="P111" s="421">
        <v>109.143617899049</v>
      </c>
      <c r="Q111" s="421">
        <v>14.972206075305801</v>
      </c>
      <c r="R111" s="421">
        <v>0</v>
      </c>
      <c r="S111" s="429">
        <v>152.589143601198</v>
      </c>
      <c r="T111" s="412"/>
    </row>
    <row r="112" spans="2:20" ht="13.5">
      <c r="B112" s="412"/>
      <c r="C112" s="428" t="s">
        <v>82</v>
      </c>
      <c r="D112" s="421">
        <v>0</v>
      </c>
      <c r="E112" s="421">
        <v>0</v>
      </c>
      <c r="F112" s="421">
        <v>0</v>
      </c>
      <c r="G112" s="421">
        <v>0</v>
      </c>
      <c r="H112" s="421">
        <v>0</v>
      </c>
      <c r="I112" s="421">
        <v>0</v>
      </c>
      <c r="J112" s="421">
        <v>5.0054618408177598</v>
      </c>
      <c r="K112" s="421">
        <v>0</v>
      </c>
      <c r="L112" s="421">
        <v>18.815796579352799</v>
      </c>
      <c r="M112" s="421">
        <v>0.65554734743876097</v>
      </c>
      <c r="N112" s="421">
        <v>0</v>
      </c>
      <c r="O112" s="421">
        <v>2.1874070050904901</v>
      </c>
      <c r="P112" s="421">
        <v>5.5978638718802802</v>
      </c>
      <c r="Q112" s="421">
        <v>0</v>
      </c>
      <c r="R112" s="421">
        <v>0.443393311842667</v>
      </c>
      <c r="S112" s="429">
        <v>32.705469956422696</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8</v>
      </c>
      <c r="Q113" s="421">
        <v>0</v>
      </c>
      <c r="R113" s="421">
        <v>0</v>
      </c>
      <c r="S113" s="429">
        <v>8</v>
      </c>
      <c r="T113" s="412"/>
    </row>
    <row r="114" spans="2:20" ht="13.5">
      <c r="B114" s="412"/>
      <c r="C114" s="424" t="s">
        <v>83</v>
      </c>
      <c r="D114" s="425">
        <v>1.79989703190501</v>
      </c>
      <c r="E114" s="425">
        <v>0</v>
      </c>
      <c r="F114" s="425">
        <v>2.5920989829361201</v>
      </c>
      <c r="G114" s="425">
        <v>0</v>
      </c>
      <c r="H114" s="425">
        <v>0</v>
      </c>
      <c r="I114" s="425">
        <v>0</v>
      </c>
      <c r="J114" s="425">
        <v>72.841690529371405</v>
      </c>
      <c r="K114" s="425">
        <v>4.1186114199060402</v>
      </c>
      <c r="L114" s="425">
        <v>39.953476502827499</v>
      </c>
      <c r="M114" s="425">
        <v>112.500708510964</v>
      </c>
      <c r="N114" s="425">
        <v>121.931750282495</v>
      </c>
      <c r="O114" s="425">
        <v>7.3737848279134903</v>
      </c>
      <c r="P114" s="425">
        <v>500.11915632728898</v>
      </c>
      <c r="Q114" s="425">
        <v>70.692409156436497</v>
      </c>
      <c r="R114" s="425">
        <v>16.512616402642301</v>
      </c>
      <c r="S114" s="425">
        <v>950.43619997468704</v>
      </c>
      <c r="T114" s="412"/>
    </row>
    <row r="115" spans="2:20" ht="13.5">
      <c r="B115" s="412"/>
      <c r="C115" s="420" t="s">
        <v>84</v>
      </c>
      <c r="D115" s="421">
        <v>0.11915305480957</v>
      </c>
      <c r="E115" s="421">
        <v>0</v>
      </c>
      <c r="F115" s="421">
        <v>61.1470679855287</v>
      </c>
      <c r="G115" s="421">
        <v>3.6153613407475298</v>
      </c>
      <c r="H115" s="421">
        <v>0</v>
      </c>
      <c r="I115" s="421">
        <v>0</v>
      </c>
      <c r="J115" s="421">
        <v>0</v>
      </c>
      <c r="K115" s="421">
        <v>0</v>
      </c>
      <c r="L115" s="421">
        <v>30.1084320007324</v>
      </c>
      <c r="M115" s="421">
        <v>0</v>
      </c>
      <c r="N115" s="421">
        <v>0</v>
      </c>
      <c r="O115" s="421">
        <v>0</v>
      </c>
      <c r="P115" s="421">
        <v>0</v>
      </c>
      <c r="Q115" s="421">
        <v>0</v>
      </c>
      <c r="R115" s="421">
        <v>20.5435542449951</v>
      </c>
      <c r="S115" s="429">
        <v>115.53356862681299</v>
      </c>
      <c r="T115" s="412"/>
    </row>
    <row r="116" spans="2:20" ht="13.5">
      <c r="B116" s="412"/>
      <c r="C116" s="424" t="s">
        <v>85</v>
      </c>
      <c r="D116" s="425">
        <v>1.9190500867145801</v>
      </c>
      <c r="E116" s="425">
        <v>0</v>
      </c>
      <c r="F116" s="425">
        <v>63.7391669684649</v>
      </c>
      <c r="G116" s="425">
        <v>3.6153613407475298</v>
      </c>
      <c r="H116" s="425">
        <v>0</v>
      </c>
      <c r="I116" s="425">
        <v>0</v>
      </c>
      <c r="J116" s="425">
        <v>72.841690529371405</v>
      </c>
      <c r="K116" s="425">
        <v>4.1186114199060402</v>
      </c>
      <c r="L116" s="425">
        <v>70.061908503559906</v>
      </c>
      <c r="M116" s="425">
        <v>112.500708510964</v>
      </c>
      <c r="N116" s="425">
        <v>121.931750282495</v>
      </c>
      <c r="O116" s="425">
        <v>7.3737848279134903</v>
      </c>
      <c r="P116" s="425">
        <v>500.11915632728898</v>
      </c>
      <c r="Q116" s="425">
        <v>70.692409156436497</v>
      </c>
      <c r="R116" s="425">
        <v>37.056170647637501</v>
      </c>
      <c r="S116" s="425">
        <v>1065.9697686014999</v>
      </c>
      <c r="T116" s="412"/>
    </row>
    <row r="117" spans="2:20">
      <c r="B117" s="412"/>
      <c r="C117" s="412"/>
      <c r="D117" s="430">
        <f t="shared" ref="D117:S117" si="2">D116+D106-D92</f>
        <v>1.0658141036401503E-14</v>
      </c>
      <c r="E117" s="430">
        <f t="shared" si="2"/>
        <v>0</v>
      </c>
      <c r="F117" s="430">
        <f t="shared" si="2"/>
        <v>9.5923269327613525E-14</v>
      </c>
      <c r="G117" s="430">
        <f t="shared" si="2"/>
        <v>0</v>
      </c>
      <c r="H117" s="430">
        <f t="shared" si="2"/>
        <v>0</v>
      </c>
      <c r="I117" s="430">
        <f t="shared" si="2"/>
        <v>0</v>
      </c>
      <c r="J117" s="430">
        <f t="shared" si="2"/>
        <v>0</v>
      </c>
      <c r="K117" s="430">
        <f t="shared" si="2"/>
        <v>0</v>
      </c>
      <c r="L117" s="430">
        <f t="shared" si="2"/>
        <v>-3.979039320256561E-13</v>
      </c>
      <c r="M117" s="430">
        <f t="shared" si="2"/>
        <v>-1.9984014443252818E-13</v>
      </c>
      <c r="N117" s="430">
        <f t="shared" si="2"/>
        <v>0</v>
      </c>
      <c r="O117" s="430">
        <f t="shared" si="2"/>
        <v>0</v>
      </c>
      <c r="P117" s="430">
        <f t="shared" si="2"/>
        <v>-1.3855583347321954E-13</v>
      </c>
      <c r="Q117" s="430">
        <f t="shared" si="2"/>
        <v>-9.9475983006414026E-14</v>
      </c>
      <c r="R117" s="430">
        <f t="shared" si="2"/>
        <v>7.815970093361102E-14</v>
      </c>
      <c r="S117" s="430">
        <f t="shared" si="2"/>
        <v>3.865352482534945E-12</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sheetData>
  <mergeCells count="36">
    <mergeCell ref="S84:S85"/>
    <mergeCell ref="C84:C85"/>
    <mergeCell ref="D84:D85"/>
    <mergeCell ref="E84:E85"/>
    <mergeCell ref="F84:F85"/>
    <mergeCell ref="G84:G85"/>
    <mergeCell ref="H84:H85"/>
    <mergeCell ref="I84:I85"/>
    <mergeCell ref="J84:O84"/>
    <mergeCell ref="P84:P85"/>
    <mergeCell ref="Q84:Q85"/>
    <mergeCell ref="R84:R85"/>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91:S93 S106:S114">
    <cfRule type="cellIs" dxfId="1795" priority="1" operator="equal">
      <formula>0</formula>
    </cfRule>
  </conditionalFormatting>
  <conditionalFormatting sqref="S106">
    <cfRule type="expression" dxfId="1794" priority="2">
      <formula>LEN(TRIM(S106))=0</formula>
    </cfRule>
  </conditionalFormatting>
  <conditionalFormatting sqref="J11:N11">
    <cfRule type="cellIs" dxfId="1793" priority="42" operator="equal">
      <formula>0</formula>
    </cfRule>
  </conditionalFormatting>
  <conditionalFormatting sqref="O11">
    <cfRule type="cellIs" dxfId="1792" priority="43" operator="equal">
      <formula>0</formula>
    </cfRule>
  </conditionalFormatting>
  <conditionalFormatting sqref="S42 S12:S40">
    <cfRule type="cellIs" dxfId="1791" priority="44" operator="equal">
      <formula>0</formula>
    </cfRule>
  </conditionalFormatting>
  <conditionalFormatting sqref="S41">
    <cfRule type="cellIs" dxfId="1790" priority="45" operator="equal">
      <formula>0</formula>
    </cfRule>
  </conditionalFormatting>
  <conditionalFormatting sqref="S34:S42 S12:S18 S20:S32">
    <cfRule type="expression" dxfId="1789" priority="46">
      <formula>LEN(TRIM(S12))=0</formula>
    </cfRule>
  </conditionalFormatting>
  <conditionalFormatting sqref="D42:R42 P33:R33 D33:I33 D34:R40 D32:R32 D13:R19 D12:G12 L12:M12 P12:R12">
    <cfRule type="cellIs" dxfId="1788" priority="47" operator="equal">
      <formula>0</formula>
    </cfRule>
  </conditionalFormatting>
  <conditionalFormatting sqref="P12:P14">
    <cfRule type="cellIs" dxfId="1787" priority="48" operator="equal">
      <formula>0</formula>
    </cfRule>
  </conditionalFormatting>
  <conditionalFormatting sqref="P12:R12 L12:M12 D13:R14">
    <cfRule type="cellIs" dxfId="1786" priority="49" operator="equal">
      <formula>0</formula>
    </cfRule>
  </conditionalFormatting>
  <conditionalFormatting sqref="F13:F14">
    <cfRule type="cellIs" dxfId="1785" priority="50" operator="equal">
      <formula>0</formula>
    </cfRule>
  </conditionalFormatting>
  <conditionalFormatting sqref="L12:M12">
    <cfRule type="cellIs" dxfId="1784" priority="51" operator="equal">
      <formula>0</formula>
    </cfRule>
  </conditionalFormatting>
  <conditionalFormatting sqref="J15:J17 J33">
    <cfRule type="cellIs" dxfId="1783" priority="52" operator="equal">
      <formula>0</formula>
    </cfRule>
  </conditionalFormatting>
  <conditionalFormatting sqref="J13:J14">
    <cfRule type="cellIs" dxfId="1782" priority="53" operator="equal">
      <formula>0</formula>
    </cfRule>
  </conditionalFormatting>
  <conditionalFormatting sqref="K15:K17 K33">
    <cfRule type="cellIs" dxfId="1781" priority="54" operator="equal">
      <formula>0</formula>
    </cfRule>
  </conditionalFormatting>
  <conditionalFormatting sqref="K13:K14">
    <cfRule type="cellIs" dxfId="1780" priority="55" operator="equal">
      <formula>0</formula>
    </cfRule>
  </conditionalFormatting>
  <conditionalFormatting sqref="L15:L17 L33">
    <cfRule type="cellIs" dxfId="1779" priority="56" operator="equal">
      <formula>0</formula>
    </cfRule>
  </conditionalFormatting>
  <conditionalFormatting sqref="L12:L14">
    <cfRule type="cellIs" dxfId="1778" priority="57" operator="equal">
      <formula>0</formula>
    </cfRule>
  </conditionalFormatting>
  <conditionalFormatting sqref="M15:M17 M33">
    <cfRule type="cellIs" dxfId="1777" priority="58" operator="equal">
      <formula>0</formula>
    </cfRule>
  </conditionalFormatting>
  <conditionalFormatting sqref="M12:M14">
    <cfRule type="cellIs" dxfId="1776" priority="59" operator="equal">
      <formula>0</formula>
    </cfRule>
  </conditionalFormatting>
  <conditionalFormatting sqref="N15:N17 N33">
    <cfRule type="cellIs" dxfId="1775" priority="60" operator="equal">
      <formula>0</formula>
    </cfRule>
  </conditionalFormatting>
  <conditionalFormatting sqref="N13:N14">
    <cfRule type="cellIs" dxfId="1774" priority="61" operator="equal">
      <formula>0</formula>
    </cfRule>
  </conditionalFormatting>
  <conditionalFormatting sqref="O15:O17 O33">
    <cfRule type="cellIs" dxfId="1773" priority="62" operator="equal">
      <formula>0</formula>
    </cfRule>
  </conditionalFormatting>
  <conditionalFormatting sqref="O13:O14">
    <cfRule type="cellIs" dxfId="1772" priority="63" operator="equal">
      <formula>0</formula>
    </cfRule>
  </conditionalFormatting>
  <conditionalFormatting sqref="D41:R41">
    <cfRule type="cellIs" dxfId="1771" priority="64" operator="equal">
      <formula>0</formula>
    </cfRule>
  </conditionalFormatting>
  <conditionalFormatting sqref="D34:R42 D32:R32 D13:R18 D12:G12 L12:M12 P12:R12">
    <cfRule type="expression" dxfId="1770" priority="65">
      <formula>LEN(TRIM(D12))=0</formula>
    </cfRule>
  </conditionalFormatting>
  <conditionalFormatting sqref="D41:R41">
    <cfRule type="cellIs" dxfId="1769" priority="66" operator="equal">
      <formula>0</formula>
    </cfRule>
  </conditionalFormatting>
  <conditionalFormatting sqref="L15:L16">
    <cfRule type="cellIs" dxfId="1768" priority="67" operator="equal">
      <formula>0</formula>
    </cfRule>
  </conditionalFormatting>
  <conditionalFormatting sqref="M15:M16">
    <cfRule type="cellIs" dxfId="1767" priority="68" operator="equal">
      <formula>0</formula>
    </cfRule>
  </conditionalFormatting>
  <conditionalFormatting sqref="N15:O15">
    <cfRule type="cellIs" dxfId="1766" priority="69" operator="equal">
      <formula>0</formula>
    </cfRule>
  </conditionalFormatting>
  <conditionalFormatting sqref="N16:O16">
    <cfRule type="cellIs" dxfId="1765" priority="70" operator="equal">
      <formula>0</formula>
    </cfRule>
  </conditionalFormatting>
  <conditionalFormatting sqref="D20:R31">
    <cfRule type="cellIs" dxfId="1764" priority="71" operator="equal">
      <formula>0</formula>
    </cfRule>
  </conditionalFormatting>
  <conditionalFormatting sqref="D20:R31">
    <cfRule type="expression" dxfId="1763" priority="72">
      <formula>LEN(TRIM(D20))=0</formula>
    </cfRule>
  </conditionalFormatting>
  <conditionalFormatting sqref="H12">
    <cfRule type="cellIs" dxfId="1762" priority="73" operator="equal">
      <formula>0</formula>
    </cfRule>
  </conditionalFormatting>
  <conditionalFormatting sqref="I12">
    <cfRule type="cellIs" dxfId="1761" priority="74" operator="equal">
      <formula>0</formula>
    </cfRule>
  </conditionalFormatting>
  <conditionalFormatting sqref="J12:K12">
    <cfRule type="cellIs" dxfId="1760" priority="75" operator="equal">
      <formula>0</formula>
    </cfRule>
  </conditionalFormatting>
  <conditionalFormatting sqref="K12">
    <cfRule type="cellIs" dxfId="1759" priority="76" operator="equal">
      <formula>0</formula>
    </cfRule>
  </conditionalFormatting>
  <conditionalFormatting sqref="H12:K12">
    <cfRule type="expression" dxfId="1758" priority="77">
      <formula>LEN(TRIM(H12))=0</formula>
    </cfRule>
  </conditionalFormatting>
  <conditionalFormatting sqref="N12:O12">
    <cfRule type="cellIs" dxfId="1757" priority="78" operator="equal">
      <formula>0</formula>
    </cfRule>
  </conditionalFormatting>
  <conditionalFormatting sqref="N12:O12">
    <cfRule type="cellIs" dxfId="1756" priority="79" operator="equal">
      <formula>0</formula>
    </cfRule>
  </conditionalFormatting>
  <conditionalFormatting sqref="N12:O12">
    <cfRule type="expression" dxfId="1755" priority="80">
      <formula>LEN(TRIM(N12))=0</formula>
    </cfRule>
  </conditionalFormatting>
  <conditionalFormatting sqref="J48:N48">
    <cfRule type="cellIs" dxfId="1754" priority="81" operator="equal">
      <formula>0</formula>
    </cfRule>
  </conditionalFormatting>
  <conditionalFormatting sqref="O48">
    <cfRule type="cellIs" dxfId="1753" priority="82" operator="equal">
      <formula>0</formula>
    </cfRule>
  </conditionalFormatting>
  <conditionalFormatting sqref="S79 S49:S77">
    <cfRule type="cellIs" dxfId="1752" priority="83" operator="equal">
      <formula>0</formula>
    </cfRule>
  </conditionalFormatting>
  <conditionalFormatting sqref="S78">
    <cfRule type="cellIs" dxfId="1751" priority="84" operator="equal">
      <formula>0</formula>
    </cfRule>
  </conditionalFormatting>
  <conditionalFormatting sqref="S71:S79 S49:S55 S57:S69">
    <cfRule type="expression" dxfId="1750" priority="85">
      <formula>LEN(TRIM(S49))=0</formula>
    </cfRule>
  </conditionalFormatting>
  <conditionalFormatting sqref="D79:R79 P70:R70 D70:I70 D71:R77 D69:R69 D50:R56 D49:G49 L49:M49 P49:R49">
    <cfRule type="cellIs" dxfId="1749" priority="86" operator="equal">
      <formula>0</formula>
    </cfRule>
  </conditionalFormatting>
  <conditionalFormatting sqref="P49:P51">
    <cfRule type="cellIs" dxfId="1748" priority="87" operator="equal">
      <formula>0</formula>
    </cfRule>
  </conditionalFormatting>
  <conditionalFormatting sqref="P49:R49 L49:M49 D50:R51">
    <cfRule type="cellIs" dxfId="1747" priority="88" operator="equal">
      <formula>0</formula>
    </cfRule>
  </conditionalFormatting>
  <conditionalFormatting sqref="F50:F51">
    <cfRule type="cellIs" dxfId="1746" priority="89" operator="equal">
      <formula>0</formula>
    </cfRule>
  </conditionalFormatting>
  <conditionalFormatting sqref="L49:M49">
    <cfRule type="cellIs" dxfId="1745" priority="90" operator="equal">
      <formula>0</formula>
    </cfRule>
  </conditionalFormatting>
  <conditionalFormatting sqref="J52:J54 J70">
    <cfRule type="cellIs" dxfId="1744" priority="91" operator="equal">
      <formula>0</formula>
    </cfRule>
  </conditionalFormatting>
  <conditionalFormatting sqref="J50:J51">
    <cfRule type="cellIs" dxfId="1743" priority="92" operator="equal">
      <formula>0</formula>
    </cfRule>
  </conditionalFormatting>
  <conditionalFormatting sqref="K52:K54 K70">
    <cfRule type="cellIs" dxfId="1742" priority="93" operator="equal">
      <formula>0</formula>
    </cfRule>
  </conditionalFormatting>
  <conditionalFormatting sqref="K50:K51">
    <cfRule type="cellIs" dxfId="1741" priority="94" operator="equal">
      <formula>0</formula>
    </cfRule>
  </conditionalFormatting>
  <conditionalFormatting sqref="L52:L54 L70">
    <cfRule type="cellIs" dxfId="1740" priority="95" operator="equal">
      <formula>0</formula>
    </cfRule>
  </conditionalFormatting>
  <conditionalFormatting sqref="L49:L51">
    <cfRule type="cellIs" dxfId="1739" priority="96" operator="equal">
      <formula>0</formula>
    </cfRule>
  </conditionalFormatting>
  <conditionalFormatting sqref="M52:M54 M70">
    <cfRule type="cellIs" dxfId="1738" priority="97" operator="equal">
      <formula>0</formula>
    </cfRule>
  </conditionalFormatting>
  <conditionalFormatting sqref="M49:M51">
    <cfRule type="cellIs" dxfId="1737" priority="98" operator="equal">
      <formula>0</formula>
    </cfRule>
  </conditionalFormatting>
  <conditionalFormatting sqref="N52:N54 N70">
    <cfRule type="cellIs" dxfId="1736" priority="99" operator="equal">
      <formula>0</formula>
    </cfRule>
  </conditionalFormatting>
  <conditionalFormatting sqref="N50:N51">
    <cfRule type="cellIs" dxfId="1735" priority="100" operator="equal">
      <formula>0</formula>
    </cfRule>
  </conditionalFormatting>
  <conditionalFormatting sqref="O52:O54 O70">
    <cfRule type="cellIs" dxfId="1734" priority="101" operator="equal">
      <formula>0</formula>
    </cfRule>
  </conditionalFormatting>
  <conditionalFormatting sqref="O50:O51">
    <cfRule type="cellIs" dxfId="1733" priority="102" operator="equal">
      <formula>0</formula>
    </cfRule>
  </conditionalFormatting>
  <conditionalFormatting sqref="D78:R78">
    <cfRule type="cellIs" dxfId="1732" priority="103" operator="equal">
      <formula>0</formula>
    </cfRule>
  </conditionalFormatting>
  <conditionalFormatting sqref="D71:R79 D69:R69 D50:R55 D49:G49 L49:M49 P49:R49">
    <cfRule type="expression" dxfId="1731" priority="104">
      <formula>LEN(TRIM(D49))=0</formula>
    </cfRule>
  </conditionalFormatting>
  <conditionalFormatting sqref="D78:R78">
    <cfRule type="cellIs" dxfId="1730" priority="105" operator="equal">
      <formula>0</formula>
    </cfRule>
  </conditionalFormatting>
  <conditionalFormatting sqref="L52:L53">
    <cfRule type="cellIs" dxfId="1729" priority="106" operator="equal">
      <formula>0</formula>
    </cfRule>
  </conditionalFormatting>
  <conditionalFormatting sqref="M52:M53">
    <cfRule type="cellIs" dxfId="1728" priority="107" operator="equal">
      <formula>0</formula>
    </cfRule>
  </conditionalFormatting>
  <conditionalFormatting sqref="N52:O52">
    <cfRule type="cellIs" dxfId="1727" priority="108" operator="equal">
      <formula>0</formula>
    </cfRule>
  </conditionalFormatting>
  <conditionalFormatting sqref="N53:O53">
    <cfRule type="cellIs" dxfId="1726" priority="109" operator="equal">
      <formula>0</formula>
    </cfRule>
  </conditionalFormatting>
  <conditionalFormatting sqref="D57:R68">
    <cfRule type="cellIs" dxfId="1725" priority="110" operator="equal">
      <formula>0</formula>
    </cfRule>
  </conditionalFormatting>
  <conditionalFormatting sqref="D57:R68">
    <cfRule type="expression" dxfId="1724" priority="111">
      <formula>LEN(TRIM(D57))=0</formula>
    </cfRule>
  </conditionalFormatting>
  <conditionalFormatting sqref="H49">
    <cfRule type="cellIs" dxfId="1723" priority="112" operator="equal">
      <formula>0</formula>
    </cfRule>
  </conditionalFormatting>
  <conditionalFormatting sqref="I49">
    <cfRule type="cellIs" dxfId="1722" priority="113" operator="equal">
      <formula>0</formula>
    </cfRule>
  </conditionalFormatting>
  <conditionalFormatting sqref="J49:K49">
    <cfRule type="cellIs" dxfId="1721" priority="114" operator="equal">
      <formula>0</formula>
    </cfRule>
  </conditionalFormatting>
  <conditionalFormatting sqref="K49">
    <cfRule type="cellIs" dxfId="1720" priority="115" operator="equal">
      <formula>0</formula>
    </cfRule>
  </conditionalFormatting>
  <conditionalFormatting sqref="H49:K49">
    <cfRule type="expression" dxfId="1719" priority="116">
      <formula>LEN(TRIM(H49))=0</formula>
    </cfRule>
  </conditionalFormatting>
  <conditionalFormatting sqref="N49:O49">
    <cfRule type="cellIs" dxfId="1718" priority="117" operator="equal">
      <formula>0</formula>
    </cfRule>
  </conditionalFormatting>
  <conditionalFormatting sqref="N49:O49">
    <cfRule type="cellIs" dxfId="1717" priority="118" operator="equal">
      <formula>0</formula>
    </cfRule>
  </conditionalFormatting>
  <conditionalFormatting sqref="N49:O49">
    <cfRule type="expression" dxfId="1716" priority="119">
      <formula>LEN(TRIM(N49))=0</formula>
    </cfRule>
  </conditionalFormatting>
  <conditionalFormatting sqref="J85:N85">
    <cfRule type="cellIs" dxfId="1715" priority="120" operator="equal">
      <formula>0</formula>
    </cfRule>
  </conditionalFormatting>
  <conditionalFormatting sqref="O85">
    <cfRule type="cellIs" dxfId="1714" priority="121" operator="equal">
      <formula>0</formula>
    </cfRule>
  </conditionalFormatting>
  <conditionalFormatting sqref="S116 S86:S88">
    <cfRule type="cellIs" dxfId="1713" priority="122" operator="equal">
      <formula>0</formula>
    </cfRule>
  </conditionalFormatting>
  <conditionalFormatting sqref="S115">
    <cfRule type="cellIs" dxfId="1712" priority="123" operator="equal">
      <formula>0</formula>
    </cfRule>
  </conditionalFormatting>
  <conditionalFormatting sqref="S108:S116 S86:S88 S91:S92">
    <cfRule type="expression" dxfId="1711" priority="124">
      <formula>LEN(TRIM(S86))=0</formula>
    </cfRule>
  </conditionalFormatting>
  <conditionalFormatting sqref="S89:S90">
    <cfRule type="cellIs" dxfId="1710" priority="125" operator="equal">
      <formula>0</formula>
    </cfRule>
  </conditionalFormatting>
  <conditionalFormatting sqref="S89:S90">
    <cfRule type="expression" dxfId="1709" priority="126">
      <formula>LEN(TRIM(S89))=0</formula>
    </cfRule>
  </conditionalFormatting>
  <conditionalFormatting sqref="S94:S105">
    <cfRule type="cellIs" dxfId="1708" priority="127" operator="equal">
      <formula>0</formula>
    </cfRule>
  </conditionalFormatting>
  <conditionalFormatting sqref="S94:S105">
    <cfRule type="expression" dxfId="1707" priority="128">
      <formula>LEN(TRIM(S94))=0</formula>
    </cfRule>
  </conditionalFormatting>
  <conditionalFormatting sqref="D116:R116 P107:R107 D107:I107 D108:R114 D106:R106 D87:R93 D86:G86 L86:M86 P86:R86">
    <cfRule type="cellIs" dxfId="1706" priority="129" operator="equal">
      <formula>0</formula>
    </cfRule>
  </conditionalFormatting>
  <conditionalFormatting sqref="P86:P88">
    <cfRule type="cellIs" dxfId="1705" priority="130" operator="equal">
      <formula>0</formula>
    </cfRule>
  </conditionalFormatting>
  <conditionalFormatting sqref="P86:R86 L86:M86 D87:R88">
    <cfRule type="cellIs" dxfId="1704" priority="131" operator="equal">
      <formula>0</formula>
    </cfRule>
  </conditionalFormatting>
  <conditionalFormatting sqref="F87:F88">
    <cfRule type="cellIs" dxfId="1703" priority="132" operator="equal">
      <formula>0</formula>
    </cfRule>
  </conditionalFormatting>
  <conditionalFormatting sqref="L86:M86">
    <cfRule type="cellIs" dxfId="1702" priority="133" operator="equal">
      <formula>0</formula>
    </cfRule>
  </conditionalFormatting>
  <conditionalFormatting sqref="J89:J91 J107">
    <cfRule type="cellIs" dxfId="1701" priority="134" operator="equal">
      <formula>0</formula>
    </cfRule>
  </conditionalFormatting>
  <conditionalFormatting sqref="J87:J88">
    <cfRule type="cellIs" dxfId="1700" priority="135" operator="equal">
      <formula>0</formula>
    </cfRule>
  </conditionalFormatting>
  <conditionalFormatting sqref="K89:K91 K107">
    <cfRule type="cellIs" dxfId="1699" priority="136" operator="equal">
      <formula>0</formula>
    </cfRule>
  </conditionalFormatting>
  <conditionalFormatting sqref="K87:K88">
    <cfRule type="cellIs" dxfId="1698" priority="137" operator="equal">
      <formula>0</formula>
    </cfRule>
  </conditionalFormatting>
  <conditionalFormatting sqref="L89:L91 L107">
    <cfRule type="cellIs" dxfId="1697" priority="138" operator="equal">
      <formula>0</formula>
    </cfRule>
  </conditionalFormatting>
  <conditionalFormatting sqref="L86:L88">
    <cfRule type="cellIs" dxfId="1696" priority="139" operator="equal">
      <formula>0</formula>
    </cfRule>
  </conditionalFormatting>
  <conditionalFormatting sqref="M89:M91 M107">
    <cfRule type="cellIs" dxfId="1695" priority="140" operator="equal">
      <formula>0</formula>
    </cfRule>
  </conditionalFormatting>
  <conditionalFormatting sqref="M86:M88">
    <cfRule type="cellIs" dxfId="1694" priority="141" operator="equal">
      <formula>0</formula>
    </cfRule>
  </conditionalFormatting>
  <conditionalFormatting sqref="N89:N91 N107">
    <cfRule type="cellIs" dxfId="1693" priority="142" operator="equal">
      <formula>0</formula>
    </cfRule>
  </conditionalFormatting>
  <conditionalFormatting sqref="N87:N88">
    <cfRule type="cellIs" dxfId="1692" priority="143" operator="equal">
      <formula>0</formula>
    </cfRule>
  </conditionalFormatting>
  <conditionalFormatting sqref="O89:O91 O107">
    <cfRule type="cellIs" dxfId="1691" priority="144" operator="equal">
      <formula>0</formula>
    </cfRule>
  </conditionalFormatting>
  <conditionalFormatting sqref="O87:O88">
    <cfRule type="cellIs" dxfId="1690" priority="145" operator="equal">
      <formula>0</formula>
    </cfRule>
  </conditionalFormatting>
  <conditionalFormatting sqref="D115:R115">
    <cfRule type="cellIs" dxfId="1689" priority="146" operator="equal">
      <formula>0</formula>
    </cfRule>
  </conditionalFormatting>
  <conditionalFormatting sqref="D108:R116 D106:R106 D87:R92 D86:G86 L86:M86 P86:R86">
    <cfRule type="expression" dxfId="1688" priority="147">
      <formula>LEN(TRIM(D86))=0</formula>
    </cfRule>
  </conditionalFormatting>
  <conditionalFormatting sqref="D115:R115">
    <cfRule type="cellIs" dxfId="1687" priority="148" operator="equal">
      <formula>0</formula>
    </cfRule>
  </conditionalFormatting>
  <conditionalFormatting sqref="L89:L90">
    <cfRule type="cellIs" dxfId="1686" priority="149" operator="equal">
      <formula>0</formula>
    </cfRule>
  </conditionalFormatting>
  <conditionalFormatting sqref="M89:M90">
    <cfRule type="cellIs" dxfId="1685" priority="150" operator="equal">
      <formula>0</formula>
    </cfRule>
  </conditionalFormatting>
  <conditionalFormatting sqref="N89:O89">
    <cfRule type="cellIs" dxfId="1684" priority="151" operator="equal">
      <formula>0</formula>
    </cfRule>
  </conditionalFormatting>
  <conditionalFormatting sqref="N90:O90">
    <cfRule type="cellIs" dxfId="1683" priority="152" operator="equal">
      <formula>0</formula>
    </cfRule>
  </conditionalFormatting>
  <conditionalFormatting sqref="D94:R105">
    <cfRule type="cellIs" dxfId="1682" priority="153" operator="equal">
      <formula>0</formula>
    </cfRule>
  </conditionalFormatting>
  <conditionalFormatting sqref="D94:R105">
    <cfRule type="expression" dxfId="1681" priority="154">
      <formula>LEN(TRIM(D94))=0</formula>
    </cfRule>
  </conditionalFormatting>
  <conditionalFormatting sqref="H86">
    <cfRule type="cellIs" dxfId="1680" priority="155" operator="equal">
      <formula>0</formula>
    </cfRule>
  </conditionalFormatting>
  <conditionalFormatting sqref="I86">
    <cfRule type="cellIs" dxfId="1679" priority="156" operator="equal">
      <formula>0</formula>
    </cfRule>
  </conditionalFormatting>
  <conditionalFormatting sqref="J86:K86">
    <cfRule type="cellIs" dxfId="1678" priority="157" operator="equal">
      <formula>0</formula>
    </cfRule>
  </conditionalFormatting>
  <conditionalFormatting sqref="K86">
    <cfRule type="cellIs" dxfId="1677" priority="158" operator="equal">
      <formula>0</formula>
    </cfRule>
  </conditionalFormatting>
  <conditionalFormatting sqref="H86:K86">
    <cfRule type="expression" dxfId="1676" priority="159">
      <formula>LEN(TRIM(H86))=0</formula>
    </cfRule>
  </conditionalFormatting>
  <conditionalFormatting sqref="N86:O86">
    <cfRule type="cellIs" dxfId="1675" priority="160" operator="equal">
      <formula>0</formula>
    </cfRule>
  </conditionalFormatting>
  <conditionalFormatting sqref="N86:O86">
    <cfRule type="cellIs" dxfId="1674" priority="161" operator="equal">
      <formula>0</formula>
    </cfRule>
  </conditionalFormatting>
  <conditionalFormatting sqref="N86:O86">
    <cfRule type="expression" dxfId="1673" priority="162">
      <formula>LEN(TRIM(N86))=0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9D090-29F7-4B1F-8346-DE84691BE710}">
  <dimension ref="B2:T81"/>
  <sheetViews>
    <sheetView topLeftCell="A6"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364</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0</v>
      </c>
      <c r="F12" s="422">
        <v>0</v>
      </c>
      <c r="G12" s="421">
        <v>0</v>
      </c>
      <c r="H12" s="422">
        <v>842.12121212121201</v>
      </c>
      <c r="I12" s="422">
        <v>358.55</v>
      </c>
      <c r="J12" s="422">
        <v>303.87805553693403</v>
      </c>
      <c r="K12" s="422">
        <v>37.407021205815497</v>
      </c>
      <c r="L12" s="422">
        <v>0</v>
      </c>
      <c r="M12" s="422">
        <v>0</v>
      </c>
      <c r="N12" s="432">
        <v>108.611838905018</v>
      </c>
      <c r="O12" s="509">
        <v>19.501173338019399</v>
      </c>
      <c r="P12" s="422">
        <v>0</v>
      </c>
      <c r="Q12" s="422">
        <v>0</v>
      </c>
      <c r="R12" s="422">
        <v>0</v>
      </c>
      <c r="S12" s="423">
        <v>1670.069301107</v>
      </c>
      <c r="T12" s="412"/>
    </row>
    <row r="13" spans="2:20" ht="13.5">
      <c r="B13" s="412"/>
      <c r="C13" s="420" t="s">
        <v>60</v>
      </c>
      <c r="D13" s="422">
        <v>5.7319330443436396</v>
      </c>
      <c r="E13" s="422">
        <v>189.941148015496</v>
      </c>
      <c r="F13" s="422">
        <v>0</v>
      </c>
      <c r="G13" s="422">
        <v>90.6863865174073</v>
      </c>
      <c r="H13" s="422">
        <v>0</v>
      </c>
      <c r="I13" s="422">
        <v>0</v>
      </c>
      <c r="J13" s="422">
        <v>0</v>
      </c>
      <c r="K13" s="422">
        <v>0</v>
      </c>
      <c r="L13" s="422">
        <v>0</v>
      </c>
      <c r="M13" s="432">
        <v>0</v>
      </c>
      <c r="N13" s="422">
        <v>0</v>
      </c>
      <c r="O13" s="422">
        <v>0</v>
      </c>
      <c r="P13" s="432">
        <v>18.852796757266699</v>
      </c>
      <c r="Q13" s="422">
        <v>0</v>
      </c>
      <c r="R13" s="432">
        <v>0</v>
      </c>
      <c r="S13" s="423">
        <v>305.21226433451301</v>
      </c>
      <c r="T13" s="412"/>
    </row>
    <row r="14" spans="2:20" ht="13.5">
      <c r="B14" s="412"/>
      <c r="C14" s="420" t="s">
        <v>61</v>
      </c>
      <c r="D14" s="422">
        <v>0</v>
      </c>
      <c r="E14" s="422">
        <v>0</v>
      </c>
      <c r="F14" s="422">
        <v>-18.054674208998499</v>
      </c>
      <c r="G14" s="422">
        <v>0</v>
      </c>
      <c r="H14" s="422">
        <v>0</v>
      </c>
      <c r="I14" s="422">
        <v>0</v>
      </c>
      <c r="J14" s="422">
        <v>0</v>
      </c>
      <c r="K14" s="422">
        <v>0</v>
      </c>
      <c r="L14" s="422">
        <v>0</v>
      </c>
      <c r="M14" s="432">
        <v>0</v>
      </c>
      <c r="N14" s="422">
        <v>0</v>
      </c>
      <c r="O14" s="422">
        <v>0</v>
      </c>
      <c r="P14" s="432">
        <v>0</v>
      </c>
      <c r="Q14" s="422">
        <v>0</v>
      </c>
      <c r="R14" s="432">
        <v>0</v>
      </c>
      <c r="S14" s="423">
        <v>-18.054674208998499</v>
      </c>
      <c r="T14" s="412"/>
    </row>
    <row r="15" spans="2:20" ht="13.5">
      <c r="B15" s="412"/>
      <c r="C15" s="420" t="s">
        <v>62</v>
      </c>
      <c r="D15" s="421">
        <v>0</v>
      </c>
      <c r="E15" s="421">
        <v>0</v>
      </c>
      <c r="F15" s="421">
        <v>-7.5188933675233596</v>
      </c>
      <c r="G15" s="421">
        <v>-2.1851276585702299</v>
      </c>
      <c r="H15" s="421">
        <v>0</v>
      </c>
      <c r="I15" s="421">
        <v>0</v>
      </c>
      <c r="J15" s="421">
        <v>0</v>
      </c>
      <c r="K15" s="421">
        <v>0</v>
      </c>
      <c r="L15" s="431">
        <v>0</v>
      </c>
      <c r="M15" s="431">
        <v>-2.1851276585702299</v>
      </c>
      <c r="N15" s="421">
        <v>0</v>
      </c>
      <c r="O15" s="421">
        <v>0</v>
      </c>
      <c r="P15" s="422">
        <v>0</v>
      </c>
      <c r="Q15" s="422">
        <v>0</v>
      </c>
      <c r="R15" s="431">
        <v>0</v>
      </c>
      <c r="S15" s="423">
        <v>-11.8891486846638</v>
      </c>
      <c r="T15" s="412"/>
    </row>
    <row r="16" spans="2:20" ht="13.5">
      <c r="B16" s="412"/>
      <c r="C16" s="420" t="s">
        <v>63</v>
      </c>
      <c r="D16" s="421">
        <v>0</v>
      </c>
      <c r="E16" s="421">
        <v>0</v>
      </c>
      <c r="F16" s="421">
        <v>-48.913982221755198</v>
      </c>
      <c r="G16" s="421">
        <v>0</v>
      </c>
      <c r="H16" s="421">
        <v>0</v>
      </c>
      <c r="I16" s="421">
        <v>0</v>
      </c>
      <c r="J16" s="421">
        <v>0</v>
      </c>
      <c r="K16" s="421">
        <v>0</v>
      </c>
      <c r="L16" s="431">
        <v>-32.619142548425003</v>
      </c>
      <c r="M16" s="431">
        <v>0</v>
      </c>
      <c r="N16" s="421">
        <v>0</v>
      </c>
      <c r="O16" s="421">
        <v>0</v>
      </c>
      <c r="P16" s="422">
        <v>0</v>
      </c>
      <c r="Q16" s="422">
        <v>0</v>
      </c>
      <c r="R16" s="431">
        <v>-1.6805745775177701</v>
      </c>
      <c r="S16" s="423">
        <v>-83.213699347697997</v>
      </c>
      <c r="T16" s="412"/>
    </row>
    <row r="17" spans="2:20" ht="13.5">
      <c r="B17" s="412"/>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T17" s="412"/>
    </row>
    <row r="18" spans="2:20" ht="13.5">
      <c r="B18" s="412"/>
      <c r="C18" s="424" t="s">
        <v>65</v>
      </c>
      <c r="D18" s="510">
        <v>5.7319330443436396</v>
      </c>
      <c r="E18" s="510">
        <v>189.941148015496</v>
      </c>
      <c r="F18" s="510">
        <v>-74.487549798277101</v>
      </c>
      <c r="G18" s="510">
        <v>88.501258858837105</v>
      </c>
      <c r="H18" s="425">
        <v>842.12121212121201</v>
      </c>
      <c r="I18" s="425">
        <v>358.55</v>
      </c>
      <c r="J18" s="425">
        <v>303.87805553693403</v>
      </c>
      <c r="K18" s="510">
        <v>37.407021205815497</v>
      </c>
      <c r="L18" s="425">
        <v>-32.619142548425003</v>
      </c>
      <c r="M18" s="425">
        <v>-2.1851276585702299</v>
      </c>
      <c r="N18" s="425">
        <v>108.611838905018</v>
      </c>
      <c r="O18" s="425">
        <v>19.501173338019399</v>
      </c>
      <c r="P18" s="425">
        <v>18.852796757266699</v>
      </c>
      <c r="Q18" s="425">
        <v>0</v>
      </c>
      <c r="R18" s="425">
        <v>-1.6805745775177701</v>
      </c>
      <c r="S18" s="425">
        <v>1862.12404320015</v>
      </c>
      <c r="T18" s="412"/>
    </row>
    <row r="19" spans="2:20" ht="13.5">
      <c r="B19" s="412"/>
      <c r="C19" s="426"/>
      <c r="D19" s="427"/>
      <c r="E19" s="492"/>
      <c r="F19" s="492"/>
      <c r="G19" s="492"/>
      <c r="H19" s="427"/>
      <c r="I19" s="427"/>
      <c r="J19" s="427"/>
      <c r="K19" s="492"/>
      <c r="L19" s="427"/>
      <c r="M19" s="427"/>
      <c r="N19" s="427"/>
      <c r="O19" s="427"/>
      <c r="P19" s="492"/>
      <c r="Q19" s="492"/>
      <c r="R19" s="427"/>
      <c r="S19" s="427"/>
      <c r="T19" s="412"/>
    </row>
    <row r="20" spans="2:20" ht="13.5">
      <c r="B20" s="412"/>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T20" s="412"/>
    </row>
    <row r="21" spans="2:20" ht="13.5">
      <c r="B21" s="412"/>
      <c r="C21" s="428" t="s">
        <v>350</v>
      </c>
      <c r="D21" s="431">
        <v>0</v>
      </c>
      <c r="E21" s="421">
        <v>0</v>
      </c>
      <c r="F21" s="431">
        <v>0</v>
      </c>
      <c r="G21" s="431">
        <v>2.3404255319148901</v>
      </c>
      <c r="H21" s="431">
        <v>842.12121212121201</v>
      </c>
      <c r="I21" s="431">
        <v>358.55</v>
      </c>
      <c r="J21" s="431">
        <v>16.2099501273347</v>
      </c>
      <c r="K21" s="431">
        <v>4.5869971469173096</v>
      </c>
      <c r="L21" s="421">
        <v>0</v>
      </c>
      <c r="M21" s="431">
        <v>2.3404255319148901</v>
      </c>
      <c r="N21" s="421">
        <v>0</v>
      </c>
      <c r="O21" s="421">
        <v>0</v>
      </c>
      <c r="P21" s="421">
        <v>-649</v>
      </c>
      <c r="Q21" s="421">
        <v>0</v>
      </c>
      <c r="R21" s="432">
        <v>4.25</v>
      </c>
      <c r="S21" s="491">
        <v>581.399010459294</v>
      </c>
      <c r="T21" s="412"/>
    </row>
    <row r="22" spans="2:20" ht="13.5">
      <c r="B22" s="412"/>
      <c r="C22" s="428" t="s">
        <v>351</v>
      </c>
      <c r="D22" s="431">
        <v>0</v>
      </c>
      <c r="E22" s="421">
        <v>0</v>
      </c>
      <c r="F22" s="431">
        <v>0</v>
      </c>
      <c r="G22" s="431">
        <v>6.6963140641677699</v>
      </c>
      <c r="H22" s="421">
        <v>0</v>
      </c>
      <c r="I22" s="421">
        <v>0</v>
      </c>
      <c r="J22" s="431">
        <v>28.753458003311501</v>
      </c>
      <c r="K22" s="431">
        <v>27.176732157472099</v>
      </c>
      <c r="L22" s="421">
        <v>0</v>
      </c>
      <c r="M22" s="431">
        <v>6.6963140641677699</v>
      </c>
      <c r="N22" s="421">
        <v>0</v>
      </c>
      <c r="O22" s="431">
        <v>13.1597379771096</v>
      </c>
      <c r="P22" s="421">
        <v>0</v>
      </c>
      <c r="Q22" s="421">
        <v>-76.511380322397699</v>
      </c>
      <c r="R22" s="432">
        <v>0</v>
      </c>
      <c r="S22" s="491">
        <v>5.9711759438309997</v>
      </c>
      <c r="T22" s="412"/>
    </row>
    <row r="23" spans="2:20" ht="13.5">
      <c r="B23" s="412"/>
      <c r="C23" s="428" t="s">
        <v>352</v>
      </c>
      <c r="D23" s="421">
        <v>0</v>
      </c>
      <c r="E23" s="421">
        <v>0</v>
      </c>
      <c r="F23" s="421">
        <v>0</v>
      </c>
      <c r="G23" s="421">
        <v>0</v>
      </c>
      <c r="H23" s="421">
        <v>0</v>
      </c>
      <c r="I23" s="421">
        <v>0</v>
      </c>
      <c r="J23" s="431">
        <v>90.986216688587803</v>
      </c>
      <c r="K23" s="421">
        <v>0</v>
      </c>
      <c r="L23" s="421">
        <v>0</v>
      </c>
      <c r="M23" s="421">
        <v>-84.958379832968902</v>
      </c>
      <c r="N23" s="421">
        <v>0</v>
      </c>
      <c r="O23" s="421">
        <v>0</v>
      </c>
      <c r="P23" s="421">
        <v>0</v>
      </c>
      <c r="Q23" s="421">
        <v>0</v>
      </c>
      <c r="R23" s="422">
        <v>0</v>
      </c>
      <c r="S23" s="491">
        <v>6.0278368556189399</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T24" s="412"/>
    </row>
    <row r="25" spans="2:20" ht="13.5">
      <c r="B25" s="412"/>
      <c r="C25" s="428" t="s">
        <v>72</v>
      </c>
      <c r="D25" s="421">
        <v>0</v>
      </c>
      <c r="E25" s="431">
        <v>196.75884188687601</v>
      </c>
      <c r="F25" s="421">
        <v>-194.791253468007</v>
      </c>
      <c r="G25" s="431">
        <v>0</v>
      </c>
      <c r="H25" s="421">
        <v>0</v>
      </c>
      <c r="I25" s="421">
        <v>0</v>
      </c>
      <c r="J25" s="421">
        <v>0</v>
      </c>
      <c r="K25" s="421">
        <v>0</v>
      </c>
      <c r="L25" s="421">
        <v>0</v>
      </c>
      <c r="M25" s="421">
        <v>0</v>
      </c>
      <c r="N25" s="421">
        <v>0</v>
      </c>
      <c r="O25" s="421">
        <v>0</v>
      </c>
      <c r="P25" s="421">
        <v>0</v>
      </c>
      <c r="Q25" s="421">
        <v>0</v>
      </c>
      <c r="R25" s="422">
        <v>0</v>
      </c>
      <c r="S25" s="491">
        <v>1.96758841886876</v>
      </c>
      <c r="T25" s="412"/>
    </row>
    <row r="26" spans="2:20" ht="13.5">
      <c r="B26" s="412"/>
      <c r="C26" s="428" t="s">
        <v>354</v>
      </c>
      <c r="D26" s="421">
        <v>0</v>
      </c>
      <c r="E26" s="421">
        <v>0</v>
      </c>
      <c r="F26" s="421">
        <v>0</v>
      </c>
      <c r="G26" s="421">
        <v>0</v>
      </c>
      <c r="H26" s="421">
        <v>0</v>
      </c>
      <c r="I26" s="421">
        <v>0</v>
      </c>
      <c r="J26" s="421">
        <v>91.449866331740793</v>
      </c>
      <c r="K26" s="421">
        <v>0</v>
      </c>
      <c r="L26" s="431">
        <v>-91.449866331740793</v>
      </c>
      <c r="M26" s="421">
        <v>0</v>
      </c>
      <c r="N26" s="421">
        <v>0</v>
      </c>
      <c r="O26" s="421">
        <v>0</v>
      </c>
      <c r="P26" s="421">
        <v>0</v>
      </c>
      <c r="Q26" s="421">
        <v>0</v>
      </c>
      <c r="R26" s="422">
        <v>0</v>
      </c>
      <c r="S26" s="423">
        <v>0</v>
      </c>
      <c r="T26" s="412"/>
    </row>
    <row r="27" spans="2:20" ht="13.5">
      <c r="B27" s="412"/>
      <c r="C27" s="428" t="s">
        <v>355</v>
      </c>
      <c r="D27" s="421">
        <v>0</v>
      </c>
      <c r="E27" s="421">
        <v>0</v>
      </c>
      <c r="F27" s="421">
        <v>0</v>
      </c>
      <c r="G27" s="421">
        <v>0</v>
      </c>
      <c r="H27" s="421">
        <v>0</v>
      </c>
      <c r="I27" s="421">
        <v>0</v>
      </c>
      <c r="J27" s="421">
        <v>0</v>
      </c>
      <c r="K27" s="421">
        <v>0</v>
      </c>
      <c r="L27" s="431">
        <v>-17.484851678047999</v>
      </c>
      <c r="M27" s="421">
        <v>0</v>
      </c>
      <c r="N27" s="421">
        <v>0</v>
      </c>
      <c r="O27" s="421">
        <v>0</v>
      </c>
      <c r="P27" s="421">
        <v>0</v>
      </c>
      <c r="Q27" s="421">
        <v>0</v>
      </c>
      <c r="R27" s="432">
        <v>24.978359540068499</v>
      </c>
      <c r="S27" s="491">
        <v>7.4935078620205502</v>
      </c>
      <c r="T27" s="412"/>
    </row>
    <row r="28" spans="2:20" ht="13.5">
      <c r="B28" s="412"/>
      <c r="C28" s="428" t="s">
        <v>73</v>
      </c>
      <c r="D28" s="421">
        <v>0</v>
      </c>
      <c r="E28" s="421">
        <v>0</v>
      </c>
      <c r="F28" s="421">
        <v>0</v>
      </c>
      <c r="G28" s="431">
        <v>4.42513238078282</v>
      </c>
      <c r="H28" s="421">
        <v>0</v>
      </c>
      <c r="I28" s="421">
        <v>0</v>
      </c>
      <c r="J28" s="421">
        <v>0</v>
      </c>
      <c r="K28" s="431">
        <v>0.88502647615656305</v>
      </c>
      <c r="L28" s="421">
        <v>0</v>
      </c>
      <c r="M28" s="431">
        <v>4.42513238078282</v>
      </c>
      <c r="N28" s="421">
        <v>0</v>
      </c>
      <c r="O28" s="421">
        <v>0</v>
      </c>
      <c r="P28" s="431">
        <v>78.487045501144294</v>
      </c>
      <c r="Q28" s="421">
        <v>0</v>
      </c>
      <c r="R28" s="509">
        <v>-61.951853330959402</v>
      </c>
      <c r="S28" s="491">
        <v>26.270483407907101</v>
      </c>
      <c r="T28" s="412"/>
    </row>
    <row r="29" spans="2:20" ht="13.5">
      <c r="B29" s="412"/>
      <c r="C29" s="428" t="s">
        <v>356</v>
      </c>
      <c r="D29" s="431">
        <v>1.4001075134277301</v>
      </c>
      <c r="E29" s="431">
        <v>-6.81769387138025</v>
      </c>
      <c r="F29" s="431">
        <v>8.9171408952922295</v>
      </c>
      <c r="G29" s="431">
        <v>0</v>
      </c>
      <c r="H29" s="421">
        <v>0</v>
      </c>
      <c r="I29" s="421">
        <v>0</v>
      </c>
      <c r="J29" s="421">
        <v>0</v>
      </c>
      <c r="K29" s="421">
        <v>0</v>
      </c>
      <c r="L29" s="431">
        <v>0</v>
      </c>
      <c r="M29" s="431">
        <v>0</v>
      </c>
      <c r="N29" s="421">
        <v>0</v>
      </c>
      <c r="O29" s="421">
        <v>0</v>
      </c>
      <c r="P29" s="421">
        <v>0</v>
      </c>
      <c r="Q29" s="421">
        <v>0</v>
      </c>
      <c r="R29" s="422">
        <v>0</v>
      </c>
      <c r="S29" s="423">
        <v>3.4995545373397099</v>
      </c>
      <c r="T29" s="412"/>
    </row>
    <row r="30" spans="2:20" ht="13.5">
      <c r="B30" s="412"/>
      <c r="C30" s="428" t="s">
        <v>75</v>
      </c>
      <c r="D30" s="431">
        <v>2.5854230957031201</v>
      </c>
      <c r="E30" s="421">
        <v>0</v>
      </c>
      <c r="F30" s="431">
        <v>17.0641175716937</v>
      </c>
      <c r="G30" s="431">
        <v>2.4843347641142302</v>
      </c>
      <c r="H30" s="421">
        <v>0</v>
      </c>
      <c r="I30" s="421">
        <v>0</v>
      </c>
      <c r="J30" s="421">
        <v>0</v>
      </c>
      <c r="K30" s="421">
        <v>0</v>
      </c>
      <c r="L30" s="421">
        <v>0</v>
      </c>
      <c r="M30" s="431">
        <v>2.4843347641142302</v>
      </c>
      <c r="N30" s="421">
        <v>0</v>
      </c>
      <c r="O30" s="421">
        <v>0</v>
      </c>
      <c r="P30" s="431">
        <v>36.438409090909097</v>
      </c>
      <c r="Q30" s="421">
        <v>0</v>
      </c>
      <c r="R30" s="422">
        <v>0</v>
      </c>
      <c r="S30" s="423">
        <v>61.056619286534399</v>
      </c>
      <c r="T30" s="412"/>
    </row>
    <row r="31" spans="2:20" ht="13.5">
      <c r="B31" s="412"/>
      <c r="C31" s="428" t="s">
        <v>76</v>
      </c>
      <c r="D31" s="421">
        <v>0</v>
      </c>
      <c r="E31" s="421">
        <v>0</v>
      </c>
      <c r="F31" s="421">
        <v>0</v>
      </c>
      <c r="G31" s="431">
        <v>1.00741161857275</v>
      </c>
      <c r="H31" s="421">
        <v>0</v>
      </c>
      <c r="I31" s="421">
        <v>0</v>
      </c>
      <c r="J31" s="421">
        <v>0</v>
      </c>
      <c r="K31" s="421">
        <v>0</v>
      </c>
      <c r="L31" s="421">
        <v>0</v>
      </c>
      <c r="M31" s="431">
        <v>1.00741161857275</v>
      </c>
      <c r="N31" s="421">
        <v>0</v>
      </c>
      <c r="O31" s="421">
        <v>0</v>
      </c>
      <c r="P31" s="431">
        <v>51.1835476739179</v>
      </c>
      <c r="Q31" s="431">
        <v>5.9289261504441004</v>
      </c>
      <c r="R31" s="432">
        <v>0</v>
      </c>
      <c r="S31" s="423">
        <v>59.127297061507498</v>
      </c>
      <c r="T31" s="412"/>
    </row>
    <row r="32" spans="2:20" ht="13.5">
      <c r="B32" s="412"/>
      <c r="C32" s="424" t="s">
        <v>77</v>
      </c>
      <c r="D32" s="425">
        <v>3.9855306091308602</v>
      </c>
      <c r="E32" s="425">
        <v>189.941148015496</v>
      </c>
      <c r="F32" s="425">
        <v>-168.80999500102101</v>
      </c>
      <c r="G32" s="425">
        <v>16.9536183595525</v>
      </c>
      <c r="H32" s="425">
        <v>842.12121212121201</v>
      </c>
      <c r="I32" s="425">
        <v>358.55</v>
      </c>
      <c r="J32" s="425">
        <v>227.399491150975</v>
      </c>
      <c r="K32" s="425">
        <v>32.648755780545898</v>
      </c>
      <c r="L32" s="425">
        <v>-108.93471800978899</v>
      </c>
      <c r="M32" s="425">
        <v>-68.004761473416394</v>
      </c>
      <c r="N32" s="425">
        <v>0</v>
      </c>
      <c r="O32" s="425">
        <v>13.1597379771096</v>
      </c>
      <c r="P32" s="425">
        <v>-482.89099773402899</v>
      </c>
      <c r="Q32" s="425">
        <v>-70.5824541719536</v>
      </c>
      <c r="R32" s="425">
        <v>-32.723493790890899</v>
      </c>
      <c r="S32" s="425">
        <v>752.81307383292199</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31">
        <v>1.5178805846268399</v>
      </c>
      <c r="E34" s="421">
        <v>0</v>
      </c>
      <c r="F34" s="431">
        <v>3.8156525597214102</v>
      </c>
      <c r="G34" s="431">
        <v>34.872610284028198</v>
      </c>
      <c r="H34" s="421">
        <v>0</v>
      </c>
      <c r="I34" s="421">
        <v>0</v>
      </c>
      <c r="J34" s="431">
        <v>13.9901440703837</v>
      </c>
      <c r="K34" s="431">
        <v>4.7582654252696104</v>
      </c>
      <c r="L34" s="431">
        <v>6.41300463867187</v>
      </c>
      <c r="M34" s="431">
        <v>34.872610284028198</v>
      </c>
      <c r="N34" s="431">
        <v>0</v>
      </c>
      <c r="O34" s="431">
        <v>0</v>
      </c>
      <c r="P34" s="431">
        <v>145.025733372183</v>
      </c>
      <c r="Q34" s="431">
        <v>25.700704560405001</v>
      </c>
      <c r="R34" s="431">
        <v>7.9027373046875002</v>
      </c>
      <c r="S34" s="429">
        <v>278.869343084006</v>
      </c>
      <c r="T34" s="412"/>
    </row>
    <row r="35" spans="2:20" ht="13.5">
      <c r="B35" s="412"/>
      <c r="C35" s="428" t="s">
        <v>79</v>
      </c>
      <c r="D35" s="431">
        <v>0</v>
      </c>
      <c r="E35" s="421">
        <v>0</v>
      </c>
      <c r="F35" s="431">
        <v>11.854069156927601</v>
      </c>
      <c r="G35" s="431">
        <v>13.267062862305901</v>
      </c>
      <c r="H35" s="421">
        <v>0</v>
      </c>
      <c r="I35" s="421">
        <v>0</v>
      </c>
      <c r="J35" s="431">
        <v>0</v>
      </c>
      <c r="K35" s="431">
        <v>0</v>
      </c>
      <c r="L35" s="431">
        <v>27.757428361726902</v>
      </c>
      <c r="M35" s="431">
        <v>13.267062862305901</v>
      </c>
      <c r="N35" s="431">
        <v>0</v>
      </c>
      <c r="O35" s="431">
        <v>0</v>
      </c>
      <c r="P35" s="431">
        <v>93.188917438410897</v>
      </c>
      <c r="Q35" s="431">
        <v>0</v>
      </c>
      <c r="R35" s="431">
        <v>6.3130917169295104</v>
      </c>
      <c r="S35" s="429">
        <v>165.64763239860699</v>
      </c>
      <c r="T35" s="412"/>
    </row>
    <row r="36" spans="2:20" ht="13.5">
      <c r="B36" s="412"/>
      <c r="C36" s="428" t="s">
        <v>80</v>
      </c>
      <c r="D36" s="431">
        <v>0</v>
      </c>
      <c r="E36" s="421">
        <v>0</v>
      </c>
      <c r="F36" s="431">
        <v>0.44885731405196599</v>
      </c>
      <c r="G36" s="431">
        <v>9.8184562905500599</v>
      </c>
      <c r="H36" s="421">
        <v>0</v>
      </c>
      <c r="I36" s="421">
        <v>0</v>
      </c>
      <c r="J36" s="431">
        <v>50.991915500106103</v>
      </c>
      <c r="K36" s="431">
        <v>0</v>
      </c>
      <c r="L36" s="431">
        <v>0</v>
      </c>
      <c r="M36" s="431">
        <v>9.8184562905500599</v>
      </c>
      <c r="N36" s="431">
        <v>93.7833759251793</v>
      </c>
      <c r="O36" s="431">
        <v>3.0807413757867601</v>
      </c>
      <c r="P36" s="431">
        <v>141.51501783018901</v>
      </c>
      <c r="Q36" s="431">
        <v>31.5191114304906</v>
      </c>
      <c r="R36" s="431">
        <v>0</v>
      </c>
      <c r="S36" s="429">
        <v>340.97593195690399</v>
      </c>
      <c r="T36" s="412"/>
    </row>
    <row r="37" spans="2:20" ht="13.5">
      <c r="B37" s="412"/>
      <c r="C37" s="428" t="s">
        <v>81</v>
      </c>
      <c r="D37" s="431">
        <v>0</v>
      </c>
      <c r="E37" s="421">
        <v>0</v>
      </c>
      <c r="F37" s="431">
        <v>0.71263619754816998</v>
      </c>
      <c r="G37" s="431">
        <v>7.4036276177652596</v>
      </c>
      <c r="H37" s="421">
        <v>0</v>
      </c>
      <c r="I37" s="421">
        <v>0</v>
      </c>
      <c r="J37" s="431">
        <v>6.8658928642747901</v>
      </c>
      <c r="K37" s="431">
        <v>0</v>
      </c>
      <c r="L37" s="431">
        <v>0</v>
      </c>
      <c r="M37" s="431">
        <v>7.4036276177652596</v>
      </c>
      <c r="N37" s="431">
        <v>14.8284629798388</v>
      </c>
      <c r="O37" s="431">
        <v>1.5166802918751501</v>
      </c>
      <c r="P37" s="431">
        <v>111.39588290466099</v>
      </c>
      <c r="Q37" s="431">
        <v>13.362638181057999</v>
      </c>
      <c r="R37" s="431">
        <v>0</v>
      </c>
      <c r="S37" s="429">
        <v>163.489448654786</v>
      </c>
      <c r="T37" s="412"/>
    </row>
    <row r="38" spans="2:20" ht="13.5">
      <c r="B38" s="412"/>
      <c r="C38" s="428" t="s">
        <v>82</v>
      </c>
      <c r="D38" s="431">
        <v>0</v>
      </c>
      <c r="E38" s="421">
        <v>0</v>
      </c>
      <c r="F38" s="431">
        <v>2.8549378216016801</v>
      </c>
      <c r="G38" s="431">
        <v>0.45787676019682499</v>
      </c>
      <c r="H38" s="421">
        <v>0</v>
      </c>
      <c r="I38" s="421">
        <v>0</v>
      </c>
      <c r="J38" s="431">
        <v>4.6306119511950996</v>
      </c>
      <c r="K38" s="431">
        <v>0</v>
      </c>
      <c r="L38" s="431">
        <v>17.5819516131867</v>
      </c>
      <c r="M38" s="431">
        <v>0.45787676019682499</v>
      </c>
      <c r="N38" s="431">
        <v>0</v>
      </c>
      <c r="O38" s="431">
        <v>1.7440136932478201</v>
      </c>
      <c r="P38" s="431">
        <v>5.8182429458508897</v>
      </c>
      <c r="Q38" s="431">
        <v>0</v>
      </c>
      <c r="R38" s="431">
        <v>0.384274203596978</v>
      </c>
      <c r="S38" s="429">
        <v>33.929785749072799</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31">
        <v>4.8</v>
      </c>
      <c r="Q39" s="421">
        <v>0</v>
      </c>
      <c r="R39" s="421">
        <v>0</v>
      </c>
      <c r="S39" s="429">
        <v>4.8</v>
      </c>
      <c r="T39" s="412"/>
    </row>
    <row r="40" spans="2:20" ht="13.5">
      <c r="B40" s="412"/>
      <c r="C40" s="424" t="s">
        <v>83</v>
      </c>
      <c r="D40" s="425">
        <v>1.5178805846268399</v>
      </c>
      <c r="E40" s="425">
        <v>0</v>
      </c>
      <c r="F40" s="425">
        <v>19.686153049850802</v>
      </c>
      <c r="G40" s="425">
        <v>65.819633814846199</v>
      </c>
      <c r="H40" s="425">
        <v>0</v>
      </c>
      <c r="I40" s="425">
        <v>0</v>
      </c>
      <c r="J40" s="425">
        <v>76.4785643859597</v>
      </c>
      <c r="K40" s="425">
        <v>4.7582654252696104</v>
      </c>
      <c r="L40" s="425">
        <v>51.752384613585399</v>
      </c>
      <c r="M40" s="425">
        <v>65.819633814846199</v>
      </c>
      <c r="N40" s="425">
        <v>108.611838905018</v>
      </c>
      <c r="O40" s="425">
        <v>6.34143536090974</v>
      </c>
      <c r="P40" s="425">
        <v>501.74379449129498</v>
      </c>
      <c r="Q40" s="425">
        <v>70.5824541719536</v>
      </c>
      <c r="R40" s="425">
        <v>14.600103225213999</v>
      </c>
      <c r="S40" s="425">
        <v>987.71214184337498</v>
      </c>
      <c r="T40" s="412"/>
    </row>
    <row r="41" spans="2:20" ht="13.5">
      <c r="B41" s="412"/>
      <c r="C41" s="420" t="s">
        <v>84</v>
      </c>
      <c r="D41" s="431">
        <v>0.22852185058593699</v>
      </c>
      <c r="E41" s="421">
        <v>0</v>
      </c>
      <c r="F41" s="431">
        <v>74.636292152893304</v>
      </c>
      <c r="G41" s="431">
        <v>5.7280066844384896</v>
      </c>
      <c r="H41" s="421">
        <v>0</v>
      </c>
      <c r="I41" s="421">
        <v>0</v>
      </c>
      <c r="J41" s="421">
        <v>0</v>
      </c>
      <c r="K41" s="421">
        <v>0</v>
      </c>
      <c r="L41" s="431">
        <v>24.563190847778301</v>
      </c>
      <c r="M41" s="431">
        <v>0</v>
      </c>
      <c r="N41" s="421">
        <v>0</v>
      </c>
      <c r="O41" s="421">
        <v>0</v>
      </c>
      <c r="P41" s="421">
        <v>0</v>
      </c>
      <c r="Q41" s="421">
        <v>0</v>
      </c>
      <c r="R41" s="431">
        <v>16.4428159881592</v>
      </c>
      <c r="S41" s="429">
        <v>121.59882752385499</v>
      </c>
      <c r="T41" s="412"/>
    </row>
    <row r="42" spans="2:20" ht="13.5">
      <c r="B42" s="412"/>
      <c r="C42" s="424" t="s">
        <v>85</v>
      </c>
      <c r="D42" s="425">
        <v>1.74640243521278</v>
      </c>
      <c r="E42" s="425">
        <v>0</v>
      </c>
      <c r="F42" s="425">
        <v>94.322445202744106</v>
      </c>
      <c r="G42" s="425">
        <v>71.547640499284697</v>
      </c>
      <c r="H42" s="425">
        <v>0</v>
      </c>
      <c r="I42" s="425">
        <v>0</v>
      </c>
      <c r="J42" s="425">
        <v>76.4785643859597</v>
      </c>
      <c r="K42" s="425">
        <v>4.7582654252696104</v>
      </c>
      <c r="L42" s="425">
        <v>76.315575461363807</v>
      </c>
      <c r="M42" s="425">
        <v>65.819633814846199</v>
      </c>
      <c r="N42" s="425">
        <v>108.611838905018</v>
      </c>
      <c r="O42" s="425">
        <v>6.34143536090974</v>
      </c>
      <c r="P42" s="425">
        <v>501.74379449129498</v>
      </c>
      <c r="Q42" s="425">
        <v>70.5824541719536</v>
      </c>
      <c r="R42" s="425">
        <v>31.042919213373199</v>
      </c>
      <c r="S42" s="425">
        <v>1109.31096936723</v>
      </c>
      <c r="T42" s="412"/>
    </row>
    <row r="43" spans="2:20">
      <c r="B43" s="412"/>
      <c r="C43" s="412"/>
      <c r="D43" s="430">
        <f t="shared" ref="D43:S43" si="0">D42+D32-D18</f>
        <v>0</v>
      </c>
      <c r="E43" s="430">
        <f t="shared" si="0"/>
        <v>0</v>
      </c>
      <c r="F43" s="430">
        <f t="shared" si="0"/>
        <v>1.9895196601282805E-13</v>
      </c>
      <c r="G43" s="430">
        <f t="shared" si="0"/>
        <v>0</v>
      </c>
      <c r="H43" s="430">
        <f t="shared" si="0"/>
        <v>0</v>
      </c>
      <c r="I43" s="430">
        <f t="shared" si="0"/>
        <v>0</v>
      </c>
      <c r="J43" s="430">
        <f t="shared" si="0"/>
        <v>6.8212102632969618E-13</v>
      </c>
      <c r="K43" s="430">
        <f t="shared" si="0"/>
        <v>0</v>
      </c>
      <c r="L43" s="430">
        <f t="shared" si="0"/>
        <v>-1.8474111129762605E-13</v>
      </c>
      <c r="M43" s="430">
        <f t="shared" si="0"/>
        <v>3.4638958368304884E-14</v>
      </c>
      <c r="N43" s="430">
        <f t="shared" si="0"/>
        <v>0</v>
      </c>
      <c r="O43" s="430">
        <f t="shared" si="0"/>
        <v>-5.6843418860808015E-14</v>
      </c>
      <c r="P43" s="430">
        <f t="shared" si="0"/>
        <v>-7.0699002208129968E-13</v>
      </c>
      <c r="Q43" s="430">
        <f t="shared" si="0"/>
        <v>0</v>
      </c>
      <c r="R43" s="430">
        <f t="shared" si="0"/>
        <v>7.0610184366159956E-14</v>
      </c>
      <c r="S43" s="430">
        <f t="shared" si="0"/>
        <v>1.8189894035458565E-12</v>
      </c>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89</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0</v>
      </c>
      <c r="F49" s="421">
        <v>0</v>
      </c>
      <c r="G49" s="421">
        <v>0</v>
      </c>
      <c r="H49" s="422">
        <v>764.84848484848499</v>
      </c>
      <c r="I49" s="422">
        <v>419.9</v>
      </c>
      <c r="J49" s="422">
        <v>351.24173188830201</v>
      </c>
      <c r="K49" s="422">
        <v>37.066117395131201</v>
      </c>
      <c r="L49" s="421">
        <v>0</v>
      </c>
      <c r="M49" s="421">
        <v>0</v>
      </c>
      <c r="N49" s="422">
        <v>121.931750282495</v>
      </c>
      <c r="O49" s="422">
        <v>22.204473213427001</v>
      </c>
      <c r="P49" s="421">
        <v>0</v>
      </c>
      <c r="Q49" s="421">
        <v>0</v>
      </c>
      <c r="R49" s="421">
        <v>0</v>
      </c>
      <c r="S49" s="423">
        <v>1717.19255762784</v>
      </c>
      <c r="T49" s="412"/>
    </row>
    <row r="50" spans="2:20" ht="13.5">
      <c r="B50" s="412"/>
      <c r="C50" s="420" t="s">
        <v>60</v>
      </c>
      <c r="D50" s="421">
        <v>4.3798405072467999</v>
      </c>
      <c r="E50" s="421">
        <v>113.59926767676799</v>
      </c>
      <c r="F50" s="421">
        <v>0.79806856250441205</v>
      </c>
      <c r="G50" s="421">
        <v>3.6153613407475298</v>
      </c>
      <c r="H50" s="421">
        <v>0</v>
      </c>
      <c r="I50" s="421">
        <v>0</v>
      </c>
      <c r="J50" s="421">
        <v>0</v>
      </c>
      <c r="K50" s="421">
        <v>0</v>
      </c>
      <c r="L50" s="421">
        <v>0</v>
      </c>
      <c r="M50" s="421">
        <v>0</v>
      </c>
      <c r="N50" s="421">
        <v>0</v>
      </c>
      <c r="O50" s="421">
        <v>0</v>
      </c>
      <c r="P50" s="421">
        <v>29.820654435364101</v>
      </c>
      <c r="Q50" s="421">
        <v>0</v>
      </c>
      <c r="R50" s="421">
        <v>0</v>
      </c>
      <c r="S50" s="423">
        <v>152.213192522631</v>
      </c>
      <c r="T50" s="412"/>
    </row>
    <row r="51" spans="2:20" ht="13.5">
      <c r="B51" s="412"/>
      <c r="C51" s="420" t="s">
        <v>61</v>
      </c>
      <c r="D51" s="421">
        <v>0</v>
      </c>
      <c r="E51" s="421">
        <v>0</v>
      </c>
      <c r="F51" s="421">
        <v>0</v>
      </c>
      <c r="G51" s="421">
        <v>0</v>
      </c>
      <c r="H51" s="421">
        <v>0</v>
      </c>
      <c r="I51" s="421">
        <v>0</v>
      </c>
      <c r="J51" s="421">
        <v>0</v>
      </c>
      <c r="K51" s="421">
        <v>0</v>
      </c>
      <c r="L51" s="421">
        <v>0</v>
      </c>
      <c r="M51" s="421">
        <v>0</v>
      </c>
      <c r="N51" s="421">
        <v>0</v>
      </c>
      <c r="O51" s="421">
        <v>0</v>
      </c>
      <c r="P51" s="421">
        <v>0</v>
      </c>
      <c r="Q51" s="421">
        <v>0</v>
      </c>
      <c r="R51" s="421">
        <v>0</v>
      </c>
      <c r="S51" s="423">
        <v>0</v>
      </c>
      <c r="T51" s="412"/>
    </row>
    <row r="52" spans="2:20" ht="13.5">
      <c r="B52" s="412"/>
      <c r="C52" s="420" t="s">
        <v>62</v>
      </c>
      <c r="D52" s="421">
        <v>0</v>
      </c>
      <c r="E52" s="421">
        <v>0</v>
      </c>
      <c r="F52" s="421">
        <v>-5.3013702027186103</v>
      </c>
      <c r="G52" s="421">
        <v>0</v>
      </c>
      <c r="H52" s="421">
        <v>0</v>
      </c>
      <c r="I52" s="421">
        <v>0</v>
      </c>
      <c r="J52" s="421">
        <v>0</v>
      </c>
      <c r="K52" s="421">
        <v>0</v>
      </c>
      <c r="L52" s="421">
        <v>0</v>
      </c>
      <c r="M52" s="421">
        <v>-5.1137296191647996</v>
      </c>
      <c r="N52" s="421">
        <v>0</v>
      </c>
      <c r="O52" s="421">
        <v>0</v>
      </c>
      <c r="P52" s="421">
        <v>0</v>
      </c>
      <c r="Q52" s="421">
        <v>0</v>
      </c>
      <c r="R52" s="421">
        <v>0</v>
      </c>
      <c r="S52" s="423">
        <v>-10.4150998218834</v>
      </c>
      <c r="T52" s="412"/>
    </row>
    <row r="53" spans="2:20" ht="13.5">
      <c r="B53" s="412"/>
      <c r="C53" s="420" t="s">
        <v>63</v>
      </c>
      <c r="D53" s="421">
        <v>0</v>
      </c>
      <c r="E53" s="421">
        <v>0</v>
      </c>
      <c r="F53" s="421">
        <v>-26.554014229686601</v>
      </c>
      <c r="G53" s="421">
        <v>0</v>
      </c>
      <c r="H53" s="421">
        <v>0</v>
      </c>
      <c r="I53" s="421">
        <v>0</v>
      </c>
      <c r="J53" s="421">
        <v>0</v>
      </c>
      <c r="K53" s="421">
        <v>0</v>
      </c>
      <c r="L53" s="421">
        <v>-53.337452419875703</v>
      </c>
      <c r="M53" s="421">
        <v>0</v>
      </c>
      <c r="N53" s="421">
        <v>0</v>
      </c>
      <c r="O53" s="421">
        <v>0</v>
      </c>
      <c r="P53" s="421">
        <v>0</v>
      </c>
      <c r="Q53" s="421">
        <v>0</v>
      </c>
      <c r="R53" s="421">
        <v>-3.3454941468715802</v>
      </c>
      <c r="S53" s="423">
        <v>-83.236960796433806</v>
      </c>
      <c r="T53" s="412"/>
    </row>
    <row r="54" spans="2:20" ht="13.5">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ht="13.5">
      <c r="B55" s="412"/>
      <c r="C55" s="424" t="s">
        <v>65</v>
      </c>
      <c r="D55" s="425">
        <v>4.3798405072467999</v>
      </c>
      <c r="E55" s="425">
        <v>113.59926767676799</v>
      </c>
      <c r="F55" s="425">
        <v>-31.057315869900801</v>
      </c>
      <c r="G55" s="425">
        <v>3.6153613407475298</v>
      </c>
      <c r="H55" s="425">
        <v>764.84848484848499</v>
      </c>
      <c r="I55" s="425">
        <v>419.9</v>
      </c>
      <c r="J55" s="425">
        <v>351.24173188830201</v>
      </c>
      <c r="K55" s="425">
        <v>37.066117395131201</v>
      </c>
      <c r="L55" s="425">
        <v>-53.337452419875703</v>
      </c>
      <c r="M55" s="425">
        <v>-5.1137296191647996</v>
      </c>
      <c r="N55" s="425">
        <v>121.931750282495</v>
      </c>
      <c r="O55" s="425">
        <v>22.204473213427001</v>
      </c>
      <c r="P55" s="425">
        <v>29.820654435364101</v>
      </c>
      <c r="Q55" s="425">
        <v>0</v>
      </c>
      <c r="R55" s="425">
        <v>-3.3454941468715802</v>
      </c>
      <c r="S55" s="425">
        <v>1775.75368953215</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ht="13.5">
      <c r="B58" s="412"/>
      <c r="C58" s="428" t="s">
        <v>350</v>
      </c>
      <c r="D58" s="421">
        <v>0</v>
      </c>
      <c r="E58" s="421">
        <v>0</v>
      </c>
      <c r="F58" s="421">
        <v>0</v>
      </c>
      <c r="G58" s="421">
        <v>0</v>
      </c>
      <c r="H58" s="421">
        <v>764.84848484848499</v>
      </c>
      <c r="I58" s="421">
        <v>419.9</v>
      </c>
      <c r="J58" s="421">
        <v>14.837077022078001</v>
      </c>
      <c r="K58" s="421">
        <v>4.2997987248322396</v>
      </c>
      <c r="L58" s="421">
        <v>0</v>
      </c>
      <c r="M58" s="421">
        <v>0.66666666666666696</v>
      </c>
      <c r="N58" s="421">
        <v>0</v>
      </c>
      <c r="O58" s="421">
        <v>0</v>
      </c>
      <c r="P58" s="421">
        <v>-682.5</v>
      </c>
      <c r="Q58" s="421">
        <v>0</v>
      </c>
      <c r="R58" s="421">
        <v>3.75</v>
      </c>
      <c r="S58" s="429">
        <v>525.80202726206198</v>
      </c>
      <c r="T58" s="412"/>
    </row>
    <row r="59" spans="2:20" ht="13.5">
      <c r="B59" s="412"/>
      <c r="C59" s="428" t="s">
        <v>351</v>
      </c>
      <c r="D59" s="421">
        <v>0</v>
      </c>
      <c r="E59" s="421">
        <v>0</v>
      </c>
      <c r="F59" s="421">
        <v>0</v>
      </c>
      <c r="G59" s="421">
        <v>0</v>
      </c>
      <c r="H59" s="421">
        <v>0</v>
      </c>
      <c r="I59" s="421">
        <v>0</v>
      </c>
      <c r="J59" s="421">
        <v>28.8847744791587</v>
      </c>
      <c r="K59" s="421">
        <v>27.390111238212</v>
      </c>
      <c r="L59" s="421">
        <v>0</v>
      </c>
      <c r="M59" s="421">
        <v>10.9493569082394</v>
      </c>
      <c r="N59" s="421">
        <v>0</v>
      </c>
      <c r="O59" s="421">
        <v>14.830688385513501</v>
      </c>
      <c r="P59" s="421">
        <v>0</v>
      </c>
      <c r="Q59" s="421">
        <v>-76.630571525577196</v>
      </c>
      <c r="R59" s="421">
        <v>0</v>
      </c>
      <c r="S59" s="429">
        <v>5.4243594855463497</v>
      </c>
      <c r="T59" s="412"/>
    </row>
    <row r="60" spans="2:20" ht="13.5">
      <c r="B60" s="412"/>
      <c r="C60" s="428" t="s">
        <v>352</v>
      </c>
      <c r="D60" s="421">
        <v>0</v>
      </c>
      <c r="E60" s="421">
        <v>0</v>
      </c>
      <c r="F60" s="421">
        <v>0</v>
      </c>
      <c r="G60" s="421">
        <v>0</v>
      </c>
      <c r="H60" s="421">
        <v>0</v>
      </c>
      <c r="I60" s="421">
        <v>0</v>
      </c>
      <c r="J60" s="421">
        <v>141.99486817496901</v>
      </c>
      <c r="K60" s="421">
        <v>0</v>
      </c>
      <c r="L60" s="421">
        <v>0</v>
      </c>
      <c r="M60" s="421">
        <v>-135.60509910709601</v>
      </c>
      <c r="N60" s="421">
        <v>0</v>
      </c>
      <c r="O60" s="421">
        <v>0</v>
      </c>
      <c r="P60" s="421">
        <v>0</v>
      </c>
      <c r="Q60" s="421">
        <v>0</v>
      </c>
      <c r="R60" s="421">
        <v>0</v>
      </c>
      <c r="S60" s="429">
        <v>6.3897690678736296</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117.67676767676799</v>
      </c>
      <c r="F62" s="421">
        <v>-116.5</v>
      </c>
      <c r="G62" s="421">
        <v>0</v>
      </c>
      <c r="H62" s="421">
        <v>0</v>
      </c>
      <c r="I62" s="421">
        <v>0</v>
      </c>
      <c r="J62" s="421">
        <v>0</v>
      </c>
      <c r="K62" s="421">
        <v>0</v>
      </c>
      <c r="L62" s="421">
        <v>0</v>
      </c>
      <c r="M62" s="421">
        <v>0</v>
      </c>
      <c r="N62" s="421">
        <v>0</v>
      </c>
      <c r="O62" s="421">
        <v>0</v>
      </c>
      <c r="P62" s="421">
        <v>0</v>
      </c>
      <c r="Q62" s="421">
        <v>0</v>
      </c>
      <c r="R62" s="421">
        <v>0</v>
      </c>
      <c r="S62" s="429">
        <v>1.17676767676768</v>
      </c>
      <c r="T62" s="412"/>
    </row>
    <row r="63" spans="2:20" ht="13.5">
      <c r="B63" s="412"/>
      <c r="C63" s="428" t="s">
        <v>354</v>
      </c>
      <c r="D63" s="421">
        <v>0</v>
      </c>
      <c r="E63" s="421">
        <v>0</v>
      </c>
      <c r="F63" s="421">
        <v>0</v>
      </c>
      <c r="G63" s="421">
        <v>0</v>
      </c>
      <c r="H63" s="421">
        <v>0</v>
      </c>
      <c r="I63" s="421">
        <v>0</v>
      </c>
      <c r="J63" s="421">
        <v>92.683321682724895</v>
      </c>
      <c r="K63" s="421">
        <v>0</v>
      </c>
      <c r="L63" s="421">
        <v>-92.683321682724895</v>
      </c>
      <c r="M63" s="421">
        <v>0</v>
      </c>
      <c r="N63" s="421">
        <v>0</v>
      </c>
      <c r="O63" s="421">
        <v>0</v>
      </c>
      <c r="P63" s="421">
        <v>0</v>
      </c>
      <c r="Q63" s="421">
        <v>0</v>
      </c>
      <c r="R63" s="421">
        <v>0</v>
      </c>
      <c r="S63" s="429">
        <v>0</v>
      </c>
      <c r="T63" s="412"/>
    </row>
    <row r="64" spans="2:20" ht="13.5">
      <c r="B64" s="412"/>
      <c r="C64" s="428" t="s">
        <v>355</v>
      </c>
      <c r="D64" s="421">
        <v>0</v>
      </c>
      <c r="E64" s="421">
        <v>0</v>
      </c>
      <c r="F64" s="421">
        <v>0</v>
      </c>
      <c r="G64" s="421">
        <v>0</v>
      </c>
      <c r="H64" s="421">
        <v>0</v>
      </c>
      <c r="I64" s="421">
        <v>0</v>
      </c>
      <c r="J64" s="421">
        <v>0</v>
      </c>
      <c r="K64" s="421">
        <v>0</v>
      </c>
      <c r="L64" s="421">
        <v>-30.7160392407107</v>
      </c>
      <c r="M64" s="421">
        <v>0</v>
      </c>
      <c r="N64" s="421">
        <v>0</v>
      </c>
      <c r="O64" s="421">
        <v>0</v>
      </c>
      <c r="P64" s="421">
        <v>0</v>
      </c>
      <c r="Q64" s="421">
        <v>0</v>
      </c>
      <c r="R64" s="421">
        <v>43.880056058158097</v>
      </c>
      <c r="S64" s="429">
        <v>13.164016817447401</v>
      </c>
      <c r="T64" s="412"/>
    </row>
    <row r="65" spans="2:20" ht="13.5">
      <c r="B65" s="412"/>
      <c r="C65" s="428" t="s">
        <v>73</v>
      </c>
      <c r="D65" s="421">
        <v>0</v>
      </c>
      <c r="E65" s="421">
        <v>0</v>
      </c>
      <c r="F65" s="421">
        <v>0</v>
      </c>
      <c r="G65" s="421">
        <v>0</v>
      </c>
      <c r="H65" s="421">
        <v>0</v>
      </c>
      <c r="I65" s="421">
        <v>0</v>
      </c>
      <c r="J65" s="421">
        <v>0</v>
      </c>
      <c r="K65" s="421">
        <v>1.25759601218096</v>
      </c>
      <c r="L65" s="421">
        <v>0</v>
      </c>
      <c r="M65" s="421">
        <v>0</v>
      </c>
      <c r="N65" s="421">
        <v>0</v>
      </c>
      <c r="O65" s="421">
        <v>0</v>
      </c>
      <c r="P65" s="421">
        <v>121.043616172417</v>
      </c>
      <c r="Q65" s="421">
        <v>0</v>
      </c>
      <c r="R65" s="421">
        <v>-88.031720852667107</v>
      </c>
      <c r="S65" s="429">
        <v>34.2694913319311</v>
      </c>
      <c r="T65" s="412"/>
    </row>
    <row r="66" spans="2:20" ht="13.5">
      <c r="B66" s="412"/>
      <c r="C66" s="428" t="s">
        <v>356</v>
      </c>
      <c r="D66" s="421">
        <v>0.72303211975097703</v>
      </c>
      <c r="E66" s="421">
        <v>-4.0774999999999997</v>
      </c>
      <c r="F66" s="421">
        <v>5.3331291616343899</v>
      </c>
      <c r="G66" s="421">
        <v>0</v>
      </c>
      <c r="H66" s="421">
        <v>0</v>
      </c>
      <c r="I66" s="421">
        <v>0</v>
      </c>
      <c r="J66" s="421">
        <v>0</v>
      </c>
      <c r="K66" s="421">
        <v>0</v>
      </c>
      <c r="L66" s="421">
        <v>0</v>
      </c>
      <c r="M66" s="421">
        <v>0</v>
      </c>
      <c r="N66" s="421">
        <v>0</v>
      </c>
      <c r="O66" s="421">
        <v>0</v>
      </c>
      <c r="P66" s="421">
        <v>0</v>
      </c>
      <c r="Q66" s="421">
        <v>0</v>
      </c>
      <c r="R66" s="421">
        <v>0</v>
      </c>
      <c r="S66" s="429">
        <v>1.9786612813853699</v>
      </c>
      <c r="T66" s="412"/>
    </row>
    <row r="67" spans="2:20" ht="13.5">
      <c r="B67" s="412"/>
      <c r="C67" s="428" t="s">
        <v>75</v>
      </c>
      <c r="D67" s="421">
        <v>1.73775830078125</v>
      </c>
      <c r="E67" s="421">
        <v>0</v>
      </c>
      <c r="F67" s="421">
        <v>16.370387999999998</v>
      </c>
      <c r="G67" s="421">
        <v>0</v>
      </c>
      <c r="H67" s="421">
        <v>0</v>
      </c>
      <c r="I67" s="421">
        <v>0</v>
      </c>
      <c r="J67" s="421">
        <v>0</v>
      </c>
      <c r="K67" s="421">
        <v>0</v>
      </c>
      <c r="L67" s="421">
        <v>0</v>
      </c>
      <c r="M67" s="421">
        <v>4.7666718000000001</v>
      </c>
      <c r="N67" s="421">
        <v>0</v>
      </c>
      <c r="O67" s="421">
        <v>0</v>
      </c>
      <c r="P67" s="421">
        <v>36.566363636363597</v>
      </c>
      <c r="Q67" s="421">
        <v>0</v>
      </c>
      <c r="R67" s="421">
        <v>0</v>
      </c>
      <c r="S67" s="429">
        <v>59.441181737144902</v>
      </c>
      <c r="T67" s="412"/>
    </row>
    <row r="68" spans="2:20" ht="13.5">
      <c r="B68" s="412"/>
      <c r="C68" s="428" t="s">
        <v>76</v>
      </c>
      <c r="D68" s="421">
        <v>0</v>
      </c>
      <c r="E68" s="421">
        <v>0</v>
      </c>
      <c r="F68" s="421">
        <v>0</v>
      </c>
      <c r="G68" s="421">
        <v>0</v>
      </c>
      <c r="H68" s="421">
        <v>0</v>
      </c>
      <c r="I68" s="421">
        <v>0</v>
      </c>
      <c r="J68" s="421">
        <v>0</v>
      </c>
      <c r="K68" s="421">
        <v>0</v>
      </c>
      <c r="L68" s="421">
        <v>0</v>
      </c>
      <c r="M68" s="421">
        <v>1.6079656020604201</v>
      </c>
      <c r="N68" s="421">
        <v>0</v>
      </c>
      <c r="O68" s="421">
        <v>0</v>
      </c>
      <c r="P68" s="421">
        <v>54.591518299293803</v>
      </c>
      <c r="Q68" s="421">
        <v>5.9381623691406702</v>
      </c>
      <c r="R68" s="421">
        <v>0</v>
      </c>
      <c r="S68" s="429">
        <v>62.137646270494898</v>
      </c>
      <c r="T68" s="412"/>
    </row>
    <row r="69" spans="2:20" ht="13.5">
      <c r="B69" s="412"/>
      <c r="C69" s="424" t="s">
        <v>77</v>
      </c>
      <c r="D69" s="425">
        <v>2.4607904205322302</v>
      </c>
      <c r="E69" s="425">
        <v>113.59926767676799</v>
      </c>
      <c r="F69" s="425">
        <v>-94.796482838365606</v>
      </c>
      <c r="G69" s="425">
        <v>0</v>
      </c>
      <c r="H69" s="425">
        <v>764.84848484848499</v>
      </c>
      <c r="I69" s="425">
        <v>419.9</v>
      </c>
      <c r="J69" s="425">
        <v>278.40004135893099</v>
      </c>
      <c r="K69" s="425">
        <v>32.947505975225198</v>
      </c>
      <c r="L69" s="425">
        <v>-123.39936092343601</v>
      </c>
      <c r="M69" s="425">
        <v>-117.614438130129</v>
      </c>
      <c r="N69" s="425">
        <v>0</v>
      </c>
      <c r="O69" s="425">
        <v>14.830688385513501</v>
      </c>
      <c r="P69" s="425">
        <v>-470.29850189192501</v>
      </c>
      <c r="Q69" s="425">
        <v>-70.692409156436597</v>
      </c>
      <c r="R69" s="425">
        <v>-40.401664794509003</v>
      </c>
      <c r="S69" s="425">
        <v>709.78392093065395</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1.79989703190501</v>
      </c>
      <c r="E71" s="421">
        <v>0</v>
      </c>
      <c r="F71" s="421">
        <v>5.22589106512674E-2</v>
      </c>
      <c r="G71" s="421">
        <v>0</v>
      </c>
      <c r="H71" s="421">
        <v>0</v>
      </c>
      <c r="I71" s="421">
        <v>0</v>
      </c>
      <c r="J71" s="421">
        <v>13.331842727893299</v>
      </c>
      <c r="K71" s="421">
        <v>4.1186114199060402</v>
      </c>
      <c r="L71" s="421">
        <v>8.3494072265624997</v>
      </c>
      <c r="M71" s="421">
        <v>63.939809293815799</v>
      </c>
      <c r="N71" s="421">
        <v>0</v>
      </c>
      <c r="O71" s="421">
        <v>0</v>
      </c>
      <c r="P71" s="421">
        <v>150.76353147926901</v>
      </c>
      <c r="Q71" s="421">
        <v>27.157242806109199</v>
      </c>
      <c r="R71" s="421">
        <v>8.9542294921874994</v>
      </c>
      <c r="S71" s="429">
        <v>278.46683038830002</v>
      </c>
      <c r="T71" s="412"/>
    </row>
    <row r="72" spans="2:20" ht="13.5">
      <c r="B72" s="412"/>
      <c r="C72" s="428" t="s">
        <v>79</v>
      </c>
      <c r="D72" s="421">
        <v>0</v>
      </c>
      <c r="E72" s="421">
        <v>0</v>
      </c>
      <c r="F72" s="421">
        <v>2.1712429478419102</v>
      </c>
      <c r="G72" s="421">
        <v>0</v>
      </c>
      <c r="H72" s="421">
        <v>0</v>
      </c>
      <c r="I72" s="421">
        <v>0</v>
      </c>
      <c r="J72" s="421">
        <v>0</v>
      </c>
      <c r="K72" s="421">
        <v>0</v>
      </c>
      <c r="L72" s="421">
        <v>12.7882726969122</v>
      </c>
      <c r="M72" s="421">
        <v>24.887279738493302</v>
      </c>
      <c r="N72" s="421">
        <v>0</v>
      </c>
      <c r="O72" s="421">
        <v>0</v>
      </c>
      <c r="P72" s="421">
        <v>92.289301413656304</v>
      </c>
      <c r="Q72" s="421">
        <v>0</v>
      </c>
      <c r="R72" s="421">
        <v>7.1149935986121697</v>
      </c>
      <c r="S72" s="429">
        <v>139.251090395516</v>
      </c>
      <c r="T72" s="412"/>
    </row>
    <row r="73" spans="2:20" ht="13.5">
      <c r="B73" s="412"/>
      <c r="C73" s="428" t="s">
        <v>80</v>
      </c>
      <c r="D73" s="421">
        <v>0</v>
      </c>
      <c r="E73" s="421">
        <v>0</v>
      </c>
      <c r="F73" s="421">
        <v>0.35468706008189399</v>
      </c>
      <c r="G73" s="421">
        <v>0</v>
      </c>
      <c r="H73" s="421">
        <v>0</v>
      </c>
      <c r="I73" s="421">
        <v>0</v>
      </c>
      <c r="J73" s="421">
        <v>47.9682238056754</v>
      </c>
      <c r="K73" s="421">
        <v>0</v>
      </c>
      <c r="L73" s="421">
        <v>0</v>
      </c>
      <c r="M73" s="421">
        <v>17.598271269670001</v>
      </c>
      <c r="N73" s="421">
        <v>106.862728555422</v>
      </c>
      <c r="O73" s="421">
        <v>3.7519530039459799</v>
      </c>
      <c r="P73" s="421">
        <v>134.324841663434</v>
      </c>
      <c r="Q73" s="421">
        <v>28.562960275021499</v>
      </c>
      <c r="R73" s="421">
        <v>0</v>
      </c>
      <c r="S73" s="429">
        <v>339.42366563325101</v>
      </c>
      <c r="T73" s="412"/>
    </row>
    <row r="74" spans="2:20" ht="13.5">
      <c r="B74" s="412"/>
      <c r="C74" s="428" t="s">
        <v>81</v>
      </c>
      <c r="D74" s="421">
        <v>0</v>
      </c>
      <c r="E74" s="421">
        <v>0</v>
      </c>
      <c r="F74" s="421">
        <v>1.3910064361048399E-2</v>
      </c>
      <c r="G74" s="421">
        <v>0</v>
      </c>
      <c r="H74" s="421">
        <v>0</v>
      </c>
      <c r="I74" s="421">
        <v>0</v>
      </c>
      <c r="J74" s="421">
        <v>6.5361621549849502</v>
      </c>
      <c r="K74" s="421">
        <v>0</v>
      </c>
      <c r="L74" s="421">
        <v>0</v>
      </c>
      <c r="M74" s="421">
        <v>5.4198008615464897</v>
      </c>
      <c r="N74" s="421">
        <v>15.069021727073199</v>
      </c>
      <c r="O74" s="421">
        <v>1.4344248188770199</v>
      </c>
      <c r="P74" s="421">
        <v>109.143617899049</v>
      </c>
      <c r="Q74" s="421">
        <v>14.972206075305801</v>
      </c>
      <c r="R74" s="421">
        <v>0</v>
      </c>
      <c r="S74" s="429">
        <v>152.589143601198</v>
      </c>
      <c r="T74" s="412"/>
    </row>
    <row r="75" spans="2:20" ht="13.5">
      <c r="B75" s="412"/>
      <c r="C75" s="428" t="s">
        <v>82</v>
      </c>
      <c r="D75" s="421">
        <v>0</v>
      </c>
      <c r="E75" s="421">
        <v>0</v>
      </c>
      <c r="F75" s="421">
        <v>0</v>
      </c>
      <c r="G75" s="421">
        <v>0</v>
      </c>
      <c r="H75" s="421">
        <v>0</v>
      </c>
      <c r="I75" s="421">
        <v>0</v>
      </c>
      <c r="J75" s="421">
        <v>5.0054618408177598</v>
      </c>
      <c r="K75" s="421">
        <v>0</v>
      </c>
      <c r="L75" s="421">
        <v>18.815796579352799</v>
      </c>
      <c r="M75" s="421">
        <v>0.65554734743876097</v>
      </c>
      <c r="N75" s="421">
        <v>0</v>
      </c>
      <c r="O75" s="421">
        <v>2.1874070050904901</v>
      </c>
      <c r="P75" s="421">
        <v>5.5978638718802802</v>
      </c>
      <c r="Q75" s="421">
        <v>0</v>
      </c>
      <c r="R75" s="421">
        <v>0.443393311842667</v>
      </c>
      <c r="S75" s="429">
        <v>32.705469956422696</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8</v>
      </c>
      <c r="Q76" s="421">
        <v>0</v>
      </c>
      <c r="R76" s="421">
        <v>0</v>
      </c>
      <c r="S76" s="429">
        <v>8</v>
      </c>
      <c r="T76" s="412"/>
    </row>
    <row r="77" spans="2:20" ht="13.5">
      <c r="B77" s="412"/>
      <c r="C77" s="424" t="s">
        <v>83</v>
      </c>
      <c r="D77" s="425">
        <v>1.79989703190501</v>
      </c>
      <c r="E77" s="425">
        <v>0</v>
      </c>
      <c r="F77" s="425">
        <v>2.5920989829361201</v>
      </c>
      <c r="G77" s="425">
        <v>0</v>
      </c>
      <c r="H77" s="425">
        <v>0</v>
      </c>
      <c r="I77" s="425">
        <v>0</v>
      </c>
      <c r="J77" s="425">
        <v>72.841690529371405</v>
      </c>
      <c r="K77" s="425">
        <v>4.1186114199060402</v>
      </c>
      <c r="L77" s="425">
        <v>39.953476502827499</v>
      </c>
      <c r="M77" s="425">
        <v>112.500708510964</v>
      </c>
      <c r="N77" s="425">
        <v>121.931750282495</v>
      </c>
      <c r="O77" s="425">
        <v>7.3737848279134903</v>
      </c>
      <c r="P77" s="425">
        <v>500.11915632728898</v>
      </c>
      <c r="Q77" s="425">
        <v>70.692409156436497</v>
      </c>
      <c r="R77" s="425">
        <v>16.512616402642301</v>
      </c>
      <c r="S77" s="425">
        <v>950.43619997468704</v>
      </c>
      <c r="T77" s="412"/>
    </row>
    <row r="78" spans="2:20" ht="13.5">
      <c r="B78" s="412"/>
      <c r="C78" s="420" t="s">
        <v>84</v>
      </c>
      <c r="D78" s="421">
        <v>0.11915305480957</v>
      </c>
      <c r="E78" s="421">
        <v>0</v>
      </c>
      <c r="F78" s="421">
        <v>61.1470679855287</v>
      </c>
      <c r="G78" s="421">
        <v>3.6153613407475298</v>
      </c>
      <c r="H78" s="421">
        <v>0</v>
      </c>
      <c r="I78" s="421">
        <v>0</v>
      </c>
      <c r="J78" s="421">
        <v>0</v>
      </c>
      <c r="K78" s="421">
        <v>0</v>
      </c>
      <c r="L78" s="421">
        <v>30.1084320007324</v>
      </c>
      <c r="M78" s="421">
        <v>0</v>
      </c>
      <c r="N78" s="421">
        <v>0</v>
      </c>
      <c r="O78" s="421">
        <v>0</v>
      </c>
      <c r="P78" s="421">
        <v>0</v>
      </c>
      <c r="Q78" s="421">
        <v>0</v>
      </c>
      <c r="R78" s="421">
        <v>20.5435542449951</v>
      </c>
      <c r="S78" s="429">
        <v>115.53356862681299</v>
      </c>
      <c r="T78" s="412"/>
    </row>
    <row r="79" spans="2:20" ht="13.5">
      <c r="B79" s="412"/>
      <c r="C79" s="424" t="s">
        <v>85</v>
      </c>
      <c r="D79" s="425">
        <v>1.9190500867145801</v>
      </c>
      <c r="E79" s="425">
        <v>0</v>
      </c>
      <c r="F79" s="425">
        <v>63.7391669684649</v>
      </c>
      <c r="G79" s="425">
        <v>3.6153613407475298</v>
      </c>
      <c r="H79" s="425">
        <v>0</v>
      </c>
      <c r="I79" s="425">
        <v>0</v>
      </c>
      <c r="J79" s="425">
        <v>72.841690529371405</v>
      </c>
      <c r="K79" s="425">
        <v>4.1186114199060402</v>
      </c>
      <c r="L79" s="425">
        <v>70.061908503559906</v>
      </c>
      <c r="M79" s="425">
        <v>112.500708510964</v>
      </c>
      <c r="N79" s="425">
        <v>121.931750282495</v>
      </c>
      <c r="O79" s="425">
        <v>7.3737848279134903</v>
      </c>
      <c r="P79" s="425">
        <v>500.11915632728898</v>
      </c>
      <c r="Q79" s="425">
        <v>70.692409156436497</v>
      </c>
      <c r="R79" s="425">
        <v>37.056170647637501</v>
      </c>
      <c r="S79" s="425">
        <v>1065.9697686014999</v>
      </c>
      <c r="T79" s="412"/>
    </row>
    <row r="80" spans="2:20">
      <c r="B80" s="412"/>
      <c r="C80" s="412"/>
      <c r="D80" s="430">
        <f t="shared" ref="D80:S80" si="1">D79+D69-D55</f>
        <v>1.0658141036401503E-14</v>
      </c>
      <c r="E80" s="430">
        <f t="shared" si="1"/>
        <v>0</v>
      </c>
      <c r="F80" s="430">
        <f t="shared" si="1"/>
        <v>9.5923269327613525E-14</v>
      </c>
      <c r="G80" s="430">
        <f t="shared" si="1"/>
        <v>0</v>
      </c>
      <c r="H80" s="430">
        <f t="shared" si="1"/>
        <v>0</v>
      </c>
      <c r="I80" s="430">
        <f t="shared" si="1"/>
        <v>0</v>
      </c>
      <c r="J80" s="430">
        <f t="shared" si="1"/>
        <v>0</v>
      </c>
      <c r="K80" s="430">
        <f t="shared" si="1"/>
        <v>0</v>
      </c>
      <c r="L80" s="430">
        <f t="shared" si="1"/>
        <v>-3.979039320256561E-13</v>
      </c>
      <c r="M80" s="430">
        <f t="shared" si="1"/>
        <v>-1.9984014443252818E-13</v>
      </c>
      <c r="N80" s="430">
        <f t="shared" si="1"/>
        <v>0</v>
      </c>
      <c r="O80" s="430">
        <f t="shared" si="1"/>
        <v>0</v>
      </c>
      <c r="P80" s="430">
        <f t="shared" si="1"/>
        <v>-1.3855583347321954E-13</v>
      </c>
      <c r="Q80" s="430">
        <f t="shared" si="1"/>
        <v>-9.9475983006414026E-14</v>
      </c>
      <c r="R80" s="430">
        <f t="shared" si="1"/>
        <v>7.815970093361102E-14</v>
      </c>
      <c r="S80" s="430">
        <f t="shared" si="1"/>
        <v>3.865352482534945E-12</v>
      </c>
      <c r="T80" s="412"/>
    </row>
    <row r="81" spans="2:20">
      <c r="B81" s="412"/>
      <c r="C81" s="412"/>
      <c r="D81" s="412"/>
      <c r="E81" s="412"/>
      <c r="F81" s="412"/>
      <c r="G81" s="412"/>
      <c r="H81" s="412"/>
      <c r="I81" s="412"/>
      <c r="J81" s="412"/>
      <c r="K81" s="412"/>
      <c r="L81" s="412"/>
      <c r="M81" s="412"/>
      <c r="N81" s="412"/>
      <c r="O81" s="412"/>
      <c r="P81" s="412"/>
      <c r="Q81" s="412"/>
      <c r="R81" s="412"/>
      <c r="S81" s="412"/>
      <c r="T81" s="412"/>
    </row>
  </sheetData>
  <mergeCells count="24">
    <mergeCell ref="S47:S48"/>
    <mergeCell ref="C47:C48"/>
    <mergeCell ref="D47:D48"/>
    <mergeCell ref="E47:E48"/>
    <mergeCell ref="F47:F48"/>
    <mergeCell ref="G47:G48"/>
    <mergeCell ref="H47:H48"/>
    <mergeCell ref="I47:I48"/>
    <mergeCell ref="J47:O47"/>
    <mergeCell ref="P47:P48"/>
    <mergeCell ref="Q47:Q48"/>
    <mergeCell ref="R47:R48"/>
    <mergeCell ref="S10:S11"/>
    <mergeCell ref="C10:C11"/>
    <mergeCell ref="D10:D11"/>
    <mergeCell ref="E10:E11"/>
    <mergeCell ref="F10:F11"/>
    <mergeCell ref="G10:G11"/>
    <mergeCell ref="H10:H11"/>
    <mergeCell ref="I10:I11"/>
    <mergeCell ref="J10:O10"/>
    <mergeCell ref="P10:P11"/>
    <mergeCell ref="Q10:Q11"/>
    <mergeCell ref="R10:R11"/>
  </mergeCells>
  <conditionalFormatting sqref="S54:S56 S69:S77">
    <cfRule type="cellIs" dxfId="1672" priority="160" operator="equal">
      <formula>0</formula>
    </cfRule>
  </conditionalFormatting>
  <conditionalFormatting sqref="S69">
    <cfRule type="expression" dxfId="1671" priority="179">
      <formula>LEN(TRIM(S69))=0</formula>
    </cfRule>
  </conditionalFormatting>
  <conditionalFormatting sqref="J48:N48">
    <cfRule type="cellIs" dxfId="1670" priority="574" operator="equal">
      <formula>0</formula>
    </cfRule>
  </conditionalFormatting>
  <conditionalFormatting sqref="O48">
    <cfRule type="cellIs" dxfId="1669" priority="575" operator="equal">
      <formula>0</formula>
    </cfRule>
  </conditionalFormatting>
  <conditionalFormatting sqref="S79 S49:S51">
    <cfRule type="cellIs" dxfId="1668" priority="576" operator="equal">
      <formula>0</formula>
    </cfRule>
  </conditionalFormatting>
  <conditionalFormatting sqref="S78">
    <cfRule type="cellIs" dxfId="1667" priority="577" operator="equal">
      <formula>0</formula>
    </cfRule>
  </conditionalFormatting>
  <conditionalFormatting sqref="S71:S79 S49:S51 S54:S55">
    <cfRule type="expression" dxfId="1666" priority="578">
      <formula>LEN(TRIM(S49))=0</formula>
    </cfRule>
  </conditionalFormatting>
  <conditionalFormatting sqref="S52:S53">
    <cfRule type="cellIs" dxfId="1665" priority="579" operator="equal">
      <formula>0</formula>
    </cfRule>
  </conditionalFormatting>
  <conditionalFormatting sqref="S52:S53">
    <cfRule type="expression" dxfId="1664" priority="580">
      <formula>LEN(TRIM(S52))=0</formula>
    </cfRule>
  </conditionalFormatting>
  <conditionalFormatting sqref="S57:S68">
    <cfRule type="cellIs" dxfId="1663" priority="581" operator="equal">
      <formula>0</formula>
    </cfRule>
  </conditionalFormatting>
  <conditionalFormatting sqref="S57:S68">
    <cfRule type="expression" dxfId="1662" priority="582">
      <formula>LEN(TRIM(S57))=0</formula>
    </cfRule>
  </conditionalFormatting>
  <conditionalFormatting sqref="D79:R79 P70:R70 D70:I70 D71:R77 D69:R69 D50:R56 D49:G49 L49:M49 P49:R49">
    <cfRule type="cellIs" dxfId="1661" priority="583" operator="equal">
      <formula>0</formula>
    </cfRule>
  </conditionalFormatting>
  <conditionalFormatting sqref="P49:P51">
    <cfRule type="cellIs" dxfId="1660" priority="584" operator="equal">
      <formula>0</formula>
    </cfRule>
  </conditionalFormatting>
  <conditionalFormatting sqref="P49:R49 L49:M49 D50:R51">
    <cfRule type="cellIs" dxfId="1659" priority="585" operator="equal">
      <formula>0</formula>
    </cfRule>
  </conditionalFormatting>
  <conditionalFormatting sqref="F50:F51">
    <cfRule type="cellIs" dxfId="1658" priority="586" operator="equal">
      <formula>0</formula>
    </cfRule>
  </conditionalFormatting>
  <conditionalFormatting sqref="L49:M49">
    <cfRule type="cellIs" dxfId="1657" priority="587" operator="equal">
      <formula>0</formula>
    </cfRule>
  </conditionalFormatting>
  <conditionalFormatting sqref="J52:J54 J70">
    <cfRule type="cellIs" dxfId="1656" priority="588" operator="equal">
      <formula>0</formula>
    </cfRule>
  </conditionalFormatting>
  <conditionalFormatting sqref="J50:J51">
    <cfRule type="cellIs" dxfId="1655" priority="589" operator="equal">
      <formula>0</formula>
    </cfRule>
  </conditionalFormatting>
  <conditionalFormatting sqref="K52:K54 K70">
    <cfRule type="cellIs" dxfId="1654" priority="590" operator="equal">
      <formula>0</formula>
    </cfRule>
  </conditionalFormatting>
  <conditionalFormatting sqref="K50:K51">
    <cfRule type="cellIs" dxfId="1653" priority="591" operator="equal">
      <formula>0</formula>
    </cfRule>
  </conditionalFormatting>
  <conditionalFormatting sqref="L52:L54 L70">
    <cfRule type="cellIs" dxfId="1652" priority="592" operator="equal">
      <formula>0</formula>
    </cfRule>
  </conditionalFormatting>
  <conditionalFormatting sqref="L49:L51">
    <cfRule type="cellIs" dxfId="1651" priority="593" operator="equal">
      <formula>0</formula>
    </cfRule>
  </conditionalFormatting>
  <conditionalFormatting sqref="M52:M54 M70">
    <cfRule type="cellIs" dxfId="1650" priority="594" operator="equal">
      <formula>0</formula>
    </cfRule>
  </conditionalFormatting>
  <conditionalFormatting sqref="M49:M51">
    <cfRule type="cellIs" dxfId="1649" priority="595" operator="equal">
      <formula>0</formula>
    </cfRule>
  </conditionalFormatting>
  <conditionalFormatting sqref="N52:N54 N70">
    <cfRule type="cellIs" dxfId="1648" priority="596" operator="equal">
      <formula>0</formula>
    </cfRule>
  </conditionalFormatting>
  <conditionalFormatting sqref="N50:N51">
    <cfRule type="cellIs" dxfId="1647" priority="597" operator="equal">
      <formula>0</formula>
    </cfRule>
  </conditionalFormatting>
  <conditionalFormatting sqref="O52:O54 O70">
    <cfRule type="cellIs" dxfId="1646" priority="598" operator="equal">
      <formula>0</formula>
    </cfRule>
  </conditionalFormatting>
  <conditionalFormatting sqref="O50:O51">
    <cfRule type="cellIs" dxfId="1645" priority="599" operator="equal">
      <formula>0</formula>
    </cfRule>
  </conditionalFormatting>
  <conditionalFormatting sqref="D78:R78">
    <cfRule type="cellIs" dxfId="1644" priority="600" operator="equal">
      <formula>0</formula>
    </cfRule>
  </conditionalFormatting>
  <conditionalFormatting sqref="D71:R79 D69:R69 D50:R55 D49:G49 L49:M49 P49:R49">
    <cfRule type="expression" dxfId="1643" priority="601">
      <formula>LEN(TRIM(D49))=0</formula>
    </cfRule>
  </conditionalFormatting>
  <conditionalFormatting sqref="D78:R78">
    <cfRule type="cellIs" dxfId="1642" priority="602" operator="equal">
      <formula>0</formula>
    </cfRule>
  </conditionalFormatting>
  <conditionalFormatting sqref="L52:L53">
    <cfRule type="cellIs" dxfId="1641" priority="603" operator="equal">
      <formula>0</formula>
    </cfRule>
  </conditionalFormatting>
  <conditionalFormatting sqref="M52:M53">
    <cfRule type="cellIs" dxfId="1640" priority="604" operator="equal">
      <formula>0</formula>
    </cfRule>
  </conditionalFormatting>
  <conditionalFormatting sqref="N52:O52">
    <cfRule type="cellIs" dxfId="1639" priority="605" operator="equal">
      <formula>0</formula>
    </cfRule>
  </conditionalFormatting>
  <conditionalFormatting sqref="N53:O53">
    <cfRule type="cellIs" dxfId="1638" priority="606" operator="equal">
      <formula>0</formula>
    </cfRule>
  </conditionalFormatting>
  <conditionalFormatting sqref="D57:R68">
    <cfRule type="cellIs" dxfId="1637" priority="607" operator="equal">
      <formula>0</formula>
    </cfRule>
  </conditionalFormatting>
  <conditionalFormatting sqref="D57:R68">
    <cfRule type="expression" dxfId="1636" priority="608">
      <formula>LEN(TRIM(D57))=0</formula>
    </cfRule>
  </conditionalFormatting>
  <conditionalFormatting sqref="H49">
    <cfRule type="cellIs" dxfId="1635" priority="609" operator="equal">
      <formula>0</formula>
    </cfRule>
  </conditionalFormatting>
  <conditionalFormatting sqref="I49">
    <cfRule type="cellIs" dxfId="1634" priority="610" operator="equal">
      <formula>0</formula>
    </cfRule>
  </conditionalFormatting>
  <conditionalFormatting sqref="J49:K49">
    <cfRule type="cellIs" dxfId="1633" priority="611" operator="equal">
      <formula>0</formula>
    </cfRule>
  </conditionalFormatting>
  <conditionalFormatting sqref="K49">
    <cfRule type="cellIs" dxfId="1632" priority="612" operator="equal">
      <formula>0</formula>
    </cfRule>
  </conditionalFormatting>
  <conditionalFormatting sqref="H49:K49">
    <cfRule type="expression" dxfId="1631" priority="613">
      <formula>LEN(TRIM(H49))=0</formula>
    </cfRule>
  </conditionalFormatting>
  <conditionalFormatting sqref="N49:O49">
    <cfRule type="cellIs" dxfId="1630" priority="614" operator="equal">
      <formula>0</formula>
    </cfRule>
  </conditionalFormatting>
  <conditionalFormatting sqref="N49:O49">
    <cfRule type="cellIs" dxfId="1629" priority="615" operator="equal">
      <formula>0</formula>
    </cfRule>
  </conditionalFormatting>
  <conditionalFormatting sqref="N49:O49">
    <cfRule type="expression" dxfId="1628" priority="616">
      <formula>LEN(TRIM(N49))=0</formula>
    </cfRule>
  </conditionalFormatting>
  <conditionalFormatting sqref="M23">
    <cfRule type="expression" dxfId="1627" priority="63">
      <formula>LEN(TRIM(M23))=0</formula>
    </cfRule>
  </conditionalFormatting>
  <conditionalFormatting sqref="M23">
    <cfRule type="cellIs" dxfId="1626" priority="62" operator="equal">
      <formula>0</formula>
    </cfRule>
  </conditionalFormatting>
  <conditionalFormatting sqref="R27:R28">
    <cfRule type="expression" dxfId="1625" priority="61">
      <formula>LEN(TRIM(R27))=0</formula>
    </cfRule>
  </conditionalFormatting>
  <conditionalFormatting sqref="R27:R28">
    <cfRule type="cellIs" dxfId="1624" priority="60" operator="equal">
      <formula>0</formula>
    </cfRule>
  </conditionalFormatting>
  <conditionalFormatting sqref="D27:Q28">
    <cfRule type="expression" dxfId="1623" priority="59">
      <formula>LEN(TRIM(D27))=0</formula>
    </cfRule>
  </conditionalFormatting>
  <conditionalFormatting sqref="D27:Q28">
    <cfRule type="cellIs" dxfId="1622" priority="58" operator="equal">
      <formula>0</formula>
    </cfRule>
  </conditionalFormatting>
  <conditionalFormatting sqref="S20:S31">
    <cfRule type="expression" dxfId="1621" priority="57">
      <formula>LEN(TRIM(S20))=0</formula>
    </cfRule>
  </conditionalFormatting>
  <conditionalFormatting sqref="S20:S31">
    <cfRule type="cellIs" dxfId="1620" priority="56" operator="equal">
      <formula>0</formula>
    </cfRule>
  </conditionalFormatting>
  <conditionalFormatting sqref="R20:R26 R29:R31">
    <cfRule type="expression" dxfId="1619" priority="55">
      <formula>LEN(TRIM(R20))=0</formula>
    </cfRule>
  </conditionalFormatting>
  <conditionalFormatting sqref="R20:R26 R29:R31">
    <cfRule type="cellIs" dxfId="1618" priority="54" operator="equal">
      <formula>0</formula>
    </cfRule>
  </conditionalFormatting>
  <conditionalFormatting sqref="D42:S42">
    <cfRule type="expression" dxfId="1617" priority="53">
      <formula>LEN(TRIM(D42))=0</formula>
    </cfRule>
  </conditionalFormatting>
  <conditionalFormatting sqref="D42:S42">
    <cfRule type="cellIs" dxfId="1616" priority="52" operator="equal">
      <formula>0</formula>
    </cfRule>
  </conditionalFormatting>
  <conditionalFormatting sqref="D41:R41">
    <cfRule type="cellIs" dxfId="1615" priority="51" operator="equal">
      <formula>0</formula>
    </cfRule>
  </conditionalFormatting>
  <conditionalFormatting sqref="D34:S41">
    <cfRule type="expression" dxfId="1614" priority="50">
      <formula>LEN(TRIM(D34))=0</formula>
    </cfRule>
  </conditionalFormatting>
  <conditionalFormatting sqref="D41:S41">
    <cfRule type="cellIs" dxfId="1613" priority="49" operator="equal">
      <formula>0</formula>
    </cfRule>
  </conditionalFormatting>
  <conditionalFormatting sqref="S34:S41 D34:R40">
    <cfRule type="cellIs" dxfId="1612" priority="48" operator="equal">
      <formula>0</formula>
    </cfRule>
  </conditionalFormatting>
  <conditionalFormatting sqref="D32:S32">
    <cfRule type="expression" dxfId="1611" priority="47">
      <formula>LEN(TRIM(D32))=0</formula>
    </cfRule>
  </conditionalFormatting>
  <conditionalFormatting sqref="D32:S32">
    <cfRule type="cellIs" dxfId="1610" priority="46" operator="equal">
      <formula>0</formula>
    </cfRule>
  </conditionalFormatting>
  <conditionalFormatting sqref="D18:S18">
    <cfRule type="expression" dxfId="1609" priority="45">
      <formula>LEN(TRIM(D18))=0</formula>
    </cfRule>
  </conditionalFormatting>
  <conditionalFormatting sqref="D18:S18">
    <cfRule type="cellIs" dxfId="1608" priority="44" operator="equal">
      <formula>0</formula>
    </cfRule>
  </conditionalFormatting>
  <conditionalFormatting sqref="N16:O16">
    <cfRule type="cellIs" dxfId="1607" priority="43" operator="equal">
      <formula>0</formula>
    </cfRule>
  </conditionalFormatting>
  <conditionalFormatting sqref="N15:O15">
    <cfRule type="cellIs" dxfId="1606" priority="42" operator="equal">
      <formula>0</formula>
    </cfRule>
  </conditionalFormatting>
  <conditionalFormatting sqref="M15:M16">
    <cfRule type="cellIs" dxfId="1605" priority="41" operator="equal">
      <formula>0</formula>
    </cfRule>
  </conditionalFormatting>
  <conditionalFormatting sqref="L15:L16">
    <cfRule type="cellIs" dxfId="1604" priority="40" operator="equal">
      <formula>0</formula>
    </cfRule>
  </conditionalFormatting>
  <conditionalFormatting sqref="D15:O16 R15:R16">
    <cfRule type="expression" dxfId="1603" priority="39">
      <formula>LEN(TRIM(D15))=0</formula>
    </cfRule>
  </conditionalFormatting>
  <conditionalFormatting sqref="O15:O16">
    <cfRule type="cellIs" dxfId="1602" priority="38" operator="equal">
      <formula>0</formula>
    </cfRule>
  </conditionalFormatting>
  <conditionalFormatting sqref="N15:N16">
    <cfRule type="cellIs" dxfId="1601" priority="37" operator="equal">
      <formula>0</formula>
    </cfRule>
  </conditionalFormatting>
  <conditionalFormatting sqref="M15:M16">
    <cfRule type="cellIs" dxfId="1600" priority="36" operator="equal">
      <formula>0</formula>
    </cfRule>
  </conditionalFormatting>
  <conditionalFormatting sqref="L15:L16">
    <cfRule type="cellIs" dxfId="1599" priority="35" operator="equal">
      <formula>0</formula>
    </cfRule>
  </conditionalFormatting>
  <conditionalFormatting sqref="K15:K16">
    <cfRule type="cellIs" dxfId="1598" priority="34" operator="equal">
      <formula>0</formula>
    </cfRule>
  </conditionalFormatting>
  <conditionalFormatting sqref="J15:J16">
    <cfRule type="cellIs" dxfId="1597" priority="33" operator="equal">
      <formula>0</formula>
    </cfRule>
  </conditionalFormatting>
  <conditionalFormatting sqref="D15:O16 R15:R16">
    <cfRule type="cellIs" dxfId="1596" priority="32" operator="equal">
      <formula>0</formula>
    </cfRule>
  </conditionalFormatting>
  <conditionalFormatting sqref="D24:Q24 D23:L23 N23:Q23">
    <cfRule type="expression" dxfId="1595" priority="31">
      <formula>LEN(TRIM(D23))=0</formula>
    </cfRule>
  </conditionalFormatting>
  <conditionalFormatting sqref="D24:Q24 D23:L23 N23:Q23">
    <cfRule type="cellIs" dxfId="1594" priority="30" operator="equal">
      <formula>0</formula>
    </cfRule>
  </conditionalFormatting>
  <conditionalFormatting sqref="S12:S17">
    <cfRule type="expression" dxfId="1593" priority="29">
      <formula>LEN(TRIM(S12))=0</formula>
    </cfRule>
  </conditionalFormatting>
  <conditionalFormatting sqref="S12:S17">
    <cfRule type="cellIs" dxfId="1592" priority="28" operator="equal">
      <formula>0</formula>
    </cfRule>
  </conditionalFormatting>
  <conditionalFormatting sqref="D12:P12 P13:P17 R12 Q12:Q17">
    <cfRule type="expression" dxfId="1591" priority="27">
      <formula>LEN(TRIM(D12))=0</formula>
    </cfRule>
  </conditionalFormatting>
  <conditionalFormatting sqref="K12">
    <cfRule type="cellIs" dxfId="1590" priority="26" operator="equal">
      <formula>0</formula>
    </cfRule>
  </conditionalFormatting>
  <conditionalFormatting sqref="J12">
    <cfRule type="cellIs" dxfId="1589" priority="25" operator="equal">
      <formula>0</formula>
    </cfRule>
  </conditionalFormatting>
  <conditionalFormatting sqref="L12:O12">
    <cfRule type="cellIs" dxfId="1588" priority="24" operator="equal">
      <formula>0</formula>
    </cfRule>
  </conditionalFormatting>
  <conditionalFormatting sqref="I12">
    <cfRule type="cellIs" dxfId="1587" priority="23" operator="equal">
      <formula>0</formula>
    </cfRule>
  </conditionalFormatting>
  <conditionalFormatting sqref="H12">
    <cfRule type="cellIs" dxfId="1586" priority="22" operator="equal">
      <formula>0</formula>
    </cfRule>
  </conditionalFormatting>
  <conditionalFormatting sqref="D12:G12 R12 P12:Q17">
    <cfRule type="cellIs" dxfId="1585" priority="21" operator="equal">
      <formula>0</formula>
    </cfRule>
  </conditionalFormatting>
  <conditionalFormatting sqref="D13:O14 D17:O17 R17 R13:R14 D25:Q26 D29:Q31">
    <cfRule type="expression" dxfId="1584" priority="20">
      <formula>LEN(TRIM(D13))=0</formula>
    </cfRule>
  </conditionalFormatting>
  <conditionalFormatting sqref="O13:O14">
    <cfRule type="cellIs" dxfId="1583" priority="19" operator="equal">
      <formula>0</formula>
    </cfRule>
  </conditionalFormatting>
  <conditionalFormatting sqref="O17 O33">
    <cfRule type="cellIs" dxfId="1582" priority="18" operator="equal">
      <formula>0</formula>
    </cfRule>
  </conditionalFormatting>
  <conditionalFormatting sqref="N13:N14">
    <cfRule type="cellIs" dxfId="1581" priority="17" operator="equal">
      <formula>0</formula>
    </cfRule>
  </conditionalFormatting>
  <conditionalFormatting sqref="N17 N33">
    <cfRule type="cellIs" dxfId="1580" priority="16" operator="equal">
      <formula>0</formula>
    </cfRule>
  </conditionalFormatting>
  <conditionalFormatting sqref="M13:M14">
    <cfRule type="cellIs" dxfId="1579" priority="15" operator="equal">
      <formula>0</formula>
    </cfRule>
  </conditionalFormatting>
  <conditionalFormatting sqref="M17 M33">
    <cfRule type="cellIs" dxfId="1578" priority="14" operator="equal">
      <formula>0</formula>
    </cfRule>
  </conditionalFormatting>
  <conditionalFormatting sqref="L13:L14">
    <cfRule type="cellIs" dxfId="1577" priority="13" operator="equal">
      <formula>0</formula>
    </cfRule>
  </conditionalFormatting>
  <conditionalFormatting sqref="L17 L33">
    <cfRule type="cellIs" dxfId="1576" priority="12" operator="equal">
      <formula>0</formula>
    </cfRule>
  </conditionalFormatting>
  <conditionalFormatting sqref="K13:K14">
    <cfRule type="cellIs" dxfId="1575" priority="11" operator="equal">
      <formula>0</formula>
    </cfRule>
  </conditionalFormatting>
  <conditionalFormatting sqref="K17 K33">
    <cfRule type="cellIs" dxfId="1574" priority="10" operator="equal">
      <formula>0</formula>
    </cfRule>
  </conditionalFormatting>
  <conditionalFormatting sqref="J13:J14">
    <cfRule type="cellIs" dxfId="1573" priority="9" operator="equal">
      <formula>0</formula>
    </cfRule>
  </conditionalFormatting>
  <conditionalFormatting sqref="J17 J33">
    <cfRule type="cellIs" dxfId="1572" priority="8" operator="equal">
      <formula>0</formula>
    </cfRule>
  </conditionalFormatting>
  <conditionalFormatting sqref="O11">
    <cfRule type="cellIs" dxfId="1571" priority="7" operator="equal">
      <formula>0</formula>
    </cfRule>
  </conditionalFormatting>
  <conditionalFormatting sqref="D29:Q31">
    <cfRule type="cellIs" dxfId="1570" priority="6" operator="equal">
      <formula>0</formula>
    </cfRule>
  </conditionalFormatting>
  <conditionalFormatting sqref="F13:F14">
    <cfRule type="cellIs" dxfId="1569" priority="5" operator="equal">
      <formula>0</formula>
    </cfRule>
  </conditionalFormatting>
  <conditionalFormatting sqref="D13:E14 H13:I14">
    <cfRule type="cellIs" dxfId="1568" priority="4" operator="equal">
      <formula>0</formula>
    </cfRule>
  </conditionalFormatting>
  <conditionalFormatting sqref="R13:R14 R17 G13:G14 D17:I17 J11:N11 P33:R33 D33:I33 D30:Q31 D25:Q26">
    <cfRule type="cellIs" dxfId="1567" priority="3" operator="equal">
      <formula>0</formula>
    </cfRule>
  </conditionalFormatting>
  <conditionalFormatting sqref="D20:Q22">
    <cfRule type="expression" dxfId="1566" priority="2">
      <formula>LEN(TRIM(D20))=0</formula>
    </cfRule>
  </conditionalFormatting>
  <conditionalFormatting sqref="S33 D20:Q22 D19:S19">
    <cfRule type="cellIs" dxfId="1565" priority="1" operator="equal">
      <formula>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C65A-2315-447B-9A38-4E195EAFB769}">
  <dimension ref="B2:V44"/>
  <sheetViews>
    <sheetView topLeftCell="A9" zoomScale="55" zoomScaleNormal="55" workbookViewId="0">
      <selection activeCell="M41" sqref="M41"/>
    </sheetView>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89</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03" t="s">
        <v>57</v>
      </c>
      <c r="Q10" s="703" t="s">
        <v>58</v>
      </c>
      <c r="R10" s="703" t="s">
        <v>31</v>
      </c>
      <c r="S10" s="703"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03"/>
      <c r="Q11" s="703"/>
      <c r="R11" s="703"/>
      <c r="S11" s="703"/>
      <c r="T11" s="412"/>
    </row>
    <row r="12" spans="2:20" ht="13.5">
      <c r="B12" s="412"/>
      <c r="C12" s="420" t="s">
        <v>59</v>
      </c>
      <c r="D12" s="421">
        <v>0</v>
      </c>
      <c r="E12" s="421">
        <v>0</v>
      </c>
      <c r="F12" s="422">
        <v>0</v>
      </c>
      <c r="G12" s="421">
        <v>0</v>
      </c>
      <c r="H12" s="422">
        <v>764.84848484848499</v>
      </c>
      <c r="I12" s="422">
        <v>419.9</v>
      </c>
      <c r="J12" s="422">
        <v>351.24173188830201</v>
      </c>
      <c r="K12" s="422">
        <v>37.066117395131201</v>
      </c>
      <c r="L12" s="422">
        <v>0</v>
      </c>
      <c r="M12" s="422">
        <v>0</v>
      </c>
      <c r="N12" s="432">
        <v>121.931750282495</v>
      </c>
      <c r="O12" s="509">
        <v>22.204473213427001</v>
      </c>
      <c r="P12" s="422">
        <v>0</v>
      </c>
      <c r="Q12" s="422">
        <v>0</v>
      </c>
      <c r="R12" s="422">
        <v>0</v>
      </c>
      <c r="S12" s="423">
        <v>1717.19255762784</v>
      </c>
      <c r="T12" s="412"/>
    </row>
    <row r="13" spans="2:20" ht="13.5">
      <c r="B13" s="412"/>
      <c r="C13" s="420" t="s">
        <v>60</v>
      </c>
      <c r="D13" s="422">
        <v>4.3798405072467999</v>
      </c>
      <c r="E13" s="422">
        <v>113.59926767676799</v>
      </c>
      <c r="F13" s="422">
        <v>0.79806856250441205</v>
      </c>
      <c r="G13" s="422">
        <v>3.6153613407475298</v>
      </c>
      <c r="H13" s="422">
        <v>0</v>
      </c>
      <c r="I13" s="422">
        <v>0</v>
      </c>
      <c r="J13" s="422">
        <v>0</v>
      </c>
      <c r="K13" s="422">
        <v>0</v>
      </c>
      <c r="L13" s="422">
        <v>0</v>
      </c>
      <c r="M13" s="432">
        <v>0</v>
      </c>
      <c r="N13" s="422">
        <v>0</v>
      </c>
      <c r="O13" s="422">
        <v>0</v>
      </c>
      <c r="P13" s="432">
        <v>29.820654435364101</v>
      </c>
      <c r="Q13" s="422">
        <v>0</v>
      </c>
      <c r="R13" s="432">
        <v>0</v>
      </c>
      <c r="S13" s="423">
        <v>152.213192522631</v>
      </c>
      <c r="T13" s="412"/>
    </row>
    <row r="14" spans="2:20" ht="13.5">
      <c r="B14" s="412"/>
      <c r="C14" s="420" t="s">
        <v>61</v>
      </c>
      <c r="D14" s="422">
        <v>0</v>
      </c>
      <c r="E14" s="422">
        <v>0</v>
      </c>
      <c r="F14" s="422">
        <v>0</v>
      </c>
      <c r="G14" s="422">
        <v>0</v>
      </c>
      <c r="H14" s="422">
        <v>0</v>
      </c>
      <c r="I14" s="422">
        <v>0</v>
      </c>
      <c r="J14" s="422">
        <v>0</v>
      </c>
      <c r="K14" s="422">
        <v>0</v>
      </c>
      <c r="L14" s="422">
        <v>0</v>
      </c>
      <c r="M14" s="432">
        <v>0</v>
      </c>
      <c r="N14" s="422">
        <v>0</v>
      </c>
      <c r="O14" s="422">
        <v>0</v>
      </c>
      <c r="P14" s="432">
        <v>0</v>
      </c>
      <c r="Q14" s="422">
        <v>0</v>
      </c>
      <c r="R14" s="432">
        <v>0</v>
      </c>
      <c r="S14" s="423">
        <v>0</v>
      </c>
      <c r="T14" s="412"/>
    </row>
    <row r="15" spans="2:20" ht="13.5">
      <c r="B15" s="412"/>
      <c r="C15" s="420" t="s">
        <v>62</v>
      </c>
      <c r="D15" s="421">
        <v>0</v>
      </c>
      <c r="E15" s="421">
        <v>0</v>
      </c>
      <c r="F15" s="421">
        <v>-5.3013702027186103</v>
      </c>
      <c r="G15" s="421">
        <v>0</v>
      </c>
      <c r="H15" s="421">
        <v>0</v>
      </c>
      <c r="I15" s="421">
        <v>0</v>
      </c>
      <c r="J15" s="421">
        <v>0</v>
      </c>
      <c r="K15" s="421">
        <v>0</v>
      </c>
      <c r="L15" s="431">
        <v>0</v>
      </c>
      <c r="M15" s="431">
        <v>-5.1137296191647996</v>
      </c>
      <c r="N15" s="421">
        <v>0</v>
      </c>
      <c r="O15" s="421">
        <v>0</v>
      </c>
      <c r="P15" s="422">
        <v>0</v>
      </c>
      <c r="Q15" s="422">
        <v>0</v>
      </c>
      <c r="R15" s="431">
        <v>0</v>
      </c>
      <c r="S15" s="423">
        <v>-10.4150998218834</v>
      </c>
      <c r="T15" s="412"/>
    </row>
    <row r="16" spans="2:20" ht="13.5">
      <c r="B16" s="412"/>
      <c r="C16" s="420" t="s">
        <v>63</v>
      </c>
      <c r="D16" s="421">
        <v>0</v>
      </c>
      <c r="E16" s="421">
        <v>0</v>
      </c>
      <c r="F16" s="421">
        <v>-26.554014229686601</v>
      </c>
      <c r="G16" s="421">
        <v>0</v>
      </c>
      <c r="H16" s="421">
        <v>0</v>
      </c>
      <c r="I16" s="421">
        <v>0</v>
      </c>
      <c r="J16" s="421">
        <v>0</v>
      </c>
      <c r="K16" s="421">
        <v>0</v>
      </c>
      <c r="L16" s="431">
        <v>-53.337452419875703</v>
      </c>
      <c r="M16" s="431">
        <v>0</v>
      </c>
      <c r="N16" s="421">
        <v>0</v>
      </c>
      <c r="O16" s="421">
        <v>0</v>
      </c>
      <c r="P16" s="422">
        <v>0</v>
      </c>
      <c r="Q16" s="422">
        <v>0</v>
      </c>
      <c r="R16" s="431">
        <v>-3.3454941468715802</v>
      </c>
      <c r="S16" s="423">
        <v>-83.236960796433806</v>
      </c>
      <c r="T16" s="412"/>
    </row>
    <row r="17" spans="2:22" ht="13.5">
      <c r="B17" s="412"/>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T17" s="412"/>
    </row>
    <row r="18" spans="2:22" ht="13.5">
      <c r="B18" s="412"/>
      <c r="C18" s="424" t="s">
        <v>65</v>
      </c>
      <c r="D18" s="510">
        <v>4.3798405072467999</v>
      </c>
      <c r="E18" s="510">
        <v>113.59926767676799</v>
      </c>
      <c r="F18" s="510">
        <v>-31.057315869900801</v>
      </c>
      <c r="G18" s="510">
        <v>3.6153613407475298</v>
      </c>
      <c r="H18" s="425">
        <v>764.84848484848499</v>
      </c>
      <c r="I18" s="425">
        <v>419.9</v>
      </c>
      <c r="J18" s="425">
        <v>351.24173188830201</v>
      </c>
      <c r="K18" s="510">
        <v>37.066117395131201</v>
      </c>
      <c r="L18" s="425">
        <v>-53.337452419875703</v>
      </c>
      <c r="M18" s="425">
        <v>-5.1137296191647996</v>
      </c>
      <c r="N18" s="425">
        <v>121.931750282495</v>
      </c>
      <c r="O18" s="425">
        <v>22.204473213427001</v>
      </c>
      <c r="P18" s="425">
        <v>29.820654435364101</v>
      </c>
      <c r="Q18" s="425">
        <v>0</v>
      </c>
      <c r="R18" s="425">
        <v>-3.3454941468715802</v>
      </c>
      <c r="S18" s="425">
        <v>1775.75368953215</v>
      </c>
      <c r="T18" s="412"/>
    </row>
    <row r="19" spans="2:22" ht="13.5">
      <c r="B19" s="412"/>
      <c r="C19" s="426"/>
      <c r="D19" s="427"/>
      <c r="E19" s="492"/>
      <c r="F19" s="492"/>
      <c r="G19" s="492"/>
      <c r="H19" s="427"/>
      <c r="I19" s="427"/>
      <c r="J19" s="427"/>
      <c r="K19" s="492"/>
      <c r="L19" s="427"/>
      <c r="M19" s="427"/>
      <c r="N19" s="427"/>
      <c r="O19" s="427"/>
      <c r="P19" s="492"/>
      <c r="Q19" s="492"/>
      <c r="R19" s="427"/>
      <c r="S19" s="427"/>
      <c r="T19" s="412"/>
    </row>
    <row r="20" spans="2:22" ht="13.5">
      <c r="B20" s="412"/>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T20" s="412"/>
    </row>
    <row r="21" spans="2:22" ht="13.5">
      <c r="B21" s="412"/>
      <c r="C21" s="428" t="s">
        <v>350</v>
      </c>
      <c r="D21" s="431">
        <v>0</v>
      </c>
      <c r="E21" s="421">
        <v>0</v>
      </c>
      <c r="F21" s="431">
        <v>0</v>
      </c>
      <c r="G21" s="431">
        <v>0</v>
      </c>
      <c r="H21" s="431">
        <v>764.84848484848499</v>
      </c>
      <c r="I21" s="431">
        <v>419.9</v>
      </c>
      <c r="J21" s="431">
        <v>14.837077022078001</v>
      </c>
      <c r="K21" s="431">
        <v>4.2997987248322396</v>
      </c>
      <c r="L21" s="421">
        <v>0</v>
      </c>
      <c r="M21" s="431">
        <v>0.66666666666666696</v>
      </c>
      <c r="N21" s="421">
        <v>0</v>
      </c>
      <c r="O21" s="421">
        <v>0</v>
      </c>
      <c r="P21" s="421">
        <v>-682.5</v>
      </c>
      <c r="Q21" s="421">
        <v>0</v>
      </c>
      <c r="R21" s="432">
        <v>3.75</v>
      </c>
      <c r="S21" s="491">
        <v>525.80202726206198</v>
      </c>
      <c r="T21" s="412"/>
    </row>
    <row r="22" spans="2:22" ht="13.5">
      <c r="B22" s="412"/>
      <c r="C22" s="428" t="s">
        <v>351</v>
      </c>
      <c r="D22" s="431">
        <v>0</v>
      </c>
      <c r="E22" s="421">
        <v>0</v>
      </c>
      <c r="F22" s="431">
        <v>0</v>
      </c>
      <c r="G22" s="431">
        <v>0</v>
      </c>
      <c r="H22" s="421">
        <v>0</v>
      </c>
      <c r="I22" s="421">
        <v>0</v>
      </c>
      <c r="J22" s="431">
        <v>28.8847744791587</v>
      </c>
      <c r="K22" s="431">
        <v>27.390111238212</v>
      </c>
      <c r="L22" s="421">
        <v>0</v>
      </c>
      <c r="M22" s="431">
        <v>10.9493569082394</v>
      </c>
      <c r="N22" s="421">
        <v>0</v>
      </c>
      <c r="O22" s="431">
        <v>14.830688385513501</v>
      </c>
      <c r="P22" s="421">
        <v>0</v>
      </c>
      <c r="Q22" s="421">
        <v>-76.630571525577196</v>
      </c>
      <c r="R22" s="432">
        <v>0</v>
      </c>
      <c r="S22" s="491">
        <v>5.4243594855463497</v>
      </c>
      <c r="T22" s="412"/>
    </row>
    <row r="23" spans="2:22" ht="13.5">
      <c r="B23" s="412"/>
      <c r="C23" s="428" t="s">
        <v>352</v>
      </c>
      <c r="D23" s="421">
        <v>0</v>
      </c>
      <c r="E23" s="421">
        <v>0</v>
      </c>
      <c r="F23" s="421">
        <v>0</v>
      </c>
      <c r="G23" s="421">
        <v>0</v>
      </c>
      <c r="H23" s="421">
        <v>0</v>
      </c>
      <c r="I23" s="421">
        <v>0</v>
      </c>
      <c r="J23" s="431">
        <v>141.99486817496901</v>
      </c>
      <c r="K23" s="421">
        <v>0</v>
      </c>
      <c r="L23" s="421">
        <v>0</v>
      </c>
      <c r="M23" s="421">
        <v>-135.60509910709601</v>
      </c>
      <c r="N23" s="421">
        <v>0</v>
      </c>
      <c r="O23" s="421">
        <v>0</v>
      </c>
      <c r="P23" s="421">
        <v>0</v>
      </c>
      <c r="Q23" s="421">
        <v>0</v>
      </c>
      <c r="R23" s="422">
        <v>0</v>
      </c>
      <c r="S23" s="491">
        <v>6.3897690678736296</v>
      </c>
      <c r="T23" s="412"/>
    </row>
    <row r="24" spans="2:22"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T24" s="412"/>
    </row>
    <row r="25" spans="2:22" ht="13.5">
      <c r="B25" s="412"/>
      <c r="C25" s="428" t="s">
        <v>72</v>
      </c>
      <c r="D25" s="421">
        <v>0</v>
      </c>
      <c r="E25" s="431">
        <v>117.67676767676799</v>
      </c>
      <c r="F25" s="421">
        <v>-116.5</v>
      </c>
      <c r="G25" s="431">
        <v>0</v>
      </c>
      <c r="H25" s="421">
        <v>0</v>
      </c>
      <c r="I25" s="421">
        <v>0</v>
      </c>
      <c r="J25" s="421">
        <v>0</v>
      </c>
      <c r="K25" s="421">
        <v>0</v>
      </c>
      <c r="L25" s="421">
        <v>0</v>
      </c>
      <c r="M25" s="421">
        <v>0</v>
      </c>
      <c r="N25" s="421">
        <v>0</v>
      </c>
      <c r="O25" s="421">
        <v>0</v>
      </c>
      <c r="P25" s="421">
        <v>0</v>
      </c>
      <c r="Q25" s="421">
        <v>0</v>
      </c>
      <c r="R25" s="422">
        <v>0</v>
      </c>
      <c r="S25" s="491">
        <v>1.17676767676768</v>
      </c>
      <c r="T25" s="412"/>
    </row>
    <row r="26" spans="2:22" ht="13.5">
      <c r="B26" s="412"/>
      <c r="C26" s="428" t="s">
        <v>354</v>
      </c>
      <c r="D26" s="421">
        <v>0</v>
      </c>
      <c r="E26" s="421">
        <v>0</v>
      </c>
      <c r="F26" s="421">
        <v>0</v>
      </c>
      <c r="G26" s="421">
        <v>0</v>
      </c>
      <c r="H26" s="421">
        <v>0</v>
      </c>
      <c r="I26" s="421">
        <v>0</v>
      </c>
      <c r="J26" s="421">
        <v>92.683321682724895</v>
      </c>
      <c r="K26" s="421">
        <v>0</v>
      </c>
      <c r="L26" s="431">
        <v>-92.683321682724895</v>
      </c>
      <c r="M26" s="421">
        <v>0</v>
      </c>
      <c r="N26" s="421">
        <v>0</v>
      </c>
      <c r="O26" s="421">
        <v>0</v>
      </c>
      <c r="P26" s="421">
        <v>0</v>
      </c>
      <c r="Q26" s="421">
        <v>0</v>
      </c>
      <c r="R26" s="422">
        <v>0</v>
      </c>
      <c r="S26" s="423">
        <v>0</v>
      </c>
      <c r="T26" s="412"/>
    </row>
    <row r="27" spans="2:22" ht="13.5">
      <c r="B27" s="412"/>
      <c r="C27" s="428" t="s">
        <v>355</v>
      </c>
      <c r="D27" s="421">
        <v>0</v>
      </c>
      <c r="E27" s="421">
        <v>0</v>
      </c>
      <c r="F27" s="421">
        <v>0</v>
      </c>
      <c r="G27" s="421">
        <v>0</v>
      </c>
      <c r="H27" s="421">
        <v>0</v>
      </c>
      <c r="I27" s="421">
        <v>0</v>
      </c>
      <c r="J27" s="421">
        <v>0</v>
      </c>
      <c r="K27" s="421">
        <v>0</v>
      </c>
      <c r="L27" s="431">
        <v>-30.7160392407107</v>
      </c>
      <c r="M27" s="421">
        <v>0</v>
      </c>
      <c r="N27" s="421">
        <v>0</v>
      </c>
      <c r="O27" s="421">
        <v>0</v>
      </c>
      <c r="P27" s="421">
        <v>0</v>
      </c>
      <c r="Q27" s="421">
        <v>0</v>
      </c>
      <c r="R27" s="432">
        <v>43.880056058158097</v>
      </c>
      <c r="S27" s="491">
        <v>13.164016817447401</v>
      </c>
      <c r="T27" s="412"/>
    </row>
    <row r="28" spans="2:22" ht="13.5">
      <c r="B28" s="412"/>
      <c r="C28" s="428" t="s">
        <v>73</v>
      </c>
      <c r="D28" s="421">
        <v>0</v>
      </c>
      <c r="E28" s="421">
        <v>0</v>
      </c>
      <c r="F28" s="421">
        <v>0</v>
      </c>
      <c r="G28" s="431">
        <v>0</v>
      </c>
      <c r="H28" s="421">
        <v>0</v>
      </c>
      <c r="I28" s="421">
        <v>0</v>
      </c>
      <c r="J28" s="421">
        <v>0</v>
      </c>
      <c r="K28" s="431">
        <v>1.25759601218096</v>
      </c>
      <c r="L28" s="421">
        <v>0</v>
      </c>
      <c r="M28" s="431">
        <v>0</v>
      </c>
      <c r="N28" s="421">
        <v>0</v>
      </c>
      <c r="O28" s="421">
        <v>0</v>
      </c>
      <c r="P28" s="431">
        <v>121.043616172417</v>
      </c>
      <c r="Q28" s="421">
        <v>0</v>
      </c>
      <c r="R28" s="509">
        <v>-88.031720852667107</v>
      </c>
      <c r="S28" s="491">
        <v>34.2694913319311</v>
      </c>
      <c r="T28" s="412"/>
    </row>
    <row r="29" spans="2:22" ht="13.5">
      <c r="B29" s="412"/>
      <c r="C29" s="428" t="s">
        <v>356</v>
      </c>
      <c r="D29" s="431">
        <v>0.72303211975097703</v>
      </c>
      <c r="E29" s="431">
        <v>-4.0774999999999997</v>
      </c>
      <c r="F29" s="431">
        <v>5.3331291616343899</v>
      </c>
      <c r="G29" s="431">
        <v>0</v>
      </c>
      <c r="H29" s="421">
        <v>0</v>
      </c>
      <c r="I29" s="421">
        <v>0</v>
      </c>
      <c r="J29" s="421">
        <v>0</v>
      </c>
      <c r="K29" s="421">
        <v>0</v>
      </c>
      <c r="L29" s="431">
        <v>0</v>
      </c>
      <c r="M29" s="431">
        <v>0</v>
      </c>
      <c r="N29" s="421">
        <v>0</v>
      </c>
      <c r="O29" s="421">
        <v>0</v>
      </c>
      <c r="P29" s="421">
        <v>0</v>
      </c>
      <c r="Q29" s="421">
        <v>0</v>
      </c>
      <c r="R29" s="422">
        <v>0</v>
      </c>
      <c r="S29" s="423">
        <v>1.9786612813853699</v>
      </c>
      <c r="T29" s="412"/>
      <c r="V29" s="488"/>
    </row>
    <row r="30" spans="2:22" ht="13.5">
      <c r="B30" s="412"/>
      <c r="C30" s="428" t="s">
        <v>75</v>
      </c>
      <c r="D30" s="431">
        <v>1.73775830078125</v>
      </c>
      <c r="E30" s="421">
        <v>0</v>
      </c>
      <c r="F30" s="431">
        <v>16.370387999999998</v>
      </c>
      <c r="G30" s="431">
        <v>0</v>
      </c>
      <c r="H30" s="421">
        <v>0</v>
      </c>
      <c r="I30" s="421">
        <v>0</v>
      </c>
      <c r="J30" s="421">
        <v>0</v>
      </c>
      <c r="K30" s="421">
        <v>0</v>
      </c>
      <c r="L30" s="421">
        <v>0</v>
      </c>
      <c r="M30" s="431">
        <v>4.7666718000000001</v>
      </c>
      <c r="N30" s="421">
        <v>0</v>
      </c>
      <c r="O30" s="421">
        <v>0</v>
      </c>
      <c r="P30" s="431">
        <v>36.566363636363597</v>
      </c>
      <c r="Q30" s="421">
        <v>0</v>
      </c>
      <c r="R30" s="422">
        <v>0</v>
      </c>
      <c r="S30" s="423">
        <v>59.441181737144902</v>
      </c>
      <c r="T30" s="412"/>
    </row>
    <row r="31" spans="2:22" ht="13.5">
      <c r="B31" s="412"/>
      <c r="C31" s="428" t="s">
        <v>76</v>
      </c>
      <c r="D31" s="421">
        <v>0</v>
      </c>
      <c r="E31" s="421">
        <v>0</v>
      </c>
      <c r="F31" s="421">
        <v>0</v>
      </c>
      <c r="G31" s="431">
        <v>0</v>
      </c>
      <c r="H31" s="421">
        <v>0</v>
      </c>
      <c r="I31" s="421">
        <v>0</v>
      </c>
      <c r="J31" s="421">
        <v>0</v>
      </c>
      <c r="K31" s="421">
        <v>0</v>
      </c>
      <c r="L31" s="421">
        <v>0</v>
      </c>
      <c r="M31" s="431">
        <v>1.6079656020604201</v>
      </c>
      <c r="N31" s="421">
        <v>0</v>
      </c>
      <c r="O31" s="421">
        <v>0</v>
      </c>
      <c r="P31" s="431">
        <v>54.591518299293803</v>
      </c>
      <c r="Q31" s="431">
        <v>5.9381623691406702</v>
      </c>
      <c r="R31" s="432">
        <v>0</v>
      </c>
      <c r="S31" s="423">
        <v>62.137646270494898</v>
      </c>
      <c r="T31" s="412"/>
    </row>
    <row r="32" spans="2:22" ht="13.5">
      <c r="B32" s="412"/>
      <c r="C32" s="424" t="s">
        <v>77</v>
      </c>
      <c r="D32" s="425">
        <v>2.4607904205322302</v>
      </c>
      <c r="E32" s="425">
        <v>113.59926767676799</v>
      </c>
      <c r="F32" s="425">
        <v>-94.796482838365606</v>
      </c>
      <c r="G32" s="425">
        <v>0</v>
      </c>
      <c r="H32" s="425">
        <v>764.84848484848499</v>
      </c>
      <c r="I32" s="425">
        <v>419.9</v>
      </c>
      <c r="J32" s="425">
        <v>278.40004135893099</v>
      </c>
      <c r="K32" s="425">
        <v>32.947505975225198</v>
      </c>
      <c r="L32" s="425">
        <v>-123.39936092343601</v>
      </c>
      <c r="M32" s="425">
        <v>-117.614438130129</v>
      </c>
      <c r="N32" s="425">
        <v>0</v>
      </c>
      <c r="O32" s="425">
        <v>14.830688385513501</v>
      </c>
      <c r="P32" s="425">
        <v>-470.29850189192501</v>
      </c>
      <c r="Q32" s="425">
        <v>-70.692409156436597</v>
      </c>
      <c r="R32" s="425">
        <v>-40.401664794509003</v>
      </c>
      <c r="S32" s="425">
        <v>709.78392093065395</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31">
        <v>1.79989703190501</v>
      </c>
      <c r="E34" s="421">
        <v>0</v>
      </c>
      <c r="F34" s="431">
        <v>5.22589106512674E-2</v>
      </c>
      <c r="G34" s="431">
        <v>0</v>
      </c>
      <c r="H34" s="421">
        <v>0</v>
      </c>
      <c r="I34" s="421">
        <v>0</v>
      </c>
      <c r="J34" s="431">
        <v>13.331842727893299</v>
      </c>
      <c r="K34" s="431">
        <v>4.1186114199060402</v>
      </c>
      <c r="L34" s="431">
        <v>8.3494072265624997</v>
      </c>
      <c r="M34" s="431">
        <v>63.939809293815799</v>
      </c>
      <c r="N34" s="431">
        <v>0</v>
      </c>
      <c r="O34" s="431">
        <v>0</v>
      </c>
      <c r="P34" s="431">
        <v>150.76353147926901</v>
      </c>
      <c r="Q34" s="431">
        <v>27.157242806109199</v>
      </c>
      <c r="R34" s="431">
        <v>8.9542294921874994</v>
      </c>
      <c r="S34" s="429">
        <v>278.46683038830002</v>
      </c>
      <c r="T34" s="412"/>
    </row>
    <row r="35" spans="2:20" ht="13.5">
      <c r="B35" s="412"/>
      <c r="C35" s="428" t="s">
        <v>79</v>
      </c>
      <c r="D35" s="431">
        <v>0</v>
      </c>
      <c r="E35" s="421">
        <v>0</v>
      </c>
      <c r="F35" s="431">
        <v>2.1712429478419102</v>
      </c>
      <c r="G35" s="431">
        <v>0</v>
      </c>
      <c r="H35" s="421">
        <v>0</v>
      </c>
      <c r="I35" s="421">
        <v>0</v>
      </c>
      <c r="J35" s="431">
        <v>0</v>
      </c>
      <c r="K35" s="431">
        <v>0</v>
      </c>
      <c r="L35" s="431">
        <v>12.7882726969122</v>
      </c>
      <c r="M35" s="431">
        <v>24.887279738493302</v>
      </c>
      <c r="N35" s="431">
        <v>0</v>
      </c>
      <c r="O35" s="431">
        <v>0</v>
      </c>
      <c r="P35" s="431">
        <v>92.289301413656304</v>
      </c>
      <c r="Q35" s="431">
        <v>0</v>
      </c>
      <c r="R35" s="431">
        <v>7.1149935986121697</v>
      </c>
      <c r="S35" s="429">
        <v>139.251090395516</v>
      </c>
      <c r="T35" s="412"/>
    </row>
    <row r="36" spans="2:20" ht="13.5">
      <c r="B36" s="412"/>
      <c r="C36" s="428" t="s">
        <v>80</v>
      </c>
      <c r="D36" s="431">
        <v>0</v>
      </c>
      <c r="E36" s="421">
        <v>0</v>
      </c>
      <c r="F36" s="431">
        <v>0.35468706008189399</v>
      </c>
      <c r="G36" s="431">
        <v>0</v>
      </c>
      <c r="H36" s="421">
        <v>0</v>
      </c>
      <c r="I36" s="421">
        <v>0</v>
      </c>
      <c r="J36" s="431">
        <v>47.9682238056754</v>
      </c>
      <c r="K36" s="431">
        <v>0</v>
      </c>
      <c r="L36" s="431">
        <v>0</v>
      </c>
      <c r="M36" s="431">
        <v>17.598271269670001</v>
      </c>
      <c r="N36" s="431">
        <v>106.862728555422</v>
      </c>
      <c r="O36" s="431">
        <v>3.7519530039459799</v>
      </c>
      <c r="P36" s="431">
        <v>134.324841663434</v>
      </c>
      <c r="Q36" s="431">
        <v>28.562960275021499</v>
      </c>
      <c r="R36" s="431">
        <v>0</v>
      </c>
      <c r="S36" s="429">
        <v>339.42366563325101</v>
      </c>
      <c r="T36" s="412"/>
    </row>
    <row r="37" spans="2:20" ht="13.5">
      <c r="B37" s="412"/>
      <c r="C37" s="428" t="s">
        <v>81</v>
      </c>
      <c r="D37" s="431">
        <v>0</v>
      </c>
      <c r="E37" s="421">
        <v>0</v>
      </c>
      <c r="F37" s="431">
        <v>1.3910064361048399E-2</v>
      </c>
      <c r="G37" s="431">
        <v>0</v>
      </c>
      <c r="H37" s="421">
        <v>0</v>
      </c>
      <c r="I37" s="421">
        <v>0</v>
      </c>
      <c r="J37" s="431">
        <v>6.5361621549849502</v>
      </c>
      <c r="K37" s="431">
        <v>0</v>
      </c>
      <c r="L37" s="431">
        <v>0</v>
      </c>
      <c r="M37" s="431">
        <v>5.4198008615464897</v>
      </c>
      <c r="N37" s="431">
        <v>15.069021727073199</v>
      </c>
      <c r="O37" s="431">
        <v>1.4344248188770199</v>
      </c>
      <c r="P37" s="431">
        <v>109.143617899049</v>
      </c>
      <c r="Q37" s="431">
        <v>14.972206075305801</v>
      </c>
      <c r="R37" s="431">
        <v>0</v>
      </c>
      <c r="S37" s="429">
        <v>152.589143601198</v>
      </c>
      <c r="T37" s="412"/>
    </row>
    <row r="38" spans="2:20" ht="13.5">
      <c r="B38" s="412"/>
      <c r="C38" s="428" t="s">
        <v>82</v>
      </c>
      <c r="D38" s="431">
        <v>0</v>
      </c>
      <c r="E38" s="421">
        <v>0</v>
      </c>
      <c r="F38" s="431">
        <v>0</v>
      </c>
      <c r="G38" s="431">
        <v>0</v>
      </c>
      <c r="H38" s="421">
        <v>0</v>
      </c>
      <c r="I38" s="421">
        <v>0</v>
      </c>
      <c r="J38" s="431">
        <v>5.0054618408177598</v>
      </c>
      <c r="K38" s="431">
        <v>0</v>
      </c>
      <c r="L38" s="431">
        <v>18.815796579352799</v>
      </c>
      <c r="M38" s="431">
        <v>0.65554734743876097</v>
      </c>
      <c r="N38" s="431">
        <v>0</v>
      </c>
      <c r="O38" s="431">
        <v>2.1874070050904901</v>
      </c>
      <c r="P38" s="431">
        <v>5.5978638718802802</v>
      </c>
      <c r="Q38" s="431">
        <v>0</v>
      </c>
      <c r="R38" s="431">
        <v>0.443393311842667</v>
      </c>
      <c r="S38" s="429">
        <v>32.705469956422696</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31">
        <v>8</v>
      </c>
      <c r="Q39" s="421">
        <v>0</v>
      </c>
      <c r="R39" s="421">
        <v>0</v>
      </c>
      <c r="S39" s="429">
        <v>8</v>
      </c>
      <c r="T39" s="412"/>
    </row>
    <row r="40" spans="2:20" ht="13.5">
      <c r="B40" s="412"/>
      <c r="C40" s="424" t="s">
        <v>83</v>
      </c>
      <c r="D40" s="425">
        <v>1.79989703190501</v>
      </c>
      <c r="E40" s="425">
        <v>0</v>
      </c>
      <c r="F40" s="425">
        <v>2.5920989829361201</v>
      </c>
      <c r="G40" s="425">
        <v>0</v>
      </c>
      <c r="H40" s="425">
        <v>0</v>
      </c>
      <c r="I40" s="425">
        <v>0</v>
      </c>
      <c r="J40" s="425">
        <v>72.841690529371405</v>
      </c>
      <c r="K40" s="425">
        <v>4.1186114199060402</v>
      </c>
      <c r="L40" s="425">
        <v>39.953476502827499</v>
      </c>
      <c r="M40" s="425">
        <v>112.500708510964</v>
      </c>
      <c r="N40" s="425">
        <v>121.931750282495</v>
      </c>
      <c r="O40" s="425">
        <v>7.3737848279134903</v>
      </c>
      <c r="P40" s="425">
        <v>500.11915632728898</v>
      </c>
      <c r="Q40" s="425">
        <v>70.692409156436497</v>
      </c>
      <c r="R40" s="425">
        <v>16.512616402642301</v>
      </c>
      <c r="S40" s="425">
        <v>950.43619997468704</v>
      </c>
      <c r="T40" s="412"/>
    </row>
    <row r="41" spans="2:20" ht="13.5">
      <c r="B41" s="412"/>
      <c r="C41" s="420" t="s">
        <v>84</v>
      </c>
      <c r="D41" s="431">
        <v>0.11915305480957</v>
      </c>
      <c r="E41" s="421">
        <v>0</v>
      </c>
      <c r="F41" s="431">
        <v>61.1470679855287</v>
      </c>
      <c r="G41" s="431">
        <v>3.6153613407475298</v>
      </c>
      <c r="H41" s="421">
        <v>0</v>
      </c>
      <c r="I41" s="421">
        <v>0</v>
      </c>
      <c r="J41" s="421">
        <v>0</v>
      </c>
      <c r="K41" s="421">
        <v>0</v>
      </c>
      <c r="L41" s="431">
        <v>30.1084320007324</v>
      </c>
      <c r="M41" s="431">
        <v>0</v>
      </c>
      <c r="N41" s="421">
        <v>0</v>
      </c>
      <c r="O41" s="421">
        <v>0</v>
      </c>
      <c r="P41" s="421">
        <v>0</v>
      </c>
      <c r="Q41" s="421">
        <v>0</v>
      </c>
      <c r="R41" s="431">
        <v>20.5435542449951</v>
      </c>
      <c r="S41" s="429">
        <v>115.53356862681299</v>
      </c>
      <c r="T41" s="412"/>
    </row>
    <row r="42" spans="2:20" ht="13.5">
      <c r="B42" s="412"/>
      <c r="C42" s="424" t="s">
        <v>85</v>
      </c>
      <c r="D42" s="425">
        <v>1.9190500867145801</v>
      </c>
      <c r="E42" s="425">
        <v>0</v>
      </c>
      <c r="F42" s="425">
        <v>63.7391669684649</v>
      </c>
      <c r="G42" s="425">
        <v>3.6153613407475298</v>
      </c>
      <c r="H42" s="425">
        <v>0</v>
      </c>
      <c r="I42" s="425">
        <v>0</v>
      </c>
      <c r="J42" s="425">
        <v>72.841690529371405</v>
      </c>
      <c r="K42" s="425">
        <v>4.1186114199060402</v>
      </c>
      <c r="L42" s="425">
        <v>70.061908503559906</v>
      </c>
      <c r="M42" s="425">
        <v>112.500708510964</v>
      </c>
      <c r="N42" s="425">
        <v>121.931750282495</v>
      </c>
      <c r="O42" s="425">
        <v>7.3737848279134903</v>
      </c>
      <c r="P42" s="425">
        <v>500.11915632728898</v>
      </c>
      <c r="Q42" s="425">
        <v>70.692409156436497</v>
      </c>
      <c r="R42" s="425">
        <v>37.056170647637501</v>
      </c>
      <c r="S42" s="425">
        <v>1065.9697686014999</v>
      </c>
      <c r="T42" s="412"/>
    </row>
    <row r="43" spans="2:20">
      <c r="B43" s="412"/>
      <c r="C43" s="412"/>
      <c r="D43" s="430">
        <f t="shared" ref="D43:S43" si="0">D42+D32-D18</f>
        <v>1.0658141036401503E-14</v>
      </c>
      <c r="E43" s="430">
        <f t="shared" si="0"/>
        <v>0</v>
      </c>
      <c r="F43" s="430">
        <f t="shared" si="0"/>
        <v>9.5923269327613525E-14</v>
      </c>
      <c r="G43" s="430">
        <f t="shared" si="0"/>
        <v>0</v>
      </c>
      <c r="H43" s="430">
        <f t="shared" si="0"/>
        <v>0</v>
      </c>
      <c r="I43" s="430">
        <f t="shared" si="0"/>
        <v>0</v>
      </c>
      <c r="J43" s="430">
        <f t="shared" si="0"/>
        <v>0</v>
      </c>
      <c r="K43" s="430">
        <f t="shared" si="0"/>
        <v>0</v>
      </c>
      <c r="L43" s="430">
        <f t="shared" si="0"/>
        <v>-3.979039320256561E-13</v>
      </c>
      <c r="M43" s="430">
        <f t="shared" si="0"/>
        <v>-1.9984014443252818E-13</v>
      </c>
      <c r="N43" s="430">
        <f t="shared" si="0"/>
        <v>0</v>
      </c>
      <c r="O43" s="430">
        <f t="shared" si="0"/>
        <v>0</v>
      </c>
      <c r="P43" s="430">
        <f t="shared" si="0"/>
        <v>-1.3855583347321954E-13</v>
      </c>
      <c r="Q43" s="430">
        <f t="shared" si="0"/>
        <v>-9.9475983006414026E-14</v>
      </c>
      <c r="R43" s="430">
        <f t="shared" si="0"/>
        <v>7.815970093361102E-14</v>
      </c>
      <c r="S43" s="430">
        <f t="shared" si="0"/>
        <v>3.865352482534945E-12</v>
      </c>
      <c r="T43" s="412"/>
    </row>
    <row r="44" spans="2:20">
      <c r="B44" s="412"/>
      <c r="C44" s="412"/>
      <c r="D44" s="412"/>
      <c r="E44" s="412"/>
      <c r="F44" s="412"/>
      <c r="G44" s="412"/>
      <c r="H44" s="412"/>
      <c r="I44" s="412"/>
      <c r="J44" s="412"/>
      <c r="K44" s="412"/>
      <c r="L44" s="412"/>
      <c r="M44" s="412"/>
      <c r="N44" s="412"/>
      <c r="O44" s="412"/>
      <c r="P44" s="412"/>
      <c r="Q44" s="412"/>
      <c r="R44" s="412"/>
      <c r="S44" s="412"/>
      <c r="T44" s="412"/>
    </row>
  </sheetData>
  <mergeCells count="12">
    <mergeCell ref="S10:S11"/>
    <mergeCell ref="C10:C11"/>
    <mergeCell ref="D10:D11"/>
    <mergeCell ref="E10:E11"/>
    <mergeCell ref="F10:F11"/>
    <mergeCell ref="G10:G11"/>
    <mergeCell ref="H10:H11"/>
    <mergeCell ref="I10:I11"/>
    <mergeCell ref="J10:O10"/>
    <mergeCell ref="P10:P11"/>
    <mergeCell ref="Q10:Q11"/>
    <mergeCell ref="R10:R11"/>
  </mergeCells>
  <conditionalFormatting sqref="M23">
    <cfRule type="expression" dxfId="1564" priority="63">
      <formula>LEN(TRIM(M23))=0</formula>
    </cfRule>
  </conditionalFormatting>
  <conditionalFormatting sqref="M23">
    <cfRule type="cellIs" dxfId="1563" priority="62" operator="equal">
      <formula>0</formula>
    </cfRule>
  </conditionalFormatting>
  <conditionalFormatting sqref="R27:R28">
    <cfRule type="expression" dxfId="1562" priority="61">
      <formula>LEN(TRIM(R27))=0</formula>
    </cfRule>
  </conditionalFormatting>
  <conditionalFormatting sqref="R27:R28">
    <cfRule type="cellIs" dxfId="1561" priority="60" operator="equal">
      <formula>0</formula>
    </cfRule>
  </conditionalFormatting>
  <conditionalFormatting sqref="D27:Q28">
    <cfRule type="expression" dxfId="1560" priority="59">
      <formula>LEN(TRIM(D27))=0</formula>
    </cfRule>
  </conditionalFormatting>
  <conditionalFormatting sqref="D27:Q28">
    <cfRule type="cellIs" dxfId="1559" priority="58" operator="equal">
      <formula>0</formula>
    </cfRule>
  </conditionalFormatting>
  <conditionalFormatting sqref="S20:S31">
    <cfRule type="expression" dxfId="1558" priority="57">
      <formula>LEN(TRIM(S20))=0</formula>
    </cfRule>
  </conditionalFormatting>
  <conditionalFormatting sqref="S20:S31">
    <cfRule type="cellIs" dxfId="1557" priority="56" operator="equal">
      <formula>0</formula>
    </cfRule>
  </conditionalFormatting>
  <conditionalFormatting sqref="R20:R26 R29:R31">
    <cfRule type="expression" dxfId="1556" priority="55">
      <formula>LEN(TRIM(R20))=0</formula>
    </cfRule>
  </conditionalFormatting>
  <conditionalFormatting sqref="R20:R26 R29:R31">
    <cfRule type="cellIs" dxfId="1555" priority="54" operator="equal">
      <formula>0</formula>
    </cfRule>
  </conditionalFormatting>
  <conditionalFormatting sqref="D42:S42">
    <cfRule type="expression" dxfId="1554" priority="53">
      <formula>LEN(TRIM(D42))=0</formula>
    </cfRule>
  </conditionalFormatting>
  <conditionalFormatting sqref="D42:S42">
    <cfRule type="cellIs" dxfId="1553" priority="52" operator="equal">
      <formula>0</formula>
    </cfRule>
  </conditionalFormatting>
  <conditionalFormatting sqref="D41:R41">
    <cfRule type="cellIs" dxfId="1552" priority="51" operator="equal">
      <formula>0</formula>
    </cfRule>
  </conditionalFormatting>
  <conditionalFormatting sqref="D34:S41">
    <cfRule type="expression" dxfId="1551" priority="50">
      <formula>LEN(TRIM(D34))=0</formula>
    </cfRule>
  </conditionalFormatting>
  <conditionalFormatting sqref="D41:S41">
    <cfRule type="cellIs" dxfId="1550" priority="49" operator="equal">
      <formula>0</formula>
    </cfRule>
  </conditionalFormatting>
  <conditionalFormatting sqref="S34:S41 D34:R40">
    <cfRule type="cellIs" dxfId="1549" priority="48" operator="equal">
      <formula>0</formula>
    </cfRule>
  </conditionalFormatting>
  <conditionalFormatting sqref="D32:S32">
    <cfRule type="expression" dxfId="1548" priority="47">
      <formula>LEN(TRIM(D32))=0</formula>
    </cfRule>
  </conditionalFormatting>
  <conditionalFormatting sqref="D32:S32">
    <cfRule type="cellIs" dxfId="1547" priority="46" operator="equal">
      <formula>0</formula>
    </cfRule>
  </conditionalFormatting>
  <conditionalFormatting sqref="D18:S18">
    <cfRule type="expression" dxfId="1546" priority="45">
      <formula>LEN(TRIM(D18))=0</formula>
    </cfRule>
  </conditionalFormatting>
  <conditionalFormatting sqref="D18:S18">
    <cfRule type="cellIs" dxfId="1545" priority="44" operator="equal">
      <formula>0</formula>
    </cfRule>
  </conditionalFormatting>
  <conditionalFormatting sqref="N16:O16">
    <cfRule type="cellIs" dxfId="1544" priority="43" operator="equal">
      <formula>0</formula>
    </cfRule>
  </conditionalFormatting>
  <conditionalFormatting sqref="N15:O15">
    <cfRule type="cellIs" dxfId="1543" priority="42" operator="equal">
      <formula>0</formula>
    </cfRule>
  </conditionalFormatting>
  <conditionalFormatting sqref="M15:M16">
    <cfRule type="cellIs" dxfId="1542" priority="41" operator="equal">
      <formula>0</formula>
    </cfRule>
  </conditionalFormatting>
  <conditionalFormatting sqref="L15:L16">
    <cfRule type="cellIs" dxfId="1541" priority="40" operator="equal">
      <formula>0</formula>
    </cfRule>
  </conditionalFormatting>
  <conditionalFormatting sqref="D15:O16 R15:R16">
    <cfRule type="expression" dxfId="1540" priority="39">
      <formula>LEN(TRIM(D15))=0</formula>
    </cfRule>
  </conditionalFormatting>
  <conditionalFormatting sqref="O15:O16">
    <cfRule type="cellIs" dxfId="1539" priority="38" operator="equal">
      <formula>0</formula>
    </cfRule>
  </conditionalFormatting>
  <conditionalFormatting sqref="N15:N16">
    <cfRule type="cellIs" dxfId="1538" priority="37" operator="equal">
      <formula>0</formula>
    </cfRule>
  </conditionalFormatting>
  <conditionalFormatting sqref="M15:M16">
    <cfRule type="cellIs" dxfId="1537" priority="36" operator="equal">
      <formula>0</formula>
    </cfRule>
  </conditionalFormatting>
  <conditionalFormatting sqref="L15:L16">
    <cfRule type="cellIs" dxfId="1536" priority="35" operator="equal">
      <formula>0</formula>
    </cfRule>
  </conditionalFormatting>
  <conditionalFormatting sqref="K15:K16">
    <cfRule type="cellIs" dxfId="1535" priority="34" operator="equal">
      <formula>0</formula>
    </cfRule>
  </conditionalFormatting>
  <conditionalFormatting sqref="J15:J16">
    <cfRule type="cellIs" dxfId="1534" priority="33" operator="equal">
      <formula>0</formula>
    </cfRule>
  </conditionalFormatting>
  <conditionalFormatting sqref="D15:O16 R15:R16">
    <cfRule type="cellIs" dxfId="1533" priority="32" operator="equal">
      <formula>0</formula>
    </cfRule>
  </conditionalFormatting>
  <conditionalFormatting sqref="D24:Q24 D23:L23 N23:Q23">
    <cfRule type="expression" dxfId="1532" priority="31">
      <formula>LEN(TRIM(D23))=0</formula>
    </cfRule>
  </conditionalFormatting>
  <conditionalFormatting sqref="D24:Q24 D23:L23 N23:Q23">
    <cfRule type="cellIs" dxfId="1531" priority="30" operator="equal">
      <formula>0</formula>
    </cfRule>
  </conditionalFormatting>
  <conditionalFormatting sqref="S12:S17">
    <cfRule type="expression" dxfId="1530" priority="29">
      <formula>LEN(TRIM(S12))=0</formula>
    </cfRule>
  </conditionalFormatting>
  <conditionalFormatting sqref="S12:S17">
    <cfRule type="cellIs" dxfId="1529" priority="28" operator="equal">
      <formula>0</formula>
    </cfRule>
  </conditionalFormatting>
  <conditionalFormatting sqref="D12:P12 P13:P17 R12 Q12:Q17">
    <cfRule type="expression" dxfId="1528" priority="27">
      <formula>LEN(TRIM(D12))=0</formula>
    </cfRule>
  </conditionalFormatting>
  <conditionalFormatting sqref="K12">
    <cfRule type="cellIs" dxfId="1527" priority="26" operator="equal">
      <formula>0</formula>
    </cfRule>
  </conditionalFormatting>
  <conditionalFormatting sqref="J12">
    <cfRule type="cellIs" dxfId="1526" priority="25" operator="equal">
      <formula>0</formula>
    </cfRule>
  </conditionalFormatting>
  <conditionalFormatting sqref="L12:O12">
    <cfRule type="cellIs" dxfId="1525" priority="24" operator="equal">
      <formula>0</formula>
    </cfRule>
  </conditionalFormatting>
  <conditionalFormatting sqref="I12">
    <cfRule type="cellIs" dxfId="1524" priority="23" operator="equal">
      <formula>0</formula>
    </cfRule>
  </conditionalFormatting>
  <conditionalFormatting sqref="H12">
    <cfRule type="cellIs" dxfId="1523" priority="22" operator="equal">
      <formula>0</formula>
    </cfRule>
  </conditionalFormatting>
  <conditionalFormatting sqref="D12:G12 R12 P12:Q17">
    <cfRule type="cellIs" dxfId="1522" priority="21" operator="equal">
      <formula>0</formula>
    </cfRule>
  </conditionalFormatting>
  <conditionalFormatting sqref="D13:O14 D17:O17 R17 R13:R14 D25:Q26 D29:Q31">
    <cfRule type="expression" dxfId="1521" priority="20">
      <formula>LEN(TRIM(D13))=0</formula>
    </cfRule>
  </conditionalFormatting>
  <conditionalFormatting sqref="O13:O14">
    <cfRule type="cellIs" dxfId="1520" priority="19" operator="equal">
      <formula>0</formula>
    </cfRule>
  </conditionalFormatting>
  <conditionalFormatting sqref="O17 O33">
    <cfRule type="cellIs" dxfId="1519" priority="18" operator="equal">
      <formula>0</formula>
    </cfRule>
  </conditionalFormatting>
  <conditionalFormatting sqref="N13:N14">
    <cfRule type="cellIs" dxfId="1518" priority="17" operator="equal">
      <formula>0</formula>
    </cfRule>
  </conditionalFormatting>
  <conditionalFormatting sqref="N17 N33">
    <cfRule type="cellIs" dxfId="1517" priority="16" operator="equal">
      <formula>0</formula>
    </cfRule>
  </conditionalFormatting>
  <conditionalFormatting sqref="M13:M14">
    <cfRule type="cellIs" dxfId="1516" priority="15" operator="equal">
      <formula>0</formula>
    </cfRule>
  </conditionalFormatting>
  <conditionalFormatting sqref="M17 M33">
    <cfRule type="cellIs" dxfId="1515" priority="14" operator="equal">
      <formula>0</formula>
    </cfRule>
  </conditionalFormatting>
  <conditionalFormatting sqref="L13:L14">
    <cfRule type="cellIs" dxfId="1514" priority="13" operator="equal">
      <formula>0</formula>
    </cfRule>
  </conditionalFormatting>
  <conditionalFormatting sqref="L17 L33">
    <cfRule type="cellIs" dxfId="1513" priority="12" operator="equal">
      <formula>0</formula>
    </cfRule>
  </conditionalFormatting>
  <conditionalFormatting sqref="K13:K14">
    <cfRule type="cellIs" dxfId="1512" priority="11" operator="equal">
      <formula>0</formula>
    </cfRule>
  </conditionalFormatting>
  <conditionalFormatting sqref="K17 K33">
    <cfRule type="cellIs" dxfId="1511" priority="10" operator="equal">
      <formula>0</formula>
    </cfRule>
  </conditionalFormatting>
  <conditionalFormatting sqref="J13:J14">
    <cfRule type="cellIs" dxfId="1510" priority="9" operator="equal">
      <formula>0</formula>
    </cfRule>
  </conditionalFormatting>
  <conditionalFormatting sqref="J17 J33">
    <cfRule type="cellIs" dxfId="1509" priority="8" operator="equal">
      <formula>0</formula>
    </cfRule>
  </conditionalFormatting>
  <conditionalFormatting sqref="O11">
    <cfRule type="cellIs" dxfId="1508" priority="7" operator="equal">
      <formula>0</formula>
    </cfRule>
  </conditionalFormatting>
  <conditionalFormatting sqref="D29:Q31">
    <cfRule type="cellIs" dxfId="1507" priority="6" operator="equal">
      <formula>0</formula>
    </cfRule>
  </conditionalFormatting>
  <conditionalFormatting sqref="F13:F14">
    <cfRule type="cellIs" dxfId="1506" priority="5" operator="equal">
      <formula>0</formula>
    </cfRule>
  </conditionalFormatting>
  <conditionalFormatting sqref="D13:E14 H13:I14">
    <cfRule type="cellIs" dxfId="1505" priority="4" operator="equal">
      <formula>0</formula>
    </cfRule>
  </conditionalFormatting>
  <conditionalFormatting sqref="R13:R14 R17 G13:G14 D17:I17 J11:N11 P33:R33 D33:I33 D30:Q31 D25:Q26">
    <cfRule type="cellIs" dxfId="1504" priority="3" operator="equal">
      <formula>0</formula>
    </cfRule>
  </conditionalFormatting>
  <conditionalFormatting sqref="D20:Q22">
    <cfRule type="expression" dxfId="1503" priority="2">
      <formula>LEN(TRIM(D20))=0</formula>
    </cfRule>
  </conditionalFormatting>
  <conditionalFormatting sqref="S33 D20:Q22 D19:S19">
    <cfRule type="cellIs" dxfId="1502" priority="1" operator="equal">
      <formula>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EB90-BDEA-4D28-AC86-3198354592E0}">
  <dimension ref="B2:T451"/>
  <sheetViews>
    <sheetView workbookViewId="0"/>
  </sheetViews>
  <sheetFormatPr baseColWidth="10" defaultColWidth="8.7265625" defaultRowHeight="12.5"/>
  <cols>
    <col min="1" max="2" width="8.7265625" style="411"/>
    <col min="3" max="3" width="36.453125" style="411" customWidth="1"/>
    <col min="4" max="4" width="12.81640625" style="411" customWidth="1"/>
    <col min="5" max="16384" width="8.7265625" style="411"/>
  </cols>
  <sheetData>
    <row r="2" spans="2:20" ht="17.5">
      <c r="B2" s="409"/>
      <c r="C2" s="410" t="s">
        <v>409</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516" t="s">
        <v>341</v>
      </c>
      <c r="E4" s="414" t="s">
        <v>342</v>
      </c>
      <c r="F4" s="414"/>
      <c r="G4" s="414"/>
      <c r="H4" s="415" t="s">
        <v>343</v>
      </c>
      <c r="I4" s="415"/>
      <c r="J4" s="415"/>
      <c r="K4" s="415"/>
      <c r="L4" s="415"/>
      <c r="M4" s="415"/>
      <c r="N4" s="415"/>
      <c r="O4" s="415"/>
      <c r="P4" s="414"/>
      <c r="Q4" s="414"/>
      <c r="R4" s="414"/>
      <c r="S4" s="414"/>
      <c r="T4" s="414"/>
    </row>
    <row r="5" spans="2:20" ht="15">
      <c r="B5" s="412"/>
      <c r="D5" s="516"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3.5">
      <c r="B8" s="416"/>
      <c r="C8" s="417" t="s">
        <v>410</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02" t="s">
        <v>128</v>
      </c>
      <c r="D10" s="703" t="s">
        <v>42</v>
      </c>
      <c r="E10" s="703" t="s">
        <v>52</v>
      </c>
      <c r="F10" s="703" t="s">
        <v>53</v>
      </c>
      <c r="G10" s="703" t="s">
        <v>32</v>
      </c>
      <c r="H10" s="703" t="s">
        <v>20</v>
      </c>
      <c r="I10" s="703" t="s">
        <v>55</v>
      </c>
      <c r="J10" s="703" t="s">
        <v>56</v>
      </c>
      <c r="K10" s="703"/>
      <c r="L10" s="703"/>
      <c r="M10" s="703"/>
      <c r="N10" s="703"/>
      <c r="O10" s="703"/>
      <c r="P10" s="718" t="s">
        <v>57</v>
      </c>
      <c r="Q10" s="718" t="s">
        <v>58</v>
      </c>
      <c r="R10" s="718" t="s">
        <v>31</v>
      </c>
      <c r="S10" s="718" t="s">
        <v>10</v>
      </c>
      <c r="T10" s="412"/>
    </row>
    <row r="11" spans="2:20" ht="57.5">
      <c r="B11" s="412"/>
      <c r="C11" s="702"/>
      <c r="D11" s="703"/>
      <c r="E11" s="703"/>
      <c r="F11" s="703"/>
      <c r="G11" s="703"/>
      <c r="H11" s="703"/>
      <c r="I11" s="703"/>
      <c r="J11" s="418" t="s">
        <v>338</v>
      </c>
      <c r="K11" s="418" t="s">
        <v>40</v>
      </c>
      <c r="L11" s="418" t="s">
        <v>346</v>
      </c>
      <c r="M11" s="418" t="s">
        <v>347</v>
      </c>
      <c r="N11" s="419" t="s">
        <v>348</v>
      </c>
      <c r="O11" s="418" t="s">
        <v>349</v>
      </c>
      <c r="P11" s="718"/>
      <c r="Q11" s="718"/>
      <c r="R11" s="718"/>
      <c r="S11" s="718"/>
      <c r="T11" s="412"/>
    </row>
    <row r="12" spans="2:20" ht="13.5">
      <c r="B12" s="412"/>
      <c r="C12" s="420" t="s">
        <v>59</v>
      </c>
      <c r="D12" s="421">
        <v>0</v>
      </c>
      <c r="E12" s="422">
        <v>11.595553697292999</v>
      </c>
      <c r="F12" s="422">
        <v>0</v>
      </c>
      <c r="G12" s="421">
        <v>0.16688824999999999</v>
      </c>
      <c r="H12" s="422">
        <v>1209.1260212121199</v>
      </c>
      <c r="I12" s="422">
        <v>102.871685</v>
      </c>
      <c r="J12" s="422">
        <v>118.486423433284</v>
      </c>
      <c r="K12" s="422">
        <v>34.6738655663776</v>
      </c>
      <c r="L12" s="422">
        <v>0</v>
      </c>
      <c r="M12" s="422">
        <v>0</v>
      </c>
      <c r="N12" s="422">
        <v>31.017185277777799</v>
      </c>
      <c r="O12" s="422">
        <v>5.36492862873778</v>
      </c>
      <c r="P12" s="517">
        <v>0</v>
      </c>
      <c r="Q12" s="422">
        <v>0</v>
      </c>
      <c r="R12" s="422">
        <v>0</v>
      </c>
      <c r="S12" s="423">
        <v>1513.30255106559</v>
      </c>
      <c r="T12" s="412"/>
    </row>
    <row r="13" spans="2:20" ht="13.5">
      <c r="B13" s="412"/>
      <c r="C13" s="420" t="s">
        <v>60</v>
      </c>
      <c r="D13" s="421">
        <v>79.351760335185602</v>
      </c>
      <c r="E13" s="422">
        <v>572.90892340042399</v>
      </c>
      <c r="F13" s="422">
        <v>505.34655196519901</v>
      </c>
      <c r="G13" s="421">
        <v>568.75187100000005</v>
      </c>
      <c r="H13" s="422">
        <v>0</v>
      </c>
      <c r="I13" s="422">
        <v>0</v>
      </c>
      <c r="J13" s="422">
        <v>2.7591261111111098</v>
      </c>
      <c r="K13" s="422">
        <v>0</v>
      </c>
      <c r="L13" s="422">
        <v>18.413864367944399</v>
      </c>
      <c r="M13" s="422">
        <v>0</v>
      </c>
      <c r="N13" s="422">
        <v>0</v>
      </c>
      <c r="O13" s="422">
        <v>0</v>
      </c>
      <c r="P13" s="517">
        <v>15.63175</v>
      </c>
      <c r="Q13" s="422">
        <v>0</v>
      </c>
      <c r="R13" s="422">
        <v>0</v>
      </c>
      <c r="S13" s="423">
        <v>1763.1638471798601</v>
      </c>
      <c r="T13" s="412"/>
    </row>
    <row r="14" spans="2:20" ht="13.5">
      <c r="B14" s="412"/>
      <c r="C14" s="420" t="s">
        <v>61</v>
      </c>
      <c r="D14" s="421">
        <v>-4.7877500119999999E-2</v>
      </c>
      <c r="E14" s="422">
        <v>-1.599063909936</v>
      </c>
      <c r="F14" s="422">
        <v>-202.95357523453799</v>
      </c>
      <c r="G14" s="422">
        <v>-112.63352225</v>
      </c>
      <c r="H14" s="422">
        <v>0</v>
      </c>
      <c r="I14" s="422">
        <v>0</v>
      </c>
      <c r="J14" s="422">
        <v>-2.3667455555555601</v>
      </c>
      <c r="K14" s="422">
        <v>0</v>
      </c>
      <c r="L14" s="422">
        <v>-7.27453697866585</v>
      </c>
      <c r="M14" s="422">
        <v>0</v>
      </c>
      <c r="N14" s="422">
        <v>0</v>
      </c>
      <c r="O14" s="422">
        <v>0</v>
      </c>
      <c r="P14" s="422">
        <v>-73.298799000000002</v>
      </c>
      <c r="Q14" s="422">
        <v>0</v>
      </c>
      <c r="R14" s="422">
        <v>0</v>
      </c>
      <c r="S14" s="423">
        <v>-400.174120428815</v>
      </c>
      <c r="T14" s="412"/>
    </row>
    <row r="15" spans="2:20" ht="13.5">
      <c r="B15" s="412"/>
      <c r="C15" s="420" t="s">
        <v>62</v>
      </c>
      <c r="D15" s="421">
        <v>0</v>
      </c>
      <c r="E15" s="421">
        <v>0</v>
      </c>
      <c r="F15" s="421">
        <v>-19.6347044545134</v>
      </c>
      <c r="G15" s="421">
        <v>0</v>
      </c>
      <c r="H15" s="421">
        <v>0</v>
      </c>
      <c r="I15" s="421">
        <v>0</v>
      </c>
      <c r="J15" s="421">
        <v>0</v>
      </c>
      <c r="K15" s="421">
        <v>0</v>
      </c>
      <c r="L15" s="421">
        <v>0</v>
      </c>
      <c r="M15" s="421">
        <v>0</v>
      </c>
      <c r="N15" s="421">
        <v>0</v>
      </c>
      <c r="O15" s="421">
        <v>0</v>
      </c>
      <c r="P15" s="421">
        <v>0</v>
      </c>
      <c r="Q15" s="421">
        <v>0</v>
      </c>
      <c r="R15" s="421">
        <v>0</v>
      </c>
      <c r="S15" s="423">
        <v>-19.6347044545134</v>
      </c>
      <c r="T15" s="412"/>
    </row>
    <row r="16" spans="2:20" ht="13.5">
      <c r="B16" s="412"/>
      <c r="C16" s="420" t="s">
        <v>63</v>
      </c>
      <c r="D16" s="421">
        <v>0</v>
      </c>
      <c r="E16" s="421">
        <v>0</v>
      </c>
      <c r="F16" s="421">
        <v>-76.714456139869</v>
      </c>
      <c r="G16" s="421">
        <v>0</v>
      </c>
      <c r="H16" s="421">
        <v>0</v>
      </c>
      <c r="I16" s="421">
        <v>0</v>
      </c>
      <c r="J16" s="421">
        <v>0</v>
      </c>
      <c r="K16" s="421">
        <v>0</v>
      </c>
      <c r="L16" s="421">
        <v>0</v>
      </c>
      <c r="M16" s="421">
        <v>0</v>
      </c>
      <c r="N16" s="421">
        <v>0</v>
      </c>
      <c r="O16" s="421">
        <v>0</v>
      </c>
      <c r="P16" s="421">
        <v>0</v>
      </c>
      <c r="Q16" s="421">
        <v>0</v>
      </c>
      <c r="R16" s="421">
        <v>0</v>
      </c>
      <c r="S16" s="423">
        <v>-76.714456139869</v>
      </c>
      <c r="T16" s="412"/>
    </row>
    <row r="17" spans="2:20" ht="13.5">
      <c r="B17" s="412"/>
      <c r="C17" s="420" t="s">
        <v>64</v>
      </c>
      <c r="D17" s="421">
        <v>0.119185469932222</v>
      </c>
      <c r="E17" s="422">
        <v>1.54977332473125</v>
      </c>
      <c r="F17" s="422">
        <v>1.2109538188370299</v>
      </c>
      <c r="G17" s="422">
        <v>-19.664768250000002</v>
      </c>
      <c r="H17" s="422">
        <v>0</v>
      </c>
      <c r="I17" s="422">
        <v>0</v>
      </c>
      <c r="J17" s="422">
        <v>0</v>
      </c>
      <c r="K17" s="422">
        <v>0</v>
      </c>
      <c r="L17" s="422">
        <v>0</v>
      </c>
      <c r="M17" s="422">
        <v>0</v>
      </c>
      <c r="N17" s="422">
        <v>0</v>
      </c>
      <c r="O17" s="422">
        <v>0</v>
      </c>
      <c r="P17" s="422">
        <v>0</v>
      </c>
      <c r="Q17" s="421">
        <v>0</v>
      </c>
      <c r="R17" s="421">
        <v>0</v>
      </c>
      <c r="S17" s="423">
        <v>-16.784855636499501</v>
      </c>
      <c r="T17" s="412"/>
    </row>
    <row r="18" spans="2:20" ht="13.5">
      <c r="B18" s="412"/>
      <c r="C18" s="424" t="s">
        <v>65</v>
      </c>
      <c r="D18" s="425">
        <v>79.423068304997798</v>
      </c>
      <c r="E18" s="425">
        <v>584.45518651251302</v>
      </c>
      <c r="F18" s="425">
        <v>207.25476995511599</v>
      </c>
      <c r="G18" s="425">
        <v>436.62046874999999</v>
      </c>
      <c r="H18" s="425">
        <v>1209.1260212121199</v>
      </c>
      <c r="I18" s="425">
        <v>102.871685</v>
      </c>
      <c r="J18" s="425">
        <v>118.878803988839</v>
      </c>
      <c r="K18" s="425">
        <v>34.6738655663776</v>
      </c>
      <c r="L18" s="425">
        <v>11.1393273892786</v>
      </c>
      <c r="M18" s="425">
        <v>0</v>
      </c>
      <c r="N18" s="425">
        <v>31.017185277777799</v>
      </c>
      <c r="O18" s="425">
        <v>5.36492862873778</v>
      </c>
      <c r="P18" s="425">
        <v>-57.667048999999999</v>
      </c>
      <c r="Q18" s="425">
        <v>0</v>
      </c>
      <c r="R18" s="425">
        <v>0</v>
      </c>
      <c r="S18" s="425">
        <v>2763.1582615857601</v>
      </c>
      <c r="T18" s="412"/>
    </row>
    <row r="19" spans="2:20" ht="13.5">
      <c r="B19" s="412"/>
      <c r="C19" s="426"/>
      <c r="D19" s="427"/>
      <c r="E19" s="427"/>
      <c r="F19" s="427"/>
      <c r="G19" s="427"/>
      <c r="H19" s="427"/>
      <c r="I19" s="427"/>
      <c r="J19" s="427"/>
      <c r="K19" s="427"/>
      <c r="L19" s="427"/>
      <c r="M19" s="427"/>
      <c r="N19" s="427"/>
      <c r="O19" s="427"/>
      <c r="P19" s="427"/>
      <c r="Q19" s="427"/>
      <c r="R19" s="427"/>
      <c r="S19" s="427"/>
      <c r="T19" s="412"/>
    </row>
    <row r="20" spans="2:20" ht="13.5">
      <c r="B20" s="412"/>
      <c r="C20" s="428" t="s">
        <v>67</v>
      </c>
      <c r="D20" s="421">
        <v>3.6318872869800001</v>
      </c>
      <c r="E20" s="421">
        <v>10.656145280484299</v>
      </c>
      <c r="F20" s="421">
        <v>16.598642939262302</v>
      </c>
      <c r="G20" s="421">
        <v>-6.9883249999999994E-2</v>
      </c>
      <c r="H20" s="421">
        <v>0</v>
      </c>
      <c r="I20" s="421">
        <v>0</v>
      </c>
      <c r="J20" s="421">
        <v>0</v>
      </c>
      <c r="K20" s="421">
        <v>-0.39035821035195001</v>
      </c>
      <c r="L20" s="421">
        <v>0.39056628404080102</v>
      </c>
      <c r="M20" s="421">
        <v>0</v>
      </c>
      <c r="N20" s="421">
        <v>0</v>
      </c>
      <c r="O20" s="421">
        <v>0</v>
      </c>
      <c r="P20" s="421">
        <v>4.1774383404886102</v>
      </c>
      <c r="Q20" s="421">
        <v>0</v>
      </c>
      <c r="R20" s="421">
        <v>0</v>
      </c>
      <c r="S20" s="429">
        <v>34.994438670904003</v>
      </c>
      <c r="T20" s="412"/>
    </row>
    <row r="21" spans="2:20" ht="13.5">
      <c r="B21" s="412"/>
      <c r="C21" s="428" t="s">
        <v>350</v>
      </c>
      <c r="D21" s="421">
        <v>11.774616732900601</v>
      </c>
      <c r="E21" s="421">
        <v>0</v>
      </c>
      <c r="F21" s="421">
        <v>3.6854029373363</v>
      </c>
      <c r="G21" s="421">
        <v>62.931904980327801</v>
      </c>
      <c r="H21" s="421">
        <v>1209.1260212121199</v>
      </c>
      <c r="I21" s="421">
        <v>102.871685</v>
      </c>
      <c r="J21" s="421">
        <v>16.346759805474299</v>
      </c>
      <c r="K21" s="421">
        <v>12.1918962849865</v>
      </c>
      <c r="L21" s="421">
        <v>0</v>
      </c>
      <c r="M21" s="421">
        <v>4.7011419922222197</v>
      </c>
      <c r="N21" s="421">
        <v>0</v>
      </c>
      <c r="O21" s="421">
        <v>6.9765199999999805E-2</v>
      </c>
      <c r="P21" s="421">
        <v>-558.25165491832797</v>
      </c>
      <c r="Q21" s="421">
        <v>0</v>
      </c>
      <c r="R21" s="421">
        <v>0</v>
      </c>
      <c r="S21" s="429">
        <v>865.44753922704194</v>
      </c>
      <c r="T21" s="412"/>
    </row>
    <row r="22" spans="2:20" ht="13.5">
      <c r="B22" s="412"/>
      <c r="C22" s="428" t="s">
        <v>351</v>
      </c>
      <c r="D22" s="421">
        <v>1.9109444951460799</v>
      </c>
      <c r="E22" s="421">
        <v>0</v>
      </c>
      <c r="F22" s="421">
        <v>0.26207954907770098</v>
      </c>
      <c r="G22" s="421">
        <v>20.731872769672201</v>
      </c>
      <c r="H22" s="421">
        <v>0</v>
      </c>
      <c r="I22" s="421">
        <v>0</v>
      </c>
      <c r="J22" s="421">
        <v>7.9626399167478796</v>
      </c>
      <c r="K22" s="421">
        <v>16.588146755013501</v>
      </c>
      <c r="L22" s="421">
        <v>0</v>
      </c>
      <c r="M22" s="421">
        <v>2.8409024522222199</v>
      </c>
      <c r="N22" s="421">
        <v>0.25919055555555598</v>
      </c>
      <c r="O22" s="421">
        <v>3.4744864961066599</v>
      </c>
      <c r="P22" s="421">
        <v>0</v>
      </c>
      <c r="Q22" s="421">
        <v>-47.990398244111098</v>
      </c>
      <c r="R22" s="421">
        <v>0</v>
      </c>
      <c r="S22" s="429">
        <v>6.0398647454306902</v>
      </c>
      <c r="T22" s="412"/>
    </row>
    <row r="23" spans="2:20" ht="13.5">
      <c r="B23" s="412"/>
      <c r="C23" s="428" t="s">
        <v>352</v>
      </c>
      <c r="D23" s="421">
        <v>0</v>
      </c>
      <c r="E23" s="421">
        <v>0</v>
      </c>
      <c r="F23" s="421">
        <v>0</v>
      </c>
      <c r="G23" s="421">
        <v>0</v>
      </c>
      <c r="H23" s="421">
        <v>0</v>
      </c>
      <c r="I23" s="421">
        <v>0</v>
      </c>
      <c r="J23" s="421">
        <v>0</v>
      </c>
      <c r="K23" s="421">
        <v>0</v>
      </c>
      <c r="L23" s="421">
        <v>0</v>
      </c>
      <c r="M23" s="421">
        <v>-10.0317757222222</v>
      </c>
      <c r="N23" s="421">
        <v>0</v>
      </c>
      <c r="O23" s="421">
        <v>0</v>
      </c>
      <c r="P23" s="421">
        <v>0</v>
      </c>
      <c r="Q23" s="421">
        <v>0</v>
      </c>
      <c r="R23" s="421">
        <v>0</v>
      </c>
      <c r="S23" s="429">
        <v>-10.0317757222222</v>
      </c>
      <c r="T23" s="412"/>
    </row>
    <row r="24" spans="2:20" ht="13.5">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1">
        <v>0</v>
      </c>
      <c r="S24" s="429">
        <v>0</v>
      </c>
      <c r="T24" s="412"/>
    </row>
    <row r="25" spans="2:20" ht="13.5">
      <c r="B25" s="412"/>
      <c r="C25" s="428" t="s">
        <v>72</v>
      </c>
      <c r="D25" s="421">
        <v>0</v>
      </c>
      <c r="E25" s="421">
        <v>602.36159082799702</v>
      </c>
      <c r="F25" s="421">
        <v>-597.37489673157495</v>
      </c>
      <c r="G25" s="421">
        <v>0</v>
      </c>
      <c r="H25" s="421">
        <v>0</v>
      </c>
      <c r="I25" s="421">
        <v>0</v>
      </c>
      <c r="J25" s="421">
        <v>0</v>
      </c>
      <c r="K25" s="421">
        <v>0</v>
      </c>
      <c r="L25" s="421">
        <v>0</v>
      </c>
      <c r="M25" s="421">
        <v>0</v>
      </c>
      <c r="N25" s="421">
        <v>0</v>
      </c>
      <c r="O25" s="421">
        <v>0</v>
      </c>
      <c r="P25" s="421">
        <v>0</v>
      </c>
      <c r="Q25" s="421">
        <v>0</v>
      </c>
      <c r="R25" s="421">
        <v>0</v>
      </c>
      <c r="S25" s="429">
        <v>4.9866940964217301</v>
      </c>
      <c r="T25" s="412"/>
    </row>
    <row r="26" spans="2:20" ht="13.5">
      <c r="B26" s="412"/>
      <c r="C26" s="428" t="s">
        <v>354</v>
      </c>
      <c r="D26" s="421">
        <v>0</v>
      </c>
      <c r="E26" s="421">
        <v>0</v>
      </c>
      <c r="F26" s="421">
        <v>0</v>
      </c>
      <c r="G26" s="421">
        <v>0</v>
      </c>
      <c r="H26" s="421">
        <v>0</v>
      </c>
      <c r="I26" s="421">
        <v>0</v>
      </c>
      <c r="J26" s="421">
        <v>0</v>
      </c>
      <c r="K26" s="421">
        <v>0</v>
      </c>
      <c r="L26" s="421">
        <v>-29.345290968545498</v>
      </c>
      <c r="M26" s="421">
        <v>0</v>
      </c>
      <c r="N26" s="421">
        <v>0</v>
      </c>
      <c r="O26" s="421">
        <v>0</v>
      </c>
      <c r="P26" s="421">
        <v>0</v>
      </c>
      <c r="Q26" s="421">
        <v>0</v>
      </c>
      <c r="R26" s="421">
        <v>0</v>
      </c>
      <c r="S26" s="429">
        <v>-29.345290968545498</v>
      </c>
      <c r="T26" s="412"/>
    </row>
    <row r="27" spans="2:20" ht="13.5">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1">
        <v>0</v>
      </c>
      <c r="S27" s="429">
        <v>0</v>
      </c>
      <c r="T27" s="412"/>
    </row>
    <row r="28" spans="2:20" ht="13.5">
      <c r="B28" s="412"/>
      <c r="C28" s="428" t="s">
        <v>73</v>
      </c>
      <c r="D28" s="421">
        <v>0</v>
      </c>
      <c r="E28" s="421">
        <v>0</v>
      </c>
      <c r="F28" s="421">
        <v>0</v>
      </c>
      <c r="G28" s="421">
        <v>0</v>
      </c>
      <c r="H28" s="421">
        <v>0</v>
      </c>
      <c r="I28" s="421">
        <v>0</v>
      </c>
      <c r="J28" s="421">
        <v>0</v>
      </c>
      <c r="K28" s="421">
        <v>0</v>
      </c>
      <c r="L28" s="421">
        <v>0</v>
      </c>
      <c r="M28" s="421">
        <v>0</v>
      </c>
      <c r="N28" s="421">
        <v>0</v>
      </c>
      <c r="O28" s="421">
        <v>0</v>
      </c>
      <c r="P28" s="421">
        <v>0</v>
      </c>
      <c r="Q28" s="421">
        <v>0</v>
      </c>
      <c r="R28" s="421">
        <v>0</v>
      </c>
      <c r="S28" s="429">
        <v>0</v>
      </c>
      <c r="T28" s="412"/>
    </row>
    <row r="29" spans="2:20" ht="13.5">
      <c r="B29" s="412"/>
      <c r="C29" s="428" t="s">
        <v>356</v>
      </c>
      <c r="D29" s="421">
        <v>32.750811529533301</v>
      </c>
      <c r="E29" s="421">
        <v>-28.642483848312999</v>
      </c>
      <c r="F29" s="421">
        <v>27.554001910313001</v>
      </c>
      <c r="G29" s="421">
        <v>0</v>
      </c>
      <c r="H29" s="421">
        <v>0</v>
      </c>
      <c r="I29" s="421">
        <v>0</v>
      </c>
      <c r="J29" s="421">
        <v>0</v>
      </c>
      <c r="K29" s="421">
        <v>0</v>
      </c>
      <c r="L29" s="421">
        <v>0</v>
      </c>
      <c r="M29" s="421">
        <v>0</v>
      </c>
      <c r="N29" s="421">
        <v>0</v>
      </c>
      <c r="O29" s="421">
        <v>0</v>
      </c>
      <c r="P29" s="421">
        <v>0</v>
      </c>
      <c r="Q29" s="421">
        <v>0</v>
      </c>
      <c r="R29" s="421">
        <v>0</v>
      </c>
      <c r="S29" s="429">
        <v>31.6623295915333</v>
      </c>
      <c r="T29" s="412"/>
    </row>
    <row r="30" spans="2:20" ht="13.5">
      <c r="B30" s="412"/>
      <c r="C30" s="428" t="s">
        <v>75</v>
      </c>
      <c r="D30" s="421">
        <v>15.2114677777778</v>
      </c>
      <c r="E30" s="421">
        <v>0</v>
      </c>
      <c r="F30" s="421">
        <v>16.6815166410633</v>
      </c>
      <c r="G30" s="421">
        <v>6.4721602499999999</v>
      </c>
      <c r="H30" s="421">
        <v>0</v>
      </c>
      <c r="I30" s="421">
        <v>0</v>
      </c>
      <c r="J30" s="421">
        <v>0</v>
      </c>
      <c r="K30" s="421">
        <v>0</v>
      </c>
      <c r="L30" s="421">
        <v>0</v>
      </c>
      <c r="M30" s="421">
        <v>0</v>
      </c>
      <c r="N30" s="421">
        <v>0</v>
      </c>
      <c r="O30" s="421">
        <v>0</v>
      </c>
      <c r="P30" s="421">
        <v>34.006289078315298</v>
      </c>
      <c r="Q30" s="421">
        <v>0</v>
      </c>
      <c r="R30" s="421">
        <v>0</v>
      </c>
      <c r="S30" s="429">
        <v>72.371433747156303</v>
      </c>
      <c r="T30" s="412"/>
    </row>
    <row r="31" spans="2:20" ht="13.5">
      <c r="B31" s="412"/>
      <c r="C31" s="428" t="s">
        <v>76</v>
      </c>
      <c r="D31" s="421">
        <v>0</v>
      </c>
      <c r="E31" s="421">
        <v>0</v>
      </c>
      <c r="F31" s="421">
        <v>0</v>
      </c>
      <c r="G31" s="421">
        <v>4.9770605000000003</v>
      </c>
      <c r="H31" s="421">
        <v>0</v>
      </c>
      <c r="I31" s="421">
        <v>0</v>
      </c>
      <c r="J31" s="421">
        <v>0</v>
      </c>
      <c r="K31" s="421">
        <v>0</v>
      </c>
      <c r="L31" s="421">
        <v>0</v>
      </c>
      <c r="M31" s="421">
        <v>0</v>
      </c>
      <c r="N31" s="421">
        <v>0</v>
      </c>
      <c r="O31" s="421">
        <v>0</v>
      </c>
      <c r="P31" s="421">
        <v>37.421521940373403</v>
      </c>
      <c r="Q31" s="421">
        <v>3.7626934776683401</v>
      </c>
      <c r="R31" s="421">
        <v>0</v>
      </c>
      <c r="S31" s="429">
        <v>46.161275918041703</v>
      </c>
      <c r="T31" s="412"/>
    </row>
    <row r="32" spans="2:20" ht="13.5">
      <c r="B32" s="412"/>
      <c r="C32" s="424" t="s">
        <v>77</v>
      </c>
      <c r="D32" s="425">
        <v>65.279727822337804</v>
      </c>
      <c r="E32" s="425">
        <v>584.37525226016896</v>
      </c>
      <c r="F32" s="425">
        <v>-532.59325275452295</v>
      </c>
      <c r="G32" s="425">
        <v>95.04311525</v>
      </c>
      <c r="H32" s="425">
        <v>1209.1260212121199</v>
      </c>
      <c r="I32" s="425">
        <v>102.871685</v>
      </c>
      <c r="J32" s="425">
        <v>24.309399722222199</v>
      </c>
      <c r="K32" s="425">
        <v>28.3896848296481</v>
      </c>
      <c r="L32" s="425">
        <v>-28.954724684504701</v>
      </c>
      <c r="M32" s="425">
        <v>-2.4897312777777798</v>
      </c>
      <c r="N32" s="425">
        <v>0.25919055555555598</v>
      </c>
      <c r="O32" s="425">
        <v>3.5442516961066599</v>
      </c>
      <c r="P32" s="425">
        <v>-482.64640555915099</v>
      </c>
      <c r="Q32" s="425">
        <v>-44.227704766442798</v>
      </c>
      <c r="R32" s="425">
        <v>0</v>
      </c>
      <c r="S32" s="425">
        <v>1022.28650930576</v>
      </c>
      <c r="T32" s="412"/>
    </row>
    <row r="33" spans="2:20" ht="13.5">
      <c r="B33" s="412"/>
      <c r="C33" s="426"/>
      <c r="D33" s="427"/>
      <c r="E33" s="427"/>
      <c r="F33" s="427"/>
      <c r="G33" s="427"/>
      <c r="H33" s="427"/>
      <c r="I33" s="427"/>
      <c r="J33" s="427"/>
      <c r="K33" s="427"/>
      <c r="L33" s="427"/>
      <c r="M33" s="427"/>
      <c r="N33" s="427"/>
      <c r="O33" s="427"/>
      <c r="P33" s="427"/>
      <c r="Q33" s="427"/>
      <c r="R33" s="427"/>
      <c r="S33" s="427"/>
      <c r="T33" s="412"/>
    </row>
    <row r="34" spans="2:20" ht="13.5">
      <c r="B34" s="412"/>
      <c r="C34" s="428" t="s">
        <v>78</v>
      </c>
      <c r="D34" s="421">
        <v>10.318644626419999</v>
      </c>
      <c r="E34" s="421">
        <v>0</v>
      </c>
      <c r="F34" s="421">
        <v>31.176167082986101</v>
      </c>
      <c r="G34" s="421">
        <v>122.13725650000001</v>
      </c>
      <c r="H34" s="421">
        <v>0</v>
      </c>
      <c r="I34" s="421">
        <v>0</v>
      </c>
      <c r="J34" s="421">
        <v>14.961055833333299</v>
      </c>
      <c r="K34" s="421">
        <v>4.5351336111111102</v>
      </c>
      <c r="L34" s="421">
        <v>1.07145867509541</v>
      </c>
      <c r="M34" s="421">
        <v>0.57614500000000002</v>
      </c>
      <c r="N34" s="421">
        <v>0</v>
      </c>
      <c r="O34" s="421">
        <v>1.43516666666667E-2</v>
      </c>
      <c r="P34" s="421">
        <v>114.97992949563699</v>
      </c>
      <c r="Q34" s="421">
        <v>19.722316155331701</v>
      </c>
      <c r="R34" s="421">
        <v>0</v>
      </c>
      <c r="S34" s="429">
        <v>319.49245864658201</v>
      </c>
      <c r="T34" s="412"/>
    </row>
    <row r="35" spans="2:20" ht="13.5">
      <c r="B35" s="412"/>
      <c r="C35" s="428" t="s">
        <v>79</v>
      </c>
      <c r="D35" s="421">
        <v>0</v>
      </c>
      <c r="E35" s="421">
        <v>0</v>
      </c>
      <c r="F35" s="421">
        <v>451.79066079002598</v>
      </c>
      <c r="G35" s="421">
        <v>1.8942870000000001</v>
      </c>
      <c r="H35" s="421">
        <v>0</v>
      </c>
      <c r="I35" s="421">
        <v>0</v>
      </c>
      <c r="J35" s="421">
        <v>0</v>
      </c>
      <c r="K35" s="421">
        <v>0</v>
      </c>
      <c r="L35" s="421">
        <v>37.1882564212086</v>
      </c>
      <c r="M35" s="421">
        <v>0</v>
      </c>
      <c r="N35" s="421">
        <v>0</v>
      </c>
      <c r="O35" s="421">
        <v>0</v>
      </c>
      <c r="P35" s="421">
        <v>10.07993007</v>
      </c>
      <c r="Q35" s="421">
        <v>0</v>
      </c>
      <c r="R35" s="421">
        <v>0</v>
      </c>
      <c r="S35" s="429">
        <v>500.95313428123501</v>
      </c>
      <c r="T35" s="412"/>
    </row>
    <row r="36" spans="2:20" ht="13.5">
      <c r="B36" s="412"/>
      <c r="C36" s="428" t="s">
        <v>80</v>
      </c>
      <c r="D36" s="421">
        <v>0.28361423904999999</v>
      </c>
      <c r="E36" s="421">
        <v>0</v>
      </c>
      <c r="F36" s="421">
        <v>50.342130647316097</v>
      </c>
      <c r="G36" s="421">
        <v>132.15121725</v>
      </c>
      <c r="H36" s="421">
        <v>0</v>
      </c>
      <c r="I36" s="421">
        <v>0</v>
      </c>
      <c r="J36" s="421">
        <v>74.953719722222203</v>
      </c>
      <c r="K36" s="421">
        <v>0</v>
      </c>
      <c r="L36" s="421">
        <v>0</v>
      </c>
      <c r="M36" s="421">
        <v>0</v>
      </c>
      <c r="N36" s="421">
        <v>26.055985555555601</v>
      </c>
      <c r="O36" s="421">
        <v>1.0385659219200001</v>
      </c>
      <c r="P36" s="421">
        <v>156.74628106989999</v>
      </c>
      <c r="Q36" s="421">
        <v>14.980747222222201</v>
      </c>
      <c r="R36" s="421">
        <v>0</v>
      </c>
      <c r="S36" s="429">
        <v>456.55226162818599</v>
      </c>
      <c r="T36" s="412"/>
    </row>
    <row r="37" spans="2:20" ht="13.5">
      <c r="B37" s="412"/>
      <c r="C37" s="428" t="s">
        <v>81</v>
      </c>
      <c r="D37" s="421">
        <v>0.40432760307999999</v>
      </c>
      <c r="E37" s="421">
        <v>0</v>
      </c>
      <c r="F37" s="421">
        <v>32.550164958320401</v>
      </c>
      <c r="G37" s="421">
        <v>70.504948999999996</v>
      </c>
      <c r="H37" s="421">
        <v>0</v>
      </c>
      <c r="I37" s="421">
        <v>0</v>
      </c>
      <c r="J37" s="421">
        <v>3.0152302777777802</v>
      </c>
      <c r="K37" s="421">
        <v>1.7490471256183899</v>
      </c>
      <c r="L37" s="421">
        <v>0</v>
      </c>
      <c r="M37" s="421">
        <v>1.48201694444444</v>
      </c>
      <c r="N37" s="421">
        <v>4.7020091666666701</v>
      </c>
      <c r="O37" s="421">
        <v>0.34953088848888902</v>
      </c>
      <c r="P37" s="421">
        <v>134.73088810684999</v>
      </c>
      <c r="Q37" s="421">
        <v>9.3080608333333306</v>
      </c>
      <c r="R37" s="421">
        <v>0</v>
      </c>
      <c r="S37" s="429">
        <v>258.79622490458001</v>
      </c>
      <c r="T37" s="412"/>
    </row>
    <row r="38" spans="2:20" ht="13.5">
      <c r="B38" s="412"/>
      <c r="C38" s="428" t="s">
        <v>82</v>
      </c>
      <c r="D38" s="421">
        <v>1.6738093709999999E-2</v>
      </c>
      <c r="E38" s="421">
        <v>0</v>
      </c>
      <c r="F38" s="421">
        <v>35.069780998016903</v>
      </c>
      <c r="G38" s="421">
        <v>2.1960535000000001</v>
      </c>
      <c r="H38" s="421">
        <v>0</v>
      </c>
      <c r="I38" s="421">
        <v>0</v>
      </c>
      <c r="J38" s="421">
        <v>1.63939777777778</v>
      </c>
      <c r="K38" s="421">
        <v>0</v>
      </c>
      <c r="L38" s="421">
        <v>1.8343369774792899</v>
      </c>
      <c r="M38" s="421">
        <v>0.43157000000000001</v>
      </c>
      <c r="N38" s="421">
        <v>0</v>
      </c>
      <c r="O38" s="421">
        <v>0.29222749999999997</v>
      </c>
      <c r="P38" s="421">
        <v>8.4423278167633402</v>
      </c>
      <c r="Q38" s="421">
        <v>0.216580555555556</v>
      </c>
      <c r="R38" s="421">
        <v>0</v>
      </c>
      <c r="S38" s="429">
        <v>50.139013219302797</v>
      </c>
      <c r="T38" s="412"/>
    </row>
    <row r="39" spans="2:20" ht="13.5">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v>0</v>
      </c>
      <c r="T39" s="412"/>
    </row>
    <row r="40" spans="2:20" ht="13.5">
      <c r="B40" s="412"/>
      <c r="C40" s="424" t="s">
        <v>83</v>
      </c>
      <c r="D40" s="425">
        <v>11.023324562259999</v>
      </c>
      <c r="E40" s="425">
        <v>0</v>
      </c>
      <c r="F40" s="425">
        <v>600.92890447666605</v>
      </c>
      <c r="G40" s="425">
        <v>328.88376325000002</v>
      </c>
      <c r="H40" s="425">
        <v>0</v>
      </c>
      <c r="I40" s="425">
        <v>0</v>
      </c>
      <c r="J40" s="425">
        <v>94.569403611111099</v>
      </c>
      <c r="K40" s="425">
        <v>6.2841807367295104</v>
      </c>
      <c r="L40" s="425">
        <v>40.094052073783303</v>
      </c>
      <c r="M40" s="425">
        <v>2.4897319444444399</v>
      </c>
      <c r="N40" s="425">
        <v>30.7579947222222</v>
      </c>
      <c r="O40" s="425">
        <v>1.6946759770755599</v>
      </c>
      <c r="P40" s="425">
        <v>424.97935655915097</v>
      </c>
      <c r="Q40" s="425">
        <v>44.227704766442798</v>
      </c>
      <c r="R40" s="425">
        <v>0</v>
      </c>
      <c r="S40" s="425">
        <v>1585.93309267989</v>
      </c>
      <c r="T40" s="412"/>
    </row>
    <row r="41" spans="2:20" ht="13.5">
      <c r="B41" s="412"/>
      <c r="C41" s="420" t="s">
        <v>84</v>
      </c>
      <c r="D41" s="421">
        <v>3.1200159204000002</v>
      </c>
      <c r="E41" s="421">
        <v>0</v>
      </c>
      <c r="F41" s="421">
        <v>138.91911823297301</v>
      </c>
      <c r="G41" s="421">
        <v>13.804214249999999</v>
      </c>
      <c r="H41" s="421">
        <v>0</v>
      </c>
      <c r="I41" s="421">
        <v>0</v>
      </c>
      <c r="J41" s="421">
        <v>0</v>
      </c>
      <c r="K41" s="421">
        <v>0</v>
      </c>
      <c r="L41" s="421">
        <v>0</v>
      </c>
      <c r="M41" s="421">
        <v>0</v>
      </c>
      <c r="N41" s="421">
        <v>0</v>
      </c>
      <c r="O41" s="421">
        <v>0</v>
      </c>
      <c r="P41" s="421">
        <v>0</v>
      </c>
      <c r="Q41" s="421">
        <v>0</v>
      </c>
      <c r="R41" s="421">
        <v>0</v>
      </c>
      <c r="S41" s="429">
        <v>155.843348403373</v>
      </c>
      <c r="T41" s="412"/>
    </row>
    <row r="42" spans="2:20" ht="13.5">
      <c r="B42" s="412"/>
      <c r="C42" s="424" t="s">
        <v>85</v>
      </c>
      <c r="D42" s="425">
        <v>14.143340482659999</v>
      </c>
      <c r="E42" s="425">
        <v>0</v>
      </c>
      <c r="F42" s="425">
        <v>739.84802270963905</v>
      </c>
      <c r="G42" s="425">
        <v>342.68797749999999</v>
      </c>
      <c r="H42" s="425">
        <v>0</v>
      </c>
      <c r="I42" s="425">
        <v>0</v>
      </c>
      <c r="J42" s="425">
        <v>94.569403611111099</v>
      </c>
      <c r="K42" s="425">
        <v>6.2841807367295104</v>
      </c>
      <c r="L42" s="425">
        <v>40.094052073783303</v>
      </c>
      <c r="M42" s="425">
        <v>2.4897319444444399</v>
      </c>
      <c r="N42" s="425">
        <v>30.7579947222222</v>
      </c>
      <c r="O42" s="425">
        <v>1.6946759770755599</v>
      </c>
      <c r="P42" s="425">
        <v>424.97935655915097</v>
      </c>
      <c r="Q42" s="425">
        <v>44.227704766442798</v>
      </c>
      <c r="R42" s="425">
        <v>0</v>
      </c>
      <c r="S42" s="425">
        <v>1741.7764410832599</v>
      </c>
      <c r="T42" s="412"/>
    </row>
    <row r="43" spans="2:20">
      <c r="B43" s="412"/>
      <c r="C43" s="412"/>
      <c r="D43" s="412"/>
      <c r="E43" s="412"/>
      <c r="F43" s="412"/>
      <c r="G43" s="412"/>
      <c r="H43" s="412"/>
      <c r="I43" s="412"/>
      <c r="J43" s="412"/>
      <c r="K43" s="412"/>
      <c r="L43" s="412"/>
      <c r="M43" s="412"/>
      <c r="N43" s="412"/>
      <c r="O43" s="412"/>
      <c r="P43" s="412"/>
      <c r="Q43" s="412"/>
      <c r="R43" s="412"/>
      <c r="S43" s="412"/>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3.5">
      <c r="B45" s="416"/>
      <c r="C45" s="417" t="s">
        <v>86</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02" t="s">
        <v>128</v>
      </c>
      <c r="D47" s="703" t="s">
        <v>42</v>
      </c>
      <c r="E47" s="703" t="s">
        <v>52</v>
      </c>
      <c r="F47" s="703" t="s">
        <v>53</v>
      </c>
      <c r="G47" s="703" t="s">
        <v>32</v>
      </c>
      <c r="H47" s="703" t="s">
        <v>20</v>
      </c>
      <c r="I47" s="703" t="s">
        <v>55</v>
      </c>
      <c r="J47" s="703" t="s">
        <v>56</v>
      </c>
      <c r="K47" s="703"/>
      <c r="L47" s="703"/>
      <c r="M47" s="703"/>
      <c r="N47" s="703"/>
      <c r="O47" s="703"/>
      <c r="P47" s="703" t="s">
        <v>57</v>
      </c>
      <c r="Q47" s="703" t="s">
        <v>58</v>
      </c>
      <c r="R47" s="703" t="s">
        <v>31</v>
      </c>
      <c r="S47" s="703" t="s">
        <v>10</v>
      </c>
      <c r="T47" s="412"/>
    </row>
    <row r="48" spans="2:20" ht="57.5">
      <c r="B48" s="412"/>
      <c r="C48" s="702"/>
      <c r="D48" s="703"/>
      <c r="E48" s="703"/>
      <c r="F48" s="703"/>
      <c r="G48" s="703"/>
      <c r="H48" s="703"/>
      <c r="I48" s="703"/>
      <c r="J48" s="418" t="s">
        <v>338</v>
      </c>
      <c r="K48" s="418" t="s">
        <v>40</v>
      </c>
      <c r="L48" s="418" t="s">
        <v>346</v>
      </c>
      <c r="M48" s="418" t="s">
        <v>347</v>
      </c>
      <c r="N48" s="419" t="s">
        <v>348</v>
      </c>
      <c r="O48" s="418" t="s">
        <v>349</v>
      </c>
      <c r="P48" s="703"/>
      <c r="Q48" s="703"/>
      <c r="R48" s="703"/>
      <c r="S48" s="703"/>
      <c r="T48" s="412"/>
    </row>
    <row r="49" spans="2:20" ht="13.5">
      <c r="B49" s="412"/>
      <c r="C49" s="420" t="s">
        <v>59</v>
      </c>
      <c r="D49" s="421">
        <v>0</v>
      </c>
      <c r="E49" s="421">
        <v>9.7977867342210008</v>
      </c>
      <c r="F49" s="422">
        <v>0</v>
      </c>
      <c r="G49" s="421">
        <v>0.18111849999999999</v>
      </c>
      <c r="H49" s="422">
        <v>1072.2208090909101</v>
      </c>
      <c r="I49" s="422">
        <v>115.87787899999999</v>
      </c>
      <c r="J49" s="422">
        <v>112.028883763832</v>
      </c>
      <c r="K49" s="422">
        <v>33.3469764659337</v>
      </c>
      <c r="L49" s="422">
        <v>0</v>
      </c>
      <c r="M49" s="422">
        <v>0</v>
      </c>
      <c r="N49" s="422">
        <v>32.169396111111098</v>
      </c>
      <c r="O49" s="422">
        <v>5.5031144880955498</v>
      </c>
      <c r="P49" s="422">
        <v>0</v>
      </c>
      <c r="Q49" s="422">
        <v>0</v>
      </c>
      <c r="R49" s="422">
        <v>0</v>
      </c>
      <c r="S49" s="423">
        <v>1381.1259641541001</v>
      </c>
      <c r="T49" s="412"/>
    </row>
    <row r="50" spans="2:20" ht="13.5">
      <c r="B50" s="412"/>
      <c r="C50" s="420" t="s">
        <v>60</v>
      </c>
      <c r="D50" s="422">
        <v>53.758669450103397</v>
      </c>
      <c r="E50" s="422">
        <v>391.30391811518598</v>
      </c>
      <c r="F50" s="422">
        <v>490.50203112152298</v>
      </c>
      <c r="G50" s="422">
        <v>479.42224425000001</v>
      </c>
      <c r="H50" s="422">
        <v>0</v>
      </c>
      <c r="I50" s="422">
        <v>0</v>
      </c>
      <c r="J50" s="422">
        <v>2.6631252777777799</v>
      </c>
      <c r="K50" s="422">
        <v>0</v>
      </c>
      <c r="L50" s="422">
        <v>12.8011363168111</v>
      </c>
      <c r="M50" s="422">
        <v>0</v>
      </c>
      <c r="N50" s="422">
        <v>0</v>
      </c>
      <c r="O50" s="422">
        <v>0</v>
      </c>
      <c r="P50" s="517">
        <v>19.536102</v>
      </c>
      <c r="Q50" s="422">
        <v>0</v>
      </c>
      <c r="R50" s="422">
        <v>0</v>
      </c>
      <c r="S50" s="423">
        <v>1449.9872265314</v>
      </c>
      <c r="T50" s="412"/>
    </row>
    <row r="51" spans="2:20" ht="13.5">
      <c r="B51" s="412"/>
      <c r="C51" s="420" t="s">
        <v>61</v>
      </c>
      <c r="D51" s="422">
        <v>-9.697288221E-2</v>
      </c>
      <c r="E51" s="422">
        <v>-1.448866438559</v>
      </c>
      <c r="F51" s="422">
        <v>-152.00047045328199</v>
      </c>
      <c r="G51" s="422">
        <v>-95.022441999999998</v>
      </c>
      <c r="H51" s="422">
        <v>0</v>
      </c>
      <c r="I51" s="422">
        <v>0</v>
      </c>
      <c r="J51" s="422">
        <v>-2.0287163888888902</v>
      </c>
      <c r="K51" s="422">
        <v>0</v>
      </c>
      <c r="L51" s="422">
        <v>-5.9724632088267002</v>
      </c>
      <c r="M51" s="422">
        <v>0</v>
      </c>
      <c r="N51" s="422">
        <v>0</v>
      </c>
      <c r="O51" s="422">
        <v>0</v>
      </c>
      <c r="P51" s="422">
        <v>-64.575295999999994</v>
      </c>
      <c r="Q51" s="422">
        <v>0</v>
      </c>
      <c r="R51" s="422">
        <v>0</v>
      </c>
      <c r="S51" s="423">
        <v>-321.145227371766</v>
      </c>
      <c r="T51" s="412"/>
    </row>
    <row r="52" spans="2:20" ht="13.5">
      <c r="B52" s="412"/>
      <c r="C52" s="420" t="s">
        <v>62</v>
      </c>
      <c r="D52" s="421">
        <v>0</v>
      </c>
      <c r="E52" s="421">
        <v>0</v>
      </c>
      <c r="F52" s="421">
        <v>-10.9552200351159</v>
      </c>
      <c r="G52" s="421">
        <v>0</v>
      </c>
      <c r="H52" s="421">
        <v>0</v>
      </c>
      <c r="I52" s="421">
        <v>0</v>
      </c>
      <c r="J52" s="421">
        <v>0</v>
      </c>
      <c r="K52" s="421">
        <v>0</v>
      </c>
      <c r="L52" s="421">
        <v>0</v>
      </c>
      <c r="M52" s="421">
        <v>0</v>
      </c>
      <c r="N52" s="421">
        <v>0</v>
      </c>
      <c r="O52" s="421">
        <v>0</v>
      </c>
      <c r="P52" s="421">
        <v>0</v>
      </c>
      <c r="Q52" s="421">
        <v>0</v>
      </c>
      <c r="R52" s="421">
        <v>0</v>
      </c>
      <c r="S52" s="423">
        <v>-10.9552200351159</v>
      </c>
      <c r="T52" s="412"/>
    </row>
    <row r="53" spans="2:20" ht="13.5">
      <c r="B53" s="412"/>
      <c r="C53" s="420" t="s">
        <v>63</v>
      </c>
      <c r="D53" s="421">
        <v>0</v>
      </c>
      <c r="E53" s="421">
        <v>0</v>
      </c>
      <c r="F53" s="421">
        <v>-33.884598226965998</v>
      </c>
      <c r="G53" s="421">
        <v>0</v>
      </c>
      <c r="H53" s="421">
        <v>0</v>
      </c>
      <c r="I53" s="421">
        <v>0</v>
      </c>
      <c r="J53" s="421">
        <v>0</v>
      </c>
      <c r="K53" s="421">
        <v>0</v>
      </c>
      <c r="L53" s="421">
        <v>0</v>
      </c>
      <c r="M53" s="421">
        <v>0</v>
      </c>
      <c r="N53" s="421">
        <v>0</v>
      </c>
      <c r="O53" s="421">
        <v>0</v>
      </c>
      <c r="P53" s="421">
        <v>0</v>
      </c>
      <c r="Q53" s="421">
        <v>0</v>
      </c>
      <c r="R53" s="421">
        <v>0</v>
      </c>
      <c r="S53" s="423">
        <v>-33.884598226965998</v>
      </c>
      <c r="T53" s="412"/>
    </row>
    <row r="54" spans="2:20" ht="13.5">
      <c r="B54" s="412"/>
      <c r="C54" s="420" t="s">
        <v>64</v>
      </c>
      <c r="D54" s="422">
        <v>2.3241764109487302</v>
      </c>
      <c r="E54" s="422">
        <v>1.7113809303380001</v>
      </c>
      <c r="F54" s="422">
        <v>-2.0229574121509999</v>
      </c>
      <c r="G54" s="422">
        <v>21.247113500000001</v>
      </c>
      <c r="H54" s="422">
        <v>0</v>
      </c>
      <c r="I54" s="422">
        <v>0</v>
      </c>
      <c r="J54" s="422">
        <v>0</v>
      </c>
      <c r="K54" s="422">
        <v>0</v>
      </c>
      <c r="L54" s="422">
        <v>0</v>
      </c>
      <c r="M54" s="422">
        <v>0</v>
      </c>
      <c r="N54" s="422">
        <v>0</v>
      </c>
      <c r="O54" s="422">
        <v>0</v>
      </c>
      <c r="P54" s="422">
        <v>0</v>
      </c>
      <c r="Q54" s="422">
        <v>0</v>
      </c>
      <c r="R54" s="422">
        <v>0</v>
      </c>
      <c r="S54" s="423">
        <v>23.259713429135701</v>
      </c>
      <c r="T54" s="412"/>
    </row>
    <row r="55" spans="2:20" ht="13.5">
      <c r="B55" s="412"/>
      <c r="C55" s="424" t="s">
        <v>65</v>
      </c>
      <c r="D55" s="425">
        <v>55.985872978842103</v>
      </c>
      <c r="E55" s="425">
        <v>401.36421934118601</v>
      </c>
      <c r="F55" s="425">
        <v>291.63878499400801</v>
      </c>
      <c r="G55" s="425">
        <v>405.82803424999997</v>
      </c>
      <c r="H55" s="425">
        <v>1072.2208090909101</v>
      </c>
      <c r="I55" s="425">
        <v>115.87787899999999</v>
      </c>
      <c r="J55" s="425">
        <v>112.663292652721</v>
      </c>
      <c r="K55" s="425">
        <v>33.3469764659337</v>
      </c>
      <c r="L55" s="425">
        <v>6.8286731079844101</v>
      </c>
      <c r="M55" s="425">
        <v>0</v>
      </c>
      <c r="N55" s="425">
        <v>32.169396111111098</v>
      </c>
      <c r="O55" s="425">
        <v>5.5031144880955498</v>
      </c>
      <c r="P55" s="425">
        <v>-45.039194000000002</v>
      </c>
      <c r="Q55" s="425">
        <v>0</v>
      </c>
      <c r="R55" s="425">
        <v>0</v>
      </c>
      <c r="S55" s="425">
        <v>2488.3878584807899</v>
      </c>
      <c r="T55" s="412"/>
    </row>
    <row r="56" spans="2:20" ht="13.5">
      <c r="B56" s="412"/>
      <c r="C56" s="426"/>
      <c r="D56" s="427"/>
      <c r="E56" s="427"/>
      <c r="F56" s="427"/>
      <c r="G56" s="427"/>
      <c r="H56" s="427"/>
      <c r="I56" s="427"/>
      <c r="J56" s="427"/>
      <c r="K56" s="427"/>
      <c r="L56" s="427"/>
      <c r="M56" s="427"/>
      <c r="N56" s="427"/>
      <c r="O56" s="427"/>
      <c r="P56" s="427"/>
      <c r="Q56" s="427"/>
      <c r="R56" s="427"/>
      <c r="S56" s="427"/>
      <c r="T56" s="412"/>
    </row>
    <row r="57" spans="2:20" ht="13.5">
      <c r="B57" s="412"/>
      <c r="C57" s="428" t="s">
        <v>67</v>
      </c>
      <c r="D57" s="421">
        <v>-3.1696853392377902</v>
      </c>
      <c r="E57" s="421">
        <v>7.5650399061953602</v>
      </c>
      <c r="F57" s="421">
        <v>5.1904492215094802</v>
      </c>
      <c r="G57" s="421">
        <v>1.297493</v>
      </c>
      <c r="H57" s="421">
        <v>0</v>
      </c>
      <c r="I57" s="421">
        <v>0</v>
      </c>
      <c r="J57" s="421">
        <v>0</v>
      </c>
      <c r="K57" s="421">
        <v>0</v>
      </c>
      <c r="L57" s="421">
        <v>0</v>
      </c>
      <c r="M57" s="421">
        <v>0</v>
      </c>
      <c r="N57" s="421">
        <v>0</v>
      </c>
      <c r="O57" s="421">
        <v>0</v>
      </c>
      <c r="P57" s="421">
        <v>3.4925675262248301</v>
      </c>
      <c r="Q57" s="421">
        <v>0</v>
      </c>
      <c r="R57" s="421">
        <v>0</v>
      </c>
      <c r="S57" s="429">
        <v>14.375864314691899</v>
      </c>
      <c r="T57" s="412"/>
    </row>
    <row r="58" spans="2:20" ht="13.5">
      <c r="B58" s="412"/>
      <c r="C58" s="428" t="s">
        <v>350</v>
      </c>
      <c r="D58" s="421">
        <v>9.3252829217432893</v>
      </c>
      <c r="E58" s="421">
        <v>0</v>
      </c>
      <c r="F58" s="421">
        <v>3.4206184464582501</v>
      </c>
      <c r="G58" s="421">
        <v>55.436136268600997</v>
      </c>
      <c r="H58" s="421">
        <v>1072.2208090909101</v>
      </c>
      <c r="I58" s="421">
        <v>115.87787899999999</v>
      </c>
      <c r="J58" s="421">
        <v>15.525267102350799</v>
      </c>
      <c r="K58" s="421">
        <v>11.440482679229399</v>
      </c>
      <c r="L58" s="421">
        <v>0</v>
      </c>
      <c r="M58" s="421">
        <v>5.1116648388888901</v>
      </c>
      <c r="N58" s="421">
        <v>0</v>
      </c>
      <c r="O58" s="421">
        <v>0.1168952</v>
      </c>
      <c r="P58" s="421">
        <v>-521.27667777381203</v>
      </c>
      <c r="Q58" s="421">
        <v>0</v>
      </c>
      <c r="R58" s="421">
        <v>0</v>
      </c>
      <c r="S58" s="429">
        <v>767.19835777436799</v>
      </c>
      <c r="T58" s="412"/>
    </row>
    <row r="59" spans="2:20" ht="13.5">
      <c r="B59" s="412"/>
      <c r="C59" s="428" t="s">
        <v>351</v>
      </c>
      <c r="D59" s="421">
        <v>1.57293676268989</v>
      </c>
      <c r="E59" s="421">
        <v>0</v>
      </c>
      <c r="F59" s="421">
        <v>0.19738462224074599</v>
      </c>
      <c r="G59" s="421">
        <v>21.089114481399001</v>
      </c>
      <c r="H59" s="421">
        <v>0</v>
      </c>
      <c r="I59" s="421">
        <v>0</v>
      </c>
      <c r="J59" s="421">
        <v>7.65275234209368</v>
      </c>
      <c r="K59" s="421">
        <v>16.451727879229399</v>
      </c>
      <c r="L59" s="421">
        <v>0</v>
      </c>
      <c r="M59" s="421">
        <v>3.0353079388888902</v>
      </c>
      <c r="N59" s="421">
        <v>0.25705111111111101</v>
      </c>
      <c r="O59" s="421">
        <v>3.6793581777777802</v>
      </c>
      <c r="P59" s="421">
        <v>0</v>
      </c>
      <c r="Q59" s="421">
        <v>-47.163694953464002</v>
      </c>
      <c r="R59" s="421">
        <v>0</v>
      </c>
      <c r="S59" s="429">
        <v>6.7719383619664901</v>
      </c>
      <c r="T59" s="412"/>
    </row>
    <row r="60" spans="2:20" ht="13.5">
      <c r="B60" s="412"/>
      <c r="C60" s="428" t="s">
        <v>352</v>
      </c>
      <c r="D60" s="421">
        <v>0</v>
      </c>
      <c r="E60" s="421">
        <v>0</v>
      </c>
      <c r="F60" s="421">
        <v>0</v>
      </c>
      <c r="G60" s="421">
        <v>0</v>
      </c>
      <c r="H60" s="421">
        <v>0</v>
      </c>
      <c r="I60" s="421">
        <v>0</v>
      </c>
      <c r="J60" s="421">
        <v>0</v>
      </c>
      <c r="K60" s="421">
        <v>0</v>
      </c>
      <c r="L60" s="421">
        <v>0</v>
      </c>
      <c r="M60" s="421">
        <v>-11.045323777777799</v>
      </c>
      <c r="N60" s="421">
        <v>0</v>
      </c>
      <c r="O60" s="421">
        <v>0</v>
      </c>
      <c r="P60" s="421">
        <v>0</v>
      </c>
      <c r="Q60" s="421">
        <v>0</v>
      </c>
      <c r="R60" s="421">
        <v>0</v>
      </c>
      <c r="S60" s="429">
        <v>-11.045323777777799</v>
      </c>
      <c r="T60" s="412"/>
    </row>
    <row r="61" spans="2:20" ht="13.5">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ht="13.5">
      <c r="B62" s="412"/>
      <c r="C62" s="428" t="s">
        <v>72</v>
      </c>
      <c r="D62" s="421">
        <v>0</v>
      </c>
      <c r="E62" s="421">
        <v>436.86125260161799</v>
      </c>
      <c r="F62" s="421">
        <v>-434.01700779015403</v>
      </c>
      <c r="G62" s="421">
        <v>0</v>
      </c>
      <c r="H62" s="421">
        <v>0</v>
      </c>
      <c r="I62" s="421">
        <v>0</v>
      </c>
      <c r="J62" s="421">
        <v>0</v>
      </c>
      <c r="K62" s="421">
        <v>0</v>
      </c>
      <c r="L62" s="421">
        <v>0</v>
      </c>
      <c r="M62" s="421">
        <v>0</v>
      </c>
      <c r="N62" s="421">
        <v>0</v>
      </c>
      <c r="O62" s="421">
        <v>0</v>
      </c>
      <c r="P62" s="421">
        <v>0</v>
      </c>
      <c r="Q62" s="421">
        <v>0</v>
      </c>
      <c r="R62" s="421">
        <v>0</v>
      </c>
      <c r="S62" s="429">
        <v>2.8442448114640801</v>
      </c>
      <c r="T62" s="412"/>
    </row>
    <row r="63" spans="2:20" ht="13.5">
      <c r="B63" s="412"/>
      <c r="C63" s="428" t="s">
        <v>354</v>
      </c>
      <c r="D63" s="421">
        <v>0</v>
      </c>
      <c r="E63" s="421">
        <v>0</v>
      </c>
      <c r="F63" s="421">
        <v>0</v>
      </c>
      <c r="G63" s="421">
        <v>0</v>
      </c>
      <c r="H63" s="421">
        <v>0</v>
      </c>
      <c r="I63" s="421">
        <v>0</v>
      </c>
      <c r="J63" s="421">
        <v>0</v>
      </c>
      <c r="K63" s="421">
        <v>0</v>
      </c>
      <c r="L63" s="421">
        <v>-27.316249379798698</v>
      </c>
      <c r="M63" s="421">
        <v>0</v>
      </c>
      <c r="N63" s="421">
        <v>0</v>
      </c>
      <c r="O63" s="421">
        <v>0</v>
      </c>
      <c r="P63" s="421">
        <v>0</v>
      </c>
      <c r="Q63" s="421">
        <v>0</v>
      </c>
      <c r="R63" s="421">
        <v>0</v>
      </c>
      <c r="S63" s="429">
        <v>-27.316249379798698</v>
      </c>
      <c r="T63" s="412"/>
    </row>
    <row r="64" spans="2:20" ht="13.5">
      <c r="B64" s="412"/>
      <c r="C64" s="428" t="s">
        <v>355</v>
      </c>
      <c r="D64" s="421">
        <v>0</v>
      </c>
      <c r="E64" s="421">
        <v>0</v>
      </c>
      <c r="F64" s="421">
        <v>0</v>
      </c>
      <c r="G64" s="421">
        <v>0</v>
      </c>
      <c r="H64" s="421">
        <v>0</v>
      </c>
      <c r="I64" s="421">
        <v>0</v>
      </c>
      <c r="J64" s="421">
        <v>0</v>
      </c>
      <c r="K64" s="421">
        <v>0</v>
      </c>
      <c r="L64" s="421">
        <v>0</v>
      </c>
      <c r="M64" s="421">
        <v>0</v>
      </c>
      <c r="N64" s="421">
        <v>0</v>
      </c>
      <c r="O64" s="421">
        <v>0</v>
      </c>
      <c r="P64" s="421">
        <v>0</v>
      </c>
      <c r="Q64" s="421">
        <v>0</v>
      </c>
      <c r="R64" s="421">
        <v>0</v>
      </c>
      <c r="S64" s="429">
        <v>0</v>
      </c>
      <c r="T64" s="412"/>
    </row>
    <row r="65" spans="2:20" ht="13.5">
      <c r="B65" s="412"/>
      <c r="C65" s="428" t="s">
        <v>73</v>
      </c>
      <c r="D65" s="421">
        <v>0</v>
      </c>
      <c r="E65" s="421">
        <v>0</v>
      </c>
      <c r="F65" s="421">
        <v>0</v>
      </c>
      <c r="G65" s="421">
        <v>0</v>
      </c>
      <c r="H65" s="421">
        <v>0</v>
      </c>
      <c r="I65" s="421">
        <v>0</v>
      </c>
      <c r="J65" s="421">
        <v>0</v>
      </c>
      <c r="K65" s="421">
        <v>0</v>
      </c>
      <c r="L65" s="421">
        <v>0</v>
      </c>
      <c r="M65" s="421">
        <v>0</v>
      </c>
      <c r="N65" s="421">
        <v>0</v>
      </c>
      <c r="O65" s="421">
        <v>0</v>
      </c>
      <c r="P65" s="421">
        <v>0</v>
      </c>
      <c r="Q65" s="421">
        <v>0</v>
      </c>
      <c r="R65" s="421">
        <v>0</v>
      </c>
      <c r="S65" s="429">
        <v>0</v>
      </c>
      <c r="T65" s="412"/>
    </row>
    <row r="66" spans="2:20" ht="13.5">
      <c r="B66" s="412"/>
      <c r="C66" s="428" t="s">
        <v>356</v>
      </c>
      <c r="D66" s="421">
        <v>24.856875540426699</v>
      </c>
      <c r="E66" s="421">
        <v>-42.341967860489</v>
      </c>
      <c r="F66" s="421">
        <v>41.425158678488998</v>
      </c>
      <c r="G66" s="421">
        <v>0</v>
      </c>
      <c r="H66" s="421">
        <v>0</v>
      </c>
      <c r="I66" s="421">
        <v>0</v>
      </c>
      <c r="J66" s="421">
        <v>0</v>
      </c>
      <c r="K66" s="421">
        <v>0</v>
      </c>
      <c r="L66" s="421">
        <v>0</v>
      </c>
      <c r="M66" s="421">
        <v>0</v>
      </c>
      <c r="N66" s="421">
        <v>0</v>
      </c>
      <c r="O66" s="421">
        <v>0</v>
      </c>
      <c r="P66" s="421">
        <v>0</v>
      </c>
      <c r="Q66" s="421">
        <v>0</v>
      </c>
      <c r="R66" s="421">
        <v>0</v>
      </c>
      <c r="S66" s="429">
        <v>23.940066358426701</v>
      </c>
      <c r="T66" s="412"/>
    </row>
    <row r="67" spans="2:20" ht="13.5">
      <c r="B67" s="412"/>
      <c r="C67" s="428" t="s">
        <v>75</v>
      </c>
      <c r="D67" s="421">
        <v>10.864485</v>
      </c>
      <c r="E67" s="421">
        <v>0</v>
      </c>
      <c r="F67" s="421">
        <v>12.156002809978</v>
      </c>
      <c r="G67" s="421">
        <v>6.2612449999999997</v>
      </c>
      <c r="H67" s="421">
        <v>0</v>
      </c>
      <c r="I67" s="421">
        <v>0</v>
      </c>
      <c r="J67" s="421">
        <v>0</v>
      </c>
      <c r="K67" s="421">
        <v>0</v>
      </c>
      <c r="L67" s="421">
        <v>0</v>
      </c>
      <c r="M67" s="421">
        <v>0</v>
      </c>
      <c r="N67" s="421">
        <v>0</v>
      </c>
      <c r="O67" s="421">
        <v>0</v>
      </c>
      <c r="P67" s="421">
        <v>32.877518711415298</v>
      </c>
      <c r="Q67" s="421">
        <v>0</v>
      </c>
      <c r="R67" s="421">
        <v>0</v>
      </c>
      <c r="S67" s="429">
        <v>62.159251521393301</v>
      </c>
      <c r="T67" s="412"/>
    </row>
    <row r="68" spans="2:20" ht="13.5">
      <c r="B68" s="412"/>
      <c r="C68" s="428" t="s">
        <v>76</v>
      </c>
      <c r="D68" s="421">
        <v>0</v>
      </c>
      <c r="E68" s="421">
        <v>0</v>
      </c>
      <c r="F68" s="421">
        <v>0</v>
      </c>
      <c r="G68" s="421">
        <v>3.9080132500000002</v>
      </c>
      <c r="H68" s="421">
        <v>0</v>
      </c>
      <c r="I68" s="421">
        <v>0</v>
      </c>
      <c r="J68" s="421">
        <v>0</v>
      </c>
      <c r="K68" s="421">
        <v>0</v>
      </c>
      <c r="L68" s="421">
        <v>0</v>
      </c>
      <c r="M68" s="421">
        <v>0</v>
      </c>
      <c r="N68" s="421">
        <v>0</v>
      </c>
      <c r="O68" s="421">
        <v>0</v>
      </c>
      <c r="P68" s="421">
        <v>35.222329940373399</v>
      </c>
      <c r="Q68" s="421">
        <v>4.2874916030489096</v>
      </c>
      <c r="R68" s="421">
        <v>0</v>
      </c>
      <c r="S68" s="429">
        <v>43.417834793422301</v>
      </c>
      <c r="T68" s="412"/>
    </row>
    <row r="69" spans="2:20" ht="13.5">
      <c r="B69" s="412"/>
      <c r="C69" s="424" t="s">
        <v>77</v>
      </c>
      <c r="D69" s="425">
        <v>43.449894885622101</v>
      </c>
      <c r="E69" s="425">
        <v>402.08432464732402</v>
      </c>
      <c r="F69" s="425">
        <v>-371.627394011479</v>
      </c>
      <c r="G69" s="425">
        <v>87.992001999999999</v>
      </c>
      <c r="H69" s="425">
        <v>1072.2208090909101</v>
      </c>
      <c r="I69" s="425">
        <v>115.87787899999999</v>
      </c>
      <c r="J69" s="425">
        <v>23.178019444444399</v>
      </c>
      <c r="K69" s="425">
        <v>27.8922105584587</v>
      </c>
      <c r="L69" s="425">
        <v>-27.316249379798698</v>
      </c>
      <c r="M69" s="425">
        <v>-2.8983509999999999</v>
      </c>
      <c r="N69" s="425">
        <v>0.25705111111111101</v>
      </c>
      <c r="O69" s="425">
        <v>3.7962533777777798</v>
      </c>
      <c r="P69" s="425">
        <v>-449.684261595799</v>
      </c>
      <c r="Q69" s="425">
        <v>-42.876203350414997</v>
      </c>
      <c r="R69" s="425">
        <v>0</v>
      </c>
      <c r="S69" s="425">
        <v>882.345984778157</v>
      </c>
      <c r="T69" s="412"/>
    </row>
    <row r="70" spans="2:20" ht="13.5">
      <c r="B70" s="412"/>
      <c r="C70" s="426"/>
      <c r="D70" s="427"/>
      <c r="E70" s="427"/>
      <c r="F70" s="427"/>
      <c r="G70" s="427"/>
      <c r="H70" s="427"/>
      <c r="I70" s="427"/>
      <c r="J70" s="427"/>
      <c r="K70" s="427"/>
      <c r="L70" s="427"/>
      <c r="M70" s="427"/>
      <c r="N70" s="427"/>
      <c r="O70" s="427"/>
      <c r="P70" s="427"/>
      <c r="Q70" s="427"/>
      <c r="R70" s="427"/>
      <c r="S70" s="427"/>
      <c r="T70" s="412"/>
    </row>
    <row r="71" spans="2:20" ht="13.5">
      <c r="B71" s="412"/>
      <c r="C71" s="428" t="s">
        <v>78</v>
      </c>
      <c r="D71" s="421">
        <v>8.9862670625500005</v>
      </c>
      <c r="E71" s="421">
        <v>0</v>
      </c>
      <c r="F71" s="421">
        <v>30.361762354379302</v>
      </c>
      <c r="G71" s="421">
        <v>115.67477925</v>
      </c>
      <c r="H71" s="421">
        <v>0</v>
      </c>
      <c r="I71" s="421">
        <v>0</v>
      </c>
      <c r="J71" s="421">
        <v>15.5648575</v>
      </c>
      <c r="K71" s="421">
        <v>3.5678886111111101</v>
      </c>
      <c r="L71" s="421">
        <v>1.0434102222764099</v>
      </c>
      <c r="M71" s="421">
        <v>0.91264888888888895</v>
      </c>
      <c r="N71" s="421">
        <v>0</v>
      </c>
      <c r="O71" s="421">
        <v>1.51127777777778E-2</v>
      </c>
      <c r="P71" s="421">
        <v>105.150592236873</v>
      </c>
      <c r="Q71" s="421">
        <v>18.686166128192799</v>
      </c>
      <c r="R71" s="421">
        <v>0</v>
      </c>
      <c r="S71" s="429">
        <v>299.96348503204899</v>
      </c>
      <c r="T71" s="412"/>
    </row>
    <row r="72" spans="2:20" ht="13.5">
      <c r="B72" s="412"/>
      <c r="C72" s="428" t="s">
        <v>79</v>
      </c>
      <c r="D72" s="421">
        <v>0</v>
      </c>
      <c r="E72" s="421">
        <v>0</v>
      </c>
      <c r="F72" s="421">
        <v>384.06791201745</v>
      </c>
      <c r="G72" s="421">
        <v>2.2477144999999998</v>
      </c>
      <c r="H72" s="421">
        <v>0</v>
      </c>
      <c r="I72" s="421">
        <v>0</v>
      </c>
      <c r="J72" s="421">
        <v>0</v>
      </c>
      <c r="K72" s="421">
        <v>0</v>
      </c>
      <c r="L72" s="421">
        <v>30.751352031352699</v>
      </c>
      <c r="M72" s="421">
        <v>0</v>
      </c>
      <c r="N72" s="421">
        <v>0</v>
      </c>
      <c r="O72" s="421">
        <v>0</v>
      </c>
      <c r="P72" s="421">
        <v>8.3371990700000005</v>
      </c>
      <c r="Q72" s="421">
        <v>0</v>
      </c>
      <c r="R72" s="421">
        <v>0</v>
      </c>
      <c r="S72" s="429">
        <v>425.40417761880298</v>
      </c>
      <c r="T72" s="412"/>
    </row>
    <row r="73" spans="2:20" ht="13.5">
      <c r="B73" s="412"/>
      <c r="C73" s="428" t="s">
        <v>80</v>
      </c>
      <c r="D73" s="421">
        <v>0.24074954805000001</v>
      </c>
      <c r="E73" s="421">
        <v>0</v>
      </c>
      <c r="F73" s="421">
        <v>49.863308104442503</v>
      </c>
      <c r="G73" s="421">
        <v>125.05981224999999</v>
      </c>
      <c r="H73" s="421">
        <v>0</v>
      </c>
      <c r="I73" s="421">
        <v>0</v>
      </c>
      <c r="J73" s="421">
        <v>69.4067088888889</v>
      </c>
      <c r="K73" s="421">
        <v>0</v>
      </c>
      <c r="L73" s="421">
        <v>0</v>
      </c>
      <c r="M73" s="421">
        <v>0</v>
      </c>
      <c r="N73" s="421">
        <v>27.426589444444399</v>
      </c>
      <c r="O73" s="421">
        <v>1.04480216638667</v>
      </c>
      <c r="P73" s="421">
        <v>158.3858485003</v>
      </c>
      <c r="Q73" s="421">
        <v>14.411899999999999</v>
      </c>
      <c r="R73" s="421">
        <v>0</v>
      </c>
      <c r="S73" s="429">
        <v>445.83971890251303</v>
      </c>
      <c r="T73" s="412"/>
    </row>
    <row r="74" spans="2:20" ht="13.5">
      <c r="B74" s="412"/>
      <c r="C74" s="428" t="s">
        <v>81</v>
      </c>
      <c r="D74" s="421">
        <v>0.35525487623000002</v>
      </c>
      <c r="E74" s="421">
        <v>0</v>
      </c>
      <c r="F74" s="421">
        <v>31.480497483360899</v>
      </c>
      <c r="G74" s="421">
        <v>62.61667825</v>
      </c>
      <c r="H74" s="421">
        <v>0</v>
      </c>
      <c r="I74" s="421">
        <v>0</v>
      </c>
      <c r="J74" s="421">
        <v>2.8232277777777801</v>
      </c>
      <c r="K74" s="421">
        <v>2.28350923457951</v>
      </c>
      <c r="L74" s="421">
        <v>0</v>
      </c>
      <c r="M74" s="421">
        <v>1.47450888888889</v>
      </c>
      <c r="N74" s="421">
        <v>4.4857555555555599</v>
      </c>
      <c r="O74" s="421">
        <v>0.354625058755556</v>
      </c>
      <c r="P74" s="421">
        <v>124.730012203676</v>
      </c>
      <c r="Q74" s="421">
        <v>9.5887644444444504</v>
      </c>
      <c r="R74" s="421">
        <v>0</v>
      </c>
      <c r="S74" s="429">
        <v>240.19283377326801</v>
      </c>
      <c r="T74" s="412"/>
    </row>
    <row r="75" spans="2:20" ht="13.5">
      <c r="B75" s="412"/>
      <c r="C75" s="428" t="s">
        <v>82</v>
      </c>
      <c r="D75" s="421">
        <v>1.5371382629999999E-2</v>
      </c>
      <c r="E75" s="421">
        <v>0</v>
      </c>
      <c r="F75" s="421">
        <v>37.008579624305803</v>
      </c>
      <c r="G75" s="421">
        <v>2.1964755</v>
      </c>
      <c r="H75" s="421">
        <v>0</v>
      </c>
      <c r="I75" s="421">
        <v>0</v>
      </c>
      <c r="J75" s="421">
        <v>1.69047944444444</v>
      </c>
      <c r="K75" s="421">
        <v>0</v>
      </c>
      <c r="L75" s="421">
        <v>1.93666726391606</v>
      </c>
      <c r="M75" s="421">
        <v>0.51119305555555605</v>
      </c>
      <c r="N75" s="421">
        <v>0</v>
      </c>
      <c r="O75" s="421">
        <v>0.29232166666666698</v>
      </c>
      <c r="P75" s="421">
        <v>8.0414155849497</v>
      </c>
      <c r="Q75" s="421">
        <v>0.189373333333333</v>
      </c>
      <c r="R75" s="421">
        <v>0</v>
      </c>
      <c r="S75" s="429">
        <v>51.8818768558016</v>
      </c>
      <c r="T75" s="412"/>
    </row>
    <row r="76" spans="2:20" ht="13.5">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ht="13.5">
      <c r="B77" s="412"/>
      <c r="C77" s="424" t="s">
        <v>83</v>
      </c>
      <c r="D77" s="425">
        <v>9.5976428694599996</v>
      </c>
      <c r="E77" s="425">
        <v>0</v>
      </c>
      <c r="F77" s="425">
        <v>532.78205958393903</v>
      </c>
      <c r="G77" s="425">
        <v>307.79545975000002</v>
      </c>
      <c r="H77" s="425">
        <v>0</v>
      </c>
      <c r="I77" s="425">
        <v>0</v>
      </c>
      <c r="J77" s="425">
        <v>89.485273611111097</v>
      </c>
      <c r="K77" s="425">
        <v>5.8513978456906202</v>
      </c>
      <c r="L77" s="425">
        <v>33.731429517545202</v>
      </c>
      <c r="M77" s="425">
        <v>2.8983508333333301</v>
      </c>
      <c r="N77" s="425">
        <v>31.912344999999998</v>
      </c>
      <c r="O77" s="425">
        <v>1.7068616695866701</v>
      </c>
      <c r="P77" s="425">
        <v>404.64506759579899</v>
      </c>
      <c r="Q77" s="425">
        <v>42.876203905970598</v>
      </c>
      <c r="R77" s="425">
        <v>0</v>
      </c>
      <c r="S77" s="425">
        <v>1463.28209218244</v>
      </c>
      <c r="T77" s="412"/>
    </row>
    <row r="78" spans="2:20" ht="13.5">
      <c r="B78" s="412"/>
      <c r="C78" s="420" t="s">
        <v>84</v>
      </c>
      <c r="D78" s="421">
        <v>2.9383352237599998</v>
      </c>
      <c r="E78" s="421">
        <v>0</v>
      </c>
      <c r="F78" s="421">
        <v>130.484119421548</v>
      </c>
      <c r="G78" s="421">
        <v>12.027936499999999</v>
      </c>
      <c r="H78" s="421">
        <v>0</v>
      </c>
      <c r="I78" s="421">
        <v>0</v>
      </c>
      <c r="J78" s="421">
        <v>0</v>
      </c>
      <c r="K78" s="421">
        <v>0</v>
      </c>
      <c r="L78" s="421">
        <v>0</v>
      </c>
      <c r="M78" s="421">
        <v>0</v>
      </c>
      <c r="N78" s="421">
        <v>0</v>
      </c>
      <c r="O78" s="421">
        <v>0</v>
      </c>
      <c r="P78" s="421">
        <v>0</v>
      </c>
      <c r="Q78" s="421">
        <v>0</v>
      </c>
      <c r="R78" s="421">
        <v>0</v>
      </c>
      <c r="S78" s="429">
        <v>145.450391145308</v>
      </c>
      <c r="T78" s="412"/>
    </row>
    <row r="79" spans="2:20" ht="13.5">
      <c r="B79" s="412"/>
      <c r="C79" s="424" t="s">
        <v>85</v>
      </c>
      <c r="D79" s="425">
        <v>12.535978093220001</v>
      </c>
      <c r="E79" s="425">
        <v>0</v>
      </c>
      <c r="F79" s="425">
        <v>663.26617900548695</v>
      </c>
      <c r="G79" s="425">
        <v>319.82339624999997</v>
      </c>
      <c r="H79" s="425">
        <v>0</v>
      </c>
      <c r="I79" s="425">
        <v>0</v>
      </c>
      <c r="J79" s="425">
        <v>89.485273611111097</v>
      </c>
      <c r="K79" s="425">
        <v>5.8513978456906202</v>
      </c>
      <c r="L79" s="425">
        <v>33.731429517545202</v>
      </c>
      <c r="M79" s="425">
        <v>2.8983508333333301</v>
      </c>
      <c r="N79" s="425">
        <v>31.912344999999998</v>
      </c>
      <c r="O79" s="425">
        <v>1.7068616695866701</v>
      </c>
      <c r="P79" s="425">
        <v>404.64506759579899</v>
      </c>
      <c r="Q79" s="425">
        <v>42.876203905970598</v>
      </c>
      <c r="R79" s="425">
        <v>0</v>
      </c>
      <c r="S79" s="425">
        <v>1608.7324833277401</v>
      </c>
      <c r="T79" s="412"/>
    </row>
    <row r="80" spans="2:20">
      <c r="B80" s="412"/>
      <c r="C80" s="412"/>
      <c r="D80" s="412"/>
      <c r="E80" s="412"/>
      <c r="F80" s="412"/>
      <c r="G80" s="412"/>
      <c r="H80" s="412"/>
      <c r="I80" s="412"/>
      <c r="J80" s="412"/>
      <c r="K80" s="412"/>
      <c r="L80" s="412"/>
      <c r="M80" s="412"/>
      <c r="N80" s="412"/>
      <c r="O80" s="412"/>
      <c r="P80" s="412"/>
      <c r="Q80" s="412"/>
      <c r="R80" s="412"/>
      <c r="S80" s="412"/>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3.5">
      <c r="B82" s="416"/>
      <c r="C82" s="417" t="s">
        <v>358</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02" t="s">
        <v>128</v>
      </c>
      <c r="D84" s="703" t="s">
        <v>42</v>
      </c>
      <c r="E84" s="703" t="s">
        <v>52</v>
      </c>
      <c r="F84" s="703" t="s">
        <v>53</v>
      </c>
      <c r="G84" s="703" t="s">
        <v>32</v>
      </c>
      <c r="H84" s="703" t="s">
        <v>20</v>
      </c>
      <c r="I84" s="703" t="s">
        <v>55</v>
      </c>
      <c r="J84" s="703" t="s">
        <v>56</v>
      </c>
      <c r="K84" s="703"/>
      <c r="L84" s="703"/>
      <c r="M84" s="703"/>
      <c r="N84" s="703"/>
      <c r="O84" s="703"/>
      <c r="P84" s="703" t="s">
        <v>57</v>
      </c>
      <c r="Q84" s="703" t="s">
        <v>58</v>
      </c>
      <c r="R84" s="703" t="s">
        <v>31</v>
      </c>
      <c r="S84" s="703" t="s">
        <v>10</v>
      </c>
      <c r="T84" s="412"/>
    </row>
    <row r="85" spans="2:20" ht="57.5">
      <c r="B85" s="412"/>
      <c r="C85" s="702"/>
      <c r="D85" s="703"/>
      <c r="E85" s="703"/>
      <c r="F85" s="703"/>
      <c r="G85" s="703"/>
      <c r="H85" s="703"/>
      <c r="I85" s="703"/>
      <c r="J85" s="418" t="s">
        <v>338</v>
      </c>
      <c r="K85" s="418" t="s">
        <v>40</v>
      </c>
      <c r="L85" s="418" t="s">
        <v>346</v>
      </c>
      <c r="M85" s="418" t="s">
        <v>347</v>
      </c>
      <c r="N85" s="419" t="s">
        <v>348</v>
      </c>
      <c r="O85" s="418" t="s">
        <v>349</v>
      </c>
      <c r="P85" s="703"/>
      <c r="Q85" s="703"/>
      <c r="R85" s="703"/>
      <c r="S85" s="703"/>
      <c r="T85" s="412"/>
    </row>
    <row r="86" spans="2:20" ht="13.5">
      <c r="B86" s="412"/>
      <c r="C86" s="420" t="s">
        <v>59</v>
      </c>
      <c r="D86" s="421">
        <v>0</v>
      </c>
      <c r="E86" s="421">
        <v>9.7691999999999997</v>
      </c>
      <c r="F86" s="421">
        <v>0</v>
      </c>
      <c r="G86" s="421">
        <v>0.18608</v>
      </c>
      <c r="H86" s="422">
        <v>1119.72451790634</v>
      </c>
      <c r="I86" s="422">
        <v>137.58181818181799</v>
      </c>
      <c r="J86" s="422">
        <v>202.50847733368801</v>
      </c>
      <c r="K86" s="422">
        <v>30.5868948659609</v>
      </c>
      <c r="L86" s="421">
        <v>0</v>
      </c>
      <c r="M86" s="421">
        <v>0</v>
      </c>
      <c r="N86" s="422">
        <v>40.616862909669599</v>
      </c>
      <c r="O86" s="422">
        <v>5.1637277900493501</v>
      </c>
      <c r="P86" s="421">
        <v>0</v>
      </c>
      <c r="Q86" s="421">
        <v>0</v>
      </c>
      <c r="R86" s="421">
        <v>0</v>
      </c>
      <c r="S86" s="423">
        <v>1546.1375789875201</v>
      </c>
      <c r="T86" s="412"/>
    </row>
    <row r="87" spans="2:20" ht="13.5">
      <c r="B87" s="412"/>
      <c r="C87" s="420" t="s">
        <v>60</v>
      </c>
      <c r="D87" s="421">
        <v>46.004933486980903</v>
      </c>
      <c r="E87" s="421">
        <v>457.53039947955801</v>
      </c>
      <c r="F87" s="421">
        <v>279.008029341802</v>
      </c>
      <c r="G87" s="421">
        <v>403.492433182566</v>
      </c>
      <c r="H87" s="421">
        <v>0</v>
      </c>
      <c r="I87" s="421">
        <v>0</v>
      </c>
      <c r="J87" s="421">
        <v>0</v>
      </c>
      <c r="K87" s="421">
        <v>0</v>
      </c>
      <c r="L87" s="421">
        <v>0</v>
      </c>
      <c r="M87" s="421">
        <v>0</v>
      </c>
      <c r="N87" s="421">
        <v>0</v>
      </c>
      <c r="O87" s="421">
        <v>0</v>
      </c>
      <c r="P87" s="421">
        <v>0</v>
      </c>
      <c r="Q87" s="421">
        <v>0</v>
      </c>
      <c r="R87" s="421">
        <v>0</v>
      </c>
      <c r="S87" s="423">
        <v>1186.03579549091</v>
      </c>
      <c r="T87" s="412"/>
    </row>
    <row r="88" spans="2:20" ht="13.5">
      <c r="B88" s="412"/>
      <c r="C88" s="420" t="s">
        <v>61</v>
      </c>
      <c r="D88" s="421">
        <v>0</v>
      </c>
      <c r="E88" s="421">
        <v>0</v>
      </c>
      <c r="F88" s="421">
        <v>0</v>
      </c>
      <c r="G88" s="421">
        <v>0</v>
      </c>
      <c r="H88" s="421">
        <v>0</v>
      </c>
      <c r="I88" s="421">
        <v>0</v>
      </c>
      <c r="J88" s="421">
        <v>0</v>
      </c>
      <c r="K88" s="421">
        <v>0</v>
      </c>
      <c r="L88" s="421">
        <v>0</v>
      </c>
      <c r="M88" s="421">
        <v>0</v>
      </c>
      <c r="N88" s="421">
        <v>0</v>
      </c>
      <c r="O88" s="421">
        <v>0</v>
      </c>
      <c r="P88" s="421">
        <v>-51.9938570006315</v>
      </c>
      <c r="Q88" s="421">
        <v>0</v>
      </c>
      <c r="R88" s="421">
        <v>0</v>
      </c>
      <c r="S88" s="423">
        <v>-51.9938570006315</v>
      </c>
      <c r="T88" s="412"/>
    </row>
    <row r="89" spans="2:20" ht="13.5">
      <c r="B89" s="412"/>
      <c r="C89" s="420" t="s">
        <v>62</v>
      </c>
      <c r="D89" s="421">
        <v>0</v>
      </c>
      <c r="E89" s="421">
        <v>0</v>
      </c>
      <c r="F89" s="421">
        <v>-18.622779435169701</v>
      </c>
      <c r="G89" s="421">
        <v>0</v>
      </c>
      <c r="H89" s="421">
        <v>0</v>
      </c>
      <c r="I89" s="421">
        <v>0</v>
      </c>
      <c r="J89" s="421">
        <v>0</v>
      </c>
      <c r="K89" s="421">
        <v>0</v>
      </c>
      <c r="L89" s="421">
        <v>0</v>
      </c>
      <c r="M89" s="421">
        <v>0</v>
      </c>
      <c r="N89" s="421">
        <v>0</v>
      </c>
      <c r="O89" s="421">
        <v>0</v>
      </c>
      <c r="P89" s="421">
        <v>0</v>
      </c>
      <c r="Q89" s="421">
        <v>0</v>
      </c>
      <c r="R89" s="421">
        <v>0</v>
      </c>
      <c r="S89" s="423">
        <v>-18.622779435169701</v>
      </c>
      <c r="T89" s="412"/>
    </row>
    <row r="90" spans="2:20" ht="13.5">
      <c r="B90" s="412"/>
      <c r="C90" s="420" t="s">
        <v>63</v>
      </c>
      <c r="D90" s="421">
        <v>0</v>
      </c>
      <c r="E90" s="421">
        <v>0</v>
      </c>
      <c r="F90" s="421">
        <v>-72.320437564193995</v>
      </c>
      <c r="G90" s="421">
        <v>0</v>
      </c>
      <c r="H90" s="421">
        <v>0</v>
      </c>
      <c r="I90" s="421">
        <v>0</v>
      </c>
      <c r="J90" s="421">
        <v>0</v>
      </c>
      <c r="K90" s="421">
        <v>0</v>
      </c>
      <c r="L90" s="421">
        <v>-1.0297737757018499</v>
      </c>
      <c r="M90" s="421">
        <v>0</v>
      </c>
      <c r="N90" s="421">
        <v>0</v>
      </c>
      <c r="O90" s="421">
        <v>0</v>
      </c>
      <c r="P90" s="421">
        <v>0</v>
      </c>
      <c r="Q90" s="421">
        <v>0</v>
      </c>
      <c r="R90" s="421">
        <v>0</v>
      </c>
      <c r="S90" s="423">
        <v>-73.350211339895793</v>
      </c>
      <c r="T90" s="412"/>
    </row>
    <row r="91" spans="2:20" ht="13.5">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ht="13.5">
      <c r="B92" s="412"/>
      <c r="C92" s="424" t="s">
        <v>65</v>
      </c>
      <c r="D92" s="425">
        <v>46.004933486980903</v>
      </c>
      <c r="E92" s="425">
        <v>467.29959947955899</v>
      </c>
      <c r="F92" s="425">
        <v>188.06481234243799</v>
      </c>
      <c r="G92" s="425">
        <v>403.67851318256601</v>
      </c>
      <c r="H92" s="425">
        <v>1119.72451790634</v>
      </c>
      <c r="I92" s="425">
        <v>137.58181818181799</v>
      </c>
      <c r="J92" s="425">
        <v>202.50847733368801</v>
      </c>
      <c r="K92" s="425">
        <v>30.5868948659609</v>
      </c>
      <c r="L92" s="425">
        <v>-1.0297737757018499</v>
      </c>
      <c r="M92" s="425">
        <v>0</v>
      </c>
      <c r="N92" s="425">
        <v>40.616862909669599</v>
      </c>
      <c r="O92" s="425">
        <v>5.1637277900493501</v>
      </c>
      <c r="P92" s="425">
        <v>-51.9938570006315</v>
      </c>
      <c r="Q92" s="425">
        <v>0</v>
      </c>
      <c r="R92" s="425">
        <v>0</v>
      </c>
      <c r="S92" s="425">
        <v>2588.2065267027301</v>
      </c>
      <c r="T92" s="412"/>
    </row>
    <row r="93" spans="2:20" ht="13.5">
      <c r="B93" s="412"/>
      <c r="C93" s="426"/>
      <c r="D93" s="427"/>
      <c r="E93" s="427"/>
      <c r="F93" s="427"/>
      <c r="G93" s="427"/>
      <c r="H93" s="427"/>
      <c r="I93" s="427"/>
      <c r="J93" s="427"/>
      <c r="K93" s="427"/>
      <c r="L93" s="427"/>
      <c r="M93" s="427"/>
      <c r="N93" s="427"/>
      <c r="O93" s="427"/>
      <c r="P93" s="427"/>
      <c r="Q93" s="427"/>
      <c r="R93" s="427"/>
      <c r="S93" s="427"/>
      <c r="T93" s="412"/>
    </row>
    <row r="94" spans="2:20" ht="13.5">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ht="13.5">
      <c r="B95" s="412"/>
      <c r="C95" s="428" t="s">
        <v>350</v>
      </c>
      <c r="D95" s="421">
        <v>3.2006847062786301</v>
      </c>
      <c r="E95" s="421">
        <v>0</v>
      </c>
      <c r="F95" s="421">
        <v>3.3264462809917301</v>
      </c>
      <c r="G95" s="421">
        <v>63.913833390943701</v>
      </c>
      <c r="H95" s="421">
        <v>1119.72451790634</v>
      </c>
      <c r="I95" s="421">
        <v>137.58181818181799</v>
      </c>
      <c r="J95" s="421">
        <v>27.5376838867783</v>
      </c>
      <c r="K95" s="421">
        <v>9.2702787609156694</v>
      </c>
      <c r="L95" s="421">
        <v>0</v>
      </c>
      <c r="M95" s="421">
        <v>2.0038990667127501</v>
      </c>
      <c r="N95" s="421">
        <v>0</v>
      </c>
      <c r="O95" s="421">
        <v>0</v>
      </c>
      <c r="P95" s="421">
        <v>-553.90909090909099</v>
      </c>
      <c r="Q95" s="421">
        <v>0</v>
      </c>
      <c r="R95" s="421">
        <v>0</v>
      </c>
      <c r="S95" s="429">
        <v>812.65007127168406</v>
      </c>
      <c r="T95" s="412"/>
    </row>
    <row r="96" spans="2:20" ht="13.5">
      <c r="B96" s="412"/>
      <c r="C96" s="428" t="s">
        <v>351</v>
      </c>
      <c r="D96" s="421">
        <v>0.60114753435424795</v>
      </c>
      <c r="E96" s="421">
        <v>0</v>
      </c>
      <c r="F96" s="421">
        <v>9.6807273074047601E-2</v>
      </c>
      <c r="G96" s="421">
        <v>19.947197331938099</v>
      </c>
      <c r="H96" s="421">
        <v>0</v>
      </c>
      <c r="I96" s="421">
        <v>0</v>
      </c>
      <c r="J96" s="421">
        <v>18.6558968725749</v>
      </c>
      <c r="K96" s="421">
        <v>16.5855344131853</v>
      </c>
      <c r="L96" s="421">
        <v>0</v>
      </c>
      <c r="M96" s="421">
        <v>0.62540717707396598</v>
      </c>
      <c r="N96" s="421">
        <v>0</v>
      </c>
      <c r="O96" s="421">
        <v>3.2722764464426599</v>
      </c>
      <c r="P96" s="421">
        <v>0</v>
      </c>
      <c r="Q96" s="421">
        <v>-52.987141496209702</v>
      </c>
      <c r="R96" s="421">
        <v>0</v>
      </c>
      <c r="S96" s="429">
        <v>6.7971255524334904</v>
      </c>
      <c r="T96" s="412"/>
    </row>
    <row r="97" spans="2:20" ht="13.5">
      <c r="B97" s="412"/>
      <c r="C97" s="428" t="s">
        <v>352</v>
      </c>
      <c r="D97" s="421">
        <v>0</v>
      </c>
      <c r="E97" s="421">
        <v>0</v>
      </c>
      <c r="F97" s="421">
        <v>0</v>
      </c>
      <c r="G97" s="421">
        <v>0</v>
      </c>
      <c r="H97" s="421">
        <v>0</v>
      </c>
      <c r="I97" s="421">
        <v>0</v>
      </c>
      <c r="J97" s="421">
        <v>14.092210581395801</v>
      </c>
      <c r="K97" s="421">
        <v>0</v>
      </c>
      <c r="L97" s="421">
        <v>0</v>
      </c>
      <c r="M97" s="421">
        <v>-12.2602232058144</v>
      </c>
      <c r="N97" s="421">
        <v>0</v>
      </c>
      <c r="O97" s="421">
        <v>0</v>
      </c>
      <c r="P97" s="421">
        <v>0</v>
      </c>
      <c r="Q97" s="421">
        <v>0</v>
      </c>
      <c r="R97" s="421">
        <v>0</v>
      </c>
      <c r="S97" s="429">
        <v>1.83198737558146</v>
      </c>
      <c r="T97" s="412"/>
    </row>
    <row r="98" spans="2:20" ht="13.5">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ht="13.5">
      <c r="B99" s="412"/>
      <c r="C99" s="428" t="s">
        <v>72</v>
      </c>
      <c r="D99" s="421">
        <v>0</v>
      </c>
      <c r="E99" s="421">
        <v>484.07271919983299</v>
      </c>
      <c r="F99" s="421">
        <v>-479.23199200783398</v>
      </c>
      <c r="G99" s="421">
        <v>0</v>
      </c>
      <c r="H99" s="421">
        <v>0</v>
      </c>
      <c r="I99" s="421">
        <v>0</v>
      </c>
      <c r="J99" s="421">
        <v>0</v>
      </c>
      <c r="K99" s="421">
        <v>0</v>
      </c>
      <c r="L99" s="421">
        <v>0</v>
      </c>
      <c r="M99" s="421">
        <v>0</v>
      </c>
      <c r="N99" s="421">
        <v>0</v>
      </c>
      <c r="O99" s="421">
        <v>0</v>
      </c>
      <c r="P99" s="421">
        <v>0</v>
      </c>
      <c r="Q99" s="421">
        <v>0</v>
      </c>
      <c r="R99" s="421">
        <v>0</v>
      </c>
      <c r="S99" s="429">
        <v>4.8407271919983303</v>
      </c>
      <c r="T99" s="412"/>
    </row>
    <row r="100" spans="2:20" ht="13.5">
      <c r="B100" s="412"/>
      <c r="C100" s="428" t="s">
        <v>354</v>
      </c>
      <c r="D100" s="421">
        <v>0</v>
      </c>
      <c r="E100" s="421">
        <v>0</v>
      </c>
      <c r="F100" s="421">
        <v>0</v>
      </c>
      <c r="G100" s="421">
        <v>0</v>
      </c>
      <c r="H100" s="421">
        <v>0</v>
      </c>
      <c r="I100" s="421">
        <v>0</v>
      </c>
      <c r="J100" s="421">
        <v>40.539777403199601</v>
      </c>
      <c r="K100" s="421">
        <v>0</v>
      </c>
      <c r="L100" s="421">
        <v>-40.539777403199601</v>
      </c>
      <c r="M100" s="421">
        <v>0</v>
      </c>
      <c r="N100" s="421">
        <v>0</v>
      </c>
      <c r="O100" s="421">
        <v>0</v>
      </c>
      <c r="P100" s="421">
        <v>0</v>
      </c>
      <c r="Q100" s="421">
        <v>0</v>
      </c>
      <c r="R100" s="421">
        <v>0</v>
      </c>
      <c r="S100" s="429">
        <v>0</v>
      </c>
      <c r="T100" s="412"/>
    </row>
    <row r="101" spans="2:20" ht="13.5">
      <c r="B101" s="412"/>
      <c r="C101" s="428" t="s">
        <v>355</v>
      </c>
      <c r="D101" s="421">
        <v>0</v>
      </c>
      <c r="E101" s="421">
        <v>0</v>
      </c>
      <c r="F101" s="421">
        <v>0</v>
      </c>
      <c r="G101" s="421">
        <v>0</v>
      </c>
      <c r="H101" s="421">
        <v>0</v>
      </c>
      <c r="I101" s="421">
        <v>0</v>
      </c>
      <c r="J101" s="421">
        <v>0</v>
      </c>
      <c r="K101" s="421">
        <v>0</v>
      </c>
      <c r="L101" s="421">
        <v>0</v>
      </c>
      <c r="M101" s="421">
        <v>0</v>
      </c>
      <c r="N101" s="421">
        <v>0</v>
      </c>
      <c r="O101" s="421">
        <v>0</v>
      </c>
      <c r="P101" s="421">
        <v>0</v>
      </c>
      <c r="Q101" s="421">
        <v>0</v>
      </c>
      <c r="R101" s="421">
        <v>0</v>
      </c>
      <c r="S101" s="429">
        <v>0</v>
      </c>
      <c r="T101" s="412"/>
    </row>
    <row r="102" spans="2:20" ht="13.5">
      <c r="B102" s="412"/>
      <c r="C102" s="428" t="s">
        <v>73</v>
      </c>
      <c r="D102" s="421">
        <v>0</v>
      </c>
      <c r="E102" s="421">
        <v>0</v>
      </c>
      <c r="F102" s="421">
        <v>0</v>
      </c>
      <c r="G102" s="421">
        <v>1.2251451363860399</v>
      </c>
      <c r="H102" s="421">
        <v>0</v>
      </c>
      <c r="I102" s="421">
        <v>0</v>
      </c>
      <c r="J102" s="421">
        <v>0</v>
      </c>
      <c r="K102" s="421">
        <v>1.6303964872591802E-2</v>
      </c>
      <c r="L102" s="421">
        <v>0</v>
      </c>
      <c r="M102" s="421">
        <v>3.8412141239826197E-2</v>
      </c>
      <c r="N102" s="421">
        <v>0</v>
      </c>
      <c r="O102" s="421">
        <v>0</v>
      </c>
      <c r="P102" s="421">
        <v>0.37749949435770203</v>
      </c>
      <c r="Q102" s="421">
        <v>0</v>
      </c>
      <c r="R102" s="421">
        <v>-1.14127754108143</v>
      </c>
      <c r="S102" s="429">
        <v>0.51608319577473305</v>
      </c>
      <c r="T102" s="412"/>
    </row>
    <row r="103" spans="2:20" ht="13.5">
      <c r="B103" s="412"/>
      <c r="C103" s="428" t="s">
        <v>356</v>
      </c>
      <c r="D103" s="421">
        <v>19.459654296875001</v>
      </c>
      <c r="E103" s="421">
        <v>-16.773119720274199</v>
      </c>
      <c r="F103" s="421">
        <v>21.938249886395901</v>
      </c>
      <c r="G103" s="421">
        <v>0</v>
      </c>
      <c r="H103" s="421">
        <v>0</v>
      </c>
      <c r="I103" s="421">
        <v>0</v>
      </c>
      <c r="J103" s="421">
        <v>0</v>
      </c>
      <c r="K103" s="421">
        <v>0</v>
      </c>
      <c r="L103" s="421">
        <v>0</v>
      </c>
      <c r="M103" s="421">
        <v>0</v>
      </c>
      <c r="N103" s="421">
        <v>0</v>
      </c>
      <c r="O103" s="421">
        <v>0</v>
      </c>
      <c r="P103" s="421">
        <v>0</v>
      </c>
      <c r="Q103" s="421">
        <v>0</v>
      </c>
      <c r="R103" s="421">
        <v>0</v>
      </c>
      <c r="S103" s="429">
        <v>24.624784462996701</v>
      </c>
      <c r="T103" s="412"/>
    </row>
    <row r="104" spans="2:20" ht="13.5">
      <c r="B104" s="412"/>
      <c r="C104" s="428" t="s">
        <v>75</v>
      </c>
      <c r="D104" s="421">
        <v>13.970490234374999</v>
      </c>
      <c r="E104" s="421">
        <v>0</v>
      </c>
      <c r="F104" s="421">
        <v>17.8949163378383</v>
      </c>
      <c r="G104" s="421">
        <v>5.0521769918695103</v>
      </c>
      <c r="H104" s="421">
        <v>0</v>
      </c>
      <c r="I104" s="421">
        <v>0</v>
      </c>
      <c r="J104" s="421">
        <v>0</v>
      </c>
      <c r="K104" s="421">
        <v>0</v>
      </c>
      <c r="L104" s="421">
        <v>0</v>
      </c>
      <c r="M104" s="421">
        <v>0.158401588853995</v>
      </c>
      <c r="N104" s="421">
        <v>0</v>
      </c>
      <c r="O104" s="421">
        <v>0</v>
      </c>
      <c r="P104" s="421">
        <v>34.623388429752097</v>
      </c>
      <c r="Q104" s="421">
        <v>0</v>
      </c>
      <c r="R104" s="421">
        <v>0</v>
      </c>
      <c r="S104" s="429">
        <v>71.699373582688906</v>
      </c>
      <c r="T104" s="412"/>
    </row>
    <row r="105" spans="2:20" ht="13.5">
      <c r="B105" s="412"/>
      <c r="C105" s="428" t="s">
        <v>76</v>
      </c>
      <c r="D105" s="421">
        <v>0</v>
      </c>
      <c r="E105" s="421">
        <v>0</v>
      </c>
      <c r="F105" s="421">
        <v>0</v>
      </c>
      <c r="G105" s="421">
        <v>4.6367975427856196</v>
      </c>
      <c r="H105" s="421">
        <v>0</v>
      </c>
      <c r="I105" s="421">
        <v>0</v>
      </c>
      <c r="J105" s="421">
        <v>0</v>
      </c>
      <c r="K105" s="421">
        <v>0</v>
      </c>
      <c r="L105" s="421">
        <v>0</v>
      </c>
      <c r="M105" s="421">
        <v>0.14537814078040701</v>
      </c>
      <c r="N105" s="421">
        <v>0</v>
      </c>
      <c r="O105" s="421">
        <v>0</v>
      </c>
      <c r="P105" s="421">
        <v>38.466264463898597</v>
      </c>
      <c r="Q105" s="421">
        <v>4.10601465468784</v>
      </c>
      <c r="R105" s="421">
        <v>0</v>
      </c>
      <c r="S105" s="429">
        <v>47.354454802152397</v>
      </c>
      <c r="T105" s="412"/>
    </row>
    <row r="106" spans="2:20" ht="13.5">
      <c r="B106" s="412"/>
      <c r="C106" s="424" t="s">
        <v>77</v>
      </c>
      <c r="D106" s="425">
        <v>37.231976771882898</v>
      </c>
      <c r="E106" s="425">
        <v>467.29959947955899</v>
      </c>
      <c r="F106" s="425">
        <v>-435.97557222953401</v>
      </c>
      <c r="G106" s="425">
        <v>94.7751503939229</v>
      </c>
      <c r="H106" s="425">
        <v>1119.72451790634</v>
      </c>
      <c r="I106" s="425">
        <v>137.58181818181799</v>
      </c>
      <c r="J106" s="425">
        <v>100.82556874394901</v>
      </c>
      <c r="K106" s="425">
        <v>25.8721171389736</v>
      </c>
      <c r="L106" s="425">
        <v>-40.539777403199601</v>
      </c>
      <c r="M106" s="425">
        <v>-9.2887250911534007</v>
      </c>
      <c r="N106" s="425">
        <v>0</v>
      </c>
      <c r="O106" s="425">
        <v>3.2722764464426599</v>
      </c>
      <c r="P106" s="425">
        <v>-480.44193852108299</v>
      </c>
      <c r="Q106" s="425">
        <v>-48.881126841521898</v>
      </c>
      <c r="R106" s="425">
        <v>-1.14127754108142</v>
      </c>
      <c r="S106" s="425">
        <v>970.31460743530999</v>
      </c>
      <c r="T106" s="412"/>
    </row>
    <row r="107" spans="2:20" ht="13.5">
      <c r="B107" s="412"/>
      <c r="C107" s="426"/>
      <c r="D107" s="427"/>
      <c r="E107" s="427"/>
      <c r="F107" s="427"/>
      <c r="G107" s="427"/>
      <c r="H107" s="427"/>
      <c r="I107" s="427"/>
      <c r="J107" s="427"/>
      <c r="K107" s="427"/>
      <c r="L107" s="427"/>
      <c r="M107" s="427"/>
      <c r="N107" s="427"/>
      <c r="O107" s="427"/>
      <c r="P107" s="427"/>
      <c r="Q107" s="427"/>
      <c r="R107" s="427"/>
      <c r="S107" s="427"/>
      <c r="T107" s="412"/>
    </row>
    <row r="108" spans="2:20" ht="13.5">
      <c r="B108" s="412"/>
      <c r="C108" s="428" t="s">
        <v>78</v>
      </c>
      <c r="D108" s="421">
        <v>6.1379110252898199</v>
      </c>
      <c r="E108" s="421">
        <v>0</v>
      </c>
      <c r="F108" s="421">
        <v>24.9256424829229</v>
      </c>
      <c r="G108" s="421">
        <v>105.584955080196</v>
      </c>
      <c r="H108" s="421">
        <v>0</v>
      </c>
      <c r="I108" s="421">
        <v>0</v>
      </c>
      <c r="J108" s="421">
        <v>16.442035571637899</v>
      </c>
      <c r="K108" s="421">
        <v>4.7147777269873004</v>
      </c>
      <c r="L108" s="421">
        <v>0.87185221093749998</v>
      </c>
      <c r="M108" s="421">
        <v>3.3104193837025</v>
      </c>
      <c r="N108" s="421">
        <v>0</v>
      </c>
      <c r="O108" s="421">
        <v>0</v>
      </c>
      <c r="P108" s="421">
        <v>120.094457483417</v>
      </c>
      <c r="Q108" s="421">
        <v>19.712989943667299</v>
      </c>
      <c r="R108" s="421">
        <v>0.25516677856445302</v>
      </c>
      <c r="S108" s="429">
        <v>302.05020768732197</v>
      </c>
      <c r="T108" s="412"/>
    </row>
    <row r="109" spans="2:20" ht="13.5">
      <c r="B109" s="412"/>
      <c r="C109" s="428" t="s">
        <v>79</v>
      </c>
      <c r="D109" s="421">
        <v>0</v>
      </c>
      <c r="E109" s="421">
        <v>0</v>
      </c>
      <c r="F109" s="421">
        <v>367.904296562708</v>
      </c>
      <c r="G109" s="421">
        <v>4.87542776368036</v>
      </c>
      <c r="H109" s="421">
        <v>0</v>
      </c>
      <c r="I109" s="421">
        <v>0</v>
      </c>
      <c r="J109" s="421">
        <v>0</v>
      </c>
      <c r="K109" s="421">
        <v>0</v>
      </c>
      <c r="L109" s="421">
        <v>37.352195695954599</v>
      </c>
      <c r="M109" s="421">
        <v>0.214164363861992</v>
      </c>
      <c r="N109" s="421">
        <v>0</v>
      </c>
      <c r="O109" s="421">
        <v>0</v>
      </c>
      <c r="P109" s="421">
        <v>13.826678551873</v>
      </c>
      <c r="Q109" s="421">
        <v>0</v>
      </c>
      <c r="R109" s="421">
        <v>1.40458896628654E-5</v>
      </c>
      <c r="S109" s="429">
        <v>424.17277698396703</v>
      </c>
      <c r="T109" s="412"/>
    </row>
    <row r="110" spans="2:20" ht="13.5">
      <c r="B110" s="412"/>
      <c r="C110" s="428" t="s">
        <v>80</v>
      </c>
      <c r="D110" s="421">
        <v>0</v>
      </c>
      <c r="E110" s="421">
        <v>0</v>
      </c>
      <c r="F110" s="421">
        <v>41.440934786500002</v>
      </c>
      <c r="G110" s="421">
        <v>119.762844156702</v>
      </c>
      <c r="H110" s="421">
        <v>0</v>
      </c>
      <c r="I110" s="421">
        <v>0</v>
      </c>
      <c r="J110" s="421">
        <v>79.170081592720095</v>
      </c>
      <c r="K110" s="421">
        <v>0</v>
      </c>
      <c r="L110" s="421">
        <v>0</v>
      </c>
      <c r="M110" s="421">
        <v>3.7549406583784402</v>
      </c>
      <c r="N110" s="421">
        <v>31.891560696954599</v>
      </c>
      <c r="O110" s="421">
        <v>0.345162660046827</v>
      </c>
      <c r="P110" s="421">
        <v>160.36852885406699</v>
      </c>
      <c r="Q110" s="421">
        <v>22.3323495095132</v>
      </c>
      <c r="R110" s="421">
        <v>0</v>
      </c>
      <c r="S110" s="429">
        <v>459.06640291488202</v>
      </c>
      <c r="T110" s="412"/>
    </row>
    <row r="111" spans="2:20" ht="13.5">
      <c r="B111" s="412"/>
      <c r="C111" s="428" t="s">
        <v>81</v>
      </c>
      <c r="D111" s="421">
        <v>0</v>
      </c>
      <c r="E111" s="421">
        <v>0</v>
      </c>
      <c r="F111" s="421">
        <v>20.921025449871902</v>
      </c>
      <c r="G111" s="421">
        <v>63.524551255967801</v>
      </c>
      <c r="H111" s="421">
        <v>0</v>
      </c>
      <c r="I111" s="421">
        <v>0</v>
      </c>
      <c r="J111" s="421">
        <v>5.5520423930757801</v>
      </c>
      <c r="K111" s="421">
        <v>0</v>
      </c>
      <c r="L111" s="421">
        <v>0</v>
      </c>
      <c r="M111" s="421">
        <v>1.99169385125972</v>
      </c>
      <c r="N111" s="421">
        <v>8.7253022127149809</v>
      </c>
      <c r="O111" s="421">
        <v>1.2914366737615199</v>
      </c>
      <c r="P111" s="421">
        <v>125.856683916187</v>
      </c>
      <c r="Q111" s="421">
        <v>6.8357873883414397</v>
      </c>
      <c r="R111" s="421">
        <v>0</v>
      </c>
      <c r="S111" s="429">
        <v>234.69852314118</v>
      </c>
      <c r="T111" s="412"/>
    </row>
    <row r="112" spans="2:20" ht="13.5">
      <c r="B112" s="412"/>
      <c r="C112" s="428" t="s">
        <v>82</v>
      </c>
      <c r="D112" s="421">
        <v>0</v>
      </c>
      <c r="E112" s="421">
        <v>0</v>
      </c>
      <c r="F112" s="421">
        <v>33.416468820182899</v>
      </c>
      <c r="G112" s="421">
        <v>2.4542233612676601</v>
      </c>
      <c r="H112" s="421">
        <v>0</v>
      </c>
      <c r="I112" s="421">
        <v>0</v>
      </c>
      <c r="J112" s="421">
        <v>0.51874903230540004</v>
      </c>
      <c r="K112" s="421">
        <v>0</v>
      </c>
      <c r="L112" s="421">
        <v>1.15674954162832</v>
      </c>
      <c r="M112" s="421">
        <v>7.6947597135454696E-2</v>
      </c>
      <c r="N112" s="421">
        <v>0</v>
      </c>
      <c r="O112" s="421">
        <v>0.254852009798337</v>
      </c>
      <c r="P112" s="421">
        <v>8.3017327149071107</v>
      </c>
      <c r="Q112" s="421">
        <v>0</v>
      </c>
      <c r="R112" s="421">
        <v>5.2098714141513403E-2</v>
      </c>
      <c r="S112" s="429">
        <v>46.231821791366698</v>
      </c>
      <c r="T112" s="412"/>
    </row>
    <row r="113" spans="2:20" ht="13.5">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ht="13.5">
      <c r="B114" s="412"/>
      <c r="C114" s="424" t="s">
        <v>83</v>
      </c>
      <c r="D114" s="425">
        <v>6.1379110252898199</v>
      </c>
      <c r="E114" s="425">
        <v>0</v>
      </c>
      <c r="F114" s="425">
        <v>488.60836810218501</v>
      </c>
      <c r="G114" s="425">
        <v>296.20200161781298</v>
      </c>
      <c r="H114" s="425">
        <v>0</v>
      </c>
      <c r="I114" s="425">
        <v>0</v>
      </c>
      <c r="J114" s="425">
        <v>101.682908589739</v>
      </c>
      <c r="K114" s="425">
        <v>4.7147777269873004</v>
      </c>
      <c r="L114" s="425">
        <v>39.380797448520497</v>
      </c>
      <c r="M114" s="425">
        <v>9.3481658543381094</v>
      </c>
      <c r="N114" s="425">
        <v>40.616862909669599</v>
      </c>
      <c r="O114" s="425">
        <v>1.89145134360669</v>
      </c>
      <c r="P114" s="425">
        <v>428.44808152045101</v>
      </c>
      <c r="Q114" s="425">
        <v>48.881126841521898</v>
      </c>
      <c r="R114" s="425">
        <v>0.30727953859562901</v>
      </c>
      <c r="S114" s="425">
        <v>1466.2197325187201</v>
      </c>
      <c r="T114" s="412"/>
    </row>
    <row r="115" spans="2:20" ht="13.5">
      <c r="B115" s="412"/>
      <c r="C115" s="420" t="s">
        <v>84</v>
      </c>
      <c r="D115" s="421">
        <v>2.6350456898082402</v>
      </c>
      <c r="E115" s="421">
        <v>0</v>
      </c>
      <c r="F115" s="421">
        <v>135.43201646978699</v>
      </c>
      <c r="G115" s="421">
        <v>12.6419204076448</v>
      </c>
      <c r="H115" s="421">
        <v>0</v>
      </c>
      <c r="I115" s="421">
        <v>0</v>
      </c>
      <c r="J115" s="421">
        <v>0</v>
      </c>
      <c r="K115" s="421">
        <v>0</v>
      </c>
      <c r="L115" s="421">
        <v>0.12920617897727299</v>
      </c>
      <c r="M115" s="421">
        <v>0</v>
      </c>
      <c r="N115" s="421">
        <v>0</v>
      </c>
      <c r="O115" s="421">
        <v>0</v>
      </c>
      <c r="P115" s="421">
        <v>0</v>
      </c>
      <c r="Q115" s="421">
        <v>0</v>
      </c>
      <c r="R115" s="421">
        <v>0.83399800248579503</v>
      </c>
      <c r="S115" s="429">
        <v>151.67218674870301</v>
      </c>
      <c r="T115" s="412"/>
    </row>
    <row r="116" spans="2:20" ht="13.5">
      <c r="B116" s="412"/>
      <c r="C116" s="424" t="s">
        <v>85</v>
      </c>
      <c r="D116" s="425">
        <v>8.7729567150980596</v>
      </c>
      <c r="E116" s="425">
        <v>0</v>
      </c>
      <c r="F116" s="425">
        <v>624.04038457197203</v>
      </c>
      <c r="G116" s="425">
        <v>308.84392202545803</v>
      </c>
      <c r="H116" s="425">
        <v>0</v>
      </c>
      <c r="I116" s="425">
        <v>0</v>
      </c>
      <c r="J116" s="425">
        <v>101.682908589739</v>
      </c>
      <c r="K116" s="425">
        <v>4.7147777269873004</v>
      </c>
      <c r="L116" s="425">
        <v>39.510003627497703</v>
      </c>
      <c r="M116" s="425">
        <v>9.3481658543381094</v>
      </c>
      <c r="N116" s="425">
        <v>40.616862909669599</v>
      </c>
      <c r="O116" s="425">
        <v>1.89145134360669</v>
      </c>
      <c r="P116" s="425">
        <v>428.44808152045101</v>
      </c>
      <c r="Q116" s="425">
        <v>48.881126841521898</v>
      </c>
      <c r="R116" s="425">
        <v>1.14127754108142</v>
      </c>
      <c r="S116" s="425">
        <v>1617.89191926742</v>
      </c>
      <c r="T116" s="412"/>
    </row>
    <row r="117" spans="2:20">
      <c r="B117" s="412"/>
      <c r="C117" s="412"/>
      <c r="D117" s="430">
        <f t="shared" ref="D117:S117" si="0">D116+D106-D92</f>
        <v>5.6843418860808015E-14</v>
      </c>
      <c r="E117" s="430">
        <f t="shared" si="0"/>
        <v>0</v>
      </c>
      <c r="F117" s="430">
        <f t="shared" si="0"/>
        <v>0</v>
      </c>
      <c r="G117" s="430">
        <f t="shared" si="0"/>
        <v>-5.9440763185079959E-2</v>
      </c>
      <c r="H117" s="430">
        <f t="shared" si="0"/>
        <v>0</v>
      </c>
      <c r="I117" s="430">
        <f t="shared" si="0"/>
        <v>0</v>
      </c>
      <c r="J117" s="430">
        <f t="shared" si="0"/>
        <v>0</v>
      </c>
      <c r="K117" s="430">
        <f t="shared" si="0"/>
        <v>0</v>
      </c>
      <c r="L117" s="430">
        <f t="shared" si="0"/>
        <v>-4.7961634663806763E-14</v>
      </c>
      <c r="M117" s="430">
        <f t="shared" si="0"/>
        <v>5.94407631847087E-2</v>
      </c>
      <c r="N117" s="430">
        <f t="shared" si="0"/>
        <v>0</v>
      </c>
      <c r="O117" s="430">
        <f t="shared" si="0"/>
        <v>0</v>
      </c>
      <c r="P117" s="430">
        <f t="shared" si="0"/>
        <v>-4.7606363295926712E-13</v>
      </c>
      <c r="Q117" s="430">
        <f t="shared" si="0"/>
        <v>0</v>
      </c>
      <c r="R117" s="430">
        <f t="shared" si="0"/>
        <v>0</v>
      </c>
      <c r="S117" s="430">
        <f t="shared" si="0"/>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3.5">
      <c r="B119" s="416"/>
      <c r="C119" s="417" t="s">
        <v>87</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02" t="s">
        <v>128</v>
      </c>
      <c r="D121" s="703" t="s">
        <v>42</v>
      </c>
      <c r="E121" s="703" t="s">
        <v>52</v>
      </c>
      <c r="F121" s="703" t="s">
        <v>53</v>
      </c>
      <c r="G121" s="703" t="s">
        <v>32</v>
      </c>
      <c r="H121" s="703" t="s">
        <v>20</v>
      </c>
      <c r="I121" s="703" t="s">
        <v>55</v>
      </c>
      <c r="J121" s="703" t="s">
        <v>56</v>
      </c>
      <c r="K121" s="703"/>
      <c r="L121" s="703"/>
      <c r="M121" s="703"/>
      <c r="N121" s="703"/>
      <c r="O121" s="703"/>
      <c r="P121" s="703" t="s">
        <v>57</v>
      </c>
      <c r="Q121" s="703" t="s">
        <v>58</v>
      </c>
      <c r="R121" s="703" t="s">
        <v>31</v>
      </c>
      <c r="S121" s="703" t="s">
        <v>10</v>
      </c>
      <c r="T121" s="412"/>
    </row>
    <row r="122" spans="2:20" ht="57.5">
      <c r="B122" s="412"/>
      <c r="C122" s="702"/>
      <c r="D122" s="703"/>
      <c r="E122" s="703"/>
      <c r="F122" s="703"/>
      <c r="G122" s="703"/>
      <c r="H122" s="703"/>
      <c r="I122" s="703"/>
      <c r="J122" s="418" t="s">
        <v>338</v>
      </c>
      <c r="K122" s="418" t="s">
        <v>40</v>
      </c>
      <c r="L122" s="418" t="s">
        <v>346</v>
      </c>
      <c r="M122" s="418" t="s">
        <v>347</v>
      </c>
      <c r="N122" s="419" t="s">
        <v>348</v>
      </c>
      <c r="O122" s="418" t="s">
        <v>349</v>
      </c>
      <c r="P122" s="703"/>
      <c r="Q122" s="703"/>
      <c r="R122" s="703"/>
      <c r="S122" s="703"/>
      <c r="T122" s="412"/>
    </row>
    <row r="123" spans="2:20" ht="13.5">
      <c r="B123" s="412"/>
      <c r="C123" s="420" t="s">
        <v>59</v>
      </c>
      <c r="D123" s="421">
        <v>0</v>
      </c>
      <c r="E123" s="421">
        <v>9.7691999999999997</v>
      </c>
      <c r="F123" s="421">
        <v>0</v>
      </c>
      <c r="G123" s="421">
        <v>0.18608</v>
      </c>
      <c r="H123" s="422">
        <v>1105.3443526170799</v>
      </c>
      <c r="I123" s="422">
        <v>153.87272727272699</v>
      </c>
      <c r="J123" s="422">
        <v>218.29145774086999</v>
      </c>
      <c r="K123" s="422">
        <v>33.052742188380101</v>
      </c>
      <c r="L123" s="421">
        <v>0</v>
      </c>
      <c r="M123" s="421">
        <v>0</v>
      </c>
      <c r="N123" s="422">
        <v>46.498719003283597</v>
      </c>
      <c r="O123" s="422">
        <v>6.3732513149243699</v>
      </c>
      <c r="P123" s="421">
        <v>0</v>
      </c>
      <c r="Q123" s="421">
        <v>0</v>
      </c>
      <c r="R123" s="421">
        <v>0</v>
      </c>
      <c r="S123" s="423">
        <v>1573.38853013727</v>
      </c>
      <c r="T123" s="412"/>
    </row>
    <row r="124" spans="2:20" ht="13.5">
      <c r="B124" s="412"/>
      <c r="C124" s="420" t="s">
        <v>60</v>
      </c>
      <c r="D124" s="421">
        <v>32.318417934428297</v>
      </c>
      <c r="E124" s="421">
        <v>485.53946937040803</v>
      </c>
      <c r="F124" s="421">
        <v>237.248603992504</v>
      </c>
      <c r="G124" s="421">
        <v>378.89773948754799</v>
      </c>
      <c r="H124" s="421">
        <v>0</v>
      </c>
      <c r="I124" s="421">
        <v>0</v>
      </c>
      <c r="J124" s="421">
        <v>0</v>
      </c>
      <c r="K124" s="421">
        <v>0</v>
      </c>
      <c r="L124" s="421">
        <v>0</v>
      </c>
      <c r="M124" s="421">
        <v>0</v>
      </c>
      <c r="N124" s="421">
        <v>0</v>
      </c>
      <c r="O124" s="421">
        <v>0</v>
      </c>
      <c r="P124" s="421">
        <v>0</v>
      </c>
      <c r="Q124" s="421">
        <v>0</v>
      </c>
      <c r="R124" s="421">
        <v>0</v>
      </c>
      <c r="S124" s="423">
        <v>1134.0042307848901</v>
      </c>
      <c r="T124" s="412"/>
    </row>
    <row r="125" spans="2:20" ht="13.5">
      <c r="B125" s="412"/>
      <c r="C125" s="420" t="s">
        <v>61</v>
      </c>
      <c r="D125" s="421">
        <v>0</v>
      </c>
      <c r="E125" s="421">
        <v>0</v>
      </c>
      <c r="F125" s="421">
        <v>0</v>
      </c>
      <c r="G125" s="421">
        <v>0</v>
      </c>
      <c r="H125" s="421">
        <v>0</v>
      </c>
      <c r="I125" s="421">
        <v>0</v>
      </c>
      <c r="J125" s="421">
        <v>0</v>
      </c>
      <c r="K125" s="421">
        <v>0</v>
      </c>
      <c r="L125" s="421">
        <v>0</v>
      </c>
      <c r="M125" s="421">
        <v>0</v>
      </c>
      <c r="N125" s="421">
        <v>0</v>
      </c>
      <c r="O125" s="421">
        <v>0</v>
      </c>
      <c r="P125" s="421">
        <v>-56.711872034267898</v>
      </c>
      <c r="Q125" s="421">
        <v>0</v>
      </c>
      <c r="R125" s="421">
        <v>0</v>
      </c>
      <c r="S125" s="423">
        <v>-56.711872034267898</v>
      </c>
      <c r="T125" s="412"/>
    </row>
    <row r="126" spans="2:20" ht="13.5">
      <c r="B126" s="412"/>
      <c r="C126" s="420" t="s">
        <v>62</v>
      </c>
      <c r="D126" s="421">
        <v>0</v>
      </c>
      <c r="E126" s="421">
        <v>0</v>
      </c>
      <c r="F126" s="421">
        <v>-17.936302519198001</v>
      </c>
      <c r="G126" s="421">
        <v>0</v>
      </c>
      <c r="H126" s="421">
        <v>0</v>
      </c>
      <c r="I126" s="421">
        <v>0</v>
      </c>
      <c r="J126" s="421">
        <v>0</v>
      </c>
      <c r="K126" s="421">
        <v>0</v>
      </c>
      <c r="L126" s="421">
        <v>0</v>
      </c>
      <c r="M126" s="421">
        <v>0</v>
      </c>
      <c r="N126" s="421">
        <v>0</v>
      </c>
      <c r="O126" s="421">
        <v>0</v>
      </c>
      <c r="P126" s="421">
        <v>0</v>
      </c>
      <c r="Q126" s="421">
        <v>0</v>
      </c>
      <c r="R126" s="421">
        <v>0</v>
      </c>
      <c r="S126" s="423">
        <v>-17.936302519198001</v>
      </c>
      <c r="T126" s="412"/>
    </row>
    <row r="127" spans="2:20" ht="13.5">
      <c r="B127" s="412"/>
      <c r="C127" s="420" t="s">
        <v>63</v>
      </c>
      <c r="D127" s="421">
        <v>0</v>
      </c>
      <c r="E127" s="421">
        <v>0</v>
      </c>
      <c r="F127" s="421">
        <v>-77.506691397188206</v>
      </c>
      <c r="G127" s="421">
        <v>0</v>
      </c>
      <c r="H127" s="421">
        <v>0</v>
      </c>
      <c r="I127" s="421">
        <v>0</v>
      </c>
      <c r="J127" s="421">
        <v>0</v>
      </c>
      <c r="K127" s="421">
        <v>0</v>
      </c>
      <c r="L127" s="421">
        <v>-1.6666930351925899</v>
      </c>
      <c r="M127" s="421">
        <v>0</v>
      </c>
      <c r="N127" s="421">
        <v>0</v>
      </c>
      <c r="O127" s="421">
        <v>0</v>
      </c>
      <c r="P127" s="421">
        <v>0</v>
      </c>
      <c r="Q127" s="421">
        <v>0</v>
      </c>
      <c r="R127" s="421">
        <v>0</v>
      </c>
      <c r="S127" s="423">
        <v>-79.1733844323808</v>
      </c>
      <c r="T127" s="412"/>
    </row>
    <row r="128" spans="2:20" ht="13.5">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ht="13.5">
      <c r="B129" s="412"/>
      <c r="C129" s="424" t="s">
        <v>65</v>
      </c>
      <c r="D129" s="425">
        <v>32.318417934428297</v>
      </c>
      <c r="E129" s="425">
        <v>495.30866937040798</v>
      </c>
      <c r="F129" s="425">
        <v>141.805610076118</v>
      </c>
      <c r="G129" s="425">
        <v>379.083819487548</v>
      </c>
      <c r="H129" s="425">
        <v>1105.3443526170799</v>
      </c>
      <c r="I129" s="425">
        <v>153.87272727272699</v>
      </c>
      <c r="J129" s="425">
        <v>218.29145774086999</v>
      </c>
      <c r="K129" s="425">
        <v>33.052742188380101</v>
      </c>
      <c r="L129" s="425">
        <v>-1.6666930351925899</v>
      </c>
      <c r="M129" s="425">
        <v>0</v>
      </c>
      <c r="N129" s="425">
        <v>46.498719003283597</v>
      </c>
      <c r="O129" s="425">
        <v>6.3732513149243699</v>
      </c>
      <c r="P129" s="425">
        <v>-56.711872034267898</v>
      </c>
      <c r="Q129" s="425">
        <v>0</v>
      </c>
      <c r="R129" s="425">
        <v>0</v>
      </c>
      <c r="S129" s="425">
        <v>2553.57120193631</v>
      </c>
      <c r="T129" s="412"/>
    </row>
    <row r="130" spans="2:20" ht="13.5">
      <c r="B130" s="412"/>
      <c r="C130" s="426"/>
      <c r="D130" s="427"/>
      <c r="E130" s="427"/>
      <c r="F130" s="427"/>
      <c r="G130" s="427"/>
      <c r="H130" s="427"/>
      <c r="I130" s="427"/>
      <c r="J130" s="427"/>
      <c r="K130" s="427"/>
      <c r="L130" s="427"/>
      <c r="M130" s="427"/>
      <c r="N130" s="427"/>
      <c r="O130" s="427"/>
      <c r="P130" s="427"/>
      <c r="Q130" s="427"/>
      <c r="R130" s="427"/>
      <c r="S130" s="427"/>
      <c r="T130" s="412"/>
    </row>
    <row r="131" spans="2:20" ht="13.5">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ht="13.5">
      <c r="B132" s="412"/>
      <c r="C132" s="428" t="s">
        <v>350</v>
      </c>
      <c r="D132" s="421">
        <v>2.2862033616275901</v>
      </c>
      <c r="E132" s="421">
        <v>0</v>
      </c>
      <c r="F132" s="421">
        <v>2.3760330578512399</v>
      </c>
      <c r="G132" s="421">
        <v>58.629502572898801</v>
      </c>
      <c r="H132" s="421">
        <v>1105.3443526170799</v>
      </c>
      <c r="I132" s="421">
        <v>153.87272727272699</v>
      </c>
      <c r="J132" s="421">
        <v>25.2066483585415</v>
      </c>
      <c r="K132" s="421">
        <v>8.6322578351855004</v>
      </c>
      <c r="L132" s="421">
        <v>0</v>
      </c>
      <c r="M132" s="421">
        <v>3.08576329331046</v>
      </c>
      <c r="N132" s="421">
        <v>0</v>
      </c>
      <c r="O132" s="421">
        <v>0</v>
      </c>
      <c r="P132" s="421">
        <v>-562.76363636363601</v>
      </c>
      <c r="Q132" s="421">
        <v>0</v>
      </c>
      <c r="R132" s="421">
        <v>0</v>
      </c>
      <c r="S132" s="429">
        <v>796.66985200558599</v>
      </c>
      <c r="T132" s="412"/>
    </row>
    <row r="133" spans="2:20" ht="13.5">
      <c r="B133" s="412"/>
      <c r="C133" s="428" t="s">
        <v>351</v>
      </c>
      <c r="D133" s="421">
        <v>0.245747462863767</v>
      </c>
      <c r="E133" s="421">
        <v>0</v>
      </c>
      <c r="F133" s="421">
        <v>0</v>
      </c>
      <c r="G133" s="421">
        <v>19.4558288450344</v>
      </c>
      <c r="H133" s="421">
        <v>0</v>
      </c>
      <c r="I133" s="421">
        <v>0</v>
      </c>
      <c r="J133" s="421">
        <v>22.468439288905699</v>
      </c>
      <c r="K133" s="421">
        <v>19.148883562300899</v>
      </c>
      <c r="L133" s="421">
        <v>0</v>
      </c>
      <c r="M133" s="421">
        <v>1.0239909918439201</v>
      </c>
      <c r="N133" s="421">
        <v>0</v>
      </c>
      <c r="O133" s="421">
        <v>4.0933772450343699</v>
      </c>
      <c r="P133" s="421">
        <v>0</v>
      </c>
      <c r="Q133" s="421">
        <v>-59.276881837433898</v>
      </c>
      <c r="R133" s="421">
        <v>0</v>
      </c>
      <c r="S133" s="429">
        <v>7.1593855585491903</v>
      </c>
      <c r="T133" s="412"/>
    </row>
    <row r="134" spans="2:20" ht="13.5">
      <c r="B134" s="412"/>
      <c r="C134" s="428" t="s">
        <v>352</v>
      </c>
      <c r="D134" s="421">
        <v>0</v>
      </c>
      <c r="E134" s="421">
        <v>0</v>
      </c>
      <c r="F134" s="421">
        <v>0</v>
      </c>
      <c r="G134" s="421">
        <v>0</v>
      </c>
      <c r="H134" s="421">
        <v>0</v>
      </c>
      <c r="I134" s="421">
        <v>0</v>
      </c>
      <c r="J134" s="421">
        <v>21.829755401481599</v>
      </c>
      <c r="K134" s="421">
        <v>0</v>
      </c>
      <c r="L134" s="421">
        <v>0</v>
      </c>
      <c r="M134" s="421">
        <v>-19.270216580657902</v>
      </c>
      <c r="N134" s="421">
        <v>0</v>
      </c>
      <c r="O134" s="421">
        <v>0</v>
      </c>
      <c r="P134" s="421">
        <v>0</v>
      </c>
      <c r="Q134" s="421">
        <v>0</v>
      </c>
      <c r="R134" s="421">
        <v>0</v>
      </c>
      <c r="S134" s="429">
        <v>2.5595388208237102</v>
      </c>
      <c r="T134" s="412"/>
    </row>
    <row r="135" spans="2:20" ht="13.5">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ht="13.5">
      <c r="B136" s="412"/>
      <c r="C136" s="428" t="s">
        <v>72</v>
      </c>
      <c r="D136" s="421">
        <v>0</v>
      </c>
      <c r="E136" s="421">
        <v>513.08713872730902</v>
      </c>
      <c r="F136" s="421">
        <v>-507.95626734003599</v>
      </c>
      <c r="G136" s="421">
        <v>0</v>
      </c>
      <c r="H136" s="421">
        <v>0</v>
      </c>
      <c r="I136" s="421">
        <v>0</v>
      </c>
      <c r="J136" s="421">
        <v>0</v>
      </c>
      <c r="K136" s="421">
        <v>0</v>
      </c>
      <c r="L136" s="421">
        <v>0</v>
      </c>
      <c r="M136" s="421">
        <v>0</v>
      </c>
      <c r="N136" s="421">
        <v>0</v>
      </c>
      <c r="O136" s="421">
        <v>0</v>
      </c>
      <c r="P136" s="421">
        <v>0</v>
      </c>
      <c r="Q136" s="421">
        <v>0</v>
      </c>
      <c r="R136" s="421">
        <v>0</v>
      </c>
      <c r="S136" s="429">
        <v>5.13087138727309</v>
      </c>
      <c r="T136" s="412"/>
    </row>
    <row r="137" spans="2:20" ht="13.5">
      <c r="B137" s="412"/>
      <c r="C137" s="428" t="s">
        <v>354</v>
      </c>
      <c r="D137" s="421">
        <v>0</v>
      </c>
      <c r="E137" s="421">
        <v>0</v>
      </c>
      <c r="F137" s="421">
        <v>0</v>
      </c>
      <c r="G137" s="421">
        <v>0</v>
      </c>
      <c r="H137" s="421">
        <v>0</v>
      </c>
      <c r="I137" s="421">
        <v>0</v>
      </c>
      <c r="J137" s="421">
        <v>44.276682206447802</v>
      </c>
      <c r="K137" s="421">
        <v>0</v>
      </c>
      <c r="L137" s="421">
        <v>-44.276682206447802</v>
      </c>
      <c r="M137" s="421">
        <v>0</v>
      </c>
      <c r="N137" s="421">
        <v>0</v>
      </c>
      <c r="O137" s="421">
        <v>0</v>
      </c>
      <c r="P137" s="421">
        <v>0</v>
      </c>
      <c r="Q137" s="421">
        <v>0</v>
      </c>
      <c r="R137" s="421">
        <v>0</v>
      </c>
      <c r="S137" s="429">
        <v>0</v>
      </c>
      <c r="T137" s="412"/>
    </row>
    <row r="138" spans="2:20" ht="13.5">
      <c r="B138" s="412"/>
      <c r="C138" s="428" t="s">
        <v>355</v>
      </c>
      <c r="D138" s="421">
        <v>0</v>
      </c>
      <c r="E138" s="421">
        <v>0</v>
      </c>
      <c r="F138" s="421">
        <v>0</v>
      </c>
      <c r="G138" s="421">
        <v>0</v>
      </c>
      <c r="H138" s="421">
        <v>0</v>
      </c>
      <c r="I138" s="421">
        <v>0</v>
      </c>
      <c r="J138" s="421">
        <v>0</v>
      </c>
      <c r="K138" s="421">
        <v>0</v>
      </c>
      <c r="L138" s="421">
        <v>0</v>
      </c>
      <c r="M138" s="421">
        <v>0</v>
      </c>
      <c r="N138" s="421">
        <v>0</v>
      </c>
      <c r="O138" s="421">
        <v>0</v>
      </c>
      <c r="P138" s="421">
        <v>0</v>
      </c>
      <c r="Q138" s="421">
        <v>0</v>
      </c>
      <c r="R138" s="421">
        <v>0</v>
      </c>
      <c r="S138" s="429">
        <v>0</v>
      </c>
      <c r="T138" s="412"/>
    </row>
    <row r="139" spans="2:20" ht="13.5">
      <c r="B139" s="412"/>
      <c r="C139" s="428" t="s">
        <v>73</v>
      </c>
      <c r="D139" s="421">
        <v>0</v>
      </c>
      <c r="E139" s="421">
        <v>0</v>
      </c>
      <c r="F139" s="421">
        <v>0</v>
      </c>
      <c r="G139" s="421">
        <v>2.0927767434982698</v>
      </c>
      <c r="H139" s="421">
        <v>0</v>
      </c>
      <c r="I139" s="421">
        <v>0</v>
      </c>
      <c r="J139" s="421">
        <v>0</v>
      </c>
      <c r="K139" s="421">
        <v>3.3126659968314598E-2</v>
      </c>
      <c r="L139" s="421">
        <v>0</v>
      </c>
      <c r="M139" s="421">
        <v>0.110146144394646</v>
      </c>
      <c r="N139" s="421">
        <v>0</v>
      </c>
      <c r="O139" s="421">
        <v>0</v>
      </c>
      <c r="P139" s="421">
        <v>1.15943309889101</v>
      </c>
      <c r="Q139" s="421">
        <v>0</v>
      </c>
      <c r="R139" s="421">
        <v>-2.31886619778202</v>
      </c>
      <c r="S139" s="429">
        <v>1.0766164489702199</v>
      </c>
      <c r="T139" s="412"/>
    </row>
    <row r="140" spans="2:20" ht="13.5">
      <c r="B140" s="412"/>
      <c r="C140" s="428" t="s">
        <v>356</v>
      </c>
      <c r="D140" s="421">
        <v>13.0209692382813</v>
      </c>
      <c r="E140" s="421">
        <v>-17.778469356901301</v>
      </c>
      <c r="F140" s="421">
        <v>23.253187829923601</v>
      </c>
      <c r="G140" s="421">
        <v>0</v>
      </c>
      <c r="H140" s="421">
        <v>0</v>
      </c>
      <c r="I140" s="421">
        <v>0</v>
      </c>
      <c r="J140" s="421">
        <v>0</v>
      </c>
      <c r="K140" s="421">
        <v>0</v>
      </c>
      <c r="L140" s="421">
        <v>0</v>
      </c>
      <c r="M140" s="421">
        <v>0</v>
      </c>
      <c r="N140" s="421">
        <v>0</v>
      </c>
      <c r="O140" s="421">
        <v>0</v>
      </c>
      <c r="P140" s="421">
        <v>0</v>
      </c>
      <c r="Q140" s="421">
        <v>0</v>
      </c>
      <c r="R140" s="421">
        <v>0</v>
      </c>
      <c r="S140" s="429">
        <v>18.495687711303599</v>
      </c>
      <c r="T140" s="412"/>
    </row>
    <row r="141" spans="2:20" ht="13.5">
      <c r="B141" s="412"/>
      <c r="C141" s="428" t="s">
        <v>75</v>
      </c>
      <c r="D141" s="421">
        <v>10.2975283203125</v>
      </c>
      <c r="E141" s="421">
        <v>0</v>
      </c>
      <c r="F141" s="421">
        <v>19.839035858468499</v>
      </c>
      <c r="G141" s="421">
        <v>5.4878274190851801</v>
      </c>
      <c r="H141" s="421">
        <v>0</v>
      </c>
      <c r="I141" s="421">
        <v>0</v>
      </c>
      <c r="J141" s="421">
        <v>0</v>
      </c>
      <c r="K141" s="421">
        <v>0</v>
      </c>
      <c r="L141" s="421">
        <v>0</v>
      </c>
      <c r="M141" s="421">
        <v>0.28883302205711497</v>
      </c>
      <c r="N141" s="421">
        <v>0</v>
      </c>
      <c r="O141" s="421">
        <v>0</v>
      </c>
      <c r="P141" s="421">
        <v>33.598264462809901</v>
      </c>
      <c r="Q141" s="421">
        <v>0</v>
      </c>
      <c r="R141" s="421">
        <v>0</v>
      </c>
      <c r="S141" s="429">
        <v>69.511489082733206</v>
      </c>
      <c r="T141" s="412"/>
    </row>
    <row r="142" spans="2:20" ht="13.5">
      <c r="B142" s="412"/>
      <c r="C142" s="428" t="s">
        <v>76</v>
      </c>
      <c r="D142" s="421">
        <v>0</v>
      </c>
      <c r="E142" s="421">
        <v>0</v>
      </c>
      <c r="F142" s="421">
        <v>0</v>
      </c>
      <c r="G142" s="421">
        <v>4.3415112454446598</v>
      </c>
      <c r="H142" s="421">
        <v>0</v>
      </c>
      <c r="I142" s="421">
        <v>0</v>
      </c>
      <c r="J142" s="421">
        <v>0</v>
      </c>
      <c r="K142" s="421">
        <v>0</v>
      </c>
      <c r="L142" s="421">
        <v>0</v>
      </c>
      <c r="M142" s="421">
        <v>0.228500591865508</v>
      </c>
      <c r="N142" s="421">
        <v>0</v>
      </c>
      <c r="O142" s="421">
        <v>0</v>
      </c>
      <c r="P142" s="421">
        <v>38.783283877504701</v>
      </c>
      <c r="Q142" s="421">
        <v>4.5934115076978301</v>
      </c>
      <c r="R142" s="421">
        <v>0</v>
      </c>
      <c r="S142" s="429">
        <v>47.9467072225127</v>
      </c>
      <c r="T142" s="412"/>
    </row>
    <row r="143" spans="2:20" ht="13.5">
      <c r="B143" s="412"/>
      <c r="C143" s="424" t="s">
        <v>77</v>
      </c>
      <c r="D143" s="425">
        <v>25.850448383085102</v>
      </c>
      <c r="E143" s="425">
        <v>495.30866937040798</v>
      </c>
      <c r="F143" s="425">
        <v>-462.48801059379298</v>
      </c>
      <c r="G143" s="425">
        <v>90.007446825961395</v>
      </c>
      <c r="H143" s="425">
        <v>1105.3443526170799</v>
      </c>
      <c r="I143" s="425">
        <v>153.87272727272699</v>
      </c>
      <c r="J143" s="425">
        <v>113.78152525537701</v>
      </c>
      <c r="K143" s="425">
        <v>27.814268057454701</v>
      </c>
      <c r="L143" s="425">
        <v>-44.276682206447802</v>
      </c>
      <c r="M143" s="425">
        <v>-14.5329825371862</v>
      </c>
      <c r="N143" s="425">
        <v>0</v>
      </c>
      <c r="O143" s="425">
        <v>4.0933772450343699</v>
      </c>
      <c r="P143" s="425">
        <v>-489.22265492443103</v>
      </c>
      <c r="Q143" s="425">
        <v>-54.683470329736103</v>
      </c>
      <c r="R143" s="425">
        <v>-2.31886619778202</v>
      </c>
      <c r="S143" s="425">
        <v>948.55014823775196</v>
      </c>
      <c r="T143" s="412"/>
    </row>
    <row r="144" spans="2:20" ht="13.5">
      <c r="B144" s="412"/>
      <c r="C144" s="426"/>
      <c r="D144" s="427"/>
      <c r="E144" s="427"/>
      <c r="F144" s="427"/>
      <c r="G144" s="427"/>
      <c r="H144" s="427"/>
      <c r="I144" s="427"/>
      <c r="J144" s="427"/>
      <c r="K144" s="427"/>
      <c r="L144" s="427"/>
      <c r="M144" s="427"/>
      <c r="N144" s="427"/>
      <c r="O144" s="427"/>
      <c r="P144" s="427"/>
      <c r="Q144" s="427"/>
      <c r="R144" s="427"/>
      <c r="S144" s="427"/>
      <c r="T144" s="412"/>
    </row>
    <row r="145" spans="2:20" ht="13.5">
      <c r="B145" s="412"/>
      <c r="C145" s="428" t="s">
        <v>78</v>
      </c>
      <c r="D145" s="421">
        <v>4.6620736262721998</v>
      </c>
      <c r="E145" s="421">
        <v>0</v>
      </c>
      <c r="F145" s="421">
        <v>22.712519210040199</v>
      </c>
      <c r="G145" s="421">
        <v>102.16152856063501</v>
      </c>
      <c r="H145" s="421">
        <v>0</v>
      </c>
      <c r="I145" s="421">
        <v>0</v>
      </c>
      <c r="J145" s="421">
        <v>16.960957431403401</v>
      </c>
      <c r="K145" s="421">
        <v>5.2384741309254297</v>
      </c>
      <c r="L145" s="421">
        <v>0.94215535644531201</v>
      </c>
      <c r="M145" s="421">
        <v>5.3769225558229001</v>
      </c>
      <c r="N145" s="421">
        <v>0</v>
      </c>
      <c r="O145" s="421">
        <v>0</v>
      </c>
      <c r="P145" s="421">
        <v>125.167073765151</v>
      </c>
      <c r="Q145" s="421">
        <v>21.076181994536299</v>
      </c>
      <c r="R145" s="421">
        <v>1.11776281738281</v>
      </c>
      <c r="S145" s="429">
        <v>305.41564944861398</v>
      </c>
      <c r="T145" s="412"/>
    </row>
    <row r="146" spans="2:20" ht="13.5">
      <c r="B146" s="412"/>
      <c r="C146" s="428" t="s">
        <v>79</v>
      </c>
      <c r="D146" s="421">
        <v>0</v>
      </c>
      <c r="E146" s="421">
        <v>0</v>
      </c>
      <c r="F146" s="421">
        <v>362.32110929261898</v>
      </c>
      <c r="G146" s="421">
        <v>6.7558174540043101</v>
      </c>
      <c r="H146" s="421">
        <v>0</v>
      </c>
      <c r="I146" s="421">
        <v>0</v>
      </c>
      <c r="J146" s="421">
        <v>0</v>
      </c>
      <c r="K146" s="421">
        <v>0</v>
      </c>
      <c r="L146" s="421">
        <v>39.472711189167597</v>
      </c>
      <c r="M146" s="421">
        <v>0.35556933968443699</v>
      </c>
      <c r="N146" s="421">
        <v>0</v>
      </c>
      <c r="O146" s="421">
        <v>0</v>
      </c>
      <c r="P146" s="421">
        <v>17.3099309567537</v>
      </c>
      <c r="Q146" s="421">
        <v>0</v>
      </c>
      <c r="R146" s="421">
        <v>0</v>
      </c>
      <c r="S146" s="429">
        <v>426.21513823222898</v>
      </c>
      <c r="T146" s="412"/>
    </row>
    <row r="147" spans="2:20" ht="13.5">
      <c r="B147" s="412"/>
      <c r="C147" s="428" t="s">
        <v>80</v>
      </c>
      <c r="D147" s="421">
        <v>0</v>
      </c>
      <c r="E147" s="421">
        <v>0</v>
      </c>
      <c r="F147" s="421">
        <v>34.999969618403199</v>
      </c>
      <c r="G147" s="421">
        <v>107.981806759471</v>
      </c>
      <c r="H147" s="421">
        <v>0</v>
      </c>
      <c r="I147" s="421">
        <v>0</v>
      </c>
      <c r="J147" s="421">
        <v>80.579090971434496</v>
      </c>
      <c r="K147" s="421">
        <v>0</v>
      </c>
      <c r="L147" s="421">
        <v>0</v>
      </c>
      <c r="M147" s="421">
        <v>5.6832529873405804</v>
      </c>
      <c r="N147" s="421">
        <v>35.076999538412302</v>
      </c>
      <c r="O147" s="421">
        <v>0.47984347524752502</v>
      </c>
      <c r="P147" s="421">
        <v>158.50734488006901</v>
      </c>
      <c r="Q147" s="421">
        <v>26.532250788105799</v>
      </c>
      <c r="R147" s="421">
        <v>0</v>
      </c>
      <c r="S147" s="429">
        <v>449.84055901848399</v>
      </c>
      <c r="T147" s="412"/>
    </row>
    <row r="148" spans="2:20" ht="13.5">
      <c r="B148" s="412"/>
      <c r="C148" s="428" t="s">
        <v>81</v>
      </c>
      <c r="D148" s="421">
        <v>0</v>
      </c>
      <c r="E148" s="421">
        <v>0</v>
      </c>
      <c r="F148" s="421">
        <v>14.8754398982658</v>
      </c>
      <c r="G148" s="421">
        <v>56.846051133253098</v>
      </c>
      <c r="H148" s="421">
        <v>0</v>
      </c>
      <c r="I148" s="421">
        <v>0</v>
      </c>
      <c r="J148" s="421">
        <v>6.2628201133829897</v>
      </c>
      <c r="K148" s="421">
        <v>0</v>
      </c>
      <c r="L148" s="421">
        <v>0</v>
      </c>
      <c r="M148" s="421">
        <v>2.9918974280659598</v>
      </c>
      <c r="N148" s="421">
        <v>11.4217194648713</v>
      </c>
      <c r="O148" s="421">
        <v>1.4393692820156201</v>
      </c>
      <c r="P148" s="421">
        <v>123.336653566184</v>
      </c>
      <c r="Q148" s="421">
        <v>7.0750375470940403</v>
      </c>
      <c r="R148" s="421">
        <v>0</v>
      </c>
      <c r="S148" s="429">
        <v>224.24898843313301</v>
      </c>
      <c r="T148" s="412"/>
    </row>
    <row r="149" spans="2:20" ht="13.5">
      <c r="B149" s="412"/>
      <c r="C149" s="428" t="s">
        <v>82</v>
      </c>
      <c r="D149" s="421">
        <v>0</v>
      </c>
      <c r="E149" s="421">
        <v>0</v>
      </c>
      <c r="F149" s="421">
        <v>31.7690828255494</v>
      </c>
      <c r="G149" s="421">
        <v>2.3814642991744801</v>
      </c>
      <c r="H149" s="421">
        <v>0</v>
      </c>
      <c r="I149" s="421">
        <v>0</v>
      </c>
      <c r="J149" s="421">
        <v>0.70706396927287196</v>
      </c>
      <c r="K149" s="421">
        <v>0</v>
      </c>
      <c r="L149" s="421">
        <v>2.0247618834547998</v>
      </c>
      <c r="M149" s="421">
        <v>0.12534022627234101</v>
      </c>
      <c r="N149" s="421">
        <v>0</v>
      </c>
      <c r="O149" s="421">
        <v>0.36066131262685802</v>
      </c>
      <c r="P149" s="421">
        <v>8.1897797220052908</v>
      </c>
      <c r="Q149" s="421">
        <v>0</v>
      </c>
      <c r="R149" s="421">
        <v>8.6831190235855601E-2</v>
      </c>
      <c r="S149" s="429">
        <v>45.644985428591902</v>
      </c>
      <c r="T149" s="412"/>
    </row>
    <row r="150" spans="2:20" ht="13.5">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ht="13.5">
      <c r="B151" s="412"/>
      <c r="C151" s="424" t="s">
        <v>83</v>
      </c>
      <c r="D151" s="425">
        <v>4.6620736262721998</v>
      </c>
      <c r="E151" s="425">
        <v>0</v>
      </c>
      <c r="F151" s="425">
        <v>466.67812084487798</v>
      </c>
      <c r="G151" s="425">
        <v>276.126668206538</v>
      </c>
      <c r="H151" s="425">
        <v>0</v>
      </c>
      <c r="I151" s="425">
        <v>0</v>
      </c>
      <c r="J151" s="425">
        <v>104.50993248549401</v>
      </c>
      <c r="K151" s="425">
        <v>5.2384741309254297</v>
      </c>
      <c r="L151" s="425">
        <v>42.439628429067703</v>
      </c>
      <c r="M151" s="425">
        <v>14.5329825371862</v>
      </c>
      <c r="N151" s="425">
        <v>46.498719003283597</v>
      </c>
      <c r="O151" s="425">
        <v>2.27987406989</v>
      </c>
      <c r="P151" s="425">
        <v>432.510782890163</v>
      </c>
      <c r="Q151" s="425">
        <v>54.683470329736103</v>
      </c>
      <c r="R151" s="425">
        <v>1.2045940076186701</v>
      </c>
      <c r="S151" s="425">
        <v>1451.3653205610501</v>
      </c>
      <c r="T151" s="412"/>
    </row>
    <row r="152" spans="2:20" ht="13.5">
      <c r="B152" s="412"/>
      <c r="C152" s="420" t="s">
        <v>84</v>
      </c>
      <c r="D152" s="421">
        <v>1.80589592507102</v>
      </c>
      <c r="E152" s="421">
        <v>0</v>
      </c>
      <c r="F152" s="421">
        <v>137.615499825033</v>
      </c>
      <c r="G152" s="421">
        <v>12.949704455048799</v>
      </c>
      <c r="H152" s="421">
        <v>0</v>
      </c>
      <c r="I152" s="421">
        <v>0</v>
      </c>
      <c r="J152" s="421">
        <v>0</v>
      </c>
      <c r="K152" s="421">
        <v>0</v>
      </c>
      <c r="L152" s="421">
        <v>0.1703607421875</v>
      </c>
      <c r="M152" s="421">
        <v>0</v>
      </c>
      <c r="N152" s="421">
        <v>0</v>
      </c>
      <c r="O152" s="421">
        <v>0</v>
      </c>
      <c r="P152" s="421">
        <v>0</v>
      </c>
      <c r="Q152" s="421">
        <v>0</v>
      </c>
      <c r="R152" s="421">
        <v>1.1142721901633501</v>
      </c>
      <c r="S152" s="429">
        <v>153.655733137504</v>
      </c>
      <c r="T152" s="412"/>
    </row>
    <row r="153" spans="2:20" ht="13.5">
      <c r="B153" s="412"/>
      <c r="C153" s="424" t="s">
        <v>85</v>
      </c>
      <c r="D153" s="425">
        <v>6.46796955134322</v>
      </c>
      <c r="E153" s="425">
        <v>0</v>
      </c>
      <c r="F153" s="425">
        <v>604.29362066991098</v>
      </c>
      <c r="G153" s="425">
        <v>289.07637266158702</v>
      </c>
      <c r="H153" s="425">
        <v>0</v>
      </c>
      <c r="I153" s="425">
        <v>0</v>
      </c>
      <c r="J153" s="425">
        <v>104.50993248549401</v>
      </c>
      <c r="K153" s="425">
        <v>5.2384741309254297</v>
      </c>
      <c r="L153" s="425">
        <v>42.6099891712553</v>
      </c>
      <c r="M153" s="425">
        <v>14.5329825371862</v>
      </c>
      <c r="N153" s="425">
        <v>46.498719003283597</v>
      </c>
      <c r="O153" s="425">
        <v>2.27987406989</v>
      </c>
      <c r="P153" s="425">
        <v>432.510782890163</v>
      </c>
      <c r="Q153" s="425">
        <v>54.683470329736103</v>
      </c>
      <c r="R153" s="425">
        <v>2.31886619778202</v>
      </c>
      <c r="S153" s="425">
        <v>1605.0210536985601</v>
      </c>
      <c r="T153" s="412"/>
    </row>
    <row r="154" spans="2:20">
      <c r="B154" s="412"/>
      <c r="C154" s="412"/>
      <c r="D154" s="430">
        <f t="shared" ref="D154:S154" si="1">D153+D143-D129</f>
        <v>0</v>
      </c>
      <c r="E154" s="430">
        <f t="shared" si="1"/>
        <v>0</v>
      </c>
      <c r="F154" s="430">
        <f t="shared" si="1"/>
        <v>0</v>
      </c>
      <c r="G154" s="430">
        <f t="shared" si="1"/>
        <v>0</v>
      </c>
      <c r="H154" s="430">
        <f t="shared" si="1"/>
        <v>0</v>
      </c>
      <c r="I154" s="430">
        <f t="shared" si="1"/>
        <v>0</v>
      </c>
      <c r="J154" s="430">
        <f t="shared" si="1"/>
        <v>1.0231815394945443E-12</v>
      </c>
      <c r="K154" s="430">
        <f t="shared" si="1"/>
        <v>0</v>
      </c>
      <c r="L154" s="430">
        <f t="shared" si="1"/>
        <v>8.8151708155237429E-14</v>
      </c>
      <c r="M154" s="430">
        <f t="shared" si="1"/>
        <v>0</v>
      </c>
      <c r="N154" s="430">
        <f t="shared" si="1"/>
        <v>0</v>
      </c>
      <c r="O154" s="430">
        <f t="shared" si="1"/>
        <v>0</v>
      </c>
      <c r="P154" s="430">
        <f t="shared" si="1"/>
        <v>-1.2789769243681803E-13</v>
      </c>
      <c r="Q154" s="430">
        <f t="shared" si="1"/>
        <v>0</v>
      </c>
      <c r="R154" s="430">
        <f t="shared" si="1"/>
        <v>0</v>
      </c>
      <c r="S154" s="430">
        <f t="shared" si="1"/>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3.5">
      <c r="B156" s="416"/>
      <c r="C156" s="417" t="s">
        <v>359</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02" t="s">
        <v>128</v>
      </c>
      <c r="D158" s="703" t="s">
        <v>42</v>
      </c>
      <c r="E158" s="703" t="s">
        <v>52</v>
      </c>
      <c r="F158" s="703" t="s">
        <v>53</v>
      </c>
      <c r="G158" s="703" t="s">
        <v>32</v>
      </c>
      <c r="H158" s="703" t="s">
        <v>20</v>
      </c>
      <c r="I158" s="703" t="s">
        <v>55</v>
      </c>
      <c r="J158" s="703" t="s">
        <v>56</v>
      </c>
      <c r="K158" s="703"/>
      <c r="L158" s="703"/>
      <c r="M158" s="703"/>
      <c r="N158" s="703"/>
      <c r="O158" s="703"/>
      <c r="P158" s="703" t="s">
        <v>57</v>
      </c>
      <c r="Q158" s="703" t="s">
        <v>58</v>
      </c>
      <c r="R158" s="703" t="s">
        <v>31</v>
      </c>
      <c r="S158" s="703" t="s">
        <v>10</v>
      </c>
      <c r="T158" s="412"/>
    </row>
    <row r="159" spans="2:20" ht="57.5">
      <c r="B159" s="412"/>
      <c r="C159" s="702"/>
      <c r="D159" s="703"/>
      <c r="E159" s="703"/>
      <c r="F159" s="703"/>
      <c r="G159" s="703"/>
      <c r="H159" s="703"/>
      <c r="I159" s="703"/>
      <c r="J159" s="418" t="s">
        <v>338</v>
      </c>
      <c r="K159" s="418" t="s">
        <v>40</v>
      </c>
      <c r="L159" s="418" t="s">
        <v>346</v>
      </c>
      <c r="M159" s="418" t="s">
        <v>347</v>
      </c>
      <c r="N159" s="419" t="s">
        <v>348</v>
      </c>
      <c r="O159" s="418" t="s">
        <v>349</v>
      </c>
      <c r="P159" s="703"/>
      <c r="Q159" s="703"/>
      <c r="R159" s="703"/>
      <c r="S159" s="703"/>
      <c r="T159" s="412"/>
    </row>
    <row r="160" spans="2:20" ht="13.5">
      <c r="B160" s="412"/>
      <c r="C160" s="420" t="s">
        <v>59</v>
      </c>
      <c r="D160" s="421">
        <v>0</v>
      </c>
      <c r="E160" s="421">
        <v>9.7691999999999997</v>
      </c>
      <c r="F160" s="421">
        <v>0</v>
      </c>
      <c r="G160" s="421">
        <v>0.18608</v>
      </c>
      <c r="H160" s="422">
        <v>1083.7741046832</v>
      </c>
      <c r="I160" s="422">
        <v>178.309090909091</v>
      </c>
      <c r="J160" s="422">
        <v>222.134568786812</v>
      </c>
      <c r="K160" s="422">
        <v>35.473118004210797</v>
      </c>
      <c r="L160" s="421">
        <v>0</v>
      </c>
      <c r="M160" s="421">
        <v>0</v>
      </c>
      <c r="N160" s="422">
        <v>54.688192188589603</v>
      </c>
      <c r="O160" s="422">
        <v>8.0158524947922398</v>
      </c>
      <c r="P160" s="421">
        <v>0</v>
      </c>
      <c r="Q160" s="421">
        <v>0</v>
      </c>
      <c r="R160" s="421">
        <v>0</v>
      </c>
      <c r="S160" s="423">
        <v>1592.35020706669</v>
      </c>
      <c r="T160" s="412"/>
    </row>
    <row r="161" spans="2:20" ht="13.5">
      <c r="B161" s="412"/>
      <c r="C161" s="420" t="s">
        <v>60</v>
      </c>
      <c r="D161" s="421">
        <v>20.263748329507301</v>
      </c>
      <c r="E161" s="421">
        <v>439.73434116717101</v>
      </c>
      <c r="F161" s="421">
        <v>174.80444040113099</v>
      </c>
      <c r="G161" s="421">
        <v>330.67230734863398</v>
      </c>
      <c r="H161" s="421">
        <v>0</v>
      </c>
      <c r="I161" s="421">
        <v>0</v>
      </c>
      <c r="J161" s="421">
        <v>0</v>
      </c>
      <c r="K161" s="421">
        <v>0</v>
      </c>
      <c r="L161" s="421">
        <v>0</v>
      </c>
      <c r="M161" s="421">
        <v>0</v>
      </c>
      <c r="N161" s="421">
        <v>0</v>
      </c>
      <c r="O161" s="421">
        <v>0</v>
      </c>
      <c r="P161" s="421">
        <v>0</v>
      </c>
      <c r="Q161" s="421">
        <v>0</v>
      </c>
      <c r="R161" s="421">
        <v>0</v>
      </c>
      <c r="S161" s="423">
        <v>965.47483724644405</v>
      </c>
      <c r="T161" s="412"/>
    </row>
    <row r="162" spans="2:20" ht="13.5">
      <c r="B162" s="412"/>
      <c r="C162" s="420" t="s">
        <v>61</v>
      </c>
      <c r="D162" s="421">
        <v>0</v>
      </c>
      <c r="E162" s="421">
        <v>0</v>
      </c>
      <c r="F162" s="421">
        <v>0</v>
      </c>
      <c r="G162" s="421">
        <v>0</v>
      </c>
      <c r="H162" s="421">
        <v>0</v>
      </c>
      <c r="I162" s="421">
        <v>0</v>
      </c>
      <c r="J162" s="421">
        <v>0</v>
      </c>
      <c r="K162" s="421">
        <v>0</v>
      </c>
      <c r="L162" s="421">
        <v>0</v>
      </c>
      <c r="M162" s="421">
        <v>0</v>
      </c>
      <c r="N162" s="421">
        <v>0</v>
      </c>
      <c r="O162" s="421">
        <v>0</v>
      </c>
      <c r="P162" s="421">
        <v>-52.7574154473186</v>
      </c>
      <c r="Q162" s="421">
        <v>0</v>
      </c>
      <c r="R162" s="421">
        <v>0</v>
      </c>
      <c r="S162" s="423">
        <v>-52.7574154473186</v>
      </c>
      <c r="T162" s="412"/>
    </row>
    <row r="163" spans="2:20" ht="13.5">
      <c r="B163" s="412"/>
      <c r="C163" s="420" t="s">
        <v>62</v>
      </c>
      <c r="D163" s="421">
        <v>0</v>
      </c>
      <c r="E163" s="421">
        <v>0</v>
      </c>
      <c r="F163" s="421">
        <v>-16.8430892984614</v>
      </c>
      <c r="G163" s="421">
        <v>-3.3709705649534398E-2</v>
      </c>
      <c r="H163" s="421">
        <v>0</v>
      </c>
      <c r="I163" s="421">
        <v>0</v>
      </c>
      <c r="J163" s="421">
        <v>0</v>
      </c>
      <c r="K163" s="421">
        <v>0</v>
      </c>
      <c r="L163" s="421">
        <v>0</v>
      </c>
      <c r="M163" s="421">
        <v>-3.74552284994826E-3</v>
      </c>
      <c r="N163" s="421">
        <v>0</v>
      </c>
      <c r="O163" s="421">
        <v>0</v>
      </c>
      <c r="P163" s="421">
        <v>0</v>
      </c>
      <c r="Q163" s="421">
        <v>0</v>
      </c>
      <c r="R163" s="421">
        <v>0</v>
      </c>
      <c r="S163" s="423">
        <v>-16.880544526960801</v>
      </c>
      <c r="T163" s="412"/>
    </row>
    <row r="164" spans="2:20" ht="13.5">
      <c r="B164" s="412"/>
      <c r="C164" s="420" t="s">
        <v>63</v>
      </c>
      <c r="D164" s="421">
        <v>0</v>
      </c>
      <c r="E164" s="421">
        <v>0</v>
      </c>
      <c r="F164" s="421">
        <v>-75.677655886771902</v>
      </c>
      <c r="G164" s="421">
        <v>0</v>
      </c>
      <c r="H164" s="421">
        <v>0</v>
      </c>
      <c r="I164" s="421">
        <v>0</v>
      </c>
      <c r="J164" s="421">
        <v>0</v>
      </c>
      <c r="K164" s="421">
        <v>0</v>
      </c>
      <c r="L164" s="421">
        <v>-3.14984148370685</v>
      </c>
      <c r="M164" s="421">
        <v>0</v>
      </c>
      <c r="N164" s="421">
        <v>0</v>
      </c>
      <c r="O164" s="421">
        <v>0</v>
      </c>
      <c r="P164" s="421">
        <v>0</v>
      </c>
      <c r="Q164" s="421">
        <v>0</v>
      </c>
      <c r="R164" s="421">
        <v>0</v>
      </c>
      <c r="S164" s="423">
        <v>-78.827497370478696</v>
      </c>
      <c r="T164" s="412"/>
    </row>
    <row r="165" spans="2:20" ht="13.5">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ht="13.5">
      <c r="B166" s="412"/>
      <c r="C166" s="424" t="s">
        <v>65</v>
      </c>
      <c r="D166" s="425">
        <v>20.263748329507301</v>
      </c>
      <c r="E166" s="425">
        <v>449.50354116717102</v>
      </c>
      <c r="F166" s="425">
        <v>82.283695215898007</v>
      </c>
      <c r="G166" s="425">
        <v>330.82467764298502</v>
      </c>
      <c r="H166" s="425">
        <v>1083.7741046832</v>
      </c>
      <c r="I166" s="425">
        <v>178.309090909091</v>
      </c>
      <c r="J166" s="425">
        <v>222.134568786812</v>
      </c>
      <c r="K166" s="425">
        <v>35.473118004210797</v>
      </c>
      <c r="L166" s="425">
        <v>-3.14984148370685</v>
      </c>
      <c r="M166" s="425">
        <v>-3.74552284994826E-3</v>
      </c>
      <c r="N166" s="425">
        <v>54.688192188589603</v>
      </c>
      <c r="O166" s="425">
        <v>8.0158524947922398</v>
      </c>
      <c r="P166" s="425">
        <v>-52.7574154473186</v>
      </c>
      <c r="Q166" s="425">
        <v>0</v>
      </c>
      <c r="R166" s="425">
        <v>0</v>
      </c>
      <c r="S166" s="425">
        <v>2409.35958696838</v>
      </c>
      <c r="T166" s="412"/>
    </row>
    <row r="167" spans="2:20" ht="13.5">
      <c r="B167" s="412"/>
      <c r="C167" s="426"/>
      <c r="D167" s="427"/>
      <c r="E167" s="427"/>
      <c r="F167" s="427"/>
      <c r="G167" s="427"/>
      <c r="H167" s="427"/>
      <c r="I167" s="427"/>
      <c r="J167" s="427"/>
      <c r="K167" s="427"/>
      <c r="L167" s="427"/>
      <c r="M167" s="427"/>
      <c r="N167" s="427"/>
      <c r="O167" s="427"/>
      <c r="P167" s="427"/>
      <c r="Q167" s="427"/>
      <c r="R167" s="427"/>
      <c r="S167" s="427"/>
      <c r="T167" s="412"/>
    </row>
    <row r="168" spans="2:20" ht="13.5">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ht="13.5">
      <c r="B169" s="412"/>
      <c r="C169" s="428" t="s">
        <v>350</v>
      </c>
      <c r="D169" s="421">
        <v>0.91448134465103803</v>
      </c>
      <c r="E169" s="421">
        <v>0</v>
      </c>
      <c r="F169" s="421">
        <v>0.95041322314049603</v>
      </c>
      <c r="G169" s="421">
        <v>50.5213015766521</v>
      </c>
      <c r="H169" s="421">
        <v>1083.7741046832</v>
      </c>
      <c r="I169" s="421">
        <v>178.309090909091</v>
      </c>
      <c r="J169" s="421">
        <v>22.646861134117799</v>
      </c>
      <c r="K169" s="421">
        <v>7.6532170524778804</v>
      </c>
      <c r="L169" s="421">
        <v>0</v>
      </c>
      <c r="M169" s="421">
        <v>4.3931566588393203</v>
      </c>
      <c r="N169" s="421">
        <v>0</v>
      </c>
      <c r="O169" s="421">
        <v>0</v>
      </c>
      <c r="P169" s="421">
        <v>-576.04545454545496</v>
      </c>
      <c r="Q169" s="421">
        <v>0</v>
      </c>
      <c r="R169" s="421">
        <v>0</v>
      </c>
      <c r="S169" s="429">
        <v>773.11717203671105</v>
      </c>
      <c r="T169" s="412"/>
    </row>
    <row r="170" spans="2:20" ht="13.5">
      <c r="B170" s="412"/>
      <c r="C170" s="428" t="s">
        <v>351</v>
      </c>
      <c r="D170" s="421">
        <v>9.8298985145506806E-2</v>
      </c>
      <c r="E170" s="421">
        <v>0</v>
      </c>
      <c r="F170" s="421">
        <v>0</v>
      </c>
      <c r="G170" s="421">
        <v>18.931106597798902</v>
      </c>
      <c r="H170" s="421">
        <v>0</v>
      </c>
      <c r="I170" s="421">
        <v>0</v>
      </c>
      <c r="J170" s="421">
        <v>24.619601434096001</v>
      </c>
      <c r="K170" s="421">
        <v>21.971315131124399</v>
      </c>
      <c r="L170" s="421">
        <v>0</v>
      </c>
      <c r="M170" s="421">
        <v>1.6461831824173001</v>
      </c>
      <c r="N170" s="421">
        <v>0</v>
      </c>
      <c r="O170" s="421">
        <v>5.09259734951259</v>
      </c>
      <c r="P170" s="421">
        <v>0</v>
      </c>
      <c r="Q170" s="421">
        <v>-65.226956220185599</v>
      </c>
      <c r="R170" s="421">
        <v>0</v>
      </c>
      <c r="S170" s="429">
        <v>7.1321464599091797</v>
      </c>
      <c r="T170" s="412"/>
    </row>
    <row r="171" spans="2:20" ht="13.5">
      <c r="B171" s="412"/>
      <c r="C171" s="428" t="s">
        <v>352</v>
      </c>
      <c r="D171" s="421">
        <v>0</v>
      </c>
      <c r="E171" s="421">
        <v>0</v>
      </c>
      <c r="F171" s="421">
        <v>0</v>
      </c>
      <c r="G171" s="421">
        <v>0</v>
      </c>
      <c r="H171" s="421">
        <v>0</v>
      </c>
      <c r="I171" s="421">
        <v>0</v>
      </c>
      <c r="J171" s="421">
        <v>31.027920583566299</v>
      </c>
      <c r="K171" s="421">
        <v>0</v>
      </c>
      <c r="L171" s="421">
        <v>0</v>
      </c>
      <c r="M171" s="421">
        <v>-27.653634220103498</v>
      </c>
      <c r="N171" s="421">
        <v>0</v>
      </c>
      <c r="O171" s="421">
        <v>0</v>
      </c>
      <c r="P171" s="421">
        <v>0</v>
      </c>
      <c r="Q171" s="421">
        <v>0</v>
      </c>
      <c r="R171" s="421">
        <v>0</v>
      </c>
      <c r="S171" s="429">
        <v>3.3742863634628399</v>
      </c>
      <c r="T171" s="412"/>
    </row>
    <row r="172" spans="2:20" ht="13.5">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ht="13.5">
      <c r="B173" s="412"/>
      <c r="C173" s="428" t="s">
        <v>72</v>
      </c>
      <c r="D173" s="421">
        <v>0</v>
      </c>
      <c r="E173" s="421">
        <v>465.63789420124402</v>
      </c>
      <c r="F173" s="421">
        <v>-460.98151525923203</v>
      </c>
      <c r="G173" s="421">
        <v>0</v>
      </c>
      <c r="H173" s="421">
        <v>0</v>
      </c>
      <c r="I173" s="421">
        <v>0</v>
      </c>
      <c r="J173" s="421">
        <v>0</v>
      </c>
      <c r="K173" s="421">
        <v>0</v>
      </c>
      <c r="L173" s="421">
        <v>0</v>
      </c>
      <c r="M173" s="421">
        <v>0</v>
      </c>
      <c r="N173" s="421">
        <v>0</v>
      </c>
      <c r="O173" s="421">
        <v>0</v>
      </c>
      <c r="P173" s="421">
        <v>0</v>
      </c>
      <c r="Q173" s="421">
        <v>0</v>
      </c>
      <c r="R173" s="421">
        <v>0</v>
      </c>
      <c r="S173" s="429">
        <v>4.6563789420124504</v>
      </c>
      <c r="T173" s="412"/>
    </row>
    <row r="174" spans="2:20" ht="13.5">
      <c r="B174" s="412"/>
      <c r="C174" s="428" t="s">
        <v>354</v>
      </c>
      <c r="D174" s="421">
        <v>0</v>
      </c>
      <c r="E174" s="421">
        <v>0</v>
      </c>
      <c r="F174" s="421">
        <v>0</v>
      </c>
      <c r="G174" s="421">
        <v>0</v>
      </c>
      <c r="H174" s="421">
        <v>0</v>
      </c>
      <c r="I174" s="421">
        <v>0</v>
      </c>
      <c r="J174" s="421">
        <v>42.886755488040599</v>
      </c>
      <c r="K174" s="421">
        <v>0</v>
      </c>
      <c r="L174" s="421">
        <v>-42.886755488040599</v>
      </c>
      <c r="M174" s="421">
        <v>0</v>
      </c>
      <c r="N174" s="421">
        <v>0</v>
      </c>
      <c r="O174" s="421">
        <v>0</v>
      </c>
      <c r="P174" s="421">
        <v>0</v>
      </c>
      <c r="Q174" s="421">
        <v>0</v>
      </c>
      <c r="R174" s="421">
        <v>0</v>
      </c>
      <c r="S174" s="429">
        <v>0</v>
      </c>
      <c r="T174" s="412"/>
    </row>
    <row r="175" spans="2:20" ht="13.5">
      <c r="B175" s="412"/>
      <c r="C175" s="428" t="s">
        <v>355</v>
      </c>
      <c r="D175" s="421">
        <v>0</v>
      </c>
      <c r="E175" s="421">
        <v>0</v>
      </c>
      <c r="F175" s="421">
        <v>0</v>
      </c>
      <c r="G175" s="421">
        <v>0</v>
      </c>
      <c r="H175" s="421">
        <v>0</v>
      </c>
      <c r="I175" s="421">
        <v>0</v>
      </c>
      <c r="J175" s="421">
        <v>0</v>
      </c>
      <c r="K175" s="421">
        <v>0</v>
      </c>
      <c r="L175" s="421">
        <v>-3.2313287999265801</v>
      </c>
      <c r="M175" s="421">
        <v>0</v>
      </c>
      <c r="N175" s="421">
        <v>0</v>
      </c>
      <c r="O175" s="421">
        <v>0</v>
      </c>
      <c r="P175" s="421">
        <v>0</v>
      </c>
      <c r="Q175" s="421">
        <v>0</v>
      </c>
      <c r="R175" s="421">
        <v>4.6161839998951102</v>
      </c>
      <c r="S175" s="429">
        <v>1.3848551999685399</v>
      </c>
      <c r="T175" s="412"/>
    </row>
    <row r="176" spans="2:20" ht="13.5">
      <c r="B176" s="412"/>
      <c r="C176" s="428" t="s">
        <v>73</v>
      </c>
      <c r="D176" s="421">
        <v>0</v>
      </c>
      <c r="E176" s="421">
        <v>0</v>
      </c>
      <c r="F176" s="421">
        <v>0</v>
      </c>
      <c r="G176" s="421">
        <v>6.6130879575557797</v>
      </c>
      <c r="H176" s="421">
        <v>0</v>
      </c>
      <c r="I176" s="421">
        <v>0</v>
      </c>
      <c r="J176" s="421">
        <v>0</v>
      </c>
      <c r="K176" s="421">
        <v>0.14376278168599499</v>
      </c>
      <c r="L176" s="421">
        <v>0</v>
      </c>
      <c r="M176" s="421">
        <v>0.57505112674398096</v>
      </c>
      <c r="N176" s="421">
        <v>0</v>
      </c>
      <c r="O176" s="421">
        <v>0</v>
      </c>
      <c r="P176" s="421">
        <v>7.5862514028148196</v>
      </c>
      <c r="Q176" s="421">
        <v>0</v>
      </c>
      <c r="R176" s="421">
        <v>-10.063394718019699</v>
      </c>
      <c r="S176" s="429">
        <v>4.8547585507809101</v>
      </c>
      <c r="T176" s="412"/>
    </row>
    <row r="177" spans="2:20" ht="13.5">
      <c r="B177" s="412"/>
      <c r="C177" s="428" t="s">
        <v>356</v>
      </c>
      <c r="D177" s="421">
        <v>8.1420534667968703</v>
      </c>
      <c r="E177" s="421">
        <v>-16.134353034073101</v>
      </c>
      <c r="F177" s="421">
        <v>21.1027807897289</v>
      </c>
      <c r="G177" s="421">
        <v>0</v>
      </c>
      <c r="H177" s="421">
        <v>0</v>
      </c>
      <c r="I177" s="421">
        <v>0</v>
      </c>
      <c r="J177" s="421">
        <v>0</v>
      </c>
      <c r="K177" s="421">
        <v>0</v>
      </c>
      <c r="L177" s="421">
        <v>0</v>
      </c>
      <c r="M177" s="421">
        <v>0</v>
      </c>
      <c r="N177" s="421">
        <v>0</v>
      </c>
      <c r="O177" s="421">
        <v>0</v>
      </c>
      <c r="P177" s="421">
        <v>0</v>
      </c>
      <c r="Q177" s="421">
        <v>0</v>
      </c>
      <c r="R177" s="421">
        <v>0</v>
      </c>
      <c r="S177" s="429">
        <v>13.1104812224527</v>
      </c>
      <c r="T177" s="412"/>
    </row>
    <row r="178" spans="2:20" ht="13.5">
      <c r="B178" s="412"/>
      <c r="C178" s="428" t="s">
        <v>75</v>
      </c>
      <c r="D178" s="421">
        <v>7.5011909179687501</v>
      </c>
      <c r="E178" s="421">
        <v>0</v>
      </c>
      <c r="F178" s="421">
        <v>19.422798115452299</v>
      </c>
      <c r="G178" s="421">
        <v>5.2030248598688003</v>
      </c>
      <c r="H178" s="421">
        <v>0</v>
      </c>
      <c r="I178" s="421">
        <v>0</v>
      </c>
      <c r="J178" s="421">
        <v>0</v>
      </c>
      <c r="K178" s="421">
        <v>0</v>
      </c>
      <c r="L178" s="421">
        <v>0</v>
      </c>
      <c r="M178" s="421">
        <v>0.45243694433641801</v>
      </c>
      <c r="N178" s="421">
        <v>0</v>
      </c>
      <c r="O178" s="421">
        <v>0</v>
      </c>
      <c r="P178" s="421">
        <v>32.060578512396702</v>
      </c>
      <c r="Q178" s="421">
        <v>0</v>
      </c>
      <c r="R178" s="421">
        <v>0</v>
      </c>
      <c r="S178" s="429">
        <v>64.6400293500229</v>
      </c>
      <c r="T178" s="412"/>
    </row>
    <row r="179" spans="2:20" ht="13.5">
      <c r="B179" s="412"/>
      <c r="C179" s="428" t="s">
        <v>76</v>
      </c>
      <c r="D179" s="421">
        <v>0</v>
      </c>
      <c r="E179" s="421">
        <v>0</v>
      </c>
      <c r="F179" s="421">
        <v>0</v>
      </c>
      <c r="G179" s="421">
        <v>3.7709501209231999</v>
      </c>
      <c r="H179" s="421">
        <v>0</v>
      </c>
      <c r="I179" s="421">
        <v>0</v>
      </c>
      <c r="J179" s="421">
        <v>0</v>
      </c>
      <c r="K179" s="421">
        <v>0</v>
      </c>
      <c r="L179" s="421">
        <v>0</v>
      </c>
      <c r="M179" s="421">
        <v>0.327908706167235</v>
      </c>
      <c r="N179" s="421">
        <v>0</v>
      </c>
      <c r="O179" s="421">
        <v>0</v>
      </c>
      <c r="P179" s="421">
        <v>40.104254150641999</v>
      </c>
      <c r="Q179" s="421">
        <v>5.0544873823760099</v>
      </c>
      <c r="R179" s="421">
        <v>0</v>
      </c>
      <c r="S179" s="429">
        <v>49.257600360108398</v>
      </c>
      <c r="T179" s="412"/>
    </row>
    <row r="180" spans="2:20" ht="13.5">
      <c r="B180" s="412"/>
      <c r="C180" s="424" t="s">
        <v>77</v>
      </c>
      <c r="D180" s="425">
        <v>16.6560247145622</v>
      </c>
      <c r="E180" s="425">
        <v>449.50354116717102</v>
      </c>
      <c r="F180" s="425">
        <v>-419.50552313090998</v>
      </c>
      <c r="G180" s="425">
        <v>85.039471112798793</v>
      </c>
      <c r="H180" s="425">
        <v>1083.7741046832</v>
      </c>
      <c r="I180" s="425">
        <v>178.309090909091</v>
      </c>
      <c r="J180" s="425">
        <v>121.181138639821</v>
      </c>
      <c r="K180" s="425">
        <v>29.768294965288302</v>
      </c>
      <c r="L180" s="425">
        <v>-46.1180842879672</v>
      </c>
      <c r="M180" s="425">
        <v>-20.258897601599202</v>
      </c>
      <c r="N180" s="425">
        <v>0</v>
      </c>
      <c r="O180" s="425">
        <v>5.09259734951259</v>
      </c>
      <c r="P180" s="425">
        <v>-496.29437047960101</v>
      </c>
      <c r="Q180" s="425">
        <v>-60.172468837809603</v>
      </c>
      <c r="R180" s="425">
        <v>-5.4472107181245502</v>
      </c>
      <c r="S180" s="425">
        <v>921.527708485429</v>
      </c>
      <c r="T180" s="412"/>
    </row>
    <row r="181" spans="2:20" ht="13.5">
      <c r="B181" s="412"/>
      <c r="C181" s="426"/>
      <c r="D181" s="427"/>
      <c r="E181" s="427"/>
      <c r="F181" s="427"/>
      <c r="G181" s="427"/>
      <c r="H181" s="427"/>
      <c r="I181" s="427"/>
      <c r="J181" s="427"/>
      <c r="K181" s="427"/>
      <c r="L181" s="427"/>
      <c r="M181" s="427"/>
      <c r="N181" s="427"/>
      <c r="O181" s="427"/>
      <c r="P181" s="427"/>
      <c r="Q181" s="427"/>
      <c r="R181" s="427"/>
      <c r="S181" s="427"/>
      <c r="T181" s="412"/>
    </row>
    <row r="182" spans="2:20" ht="13.5">
      <c r="B182" s="412"/>
      <c r="C182" s="428" t="s">
        <v>78</v>
      </c>
      <c r="D182" s="421">
        <v>2.4350914505274801</v>
      </c>
      <c r="E182" s="421">
        <v>0</v>
      </c>
      <c r="F182" s="421">
        <v>18.685308217690999</v>
      </c>
      <c r="G182" s="421">
        <v>90.690087499523599</v>
      </c>
      <c r="H182" s="421">
        <v>0</v>
      </c>
      <c r="I182" s="421">
        <v>0</v>
      </c>
      <c r="J182" s="421">
        <v>16.561858262516999</v>
      </c>
      <c r="K182" s="421">
        <v>5.7048230389225099</v>
      </c>
      <c r="L182" s="421">
        <v>1.05767427734375</v>
      </c>
      <c r="M182" s="421">
        <v>7.88609456517597</v>
      </c>
      <c r="N182" s="421">
        <v>0</v>
      </c>
      <c r="O182" s="421">
        <v>0</v>
      </c>
      <c r="P182" s="421">
        <v>127.88727285716099</v>
      </c>
      <c r="Q182" s="421">
        <v>21.391690796451599</v>
      </c>
      <c r="R182" s="421">
        <v>3.30515258789063</v>
      </c>
      <c r="S182" s="429">
        <v>295.60505355320402</v>
      </c>
      <c r="T182" s="412"/>
    </row>
    <row r="183" spans="2:20" ht="13.5">
      <c r="B183" s="412"/>
      <c r="C183" s="428" t="s">
        <v>79</v>
      </c>
      <c r="D183" s="421">
        <v>0</v>
      </c>
      <c r="E183" s="421">
        <v>0</v>
      </c>
      <c r="F183" s="421">
        <v>301.15735940524797</v>
      </c>
      <c r="G183" s="421">
        <v>10.6387281798364</v>
      </c>
      <c r="H183" s="421">
        <v>0</v>
      </c>
      <c r="I183" s="421">
        <v>0</v>
      </c>
      <c r="J183" s="421">
        <v>0</v>
      </c>
      <c r="K183" s="421">
        <v>0</v>
      </c>
      <c r="L183" s="421">
        <v>37.806005937221499</v>
      </c>
      <c r="M183" s="421">
        <v>1.02405009123318</v>
      </c>
      <c r="N183" s="421">
        <v>0</v>
      </c>
      <c r="O183" s="421">
        <v>0</v>
      </c>
      <c r="P183" s="421">
        <v>27.481917677670499</v>
      </c>
      <c r="Q183" s="421">
        <v>0</v>
      </c>
      <c r="R183" s="421">
        <v>0.49126373722019001</v>
      </c>
      <c r="S183" s="429">
        <v>378.59932502842901</v>
      </c>
      <c r="T183" s="412"/>
    </row>
    <row r="184" spans="2:20" ht="13.5">
      <c r="B184" s="412"/>
      <c r="C184" s="428" t="s">
        <v>80</v>
      </c>
      <c r="D184" s="421">
        <v>0</v>
      </c>
      <c r="E184" s="421">
        <v>0</v>
      </c>
      <c r="F184" s="421">
        <v>15.2825143767471</v>
      </c>
      <c r="G184" s="421">
        <v>83.376139634147805</v>
      </c>
      <c r="H184" s="421">
        <v>0</v>
      </c>
      <c r="I184" s="421">
        <v>0</v>
      </c>
      <c r="J184" s="421">
        <v>76.063688394982904</v>
      </c>
      <c r="K184" s="421">
        <v>0</v>
      </c>
      <c r="L184" s="421">
        <v>0</v>
      </c>
      <c r="M184" s="421">
        <v>7.2500990986215497</v>
      </c>
      <c r="N184" s="421">
        <v>41.655432359759601</v>
      </c>
      <c r="O184" s="421">
        <v>0.77006413908203397</v>
      </c>
      <c r="P184" s="421">
        <v>157.95415268418699</v>
      </c>
      <c r="Q184" s="421">
        <v>30.823495910793799</v>
      </c>
      <c r="R184" s="421">
        <v>0</v>
      </c>
      <c r="S184" s="429">
        <v>413.17558659832201</v>
      </c>
      <c r="T184" s="412"/>
    </row>
    <row r="185" spans="2:20" ht="13.5">
      <c r="B185" s="412"/>
      <c r="C185" s="428" t="s">
        <v>81</v>
      </c>
      <c r="D185" s="421">
        <v>0</v>
      </c>
      <c r="E185" s="421">
        <v>0</v>
      </c>
      <c r="F185" s="421">
        <v>8.0339957766220795</v>
      </c>
      <c r="G185" s="421">
        <v>45.902694704054099</v>
      </c>
      <c r="H185" s="421">
        <v>0</v>
      </c>
      <c r="I185" s="421">
        <v>0</v>
      </c>
      <c r="J185" s="421">
        <v>7.2212655206083998</v>
      </c>
      <c r="K185" s="421">
        <v>0</v>
      </c>
      <c r="L185" s="421">
        <v>0</v>
      </c>
      <c r="M185" s="421">
        <v>3.99153866991775</v>
      </c>
      <c r="N185" s="421">
        <v>13.032759828830001</v>
      </c>
      <c r="O185" s="421">
        <v>1.63381573932797</v>
      </c>
      <c r="P185" s="421">
        <v>121.78432803391701</v>
      </c>
      <c r="Q185" s="421">
        <v>7.9572821305642298</v>
      </c>
      <c r="R185" s="421">
        <v>0</v>
      </c>
      <c r="S185" s="429">
        <v>209.557680403841</v>
      </c>
      <c r="T185" s="412"/>
    </row>
    <row r="186" spans="2:20" ht="13.5">
      <c r="B186" s="412"/>
      <c r="C186" s="428" t="s">
        <v>82</v>
      </c>
      <c r="D186" s="421">
        <v>0</v>
      </c>
      <c r="E186" s="421">
        <v>0</v>
      </c>
      <c r="F186" s="421">
        <v>28.447053411837398</v>
      </c>
      <c r="G186" s="421">
        <v>2.24418576106194</v>
      </c>
      <c r="H186" s="421">
        <v>0</v>
      </c>
      <c r="I186" s="421">
        <v>0</v>
      </c>
      <c r="J186" s="421">
        <v>1.10661796888252</v>
      </c>
      <c r="K186" s="421">
        <v>0</v>
      </c>
      <c r="L186" s="421">
        <v>3.8296483052490902</v>
      </c>
      <c r="M186" s="421">
        <v>0.19514658791843001</v>
      </c>
      <c r="N186" s="421">
        <v>0</v>
      </c>
      <c r="O186" s="421">
        <v>0.51937526686963897</v>
      </c>
      <c r="P186" s="421">
        <v>7.9492837793472404</v>
      </c>
      <c r="Q186" s="421">
        <v>0</v>
      </c>
      <c r="R186" s="421">
        <v>0.13892990437736899</v>
      </c>
      <c r="S186" s="429">
        <v>44.430240985543698</v>
      </c>
      <c r="T186" s="412"/>
    </row>
    <row r="187" spans="2:20" ht="13.5">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0.48</v>
      </c>
      <c r="Q187" s="421">
        <v>0</v>
      </c>
      <c r="R187" s="421">
        <v>0</v>
      </c>
      <c r="S187" s="429">
        <v>0.48</v>
      </c>
      <c r="T187" s="412"/>
    </row>
    <row r="188" spans="2:20" ht="13.5">
      <c r="B188" s="412"/>
      <c r="C188" s="424" t="s">
        <v>83</v>
      </c>
      <c r="D188" s="425">
        <v>2.4350914505274801</v>
      </c>
      <c r="E188" s="425">
        <v>0</v>
      </c>
      <c r="F188" s="425">
        <v>371.60623118814499</v>
      </c>
      <c r="G188" s="425">
        <v>232.85183577862401</v>
      </c>
      <c r="H188" s="425">
        <v>0</v>
      </c>
      <c r="I188" s="425">
        <v>0</v>
      </c>
      <c r="J188" s="425">
        <v>100.953430146991</v>
      </c>
      <c r="K188" s="425">
        <v>5.7048230389225099</v>
      </c>
      <c r="L188" s="425">
        <v>42.693328519814301</v>
      </c>
      <c r="M188" s="425">
        <v>20.346929012866902</v>
      </c>
      <c r="N188" s="425">
        <v>54.688192188589603</v>
      </c>
      <c r="O188" s="425">
        <v>2.9232551452796498</v>
      </c>
      <c r="P188" s="425">
        <v>443.53695503228198</v>
      </c>
      <c r="Q188" s="425">
        <v>60.172468837809603</v>
      </c>
      <c r="R188" s="425">
        <v>3.93534622948818</v>
      </c>
      <c r="S188" s="425">
        <v>1341.8478865693401</v>
      </c>
      <c r="T188" s="412"/>
    </row>
    <row r="189" spans="2:20" ht="13.5">
      <c r="B189" s="412"/>
      <c r="C189" s="420" t="s">
        <v>84</v>
      </c>
      <c r="D189" s="421">
        <v>1.1726321644176101</v>
      </c>
      <c r="E189" s="421">
        <v>0</v>
      </c>
      <c r="F189" s="421">
        <v>130.182987158663</v>
      </c>
      <c r="G189" s="421">
        <v>12.841593817444201</v>
      </c>
      <c r="H189" s="421">
        <v>0</v>
      </c>
      <c r="I189" s="421">
        <v>0</v>
      </c>
      <c r="J189" s="421">
        <v>0</v>
      </c>
      <c r="K189" s="421">
        <v>0</v>
      </c>
      <c r="L189" s="421">
        <v>0.27491428444602301</v>
      </c>
      <c r="M189" s="421">
        <v>0</v>
      </c>
      <c r="N189" s="421">
        <v>0</v>
      </c>
      <c r="O189" s="421">
        <v>0</v>
      </c>
      <c r="P189" s="421">
        <v>0</v>
      </c>
      <c r="Q189" s="421">
        <v>0</v>
      </c>
      <c r="R189" s="421">
        <v>1.5118644886363599</v>
      </c>
      <c r="S189" s="429">
        <v>145.98399191360701</v>
      </c>
      <c r="T189" s="412"/>
    </row>
    <row r="190" spans="2:20" ht="13.5">
      <c r="B190" s="412"/>
      <c r="C190" s="424" t="s">
        <v>85</v>
      </c>
      <c r="D190" s="425">
        <v>3.6077236149451002</v>
      </c>
      <c r="E190" s="425">
        <v>0</v>
      </c>
      <c r="F190" s="425">
        <v>501.78921834680801</v>
      </c>
      <c r="G190" s="425">
        <v>245.693429596068</v>
      </c>
      <c r="H190" s="425">
        <v>0</v>
      </c>
      <c r="I190" s="425">
        <v>0</v>
      </c>
      <c r="J190" s="425">
        <v>100.953430146991</v>
      </c>
      <c r="K190" s="425">
        <v>5.7048230389225099</v>
      </c>
      <c r="L190" s="425">
        <v>42.968242804260399</v>
      </c>
      <c r="M190" s="425">
        <v>20.346929012866902</v>
      </c>
      <c r="N190" s="425">
        <v>54.688192188589603</v>
      </c>
      <c r="O190" s="425">
        <v>2.9232551452796498</v>
      </c>
      <c r="P190" s="425">
        <v>443.53695503228198</v>
      </c>
      <c r="Q190" s="425">
        <v>60.172468837809603</v>
      </c>
      <c r="R190" s="425">
        <v>5.4472107181245502</v>
      </c>
      <c r="S190" s="425">
        <v>1487.8318784829501</v>
      </c>
      <c r="T190" s="412"/>
    </row>
    <row r="191" spans="2:20">
      <c r="B191" s="412"/>
      <c r="C191" s="412"/>
      <c r="D191" s="430">
        <f t="shared" ref="D191:S191" si="2">D190+D180-D166</f>
        <v>0</v>
      </c>
      <c r="E191" s="430">
        <f t="shared" si="2"/>
        <v>0</v>
      </c>
      <c r="F191" s="430">
        <f t="shared" si="2"/>
        <v>0</v>
      </c>
      <c r="G191" s="430">
        <f t="shared" si="2"/>
        <v>-9.1776934118229292E-2</v>
      </c>
      <c r="H191" s="430">
        <f t="shared" si="2"/>
        <v>0</v>
      </c>
      <c r="I191" s="430">
        <f t="shared" si="2"/>
        <v>0</v>
      </c>
      <c r="J191" s="430">
        <f t="shared" si="2"/>
        <v>0</v>
      </c>
      <c r="K191" s="430">
        <f t="shared" si="2"/>
        <v>0</v>
      </c>
      <c r="L191" s="430">
        <f t="shared" si="2"/>
        <v>4.8849813083506888E-14</v>
      </c>
      <c r="M191" s="430">
        <f t="shared" si="2"/>
        <v>9.1776934117648132E-2</v>
      </c>
      <c r="N191" s="430">
        <f t="shared" si="2"/>
        <v>0</v>
      </c>
      <c r="O191" s="430">
        <f t="shared" si="2"/>
        <v>0</v>
      </c>
      <c r="P191" s="430">
        <f t="shared" si="2"/>
        <v>-4.3343106881366111E-13</v>
      </c>
      <c r="Q191" s="430">
        <f t="shared" si="2"/>
        <v>0</v>
      </c>
      <c r="R191" s="430">
        <f t="shared" si="2"/>
        <v>0</v>
      </c>
      <c r="S191" s="430">
        <f t="shared" si="2"/>
        <v>0</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3.5">
      <c r="B193" s="416"/>
      <c r="C193" s="417" t="s">
        <v>88</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02" t="s">
        <v>128</v>
      </c>
      <c r="D195" s="703" t="s">
        <v>42</v>
      </c>
      <c r="E195" s="703" t="s">
        <v>52</v>
      </c>
      <c r="F195" s="703" t="s">
        <v>53</v>
      </c>
      <c r="G195" s="703" t="s">
        <v>32</v>
      </c>
      <c r="H195" s="703" t="s">
        <v>20</v>
      </c>
      <c r="I195" s="703" t="s">
        <v>55</v>
      </c>
      <c r="J195" s="703" t="s">
        <v>56</v>
      </c>
      <c r="K195" s="703"/>
      <c r="L195" s="703"/>
      <c r="M195" s="703"/>
      <c r="N195" s="703"/>
      <c r="O195" s="703"/>
      <c r="P195" s="703" t="s">
        <v>57</v>
      </c>
      <c r="Q195" s="703" t="s">
        <v>58</v>
      </c>
      <c r="R195" s="703" t="s">
        <v>31</v>
      </c>
      <c r="S195" s="703" t="s">
        <v>10</v>
      </c>
      <c r="T195" s="412"/>
    </row>
    <row r="196" spans="2:20" ht="57.5">
      <c r="B196" s="412"/>
      <c r="C196" s="702"/>
      <c r="D196" s="703"/>
      <c r="E196" s="703"/>
      <c r="F196" s="703"/>
      <c r="G196" s="703"/>
      <c r="H196" s="703"/>
      <c r="I196" s="703"/>
      <c r="J196" s="418" t="s">
        <v>338</v>
      </c>
      <c r="K196" s="418" t="s">
        <v>40</v>
      </c>
      <c r="L196" s="418" t="s">
        <v>346</v>
      </c>
      <c r="M196" s="418" t="s">
        <v>347</v>
      </c>
      <c r="N196" s="419" t="s">
        <v>348</v>
      </c>
      <c r="O196" s="418" t="s">
        <v>349</v>
      </c>
      <c r="P196" s="703"/>
      <c r="Q196" s="703"/>
      <c r="R196" s="703"/>
      <c r="S196" s="703"/>
      <c r="T196" s="412"/>
    </row>
    <row r="197" spans="2:20" ht="13.5">
      <c r="B197" s="412"/>
      <c r="C197" s="420" t="s">
        <v>59</v>
      </c>
      <c r="D197" s="421">
        <v>0</v>
      </c>
      <c r="E197" s="421">
        <v>9.7691999999999997</v>
      </c>
      <c r="F197" s="421">
        <v>0</v>
      </c>
      <c r="G197" s="421">
        <v>0.18608</v>
      </c>
      <c r="H197" s="422">
        <v>1069.3939393939399</v>
      </c>
      <c r="I197" s="422">
        <v>194.6</v>
      </c>
      <c r="J197" s="422">
        <v>224.66743134970599</v>
      </c>
      <c r="K197" s="422">
        <v>37.278607013832001</v>
      </c>
      <c r="L197" s="421">
        <v>0</v>
      </c>
      <c r="M197" s="421">
        <v>0</v>
      </c>
      <c r="N197" s="422">
        <v>60.333738532710498</v>
      </c>
      <c r="O197" s="422">
        <v>9.1855201728338205</v>
      </c>
      <c r="P197" s="421">
        <v>0</v>
      </c>
      <c r="Q197" s="421">
        <v>0</v>
      </c>
      <c r="R197" s="421">
        <v>0</v>
      </c>
      <c r="S197" s="423">
        <v>1605.4145164630199</v>
      </c>
      <c r="T197" s="412"/>
    </row>
    <row r="198" spans="2:20" ht="13.5">
      <c r="B198" s="412"/>
      <c r="C198" s="420" t="s">
        <v>60</v>
      </c>
      <c r="D198" s="421">
        <v>12.9193471516563</v>
      </c>
      <c r="E198" s="421">
        <v>409.19758903168002</v>
      </c>
      <c r="F198" s="421">
        <v>133.03147421440801</v>
      </c>
      <c r="G198" s="421">
        <v>297.822425417403</v>
      </c>
      <c r="H198" s="421">
        <v>0</v>
      </c>
      <c r="I198" s="421">
        <v>0</v>
      </c>
      <c r="J198" s="421">
        <v>0</v>
      </c>
      <c r="K198" s="421">
        <v>0</v>
      </c>
      <c r="L198" s="421">
        <v>0</v>
      </c>
      <c r="M198" s="421">
        <v>0</v>
      </c>
      <c r="N198" s="421">
        <v>0</v>
      </c>
      <c r="O198" s="421">
        <v>0</v>
      </c>
      <c r="P198" s="421">
        <v>0</v>
      </c>
      <c r="Q198" s="421">
        <v>0</v>
      </c>
      <c r="R198" s="421">
        <v>0</v>
      </c>
      <c r="S198" s="423">
        <v>852.97083581514801</v>
      </c>
      <c r="T198" s="412"/>
    </row>
    <row r="199" spans="2:20" ht="13.5">
      <c r="B199" s="412"/>
      <c r="C199" s="420" t="s">
        <v>61</v>
      </c>
      <c r="D199" s="421">
        <v>0</v>
      </c>
      <c r="E199" s="421">
        <v>0</v>
      </c>
      <c r="F199" s="421">
        <v>0</v>
      </c>
      <c r="G199" s="421">
        <v>0</v>
      </c>
      <c r="H199" s="421">
        <v>0</v>
      </c>
      <c r="I199" s="421">
        <v>0</v>
      </c>
      <c r="J199" s="421">
        <v>0</v>
      </c>
      <c r="K199" s="421">
        <v>0</v>
      </c>
      <c r="L199" s="421">
        <v>0</v>
      </c>
      <c r="M199" s="421">
        <v>0</v>
      </c>
      <c r="N199" s="421">
        <v>0</v>
      </c>
      <c r="O199" s="421">
        <v>0</v>
      </c>
      <c r="P199" s="421">
        <v>-48.935732553446002</v>
      </c>
      <c r="Q199" s="421">
        <v>0</v>
      </c>
      <c r="R199" s="421">
        <v>0</v>
      </c>
      <c r="S199" s="423">
        <v>-48.935732553446002</v>
      </c>
      <c r="T199" s="412"/>
    </row>
    <row r="200" spans="2:20" ht="13.5">
      <c r="B200" s="412"/>
      <c r="C200" s="420" t="s">
        <v>62</v>
      </c>
      <c r="D200" s="421">
        <v>0</v>
      </c>
      <c r="E200" s="421">
        <v>0</v>
      </c>
      <c r="F200" s="421">
        <v>-16.1142804846369</v>
      </c>
      <c r="G200" s="421">
        <v>-5.6182842749223999E-2</v>
      </c>
      <c r="H200" s="421">
        <v>0</v>
      </c>
      <c r="I200" s="421">
        <v>0</v>
      </c>
      <c r="J200" s="421">
        <v>0</v>
      </c>
      <c r="K200" s="421">
        <v>0</v>
      </c>
      <c r="L200" s="421">
        <v>0</v>
      </c>
      <c r="M200" s="421">
        <v>-6.2425380832471103E-3</v>
      </c>
      <c r="N200" s="421">
        <v>0</v>
      </c>
      <c r="O200" s="421">
        <v>0</v>
      </c>
      <c r="P200" s="421">
        <v>0</v>
      </c>
      <c r="Q200" s="421">
        <v>0</v>
      </c>
      <c r="R200" s="421">
        <v>0</v>
      </c>
      <c r="S200" s="423">
        <v>-16.176705865469401</v>
      </c>
      <c r="T200" s="412"/>
    </row>
    <row r="201" spans="2:20" ht="13.5">
      <c r="B201" s="412"/>
      <c r="C201" s="420" t="s">
        <v>63</v>
      </c>
      <c r="D201" s="421">
        <v>0</v>
      </c>
      <c r="E201" s="421">
        <v>0</v>
      </c>
      <c r="F201" s="421">
        <v>-74.686327904220704</v>
      </c>
      <c r="G201" s="421">
        <v>0</v>
      </c>
      <c r="H201" s="421">
        <v>0</v>
      </c>
      <c r="I201" s="421">
        <v>0</v>
      </c>
      <c r="J201" s="421">
        <v>0</v>
      </c>
      <c r="K201" s="421">
        <v>0</v>
      </c>
      <c r="L201" s="421">
        <v>-4.14190380795604</v>
      </c>
      <c r="M201" s="421">
        <v>0</v>
      </c>
      <c r="N201" s="421">
        <v>0</v>
      </c>
      <c r="O201" s="421">
        <v>0</v>
      </c>
      <c r="P201" s="421">
        <v>0</v>
      </c>
      <c r="Q201" s="421">
        <v>0</v>
      </c>
      <c r="R201" s="421">
        <v>0</v>
      </c>
      <c r="S201" s="423">
        <v>-78.828231712176802</v>
      </c>
      <c r="T201" s="412"/>
    </row>
    <row r="202" spans="2:20" ht="13.5">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ht="13.5">
      <c r="B203" s="412"/>
      <c r="C203" s="424" t="s">
        <v>65</v>
      </c>
      <c r="D203" s="425">
        <v>12.9193471516563</v>
      </c>
      <c r="E203" s="425">
        <v>418.96678903167998</v>
      </c>
      <c r="F203" s="425">
        <v>42.230865825550602</v>
      </c>
      <c r="G203" s="425">
        <v>297.95232257465398</v>
      </c>
      <c r="H203" s="425">
        <v>1069.3939393939399</v>
      </c>
      <c r="I203" s="425">
        <v>194.6</v>
      </c>
      <c r="J203" s="425">
        <v>224.66743134970599</v>
      </c>
      <c r="K203" s="425">
        <v>37.278607013832001</v>
      </c>
      <c r="L203" s="425">
        <v>-4.14190380795604</v>
      </c>
      <c r="M203" s="425">
        <v>-6.2425380832471103E-3</v>
      </c>
      <c r="N203" s="425">
        <v>60.333738532710498</v>
      </c>
      <c r="O203" s="425">
        <v>9.1855201728338205</v>
      </c>
      <c r="P203" s="425">
        <v>-48.935732553446002</v>
      </c>
      <c r="Q203" s="425">
        <v>0</v>
      </c>
      <c r="R203" s="425">
        <v>0</v>
      </c>
      <c r="S203" s="425">
        <v>2314.4446821470801</v>
      </c>
      <c r="T203" s="412"/>
    </row>
    <row r="204" spans="2:20" ht="13.5">
      <c r="B204" s="412"/>
      <c r="C204" s="426"/>
      <c r="D204" s="427"/>
      <c r="E204" s="427"/>
      <c r="F204" s="427"/>
      <c r="G204" s="427"/>
      <c r="H204" s="427"/>
      <c r="I204" s="427"/>
      <c r="J204" s="427"/>
      <c r="K204" s="427"/>
      <c r="L204" s="427"/>
      <c r="M204" s="427"/>
      <c r="N204" s="427"/>
      <c r="O204" s="427"/>
      <c r="P204" s="427"/>
      <c r="Q204" s="427"/>
      <c r="R204" s="427"/>
      <c r="S204" s="427"/>
      <c r="T204" s="412"/>
    </row>
    <row r="205" spans="2:20" ht="13.5">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ht="13.5">
      <c r="B206" s="412"/>
      <c r="C206" s="428" t="s">
        <v>350</v>
      </c>
      <c r="D206" s="421">
        <v>0</v>
      </c>
      <c r="E206" s="421">
        <v>0</v>
      </c>
      <c r="F206" s="421">
        <v>0</v>
      </c>
      <c r="G206" s="421">
        <v>45.490909090909099</v>
      </c>
      <c r="H206" s="421">
        <v>1069.3939393939399</v>
      </c>
      <c r="I206" s="421">
        <v>194.6</v>
      </c>
      <c r="J206" s="421">
        <v>21.1953851819035</v>
      </c>
      <c r="K206" s="421">
        <v>7.10523467058003</v>
      </c>
      <c r="L206" s="421">
        <v>0</v>
      </c>
      <c r="M206" s="421">
        <v>5.05454545454546</v>
      </c>
      <c r="N206" s="421">
        <v>0</v>
      </c>
      <c r="O206" s="421">
        <v>0</v>
      </c>
      <c r="P206" s="421">
        <v>-584.9</v>
      </c>
      <c r="Q206" s="421">
        <v>0</v>
      </c>
      <c r="R206" s="421">
        <v>0</v>
      </c>
      <c r="S206" s="429">
        <v>757.94001379187796</v>
      </c>
      <c r="T206" s="412"/>
    </row>
    <row r="207" spans="2:20" ht="13.5">
      <c r="B207" s="412"/>
      <c r="C207" s="428" t="s">
        <v>351</v>
      </c>
      <c r="D207" s="421">
        <v>0</v>
      </c>
      <c r="E207" s="421">
        <v>0</v>
      </c>
      <c r="F207" s="421">
        <v>0</v>
      </c>
      <c r="G207" s="421">
        <v>18.367871704671401</v>
      </c>
      <c r="H207" s="421">
        <v>0</v>
      </c>
      <c r="I207" s="421">
        <v>0</v>
      </c>
      <c r="J207" s="421">
        <v>26.005723960832299</v>
      </c>
      <c r="K207" s="421">
        <v>23.958493278557299</v>
      </c>
      <c r="L207" s="421">
        <v>0</v>
      </c>
      <c r="M207" s="421">
        <v>2.0408746338523698</v>
      </c>
      <c r="N207" s="421">
        <v>0</v>
      </c>
      <c r="O207" s="421">
        <v>5.8333443106277398</v>
      </c>
      <c r="P207" s="421">
        <v>0</v>
      </c>
      <c r="Q207" s="421">
        <v>-69.146331472283194</v>
      </c>
      <c r="R207" s="421">
        <v>0</v>
      </c>
      <c r="S207" s="429">
        <v>7.0599764162579399</v>
      </c>
      <c r="T207" s="412"/>
    </row>
    <row r="208" spans="2:20" ht="13.5">
      <c r="B208" s="412"/>
      <c r="C208" s="428" t="s">
        <v>352</v>
      </c>
      <c r="D208" s="421">
        <v>0</v>
      </c>
      <c r="E208" s="421">
        <v>0</v>
      </c>
      <c r="F208" s="421">
        <v>0</v>
      </c>
      <c r="G208" s="421">
        <v>0</v>
      </c>
      <c r="H208" s="421">
        <v>0</v>
      </c>
      <c r="I208" s="421">
        <v>0</v>
      </c>
      <c r="J208" s="421">
        <v>36.4293995794851</v>
      </c>
      <c r="K208" s="421">
        <v>0</v>
      </c>
      <c r="L208" s="421">
        <v>0</v>
      </c>
      <c r="M208" s="421">
        <v>-31.693577634152</v>
      </c>
      <c r="N208" s="421">
        <v>0</v>
      </c>
      <c r="O208" s="421">
        <v>0</v>
      </c>
      <c r="P208" s="421">
        <v>0</v>
      </c>
      <c r="Q208" s="421">
        <v>0</v>
      </c>
      <c r="R208" s="421">
        <v>0</v>
      </c>
      <c r="S208" s="429">
        <v>4.7358219453330603</v>
      </c>
      <c r="T208" s="412"/>
    </row>
    <row r="209" spans="2:20" ht="13.5">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ht="13.5">
      <c r="B210" s="412"/>
      <c r="C210" s="428" t="s">
        <v>72</v>
      </c>
      <c r="D210" s="421">
        <v>0</v>
      </c>
      <c r="E210" s="421">
        <v>434.00506451720099</v>
      </c>
      <c r="F210" s="421">
        <v>-429.66501387202902</v>
      </c>
      <c r="G210" s="421">
        <v>0</v>
      </c>
      <c r="H210" s="421">
        <v>0</v>
      </c>
      <c r="I210" s="421">
        <v>0</v>
      </c>
      <c r="J210" s="421">
        <v>0</v>
      </c>
      <c r="K210" s="421">
        <v>0</v>
      </c>
      <c r="L210" s="421">
        <v>0</v>
      </c>
      <c r="M210" s="421">
        <v>0</v>
      </c>
      <c r="N210" s="421">
        <v>0</v>
      </c>
      <c r="O210" s="421">
        <v>0</v>
      </c>
      <c r="P210" s="421">
        <v>0</v>
      </c>
      <c r="Q210" s="421">
        <v>0</v>
      </c>
      <c r="R210" s="421">
        <v>0</v>
      </c>
      <c r="S210" s="429">
        <v>4.3400506451720302</v>
      </c>
      <c r="T210" s="412"/>
    </row>
    <row r="211" spans="2:20" ht="13.5">
      <c r="B211" s="412"/>
      <c r="C211" s="428" t="s">
        <v>354</v>
      </c>
      <c r="D211" s="421">
        <v>0</v>
      </c>
      <c r="E211" s="421">
        <v>0</v>
      </c>
      <c r="F211" s="421">
        <v>0</v>
      </c>
      <c r="G211" s="421">
        <v>0</v>
      </c>
      <c r="H211" s="421">
        <v>0</v>
      </c>
      <c r="I211" s="421">
        <v>0</v>
      </c>
      <c r="J211" s="421">
        <v>42.6442412976646</v>
      </c>
      <c r="K211" s="421">
        <v>0</v>
      </c>
      <c r="L211" s="421">
        <v>-42.6442412976646</v>
      </c>
      <c r="M211" s="421">
        <v>0</v>
      </c>
      <c r="N211" s="421">
        <v>0</v>
      </c>
      <c r="O211" s="421">
        <v>0</v>
      </c>
      <c r="P211" s="421">
        <v>0</v>
      </c>
      <c r="Q211" s="421">
        <v>0</v>
      </c>
      <c r="R211" s="421">
        <v>0</v>
      </c>
      <c r="S211" s="429">
        <v>0</v>
      </c>
      <c r="T211" s="412"/>
    </row>
    <row r="212" spans="2:20" ht="13.5">
      <c r="B212" s="412"/>
      <c r="C212" s="428" t="s">
        <v>355</v>
      </c>
      <c r="D212" s="421">
        <v>0</v>
      </c>
      <c r="E212" s="421">
        <v>0</v>
      </c>
      <c r="F212" s="421">
        <v>0</v>
      </c>
      <c r="G212" s="421">
        <v>0</v>
      </c>
      <c r="H212" s="421">
        <v>0</v>
      </c>
      <c r="I212" s="421">
        <v>0</v>
      </c>
      <c r="J212" s="421">
        <v>0</v>
      </c>
      <c r="K212" s="421">
        <v>0</v>
      </c>
      <c r="L212" s="421">
        <v>-5.01027091961934</v>
      </c>
      <c r="M212" s="421">
        <v>0</v>
      </c>
      <c r="N212" s="421">
        <v>0</v>
      </c>
      <c r="O212" s="421">
        <v>0</v>
      </c>
      <c r="P212" s="421">
        <v>0</v>
      </c>
      <c r="Q212" s="421">
        <v>0</v>
      </c>
      <c r="R212" s="421">
        <v>7.15752988517049</v>
      </c>
      <c r="S212" s="429">
        <v>2.14725896555115</v>
      </c>
      <c r="T212" s="412"/>
    </row>
    <row r="213" spans="2:20" ht="13.5">
      <c r="B213" s="412"/>
      <c r="C213" s="428" t="s">
        <v>73</v>
      </c>
      <c r="D213" s="421">
        <v>0</v>
      </c>
      <c r="E213" s="421">
        <v>0</v>
      </c>
      <c r="F213" s="421">
        <v>0</v>
      </c>
      <c r="G213" s="421">
        <v>7.3296795740695702</v>
      </c>
      <c r="H213" s="421">
        <v>0</v>
      </c>
      <c r="I213" s="421">
        <v>0</v>
      </c>
      <c r="J213" s="421">
        <v>0</v>
      </c>
      <c r="K213" s="421">
        <v>0.208822779888022</v>
      </c>
      <c r="L213" s="421">
        <v>0</v>
      </c>
      <c r="M213" s="421">
        <v>0.81440884156328497</v>
      </c>
      <c r="N213" s="421">
        <v>0</v>
      </c>
      <c r="O213" s="421">
        <v>0</v>
      </c>
      <c r="P213" s="421">
        <v>13.4931642389183</v>
      </c>
      <c r="Q213" s="421">
        <v>0</v>
      </c>
      <c r="R213" s="421">
        <v>-14.617594592161501</v>
      </c>
      <c r="S213" s="429">
        <v>7.2284808422776798</v>
      </c>
      <c r="T213" s="412"/>
    </row>
    <row r="214" spans="2:20" ht="13.5">
      <c r="B214" s="412"/>
      <c r="C214" s="428" t="s">
        <v>356</v>
      </c>
      <c r="D214" s="421">
        <v>5.4641713867187498</v>
      </c>
      <c r="E214" s="421">
        <v>-15.038275485521</v>
      </c>
      <c r="F214" s="421">
        <v>19.669176096265801</v>
      </c>
      <c r="G214" s="421">
        <v>0</v>
      </c>
      <c r="H214" s="421">
        <v>0</v>
      </c>
      <c r="I214" s="421">
        <v>0</v>
      </c>
      <c r="J214" s="421">
        <v>0</v>
      </c>
      <c r="K214" s="421">
        <v>0</v>
      </c>
      <c r="L214" s="421">
        <v>0</v>
      </c>
      <c r="M214" s="421">
        <v>0</v>
      </c>
      <c r="N214" s="421">
        <v>0</v>
      </c>
      <c r="O214" s="421">
        <v>0</v>
      </c>
      <c r="P214" s="421">
        <v>0</v>
      </c>
      <c r="Q214" s="421">
        <v>0</v>
      </c>
      <c r="R214" s="421">
        <v>0</v>
      </c>
      <c r="S214" s="429">
        <v>10.095071997463499</v>
      </c>
      <c r="T214" s="412"/>
    </row>
    <row r="215" spans="2:20" ht="13.5">
      <c r="B215" s="412"/>
      <c r="C215" s="428" t="s">
        <v>75</v>
      </c>
      <c r="D215" s="421">
        <v>5.6084375</v>
      </c>
      <c r="E215" s="421">
        <v>0</v>
      </c>
      <c r="F215" s="421">
        <v>19.145306286774801</v>
      </c>
      <c r="G215" s="421">
        <v>5.0171964416224499</v>
      </c>
      <c r="H215" s="421">
        <v>0</v>
      </c>
      <c r="I215" s="421">
        <v>0</v>
      </c>
      <c r="J215" s="421">
        <v>0</v>
      </c>
      <c r="K215" s="421">
        <v>0</v>
      </c>
      <c r="L215" s="421">
        <v>0</v>
      </c>
      <c r="M215" s="421">
        <v>0.55746627129138404</v>
      </c>
      <c r="N215" s="421">
        <v>0</v>
      </c>
      <c r="O215" s="421">
        <v>0</v>
      </c>
      <c r="P215" s="421">
        <v>31.035454545454499</v>
      </c>
      <c r="Q215" s="421">
        <v>0</v>
      </c>
      <c r="R215" s="421">
        <v>0</v>
      </c>
      <c r="S215" s="429">
        <v>61.363861045143203</v>
      </c>
      <c r="T215" s="412"/>
    </row>
    <row r="216" spans="2:20" ht="13.5">
      <c r="B216" s="412"/>
      <c r="C216" s="428" t="s">
        <v>76</v>
      </c>
      <c r="D216" s="421">
        <v>0</v>
      </c>
      <c r="E216" s="421">
        <v>0</v>
      </c>
      <c r="F216" s="421">
        <v>0</v>
      </c>
      <c r="G216" s="421">
        <v>3.38231856174745</v>
      </c>
      <c r="H216" s="421">
        <v>0</v>
      </c>
      <c r="I216" s="421">
        <v>0</v>
      </c>
      <c r="J216" s="421">
        <v>0</v>
      </c>
      <c r="K216" s="421">
        <v>0</v>
      </c>
      <c r="L216" s="421">
        <v>0</v>
      </c>
      <c r="M216" s="421">
        <v>0.37581317352749399</v>
      </c>
      <c r="N216" s="421">
        <v>0</v>
      </c>
      <c r="O216" s="421">
        <v>0</v>
      </c>
      <c r="P216" s="421">
        <v>41.075747181961198</v>
      </c>
      <c r="Q216" s="421">
        <v>5.3582028078153003</v>
      </c>
      <c r="R216" s="421">
        <v>0</v>
      </c>
      <c r="S216" s="429">
        <v>50.192081725051402</v>
      </c>
      <c r="T216" s="412"/>
    </row>
    <row r="217" spans="2:20" ht="13.5">
      <c r="B217" s="412"/>
      <c r="C217" s="424" t="s">
        <v>77</v>
      </c>
      <c r="D217" s="425">
        <v>11.0726088867188</v>
      </c>
      <c r="E217" s="425">
        <v>418.96678903167998</v>
      </c>
      <c r="F217" s="425">
        <v>-390.850531488988</v>
      </c>
      <c r="G217" s="425">
        <v>79.587975373019901</v>
      </c>
      <c r="H217" s="425">
        <v>1069.3939393939399</v>
      </c>
      <c r="I217" s="425">
        <v>194.6</v>
      </c>
      <c r="J217" s="425">
        <v>126.274750019886</v>
      </c>
      <c r="K217" s="425">
        <v>31.272550729025401</v>
      </c>
      <c r="L217" s="425">
        <v>-47.654512217284001</v>
      </c>
      <c r="M217" s="425">
        <v>-22.850469259372002</v>
      </c>
      <c r="N217" s="425">
        <v>0</v>
      </c>
      <c r="O217" s="425">
        <v>5.8333443106277398</v>
      </c>
      <c r="P217" s="425">
        <v>-499.29563403366598</v>
      </c>
      <c r="Q217" s="425">
        <v>-63.788128664467799</v>
      </c>
      <c r="R217" s="425">
        <v>-7.46006470699104</v>
      </c>
      <c r="S217" s="425">
        <v>905.10261737412702</v>
      </c>
      <c r="T217" s="412"/>
    </row>
    <row r="218" spans="2:20" ht="13.5">
      <c r="B218" s="412"/>
      <c r="C218" s="426"/>
      <c r="D218" s="427"/>
      <c r="E218" s="427"/>
      <c r="F218" s="427"/>
      <c r="G218" s="427"/>
      <c r="H218" s="427"/>
      <c r="I218" s="427"/>
      <c r="J218" s="427"/>
      <c r="K218" s="427"/>
      <c r="L218" s="427"/>
      <c r="M218" s="427"/>
      <c r="N218" s="427"/>
      <c r="O218" s="427"/>
      <c r="P218" s="427"/>
      <c r="Q218" s="427"/>
      <c r="R218" s="427"/>
      <c r="S218" s="427"/>
      <c r="T218" s="412"/>
    </row>
    <row r="219" spans="2:20" ht="13.5">
      <c r="B219" s="412"/>
      <c r="C219" s="428" t="s">
        <v>78</v>
      </c>
      <c r="D219" s="421">
        <v>1.03859638261328</v>
      </c>
      <c r="E219" s="421">
        <v>0</v>
      </c>
      <c r="F219" s="421">
        <v>16.1500825446474</v>
      </c>
      <c r="G219" s="421">
        <v>83.563747634312705</v>
      </c>
      <c r="H219" s="421">
        <v>0</v>
      </c>
      <c r="I219" s="421">
        <v>0</v>
      </c>
      <c r="J219" s="421">
        <v>16.030232994230801</v>
      </c>
      <c r="K219" s="421">
        <v>6.0060562848066503</v>
      </c>
      <c r="L219" s="421">
        <v>1.13006109375</v>
      </c>
      <c r="M219" s="421">
        <v>9.2848608482569706</v>
      </c>
      <c r="N219" s="421">
        <v>0</v>
      </c>
      <c r="O219" s="421">
        <v>0</v>
      </c>
      <c r="P219" s="421">
        <v>129.219891687043</v>
      </c>
      <c r="Q219" s="421">
        <v>21.558357485670999</v>
      </c>
      <c r="R219" s="421">
        <v>4.7486479492187499</v>
      </c>
      <c r="S219" s="429">
        <v>288.73053490454998</v>
      </c>
      <c r="T219" s="412"/>
    </row>
    <row r="220" spans="2:20" ht="13.5">
      <c r="B220" s="412"/>
      <c r="C220" s="428" t="s">
        <v>79</v>
      </c>
      <c r="D220" s="421">
        <v>0</v>
      </c>
      <c r="E220" s="421">
        <v>0</v>
      </c>
      <c r="F220" s="421">
        <v>260.38152614699999</v>
      </c>
      <c r="G220" s="421">
        <v>13.227335330391099</v>
      </c>
      <c r="H220" s="421">
        <v>0</v>
      </c>
      <c r="I220" s="421">
        <v>0</v>
      </c>
      <c r="J220" s="421">
        <v>0</v>
      </c>
      <c r="K220" s="421">
        <v>0</v>
      </c>
      <c r="L220" s="421">
        <v>36.694869102590701</v>
      </c>
      <c r="M220" s="421">
        <v>1.4697039255990101</v>
      </c>
      <c r="N220" s="421">
        <v>0</v>
      </c>
      <c r="O220" s="421">
        <v>0</v>
      </c>
      <c r="P220" s="421">
        <v>34.263242158281798</v>
      </c>
      <c r="Q220" s="421">
        <v>0</v>
      </c>
      <c r="R220" s="421">
        <v>0.81877289536698405</v>
      </c>
      <c r="S220" s="429">
        <v>346.85544955923001</v>
      </c>
      <c r="T220" s="412"/>
    </row>
    <row r="221" spans="2:20" ht="13.5">
      <c r="B221" s="412"/>
      <c r="C221" s="428" t="s">
        <v>80</v>
      </c>
      <c r="D221" s="421">
        <v>0</v>
      </c>
      <c r="E221" s="421">
        <v>0</v>
      </c>
      <c r="F221" s="421">
        <v>2.13754421564302</v>
      </c>
      <c r="G221" s="421">
        <v>67.740322251067198</v>
      </c>
      <c r="H221" s="421">
        <v>0</v>
      </c>
      <c r="I221" s="421">
        <v>0</v>
      </c>
      <c r="J221" s="421">
        <v>73.053420010681904</v>
      </c>
      <c r="K221" s="421">
        <v>0</v>
      </c>
      <c r="L221" s="421">
        <v>0</v>
      </c>
      <c r="M221" s="421">
        <v>7.5267024723407996</v>
      </c>
      <c r="N221" s="421">
        <v>46.226951794574703</v>
      </c>
      <c r="O221" s="421">
        <v>0.96354458163837398</v>
      </c>
      <c r="P221" s="421">
        <v>157.585357886932</v>
      </c>
      <c r="Q221" s="421">
        <v>33.684325992585798</v>
      </c>
      <c r="R221" s="421">
        <v>0</v>
      </c>
      <c r="S221" s="429">
        <v>388.91816920546398</v>
      </c>
      <c r="T221" s="412"/>
    </row>
    <row r="222" spans="2:20" ht="13.5">
      <c r="B222" s="412"/>
      <c r="C222" s="428" t="s">
        <v>81</v>
      </c>
      <c r="D222" s="421">
        <v>0</v>
      </c>
      <c r="E222" s="421">
        <v>0</v>
      </c>
      <c r="F222" s="421">
        <v>3.4730330288595899</v>
      </c>
      <c r="G222" s="421">
        <v>38.938580924166203</v>
      </c>
      <c r="H222" s="421">
        <v>0</v>
      </c>
      <c r="I222" s="421">
        <v>0</v>
      </c>
      <c r="J222" s="421">
        <v>7.8602291254253398</v>
      </c>
      <c r="K222" s="421">
        <v>0</v>
      </c>
      <c r="L222" s="421">
        <v>0</v>
      </c>
      <c r="M222" s="421">
        <v>4.3265089915740296</v>
      </c>
      <c r="N222" s="421">
        <v>14.106786738135799</v>
      </c>
      <c r="O222" s="421">
        <v>1.76344671086954</v>
      </c>
      <c r="P222" s="421">
        <v>120.74944434573899</v>
      </c>
      <c r="Q222" s="421">
        <v>8.5454451862110297</v>
      </c>
      <c r="R222" s="421">
        <v>0</v>
      </c>
      <c r="S222" s="429">
        <v>199.76347505098099</v>
      </c>
      <c r="T222" s="412"/>
    </row>
    <row r="223" spans="2:20" ht="13.5">
      <c r="B223" s="412"/>
      <c r="C223" s="428" t="s">
        <v>82</v>
      </c>
      <c r="D223" s="421">
        <v>0</v>
      </c>
      <c r="E223" s="421">
        <v>0</v>
      </c>
      <c r="F223" s="421">
        <v>25.7144401275857</v>
      </c>
      <c r="G223" s="421">
        <v>2.1280543516616701</v>
      </c>
      <c r="H223" s="421">
        <v>0</v>
      </c>
      <c r="I223" s="421">
        <v>0</v>
      </c>
      <c r="J223" s="421">
        <v>1.4487991994827001</v>
      </c>
      <c r="K223" s="421">
        <v>0</v>
      </c>
      <c r="L223" s="421">
        <v>5.3355985499012704</v>
      </c>
      <c r="M223" s="421">
        <v>0.23645048351796299</v>
      </c>
      <c r="N223" s="421">
        <v>0</v>
      </c>
      <c r="O223" s="421">
        <v>0.62518456969816005</v>
      </c>
      <c r="P223" s="421">
        <v>7.74196540222413</v>
      </c>
      <c r="Q223" s="421">
        <v>0</v>
      </c>
      <c r="R223" s="421">
        <v>0.17366238047171101</v>
      </c>
      <c r="S223" s="429">
        <v>43.404155064543303</v>
      </c>
      <c r="T223" s="412"/>
    </row>
    <row r="224" spans="2:20" ht="13.5">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0.8</v>
      </c>
      <c r="Q224" s="421">
        <v>0</v>
      </c>
      <c r="R224" s="421">
        <v>0</v>
      </c>
      <c r="S224" s="429">
        <v>0.8</v>
      </c>
      <c r="T224" s="412"/>
    </row>
    <row r="225" spans="2:20" ht="13.5">
      <c r="B225" s="412"/>
      <c r="C225" s="424" t="s">
        <v>83</v>
      </c>
      <c r="D225" s="425">
        <v>1.03859638261328</v>
      </c>
      <c r="E225" s="425">
        <v>0</v>
      </c>
      <c r="F225" s="425">
        <v>307.85662606373597</v>
      </c>
      <c r="G225" s="425">
        <v>205.59804049159899</v>
      </c>
      <c r="H225" s="425">
        <v>0</v>
      </c>
      <c r="I225" s="425">
        <v>0</v>
      </c>
      <c r="J225" s="425">
        <v>98.392681329820704</v>
      </c>
      <c r="K225" s="425">
        <v>6.0060562848066503</v>
      </c>
      <c r="L225" s="425">
        <v>43.160528746242001</v>
      </c>
      <c r="M225" s="425">
        <v>22.844226721288798</v>
      </c>
      <c r="N225" s="425">
        <v>60.333738532710498</v>
      </c>
      <c r="O225" s="425">
        <v>3.35217586220607</v>
      </c>
      <c r="P225" s="425">
        <v>450.35990148022</v>
      </c>
      <c r="Q225" s="425">
        <v>63.788128664467799</v>
      </c>
      <c r="R225" s="425">
        <v>5.74108322505744</v>
      </c>
      <c r="S225" s="425">
        <v>1268.47178378477</v>
      </c>
      <c r="T225" s="412"/>
    </row>
    <row r="226" spans="2:20" ht="13.5">
      <c r="B226" s="412"/>
      <c r="C226" s="420" t="s">
        <v>84</v>
      </c>
      <c r="D226" s="421">
        <v>0.80814188232421902</v>
      </c>
      <c r="E226" s="421">
        <v>0</v>
      </c>
      <c r="F226" s="421">
        <v>125.224771250803</v>
      </c>
      <c r="G226" s="421">
        <v>12.7663067100353</v>
      </c>
      <c r="H226" s="421">
        <v>0</v>
      </c>
      <c r="I226" s="421">
        <v>0</v>
      </c>
      <c r="J226" s="421">
        <v>0</v>
      </c>
      <c r="K226" s="421">
        <v>0</v>
      </c>
      <c r="L226" s="421">
        <v>0.35207966308593802</v>
      </c>
      <c r="M226" s="421">
        <v>0</v>
      </c>
      <c r="N226" s="421">
        <v>0</v>
      </c>
      <c r="O226" s="421">
        <v>0</v>
      </c>
      <c r="P226" s="421">
        <v>0</v>
      </c>
      <c r="Q226" s="421">
        <v>0</v>
      </c>
      <c r="R226" s="421">
        <v>1.71898148193359</v>
      </c>
      <c r="S226" s="429">
        <v>140.870280988182</v>
      </c>
      <c r="T226" s="412"/>
    </row>
    <row r="227" spans="2:20" ht="13.5">
      <c r="B227" s="412"/>
      <c r="C227" s="424" t="s">
        <v>85</v>
      </c>
      <c r="D227" s="425">
        <v>1.8467382649374999</v>
      </c>
      <c r="E227" s="425">
        <v>0</v>
      </c>
      <c r="F227" s="425">
        <v>433.081397314539</v>
      </c>
      <c r="G227" s="425">
        <v>218.36434720163399</v>
      </c>
      <c r="H227" s="425">
        <v>0</v>
      </c>
      <c r="I227" s="425">
        <v>0</v>
      </c>
      <c r="J227" s="425">
        <v>98.392681329820704</v>
      </c>
      <c r="K227" s="425">
        <v>6.0060562848066503</v>
      </c>
      <c r="L227" s="425">
        <v>43.512608409327903</v>
      </c>
      <c r="M227" s="425">
        <v>22.844226721288798</v>
      </c>
      <c r="N227" s="425">
        <v>60.333738532710498</v>
      </c>
      <c r="O227" s="425">
        <v>3.35217586220607</v>
      </c>
      <c r="P227" s="425">
        <v>450.35990148022</v>
      </c>
      <c r="Q227" s="425">
        <v>63.788128664467799</v>
      </c>
      <c r="R227" s="425">
        <v>7.46006470699104</v>
      </c>
      <c r="S227" s="425">
        <v>1409.3420647729499</v>
      </c>
      <c r="T227" s="412"/>
    </row>
    <row r="228" spans="2:20">
      <c r="B228" s="412"/>
      <c r="C228" s="412"/>
      <c r="D228" s="430">
        <f t="shared" ref="D228:S228" si="3">D227+D217-D203</f>
        <v>0</v>
      </c>
      <c r="E228" s="430">
        <f t="shared" si="3"/>
        <v>0</v>
      </c>
      <c r="F228" s="430">
        <f t="shared" si="3"/>
        <v>4.0500935938325711E-13</v>
      </c>
      <c r="G228" s="430">
        <f t="shared" si="3"/>
        <v>0</v>
      </c>
      <c r="H228" s="430">
        <f t="shared" si="3"/>
        <v>0</v>
      </c>
      <c r="I228" s="430">
        <f t="shared" si="3"/>
        <v>0</v>
      </c>
      <c r="J228" s="430">
        <f t="shared" si="3"/>
        <v>7.1054273576010019E-13</v>
      </c>
      <c r="K228" s="430">
        <f t="shared" si="3"/>
        <v>0</v>
      </c>
      <c r="L228" s="430">
        <f t="shared" si="3"/>
        <v>-5.773159728050814E-14</v>
      </c>
      <c r="M228" s="430">
        <f t="shared" si="3"/>
        <v>4.3924065773470744E-14</v>
      </c>
      <c r="N228" s="430">
        <f t="shared" si="3"/>
        <v>0</v>
      </c>
      <c r="O228" s="430">
        <f t="shared" si="3"/>
        <v>0</v>
      </c>
      <c r="P228" s="430">
        <f t="shared" si="3"/>
        <v>0</v>
      </c>
      <c r="Q228" s="430">
        <f t="shared" si="3"/>
        <v>0</v>
      </c>
      <c r="R228" s="430">
        <f t="shared" si="3"/>
        <v>0</v>
      </c>
      <c r="S228" s="430">
        <f t="shared" si="3"/>
        <v>0</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3.5">
      <c r="B230" s="416"/>
      <c r="C230" s="417" t="s">
        <v>360</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02" t="s">
        <v>128</v>
      </c>
      <c r="D232" s="703" t="s">
        <v>42</v>
      </c>
      <c r="E232" s="703" t="s">
        <v>52</v>
      </c>
      <c r="F232" s="703" t="s">
        <v>53</v>
      </c>
      <c r="G232" s="703" t="s">
        <v>32</v>
      </c>
      <c r="H232" s="703" t="s">
        <v>20</v>
      </c>
      <c r="I232" s="703" t="s">
        <v>55</v>
      </c>
      <c r="J232" s="703" t="s">
        <v>56</v>
      </c>
      <c r="K232" s="703"/>
      <c r="L232" s="703"/>
      <c r="M232" s="703"/>
      <c r="N232" s="703"/>
      <c r="O232" s="703"/>
      <c r="P232" s="703" t="s">
        <v>57</v>
      </c>
      <c r="Q232" s="703" t="s">
        <v>58</v>
      </c>
      <c r="R232" s="703" t="s">
        <v>31</v>
      </c>
      <c r="S232" s="703" t="s">
        <v>10</v>
      </c>
      <c r="T232" s="412"/>
    </row>
    <row r="233" spans="2:20" ht="57.5">
      <c r="B233" s="412"/>
      <c r="C233" s="702"/>
      <c r="D233" s="703"/>
      <c r="E233" s="703"/>
      <c r="F233" s="703"/>
      <c r="G233" s="703"/>
      <c r="H233" s="703"/>
      <c r="I233" s="703"/>
      <c r="J233" s="418" t="s">
        <v>338</v>
      </c>
      <c r="K233" s="418" t="s">
        <v>40</v>
      </c>
      <c r="L233" s="418" t="s">
        <v>346</v>
      </c>
      <c r="M233" s="418" t="s">
        <v>347</v>
      </c>
      <c r="N233" s="419" t="s">
        <v>348</v>
      </c>
      <c r="O233" s="418" t="s">
        <v>349</v>
      </c>
      <c r="P233" s="703"/>
      <c r="Q233" s="703"/>
      <c r="R233" s="703"/>
      <c r="S233" s="703"/>
      <c r="T233" s="412"/>
    </row>
    <row r="234" spans="2:20" ht="13.5">
      <c r="B234" s="412"/>
      <c r="C234" s="420" t="s">
        <v>59</v>
      </c>
      <c r="D234" s="421">
        <v>0</v>
      </c>
      <c r="E234" s="421">
        <v>7.3966799999999999</v>
      </c>
      <c r="F234" s="421">
        <v>0</v>
      </c>
      <c r="G234" s="421">
        <v>0.13025600000000001</v>
      </c>
      <c r="H234" s="422">
        <v>1024.3939393939399</v>
      </c>
      <c r="I234" s="422">
        <v>225.38</v>
      </c>
      <c r="J234" s="422">
        <v>249.411773964681</v>
      </c>
      <c r="K234" s="422">
        <v>38.123330465500104</v>
      </c>
      <c r="L234" s="421">
        <v>0</v>
      </c>
      <c r="M234" s="421">
        <v>0</v>
      </c>
      <c r="N234" s="422">
        <v>69.623642523263698</v>
      </c>
      <c r="O234" s="422">
        <v>11.4063956350667</v>
      </c>
      <c r="P234" s="421">
        <v>0</v>
      </c>
      <c r="Q234" s="421">
        <v>0</v>
      </c>
      <c r="R234" s="421">
        <v>0</v>
      </c>
      <c r="S234" s="423">
        <v>1625.8660179824501</v>
      </c>
      <c r="T234" s="412"/>
    </row>
    <row r="235" spans="2:20" ht="13.5">
      <c r="B235" s="412"/>
      <c r="C235" s="420" t="s">
        <v>60</v>
      </c>
      <c r="D235" s="421">
        <v>11.0699461599751</v>
      </c>
      <c r="E235" s="421">
        <v>365.76498082844302</v>
      </c>
      <c r="F235" s="421">
        <v>76.623972898719799</v>
      </c>
      <c r="G235" s="421">
        <v>256.70615603413501</v>
      </c>
      <c r="H235" s="421">
        <v>0</v>
      </c>
      <c r="I235" s="421">
        <v>0</v>
      </c>
      <c r="J235" s="421">
        <v>0</v>
      </c>
      <c r="K235" s="421">
        <v>0</v>
      </c>
      <c r="L235" s="421">
        <v>0</v>
      </c>
      <c r="M235" s="421">
        <v>0</v>
      </c>
      <c r="N235" s="421">
        <v>0</v>
      </c>
      <c r="O235" s="421">
        <v>0</v>
      </c>
      <c r="P235" s="421">
        <v>0</v>
      </c>
      <c r="Q235" s="421">
        <v>0</v>
      </c>
      <c r="R235" s="421">
        <v>0</v>
      </c>
      <c r="S235" s="423">
        <v>710.16505592127305</v>
      </c>
      <c r="T235" s="412"/>
    </row>
    <row r="236" spans="2:20" ht="13.5">
      <c r="B236" s="412"/>
      <c r="C236" s="420" t="s">
        <v>61</v>
      </c>
      <c r="D236" s="421">
        <v>0</v>
      </c>
      <c r="E236" s="421">
        <v>0</v>
      </c>
      <c r="F236" s="421">
        <v>0</v>
      </c>
      <c r="G236" s="421">
        <v>0</v>
      </c>
      <c r="H236" s="421">
        <v>0</v>
      </c>
      <c r="I236" s="421">
        <v>0</v>
      </c>
      <c r="J236" s="421">
        <v>0</v>
      </c>
      <c r="K236" s="421">
        <v>0</v>
      </c>
      <c r="L236" s="421">
        <v>0</v>
      </c>
      <c r="M236" s="421">
        <v>0</v>
      </c>
      <c r="N236" s="421">
        <v>0</v>
      </c>
      <c r="O236" s="421">
        <v>0</v>
      </c>
      <c r="P236" s="421">
        <v>-21.729292917443001</v>
      </c>
      <c r="Q236" s="421">
        <v>0</v>
      </c>
      <c r="R236" s="421">
        <v>0</v>
      </c>
      <c r="S236" s="423">
        <v>-21.729292917443001</v>
      </c>
      <c r="T236" s="412"/>
    </row>
    <row r="237" spans="2:20" ht="13.5">
      <c r="B237" s="412"/>
      <c r="C237" s="420" t="s">
        <v>62</v>
      </c>
      <c r="D237" s="421">
        <v>0</v>
      </c>
      <c r="E237" s="421">
        <v>0</v>
      </c>
      <c r="F237" s="421">
        <v>-14.2084330221338</v>
      </c>
      <c r="G237" s="421">
        <v>-0.95675088928507901</v>
      </c>
      <c r="H237" s="421">
        <v>0</v>
      </c>
      <c r="I237" s="421">
        <v>0</v>
      </c>
      <c r="J237" s="421">
        <v>0</v>
      </c>
      <c r="K237" s="421">
        <v>0</v>
      </c>
      <c r="L237" s="421">
        <v>0</v>
      </c>
      <c r="M237" s="421">
        <v>-0.167369559736603</v>
      </c>
      <c r="N237" s="421">
        <v>0</v>
      </c>
      <c r="O237" s="421">
        <v>0</v>
      </c>
      <c r="P237" s="421">
        <v>0</v>
      </c>
      <c r="Q237" s="421">
        <v>0</v>
      </c>
      <c r="R237" s="421">
        <v>0</v>
      </c>
      <c r="S237" s="423">
        <v>-15.332553471155499</v>
      </c>
      <c r="T237" s="412"/>
    </row>
    <row r="238" spans="2:20" ht="13.5">
      <c r="B238" s="412"/>
      <c r="C238" s="420" t="s">
        <v>63</v>
      </c>
      <c r="D238" s="421">
        <v>0</v>
      </c>
      <c r="E238" s="421">
        <v>0</v>
      </c>
      <c r="F238" s="421">
        <v>-66.313833146582994</v>
      </c>
      <c r="G238" s="421">
        <v>0</v>
      </c>
      <c r="H238" s="421">
        <v>0</v>
      </c>
      <c r="I238" s="421">
        <v>0</v>
      </c>
      <c r="J238" s="421">
        <v>0</v>
      </c>
      <c r="K238" s="421">
        <v>0</v>
      </c>
      <c r="L238" s="421">
        <v>-11.3748641642475</v>
      </c>
      <c r="M238" s="421">
        <v>0</v>
      </c>
      <c r="N238" s="421">
        <v>0</v>
      </c>
      <c r="O238" s="421">
        <v>0</v>
      </c>
      <c r="P238" s="421">
        <v>0</v>
      </c>
      <c r="Q238" s="421">
        <v>0</v>
      </c>
      <c r="R238" s="421">
        <v>0</v>
      </c>
      <c r="S238" s="423">
        <v>-77.688697310830506</v>
      </c>
      <c r="T238" s="412"/>
    </row>
    <row r="239" spans="2:20" ht="13.5">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ht="13.5">
      <c r="B240" s="412"/>
      <c r="C240" s="424" t="s">
        <v>65</v>
      </c>
      <c r="D240" s="425">
        <v>11.0699461599751</v>
      </c>
      <c r="E240" s="425">
        <v>373.16166082844302</v>
      </c>
      <c r="F240" s="425">
        <v>-3.8982932699969699</v>
      </c>
      <c r="G240" s="425">
        <v>255.87966114484999</v>
      </c>
      <c r="H240" s="425">
        <v>1024.3939393939399</v>
      </c>
      <c r="I240" s="425">
        <v>225.38</v>
      </c>
      <c r="J240" s="425">
        <v>249.411773964681</v>
      </c>
      <c r="K240" s="425">
        <v>38.123330465500104</v>
      </c>
      <c r="L240" s="425">
        <v>-11.3748641642475</v>
      </c>
      <c r="M240" s="425">
        <v>-0.167369559736603</v>
      </c>
      <c r="N240" s="425">
        <v>69.623642523263698</v>
      </c>
      <c r="O240" s="425">
        <v>11.4063956350667</v>
      </c>
      <c r="P240" s="425">
        <v>-21.729292917443001</v>
      </c>
      <c r="Q240" s="425">
        <v>0</v>
      </c>
      <c r="R240" s="425">
        <v>0</v>
      </c>
      <c r="S240" s="425">
        <v>2221.2805302042998</v>
      </c>
      <c r="T240" s="412"/>
    </row>
    <row r="241" spans="2:20" ht="13.5">
      <c r="B241" s="412"/>
      <c r="C241" s="426"/>
      <c r="D241" s="427"/>
      <c r="E241" s="427"/>
      <c r="F241" s="427"/>
      <c r="G241" s="427"/>
      <c r="H241" s="427"/>
      <c r="I241" s="427"/>
      <c r="J241" s="427"/>
      <c r="K241" s="427"/>
      <c r="L241" s="427"/>
      <c r="M241" s="427"/>
      <c r="N241" s="427"/>
      <c r="O241" s="427"/>
      <c r="P241" s="427"/>
      <c r="Q241" s="427"/>
      <c r="R241" s="427"/>
      <c r="S241" s="427"/>
      <c r="T241" s="412"/>
    </row>
    <row r="242" spans="2:20" ht="13.5">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ht="13.5">
      <c r="B243" s="412"/>
      <c r="C243" s="428" t="s">
        <v>350</v>
      </c>
      <c r="D243" s="421">
        <v>0</v>
      </c>
      <c r="E243" s="421">
        <v>0</v>
      </c>
      <c r="F243" s="421">
        <v>0</v>
      </c>
      <c r="G243" s="421">
        <v>32.755695067264597</v>
      </c>
      <c r="H243" s="421">
        <v>1024.3939393939399</v>
      </c>
      <c r="I243" s="421">
        <v>225.38</v>
      </c>
      <c r="J243" s="421">
        <v>19.8875173501633</v>
      </c>
      <c r="K243" s="421">
        <v>6.3668985415530699</v>
      </c>
      <c r="L243" s="421">
        <v>0</v>
      </c>
      <c r="M243" s="421">
        <v>4.8945291479820598</v>
      </c>
      <c r="N243" s="421">
        <v>0</v>
      </c>
      <c r="O243" s="421">
        <v>0</v>
      </c>
      <c r="P243" s="421">
        <v>-594.08000000000004</v>
      </c>
      <c r="Q243" s="421">
        <v>0</v>
      </c>
      <c r="R243" s="421">
        <v>1.425</v>
      </c>
      <c r="S243" s="429">
        <v>721.02357950090197</v>
      </c>
      <c r="T243" s="412"/>
    </row>
    <row r="244" spans="2:20" ht="13.5">
      <c r="B244" s="412"/>
      <c r="C244" s="428" t="s">
        <v>351</v>
      </c>
      <c r="D244" s="421">
        <v>0</v>
      </c>
      <c r="E244" s="421">
        <v>0</v>
      </c>
      <c r="F244" s="421">
        <v>0</v>
      </c>
      <c r="G244" s="421">
        <v>16.944127998060999</v>
      </c>
      <c r="H244" s="421">
        <v>0</v>
      </c>
      <c r="I244" s="421">
        <v>0</v>
      </c>
      <c r="J244" s="421">
        <v>27.801582142602999</v>
      </c>
      <c r="K244" s="421">
        <v>25.484218291937999</v>
      </c>
      <c r="L244" s="421">
        <v>0</v>
      </c>
      <c r="M244" s="421">
        <v>2.5318811951125699</v>
      </c>
      <c r="N244" s="421">
        <v>0</v>
      </c>
      <c r="O244" s="421">
        <v>7.47026455928955</v>
      </c>
      <c r="P244" s="421">
        <v>0</v>
      </c>
      <c r="Q244" s="421">
        <v>-73.132276024870606</v>
      </c>
      <c r="R244" s="421">
        <v>0</v>
      </c>
      <c r="S244" s="429">
        <v>7.09979816213355</v>
      </c>
      <c r="T244" s="412"/>
    </row>
    <row r="245" spans="2:20" ht="13.5">
      <c r="B245" s="412"/>
      <c r="C245" s="428" t="s">
        <v>352</v>
      </c>
      <c r="D245" s="421">
        <v>0</v>
      </c>
      <c r="E245" s="421">
        <v>0</v>
      </c>
      <c r="F245" s="421">
        <v>0</v>
      </c>
      <c r="G245" s="421">
        <v>0</v>
      </c>
      <c r="H245" s="421">
        <v>0</v>
      </c>
      <c r="I245" s="421">
        <v>0</v>
      </c>
      <c r="J245" s="421">
        <v>41.569838696258103</v>
      </c>
      <c r="K245" s="421">
        <v>0</v>
      </c>
      <c r="L245" s="421">
        <v>0</v>
      </c>
      <c r="M245" s="421">
        <v>-36.695775109121797</v>
      </c>
      <c r="N245" s="421">
        <v>0</v>
      </c>
      <c r="O245" s="421">
        <v>0</v>
      </c>
      <c r="P245" s="421">
        <v>0</v>
      </c>
      <c r="Q245" s="421">
        <v>0</v>
      </c>
      <c r="R245" s="421">
        <v>0</v>
      </c>
      <c r="S245" s="429">
        <v>4.8740635871362601</v>
      </c>
      <c r="T245" s="412"/>
    </row>
    <row r="246" spans="2:20" ht="13.5">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ht="13.5">
      <c r="B247" s="412"/>
      <c r="C247" s="428" t="s">
        <v>72</v>
      </c>
      <c r="D247" s="421">
        <v>0</v>
      </c>
      <c r="E247" s="421">
        <v>386.55581999113599</v>
      </c>
      <c r="F247" s="421">
        <v>-382.69026179122397</v>
      </c>
      <c r="G247" s="421">
        <v>0</v>
      </c>
      <c r="H247" s="421">
        <v>0</v>
      </c>
      <c r="I247" s="421">
        <v>0</v>
      </c>
      <c r="J247" s="421">
        <v>0</v>
      </c>
      <c r="K247" s="421">
        <v>0</v>
      </c>
      <c r="L247" s="421">
        <v>0</v>
      </c>
      <c r="M247" s="421">
        <v>0</v>
      </c>
      <c r="N247" s="421">
        <v>0</v>
      </c>
      <c r="O247" s="421">
        <v>0</v>
      </c>
      <c r="P247" s="421">
        <v>0</v>
      </c>
      <c r="Q247" s="421">
        <v>0</v>
      </c>
      <c r="R247" s="421">
        <v>0</v>
      </c>
      <c r="S247" s="429">
        <v>3.8655581999113302</v>
      </c>
      <c r="T247" s="412"/>
    </row>
    <row r="248" spans="2:20" ht="13.5">
      <c r="B248" s="412"/>
      <c r="C248" s="428" t="s">
        <v>354</v>
      </c>
      <c r="D248" s="421">
        <v>0</v>
      </c>
      <c r="E248" s="421">
        <v>0</v>
      </c>
      <c r="F248" s="421">
        <v>0</v>
      </c>
      <c r="G248" s="421">
        <v>0</v>
      </c>
      <c r="H248" s="421">
        <v>0</v>
      </c>
      <c r="I248" s="421">
        <v>0</v>
      </c>
      <c r="J248" s="421">
        <v>59.787730212494701</v>
      </c>
      <c r="K248" s="421">
        <v>0</v>
      </c>
      <c r="L248" s="421">
        <v>-59.787730212494701</v>
      </c>
      <c r="M248" s="421">
        <v>0</v>
      </c>
      <c r="N248" s="421">
        <v>0</v>
      </c>
      <c r="O248" s="421">
        <v>0</v>
      </c>
      <c r="P248" s="421">
        <v>0</v>
      </c>
      <c r="Q248" s="421">
        <v>0</v>
      </c>
      <c r="R248" s="421">
        <v>0</v>
      </c>
      <c r="S248" s="429">
        <v>0</v>
      </c>
      <c r="T248" s="412"/>
    </row>
    <row r="249" spans="2:20" ht="13.5">
      <c r="B249" s="412"/>
      <c r="C249" s="428" t="s">
        <v>355</v>
      </c>
      <c r="D249" s="421">
        <v>0</v>
      </c>
      <c r="E249" s="421">
        <v>0</v>
      </c>
      <c r="F249" s="421">
        <v>0</v>
      </c>
      <c r="G249" s="421">
        <v>0</v>
      </c>
      <c r="H249" s="421">
        <v>0</v>
      </c>
      <c r="I249" s="421">
        <v>0</v>
      </c>
      <c r="J249" s="421">
        <v>0</v>
      </c>
      <c r="K249" s="421">
        <v>0</v>
      </c>
      <c r="L249" s="421">
        <v>-11.848147131187501</v>
      </c>
      <c r="M249" s="421">
        <v>0</v>
      </c>
      <c r="N249" s="421">
        <v>0</v>
      </c>
      <c r="O249" s="421">
        <v>0</v>
      </c>
      <c r="P249" s="421">
        <v>0</v>
      </c>
      <c r="Q249" s="421">
        <v>0</v>
      </c>
      <c r="R249" s="421">
        <v>16.925924473125001</v>
      </c>
      <c r="S249" s="429">
        <v>5.0777773419374901</v>
      </c>
      <c r="T249" s="412"/>
    </row>
    <row r="250" spans="2:20" ht="13.5">
      <c r="B250" s="412"/>
      <c r="C250" s="428" t="s">
        <v>73</v>
      </c>
      <c r="D250" s="421">
        <v>0</v>
      </c>
      <c r="E250" s="421">
        <v>0</v>
      </c>
      <c r="F250" s="421">
        <v>0</v>
      </c>
      <c r="G250" s="421">
        <v>12.6235241576865</v>
      </c>
      <c r="H250" s="421">
        <v>0</v>
      </c>
      <c r="I250" s="421">
        <v>0</v>
      </c>
      <c r="J250" s="421">
        <v>0</v>
      </c>
      <c r="K250" s="421">
        <v>0.435729666138086</v>
      </c>
      <c r="L250" s="421">
        <v>0</v>
      </c>
      <c r="M250" s="421">
        <v>1.88627372471178</v>
      </c>
      <c r="N250" s="421">
        <v>0</v>
      </c>
      <c r="O250" s="421">
        <v>0</v>
      </c>
      <c r="P250" s="421">
        <v>30.339450939728401</v>
      </c>
      <c r="Q250" s="421">
        <v>0</v>
      </c>
      <c r="R250" s="421">
        <v>-30.501076629665999</v>
      </c>
      <c r="S250" s="429">
        <v>14.7839018585987</v>
      </c>
      <c r="T250" s="412"/>
    </row>
    <row r="251" spans="2:20" ht="13.5">
      <c r="B251" s="412"/>
      <c r="C251" s="428" t="s">
        <v>356</v>
      </c>
      <c r="D251" s="421">
        <v>4.3307530517578101</v>
      </c>
      <c r="E251" s="421">
        <v>-13.394159162692899</v>
      </c>
      <c r="F251" s="421">
        <v>17.5187690560711</v>
      </c>
      <c r="G251" s="421">
        <v>0</v>
      </c>
      <c r="H251" s="421">
        <v>0</v>
      </c>
      <c r="I251" s="421">
        <v>0</v>
      </c>
      <c r="J251" s="421">
        <v>0</v>
      </c>
      <c r="K251" s="421">
        <v>0</v>
      </c>
      <c r="L251" s="421">
        <v>0</v>
      </c>
      <c r="M251" s="421">
        <v>0</v>
      </c>
      <c r="N251" s="421">
        <v>0</v>
      </c>
      <c r="O251" s="421">
        <v>0</v>
      </c>
      <c r="P251" s="421">
        <v>0</v>
      </c>
      <c r="Q251" s="421">
        <v>0</v>
      </c>
      <c r="R251" s="421">
        <v>0</v>
      </c>
      <c r="S251" s="429">
        <v>8.4553629451360095</v>
      </c>
      <c r="T251" s="412"/>
    </row>
    <row r="252" spans="2:20" ht="13.5">
      <c r="B252" s="412"/>
      <c r="C252" s="428" t="s">
        <v>75</v>
      </c>
      <c r="D252" s="421">
        <v>4.9205957031249996</v>
      </c>
      <c r="E252" s="421">
        <v>0</v>
      </c>
      <c r="F252" s="421">
        <v>18.729068543758601</v>
      </c>
      <c r="G252" s="421">
        <v>4.7445137460997797</v>
      </c>
      <c r="H252" s="421">
        <v>0</v>
      </c>
      <c r="I252" s="421">
        <v>0</v>
      </c>
      <c r="J252" s="421">
        <v>0</v>
      </c>
      <c r="K252" s="421">
        <v>0</v>
      </c>
      <c r="L252" s="421">
        <v>0</v>
      </c>
      <c r="M252" s="421">
        <v>0.70895032987697904</v>
      </c>
      <c r="N252" s="421">
        <v>0</v>
      </c>
      <c r="O252" s="421">
        <v>0</v>
      </c>
      <c r="P252" s="421">
        <v>32.617954545454502</v>
      </c>
      <c r="Q252" s="421">
        <v>0</v>
      </c>
      <c r="R252" s="421">
        <v>0</v>
      </c>
      <c r="S252" s="429">
        <v>61.721082868314902</v>
      </c>
      <c r="T252" s="412"/>
    </row>
    <row r="253" spans="2:20" ht="13.5">
      <c r="B253" s="412"/>
      <c r="C253" s="428" t="s">
        <v>76</v>
      </c>
      <c r="D253" s="421">
        <v>0</v>
      </c>
      <c r="E253" s="421">
        <v>0</v>
      </c>
      <c r="F253" s="421">
        <v>0</v>
      </c>
      <c r="G253" s="421">
        <v>2.9120089095411301</v>
      </c>
      <c r="H253" s="421">
        <v>0</v>
      </c>
      <c r="I253" s="421">
        <v>0</v>
      </c>
      <c r="J253" s="421">
        <v>0</v>
      </c>
      <c r="K253" s="421">
        <v>0</v>
      </c>
      <c r="L253" s="421">
        <v>0</v>
      </c>
      <c r="M253" s="421">
        <v>0.43512776809235298</v>
      </c>
      <c r="N253" s="421">
        <v>0</v>
      </c>
      <c r="O253" s="421">
        <v>0</v>
      </c>
      <c r="P253" s="421">
        <v>43.864366286105501</v>
      </c>
      <c r="Q253" s="421">
        <v>5.66707673993462</v>
      </c>
      <c r="R253" s="421">
        <v>0</v>
      </c>
      <c r="S253" s="429">
        <v>52.878579703673601</v>
      </c>
      <c r="T253" s="412"/>
    </row>
    <row r="254" spans="2:20" ht="13.5">
      <c r="B254" s="412"/>
      <c r="C254" s="424" t="s">
        <v>77</v>
      </c>
      <c r="D254" s="425">
        <v>9.2513487548828106</v>
      </c>
      <c r="E254" s="425">
        <v>373.16166082844302</v>
      </c>
      <c r="F254" s="425">
        <v>-346.44242419139499</v>
      </c>
      <c r="G254" s="425">
        <v>69.979869878653005</v>
      </c>
      <c r="H254" s="425">
        <v>1024.3939393939399</v>
      </c>
      <c r="I254" s="425">
        <v>225.38</v>
      </c>
      <c r="J254" s="425">
        <v>149.04666840151901</v>
      </c>
      <c r="K254" s="425">
        <v>32.2868464996291</v>
      </c>
      <c r="L254" s="425">
        <v>-71.635877343682196</v>
      </c>
      <c r="M254" s="425">
        <v>-26.239012943346101</v>
      </c>
      <c r="N254" s="425">
        <v>0</v>
      </c>
      <c r="O254" s="425">
        <v>7.47026455928955</v>
      </c>
      <c r="P254" s="425">
        <v>-487.25822822871203</v>
      </c>
      <c r="Q254" s="425">
        <v>-67.465199284936006</v>
      </c>
      <c r="R254" s="425">
        <v>-12.1501521565411</v>
      </c>
      <c r="S254" s="425">
        <v>879.77970416774394</v>
      </c>
      <c r="T254" s="412"/>
    </row>
    <row r="255" spans="2:20" ht="13.5">
      <c r="B255" s="412"/>
      <c r="C255" s="426"/>
      <c r="D255" s="427"/>
      <c r="E255" s="427"/>
      <c r="F255" s="427"/>
      <c r="G255" s="427"/>
      <c r="H255" s="427"/>
      <c r="I255" s="427"/>
      <c r="J255" s="427"/>
      <c r="K255" s="427"/>
      <c r="L255" s="427"/>
      <c r="M255" s="427"/>
      <c r="N255" s="427"/>
      <c r="O255" s="427"/>
      <c r="P255" s="427"/>
      <c r="Q255" s="427"/>
      <c r="R255" s="427"/>
      <c r="S255" s="427"/>
      <c r="T255" s="412"/>
    </row>
    <row r="256" spans="2:20" ht="13.5">
      <c r="B256" s="412"/>
      <c r="C256" s="428" t="s">
        <v>78</v>
      </c>
      <c r="D256" s="421">
        <v>1.16328553009227</v>
      </c>
      <c r="E256" s="421">
        <v>0</v>
      </c>
      <c r="F256" s="421">
        <v>13.8112344502171</v>
      </c>
      <c r="G256" s="421">
        <v>75.974004401831806</v>
      </c>
      <c r="H256" s="421">
        <v>0</v>
      </c>
      <c r="I256" s="421">
        <v>0</v>
      </c>
      <c r="J256" s="421">
        <v>15.6078294644963</v>
      </c>
      <c r="K256" s="421">
        <v>5.8364839658710004</v>
      </c>
      <c r="L256" s="421">
        <v>1.8190377949218799</v>
      </c>
      <c r="M256" s="421">
        <v>11.352437439354199</v>
      </c>
      <c r="N256" s="421">
        <v>0</v>
      </c>
      <c r="O256" s="421">
        <v>0</v>
      </c>
      <c r="P256" s="421">
        <v>131.71593128381801</v>
      </c>
      <c r="Q256" s="421">
        <v>22.303652442230799</v>
      </c>
      <c r="R256" s="421">
        <v>5.3802006835937499</v>
      </c>
      <c r="S256" s="429">
        <v>284.964097456427</v>
      </c>
      <c r="T256" s="412"/>
    </row>
    <row r="257" spans="2:20" ht="13.5">
      <c r="B257" s="412"/>
      <c r="C257" s="428" t="s">
        <v>79</v>
      </c>
      <c r="D257" s="421">
        <v>0</v>
      </c>
      <c r="E257" s="421">
        <v>0</v>
      </c>
      <c r="F257" s="421">
        <v>189.87862112859401</v>
      </c>
      <c r="G257" s="421">
        <v>16.64955020583</v>
      </c>
      <c r="H257" s="421">
        <v>0</v>
      </c>
      <c r="I257" s="421">
        <v>0</v>
      </c>
      <c r="J257" s="421">
        <v>0</v>
      </c>
      <c r="K257" s="421">
        <v>0</v>
      </c>
      <c r="L257" s="421">
        <v>44.405791664587298</v>
      </c>
      <c r="M257" s="421">
        <v>2.5923432302996501</v>
      </c>
      <c r="N257" s="421">
        <v>0</v>
      </c>
      <c r="O257" s="421">
        <v>0</v>
      </c>
      <c r="P257" s="421">
        <v>49.821959604820101</v>
      </c>
      <c r="Q257" s="421">
        <v>0</v>
      </c>
      <c r="R257" s="421">
        <v>1.5849058336758</v>
      </c>
      <c r="S257" s="429">
        <v>304.93317166780702</v>
      </c>
      <c r="T257" s="412"/>
    </row>
    <row r="258" spans="2:20" ht="13.5">
      <c r="B258" s="412"/>
      <c r="C258" s="428" t="s">
        <v>80</v>
      </c>
      <c r="D258" s="421">
        <v>0</v>
      </c>
      <c r="E258" s="421">
        <v>0</v>
      </c>
      <c r="F258" s="421">
        <v>1.42606261735715</v>
      </c>
      <c r="G258" s="421">
        <v>47.453363010823402</v>
      </c>
      <c r="H258" s="421">
        <v>0</v>
      </c>
      <c r="I258" s="421">
        <v>0</v>
      </c>
      <c r="J258" s="421">
        <v>75.037621036530098</v>
      </c>
      <c r="K258" s="421">
        <v>0</v>
      </c>
      <c r="L258" s="421">
        <v>0</v>
      </c>
      <c r="M258" s="421">
        <v>7.0907324039161397</v>
      </c>
      <c r="N258" s="421">
        <v>55.372520536787299</v>
      </c>
      <c r="O258" s="421">
        <v>1.39422233549626</v>
      </c>
      <c r="P258" s="421">
        <v>156.615027079708</v>
      </c>
      <c r="Q258" s="421">
        <v>35.653708400257798</v>
      </c>
      <c r="R258" s="421">
        <v>0</v>
      </c>
      <c r="S258" s="429">
        <v>380.04325742087599</v>
      </c>
      <c r="T258" s="412"/>
    </row>
    <row r="259" spans="2:20" ht="13.5">
      <c r="B259" s="412"/>
      <c r="C259" s="428" t="s">
        <v>81</v>
      </c>
      <c r="D259" s="421">
        <v>0</v>
      </c>
      <c r="E259" s="421">
        <v>0</v>
      </c>
      <c r="F259" s="421">
        <v>2.6552662898972801</v>
      </c>
      <c r="G259" s="421">
        <v>32.546671207199999</v>
      </c>
      <c r="H259" s="421">
        <v>0</v>
      </c>
      <c r="I259" s="421">
        <v>0</v>
      </c>
      <c r="J259" s="421">
        <v>7.6606579921523004</v>
      </c>
      <c r="K259" s="421">
        <v>0</v>
      </c>
      <c r="L259" s="421">
        <v>0</v>
      </c>
      <c r="M259" s="421">
        <v>4.8632956976275903</v>
      </c>
      <c r="N259" s="421">
        <v>14.2511219864764</v>
      </c>
      <c r="O259" s="421">
        <v>1.71409342707066</v>
      </c>
      <c r="P259" s="421">
        <v>118.721330344538</v>
      </c>
      <c r="Q259" s="421">
        <v>9.5078384424472908</v>
      </c>
      <c r="R259" s="421">
        <v>0</v>
      </c>
      <c r="S259" s="429">
        <v>191.92027538740899</v>
      </c>
      <c r="T259" s="412"/>
    </row>
    <row r="260" spans="2:20" ht="13.5">
      <c r="B260" s="412"/>
      <c r="C260" s="428" t="s">
        <v>82</v>
      </c>
      <c r="D260" s="421">
        <v>0</v>
      </c>
      <c r="E260" s="421">
        <v>0</v>
      </c>
      <c r="F260" s="421">
        <v>20.984802440298498</v>
      </c>
      <c r="G260" s="421">
        <v>1.90707745937911</v>
      </c>
      <c r="H260" s="421">
        <v>0</v>
      </c>
      <c r="I260" s="421">
        <v>0</v>
      </c>
      <c r="J260" s="421">
        <v>2.05899706998358</v>
      </c>
      <c r="K260" s="421">
        <v>0</v>
      </c>
      <c r="L260" s="421">
        <v>7.9300402287146001</v>
      </c>
      <c r="M260" s="421">
        <v>0.28496559737848798</v>
      </c>
      <c r="N260" s="421">
        <v>0</v>
      </c>
      <c r="O260" s="421">
        <v>0.82781531321025903</v>
      </c>
      <c r="P260" s="421">
        <v>7.3746869983845702</v>
      </c>
      <c r="Q260" s="421">
        <v>0</v>
      </c>
      <c r="R260" s="421">
        <v>0.21911019493558401</v>
      </c>
      <c r="S260" s="429">
        <v>41.587495302284701</v>
      </c>
      <c r="T260" s="412"/>
    </row>
    <row r="261" spans="2:20" ht="13.5">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1.28</v>
      </c>
      <c r="Q261" s="421">
        <v>0</v>
      </c>
      <c r="R261" s="421">
        <v>0</v>
      </c>
      <c r="S261" s="429">
        <v>1.28</v>
      </c>
      <c r="T261" s="412"/>
    </row>
    <row r="262" spans="2:20" ht="13.5">
      <c r="B262" s="412"/>
      <c r="C262" s="424" t="s">
        <v>83</v>
      </c>
      <c r="D262" s="425">
        <v>1.16328553009227</v>
      </c>
      <c r="E262" s="425">
        <v>0</v>
      </c>
      <c r="F262" s="425">
        <v>228.75598692636399</v>
      </c>
      <c r="G262" s="425">
        <v>174.530666285064</v>
      </c>
      <c r="H262" s="425">
        <v>0</v>
      </c>
      <c r="I262" s="425">
        <v>0</v>
      </c>
      <c r="J262" s="425">
        <v>100.365105563162</v>
      </c>
      <c r="K262" s="425">
        <v>5.8364839658710004</v>
      </c>
      <c r="L262" s="425">
        <v>54.154869688223798</v>
      </c>
      <c r="M262" s="425">
        <v>26.183774368576</v>
      </c>
      <c r="N262" s="425">
        <v>69.623642523263698</v>
      </c>
      <c r="O262" s="425">
        <v>3.9361310757771801</v>
      </c>
      <c r="P262" s="425">
        <v>465.52893531126898</v>
      </c>
      <c r="Q262" s="425">
        <v>67.465199284936006</v>
      </c>
      <c r="R262" s="425">
        <v>7.1842167122051297</v>
      </c>
      <c r="S262" s="425">
        <v>1204.7282972348</v>
      </c>
      <c r="T262" s="412"/>
    </row>
    <row r="263" spans="2:20" ht="13.5">
      <c r="B263" s="412"/>
      <c r="C263" s="420" t="s">
        <v>84</v>
      </c>
      <c r="D263" s="421">
        <v>0.65531187499999999</v>
      </c>
      <c r="E263" s="421">
        <v>0</v>
      </c>
      <c r="F263" s="421">
        <v>113.78814399503401</v>
      </c>
      <c r="G263" s="421">
        <v>11.2569939961659</v>
      </c>
      <c r="H263" s="421">
        <v>0</v>
      </c>
      <c r="I263" s="421">
        <v>0</v>
      </c>
      <c r="J263" s="421">
        <v>0</v>
      </c>
      <c r="K263" s="421">
        <v>0</v>
      </c>
      <c r="L263" s="421">
        <v>6.1061434912109398</v>
      </c>
      <c r="M263" s="421">
        <v>0</v>
      </c>
      <c r="N263" s="421">
        <v>0</v>
      </c>
      <c r="O263" s="421">
        <v>0</v>
      </c>
      <c r="P263" s="421">
        <v>0</v>
      </c>
      <c r="Q263" s="421">
        <v>0</v>
      </c>
      <c r="R263" s="421">
        <v>4.9659354443359396</v>
      </c>
      <c r="S263" s="429">
        <v>136.772528801747</v>
      </c>
      <c r="T263" s="412"/>
    </row>
    <row r="264" spans="2:20" ht="13.5">
      <c r="B264" s="412"/>
      <c r="C264" s="424" t="s">
        <v>85</v>
      </c>
      <c r="D264" s="425">
        <v>1.81859740509227</v>
      </c>
      <c r="E264" s="425">
        <v>0</v>
      </c>
      <c r="F264" s="425">
        <v>342.54413092139799</v>
      </c>
      <c r="G264" s="425">
        <v>185.78766028122999</v>
      </c>
      <c r="H264" s="425">
        <v>0</v>
      </c>
      <c r="I264" s="425">
        <v>0</v>
      </c>
      <c r="J264" s="425">
        <v>100.365105563162</v>
      </c>
      <c r="K264" s="425">
        <v>5.8364839658710004</v>
      </c>
      <c r="L264" s="425">
        <v>60.261013179434698</v>
      </c>
      <c r="M264" s="425">
        <v>26.183774368576</v>
      </c>
      <c r="N264" s="425">
        <v>69.623642523263698</v>
      </c>
      <c r="O264" s="425">
        <v>3.9361310757771801</v>
      </c>
      <c r="P264" s="425">
        <v>465.52893531126898</v>
      </c>
      <c r="Q264" s="425">
        <v>67.465199284936006</v>
      </c>
      <c r="R264" s="425">
        <v>12.1501521565411</v>
      </c>
      <c r="S264" s="425">
        <v>1341.5008260365501</v>
      </c>
      <c r="T264" s="412"/>
    </row>
    <row r="265" spans="2:20">
      <c r="B265" s="412"/>
      <c r="C265" s="412"/>
      <c r="D265" s="430">
        <f t="shared" ref="D265:S265" si="4">D264+D254-D240</f>
        <v>-1.9539925233402755E-14</v>
      </c>
      <c r="E265" s="430">
        <f t="shared" si="4"/>
        <v>0</v>
      </c>
      <c r="F265" s="430">
        <f t="shared" si="4"/>
        <v>-2.7977620220553945E-14</v>
      </c>
      <c r="G265" s="430">
        <f t="shared" si="4"/>
        <v>-0.11213098496699558</v>
      </c>
      <c r="H265" s="430">
        <f t="shared" si="4"/>
        <v>0</v>
      </c>
      <c r="I265" s="430">
        <f t="shared" si="4"/>
        <v>0</v>
      </c>
      <c r="J265" s="430">
        <f t="shared" si="4"/>
        <v>0</v>
      </c>
      <c r="K265" s="430">
        <f t="shared" si="4"/>
        <v>0</v>
      </c>
      <c r="L265" s="430">
        <f t="shared" si="4"/>
        <v>0</v>
      </c>
      <c r="M265" s="430">
        <f t="shared" si="4"/>
        <v>0.11213098496650203</v>
      </c>
      <c r="N265" s="430">
        <f t="shared" si="4"/>
        <v>0</v>
      </c>
      <c r="O265" s="430">
        <f t="shared" si="4"/>
        <v>3.0198066269804258E-14</v>
      </c>
      <c r="P265" s="430">
        <f t="shared" si="4"/>
        <v>-4.6185277824406512E-14</v>
      </c>
      <c r="Q265" s="430">
        <f t="shared" si="4"/>
        <v>0</v>
      </c>
      <c r="R265" s="430">
        <f t="shared" si="4"/>
        <v>0</v>
      </c>
      <c r="S265" s="430">
        <f t="shared" si="4"/>
        <v>-5.9117155615240335E-12</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3.5">
      <c r="B267" s="416"/>
      <c r="C267" s="417" t="s">
        <v>361</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02" t="s">
        <v>128</v>
      </c>
      <c r="D269" s="703" t="s">
        <v>42</v>
      </c>
      <c r="E269" s="703" t="s">
        <v>52</v>
      </c>
      <c r="F269" s="703" t="s">
        <v>53</v>
      </c>
      <c r="G269" s="703" t="s">
        <v>32</v>
      </c>
      <c r="H269" s="703" t="s">
        <v>20</v>
      </c>
      <c r="I269" s="703" t="s">
        <v>55</v>
      </c>
      <c r="J269" s="703" t="s">
        <v>56</v>
      </c>
      <c r="K269" s="703"/>
      <c r="L269" s="703"/>
      <c r="M269" s="703"/>
      <c r="N269" s="703"/>
      <c r="O269" s="703"/>
      <c r="P269" s="703" t="s">
        <v>57</v>
      </c>
      <c r="Q269" s="703" t="s">
        <v>58</v>
      </c>
      <c r="R269" s="703" t="s">
        <v>31</v>
      </c>
      <c r="S269" s="703" t="s">
        <v>10</v>
      </c>
      <c r="T269" s="412"/>
    </row>
    <row r="270" spans="2:20" ht="57.5">
      <c r="B270" s="412"/>
      <c r="C270" s="702"/>
      <c r="D270" s="703"/>
      <c r="E270" s="703"/>
      <c r="F270" s="703"/>
      <c r="G270" s="703"/>
      <c r="H270" s="703"/>
      <c r="I270" s="703"/>
      <c r="J270" s="418" t="s">
        <v>338</v>
      </c>
      <c r="K270" s="418" t="s">
        <v>40</v>
      </c>
      <c r="L270" s="418" t="s">
        <v>346</v>
      </c>
      <c r="M270" s="418" t="s">
        <v>347</v>
      </c>
      <c r="N270" s="419" t="s">
        <v>348</v>
      </c>
      <c r="O270" s="418" t="s">
        <v>349</v>
      </c>
      <c r="P270" s="703"/>
      <c r="Q270" s="703"/>
      <c r="R270" s="703"/>
      <c r="S270" s="703"/>
      <c r="T270" s="412"/>
    </row>
    <row r="271" spans="2:20" ht="13.5">
      <c r="B271" s="412"/>
      <c r="C271" s="420" t="s">
        <v>59</v>
      </c>
      <c r="D271" s="421">
        <v>0</v>
      </c>
      <c r="E271" s="421">
        <v>5.8150000000000004</v>
      </c>
      <c r="F271" s="421">
        <v>0</v>
      </c>
      <c r="G271" s="421">
        <v>9.3039999999999998E-2</v>
      </c>
      <c r="H271" s="422">
        <v>994.39393939393995</v>
      </c>
      <c r="I271" s="422">
        <v>245.9</v>
      </c>
      <c r="J271" s="422">
        <v>264.74542837362799</v>
      </c>
      <c r="K271" s="422">
        <v>38.681123219215998</v>
      </c>
      <c r="L271" s="421">
        <v>0</v>
      </c>
      <c r="M271" s="421">
        <v>0</v>
      </c>
      <c r="N271" s="422">
        <v>76.035944637668194</v>
      </c>
      <c r="O271" s="422">
        <v>12.9897242601147</v>
      </c>
      <c r="P271" s="421">
        <v>0</v>
      </c>
      <c r="Q271" s="421">
        <v>0</v>
      </c>
      <c r="R271" s="421">
        <v>0</v>
      </c>
      <c r="S271" s="423">
        <v>1638.6541998845701</v>
      </c>
      <c r="T271" s="412"/>
    </row>
    <row r="272" spans="2:20" ht="13.5">
      <c r="B272" s="412"/>
      <c r="C272" s="420" t="s">
        <v>60</v>
      </c>
      <c r="D272" s="421">
        <v>9.9184003265082108</v>
      </c>
      <c r="E272" s="421">
        <v>336.80990869295198</v>
      </c>
      <c r="F272" s="421">
        <v>39.622058745499999</v>
      </c>
      <c r="G272" s="421">
        <v>228.981754766043</v>
      </c>
      <c r="H272" s="421">
        <v>0</v>
      </c>
      <c r="I272" s="421">
        <v>0</v>
      </c>
      <c r="J272" s="421">
        <v>0</v>
      </c>
      <c r="K272" s="421">
        <v>0</v>
      </c>
      <c r="L272" s="421">
        <v>0</v>
      </c>
      <c r="M272" s="421">
        <v>0</v>
      </c>
      <c r="N272" s="421">
        <v>0</v>
      </c>
      <c r="O272" s="421">
        <v>0</v>
      </c>
      <c r="P272" s="421">
        <v>0</v>
      </c>
      <c r="Q272" s="421">
        <v>0</v>
      </c>
      <c r="R272" s="421">
        <v>0</v>
      </c>
      <c r="S272" s="423">
        <v>615.33212253100305</v>
      </c>
      <c r="T272" s="412"/>
    </row>
    <row r="273" spans="2:20" ht="13.5">
      <c r="B273" s="412"/>
      <c r="C273" s="420" t="s">
        <v>61</v>
      </c>
      <c r="D273" s="421">
        <v>0</v>
      </c>
      <c r="E273" s="421">
        <v>0</v>
      </c>
      <c r="F273" s="421">
        <v>0</v>
      </c>
      <c r="G273" s="421">
        <v>0</v>
      </c>
      <c r="H273" s="421">
        <v>0</v>
      </c>
      <c r="I273" s="421">
        <v>0</v>
      </c>
      <c r="J273" s="421">
        <v>0</v>
      </c>
      <c r="K273" s="421">
        <v>0</v>
      </c>
      <c r="L273" s="421">
        <v>0</v>
      </c>
      <c r="M273" s="421">
        <v>0</v>
      </c>
      <c r="N273" s="421">
        <v>0</v>
      </c>
      <c r="O273" s="421">
        <v>0</v>
      </c>
      <c r="P273" s="421">
        <v>-3.4250745408713801</v>
      </c>
      <c r="Q273" s="421">
        <v>0</v>
      </c>
      <c r="R273" s="421">
        <v>0</v>
      </c>
      <c r="S273" s="423">
        <v>-3.4250745408713801</v>
      </c>
      <c r="T273" s="412"/>
    </row>
    <row r="274" spans="2:20" ht="13.5">
      <c r="B274" s="412"/>
      <c r="C274" s="420" t="s">
        <v>62</v>
      </c>
      <c r="D274" s="421">
        <v>0</v>
      </c>
      <c r="E274" s="421">
        <v>0</v>
      </c>
      <c r="F274" s="421">
        <v>-12.937868047131699</v>
      </c>
      <c r="G274" s="421">
        <v>-1.5571295869756501</v>
      </c>
      <c r="H274" s="421">
        <v>0</v>
      </c>
      <c r="I274" s="421">
        <v>0</v>
      </c>
      <c r="J274" s="421">
        <v>0</v>
      </c>
      <c r="K274" s="421">
        <v>0</v>
      </c>
      <c r="L274" s="421">
        <v>0</v>
      </c>
      <c r="M274" s="421">
        <v>-0.27478757417217298</v>
      </c>
      <c r="N274" s="421">
        <v>0</v>
      </c>
      <c r="O274" s="421">
        <v>0</v>
      </c>
      <c r="P274" s="421">
        <v>0</v>
      </c>
      <c r="Q274" s="421">
        <v>0</v>
      </c>
      <c r="R274" s="421">
        <v>0</v>
      </c>
      <c r="S274" s="423">
        <v>-14.7697852082796</v>
      </c>
      <c r="T274" s="412"/>
    </row>
    <row r="275" spans="2:20" ht="13.5">
      <c r="B275" s="412"/>
      <c r="C275" s="420" t="s">
        <v>63</v>
      </c>
      <c r="D275" s="421">
        <v>0</v>
      </c>
      <c r="E275" s="421">
        <v>0</v>
      </c>
      <c r="F275" s="421">
        <v>-61.179449557820497</v>
      </c>
      <c r="G275" s="421">
        <v>0</v>
      </c>
      <c r="H275" s="421">
        <v>0</v>
      </c>
      <c r="I275" s="421">
        <v>0</v>
      </c>
      <c r="J275" s="421">
        <v>0</v>
      </c>
      <c r="K275" s="421">
        <v>0</v>
      </c>
      <c r="L275" s="421">
        <v>-16.1518358617665</v>
      </c>
      <c r="M275" s="421">
        <v>0</v>
      </c>
      <c r="N275" s="421">
        <v>0</v>
      </c>
      <c r="O275" s="421">
        <v>0</v>
      </c>
      <c r="P275" s="421">
        <v>0</v>
      </c>
      <c r="Q275" s="421">
        <v>0</v>
      </c>
      <c r="R275" s="421">
        <v>-0.14322207633848999</v>
      </c>
      <c r="S275" s="423">
        <v>-77.474507495925394</v>
      </c>
      <c r="T275" s="412"/>
    </row>
    <row r="276" spans="2:20" ht="13.5">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ht="13.5">
      <c r="B277" s="412"/>
      <c r="C277" s="424" t="s">
        <v>65</v>
      </c>
      <c r="D277" s="425">
        <v>9.9184003265082108</v>
      </c>
      <c r="E277" s="425">
        <v>342.62490869295198</v>
      </c>
      <c r="F277" s="425">
        <v>-34.4952588594522</v>
      </c>
      <c r="G277" s="425">
        <v>227.51766517906799</v>
      </c>
      <c r="H277" s="425">
        <v>994.39393939393995</v>
      </c>
      <c r="I277" s="425">
        <v>245.9</v>
      </c>
      <c r="J277" s="425">
        <v>264.74542837362799</v>
      </c>
      <c r="K277" s="425">
        <v>38.681123219215998</v>
      </c>
      <c r="L277" s="425">
        <v>-16.1518358617665</v>
      </c>
      <c r="M277" s="425">
        <v>-0.27478757417217298</v>
      </c>
      <c r="N277" s="425">
        <v>76.035944637668194</v>
      </c>
      <c r="O277" s="425">
        <v>12.9897242601147</v>
      </c>
      <c r="P277" s="425">
        <v>-3.4250745408713801</v>
      </c>
      <c r="Q277" s="425">
        <v>0</v>
      </c>
      <c r="R277" s="425">
        <v>-0.14322207633848999</v>
      </c>
      <c r="S277" s="425">
        <v>2158.31695517049</v>
      </c>
      <c r="T277" s="412"/>
    </row>
    <row r="278" spans="2:20" ht="13.5">
      <c r="B278" s="412"/>
      <c r="C278" s="426"/>
      <c r="D278" s="427"/>
      <c r="E278" s="427"/>
      <c r="F278" s="427"/>
      <c r="G278" s="427"/>
      <c r="H278" s="427"/>
      <c r="I278" s="427"/>
      <c r="J278" s="427"/>
      <c r="K278" s="427"/>
      <c r="L278" s="427"/>
      <c r="M278" s="427"/>
      <c r="N278" s="427"/>
      <c r="O278" s="427"/>
      <c r="P278" s="427"/>
      <c r="Q278" s="427"/>
      <c r="R278" s="427"/>
      <c r="S278" s="427"/>
      <c r="T278" s="412"/>
    </row>
    <row r="279" spans="2:20" ht="13.5">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ht="13.5">
      <c r="B280" s="412"/>
      <c r="C280" s="428" t="s">
        <v>350</v>
      </c>
      <c r="D280" s="421">
        <v>0</v>
      </c>
      <c r="E280" s="421">
        <v>0</v>
      </c>
      <c r="F280" s="421">
        <v>0</v>
      </c>
      <c r="G280" s="421">
        <v>24.857777777777802</v>
      </c>
      <c r="H280" s="421">
        <v>994.39393939393904</v>
      </c>
      <c r="I280" s="421">
        <v>245.9</v>
      </c>
      <c r="J280" s="421">
        <v>19.077680006004599</v>
      </c>
      <c r="K280" s="421">
        <v>5.91268147655415</v>
      </c>
      <c r="L280" s="421">
        <v>0</v>
      </c>
      <c r="M280" s="421">
        <v>4.3866666666666703</v>
      </c>
      <c r="N280" s="421">
        <v>0</v>
      </c>
      <c r="O280" s="421">
        <v>0</v>
      </c>
      <c r="P280" s="421">
        <v>-600.20000000000005</v>
      </c>
      <c r="Q280" s="421">
        <v>0</v>
      </c>
      <c r="R280" s="421">
        <v>2.375</v>
      </c>
      <c r="S280" s="429">
        <v>696.70374532094297</v>
      </c>
      <c r="T280" s="412"/>
    </row>
    <row r="281" spans="2:20" ht="13.5">
      <c r="B281" s="412"/>
      <c r="C281" s="428" t="s">
        <v>351</v>
      </c>
      <c r="D281" s="421">
        <v>0</v>
      </c>
      <c r="E281" s="421">
        <v>0</v>
      </c>
      <c r="F281" s="421">
        <v>0</v>
      </c>
      <c r="G281" s="421">
        <v>15.8957878644364</v>
      </c>
      <c r="H281" s="421">
        <v>0</v>
      </c>
      <c r="I281" s="421">
        <v>0</v>
      </c>
      <c r="J281" s="421">
        <v>29.009686446350699</v>
      </c>
      <c r="K281" s="421">
        <v>26.492019019171298</v>
      </c>
      <c r="L281" s="421">
        <v>0</v>
      </c>
      <c r="M281" s="421">
        <v>2.8051390349005398</v>
      </c>
      <c r="N281" s="421">
        <v>0</v>
      </c>
      <c r="O281" s="421">
        <v>8.6642897086234303</v>
      </c>
      <c r="P281" s="421">
        <v>0</v>
      </c>
      <c r="Q281" s="421">
        <v>-75.764237599145602</v>
      </c>
      <c r="R281" s="421">
        <v>0</v>
      </c>
      <c r="S281" s="429">
        <v>7.1026844743368098</v>
      </c>
      <c r="T281" s="412"/>
    </row>
    <row r="282" spans="2:20" ht="13.5">
      <c r="B282" s="412"/>
      <c r="C282" s="428" t="s">
        <v>352</v>
      </c>
      <c r="D282" s="421">
        <v>0</v>
      </c>
      <c r="E282" s="421">
        <v>0</v>
      </c>
      <c r="F282" s="421">
        <v>0</v>
      </c>
      <c r="G282" s="421">
        <v>0</v>
      </c>
      <c r="H282" s="421">
        <v>0</v>
      </c>
      <c r="I282" s="421">
        <v>0</v>
      </c>
      <c r="J282" s="421">
        <v>43.323904788910497</v>
      </c>
      <c r="K282" s="421">
        <v>0</v>
      </c>
      <c r="L282" s="421">
        <v>0</v>
      </c>
      <c r="M282" s="421">
        <v>-38.612430143116498</v>
      </c>
      <c r="N282" s="421">
        <v>0</v>
      </c>
      <c r="O282" s="421">
        <v>0</v>
      </c>
      <c r="P282" s="421">
        <v>0</v>
      </c>
      <c r="Q282" s="421">
        <v>0</v>
      </c>
      <c r="R282" s="421">
        <v>0</v>
      </c>
      <c r="S282" s="429">
        <v>4.71147464579402</v>
      </c>
      <c r="T282" s="412"/>
    </row>
    <row r="283" spans="2:20" ht="13.5">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ht="13.5">
      <c r="B284" s="412"/>
      <c r="C284" s="428" t="s">
        <v>72</v>
      </c>
      <c r="D284" s="421">
        <v>0</v>
      </c>
      <c r="E284" s="421">
        <v>354.92299030709302</v>
      </c>
      <c r="F284" s="421">
        <v>-351.37376040402199</v>
      </c>
      <c r="G284" s="421">
        <v>0</v>
      </c>
      <c r="H284" s="421">
        <v>0</v>
      </c>
      <c r="I284" s="421">
        <v>0</v>
      </c>
      <c r="J284" s="421">
        <v>0</v>
      </c>
      <c r="K284" s="421">
        <v>0</v>
      </c>
      <c r="L284" s="421">
        <v>0</v>
      </c>
      <c r="M284" s="421">
        <v>0</v>
      </c>
      <c r="N284" s="421">
        <v>0</v>
      </c>
      <c r="O284" s="421">
        <v>0</v>
      </c>
      <c r="P284" s="421">
        <v>0</v>
      </c>
      <c r="Q284" s="421">
        <v>0</v>
      </c>
      <c r="R284" s="421">
        <v>0</v>
      </c>
      <c r="S284" s="429">
        <v>3.54922990307091</v>
      </c>
      <c r="T284" s="412"/>
    </row>
    <row r="285" spans="2:20" ht="13.5">
      <c r="B285" s="412"/>
      <c r="C285" s="428" t="s">
        <v>354</v>
      </c>
      <c r="D285" s="421">
        <v>0</v>
      </c>
      <c r="E285" s="421">
        <v>0</v>
      </c>
      <c r="F285" s="421">
        <v>0</v>
      </c>
      <c r="G285" s="421">
        <v>0</v>
      </c>
      <c r="H285" s="421">
        <v>0</v>
      </c>
      <c r="I285" s="421">
        <v>0</v>
      </c>
      <c r="J285" s="421">
        <v>71.6348751715379</v>
      </c>
      <c r="K285" s="421">
        <v>0</v>
      </c>
      <c r="L285" s="421">
        <v>-71.6348751715379</v>
      </c>
      <c r="M285" s="421">
        <v>0</v>
      </c>
      <c r="N285" s="421">
        <v>0</v>
      </c>
      <c r="O285" s="421">
        <v>0</v>
      </c>
      <c r="P285" s="421">
        <v>0</v>
      </c>
      <c r="Q285" s="421">
        <v>0</v>
      </c>
      <c r="R285" s="421">
        <v>0</v>
      </c>
      <c r="S285" s="429">
        <v>0</v>
      </c>
      <c r="T285" s="412"/>
    </row>
    <row r="286" spans="2:20" ht="13.5">
      <c r="B286" s="412"/>
      <c r="C286" s="428" t="s">
        <v>355</v>
      </c>
      <c r="D286" s="421">
        <v>0</v>
      </c>
      <c r="E286" s="421">
        <v>0</v>
      </c>
      <c r="F286" s="421">
        <v>0</v>
      </c>
      <c r="G286" s="421">
        <v>0</v>
      </c>
      <c r="H286" s="421">
        <v>0</v>
      </c>
      <c r="I286" s="421">
        <v>0</v>
      </c>
      <c r="J286" s="421">
        <v>0</v>
      </c>
      <c r="K286" s="421">
        <v>0</v>
      </c>
      <c r="L286" s="421">
        <v>-15.7927133896962</v>
      </c>
      <c r="M286" s="421">
        <v>0</v>
      </c>
      <c r="N286" s="421">
        <v>0</v>
      </c>
      <c r="O286" s="421">
        <v>0</v>
      </c>
      <c r="P286" s="421">
        <v>0</v>
      </c>
      <c r="Q286" s="421">
        <v>0</v>
      </c>
      <c r="R286" s="421">
        <v>22.561019128137399</v>
      </c>
      <c r="S286" s="429">
        <v>6.7683057384412297</v>
      </c>
      <c r="T286" s="412"/>
    </row>
    <row r="287" spans="2:20" ht="13.5">
      <c r="B287" s="412"/>
      <c r="C287" s="428" t="s">
        <v>73</v>
      </c>
      <c r="D287" s="421">
        <v>0</v>
      </c>
      <c r="E287" s="421">
        <v>0</v>
      </c>
      <c r="F287" s="421">
        <v>0</v>
      </c>
      <c r="G287" s="421">
        <v>14.420213484885</v>
      </c>
      <c r="H287" s="421">
        <v>0</v>
      </c>
      <c r="I287" s="421">
        <v>0</v>
      </c>
      <c r="J287" s="421">
        <v>0</v>
      </c>
      <c r="K287" s="421">
        <v>0.57508328952682097</v>
      </c>
      <c r="L287" s="421">
        <v>0</v>
      </c>
      <c r="M287" s="421">
        <v>2.5447435561561802</v>
      </c>
      <c r="N287" s="421">
        <v>0</v>
      </c>
      <c r="O287" s="421">
        <v>0</v>
      </c>
      <c r="P287" s="421">
        <v>41.914310165512902</v>
      </c>
      <c r="Q287" s="421">
        <v>0</v>
      </c>
      <c r="R287" s="421">
        <v>-40.255830266877503</v>
      </c>
      <c r="S287" s="429">
        <v>19.198520229203499</v>
      </c>
      <c r="T287" s="412"/>
    </row>
    <row r="288" spans="2:20" ht="13.5">
      <c r="B288" s="412"/>
      <c r="C288" s="428" t="s">
        <v>356</v>
      </c>
      <c r="D288" s="421">
        <v>3.6632235107421902</v>
      </c>
      <c r="E288" s="421">
        <v>-12.2980816141408</v>
      </c>
      <c r="F288" s="421">
        <v>16.085164362607902</v>
      </c>
      <c r="G288" s="421">
        <v>0</v>
      </c>
      <c r="H288" s="421">
        <v>0</v>
      </c>
      <c r="I288" s="421">
        <v>0</v>
      </c>
      <c r="J288" s="421">
        <v>0</v>
      </c>
      <c r="K288" s="421">
        <v>0</v>
      </c>
      <c r="L288" s="421">
        <v>0</v>
      </c>
      <c r="M288" s="421">
        <v>0</v>
      </c>
      <c r="N288" s="421">
        <v>0</v>
      </c>
      <c r="O288" s="421">
        <v>0</v>
      </c>
      <c r="P288" s="421">
        <v>0</v>
      </c>
      <c r="Q288" s="421">
        <v>0</v>
      </c>
      <c r="R288" s="421">
        <v>0</v>
      </c>
      <c r="S288" s="429">
        <v>7.4503062592093503</v>
      </c>
      <c r="T288" s="412"/>
    </row>
    <row r="289" spans="2:20" ht="13.5">
      <c r="B289" s="412"/>
      <c r="C289" s="428" t="s">
        <v>75</v>
      </c>
      <c r="D289" s="421">
        <v>4.4693862304687499</v>
      </c>
      <c r="E289" s="421">
        <v>0</v>
      </c>
      <c r="F289" s="421">
        <v>18.451576715081099</v>
      </c>
      <c r="G289" s="421">
        <v>4.5667652369825698</v>
      </c>
      <c r="H289" s="421">
        <v>0</v>
      </c>
      <c r="I289" s="421">
        <v>0</v>
      </c>
      <c r="J289" s="421">
        <v>0</v>
      </c>
      <c r="K289" s="421">
        <v>0</v>
      </c>
      <c r="L289" s="421">
        <v>0</v>
      </c>
      <c r="M289" s="421">
        <v>0.80589974770280703</v>
      </c>
      <c r="N289" s="421">
        <v>0</v>
      </c>
      <c r="O289" s="421">
        <v>0</v>
      </c>
      <c r="P289" s="421">
        <v>33.672954545454502</v>
      </c>
      <c r="Q289" s="421">
        <v>0</v>
      </c>
      <c r="R289" s="421">
        <v>0</v>
      </c>
      <c r="S289" s="429">
        <v>61.966582475689798</v>
      </c>
      <c r="T289" s="412"/>
    </row>
    <row r="290" spans="2:20" ht="13.5">
      <c r="B290" s="412"/>
      <c r="C290" s="428" t="s">
        <v>76</v>
      </c>
      <c r="D290" s="421">
        <v>0</v>
      </c>
      <c r="E290" s="421">
        <v>0</v>
      </c>
      <c r="F290" s="421">
        <v>0</v>
      </c>
      <c r="G290" s="421">
        <v>2.59451111633589</v>
      </c>
      <c r="H290" s="421">
        <v>0</v>
      </c>
      <c r="I290" s="421">
        <v>0</v>
      </c>
      <c r="J290" s="421">
        <v>0</v>
      </c>
      <c r="K290" s="421">
        <v>0</v>
      </c>
      <c r="L290" s="421">
        <v>0</v>
      </c>
      <c r="M290" s="421">
        <v>0.457854902882804</v>
      </c>
      <c r="N290" s="421">
        <v>0</v>
      </c>
      <c r="O290" s="421">
        <v>0</v>
      </c>
      <c r="P290" s="421">
        <v>45.736213123829799</v>
      </c>
      <c r="Q290" s="421">
        <v>5.8710294818526103</v>
      </c>
      <c r="R290" s="421">
        <v>0</v>
      </c>
      <c r="S290" s="429">
        <v>54.659608624901097</v>
      </c>
      <c r="T290" s="412"/>
    </row>
    <row r="291" spans="2:20" ht="13.5">
      <c r="B291" s="412"/>
      <c r="C291" s="424" t="s">
        <v>77</v>
      </c>
      <c r="D291" s="425">
        <v>8.1326097412109402</v>
      </c>
      <c r="E291" s="425">
        <v>342.62490869295198</v>
      </c>
      <c r="F291" s="425">
        <v>-316.83701932633301</v>
      </c>
      <c r="G291" s="425">
        <v>62.335055480417701</v>
      </c>
      <c r="H291" s="425">
        <v>994.39393939393995</v>
      </c>
      <c r="I291" s="425">
        <v>245.9</v>
      </c>
      <c r="J291" s="425">
        <v>163.04614641280401</v>
      </c>
      <c r="K291" s="425">
        <v>32.979783785252302</v>
      </c>
      <c r="L291" s="425">
        <v>-87.427588561234103</v>
      </c>
      <c r="M291" s="425">
        <v>-27.612126234807501</v>
      </c>
      <c r="N291" s="425">
        <v>0</v>
      </c>
      <c r="O291" s="425">
        <v>8.6642897086234303</v>
      </c>
      <c r="P291" s="425">
        <v>-478.87652216520303</v>
      </c>
      <c r="Q291" s="425">
        <v>-69.893208117293</v>
      </c>
      <c r="R291" s="425">
        <v>-15.3198111387401</v>
      </c>
      <c r="S291" s="425">
        <v>862.11045767158896</v>
      </c>
      <c r="T291" s="412"/>
    </row>
    <row r="292" spans="2:20" ht="13.5">
      <c r="B292" s="412"/>
      <c r="C292" s="426"/>
      <c r="D292" s="427"/>
      <c r="E292" s="427"/>
      <c r="F292" s="427"/>
      <c r="G292" s="427"/>
      <c r="H292" s="427"/>
      <c r="I292" s="427"/>
      <c r="J292" s="427"/>
      <c r="K292" s="427"/>
      <c r="L292" s="427"/>
      <c r="M292" s="427"/>
      <c r="N292" s="427"/>
      <c r="O292" s="427"/>
      <c r="P292" s="427"/>
      <c r="Q292" s="427"/>
      <c r="R292" s="427"/>
      <c r="S292" s="427"/>
      <c r="T292" s="412"/>
    </row>
    <row r="293" spans="2:20" ht="13.5">
      <c r="B293" s="412"/>
      <c r="C293" s="428" t="s">
        <v>78</v>
      </c>
      <c r="D293" s="421">
        <v>1.22322682797306</v>
      </c>
      <c r="E293" s="421">
        <v>0</v>
      </c>
      <c r="F293" s="421">
        <v>12.3232605440811</v>
      </c>
      <c r="G293" s="421">
        <v>71.153898442538505</v>
      </c>
      <c r="H293" s="421">
        <v>0</v>
      </c>
      <c r="I293" s="421">
        <v>0</v>
      </c>
      <c r="J293" s="421">
        <v>15.298292037520801</v>
      </c>
      <c r="K293" s="421">
        <v>5.70133943396368</v>
      </c>
      <c r="L293" s="421">
        <v>2.2588896484375001</v>
      </c>
      <c r="M293" s="421">
        <v>12.5565703133891</v>
      </c>
      <c r="N293" s="421">
        <v>0</v>
      </c>
      <c r="O293" s="421">
        <v>0</v>
      </c>
      <c r="P293" s="421">
        <v>133.21901148131599</v>
      </c>
      <c r="Q293" s="421">
        <v>22.777144165315601</v>
      </c>
      <c r="R293" s="421">
        <v>5.7972734375000003</v>
      </c>
      <c r="S293" s="429">
        <v>282.30890633203597</v>
      </c>
      <c r="T293" s="412"/>
    </row>
    <row r="294" spans="2:20" ht="13.5">
      <c r="B294" s="412"/>
      <c r="C294" s="428" t="s">
        <v>79</v>
      </c>
      <c r="D294" s="421">
        <v>0</v>
      </c>
      <c r="E294" s="421">
        <v>0</v>
      </c>
      <c r="F294" s="421">
        <v>142.87668444965701</v>
      </c>
      <c r="G294" s="421">
        <v>18.931026789455998</v>
      </c>
      <c r="H294" s="421">
        <v>0</v>
      </c>
      <c r="I294" s="421">
        <v>0</v>
      </c>
      <c r="J294" s="421">
        <v>0</v>
      </c>
      <c r="K294" s="421">
        <v>0</v>
      </c>
      <c r="L294" s="421">
        <v>49.5464067059184</v>
      </c>
      <c r="M294" s="421">
        <v>3.3407694334334099</v>
      </c>
      <c r="N294" s="421">
        <v>0</v>
      </c>
      <c r="O294" s="421">
        <v>0</v>
      </c>
      <c r="P294" s="421">
        <v>60.194437902512199</v>
      </c>
      <c r="Q294" s="421">
        <v>0</v>
      </c>
      <c r="R294" s="421">
        <v>2.09566112588168</v>
      </c>
      <c r="S294" s="429">
        <v>276.98498640685898</v>
      </c>
      <c r="T294" s="412"/>
    </row>
    <row r="295" spans="2:20" ht="13.5">
      <c r="B295" s="412"/>
      <c r="C295" s="428" t="s">
        <v>80</v>
      </c>
      <c r="D295" s="421">
        <v>0</v>
      </c>
      <c r="E295" s="421">
        <v>0</v>
      </c>
      <c r="F295" s="421">
        <v>0.95174155183324205</v>
      </c>
      <c r="G295" s="421">
        <v>34.619487827616503</v>
      </c>
      <c r="H295" s="421">
        <v>0</v>
      </c>
      <c r="I295" s="421">
        <v>0</v>
      </c>
      <c r="J295" s="421">
        <v>76.360421720428903</v>
      </c>
      <c r="K295" s="421">
        <v>0</v>
      </c>
      <c r="L295" s="421">
        <v>0</v>
      </c>
      <c r="M295" s="421">
        <v>6.1093213813440803</v>
      </c>
      <c r="N295" s="421">
        <v>61.688599152298004</v>
      </c>
      <c r="O295" s="421">
        <v>1.68134083806818</v>
      </c>
      <c r="P295" s="421">
        <v>155.96813987489199</v>
      </c>
      <c r="Q295" s="421">
        <v>36.966630005372501</v>
      </c>
      <c r="R295" s="421">
        <v>0</v>
      </c>
      <c r="S295" s="429">
        <v>374.34568235185299</v>
      </c>
      <c r="T295" s="412"/>
    </row>
    <row r="296" spans="2:20" ht="13.5">
      <c r="B296" s="412"/>
      <c r="C296" s="428" t="s">
        <v>81</v>
      </c>
      <c r="D296" s="421">
        <v>0</v>
      </c>
      <c r="E296" s="421">
        <v>0</v>
      </c>
      <c r="F296" s="421">
        <v>2.11008846392241</v>
      </c>
      <c r="G296" s="421">
        <v>28.4805688295863</v>
      </c>
      <c r="H296" s="421">
        <v>0</v>
      </c>
      <c r="I296" s="421">
        <v>0</v>
      </c>
      <c r="J296" s="421">
        <v>7.5276105699702702</v>
      </c>
      <c r="K296" s="421">
        <v>0</v>
      </c>
      <c r="L296" s="421">
        <v>0</v>
      </c>
      <c r="M296" s="421">
        <v>5.0259827346328798</v>
      </c>
      <c r="N296" s="421">
        <v>14.3473454853701</v>
      </c>
      <c r="O296" s="421">
        <v>1.68119123787141</v>
      </c>
      <c r="P296" s="421">
        <v>117.369254343737</v>
      </c>
      <c r="Q296" s="421">
        <v>10.1494339466048</v>
      </c>
      <c r="R296" s="421">
        <v>0</v>
      </c>
      <c r="S296" s="429">
        <v>186.69147561169501</v>
      </c>
      <c r="T296" s="412"/>
    </row>
    <row r="297" spans="2:20" ht="13.5">
      <c r="B297" s="412"/>
      <c r="C297" s="428" t="s">
        <v>82</v>
      </c>
      <c r="D297" s="421">
        <v>0</v>
      </c>
      <c r="E297" s="421">
        <v>0</v>
      </c>
      <c r="F297" s="421">
        <v>17.601103552872999</v>
      </c>
      <c r="G297" s="421">
        <v>1.72660385440275</v>
      </c>
      <c r="H297" s="421">
        <v>0</v>
      </c>
      <c r="I297" s="421">
        <v>0</v>
      </c>
      <c r="J297" s="421">
        <v>2.5129576329044099</v>
      </c>
      <c r="K297" s="421">
        <v>0</v>
      </c>
      <c r="L297" s="421">
        <v>9.7844973088568903</v>
      </c>
      <c r="M297" s="421">
        <v>0.30469479783577902</v>
      </c>
      <c r="N297" s="421">
        <v>0</v>
      </c>
      <c r="O297" s="421">
        <v>0.96290247555165798</v>
      </c>
      <c r="P297" s="421">
        <v>7.1006040218742701</v>
      </c>
      <c r="Q297" s="421">
        <v>0</v>
      </c>
      <c r="R297" s="421">
        <v>0.24940873791150001</v>
      </c>
      <c r="S297" s="429">
        <v>40.242772382210298</v>
      </c>
      <c r="T297" s="412"/>
    </row>
    <row r="298" spans="2:20" ht="13.5">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1.6</v>
      </c>
      <c r="Q298" s="421">
        <v>0</v>
      </c>
      <c r="R298" s="421">
        <v>0</v>
      </c>
      <c r="S298" s="429">
        <v>1.6</v>
      </c>
      <c r="T298" s="412"/>
    </row>
    <row r="299" spans="2:20" ht="13.5">
      <c r="B299" s="412"/>
      <c r="C299" s="424" t="s">
        <v>83</v>
      </c>
      <c r="D299" s="425">
        <v>1.22322682797306</v>
      </c>
      <c r="E299" s="425">
        <v>0</v>
      </c>
      <c r="F299" s="425">
        <v>175.862878562367</v>
      </c>
      <c r="G299" s="425">
        <v>154.9115857436</v>
      </c>
      <c r="H299" s="425">
        <v>0</v>
      </c>
      <c r="I299" s="425">
        <v>0</v>
      </c>
      <c r="J299" s="425">
        <v>101.699281960824</v>
      </c>
      <c r="K299" s="425">
        <v>5.70133943396368</v>
      </c>
      <c r="L299" s="425">
        <v>61.589793663212802</v>
      </c>
      <c r="M299" s="425">
        <v>27.3373386606353</v>
      </c>
      <c r="N299" s="425">
        <v>76.035944637668194</v>
      </c>
      <c r="O299" s="425">
        <v>4.3254345514912496</v>
      </c>
      <c r="P299" s="425">
        <v>475.45144762433102</v>
      </c>
      <c r="Q299" s="425">
        <v>69.893208117293</v>
      </c>
      <c r="R299" s="425">
        <v>8.1423433012931792</v>
      </c>
      <c r="S299" s="425">
        <v>1162.1738230846499</v>
      </c>
      <c r="T299" s="412"/>
    </row>
    <row r="300" spans="2:20" ht="13.5">
      <c r="B300" s="412"/>
      <c r="C300" s="420" t="s">
        <v>84</v>
      </c>
      <c r="D300" s="421">
        <v>0.56256375732421904</v>
      </c>
      <c r="E300" s="421">
        <v>0</v>
      </c>
      <c r="F300" s="421">
        <v>106.478881904514</v>
      </c>
      <c r="G300" s="421">
        <v>10.27102395505</v>
      </c>
      <c r="H300" s="421">
        <v>0</v>
      </c>
      <c r="I300" s="421">
        <v>0</v>
      </c>
      <c r="J300" s="421">
        <v>0</v>
      </c>
      <c r="K300" s="421">
        <v>0</v>
      </c>
      <c r="L300" s="421">
        <v>9.6859590362548804</v>
      </c>
      <c r="M300" s="421">
        <v>0</v>
      </c>
      <c r="N300" s="421">
        <v>0</v>
      </c>
      <c r="O300" s="421">
        <v>0</v>
      </c>
      <c r="P300" s="421">
        <v>0</v>
      </c>
      <c r="Q300" s="421">
        <v>0</v>
      </c>
      <c r="R300" s="421">
        <v>7.0342457611083997</v>
      </c>
      <c r="S300" s="429">
        <v>134.03267441425101</v>
      </c>
      <c r="T300" s="412"/>
    </row>
    <row r="301" spans="2:20" ht="13.5">
      <c r="B301" s="412"/>
      <c r="C301" s="424" t="s">
        <v>85</v>
      </c>
      <c r="D301" s="425">
        <v>1.78579058529727</v>
      </c>
      <c r="E301" s="425">
        <v>0</v>
      </c>
      <c r="F301" s="425">
        <v>282.34176046687998</v>
      </c>
      <c r="G301" s="425">
        <v>165.18260969865</v>
      </c>
      <c r="H301" s="425">
        <v>0</v>
      </c>
      <c r="I301" s="425">
        <v>0</v>
      </c>
      <c r="J301" s="425">
        <v>101.699281960824</v>
      </c>
      <c r="K301" s="425">
        <v>5.70133943396368</v>
      </c>
      <c r="L301" s="425">
        <v>71.275752699467702</v>
      </c>
      <c r="M301" s="425">
        <v>27.3373386606353</v>
      </c>
      <c r="N301" s="425">
        <v>76.035944637668194</v>
      </c>
      <c r="O301" s="425">
        <v>4.3254345514912496</v>
      </c>
      <c r="P301" s="425">
        <v>475.45144762433102</v>
      </c>
      <c r="Q301" s="425">
        <v>69.8932081172929</v>
      </c>
      <c r="R301" s="425">
        <v>15.1765890624016</v>
      </c>
      <c r="S301" s="425">
        <v>1296.2064974989</v>
      </c>
      <c r="T301" s="412"/>
    </row>
    <row r="302" spans="2:20">
      <c r="B302" s="412"/>
      <c r="C302" s="412"/>
      <c r="D302" s="430">
        <f t="shared" ref="D302:S302" si="5">D301+D291-D277</f>
        <v>0</v>
      </c>
      <c r="E302" s="430">
        <f t="shared" si="5"/>
        <v>0</v>
      </c>
      <c r="F302" s="430">
        <f t="shared" si="5"/>
        <v>-8.3133500083931722E-13</v>
      </c>
      <c r="G302" s="430">
        <f t="shared" si="5"/>
        <v>-2.8421709430404007E-13</v>
      </c>
      <c r="H302" s="430">
        <f t="shared" si="5"/>
        <v>0</v>
      </c>
      <c r="I302" s="430">
        <f t="shared" si="5"/>
        <v>0</v>
      </c>
      <c r="J302" s="430">
        <f t="shared" si="5"/>
        <v>0</v>
      </c>
      <c r="K302" s="430">
        <f t="shared" si="5"/>
        <v>0</v>
      </c>
      <c r="L302" s="430">
        <f t="shared" si="5"/>
        <v>9.9475983006414026E-14</v>
      </c>
      <c r="M302" s="430">
        <f t="shared" si="5"/>
        <v>-2.8255175976710234E-14</v>
      </c>
      <c r="N302" s="430">
        <f t="shared" si="5"/>
        <v>0</v>
      </c>
      <c r="O302" s="430">
        <f t="shared" si="5"/>
        <v>-1.9539925233402755E-14</v>
      </c>
      <c r="P302" s="430">
        <f t="shared" si="5"/>
        <v>-6.2350125062948791E-13</v>
      </c>
      <c r="Q302" s="430">
        <f t="shared" si="5"/>
        <v>-9.9475983006414026E-14</v>
      </c>
      <c r="R302" s="430">
        <f t="shared" si="5"/>
        <v>-9.7144514654701197E-15</v>
      </c>
      <c r="S302" s="430">
        <f t="shared" si="5"/>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3.5">
      <c r="B304" s="416"/>
      <c r="C304" s="417" t="s">
        <v>362</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02" t="s">
        <v>128</v>
      </c>
      <c r="D306" s="703" t="s">
        <v>42</v>
      </c>
      <c r="E306" s="703" t="s">
        <v>52</v>
      </c>
      <c r="F306" s="703" t="s">
        <v>53</v>
      </c>
      <c r="G306" s="703" t="s">
        <v>32</v>
      </c>
      <c r="H306" s="703" t="s">
        <v>20</v>
      </c>
      <c r="I306" s="703" t="s">
        <v>55</v>
      </c>
      <c r="J306" s="703" t="s">
        <v>56</v>
      </c>
      <c r="K306" s="703"/>
      <c r="L306" s="703"/>
      <c r="M306" s="703"/>
      <c r="N306" s="703"/>
      <c r="O306" s="703"/>
      <c r="P306" s="703" t="s">
        <v>57</v>
      </c>
      <c r="Q306" s="703" t="s">
        <v>58</v>
      </c>
      <c r="R306" s="703" t="s">
        <v>31</v>
      </c>
      <c r="S306" s="703" t="s">
        <v>10</v>
      </c>
      <c r="T306" s="412"/>
    </row>
    <row r="307" spans="2:20" ht="57.5">
      <c r="B307" s="412"/>
      <c r="C307" s="702"/>
      <c r="D307" s="703"/>
      <c r="E307" s="703"/>
      <c r="F307" s="703"/>
      <c r="G307" s="703"/>
      <c r="H307" s="703"/>
      <c r="I307" s="703"/>
      <c r="J307" s="418" t="s">
        <v>338</v>
      </c>
      <c r="K307" s="418" t="s">
        <v>40</v>
      </c>
      <c r="L307" s="418" t="s">
        <v>346</v>
      </c>
      <c r="M307" s="418" t="s">
        <v>347</v>
      </c>
      <c r="N307" s="419" t="s">
        <v>348</v>
      </c>
      <c r="O307" s="418" t="s">
        <v>349</v>
      </c>
      <c r="P307" s="703"/>
      <c r="Q307" s="703"/>
      <c r="R307" s="703"/>
      <c r="S307" s="703"/>
      <c r="T307" s="412"/>
    </row>
    <row r="308" spans="2:20" ht="13.5">
      <c r="B308" s="412"/>
      <c r="C308" s="420" t="s">
        <v>59</v>
      </c>
      <c r="D308" s="421">
        <v>0</v>
      </c>
      <c r="E308" s="421">
        <v>2.3260000000000001</v>
      </c>
      <c r="F308" s="421">
        <v>0</v>
      </c>
      <c r="G308" s="421">
        <v>3.7215999999999999E-2</v>
      </c>
      <c r="H308" s="422">
        <v>949.39393939393904</v>
      </c>
      <c r="I308" s="422">
        <v>276.68</v>
      </c>
      <c r="J308" s="422">
        <v>284.734772116177</v>
      </c>
      <c r="K308" s="422">
        <v>38.511665616305898</v>
      </c>
      <c r="L308" s="421">
        <v>0</v>
      </c>
      <c r="M308" s="421">
        <v>0</v>
      </c>
      <c r="N308" s="422">
        <v>85.392433579820405</v>
      </c>
      <c r="O308" s="422">
        <v>15.074805441341001</v>
      </c>
      <c r="P308" s="421">
        <v>0</v>
      </c>
      <c r="Q308" s="421">
        <v>0</v>
      </c>
      <c r="R308" s="421">
        <v>0</v>
      </c>
      <c r="S308" s="423">
        <v>1652.1508321475801</v>
      </c>
      <c r="T308" s="412"/>
    </row>
    <row r="309" spans="2:20" ht="13.5">
      <c r="B309" s="412"/>
      <c r="C309" s="420" t="s">
        <v>60</v>
      </c>
      <c r="D309" s="421">
        <v>8.4277409701764192</v>
      </c>
      <c r="E309" s="421">
        <v>294.49378048971499</v>
      </c>
      <c r="F309" s="421">
        <v>3.02470006963182</v>
      </c>
      <c r="G309" s="421">
        <v>181.17738201956001</v>
      </c>
      <c r="H309" s="421">
        <v>0</v>
      </c>
      <c r="I309" s="421">
        <v>0</v>
      </c>
      <c r="J309" s="421">
        <v>0</v>
      </c>
      <c r="K309" s="421">
        <v>0</v>
      </c>
      <c r="L309" s="421">
        <v>0</v>
      </c>
      <c r="M309" s="421">
        <v>0</v>
      </c>
      <c r="N309" s="421">
        <v>0</v>
      </c>
      <c r="O309" s="421">
        <v>0</v>
      </c>
      <c r="P309" s="421">
        <v>13.6891405650981</v>
      </c>
      <c r="Q309" s="421">
        <v>0</v>
      </c>
      <c r="R309" s="421">
        <v>0</v>
      </c>
      <c r="S309" s="423">
        <v>500.81274411418099</v>
      </c>
      <c r="T309" s="412"/>
    </row>
    <row r="310" spans="2:20" ht="13.5">
      <c r="B310" s="412"/>
      <c r="C310" s="420" t="s">
        <v>61</v>
      </c>
      <c r="D310" s="421">
        <v>0</v>
      </c>
      <c r="E310" s="421">
        <v>0</v>
      </c>
      <c r="F310" s="421">
        <v>0</v>
      </c>
      <c r="G310" s="421">
        <v>0</v>
      </c>
      <c r="H310" s="421">
        <v>0</v>
      </c>
      <c r="I310" s="421">
        <v>0</v>
      </c>
      <c r="J310" s="421">
        <v>0</v>
      </c>
      <c r="K310" s="421">
        <v>0</v>
      </c>
      <c r="L310" s="421">
        <v>0</v>
      </c>
      <c r="M310" s="421">
        <v>0</v>
      </c>
      <c r="N310" s="421">
        <v>0</v>
      </c>
      <c r="O310" s="421">
        <v>0</v>
      </c>
      <c r="P310" s="421">
        <v>0</v>
      </c>
      <c r="Q310" s="421">
        <v>0</v>
      </c>
      <c r="R310" s="421">
        <v>0</v>
      </c>
      <c r="S310" s="423">
        <v>0</v>
      </c>
      <c r="T310" s="412"/>
    </row>
    <row r="311" spans="2:20" ht="13.5">
      <c r="B311" s="412"/>
      <c r="C311" s="420" t="s">
        <v>62</v>
      </c>
      <c r="D311" s="421">
        <v>0</v>
      </c>
      <c r="E311" s="421">
        <v>0</v>
      </c>
      <c r="F311" s="421">
        <v>-11.216317309287099</v>
      </c>
      <c r="G311" s="421">
        <v>-1.99710794114988</v>
      </c>
      <c r="H311" s="421">
        <v>0</v>
      </c>
      <c r="I311" s="421">
        <v>0</v>
      </c>
      <c r="J311" s="421">
        <v>0</v>
      </c>
      <c r="K311" s="421">
        <v>0</v>
      </c>
      <c r="L311" s="421">
        <v>0</v>
      </c>
      <c r="M311" s="421">
        <v>-0.69888193239441998</v>
      </c>
      <c r="N311" s="421">
        <v>0</v>
      </c>
      <c r="O311" s="421">
        <v>0</v>
      </c>
      <c r="P311" s="421">
        <v>0</v>
      </c>
      <c r="Q311" s="421">
        <v>0</v>
      </c>
      <c r="R311" s="421">
        <v>0</v>
      </c>
      <c r="S311" s="423">
        <v>-13.9123071828314</v>
      </c>
      <c r="T311" s="412"/>
    </row>
    <row r="312" spans="2:20" ht="13.5">
      <c r="B312" s="412"/>
      <c r="C312" s="420" t="s">
        <v>63</v>
      </c>
      <c r="D312" s="421">
        <v>0</v>
      </c>
      <c r="E312" s="421">
        <v>0</v>
      </c>
      <c r="F312" s="421">
        <v>-55.603077514900399</v>
      </c>
      <c r="G312" s="421">
        <v>0</v>
      </c>
      <c r="H312" s="421">
        <v>0</v>
      </c>
      <c r="I312" s="421">
        <v>0</v>
      </c>
      <c r="J312" s="421">
        <v>0</v>
      </c>
      <c r="K312" s="421">
        <v>0</v>
      </c>
      <c r="L312" s="421">
        <v>-22.070241117704398</v>
      </c>
      <c r="M312" s="421">
        <v>0</v>
      </c>
      <c r="N312" s="421">
        <v>0</v>
      </c>
      <c r="O312" s="421">
        <v>0</v>
      </c>
      <c r="P312" s="421">
        <v>0</v>
      </c>
      <c r="Q312" s="421">
        <v>0</v>
      </c>
      <c r="R312" s="421">
        <v>-0.48199249828489099</v>
      </c>
      <c r="S312" s="423">
        <v>-78.155311130889601</v>
      </c>
      <c r="T312" s="412"/>
    </row>
    <row r="313" spans="2:20" ht="13.5">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ht="13.5">
      <c r="B314" s="412"/>
      <c r="C314" s="424" t="s">
        <v>65</v>
      </c>
      <c r="D314" s="425">
        <v>8.4277409701764192</v>
      </c>
      <c r="E314" s="425">
        <v>296.81978048971501</v>
      </c>
      <c r="F314" s="425">
        <v>-63.794694754555699</v>
      </c>
      <c r="G314" s="425">
        <v>179.21749007841001</v>
      </c>
      <c r="H314" s="425">
        <v>949.39393939393904</v>
      </c>
      <c r="I314" s="425">
        <v>276.68</v>
      </c>
      <c r="J314" s="425">
        <v>284.734772116177</v>
      </c>
      <c r="K314" s="425">
        <v>38.511665616305898</v>
      </c>
      <c r="L314" s="425">
        <v>-22.070241117704398</v>
      </c>
      <c r="M314" s="425">
        <v>-0.69888193239441998</v>
      </c>
      <c r="N314" s="425">
        <v>85.392433579820405</v>
      </c>
      <c r="O314" s="425">
        <v>15.074805441341001</v>
      </c>
      <c r="P314" s="425">
        <v>13.6891405650981</v>
      </c>
      <c r="Q314" s="425">
        <v>0</v>
      </c>
      <c r="R314" s="425">
        <v>-0.48199249828489099</v>
      </c>
      <c r="S314" s="425">
        <v>2060.8959579480402</v>
      </c>
      <c r="T314" s="412"/>
    </row>
    <row r="315" spans="2:20" ht="13.5">
      <c r="B315" s="412"/>
      <c r="C315" s="426"/>
      <c r="D315" s="427"/>
      <c r="E315" s="427"/>
      <c r="F315" s="427"/>
      <c r="G315" s="427"/>
      <c r="H315" s="427"/>
      <c r="I315" s="427"/>
      <c r="J315" s="427"/>
      <c r="K315" s="427"/>
      <c r="L315" s="427"/>
      <c r="M315" s="427"/>
      <c r="N315" s="427"/>
      <c r="O315" s="427"/>
      <c r="P315" s="427"/>
      <c r="Q315" s="427"/>
      <c r="R315" s="427"/>
      <c r="S315" s="427"/>
      <c r="T315" s="412"/>
    </row>
    <row r="316" spans="2:20" ht="13.5">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ht="13.5">
      <c r="B317" s="412"/>
      <c r="C317" s="428" t="s">
        <v>350</v>
      </c>
      <c r="D317" s="421">
        <v>0</v>
      </c>
      <c r="E317" s="421">
        <v>0</v>
      </c>
      <c r="F317" s="421">
        <v>0</v>
      </c>
      <c r="G317" s="421">
        <v>12.8533333333333</v>
      </c>
      <c r="H317" s="421">
        <v>949.39393939393904</v>
      </c>
      <c r="I317" s="421">
        <v>276.68</v>
      </c>
      <c r="J317" s="421">
        <v>18.141357717605299</v>
      </c>
      <c r="K317" s="421">
        <v>5.2928476822958697</v>
      </c>
      <c r="L317" s="421">
        <v>0</v>
      </c>
      <c r="M317" s="421">
        <v>4.05894736842105</v>
      </c>
      <c r="N317" s="421">
        <v>0</v>
      </c>
      <c r="O317" s="421">
        <v>0</v>
      </c>
      <c r="P317" s="421">
        <v>-609.38</v>
      </c>
      <c r="Q317" s="421">
        <v>0</v>
      </c>
      <c r="R317" s="421">
        <v>3.8</v>
      </c>
      <c r="S317" s="429">
        <v>660.84042549559501</v>
      </c>
      <c r="T317" s="412"/>
    </row>
    <row r="318" spans="2:20" ht="13.5">
      <c r="B318" s="412"/>
      <c r="C318" s="428" t="s">
        <v>351</v>
      </c>
      <c r="D318" s="421">
        <v>0</v>
      </c>
      <c r="E318" s="421">
        <v>0</v>
      </c>
      <c r="F318" s="421">
        <v>0</v>
      </c>
      <c r="G318" s="421">
        <v>13.2997527316566</v>
      </c>
      <c r="H318" s="421">
        <v>0</v>
      </c>
      <c r="I318" s="421">
        <v>0</v>
      </c>
      <c r="J318" s="421">
        <v>29.191829684725199</v>
      </c>
      <c r="K318" s="421">
        <v>27.043598962685898</v>
      </c>
      <c r="L318" s="421">
        <v>0</v>
      </c>
      <c r="M318" s="421">
        <v>4.1999219152599903</v>
      </c>
      <c r="N318" s="421">
        <v>0</v>
      </c>
      <c r="O318" s="421">
        <v>10.1722943931358</v>
      </c>
      <c r="P318" s="421">
        <v>0</v>
      </c>
      <c r="Q318" s="421">
        <v>-77.056499329406094</v>
      </c>
      <c r="R318" s="421">
        <v>0</v>
      </c>
      <c r="S318" s="429">
        <v>6.8508983580574103</v>
      </c>
      <c r="T318" s="412"/>
    </row>
    <row r="319" spans="2:20" ht="13.5">
      <c r="B319" s="412"/>
      <c r="C319" s="428" t="s">
        <v>352</v>
      </c>
      <c r="D319" s="421">
        <v>0</v>
      </c>
      <c r="E319" s="421">
        <v>0</v>
      </c>
      <c r="F319" s="421">
        <v>0</v>
      </c>
      <c r="G319" s="421">
        <v>0</v>
      </c>
      <c r="H319" s="421">
        <v>0</v>
      </c>
      <c r="I319" s="421">
        <v>0</v>
      </c>
      <c r="J319" s="421">
        <v>60.206069168057198</v>
      </c>
      <c r="K319" s="421">
        <v>0</v>
      </c>
      <c r="L319" s="421">
        <v>0</v>
      </c>
      <c r="M319" s="421">
        <v>-54.4262865279237</v>
      </c>
      <c r="N319" s="421">
        <v>0</v>
      </c>
      <c r="O319" s="421">
        <v>0</v>
      </c>
      <c r="P319" s="421">
        <v>0</v>
      </c>
      <c r="Q319" s="421">
        <v>0</v>
      </c>
      <c r="R319" s="421">
        <v>0</v>
      </c>
      <c r="S319" s="429">
        <v>5.7797826401334804</v>
      </c>
      <c r="T319" s="412"/>
    </row>
    <row r="320" spans="2:20" ht="13.5">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ht="13.5">
      <c r="B321" s="412"/>
      <c r="C321" s="428" t="s">
        <v>72</v>
      </c>
      <c r="D321" s="421">
        <v>0</v>
      </c>
      <c r="E321" s="421">
        <v>307.47374578102801</v>
      </c>
      <c r="F321" s="421">
        <v>-304.399008323217</v>
      </c>
      <c r="G321" s="421">
        <v>0</v>
      </c>
      <c r="H321" s="421">
        <v>0</v>
      </c>
      <c r="I321" s="421">
        <v>0</v>
      </c>
      <c r="J321" s="421">
        <v>0</v>
      </c>
      <c r="K321" s="421">
        <v>0</v>
      </c>
      <c r="L321" s="421">
        <v>0</v>
      </c>
      <c r="M321" s="421">
        <v>0</v>
      </c>
      <c r="N321" s="421">
        <v>0</v>
      </c>
      <c r="O321" s="421">
        <v>0</v>
      </c>
      <c r="P321" s="421">
        <v>0</v>
      </c>
      <c r="Q321" s="421">
        <v>0</v>
      </c>
      <c r="R321" s="421">
        <v>0</v>
      </c>
      <c r="S321" s="429">
        <v>3.07473745781027</v>
      </c>
      <c r="T321" s="412"/>
    </row>
    <row r="322" spans="2:20" ht="13.5">
      <c r="B322" s="412"/>
      <c r="C322" s="428" t="s">
        <v>354</v>
      </c>
      <c r="D322" s="421">
        <v>0</v>
      </c>
      <c r="E322" s="421">
        <v>0</v>
      </c>
      <c r="F322" s="421">
        <v>0</v>
      </c>
      <c r="G322" s="421">
        <v>0</v>
      </c>
      <c r="H322" s="421">
        <v>0</v>
      </c>
      <c r="I322" s="421">
        <v>0</v>
      </c>
      <c r="J322" s="421">
        <v>85.931808179639404</v>
      </c>
      <c r="K322" s="421">
        <v>0</v>
      </c>
      <c r="L322" s="421">
        <v>-85.931808179639404</v>
      </c>
      <c r="M322" s="421">
        <v>0</v>
      </c>
      <c r="N322" s="421">
        <v>0</v>
      </c>
      <c r="O322" s="421">
        <v>0</v>
      </c>
      <c r="P322" s="421">
        <v>0</v>
      </c>
      <c r="Q322" s="421">
        <v>0</v>
      </c>
      <c r="R322" s="421">
        <v>0</v>
      </c>
      <c r="S322" s="429">
        <v>0</v>
      </c>
      <c r="T322" s="412"/>
    </row>
    <row r="323" spans="2:20" ht="13.5">
      <c r="B323" s="412"/>
      <c r="C323" s="428" t="s">
        <v>355</v>
      </c>
      <c r="D323" s="421">
        <v>0</v>
      </c>
      <c r="E323" s="421">
        <v>0</v>
      </c>
      <c r="F323" s="421">
        <v>0</v>
      </c>
      <c r="G323" s="421">
        <v>0</v>
      </c>
      <c r="H323" s="421">
        <v>0</v>
      </c>
      <c r="I323" s="421">
        <v>0</v>
      </c>
      <c r="J323" s="421">
        <v>0</v>
      </c>
      <c r="K323" s="421">
        <v>0</v>
      </c>
      <c r="L323" s="421">
        <v>-17.535700738468499</v>
      </c>
      <c r="M323" s="421">
        <v>0</v>
      </c>
      <c r="N323" s="421">
        <v>0</v>
      </c>
      <c r="O323" s="421">
        <v>0</v>
      </c>
      <c r="P323" s="421">
        <v>0</v>
      </c>
      <c r="Q323" s="421">
        <v>0</v>
      </c>
      <c r="R323" s="421">
        <v>25.051001054954899</v>
      </c>
      <c r="S323" s="429">
        <v>7.5153003164864902</v>
      </c>
      <c r="T323" s="412"/>
    </row>
    <row r="324" spans="2:20" ht="13.5">
      <c r="B324" s="412"/>
      <c r="C324" s="428" t="s">
        <v>73</v>
      </c>
      <c r="D324" s="421">
        <v>0</v>
      </c>
      <c r="E324" s="421">
        <v>0</v>
      </c>
      <c r="F324" s="421">
        <v>0</v>
      </c>
      <c r="G324" s="421">
        <v>12.8407715215872</v>
      </c>
      <c r="H324" s="421">
        <v>0</v>
      </c>
      <c r="I324" s="421">
        <v>0</v>
      </c>
      <c r="J324" s="421">
        <v>0</v>
      </c>
      <c r="K324" s="421">
        <v>0.70990554630623504</v>
      </c>
      <c r="L324" s="421">
        <v>0</v>
      </c>
      <c r="M324" s="421">
        <v>4.05498048050121</v>
      </c>
      <c r="N324" s="421">
        <v>0</v>
      </c>
      <c r="O324" s="421">
        <v>0</v>
      </c>
      <c r="P324" s="421">
        <v>55.117150379882297</v>
      </c>
      <c r="Q324" s="421">
        <v>0</v>
      </c>
      <c r="R324" s="421">
        <v>-49.693388241436402</v>
      </c>
      <c r="S324" s="429">
        <v>23.029419686840502</v>
      </c>
      <c r="T324" s="412"/>
    </row>
    <row r="325" spans="2:20" ht="13.5">
      <c r="B325" s="412"/>
      <c r="C325" s="428" t="s">
        <v>356</v>
      </c>
      <c r="D325" s="421">
        <v>2.83393890380859</v>
      </c>
      <c r="E325" s="421">
        <v>-10.6539652913126</v>
      </c>
      <c r="F325" s="421">
        <v>13.9347573224132</v>
      </c>
      <c r="G325" s="421">
        <v>0</v>
      </c>
      <c r="H325" s="421">
        <v>0</v>
      </c>
      <c r="I325" s="421">
        <v>0</v>
      </c>
      <c r="J325" s="421">
        <v>0</v>
      </c>
      <c r="K325" s="421">
        <v>0</v>
      </c>
      <c r="L325" s="421">
        <v>0</v>
      </c>
      <c r="M325" s="421">
        <v>0</v>
      </c>
      <c r="N325" s="421">
        <v>0</v>
      </c>
      <c r="O325" s="421">
        <v>0</v>
      </c>
      <c r="P325" s="421">
        <v>0</v>
      </c>
      <c r="Q325" s="421">
        <v>0</v>
      </c>
      <c r="R325" s="421">
        <v>0</v>
      </c>
      <c r="S325" s="429">
        <v>6.1147309349091996</v>
      </c>
      <c r="T325" s="412"/>
    </row>
    <row r="326" spans="2:20" ht="13.5">
      <c r="B326" s="412"/>
      <c r="C326" s="428" t="s">
        <v>75</v>
      </c>
      <c r="D326" s="421">
        <v>3.8710979003906201</v>
      </c>
      <c r="E326" s="421">
        <v>0</v>
      </c>
      <c r="F326" s="421">
        <v>18.035338972064899</v>
      </c>
      <c r="G326" s="421">
        <v>3.99111442428871</v>
      </c>
      <c r="H326" s="421">
        <v>0</v>
      </c>
      <c r="I326" s="421">
        <v>0</v>
      </c>
      <c r="J326" s="421">
        <v>0</v>
      </c>
      <c r="K326" s="421">
        <v>0</v>
      </c>
      <c r="L326" s="421">
        <v>0</v>
      </c>
      <c r="M326" s="421">
        <v>1.2603519234595899</v>
      </c>
      <c r="N326" s="421">
        <v>0</v>
      </c>
      <c r="O326" s="421">
        <v>0</v>
      </c>
      <c r="P326" s="421">
        <v>35.255454545454498</v>
      </c>
      <c r="Q326" s="421">
        <v>0</v>
      </c>
      <c r="R326" s="421">
        <v>0</v>
      </c>
      <c r="S326" s="429">
        <v>62.413357765658397</v>
      </c>
      <c r="T326" s="412"/>
    </row>
    <row r="327" spans="2:20" ht="13.5">
      <c r="B327" s="412"/>
      <c r="C327" s="428" t="s">
        <v>76</v>
      </c>
      <c r="D327" s="421">
        <v>0</v>
      </c>
      <c r="E327" s="421">
        <v>0</v>
      </c>
      <c r="F327" s="421">
        <v>0</v>
      </c>
      <c r="G327" s="421">
        <v>2.0436747905742099</v>
      </c>
      <c r="H327" s="421">
        <v>0</v>
      </c>
      <c r="I327" s="421">
        <v>0</v>
      </c>
      <c r="J327" s="421">
        <v>0</v>
      </c>
      <c r="K327" s="421">
        <v>0</v>
      </c>
      <c r="L327" s="421">
        <v>0</v>
      </c>
      <c r="M327" s="421">
        <v>0.64537098649711899</v>
      </c>
      <c r="N327" s="421">
        <v>0</v>
      </c>
      <c r="O327" s="421">
        <v>0</v>
      </c>
      <c r="P327" s="421">
        <v>47.751374577011198</v>
      </c>
      <c r="Q327" s="421">
        <v>5.9711678447141301</v>
      </c>
      <c r="R327" s="421">
        <v>0</v>
      </c>
      <c r="S327" s="429">
        <v>56.4115881987967</v>
      </c>
      <c r="T327" s="412"/>
    </row>
    <row r="328" spans="2:20" ht="13.5">
      <c r="B328" s="412"/>
      <c r="C328" s="424" t="s">
        <v>77</v>
      </c>
      <c r="D328" s="425">
        <v>6.7050368041992199</v>
      </c>
      <c r="E328" s="425">
        <v>296.81978048971501</v>
      </c>
      <c r="F328" s="425">
        <v>-272.42891202873898</v>
      </c>
      <c r="G328" s="425">
        <v>45.028646801440097</v>
      </c>
      <c r="H328" s="425">
        <v>949.39393939393904</v>
      </c>
      <c r="I328" s="425">
        <v>276.68</v>
      </c>
      <c r="J328" s="425">
        <v>193.47106475002701</v>
      </c>
      <c r="K328" s="425">
        <v>33.046352191288001</v>
      </c>
      <c r="L328" s="425">
        <v>-103.467508918108</v>
      </c>
      <c r="M328" s="425">
        <v>-40.206713853784699</v>
      </c>
      <c r="N328" s="425">
        <v>0</v>
      </c>
      <c r="O328" s="425">
        <v>10.1722943931358</v>
      </c>
      <c r="P328" s="425">
        <v>-471.256020497652</v>
      </c>
      <c r="Q328" s="425">
        <v>-71.085331484692006</v>
      </c>
      <c r="R328" s="425">
        <v>-20.842387186481499</v>
      </c>
      <c r="S328" s="425">
        <v>832.03024085428694</v>
      </c>
      <c r="T328" s="412"/>
    </row>
    <row r="329" spans="2:20" ht="13.5">
      <c r="B329" s="412"/>
      <c r="C329" s="426"/>
      <c r="D329" s="427"/>
      <c r="E329" s="427"/>
      <c r="F329" s="427"/>
      <c r="G329" s="427"/>
      <c r="H329" s="427"/>
      <c r="I329" s="427"/>
      <c r="J329" s="427"/>
      <c r="K329" s="427"/>
      <c r="L329" s="427"/>
      <c r="M329" s="427"/>
      <c r="N329" s="427"/>
      <c r="O329" s="427"/>
      <c r="P329" s="427"/>
      <c r="Q329" s="427"/>
      <c r="R329" s="427"/>
      <c r="S329" s="427"/>
      <c r="T329" s="412"/>
    </row>
    <row r="330" spans="2:20" ht="13.5">
      <c r="B330" s="412"/>
      <c r="C330" s="428" t="s">
        <v>78</v>
      </c>
      <c r="D330" s="421">
        <v>1.27819257295963</v>
      </c>
      <c r="E330" s="421">
        <v>0</v>
      </c>
      <c r="F330" s="421">
        <v>9.6128944226359607</v>
      </c>
      <c r="G330" s="421">
        <v>60.199792292935904</v>
      </c>
      <c r="H330" s="421">
        <v>0</v>
      </c>
      <c r="I330" s="421">
        <v>0</v>
      </c>
      <c r="J330" s="421">
        <v>14.9029709316316</v>
      </c>
      <c r="K330" s="421">
        <v>5.4653134250178503</v>
      </c>
      <c r="L330" s="421">
        <v>3.5459101562500002</v>
      </c>
      <c r="M330" s="421">
        <v>19.010460724085</v>
      </c>
      <c r="N330" s="421">
        <v>0</v>
      </c>
      <c r="O330" s="421">
        <v>0</v>
      </c>
      <c r="P330" s="421">
        <v>136.692289377436</v>
      </c>
      <c r="Q330" s="421">
        <v>23.646366063927399</v>
      </c>
      <c r="R330" s="421">
        <v>6.4302626953124999</v>
      </c>
      <c r="S330" s="429">
        <v>280.78445266219097</v>
      </c>
      <c r="T330" s="412"/>
    </row>
    <row r="331" spans="2:20" ht="13.5">
      <c r="B331" s="412"/>
      <c r="C331" s="428" t="s">
        <v>79</v>
      </c>
      <c r="D331" s="421">
        <v>0</v>
      </c>
      <c r="E331" s="421">
        <v>0</v>
      </c>
      <c r="F331" s="421">
        <v>87.8758260186641</v>
      </c>
      <c r="G331" s="421">
        <v>18.337650579977399</v>
      </c>
      <c r="H331" s="421">
        <v>0</v>
      </c>
      <c r="I331" s="421">
        <v>0</v>
      </c>
      <c r="J331" s="421">
        <v>0</v>
      </c>
      <c r="K331" s="421">
        <v>0</v>
      </c>
      <c r="L331" s="421">
        <v>50.618247821052101</v>
      </c>
      <c r="M331" s="421">
        <v>5.9499820008855098</v>
      </c>
      <c r="N331" s="421">
        <v>0</v>
      </c>
      <c r="O331" s="421">
        <v>0</v>
      </c>
      <c r="P331" s="421">
        <v>72.745040205449797</v>
      </c>
      <c r="Q331" s="421">
        <v>0</v>
      </c>
      <c r="R331" s="421">
        <v>3.6092463767880099</v>
      </c>
      <c r="S331" s="429">
        <v>239.135993002817</v>
      </c>
      <c r="T331" s="412"/>
    </row>
    <row r="332" spans="2:20" ht="13.5">
      <c r="B332" s="412"/>
      <c r="C332" s="428" t="s">
        <v>80</v>
      </c>
      <c r="D332" s="421">
        <v>0</v>
      </c>
      <c r="E332" s="421">
        <v>0</v>
      </c>
      <c r="F332" s="421">
        <v>0.73996972526279803</v>
      </c>
      <c r="G332" s="421">
        <v>24.071010680096698</v>
      </c>
      <c r="H332" s="421">
        <v>0</v>
      </c>
      <c r="I332" s="421">
        <v>0</v>
      </c>
      <c r="J332" s="421">
        <v>65.809563312785698</v>
      </c>
      <c r="K332" s="421">
        <v>0</v>
      </c>
      <c r="L332" s="421">
        <v>0</v>
      </c>
      <c r="M332" s="421">
        <v>7.60137179371476</v>
      </c>
      <c r="N332" s="421">
        <v>70.900752846109597</v>
      </c>
      <c r="O332" s="421">
        <v>2.1051398750689501</v>
      </c>
      <c r="P332" s="421">
        <v>151.15345776916399</v>
      </c>
      <c r="Q332" s="421">
        <v>36.326109024475898</v>
      </c>
      <c r="R332" s="421">
        <v>0</v>
      </c>
      <c r="S332" s="429">
        <v>358.70737502667799</v>
      </c>
      <c r="T332" s="412"/>
    </row>
    <row r="333" spans="2:20" ht="13.5">
      <c r="B333" s="412"/>
      <c r="C333" s="428" t="s">
        <v>81</v>
      </c>
      <c r="D333" s="421">
        <v>0</v>
      </c>
      <c r="E333" s="421">
        <v>0</v>
      </c>
      <c r="F333" s="421">
        <v>1.6908527840101399</v>
      </c>
      <c r="G333" s="421">
        <v>21.232227312602799</v>
      </c>
      <c r="H333" s="421">
        <v>0</v>
      </c>
      <c r="I333" s="421">
        <v>0</v>
      </c>
      <c r="J333" s="421">
        <v>7.3285872023111196</v>
      </c>
      <c r="K333" s="421">
        <v>0</v>
      </c>
      <c r="L333" s="421">
        <v>0</v>
      </c>
      <c r="M333" s="421">
        <v>6.7049138881903696</v>
      </c>
      <c r="N333" s="421">
        <v>14.491680733710799</v>
      </c>
      <c r="O333" s="421">
        <v>1.6318379540725301</v>
      </c>
      <c r="P333" s="421">
        <v>115.122674454118</v>
      </c>
      <c r="Q333" s="421">
        <v>11.1128563962888</v>
      </c>
      <c r="R333" s="421">
        <v>0</v>
      </c>
      <c r="S333" s="429">
        <v>179.315630725305</v>
      </c>
      <c r="T333" s="412"/>
    </row>
    <row r="334" spans="2:20" ht="13.5">
      <c r="B334" s="412"/>
      <c r="C334" s="428" t="s">
        <v>82</v>
      </c>
      <c r="D334" s="421">
        <v>0</v>
      </c>
      <c r="E334" s="421">
        <v>0</v>
      </c>
      <c r="F334" s="421">
        <v>12.5124400680813</v>
      </c>
      <c r="G334" s="421">
        <v>1.3106771859998501</v>
      </c>
      <c r="H334" s="421">
        <v>0</v>
      </c>
      <c r="I334" s="421">
        <v>0</v>
      </c>
      <c r="J334" s="421">
        <v>3.2225859194218698</v>
      </c>
      <c r="K334" s="421">
        <v>0</v>
      </c>
      <c r="L334" s="421">
        <v>12.553992450054499</v>
      </c>
      <c r="M334" s="421">
        <v>0.41389805873679603</v>
      </c>
      <c r="N334" s="421">
        <v>0</v>
      </c>
      <c r="O334" s="421">
        <v>1.16553321906376</v>
      </c>
      <c r="P334" s="421">
        <v>6.6716992565826096</v>
      </c>
      <c r="Q334" s="421">
        <v>0</v>
      </c>
      <c r="R334" s="421">
        <v>0.294856552375373</v>
      </c>
      <c r="S334" s="429">
        <v>38.145682710316102</v>
      </c>
      <c r="T334" s="412"/>
    </row>
    <row r="335" spans="2:20" ht="13.5">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2.56</v>
      </c>
      <c r="Q335" s="421">
        <v>0</v>
      </c>
      <c r="R335" s="421">
        <v>0</v>
      </c>
      <c r="S335" s="429">
        <v>2.56</v>
      </c>
      <c r="T335" s="412"/>
    </row>
    <row r="336" spans="2:20" ht="13.5">
      <c r="B336" s="412"/>
      <c r="C336" s="424" t="s">
        <v>83</v>
      </c>
      <c r="D336" s="425">
        <v>1.27819257295963</v>
      </c>
      <c r="E336" s="425">
        <v>0</v>
      </c>
      <c r="F336" s="425">
        <v>112.43198301865399</v>
      </c>
      <c r="G336" s="425">
        <v>125.151358051613</v>
      </c>
      <c r="H336" s="425">
        <v>0</v>
      </c>
      <c r="I336" s="425">
        <v>0</v>
      </c>
      <c r="J336" s="425">
        <v>91.2637073661502</v>
      </c>
      <c r="K336" s="425">
        <v>5.4653134250178503</v>
      </c>
      <c r="L336" s="425">
        <v>66.718150427356605</v>
      </c>
      <c r="M336" s="425">
        <v>39.680626465612498</v>
      </c>
      <c r="N336" s="425">
        <v>85.392433579820405</v>
      </c>
      <c r="O336" s="425">
        <v>4.9025110482052403</v>
      </c>
      <c r="P336" s="425">
        <v>484.94516106275</v>
      </c>
      <c r="Q336" s="425">
        <v>71.085331484692006</v>
      </c>
      <c r="R336" s="425">
        <v>10.3343656244759</v>
      </c>
      <c r="S336" s="425">
        <v>1098.6491341273099</v>
      </c>
      <c r="T336" s="412"/>
    </row>
    <row r="337" spans="2:20" ht="13.5">
      <c r="B337" s="412"/>
      <c r="C337" s="420" t="s">
        <v>84</v>
      </c>
      <c r="D337" s="421">
        <v>0.44451159301757798</v>
      </c>
      <c r="E337" s="421">
        <v>0</v>
      </c>
      <c r="F337" s="421">
        <v>96.202234255529206</v>
      </c>
      <c r="G337" s="421">
        <v>8.8646906811351496</v>
      </c>
      <c r="H337" s="421">
        <v>0</v>
      </c>
      <c r="I337" s="421">
        <v>0</v>
      </c>
      <c r="J337" s="421">
        <v>0</v>
      </c>
      <c r="K337" s="421">
        <v>0</v>
      </c>
      <c r="L337" s="421">
        <v>14.6791173730469</v>
      </c>
      <c r="M337" s="421">
        <v>0</v>
      </c>
      <c r="N337" s="421">
        <v>0</v>
      </c>
      <c r="O337" s="421">
        <v>0</v>
      </c>
      <c r="P337" s="421">
        <v>0</v>
      </c>
      <c r="Q337" s="421">
        <v>0</v>
      </c>
      <c r="R337" s="421">
        <v>10.026029063720699</v>
      </c>
      <c r="S337" s="429">
        <v>130.21658296645001</v>
      </c>
      <c r="T337" s="412"/>
    </row>
    <row r="338" spans="2:20" ht="13.5">
      <c r="B338" s="412"/>
      <c r="C338" s="424" t="s">
        <v>85</v>
      </c>
      <c r="D338" s="425">
        <v>1.72270416597721</v>
      </c>
      <c r="E338" s="425">
        <v>0</v>
      </c>
      <c r="F338" s="425">
        <v>208.63421727418401</v>
      </c>
      <c r="G338" s="425">
        <v>134.016048732748</v>
      </c>
      <c r="H338" s="425">
        <v>0</v>
      </c>
      <c r="I338" s="425">
        <v>0</v>
      </c>
      <c r="J338" s="425">
        <v>91.2637073661502</v>
      </c>
      <c r="K338" s="425">
        <v>5.4653134250178503</v>
      </c>
      <c r="L338" s="425">
        <v>81.397267800403498</v>
      </c>
      <c r="M338" s="425">
        <v>39.680626465612498</v>
      </c>
      <c r="N338" s="425">
        <v>85.392433579820405</v>
      </c>
      <c r="O338" s="425">
        <v>4.9025110482052403</v>
      </c>
      <c r="P338" s="425">
        <v>484.94516106275</v>
      </c>
      <c r="Q338" s="425">
        <v>71.085331484692006</v>
      </c>
      <c r="R338" s="425">
        <v>20.3603946881966</v>
      </c>
      <c r="S338" s="425">
        <v>1228.8657170937599</v>
      </c>
      <c r="T338" s="412"/>
    </row>
    <row r="339" spans="2:20">
      <c r="B339" s="412"/>
      <c r="C339" s="412"/>
      <c r="D339" s="430">
        <f t="shared" ref="D339:S339" si="6">D338+D328-D314</f>
        <v>0</v>
      </c>
      <c r="E339" s="430">
        <f t="shared" si="6"/>
        <v>0</v>
      </c>
      <c r="F339" s="430">
        <f t="shared" si="6"/>
        <v>7.3185901783290319E-13</v>
      </c>
      <c r="G339" s="430">
        <f t="shared" si="6"/>
        <v>-0.1727945442219152</v>
      </c>
      <c r="H339" s="430">
        <f t="shared" si="6"/>
        <v>0</v>
      </c>
      <c r="I339" s="430">
        <f t="shared" si="6"/>
        <v>0</v>
      </c>
      <c r="J339" s="430">
        <f t="shared" si="6"/>
        <v>0</v>
      </c>
      <c r="K339" s="430">
        <f t="shared" si="6"/>
        <v>0</v>
      </c>
      <c r="L339" s="430">
        <f t="shared" si="6"/>
        <v>-9.9475983006414026E-14</v>
      </c>
      <c r="M339" s="430">
        <f t="shared" si="6"/>
        <v>0.1727945442222194</v>
      </c>
      <c r="N339" s="430">
        <f t="shared" si="6"/>
        <v>0</v>
      </c>
      <c r="O339" s="430">
        <f t="shared" si="6"/>
        <v>4.0856207306205761E-14</v>
      </c>
      <c r="P339" s="430">
        <f t="shared" si="6"/>
        <v>-9.9475983006414026E-14</v>
      </c>
      <c r="Q339" s="430">
        <f t="shared" si="6"/>
        <v>0</v>
      </c>
      <c r="R339" s="430">
        <f t="shared" si="6"/>
        <v>-8.5487172896137054E-15</v>
      </c>
      <c r="S339" s="430">
        <f t="shared" si="6"/>
        <v>6.8212102632969618E-12</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row r="341" spans="2:20" ht="13.5">
      <c r="B341" s="416"/>
      <c r="C341" s="417" t="s">
        <v>363</v>
      </c>
      <c r="D341" s="416"/>
      <c r="E341" s="416"/>
      <c r="F341" s="416"/>
      <c r="G341" s="416"/>
      <c r="H341" s="416"/>
      <c r="I341" s="416"/>
      <c r="J341" s="416"/>
      <c r="K341" s="416"/>
      <c r="L341" s="416"/>
      <c r="M341" s="416"/>
      <c r="N341" s="416"/>
      <c r="O341" s="416"/>
      <c r="P341" s="416"/>
      <c r="Q341" s="416"/>
      <c r="R341" s="416"/>
      <c r="S341" s="416"/>
      <c r="T341" s="416"/>
    </row>
    <row r="342" spans="2:20">
      <c r="B342" s="412"/>
      <c r="C342" s="412"/>
      <c r="D342" s="412"/>
      <c r="E342" s="412"/>
      <c r="F342" s="412"/>
      <c r="G342" s="412"/>
      <c r="H342" s="412"/>
      <c r="I342" s="412"/>
      <c r="J342" s="412"/>
      <c r="K342" s="412"/>
      <c r="L342" s="412"/>
      <c r="M342" s="412"/>
      <c r="N342" s="412"/>
      <c r="O342" s="412"/>
      <c r="P342" s="412"/>
      <c r="Q342" s="412"/>
      <c r="R342" s="412"/>
      <c r="S342" s="412"/>
      <c r="T342" s="412"/>
    </row>
    <row r="343" spans="2:20" ht="13.5" customHeight="1">
      <c r="B343" s="412"/>
      <c r="C343" s="702" t="s">
        <v>128</v>
      </c>
      <c r="D343" s="703" t="s">
        <v>42</v>
      </c>
      <c r="E343" s="703" t="s">
        <v>52</v>
      </c>
      <c r="F343" s="703" t="s">
        <v>53</v>
      </c>
      <c r="G343" s="703" t="s">
        <v>32</v>
      </c>
      <c r="H343" s="703" t="s">
        <v>20</v>
      </c>
      <c r="I343" s="703" t="s">
        <v>55</v>
      </c>
      <c r="J343" s="703" t="s">
        <v>56</v>
      </c>
      <c r="K343" s="703"/>
      <c r="L343" s="703"/>
      <c r="M343" s="703"/>
      <c r="N343" s="703"/>
      <c r="O343" s="703"/>
      <c r="P343" s="703" t="s">
        <v>57</v>
      </c>
      <c r="Q343" s="703" t="s">
        <v>58</v>
      </c>
      <c r="R343" s="703" t="s">
        <v>31</v>
      </c>
      <c r="S343" s="703" t="s">
        <v>10</v>
      </c>
      <c r="T343" s="412"/>
    </row>
    <row r="344" spans="2:20" ht="57.5">
      <c r="B344" s="412"/>
      <c r="C344" s="702"/>
      <c r="D344" s="703"/>
      <c r="E344" s="703"/>
      <c r="F344" s="703"/>
      <c r="G344" s="703"/>
      <c r="H344" s="703"/>
      <c r="I344" s="703"/>
      <c r="J344" s="418" t="s">
        <v>338</v>
      </c>
      <c r="K344" s="418" t="s">
        <v>40</v>
      </c>
      <c r="L344" s="418" t="s">
        <v>346</v>
      </c>
      <c r="M344" s="418" t="s">
        <v>347</v>
      </c>
      <c r="N344" s="419" t="s">
        <v>348</v>
      </c>
      <c r="O344" s="418" t="s">
        <v>349</v>
      </c>
      <c r="P344" s="703"/>
      <c r="Q344" s="703"/>
      <c r="R344" s="703"/>
      <c r="S344" s="703"/>
      <c r="T344" s="412"/>
    </row>
    <row r="345" spans="2:20" ht="13.5">
      <c r="B345" s="412"/>
      <c r="C345" s="420" t="s">
        <v>59</v>
      </c>
      <c r="D345" s="421">
        <v>0</v>
      </c>
      <c r="E345" s="421">
        <v>0</v>
      </c>
      <c r="F345" s="421">
        <v>0</v>
      </c>
      <c r="G345" s="421">
        <v>0</v>
      </c>
      <c r="H345" s="422">
        <v>919.39393939393995</v>
      </c>
      <c r="I345" s="422">
        <v>297.2</v>
      </c>
      <c r="J345" s="422">
        <v>293.71785736374301</v>
      </c>
      <c r="K345" s="422">
        <v>38.3991774648144</v>
      </c>
      <c r="L345" s="421">
        <v>0</v>
      </c>
      <c r="M345" s="421">
        <v>0</v>
      </c>
      <c r="N345" s="422">
        <v>91.728344176793996</v>
      </c>
      <c r="O345" s="422">
        <v>16.494075355247801</v>
      </c>
      <c r="P345" s="421">
        <v>0</v>
      </c>
      <c r="Q345" s="421">
        <v>0</v>
      </c>
      <c r="R345" s="421">
        <v>0</v>
      </c>
      <c r="S345" s="423">
        <v>1656.93339375454</v>
      </c>
      <c r="T345" s="412"/>
    </row>
    <row r="346" spans="2:20" ht="13.5">
      <c r="B346" s="412"/>
      <c r="C346" s="420" t="s">
        <v>60</v>
      </c>
      <c r="D346" s="421">
        <v>7.4939151456434798</v>
      </c>
      <c r="E346" s="421">
        <v>266.28302835422397</v>
      </c>
      <c r="F346" s="421">
        <v>0</v>
      </c>
      <c r="G346" s="421">
        <v>151.91024428871401</v>
      </c>
      <c r="H346" s="421">
        <v>0</v>
      </c>
      <c r="I346" s="421">
        <v>0</v>
      </c>
      <c r="J346" s="421">
        <v>0</v>
      </c>
      <c r="K346" s="421">
        <v>0</v>
      </c>
      <c r="L346" s="421">
        <v>0</v>
      </c>
      <c r="M346" s="421">
        <v>0</v>
      </c>
      <c r="N346" s="421">
        <v>0</v>
      </c>
      <c r="O346" s="421">
        <v>0</v>
      </c>
      <c r="P346" s="421">
        <v>25.896699392432499</v>
      </c>
      <c r="Q346" s="421">
        <v>0</v>
      </c>
      <c r="R346" s="421">
        <v>0</v>
      </c>
      <c r="S346" s="423">
        <v>451.58388718101401</v>
      </c>
      <c r="T346" s="412"/>
    </row>
    <row r="347" spans="2:20" ht="13.5">
      <c r="B347" s="412"/>
      <c r="C347" s="420" t="s">
        <v>61</v>
      </c>
      <c r="D347" s="421">
        <v>0</v>
      </c>
      <c r="E347" s="421">
        <v>0</v>
      </c>
      <c r="F347" s="421">
        <v>-20.601925350856099</v>
      </c>
      <c r="G347" s="421">
        <v>0</v>
      </c>
      <c r="H347" s="421">
        <v>0</v>
      </c>
      <c r="I347" s="421">
        <v>0</v>
      </c>
      <c r="J347" s="421">
        <v>0</v>
      </c>
      <c r="K347" s="421">
        <v>0</v>
      </c>
      <c r="L347" s="421">
        <v>0</v>
      </c>
      <c r="M347" s="421">
        <v>0</v>
      </c>
      <c r="N347" s="421">
        <v>0</v>
      </c>
      <c r="O347" s="421">
        <v>0</v>
      </c>
      <c r="P347" s="421">
        <v>0</v>
      </c>
      <c r="Q347" s="421">
        <v>0</v>
      </c>
      <c r="R347" s="421">
        <v>0</v>
      </c>
      <c r="S347" s="423">
        <v>-20.601925350856099</v>
      </c>
      <c r="T347" s="412"/>
    </row>
    <row r="348" spans="2:20" ht="13.5">
      <c r="B348" s="412"/>
      <c r="C348" s="420" t="s">
        <v>62</v>
      </c>
      <c r="D348" s="421">
        <v>0</v>
      </c>
      <c r="E348" s="421">
        <v>0</v>
      </c>
      <c r="F348" s="421">
        <v>-10.0686168173907</v>
      </c>
      <c r="G348" s="421">
        <v>-2.2904268439326998</v>
      </c>
      <c r="H348" s="421">
        <v>0</v>
      </c>
      <c r="I348" s="421">
        <v>0</v>
      </c>
      <c r="J348" s="421">
        <v>0</v>
      </c>
      <c r="K348" s="421">
        <v>0</v>
      </c>
      <c r="L348" s="421">
        <v>0</v>
      </c>
      <c r="M348" s="421">
        <v>-0.98161150454258395</v>
      </c>
      <c r="N348" s="421">
        <v>0</v>
      </c>
      <c r="O348" s="421">
        <v>0</v>
      </c>
      <c r="P348" s="421">
        <v>0</v>
      </c>
      <c r="Q348" s="421">
        <v>0</v>
      </c>
      <c r="R348" s="421">
        <v>0</v>
      </c>
      <c r="S348" s="423">
        <v>-13.3406551658659</v>
      </c>
      <c r="T348" s="412"/>
    </row>
    <row r="349" spans="2:20" ht="13.5">
      <c r="B349" s="412"/>
      <c r="C349" s="420" t="s">
        <v>63</v>
      </c>
      <c r="D349" s="421">
        <v>0</v>
      </c>
      <c r="E349" s="421">
        <v>0</v>
      </c>
      <c r="F349" s="421">
        <v>-52.082612477609999</v>
      </c>
      <c r="G349" s="421">
        <v>0</v>
      </c>
      <c r="H349" s="421">
        <v>0</v>
      </c>
      <c r="I349" s="421">
        <v>0</v>
      </c>
      <c r="J349" s="421">
        <v>0</v>
      </c>
      <c r="K349" s="421">
        <v>0</v>
      </c>
      <c r="L349" s="421">
        <v>-26.158313394490399</v>
      </c>
      <c r="M349" s="421">
        <v>0</v>
      </c>
      <c r="N349" s="421">
        <v>0</v>
      </c>
      <c r="O349" s="421">
        <v>0</v>
      </c>
      <c r="P349" s="421">
        <v>0</v>
      </c>
      <c r="Q349" s="421">
        <v>0</v>
      </c>
      <c r="R349" s="421">
        <v>-0.70753299969045202</v>
      </c>
      <c r="S349" s="423">
        <v>-78.948458871790905</v>
      </c>
      <c r="T349" s="412"/>
    </row>
    <row r="350" spans="2:20" ht="13.5">
      <c r="B350" s="412"/>
      <c r="C350" s="420" t="s">
        <v>64</v>
      </c>
      <c r="D350" s="421">
        <v>0</v>
      </c>
      <c r="E350" s="421">
        <v>0</v>
      </c>
      <c r="F350" s="421">
        <v>0</v>
      </c>
      <c r="G350" s="421">
        <v>0</v>
      </c>
      <c r="H350" s="421">
        <v>0</v>
      </c>
      <c r="I350" s="421">
        <v>0</v>
      </c>
      <c r="J350" s="421">
        <v>0</v>
      </c>
      <c r="K350" s="421">
        <v>0</v>
      </c>
      <c r="L350" s="421">
        <v>0</v>
      </c>
      <c r="M350" s="421">
        <v>0</v>
      </c>
      <c r="N350" s="421">
        <v>0</v>
      </c>
      <c r="O350" s="421">
        <v>0</v>
      </c>
      <c r="P350" s="421">
        <v>0</v>
      </c>
      <c r="Q350" s="421">
        <v>0</v>
      </c>
      <c r="R350" s="421">
        <v>0</v>
      </c>
      <c r="S350" s="423">
        <v>0</v>
      </c>
      <c r="T350" s="412"/>
    </row>
    <row r="351" spans="2:20" ht="13.5">
      <c r="B351" s="412"/>
      <c r="C351" s="424" t="s">
        <v>65</v>
      </c>
      <c r="D351" s="425">
        <v>7.4939151456434798</v>
      </c>
      <c r="E351" s="425">
        <v>266.28302835422397</v>
      </c>
      <c r="F351" s="425">
        <v>-82.753154645856696</v>
      </c>
      <c r="G351" s="425">
        <v>149.61981744478101</v>
      </c>
      <c r="H351" s="425">
        <v>919.39393939393995</v>
      </c>
      <c r="I351" s="425">
        <v>297.2</v>
      </c>
      <c r="J351" s="425">
        <v>293.71785736374301</v>
      </c>
      <c r="K351" s="425">
        <v>38.3991774648144</v>
      </c>
      <c r="L351" s="425">
        <v>-26.158313394490399</v>
      </c>
      <c r="M351" s="425">
        <v>-0.98161150454258395</v>
      </c>
      <c r="N351" s="425">
        <v>91.728344176793996</v>
      </c>
      <c r="O351" s="425">
        <v>16.494075355247801</v>
      </c>
      <c r="P351" s="425">
        <v>25.896699392432499</v>
      </c>
      <c r="Q351" s="425">
        <v>0</v>
      </c>
      <c r="R351" s="425">
        <v>-0.70753299969045202</v>
      </c>
      <c r="S351" s="425">
        <v>1995.6262415470401</v>
      </c>
      <c r="T351" s="412"/>
    </row>
    <row r="352" spans="2:20" ht="13.5">
      <c r="B352" s="412"/>
      <c r="C352" s="426"/>
      <c r="D352" s="427"/>
      <c r="E352" s="427"/>
      <c r="F352" s="427"/>
      <c r="G352" s="427"/>
      <c r="H352" s="427"/>
      <c r="I352" s="427"/>
      <c r="J352" s="427"/>
      <c r="K352" s="427"/>
      <c r="L352" s="427"/>
      <c r="M352" s="427"/>
      <c r="N352" s="427"/>
      <c r="O352" s="427"/>
      <c r="P352" s="427"/>
      <c r="Q352" s="427"/>
      <c r="R352" s="427"/>
      <c r="S352" s="427"/>
      <c r="T352" s="412"/>
    </row>
    <row r="353" spans="2:20" ht="13.5">
      <c r="B353" s="412"/>
      <c r="C353" s="428" t="s">
        <v>67</v>
      </c>
      <c r="D353" s="421">
        <v>0</v>
      </c>
      <c r="E353" s="421">
        <v>0</v>
      </c>
      <c r="F353" s="421">
        <v>0</v>
      </c>
      <c r="G353" s="421">
        <v>0</v>
      </c>
      <c r="H353" s="421">
        <v>0</v>
      </c>
      <c r="I353" s="421">
        <v>0</v>
      </c>
      <c r="J353" s="421">
        <v>0</v>
      </c>
      <c r="K353" s="421">
        <v>0</v>
      </c>
      <c r="L353" s="421">
        <v>0</v>
      </c>
      <c r="M353" s="421">
        <v>0</v>
      </c>
      <c r="N353" s="421">
        <v>0</v>
      </c>
      <c r="O353" s="421">
        <v>0</v>
      </c>
      <c r="P353" s="421">
        <v>0</v>
      </c>
      <c r="Q353" s="421">
        <v>0</v>
      </c>
      <c r="R353" s="421">
        <v>0</v>
      </c>
      <c r="S353" s="429">
        <v>0</v>
      </c>
      <c r="T353" s="412"/>
    </row>
    <row r="354" spans="2:20" ht="13.5">
      <c r="B354" s="412"/>
      <c r="C354" s="428" t="s">
        <v>350</v>
      </c>
      <c r="D354" s="421">
        <v>0</v>
      </c>
      <c r="E354" s="421">
        <v>0</v>
      </c>
      <c r="F354" s="421">
        <v>0</v>
      </c>
      <c r="G354" s="421">
        <v>6.2086956521739101</v>
      </c>
      <c r="H354" s="421">
        <v>919.39393939393904</v>
      </c>
      <c r="I354" s="421">
        <v>297.2</v>
      </c>
      <c r="J354" s="421">
        <v>17.565889816526202</v>
      </c>
      <c r="K354" s="421">
        <v>4.9093303559187103</v>
      </c>
      <c r="L354" s="421">
        <v>0</v>
      </c>
      <c r="M354" s="421">
        <v>2.6608695652173902</v>
      </c>
      <c r="N354" s="421">
        <v>0</v>
      </c>
      <c r="O354" s="421">
        <v>0</v>
      </c>
      <c r="P354" s="421">
        <v>-615.5</v>
      </c>
      <c r="Q354" s="421">
        <v>0</v>
      </c>
      <c r="R354" s="421">
        <v>4.75</v>
      </c>
      <c r="S354" s="429">
        <v>637.18872478377602</v>
      </c>
      <c r="T354" s="412"/>
    </row>
    <row r="355" spans="2:20" ht="13.5">
      <c r="B355" s="412"/>
      <c r="C355" s="428" t="s">
        <v>351</v>
      </c>
      <c r="D355" s="421">
        <v>0</v>
      </c>
      <c r="E355" s="421">
        <v>0</v>
      </c>
      <c r="F355" s="421">
        <v>0</v>
      </c>
      <c r="G355" s="421">
        <v>11.665233563399299</v>
      </c>
      <c r="H355" s="421">
        <v>0</v>
      </c>
      <c r="I355" s="421">
        <v>0</v>
      </c>
      <c r="J355" s="421">
        <v>29.284960707020101</v>
      </c>
      <c r="K355" s="421">
        <v>27.401179727670598</v>
      </c>
      <c r="L355" s="421">
        <v>0</v>
      </c>
      <c r="M355" s="421">
        <v>4.9993858128854303</v>
      </c>
      <c r="N355" s="421">
        <v>0</v>
      </c>
      <c r="O355" s="421">
        <v>11.2068466425665</v>
      </c>
      <c r="P355" s="421">
        <v>0</v>
      </c>
      <c r="Q355" s="421">
        <v>-77.8888709289253</v>
      </c>
      <c r="R355" s="421">
        <v>0</v>
      </c>
      <c r="S355" s="429">
        <v>6.6687355246166398</v>
      </c>
      <c r="T355" s="412"/>
    </row>
    <row r="356" spans="2:20" ht="13.5">
      <c r="B356" s="412"/>
      <c r="C356" s="428" t="s">
        <v>352</v>
      </c>
      <c r="D356" s="421">
        <v>0</v>
      </c>
      <c r="E356" s="421">
        <v>0</v>
      </c>
      <c r="F356" s="421">
        <v>0</v>
      </c>
      <c r="G356" s="421">
        <v>0</v>
      </c>
      <c r="H356" s="421">
        <v>0</v>
      </c>
      <c r="I356" s="421">
        <v>0</v>
      </c>
      <c r="J356" s="421">
        <v>67.617330016206097</v>
      </c>
      <c r="K356" s="421">
        <v>0</v>
      </c>
      <c r="L356" s="421">
        <v>0</v>
      </c>
      <c r="M356" s="421">
        <v>-61.700813639788102</v>
      </c>
      <c r="N356" s="421">
        <v>0</v>
      </c>
      <c r="O356" s="421">
        <v>0</v>
      </c>
      <c r="P356" s="421">
        <v>0</v>
      </c>
      <c r="Q356" s="421">
        <v>0</v>
      </c>
      <c r="R356" s="421">
        <v>0</v>
      </c>
      <c r="S356" s="429">
        <v>5.9165163764180404</v>
      </c>
      <c r="T356" s="412"/>
    </row>
    <row r="357" spans="2:20" ht="13.5">
      <c r="B357" s="412"/>
      <c r="C357" s="428" t="s">
        <v>353</v>
      </c>
      <c r="D357" s="421">
        <v>0</v>
      </c>
      <c r="E357" s="421">
        <v>0</v>
      </c>
      <c r="F357" s="421">
        <v>0</v>
      </c>
      <c r="G357" s="421">
        <v>0</v>
      </c>
      <c r="H357" s="421">
        <v>0</v>
      </c>
      <c r="I357" s="421">
        <v>0</v>
      </c>
      <c r="J357" s="421">
        <v>0</v>
      </c>
      <c r="K357" s="421">
        <v>0</v>
      </c>
      <c r="L357" s="421">
        <v>0</v>
      </c>
      <c r="M357" s="421">
        <v>0</v>
      </c>
      <c r="N357" s="421">
        <v>0</v>
      </c>
      <c r="O357" s="421">
        <v>0</v>
      </c>
      <c r="P357" s="421">
        <v>0</v>
      </c>
      <c r="Q357" s="421">
        <v>0</v>
      </c>
      <c r="R357" s="421">
        <v>0</v>
      </c>
      <c r="S357" s="429">
        <v>0</v>
      </c>
      <c r="T357" s="412"/>
    </row>
    <row r="358" spans="2:20" ht="13.5">
      <c r="B358" s="412"/>
      <c r="C358" s="428" t="s">
        <v>72</v>
      </c>
      <c r="D358" s="421">
        <v>0</v>
      </c>
      <c r="E358" s="421">
        <v>275.84091609698402</v>
      </c>
      <c r="F358" s="421">
        <v>-273.082506936014</v>
      </c>
      <c r="G358" s="421">
        <v>0</v>
      </c>
      <c r="H358" s="421">
        <v>0</v>
      </c>
      <c r="I358" s="421">
        <v>0</v>
      </c>
      <c r="J358" s="421">
        <v>0</v>
      </c>
      <c r="K358" s="421">
        <v>0</v>
      </c>
      <c r="L358" s="421">
        <v>0</v>
      </c>
      <c r="M358" s="421">
        <v>0</v>
      </c>
      <c r="N358" s="421">
        <v>0</v>
      </c>
      <c r="O358" s="421">
        <v>0</v>
      </c>
      <c r="P358" s="421">
        <v>0</v>
      </c>
      <c r="Q358" s="421">
        <v>0</v>
      </c>
      <c r="R358" s="421">
        <v>0</v>
      </c>
      <c r="S358" s="429">
        <v>2.7584091609698498</v>
      </c>
      <c r="T358" s="412"/>
    </row>
    <row r="359" spans="2:20" ht="13.5">
      <c r="B359" s="412"/>
      <c r="C359" s="428" t="s">
        <v>354</v>
      </c>
      <c r="D359" s="421">
        <v>0</v>
      </c>
      <c r="E359" s="421">
        <v>0</v>
      </c>
      <c r="F359" s="421">
        <v>0</v>
      </c>
      <c r="G359" s="421">
        <v>0</v>
      </c>
      <c r="H359" s="421">
        <v>0</v>
      </c>
      <c r="I359" s="421">
        <v>0</v>
      </c>
      <c r="J359" s="421">
        <v>94.973460214546293</v>
      </c>
      <c r="K359" s="421">
        <v>0</v>
      </c>
      <c r="L359" s="421">
        <v>-94.973460214546293</v>
      </c>
      <c r="M359" s="421">
        <v>0</v>
      </c>
      <c r="N359" s="421">
        <v>0</v>
      </c>
      <c r="O359" s="421">
        <v>0</v>
      </c>
      <c r="P359" s="421">
        <v>0</v>
      </c>
      <c r="Q359" s="421">
        <v>0</v>
      </c>
      <c r="R359" s="421">
        <v>0</v>
      </c>
      <c r="S359" s="429">
        <v>0</v>
      </c>
      <c r="T359" s="412"/>
    </row>
    <row r="360" spans="2:20" ht="13.5">
      <c r="B360" s="412"/>
      <c r="C360" s="428" t="s">
        <v>355</v>
      </c>
      <c r="D360" s="421">
        <v>0</v>
      </c>
      <c r="E360" s="421">
        <v>0</v>
      </c>
      <c r="F360" s="421">
        <v>0</v>
      </c>
      <c r="G360" s="421">
        <v>0</v>
      </c>
      <c r="H360" s="421">
        <v>0</v>
      </c>
      <c r="I360" s="421">
        <v>0</v>
      </c>
      <c r="J360" s="421">
        <v>0</v>
      </c>
      <c r="K360" s="421">
        <v>0</v>
      </c>
      <c r="L360" s="421">
        <v>-18.919398689376301</v>
      </c>
      <c r="M360" s="421">
        <v>0</v>
      </c>
      <c r="N360" s="421">
        <v>0</v>
      </c>
      <c r="O360" s="421">
        <v>0</v>
      </c>
      <c r="P360" s="421">
        <v>0</v>
      </c>
      <c r="Q360" s="421">
        <v>0</v>
      </c>
      <c r="R360" s="421">
        <v>27.027712413394799</v>
      </c>
      <c r="S360" s="429">
        <v>8.10831372401843</v>
      </c>
      <c r="T360" s="412"/>
    </row>
    <row r="361" spans="2:20" ht="13.5">
      <c r="B361" s="412"/>
      <c r="C361" s="428" t="s">
        <v>73</v>
      </c>
      <c r="D361" s="421">
        <v>0</v>
      </c>
      <c r="E361" s="421">
        <v>0</v>
      </c>
      <c r="F361" s="421">
        <v>0</v>
      </c>
      <c r="G361" s="421">
        <v>11.241873404965199</v>
      </c>
      <c r="H361" s="421">
        <v>0</v>
      </c>
      <c r="I361" s="421">
        <v>0</v>
      </c>
      <c r="J361" s="421">
        <v>0</v>
      </c>
      <c r="K361" s="421">
        <v>0.80299095749751603</v>
      </c>
      <c r="L361" s="421">
        <v>0</v>
      </c>
      <c r="M361" s="421">
        <v>4.8179457449851002</v>
      </c>
      <c r="N361" s="421">
        <v>0</v>
      </c>
      <c r="O361" s="421">
        <v>0</v>
      </c>
      <c r="P361" s="421">
        <v>64.825401386295795</v>
      </c>
      <c r="Q361" s="421">
        <v>0</v>
      </c>
      <c r="R361" s="421">
        <v>-56.209367024826101</v>
      </c>
      <c r="S361" s="429">
        <v>25.478844468917501</v>
      </c>
      <c r="T361" s="412"/>
    </row>
    <row r="362" spans="2:20" ht="13.5">
      <c r="B362" s="412"/>
      <c r="C362" s="428" t="s">
        <v>356</v>
      </c>
      <c r="D362" s="421">
        <v>2.3505202026367198</v>
      </c>
      <c r="E362" s="421">
        <v>-9.55788774276051</v>
      </c>
      <c r="F362" s="421">
        <v>12.5011526289501</v>
      </c>
      <c r="G362" s="421">
        <v>0</v>
      </c>
      <c r="H362" s="421">
        <v>0</v>
      </c>
      <c r="I362" s="421">
        <v>0</v>
      </c>
      <c r="J362" s="421">
        <v>0</v>
      </c>
      <c r="K362" s="421">
        <v>0</v>
      </c>
      <c r="L362" s="421">
        <v>0</v>
      </c>
      <c r="M362" s="421">
        <v>0</v>
      </c>
      <c r="N362" s="421">
        <v>0</v>
      </c>
      <c r="O362" s="421">
        <v>0</v>
      </c>
      <c r="P362" s="421">
        <v>0</v>
      </c>
      <c r="Q362" s="421">
        <v>0</v>
      </c>
      <c r="R362" s="421">
        <v>0</v>
      </c>
      <c r="S362" s="429">
        <v>5.2937850888262901</v>
      </c>
      <c r="T362" s="412"/>
    </row>
    <row r="363" spans="2:20" ht="13.5">
      <c r="B363" s="412"/>
      <c r="C363" s="428" t="s">
        <v>75</v>
      </c>
      <c r="D363" s="421">
        <v>3.4784289550781202</v>
      </c>
      <c r="E363" s="421">
        <v>0</v>
      </c>
      <c r="F363" s="421">
        <v>17.757847143387401</v>
      </c>
      <c r="G363" s="421">
        <v>3.6194670795198398</v>
      </c>
      <c r="H363" s="421">
        <v>0</v>
      </c>
      <c r="I363" s="421">
        <v>0</v>
      </c>
      <c r="J363" s="421">
        <v>0</v>
      </c>
      <c r="K363" s="421">
        <v>0</v>
      </c>
      <c r="L363" s="421">
        <v>0</v>
      </c>
      <c r="M363" s="421">
        <v>1.55120017693708</v>
      </c>
      <c r="N363" s="421">
        <v>0</v>
      </c>
      <c r="O363" s="421">
        <v>0</v>
      </c>
      <c r="P363" s="421">
        <v>36.310454545454498</v>
      </c>
      <c r="Q363" s="421">
        <v>0</v>
      </c>
      <c r="R363" s="421">
        <v>0</v>
      </c>
      <c r="S363" s="429">
        <v>62.717397900377001</v>
      </c>
      <c r="T363" s="412"/>
    </row>
    <row r="364" spans="2:20" ht="13.5">
      <c r="B364" s="412"/>
      <c r="C364" s="428" t="s">
        <v>76</v>
      </c>
      <c r="D364" s="421">
        <v>0</v>
      </c>
      <c r="E364" s="421">
        <v>0</v>
      </c>
      <c r="F364" s="421">
        <v>0</v>
      </c>
      <c r="G364" s="421">
        <v>1.70713713627872</v>
      </c>
      <c r="H364" s="421">
        <v>0</v>
      </c>
      <c r="I364" s="421">
        <v>0</v>
      </c>
      <c r="J364" s="421">
        <v>0</v>
      </c>
      <c r="K364" s="421">
        <v>0</v>
      </c>
      <c r="L364" s="421">
        <v>0</v>
      </c>
      <c r="M364" s="421">
        <v>0.73163020126230904</v>
      </c>
      <c r="N364" s="421">
        <v>0</v>
      </c>
      <c r="O364" s="421">
        <v>0</v>
      </c>
      <c r="P364" s="421">
        <v>49.155979731830001</v>
      </c>
      <c r="Q364" s="421">
        <v>6.0356689649720803</v>
      </c>
      <c r="R364" s="421">
        <v>0</v>
      </c>
      <c r="S364" s="429">
        <v>57.630416034343099</v>
      </c>
      <c r="T364" s="412"/>
    </row>
    <row r="365" spans="2:20" ht="13.5">
      <c r="B365" s="412"/>
      <c r="C365" s="424" t="s">
        <v>77</v>
      </c>
      <c r="D365" s="425">
        <v>5.82894915771484</v>
      </c>
      <c r="E365" s="425">
        <v>266.28302835422397</v>
      </c>
      <c r="F365" s="425">
        <v>-242.82350716367699</v>
      </c>
      <c r="G365" s="425">
        <v>34.442406836337</v>
      </c>
      <c r="H365" s="425">
        <v>919.39393939393995</v>
      </c>
      <c r="I365" s="425">
        <v>297.2</v>
      </c>
      <c r="J365" s="425">
        <v>209.44164075429899</v>
      </c>
      <c r="K365" s="425">
        <v>33.113501041086799</v>
      </c>
      <c r="L365" s="425">
        <v>-113.892858903923</v>
      </c>
      <c r="M365" s="425">
        <v>-46.939782138500803</v>
      </c>
      <c r="N365" s="425">
        <v>0</v>
      </c>
      <c r="O365" s="425">
        <v>11.2068466425665</v>
      </c>
      <c r="P365" s="425">
        <v>-465.20816433642</v>
      </c>
      <c r="Q365" s="425">
        <v>-71.853201963953296</v>
      </c>
      <c r="R365" s="425">
        <v>-24.431654611431401</v>
      </c>
      <c r="S365" s="425">
        <v>811.76114306226202</v>
      </c>
      <c r="T365" s="412"/>
    </row>
    <row r="366" spans="2:20" ht="13.5">
      <c r="B366" s="412"/>
      <c r="C366" s="426"/>
      <c r="D366" s="427"/>
      <c r="E366" s="427"/>
      <c r="F366" s="427"/>
      <c r="G366" s="427"/>
      <c r="H366" s="427"/>
      <c r="I366" s="427"/>
      <c r="J366" s="427"/>
      <c r="K366" s="427"/>
      <c r="L366" s="427"/>
      <c r="M366" s="427"/>
      <c r="N366" s="427"/>
      <c r="O366" s="427"/>
      <c r="P366" s="427"/>
      <c r="Q366" s="427"/>
      <c r="R366" s="427"/>
      <c r="S366" s="427"/>
      <c r="T366" s="412"/>
    </row>
    <row r="367" spans="2:20" ht="13.5">
      <c r="B367" s="412"/>
      <c r="C367" s="428" t="s">
        <v>78</v>
      </c>
      <c r="D367" s="421">
        <v>1.2914218900282399</v>
      </c>
      <c r="E367" s="421">
        <v>0</v>
      </c>
      <c r="F367" s="421">
        <v>7.8764387202852104</v>
      </c>
      <c r="G367" s="421">
        <v>53.350379932057301</v>
      </c>
      <c r="H367" s="421">
        <v>0</v>
      </c>
      <c r="I367" s="421">
        <v>0</v>
      </c>
      <c r="J367" s="421">
        <v>14.620158681310601</v>
      </c>
      <c r="K367" s="421">
        <v>5.28567642372757</v>
      </c>
      <c r="L367" s="421">
        <v>4.3757583007812499</v>
      </c>
      <c r="M367" s="421">
        <v>22.864448542310299</v>
      </c>
      <c r="N367" s="421">
        <v>0</v>
      </c>
      <c r="O367" s="421">
        <v>0</v>
      </c>
      <c r="P367" s="421">
        <v>138.83144142059001</v>
      </c>
      <c r="Q367" s="421">
        <v>24.198968897330399</v>
      </c>
      <c r="R367" s="421">
        <v>6.850041015625</v>
      </c>
      <c r="S367" s="429">
        <v>279.54473382404501</v>
      </c>
      <c r="T367" s="412"/>
    </row>
    <row r="368" spans="2:20" ht="13.5">
      <c r="B368" s="412"/>
      <c r="C368" s="428" t="s">
        <v>79</v>
      </c>
      <c r="D368" s="421">
        <v>0</v>
      </c>
      <c r="E368" s="421">
        <v>0</v>
      </c>
      <c r="F368" s="421">
        <v>51.208587064668897</v>
      </c>
      <c r="G368" s="421">
        <v>17.942066440325</v>
      </c>
      <c r="H368" s="421">
        <v>0</v>
      </c>
      <c r="I368" s="421">
        <v>0</v>
      </c>
      <c r="J368" s="421">
        <v>0</v>
      </c>
      <c r="K368" s="421">
        <v>0</v>
      </c>
      <c r="L368" s="421">
        <v>51.332808564474597</v>
      </c>
      <c r="M368" s="421">
        <v>7.6894570458535796</v>
      </c>
      <c r="N368" s="421">
        <v>0</v>
      </c>
      <c r="O368" s="421">
        <v>0</v>
      </c>
      <c r="P368" s="421">
        <v>81.112108407408201</v>
      </c>
      <c r="Q368" s="421">
        <v>0</v>
      </c>
      <c r="R368" s="421">
        <v>4.6183032107255597</v>
      </c>
      <c r="S368" s="429">
        <v>213.90333073345599</v>
      </c>
      <c r="T368" s="412"/>
    </row>
    <row r="369" spans="2:20" ht="13.5">
      <c r="B369" s="412"/>
      <c r="C369" s="428" t="s">
        <v>80</v>
      </c>
      <c r="D369" s="421">
        <v>0</v>
      </c>
      <c r="E369" s="421">
        <v>0</v>
      </c>
      <c r="F369" s="421">
        <v>0.59878850754916801</v>
      </c>
      <c r="G369" s="421">
        <v>17.944335255265202</v>
      </c>
      <c r="H369" s="421">
        <v>0</v>
      </c>
      <c r="I369" s="421">
        <v>0</v>
      </c>
      <c r="J369" s="421">
        <v>58.7756577076902</v>
      </c>
      <c r="K369" s="421">
        <v>0</v>
      </c>
      <c r="L369" s="421">
        <v>0</v>
      </c>
      <c r="M369" s="421">
        <v>7.6904293951136404</v>
      </c>
      <c r="N369" s="421">
        <v>77.140439944189495</v>
      </c>
      <c r="O369" s="421">
        <v>2.3876725664027898</v>
      </c>
      <c r="P369" s="421">
        <v>147.94366969867801</v>
      </c>
      <c r="Q369" s="421">
        <v>35.899095037211403</v>
      </c>
      <c r="R369" s="421">
        <v>0</v>
      </c>
      <c r="S369" s="429">
        <v>348.3800881121</v>
      </c>
      <c r="T369" s="412"/>
    </row>
    <row r="370" spans="2:20" ht="13.5">
      <c r="B370" s="412"/>
      <c r="C370" s="428" t="s">
        <v>81</v>
      </c>
      <c r="D370" s="421">
        <v>0</v>
      </c>
      <c r="E370" s="421">
        <v>0</v>
      </c>
      <c r="F370" s="421">
        <v>1.41136233073529</v>
      </c>
      <c r="G370" s="421">
        <v>16.956940670956399</v>
      </c>
      <c r="H370" s="421">
        <v>0</v>
      </c>
      <c r="I370" s="421">
        <v>0</v>
      </c>
      <c r="J370" s="421">
        <v>7.1959049572050198</v>
      </c>
      <c r="K370" s="421">
        <v>0</v>
      </c>
      <c r="L370" s="421">
        <v>0</v>
      </c>
      <c r="M370" s="421">
        <v>7.2672602875527703</v>
      </c>
      <c r="N370" s="421">
        <v>14.587904232604499</v>
      </c>
      <c r="O370" s="421">
        <v>1.59893576487328</v>
      </c>
      <c r="P370" s="421">
        <v>113.624954527706</v>
      </c>
      <c r="Q370" s="421">
        <v>11.7551380294114</v>
      </c>
      <c r="R370" s="421">
        <v>0</v>
      </c>
      <c r="S370" s="429">
        <v>174.398400801045</v>
      </c>
      <c r="T370" s="412"/>
    </row>
    <row r="371" spans="2:20" ht="13.5">
      <c r="B371" s="412"/>
      <c r="C371" s="428" t="s">
        <v>82</v>
      </c>
      <c r="D371" s="421">
        <v>0</v>
      </c>
      <c r="E371" s="421">
        <v>0</v>
      </c>
      <c r="F371" s="421">
        <v>9.3172526318529894</v>
      </c>
      <c r="G371" s="421">
        <v>1.0420091806317999</v>
      </c>
      <c r="H371" s="421">
        <v>0</v>
      </c>
      <c r="I371" s="421">
        <v>0</v>
      </c>
      <c r="J371" s="421">
        <v>3.6844952632387198</v>
      </c>
      <c r="K371" s="421">
        <v>0</v>
      </c>
      <c r="L371" s="421">
        <v>14.271913525768101</v>
      </c>
      <c r="M371" s="421">
        <v>0.44657536312791402</v>
      </c>
      <c r="N371" s="421">
        <v>0</v>
      </c>
      <c r="O371" s="421">
        <v>1.30062038140516</v>
      </c>
      <c r="P371" s="421">
        <v>6.3926896744698603</v>
      </c>
      <c r="Q371" s="421">
        <v>0</v>
      </c>
      <c r="R371" s="421">
        <v>0.325155095351289</v>
      </c>
      <c r="S371" s="429">
        <v>36.780711115845897</v>
      </c>
      <c r="T371" s="412"/>
    </row>
    <row r="372" spans="2:20" ht="13.5">
      <c r="B372" s="412"/>
      <c r="C372" s="428" t="s">
        <v>357</v>
      </c>
      <c r="D372" s="421">
        <v>0</v>
      </c>
      <c r="E372" s="421">
        <v>0</v>
      </c>
      <c r="F372" s="421">
        <v>0</v>
      </c>
      <c r="G372" s="421">
        <v>0</v>
      </c>
      <c r="H372" s="421">
        <v>0</v>
      </c>
      <c r="I372" s="421">
        <v>0</v>
      </c>
      <c r="J372" s="421">
        <v>0</v>
      </c>
      <c r="K372" s="421">
        <v>0</v>
      </c>
      <c r="L372" s="421">
        <v>0</v>
      </c>
      <c r="M372" s="421">
        <v>0</v>
      </c>
      <c r="N372" s="421">
        <v>0</v>
      </c>
      <c r="O372" s="421">
        <v>0</v>
      </c>
      <c r="P372" s="421">
        <v>3.2</v>
      </c>
      <c r="Q372" s="421">
        <v>0</v>
      </c>
      <c r="R372" s="421">
        <v>0</v>
      </c>
      <c r="S372" s="429">
        <v>3.2</v>
      </c>
      <c r="T372" s="412"/>
    </row>
    <row r="373" spans="2:20" ht="13.5">
      <c r="B373" s="412"/>
      <c r="C373" s="424" t="s">
        <v>83</v>
      </c>
      <c r="D373" s="425">
        <v>1.2914218900282399</v>
      </c>
      <c r="E373" s="425">
        <v>0</v>
      </c>
      <c r="F373" s="425">
        <v>70.412429255091595</v>
      </c>
      <c r="G373" s="425">
        <v>107.23573147923599</v>
      </c>
      <c r="H373" s="425">
        <v>0</v>
      </c>
      <c r="I373" s="425">
        <v>0</v>
      </c>
      <c r="J373" s="425">
        <v>84.276216609444504</v>
      </c>
      <c r="K373" s="425">
        <v>5.28567642372757</v>
      </c>
      <c r="L373" s="425">
        <v>69.980480391024003</v>
      </c>
      <c r="M373" s="425">
        <v>45.958170633958197</v>
      </c>
      <c r="N373" s="425">
        <v>91.728344176793996</v>
      </c>
      <c r="O373" s="425">
        <v>5.2872287126812303</v>
      </c>
      <c r="P373" s="425">
        <v>491.10486372885202</v>
      </c>
      <c r="Q373" s="425">
        <v>71.853201963953296</v>
      </c>
      <c r="R373" s="425">
        <v>11.7934993217019</v>
      </c>
      <c r="S373" s="425">
        <v>1056.2072645864901</v>
      </c>
      <c r="T373" s="412"/>
    </row>
    <row r="374" spans="2:20" ht="13.5">
      <c r="B374" s="412"/>
      <c r="C374" s="420" t="s">
        <v>84</v>
      </c>
      <c r="D374" s="421">
        <v>0.373544097900391</v>
      </c>
      <c r="E374" s="421">
        <v>0</v>
      </c>
      <c r="F374" s="421">
        <v>89.657923262728701</v>
      </c>
      <c r="G374" s="421">
        <v>7.94167912920852</v>
      </c>
      <c r="H374" s="421">
        <v>0</v>
      </c>
      <c r="I374" s="421">
        <v>0</v>
      </c>
      <c r="J374" s="421">
        <v>0</v>
      </c>
      <c r="K374" s="421">
        <v>0</v>
      </c>
      <c r="L374" s="421">
        <v>17.754065118408199</v>
      </c>
      <c r="M374" s="421">
        <v>0</v>
      </c>
      <c r="N374" s="421">
        <v>0</v>
      </c>
      <c r="O374" s="421">
        <v>0</v>
      </c>
      <c r="P374" s="421">
        <v>0</v>
      </c>
      <c r="Q374" s="421">
        <v>0</v>
      </c>
      <c r="R374" s="421">
        <v>11.9306222900391</v>
      </c>
      <c r="S374" s="429">
        <v>127.65783389828501</v>
      </c>
      <c r="T374" s="412"/>
    </row>
    <row r="375" spans="2:20" ht="13.5">
      <c r="B375" s="412"/>
      <c r="C375" s="424" t="s">
        <v>85</v>
      </c>
      <c r="D375" s="425">
        <v>1.66496598792863</v>
      </c>
      <c r="E375" s="425">
        <v>0</v>
      </c>
      <c r="F375" s="425">
        <v>160.07035251782</v>
      </c>
      <c r="G375" s="425">
        <v>115.17741060844401</v>
      </c>
      <c r="H375" s="425">
        <v>0</v>
      </c>
      <c r="I375" s="425">
        <v>0</v>
      </c>
      <c r="J375" s="425">
        <v>84.276216609444504</v>
      </c>
      <c r="K375" s="425">
        <v>5.28567642372757</v>
      </c>
      <c r="L375" s="425">
        <v>87.734545509432195</v>
      </c>
      <c r="M375" s="425">
        <v>45.958170633958197</v>
      </c>
      <c r="N375" s="425">
        <v>91.728344176793996</v>
      </c>
      <c r="O375" s="425">
        <v>5.2872287126812303</v>
      </c>
      <c r="P375" s="425">
        <v>491.10486372885202</v>
      </c>
      <c r="Q375" s="425">
        <v>71.853201963953296</v>
      </c>
      <c r="R375" s="425">
        <v>23.724121611740902</v>
      </c>
      <c r="S375" s="425">
        <v>1183.86509848478</v>
      </c>
      <c r="T375" s="412"/>
    </row>
    <row r="376" spans="2:20">
      <c r="B376" s="412"/>
      <c r="C376" s="412"/>
      <c r="D376" s="430">
        <f t="shared" ref="D376:S376" si="7">D375+D365-D351</f>
        <v>-9.7699626167013776E-15</v>
      </c>
      <c r="E376" s="430">
        <f t="shared" si="7"/>
        <v>0</v>
      </c>
      <c r="F376" s="430">
        <f t="shared" si="7"/>
        <v>-2.9842794901924208E-13</v>
      </c>
      <c r="G376" s="430">
        <f t="shared" si="7"/>
        <v>0</v>
      </c>
      <c r="H376" s="430">
        <f t="shared" si="7"/>
        <v>0</v>
      </c>
      <c r="I376" s="430">
        <f t="shared" si="7"/>
        <v>0</v>
      </c>
      <c r="J376" s="430">
        <f t="shared" si="7"/>
        <v>5.1159076974727213E-13</v>
      </c>
      <c r="K376" s="430">
        <f t="shared" si="7"/>
        <v>0</v>
      </c>
      <c r="L376" s="430">
        <f t="shared" si="7"/>
        <v>-4.0500935938325711E-13</v>
      </c>
      <c r="M376" s="430">
        <f t="shared" si="7"/>
        <v>-2.19824158875781E-14</v>
      </c>
      <c r="N376" s="430">
        <f t="shared" si="7"/>
        <v>0</v>
      </c>
      <c r="O376" s="430">
        <f t="shared" si="7"/>
        <v>-7.1054273576010019E-14</v>
      </c>
      <c r="P376" s="430">
        <f t="shared" si="7"/>
        <v>-4.7251091928046662E-13</v>
      </c>
      <c r="Q376" s="430">
        <f t="shared" si="7"/>
        <v>0</v>
      </c>
      <c r="R376" s="430">
        <f t="shared" si="7"/>
        <v>-4.7739590058881731E-14</v>
      </c>
      <c r="S376" s="430">
        <f t="shared" si="7"/>
        <v>1.8189894035458565E-12</v>
      </c>
      <c r="T376" s="412"/>
    </row>
    <row r="377" spans="2:20">
      <c r="B377" s="412"/>
      <c r="C377" s="412"/>
      <c r="D377" s="412"/>
      <c r="E377" s="412"/>
      <c r="F377" s="412"/>
      <c r="G377" s="412"/>
      <c r="H377" s="412"/>
      <c r="I377" s="412"/>
      <c r="J377" s="412"/>
      <c r="K377" s="412"/>
      <c r="L377" s="412"/>
      <c r="M377" s="412"/>
      <c r="N377" s="412"/>
      <c r="O377" s="412"/>
      <c r="P377" s="412"/>
      <c r="Q377" s="412"/>
      <c r="R377" s="412"/>
      <c r="S377" s="412"/>
      <c r="T377" s="412"/>
    </row>
    <row r="378" spans="2:20" ht="13.5">
      <c r="B378" s="416"/>
      <c r="C378" s="417" t="s">
        <v>364</v>
      </c>
      <c r="D378" s="416"/>
      <c r="E378" s="416"/>
      <c r="F378" s="416"/>
      <c r="G378" s="416"/>
      <c r="H378" s="416"/>
      <c r="I378" s="416"/>
      <c r="J378" s="416"/>
      <c r="K378" s="416"/>
      <c r="L378" s="416"/>
      <c r="M378" s="416"/>
      <c r="N378" s="416"/>
      <c r="O378" s="416"/>
      <c r="P378" s="416"/>
      <c r="Q378" s="416"/>
      <c r="R378" s="416"/>
      <c r="S378" s="416"/>
      <c r="T378" s="416"/>
    </row>
    <row r="379" spans="2:20">
      <c r="B379" s="412"/>
      <c r="C379" s="412"/>
      <c r="D379" s="412"/>
      <c r="E379" s="412"/>
      <c r="F379" s="412"/>
      <c r="G379" s="412"/>
      <c r="H379" s="412"/>
      <c r="I379" s="412"/>
      <c r="J379" s="412"/>
      <c r="K379" s="412"/>
      <c r="L379" s="412"/>
      <c r="M379" s="412"/>
      <c r="N379" s="412"/>
      <c r="O379" s="412"/>
      <c r="P379" s="412"/>
      <c r="Q379" s="412"/>
      <c r="R379" s="412"/>
      <c r="S379" s="412"/>
      <c r="T379" s="412"/>
    </row>
    <row r="380" spans="2:20" ht="13.5" customHeight="1">
      <c r="B380" s="412"/>
      <c r="C380" s="702" t="s">
        <v>128</v>
      </c>
      <c r="D380" s="703" t="s">
        <v>42</v>
      </c>
      <c r="E380" s="703" t="s">
        <v>52</v>
      </c>
      <c r="F380" s="703" t="s">
        <v>53</v>
      </c>
      <c r="G380" s="703" t="s">
        <v>32</v>
      </c>
      <c r="H380" s="703" t="s">
        <v>20</v>
      </c>
      <c r="I380" s="703" t="s">
        <v>55</v>
      </c>
      <c r="J380" s="703" t="s">
        <v>56</v>
      </c>
      <c r="K380" s="703"/>
      <c r="L380" s="703"/>
      <c r="M380" s="703"/>
      <c r="N380" s="703"/>
      <c r="O380" s="703"/>
      <c r="P380" s="703" t="s">
        <v>57</v>
      </c>
      <c r="Q380" s="703" t="s">
        <v>58</v>
      </c>
      <c r="R380" s="703" t="s">
        <v>31</v>
      </c>
      <c r="S380" s="703" t="s">
        <v>10</v>
      </c>
      <c r="T380" s="412"/>
    </row>
    <row r="381" spans="2:20" ht="57.5">
      <c r="B381" s="412"/>
      <c r="C381" s="702"/>
      <c r="D381" s="703"/>
      <c r="E381" s="703"/>
      <c r="F381" s="703"/>
      <c r="G381" s="703"/>
      <c r="H381" s="703"/>
      <c r="I381" s="703"/>
      <c r="J381" s="418" t="s">
        <v>338</v>
      </c>
      <c r="K381" s="418" t="s">
        <v>40</v>
      </c>
      <c r="L381" s="418" t="s">
        <v>346</v>
      </c>
      <c r="M381" s="418" t="s">
        <v>347</v>
      </c>
      <c r="N381" s="419" t="s">
        <v>348</v>
      </c>
      <c r="O381" s="418" t="s">
        <v>349</v>
      </c>
      <c r="P381" s="703"/>
      <c r="Q381" s="703"/>
      <c r="R381" s="703"/>
      <c r="S381" s="703"/>
      <c r="T381" s="412"/>
    </row>
    <row r="382" spans="2:20" ht="13.5">
      <c r="B382" s="412"/>
      <c r="C382" s="420" t="s">
        <v>59</v>
      </c>
      <c r="D382" s="421">
        <v>0</v>
      </c>
      <c r="E382" s="421">
        <v>0</v>
      </c>
      <c r="F382" s="421">
        <v>0</v>
      </c>
      <c r="G382" s="421">
        <v>0</v>
      </c>
      <c r="H382" s="422">
        <v>842.12121212121201</v>
      </c>
      <c r="I382" s="422">
        <v>358.55</v>
      </c>
      <c r="J382" s="422">
        <v>303.87805553693403</v>
      </c>
      <c r="K382" s="422">
        <v>37.407021205815497</v>
      </c>
      <c r="L382" s="421">
        <v>0</v>
      </c>
      <c r="M382" s="421">
        <v>0</v>
      </c>
      <c r="N382" s="422">
        <v>108.611838905018</v>
      </c>
      <c r="O382" s="422">
        <v>19.501173338019399</v>
      </c>
      <c r="P382" s="421">
        <v>0</v>
      </c>
      <c r="Q382" s="421">
        <v>0</v>
      </c>
      <c r="R382" s="421">
        <v>0</v>
      </c>
      <c r="S382" s="423">
        <v>1670.069301107</v>
      </c>
      <c r="T382" s="412"/>
    </row>
    <row r="383" spans="2:20" ht="13.5">
      <c r="B383" s="412"/>
      <c r="C383" s="420" t="s">
        <v>60</v>
      </c>
      <c r="D383" s="421">
        <v>5.7319330443436396</v>
      </c>
      <c r="E383" s="421">
        <v>189.941148015496</v>
      </c>
      <c r="F383" s="421">
        <v>0</v>
      </c>
      <c r="G383" s="421">
        <v>90.6863865174073</v>
      </c>
      <c r="H383" s="421">
        <v>0</v>
      </c>
      <c r="I383" s="421">
        <v>0</v>
      </c>
      <c r="J383" s="421">
        <v>0</v>
      </c>
      <c r="K383" s="421">
        <v>0</v>
      </c>
      <c r="L383" s="421">
        <v>0</v>
      </c>
      <c r="M383" s="421">
        <v>0</v>
      </c>
      <c r="N383" s="421">
        <v>0</v>
      </c>
      <c r="O383" s="421">
        <v>0</v>
      </c>
      <c r="P383" s="421">
        <v>18.852796757266699</v>
      </c>
      <c r="Q383" s="421">
        <v>0</v>
      </c>
      <c r="R383" s="421">
        <v>0</v>
      </c>
      <c r="S383" s="423">
        <v>305.21226433451301</v>
      </c>
      <c r="T383" s="412"/>
    </row>
    <row r="384" spans="2:20" ht="13.5">
      <c r="B384" s="412"/>
      <c r="C384" s="420" t="s">
        <v>61</v>
      </c>
      <c r="D384" s="421">
        <v>0</v>
      </c>
      <c r="E384" s="421">
        <v>0</v>
      </c>
      <c r="F384" s="421">
        <v>-18.054674208998499</v>
      </c>
      <c r="G384" s="421">
        <v>0</v>
      </c>
      <c r="H384" s="421">
        <v>0</v>
      </c>
      <c r="I384" s="421">
        <v>0</v>
      </c>
      <c r="J384" s="421">
        <v>0</v>
      </c>
      <c r="K384" s="421">
        <v>0</v>
      </c>
      <c r="L384" s="421">
        <v>0</v>
      </c>
      <c r="M384" s="421">
        <v>0</v>
      </c>
      <c r="N384" s="421">
        <v>0</v>
      </c>
      <c r="O384" s="421">
        <v>0</v>
      </c>
      <c r="P384" s="421">
        <v>0</v>
      </c>
      <c r="Q384" s="421">
        <v>0</v>
      </c>
      <c r="R384" s="421">
        <v>0</v>
      </c>
      <c r="S384" s="423">
        <v>-18.054674208998499</v>
      </c>
      <c r="T384" s="412"/>
    </row>
    <row r="385" spans="2:20" ht="13.5">
      <c r="B385" s="412"/>
      <c r="C385" s="420" t="s">
        <v>62</v>
      </c>
      <c r="D385" s="421">
        <v>0</v>
      </c>
      <c r="E385" s="421">
        <v>0</v>
      </c>
      <c r="F385" s="421">
        <v>-7.5188933675233596</v>
      </c>
      <c r="G385" s="421">
        <v>-2.1851276585702299</v>
      </c>
      <c r="H385" s="421">
        <v>0</v>
      </c>
      <c r="I385" s="421">
        <v>0</v>
      </c>
      <c r="J385" s="421">
        <v>0</v>
      </c>
      <c r="K385" s="421">
        <v>0</v>
      </c>
      <c r="L385" s="421">
        <v>0</v>
      </c>
      <c r="M385" s="421">
        <v>-2.1851276585702299</v>
      </c>
      <c r="N385" s="421">
        <v>0</v>
      </c>
      <c r="O385" s="421">
        <v>0</v>
      </c>
      <c r="P385" s="421">
        <v>0</v>
      </c>
      <c r="Q385" s="421">
        <v>0</v>
      </c>
      <c r="R385" s="421">
        <v>0</v>
      </c>
      <c r="S385" s="423">
        <v>-11.8891486846638</v>
      </c>
      <c r="T385" s="412"/>
    </row>
    <row r="386" spans="2:20" ht="13.5">
      <c r="B386" s="412"/>
      <c r="C386" s="420" t="s">
        <v>63</v>
      </c>
      <c r="D386" s="421">
        <v>0</v>
      </c>
      <c r="E386" s="421">
        <v>0</v>
      </c>
      <c r="F386" s="421">
        <v>-48.913982221755198</v>
      </c>
      <c r="G386" s="421">
        <v>0</v>
      </c>
      <c r="H386" s="421">
        <v>0</v>
      </c>
      <c r="I386" s="421">
        <v>0</v>
      </c>
      <c r="J386" s="421">
        <v>0</v>
      </c>
      <c r="K386" s="421">
        <v>0</v>
      </c>
      <c r="L386" s="421">
        <v>-32.619142548425003</v>
      </c>
      <c r="M386" s="421">
        <v>0</v>
      </c>
      <c r="N386" s="421">
        <v>0</v>
      </c>
      <c r="O386" s="421">
        <v>0</v>
      </c>
      <c r="P386" s="421">
        <v>0</v>
      </c>
      <c r="Q386" s="421">
        <v>0</v>
      </c>
      <c r="R386" s="421">
        <v>-1.6805745775177701</v>
      </c>
      <c r="S386" s="423">
        <v>-83.213699347697997</v>
      </c>
      <c r="T386" s="412"/>
    </row>
    <row r="387" spans="2:20" ht="13.5">
      <c r="B387" s="412"/>
      <c r="C387" s="420" t="s">
        <v>64</v>
      </c>
      <c r="D387" s="421">
        <v>0</v>
      </c>
      <c r="E387" s="421">
        <v>0</v>
      </c>
      <c r="F387" s="421">
        <v>0</v>
      </c>
      <c r="G387" s="421">
        <v>0</v>
      </c>
      <c r="H387" s="421">
        <v>0</v>
      </c>
      <c r="I387" s="421">
        <v>0</v>
      </c>
      <c r="J387" s="421">
        <v>0</v>
      </c>
      <c r="K387" s="421">
        <v>0</v>
      </c>
      <c r="L387" s="421">
        <v>0</v>
      </c>
      <c r="M387" s="421">
        <v>0</v>
      </c>
      <c r="N387" s="421">
        <v>0</v>
      </c>
      <c r="O387" s="421">
        <v>0</v>
      </c>
      <c r="P387" s="421">
        <v>0</v>
      </c>
      <c r="Q387" s="421">
        <v>0</v>
      </c>
      <c r="R387" s="421">
        <v>0</v>
      </c>
      <c r="S387" s="423">
        <v>0</v>
      </c>
      <c r="T387" s="412"/>
    </row>
    <row r="388" spans="2:20" ht="13.5">
      <c r="B388" s="412"/>
      <c r="C388" s="424" t="s">
        <v>65</v>
      </c>
      <c r="D388" s="425">
        <v>5.7319330443436396</v>
      </c>
      <c r="E388" s="425">
        <v>189.941148015496</v>
      </c>
      <c r="F388" s="425">
        <v>-74.487549798277101</v>
      </c>
      <c r="G388" s="425">
        <v>88.501258858837105</v>
      </c>
      <c r="H388" s="425">
        <v>842.12121212121201</v>
      </c>
      <c r="I388" s="425">
        <v>358.55</v>
      </c>
      <c r="J388" s="425">
        <v>303.87805553693403</v>
      </c>
      <c r="K388" s="425">
        <v>37.407021205815497</v>
      </c>
      <c r="L388" s="425">
        <v>-32.619142548425003</v>
      </c>
      <c r="M388" s="425">
        <v>-2.1851276585702299</v>
      </c>
      <c r="N388" s="425">
        <v>108.611838905018</v>
      </c>
      <c r="O388" s="425">
        <v>19.501173338019399</v>
      </c>
      <c r="P388" s="425">
        <v>18.852796757266699</v>
      </c>
      <c r="Q388" s="425">
        <v>0</v>
      </c>
      <c r="R388" s="425">
        <v>-1.6805745775177701</v>
      </c>
      <c r="S388" s="425">
        <v>1862.12404320015</v>
      </c>
      <c r="T388" s="412"/>
    </row>
    <row r="389" spans="2:20" ht="13.5">
      <c r="B389" s="412"/>
      <c r="C389" s="426"/>
      <c r="D389" s="427"/>
      <c r="E389" s="427"/>
      <c r="F389" s="427"/>
      <c r="G389" s="427"/>
      <c r="H389" s="427"/>
      <c r="I389" s="427"/>
      <c r="J389" s="427"/>
      <c r="K389" s="427"/>
      <c r="L389" s="427"/>
      <c r="M389" s="427"/>
      <c r="N389" s="427"/>
      <c r="O389" s="427"/>
      <c r="P389" s="427"/>
      <c r="Q389" s="427"/>
      <c r="R389" s="427"/>
      <c r="S389" s="427"/>
      <c r="T389" s="412"/>
    </row>
    <row r="390" spans="2:20" ht="13.5">
      <c r="B390" s="412"/>
      <c r="C390" s="428" t="s">
        <v>67</v>
      </c>
      <c r="D390" s="421">
        <v>0</v>
      </c>
      <c r="E390" s="421">
        <v>0</v>
      </c>
      <c r="F390" s="421">
        <v>0</v>
      </c>
      <c r="G390" s="421">
        <v>0</v>
      </c>
      <c r="H390" s="421">
        <v>0</v>
      </c>
      <c r="I390" s="421">
        <v>0</v>
      </c>
      <c r="J390" s="421">
        <v>0</v>
      </c>
      <c r="K390" s="421">
        <v>0</v>
      </c>
      <c r="L390" s="421">
        <v>0</v>
      </c>
      <c r="M390" s="421">
        <v>0</v>
      </c>
      <c r="N390" s="421">
        <v>0</v>
      </c>
      <c r="O390" s="421">
        <v>0</v>
      </c>
      <c r="P390" s="421">
        <v>0</v>
      </c>
      <c r="Q390" s="421">
        <v>0</v>
      </c>
      <c r="R390" s="421">
        <v>0</v>
      </c>
      <c r="S390" s="429">
        <v>0</v>
      </c>
      <c r="T390" s="412"/>
    </row>
    <row r="391" spans="2:20" ht="13.5">
      <c r="B391" s="412"/>
      <c r="C391" s="428" t="s">
        <v>350</v>
      </c>
      <c r="D391" s="421">
        <v>0</v>
      </c>
      <c r="E391" s="421">
        <v>0</v>
      </c>
      <c r="F391" s="421">
        <v>0</v>
      </c>
      <c r="G391" s="421">
        <v>2.3404255319148901</v>
      </c>
      <c r="H391" s="421">
        <v>842.12121212121201</v>
      </c>
      <c r="I391" s="421">
        <v>358.55</v>
      </c>
      <c r="J391" s="421">
        <v>16.2099501273347</v>
      </c>
      <c r="K391" s="421">
        <v>4.5869971469173096</v>
      </c>
      <c r="L391" s="421">
        <v>0</v>
      </c>
      <c r="M391" s="421">
        <v>2.3404255319148901</v>
      </c>
      <c r="N391" s="421">
        <v>0</v>
      </c>
      <c r="O391" s="421">
        <v>0</v>
      </c>
      <c r="P391" s="421">
        <v>-649</v>
      </c>
      <c r="Q391" s="421">
        <v>0</v>
      </c>
      <c r="R391" s="421">
        <v>4.25</v>
      </c>
      <c r="S391" s="429">
        <v>581.399010459294</v>
      </c>
      <c r="T391" s="412"/>
    </row>
    <row r="392" spans="2:20" ht="13.5">
      <c r="B392" s="412"/>
      <c r="C392" s="428" t="s">
        <v>351</v>
      </c>
      <c r="D392" s="421">
        <v>0</v>
      </c>
      <c r="E392" s="421">
        <v>0</v>
      </c>
      <c r="F392" s="421">
        <v>0</v>
      </c>
      <c r="G392" s="421">
        <v>6.6963140641677699</v>
      </c>
      <c r="H392" s="421">
        <v>0</v>
      </c>
      <c r="I392" s="421">
        <v>0</v>
      </c>
      <c r="J392" s="421">
        <v>28.753458003311501</v>
      </c>
      <c r="K392" s="421">
        <v>27.176732157472099</v>
      </c>
      <c r="L392" s="421">
        <v>0</v>
      </c>
      <c r="M392" s="421">
        <v>6.6963140641677699</v>
      </c>
      <c r="N392" s="421">
        <v>0</v>
      </c>
      <c r="O392" s="421">
        <v>13.1597379771096</v>
      </c>
      <c r="P392" s="421">
        <v>0</v>
      </c>
      <c r="Q392" s="421">
        <v>-76.511380322397699</v>
      </c>
      <c r="R392" s="421">
        <v>0</v>
      </c>
      <c r="S392" s="429">
        <v>5.9711759438309997</v>
      </c>
      <c r="T392" s="412"/>
    </row>
    <row r="393" spans="2:20" ht="13.5">
      <c r="B393" s="412"/>
      <c r="C393" s="428" t="s">
        <v>352</v>
      </c>
      <c r="D393" s="421">
        <v>0</v>
      </c>
      <c r="E393" s="421">
        <v>0</v>
      </c>
      <c r="F393" s="421">
        <v>0</v>
      </c>
      <c r="G393" s="421">
        <v>0</v>
      </c>
      <c r="H393" s="421">
        <v>0</v>
      </c>
      <c r="I393" s="421">
        <v>0</v>
      </c>
      <c r="J393" s="421">
        <v>90.986216688587803</v>
      </c>
      <c r="K393" s="421">
        <v>0</v>
      </c>
      <c r="L393" s="421">
        <v>0</v>
      </c>
      <c r="M393" s="421">
        <v>-84.958379832968902</v>
      </c>
      <c r="N393" s="421">
        <v>0</v>
      </c>
      <c r="O393" s="421">
        <v>0</v>
      </c>
      <c r="P393" s="421">
        <v>0</v>
      </c>
      <c r="Q393" s="421">
        <v>0</v>
      </c>
      <c r="R393" s="421">
        <v>0</v>
      </c>
      <c r="S393" s="429">
        <v>6.0278368556189399</v>
      </c>
      <c r="T393" s="412"/>
    </row>
    <row r="394" spans="2:20" ht="13.5">
      <c r="B394" s="412"/>
      <c r="C394" s="428" t="s">
        <v>353</v>
      </c>
      <c r="D394" s="421">
        <v>0</v>
      </c>
      <c r="E394" s="421">
        <v>0</v>
      </c>
      <c r="F394" s="421">
        <v>0</v>
      </c>
      <c r="G394" s="421">
        <v>0</v>
      </c>
      <c r="H394" s="421">
        <v>0</v>
      </c>
      <c r="I394" s="421">
        <v>0</v>
      </c>
      <c r="J394" s="421">
        <v>0</v>
      </c>
      <c r="K394" s="421">
        <v>0</v>
      </c>
      <c r="L394" s="421">
        <v>0</v>
      </c>
      <c r="M394" s="421">
        <v>0</v>
      </c>
      <c r="N394" s="421">
        <v>0</v>
      </c>
      <c r="O394" s="421">
        <v>0</v>
      </c>
      <c r="P394" s="421">
        <v>0</v>
      </c>
      <c r="Q394" s="421">
        <v>0</v>
      </c>
      <c r="R394" s="421">
        <v>0</v>
      </c>
      <c r="S394" s="429">
        <v>0</v>
      </c>
      <c r="T394" s="412"/>
    </row>
    <row r="395" spans="2:20" ht="13.5">
      <c r="B395" s="412"/>
      <c r="C395" s="428" t="s">
        <v>72</v>
      </c>
      <c r="D395" s="421">
        <v>0</v>
      </c>
      <c r="E395" s="421">
        <v>196.75884188687601</v>
      </c>
      <c r="F395" s="421">
        <v>-194.791253468007</v>
      </c>
      <c r="G395" s="421">
        <v>0</v>
      </c>
      <c r="H395" s="421">
        <v>0</v>
      </c>
      <c r="I395" s="421">
        <v>0</v>
      </c>
      <c r="J395" s="421">
        <v>0</v>
      </c>
      <c r="K395" s="421">
        <v>0</v>
      </c>
      <c r="L395" s="421">
        <v>0</v>
      </c>
      <c r="M395" s="421">
        <v>0</v>
      </c>
      <c r="N395" s="421">
        <v>0</v>
      </c>
      <c r="O395" s="421">
        <v>0</v>
      </c>
      <c r="P395" s="421">
        <v>0</v>
      </c>
      <c r="Q395" s="421">
        <v>0</v>
      </c>
      <c r="R395" s="421">
        <v>0</v>
      </c>
      <c r="S395" s="429">
        <v>1.96758841886876</v>
      </c>
      <c r="T395" s="412"/>
    </row>
    <row r="396" spans="2:20" ht="13.5">
      <c r="B396" s="412"/>
      <c r="C396" s="428" t="s">
        <v>354</v>
      </c>
      <c r="D396" s="421">
        <v>0</v>
      </c>
      <c r="E396" s="421">
        <v>0</v>
      </c>
      <c r="F396" s="421">
        <v>0</v>
      </c>
      <c r="G396" s="421">
        <v>0</v>
      </c>
      <c r="H396" s="421">
        <v>0</v>
      </c>
      <c r="I396" s="421">
        <v>0</v>
      </c>
      <c r="J396" s="421">
        <v>91.449866331740793</v>
      </c>
      <c r="K396" s="421">
        <v>0</v>
      </c>
      <c r="L396" s="421">
        <v>-91.449866331740793</v>
      </c>
      <c r="M396" s="421">
        <v>0</v>
      </c>
      <c r="N396" s="421">
        <v>0</v>
      </c>
      <c r="O396" s="421">
        <v>0</v>
      </c>
      <c r="P396" s="421">
        <v>0</v>
      </c>
      <c r="Q396" s="421">
        <v>0</v>
      </c>
      <c r="R396" s="421">
        <v>0</v>
      </c>
      <c r="S396" s="429">
        <v>0</v>
      </c>
      <c r="T396" s="412"/>
    </row>
    <row r="397" spans="2:20" ht="13.5">
      <c r="B397" s="412"/>
      <c r="C397" s="428" t="s">
        <v>355</v>
      </c>
      <c r="D397" s="421">
        <v>0</v>
      </c>
      <c r="E397" s="421">
        <v>0</v>
      </c>
      <c r="F397" s="421">
        <v>0</v>
      </c>
      <c r="G397" s="421">
        <v>0</v>
      </c>
      <c r="H397" s="421">
        <v>0</v>
      </c>
      <c r="I397" s="421">
        <v>0</v>
      </c>
      <c r="J397" s="421">
        <v>0</v>
      </c>
      <c r="K397" s="421">
        <v>0</v>
      </c>
      <c r="L397" s="421">
        <v>-17.484851678047999</v>
      </c>
      <c r="M397" s="421">
        <v>0</v>
      </c>
      <c r="N397" s="421">
        <v>0</v>
      </c>
      <c r="O397" s="421">
        <v>0</v>
      </c>
      <c r="P397" s="421">
        <v>0</v>
      </c>
      <c r="Q397" s="421">
        <v>0</v>
      </c>
      <c r="R397" s="421">
        <v>24.978359540068499</v>
      </c>
      <c r="S397" s="429">
        <v>7.4935078620205502</v>
      </c>
      <c r="T397" s="412"/>
    </row>
    <row r="398" spans="2:20" ht="13.5">
      <c r="B398" s="412"/>
      <c r="C398" s="428" t="s">
        <v>73</v>
      </c>
      <c r="D398" s="421">
        <v>0</v>
      </c>
      <c r="E398" s="421">
        <v>0</v>
      </c>
      <c r="F398" s="421">
        <v>0</v>
      </c>
      <c r="G398" s="421">
        <v>4.42513238078282</v>
      </c>
      <c r="H398" s="421">
        <v>0</v>
      </c>
      <c r="I398" s="421">
        <v>0</v>
      </c>
      <c r="J398" s="421">
        <v>0</v>
      </c>
      <c r="K398" s="421">
        <v>0.88502647615656305</v>
      </c>
      <c r="L398" s="421">
        <v>0</v>
      </c>
      <c r="M398" s="421">
        <v>4.42513238078282</v>
      </c>
      <c r="N398" s="421">
        <v>0</v>
      </c>
      <c r="O398" s="421">
        <v>0</v>
      </c>
      <c r="P398" s="421">
        <v>78.487045501144294</v>
      </c>
      <c r="Q398" s="421">
        <v>0</v>
      </c>
      <c r="R398" s="421">
        <v>-61.951853330959402</v>
      </c>
      <c r="S398" s="429">
        <v>26.270483407907101</v>
      </c>
      <c r="T398" s="412"/>
    </row>
    <row r="399" spans="2:20" ht="13.5">
      <c r="B399" s="412"/>
      <c r="C399" s="428" t="s">
        <v>356</v>
      </c>
      <c r="D399" s="421">
        <v>1.4001075134277301</v>
      </c>
      <c r="E399" s="421">
        <v>-6.81769387138025</v>
      </c>
      <c r="F399" s="421">
        <v>8.9171408952922295</v>
      </c>
      <c r="G399" s="421">
        <v>0</v>
      </c>
      <c r="H399" s="421">
        <v>0</v>
      </c>
      <c r="I399" s="421">
        <v>0</v>
      </c>
      <c r="J399" s="421">
        <v>0</v>
      </c>
      <c r="K399" s="421">
        <v>0</v>
      </c>
      <c r="L399" s="421">
        <v>0</v>
      </c>
      <c r="M399" s="421">
        <v>0</v>
      </c>
      <c r="N399" s="421">
        <v>0</v>
      </c>
      <c r="O399" s="421">
        <v>0</v>
      </c>
      <c r="P399" s="421">
        <v>0</v>
      </c>
      <c r="Q399" s="421">
        <v>0</v>
      </c>
      <c r="R399" s="421">
        <v>0</v>
      </c>
      <c r="S399" s="429">
        <v>3.4995545373397099</v>
      </c>
      <c r="T399" s="412"/>
    </row>
    <row r="400" spans="2:20" ht="13.5">
      <c r="B400" s="412"/>
      <c r="C400" s="428" t="s">
        <v>75</v>
      </c>
      <c r="D400" s="421">
        <v>2.5854230957031201</v>
      </c>
      <c r="E400" s="421">
        <v>0</v>
      </c>
      <c r="F400" s="421">
        <v>17.0641175716937</v>
      </c>
      <c r="G400" s="421">
        <v>2.4843347641142302</v>
      </c>
      <c r="H400" s="421">
        <v>0</v>
      </c>
      <c r="I400" s="421">
        <v>0</v>
      </c>
      <c r="J400" s="421">
        <v>0</v>
      </c>
      <c r="K400" s="421">
        <v>0</v>
      </c>
      <c r="L400" s="421">
        <v>0</v>
      </c>
      <c r="M400" s="421">
        <v>2.4843347641142302</v>
      </c>
      <c r="N400" s="421">
        <v>0</v>
      </c>
      <c r="O400" s="421">
        <v>0</v>
      </c>
      <c r="P400" s="421">
        <v>36.438409090909097</v>
      </c>
      <c r="Q400" s="421">
        <v>0</v>
      </c>
      <c r="R400" s="421">
        <v>0</v>
      </c>
      <c r="S400" s="429">
        <v>61.056619286534399</v>
      </c>
      <c r="T400" s="412"/>
    </row>
    <row r="401" spans="2:20" ht="13.5">
      <c r="B401" s="412"/>
      <c r="C401" s="428" t="s">
        <v>76</v>
      </c>
      <c r="D401" s="421">
        <v>0</v>
      </c>
      <c r="E401" s="421">
        <v>0</v>
      </c>
      <c r="F401" s="421">
        <v>0</v>
      </c>
      <c r="G401" s="421">
        <v>1.00741161857275</v>
      </c>
      <c r="H401" s="421">
        <v>0</v>
      </c>
      <c r="I401" s="421">
        <v>0</v>
      </c>
      <c r="J401" s="421">
        <v>0</v>
      </c>
      <c r="K401" s="421">
        <v>0</v>
      </c>
      <c r="L401" s="421">
        <v>0</v>
      </c>
      <c r="M401" s="421">
        <v>1.00741161857275</v>
      </c>
      <c r="N401" s="421">
        <v>0</v>
      </c>
      <c r="O401" s="421">
        <v>0</v>
      </c>
      <c r="P401" s="421">
        <v>51.1835476739179</v>
      </c>
      <c r="Q401" s="421">
        <v>5.9289261504441004</v>
      </c>
      <c r="R401" s="421">
        <v>0</v>
      </c>
      <c r="S401" s="429">
        <v>59.127297061507498</v>
      </c>
      <c r="T401" s="412"/>
    </row>
    <row r="402" spans="2:20" ht="13.5">
      <c r="B402" s="412"/>
      <c r="C402" s="424" t="s">
        <v>77</v>
      </c>
      <c r="D402" s="425">
        <v>3.9855306091308602</v>
      </c>
      <c r="E402" s="425">
        <v>189.941148015496</v>
      </c>
      <c r="F402" s="425">
        <v>-168.80999500102101</v>
      </c>
      <c r="G402" s="425">
        <v>16.9536183595525</v>
      </c>
      <c r="H402" s="425">
        <v>842.12121212121201</v>
      </c>
      <c r="I402" s="425">
        <v>358.55</v>
      </c>
      <c r="J402" s="425">
        <v>227.399491150975</v>
      </c>
      <c r="K402" s="425">
        <v>32.648755780545898</v>
      </c>
      <c r="L402" s="425">
        <v>-108.93471800978899</v>
      </c>
      <c r="M402" s="425">
        <v>-68.004761473416394</v>
      </c>
      <c r="N402" s="425">
        <v>0</v>
      </c>
      <c r="O402" s="425">
        <v>13.1597379771096</v>
      </c>
      <c r="P402" s="425">
        <v>-482.89099773402899</v>
      </c>
      <c r="Q402" s="425">
        <v>-70.5824541719536</v>
      </c>
      <c r="R402" s="425">
        <v>-32.723493790890899</v>
      </c>
      <c r="S402" s="425">
        <v>752.81307383292199</v>
      </c>
      <c r="T402" s="412"/>
    </row>
    <row r="403" spans="2:20" ht="13.5">
      <c r="B403" s="412"/>
      <c r="C403" s="426"/>
      <c r="D403" s="427"/>
      <c r="E403" s="427"/>
      <c r="F403" s="427"/>
      <c r="G403" s="427"/>
      <c r="H403" s="427"/>
      <c r="I403" s="427"/>
      <c r="J403" s="427"/>
      <c r="K403" s="427"/>
      <c r="L403" s="427"/>
      <c r="M403" s="427"/>
      <c r="N403" s="427"/>
      <c r="O403" s="427"/>
      <c r="P403" s="427"/>
      <c r="Q403" s="427"/>
      <c r="R403" s="427"/>
      <c r="S403" s="427"/>
      <c r="T403" s="412"/>
    </row>
    <row r="404" spans="2:20" ht="13.5">
      <c r="B404" s="412"/>
      <c r="C404" s="428" t="s">
        <v>78</v>
      </c>
      <c r="D404" s="421">
        <v>1.5178805846268399</v>
      </c>
      <c r="E404" s="421">
        <v>0</v>
      </c>
      <c r="F404" s="421">
        <v>3.8156525597214102</v>
      </c>
      <c r="G404" s="421">
        <v>34.872610284028198</v>
      </c>
      <c r="H404" s="421">
        <v>0</v>
      </c>
      <c r="I404" s="421">
        <v>0</v>
      </c>
      <c r="J404" s="421">
        <v>13.9901440703837</v>
      </c>
      <c r="K404" s="421">
        <v>4.7582654252696104</v>
      </c>
      <c r="L404" s="421">
        <v>6.41300463867187</v>
      </c>
      <c r="M404" s="421">
        <v>34.872610284028198</v>
      </c>
      <c r="N404" s="421">
        <v>0</v>
      </c>
      <c r="O404" s="421">
        <v>0</v>
      </c>
      <c r="P404" s="421">
        <v>145.025733372183</v>
      </c>
      <c r="Q404" s="421">
        <v>25.700704560405001</v>
      </c>
      <c r="R404" s="421">
        <v>7.9027373046875002</v>
      </c>
      <c r="S404" s="429">
        <v>278.869343084006</v>
      </c>
      <c r="T404" s="412"/>
    </row>
    <row r="405" spans="2:20" ht="13.5">
      <c r="B405" s="412"/>
      <c r="C405" s="428" t="s">
        <v>79</v>
      </c>
      <c r="D405" s="421">
        <v>0</v>
      </c>
      <c r="E405" s="421">
        <v>0</v>
      </c>
      <c r="F405" s="421">
        <v>11.854069156927601</v>
      </c>
      <c r="G405" s="421">
        <v>13.267062862305901</v>
      </c>
      <c r="H405" s="421">
        <v>0</v>
      </c>
      <c r="I405" s="421">
        <v>0</v>
      </c>
      <c r="J405" s="421">
        <v>0</v>
      </c>
      <c r="K405" s="421">
        <v>0</v>
      </c>
      <c r="L405" s="421">
        <v>27.757428361726902</v>
      </c>
      <c r="M405" s="421">
        <v>13.267062862305901</v>
      </c>
      <c r="N405" s="421">
        <v>0</v>
      </c>
      <c r="O405" s="421">
        <v>0</v>
      </c>
      <c r="P405" s="421">
        <v>93.188917438410897</v>
      </c>
      <c r="Q405" s="421">
        <v>0</v>
      </c>
      <c r="R405" s="421">
        <v>6.3130917169295104</v>
      </c>
      <c r="S405" s="429">
        <v>165.64763239860699</v>
      </c>
      <c r="T405" s="412"/>
    </row>
    <row r="406" spans="2:20" ht="13.5">
      <c r="B406" s="412"/>
      <c r="C406" s="428" t="s">
        <v>80</v>
      </c>
      <c r="D406" s="421">
        <v>0</v>
      </c>
      <c r="E406" s="421">
        <v>0</v>
      </c>
      <c r="F406" s="421">
        <v>0.44885731405196599</v>
      </c>
      <c r="G406" s="421">
        <v>9.8184562905500599</v>
      </c>
      <c r="H406" s="421">
        <v>0</v>
      </c>
      <c r="I406" s="421">
        <v>0</v>
      </c>
      <c r="J406" s="421">
        <v>50.991915500106103</v>
      </c>
      <c r="K406" s="421">
        <v>0</v>
      </c>
      <c r="L406" s="421">
        <v>0</v>
      </c>
      <c r="M406" s="421">
        <v>9.8184562905500599</v>
      </c>
      <c r="N406" s="421">
        <v>93.7833759251793</v>
      </c>
      <c r="O406" s="421">
        <v>3.0807413757867601</v>
      </c>
      <c r="P406" s="421">
        <v>141.51501783018901</v>
      </c>
      <c r="Q406" s="421">
        <v>31.5191114304906</v>
      </c>
      <c r="R406" s="421">
        <v>0</v>
      </c>
      <c r="S406" s="429">
        <v>340.97593195690399</v>
      </c>
      <c r="T406" s="412"/>
    </row>
    <row r="407" spans="2:20" ht="13.5">
      <c r="B407" s="412"/>
      <c r="C407" s="428" t="s">
        <v>81</v>
      </c>
      <c r="D407" s="421">
        <v>0</v>
      </c>
      <c r="E407" s="421">
        <v>0</v>
      </c>
      <c r="F407" s="421">
        <v>0.71263619754816998</v>
      </c>
      <c r="G407" s="421">
        <v>7.4036276177652596</v>
      </c>
      <c r="H407" s="421">
        <v>0</v>
      </c>
      <c r="I407" s="421">
        <v>0</v>
      </c>
      <c r="J407" s="421">
        <v>6.8658928642747901</v>
      </c>
      <c r="K407" s="421">
        <v>0</v>
      </c>
      <c r="L407" s="421">
        <v>0</v>
      </c>
      <c r="M407" s="421">
        <v>7.4036276177652596</v>
      </c>
      <c r="N407" s="421">
        <v>14.8284629798388</v>
      </c>
      <c r="O407" s="421">
        <v>1.5166802918751501</v>
      </c>
      <c r="P407" s="421">
        <v>111.39588290466099</v>
      </c>
      <c r="Q407" s="421">
        <v>13.362638181057999</v>
      </c>
      <c r="R407" s="421">
        <v>0</v>
      </c>
      <c r="S407" s="429">
        <v>163.489448654786</v>
      </c>
      <c r="T407" s="412"/>
    </row>
    <row r="408" spans="2:20" ht="13.5">
      <c r="B408" s="412"/>
      <c r="C408" s="428" t="s">
        <v>82</v>
      </c>
      <c r="D408" s="421">
        <v>0</v>
      </c>
      <c r="E408" s="421">
        <v>0</v>
      </c>
      <c r="F408" s="421">
        <v>2.8549378216016801</v>
      </c>
      <c r="G408" s="421">
        <v>0.45787676019682499</v>
      </c>
      <c r="H408" s="421">
        <v>0</v>
      </c>
      <c r="I408" s="421">
        <v>0</v>
      </c>
      <c r="J408" s="421">
        <v>4.6306119511950996</v>
      </c>
      <c r="K408" s="421">
        <v>0</v>
      </c>
      <c r="L408" s="421">
        <v>17.5819516131867</v>
      </c>
      <c r="M408" s="421">
        <v>0.45787676019682499</v>
      </c>
      <c r="N408" s="421">
        <v>0</v>
      </c>
      <c r="O408" s="421">
        <v>1.7440136932478201</v>
      </c>
      <c r="P408" s="421">
        <v>5.8182429458508897</v>
      </c>
      <c r="Q408" s="421">
        <v>0</v>
      </c>
      <c r="R408" s="421">
        <v>0.384274203596978</v>
      </c>
      <c r="S408" s="429">
        <v>33.929785749072799</v>
      </c>
      <c r="T408" s="412"/>
    </row>
    <row r="409" spans="2:20" ht="13.5">
      <c r="B409" s="412"/>
      <c r="C409" s="428" t="s">
        <v>357</v>
      </c>
      <c r="D409" s="421">
        <v>0</v>
      </c>
      <c r="E409" s="421">
        <v>0</v>
      </c>
      <c r="F409" s="421">
        <v>0</v>
      </c>
      <c r="G409" s="421">
        <v>0</v>
      </c>
      <c r="H409" s="421">
        <v>0</v>
      </c>
      <c r="I409" s="421">
        <v>0</v>
      </c>
      <c r="J409" s="421">
        <v>0</v>
      </c>
      <c r="K409" s="421">
        <v>0</v>
      </c>
      <c r="L409" s="421">
        <v>0</v>
      </c>
      <c r="M409" s="421">
        <v>0</v>
      </c>
      <c r="N409" s="421">
        <v>0</v>
      </c>
      <c r="O409" s="421">
        <v>0</v>
      </c>
      <c r="P409" s="421">
        <v>4.8</v>
      </c>
      <c r="Q409" s="421">
        <v>0</v>
      </c>
      <c r="R409" s="421">
        <v>0</v>
      </c>
      <c r="S409" s="429">
        <v>4.8</v>
      </c>
      <c r="T409" s="412"/>
    </row>
    <row r="410" spans="2:20" ht="13.5">
      <c r="B410" s="412"/>
      <c r="C410" s="424" t="s">
        <v>83</v>
      </c>
      <c r="D410" s="425">
        <v>1.5178805846268399</v>
      </c>
      <c r="E410" s="425">
        <v>0</v>
      </c>
      <c r="F410" s="425">
        <v>19.686153049850802</v>
      </c>
      <c r="G410" s="425">
        <v>65.819633814846199</v>
      </c>
      <c r="H410" s="425">
        <v>0</v>
      </c>
      <c r="I410" s="425">
        <v>0</v>
      </c>
      <c r="J410" s="425">
        <v>76.4785643859597</v>
      </c>
      <c r="K410" s="425">
        <v>4.7582654252696104</v>
      </c>
      <c r="L410" s="425">
        <v>51.752384613585399</v>
      </c>
      <c r="M410" s="425">
        <v>65.819633814846199</v>
      </c>
      <c r="N410" s="425">
        <v>108.611838905018</v>
      </c>
      <c r="O410" s="425">
        <v>6.34143536090974</v>
      </c>
      <c r="P410" s="425">
        <v>501.74379449129498</v>
      </c>
      <c r="Q410" s="425">
        <v>70.5824541719536</v>
      </c>
      <c r="R410" s="425">
        <v>14.600103225213999</v>
      </c>
      <c r="S410" s="425">
        <v>987.71214184337498</v>
      </c>
      <c r="T410" s="412"/>
    </row>
    <row r="411" spans="2:20" ht="13.5">
      <c r="B411" s="412"/>
      <c r="C411" s="420" t="s">
        <v>84</v>
      </c>
      <c r="D411" s="421">
        <v>0.22852185058593699</v>
      </c>
      <c r="E411" s="421">
        <v>0</v>
      </c>
      <c r="F411" s="421">
        <v>74.636292152893304</v>
      </c>
      <c r="G411" s="421">
        <v>5.7280066844384896</v>
      </c>
      <c r="H411" s="421">
        <v>0</v>
      </c>
      <c r="I411" s="421">
        <v>0</v>
      </c>
      <c r="J411" s="421">
        <v>0</v>
      </c>
      <c r="K411" s="421">
        <v>0</v>
      </c>
      <c r="L411" s="421">
        <v>24.563190847778301</v>
      </c>
      <c r="M411" s="421">
        <v>0</v>
      </c>
      <c r="N411" s="421">
        <v>0</v>
      </c>
      <c r="O411" s="421">
        <v>0</v>
      </c>
      <c r="P411" s="421">
        <v>0</v>
      </c>
      <c r="Q411" s="421">
        <v>0</v>
      </c>
      <c r="R411" s="421">
        <v>16.4428159881592</v>
      </c>
      <c r="S411" s="429">
        <v>121.59882752385499</v>
      </c>
      <c r="T411" s="412"/>
    </row>
    <row r="412" spans="2:20" ht="13.5">
      <c r="B412" s="412"/>
      <c r="C412" s="424" t="s">
        <v>85</v>
      </c>
      <c r="D412" s="425">
        <v>1.74640243521278</v>
      </c>
      <c r="E412" s="425">
        <v>0</v>
      </c>
      <c r="F412" s="425">
        <v>94.322445202744106</v>
      </c>
      <c r="G412" s="425">
        <v>71.547640499284697</v>
      </c>
      <c r="H412" s="425">
        <v>0</v>
      </c>
      <c r="I412" s="425">
        <v>0</v>
      </c>
      <c r="J412" s="425">
        <v>76.4785643859597</v>
      </c>
      <c r="K412" s="425">
        <v>4.7582654252696104</v>
      </c>
      <c r="L412" s="425">
        <v>76.315575461363807</v>
      </c>
      <c r="M412" s="425">
        <v>65.819633814846199</v>
      </c>
      <c r="N412" s="425">
        <v>108.611838905018</v>
      </c>
      <c r="O412" s="425">
        <v>6.34143536090974</v>
      </c>
      <c r="P412" s="425">
        <v>501.74379449129498</v>
      </c>
      <c r="Q412" s="425">
        <v>70.5824541719536</v>
      </c>
      <c r="R412" s="425">
        <v>31.042919213373199</v>
      </c>
      <c r="S412" s="425">
        <v>1109.31096936723</v>
      </c>
      <c r="T412" s="412"/>
    </row>
    <row r="413" spans="2:20">
      <c r="B413" s="412"/>
      <c r="C413" s="412"/>
      <c r="D413" s="430">
        <f t="shared" ref="D413:S413" si="8">D412+D402-D388</f>
        <v>0</v>
      </c>
      <c r="E413" s="430">
        <f t="shared" si="8"/>
        <v>0</v>
      </c>
      <c r="F413" s="430">
        <f t="shared" si="8"/>
        <v>1.9895196601282805E-13</v>
      </c>
      <c r="G413" s="430">
        <f t="shared" si="8"/>
        <v>0</v>
      </c>
      <c r="H413" s="430">
        <f t="shared" si="8"/>
        <v>0</v>
      </c>
      <c r="I413" s="430">
        <f t="shared" si="8"/>
        <v>0</v>
      </c>
      <c r="J413" s="430">
        <f t="shared" si="8"/>
        <v>6.8212102632969618E-13</v>
      </c>
      <c r="K413" s="430">
        <f t="shared" si="8"/>
        <v>0</v>
      </c>
      <c r="L413" s="430">
        <f t="shared" si="8"/>
        <v>-1.8474111129762605E-13</v>
      </c>
      <c r="M413" s="430">
        <f t="shared" si="8"/>
        <v>3.4638958368304884E-14</v>
      </c>
      <c r="N413" s="430">
        <f t="shared" si="8"/>
        <v>0</v>
      </c>
      <c r="O413" s="430">
        <f t="shared" si="8"/>
        <v>-5.6843418860808015E-14</v>
      </c>
      <c r="P413" s="430">
        <f t="shared" si="8"/>
        <v>-7.0699002208129968E-13</v>
      </c>
      <c r="Q413" s="430">
        <f t="shared" si="8"/>
        <v>0</v>
      </c>
      <c r="R413" s="430">
        <f t="shared" si="8"/>
        <v>7.0610184366159956E-14</v>
      </c>
      <c r="S413" s="430">
        <f t="shared" si="8"/>
        <v>1.8189894035458565E-12</v>
      </c>
      <c r="T413" s="412"/>
    </row>
    <row r="414" spans="2:20">
      <c r="B414" s="412"/>
      <c r="C414" s="412"/>
      <c r="D414" s="412"/>
      <c r="E414" s="412"/>
      <c r="F414" s="412"/>
      <c r="G414" s="412"/>
      <c r="H414" s="412"/>
      <c r="I414" s="412"/>
      <c r="J414" s="412"/>
      <c r="K414" s="412"/>
      <c r="L414" s="412"/>
      <c r="M414" s="412"/>
      <c r="N414" s="412"/>
      <c r="O414" s="412"/>
      <c r="P414" s="412"/>
      <c r="Q414" s="412"/>
      <c r="R414" s="412"/>
      <c r="S414" s="412"/>
      <c r="T414" s="412"/>
    </row>
    <row r="415" spans="2:20" ht="13.5">
      <c r="B415" s="416"/>
      <c r="C415" s="417" t="s">
        <v>89</v>
      </c>
      <c r="D415" s="416"/>
      <c r="E415" s="416"/>
      <c r="F415" s="416"/>
      <c r="G415" s="416"/>
      <c r="H415" s="416"/>
      <c r="I415" s="416"/>
      <c r="J415" s="416"/>
      <c r="K415" s="416"/>
      <c r="L415" s="416"/>
      <c r="M415" s="416"/>
      <c r="N415" s="416"/>
      <c r="O415" s="416"/>
      <c r="P415" s="416"/>
      <c r="Q415" s="416"/>
      <c r="R415" s="416"/>
      <c r="S415" s="416"/>
      <c r="T415" s="416"/>
    </row>
    <row r="416" spans="2:20">
      <c r="B416" s="412"/>
      <c r="C416" s="412"/>
      <c r="D416" s="412"/>
      <c r="E416" s="412"/>
      <c r="F416" s="412"/>
      <c r="G416" s="412"/>
      <c r="H416" s="412"/>
      <c r="I416" s="412"/>
      <c r="J416" s="412"/>
      <c r="K416" s="412"/>
      <c r="L416" s="412"/>
      <c r="M416" s="412"/>
      <c r="N416" s="412"/>
      <c r="O416" s="412"/>
      <c r="P416" s="412"/>
      <c r="Q416" s="412"/>
      <c r="R416" s="412"/>
      <c r="S416" s="412"/>
      <c r="T416" s="412"/>
    </row>
    <row r="417" spans="2:20" ht="13.5" customHeight="1">
      <c r="B417" s="412"/>
      <c r="C417" s="702" t="s">
        <v>128</v>
      </c>
      <c r="D417" s="703" t="s">
        <v>42</v>
      </c>
      <c r="E417" s="703" t="s">
        <v>52</v>
      </c>
      <c r="F417" s="703" t="s">
        <v>53</v>
      </c>
      <c r="G417" s="703" t="s">
        <v>32</v>
      </c>
      <c r="H417" s="703" t="s">
        <v>20</v>
      </c>
      <c r="I417" s="703" t="s">
        <v>55</v>
      </c>
      <c r="J417" s="703" t="s">
        <v>56</v>
      </c>
      <c r="K417" s="703"/>
      <c r="L417" s="703"/>
      <c r="M417" s="703"/>
      <c r="N417" s="703"/>
      <c r="O417" s="703"/>
      <c r="P417" s="703" t="s">
        <v>57</v>
      </c>
      <c r="Q417" s="703" t="s">
        <v>58</v>
      </c>
      <c r="R417" s="703" t="s">
        <v>31</v>
      </c>
      <c r="S417" s="703" t="s">
        <v>10</v>
      </c>
      <c r="T417" s="412"/>
    </row>
    <row r="418" spans="2:20" ht="57.5">
      <c r="B418" s="412"/>
      <c r="C418" s="702"/>
      <c r="D418" s="703"/>
      <c r="E418" s="703"/>
      <c r="F418" s="703"/>
      <c r="G418" s="703"/>
      <c r="H418" s="703"/>
      <c r="I418" s="703"/>
      <c r="J418" s="418" t="s">
        <v>338</v>
      </c>
      <c r="K418" s="418" t="s">
        <v>40</v>
      </c>
      <c r="L418" s="418" t="s">
        <v>346</v>
      </c>
      <c r="M418" s="418" t="s">
        <v>347</v>
      </c>
      <c r="N418" s="419" t="s">
        <v>348</v>
      </c>
      <c r="O418" s="418" t="s">
        <v>349</v>
      </c>
      <c r="P418" s="703"/>
      <c r="Q418" s="703"/>
      <c r="R418" s="703"/>
      <c r="S418" s="703"/>
      <c r="T418" s="412"/>
    </row>
    <row r="419" spans="2:20" ht="13.5">
      <c r="B419" s="412"/>
      <c r="C419" s="420" t="s">
        <v>59</v>
      </c>
      <c r="D419" s="421">
        <v>0</v>
      </c>
      <c r="E419" s="421">
        <v>0</v>
      </c>
      <c r="F419" s="421">
        <v>0</v>
      </c>
      <c r="G419" s="421">
        <v>0</v>
      </c>
      <c r="H419" s="422">
        <v>764.84848484848499</v>
      </c>
      <c r="I419" s="422">
        <v>419.9</v>
      </c>
      <c r="J419" s="422">
        <v>351.24173188830201</v>
      </c>
      <c r="K419" s="422">
        <v>37.066117395131201</v>
      </c>
      <c r="L419" s="421">
        <v>0</v>
      </c>
      <c r="M419" s="421">
        <v>0</v>
      </c>
      <c r="N419" s="422">
        <v>121.931750282495</v>
      </c>
      <c r="O419" s="422">
        <v>22.204473213427001</v>
      </c>
      <c r="P419" s="421">
        <v>0</v>
      </c>
      <c r="Q419" s="421">
        <v>0</v>
      </c>
      <c r="R419" s="421">
        <v>0</v>
      </c>
      <c r="S419" s="423">
        <v>1717.19255762784</v>
      </c>
      <c r="T419" s="412"/>
    </row>
    <row r="420" spans="2:20" ht="13.5">
      <c r="B420" s="412"/>
      <c r="C420" s="420" t="s">
        <v>60</v>
      </c>
      <c r="D420" s="421">
        <v>4.3798405072467999</v>
      </c>
      <c r="E420" s="421">
        <v>113.59926767676799</v>
      </c>
      <c r="F420" s="421">
        <v>0.79806856250441205</v>
      </c>
      <c r="G420" s="421">
        <v>3.6153613407475298</v>
      </c>
      <c r="H420" s="421">
        <v>0</v>
      </c>
      <c r="I420" s="421">
        <v>0</v>
      </c>
      <c r="J420" s="421">
        <v>0</v>
      </c>
      <c r="K420" s="421">
        <v>0</v>
      </c>
      <c r="L420" s="421">
        <v>0</v>
      </c>
      <c r="M420" s="421">
        <v>0</v>
      </c>
      <c r="N420" s="421">
        <v>0</v>
      </c>
      <c r="O420" s="421">
        <v>0</v>
      </c>
      <c r="P420" s="421">
        <v>29.820654435364101</v>
      </c>
      <c r="Q420" s="421">
        <v>0</v>
      </c>
      <c r="R420" s="421">
        <v>0</v>
      </c>
      <c r="S420" s="423">
        <v>152.213192522631</v>
      </c>
      <c r="T420" s="412"/>
    </row>
    <row r="421" spans="2:20" ht="13.5">
      <c r="B421" s="412"/>
      <c r="C421" s="420" t="s">
        <v>61</v>
      </c>
      <c r="D421" s="421">
        <v>0</v>
      </c>
      <c r="E421" s="421">
        <v>0</v>
      </c>
      <c r="F421" s="421">
        <v>0</v>
      </c>
      <c r="G421" s="421">
        <v>0</v>
      </c>
      <c r="H421" s="421">
        <v>0</v>
      </c>
      <c r="I421" s="421">
        <v>0</v>
      </c>
      <c r="J421" s="421">
        <v>0</v>
      </c>
      <c r="K421" s="421">
        <v>0</v>
      </c>
      <c r="L421" s="421">
        <v>0</v>
      </c>
      <c r="M421" s="421">
        <v>0</v>
      </c>
      <c r="N421" s="421">
        <v>0</v>
      </c>
      <c r="O421" s="421">
        <v>0</v>
      </c>
      <c r="P421" s="421">
        <v>0</v>
      </c>
      <c r="Q421" s="421">
        <v>0</v>
      </c>
      <c r="R421" s="421">
        <v>0</v>
      </c>
      <c r="S421" s="423">
        <v>0</v>
      </c>
      <c r="T421" s="412"/>
    </row>
    <row r="422" spans="2:20" ht="13.5">
      <c r="B422" s="412"/>
      <c r="C422" s="420" t="s">
        <v>62</v>
      </c>
      <c r="D422" s="421">
        <v>0</v>
      </c>
      <c r="E422" s="421">
        <v>0</v>
      </c>
      <c r="F422" s="421">
        <v>-5.3013702027186103</v>
      </c>
      <c r="G422" s="421">
        <v>0</v>
      </c>
      <c r="H422" s="421">
        <v>0</v>
      </c>
      <c r="I422" s="421">
        <v>0</v>
      </c>
      <c r="J422" s="421">
        <v>0</v>
      </c>
      <c r="K422" s="421">
        <v>0</v>
      </c>
      <c r="L422" s="421">
        <v>0</v>
      </c>
      <c r="M422" s="421">
        <v>-5.1137296191647996</v>
      </c>
      <c r="N422" s="421">
        <v>0</v>
      </c>
      <c r="O422" s="421">
        <v>0</v>
      </c>
      <c r="P422" s="421">
        <v>0</v>
      </c>
      <c r="Q422" s="421">
        <v>0</v>
      </c>
      <c r="R422" s="421">
        <v>0</v>
      </c>
      <c r="S422" s="423">
        <v>-10.4150998218834</v>
      </c>
      <c r="T422" s="412"/>
    </row>
    <row r="423" spans="2:20" ht="13.5">
      <c r="B423" s="412"/>
      <c r="C423" s="420" t="s">
        <v>63</v>
      </c>
      <c r="D423" s="421">
        <v>0</v>
      </c>
      <c r="E423" s="421">
        <v>0</v>
      </c>
      <c r="F423" s="421">
        <v>-26.554014229686601</v>
      </c>
      <c r="G423" s="421">
        <v>0</v>
      </c>
      <c r="H423" s="421">
        <v>0</v>
      </c>
      <c r="I423" s="421">
        <v>0</v>
      </c>
      <c r="J423" s="421">
        <v>0</v>
      </c>
      <c r="K423" s="421">
        <v>0</v>
      </c>
      <c r="L423" s="421">
        <v>-53.337452419875703</v>
      </c>
      <c r="M423" s="421">
        <v>0</v>
      </c>
      <c r="N423" s="421">
        <v>0</v>
      </c>
      <c r="O423" s="421">
        <v>0</v>
      </c>
      <c r="P423" s="421">
        <v>0</v>
      </c>
      <c r="Q423" s="421">
        <v>0</v>
      </c>
      <c r="R423" s="421">
        <v>-3.3454941468715802</v>
      </c>
      <c r="S423" s="423">
        <v>-83.236960796433806</v>
      </c>
      <c r="T423" s="412"/>
    </row>
    <row r="424" spans="2:20" ht="13.5">
      <c r="B424" s="412"/>
      <c r="C424" s="420" t="s">
        <v>64</v>
      </c>
      <c r="D424" s="421">
        <v>0</v>
      </c>
      <c r="E424" s="421">
        <v>0</v>
      </c>
      <c r="F424" s="421">
        <v>0</v>
      </c>
      <c r="G424" s="421">
        <v>0</v>
      </c>
      <c r="H424" s="421">
        <v>0</v>
      </c>
      <c r="I424" s="421">
        <v>0</v>
      </c>
      <c r="J424" s="421">
        <v>0</v>
      </c>
      <c r="K424" s="421">
        <v>0</v>
      </c>
      <c r="L424" s="421">
        <v>0</v>
      </c>
      <c r="M424" s="421">
        <v>0</v>
      </c>
      <c r="N424" s="421">
        <v>0</v>
      </c>
      <c r="O424" s="421">
        <v>0</v>
      </c>
      <c r="P424" s="421">
        <v>0</v>
      </c>
      <c r="Q424" s="421">
        <v>0</v>
      </c>
      <c r="R424" s="421">
        <v>0</v>
      </c>
      <c r="S424" s="423">
        <v>0</v>
      </c>
      <c r="T424" s="412"/>
    </row>
    <row r="425" spans="2:20" ht="13.5">
      <c r="B425" s="412"/>
      <c r="C425" s="424" t="s">
        <v>65</v>
      </c>
      <c r="D425" s="425">
        <v>4.3798405072467999</v>
      </c>
      <c r="E425" s="425">
        <v>113.59926767676799</v>
      </c>
      <c r="F425" s="425">
        <v>-31.057315869900801</v>
      </c>
      <c r="G425" s="425">
        <v>3.6153613407475298</v>
      </c>
      <c r="H425" s="425">
        <v>764.84848484848499</v>
      </c>
      <c r="I425" s="425">
        <v>419.9</v>
      </c>
      <c r="J425" s="425">
        <v>351.24173188830201</v>
      </c>
      <c r="K425" s="425">
        <v>37.066117395131201</v>
      </c>
      <c r="L425" s="425">
        <v>-53.337452419875703</v>
      </c>
      <c r="M425" s="425">
        <v>-5.1137296191647996</v>
      </c>
      <c r="N425" s="425">
        <v>121.931750282495</v>
      </c>
      <c r="O425" s="425">
        <v>22.204473213427001</v>
      </c>
      <c r="P425" s="425">
        <v>29.820654435364101</v>
      </c>
      <c r="Q425" s="425">
        <v>0</v>
      </c>
      <c r="R425" s="425">
        <v>-3.3454941468715802</v>
      </c>
      <c r="S425" s="425">
        <v>1775.75368953215</v>
      </c>
      <c r="T425" s="412"/>
    </row>
    <row r="426" spans="2:20" ht="13.5">
      <c r="B426" s="412"/>
      <c r="C426" s="426"/>
      <c r="D426" s="427"/>
      <c r="E426" s="427"/>
      <c r="F426" s="427"/>
      <c r="G426" s="427"/>
      <c r="H426" s="427"/>
      <c r="I426" s="427"/>
      <c r="J426" s="427"/>
      <c r="K426" s="427"/>
      <c r="L426" s="427"/>
      <c r="M426" s="427"/>
      <c r="N426" s="427"/>
      <c r="O426" s="427"/>
      <c r="P426" s="427"/>
      <c r="Q426" s="427"/>
      <c r="R426" s="427"/>
      <c r="S426" s="427"/>
      <c r="T426" s="412"/>
    </row>
    <row r="427" spans="2:20" ht="13.5">
      <c r="B427" s="412"/>
      <c r="C427" s="428" t="s">
        <v>67</v>
      </c>
      <c r="D427" s="421">
        <v>0</v>
      </c>
      <c r="E427" s="421">
        <v>0</v>
      </c>
      <c r="F427" s="421">
        <v>0</v>
      </c>
      <c r="G427" s="421">
        <v>0</v>
      </c>
      <c r="H427" s="421">
        <v>0</v>
      </c>
      <c r="I427" s="421">
        <v>0</v>
      </c>
      <c r="J427" s="421">
        <v>0</v>
      </c>
      <c r="K427" s="421">
        <v>0</v>
      </c>
      <c r="L427" s="421">
        <v>0</v>
      </c>
      <c r="M427" s="421">
        <v>0</v>
      </c>
      <c r="N427" s="421">
        <v>0</v>
      </c>
      <c r="O427" s="421">
        <v>0</v>
      </c>
      <c r="P427" s="421">
        <v>0</v>
      </c>
      <c r="Q427" s="421">
        <v>0</v>
      </c>
      <c r="R427" s="421">
        <v>0</v>
      </c>
      <c r="S427" s="429">
        <v>0</v>
      </c>
      <c r="T427" s="412"/>
    </row>
    <row r="428" spans="2:20" ht="13.5">
      <c r="B428" s="412"/>
      <c r="C428" s="428" t="s">
        <v>350</v>
      </c>
      <c r="D428" s="421">
        <v>0</v>
      </c>
      <c r="E428" s="421">
        <v>0</v>
      </c>
      <c r="F428" s="421">
        <v>0</v>
      </c>
      <c r="G428" s="421">
        <v>0</v>
      </c>
      <c r="H428" s="421">
        <v>764.84848484848499</v>
      </c>
      <c r="I428" s="421">
        <v>419.9</v>
      </c>
      <c r="J428" s="421">
        <v>14.837077022078001</v>
      </c>
      <c r="K428" s="421">
        <v>4.2997987248322396</v>
      </c>
      <c r="L428" s="421">
        <v>0</v>
      </c>
      <c r="M428" s="421">
        <v>0.66666666666666696</v>
      </c>
      <c r="N428" s="421">
        <v>0</v>
      </c>
      <c r="O428" s="421">
        <v>0</v>
      </c>
      <c r="P428" s="421">
        <v>-682.5</v>
      </c>
      <c r="Q428" s="421">
        <v>0</v>
      </c>
      <c r="R428" s="421">
        <v>3.75</v>
      </c>
      <c r="S428" s="429">
        <v>525.80202726206198</v>
      </c>
      <c r="T428" s="412"/>
    </row>
    <row r="429" spans="2:20" ht="13.5">
      <c r="B429" s="412"/>
      <c r="C429" s="428" t="s">
        <v>351</v>
      </c>
      <c r="D429" s="421">
        <v>0</v>
      </c>
      <c r="E429" s="421">
        <v>0</v>
      </c>
      <c r="F429" s="421">
        <v>0</v>
      </c>
      <c r="G429" s="421">
        <v>0</v>
      </c>
      <c r="H429" s="421">
        <v>0</v>
      </c>
      <c r="I429" s="421">
        <v>0</v>
      </c>
      <c r="J429" s="421">
        <v>28.8847744791587</v>
      </c>
      <c r="K429" s="421">
        <v>27.390111238212</v>
      </c>
      <c r="L429" s="421">
        <v>0</v>
      </c>
      <c r="M429" s="421">
        <v>10.9493569082394</v>
      </c>
      <c r="N429" s="421">
        <v>0</v>
      </c>
      <c r="O429" s="421">
        <v>14.830688385513501</v>
      </c>
      <c r="P429" s="421">
        <v>0</v>
      </c>
      <c r="Q429" s="421">
        <v>-76.630571525577196</v>
      </c>
      <c r="R429" s="421">
        <v>0</v>
      </c>
      <c r="S429" s="429">
        <v>5.4243594855463497</v>
      </c>
      <c r="T429" s="412"/>
    </row>
    <row r="430" spans="2:20" ht="13.5">
      <c r="B430" s="412"/>
      <c r="C430" s="428" t="s">
        <v>352</v>
      </c>
      <c r="D430" s="421">
        <v>0</v>
      </c>
      <c r="E430" s="421">
        <v>0</v>
      </c>
      <c r="F430" s="421">
        <v>0</v>
      </c>
      <c r="G430" s="421">
        <v>0</v>
      </c>
      <c r="H430" s="421">
        <v>0</v>
      </c>
      <c r="I430" s="421">
        <v>0</v>
      </c>
      <c r="J430" s="421">
        <v>141.99486817496901</v>
      </c>
      <c r="K430" s="421">
        <v>0</v>
      </c>
      <c r="L430" s="421">
        <v>0</v>
      </c>
      <c r="M430" s="421">
        <v>-135.60509910709601</v>
      </c>
      <c r="N430" s="421">
        <v>0</v>
      </c>
      <c r="O430" s="421">
        <v>0</v>
      </c>
      <c r="P430" s="421">
        <v>0</v>
      </c>
      <c r="Q430" s="421">
        <v>0</v>
      </c>
      <c r="R430" s="421">
        <v>0</v>
      </c>
      <c r="S430" s="429">
        <v>6.3897690678736296</v>
      </c>
      <c r="T430" s="412"/>
    </row>
    <row r="431" spans="2:20" ht="13.5">
      <c r="B431" s="412"/>
      <c r="C431" s="428" t="s">
        <v>353</v>
      </c>
      <c r="D431" s="421">
        <v>0</v>
      </c>
      <c r="E431" s="421">
        <v>0</v>
      </c>
      <c r="F431" s="421">
        <v>0</v>
      </c>
      <c r="G431" s="421">
        <v>0</v>
      </c>
      <c r="H431" s="421">
        <v>0</v>
      </c>
      <c r="I431" s="421">
        <v>0</v>
      </c>
      <c r="J431" s="421">
        <v>0</v>
      </c>
      <c r="K431" s="421">
        <v>0</v>
      </c>
      <c r="L431" s="421">
        <v>0</v>
      </c>
      <c r="M431" s="421">
        <v>0</v>
      </c>
      <c r="N431" s="421">
        <v>0</v>
      </c>
      <c r="O431" s="421">
        <v>0</v>
      </c>
      <c r="P431" s="421">
        <v>0</v>
      </c>
      <c r="Q431" s="421">
        <v>0</v>
      </c>
      <c r="R431" s="421">
        <v>0</v>
      </c>
      <c r="S431" s="429">
        <v>0</v>
      </c>
      <c r="T431" s="412"/>
    </row>
    <row r="432" spans="2:20" ht="13.5">
      <c r="B432" s="412"/>
      <c r="C432" s="428" t="s">
        <v>72</v>
      </c>
      <c r="D432" s="421">
        <v>0</v>
      </c>
      <c r="E432" s="421">
        <v>117.67676767676799</v>
      </c>
      <c r="F432" s="421">
        <v>-116.5</v>
      </c>
      <c r="G432" s="421">
        <v>0</v>
      </c>
      <c r="H432" s="421">
        <v>0</v>
      </c>
      <c r="I432" s="421">
        <v>0</v>
      </c>
      <c r="J432" s="421">
        <v>0</v>
      </c>
      <c r="K432" s="421">
        <v>0</v>
      </c>
      <c r="L432" s="421">
        <v>0</v>
      </c>
      <c r="M432" s="421">
        <v>0</v>
      </c>
      <c r="N432" s="421">
        <v>0</v>
      </c>
      <c r="O432" s="421">
        <v>0</v>
      </c>
      <c r="P432" s="421">
        <v>0</v>
      </c>
      <c r="Q432" s="421">
        <v>0</v>
      </c>
      <c r="R432" s="421">
        <v>0</v>
      </c>
      <c r="S432" s="429">
        <v>1.17676767676768</v>
      </c>
      <c r="T432" s="412"/>
    </row>
    <row r="433" spans="2:20" ht="13.5">
      <c r="B433" s="412"/>
      <c r="C433" s="428" t="s">
        <v>354</v>
      </c>
      <c r="D433" s="421">
        <v>0</v>
      </c>
      <c r="E433" s="421">
        <v>0</v>
      </c>
      <c r="F433" s="421">
        <v>0</v>
      </c>
      <c r="G433" s="421">
        <v>0</v>
      </c>
      <c r="H433" s="421">
        <v>0</v>
      </c>
      <c r="I433" s="421">
        <v>0</v>
      </c>
      <c r="J433" s="421">
        <v>92.683321682724895</v>
      </c>
      <c r="K433" s="421">
        <v>0</v>
      </c>
      <c r="L433" s="421">
        <v>-92.683321682724895</v>
      </c>
      <c r="M433" s="421">
        <v>0</v>
      </c>
      <c r="N433" s="421">
        <v>0</v>
      </c>
      <c r="O433" s="421">
        <v>0</v>
      </c>
      <c r="P433" s="421">
        <v>0</v>
      </c>
      <c r="Q433" s="421">
        <v>0</v>
      </c>
      <c r="R433" s="421">
        <v>0</v>
      </c>
      <c r="S433" s="429">
        <v>0</v>
      </c>
      <c r="T433" s="412"/>
    </row>
    <row r="434" spans="2:20" ht="13.5">
      <c r="B434" s="412"/>
      <c r="C434" s="428" t="s">
        <v>355</v>
      </c>
      <c r="D434" s="421">
        <v>0</v>
      </c>
      <c r="E434" s="421">
        <v>0</v>
      </c>
      <c r="F434" s="421">
        <v>0</v>
      </c>
      <c r="G434" s="421">
        <v>0</v>
      </c>
      <c r="H434" s="421">
        <v>0</v>
      </c>
      <c r="I434" s="421">
        <v>0</v>
      </c>
      <c r="J434" s="421">
        <v>0</v>
      </c>
      <c r="K434" s="421">
        <v>0</v>
      </c>
      <c r="L434" s="421">
        <v>-30.7160392407107</v>
      </c>
      <c r="M434" s="421">
        <v>0</v>
      </c>
      <c r="N434" s="421">
        <v>0</v>
      </c>
      <c r="O434" s="421">
        <v>0</v>
      </c>
      <c r="P434" s="421">
        <v>0</v>
      </c>
      <c r="Q434" s="421">
        <v>0</v>
      </c>
      <c r="R434" s="421">
        <v>43.880056058158097</v>
      </c>
      <c r="S434" s="429">
        <v>13.164016817447401</v>
      </c>
      <c r="T434" s="412"/>
    </row>
    <row r="435" spans="2:20" ht="13.5">
      <c r="B435" s="412"/>
      <c r="C435" s="428" t="s">
        <v>73</v>
      </c>
      <c r="D435" s="421">
        <v>0</v>
      </c>
      <c r="E435" s="421">
        <v>0</v>
      </c>
      <c r="F435" s="421">
        <v>0</v>
      </c>
      <c r="G435" s="421">
        <v>0</v>
      </c>
      <c r="H435" s="421">
        <v>0</v>
      </c>
      <c r="I435" s="421">
        <v>0</v>
      </c>
      <c r="J435" s="421">
        <v>0</v>
      </c>
      <c r="K435" s="421">
        <v>1.25759601218096</v>
      </c>
      <c r="L435" s="421">
        <v>0</v>
      </c>
      <c r="M435" s="421">
        <v>0</v>
      </c>
      <c r="N435" s="421">
        <v>0</v>
      </c>
      <c r="O435" s="421">
        <v>0</v>
      </c>
      <c r="P435" s="421">
        <v>121.043616172417</v>
      </c>
      <c r="Q435" s="421">
        <v>0</v>
      </c>
      <c r="R435" s="421">
        <v>-88.031720852667107</v>
      </c>
      <c r="S435" s="429">
        <v>34.2694913319311</v>
      </c>
      <c r="T435" s="412"/>
    </row>
    <row r="436" spans="2:20" ht="13.5">
      <c r="B436" s="412"/>
      <c r="C436" s="428" t="s">
        <v>356</v>
      </c>
      <c r="D436" s="421">
        <v>0.72303211975097703</v>
      </c>
      <c r="E436" s="421">
        <v>-4.0774999999999997</v>
      </c>
      <c r="F436" s="421">
        <v>5.3331291616343899</v>
      </c>
      <c r="G436" s="421">
        <v>0</v>
      </c>
      <c r="H436" s="421">
        <v>0</v>
      </c>
      <c r="I436" s="421">
        <v>0</v>
      </c>
      <c r="J436" s="421">
        <v>0</v>
      </c>
      <c r="K436" s="421">
        <v>0</v>
      </c>
      <c r="L436" s="421">
        <v>0</v>
      </c>
      <c r="M436" s="421">
        <v>0</v>
      </c>
      <c r="N436" s="421">
        <v>0</v>
      </c>
      <c r="O436" s="421">
        <v>0</v>
      </c>
      <c r="P436" s="421">
        <v>0</v>
      </c>
      <c r="Q436" s="421">
        <v>0</v>
      </c>
      <c r="R436" s="421">
        <v>0</v>
      </c>
      <c r="S436" s="429">
        <v>1.9786612813853699</v>
      </c>
      <c r="T436" s="412"/>
    </row>
    <row r="437" spans="2:20" ht="13.5">
      <c r="B437" s="412"/>
      <c r="C437" s="428" t="s">
        <v>75</v>
      </c>
      <c r="D437" s="421">
        <v>1.73775830078125</v>
      </c>
      <c r="E437" s="421">
        <v>0</v>
      </c>
      <c r="F437" s="421">
        <v>16.370387999999998</v>
      </c>
      <c r="G437" s="421">
        <v>0</v>
      </c>
      <c r="H437" s="421">
        <v>0</v>
      </c>
      <c r="I437" s="421">
        <v>0</v>
      </c>
      <c r="J437" s="421">
        <v>0</v>
      </c>
      <c r="K437" s="421">
        <v>0</v>
      </c>
      <c r="L437" s="421">
        <v>0</v>
      </c>
      <c r="M437" s="421">
        <v>4.7666718000000001</v>
      </c>
      <c r="N437" s="421">
        <v>0</v>
      </c>
      <c r="O437" s="421">
        <v>0</v>
      </c>
      <c r="P437" s="421">
        <v>36.566363636363597</v>
      </c>
      <c r="Q437" s="421">
        <v>0</v>
      </c>
      <c r="R437" s="421">
        <v>0</v>
      </c>
      <c r="S437" s="429">
        <v>59.441181737144902</v>
      </c>
      <c r="T437" s="412"/>
    </row>
    <row r="438" spans="2:20" ht="13.5">
      <c r="B438" s="412"/>
      <c r="C438" s="428" t="s">
        <v>76</v>
      </c>
      <c r="D438" s="421">
        <v>0</v>
      </c>
      <c r="E438" s="421">
        <v>0</v>
      </c>
      <c r="F438" s="421">
        <v>0</v>
      </c>
      <c r="G438" s="421">
        <v>0</v>
      </c>
      <c r="H438" s="421">
        <v>0</v>
      </c>
      <c r="I438" s="421">
        <v>0</v>
      </c>
      <c r="J438" s="421">
        <v>0</v>
      </c>
      <c r="K438" s="421">
        <v>0</v>
      </c>
      <c r="L438" s="421">
        <v>0</v>
      </c>
      <c r="M438" s="421">
        <v>1.6079656020604201</v>
      </c>
      <c r="N438" s="421">
        <v>0</v>
      </c>
      <c r="O438" s="421">
        <v>0</v>
      </c>
      <c r="P438" s="421">
        <v>54.591518299293803</v>
      </c>
      <c r="Q438" s="421">
        <v>5.9381623691406702</v>
      </c>
      <c r="R438" s="421">
        <v>0</v>
      </c>
      <c r="S438" s="429">
        <v>62.137646270494898</v>
      </c>
      <c r="T438" s="412"/>
    </row>
    <row r="439" spans="2:20" ht="13.5">
      <c r="B439" s="412"/>
      <c r="C439" s="424" t="s">
        <v>77</v>
      </c>
      <c r="D439" s="425">
        <v>2.4607904205322302</v>
      </c>
      <c r="E439" s="425">
        <v>113.59926767676799</v>
      </c>
      <c r="F439" s="425">
        <v>-94.796482838365606</v>
      </c>
      <c r="G439" s="425">
        <v>0</v>
      </c>
      <c r="H439" s="425">
        <v>764.84848484848499</v>
      </c>
      <c r="I439" s="425">
        <v>419.9</v>
      </c>
      <c r="J439" s="425">
        <v>278.40004135893099</v>
      </c>
      <c r="K439" s="425">
        <v>32.947505975225198</v>
      </c>
      <c r="L439" s="425">
        <v>-123.39936092343601</v>
      </c>
      <c r="M439" s="425">
        <v>-117.614438130129</v>
      </c>
      <c r="N439" s="425">
        <v>0</v>
      </c>
      <c r="O439" s="425">
        <v>14.830688385513501</v>
      </c>
      <c r="P439" s="425">
        <v>-470.29850189192501</v>
      </c>
      <c r="Q439" s="425">
        <v>-70.692409156436597</v>
      </c>
      <c r="R439" s="425">
        <v>-40.401664794509003</v>
      </c>
      <c r="S439" s="425">
        <v>709.78392093065395</v>
      </c>
      <c r="T439" s="412"/>
    </row>
    <row r="440" spans="2:20" ht="13.5">
      <c r="B440" s="412"/>
      <c r="C440" s="426"/>
      <c r="D440" s="427"/>
      <c r="E440" s="427"/>
      <c r="F440" s="427"/>
      <c r="G440" s="427"/>
      <c r="H440" s="427"/>
      <c r="I440" s="427"/>
      <c r="J440" s="427"/>
      <c r="K440" s="427"/>
      <c r="L440" s="427"/>
      <c r="M440" s="427"/>
      <c r="N440" s="427"/>
      <c r="O440" s="427"/>
      <c r="P440" s="427"/>
      <c r="Q440" s="427"/>
      <c r="R440" s="427"/>
      <c r="S440" s="427"/>
      <c r="T440" s="412"/>
    </row>
    <row r="441" spans="2:20" ht="13.5">
      <c r="B441" s="412"/>
      <c r="C441" s="428" t="s">
        <v>78</v>
      </c>
      <c r="D441" s="421">
        <v>1.79989703190501</v>
      </c>
      <c r="E441" s="421">
        <v>0</v>
      </c>
      <c r="F441" s="421">
        <v>5.22589106512674E-2</v>
      </c>
      <c r="G441" s="421">
        <v>0</v>
      </c>
      <c r="H441" s="421">
        <v>0</v>
      </c>
      <c r="I441" s="421">
        <v>0</v>
      </c>
      <c r="J441" s="421">
        <v>13.331842727893299</v>
      </c>
      <c r="K441" s="421">
        <v>4.1186114199060402</v>
      </c>
      <c r="L441" s="421">
        <v>8.3494072265624997</v>
      </c>
      <c r="M441" s="421">
        <v>63.939809293815799</v>
      </c>
      <c r="N441" s="421">
        <v>0</v>
      </c>
      <c r="O441" s="421">
        <v>0</v>
      </c>
      <c r="P441" s="421">
        <v>150.76353147926901</v>
      </c>
      <c r="Q441" s="421">
        <v>27.157242806109199</v>
      </c>
      <c r="R441" s="421">
        <v>8.9542294921874994</v>
      </c>
      <c r="S441" s="429">
        <v>278.46683038830002</v>
      </c>
      <c r="T441" s="412"/>
    </row>
    <row r="442" spans="2:20" ht="13.5">
      <c r="B442" s="412"/>
      <c r="C442" s="428" t="s">
        <v>79</v>
      </c>
      <c r="D442" s="421">
        <v>0</v>
      </c>
      <c r="E442" s="421">
        <v>0</v>
      </c>
      <c r="F442" s="421">
        <v>2.1712429478419102</v>
      </c>
      <c r="G442" s="421">
        <v>0</v>
      </c>
      <c r="H442" s="421">
        <v>0</v>
      </c>
      <c r="I442" s="421">
        <v>0</v>
      </c>
      <c r="J442" s="421">
        <v>0</v>
      </c>
      <c r="K442" s="421">
        <v>0</v>
      </c>
      <c r="L442" s="421">
        <v>12.7882726969122</v>
      </c>
      <c r="M442" s="421">
        <v>24.887279738493302</v>
      </c>
      <c r="N442" s="421">
        <v>0</v>
      </c>
      <c r="O442" s="421">
        <v>0</v>
      </c>
      <c r="P442" s="421">
        <v>92.289301413656304</v>
      </c>
      <c r="Q442" s="421">
        <v>0</v>
      </c>
      <c r="R442" s="421">
        <v>7.1149935986121697</v>
      </c>
      <c r="S442" s="429">
        <v>139.251090395516</v>
      </c>
      <c r="T442" s="412"/>
    </row>
    <row r="443" spans="2:20" ht="13.5">
      <c r="B443" s="412"/>
      <c r="C443" s="428" t="s">
        <v>80</v>
      </c>
      <c r="D443" s="421">
        <v>0</v>
      </c>
      <c r="E443" s="421">
        <v>0</v>
      </c>
      <c r="F443" s="421">
        <v>0.35468706008189399</v>
      </c>
      <c r="G443" s="421">
        <v>0</v>
      </c>
      <c r="H443" s="421">
        <v>0</v>
      </c>
      <c r="I443" s="421">
        <v>0</v>
      </c>
      <c r="J443" s="421">
        <v>47.9682238056754</v>
      </c>
      <c r="K443" s="421">
        <v>0</v>
      </c>
      <c r="L443" s="421">
        <v>0</v>
      </c>
      <c r="M443" s="421">
        <v>17.598271269670001</v>
      </c>
      <c r="N443" s="421">
        <v>106.862728555422</v>
      </c>
      <c r="O443" s="421">
        <v>3.7519530039459799</v>
      </c>
      <c r="P443" s="421">
        <v>134.324841663434</v>
      </c>
      <c r="Q443" s="421">
        <v>28.562960275021499</v>
      </c>
      <c r="R443" s="421">
        <v>0</v>
      </c>
      <c r="S443" s="429">
        <v>339.42366563325101</v>
      </c>
      <c r="T443" s="412"/>
    </row>
    <row r="444" spans="2:20" ht="13.5">
      <c r="B444" s="412"/>
      <c r="C444" s="428" t="s">
        <v>81</v>
      </c>
      <c r="D444" s="421">
        <v>0</v>
      </c>
      <c r="E444" s="421">
        <v>0</v>
      </c>
      <c r="F444" s="421">
        <v>1.3910064361048399E-2</v>
      </c>
      <c r="G444" s="421">
        <v>0</v>
      </c>
      <c r="H444" s="421">
        <v>0</v>
      </c>
      <c r="I444" s="421">
        <v>0</v>
      </c>
      <c r="J444" s="421">
        <v>6.5361621549849502</v>
      </c>
      <c r="K444" s="421">
        <v>0</v>
      </c>
      <c r="L444" s="421">
        <v>0</v>
      </c>
      <c r="M444" s="421">
        <v>5.4198008615464897</v>
      </c>
      <c r="N444" s="421">
        <v>15.069021727073199</v>
      </c>
      <c r="O444" s="421">
        <v>1.4344248188770199</v>
      </c>
      <c r="P444" s="421">
        <v>109.143617899049</v>
      </c>
      <c r="Q444" s="421">
        <v>14.972206075305801</v>
      </c>
      <c r="R444" s="421">
        <v>0</v>
      </c>
      <c r="S444" s="429">
        <v>152.589143601198</v>
      </c>
      <c r="T444" s="412"/>
    </row>
    <row r="445" spans="2:20" ht="13.5">
      <c r="B445" s="412"/>
      <c r="C445" s="428" t="s">
        <v>82</v>
      </c>
      <c r="D445" s="421">
        <v>0</v>
      </c>
      <c r="E445" s="421">
        <v>0</v>
      </c>
      <c r="F445" s="421">
        <v>0</v>
      </c>
      <c r="G445" s="421">
        <v>0</v>
      </c>
      <c r="H445" s="421">
        <v>0</v>
      </c>
      <c r="I445" s="421">
        <v>0</v>
      </c>
      <c r="J445" s="421">
        <v>5.0054618408177598</v>
      </c>
      <c r="K445" s="421">
        <v>0</v>
      </c>
      <c r="L445" s="421">
        <v>18.815796579352799</v>
      </c>
      <c r="M445" s="421">
        <v>0.65554734743876097</v>
      </c>
      <c r="N445" s="421">
        <v>0</v>
      </c>
      <c r="O445" s="421">
        <v>2.1874070050904901</v>
      </c>
      <c r="P445" s="421">
        <v>5.5978638718802802</v>
      </c>
      <c r="Q445" s="421">
        <v>0</v>
      </c>
      <c r="R445" s="421">
        <v>0.443393311842667</v>
      </c>
      <c r="S445" s="429">
        <v>32.705469956422696</v>
      </c>
      <c r="T445" s="412"/>
    </row>
    <row r="446" spans="2:20" ht="13.5">
      <c r="B446" s="412"/>
      <c r="C446" s="428" t="s">
        <v>357</v>
      </c>
      <c r="D446" s="421">
        <v>0</v>
      </c>
      <c r="E446" s="421">
        <v>0</v>
      </c>
      <c r="F446" s="421">
        <v>0</v>
      </c>
      <c r="G446" s="421">
        <v>0</v>
      </c>
      <c r="H446" s="421">
        <v>0</v>
      </c>
      <c r="I446" s="421">
        <v>0</v>
      </c>
      <c r="J446" s="421">
        <v>0</v>
      </c>
      <c r="K446" s="421">
        <v>0</v>
      </c>
      <c r="L446" s="421">
        <v>0</v>
      </c>
      <c r="M446" s="421">
        <v>0</v>
      </c>
      <c r="N446" s="421">
        <v>0</v>
      </c>
      <c r="O446" s="421">
        <v>0</v>
      </c>
      <c r="P446" s="421">
        <v>8</v>
      </c>
      <c r="Q446" s="421">
        <v>0</v>
      </c>
      <c r="R446" s="421">
        <v>0</v>
      </c>
      <c r="S446" s="429">
        <v>8</v>
      </c>
      <c r="T446" s="412"/>
    </row>
    <row r="447" spans="2:20" ht="13.5">
      <c r="B447" s="412"/>
      <c r="C447" s="424" t="s">
        <v>83</v>
      </c>
      <c r="D447" s="425">
        <v>1.79989703190501</v>
      </c>
      <c r="E447" s="425">
        <v>0</v>
      </c>
      <c r="F447" s="425">
        <v>2.5920989829361201</v>
      </c>
      <c r="G447" s="425">
        <v>0</v>
      </c>
      <c r="H447" s="425">
        <v>0</v>
      </c>
      <c r="I447" s="425">
        <v>0</v>
      </c>
      <c r="J447" s="425">
        <v>72.841690529371405</v>
      </c>
      <c r="K447" s="425">
        <v>4.1186114199060402</v>
      </c>
      <c r="L447" s="425">
        <v>39.953476502827499</v>
      </c>
      <c r="M447" s="425">
        <v>112.500708510964</v>
      </c>
      <c r="N447" s="425">
        <v>121.931750282495</v>
      </c>
      <c r="O447" s="425">
        <v>7.3737848279134903</v>
      </c>
      <c r="P447" s="425">
        <v>500.11915632728898</v>
      </c>
      <c r="Q447" s="425">
        <v>70.692409156436497</v>
      </c>
      <c r="R447" s="425">
        <v>16.512616402642301</v>
      </c>
      <c r="S447" s="425">
        <v>950.43619997468704</v>
      </c>
      <c r="T447" s="412"/>
    </row>
    <row r="448" spans="2:20" ht="13.5">
      <c r="B448" s="412"/>
      <c r="C448" s="420" t="s">
        <v>84</v>
      </c>
      <c r="D448" s="421">
        <v>0.11915305480957</v>
      </c>
      <c r="E448" s="421">
        <v>0</v>
      </c>
      <c r="F448" s="421">
        <v>61.1470679855287</v>
      </c>
      <c r="G448" s="421">
        <v>3.6153613407475298</v>
      </c>
      <c r="H448" s="421">
        <v>0</v>
      </c>
      <c r="I448" s="421">
        <v>0</v>
      </c>
      <c r="J448" s="421">
        <v>0</v>
      </c>
      <c r="K448" s="421">
        <v>0</v>
      </c>
      <c r="L448" s="421">
        <v>30.1084320007324</v>
      </c>
      <c r="M448" s="421">
        <v>0</v>
      </c>
      <c r="N448" s="421">
        <v>0</v>
      </c>
      <c r="O448" s="421">
        <v>0</v>
      </c>
      <c r="P448" s="421">
        <v>0</v>
      </c>
      <c r="Q448" s="421">
        <v>0</v>
      </c>
      <c r="R448" s="421">
        <v>20.5435542449951</v>
      </c>
      <c r="S448" s="429">
        <v>115.53356862681299</v>
      </c>
      <c r="T448" s="412"/>
    </row>
    <row r="449" spans="2:20" ht="13.5">
      <c r="B449" s="412"/>
      <c r="C449" s="424" t="s">
        <v>85</v>
      </c>
      <c r="D449" s="425">
        <v>1.9190500867145801</v>
      </c>
      <c r="E449" s="425">
        <v>0</v>
      </c>
      <c r="F449" s="425">
        <v>63.7391669684649</v>
      </c>
      <c r="G449" s="425">
        <v>3.6153613407475298</v>
      </c>
      <c r="H449" s="425">
        <v>0</v>
      </c>
      <c r="I449" s="425">
        <v>0</v>
      </c>
      <c r="J449" s="425">
        <v>72.841690529371405</v>
      </c>
      <c r="K449" s="425">
        <v>4.1186114199060402</v>
      </c>
      <c r="L449" s="425">
        <v>70.061908503559906</v>
      </c>
      <c r="M449" s="425">
        <v>112.500708510964</v>
      </c>
      <c r="N449" s="425">
        <v>121.931750282495</v>
      </c>
      <c r="O449" s="425">
        <v>7.3737848279134903</v>
      </c>
      <c r="P449" s="425">
        <v>500.11915632728898</v>
      </c>
      <c r="Q449" s="425">
        <v>70.692409156436497</v>
      </c>
      <c r="R449" s="425">
        <v>37.056170647637501</v>
      </c>
      <c r="S449" s="425">
        <v>1065.9697686014999</v>
      </c>
      <c r="T449" s="412"/>
    </row>
    <row r="450" spans="2:20">
      <c r="B450" s="412"/>
      <c r="C450" s="412"/>
      <c r="D450" s="430">
        <f t="shared" ref="D450:S450" si="9">D449+D439-D425</f>
        <v>1.0658141036401503E-14</v>
      </c>
      <c r="E450" s="430">
        <f t="shared" si="9"/>
        <v>0</v>
      </c>
      <c r="F450" s="430">
        <f t="shared" si="9"/>
        <v>9.5923269327613525E-14</v>
      </c>
      <c r="G450" s="430">
        <f t="shared" si="9"/>
        <v>0</v>
      </c>
      <c r="H450" s="430">
        <f t="shared" si="9"/>
        <v>0</v>
      </c>
      <c r="I450" s="430">
        <f t="shared" si="9"/>
        <v>0</v>
      </c>
      <c r="J450" s="430">
        <f t="shared" si="9"/>
        <v>0</v>
      </c>
      <c r="K450" s="430">
        <f t="shared" si="9"/>
        <v>0</v>
      </c>
      <c r="L450" s="430">
        <f t="shared" si="9"/>
        <v>-3.979039320256561E-13</v>
      </c>
      <c r="M450" s="430">
        <f t="shared" si="9"/>
        <v>-1.9984014443252818E-13</v>
      </c>
      <c r="N450" s="430">
        <f t="shared" si="9"/>
        <v>0</v>
      </c>
      <c r="O450" s="430">
        <f t="shared" si="9"/>
        <v>0</v>
      </c>
      <c r="P450" s="430">
        <f t="shared" si="9"/>
        <v>-1.3855583347321954E-13</v>
      </c>
      <c r="Q450" s="430">
        <f t="shared" si="9"/>
        <v>-9.9475983006414026E-14</v>
      </c>
      <c r="R450" s="430">
        <f t="shared" si="9"/>
        <v>7.815970093361102E-14</v>
      </c>
      <c r="S450" s="430">
        <f t="shared" si="9"/>
        <v>3.865352482534945E-12</v>
      </c>
      <c r="T450" s="412"/>
    </row>
    <row r="451" spans="2:20">
      <c r="B451" s="412"/>
      <c r="C451" s="412"/>
      <c r="D451" s="412"/>
      <c r="E451" s="412"/>
      <c r="F451" s="412"/>
      <c r="G451" s="412"/>
      <c r="H451" s="412"/>
      <c r="I451" s="412"/>
      <c r="J451" s="412"/>
      <c r="K451" s="412"/>
      <c r="L451" s="412"/>
      <c r="M451" s="412"/>
      <c r="N451" s="412"/>
      <c r="O451" s="412"/>
      <c r="P451" s="412"/>
      <c r="Q451" s="412"/>
      <c r="R451" s="412"/>
      <c r="S451" s="412"/>
      <c r="T451" s="412"/>
    </row>
  </sheetData>
  <mergeCells count="144">
    <mergeCell ref="I417:I418"/>
    <mergeCell ref="J417:O417"/>
    <mergeCell ref="P417:P418"/>
    <mergeCell ref="Q417:Q418"/>
    <mergeCell ref="R417:R418"/>
    <mergeCell ref="S417:S418"/>
    <mergeCell ref="C417:C418"/>
    <mergeCell ref="D417:D418"/>
    <mergeCell ref="E417:E418"/>
    <mergeCell ref="F417:F418"/>
    <mergeCell ref="G417:G418"/>
    <mergeCell ref="H417:H418"/>
    <mergeCell ref="I380:I381"/>
    <mergeCell ref="J380:O380"/>
    <mergeCell ref="P380:P381"/>
    <mergeCell ref="Q380:Q381"/>
    <mergeCell ref="R380:R381"/>
    <mergeCell ref="S380:S381"/>
    <mergeCell ref="C380:C381"/>
    <mergeCell ref="D380:D381"/>
    <mergeCell ref="E380:E381"/>
    <mergeCell ref="F380:F381"/>
    <mergeCell ref="G380:G381"/>
    <mergeCell ref="H380:H381"/>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E29:G29 D30:G31 J11:N11 P33:S33 D33:I33 D32:S32 H29:I31 D18:S22 D25:I28 J25:S31 S23:S24 P15:S17 E15:I17 J15:O16 Q12:S14 G12:G14 D12:D17 D56:R57 S54 S56:S68 S70">
    <cfRule type="cellIs" dxfId="1501" priority="1" operator="equal">
      <formula>0</formula>
    </cfRule>
  </conditionalFormatting>
  <conditionalFormatting sqref="P21:P22">
    <cfRule type="cellIs" dxfId="1500" priority="2" operator="equal">
      <formula>0</formula>
    </cfRule>
  </conditionalFormatting>
  <conditionalFormatting sqref="P12:P14">
    <cfRule type="cellIs" dxfId="1499" priority="3" operator="equal">
      <formula>0</formula>
    </cfRule>
  </conditionalFormatting>
  <conditionalFormatting sqref="D12:E14 H12:I14">
    <cfRule type="cellIs" dxfId="1498" priority="4" operator="equal">
      <formula>0</formula>
    </cfRule>
  </conditionalFormatting>
  <conditionalFormatting sqref="F12:F14">
    <cfRule type="cellIs" dxfId="1497" priority="5" operator="equal">
      <formula>0</formula>
    </cfRule>
  </conditionalFormatting>
  <conditionalFormatting sqref="D29">
    <cfRule type="cellIs" dxfId="1496" priority="6" operator="equal">
      <formula>0</formula>
    </cfRule>
  </conditionalFormatting>
  <conditionalFormatting sqref="O11">
    <cfRule type="cellIs" dxfId="1495" priority="7" operator="equal">
      <formula>0</formula>
    </cfRule>
  </conditionalFormatting>
  <conditionalFormatting sqref="J15:J17 J33">
    <cfRule type="cellIs" dxfId="1494" priority="8" operator="equal">
      <formula>0</formula>
    </cfRule>
  </conditionalFormatting>
  <conditionalFormatting sqref="J12:J14">
    <cfRule type="cellIs" dxfId="1493" priority="9" operator="equal">
      <formula>0</formula>
    </cfRule>
  </conditionalFormatting>
  <conditionalFormatting sqref="K15:K17 K33">
    <cfRule type="cellIs" dxfId="1492" priority="10" operator="equal">
      <formula>0</formula>
    </cfRule>
  </conditionalFormatting>
  <conditionalFormatting sqref="K12:K14">
    <cfRule type="cellIs" dxfId="1491" priority="11" operator="equal">
      <formula>0</formula>
    </cfRule>
  </conditionalFormatting>
  <conditionalFormatting sqref="L15:L17 L33">
    <cfRule type="cellIs" dxfId="1490" priority="12" operator="equal">
      <formula>0</formula>
    </cfRule>
  </conditionalFormatting>
  <conditionalFormatting sqref="L12:L14">
    <cfRule type="cellIs" dxfId="1489" priority="13" operator="equal">
      <formula>0</formula>
    </cfRule>
  </conditionalFormatting>
  <conditionalFormatting sqref="M15:M17 M33">
    <cfRule type="cellIs" dxfId="1488" priority="14" operator="equal">
      <formula>0</formula>
    </cfRule>
  </conditionalFormatting>
  <conditionalFormatting sqref="M12:M14">
    <cfRule type="cellIs" dxfId="1487" priority="15" operator="equal">
      <formula>0</formula>
    </cfRule>
  </conditionalFormatting>
  <conditionalFormatting sqref="N15:N17 N33">
    <cfRule type="cellIs" dxfId="1486" priority="16" operator="equal">
      <formula>0</formula>
    </cfRule>
  </conditionalFormatting>
  <conditionalFormatting sqref="N12:N14">
    <cfRule type="cellIs" dxfId="1485" priority="17" operator="equal">
      <formula>0</formula>
    </cfRule>
  </conditionalFormatting>
  <conditionalFormatting sqref="O15:O17 O33">
    <cfRule type="cellIs" dxfId="1484" priority="18" operator="equal">
      <formula>0</formula>
    </cfRule>
  </conditionalFormatting>
  <conditionalFormatting sqref="O12:O14">
    <cfRule type="cellIs" dxfId="1483" priority="19" operator="equal">
      <formula>0</formula>
    </cfRule>
  </conditionalFormatting>
  <conditionalFormatting sqref="D20:S22 D25:S32 S23:S24 D12:S18 D57:R57 S57:S68">
    <cfRule type="expression" dxfId="1482" priority="20">
      <formula>LEN(TRIM(D12))=0</formula>
    </cfRule>
  </conditionalFormatting>
  <conditionalFormatting sqref="L15:L16">
    <cfRule type="cellIs" dxfId="1481" priority="21" operator="equal">
      <formula>0</formula>
    </cfRule>
  </conditionalFormatting>
  <conditionalFormatting sqref="M15:M16">
    <cfRule type="cellIs" dxfId="1480" priority="22" operator="equal">
      <formula>0</formula>
    </cfRule>
  </conditionalFormatting>
  <conditionalFormatting sqref="D23:R24">
    <cfRule type="cellIs" dxfId="1479" priority="23" operator="equal">
      <formula>0</formula>
    </cfRule>
  </conditionalFormatting>
  <conditionalFormatting sqref="P23:P24">
    <cfRule type="cellIs" dxfId="1478" priority="24" operator="equal">
      <formula>0</formula>
    </cfRule>
  </conditionalFormatting>
  <conditionalFormatting sqref="D23:R24">
    <cfRule type="expression" dxfId="1477" priority="25">
      <formula>LEN(TRIM(D23))=0</formula>
    </cfRule>
  </conditionalFormatting>
  <conditionalFormatting sqref="N15:O15">
    <cfRule type="cellIs" dxfId="1476" priority="26" operator="equal">
      <formula>0</formula>
    </cfRule>
  </conditionalFormatting>
  <conditionalFormatting sqref="N16:O16">
    <cfRule type="cellIs" dxfId="1475" priority="27" operator="equal">
      <formula>0</formula>
    </cfRule>
  </conditionalFormatting>
  <conditionalFormatting sqref="S34:S41 D34:R40">
    <cfRule type="cellIs" dxfId="1474" priority="28" operator="equal">
      <formula>0</formula>
    </cfRule>
  </conditionalFormatting>
  <conditionalFormatting sqref="D41:S41">
    <cfRule type="cellIs" dxfId="1473" priority="29" operator="equal">
      <formula>0</formula>
    </cfRule>
  </conditionalFormatting>
  <conditionalFormatting sqref="D34:S41">
    <cfRule type="expression" dxfId="1472" priority="30">
      <formula>LEN(TRIM(D34))=0</formula>
    </cfRule>
  </conditionalFormatting>
  <conditionalFormatting sqref="D41:R41">
    <cfRule type="cellIs" dxfId="1471" priority="31" operator="equal">
      <formula>0</formula>
    </cfRule>
  </conditionalFormatting>
  <conditionalFormatting sqref="D42:S42">
    <cfRule type="cellIs" dxfId="1470" priority="32" operator="equal">
      <formula>0</formula>
    </cfRule>
  </conditionalFormatting>
  <conditionalFormatting sqref="D42:S42">
    <cfRule type="expression" dxfId="1469" priority="33">
      <formula>LEN(TRIM(D42))=0</formula>
    </cfRule>
  </conditionalFormatting>
  <conditionalFormatting sqref="J85:N85 D116:S116 P107:S107 D107:I107 D108:S114 D106:S106 D87:S93 S94:S105 D86:G86 L86:M86 P86:S86 S424:S426 S439:S447">
    <cfRule type="cellIs" dxfId="1468" priority="34" operator="equal">
      <formula>0</formula>
    </cfRule>
  </conditionalFormatting>
  <conditionalFormatting sqref="P86:P88">
    <cfRule type="cellIs" dxfId="1467" priority="35" operator="equal">
      <formula>0</formula>
    </cfRule>
  </conditionalFormatting>
  <conditionalFormatting sqref="P86:R86 L86:M86 D87:R88">
    <cfRule type="cellIs" dxfId="1466" priority="36" operator="equal">
      <formula>0</formula>
    </cfRule>
  </conditionalFormatting>
  <conditionalFormatting sqref="F87:F88">
    <cfRule type="cellIs" dxfId="1465" priority="37" operator="equal">
      <formula>0</formula>
    </cfRule>
  </conditionalFormatting>
  <conditionalFormatting sqref="O85">
    <cfRule type="cellIs" dxfId="1464" priority="38" operator="equal">
      <formula>0</formula>
    </cfRule>
  </conditionalFormatting>
  <conditionalFormatting sqref="L86:M86">
    <cfRule type="cellIs" dxfId="1463" priority="39" operator="equal">
      <formula>0</formula>
    </cfRule>
  </conditionalFormatting>
  <conditionalFormatting sqref="J89:J91 J107">
    <cfRule type="cellIs" dxfId="1462" priority="40" operator="equal">
      <formula>0</formula>
    </cfRule>
  </conditionalFormatting>
  <conditionalFormatting sqref="J87:J88">
    <cfRule type="cellIs" dxfId="1461" priority="41" operator="equal">
      <formula>0</formula>
    </cfRule>
  </conditionalFormatting>
  <conditionalFormatting sqref="K89:K91 K107">
    <cfRule type="cellIs" dxfId="1460" priority="42" operator="equal">
      <formula>0</formula>
    </cfRule>
  </conditionalFormatting>
  <conditionalFormatting sqref="K87:K88">
    <cfRule type="cellIs" dxfId="1459" priority="43" operator="equal">
      <formula>0</formula>
    </cfRule>
  </conditionalFormatting>
  <conditionalFormatting sqref="L89:L91 L107">
    <cfRule type="cellIs" dxfId="1458" priority="44" operator="equal">
      <formula>0</formula>
    </cfRule>
  </conditionalFormatting>
  <conditionalFormatting sqref="L86:L88">
    <cfRule type="cellIs" dxfId="1457" priority="45" operator="equal">
      <formula>0</formula>
    </cfRule>
  </conditionalFormatting>
  <conditionalFormatting sqref="M89:M91 M107">
    <cfRule type="cellIs" dxfId="1456" priority="46" operator="equal">
      <formula>0</formula>
    </cfRule>
  </conditionalFormatting>
  <conditionalFormatting sqref="M86:M88">
    <cfRule type="cellIs" dxfId="1455" priority="47" operator="equal">
      <formula>0</formula>
    </cfRule>
  </conditionalFormatting>
  <conditionalFormatting sqref="N89:N91 N107">
    <cfRule type="cellIs" dxfId="1454" priority="48" operator="equal">
      <formula>0</formula>
    </cfRule>
  </conditionalFormatting>
  <conditionalFormatting sqref="N87:N88">
    <cfRule type="cellIs" dxfId="1453" priority="49" operator="equal">
      <formula>0</formula>
    </cfRule>
  </conditionalFormatting>
  <conditionalFormatting sqref="O89:O91 O107">
    <cfRule type="cellIs" dxfId="1452" priority="50" operator="equal">
      <formula>0</formula>
    </cfRule>
  </conditionalFormatting>
  <conditionalFormatting sqref="O87:O88">
    <cfRule type="cellIs" dxfId="1451" priority="51" operator="equal">
      <formula>0</formula>
    </cfRule>
  </conditionalFormatting>
  <conditionalFormatting sqref="D115:S115">
    <cfRule type="cellIs" dxfId="1450" priority="52" operator="equal">
      <formula>0</formula>
    </cfRule>
  </conditionalFormatting>
  <conditionalFormatting sqref="D108:S116 D106:S106 S94:S105 D87:S92 D86:G86 L86:M86 P86:S86 S439">
    <cfRule type="expression" dxfId="1449" priority="53">
      <formula>LEN(TRIM(D86))=0</formula>
    </cfRule>
  </conditionalFormatting>
  <conditionalFormatting sqref="J122:N122">
    <cfRule type="cellIs" dxfId="1448" priority="54" operator="equal">
      <formula>0</formula>
    </cfRule>
  </conditionalFormatting>
  <conditionalFormatting sqref="O122">
    <cfRule type="cellIs" dxfId="1447" priority="55" operator="equal">
      <formula>0</formula>
    </cfRule>
  </conditionalFormatting>
  <conditionalFormatting sqref="D115:R115">
    <cfRule type="cellIs" dxfId="1446" priority="56" operator="equal">
      <formula>0</formula>
    </cfRule>
  </conditionalFormatting>
  <conditionalFormatting sqref="L89:L90">
    <cfRule type="cellIs" dxfId="1445" priority="57" operator="equal">
      <formula>0</formula>
    </cfRule>
  </conditionalFormatting>
  <conditionalFormatting sqref="M89:M90">
    <cfRule type="cellIs" dxfId="1444" priority="58" operator="equal">
      <formula>0</formula>
    </cfRule>
  </conditionalFormatting>
  <conditionalFormatting sqref="N89:O89">
    <cfRule type="cellIs" dxfId="1443" priority="59" operator="equal">
      <formula>0</formula>
    </cfRule>
  </conditionalFormatting>
  <conditionalFormatting sqref="N90:O90">
    <cfRule type="cellIs" dxfId="1442" priority="60" operator="equal">
      <formula>0</formula>
    </cfRule>
  </conditionalFormatting>
  <conditionalFormatting sqref="Q50:R51 P54:R54 E66:G66 G50:G51 D67:G68 P62:R68 D54:I54 J48:N48 P70:R70 D70:I70 H62:I68 D62:G65">
    <cfRule type="cellIs" dxfId="1441" priority="61" operator="equal">
      <formula>0</formula>
    </cfRule>
  </conditionalFormatting>
  <conditionalFormatting sqref="P50:P51">
    <cfRule type="cellIs" dxfId="1440" priority="62" operator="equal">
      <formula>0</formula>
    </cfRule>
  </conditionalFormatting>
  <conditionalFormatting sqref="D50:E51 H50:I51">
    <cfRule type="cellIs" dxfId="1439" priority="63" operator="equal">
      <formula>0</formula>
    </cfRule>
  </conditionalFormatting>
  <conditionalFormatting sqref="F50:F51">
    <cfRule type="cellIs" dxfId="1438" priority="64" operator="equal">
      <formula>0</formula>
    </cfRule>
  </conditionalFormatting>
  <conditionalFormatting sqref="D66">
    <cfRule type="cellIs" dxfId="1437" priority="65" operator="equal">
      <formula>0</formula>
    </cfRule>
  </conditionalFormatting>
  <conditionalFormatting sqref="O48">
    <cfRule type="cellIs" dxfId="1436" priority="66" operator="equal">
      <formula>0</formula>
    </cfRule>
  </conditionalFormatting>
  <conditionalFormatting sqref="J54 J70 J62:J68">
    <cfRule type="cellIs" dxfId="1435" priority="67" operator="equal">
      <formula>0</formula>
    </cfRule>
  </conditionalFormatting>
  <conditionalFormatting sqref="J50:J51">
    <cfRule type="cellIs" dxfId="1434" priority="68" operator="equal">
      <formula>0</formula>
    </cfRule>
  </conditionalFormatting>
  <conditionalFormatting sqref="K54 K70 K62:K68">
    <cfRule type="cellIs" dxfId="1433" priority="69" operator="equal">
      <formula>0</formula>
    </cfRule>
  </conditionalFormatting>
  <conditionalFormatting sqref="K50:K51">
    <cfRule type="cellIs" dxfId="1432" priority="70" operator="equal">
      <formula>0</formula>
    </cfRule>
  </conditionalFormatting>
  <conditionalFormatting sqref="L54 L70 L62:L68">
    <cfRule type="cellIs" dxfId="1431" priority="71" operator="equal">
      <formula>0</formula>
    </cfRule>
  </conditionalFormatting>
  <conditionalFormatting sqref="L50:L51">
    <cfRule type="cellIs" dxfId="1430" priority="72" operator="equal">
      <formula>0</formula>
    </cfRule>
  </conditionalFormatting>
  <conditionalFormatting sqref="M54 M70 M62:M68">
    <cfRule type="cellIs" dxfId="1429" priority="73" operator="equal">
      <formula>0</formula>
    </cfRule>
  </conditionalFormatting>
  <conditionalFormatting sqref="M50:M51">
    <cfRule type="cellIs" dxfId="1428" priority="74" operator="equal">
      <formula>0</formula>
    </cfRule>
  </conditionalFormatting>
  <conditionalFormatting sqref="N54 N70 N62:N68">
    <cfRule type="cellIs" dxfId="1427" priority="75" operator="equal">
      <formula>0</formula>
    </cfRule>
  </conditionalFormatting>
  <conditionalFormatting sqref="N50:N51">
    <cfRule type="cellIs" dxfId="1426" priority="76" operator="equal">
      <formula>0</formula>
    </cfRule>
  </conditionalFormatting>
  <conditionalFormatting sqref="O54 O70 O62:O68">
    <cfRule type="cellIs" dxfId="1425" priority="77" operator="equal">
      <formula>0</formula>
    </cfRule>
  </conditionalFormatting>
  <conditionalFormatting sqref="O50:O51">
    <cfRule type="cellIs" dxfId="1424" priority="78" operator="equal">
      <formula>0</formula>
    </cfRule>
  </conditionalFormatting>
  <conditionalFormatting sqref="D50:R51 D62:R68 D54:R54">
    <cfRule type="expression" dxfId="1423" priority="79">
      <formula>LEN(TRIM(D50))=0</formula>
    </cfRule>
  </conditionalFormatting>
  <conditionalFormatting sqref="D58:R58">
    <cfRule type="cellIs" dxfId="1422" priority="80" operator="equal">
      <formula>0</formula>
    </cfRule>
  </conditionalFormatting>
  <conditionalFormatting sqref="P58">
    <cfRule type="cellIs" dxfId="1421" priority="81" operator="equal">
      <formula>0</formula>
    </cfRule>
  </conditionalFormatting>
  <conditionalFormatting sqref="J58">
    <cfRule type="cellIs" dxfId="1420" priority="82" operator="equal">
      <formula>0</formula>
    </cfRule>
  </conditionalFormatting>
  <conditionalFormatting sqref="K58">
    <cfRule type="cellIs" dxfId="1419" priority="83" operator="equal">
      <formula>0</formula>
    </cfRule>
  </conditionalFormatting>
  <conditionalFormatting sqref="L58">
    <cfRule type="cellIs" dxfId="1418" priority="84" operator="equal">
      <formula>0</formula>
    </cfRule>
  </conditionalFormatting>
  <conditionalFormatting sqref="M58">
    <cfRule type="cellIs" dxfId="1417" priority="85" operator="equal">
      <formula>0</formula>
    </cfRule>
  </conditionalFormatting>
  <conditionalFormatting sqref="N58">
    <cfRule type="cellIs" dxfId="1416" priority="86" operator="equal">
      <formula>0</formula>
    </cfRule>
  </conditionalFormatting>
  <conditionalFormatting sqref="O58">
    <cfRule type="cellIs" dxfId="1415" priority="87" operator="equal">
      <formula>0</formula>
    </cfRule>
  </conditionalFormatting>
  <conditionalFormatting sqref="D58:R58">
    <cfRule type="expression" dxfId="1414" priority="88">
      <formula>LEN(TRIM(D58))=0</formula>
    </cfRule>
  </conditionalFormatting>
  <conditionalFormatting sqref="P49:R49 D49:G49">
    <cfRule type="cellIs" dxfId="1413" priority="89" operator="equal">
      <formula>0</formula>
    </cfRule>
  </conditionalFormatting>
  <conditionalFormatting sqref="H49">
    <cfRule type="cellIs" dxfId="1412" priority="90" operator="equal">
      <formula>0</formula>
    </cfRule>
  </conditionalFormatting>
  <conditionalFormatting sqref="I49">
    <cfRule type="cellIs" dxfId="1411" priority="91" operator="equal">
      <formula>0</formula>
    </cfRule>
  </conditionalFormatting>
  <conditionalFormatting sqref="L49:O49">
    <cfRule type="cellIs" dxfId="1410" priority="92" operator="equal">
      <formula>0</formula>
    </cfRule>
  </conditionalFormatting>
  <conditionalFormatting sqref="J49">
    <cfRule type="cellIs" dxfId="1409" priority="93" operator="equal">
      <formula>0</formula>
    </cfRule>
  </conditionalFormatting>
  <conditionalFormatting sqref="K49">
    <cfRule type="cellIs" dxfId="1408" priority="94" operator="equal">
      <formula>0</formula>
    </cfRule>
  </conditionalFormatting>
  <conditionalFormatting sqref="D49:R49">
    <cfRule type="expression" dxfId="1407" priority="95">
      <formula>LEN(TRIM(D49))=0</formula>
    </cfRule>
  </conditionalFormatting>
  <conditionalFormatting sqref="S49:S51">
    <cfRule type="cellIs" dxfId="1406" priority="96" operator="equal">
      <formula>0</formula>
    </cfRule>
  </conditionalFormatting>
  <conditionalFormatting sqref="S49:S51 S54">
    <cfRule type="expression" dxfId="1405" priority="97">
      <formula>LEN(TRIM(S49))=0</formula>
    </cfRule>
  </conditionalFormatting>
  <conditionalFormatting sqref="S52:S53">
    <cfRule type="cellIs" dxfId="1404" priority="98" operator="equal">
      <formula>0</formula>
    </cfRule>
  </conditionalFormatting>
  <conditionalFormatting sqref="S52:S53">
    <cfRule type="expression" dxfId="1403" priority="99">
      <formula>LEN(TRIM(S52))=0</formula>
    </cfRule>
  </conditionalFormatting>
  <conditionalFormatting sqref="D59:R59">
    <cfRule type="cellIs" dxfId="1402" priority="100" operator="equal">
      <formula>0</formula>
    </cfRule>
  </conditionalFormatting>
  <conditionalFormatting sqref="P59">
    <cfRule type="cellIs" dxfId="1401" priority="101" operator="equal">
      <formula>0</formula>
    </cfRule>
  </conditionalFormatting>
  <conditionalFormatting sqref="D59:R59">
    <cfRule type="expression" dxfId="1400" priority="102">
      <formula>LEN(TRIM(D59))=0</formula>
    </cfRule>
  </conditionalFormatting>
  <conditionalFormatting sqref="D60:R61">
    <cfRule type="cellIs" dxfId="1399" priority="103" operator="equal">
      <formula>0</formula>
    </cfRule>
  </conditionalFormatting>
  <conditionalFormatting sqref="P60:P61">
    <cfRule type="cellIs" dxfId="1398" priority="104" operator="equal">
      <formula>0</formula>
    </cfRule>
  </conditionalFormatting>
  <conditionalFormatting sqref="D60:R61">
    <cfRule type="expression" dxfId="1397" priority="105">
      <formula>LEN(TRIM(D60))=0</formula>
    </cfRule>
  </conditionalFormatting>
  <conditionalFormatting sqref="D52:R53">
    <cfRule type="cellIs" dxfId="1396" priority="106" operator="equal">
      <formula>0</formula>
    </cfRule>
  </conditionalFormatting>
  <conditionalFormatting sqref="J52:J53">
    <cfRule type="cellIs" dxfId="1395" priority="107" operator="equal">
      <formula>0</formula>
    </cfRule>
  </conditionalFormatting>
  <conditionalFormatting sqref="K52:K53">
    <cfRule type="cellIs" dxfId="1394" priority="108" operator="equal">
      <formula>0</formula>
    </cfRule>
  </conditionalFormatting>
  <conditionalFormatting sqref="L52:L53">
    <cfRule type="cellIs" dxfId="1393" priority="109" operator="equal">
      <formula>0</formula>
    </cfRule>
  </conditionalFormatting>
  <conditionalFormatting sqref="M52:M53">
    <cfRule type="cellIs" dxfId="1392" priority="110" operator="equal">
      <formula>0</formula>
    </cfRule>
  </conditionalFormatting>
  <conditionalFormatting sqref="N52:N53">
    <cfRule type="cellIs" dxfId="1391" priority="111" operator="equal">
      <formula>0</formula>
    </cfRule>
  </conditionalFormatting>
  <conditionalFormatting sqref="O52:O53">
    <cfRule type="cellIs" dxfId="1390" priority="112" operator="equal">
      <formula>0</formula>
    </cfRule>
  </conditionalFormatting>
  <conditionalFormatting sqref="D52:R53">
    <cfRule type="expression" dxfId="1389" priority="113">
      <formula>LEN(TRIM(D52))=0</formula>
    </cfRule>
  </conditionalFormatting>
  <conditionalFormatting sqref="L52:L53">
    <cfRule type="cellIs" dxfId="1388" priority="114" operator="equal">
      <formula>0</formula>
    </cfRule>
  </conditionalFormatting>
  <conditionalFormatting sqref="M52:M53">
    <cfRule type="cellIs" dxfId="1387" priority="115" operator="equal">
      <formula>0</formula>
    </cfRule>
  </conditionalFormatting>
  <conditionalFormatting sqref="N52:O52">
    <cfRule type="cellIs" dxfId="1386" priority="116" operator="equal">
      <formula>0</formula>
    </cfRule>
  </conditionalFormatting>
  <conditionalFormatting sqref="N53:O53">
    <cfRule type="cellIs" dxfId="1385" priority="117" operator="equal">
      <formula>0</formula>
    </cfRule>
  </conditionalFormatting>
  <conditionalFormatting sqref="S153 S123:S151">
    <cfRule type="cellIs" dxfId="1384" priority="118" operator="equal">
      <formula>0</formula>
    </cfRule>
  </conditionalFormatting>
  <conditionalFormatting sqref="S152">
    <cfRule type="cellIs" dxfId="1383" priority="119" operator="equal">
      <formula>0</formula>
    </cfRule>
  </conditionalFormatting>
  <conditionalFormatting sqref="S145:S153 S123:S129 S131:S143">
    <cfRule type="expression" dxfId="1382" priority="120">
      <formula>LEN(TRIM(S123))=0</formula>
    </cfRule>
  </conditionalFormatting>
  <conditionalFormatting sqref="D55:S55">
    <cfRule type="cellIs" dxfId="1381" priority="121" operator="equal">
      <formula>0</formula>
    </cfRule>
  </conditionalFormatting>
  <conditionalFormatting sqref="D55:S55">
    <cfRule type="expression" dxfId="1380" priority="122">
      <formula>LEN(TRIM(D55))=0</formula>
    </cfRule>
  </conditionalFormatting>
  <conditionalFormatting sqref="D69:S69">
    <cfRule type="cellIs" dxfId="1379" priority="123" operator="equal">
      <formula>0</formula>
    </cfRule>
  </conditionalFormatting>
  <conditionalFormatting sqref="D69:S69">
    <cfRule type="expression" dxfId="1378" priority="124">
      <formula>LEN(TRIM(D69))=0</formula>
    </cfRule>
  </conditionalFormatting>
  <conditionalFormatting sqref="S71:S78 D71:R77">
    <cfRule type="cellIs" dxfId="1377" priority="125" operator="equal">
      <formula>0</formula>
    </cfRule>
  </conditionalFormatting>
  <conditionalFormatting sqref="D78:S78">
    <cfRule type="cellIs" dxfId="1376" priority="126" operator="equal">
      <formula>0</formula>
    </cfRule>
  </conditionalFormatting>
  <conditionalFormatting sqref="D71:S78">
    <cfRule type="expression" dxfId="1375" priority="127">
      <formula>LEN(TRIM(D71))=0</formula>
    </cfRule>
  </conditionalFormatting>
  <conditionalFormatting sqref="D78:R78">
    <cfRule type="cellIs" dxfId="1374" priority="128" operator="equal">
      <formula>0</formula>
    </cfRule>
  </conditionalFormatting>
  <conditionalFormatting sqref="D79:S79">
    <cfRule type="cellIs" dxfId="1373" priority="129" operator="equal">
      <formula>0</formula>
    </cfRule>
  </conditionalFormatting>
  <conditionalFormatting sqref="D79:S79">
    <cfRule type="expression" dxfId="1372" priority="130">
      <formula>LEN(TRIM(D79))=0</formula>
    </cfRule>
  </conditionalFormatting>
  <conditionalFormatting sqref="D94:R105">
    <cfRule type="cellIs" dxfId="1371" priority="131" operator="equal">
      <formula>0</formula>
    </cfRule>
  </conditionalFormatting>
  <conditionalFormatting sqref="D94:R105">
    <cfRule type="expression" dxfId="1370" priority="132">
      <formula>LEN(TRIM(D94))=0</formula>
    </cfRule>
  </conditionalFormatting>
  <conditionalFormatting sqref="H86">
    <cfRule type="cellIs" dxfId="1369" priority="133" operator="equal">
      <formula>0</formula>
    </cfRule>
  </conditionalFormatting>
  <conditionalFormatting sqref="I86">
    <cfRule type="cellIs" dxfId="1368" priority="134" operator="equal">
      <formula>0</formula>
    </cfRule>
  </conditionalFormatting>
  <conditionalFormatting sqref="J86:K86">
    <cfRule type="cellIs" dxfId="1367" priority="135" operator="equal">
      <formula>0</formula>
    </cfRule>
  </conditionalFormatting>
  <conditionalFormatting sqref="K86">
    <cfRule type="cellIs" dxfId="1366" priority="136" operator="equal">
      <formula>0</formula>
    </cfRule>
  </conditionalFormatting>
  <conditionalFormatting sqref="H86:K86">
    <cfRule type="expression" dxfId="1365" priority="137">
      <formula>LEN(TRIM(H86))=0</formula>
    </cfRule>
  </conditionalFormatting>
  <conditionalFormatting sqref="N86:O86">
    <cfRule type="cellIs" dxfId="1364" priority="138" operator="equal">
      <formula>0</formula>
    </cfRule>
  </conditionalFormatting>
  <conditionalFormatting sqref="N86:O86">
    <cfRule type="cellIs" dxfId="1363" priority="139" operator="equal">
      <formula>0</formula>
    </cfRule>
  </conditionalFormatting>
  <conditionalFormatting sqref="N86:O86">
    <cfRule type="expression" dxfId="1362" priority="140">
      <formula>LEN(TRIM(N86))=0</formula>
    </cfRule>
  </conditionalFormatting>
  <conditionalFormatting sqref="D153:R153 P144:R144 D144:I144 D145:R151 D143:R143 D124:R130 D123:G123 L123:M123 P123:R123">
    <cfRule type="cellIs" dxfId="1361" priority="141" operator="equal">
      <formula>0</formula>
    </cfRule>
  </conditionalFormatting>
  <conditionalFormatting sqref="P123:P125">
    <cfRule type="cellIs" dxfId="1360" priority="142" operator="equal">
      <formula>0</formula>
    </cfRule>
  </conditionalFormatting>
  <conditionalFormatting sqref="P123:R123 L123:M123 D124:R125">
    <cfRule type="cellIs" dxfId="1359" priority="143" operator="equal">
      <formula>0</formula>
    </cfRule>
  </conditionalFormatting>
  <conditionalFormatting sqref="F124:F125">
    <cfRule type="cellIs" dxfId="1358" priority="144" operator="equal">
      <formula>0</formula>
    </cfRule>
  </conditionalFormatting>
  <conditionalFormatting sqref="L123:M123">
    <cfRule type="cellIs" dxfId="1357" priority="145" operator="equal">
      <formula>0</formula>
    </cfRule>
  </conditionalFormatting>
  <conditionalFormatting sqref="J126:J128 J144">
    <cfRule type="cellIs" dxfId="1356" priority="146" operator="equal">
      <formula>0</formula>
    </cfRule>
  </conditionalFormatting>
  <conditionalFormatting sqref="J124:J125">
    <cfRule type="cellIs" dxfId="1355" priority="147" operator="equal">
      <formula>0</formula>
    </cfRule>
  </conditionalFormatting>
  <conditionalFormatting sqref="K126:K128 K144">
    <cfRule type="cellIs" dxfId="1354" priority="148" operator="equal">
      <formula>0</formula>
    </cfRule>
  </conditionalFormatting>
  <conditionalFormatting sqref="K124:K125">
    <cfRule type="cellIs" dxfId="1353" priority="149" operator="equal">
      <formula>0</formula>
    </cfRule>
  </conditionalFormatting>
  <conditionalFormatting sqref="L126:L128 L144">
    <cfRule type="cellIs" dxfId="1352" priority="150" operator="equal">
      <formula>0</formula>
    </cfRule>
  </conditionalFormatting>
  <conditionalFormatting sqref="L123:L125">
    <cfRule type="cellIs" dxfId="1351" priority="151" operator="equal">
      <formula>0</formula>
    </cfRule>
  </conditionalFormatting>
  <conditionalFormatting sqref="M126:M128 M144">
    <cfRule type="cellIs" dxfId="1350" priority="152" operator="equal">
      <formula>0</formula>
    </cfRule>
  </conditionalFormatting>
  <conditionalFormatting sqref="M123:M125">
    <cfRule type="cellIs" dxfId="1349" priority="153" operator="equal">
      <formula>0</formula>
    </cfRule>
  </conditionalFormatting>
  <conditionalFormatting sqref="N126:N128 N144">
    <cfRule type="cellIs" dxfId="1348" priority="154" operator="equal">
      <formula>0</formula>
    </cfRule>
  </conditionalFormatting>
  <conditionalFormatting sqref="N124:N125">
    <cfRule type="cellIs" dxfId="1347" priority="155" operator="equal">
      <formula>0</formula>
    </cfRule>
  </conditionalFormatting>
  <conditionalFormatting sqref="O126:O128 O144">
    <cfRule type="cellIs" dxfId="1346" priority="156" operator="equal">
      <formula>0</formula>
    </cfRule>
  </conditionalFormatting>
  <conditionalFormatting sqref="O124:O125">
    <cfRule type="cellIs" dxfId="1345" priority="157" operator="equal">
      <formula>0</formula>
    </cfRule>
  </conditionalFormatting>
  <conditionalFormatting sqref="D152:R152">
    <cfRule type="cellIs" dxfId="1344" priority="158" operator="equal">
      <formula>0</formula>
    </cfRule>
  </conditionalFormatting>
  <conditionalFormatting sqref="D145:R153 D143:R143 D124:R129 D123:G123 L123:M123 P123:R123">
    <cfRule type="expression" dxfId="1343" priority="159">
      <formula>LEN(TRIM(D123))=0</formula>
    </cfRule>
  </conditionalFormatting>
  <conditionalFormatting sqref="D152:R152">
    <cfRule type="cellIs" dxfId="1342" priority="160" operator="equal">
      <formula>0</formula>
    </cfRule>
  </conditionalFormatting>
  <conditionalFormatting sqref="L126:L127">
    <cfRule type="cellIs" dxfId="1341" priority="161" operator="equal">
      <formula>0</formula>
    </cfRule>
  </conditionalFormatting>
  <conditionalFormatting sqref="M126:M127">
    <cfRule type="cellIs" dxfId="1340" priority="162" operator="equal">
      <formula>0</formula>
    </cfRule>
  </conditionalFormatting>
  <conditionalFormatting sqref="N126:O126">
    <cfRule type="cellIs" dxfId="1339" priority="163" operator="equal">
      <formula>0</formula>
    </cfRule>
  </conditionalFormatting>
  <conditionalFormatting sqref="N127:O127">
    <cfRule type="cellIs" dxfId="1338" priority="164" operator="equal">
      <formula>0</formula>
    </cfRule>
  </conditionalFormatting>
  <conditionalFormatting sqref="D131:R142">
    <cfRule type="cellIs" dxfId="1337" priority="165" operator="equal">
      <formula>0</formula>
    </cfRule>
  </conditionalFormatting>
  <conditionalFormatting sqref="D131:R142">
    <cfRule type="expression" dxfId="1336" priority="166">
      <formula>LEN(TRIM(D131))=0</formula>
    </cfRule>
  </conditionalFormatting>
  <conditionalFormatting sqref="H123">
    <cfRule type="cellIs" dxfId="1335" priority="167" operator="equal">
      <formula>0</formula>
    </cfRule>
  </conditionalFormatting>
  <conditionalFormatting sqref="I123">
    <cfRule type="cellIs" dxfId="1334" priority="168" operator="equal">
      <formula>0</formula>
    </cfRule>
  </conditionalFormatting>
  <conditionalFormatting sqref="J123:K123">
    <cfRule type="cellIs" dxfId="1333" priority="169" operator="equal">
      <formula>0</formula>
    </cfRule>
  </conditionalFormatting>
  <conditionalFormatting sqref="K123">
    <cfRule type="cellIs" dxfId="1332" priority="170" operator="equal">
      <formula>0</formula>
    </cfRule>
  </conditionalFormatting>
  <conditionalFormatting sqref="H123:K123">
    <cfRule type="expression" dxfId="1331" priority="171">
      <formula>LEN(TRIM(H123))=0</formula>
    </cfRule>
  </conditionalFormatting>
  <conditionalFormatting sqref="N123:O123">
    <cfRule type="cellIs" dxfId="1330" priority="172" operator="equal">
      <formula>0</formula>
    </cfRule>
  </conditionalFormatting>
  <conditionalFormatting sqref="N123:O123">
    <cfRule type="cellIs" dxfId="1329" priority="173" operator="equal">
      <formula>0</formula>
    </cfRule>
  </conditionalFormatting>
  <conditionalFormatting sqref="N123:O123">
    <cfRule type="expression" dxfId="1328" priority="174">
      <formula>LEN(TRIM(N123))=0</formula>
    </cfRule>
  </conditionalFormatting>
  <conditionalFormatting sqref="J159:N159">
    <cfRule type="cellIs" dxfId="1327" priority="175" operator="equal">
      <formula>0</formula>
    </cfRule>
  </conditionalFormatting>
  <conditionalFormatting sqref="O159">
    <cfRule type="cellIs" dxfId="1326" priority="176" operator="equal">
      <formula>0</formula>
    </cfRule>
  </conditionalFormatting>
  <conditionalFormatting sqref="S190 S160:S188">
    <cfRule type="cellIs" dxfId="1325" priority="177" operator="equal">
      <formula>0</formula>
    </cfRule>
  </conditionalFormatting>
  <conditionalFormatting sqref="S189">
    <cfRule type="cellIs" dxfId="1324" priority="178" operator="equal">
      <formula>0</formula>
    </cfRule>
  </conditionalFormatting>
  <conditionalFormatting sqref="S182:S190 S160:S166 S168:S180">
    <cfRule type="expression" dxfId="1323" priority="179">
      <formula>LEN(TRIM(S160))=0</formula>
    </cfRule>
  </conditionalFormatting>
  <conditionalFormatting sqref="D190:R190 P181:R181 D181:I181 D182:R188 D180:R180 D161:R167 D160:G160 L160:M160 P160:R160">
    <cfRule type="cellIs" dxfId="1322" priority="180" operator="equal">
      <formula>0</formula>
    </cfRule>
  </conditionalFormatting>
  <conditionalFormatting sqref="P160:P162">
    <cfRule type="cellIs" dxfId="1321" priority="181" operator="equal">
      <formula>0</formula>
    </cfRule>
  </conditionalFormatting>
  <conditionalFormatting sqref="P160:R160 L160:M160 D161:R162">
    <cfRule type="cellIs" dxfId="1320" priority="182" operator="equal">
      <formula>0</formula>
    </cfRule>
  </conditionalFormatting>
  <conditionalFormatting sqref="F161:F162">
    <cfRule type="cellIs" dxfId="1319" priority="183" operator="equal">
      <formula>0</formula>
    </cfRule>
  </conditionalFormatting>
  <conditionalFormatting sqref="L160:M160">
    <cfRule type="cellIs" dxfId="1318" priority="184" operator="equal">
      <formula>0</formula>
    </cfRule>
  </conditionalFormatting>
  <conditionalFormatting sqref="J163:J165 J181">
    <cfRule type="cellIs" dxfId="1317" priority="185" operator="equal">
      <formula>0</formula>
    </cfRule>
  </conditionalFormatting>
  <conditionalFormatting sqref="J161:J162">
    <cfRule type="cellIs" dxfId="1316" priority="186" operator="equal">
      <formula>0</formula>
    </cfRule>
  </conditionalFormatting>
  <conditionalFormatting sqref="K163:K165 K181">
    <cfRule type="cellIs" dxfId="1315" priority="187" operator="equal">
      <formula>0</formula>
    </cfRule>
  </conditionalFormatting>
  <conditionalFormatting sqref="K161:K162">
    <cfRule type="cellIs" dxfId="1314" priority="188" operator="equal">
      <formula>0</formula>
    </cfRule>
  </conditionalFormatting>
  <conditionalFormatting sqref="L163:L165 L181">
    <cfRule type="cellIs" dxfId="1313" priority="189" operator="equal">
      <formula>0</formula>
    </cfRule>
  </conditionalFormatting>
  <conditionalFormatting sqref="L160:L162">
    <cfRule type="cellIs" dxfId="1312" priority="190" operator="equal">
      <formula>0</formula>
    </cfRule>
  </conditionalFormatting>
  <conditionalFormatting sqref="M163:M165 M181">
    <cfRule type="cellIs" dxfId="1311" priority="191" operator="equal">
      <formula>0</formula>
    </cfRule>
  </conditionalFormatting>
  <conditionalFormatting sqref="M160:M162">
    <cfRule type="cellIs" dxfId="1310" priority="192" operator="equal">
      <formula>0</formula>
    </cfRule>
  </conditionalFormatting>
  <conditionalFormatting sqref="N163:N165 N181">
    <cfRule type="cellIs" dxfId="1309" priority="193" operator="equal">
      <formula>0</formula>
    </cfRule>
  </conditionalFormatting>
  <conditionalFormatting sqref="N161:N162">
    <cfRule type="cellIs" dxfId="1308" priority="194" operator="equal">
      <formula>0</formula>
    </cfRule>
  </conditionalFormatting>
  <conditionalFormatting sqref="O163:O165 O181">
    <cfRule type="cellIs" dxfId="1307" priority="195" operator="equal">
      <formula>0</formula>
    </cfRule>
  </conditionalFormatting>
  <conditionalFormatting sqref="O161:O162">
    <cfRule type="cellIs" dxfId="1306" priority="196" operator="equal">
      <formula>0</formula>
    </cfRule>
  </conditionalFormatting>
  <conditionalFormatting sqref="D189:R189">
    <cfRule type="cellIs" dxfId="1305" priority="197" operator="equal">
      <formula>0</formula>
    </cfRule>
  </conditionalFormatting>
  <conditionalFormatting sqref="D182:R190 D180:R180 D161:R166 D160:G160 L160:M160 P160:R160">
    <cfRule type="expression" dxfId="1304" priority="198">
      <formula>LEN(TRIM(D160))=0</formula>
    </cfRule>
  </conditionalFormatting>
  <conditionalFormatting sqref="D189:R189">
    <cfRule type="cellIs" dxfId="1303" priority="199" operator="equal">
      <formula>0</formula>
    </cfRule>
  </conditionalFormatting>
  <conditionalFormatting sqref="L163:L164">
    <cfRule type="cellIs" dxfId="1302" priority="200" operator="equal">
      <formula>0</formula>
    </cfRule>
  </conditionalFormatting>
  <conditionalFormatting sqref="M163:M164">
    <cfRule type="cellIs" dxfId="1301" priority="201" operator="equal">
      <formula>0</formula>
    </cfRule>
  </conditionalFormatting>
  <conditionalFormatting sqref="N163:O163">
    <cfRule type="cellIs" dxfId="1300" priority="202" operator="equal">
      <formula>0</formula>
    </cfRule>
  </conditionalFormatting>
  <conditionalFormatting sqref="N164:O164">
    <cfRule type="cellIs" dxfId="1299" priority="203" operator="equal">
      <formula>0</formula>
    </cfRule>
  </conditionalFormatting>
  <conditionalFormatting sqref="D168:R179">
    <cfRule type="cellIs" dxfId="1298" priority="204" operator="equal">
      <formula>0</formula>
    </cfRule>
  </conditionalFormatting>
  <conditionalFormatting sqref="D168:R179">
    <cfRule type="expression" dxfId="1297" priority="205">
      <formula>LEN(TRIM(D168))=0</formula>
    </cfRule>
  </conditionalFormatting>
  <conditionalFormatting sqref="H160">
    <cfRule type="cellIs" dxfId="1296" priority="206" operator="equal">
      <formula>0</formula>
    </cfRule>
  </conditionalFormatting>
  <conditionalFormatting sqref="I160">
    <cfRule type="cellIs" dxfId="1295" priority="207" operator="equal">
      <formula>0</formula>
    </cfRule>
  </conditionalFormatting>
  <conditionalFormatting sqref="J160:K160">
    <cfRule type="cellIs" dxfId="1294" priority="208" operator="equal">
      <formula>0</formula>
    </cfRule>
  </conditionalFormatting>
  <conditionalFormatting sqref="K160">
    <cfRule type="cellIs" dxfId="1293" priority="209" operator="equal">
      <formula>0</formula>
    </cfRule>
  </conditionalFormatting>
  <conditionalFormatting sqref="H160:K160">
    <cfRule type="expression" dxfId="1292" priority="210">
      <formula>LEN(TRIM(H160))=0</formula>
    </cfRule>
  </conditionalFormatting>
  <conditionalFormatting sqref="N160:O160">
    <cfRule type="cellIs" dxfId="1291" priority="211" operator="equal">
      <formula>0</formula>
    </cfRule>
  </conditionalFormatting>
  <conditionalFormatting sqref="N160:O160">
    <cfRule type="cellIs" dxfId="1290" priority="212" operator="equal">
      <formula>0</formula>
    </cfRule>
  </conditionalFormatting>
  <conditionalFormatting sqref="N160:O160">
    <cfRule type="expression" dxfId="1289" priority="213">
      <formula>LEN(TRIM(N160))=0</formula>
    </cfRule>
  </conditionalFormatting>
  <conditionalFormatting sqref="J196:N196">
    <cfRule type="cellIs" dxfId="1288" priority="214" operator="equal">
      <formula>0</formula>
    </cfRule>
  </conditionalFormatting>
  <conditionalFormatting sqref="O196">
    <cfRule type="cellIs" dxfId="1287" priority="215" operator="equal">
      <formula>0</formula>
    </cfRule>
  </conditionalFormatting>
  <conditionalFormatting sqref="S227 S197:S225">
    <cfRule type="cellIs" dxfId="1286" priority="216" operator="equal">
      <formula>0</formula>
    </cfRule>
  </conditionalFormatting>
  <conditionalFormatting sqref="S226">
    <cfRule type="cellIs" dxfId="1285" priority="217" operator="equal">
      <formula>0</formula>
    </cfRule>
  </conditionalFormatting>
  <conditionalFormatting sqref="S219:S227 S197:S203 S205:S217">
    <cfRule type="expression" dxfId="1284" priority="218">
      <formula>LEN(TRIM(S197))=0</formula>
    </cfRule>
  </conditionalFormatting>
  <conditionalFormatting sqref="D227:R227 P218:R218 D218:I218 D219:R225 D217:R217 D198:R204 D197:G197 L197:M197 P197:R197">
    <cfRule type="cellIs" dxfId="1283" priority="219" operator="equal">
      <formula>0</formula>
    </cfRule>
  </conditionalFormatting>
  <conditionalFormatting sqref="P197:P199">
    <cfRule type="cellIs" dxfId="1282" priority="220" operator="equal">
      <formula>0</formula>
    </cfRule>
  </conditionalFormatting>
  <conditionalFormatting sqref="P197:R197 L197:M197 D198:R199">
    <cfRule type="cellIs" dxfId="1281" priority="221" operator="equal">
      <formula>0</formula>
    </cfRule>
  </conditionalFormatting>
  <conditionalFormatting sqref="F198:F199">
    <cfRule type="cellIs" dxfId="1280" priority="222" operator="equal">
      <formula>0</formula>
    </cfRule>
  </conditionalFormatting>
  <conditionalFormatting sqref="L197:M197">
    <cfRule type="cellIs" dxfId="1279" priority="223" operator="equal">
      <formula>0</formula>
    </cfRule>
  </conditionalFormatting>
  <conditionalFormatting sqref="J200:J202 J218">
    <cfRule type="cellIs" dxfId="1278" priority="224" operator="equal">
      <formula>0</formula>
    </cfRule>
  </conditionalFormatting>
  <conditionalFormatting sqref="J198:J199">
    <cfRule type="cellIs" dxfId="1277" priority="225" operator="equal">
      <formula>0</formula>
    </cfRule>
  </conditionalFormatting>
  <conditionalFormatting sqref="K200:K202 K218">
    <cfRule type="cellIs" dxfId="1276" priority="226" operator="equal">
      <formula>0</formula>
    </cfRule>
  </conditionalFormatting>
  <conditionalFormatting sqref="K198:K199">
    <cfRule type="cellIs" dxfId="1275" priority="227" operator="equal">
      <formula>0</formula>
    </cfRule>
  </conditionalFormatting>
  <conditionalFormatting sqref="L200:L202 L218">
    <cfRule type="cellIs" dxfId="1274" priority="228" operator="equal">
      <formula>0</formula>
    </cfRule>
  </conditionalFormatting>
  <conditionalFormatting sqref="L197:L199">
    <cfRule type="cellIs" dxfId="1273" priority="229" operator="equal">
      <formula>0</formula>
    </cfRule>
  </conditionalFormatting>
  <conditionalFormatting sqref="M200:M202 M218">
    <cfRule type="cellIs" dxfId="1272" priority="230" operator="equal">
      <formula>0</formula>
    </cfRule>
  </conditionalFormatting>
  <conditionalFormatting sqref="M197:M199">
    <cfRule type="cellIs" dxfId="1271" priority="231" operator="equal">
      <formula>0</formula>
    </cfRule>
  </conditionalFormatting>
  <conditionalFormatting sqref="N200:N202 N218">
    <cfRule type="cellIs" dxfId="1270" priority="232" operator="equal">
      <formula>0</formula>
    </cfRule>
  </conditionalFormatting>
  <conditionalFormatting sqref="N198:N199">
    <cfRule type="cellIs" dxfId="1269" priority="233" operator="equal">
      <formula>0</formula>
    </cfRule>
  </conditionalFormatting>
  <conditionalFormatting sqref="O200:O202 O218">
    <cfRule type="cellIs" dxfId="1268" priority="234" operator="equal">
      <formula>0</formula>
    </cfRule>
  </conditionalFormatting>
  <conditionalFormatting sqref="O198:O199">
    <cfRule type="cellIs" dxfId="1267" priority="235" operator="equal">
      <formula>0</formula>
    </cfRule>
  </conditionalFormatting>
  <conditionalFormatting sqref="D226:R226">
    <cfRule type="cellIs" dxfId="1266" priority="236" operator="equal">
      <formula>0</formula>
    </cfRule>
  </conditionalFormatting>
  <conditionalFormatting sqref="D219:R227 D217:R217 D198:R203 D197:G197 L197:M197 P197:R197">
    <cfRule type="expression" dxfId="1265" priority="237">
      <formula>LEN(TRIM(D197))=0</formula>
    </cfRule>
  </conditionalFormatting>
  <conditionalFormatting sqref="D226:R226">
    <cfRule type="cellIs" dxfId="1264" priority="238" operator="equal">
      <formula>0</formula>
    </cfRule>
  </conditionalFormatting>
  <conditionalFormatting sqref="L200:L201">
    <cfRule type="cellIs" dxfId="1263" priority="239" operator="equal">
      <formula>0</formula>
    </cfRule>
  </conditionalFormatting>
  <conditionalFormatting sqref="M200:M201">
    <cfRule type="cellIs" dxfId="1262" priority="240" operator="equal">
      <formula>0</formula>
    </cfRule>
  </conditionalFormatting>
  <conditionalFormatting sqref="N200:O200">
    <cfRule type="cellIs" dxfId="1261" priority="241" operator="equal">
      <formula>0</formula>
    </cfRule>
  </conditionalFormatting>
  <conditionalFormatting sqref="N201:O201">
    <cfRule type="cellIs" dxfId="1260" priority="242" operator="equal">
      <formula>0</formula>
    </cfRule>
  </conditionalFormatting>
  <conditionalFormatting sqref="D205:R216">
    <cfRule type="cellIs" dxfId="1259" priority="243" operator="equal">
      <formula>0</formula>
    </cfRule>
  </conditionalFormatting>
  <conditionalFormatting sqref="D205:R216">
    <cfRule type="expression" dxfId="1258" priority="244">
      <formula>LEN(TRIM(D205))=0</formula>
    </cfRule>
  </conditionalFormatting>
  <conditionalFormatting sqref="H197">
    <cfRule type="cellIs" dxfId="1257" priority="245" operator="equal">
      <formula>0</formula>
    </cfRule>
  </conditionalFormatting>
  <conditionalFormatting sqref="I197">
    <cfRule type="cellIs" dxfId="1256" priority="246" operator="equal">
      <formula>0</formula>
    </cfRule>
  </conditionalFormatting>
  <conditionalFormatting sqref="J197:K197">
    <cfRule type="cellIs" dxfId="1255" priority="247" operator="equal">
      <formula>0</formula>
    </cfRule>
  </conditionalFormatting>
  <conditionalFormatting sqref="K197">
    <cfRule type="cellIs" dxfId="1254" priority="248" operator="equal">
      <formula>0</formula>
    </cfRule>
  </conditionalFormatting>
  <conditionalFormatting sqref="H197:K197">
    <cfRule type="expression" dxfId="1253" priority="249">
      <formula>LEN(TRIM(H197))=0</formula>
    </cfRule>
  </conditionalFormatting>
  <conditionalFormatting sqref="N197:O197">
    <cfRule type="cellIs" dxfId="1252" priority="250" operator="equal">
      <formula>0</formula>
    </cfRule>
  </conditionalFormatting>
  <conditionalFormatting sqref="N197:O197">
    <cfRule type="cellIs" dxfId="1251" priority="251" operator="equal">
      <formula>0</formula>
    </cfRule>
  </conditionalFormatting>
  <conditionalFormatting sqref="N197:O197">
    <cfRule type="expression" dxfId="1250" priority="252">
      <formula>LEN(TRIM(N197))=0</formula>
    </cfRule>
  </conditionalFormatting>
  <conditionalFormatting sqref="J233:N233">
    <cfRule type="cellIs" dxfId="1249" priority="253" operator="equal">
      <formula>0</formula>
    </cfRule>
  </conditionalFormatting>
  <conditionalFormatting sqref="O233">
    <cfRule type="cellIs" dxfId="1248" priority="254" operator="equal">
      <formula>0</formula>
    </cfRule>
  </conditionalFormatting>
  <conditionalFormatting sqref="S264 S234:S262">
    <cfRule type="cellIs" dxfId="1247" priority="255" operator="equal">
      <formula>0</formula>
    </cfRule>
  </conditionalFormatting>
  <conditionalFormatting sqref="S263">
    <cfRule type="cellIs" dxfId="1246" priority="256" operator="equal">
      <formula>0</formula>
    </cfRule>
  </conditionalFormatting>
  <conditionalFormatting sqref="S256:S264 S234:S240 S242:S254">
    <cfRule type="expression" dxfId="1245" priority="257">
      <formula>LEN(TRIM(S234))=0</formula>
    </cfRule>
  </conditionalFormatting>
  <conditionalFormatting sqref="D264:R264 P255:R255 D255:I255 D256:R262 D254:R254 D235:R241 D234:G234 L234:M234 P234:R234">
    <cfRule type="cellIs" dxfId="1244" priority="258" operator="equal">
      <formula>0</formula>
    </cfRule>
  </conditionalFormatting>
  <conditionalFormatting sqref="P234:P236">
    <cfRule type="cellIs" dxfId="1243" priority="259" operator="equal">
      <formula>0</formula>
    </cfRule>
  </conditionalFormatting>
  <conditionalFormatting sqref="P234:R234 L234:M234 D235:R236">
    <cfRule type="cellIs" dxfId="1242" priority="260" operator="equal">
      <formula>0</formula>
    </cfRule>
  </conditionalFormatting>
  <conditionalFormatting sqref="F235:F236">
    <cfRule type="cellIs" dxfId="1241" priority="261" operator="equal">
      <formula>0</formula>
    </cfRule>
  </conditionalFormatting>
  <conditionalFormatting sqref="L234:M234">
    <cfRule type="cellIs" dxfId="1240" priority="262" operator="equal">
      <formula>0</formula>
    </cfRule>
  </conditionalFormatting>
  <conditionalFormatting sqref="J237:J239 J255">
    <cfRule type="cellIs" dxfId="1239" priority="263" operator="equal">
      <formula>0</formula>
    </cfRule>
  </conditionalFormatting>
  <conditionalFormatting sqref="J235:J236">
    <cfRule type="cellIs" dxfId="1238" priority="264" operator="equal">
      <formula>0</formula>
    </cfRule>
  </conditionalFormatting>
  <conditionalFormatting sqref="K237:K239 K255">
    <cfRule type="cellIs" dxfId="1237" priority="265" operator="equal">
      <formula>0</formula>
    </cfRule>
  </conditionalFormatting>
  <conditionalFormatting sqref="K235:K236">
    <cfRule type="cellIs" dxfId="1236" priority="266" operator="equal">
      <formula>0</formula>
    </cfRule>
  </conditionalFormatting>
  <conditionalFormatting sqref="L237:L239 L255">
    <cfRule type="cellIs" dxfId="1235" priority="267" operator="equal">
      <formula>0</formula>
    </cfRule>
  </conditionalFormatting>
  <conditionalFormatting sqref="L234:L236">
    <cfRule type="cellIs" dxfId="1234" priority="268" operator="equal">
      <formula>0</formula>
    </cfRule>
  </conditionalFormatting>
  <conditionalFormatting sqref="M237:M239 M255">
    <cfRule type="cellIs" dxfId="1233" priority="269" operator="equal">
      <formula>0</formula>
    </cfRule>
  </conditionalFormatting>
  <conditionalFormatting sqref="M234:M236">
    <cfRule type="cellIs" dxfId="1232" priority="270" operator="equal">
      <formula>0</formula>
    </cfRule>
  </conditionalFormatting>
  <conditionalFormatting sqref="N237:N239 N255">
    <cfRule type="cellIs" dxfId="1231" priority="271" operator="equal">
      <formula>0</formula>
    </cfRule>
  </conditionalFormatting>
  <conditionalFormatting sqref="N235:N236">
    <cfRule type="cellIs" dxfId="1230" priority="272" operator="equal">
      <formula>0</formula>
    </cfRule>
  </conditionalFormatting>
  <conditionalFormatting sqref="O237:O239 O255">
    <cfRule type="cellIs" dxfId="1229" priority="273" operator="equal">
      <formula>0</formula>
    </cfRule>
  </conditionalFormatting>
  <conditionalFormatting sqref="O235:O236">
    <cfRule type="cellIs" dxfId="1228" priority="274" operator="equal">
      <formula>0</formula>
    </cfRule>
  </conditionalFormatting>
  <conditionalFormatting sqref="D263:R263">
    <cfRule type="cellIs" dxfId="1227" priority="275" operator="equal">
      <formula>0</formula>
    </cfRule>
  </conditionalFormatting>
  <conditionalFormatting sqref="D256:R264 D254:R254 D235:R240 D234:G234 L234:M234 P234:R234">
    <cfRule type="expression" dxfId="1226" priority="276">
      <formula>LEN(TRIM(D234))=0</formula>
    </cfRule>
  </conditionalFormatting>
  <conditionalFormatting sqref="D263:R263">
    <cfRule type="cellIs" dxfId="1225" priority="277" operator="equal">
      <formula>0</formula>
    </cfRule>
  </conditionalFormatting>
  <conditionalFormatting sqref="L237:L238">
    <cfRule type="cellIs" dxfId="1224" priority="278" operator="equal">
      <formula>0</formula>
    </cfRule>
  </conditionalFormatting>
  <conditionalFormatting sqref="M237:M238">
    <cfRule type="cellIs" dxfId="1223" priority="279" operator="equal">
      <formula>0</formula>
    </cfRule>
  </conditionalFormatting>
  <conditionalFormatting sqref="N237:O237">
    <cfRule type="cellIs" dxfId="1222" priority="280" operator="equal">
      <formula>0</formula>
    </cfRule>
  </conditionalFormatting>
  <conditionalFormatting sqref="N238:O238">
    <cfRule type="cellIs" dxfId="1221" priority="281" operator="equal">
      <formula>0</formula>
    </cfRule>
  </conditionalFormatting>
  <conditionalFormatting sqref="D242:R253">
    <cfRule type="cellIs" dxfId="1220" priority="282" operator="equal">
      <formula>0</formula>
    </cfRule>
  </conditionalFormatting>
  <conditionalFormatting sqref="D242:R253">
    <cfRule type="expression" dxfId="1219" priority="283">
      <formula>LEN(TRIM(D242))=0</formula>
    </cfRule>
  </conditionalFormatting>
  <conditionalFormatting sqref="H234">
    <cfRule type="cellIs" dxfId="1218" priority="284" operator="equal">
      <formula>0</formula>
    </cfRule>
  </conditionalFormatting>
  <conditionalFormatting sqref="I234">
    <cfRule type="cellIs" dxfId="1217" priority="285" operator="equal">
      <formula>0</formula>
    </cfRule>
  </conditionalFormatting>
  <conditionalFormatting sqref="J234:K234">
    <cfRule type="cellIs" dxfId="1216" priority="286" operator="equal">
      <formula>0</formula>
    </cfRule>
  </conditionalFormatting>
  <conditionalFormatting sqref="K234">
    <cfRule type="cellIs" dxfId="1215" priority="287" operator="equal">
      <formula>0</formula>
    </cfRule>
  </conditionalFormatting>
  <conditionalFormatting sqref="H234:K234">
    <cfRule type="expression" dxfId="1214" priority="288">
      <formula>LEN(TRIM(H234))=0</formula>
    </cfRule>
  </conditionalFormatting>
  <conditionalFormatting sqref="N234:O234">
    <cfRule type="cellIs" dxfId="1213" priority="289" operator="equal">
      <formula>0</formula>
    </cfRule>
  </conditionalFormatting>
  <conditionalFormatting sqref="N234:O234">
    <cfRule type="cellIs" dxfId="1212" priority="290" operator="equal">
      <formula>0</formula>
    </cfRule>
  </conditionalFormatting>
  <conditionalFormatting sqref="N234:O234">
    <cfRule type="expression" dxfId="1211" priority="291">
      <formula>LEN(TRIM(N234))=0</formula>
    </cfRule>
  </conditionalFormatting>
  <conditionalFormatting sqref="J270:N270">
    <cfRule type="cellIs" dxfId="1210" priority="292" operator="equal">
      <formula>0</formula>
    </cfRule>
  </conditionalFormatting>
  <conditionalFormatting sqref="O270">
    <cfRule type="cellIs" dxfId="1209" priority="293" operator="equal">
      <formula>0</formula>
    </cfRule>
  </conditionalFormatting>
  <conditionalFormatting sqref="S301 S271:S299">
    <cfRule type="cellIs" dxfId="1208" priority="294" operator="equal">
      <formula>0</formula>
    </cfRule>
  </conditionalFormatting>
  <conditionalFormatting sqref="S300">
    <cfRule type="cellIs" dxfId="1207" priority="295" operator="equal">
      <formula>0</formula>
    </cfRule>
  </conditionalFormatting>
  <conditionalFormatting sqref="S293:S301 S271:S277 S279:S291">
    <cfRule type="expression" dxfId="1206" priority="296">
      <formula>LEN(TRIM(S271))=0</formula>
    </cfRule>
  </conditionalFormatting>
  <conditionalFormatting sqref="D301:R301 P292:R292 D292:I292 D293:R299 D291:R291 D272:R278 D271:G271 L271:M271 P271:R271">
    <cfRule type="cellIs" dxfId="1205" priority="297" operator="equal">
      <formula>0</formula>
    </cfRule>
  </conditionalFormatting>
  <conditionalFormatting sqref="P271:P273">
    <cfRule type="cellIs" dxfId="1204" priority="298" operator="equal">
      <formula>0</formula>
    </cfRule>
  </conditionalFormatting>
  <conditionalFormatting sqref="P271:R271 L271:M271 D272:R273">
    <cfRule type="cellIs" dxfId="1203" priority="299" operator="equal">
      <formula>0</formula>
    </cfRule>
  </conditionalFormatting>
  <conditionalFormatting sqref="F272:F273">
    <cfRule type="cellIs" dxfId="1202" priority="300" operator="equal">
      <formula>0</formula>
    </cfRule>
  </conditionalFormatting>
  <conditionalFormatting sqref="L271:M271">
    <cfRule type="cellIs" dxfId="1201" priority="301" operator="equal">
      <formula>0</formula>
    </cfRule>
  </conditionalFormatting>
  <conditionalFormatting sqref="J274:J276 J292">
    <cfRule type="cellIs" dxfId="1200" priority="302" operator="equal">
      <formula>0</formula>
    </cfRule>
  </conditionalFormatting>
  <conditionalFormatting sqref="J272:J273">
    <cfRule type="cellIs" dxfId="1199" priority="303" operator="equal">
      <formula>0</formula>
    </cfRule>
  </conditionalFormatting>
  <conditionalFormatting sqref="K274:K276 K292">
    <cfRule type="cellIs" dxfId="1198" priority="304" operator="equal">
      <formula>0</formula>
    </cfRule>
  </conditionalFormatting>
  <conditionalFormatting sqref="K272:K273">
    <cfRule type="cellIs" dxfId="1197" priority="305" operator="equal">
      <formula>0</formula>
    </cfRule>
  </conditionalFormatting>
  <conditionalFormatting sqref="L274:L276 L292">
    <cfRule type="cellIs" dxfId="1196" priority="306" operator="equal">
      <formula>0</formula>
    </cfRule>
  </conditionalFormatting>
  <conditionalFormatting sqref="L271:L273">
    <cfRule type="cellIs" dxfId="1195" priority="307" operator="equal">
      <formula>0</formula>
    </cfRule>
  </conditionalFormatting>
  <conditionalFormatting sqref="M274:M276 M292">
    <cfRule type="cellIs" dxfId="1194" priority="308" operator="equal">
      <formula>0</formula>
    </cfRule>
  </conditionalFormatting>
  <conditionalFormatting sqref="M271:M273">
    <cfRule type="cellIs" dxfId="1193" priority="309" operator="equal">
      <formula>0</formula>
    </cfRule>
  </conditionalFormatting>
  <conditionalFormatting sqref="N274:N276 N292">
    <cfRule type="cellIs" dxfId="1192" priority="310" operator="equal">
      <formula>0</formula>
    </cfRule>
  </conditionalFormatting>
  <conditionalFormatting sqref="N272:N273">
    <cfRule type="cellIs" dxfId="1191" priority="311" operator="equal">
      <formula>0</formula>
    </cfRule>
  </conditionalFormatting>
  <conditionalFormatting sqref="O274:O276 O292">
    <cfRule type="cellIs" dxfId="1190" priority="312" operator="equal">
      <formula>0</formula>
    </cfRule>
  </conditionalFormatting>
  <conditionalFormatting sqref="O272:O273">
    <cfRule type="cellIs" dxfId="1189" priority="313" operator="equal">
      <formula>0</formula>
    </cfRule>
  </conditionalFormatting>
  <conditionalFormatting sqref="D300:R300">
    <cfRule type="cellIs" dxfId="1188" priority="314" operator="equal">
      <formula>0</formula>
    </cfRule>
  </conditionalFormatting>
  <conditionalFormatting sqref="D293:R301 D291:R291 D272:R277 D271:G271 L271:M271 P271:R271">
    <cfRule type="expression" dxfId="1187" priority="315">
      <formula>LEN(TRIM(D271))=0</formula>
    </cfRule>
  </conditionalFormatting>
  <conditionalFormatting sqref="D300:R300">
    <cfRule type="cellIs" dxfId="1186" priority="316" operator="equal">
      <formula>0</formula>
    </cfRule>
  </conditionalFormatting>
  <conditionalFormatting sqref="L274:L275">
    <cfRule type="cellIs" dxfId="1185" priority="317" operator="equal">
      <formula>0</formula>
    </cfRule>
  </conditionalFormatting>
  <conditionalFormatting sqref="M274:M275">
    <cfRule type="cellIs" dxfId="1184" priority="318" operator="equal">
      <formula>0</formula>
    </cfRule>
  </conditionalFormatting>
  <conditionalFormatting sqref="N274:O274">
    <cfRule type="cellIs" dxfId="1183" priority="319" operator="equal">
      <formula>0</formula>
    </cfRule>
  </conditionalFormatting>
  <conditionalFormatting sqref="N275:O275">
    <cfRule type="cellIs" dxfId="1182" priority="320" operator="equal">
      <formula>0</formula>
    </cfRule>
  </conditionalFormatting>
  <conditionalFormatting sqref="D279:R290">
    <cfRule type="cellIs" dxfId="1181" priority="321" operator="equal">
      <formula>0</formula>
    </cfRule>
  </conditionalFormatting>
  <conditionalFormatting sqref="D279:R290">
    <cfRule type="expression" dxfId="1180" priority="322">
      <formula>LEN(TRIM(D279))=0</formula>
    </cfRule>
  </conditionalFormatting>
  <conditionalFormatting sqref="H271">
    <cfRule type="cellIs" dxfId="1179" priority="323" operator="equal">
      <formula>0</formula>
    </cfRule>
  </conditionalFormatting>
  <conditionalFormatting sqref="I271">
    <cfRule type="cellIs" dxfId="1178" priority="324" operator="equal">
      <formula>0</formula>
    </cfRule>
  </conditionalFormatting>
  <conditionalFormatting sqref="J271:K271">
    <cfRule type="cellIs" dxfId="1177" priority="325" operator="equal">
      <formula>0</formula>
    </cfRule>
  </conditionalFormatting>
  <conditionalFormatting sqref="K271">
    <cfRule type="cellIs" dxfId="1176" priority="326" operator="equal">
      <formula>0</formula>
    </cfRule>
  </conditionalFormatting>
  <conditionalFormatting sqref="H271:K271">
    <cfRule type="expression" dxfId="1175" priority="327">
      <formula>LEN(TRIM(H271))=0</formula>
    </cfRule>
  </conditionalFormatting>
  <conditionalFormatting sqref="N271:O271">
    <cfRule type="cellIs" dxfId="1174" priority="328" operator="equal">
      <formula>0</formula>
    </cfRule>
  </conditionalFormatting>
  <conditionalFormatting sqref="N271:O271">
    <cfRule type="cellIs" dxfId="1173" priority="329" operator="equal">
      <formula>0</formula>
    </cfRule>
  </conditionalFormatting>
  <conditionalFormatting sqref="N271:O271">
    <cfRule type="expression" dxfId="1172" priority="330">
      <formula>LEN(TRIM(N271))=0</formula>
    </cfRule>
  </conditionalFormatting>
  <conditionalFormatting sqref="J307:N307">
    <cfRule type="cellIs" dxfId="1171" priority="331" operator="equal">
      <formula>0</formula>
    </cfRule>
  </conditionalFormatting>
  <conditionalFormatting sqref="O307">
    <cfRule type="cellIs" dxfId="1170" priority="332" operator="equal">
      <formula>0</formula>
    </cfRule>
  </conditionalFormatting>
  <conditionalFormatting sqref="S338 S308:S336">
    <cfRule type="cellIs" dxfId="1169" priority="333" operator="equal">
      <formula>0</formula>
    </cfRule>
  </conditionalFormatting>
  <conditionalFormatting sqref="S337">
    <cfRule type="cellIs" dxfId="1168" priority="334" operator="equal">
      <formula>0</formula>
    </cfRule>
  </conditionalFormatting>
  <conditionalFormatting sqref="S330:S338 S308:S314 S316:S328">
    <cfRule type="expression" dxfId="1167" priority="335">
      <formula>LEN(TRIM(S308))=0</formula>
    </cfRule>
  </conditionalFormatting>
  <conditionalFormatting sqref="D338:R338 P329:R329 D329:I329 D330:R336 D328:R328 D309:R315 D308:G308 L308:M308 P308:R308">
    <cfRule type="cellIs" dxfId="1166" priority="336" operator="equal">
      <formula>0</formula>
    </cfRule>
  </conditionalFormatting>
  <conditionalFormatting sqref="P308:P310">
    <cfRule type="cellIs" dxfId="1165" priority="337" operator="equal">
      <formula>0</formula>
    </cfRule>
  </conditionalFormatting>
  <conditionalFormatting sqref="P308:R308 L308:M308 D309:R310">
    <cfRule type="cellIs" dxfId="1164" priority="338" operator="equal">
      <formula>0</formula>
    </cfRule>
  </conditionalFormatting>
  <conditionalFormatting sqref="F309:F310">
    <cfRule type="cellIs" dxfId="1163" priority="339" operator="equal">
      <formula>0</formula>
    </cfRule>
  </conditionalFormatting>
  <conditionalFormatting sqref="L308:M308">
    <cfRule type="cellIs" dxfId="1162" priority="340" operator="equal">
      <formula>0</formula>
    </cfRule>
  </conditionalFormatting>
  <conditionalFormatting sqref="J311:J313 J329">
    <cfRule type="cellIs" dxfId="1161" priority="341" operator="equal">
      <formula>0</formula>
    </cfRule>
  </conditionalFormatting>
  <conditionalFormatting sqref="J309:J310">
    <cfRule type="cellIs" dxfId="1160" priority="342" operator="equal">
      <formula>0</formula>
    </cfRule>
  </conditionalFormatting>
  <conditionalFormatting sqref="K311:K313 K329">
    <cfRule type="cellIs" dxfId="1159" priority="343" operator="equal">
      <formula>0</formula>
    </cfRule>
  </conditionalFormatting>
  <conditionalFormatting sqref="K309:K310">
    <cfRule type="cellIs" dxfId="1158" priority="344" operator="equal">
      <formula>0</formula>
    </cfRule>
  </conditionalFormatting>
  <conditionalFormatting sqref="L311:L313 L329">
    <cfRule type="cellIs" dxfId="1157" priority="345" operator="equal">
      <formula>0</formula>
    </cfRule>
  </conditionalFormatting>
  <conditionalFormatting sqref="L308:L310">
    <cfRule type="cellIs" dxfId="1156" priority="346" operator="equal">
      <formula>0</formula>
    </cfRule>
  </conditionalFormatting>
  <conditionalFormatting sqref="M311:M313 M329">
    <cfRule type="cellIs" dxfId="1155" priority="347" operator="equal">
      <formula>0</formula>
    </cfRule>
  </conditionalFormatting>
  <conditionalFormatting sqref="M308:M310">
    <cfRule type="cellIs" dxfId="1154" priority="348" operator="equal">
      <formula>0</formula>
    </cfRule>
  </conditionalFormatting>
  <conditionalFormatting sqref="N311:N313 N329">
    <cfRule type="cellIs" dxfId="1153" priority="349" operator="equal">
      <formula>0</formula>
    </cfRule>
  </conditionalFormatting>
  <conditionalFormatting sqref="N309:N310">
    <cfRule type="cellIs" dxfId="1152" priority="350" operator="equal">
      <formula>0</formula>
    </cfRule>
  </conditionalFormatting>
  <conditionalFormatting sqref="O311:O313 O329">
    <cfRule type="cellIs" dxfId="1151" priority="351" operator="equal">
      <formula>0</formula>
    </cfRule>
  </conditionalFormatting>
  <conditionalFormatting sqref="O309:O310">
    <cfRule type="cellIs" dxfId="1150" priority="352" operator="equal">
      <formula>0</formula>
    </cfRule>
  </conditionalFormatting>
  <conditionalFormatting sqref="D337:R337">
    <cfRule type="cellIs" dxfId="1149" priority="353" operator="equal">
      <formula>0</formula>
    </cfRule>
  </conditionalFormatting>
  <conditionalFormatting sqref="D330:R338 D328:R328 D309:R314 D308:G308 L308:M308 P308:R308">
    <cfRule type="expression" dxfId="1148" priority="354">
      <formula>LEN(TRIM(D308))=0</formula>
    </cfRule>
  </conditionalFormatting>
  <conditionalFormatting sqref="D337:R337">
    <cfRule type="cellIs" dxfId="1147" priority="355" operator="equal">
      <formula>0</formula>
    </cfRule>
  </conditionalFormatting>
  <conditionalFormatting sqref="L311:L312">
    <cfRule type="cellIs" dxfId="1146" priority="356" operator="equal">
      <formula>0</formula>
    </cfRule>
  </conditionalFormatting>
  <conditionalFormatting sqref="M311:M312">
    <cfRule type="cellIs" dxfId="1145" priority="357" operator="equal">
      <formula>0</formula>
    </cfRule>
  </conditionalFormatting>
  <conditionalFormatting sqref="N311:O311">
    <cfRule type="cellIs" dxfId="1144" priority="358" operator="equal">
      <formula>0</formula>
    </cfRule>
  </conditionalFormatting>
  <conditionalFormatting sqref="N312:O312">
    <cfRule type="cellIs" dxfId="1143" priority="359" operator="equal">
      <formula>0</formula>
    </cfRule>
  </conditionalFormatting>
  <conditionalFormatting sqref="D316:R327">
    <cfRule type="cellIs" dxfId="1142" priority="360" operator="equal">
      <formula>0</formula>
    </cfRule>
  </conditionalFormatting>
  <conditionalFormatting sqref="D316:R327">
    <cfRule type="expression" dxfId="1141" priority="361">
      <formula>LEN(TRIM(D316))=0</formula>
    </cfRule>
  </conditionalFormatting>
  <conditionalFormatting sqref="H308">
    <cfRule type="cellIs" dxfId="1140" priority="362" operator="equal">
      <formula>0</formula>
    </cfRule>
  </conditionalFormatting>
  <conditionalFormatting sqref="I308">
    <cfRule type="cellIs" dxfId="1139" priority="363" operator="equal">
      <formula>0</formula>
    </cfRule>
  </conditionalFormatting>
  <conditionalFormatting sqref="J308:K308">
    <cfRule type="cellIs" dxfId="1138" priority="364" operator="equal">
      <formula>0</formula>
    </cfRule>
  </conditionalFormatting>
  <conditionalFormatting sqref="K308">
    <cfRule type="cellIs" dxfId="1137" priority="365" operator="equal">
      <formula>0</formula>
    </cfRule>
  </conditionalFormatting>
  <conditionalFormatting sqref="H308:K308">
    <cfRule type="expression" dxfId="1136" priority="366">
      <formula>LEN(TRIM(H308))=0</formula>
    </cfRule>
  </conditionalFormatting>
  <conditionalFormatting sqref="N308:O308">
    <cfRule type="cellIs" dxfId="1135" priority="367" operator="equal">
      <formula>0</formula>
    </cfRule>
  </conditionalFormatting>
  <conditionalFormatting sqref="N308:O308">
    <cfRule type="cellIs" dxfId="1134" priority="368" operator="equal">
      <formula>0</formula>
    </cfRule>
  </conditionalFormatting>
  <conditionalFormatting sqref="N308:O308">
    <cfRule type="expression" dxfId="1133" priority="369">
      <formula>LEN(TRIM(N308))=0</formula>
    </cfRule>
  </conditionalFormatting>
  <conditionalFormatting sqref="J344:N344">
    <cfRule type="cellIs" dxfId="1132" priority="370" operator="equal">
      <formula>0</formula>
    </cfRule>
  </conditionalFormatting>
  <conditionalFormatting sqref="O344">
    <cfRule type="cellIs" dxfId="1131" priority="371" operator="equal">
      <formula>0</formula>
    </cfRule>
  </conditionalFormatting>
  <conditionalFormatting sqref="S375 S345:S373">
    <cfRule type="cellIs" dxfId="1130" priority="372" operator="equal">
      <formula>0</formula>
    </cfRule>
  </conditionalFormatting>
  <conditionalFormatting sqref="S374">
    <cfRule type="cellIs" dxfId="1129" priority="373" operator="equal">
      <formula>0</formula>
    </cfRule>
  </conditionalFormatting>
  <conditionalFormatting sqref="S367:S375 S345:S351 S353:S365">
    <cfRule type="expression" dxfId="1128" priority="374">
      <formula>LEN(TRIM(S345))=0</formula>
    </cfRule>
  </conditionalFormatting>
  <conditionalFormatting sqref="D375:R375 P366:R366 D366:I366 D367:R373 D365:R365 D346:R352 D345:G345 L345:M345 P345:R345">
    <cfRule type="cellIs" dxfId="1127" priority="375" operator="equal">
      <formula>0</formula>
    </cfRule>
  </conditionalFormatting>
  <conditionalFormatting sqref="P345:P347">
    <cfRule type="cellIs" dxfId="1126" priority="376" operator="equal">
      <formula>0</formula>
    </cfRule>
  </conditionalFormatting>
  <conditionalFormatting sqref="P345:R345 L345:M345 D346:R347">
    <cfRule type="cellIs" dxfId="1125" priority="377" operator="equal">
      <formula>0</formula>
    </cfRule>
  </conditionalFormatting>
  <conditionalFormatting sqref="F346:F347">
    <cfRule type="cellIs" dxfId="1124" priority="378" operator="equal">
      <formula>0</formula>
    </cfRule>
  </conditionalFormatting>
  <conditionalFormatting sqref="L345:M345">
    <cfRule type="cellIs" dxfId="1123" priority="379" operator="equal">
      <formula>0</formula>
    </cfRule>
  </conditionalFormatting>
  <conditionalFormatting sqref="J348:J350 J366">
    <cfRule type="cellIs" dxfId="1122" priority="380" operator="equal">
      <formula>0</formula>
    </cfRule>
  </conditionalFormatting>
  <conditionalFormatting sqref="J346:J347">
    <cfRule type="cellIs" dxfId="1121" priority="381" operator="equal">
      <formula>0</formula>
    </cfRule>
  </conditionalFormatting>
  <conditionalFormatting sqref="K348:K350 K366">
    <cfRule type="cellIs" dxfId="1120" priority="382" operator="equal">
      <formula>0</formula>
    </cfRule>
  </conditionalFormatting>
  <conditionalFormatting sqref="K346:K347">
    <cfRule type="cellIs" dxfId="1119" priority="383" operator="equal">
      <formula>0</formula>
    </cfRule>
  </conditionalFormatting>
  <conditionalFormatting sqref="L348:L350 L366">
    <cfRule type="cellIs" dxfId="1118" priority="384" operator="equal">
      <formula>0</formula>
    </cfRule>
  </conditionalFormatting>
  <conditionalFormatting sqref="L345:L347">
    <cfRule type="cellIs" dxfId="1117" priority="385" operator="equal">
      <formula>0</formula>
    </cfRule>
  </conditionalFormatting>
  <conditionalFormatting sqref="M348:M350 M366">
    <cfRule type="cellIs" dxfId="1116" priority="386" operator="equal">
      <formula>0</formula>
    </cfRule>
  </conditionalFormatting>
  <conditionalFormatting sqref="M345:M347">
    <cfRule type="cellIs" dxfId="1115" priority="387" operator="equal">
      <formula>0</formula>
    </cfRule>
  </conditionalFormatting>
  <conditionalFormatting sqref="N348:N350 N366">
    <cfRule type="cellIs" dxfId="1114" priority="388" operator="equal">
      <formula>0</formula>
    </cfRule>
  </conditionalFormatting>
  <conditionalFormatting sqref="N346:N347">
    <cfRule type="cellIs" dxfId="1113" priority="389" operator="equal">
      <formula>0</formula>
    </cfRule>
  </conditionalFormatting>
  <conditionalFormatting sqref="O348:O350 O366">
    <cfRule type="cellIs" dxfId="1112" priority="390" operator="equal">
      <formula>0</formula>
    </cfRule>
  </conditionalFormatting>
  <conditionalFormatting sqref="O346:O347">
    <cfRule type="cellIs" dxfId="1111" priority="391" operator="equal">
      <formula>0</formula>
    </cfRule>
  </conditionalFormatting>
  <conditionalFormatting sqref="D374:R374">
    <cfRule type="cellIs" dxfId="1110" priority="392" operator="equal">
      <formula>0</formula>
    </cfRule>
  </conditionalFormatting>
  <conditionalFormatting sqref="D367:R375 D365:R365 D346:R351 D345:G345 L345:M345 P345:R345">
    <cfRule type="expression" dxfId="1109" priority="393">
      <formula>LEN(TRIM(D345))=0</formula>
    </cfRule>
  </conditionalFormatting>
  <conditionalFormatting sqref="D374:R374">
    <cfRule type="cellIs" dxfId="1108" priority="394" operator="equal">
      <formula>0</formula>
    </cfRule>
  </conditionalFormatting>
  <conditionalFormatting sqref="L348:L349">
    <cfRule type="cellIs" dxfId="1107" priority="395" operator="equal">
      <formula>0</formula>
    </cfRule>
  </conditionalFormatting>
  <conditionalFormatting sqref="M348:M349">
    <cfRule type="cellIs" dxfId="1106" priority="396" operator="equal">
      <formula>0</formula>
    </cfRule>
  </conditionalFormatting>
  <conditionalFormatting sqref="N348:O348">
    <cfRule type="cellIs" dxfId="1105" priority="397" operator="equal">
      <formula>0</formula>
    </cfRule>
  </conditionalFormatting>
  <conditionalFormatting sqref="N349:O349">
    <cfRule type="cellIs" dxfId="1104" priority="398" operator="equal">
      <formula>0</formula>
    </cfRule>
  </conditionalFormatting>
  <conditionalFormatting sqref="D353:R364">
    <cfRule type="cellIs" dxfId="1103" priority="399" operator="equal">
      <formula>0</formula>
    </cfRule>
  </conditionalFormatting>
  <conditionalFormatting sqref="D353:R364">
    <cfRule type="expression" dxfId="1102" priority="400">
      <formula>LEN(TRIM(D353))=0</formula>
    </cfRule>
  </conditionalFormatting>
  <conditionalFormatting sqref="H345">
    <cfRule type="cellIs" dxfId="1101" priority="401" operator="equal">
      <formula>0</formula>
    </cfRule>
  </conditionalFormatting>
  <conditionalFormatting sqref="I345">
    <cfRule type="cellIs" dxfId="1100" priority="402" operator="equal">
      <formula>0</formula>
    </cfRule>
  </conditionalFormatting>
  <conditionalFormatting sqref="J345:K345">
    <cfRule type="cellIs" dxfId="1099" priority="403" operator="equal">
      <formula>0</formula>
    </cfRule>
  </conditionalFormatting>
  <conditionalFormatting sqref="K345">
    <cfRule type="cellIs" dxfId="1098" priority="404" operator="equal">
      <formula>0</formula>
    </cfRule>
  </conditionalFormatting>
  <conditionalFormatting sqref="H345:K345">
    <cfRule type="expression" dxfId="1097" priority="405">
      <formula>LEN(TRIM(H345))=0</formula>
    </cfRule>
  </conditionalFormatting>
  <conditionalFormatting sqref="N345:O345">
    <cfRule type="cellIs" dxfId="1096" priority="406" operator="equal">
      <formula>0</formula>
    </cfRule>
  </conditionalFormatting>
  <conditionalFormatting sqref="N345:O345">
    <cfRule type="cellIs" dxfId="1095" priority="407" operator="equal">
      <formula>0</formula>
    </cfRule>
  </conditionalFormatting>
  <conditionalFormatting sqref="N345:O345">
    <cfRule type="expression" dxfId="1094" priority="408">
      <formula>LEN(TRIM(N345))=0</formula>
    </cfRule>
  </conditionalFormatting>
  <conditionalFormatting sqref="J381:N381">
    <cfRule type="cellIs" dxfId="1093" priority="409" operator="equal">
      <formula>0</formula>
    </cfRule>
  </conditionalFormatting>
  <conditionalFormatting sqref="O381">
    <cfRule type="cellIs" dxfId="1092" priority="410" operator="equal">
      <formula>0</formula>
    </cfRule>
  </conditionalFormatting>
  <conditionalFormatting sqref="S412 S382:S410">
    <cfRule type="cellIs" dxfId="1091" priority="411" operator="equal">
      <formula>0</formula>
    </cfRule>
  </conditionalFormatting>
  <conditionalFormatting sqref="S411">
    <cfRule type="cellIs" dxfId="1090" priority="412" operator="equal">
      <formula>0</formula>
    </cfRule>
  </conditionalFormatting>
  <conditionalFormatting sqref="S404:S412 S382:S388 S390:S402">
    <cfRule type="expression" dxfId="1089" priority="413">
      <formula>LEN(TRIM(S382))=0</formula>
    </cfRule>
  </conditionalFormatting>
  <conditionalFormatting sqref="D412:R412 P403:R403 D403:I403 D404:R410 D402:R402 D383:R389 D382:G382 L382:M382 P382:R382">
    <cfRule type="cellIs" dxfId="1088" priority="414" operator="equal">
      <formula>0</formula>
    </cfRule>
  </conditionalFormatting>
  <conditionalFormatting sqref="P382:P384">
    <cfRule type="cellIs" dxfId="1087" priority="415" operator="equal">
      <formula>0</formula>
    </cfRule>
  </conditionalFormatting>
  <conditionalFormatting sqref="P382:R382 L382:M382 D383:R384">
    <cfRule type="cellIs" dxfId="1086" priority="416" operator="equal">
      <formula>0</formula>
    </cfRule>
  </conditionalFormatting>
  <conditionalFormatting sqref="F383:F384">
    <cfRule type="cellIs" dxfId="1085" priority="417" operator="equal">
      <formula>0</formula>
    </cfRule>
  </conditionalFormatting>
  <conditionalFormatting sqref="L382:M382">
    <cfRule type="cellIs" dxfId="1084" priority="418" operator="equal">
      <formula>0</formula>
    </cfRule>
  </conditionalFormatting>
  <conditionalFormatting sqref="J385:J387 J403">
    <cfRule type="cellIs" dxfId="1083" priority="419" operator="equal">
      <formula>0</formula>
    </cfRule>
  </conditionalFormatting>
  <conditionalFormatting sqref="J383:J384">
    <cfRule type="cellIs" dxfId="1082" priority="420" operator="equal">
      <formula>0</formula>
    </cfRule>
  </conditionalFormatting>
  <conditionalFormatting sqref="K385:K387 K403">
    <cfRule type="cellIs" dxfId="1081" priority="421" operator="equal">
      <formula>0</formula>
    </cfRule>
  </conditionalFormatting>
  <conditionalFormatting sqref="K383:K384">
    <cfRule type="cellIs" dxfId="1080" priority="422" operator="equal">
      <formula>0</formula>
    </cfRule>
  </conditionalFormatting>
  <conditionalFormatting sqref="L385:L387 L403">
    <cfRule type="cellIs" dxfId="1079" priority="423" operator="equal">
      <formula>0</formula>
    </cfRule>
  </conditionalFormatting>
  <conditionalFormatting sqref="L382:L384">
    <cfRule type="cellIs" dxfId="1078" priority="424" operator="equal">
      <formula>0</formula>
    </cfRule>
  </conditionalFormatting>
  <conditionalFormatting sqref="M385:M387 M403">
    <cfRule type="cellIs" dxfId="1077" priority="425" operator="equal">
      <formula>0</formula>
    </cfRule>
  </conditionalFormatting>
  <conditionalFormatting sqref="M382:M384">
    <cfRule type="cellIs" dxfId="1076" priority="426" operator="equal">
      <formula>0</formula>
    </cfRule>
  </conditionalFormatting>
  <conditionalFormatting sqref="N385:N387 N403">
    <cfRule type="cellIs" dxfId="1075" priority="427" operator="equal">
      <formula>0</formula>
    </cfRule>
  </conditionalFormatting>
  <conditionalFormatting sqref="N383:N384">
    <cfRule type="cellIs" dxfId="1074" priority="428" operator="equal">
      <formula>0</formula>
    </cfRule>
  </conditionalFormatting>
  <conditionalFormatting sqref="O385:O387 O403">
    <cfRule type="cellIs" dxfId="1073" priority="429" operator="equal">
      <formula>0</formula>
    </cfRule>
  </conditionalFormatting>
  <conditionalFormatting sqref="O383:O384">
    <cfRule type="cellIs" dxfId="1072" priority="430" operator="equal">
      <formula>0</formula>
    </cfRule>
  </conditionalFormatting>
  <conditionalFormatting sqref="D411:R411">
    <cfRule type="cellIs" dxfId="1071" priority="431" operator="equal">
      <formula>0</formula>
    </cfRule>
  </conditionalFormatting>
  <conditionalFormatting sqref="D404:R412 D402:R402 D383:R388 D382:G382 L382:M382 P382:R382">
    <cfRule type="expression" dxfId="1070" priority="432">
      <formula>LEN(TRIM(D382))=0</formula>
    </cfRule>
  </conditionalFormatting>
  <conditionalFormatting sqref="D411:R411">
    <cfRule type="cellIs" dxfId="1069" priority="433" operator="equal">
      <formula>0</formula>
    </cfRule>
  </conditionalFormatting>
  <conditionalFormatting sqref="L385:L386">
    <cfRule type="cellIs" dxfId="1068" priority="434" operator="equal">
      <formula>0</formula>
    </cfRule>
  </conditionalFormatting>
  <conditionalFormatting sqref="M385:M386">
    <cfRule type="cellIs" dxfId="1067" priority="435" operator="equal">
      <formula>0</formula>
    </cfRule>
  </conditionalFormatting>
  <conditionalFormatting sqref="N385:O385">
    <cfRule type="cellIs" dxfId="1066" priority="436" operator="equal">
      <formula>0</formula>
    </cfRule>
  </conditionalFormatting>
  <conditionalFormatting sqref="N386:O386">
    <cfRule type="cellIs" dxfId="1065" priority="437" operator="equal">
      <formula>0</formula>
    </cfRule>
  </conditionalFormatting>
  <conditionalFormatting sqref="D390:R401">
    <cfRule type="cellIs" dxfId="1064" priority="438" operator="equal">
      <formula>0</formula>
    </cfRule>
  </conditionalFormatting>
  <conditionalFormatting sqref="D390:R401">
    <cfRule type="expression" dxfId="1063" priority="439">
      <formula>LEN(TRIM(D390))=0</formula>
    </cfRule>
  </conditionalFormatting>
  <conditionalFormatting sqref="H382">
    <cfRule type="cellIs" dxfId="1062" priority="440" operator="equal">
      <formula>0</formula>
    </cfRule>
  </conditionalFormatting>
  <conditionalFormatting sqref="I382">
    <cfRule type="cellIs" dxfId="1061" priority="441" operator="equal">
      <formula>0</formula>
    </cfRule>
  </conditionalFormatting>
  <conditionalFormatting sqref="J382:K382">
    <cfRule type="cellIs" dxfId="1060" priority="442" operator="equal">
      <formula>0</formula>
    </cfRule>
  </conditionalFormatting>
  <conditionalFormatting sqref="K382">
    <cfRule type="cellIs" dxfId="1059" priority="443" operator="equal">
      <formula>0</formula>
    </cfRule>
  </conditionalFormatting>
  <conditionalFormatting sqref="H382:K382">
    <cfRule type="expression" dxfId="1058" priority="444">
      <formula>LEN(TRIM(H382))=0</formula>
    </cfRule>
  </conditionalFormatting>
  <conditionalFormatting sqref="N382:O382">
    <cfRule type="cellIs" dxfId="1057" priority="445" operator="equal">
      <formula>0</formula>
    </cfRule>
  </conditionalFormatting>
  <conditionalFormatting sqref="N382:O382">
    <cfRule type="cellIs" dxfId="1056" priority="446" operator="equal">
      <formula>0</formula>
    </cfRule>
  </conditionalFormatting>
  <conditionalFormatting sqref="N382:O382">
    <cfRule type="expression" dxfId="1055" priority="447">
      <formula>LEN(TRIM(N382))=0</formula>
    </cfRule>
  </conditionalFormatting>
  <conditionalFormatting sqref="J418:N418">
    <cfRule type="cellIs" dxfId="1054" priority="448" operator="equal">
      <formula>0</formula>
    </cfRule>
  </conditionalFormatting>
  <conditionalFormatting sqref="O418">
    <cfRule type="cellIs" dxfId="1053" priority="449" operator="equal">
      <formula>0</formula>
    </cfRule>
  </conditionalFormatting>
  <conditionalFormatting sqref="S449 S419:S421">
    <cfRule type="cellIs" dxfId="1052" priority="450" operator="equal">
      <formula>0</formula>
    </cfRule>
  </conditionalFormatting>
  <conditionalFormatting sqref="S448">
    <cfRule type="cellIs" dxfId="1051" priority="451" operator="equal">
      <formula>0</formula>
    </cfRule>
  </conditionalFormatting>
  <conditionalFormatting sqref="S441:S449 S419:S421 S424:S425">
    <cfRule type="expression" dxfId="1050" priority="452">
      <formula>LEN(TRIM(S419))=0</formula>
    </cfRule>
  </conditionalFormatting>
  <conditionalFormatting sqref="S422:S423">
    <cfRule type="cellIs" dxfId="1049" priority="453" operator="equal">
      <formula>0</formula>
    </cfRule>
  </conditionalFormatting>
  <conditionalFormatting sqref="S422:S423">
    <cfRule type="expression" dxfId="1048" priority="454">
      <formula>LEN(TRIM(S422))=0</formula>
    </cfRule>
  </conditionalFormatting>
  <conditionalFormatting sqref="S427:S438">
    <cfRule type="cellIs" dxfId="1047" priority="455" operator="equal">
      <formula>0</formula>
    </cfRule>
  </conditionalFormatting>
  <conditionalFormatting sqref="S427:S438">
    <cfRule type="expression" dxfId="1046" priority="456">
      <formula>LEN(TRIM(S427))=0</formula>
    </cfRule>
  </conditionalFormatting>
  <conditionalFormatting sqref="D449:R449 P440:R440 D440:I440 D441:R447 D439:R439 D420:R426 D419:G419 L419:M419 P419:R419">
    <cfRule type="cellIs" dxfId="1045" priority="457" operator="equal">
      <formula>0</formula>
    </cfRule>
  </conditionalFormatting>
  <conditionalFormatting sqref="P419:P421">
    <cfRule type="cellIs" dxfId="1044" priority="458" operator="equal">
      <formula>0</formula>
    </cfRule>
  </conditionalFormatting>
  <conditionalFormatting sqref="P419:R419 L419:M419 D420:R421">
    <cfRule type="cellIs" dxfId="1043" priority="459" operator="equal">
      <formula>0</formula>
    </cfRule>
  </conditionalFormatting>
  <conditionalFormatting sqref="F420:F421">
    <cfRule type="cellIs" dxfId="1042" priority="460" operator="equal">
      <formula>0</formula>
    </cfRule>
  </conditionalFormatting>
  <conditionalFormatting sqref="L419:M419">
    <cfRule type="cellIs" dxfId="1041" priority="461" operator="equal">
      <formula>0</formula>
    </cfRule>
  </conditionalFormatting>
  <conditionalFormatting sqref="J422:J424 J440">
    <cfRule type="cellIs" dxfId="1040" priority="462" operator="equal">
      <formula>0</formula>
    </cfRule>
  </conditionalFormatting>
  <conditionalFormatting sqref="J420:J421">
    <cfRule type="cellIs" dxfId="1039" priority="463" operator="equal">
      <formula>0</formula>
    </cfRule>
  </conditionalFormatting>
  <conditionalFormatting sqref="K422:K424 K440">
    <cfRule type="cellIs" dxfId="1038" priority="464" operator="equal">
      <formula>0</formula>
    </cfRule>
  </conditionalFormatting>
  <conditionalFormatting sqref="K420:K421">
    <cfRule type="cellIs" dxfId="1037" priority="465" operator="equal">
      <formula>0</formula>
    </cfRule>
  </conditionalFormatting>
  <conditionalFormatting sqref="L422:L424 L440">
    <cfRule type="cellIs" dxfId="1036" priority="466" operator="equal">
      <formula>0</formula>
    </cfRule>
  </conditionalFormatting>
  <conditionalFormatting sqref="L419:L421">
    <cfRule type="cellIs" dxfId="1035" priority="467" operator="equal">
      <formula>0</formula>
    </cfRule>
  </conditionalFormatting>
  <conditionalFormatting sqref="M422:M424 M440">
    <cfRule type="cellIs" dxfId="1034" priority="468" operator="equal">
      <formula>0</formula>
    </cfRule>
  </conditionalFormatting>
  <conditionalFormatting sqref="M419:M421">
    <cfRule type="cellIs" dxfId="1033" priority="469" operator="equal">
      <formula>0</formula>
    </cfRule>
  </conditionalFormatting>
  <conditionalFormatting sqref="N422:N424 N440">
    <cfRule type="cellIs" dxfId="1032" priority="470" operator="equal">
      <formula>0</formula>
    </cfRule>
  </conditionalFormatting>
  <conditionalFormatting sqref="N420:N421">
    <cfRule type="cellIs" dxfId="1031" priority="471" operator="equal">
      <formula>0</formula>
    </cfRule>
  </conditionalFormatting>
  <conditionalFormatting sqref="O422:O424 O440">
    <cfRule type="cellIs" dxfId="1030" priority="472" operator="equal">
      <formula>0</formula>
    </cfRule>
  </conditionalFormatting>
  <conditionalFormatting sqref="O420:O421">
    <cfRule type="cellIs" dxfId="1029" priority="473" operator="equal">
      <formula>0</formula>
    </cfRule>
  </conditionalFormatting>
  <conditionalFormatting sqref="D448:R448">
    <cfRule type="cellIs" dxfId="1028" priority="474" operator="equal">
      <formula>0</formula>
    </cfRule>
  </conditionalFormatting>
  <conditionalFormatting sqref="D441:R449 D439:R439 D420:R425 D419:G419 L419:M419 P419:R419">
    <cfRule type="expression" dxfId="1027" priority="475">
      <formula>LEN(TRIM(D419))=0</formula>
    </cfRule>
  </conditionalFormatting>
  <conditionalFormatting sqref="D448:R448">
    <cfRule type="cellIs" dxfId="1026" priority="476" operator="equal">
      <formula>0</formula>
    </cfRule>
  </conditionalFormatting>
  <conditionalFormatting sqref="L422:L423">
    <cfRule type="cellIs" dxfId="1025" priority="477" operator="equal">
      <formula>0</formula>
    </cfRule>
  </conditionalFormatting>
  <conditionalFormatting sqref="M422:M423">
    <cfRule type="cellIs" dxfId="1024" priority="478" operator="equal">
      <formula>0</formula>
    </cfRule>
  </conditionalFormatting>
  <conditionalFormatting sqref="N422:O422">
    <cfRule type="cellIs" dxfId="1023" priority="479" operator="equal">
      <formula>0</formula>
    </cfRule>
  </conditionalFormatting>
  <conditionalFormatting sqref="N423:O423">
    <cfRule type="cellIs" dxfId="1022" priority="480" operator="equal">
      <formula>0</formula>
    </cfRule>
  </conditionalFormatting>
  <conditionalFormatting sqref="D427:R438">
    <cfRule type="cellIs" dxfId="1021" priority="481" operator="equal">
      <formula>0</formula>
    </cfRule>
  </conditionalFormatting>
  <conditionalFormatting sqref="D427:R438">
    <cfRule type="expression" dxfId="1020" priority="482">
      <formula>LEN(TRIM(D427))=0</formula>
    </cfRule>
  </conditionalFormatting>
  <conditionalFormatting sqref="H419">
    <cfRule type="cellIs" dxfId="1019" priority="483" operator="equal">
      <formula>0</formula>
    </cfRule>
  </conditionalFormatting>
  <conditionalFormatting sqref="I419">
    <cfRule type="cellIs" dxfId="1018" priority="484" operator="equal">
      <formula>0</formula>
    </cfRule>
  </conditionalFormatting>
  <conditionalFormatting sqref="J419:K419">
    <cfRule type="cellIs" dxfId="1017" priority="485" operator="equal">
      <formula>0</formula>
    </cfRule>
  </conditionalFormatting>
  <conditionalFormatting sqref="K419">
    <cfRule type="cellIs" dxfId="1016" priority="486" operator="equal">
      <formula>0</formula>
    </cfRule>
  </conditionalFormatting>
  <conditionalFormatting sqref="H419:K419">
    <cfRule type="expression" dxfId="1015" priority="487">
      <formula>LEN(TRIM(H419))=0</formula>
    </cfRule>
  </conditionalFormatting>
  <conditionalFormatting sqref="N419:O419">
    <cfRule type="cellIs" dxfId="1014" priority="488" operator="equal">
      <formula>0</formula>
    </cfRule>
  </conditionalFormatting>
  <conditionalFormatting sqref="N419:O419">
    <cfRule type="cellIs" dxfId="1013" priority="489" operator="equal">
      <formula>0</formula>
    </cfRule>
  </conditionalFormatting>
  <conditionalFormatting sqref="N419:O419">
    <cfRule type="expression" dxfId="1012" priority="490">
      <formula>LEN(TRIM(N419))=0</formula>
    </cfRule>
  </conditionalFormatting>
  <pageMargins left="0.78750000000000009" right="0.78750000000000009" top="1.05277777777778" bottom="1.05277777777778" header="0.78750000000000009" footer="0.78750000000000009"/>
  <pageSetup paperSize="9" orientation="portrait" horizontalDpi="300" verticalDpi="300"/>
  <headerFooter>
    <oddHeader>&amp;C&amp;"Times New Roman,Normal"&amp;12&amp;A</oddHeader>
    <oddFooter>&amp;C&amp;"Times New Roman,Normal"&amp;12Page &amp;P</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C3567-9D84-47BA-927A-A7182EDEDB81}">
  <sheetPr>
    <tabColor rgb="FF92D050"/>
    <pageSetUpPr fitToPage="1"/>
  </sheetPr>
  <dimension ref="A1:AO48"/>
  <sheetViews>
    <sheetView workbookViewId="0"/>
  </sheetViews>
  <sheetFormatPr baseColWidth="10" defaultColWidth="11.453125" defaultRowHeight="14.5"/>
  <cols>
    <col min="1" max="1" width="37" style="437" customWidth="1"/>
    <col min="2" max="2" width="12" style="437" customWidth="1"/>
    <col min="3" max="4" width="11.453125" style="437" customWidth="1"/>
    <col min="5" max="5" width="8.54296875" style="437" customWidth="1"/>
    <col min="6" max="6" width="9.81640625" style="437" customWidth="1"/>
    <col min="7" max="7" width="7.7265625" style="437" customWidth="1"/>
    <col min="8" max="9" width="9.453125" style="437" customWidth="1"/>
    <col min="10" max="12" width="9.7265625" style="437" customWidth="1"/>
    <col min="13" max="13" width="29.1796875" style="437" customWidth="1"/>
    <col min="14" max="14" width="15.26953125" style="437" customWidth="1"/>
    <col min="15" max="15" width="6.453125" style="437" bestFit="1" customWidth="1"/>
    <col min="16" max="17" width="7" style="437" customWidth="1"/>
    <col min="18" max="32" width="6.453125" style="437" bestFit="1" customWidth="1"/>
    <col min="33" max="33" width="6.453125" style="437" customWidth="1"/>
    <col min="34" max="34" width="6.81640625" style="437" customWidth="1"/>
    <col min="35" max="16384" width="11.453125" style="437"/>
  </cols>
  <sheetData>
    <row r="1" spans="1:16">
      <c r="A1" s="436" t="s">
        <v>365</v>
      </c>
    </row>
    <row r="2" spans="1:16" ht="19">
      <c r="A2" s="438" t="s">
        <v>366</v>
      </c>
    </row>
    <row r="4" spans="1:16">
      <c r="A4" s="439" t="s">
        <v>367</v>
      </c>
      <c r="I4" s="440"/>
    </row>
    <row r="5" spans="1:16">
      <c r="A5" s="441" t="s">
        <v>368</v>
      </c>
    </row>
    <row r="6" spans="1:16" s="444" customFormat="1" ht="14">
      <c r="A6" s="442" t="s">
        <v>369</v>
      </c>
      <c r="B6" s="443"/>
    </row>
    <row r="7" spans="1:16" s="444" customFormat="1" ht="13">
      <c r="B7" s="443"/>
    </row>
    <row r="8" spans="1:16" s="444" customFormat="1">
      <c r="A8" s="445"/>
      <c r="B8" s="443"/>
      <c r="M8" s="446" t="s">
        <v>370</v>
      </c>
      <c r="N8" s="447" t="s">
        <v>371</v>
      </c>
      <c r="O8" s="444" t="s">
        <v>372</v>
      </c>
    </row>
    <row r="9" spans="1:16" s="444" customFormat="1" ht="13">
      <c r="A9" s="445"/>
      <c r="B9" s="443"/>
      <c r="M9" s="448" t="s">
        <v>373</v>
      </c>
      <c r="N9" s="449">
        <v>62189.398000000001</v>
      </c>
      <c r="O9" s="450">
        <v>49.475344257734051</v>
      </c>
      <c r="P9" s="444" t="s">
        <v>374</v>
      </c>
    </row>
    <row r="10" spans="1:16" s="444" customFormat="1" ht="13">
      <c r="A10" s="445"/>
      <c r="B10" s="443"/>
      <c r="M10" s="451" t="s">
        <v>258</v>
      </c>
      <c r="N10" s="449">
        <v>40704.366000000002</v>
      </c>
      <c r="O10" s="450">
        <v>32.382730584444715</v>
      </c>
      <c r="P10" s="444" t="s">
        <v>375</v>
      </c>
    </row>
    <row r="11" spans="1:16" s="444" customFormat="1" ht="13">
      <c r="A11" s="445"/>
      <c r="B11" s="443"/>
      <c r="M11" s="452" t="s">
        <v>376</v>
      </c>
      <c r="N11" s="449">
        <v>13579.212</v>
      </c>
      <c r="O11" s="450">
        <v>10.803066279058584</v>
      </c>
      <c r="P11" s="444" t="s">
        <v>377</v>
      </c>
    </row>
    <row r="12" spans="1:16" s="444" customFormat="1" ht="13">
      <c r="A12" s="445"/>
      <c r="B12" s="443"/>
      <c r="M12" s="448" t="s">
        <v>338</v>
      </c>
      <c r="N12" s="449">
        <v>3690.0509999999999</v>
      </c>
      <c r="O12" s="450">
        <v>2.9356538160024606</v>
      </c>
      <c r="P12" s="444" t="s">
        <v>378</v>
      </c>
    </row>
    <row r="13" spans="1:16" s="444" customFormat="1" ht="13">
      <c r="A13" s="445"/>
      <c r="B13" s="443"/>
      <c r="M13" s="452" t="s">
        <v>379</v>
      </c>
      <c r="N13" s="449">
        <v>2118.0859999999998</v>
      </c>
      <c r="O13" s="450">
        <v>1.6850626857247737</v>
      </c>
      <c r="P13" s="444" t="s">
        <v>380</v>
      </c>
    </row>
    <row r="14" spans="1:16" s="444" customFormat="1" ht="13">
      <c r="A14" s="445"/>
      <c r="B14" s="443"/>
      <c r="J14" s="453"/>
      <c r="M14" s="448" t="s">
        <v>339</v>
      </c>
      <c r="N14" s="449">
        <v>2806.2449999999999</v>
      </c>
      <c r="O14" s="450">
        <v>2.2325338709106797</v>
      </c>
      <c r="P14" s="444" t="s">
        <v>381</v>
      </c>
    </row>
    <row r="15" spans="1:16" s="444" customFormat="1" ht="13">
      <c r="A15" s="443"/>
      <c r="B15" s="443"/>
      <c r="J15" s="453"/>
      <c r="M15" s="448" t="s">
        <v>382</v>
      </c>
      <c r="N15" s="449">
        <v>481.76400000000001</v>
      </c>
      <c r="O15" s="450">
        <v>0.38327175559703902</v>
      </c>
      <c r="P15" s="444" t="s">
        <v>383</v>
      </c>
    </row>
    <row r="16" spans="1:16" s="444" customFormat="1" ht="13">
      <c r="A16" s="443"/>
      <c r="B16" s="443"/>
      <c r="J16" s="453"/>
      <c r="M16" s="452" t="s">
        <v>384</v>
      </c>
      <c r="N16" s="449">
        <v>128.48599999999999</v>
      </c>
      <c r="O16" s="450">
        <v>0.10221821221519489</v>
      </c>
      <c r="P16" s="444" t="s">
        <v>385</v>
      </c>
    </row>
    <row r="17" spans="1:41" s="444" customFormat="1" ht="13">
      <c r="A17" s="443"/>
      <c r="B17" s="443"/>
      <c r="M17" s="448" t="s">
        <v>10</v>
      </c>
      <c r="N17" s="449">
        <v>125697.757</v>
      </c>
      <c r="O17" s="450">
        <v>99.999881461687494</v>
      </c>
      <c r="P17" s="444" t="s">
        <v>386</v>
      </c>
    </row>
    <row r="18" spans="1:41" s="444" customFormat="1" ht="13">
      <c r="A18" s="443"/>
      <c r="B18" s="443"/>
      <c r="M18" s="454" t="s">
        <v>387</v>
      </c>
      <c r="N18" s="455">
        <v>125.697757</v>
      </c>
    </row>
    <row r="19" spans="1:41" s="444" customFormat="1" ht="13">
      <c r="A19" s="443"/>
      <c r="B19" s="443"/>
      <c r="N19" s="450"/>
    </row>
    <row r="20" spans="1:41" s="444" customFormat="1" ht="13">
      <c r="A20" s="443"/>
      <c r="B20" s="443"/>
    </row>
    <row r="21" spans="1:41" s="444" customFormat="1" ht="12.5"/>
    <row r="22" spans="1:41" s="444" customFormat="1" ht="12.5"/>
    <row r="23" spans="1:41" s="444" customFormat="1" ht="12.5">
      <c r="A23" s="436"/>
    </row>
    <row r="24" spans="1:41" s="444" customFormat="1">
      <c r="A24" s="456" t="s">
        <v>388</v>
      </c>
      <c r="I24" s="457"/>
    </row>
    <row r="25" spans="1:41" s="444" customFormat="1" ht="12.5"/>
    <row r="26" spans="1:41" s="444" customFormat="1">
      <c r="A26" s="439" t="s">
        <v>389</v>
      </c>
      <c r="H26" s="450"/>
      <c r="M26" s="437"/>
      <c r="N26" s="458"/>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c r="AO26" s="437"/>
    </row>
    <row r="27" spans="1:41" s="444" customFormat="1">
      <c r="A27" s="444" t="s">
        <v>390</v>
      </c>
      <c r="H27" s="450"/>
      <c r="M27" s="446" t="s">
        <v>391</v>
      </c>
      <c r="N27" s="459">
        <v>2000</v>
      </c>
      <c r="O27" s="460">
        <v>2001</v>
      </c>
      <c r="P27" s="460">
        <v>2002</v>
      </c>
      <c r="Q27" s="460">
        <v>2003</v>
      </c>
      <c r="R27" s="460">
        <v>2004</v>
      </c>
      <c r="S27" s="460">
        <v>2005</v>
      </c>
      <c r="T27" s="460">
        <v>2006</v>
      </c>
      <c r="U27" s="460">
        <v>2007</v>
      </c>
      <c r="V27" s="460">
        <v>2008</v>
      </c>
      <c r="W27" s="460">
        <v>2009</v>
      </c>
      <c r="X27" s="460">
        <v>2010</v>
      </c>
      <c r="Y27" s="460">
        <v>2011</v>
      </c>
      <c r="Z27" s="460">
        <v>2012</v>
      </c>
      <c r="AA27" s="460">
        <v>2013</v>
      </c>
      <c r="AB27" s="460">
        <v>2014</v>
      </c>
      <c r="AC27" s="460">
        <v>2015</v>
      </c>
      <c r="AD27" s="460">
        <v>2016</v>
      </c>
      <c r="AE27" s="460">
        <v>2017</v>
      </c>
      <c r="AF27" s="460">
        <v>2018</v>
      </c>
      <c r="AG27" s="460">
        <v>2019</v>
      </c>
      <c r="AH27" s="461">
        <v>2020</v>
      </c>
      <c r="AI27" s="437"/>
      <c r="AJ27" s="437"/>
      <c r="AK27" s="437"/>
      <c r="AL27" s="437"/>
      <c r="AM27" s="437"/>
      <c r="AN27" s="437"/>
      <c r="AO27" s="437"/>
    </row>
    <row r="28" spans="1:41" s="444" customFormat="1">
      <c r="H28" s="450"/>
      <c r="M28" s="462" t="s">
        <v>373</v>
      </c>
      <c r="N28" s="463">
        <v>66.363248999999996</v>
      </c>
      <c r="O28" s="464">
        <v>74.267426999999998</v>
      </c>
      <c r="P28" s="464">
        <v>60.39661199999999</v>
      </c>
      <c r="Q28" s="464">
        <v>58.943640000000002</v>
      </c>
      <c r="R28" s="464">
        <v>59.554935</v>
      </c>
      <c r="S28" s="464">
        <v>51.479877000000002</v>
      </c>
      <c r="T28" s="464">
        <v>56.303697</v>
      </c>
      <c r="U28" s="464">
        <v>57.604416999999998</v>
      </c>
      <c r="V28" s="464">
        <v>63.653661000000007</v>
      </c>
      <c r="W28" s="464">
        <v>56.994199999999999</v>
      </c>
      <c r="X28" s="464">
        <v>62.713616999999999</v>
      </c>
      <c r="Y28" s="464">
        <v>45.744622</v>
      </c>
      <c r="Z28" s="464">
        <v>59.831830000000004</v>
      </c>
      <c r="AA28" s="464">
        <v>71.922174999999982</v>
      </c>
      <c r="AB28" s="464">
        <v>63.773408999999994</v>
      </c>
      <c r="AC28" s="464">
        <v>55.556272000000007</v>
      </c>
      <c r="AD28" s="464">
        <v>60.839210000000001</v>
      </c>
      <c r="AE28" s="464">
        <v>50.001256999999995</v>
      </c>
      <c r="AF28" s="464">
        <v>65.111425999999994</v>
      </c>
      <c r="AG28" s="464">
        <v>56.913891000000007</v>
      </c>
      <c r="AH28" s="465">
        <v>62.189398000000004</v>
      </c>
      <c r="AI28" s="466"/>
      <c r="AJ28" s="437"/>
      <c r="AK28" s="437"/>
      <c r="AL28" s="437"/>
      <c r="AM28" s="437"/>
      <c r="AN28" s="437"/>
      <c r="AO28" s="437"/>
    </row>
    <row r="29" spans="1:41" s="444" customFormat="1">
      <c r="M29" s="451" t="s">
        <v>258</v>
      </c>
      <c r="N29" s="467">
        <v>4.8159999999999994E-2</v>
      </c>
      <c r="O29" s="466">
        <v>0.13124</v>
      </c>
      <c r="P29" s="466">
        <v>0.26559000000000005</v>
      </c>
      <c r="Q29" s="466">
        <v>0.38774999999999998</v>
      </c>
      <c r="R29" s="466">
        <v>0.59484999999999999</v>
      </c>
      <c r="S29" s="466">
        <v>0.96257000000000004</v>
      </c>
      <c r="T29" s="466">
        <v>2.1825799999999997</v>
      </c>
      <c r="U29" s="466">
        <v>4.0701099999999997</v>
      </c>
      <c r="V29" s="466">
        <v>5.69421</v>
      </c>
      <c r="W29" s="466">
        <v>7.9115699999999993</v>
      </c>
      <c r="X29" s="466">
        <v>9.9449900000000007</v>
      </c>
      <c r="Y29" s="466">
        <v>12.371620999999999</v>
      </c>
      <c r="Z29" s="466">
        <v>15.1784</v>
      </c>
      <c r="AA29" s="466">
        <v>16.126735999999998</v>
      </c>
      <c r="AB29" s="466">
        <v>17.323779000000002</v>
      </c>
      <c r="AC29" s="466">
        <v>21.420601999999999</v>
      </c>
      <c r="AD29" s="466">
        <v>21.380984000000002</v>
      </c>
      <c r="AE29" s="466">
        <v>24.609437</v>
      </c>
      <c r="AF29" s="466">
        <v>28.598595</v>
      </c>
      <c r="AG29" s="466">
        <v>34.721684000000003</v>
      </c>
      <c r="AH29" s="468">
        <v>40.704366</v>
      </c>
      <c r="AI29" s="466"/>
      <c r="AJ29" s="437"/>
      <c r="AK29" s="437"/>
      <c r="AL29" s="437"/>
      <c r="AM29" s="437"/>
      <c r="AN29" s="437"/>
      <c r="AO29" s="437"/>
    </row>
    <row r="30" spans="1:41" s="444" customFormat="1">
      <c r="H30" s="450"/>
      <c r="M30" s="452" t="s">
        <v>376</v>
      </c>
      <c r="N30" s="467">
        <v>5.2230000000000002E-3</v>
      </c>
      <c r="O30" s="466">
        <v>6.1609999999999998E-3</v>
      </c>
      <c r="P30" s="466">
        <v>7.1040000000000001E-3</v>
      </c>
      <c r="Q30" s="466">
        <v>7.7670000000000005E-3</v>
      </c>
      <c r="R30" s="466">
        <v>8.4480000000000006E-3</v>
      </c>
      <c r="S30" s="466">
        <v>1.0501E-2</v>
      </c>
      <c r="T30" s="466">
        <v>1.2102999999999999E-2</v>
      </c>
      <c r="U30" s="466">
        <v>1.7572000000000001E-2</v>
      </c>
      <c r="V30" s="466">
        <v>4.1692000000000007E-2</v>
      </c>
      <c r="W30" s="466">
        <v>0.17397100000000001</v>
      </c>
      <c r="X30" s="466">
        <v>0.62</v>
      </c>
      <c r="Y30" s="466">
        <v>2.3338040000000002</v>
      </c>
      <c r="Z30" s="466">
        <v>4.4279359999999999</v>
      </c>
      <c r="AA30" s="466">
        <v>5.1935959999999994</v>
      </c>
      <c r="AB30" s="466">
        <v>6.391572</v>
      </c>
      <c r="AC30" s="466">
        <v>7.7537370000000001</v>
      </c>
      <c r="AD30" s="466">
        <v>8.6597650000000002</v>
      </c>
      <c r="AE30" s="466">
        <v>9.5863159999999983</v>
      </c>
      <c r="AF30" s="466">
        <v>10.891159</v>
      </c>
      <c r="AG30" s="466">
        <v>12.225183999999999</v>
      </c>
      <c r="AH30" s="468">
        <v>13.579212</v>
      </c>
      <c r="AI30" s="466"/>
      <c r="AJ30" s="437"/>
      <c r="AK30" s="437"/>
      <c r="AL30" s="437"/>
      <c r="AM30" s="437"/>
      <c r="AN30" s="437"/>
      <c r="AO30" s="437"/>
    </row>
    <row r="31" spans="1:41" s="444" customFormat="1">
      <c r="M31" s="448" t="s">
        <v>338</v>
      </c>
      <c r="N31" s="467">
        <v>1.0900000000000001</v>
      </c>
      <c r="O31" s="466">
        <v>1.044</v>
      </c>
      <c r="P31" s="466">
        <v>1.109</v>
      </c>
      <c r="Q31" s="466">
        <v>1.133</v>
      </c>
      <c r="R31" s="466">
        <v>1.1279999999999999</v>
      </c>
      <c r="S31" s="466">
        <v>1.254</v>
      </c>
      <c r="T31" s="466">
        <v>1.2470000000000001</v>
      </c>
      <c r="U31" s="466">
        <v>1.3540000000000001</v>
      </c>
      <c r="V31" s="466">
        <v>1.413</v>
      </c>
      <c r="W31" s="466">
        <v>1.2350000000000001</v>
      </c>
      <c r="X31" s="466">
        <v>1.4630000000000001</v>
      </c>
      <c r="Y31" s="466">
        <v>1.8104259999999999</v>
      </c>
      <c r="Z31" s="466">
        <v>1.8547090000000002</v>
      </c>
      <c r="AA31" s="466">
        <v>2.0137179999999999</v>
      </c>
      <c r="AB31" s="466">
        <v>2.3089309999999998</v>
      </c>
      <c r="AC31" s="466">
        <v>2.6652219999999995</v>
      </c>
      <c r="AD31" s="466">
        <v>3.407727</v>
      </c>
      <c r="AE31" s="466">
        <v>3.462215</v>
      </c>
      <c r="AF31" s="466">
        <v>3.8061359999999995</v>
      </c>
      <c r="AG31" s="466">
        <v>3.8838170000000001</v>
      </c>
      <c r="AH31" s="468">
        <v>3.690051</v>
      </c>
      <c r="AI31" s="466"/>
      <c r="AJ31" s="437"/>
      <c r="AK31" s="437"/>
      <c r="AL31" s="437"/>
      <c r="AM31" s="437"/>
      <c r="AN31" s="437"/>
      <c r="AO31" s="437"/>
    </row>
    <row r="32" spans="1:41" s="444" customFormat="1">
      <c r="C32" s="469"/>
      <c r="M32" s="452" t="s">
        <v>379</v>
      </c>
      <c r="N32" s="467">
        <v>1.081</v>
      </c>
      <c r="O32" s="466">
        <v>1.4670000000000001</v>
      </c>
      <c r="P32" s="466">
        <v>1.5369999999999999</v>
      </c>
      <c r="Q32" s="466">
        <v>1.647</v>
      </c>
      <c r="R32" s="466">
        <v>1.7170000000000001</v>
      </c>
      <c r="S32" s="466">
        <v>1.657</v>
      </c>
      <c r="T32" s="466">
        <v>1.605</v>
      </c>
      <c r="U32" s="466">
        <v>1.776</v>
      </c>
      <c r="V32" s="466">
        <v>1.863</v>
      </c>
      <c r="W32" s="466">
        <v>2.02</v>
      </c>
      <c r="X32" s="466">
        <v>1.9730000000000001</v>
      </c>
      <c r="Y32" s="466">
        <v>2.0790480000000002</v>
      </c>
      <c r="Z32" s="466">
        <v>2.1482330000000003</v>
      </c>
      <c r="AA32" s="466">
        <v>2.1248860000000001</v>
      </c>
      <c r="AB32" s="466">
        <v>2.0837539999999999</v>
      </c>
      <c r="AC32" s="466">
        <v>2.0256720000000001</v>
      </c>
      <c r="AD32" s="466">
        <v>2.1218820000000003</v>
      </c>
      <c r="AE32" s="466">
        <v>2.205133</v>
      </c>
      <c r="AF32" s="466">
        <v>2.2021329999999999</v>
      </c>
      <c r="AG32" s="466">
        <v>2.1725979999999998</v>
      </c>
      <c r="AH32" s="468">
        <v>2.1180859999999999</v>
      </c>
      <c r="AI32" s="466"/>
      <c r="AJ32" s="437"/>
      <c r="AK32" s="437"/>
      <c r="AL32" s="437"/>
      <c r="AM32" s="437"/>
      <c r="AN32" s="437"/>
      <c r="AO32" s="437"/>
    </row>
    <row r="33" spans="1:41" s="444" customFormat="1">
      <c r="A33" s="437"/>
      <c r="B33" s="437"/>
      <c r="C33" s="437"/>
      <c r="D33" s="437"/>
      <c r="E33" s="437"/>
      <c r="F33" s="437"/>
      <c r="G33" s="437"/>
      <c r="H33" s="437"/>
      <c r="I33" s="437"/>
      <c r="M33" s="448" t="s">
        <v>339</v>
      </c>
      <c r="N33" s="467">
        <v>0.308</v>
      </c>
      <c r="O33" s="466">
        <v>0.33800000000000002</v>
      </c>
      <c r="P33" s="466">
        <v>0.39700000000000002</v>
      </c>
      <c r="Q33" s="466">
        <v>0.44700000000000001</v>
      </c>
      <c r="R33" s="466">
        <v>0.46700000000000003</v>
      </c>
      <c r="S33" s="466">
        <v>0.48</v>
      </c>
      <c r="T33" s="466">
        <v>0.52500000000000002</v>
      </c>
      <c r="U33" s="466">
        <v>0.621</v>
      </c>
      <c r="V33" s="466">
        <v>0.69499999999999995</v>
      </c>
      <c r="W33" s="466">
        <v>0.875</v>
      </c>
      <c r="X33" s="466">
        <v>1.0049999999999999</v>
      </c>
      <c r="Y33" s="466">
        <v>1.151675</v>
      </c>
      <c r="Z33" s="466">
        <v>1.2963629999999999</v>
      </c>
      <c r="AA33" s="466">
        <v>1.5447250000000001</v>
      </c>
      <c r="AB33" s="466">
        <v>1.5934619999999999</v>
      </c>
      <c r="AC33" s="466">
        <v>1.833858</v>
      </c>
      <c r="AD33" s="466">
        <v>1.9911260000000002</v>
      </c>
      <c r="AE33" s="466">
        <v>2.1136880000000002</v>
      </c>
      <c r="AF33" s="466">
        <v>2.3697539999999999</v>
      </c>
      <c r="AG33" s="466">
        <v>2.5874549999999998</v>
      </c>
      <c r="AH33" s="468">
        <v>2.8062450000000001</v>
      </c>
      <c r="AI33" s="466"/>
      <c r="AJ33" s="437"/>
      <c r="AK33" s="437"/>
      <c r="AL33" s="437"/>
      <c r="AM33" s="437"/>
      <c r="AN33" s="437"/>
      <c r="AO33" s="437"/>
    </row>
    <row r="34" spans="1:41">
      <c r="M34" s="448" t="s">
        <v>382</v>
      </c>
      <c r="N34" s="467">
        <v>0.50730700000000006</v>
      </c>
      <c r="O34" s="466">
        <v>0.484933</v>
      </c>
      <c r="P34" s="466">
        <v>0.49443300000000001</v>
      </c>
      <c r="Q34" s="466">
        <v>0.49036799999999997</v>
      </c>
      <c r="R34" s="466">
        <v>0.47017599999999998</v>
      </c>
      <c r="S34" s="466">
        <v>0.48089499999999996</v>
      </c>
      <c r="T34" s="466">
        <v>0.46426499999999998</v>
      </c>
      <c r="U34" s="466">
        <v>0.46529199999999998</v>
      </c>
      <c r="V34" s="466">
        <v>0.465119</v>
      </c>
      <c r="W34" s="466">
        <v>0.44819700000000001</v>
      </c>
      <c r="X34" s="466">
        <v>0.47639700000000001</v>
      </c>
      <c r="Y34" s="466">
        <v>0.47727800000000004</v>
      </c>
      <c r="Z34" s="466">
        <v>0.457986</v>
      </c>
      <c r="AA34" s="466">
        <v>0.413572</v>
      </c>
      <c r="AB34" s="466">
        <v>0.48050700000000002</v>
      </c>
      <c r="AC34" s="466">
        <v>0.48741800000000002</v>
      </c>
      <c r="AD34" s="466">
        <v>0.50051600000000007</v>
      </c>
      <c r="AE34" s="466">
        <v>0.521706</v>
      </c>
      <c r="AF34" s="466">
        <v>0.47993000000000002</v>
      </c>
      <c r="AG34" s="466">
        <v>0.478964</v>
      </c>
      <c r="AH34" s="468">
        <v>0.48176400000000003</v>
      </c>
      <c r="AI34" s="466"/>
    </row>
    <row r="35" spans="1:41">
      <c r="M35" s="470" t="s">
        <v>384</v>
      </c>
      <c r="N35" s="471">
        <v>0</v>
      </c>
      <c r="O35" s="472">
        <v>0</v>
      </c>
      <c r="P35" s="472">
        <v>0</v>
      </c>
      <c r="Q35" s="472">
        <v>0</v>
      </c>
      <c r="R35" s="472">
        <v>0</v>
      </c>
      <c r="S35" s="472">
        <v>0</v>
      </c>
      <c r="T35" s="472">
        <v>0</v>
      </c>
      <c r="U35" s="472">
        <v>0</v>
      </c>
      <c r="V35" s="472">
        <v>0</v>
      </c>
      <c r="W35" s="472">
        <v>0</v>
      </c>
      <c r="X35" s="472">
        <v>0</v>
      </c>
      <c r="Y35" s="472">
        <v>6.2237000000000001E-2</v>
      </c>
      <c r="Z35" s="472">
        <v>5.6513000000000001E-2</v>
      </c>
      <c r="AA35" s="472">
        <v>9.0150999999999995E-2</v>
      </c>
      <c r="AB35" s="472">
        <v>8.3114000000000007E-2</v>
      </c>
      <c r="AC35" s="472">
        <v>9.1938999999999993E-2</v>
      </c>
      <c r="AD35" s="472">
        <v>9.7604999999999997E-2</v>
      </c>
      <c r="AE35" s="472">
        <v>0.13313</v>
      </c>
      <c r="AF35" s="472">
        <v>0.126975</v>
      </c>
      <c r="AG35" s="472">
        <v>0.12848599999999999</v>
      </c>
      <c r="AH35" s="473">
        <v>0.12848599999999999</v>
      </c>
      <c r="AI35" s="466"/>
    </row>
    <row r="36" spans="1:41">
      <c r="M36" s="444"/>
      <c r="N36" s="466"/>
    </row>
    <row r="37" spans="1:41">
      <c r="N37" s="474"/>
      <c r="O37" s="474"/>
      <c r="P37" s="474"/>
      <c r="Q37" s="474"/>
      <c r="R37" s="474"/>
      <c r="S37" s="474"/>
      <c r="T37" s="474"/>
      <c r="U37" s="474"/>
      <c r="V37" s="474"/>
      <c r="W37" s="474"/>
      <c r="X37" s="474"/>
      <c r="Y37" s="474"/>
      <c r="Z37" s="474"/>
      <c r="AA37" s="474"/>
      <c r="AB37" s="474"/>
      <c r="AC37" s="474"/>
      <c r="AD37" s="474"/>
      <c r="AE37" s="474"/>
      <c r="AF37" s="474"/>
      <c r="AG37" s="474"/>
      <c r="AH37" s="474"/>
    </row>
    <row r="38" spans="1:41">
      <c r="N38" s="474"/>
      <c r="O38" s="474"/>
      <c r="P38" s="474"/>
      <c r="Q38" s="474"/>
      <c r="R38" s="474"/>
      <c r="S38" s="474"/>
      <c r="T38" s="474"/>
      <c r="U38" s="474"/>
      <c r="V38" s="474"/>
      <c r="W38" s="474"/>
      <c r="X38" s="474"/>
      <c r="Y38" s="474"/>
      <c r="Z38" s="474"/>
      <c r="AA38" s="474"/>
      <c r="AB38" s="474"/>
      <c r="AC38" s="474"/>
      <c r="AD38" s="474"/>
      <c r="AE38" s="474"/>
      <c r="AF38" s="474"/>
      <c r="AG38" s="474"/>
      <c r="AH38" s="474"/>
    </row>
    <row r="47" spans="1:41">
      <c r="A47" s="437" t="s">
        <v>392</v>
      </c>
      <c r="B47" s="444"/>
    </row>
    <row r="48" spans="1:41">
      <c r="A48" s="456" t="s">
        <v>388</v>
      </c>
      <c r="B48" s="444"/>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60AF0-75B8-4AA2-9C9C-E10948EDBA1F}">
  <sheetPr>
    <tabColor rgb="FF92D050"/>
    <pageSetUpPr fitToPage="1"/>
  </sheetPr>
  <dimension ref="A1:AN34"/>
  <sheetViews>
    <sheetView workbookViewId="0"/>
  </sheetViews>
  <sheetFormatPr baseColWidth="10" defaultColWidth="11.453125" defaultRowHeight="14.5"/>
  <cols>
    <col min="1" max="1" width="41" style="437" customWidth="1"/>
    <col min="2" max="2" width="12" style="437" customWidth="1"/>
    <col min="3" max="4" width="0" style="437" hidden="1" customWidth="1"/>
    <col min="5" max="5" width="8.54296875" style="437" customWidth="1"/>
    <col min="6" max="6" width="9.81640625" style="437" customWidth="1"/>
    <col min="7" max="7" width="7.7265625" style="437" customWidth="1"/>
    <col min="8" max="9" width="9.453125" style="437" customWidth="1"/>
    <col min="10" max="12" width="9.7265625" style="437" customWidth="1"/>
    <col min="13" max="13" width="22.1796875" style="437" customWidth="1"/>
    <col min="14" max="14" width="15.26953125" style="437" customWidth="1"/>
    <col min="15" max="15" width="17.81640625" style="437" customWidth="1"/>
    <col min="16" max="28" width="9.7265625" style="437" customWidth="1"/>
    <col min="29" max="16384" width="11.453125" style="437"/>
  </cols>
  <sheetData>
    <row r="1" spans="1:18">
      <c r="A1" s="436" t="s">
        <v>365</v>
      </c>
    </row>
    <row r="2" spans="1:18" ht="19">
      <c r="A2" s="438" t="s">
        <v>366</v>
      </c>
    </row>
    <row r="4" spans="1:18" s="444" customFormat="1" ht="12.5"/>
    <row r="5" spans="1:18" s="444" customFormat="1" ht="15" customHeight="1">
      <c r="A5" s="719" t="s">
        <v>393</v>
      </c>
      <c r="B5" s="719"/>
      <c r="C5" s="719"/>
      <c r="D5" s="719"/>
      <c r="E5" s="719"/>
      <c r="F5" s="719"/>
      <c r="G5" s="719"/>
      <c r="H5" s="719"/>
      <c r="I5" s="719"/>
      <c r="J5" s="475"/>
      <c r="K5" s="437"/>
      <c r="L5" s="437"/>
      <c r="M5" s="437"/>
      <c r="N5" s="437"/>
      <c r="O5" s="437"/>
      <c r="P5" s="437"/>
      <c r="Q5" s="437"/>
      <c r="R5" s="437"/>
    </row>
    <row r="6" spans="1:18" s="444" customFormat="1" ht="14">
      <c r="A6" s="476" t="s">
        <v>394</v>
      </c>
      <c r="M6" s="444" t="s">
        <v>395</v>
      </c>
      <c r="N6" s="477"/>
      <c r="O6" s="477"/>
      <c r="P6" s="477"/>
      <c r="Q6" s="477"/>
      <c r="R6" s="477"/>
    </row>
    <row r="7" spans="1:18" s="444" customFormat="1" ht="14.25" customHeight="1">
      <c r="A7" s="720" t="s">
        <v>396</v>
      </c>
      <c r="B7" s="720"/>
      <c r="C7" s="720"/>
      <c r="D7" s="720"/>
      <c r="E7" s="720"/>
      <c r="F7" s="720"/>
      <c r="G7" s="720"/>
      <c r="H7" s="720"/>
      <c r="I7" s="720"/>
      <c r="M7" s="462"/>
      <c r="N7" s="478" t="s">
        <v>128</v>
      </c>
      <c r="O7" s="479" t="s">
        <v>372</v>
      </c>
      <c r="R7" s="477"/>
    </row>
    <row r="8" spans="1:18" s="444" customFormat="1">
      <c r="A8" s="480" t="s">
        <v>369</v>
      </c>
      <c r="B8" s="443"/>
      <c r="M8" s="448" t="s">
        <v>397</v>
      </c>
      <c r="N8" s="481">
        <v>110.85128030872578</v>
      </c>
      <c r="O8" s="469">
        <v>64.220008867409263</v>
      </c>
      <c r="P8" s="444" t="s">
        <v>398</v>
      </c>
      <c r="R8" s="437"/>
    </row>
    <row r="9" spans="1:18" s="444" customFormat="1">
      <c r="A9" s="445"/>
      <c r="B9" s="443"/>
      <c r="M9" s="448" t="s">
        <v>399</v>
      </c>
      <c r="N9" s="481">
        <v>37.501510606253028</v>
      </c>
      <c r="O9" s="469">
        <v>21.725931689444238</v>
      </c>
      <c r="P9" s="444" t="s">
        <v>400</v>
      </c>
      <c r="R9" s="437"/>
    </row>
    <row r="10" spans="1:18" s="444" customFormat="1">
      <c r="A10" s="445"/>
      <c r="B10" s="443"/>
      <c r="M10" s="448" t="s">
        <v>379</v>
      </c>
      <c r="N10" s="481">
        <v>5.5602503491823843</v>
      </c>
      <c r="O10" s="469">
        <v>3.2212467527215405</v>
      </c>
      <c r="P10" s="444" t="s">
        <v>401</v>
      </c>
      <c r="R10" s="437"/>
    </row>
    <row r="11" spans="1:18" s="444" customFormat="1">
      <c r="A11" s="445"/>
      <c r="B11" s="443"/>
      <c r="M11" s="448" t="s">
        <v>339</v>
      </c>
      <c r="N11" s="481">
        <v>4.5507856976214418</v>
      </c>
      <c r="O11" s="469">
        <v>2.636428709176788</v>
      </c>
      <c r="P11" s="444" t="s">
        <v>402</v>
      </c>
      <c r="R11" s="437"/>
    </row>
    <row r="12" spans="1:18" s="444" customFormat="1">
      <c r="A12" s="445"/>
      <c r="B12" s="443"/>
      <c r="M12" s="448" t="s">
        <v>403</v>
      </c>
      <c r="N12" s="481">
        <v>4.2751626873673132</v>
      </c>
      <c r="O12" s="469">
        <v>2.4767506963177084</v>
      </c>
      <c r="P12" s="444" t="s">
        <v>404</v>
      </c>
      <c r="R12" s="437"/>
    </row>
    <row r="13" spans="1:18" s="444" customFormat="1">
      <c r="A13" s="445"/>
      <c r="B13" s="443"/>
      <c r="J13" s="453"/>
      <c r="M13" s="448" t="s">
        <v>24</v>
      </c>
      <c r="N13" s="481">
        <v>4.2275015525607875</v>
      </c>
      <c r="O13" s="469">
        <v>2.4491389403561947</v>
      </c>
      <c r="P13" s="444" t="s">
        <v>405</v>
      </c>
      <c r="R13" s="437"/>
    </row>
    <row r="14" spans="1:18" s="444" customFormat="1" ht="14">
      <c r="A14" s="443"/>
      <c r="B14" s="443"/>
      <c r="J14" s="453"/>
      <c r="M14" s="448" t="s">
        <v>406</v>
      </c>
      <c r="N14" s="481">
        <v>3.4066285897734532</v>
      </c>
      <c r="O14" s="469">
        <v>1.9735786328667242</v>
      </c>
      <c r="P14" s="444" t="s">
        <v>407</v>
      </c>
      <c r="R14" s="477"/>
    </row>
    <row r="15" spans="1:18" s="444" customFormat="1">
      <c r="A15" s="443"/>
      <c r="B15" s="443"/>
      <c r="J15" s="453"/>
      <c r="M15" s="448" t="s">
        <v>33</v>
      </c>
      <c r="N15" s="481">
        <v>2.2386288888888886</v>
      </c>
      <c r="O15" s="469">
        <v>1.2969157117075385</v>
      </c>
      <c r="P15" s="444" t="s">
        <v>408</v>
      </c>
      <c r="R15" s="437"/>
    </row>
    <row r="16" spans="1:18" s="444" customFormat="1" ht="13">
      <c r="A16" s="443"/>
      <c r="B16" s="443"/>
      <c r="M16" s="454" t="s">
        <v>10</v>
      </c>
      <c r="N16" s="482">
        <v>172.6117486803731</v>
      </c>
      <c r="O16" s="469">
        <v>100</v>
      </c>
      <c r="P16" s="444" t="s">
        <v>386</v>
      </c>
    </row>
    <row r="17" spans="1:40" s="444" customFormat="1" ht="13">
      <c r="A17" s="443"/>
      <c r="B17" s="443"/>
    </row>
    <row r="18" spans="1:40" s="444" customFormat="1" ht="13">
      <c r="A18" s="443"/>
      <c r="B18" s="443"/>
    </row>
    <row r="19" spans="1:40" s="444" customFormat="1" ht="12.5">
      <c r="N19" s="483"/>
      <c r="O19" s="450"/>
      <c r="P19" s="450"/>
    </row>
    <row r="20" spans="1:40" s="444" customFormat="1" ht="12.5">
      <c r="O20" s="450"/>
      <c r="P20" s="450"/>
    </row>
    <row r="21" spans="1:40" s="444" customFormat="1">
      <c r="O21" s="450"/>
      <c r="P21" s="450"/>
      <c r="S21" s="437"/>
      <c r="T21" s="437"/>
      <c r="U21" s="437"/>
      <c r="V21" s="437"/>
      <c r="W21" s="437"/>
      <c r="X21" s="437"/>
      <c r="Y21" s="437"/>
      <c r="Z21" s="437"/>
      <c r="AA21" s="437"/>
      <c r="AB21" s="437"/>
      <c r="AC21" s="437"/>
      <c r="AD21" s="437"/>
      <c r="AE21" s="437"/>
      <c r="AF21" s="437"/>
      <c r="AG21" s="437"/>
      <c r="AH21" s="437"/>
      <c r="AI21" s="437"/>
      <c r="AJ21" s="437"/>
      <c r="AK21" s="437"/>
      <c r="AL21" s="437"/>
      <c r="AM21" s="437"/>
      <c r="AN21" s="437"/>
    </row>
    <row r="22" spans="1:40" s="444" customFormat="1">
      <c r="O22" s="450"/>
      <c r="P22" s="450"/>
      <c r="S22" s="437"/>
      <c r="T22" s="437"/>
      <c r="U22" s="437"/>
      <c r="V22" s="437"/>
      <c r="W22" s="437"/>
      <c r="X22" s="437"/>
      <c r="Y22" s="437"/>
      <c r="Z22" s="437"/>
      <c r="AA22" s="437"/>
      <c r="AB22" s="437"/>
      <c r="AC22" s="437"/>
      <c r="AD22" s="437"/>
      <c r="AE22" s="437"/>
      <c r="AF22" s="437"/>
      <c r="AG22" s="437"/>
      <c r="AH22" s="437"/>
      <c r="AI22" s="437"/>
      <c r="AJ22" s="437"/>
      <c r="AK22" s="437"/>
      <c r="AL22" s="437"/>
      <c r="AM22" s="437"/>
      <c r="AN22" s="437"/>
    </row>
    <row r="23" spans="1:40" s="444" customFormat="1">
      <c r="O23" s="450"/>
      <c r="P23" s="450"/>
      <c r="S23" s="437"/>
      <c r="T23" s="437"/>
      <c r="U23" s="437"/>
      <c r="V23" s="437"/>
      <c r="W23" s="437"/>
      <c r="X23" s="437"/>
      <c r="Y23" s="437"/>
      <c r="Z23" s="437"/>
      <c r="AA23" s="437"/>
      <c r="AB23" s="437"/>
      <c r="AC23" s="437"/>
      <c r="AD23" s="437"/>
      <c r="AE23" s="437"/>
      <c r="AF23" s="437"/>
      <c r="AG23" s="437"/>
      <c r="AH23" s="437"/>
      <c r="AI23" s="437"/>
      <c r="AJ23" s="437"/>
      <c r="AK23" s="437"/>
      <c r="AL23" s="437"/>
      <c r="AM23" s="437"/>
      <c r="AN23" s="437"/>
    </row>
    <row r="24" spans="1:40" s="444" customFormat="1">
      <c r="A24" s="436"/>
      <c r="H24" s="450"/>
      <c r="O24" s="450"/>
      <c r="P24" s="450"/>
      <c r="R24" s="437"/>
      <c r="S24" s="437"/>
      <c r="T24" s="437"/>
      <c r="U24" s="437"/>
      <c r="V24" s="437"/>
      <c r="W24" s="437"/>
      <c r="X24" s="437"/>
      <c r="Y24" s="437"/>
      <c r="Z24" s="437"/>
      <c r="AA24" s="437"/>
      <c r="AB24" s="437"/>
      <c r="AC24" s="437"/>
      <c r="AD24" s="437"/>
      <c r="AE24" s="437"/>
      <c r="AF24" s="437"/>
      <c r="AG24" s="437"/>
      <c r="AH24" s="437"/>
      <c r="AI24" s="437"/>
      <c r="AJ24" s="437"/>
      <c r="AK24" s="437"/>
      <c r="AL24" s="437"/>
      <c r="AM24" s="437"/>
      <c r="AN24" s="437"/>
    </row>
    <row r="25" spans="1:40" s="444" customFormat="1">
      <c r="A25" s="456" t="s">
        <v>388</v>
      </c>
      <c r="H25" s="450"/>
      <c r="O25" s="450"/>
      <c r="P25" s="450"/>
      <c r="Q25" s="437"/>
      <c r="R25" s="437"/>
      <c r="S25" s="437"/>
      <c r="T25" s="437"/>
      <c r="U25" s="437"/>
      <c r="V25" s="437"/>
      <c r="W25" s="437"/>
      <c r="X25" s="437"/>
      <c r="Y25" s="437"/>
      <c r="Z25" s="437"/>
      <c r="AA25" s="437"/>
      <c r="AB25" s="437"/>
      <c r="AC25" s="437"/>
      <c r="AD25" s="437"/>
      <c r="AE25" s="437"/>
      <c r="AF25" s="437"/>
      <c r="AG25" s="437"/>
      <c r="AH25" s="437"/>
      <c r="AI25" s="437"/>
      <c r="AJ25" s="437"/>
      <c r="AK25" s="437"/>
      <c r="AL25" s="437"/>
      <c r="AM25" s="437"/>
      <c r="AN25" s="437"/>
    </row>
    <row r="26" spans="1:40" s="444" customFormat="1">
      <c r="H26" s="450"/>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row>
    <row r="27" spans="1:40" s="444" customFormat="1">
      <c r="H27" s="450"/>
      <c r="M27" s="437"/>
      <c r="N27" s="437"/>
      <c r="O27" s="437"/>
      <c r="P27" s="437"/>
      <c r="Q27" s="437"/>
      <c r="R27" s="437"/>
      <c r="S27" s="437"/>
      <c r="T27" s="437"/>
      <c r="U27" s="437"/>
      <c r="V27" s="437"/>
      <c r="W27" s="437"/>
      <c r="X27" s="437"/>
      <c r="Y27" s="437"/>
      <c r="Z27" s="437"/>
      <c r="AA27" s="437"/>
      <c r="AB27" s="437"/>
      <c r="AC27" s="437"/>
      <c r="AD27" s="437"/>
      <c r="AE27" s="437"/>
      <c r="AF27" s="437"/>
      <c r="AG27" s="437"/>
      <c r="AH27" s="437"/>
      <c r="AI27" s="437"/>
      <c r="AJ27" s="437"/>
      <c r="AK27" s="437"/>
      <c r="AL27" s="437"/>
      <c r="AM27" s="437"/>
      <c r="AN27" s="437"/>
    </row>
    <row r="28" spans="1:40" s="444" customFormat="1">
      <c r="H28" s="450"/>
      <c r="M28" s="437"/>
      <c r="N28" s="458"/>
      <c r="O28" s="437"/>
      <c r="P28" s="437"/>
      <c r="Q28" s="437"/>
      <c r="R28" s="437"/>
      <c r="S28" s="437"/>
      <c r="T28" s="437"/>
      <c r="U28" s="437"/>
      <c r="V28" s="437"/>
      <c r="W28" s="437"/>
      <c r="X28" s="437"/>
      <c r="Y28" s="437"/>
      <c r="Z28" s="437"/>
      <c r="AA28" s="437"/>
      <c r="AB28" s="437"/>
      <c r="AC28" s="437"/>
      <c r="AD28" s="437"/>
      <c r="AE28" s="437"/>
      <c r="AF28" s="437"/>
      <c r="AG28" s="437"/>
      <c r="AH28" s="437"/>
      <c r="AI28" s="437"/>
      <c r="AJ28" s="437"/>
      <c r="AK28" s="437"/>
      <c r="AL28" s="437"/>
      <c r="AM28" s="437"/>
      <c r="AN28" s="437"/>
    </row>
    <row r="29" spans="1:40" s="444" customFormat="1">
      <c r="H29" s="450"/>
      <c r="M29" s="437"/>
      <c r="N29" s="458"/>
      <c r="O29" s="437"/>
      <c r="P29" s="437"/>
      <c r="Q29" s="437"/>
      <c r="R29" s="437"/>
      <c r="S29" s="437"/>
      <c r="T29" s="437"/>
      <c r="U29" s="437"/>
      <c r="V29" s="437"/>
      <c r="W29" s="437"/>
      <c r="X29" s="437"/>
      <c r="Y29" s="437"/>
      <c r="Z29" s="437"/>
      <c r="AA29" s="437"/>
      <c r="AB29" s="437"/>
      <c r="AC29" s="437"/>
      <c r="AD29" s="437"/>
      <c r="AE29" s="437"/>
      <c r="AF29" s="437"/>
      <c r="AG29" s="437"/>
      <c r="AH29" s="437"/>
      <c r="AI29" s="437"/>
      <c r="AJ29" s="437"/>
      <c r="AK29" s="437"/>
      <c r="AL29" s="437"/>
      <c r="AM29" s="437"/>
      <c r="AN29" s="437"/>
    </row>
    <row r="30" spans="1:40" s="444" customFormat="1">
      <c r="M30" s="437"/>
      <c r="N30" s="437"/>
      <c r="O30" s="437"/>
      <c r="P30" s="437"/>
      <c r="Q30" s="437"/>
      <c r="R30" s="437"/>
      <c r="S30" s="437"/>
      <c r="T30" s="437"/>
      <c r="U30" s="437"/>
      <c r="V30" s="437"/>
      <c r="W30" s="437"/>
      <c r="X30" s="437"/>
      <c r="Y30" s="437"/>
      <c r="Z30" s="437"/>
      <c r="AA30" s="437"/>
      <c r="AB30" s="437"/>
      <c r="AC30" s="437"/>
      <c r="AD30" s="437"/>
      <c r="AE30" s="437"/>
      <c r="AF30" s="437"/>
      <c r="AG30" s="437"/>
      <c r="AH30" s="437"/>
      <c r="AI30" s="437"/>
      <c r="AJ30" s="437"/>
      <c r="AK30" s="437"/>
      <c r="AL30" s="437"/>
      <c r="AM30" s="437"/>
      <c r="AN30" s="437"/>
    </row>
    <row r="31" spans="1:40" s="444" customFormat="1">
      <c r="H31" s="450"/>
      <c r="M31" s="437"/>
      <c r="N31" s="437"/>
      <c r="O31" s="437"/>
      <c r="P31" s="437"/>
      <c r="Q31" s="437"/>
      <c r="R31" s="437"/>
      <c r="S31" s="437"/>
      <c r="T31" s="437"/>
      <c r="U31" s="437"/>
      <c r="V31" s="437"/>
      <c r="W31" s="437"/>
      <c r="X31" s="437"/>
      <c r="Y31" s="437"/>
      <c r="Z31" s="437"/>
      <c r="AA31" s="437"/>
      <c r="AB31" s="437"/>
      <c r="AC31" s="437"/>
      <c r="AD31" s="437"/>
      <c r="AE31" s="437"/>
      <c r="AF31" s="437"/>
      <c r="AG31" s="437"/>
      <c r="AH31" s="437"/>
      <c r="AI31" s="437"/>
      <c r="AJ31" s="437"/>
      <c r="AK31" s="437"/>
      <c r="AL31" s="437"/>
      <c r="AM31" s="437"/>
      <c r="AN31" s="437"/>
    </row>
    <row r="32" spans="1:40" s="444" customFormat="1">
      <c r="M32" s="437"/>
      <c r="N32" s="437"/>
      <c r="O32" s="437"/>
      <c r="P32" s="437"/>
      <c r="Q32" s="484"/>
      <c r="R32" s="437"/>
      <c r="S32" s="437"/>
      <c r="T32" s="437"/>
      <c r="U32" s="437"/>
      <c r="V32" s="437"/>
      <c r="W32" s="437"/>
      <c r="X32" s="437"/>
      <c r="Y32" s="437"/>
      <c r="Z32" s="437"/>
      <c r="AA32" s="437"/>
      <c r="AB32" s="437"/>
      <c r="AC32" s="437"/>
      <c r="AD32" s="437"/>
      <c r="AE32" s="437"/>
      <c r="AF32" s="437"/>
      <c r="AG32" s="437"/>
      <c r="AH32" s="437"/>
      <c r="AI32" s="437"/>
      <c r="AJ32" s="437"/>
      <c r="AK32" s="437"/>
      <c r="AL32" s="437"/>
      <c r="AM32" s="437"/>
      <c r="AN32" s="437"/>
    </row>
    <row r="33" spans="1:40" s="444" customFormat="1">
      <c r="C33" s="469"/>
      <c r="M33" s="437"/>
      <c r="N33" s="437"/>
      <c r="O33" s="437"/>
      <c r="P33" s="437"/>
      <c r="Q33" s="485"/>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row>
    <row r="34" spans="1:40" s="444" customFormat="1">
      <c r="A34" s="437"/>
      <c r="B34" s="437"/>
      <c r="C34" s="437"/>
      <c r="D34" s="437"/>
      <c r="E34" s="437"/>
      <c r="F34" s="437"/>
      <c r="G34" s="437"/>
      <c r="H34" s="437"/>
      <c r="I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row>
  </sheetData>
  <sheetProtection selectLockedCells="1" selectUnlockedCells="1"/>
  <mergeCells count="2">
    <mergeCell ref="A5:I5"/>
    <mergeCell ref="A7:I7"/>
  </mergeCells>
  <pageMargins left="0.7" right="0.7" top="0.75" bottom="0.75" header="0.51180555555555551" footer="0.51180555555555551"/>
  <pageSetup paperSize="9" firstPageNumber="0" orientation="portrait" horizontalDpi="300" verticalDpi="300"/>
  <headerFooter alignWithMargins="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L211"/>
  <sheetViews>
    <sheetView workbookViewId="0"/>
  </sheetViews>
  <sheetFormatPr baseColWidth="10" defaultColWidth="9.1796875" defaultRowHeight="14.5"/>
  <cols>
    <col min="1" max="1" width="60.26953125" style="333" customWidth="1"/>
    <col min="2" max="64" width="9.1796875" style="333"/>
  </cols>
  <sheetData>
    <row r="1" spans="1:11" ht="28.5">
      <c r="A1" s="223" t="s">
        <v>320</v>
      </c>
      <c r="B1" s="224"/>
      <c r="C1" s="224"/>
      <c r="D1" s="224"/>
      <c r="E1" s="225" t="s">
        <v>321</v>
      </c>
      <c r="F1" s="226" t="s">
        <v>322</v>
      </c>
      <c r="G1" s="226"/>
      <c r="H1" s="225" t="s">
        <v>48</v>
      </c>
      <c r="I1" s="226">
        <v>2.1</v>
      </c>
      <c r="J1" s="225" t="s">
        <v>49</v>
      </c>
      <c r="K1" s="367">
        <v>43144</v>
      </c>
    </row>
    <row r="2" spans="1:11">
      <c r="A2"/>
      <c r="B2"/>
      <c r="C2"/>
      <c r="D2"/>
      <c r="E2"/>
      <c r="F2"/>
      <c r="G2"/>
      <c r="H2"/>
      <c r="I2"/>
      <c r="J2"/>
      <c r="K2"/>
    </row>
    <row r="3" spans="1:11">
      <c r="A3"/>
      <c r="B3"/>
      <c r="C3"/>
      <c r="D3"/>
      <c r="E3"/>
      <c r="F3"/>
      <c r="G3"/>
      <c r="H3"/>
      <c r="I3"/>
      <c r="J3"/>
      <c r="K3"/>
    </row>
    <row r="4" spans="1:11">
      <c r="A4"/>
      <c r="B4"/>
      <c r="C4"/>
      <c r="D4"/>
      <c r="E4"/>
      <c r="F4"/>
      <c r="G4"/>
      <c r="H4"/>
      <c r="I4"/>
      <c r="J4"/>
      <c r="K4"/>
    </row>
    <row r="5" spans="1:11" ht="21">
      <c r="A5" s="234" t="s">
        <v>336</v>
      </c>
      <c r="B5" s="234"/>
      <c r="C5" s="234"/>
      <c r="D5" s="234"/>
      <c r="E5" s="234"/>
      <c r="F5" s="234"/>
      <c r="G5" s="234"/>
      <c r="H5" s="234"/>
      <c r="I5" s="234"/>
      <c r="J5" s="234"/>
      <c r="K5" s="234"/>
    </row>
    <row r="6" spans="1:11">
      <c r="A6"/>
      <c r="B6"/>
      <c r="C6"/>
      <c r="D6"/>
      <c r="E6"/>
      <c r="F6"/>
      <c r="G6"/>
      <c r="H6"/>
      <c r="I6"/>
      <c r="J6"/>
      <c r="K6"/>
    </row>
    <row r="7" spans="1:11" ht="15.5">
      <c r="A7" s="237" t="s">
        <v>337</v>
      </c>
      <c r="B7" s="239"/>
      <c r="C7" s="239"/>
      <c r="D7" s="239"/>
      <c r="E7" s="239"/>
      <c r="F7" s="239"/>
      <c r="G7" s="238"/>
      <c r="H7" s="239"/>
      <c r="I7" s="239"/>
      <c r="J7" s="239"/>
      <c r="K7" s="239"/>
    </row>
    <row r="8" spans="1:11">
      <c r="A8"/>
      <c r="B8"/>
      <c r="C8"/>
      <c r="D8"/>
      <c r="E8"/>
      <c r="F8"/>
      <c r="G8"/>
      <c r="H8"/>
      <c r="I8"/>
      <c r="J8"/>
      <c r="K8"/>
    </row>
    <row r="9" spans="1:11">
      <c r="A9"/>
      <c r="B9"/>
      <c r="C9"/>
      <c r="D9"/>
      <c r="E9"/>
      <c r="F9"/>
      <c r="G9"/>
      <c r="H9"/>
      <c r="I9"/>
      <c r="J9"/>
      <c r="K9"/>
    </row>
    <row r="10" spans="1:11" ht="58">
      <c r="A10" s="352"/>
      <c r="B10" s="353" t="s">
        <v>42</v>
      </c>
      <c r="C10" s="353" t="s">
        <v>52</v>
      </c>
      <c r="D10" s="353" t="s">
        <v>53</v>
      </c>
      <c r="E10" s="353" t="s">
        <v>32</v>
      </c>
      <c r="F10" s="353" t="s">
        <v>20</v>
      </c>
      <c r="G10" s="353" t="s">
        <v>55</v>
      </c>
      <c r="H10" s="353" t="s">
        <v>56</v>
      </c>
      <c r="I10" s="353" t="s">
        <v>57</v>
      </c>
      <c r="J10" s="353" t="s">
        <v>58</v>
      </c>
      <c r="K10" s="353" t="s">
        <v>10</v>
      </c>
    </row>
    <row r="11" spans="1:11" ht="15.5">
      <c r="A11" s="360"/>
      <c r="B11" s="368"/>
      <c r="C11" s="368"/>
      <c r="D11" s="368"/>
      <c r="E11" s="368"/>
      <c r="F11" s="368"/>
      <c r="G11" s="368"/>
      <c r="H11" s="368"/>
      <c r="I11" s="368"/>
      <c r="J11" s="368"/>
      <c r="K11" s="368"/>
    </row>
    <row r="12" spans="1:11">
      <c r="A12" s="175" t="s">
        <v>59</v>
      </c>
      <c r="B12" s="58">
        <v>0</v>
      </c>
      <c r="C12" s="58">
        <v>0.99</v>
      </c>
      <c r="D12" s="58">
        <v>0</v>
      </c>
      <c r="E12" s="58">
        <v>1.9114359415305201E-2</v>
      </c>
      <c r="F12" s="58">
        <v>113.97587222178799</v>
      </c>
      <c r="G12" s="58">
        <v>7.1744464316423002</v>
      </c>
      <c r="H12" s="58">
        <v>17.623063691891002</v>
      </c>
      <c r="I12" s="58">
        <v>0</v>
      </c>
      <c r="J12" s="58">
        <v>0</v>
      </c>
      <c r="K12" s="58">
        <v>139.78249670473701</v>
      </c>
    </row>
    <row r="13" spans="1:11">
      <c r="A13" s="175" t="s">
        <v>60</v>
      </c>
      <c r="B13" s="58">
        <v>8.8097723628054307</v>
      </c>
      <c r="C13" s="58">
        <v>58.756</v>
      </c>
      <c r="D13" s="58">
        <v>41.304000000000002</v>
      </c>
      <c r="E13" s="58">
        <v>39.381556147893399</v>
      </c>
      <c r="F13" s="58">
        <v>0</v>
      </c>
      <c r="G13" s="58">
        <v>0</v>
      </c>
      <c r="H13" s="58">
        <v>0.607627199770708</v>
      </c>
      <c r="I13" s="58">
        <v>0.85649183147033503</v>
      </c>
      <c r="J13" s="58">
        <v>0</v>
      </c>
      <c r="K13" s="58">
        <v>149.71544754193999</v>
      </c>
    </row>
    <row r="14" spans="1:11">
      <c r="A14" s="175" t="s">
        <v>61</v>
      </c>
      <c r="B14" s="58">
        <v>-0.129456001503714</v>
      </c>
      <c r="C14" s="58">
        <v>-9.7000000000000003E-2</v>
      </c>
      <c r="D14" s="58">
        <v>-21.164999999999999</v>
      </c>
      <c r="E14" s="58">
        <v>-4.8649527085124697</v>
      </c>
      <c r="F14" s="58">
        <v>0</v>
      </c>
      <c r="G14" s="58">
        <v>0</v>
      </c>
      <c r="H14" s="58">
        <v>-0.178425728479985</v>
      </c>
      <c r="I14" s="58">
        <v>-6.3649183147033499</v>
      </c>
      <c r="J14" s="58">
        <v>0</v>
      </c>
      <c r="K14" s="58">
        <v>-32.799752753199499</v>
      </c>
    </row>
    <row r="15" spans="1:11">
      <c r="A15" s="175" t="s">
        <v>62</v>
      </c>
      <c r="B15" s="58">
        <v>0</v>
      </c>
      <c r="C15" s="58">
        <v>0</v>
      </c>
      <c r="D15" s="58">
        <v>-1.6180000000000001</v>
      </c>
      <c r="E15" s="58">
        <v>0</v>
      </c>
      <c r="F15" s="58">
        <v>0</v>
      </c>
      <c r="G15" s="58">
        <v>0</v>
      </c>
      <c r="H15" s="58">
        <v>0</v>
      </c>
      <c r="I15" s="58">
        <v>0</v>
      </c>
      <c r="J15" s="58">
        <v>0</v>
      </c>
      <c r="K15" s="58">
        <v>-5.9379999999999997</v>
      </c>
    </row>
    <row r="16" spans="1:11">
      <c r="A16" s="175" t="s">
        <v>63</v>
      </c>
      <c r="B16" s="58">
        <v>0</v>
      </c>
      <c r="C16" s="58">
        <v>0</v>
      </c>
      <c r="D16" s="58">
        <v>-5.9379999999999997</v>
      </c>
      <c r="E16" s="58">
        <v>0</v>
      </c>
      <c r="F16" s="58">
        <v>0</v>
      </c>
      <c r="G16" s="58">
        <v>0</v>
      </c>
      <c r="H16" s="58">
        <v>0</v>
      </c>
      <c r="I16" s="58">
        <v>0</v>
      </c>
      <c r="J16" s="58">
        <v>0</v>
      </c>
      <c r="K16" s="58">
        <v>-1.6180000000000001</v>
      </c>
    </row>
    <row r="17" spans="1:11">
      <c r="A17" s="175" t="s">
        <v>64</v>
      </c>
      <c r="B17" s="58">
        <v>0.114672336797846</v>
      </c>
      <c r="C17" s="58">
        <v>0.107</v>
      </c>
      <c r="D17" s="58">
        <v>-6.5000000000000002E-2</v>
      </c>
      <c r="E17" s="58">
        <v>0.50447579385934005</v>
      </c>
      <c r="F17" s="58">
        <v>0</v>
      </c>
      <c r="G17" s="58">
        <v>0</v>
      </c>
      <c r="H17" s="58">
        <v>0</v>
      </c>
      <c r="I17" s="58">
        <v>0</v>
      </c>
      <c r="J17" s="58">
        <v>0</v>
      </c>
      <c r="K17" s="58">
        <v>0.66114813065718603</v>
      </c>
    </row>
    <row r="18" spans="1:11" ht="15.5">
      <c r="A18" s="358" t="s">
        <v>65</v>
      </c>
      <c r="B18" s="369">
        <v>8.7949886980995604</v>
      </c>
      <c r="C18" s="369">
        <v>59.756</v>
      </c>
      <c r="D18" s="369">
        <v>12.518000000000001</v>
      </c>
      <c r="E18" s="369">
        <v>35.040193592655598</v>
      </c>
      <c r="F18" s="369">
        <v>113.97587222178799</v>
      </c>
      <c r="G18" s="369">
        <v>7.1744464316423002</v>
      </c>
      <c r="H18" s="369">
        <v>18.052265163181701</v>
      </c>
      <c r="I18" s="369">
        <v>-5.5084264832330199</v>
      </c>
      <c r="J18" s="369">
        <v>0</v>
      </c>
      <c r="K18" s="369">
        <v>249.803339624134</v>
      </c>
    </row>
    <row r="19" spans="1:11" ht="15.5">
      <c r="A19" s="360"/>
      <c r="B19" s="370"/>
      <c r="C19" s="370"/>
      <c r="D19" s="370"/>
      <c r="E19" s="370"/>
      <c r="F19" s="370"/>
      <c r="G19" s="370"/>
      <c r="H19" s="370"/>
      <c r="I19" s="370"/>
      <c r="J19" s="370"/>
      <c r="K19" s="370"/>
    </row>
    <row r="20" spans="1:11">
      <c r="A20" s="175" t="s">
        <v>66</v>
      </c>
      <c r="B20" s="58">
        <v>0</v>
      </c>
      <c r="C20" s="58">
        <v>-0.32500000000000001</v>
      </c>
      <c r="D20" s="58">
        <v>0.25</v>
      </c>
      <c r="E20" s="58">
        <v>0</v>
      </c>
      <c r="F20" s="58">
        <v>0</v>
      </c>
      <c r="G20" s="58">
        <v>0</v>
      </c>
      <c r="H20" s="58">
        <v>0</v>
      </c>
      <c r="I20" s="58">
        <v>0</v>
      </c>
      <c r="J20" s="58">
        <v>0</v>
      </c>
      <c r="K20" s="58">
        <v>-7.4999999999999997E-2</v>
      </c>
    </row>
    <row r="21" spans="1:11">
      <c r="A21" s="175" t="s">
        <v>67</v>
      </c>
      <c r="B21" s="58">
        <v>0.25449943513061202</v>
      </c>
      <c r="C21" s="58">
        <v>9.6000000000003596E-2</v>
      </c>
      <c r="D21" s="58">
        <v>1.90700000000001</v>
      </c>
      <c r="E21" s="58">
        <v>9.2719287991815895E-6</v>
      </c>
      <c r="F21" s="58">
        <v>0</v>
      </c>
      <c r="G21" s="58">
        <v>0</v>
      </c>
      <c r="H21" s="58">
        <v>2.3884589662749601E-5</v>
      </c>
      <c r="I21" s="58">
        <v>-9.6560619088564101E-2</v>
      </c>
      <c r="J21" s="58">
        <v>0</v>
      </c>
      <c r="K21" s="58">
        <v>2.1609719725605201</v>
      </c>
    </row>
    <row r="22" spans="1:11">
      <c r="A22" s="175" t="s">
        <v>68</v>
      </c>
      <c r="B22" s="58">
        <v>2.8177717473010402</v>
      </c>
      <c r="C22" s="58">
        <v>0</v>
      </c>
      <c r="D22" s="58">
        <v>0.46200000000000002</v>
      </c>
      <c r="E22" s="58">
        <v>1.74883483201723</v>
      </c>
      <c r="F22" s="58">
        <v>113.97587222178799</v>
      </c>
      <c r="G22" s="58">
        <v>7.1744464316423002</v>
      </c>
      <c r="H22" s="58">
        <v>1.3081350912391301</v>
      </c>
      <c r="I22" s="58">
        <v>-47.166809974204597</v>
      </c>
      <c r="J22" s="58">
        <v>0</v>
      </c>
      <c r="K22" s="58">
        <v>80.320250349782995</v>
      </c>
    </row>
    <row r="23" spans="1:11">
      <c r="A23" s="175" t="s">
        <v>69</v>
      </c>
      <c r="B23" s="58">
        <v>0.17574077042132399</v>
      </c>
      <c r="C23" s="58">
        <v>0</v>
      </c>
      <c r="D23" s="58">
        <v>0.24</v>
      </c>
      <c r="E23" s="58">
        <v>2.0854259827438901</v>
      </c>
      <c r="F23" s="58">
        <v>0</v>
      </c>
      <c r="G23" s="58">
        <v>0</v>
      </c>
      <c r="H23" s="58">
        <v>2.3690407948791399</v>
      </c>
      <c r="I23" s="58">
        <v>-1.4459157351676699</v>
      </c>
      <c r="J23" s="58">
        <v>-1.9220112484952701</v>
      </c>
      <c r="K23" s="58">
        <v>1.5022805643814201</v>
      </c>
    </row>
    <row r="24" spans="1:11">
      <c r="A24" s="175" t="s">
        <v>70</v>
      </c>
      <c r="B24" s="58">
        <v>0.18260499999999999</v>
      </c>
      <c r="C24" s="58">
        <v>0</v>
      </c>
      <c r="D24" s="58">
        <v>7.0000000000000007E-2</v>
      </c>
      <c r="E24" s="58">
        <v>0.65908241891659503</v>
      </c>
      <c r="F24" s="58">
        <v>0</v>
      </c>
      <c r="G24" s="58">
        <v>0</v>
      </c>
      <c r="H24" s="58">
        <v>0.77558039552880498</v>
      </c>
      <c r="I24" s="58">
        <v>0</v>
      </c>
      <c r="J24" s="58">
        <v>-1.90296</v>
      </c>
      <c r="K24" s="58">
        <v>-0.21569218555460101</v>
      </c>
    </row>
    <row r="25" spans="1:11">
      <c r="A25" s="175" t="s">
        <v>71</v>
      </c>
      <c r="B25" s="58">
        <v>0</v>
      </c>
      <c r="C25" s="58">
        <v>0</v>
      </c>
      <c r="D25" s="58">
        <v>0</v>
      </c>
      <c r="E25" s="58">
        <v>-6.3456577815993098E-3</v>
      </c>
      <c r="F25" s="58">
        <v>0</v>
      </c>
      <c r="G25" s="58">
        <v>0</v>
      </c>
      <c r="H25" s="58">
        <v>6.3533008502913903E-3</v>
      </c>
      <c r="I25" s="58">
        <v>0</v>
      </c>
      <c r="J25" s="58">
        <v>0</v>
      </c>
      <c r="K25" s="58">
        <v>7.6430686920796898E-6</v>
      </c>
    </row>
    <row r="26" spans="1:11">
      <c r="A26" s="175" t="s">
        <v>72</v>
      </c>
      <c r="B26" s="58">
        <v>0</v>
      </c>
      <c r="C26" s="58">
        <v>61.207000000000001</v>
      </c>
      <c r="D26" s="58">
        <v>-60.67</v>
      </c>
      <c r="E26" s="58">
        <v>0</v>
      </c>
      <c r="F26" s="58">
        <v>0</v>
      </c>
      <c r="G26" s="58">
        <v>0</v>
      </c>
      <c r="H26" s="58">
        <v>0</v>
      </c>
      <c r="I26" s="58">
        <v>0</v>
      </c>
      <c r="J26" s="58">
        <v>0</v>
      </c>
      <c r="K26" s="58">
        <v>0.53699999999999903</v>
      </c>
    </row>
    <row r="27" spans="1:11">
      <c r="A27" s="175" t="s">
        <v>74</v>
      </c>
      <c r="B27" s="58">
        <v>2.9093146706792798</v>
      </c>
      <c r="C27" s="58">
        <v>-1.222</v>
      </c>
      <c r="D27" s="58">
        <v>1.208</v>
      </c>
      <c r="E27" s="58">
        <v>0</v>
      </c>
      <c r="F27" s="58">
        <v>0</v>
      </c>
      <c r="G27" s="58">
        <v>0</v>
      </c>
      <c r="H27" s="58">
        <v>0</v>
      </c>
      <c r="I27" s="58">
        <v>0</v>
      </c>
      <c r="J27" s="58">
        <v>0</v>
      </c>
      <c r="K27" s="58">
        <v>2.8953146706792801</v>
      </c>
    </row>
    <row r="28" spans="1:11">
      <c r="A28" s="175" t="s">
        <v>75</v>
      </c>
      <c r="B28" s="58">
        <v>1.0374988057705199</v>
      </c>
      <c r="C28" s="58">
        <v>0</v>
      </c>
      <c r="D28" s="58">
        <v>1.7969999999999999</v>
      </c>
      <c r="E28" s="58">
        <v>1.2420767288043999</v>
      </c>
      <c r="F28" s="58">
        <v>0</v>
      </c>
      <c r="G28" s="58">
        <v>0</v>
      </c>
      <c r="H28" s="58">
        <v>5.1017483519633103E-2</v>
      </c>
      <c r="I28" s="58">
        <v>2.7822871883060998</v>
      </c>
      <c r="J28" s="58">
        <v>5.6328571847727903E-2</v>
      </c>
      <c r="K28" s="58">
        <v>6.9662087782483901</v>
      </c>
    </row>
    <row r="29" spans="1:11">
      <c r="A29" s="175" t="s">
        <v>76</v>
      </c>
      <c r="B29" s="58">
        <v>0</v>
      </c>
      <c r="C29" s="58">
        <v>0</v>
      </c>
      <c r="D29" s="58">
        <v>0</v>
      </c>
      <c r="E29" s="58">
        <v>0.46122098022356001</v>
      </c>
      <c r="F29" s="58">
        <v>0</v>
      </c>
      <c r="G29" s="58">
        <v>0</v>
      </c>
      <c r="H29" s="58">
        <v>0</v>
      </c>
      <c r="I29" s="58">
        <v>3.04359415305245</v>
      </c>
      <c r="J29" s="58">
        <v>0.80882690971625104</v>
      </c>
      <c r="K29" s="58">
        <v>4.3136420429922602</v>
      </c>
    </row>
    <row r="30" spans="1:11" ht="15.5">
      <c r="A30" s="358" t="s">
        <v>77</v>
      </c>
      <c r="B30" s="369">
        <v>7.3774304293027697</v>
      </c>
      <c r="C30" s="369">
        <v>59.756</v>
      </c>
      <c r="D30" s="369">
        <v>-54.735999999999997</v>
      </c>
      <c r="E30" s="369">
        <v>6.1903045568528698</v>
      </c>
      <c r="F30" s="369">
        <v>113.97587222178799</v>
      </c>
      <c r="G30" s="369">
        <v>7.1744464316423002</v>
      </c>
      <c r="H30" s="369">
        <v>4.5101509506066702</v>
      </c>
      <c r="I30" s="369">
        <v>-42.883404987102303</v>
      </c>
      <c r="J30" s="369">
        <v>-2.9598157669312899</v>
      </c>
      <c r="K30" s="369">
        <v>98.404983836159005</v>
      </c>
    </row>
    <row r="31" spans="1:11" ht="15.5">
      <c r="A31" s="360"/>
      <c r="B31" s="370"/>
      <c r="C31" s="370"/>
      <c r="D31" s="370"/>
      <c r="E31" s="370"/>
      <c r="F31" s="370"/>
      <c r="G31" s="370"/>
      <c r="H31" s="370"/>
      <c r="I31" s="370"/>
      <c r="J31" s="370"/>
      <c r="K31" s="370"/>
    </row>
    <row r="32" spans="1:11" ht="15.5">
      <c r="A32" s="363" t="s">
        <v>78</v>
      </c>
      <c r="B32" s="58">
        <v>1.0493092649428299</v>
      </c>
      <c r="C32" s="58">
        <v>0</v>
      </c>
      <c r="D32" s="58">
        <v>2.3566094604778201</v>
      </c>
      <c r="E32" s="58">
        <v>10.2038364932448</v>
      </c>
      <c r="F32" s="58">
        <v>0</v>
      </c>
      <c r="G32" s="58">
        <v>0</v>
      </c>
      <c r="H32" s="58">
        <v>1.36555364478838</v>
      </c>
      <c r="I32" s="58">
        <v>10.069552160228</v>
      </c>
      <c r="J32" s="58">
        <v>1.1415347236508699</v>
      </c>
      <c r="K32" s="58">
        <v>25.9228167120731</v>
      </c>
    </row>
    <row r="33" spans="1:11" ht="15.5">
      <c r="A33" s="363" t="s">
        <v>79</v>
      </c>
      <c r="B33" s="58">
        <v>0</v>
      </c>
      <c r="C33" s="58">
        <v>0</v>
      </c>
      <c r="D33" s="58">
        <v>39.807000000000002</v>
      </c>
      <c r="E33" s="58">
        <v>6.6215426095074303E-2</v>
      </c>
      <c r="F33" s="58">
        <v>0</v>
      </c>
      <c r="G33" s="58">
        <v>0</v>
      </c>
      <c r="H33" s="58">
        <v>2.9481554218018502</v>
      </c>
      <c r="I33" s="58">
        <v>0.94471195184866696</v>
      </c>
      <c r="J33" s="58">
        <v>0</v>
      </c>
      <c r="K33" s="58">
        <v>43.766082799745597</v>
      </c>
    </row>
    <row r="34" spans="1:11">
      <c r="A34" s="175" t="s">
        <v>80</v>
      </c>
      <c r="B34" s="58">
        <v>3.6764196608413298E-2</v>
      </c>
      <c r="C34" s="58">
        <v>0</v>
      </c>
      <c r="D34" s="58">
        <v>6.6752954110546101</v>
      </c>
      <c r="E34" s="58">
        <v>11.7825435723501</v>
      </c>
      <c r="F34" s="58">
        <v>0</v>
      </c>
      <c r="G34" s="58">
        <v>0</v>
      </c>
      <c r="H34" s="58">
        <v>8.8384757709717601</v>
      </c>
      <c r="I34" s="58">
        <v>13.6203670581426</v>
      </c>
      <c r="J34" s="58">
        <v>1.21184436300186</v>
      </c>
      <c r="K34" s="58">
        <v>39.7338900814621</v>
      </c>
    </row>
    <row r="35" spans="1:11">
      <c r="A35" s="175" t="s">
        <v>81</v>
      </c>
      <c r="B35" s="58">
        <v>4.3073392295861899E-2</v>
      </c>
      <c r="C35" s="58">
        <v>0</v>
      </c>
      <c r="D35" s="58">
        <v>3.01546564464017</v>
      </c>
      <c r="E35" s="58">
        <v>7.13877632922933</v>
      </c>
      <c r="F35" s="58">
        <v>0</v>
      </c>
      <c r="G35" s="58">
        <v>0</v>
      </c>
      <c r="H35" s="58">
        <v>0.896582440321125</v>
      </c>
      <c r="I35" s="58">
        <v>12.701365476499801</v>
      </c>
      <c r="J35" s="58">
        <v>0.710753475039681</v>
      </c>
      <c r="K35" s="58">
        <v>23.648731462262301</v>
      </c>
    </row>
    <row r="36" spans="1:11">
      <c r="A36" s="175" t="s">
        <v>82</v>
      </c>
      <c r="B36" s="58">
        <v>2.2137192704974398E-3</v>
      </c>
      <c r="C36" s="58">
        <v>0</v>
      </c>
      <c r="D36" s="58">
        <v>3.371</v>
      </c>
      <c r="E36" s="58">
        <v>0.20038837309893301</v>
      </c>
      <c r="F36" s="58">
        <v>0</v>
      </c>
      <c r="G36" s="58">
        <v>0</v>
      </c>
      <c r="H36" s="58">
        <v>0.15947740517817899</v>
      </c>
      <c r="I36" s="58">
        <v>0.74651762682717104</v>
      </c>
      <c r="J36" s="58">
        <v>6.4536710533781398E-3</v>
      </c>
      <c r="K36" s="58">
        <v>4.4860507954281603</v>
      </c>
    </row>
    <row r="37" spans="1:11" ht="15.5">
      <c r="A37" s="358" t="s">
        <v>83</v>
      </c>
      <c r="B37" s="369">
        <v>1.1313605731176</v>
      </c>
      <c r="C37" s="369">
        <v>0</v>
      </c>
      <c r="D37" s="369">
        <v>55.225370516172603</v>
      </c>
      <c r="E37" s="369">
        <v>29.3917601940182</v>
      </c>
      <c r="F37" s="369">
        <v>0</v>
      </c>
      <c r="G37" s="369">
        <v>0</v>
      </c>
      <c r="H37" s="369">
        <v>14.208244683061301</v>
      </c>
      <c r="I37" s="369">
        <v>38.082441502020501</v>
      </c>
      <c r="J37" s="369">
        <v>3.0705862327457898</v>
      </c>
      <c r="K37" s="369">
        <v>137.55757185097099</v>
      </c>
    </row>
    <row r="38" spans="1:11">
      <c r="A38" s="175" t="s">
        <v>84</v>
      </c>
      <c r="B38" s="58">
        <v>0.30500413491505901</v>
      </c>
      <c r="C38" s="58">
        <v>0</v>
      </c>
      <c r="D38" s="58">
        <v>12.452999999999999</v>
      </c>
      <c r="E38" s="58">
        <v>1.1015862413247299</v>
      </c>
      <c r="F38" s="58">
        <v>0</v>
      </c>
      <c r="G38" s="58">
        <v>0</v>
      </c>
      <c r="H38" s="58">
        <v>0</v>
      </c>
      <c r="I38" s="58">
        <v>0</v>
      </c>
      <c r="J38" s="58">
        <v>0</v>
      </c>
      <c r="K38" s="58">
        <v>13.859590376239799</v>
      </c>
    </row>
    <row r="39" spans="1:11" ht="15.5">
      <c r="A39" s="358" t="s">
        <v>85</v>
      </c>
      <c r="B39" s="369">
        <v>1.43636470803266</v>
      </c>
      <c r="C39" s="369">
        <v>0</v>
      </c>
      <c r="D39" s="369">
        <v>67.678370516172606</v>
      </c>
      <c r="E39" s="369">
        <v>30.493346435343</v>
      </c>
      <c r="F39" s="369">
        <v>0</v>
      </c>
      <c r="G39" s="369">
        <v>0</v>
      </c>
      <c r="H39" s="369">
        <v>14.208244683061301</v>
      </c>
      <c r="I39" s="369">
        <v>38.082441502020501</v>
      </c>
      <c r="J39" s="369">
        <v>3.0705862327457898</v>
      </c>
      <c r="K39" s="369">
        <v>151.41716222721101</v>
      </c>
    </row>
    <row r="40" spans="1:11">
      <c r="A40"/>
      <c r="B40"/>
      <c r="C40"/>
      <c r="D40"/>
      <c r="E40"/>
      <c r="F40"/>
      <c r="G40"/>
      <c r="H40"/>
      <c r="I40"/>
      <c r="J40"/>
      <c r="K40"/>
    </row>
    <row r="41" spans="1:11">
      <c r="A41"/>
      <c r="B41"/>
      <c r="C41"/>
      <c r="D41"/>
      <c r="E41"/>
      <c r="F41"/>
      <c r="G41"/>
      <c r="H41"/>
      <c r="I41"/>
      <c r="J41"/>
      <c r="K41"/>
    </row>
    <row r="42" spans="1:11">
      <c r="A42"/>
      <c r="B42"/>
      <c r="C42"/>
      <c r="D42"/>
      <c r="E42"/>
      <c r="F42"/>
      <c r="G42"/>
      <c r="H42"/>
      <c r="I42"/>
      <c r="J42"/>
      <c r="K42"/>
    </row>
    <row r="43" spans="1:11">
      <c r="A43"/>
      <c r="B43"/>
      <c r="C43"/>
      <c r="D43"/>
      <c r="E43"/>
      <c r="F43"/>
      <c r="G43"/>
      <c r="H43"/>
      <c r="I43"/>
      <c r="J43"/>
      <c r="K43"/>
    </row>
    <row r="44" spans="1:11">
      <c r="A44"/>
      <c r="B44"/>
      <c r="C44"/>
      <c r="D44"/>
      <c r="E44"/>
      <c r="F44"/>
      <c r="G44"/>
      <c r="H44"/>
      <c r="I44"/>
      <c r="J44"/>
      <c r="K44"/>
    </row>
    <row r="45" spans="1:11">
      <c r="A45"/>
      <c r="B45"/>
      <c r="C45"/>
      <c r="D45"/>
      <c r="E45"/>
      <c r="F45"/>
      <c r="G45"/>
      <c r="H45"/>
      <c r="I45"/>
      <c r="J45"/>
      <c r="K45"/>
    </row>
    <row r="46" spans="1:11">
      <c r="A46"/>
      <c r="B46"/>
      <c r="C46"/>
      <c r="D46"/>
      <c r="E46"/>
      <c r="F46"/>
      <c r="G46"/>
      <c r="H46"/>
      <c r="I46"/>
      <c r="J46"/>
      <c r="K46"/>
    </row>
    <row r="47" spans="1:11">
      <c r="A47"/>
      <c r="B47"/>
      <c r="C47"/>
      <c r="D47"/>
      <c r="E47"/>
      <c r="F47"/>
      <c r="G47"/>
      <c r="H47"/>
      <c r="I47"/>
      <c r="J47"/>
      <c r="K47"/>
    </row>
    <row r="48" spans="1:11">
      <c r="A48"/>
      <c r="B48"/>
      <c r="C48"/>
      <c r="D48"/>
      <c r="E48"/>
      <c r="F48"/>
      <c r="G48"/>
      <c r="H48"/>
      <c r="I48"/>
      <c r="J48"/>
      <c r="K48"/>
    </row>
    <row r="49" spans="1:12">
      <c r="A49"/>
      <c r="B49"/>
      <c r="C49"/>
      <c r="D49"/>
      <c r="E49"/>
      <c r="F49"/>
      <c r="G49"/>
      <c r="H49"/>
      <c r="I49"/>
      <c r="J49"/>
      <c r="K49"/>
    </row>
    <row r="50" spans="1:12" ht="15.5">
      <c r="A50" s="237" t="s">
        <v>86</v>
      </c>
      <c r="B50" s="239"/>
      <c r="C50" s="239"/>
      <c r="D50" s="239"/>
      <c r="E50" s="239"/>
      <c r="F50" s="239"/>
      <c r="G50" s="238"/>
      <c r="H50" s="239"/>
      <c r="I50" s="239"/>
      <c r="J50" s="239"/>
      <c r="K50" s="239"/>
    </row>
    <row r="51" spans="1:12">
      <c r="A51"/>
      <c r="B51"/>
      <c r="C51"/>
      <c r="D51"/>
      <c r="E51"/>
      <c r="F51"/>
      <c r="G51"/>
      <c r="H51"/>
      <c r="I51"/>
      <c r="J51"/>
      <c r="K51"/>
    </row>
    <row r="52" spans="1:12">
      <c r="A52"/>
      <c r="B52"/>
      <c r="C52"/>
      <c r="D52"/>
      <c r="E52"/>
      <c r="F52"/>
      <c r="G52"/>
      <c r="H52"/>
      <c r="I52"/>
      <c r="J52"/>
      <c r="K52"/>
    </row>
    <row r="53" spans="1:12" ht="58">
      <c r="A53" s="352"/>
      <c r="B53" s="353" t="s">
        <v>42</v>
      </c>
      <c r="C53" s="353" t="s">
        <v>52</v>
      </c>
      <c r="D53" s="353" t="s">
        <v>53</v>
      </c>
      <c r="E53" s="353" t="s">
        <v>32</v>
      </c>
      <c r="F53" s="353" t="s">
        <v>20</v>
      </c>
      <c r="G53" s="353" t="s">
        <v>55</v>
      </c>
      <c r="H53" s="353" t="s">
        <v>56</v>
      </c>
      <c r="I53" s="353" t="s">
        <v>57</v>
      </c>
      <c r="J53" s="353" t="s">
        <v>58</v>
      </c>
      <c r="K53" s="353" t="s">
        <v>10</v>
      </c>
    </row>
    <row r="54" spans="1:12" ht="15.5">
      <c r="A54" s="354"/>
      <c r="B54" s="355"/>
      <c r="C54" s="355"/>
      <c r="D54" s="355"/>
      <c r="E54" s="355"/>
      <c r="F54" s="355"/>
      <c r="G54" s="355"/>
      <c r="H54" s="355"/>
      <c r="I54" s="355"/>
      <c r="J54" s="355"/>
      <c r="K54" s="355"/>
    </row>
    <row r="55" spans="1:12">
      <c r="A55" s="175" t="s">
        <v>59</v>
      </c>
      <c r="B55" s="356">
        <v>0</v>
      </c>
      <c r="C55" s="356">
        <v>0.99</v>
      </c>
      <c r="D55" s="356">
        <v>0</v>
      </c>
      <c r="E55" s="356">
        <v>1.9114359415305201E-2</v>
      </c>
      <c r="F55" s="357" t="e">
        <f>(#REF!*#REF!/11.63)/0.32</f>
        <v>#REF!</v>
      </c>
      <c r="G55" s="357" t="e">
        <f>#REF!+#REF!+#REF!+#REF!+#REF!+#REF!+#REF!+#REF!+#REF!+#REF!</f>
        <v>#REF!</v>
      </c>
      <c r="H55" s="356">
        <v>19.5</v>
      </c>
      <c r="I55" s="63"/>
      <c r="J55" s="63"/>
      <c r="K55" s="63" t="e">
        <f>SUM(B55:J55)</f>
        <v>#REF!</v>
      </c>
    </row>
    <row r="56" spans="1:12">
      <c r="A56" s="175" t="s">
        <v>60</v>
      </c>
      <c r="B56" s="356">
        <v>6.4924118618689102</v>
      </c>
      <c r="C56" s="356">
        <v>47.61</v>
      </c>
      <c r="D56" s="356">
        <v>27.384867924416699</v>
      </c>
      <c r="E56" s="356">
        <v>37.355717818532703</v>
      </c>
      <c r="F56" s="63"/>
      <c r="G56" s="63"/>
      <c r="H56" s="63">
        <v>0</v>
      </c>
      <c r="I56" s="63">
        <v>0</v>
      </c>
      <c r="J56" s="63"/>
      <c r="K56" s="63">
        <v>118.842997604818</v>
      </c>
    </row>
    <row r="57" spans="1:12">
      <c r="A57" s="175" t="s">
        <v>61</v>
      </c>
      <c r="B57" s="356">
        <v>0</v>
      </c>
      <c r="C57" s="356">
        <v>0</v>
      </c>
      <c r="D57" s="356">
        <v>0</v>
      </c>
      <c r="E57" s="356">
        <v>0</v>
      </c>
      <c r="F57" s="63"/>
      <c r="G57" s="63"/>
      <c r="H57" s="356">
        <v>-1.5623381645663099</v>
      </c>
      <c r="I57" s="406">
        <f>I73+I82</f>
        <v>-3.3884524479433509</v>
      </c>
      <c r="J57" s="63"/>
      <c r="K57" s="63">
        <v>-6.2580284456997202</v>
      </c>
    </row>
    <row r="58" spans="1:12">
      <c r="A58" s="175" t="s">
        <v>62</v>
      </c>
      <c r="B58" s="356"/>
      <c r="C58" s="356"/>
      <c r="D58" s="356">
        <v>-1.4</v>
      </c>
      <c r="E58" s="356"/>
      <c r="F58" s="63"/>
      <c r="G58" s="63"/>
      <c r="H58" s="63"/>
      <c r="I58" s="63"/>
      <c r="J58" s="63"/>
      <c r="K58" s="63">
        <v>-1.4</v>
      </c>
    </row>
    <row r="59" spans="1:12">
      <c r="A59" s="175" t="s">
        <v>63</v>
      </c>
      <c r="B59" s="356"/>
      <c r="C59" s="356"/>
      <c r="D59" s="356">
        <v>-6.3128842627624397</v>
      </c>
      <c r="E59" s="356"/>
      <c r="F59" s="63"/>
      <c r="G59" s="63"/>
      <c r="H59" s="63"/>
      <c r="I59" s="63"/>
      <c r="J59" s="63"/>
      <c r="K59" s="63">
        <v>-6.3128842627624397</v>
      </c>
    </row>
    <row r="60" spans="1:12">
      <c r="A60" s="175" t="s">
        <v>64</v>
      </c>
      <c r="B60" s="356"/>
      <c r="C60" s="356"/>
      <c r="D60" s="356"/>
      <c r="E60" s="356"/>
      <c r="F60" s="63"/>
      <c r="G60" s="63"/>
      <c r="H60" s="63"/>
      <c r="I60" s="63"/>
      <c r="J60" s="63"/>
      <c r="K60" s="63">
        <v>0</v>
      </c>
    </row>
    <row r="61" spans="1:12" ht="15.5">
      <c r="A61" s="358" t="s">
        <v>65</v>
      </c>
      <c r="B61" s="359">
        <v>6.4924118618689102</v>
      </c>
      <c r="C61" s="359">
        <v>48.6</v>
      </c>
      <c r="D61" s="359">
        <v>19.671983661654199</v>
      </c>
      <c r="E61" s="359">
        <v>37.374832177948001</v>
      </c>
      <c r="F61" s="359">
        <v>0</v>
      </c>
      <c r="G61" s="359">
        <v>0</v>
      </c>
      <c r="H61" s="359">
        <v>17.937661835433701</v>
      </c>
      <c r="I61" s="359">
        <f>SUM(I55:I60)</f>
        <v>-3.3884524479433509</v>
      </c>
      <c r="J61" s="359">
        <v>0</v>
      </c>
      <c r="K61" s="359">
        <v>125.38119925577099</v>
      </c>
      <c r="L61" s="405">
        <f>K61-K57</f>
        <v>131.6392277014707</v>
      </c>
    </row>
    <row r="62" spans="1:12" ht="15.5">
      <c r="A62" s="360"/>
      <c r="B62" s="361"/>
      <c r="C62" s="361"/>
      <c r="D62" s="361"/>
      <c r="E62" s="361"/>
      <c r="F62" s="361"/>
      <c r="G62" s="361"/>
      <c r="H62" s="361"/>
      <c r="I62" s="361"/>
      <c r="J62" s="361"/>
      <c r="K62" s="361"/>
    </row>
    <row r="63" spans="1:12">
      <c r="A63" s="175" t="s">
        <v>66</v>
      </c>
      <c r="B63" s="356"/>
      <c r="C63" s="356"/>
      <c r="D63" s="356"/>
      <c r="E63" s="356"/>
      <c r="F63" s="63"/>
      <c r="G63" s="63"/>
      <c r="H63" s="63"/>
      <c r="I63" s="63"/>
      <c r="J63" s="63"/>
      <c r="K63" s="63">
        <v>0</v>
      </c>
    </row>
    <row r="64" spans="1:12">
      <c r="A64" s="175" t="s">
        <v>67</v>
      </c>
      <c r="B64" s="356"/>
      <c r="C64" s="356"/>
      <c r="D64" s="356"/>
      <c r="E64" s="356"/>
      <c r="F64" s="63"/>
      <c r="G64" s="63"/>
      <c r="H64" s="356"/>
      <c r="I64" s="356"/>
      <c r="J64" s="63"/>
      <c r="K64" s="63">
        <v>0</v>
      </c>
    </row>
    <row r="65" spans="1:11">
      <c r="A65" s="175" t="s">
        <v>68</v>
      </c>
      <c r="B65" s="407">
        <f>'Mix énergie_2015'!D15*'Mix énergie_2015'!L15/11.63/0.25</f>
        <v>2.5795356835769558</v>
      </c>
      <c r="C65" s="407">
        <f>'Mix énergie_2015'!E15*'Mix énergie_2015'!L15/11.63/0.25</f>
        <v>0</v>
      </c>
      <c r="D65" s="407"/>
      <c r="E65" s="407">
        <f>'Mix énergie_2015'!G15*'Mix énergie_2015'!L15/11.63/0.51</f>
        <v>4.1474887461433418</v>
      </c>
      <c r="F65" s="362" t="e">
        <f>F55</f>
        <v>#REF!</v>
      </c>
      <c r="G65" s="362" t="e">
        <f>G55</f>
        <v>#REF!</v>
      </c>
      <c r="H65" s="407">
        <f>'Mix énergie_2015'!K15*'Mix énergie_2015'!L15/11.63/0.31</f>
        <v>2.7736942834160816</v>
      </c>
      <c r="I65" s="407">
        <f>-'Mix énergie_2015'!L15/11.63</f>
        <v>-47.987962166809972</v>
      </c>
      <c r="J65" s="63"/>
      <c r="K65" s="63" t="e">
        <f>SUM(B65:J65)</f>
        <v>#REF!</v>
      </c>
    </row>
    <row r="66" spans="1:11">
      <c r="A66" s="175" t="s">
        <v>69</v>
      </c>
      <c r="B66" s="356"/>
      <c r="C66" s="356"/>
      <c r="D66" s="356"/>
      <c r="E66" s="356"/>
      <c r="F66" s="63"/>
      <c r="G66" s="63"/>
      <c r="H66" s="356"/>
      <c r="I66" s="356"/>
      <c r="J66" s="63"/>
      <c r="K66" s="63">
        <v>0</v>
      </c>
    </row>
    <row r="67" spans="1:11">
      <c r="A67" s="175" t="s">
        <v>70</v>
      </c>
      <c r="B67" s="356">
        <v>0.21713387712283699</v>
      </c>
      <c r="C67" s="356"/>
      <c r="D67" s="356">
        <v>5.48846849383424E-2</v>
      </c>
      <c r="E67" s="356">
        <v>1.4546665535205101</v>
      </c>
      <c r="F67" s="63"/>
      <c r="G67" s="63"/>
      <c r="H67" s="356">
        <v>1.2389026049198599</v>
      </c>
      <c r="I67" s="356"/>
      <c r="J67" s="63">
        <v>2.69093256169241</v>
      </c>
      <c r="K67" s="63">
        <v>5.6565202821939504</v>
      </c>
    </row>
    <row r="68" spans="1:11">
      <c r="A68" s="175" t="s">
        <v>71</v>
      </c>
      <c r="B68" s="356"/>
      <c r="C68" s="356"/>
      <c r="D68" s="356"/>
      <c r="E68" s="356"/>
      <c r="F68" s="63"/>
      <c r="G68" s="63"/>
      <c r="H68" s="356"/>
      <c r="I68" s="356"/>
      <c r="J68" s="63"/>
      <c r="K68" s="63">
        <v>0</v>
      </c>
    </row>
    <row r="69" spans="1:11">
      <c r="A69" s="175" t="s">
        <v>72</v>
      </c>
      <c r="B69" s="356"/>
      <c r="C69" s="356">
        <v>48.6</v>
      </c>
      <c r="D69" s="356">
        <v>-46.5</v>
      </c>
      <c r="E69" s="356">
        <v>0.7</v>
      </c>
      <c r="F69" s="63"/>
      <c r="G69" s="63"/>
      <c r="H69" s="356"/>
      <c r="I69" s="356"/>
      <c r="J69" s="63"/>
      <c r="K69" s="63">
        <v>2.8</v>
      </c>
    </row>
    <row r="70" spans="1:11">
      <c r="A70" s="175" t="s">
        <v>74</v>
      </c>
      <c r="B70" s="356">
        <v>2.8917000000000002</v>
      </c>
      <c r="C70" s="356"/>
      <c r="D70" s="356"/>
      <c r="E70" s="356"/>
      <c r="F70" s="63"/>
      <c r="G70" s="63"/>
      <c r="H70" s="356"/>
      <c r="I70" s="356"/>
      <c r="J70" s="63"/>
      <c r="K70" s="63">
        <v>2.8917000000000002</v>
      </c>
    </row>
    <row r="71" spans="1:11">
      <c r="A71" s="175" t="s">
        <v>75</v>
      </c>
      <c r="B71" s="356">
        <v>1.0374988057705199</v>
      </c>
      <c r="C71" s="356"/>
      <c r="D71" s="356">
        <v>1.7969999999999999</v>
      </c>
      <c r="E71" s="356">
        <v>1.2420767288043999</v>
      </c>
      <c r="F71" s="63" t="e">
        <f>F55*(1-0.32)</f>
        <v>#REF!</v>
      </c>
      <c r="G71" s="63"/>
      <c r="H71" s="356">
        <v>5.1017483519633103E-2</v>
      </c>
      <c r="I71" s="356">
        <v>2.7822871883060998</v>
      </c>
      <c r="J71" s="63"/>
      <c r="K71" s="63">
        <v>6.9098802064006604</v>
      </c>
    </row>
    <row r="72" spans="1:11">
      <c r="A72" s="175" t="s">
        <v>76</v>
      </c>
      <c r="B72" s="356"/>
      <c r="C72" s="356"/>
      <c r="D72" s="356"/>
      <c r="E72" s="356">
        <v>0.47010684579952999</v>
      </c>
      <c r="F72" s="63"/>
      <c r="G72" s="63"/>
      <c r="H72" s="356"/>
      <c r="I72" s="356">
        <v>3.07048500216422</v>
      </c>
      <c r="J72" s="63"/>
      <c r="K72" s="63">
        <v>3.5405918479637499</v>
      </c>
    </row>
    <row r="73" spans="1:11" ht="15.5">
      <c r="A73" s="358" t="s">
        <v>77</v>
      </c>
      <c r="B73" s="359">
        <f t="shared" ref="B73:H73" si="0">SUM(B63:B72)</f>
        <v>6.7258683664703129</v>
      </c>
      <c r="C73" s="359">
        <f t="shared" si="0"/>
        <v>48.6</v>
      </c>
      <c r="D73" s="359">
        <f t="shared" si="0"/>
        <v>-44.648115315061659</v>
      </c>
      <c r="E73" s="359">
        <f t="shared" si="0"/>
        <v>8.0143388742677821</v>
      </c>
      <c r="F73" s="359" t="e">
        <f t="shared" si="0"/>
        <v>#REF!</v>
      </c>
      <c r="G73" s="359" t="e">
        <f t="shared" si="0"/>
        <v>#REF!</v>
      </c>
      <c r="H73" s="359">
        <f t="shared" si="0"/>
        <v>4.0636143718555751</v>
      </c>
      <c r="I73" s="359">
        <f>SUM(I63:I72)</f>
        <v>-42.135189976339653</v>
      </c>
      <c r="J73" s="359">
        <f t="shared" ref="J73:K73" si="1">SUM(J63:J72)</f>
        <v>2.69093256169241</v>
      </c>
      <c r="K73" s="359" t="e">
        <f t="shared" si="1"/>
        <v>#REF!</v>
      </c>
    </row>
    <row r="74" spans="1:11" ht="15.5">
      <c r="A74" s="360"/>
      <c r="B74" s="361"/>
      <c r="C74" s="361"/>
      <c r="D74" s="361"/>
      <c r="E74" s="361"/>
      <c r="F74" s="361"/>
      <c r="G74" s="361"/>
      <c r="H74" s="361"/>
      <c r="I74" s="361"/>
      <c r="J74" s="361"/>
      <c r="K74" s="361"/>
    </row>
    <row r="75" spans="1:11" ht="15.5">
      <c r="A75" s="363" t="s">
        <v>78</v>
      </c>
      <c r="B75" s="356">
        <v>0.34460926494283001</v>
      </c>
      <c r="C75" s="63"/>
      <c r="D75" s="356">
        <v>1.6824094604778199</v>
      </c>
      <c r="E75" s="356">
        <v>11.162255863946999</v>
      </c>
      <c r="F75" s="63"/>
      <c r="G75" s="63"/>
      <c r="H75" s="356">
        <v>2.21443427408621</v>
      </c>
      <c r="I75" s="356">
        <v>10.361652160227999</v>
      </c>
      <c r="J75" s="356">
        <v>0.73743472365086704</v>
      </c>
      <c r="K75" s="63">
        <v>26.502795747332701</v>
      </c>
    </row>
    <row r="76" spans="1:11" ht="15.5">
      <c r="A76" s="363" t="s">
        <v>79</v>
      </c>
      <c r="B76" s="63"/>
      <c r="C76" s="63"/>
      <c r="D76" s="356">
        <v>38.466254560000003</v>
      </c>
      <c r="E76" s="356">
        <v>7.6411998210945506E-2</v>
      </c>
      <c r="F76" s="63"/>
      <c r="G76" s="63"/>
      <c r="H76" s="356">
        <v>3.6461042896859799</v>
      </c>
      <c r="I76" s="356">
        <v>1.1990119518486699</v>
      </c>
      <c r="J76" s="356">
        <v>0</v>
      </c>
      <c r="K76" s="63">
        <v>43.387782799745601</v>
      </c>
    </row>
    <row r="77" spans="1:11">
      <c r="A77" s="175" t="s">
        <v>80</v>
      </c>
      <c r="B77" s="356">
        <v>0</v>
      </c>
      <c r="C77" s="63"/>
      <c r="D77" s="356">
        <v>5.3179954110546097</v>
      </c>
      <c r="E77" s="356">
        <v>9.4612008749007703</v>
      </c>
      <c r="F77" s="63"/>
      <c r="G77" s="63"/>
      <c r="H77" s="356">
        <v>9.6645163701542103</v>
      </c>
      <c r="I77" s="356">
        <v>13.284467058142599</v>
      </c>
      <c r="J77" s="356">
        <v>1.3282443630018601</v>
      </c>
      <c r="K77" s="63">
        <v>39.0564240772541</v>
      </c>
    </row>
    <row r="78" spans="1:11">
      <c r="A78" s="175" t="s">
        <v>81</v>
      </c>
      <c r="B78" s="356">
        <v>0</v>
      </c>
      <c r="C78" s="63"/>
      <c r="D78" s="356">
        <v>2.5563656446401701</v>
      </c>
      <c r="E78" s="356">
        <v>6.7347370383486203</v>
      </c>
      <c r="F78" s="63"/>
      <c r="G78" s="63"/>
      <c r="H78" s="356">
        <v>0.96062076724509604</v>
      </c>
      <c r="I78" s="356">
        <v>13.178365476499801</v>
      </c>
      <c r="J78" s="356">
        <v>0.62525347503968098</v>
      </c>
      <c r="K78" s="63">
        <v>24.055342401773299</v>
      </c>
    </row>
    <row r="79" spans="1:11">
      <c r="A79" s="175" t="s">
        <v>82</v>
      </c>
      <c r="B79" s="356">
        <v>2.2137192704974398E-3</v>
      </c>
      <c r="C79" s="63"/>
      <c r="D79" s="356">
        <v>3.2913790892055199</v>
      </c>
      <c r="E79" s="356">
        <v>0.197127474158172</v>
      </c>
      <c r="F79" s="63"/>
      <c r="G79" s="63"/>
      <c r="H79" s="356">
        <v>0.16206604582270401</v>
      </c>
      <c r="I79" s="356">
        <v>0.723240881677221</v>
      </c>
      <c r="J79" s="356">
        <v>6.4536710533781398E-3</v>
      </c>
      <c r="K79" s="63">
        <v>4.3824808811875</v>
      </c>
    </row>
    <row r="80" spans="1:11" ht="15.5">
      <c r="A80" s="358" t="s">
        <v>83</v>
      </c>
      <c r="B80" s="359">
        <v>0.34682298421332702</v>
      </c>
      <c r="C80" s="359">
        <v>0</v>
      </c>
      <c r="D80" s="359">
        <v>51.3144041653781</v>
      </c>
      <c r="E80" s="359">
        <v>27.631733249565499</v>
      </c>
      <c r="F80" s="359">
        <v>0</v>
      </c>
      <c r="G80" s="359">
        <v>0</v>
      </c>
      <c r="H80" s="359">
        <v>16.6477417469942</v>
      </c>
      <c r="I80" s="359">
        <v>38.746737528396302</v>
      </c>
      <c r="J80" s="359">
        <v>2.69738623274579</v>
      </c>
      <c r="K80" s="359">
        <v>137.38482590729299</v>
      </c>
    </row>
    <row r="81" spans="1:11">
      <c r="A81" s="175" t="s">
        <v>84</v>
      </c>
      <c r="B81" s="63">
        <v>0.32686044561077698</v>
      </c>
      <c r="C81" s="63"/>
      <c r="D81" s="364">
        <v>13.005694811337801</v>
      </c>
      <c r="E81" s="364">
        <v>1.10724474305145</v>
      </c>
      <c r="F81" s="63"/>
      <c r="G81" s="63"/>
      <c r="H81" s="63"/>
      <c r="I81" s="63"/>
      <c r="J81" s="63"/>
      <c r="K81" s="63">
        <v>14.4398</v>
      </c>
    </row>
    <row r="82" spans="1:11" ht="15.5">
      <c r="A82" s="358" t="s">
        <v>85</v>
      </c>
      <c r="B82" s="359">
        <v>0.67368342982410501</v>
      </c>
      <c r="C82" s="359">
        <v>0</v>
      </c>
      <c r="D82" s="359">
        <v>64.320098976715897</v>
      </c>
      <c r="E82" s="359">
        <v>28.738977992616999</v>
      </c>
      <c r="F82" s="359">
        <v>0</v>
      </c>
      <c r="G82" s="359">
        <v>0</v>
      </c>
      <c r="H82" s="359">
        <v>16.6477417469942</v>
      </c>
      <c r="I82" s="359">
        <v>38.746737528396302</v>
      </c>
      <c r="J82" s="359">
        <v>2.69738623274579</v>
      </c>
      <c r="K82" s="359">
        <v>151.82462590729301</v>
      </c>
    </row>
    <row r="83" spans="1:11">
      <c r="A83"/>
      <c r="B83"/>
      <c r="C83"/>
      <c r="D83"/>
      <c r="E83"/>
      <c r="F83"/>
      <c r="G83"/>
      <c r="H83"/>
      <c r="I83"/>
      <c r="J83"/>
      <c r="K83"/>
    </row>
    <row r="84" spans="1:11">
      <c r="A84"/>
      <c r="B84"/>
      <c r="C84"/>
      <c r="D84"/>
      <c r="E84"/>
      <c r="F84"/>
      <c r="G84"/>
      <c r="H84"/>
      <c r="I84"/>
      <c r="J84"/>
      <c r="K84"/>
    </row>
    <row r="85" spans="1:11">
      <c r="A85"/>
      <c r="B85"/>
      <c r="C85"/>
      <c r="D85"/>
      <c r="E85"/>
      <c r="F85"/>
      <c r="G85"/>
      <c r="H85"/>
      <c r="I85"/>
      <c r="J85"/>
      <c r="K85"/>
    </row>
    <row r="86" spans="1:11">
      <c r="A86"/>
      <c r="B86"/>
      <c r="C86"/>
      <c r="D86"/>
      <c r="E86"/>
      <c r="F86"/>
      <c r="G86"/>
      <c r="H86"/>
      <c r="I86"/>
      <c r="J86"/>
      <c r="K86"/>
    </row>
    <row r="87" spans="1:11">
      <c r="A87"/>
      <c r="B87"/>
      <c r="C87"/>
      <c r="D87"/>
      <c r="E87"/>
      <c r="F87"/>
      <c r="G87"/>
      <c r="H87"/>
      <c r="I87"/>
      <c r="J87"/>
      <c r="K87"/>
    </row>
    <row r="88" spans="1:11">
      <c r="A88"/>
      <c r="B88"/>
      <c r="C88"/>
      <c r="D88"/>
      <c r="E88"/>
      <c r="F88"/>
      <c r="G88"/>
      <c r="H88"/>
      <c r="I88"/>
      <c r="J88"/>
      <c r="K88"/>
    </row>
    <row r="89" spans="1:11">
      <c r="A89"/>
      <c r="B89"/>
      <c r="C89"/>
      <c r="D89"/>
      <c r="E89"/>
      <c r="F89"/>
      <c r="G89"/>
      <c r="H89"/>
      <c r="I89"/>
      <c r="J89"/>
      <c r="K89"/>
    </row>
    <row r="90" spans="1:11">
      <c r="A90"/>
      <c r="B90"/>
      <c r="C90"/>
      <c r="D90"/>
      <c r="E90"/>
      <c r="F90"/>
      <c r="G90"/>
      <c r="H90"/>
      <c r="I90"/>
      <c r="J90"/>
      <c r="K90"/>
    </row>
    <row r="91" spans="1:11">
      <c r="A91"/>
      <c r="B91"/>
      <c r="C91"/>
      <c r="D91"/>
      <c r="E91"/>
      <c r="F91"/>
      <c r="G91"/>
      <c r="H91"/>
      <c r="I91"/>
      <c r="J91"/>
      <c r="K91"/>
    </row>
    <row r="92" spans="1:11">
      <c r="A92"/>
      <c r="B92"/>
      <c r="C92"/>
      <c r="D92"/>
      <c r="E92"/>
      <c r="F92"/>
      <c r="G92"/>
      <c r="H92"/>
      <c r="I92"/>
      <c r="J92"/>
      <c r="K92"/>
    </row>
    <row r="93" spans="1:11" ht="15.5">
      <c r="A93" s="237" t="s">
        <v>87</v>
      </c>
      <c r="B93" s="239"/>
      <c r="C93" s="239"/>
      <c r="D93" s="239"/>
      <c r="E93" s="239"/>
      <c r="F93" s="239"/>
      <c r="G93" s="238"/>
      <c r="H93" s="239"/>
      <c r="I93" s="239"/>
      <c r="J93" s="239"/>
      <c r="K93" s="239"/>
    </row>
    <row r="94" spans="1:11">
      <c r="A94"/>
      <c r="B94"/>
      <c r="C94"/>
      <c r="D94"/>
      <c r="E94"/>
      <c r="F94"/>
      <c r="G94"/>
      <c r="H94"/>
      <c r="I94"/>
      <c r="J94"/>
      <c r="K94"/>
    </row>
    <row r="95" spans="1:11">
      <c r="A95"/>
      <c r="B95"/>
      <c r="C95"/>
      <c r="D95"/>
      <c r="E95"/>
      <c r="F95"/>
      <c r="G95"/>
      <c r="H95"/>
      <c r="I95"/>
      <c r="J95"/>
      <c r="K95"/>
    </row>
    <row r="96" spans="1:11" ht="58">
      <c r="A96" s="352"/>
      <c r="B96" s="353" t="s">
        <v>42</v>
      </c>
      <c r="C96" s="353" t="s">
        <v>52</v>
      </c>
      <c r="D96" s="353" t="s">
        <v>53</v>
      </c>
      <c r="E96" s="353" t="s">
        <v>32</v>
      </c>
      <c r="F96" s="353" t="s">
        <v>20</v>
      </c>
      <c r="G96" s="353" t="s">
        <v>55</v>
      </c>
      <c r="H96" s="353" t="s">
        <v>56</v>
      </c>
      <c r="I96" s="353" t="s">
        <v>57</v>
      </c>
      <c r="J96" s="353" t="s">
        <v>58</v>
      </c>
      <c r="K96" s="353" t="s">
        <v>10</v>
      </c>
    </row>
    <row r="97" spans="1:11" ht="15.5">
      <c r="A97" s="354"/>
      <c r="B97" s="355"/>
      <c r="C97" s="355"/>
      <c r="D97" s="355"/>
      <c r="E97" s="355"/>
      <c r="F97" s="355"/>
      <c r="G97" s="355"/>
      <c r="H97" s="355"/>
      <c r="I97" s="355"/>
      <c r="J97" s="355"/>
      <c r="K97" s="355"/>
    </row>
    <row r="98" spans="1:11">
      <c r="A98" s="175" t="s">
        <v>59</v>
      </c>
      <c r="B98" s="356">
        <v>0</v>
      </c>
      <c r="C98" s="356">
        <v>0.99</v>
      </c>
      <c r="D98" s="356">
        <v>0</v>
      </c>
      <c r="E98" s="356">
        <v>1.9114359415305201E-2</v>
      </c>
      <c r="F98" s="362" t="e">
        <f>#REF!*#REF!*0.086/0.32</f>
        <v>#REF!</v>
      </c>
      <c r="G98" s="362" t="e">
        <f>(#REF!+#REF!+#REF!+#REF!+#REF!+#REF!)*#REF!*0.086</f>
        <v>#REF!</v>
      </c>
      <c r="H98" s="356">
        <v>21.5</v>
      </c>
      <c r="I98" s="63"/>
      <c r="J98" s="63"/>
      <c r="K98" s="63" t="e">
        <f>SUM(B98:H98)</f>
        <v>#REF!</v>
      </c>
    </row>
    <row r="99" spans="1:11">
      <c r="A99" s="175" t="s">
        <v>60</v>
      </c>
      <c r="B99" s="356">
        <v>4.3835833936696398</v>
      </c>
      <c r="C99" s="356">
        <v>45.11</v>
      </c>
      <c r="D99" s="356">
        <v>27.823369679704001</v>
      </c>
      <c r="E99" s="356">
        <v>36.059223088511303</v>
      </c>
      <c r="F99" s="63"/>
      <c r="G99" s="63"/>
      <c r="H99" s="63">
        <v>0</v>
      </c>
      <c r="I99" s="63">
        <v>0</v>
      </c>
      <c r="J99" s="63"/>
      <c r="K99" s="63">
        <v>113.376176161885</v>
      </c>
    </row>
    <row r="100" spans="1:11">
      <c r="A100" s="175" t="s">
        <v>61</v>
      </c>
      <c r="B100" s="356">
        <v>0</v>
      </c>
      <c r="C100" s="356">
        <v>0</v>
      </c>
      <c r="D100" s="356">
        <v>0</v>
      </c>
      <c r="E100" s="356">
        <v>0</v>
      </c>
      <c r="F100" s="63"/>
      <c r="G100" s="63"/>
      <c r="H100" s="356">
        <v>-2.5426065513161702</v>
      </c>
      <c r="I100" s="63">
        <f>I116+I125</f>
        <v>-5.7399940155349327</v>
      </c>
      <c r="J100" s="63"/>
      <c r="K100" s="63">
        <v>-10.037671418097901</v>
      </c>
    </row>
    <row r="101" spans="1:11">
      <c r="A101" s="175" t="s">
        <v>62</v>
      </c>
      <c r="B101" s="356"/>
      <c r="C101" s="356"/>
      <c r="D101" s="356">
        <v>-1.4</v>
      </c>
      <c r="E101" s="356"/>
      <c r="F101" s="63"/>
      <c r="G101" s="63"/>
      <c r="H101" s="356"/>
      <c r="I101" s="63"/>
      <c r="J101" s="63"/>
      <c r="K101" s="63">
        <v>20.100000000000001</v>
      </c>
    </row>
    <row r="102" spans="1:11">
      <c r="A102" s="175" t="s">
        <v>63</v>
      </c>
      <c r="B102" s="356"/>
      <c r="C102" s="356"/>
      <c r="D102" s="356">
        <v>-6.8007692346473698</v>
      </c>
      <c r="E102" s="356"/>
      <c r="F102" s="63"/>
      <c r="G102" s="63"/>
      <c r="H102" s="63"/>
      <c r="I102" s="63"/>
      <c r="J102" s="63"/>
      <c r="K102" s="63">
        <v>-6.8007692346473698</v>
      </c>
    </row>
    <row r="103" spans="1:11">
      <c r="A103" s="175" t="s">
        <v>64</v>
      </c>
      <c r="B103" s="63"/>
      <c r="C103" s="63"/>
      <c r="D103" s="63"/>
      <c r="E103" s="63"/>
      <c r="F103" s="63"/>
      <c r="G103" s="63"/>
      <c r="H103" s="63"/>
      <c r="I103" s="63"/>
      <c r="J103" s="63"/>
      <c r="K103" s="63">
        <v>0</v>
      </c>
    </row>
    <row r="104" spans="1:11" ht="15.5">
      <c r="A104" s="358" t="s">
        <v>65</v>
      </c>
      <c r="B104" s="359">
        <v>4.3835833936696398</v>
      </c>
      <c r="C104" s="359">
        <v>46.1</v>
      </c>
      <c r="D104" s="359">
        <v>19.622600445056602</v>
      </c>
      <c r="E104" s="359">
        <v>36.0783374479266</v>
      </c>
      <c r="F104" s="359">
        <v>0</v>
      </c>
      <c r="G104" s="359">
        <v>0</v>
      </c>
      <c r="H104" s="359">
        <f>SUM(H98:H100)</f>
        <v>18.957393448683831</v>
      </c>
      <c r="I104" s="359">
        <f>SUM(I98:I103)</f>
        <v>-5.7399940155349327</v>
      </c>
      <c r="J104" s="359">
        <v>0</v>
      </c>
      <c r="K104" s="359">
        <v>139.14684986855499</v>
      </c>
    </row>
    <row r="105" spans="1:11" ht="15.5">
      <c r="A105" s="360"/>
      <c r="B105" s="361"/>
      <c r="C105" s="361"/>
      <c r="D105" s="361"/>
      <c r="E105" s="361"/>
      <c r="F105" s="361"/>
      <c r="G105" s="361"/>
      <c r="H105" s="361"/>
      <c r="I105" s="361"/>
      <c r="J105" s="361"/>
      <c r="K105" s="361"/>
    </row>
    <row r="106" spans="1:11">
      <c r="A106" s="175" t="s">
        <v>66</v>
      </c>
      <c r="B106" s="356"/>
      <c r="C106" s="356"/>
      <c r="D106" s="356"/>
      <c r="E106" s="356"/>
      <c r="F106" s="63"/>
      <c r="G106" s="63"/>
      <c r="H106" s="63"/>
      <c r="I106" s="63"/>
      <c r="J106" s="63"/>
      <c r="K106" s="63">
        <v>0</v>
      </c>
    </row>
    <row r="107" spans="1:11">
      <c r="A107" s="175" t="s">
        <v>67</v>
      </c>
      <c r="B107" s="356"/>
      <c r="C107" s="356"/>
      <c r="D107" s="356"/>
      <c r="E107" s="356"/>
      <c r="F107" s="63"/>
      <c r="G107" s="63"/>
      <c r="H107" s="356"/>
      <c r="I107" s="356"/>
      <c r="J107" s="63"/>
      <c r="K107" s="63">
        <v>0</v>
      </c>
    </row>
    <row r="108" spans="1:11">
      <c r="A108" s="175" t="s">
        <v>68</v>
      </c>
      <c r="B108" s="356">
        <f>'Mix énergie_2015'!D16*'Mix énergie_2015'!L16/0.25/11.63</f>
        <v>2.5795356835769558</v>
      </c>
      <c r="C108" s="356">
        <v>0</v>
      </c>
      <c r="D108" s="356"/>
      <c r="E108" s="356">
        <f>'Mix énergie_2015'!G16*'Mix énergie_2015'!L16/11.63/0.53</f>
        <v>4.1369911906422878</v>
      </c>
      <c r="F108" s="362" t="e">
        <f>F98</f>
        <v>#REF!</v>
      </c>
      <c r="G108" s="362" t="e">
        <f>G98</f>
        <v>#REF!</v>
      </c>
      <c r="H108" s="356">
        <f>'Mix énergie_2015'!K16*'Mix énergie_2015'!L16/0.35/11.63</f>
        <v>3.4393809114359413</v>
      </c>
      <c r="I108" s="356">
        <f>-'Mix énergie_2015'!L16/11.63</f>
        <v>-51.504729148753221</v>
      </c>
      <c r="J108" s="63"/>
      <c r="K108" s="63" t="e">
        <f>SUM(B108:I108)</f>
        <v>#REF!</v>
      </c>
    </row>
    <row r="109" spans="1:11">
      <c r="A109" s="175" t="s">
        <v>69</v>
      </c>
      <c r="B109" s="356"/>
      <c r="C109" s="356"/>
      <c r="D109" s="356"/>
      <c r="E109" s="356"/>
      <c r="F109" s="63"/>
      <c r="G109" s="63"/>
      <c r="H109" s="356"/>
      <c r="I109" s="356"/>
      <c r="J109" s="63"/>
      <c r="K109" s="63">
        <v>0</v>
      </c>
    </row>
    <row r="110" spans="1:11">
      <c r="A110" s="175" t="s">
        <v>70</v>
      </c>
      <c r="B110" s="356">
        <v>0.15863413858007</v>
      </c>
      <c r="C110" s="356"/>
      <c r="D110" s="356">
        <v>3.27594604359982E-2</v>
      </c>
      <c r="E110" s="356">
        <v>1.3935858860636501</v>
      </c>
      <c r="F110" s="63"/>
      <c r="G110" s="63"/>
      <c r="H110" s="356">
        <v>1.30219575327652</v>
      </c>
      <c r="I110" s="356"/>
      <c r="J110" s="63">
        <v>2.6193325616924099</v>
      </c>
      <c r="K110" s="63">
        <v>5.5065078000486398</v>
      </c>
    </row>
    <row r="111" spans="1:11">
      <c r="A111" s="175" t="s">
        <v>71</v>
      </c>
      <c r="B111" s="356"/>
      <c r="C111" s="356"/>
      <c r="D111" s="356"/>
      <c r="E111" s="356"/>
      <c r="F111" s="63"/>
      <c r="G111" s="63"/>
      <c r="H111" s="356"/>
      <c r="I111" s="356"/>
      <c r="J111" s="63"/>
      <c r="K111" s="63">
        <v>0</v>
      </c>
    </row>
    <row r="112" spans="1:11">
      <c r="A112" s="175" t="s">
        <v>72</v>
      </c>
      <c r="B112" s="356"/>
      <c r="C112" s="356">
        <v>46.1</v>
      </c>
      <c r="D112" s="356">
        <v>-44</v>
      </c>
      <c r="E112" s="356">
        <v>0.7</v>
      </c>
      <c r="F112" s="63"/>
      <c r="G112" s="63"/>
      <c r="H112" s="356"/>
      <c r="I112" s="356"/>
      <c r="J112" s="63"/>
      <c r="K112" s="63">
        <v>2.8</v>
      </c>
    </row>
    <row r="113" spans="1:11">
      <c r="A113" s="175" t="s">
        <v>74</v>
      </c>
      <c r="B113" s="356">
        <v>2.7919999999999998</v>
      </c>
      <c r="C113" s="356"/>
      <c r="D113" s="356"/>
      <c r="E113" s="356"/>
      <c r="F113" s="63"/>
      <c r="G113" s="63"/>
      <c r="H113" s="356"/>
      <c r="I113" s="356"/>
      <c r="J113" s="63"/>
      <c r="K113" s="63">
        <v>2.7919999999999998</v>
      </c>
    </row>
    <row r="114" spans="1:11">
      <c r="A114" s="175" t="s">
        <v>75</v>
      </c>
      <c r="B114" s="356">
        <v>1.0374988057705199</v>
      </c>
      <c r="C114" s="356"/>
      <c r="D114" s="356">
        <v>1.7969999999999999</v>
      </c>
      <c r="E114" s="356">
        <v>1.2420767288043999</v>
      </c>
      <c r="F114" s="63"/>
      <c r="G114" s="63"/>
      <c r="H114" s="356">
        <v>5.1017483519633103E-2</v>
      </c>
      <c r="I114" s="356">
        <v>2.7822871883060998</v>
      </c>
      <c r="J114" s="63"/>
      <c r="K114" s="63">
        <v>6.9098802064006604</v>
      </c>
    </row>
    <row r="115" spans="1:11">
      <c r="A115" s="175" t="s">
        <v>76</v>
      </c>
      <c r="B115" s="356"/>
      <c r="C115" s="356"/>
      <c r="D115" s="356"/>
      <c r="E115" s="356">
        <v>0.45324533266530498</v>
      </c>
      <c r="F115" s="63"/>
      <c r="G115" s="63"/>
      <c r="H115" s="356"/>
      <c r="I115" s="356">
        <v>3.3174308475929899</v>
      </c>
      <c r="J115" s="63"/>
      <c r="K115" s="63">
        <v>3.77067618025829</v>
      </c>
    </row>
    <row r="116" spans="1:11" ht="15.5">
      <c r="A116" s="358" t="s">
        <v>77</v>
      </c>
      <c r="B116" s="359">
        <v>3.98813294435059</v>
      </c>
      <c r="C116" s="359">
        <v>46.1</v>
      </c>
      <c r="D116" s="359">
        <v>-42.170240539563999</v>
      </c>
      <c r="E116" s="359">
        <v>8.7323877629304505</v>
      </c>
      <c r="F116" s="359">
        <v>0</v>
      </c>
      <c r="G116" s="359">
        <v>0</v>
      </c>
      <c r="H116" s="359">
        <v>1.35321323679615</v>
      </c>
      <c r="I116" s="359">
        <f>SUM(I106:I115)</f>
        <v>-45.405011112854133</v>
      </c>
      <c r="J116" s="359">
        <v>2.6193325616924099</v>
      </c>
      <c r="K116" s="359">
        <v>-26.537255997895301</v>
      </c>
    </row>
    <row r="117" spans="1:11" ht="15.5">
      <c r="A117" s="360"/>
      <c r="B117" s="361"/>
      <c r="C117" s="361"/>
      <c r="D117" s="361"/>
      <c r="E117" s="361"/>
      <c r="F117" s="361"/>
      <c r="G117" s="361"/>
      <c r="H117" s="361"/>
      <c r="I117" s="361"/>
      <c r="J117" s="361"/>
      <c r="K117" s="361"/>
    </row>
    <row r="118" spans="1:11" ht="15.5">
      <c r="A118" s="363" t="s">
        <v>78</v>
      </c>
      <c r="B118" s="356">
        <v>4.9709264942829498E-2</v>
      </c>
      <c r="C118" s="63"/>
      <c r="D118" s="356">
        <v>1.0148094604778199</v>
      </c>
      <c r="E118" s="356">
        <v>11.4087101159338</v>
      </c>
      <c r="F118" s="63"/>
      <c r="G118" s="63"/>
      <c r="H118" s="356">
        <v>3.0015800220994202</v>
      </c>
      <c r="I118" s="356">
        <v>10.545152160228</v>
      </c>
      <c r="J118" s="356">
        <v>0.73363472365086702</v>
      </c>
      <c r="K118" s="63">
        <v>26.7535957473327</v>
      </c>
    </row>
    <row r="119" spans="1:11" ht="15.5">
      <c r="A119" s="363" t="s">
        <v>79</v>
      </c>
      <c r="B119" s="63"/>
      <c r="C119" s="63"/>
      <c r="D119" s="356">
        <v>37.500616436523501</v>
      </c>
      <c r="E119" s="356">
        <v>8.0284074027079294E-2</v>
      </c>
      <c r="F119" s="63"/>
      <c r="G119" s="63"/>
      <c r="H119" s="356">
        <v>3.3332703373463399</v>
      </c>
      <c r="I119" s="356">
        <v>1.47291195184867</v>
      </c>
      <c r="J119" s="356">
        <v>0</v>
      </c>
      <c r="K119" s="63">
        <v>42.387082799745599</v>
      </c>
    </row>
    <row r="120" spans="1:11">
      <c r="A120" s="175" t="s">
        <v>80</v>
      </c>
      <c r="B120" s="356">
        <v>0</v>
      </c>
      <c r="C120" s="63"/>
      <c r="D120" s="356">
        <v>4.5177954110546104</v>
      </c>
      <c r="E120" s="356">
        <v>8.4917229584748206</v>
      </c>
      <c r="F120" s="63"/>
      <c r="G120" s="63"/>
      <c r="H120" s="356">
        <v>10.056378037090999</v>
      </c>
      <c r="I120" s="356">
        <v>13.166367058142599</v>
      </c>
      <c r="J120" s="356">
        <v>1.3003443630018601</v>
      </c>
      <c r="K120" s="63">
        <v>37.532607827764899</v>
      </c>
    </row>
    <row r="121" spans="1:11">
      <c r="A121" s="175" t="s">
        <v>81</v>
      </c>
      <c r="B121" s="356">
        <v>0</v>
      </c>
      <c r="C121" s="63"/>
      <c r="D121" s="356">
        <v>2.1334656446401699</v>
      </c>
      <c r="E121" s="356">
        <v>6.0618945971729996</v>
      </c>
      <c r="F121" s="63"/>
      <c r="G121" s="63"/>
      <c r="H121" s="356">
        <v>1.04718925762437</v>
      </c>
      <c r="I121" s="356">
        <v>13.7787654764998</v>
      </c>
      <c r="J121" s="356">
        <v>0.58535347503968105</v>
      </c>
      <c r="K121" s="63">
        <v>23.606668450977001</v>
      </c>
    </row>
    <row r="122" spans="1:11">
      <c r="A122" s="175" t="s">
        <v>82</v>
      </c>
      <c r="B122" s="356">
        <v>2.2137192704974398E-3</v>
      </c>
      <c r="C122" s="63"/>
      <c r="D122" s="356">
        <v>3.1990557957396399</v>
      </c>
      <c r="E122" s="356">
        <v>0.191763640678039</v>
      </c>
      <c r="F122" s="63"/>
      <c r="G122" s="63"/>
      <c r="H122" s="356">
        <v>0.165762557726544</v>
      </c>
      <c r="I122" s="356">
        <v>0.70182045060013498</v>
      </c>
      <c r="J122" s="356">
        <v>6.4536710533781398E-3</v>
      </c>
      <c r="K122" s="63">
        <v>4.2670698350682397</v>
      </c>
    </row>
    <row r="123" spans="1:11" ht="15.5">
      <c r="A123" s="358" t="s">
        <v>83</v>
      </c>
      <c r="B123" s="359">
        <v>5.1922984213326903E-2</v>
      </c>
      <c r="C123" s="359">
        <v>0</v>
      </c>
      <c r="D123" s="359">
        <v>48.3657427484358</v>
      </c>
      <c r="E123" s="359">
        <v>26.2343753862867</v>
      </c>
      <c r="F123" s="359">
        <v>0</v>
      </c>
      <c r="G123" s="359">
        <v>0</v>
      </c>
      <c r="H123" s="359">
        <v>17.604180211887702</v>
      </c>
      <c r="I123" s="359">
        <v>39.6650170973192</v>
      </c>
      <c r="J123" s="359">
        <v>2.6257862327457899</v>
      </c>
      <c r="K123" s="359">
        <v>134.54702466088801</v>
      </c>
    </row>
    <row r="124" spans="1:11">
      <c r="A124" s="175" t="s">
        <v>84</v>
      </c>
      <c r="B124" s="63">
        <v>0.34352746510573001</v>
      </c>
      <c r="C124" s="63"/>
      <c r="D124" s="364">
        <v>13.4270982361849</v>
      </c>
      <c r="E124" s="364">
        <v>1.11157429870939</v>
      </c>
      <c r="F124" s="63"/>
      <c r="G124" s="63"/>
      <c r="H124" s="63"/>
      <c r="I124" s="63"/>
      <c r="J124" s="63"/>
      <c r="K124" s="63">
        <v>14.882199999999999</v>
      </c>
    </row>
    <row r="125" spans="1:11" ht="15.5">
      <c r="A125" s="358" t="s">
        <v>85</v>
      </c>
      <c r="B125" s="359">
        <v>0.39545044931905698</v>
      </c>
      <c r="C125" s="359">
        <v>0</v>
      </c>
      <c r="D125" s="359">
        <v>61.792840984620597</v>
      </c>
      <c r="E125" s="359">
        <v>27.3459496849961</v>
      </c>
      <c r="F125" s="359">
        <v>0</v>
      </c>
      <c r="G125" s="359">
        <v>0</v>
      </c>
      <c r="H125" s="359">
        <v>17.604180211887702</v>
      </c>
      <c r="I125" s="359">
        <v>39.6650170973192</v>
      </c>
      <c r="J125" s="359">
        <v>2.6257862327457899</v>
      </c>
      <c r="K125" s="359">
        <v>149.429224660888</v>
      </c>
    </row>
    <row r="126" spans="1:11">
      <c r="A126"/>
      <c r="B126"/>
      <c r="C126"/>
      <c r="D126"/>
      <c r="E126"/>
      <c r="F126"/>
      <c r="G126"/>
      <c r="H126"/>
      <c r="I126"/>
      <c r="J126"/>
      <c r="K126"/>
    </row>
    <row r="127" spans="1:11">
      <c r="A127"/>
      <c r="B127"/>
      <c r="C127"/>
      <c r="D127"/>
      <c r="E127"/>
      <c r="F127"/>
      <c r="G127"/>
      <c r="H127"/>
      <c r="I127"/>
      <c r="J127"/>
      <c r="K127"/>
    </row>
    <row r="128" spans="1:11">
      <c r="A128"/>
      <c r="B128"/>
      <c r="C128"/>
      <c r="D128"/>
      <c r="E128"/>
      <c r="F128"/>
      <c r="G128"/>
      <c r="H128"/>
      <c r="I128"/>
      <c r="J128"/>
      <c r="K128"/>
    </row>
    <row r="129" spans="1:11">
      <c r="A129"/>
      <c r="B129"/>
      <c r="C129"/>
      <c r="D129"/>
      <c r="E129"/>
      <c r="F129"/>
      <c r="G129"/>
      <c r="H129"/>
      <c r="I129"/>
      <c r="J129"/>
      <c r="K129"/>
    </row>
    <row r="130" spans="1:11">
      <c r="A130"/>
      <c r="B130"/>
      <c r="C130"/>
      <c r="D130"/>
      <c r="E130"/>
      <c r="F130"/>
      <c r="G130"/>
      <c r="H130"/>
      <c r="I130"/>
      <c r="J130"/>
      <c r="K130"/>
    </row>
    <row r="131" spans="1:11">
      <c r="A131"/>
      <c r="B131"/>
      <c r="C131"/>
      <c r="D131"/>
      <c r="E131"/>
      <c r="F131"/>
      <c r="G131"/>
      <c r="H131"/>
      <c r="I131"/>
      <c r="J131"/>
      <c r="K131"/>
    </row>
    <row r="132" spans="1:11">
      <c r="A132"/>
      <c r="B132"/>
      <c r="C132"/>
      <c r="D132"/>
      <c r="E132"/>
      <c r="F132"/>
      <c r="G132"/>
      <c r="H132"/>
      <c r="I132"/>
      <c r="J132"/>
      <c r="K132"/>
    </row>
    <row r="133" spans="1:11">
      <c r="A133"/>
      <c r="B133"/>
      <c r="C133"/>
      <c r="D133"/>
      <c r="E133"/>
      <c r="F133"/>
      <c r="G133"/>
      <c r="H133"/>
      <c r="I133"/>
      <c r="J133"/>
      <c r="K133"/>
    </row>
    <row r="134" spans="1:11">
      <c r="A134"/>
      <c r="B134"/>
      <c r="C134"/>
      <c r="D134"/>
      <c r="E134"/>
      <c r="F134"/>
      <c r="G134"/>
      <c r="H134"/>
      <c r="I134"/>
      <c r="J134"/>
      <c r="K134"/>
    </row>
    <row r="135" spans="1:11">
      <c r="A135"/>
      <c r="B135"/>
      <c r="C135"/>
      <c r="D135"/>
      <c r="E135"/>
      <c r="F135"/>
      <c r="G135"/>
      <c r="H135"/>
      <c r="I135"/>
      <c r="J135"/>
      <c r="K135"/>
    </row>
    <row r="136" spans="1:11" ht="15.5">
      <c r="A136" s="237" t="s">
        <v>88</v>
      </c>
      <c r="B136" s="239"/>
      <c r="C136" s="239"/>
      <c r="D136" s="239"/>
      <c r="E136" s="239"/>
      <c r="F136" s="239"/>
      <c r="G136" s="238"/>
      <c r="H136" s="239"/>
      <c r="I136" s="239"/>
      <c r="J136" s="239"/>
      <c r="K136" s="239"/>
    </row>
    <row r="137" spans="1:11">
      <c r="A137"/>
      <c r="B137"/>
      <c r="C137"/>
      <c r="D137"/>
      <c r="E137"/>
      <c r="F137"/>
      <c r="G137"/>
      <c r="H137"/>
      <c r="I137"/>
      <c r="J137"/>
      <c r="K137"/>
    </row>
    <row r="138" spans="1:11">
      <c r="A138"/>
      <c r="B138"/>
      <c r="C138"/>
      <c r="D138"/>
      <c r="E138"/>
      <c r="F138"/>
      <c r="G138"/>
      <c r="H138"/>
      <c r="I138"/>
      <c r="J138"/>
      <c r="K138"/>
    </row>
    <row r="139" spans="1:11" ht="58">
      <c r="A139" s="352"/>
      <c r="B139" s="353" t="s">
        <v>42</v>
      </c>
      <c r="C139" s="353" t="s">
        <v>52</v>
      </c>
      <c r="D139" s="353" t="s">
        <v>53</v>
      </c>
      <c r="E139" s="353" t="s">
        <v>32</v>
      </c>
      <c r="F139" s="353" t="s">
        <v>20</v>
      </c>
      <c r="G139" s="353" t="s">
        <v>55</v>
      </c>
      <c r="H139" s="353" t="s">
        <v>56</v>
      </c>
      <c r="I139" s="353" t="s">
        <v>57</v>
      </c>
      <c r="J139" s="353" t="s">
        <v>58</v>
      </c>
      <c r="K139" s="353" t="s">
        <v>10</v>
      </c>
    </row>
    <row r="140" spans="1:11" ht="15.5">
      <c r="A140" s="354"/>
      <c r="B140" s="355"/>
      <c r="C140" s="355"/>
      <c r="D140" s="355"/>
      <c r="E140" s="355"/>
      <c r="F140" s="355"/>
      <c r="G140" s="355"/>
      <c r="H140" s="355"/>
      <c r="I140" s="355"/>
      <c r="J140" s="355"/>
      <c r="K140" s="355"/>
    </row>
    <row r="141" spans="1:11">
      <c r="A141" s="175" t="s">
        <v>59</v>
      </c>
      <c r="B141" s="356">
        <v>0</v>
      </c>
      <c r="C141" s="356">
        <v>0.99</v>
      </c>
      <c r="D141" s="356">
        <v>0</v>
      </c>
      <c r="E141" s="356">
        <v>1.9114359415305201E-2</v>
      </c>
      <c r="F141" s="362" t="e">
        <f>#REF!*#REF!*0.086/0.32</f>
        <v>#REF!</v>
      </c>
      <c r="G141" s="362" t="e">
        <f>(#REF!+#REF!+#REF!+#REF!+#REF!+#REF!)*#REF!*0.086</f>
        <v>#REF!</v>
      </c>
      <c r="H141" s="356">
        <v>22.3</v>
      </c>
      <c r="I141" s="63"/>
      <c r="J141" s="63"/>
      <c r="K141" s="63" t="e">
        <f>SUM(B141:H141)</f>
        <v>#REF!</v>
      </c>
    </row>
    <row r="142" spans="1:11">
      <c r="A142" s="175" t="s">
        <v>60</v>
      </c>
      <c r="B142" s="356">
        <v>4.2145990929815103</v>
      </c>
      <c r="C142" s="356">
        <v>43.31</v>
      </c>
      <c r="D142" s="356">
        <v>27.7759663764108</v>
      </c>
      <c r="E142" s="356">
        <v>34.850190460047898</v>
      </c>
      <c r="F142" s="63"/>
      <c r="G142" s="63"/>
      <c r="H142" s="63">
        <v>0</v>
      </c>
      <c r="I142" s="63">
        <v>0</v>
      </c>
      <c r="J142" s="63"/>
      <c r="K142" s="63">
        <v>110.15075592944</v>
      </c>
    </row>
    <row r="143" spans="1:11">
      <c r="A143" s="175" t="s">
        <v>61</v>
      </c>
      <c r="B143" s="365">
        <v>0</v>
      </c>
      <c r="C143" s="365">
        <v>0</v>
      </c>
      <c r="D143" s="356">
        <v>0</v>
      </c>
      <c r="E143" s="365">
        <v>0</v>
      </c>
      <c r="F143" s="63"/>
      <c r="G143" s="63"/>
      <c r="H143" s="365">
        <v>-2.72104012127323</v>
      </c>
      <c r="I143" s="63">
        <f>I159+I166</f>
        <v>-6.8170956314650155</v>
      </c>
      <c r="J143" s="63"/>
      <c r="K143" s="63">
        <v>-10.124039965979801</v>
      </c>
    </row>
    <row r="144" spans="1:11">
      <c r="A144" s="175" t="s">
        <v>62</v>
      </c>
      <c r="B144" s="63"/>
      <c r="C144" s="63"/>
      <c r="D144" s="63">
        <v>-1.4</v>
      </c>
      <c r="E144" s="63"/>
      <c r="F144" s="63"/>
      <c r="G144" s="63"/>
      <c r="H144" s="63"/>
      <c r="I144" s="63"/>
      <c r="J144" s="63"/>
      <c r="K144" s="63">
        <v>-1.4</v>
      </c>
    </row>
    <row r="145" spans="1:13">
      <c r="A145" s="175" t="s">
        <v>63</v>
      </c>
      <c r="B145" s="63"/>
      <c r="C145" s="63"/>
      <c r="D145" s="63">
        <v>-7.3263599105945998</v>
      </c>
      <c r="E145" s="63"/>
      <c r="F145" s="63"/>
      <c r="G145" s="63"/>
      <c r="H145" s="63"/>
      <c r="I145" s="63"/>
      <c r="J145" s="63"/>
      <c r="K145" s="63">
        <v>-7.3263599105945998</v>
      </c>
    </row>
    <row r="146" spans="1:13">
      <c r="A146" s="175" t="s">
        <v>64</v>
      </c>
      <c r="B146" s="63"/>
      <c r="C146" s="63"/>
      <c r="D146" s="63"/>
      <c r="E146" s="63"/>
      <c r="F146" s="63"/>
      <c r="G146" s="63"/>
      <c r="H146" s="63"/>
      <c r="I146" s="63"/>
      <c r="J146" s="63"/>
      <c r="K146" s="63">
        <v>0</v>
      </c>
    </row>
    <row r="147" spans="1:13" ht="15.5">
      <c r="A147" s="358" t="s">
        <v>65</v>
      </c>
      <c r="B147" s="366">
        <v>4.2145990929815103</v>
      </c>
      <c r="C147" s="366">
        <v>44.3</v>
      </c>
      <c r="D147" s="366">
        <v>19.049606465816201</v>
      </c>
      <c r="E147" s="366">
        <v>34.869304819463203</v>
      </c>
      <c r="F147" s="366">
        <v>0</v>
      </c>
      <c r="G147" s="366">
        <v>0</v>
      </c>
      <c r="H147" s="366">
        <v>19.578959878726799</v>
      </c>
      <c r="I147" s="366">
        <f>SUM(I141:I146)</f>
        <v>-6.8170956314650155</v>
      </c>
      <c r="J147" s="366">
        <v>0</v>
      </c>
      <c r="K147" s="366">
        <v>114.609470412281</v>
      </c>
      <c r="M147" s="405"/>
    </row>
    <row r="148" spans="1:13" ht="15.5">
      <c r="A148" s="360"/>
      <c r="B148" s="73"/>
      <c r="C148" s="73"/>
      <c r="D148" s="73"/>
      <c r="E148" s="73"/>
      <c r="F148" s="73"/>
      <c r="G148" s="73"/>
      <c r="H148" s="73"/>
      <c r="I148" s="73"/>
      <c r="J148" s="73"/>
      <c r="K148" s="73"/>
    </row>
    <row r="149" spans="1:13">
      <c r="A149" s="175" t="s">
        <v>66</v>
      </c>
      <c r="B149" s="63"/>
      <c r="C149" s="63"/>
      <c r="D149" s="63"/>
      <c r="E149" s="63"/>
      <c r="F149" s="63"/>
      <c r="G149" s="63"/>
      <c r="H149" s="63"/>
      <c r="I149" s="63"/>
      <c r="J149" s="63"/>
      <c r="K149" s="63">
        <v>0</v>
      </c>
    </row>
    <row r="150" spans="1:13">
      <c r="A150" s="175" t="s">
        <v>67</v>
      </c>
      <c r="B150" s="356"/>
      <c r="C150" s="356"/>
      <c r="D150" s="356"/>
      <c r="E150" s="356"/>
      <c r="F150" s="63"/>
      <c r="G150" s="63"/>
      <c r="H150" s="63"/>
      <c r="I150" s="63"/>
      <c r="J150" s="63"/>
      <c r="K150" s="63">
        <v>0</v>
      </c>
    </row>
    <row r="151" spans="1:13">
      <c r="A151" s="175" t="s">
        <v>68</v>
      </c>
      <c r="B151" s="356">
        <f>'Mix énergie_2015'!D17*'Mix énergie_2015'!L17/0.25/11.63</f>
        <v>2.5795356835769558</v>
      </c>
      <c r="C151" s="356">
        <v>0</v>
      </c>
      <c r="D151" s="356"/>
      <c r="E151" s="356">
        <f>'Mix énergie_2015'!G17*'Mix énergie_2015'!L17/11.63/0.57</f>
        <v>3.8466760193691449</v>
      </c>
      <c r="F151" s="362" t="e">
        <f>F141</f>
        <v>#REF!</v>
      </c>
      <c r="G151" s="362" t="e">
        <f>G141</f>
        <v>#REF!</v>
      </c>
      <c r="H151" s="356">
        <f>'Mix énergie_2015'!K17*'Mix énergie_2015'!L17/11.63/0.4</f>
        <v>3.6543422184006871</v>
      </c>
      <c r="I151" s="356">
        <f>-'Mix énergie_2015'!L17/11.63</f>
        <v>-53.912295786758378</v>
      </c>
      <c r="J151" s="63"/>
      <c r="K151" s="63" t="e">
        <f>SUM(B151:I151)</f>
        <v>#REF!</v>
      </c>
    </row>
    <row r="152" spans="1:13">
      <c r="A152" s="175" t="s">
        <v>69</v>
      </c>
      <c r="B152" s="356"/>
      <c r="C152" s="356"/>
      <c r="D152" s="356"/>
      <c r="E152" s="356"/>
      <c r="F152" s="63"/>
      <c r="G152" s="63"/>
      <c r="H152" s="356"/>
      <c r="I152" s="356"/>
      <c r="J152" s="63"/>
      <c r="K152" s="63">
        <v>0</v>
      </c>
    </row>
    <row r="153" spans="1:13">
      <c r="A153" s="175" t="s">
        <v>70</v>
      </c>
      <c r="B153" s="356">
        <v>0.122830244900262</v>
      </c>
      <c r="C153" s="356"/>
      <c r="D153" s="356">
        <v>2.41383405982184E-2</v>
      </c>
      <c r="E153" s="356">
        <v>1.4063742241295001</v>
      </c>
      <c r="F153" s="63"/>
      <c r="G153" s="63"/>
      <c r="H153" s="356">
        <v>1.30147098010249</v>
      </c>
      <c r="I153" s="356"/>
      <c r="J153" s="63">
        <v>2.5916325616924101</v>
      </c>
      <c r="K153" s="63">
        <v>5.44644635142288</v>
      </c>
    </row>
    <row r="154" spans="1:13">
      <c r="A154" s="175" t="s">
        <v>71</v>
      </c>
      <c r="B154" s="356"/>
      <c r="C154" s="356"/>
      <c r="D154" s="356"/>
      <c r="E154" s="356"/>
      <c r="F154" s="63"/>
      <c r="G154" s="63"/>
      <c r="H154" s="356"/>
      <c r="I154" s="356"/>
      <c r="J154" s="63"/>
      <c r="K154" s="63">
        <v>0</v>
      </c>
    </row>
    <row r="155" spans="1:13">
      <c r="A155" s="175" t="s">
        <v>72</v>
      </c>
      <c r="B155" s="356"/>
      <c r="C155" s="356">
        <v>44.3</v>
      </c>
      <c r="D155" s="356">
        <v>-42.3</v>
      </c>
      <c r="E155" s="356">
        <v>0.7</v>
      </c>
      <c r="F155" s="63"/>
      <c r="G155" s="63"/>
      <c r="H155" s="356"/>
      <c r="I155" s="356"/>
      <c r="J155" s="63"/>
      <c r="K155" s="63">
        <v>2.7</v>
      </c>
    </row>
    <row r="156" spans="1:13">
      <c r="A156" s="175" t="s">
        <v>74</v>
      </c>
      <c r="B156" s="356">
        <v>2.6892999999999998</v>
      </c>
      <c r="C156" s="356"/>
      <c r="D156" s="356"/>
      <c r="E156" s="356"/>
      <c r="F156" s="63"/>
      <c r="G156" s="63"/>
      <c r="H156" s="356"/>
      <c r="I156" s="356"/>
      <c r="J156" s="63"/>
      <c r="K156" s="63">
        <v>2.6892999999999998</v>
      </c>
    </row>
    <row r="157" spans="1:13">
      <c r="A157" s="175" t="s">
        <v>75</v>
      </c>
      <c r="B157" s="356">
        <v>1.0374988057705199</v>
      </c>
      <c r="C157" s="356"/>
      <c r="D157" s="356">
        <v>1.7969999999999999</v>
      </c>
      <c r="E157" s="356">
        <v>1.2420767288043999</v>
      </c>
      <c r="F157" s="63"/>
      <c r="G157" s="63"/>
      <c r="H157" s="356">
        <v>5.1017483519633103E-2</v>
      </c>
      <c r="I157" s="356">
        <v>2.7822871883060998</v>
      </c>
      <c r="J157" s="63"/>
      <c r="K157" s="63">
        <v>6.9098802064006604</v>
      </c>
    </row>
    <row r="158" spans="1:13">
      <c r="A158" s="175" t="s">
        <v>76</v>
      </c>
      <c r="B158" s="356"/>
      <c r="C158" s="356"/>
      <c r="D158" s="356"/>
      <c r="E158" s="356">
        <v>0.43750889256047498</v>
      </c>
      <c r="F158" s="63"/>
      <c r="G158" s="63"/>
      <c r="H158" s="356"/>
      <c r="I158" s="356">
        <v>3.3945679446466599</v>
      </c>
      <c r="J158" s="63"/>
      <c r="K158" s="63">
        <v>3.8320768372071301</v>
      </c>
    </row>
    <row r="159" spans="1:13" ht="15.5">
      <c r="A159" s="358" t="s">
        <v>77</v>
      </c>
      <c r="B159" s="366">
        <v>3.8496290506707802</v>
      </c>
      <c r="C159" s="366">
        <v>44.3</v>
      </c>
      <c r="D159" s="366">
        <v>-40.478861659401801</v>
      </c>
      <c r="E159" s="366">
        <f>SUM(E149:E158)</f>
        <v>7.63263586486352</v>
      </c>
      <c r="F159" s="366">
        <v>0</v>
      </c>
      <c r="G159" s="366">
        <v>0</v>
      </c>
      <c r="H159" s="366">
        <v>1.3524884636221199</v>
      </c>
      <c r="I159" s="366">
        <f>SUM(I149:I158)</f>
        <v>-47.735440653805618</v>
      </c>
      <c r="J159" s="366">
        <v>2.5916325616924101</v>
      </c>
      <c r="K159" s="366">
        <v>-27.9770167895722</v>
      </c>
    </row>
    <row r="160" spans="1:13" ht="15.5">
      <c r="A160" s="360"/>
      <c r="B160" s="73"/>
      <c r="C160" s="73"/>
      <c r="D160" s="73"/>
      <c r="E160" s="73"/>
      <c r="F160" s="73"/>
      <c r="G160" s="73"/>
      <c r="H160" s="73"/>
      <c r="I160" s="73"/>
      <c r="J160" s="73"/>
      <c r="K160" s="73"/>
    </row>
    <row r="161" spans="1:11" ht="15.5">
      <c r="A161" s="363" t="s">
        <v>78</v>
      </c>
      <c r="B161" s="356">
        <v>0</v>
      </c>
      <c r="C161" s="63"/>
      <c r="D161" s="356">
        <v>0.35110946047781999</v>
      </c>
      <c r="E161" s="356">
        <v>11.7513019954675</v>
      </c>
      <c r="F161" s="63"/>
      <c r="G161" s="63"/>
      <c r="H161" s="356">
        <v>3.6844881425657099</v>
      </c>
      <c r="I161" s="356">
        <v>10.743152160228</v>
      </c>
      <c r="J161" s="356">
        <v>0.72823472365086706</v>
      </c>
      <c r="K161" s="63">
        <v>27.258286482389899</v>
      </c>
    </row>
    <row r="162" spans="1:11" ht="15.5">
      <c r="A162" s="363" t="s">
        <v>79</v>
      </c>
      <c r="B162" s="63"/>
      <c r="C162" s="63"/>
      <c r="D162" s="356">
        <v>36.552079839999998</v>
      </c>
      <c r="E162" s="356">
        <v>8.4730487545842795E-2</v>
      </c>
      <c r="F162" s="63"/>
      <c r="G162" s="63"/>
      <c r="H162" s="356">
        <v>3.0577605203510898</v>
      </c>
      <c r="I162" s="356">
        <v>1.9334119518486701</v>
      </c>
      <c r="J162" s="356">
        <v>0</v>
      </c>
      <c r="K162" s="63">
        <v>41.627982799745602</v>
      </c>
    </row>
    <row r="163" spans="1:11">
      <c r="A163" s="175" t="s">
        <v>80</v>
      </c>
      <c r="B163" s="356">
        <v>0</v>
      </c>
      <c r="C163" s="63"/>
      <c r="D163" s="356">
        <v>3.8396954110546102</v>
      </c>
      <c r="E163" s="356">
        <v>7.8264342007141599</v>
      </c>
      <c r="F163" s="63"/>
      <c r="G163" s="63"/>
      <c r="H163" s="356">
        <v>10.301443041103401</v>
      </c>
      <c r="I163" s="356">
        <v>13.146567058142599</v>
      </c>
      <c r="J163" s="356">
        <v>1.26224436300186</v>
      </c>
      <c r="K163" s="63">
        <v>36.376384074016698</v>
      </c>
    </row>
    <row r="164" spans="1:11">
      <c r="A164" s="175" t="s">
        <v>81</v>
      </c>
      <c r="B164" s="356">
        <v>0</v>
      </c>
      <c r="C164" s="63"/>
      <c r="D164" s="356">
        <v>1.7637656446401699</v>
      </c>
      <c r="E164" s="356">
        <v>5.1729011457278196</v>
      </c>
      <c r="F164" s="63"/>
      <c r="G164" s="63"/>
      <c r="H164" s="356">
        <v>1.01490750115354</v>
      </c>
      <c r="I164" s="356">
        <v>14.418365476499799</v>
      </c>
      <c r="J164" s="356">
        <v>0.60115347503968097</v>
      </c>
      <c r="K164" s="63">
        <v>22.971093243060999</v>
      </c>
    </row>
    <row r="165" spans="1:11">
      <c r="A165" s="175" t="s">
        <v>82</v>
      </c>
      <c r="B165" s="356">
        <v>2.2137192704974398E-3</v>
      </c>
      <c r="C165" s="63"/>
      <c r="D165" s="356">
        <v>3.10854342969155</v>
      </c>
      <c r="E165" s="356">
        <v>0.18792799151046999</v>
      </c>
      <c r="F165" s="63"/>
      <c r="G165" s="63"/>
      <c r="H165" s="356">
        <v>0.16787220993086899</v>
      </c>
      <c r="I165" s="356">
        <v>0.67684837562158895</v>
      </c>
      <c r="J165" s="356">
        <v>6.4536710533781398E-3</v>
      </c>
      <c r="K165" s="63">
        <v>4.1498593970783499</v>
      </c>
    </row>
    <row r="166" spans="1:11" ht="15.5">
      <c r="A166" s="358" t="s">
        <v>83</v>
      </c>
      <c r="B166" s="366">
        <v>2.2137192704974398E-3</v>
      </c>
      <c r="C166" s="366">
        <v>0</v>
      </c>
      <c r="D166" s="366">
        <v>45.6151937858642</v>
      </c>
      <c r="E166" s="366">
        <v>25.023295820965799</v>
      </c>
      <c r="F166" s="366">
        <v>0</v>
      </c>
      <c r="G166" s="366">
        <v>0</v>
      </c>
      <c r="H166" s="366">
        <v>18.226471415104601</v>
      </c>
      <c r="I166" s="366">
        <v>40.918345022340603</v>
      </c>
      <c r="J166" s="366">
        <v>2.5980862327457901</v>
      </c>
      <c r="K166" s="366">
        <v>132.383605996292</v>
      </c>
    </row>
    <row r="167" spans="1:11">
      <c r="A167" s="175" t="s">
        <v>84</v>
      </c>
      <c r="B167" s="63">
        <v>0.36275632304023198</v>
      </c>
      <c r="C167" s="63"/>
      <c r="D167" s="356">
        <v>13.913274339353899</v>
      </c>
      <c r="E167" s="356">
        <v>1.11656933760591</v>
      </c>
      <c r="F167" s="63"/>
      <c r="G167" s="63"/>
      <c r="H167" s="63"/>
      <c r="I167" s="63"/>
      <c r="J167" s="63"/>
      <c r="K167" s="63">
        <v>15.3926</v>
      </c>
    </row>
    <row r="168" spans="1:11" ht="15.5">
      <c r="A168" s="358" t="s">
        <v>85</v>
      </c>
      <c r="B168" s="366">
        <v>0.36497004231072999</v>
      </c>
      <c r="C168" s="366">
        <v>0</v>
      </c>
      <c r="D168" s="366">
        <v>59.528468125217998</v>
      </c>
      <c r="E168" s="366">
        <v>26.139865158571698</v>
      </c>
      <c r="F168" s="366">
        <v>0</v>
      </c>
      <c r="G168" s="366">
        <v>0</v>
      </c>
      <c r="H168" s="366">
        <v>18.226471415104601</v>
      </c>
      <c r="I168" s="366">
        <v>40.918345022340603</v>
      </c>
      <c r="J168" s="366">
        <v>2.5980862327457901</v>
      </c>
      <c r="K168" s="366">
        <v>147.77620599629199</v>
      </c>
    </row>
    <row r="169" spans="1:11">
      <c r="A169"/>
      <c r="B169"/>
      <c r="C169"/>
      <c r="D169"/>
      <c r="E169"/>
      <c r="F169"/>
      <c r="G169"/>
      <c r="H169"/>
      <c r="I169"/>
      <c r="J169"/>
      <c r="K169"/>
    </row>
    <row r="170" spans="1:11">
      <c r="A170"/>
      <c r="B170"/>
      <c r="C170"/>
      <c r="D170"/>
      <c r="E170"/>
      <c r="F170"/>
      <c r="G170"/>
      <c r="H170"/>
      <c r="I170"/>
      <c r="J170"/>
      <c r="K170"/>
    </row>
    <row r="171" spans="1:11">
      <c r="A171"/>
      <c r="B171"/>
      <c r="C171"/>
      <c r="D171"/>
      <c r="E171"/>
      <c r="F171"/>
      <c r="G171"/>
      <c r="H171"/>
      <c r="I171"/>
      <c r="J171"/>
      <c r="K171"/>
    </row>
    <row r="172" spans="1:11">
      <c r="A172"/>
      <c r="B172"/>
      <c r="C172"/>
      <c r="D172"/>
      <c r="E172"/>
      <c r="F172"/>
      <c r="G172"/>
      <c r="H172"/>
      <c r="I172"/>
      <c r="J172"/>
      <c r="K172"/>
    </row>
    <row r="173" spans="1:11">
      <c r="A173"/>
      <c r="B173"/>
      <c r="C173"/>
      <c r="D173"/>
      <c r="E173"/>
      <c r="F173"/>
      <c r="G173"/>
      <c r="H173"/>
      <c r="I173"/>
      <c r="J173"/>
      <c r="K173"/>
    </row>
    <row r="174" spans="1:11">
      <c r="A174"/>
      <c r="B174"/>
      <c r="C174"/>
      <c r="D174"/>
      <c r="E174"/>
      <c r="F174"/>
      <c r="G174"/>
      <c r="H174"/>
      <c r="I174"/>
      <c r="J174"/>
      <c r="K174"/>
    </row>
    <row r="175" spans="1:11">
      <c r="A175"/>
      <c r="B175"/>
      <c r="C175"/>
      <c r="D175"/>
      <c r="E175"/>
      <c r="F175"/>
      <c r="G175"/>
      <c r="H175"/>
      <c r="I175"/>
      <c r="J175"/>
      <c r="K175"/>
    </row>
    <row r="176" spans="1:11">
      <c r="A176"/>
      <c r="B176"/>
      <c r="C176"/>
      <c r="D176"/>
      <c r="E176"/>
      <c r="F176"/>
      <c r="G176"/>
      <c r="H176"/>
      <c r="I176"/>
      <c r="J176"/>
      <c r="K176"/>
    </row>
    <row r="177" spans="1:11">
      <c r="A177"/>
      <c r="B177"/>
      <c r="C177"/>
      <c r="D177"/>
      <c r="E177"/>
      <c r="F177"/>
      <c r="G177"/>
      <c r="H177"/>
      <c r="I177"/>
      <c r="J177"/>
      <c r="K177"/>
    </row>
    <row r="178" spans="1:11">
      <c r="A178"/>
      <c r="B178"/>
      <c r="C178"/>
      <c r="D178"/>
      <c r="E178"/>
      <c r="F178"/>
      <c r="G178"/>
      <c r="H178"/>
      <c r="I178"/>
      <c r="J178"/>
      <c r="K178"/>
    </row>
    <row r="179" spans="1:11" ht="15.5">
      <c r="A179" s="237" t="s">
        <v>89</v>
      </c>
      <c r="B179" s="239"/>
      <c r="C179" s="239"/>
      <c r="D179" s="239"/>
      <c r="E179" s="239"/>
      <c r="F179" s="239"/>
      <c r="G179" s="238"/>
      <c r="H179" s="239"/>
      <c r="I179" s="239"/>
      <c r="J179" s="239"/>
      <c r="K179" s="239"/>
    </row>
    <row r="180" spans="1:11">
      <c r="A180"/>
      <c r="B180"/>
      <c r="C180"/>
      <c r="D180"/>
      <c r="E180"/>
      <c r="F180"/>
      <c r="G180"/>
      <c r="H180"/>
      <c r="I180"/>
      <c r="J180"/>
      <c r="K180"/>
    </row>
    <row r="181" spans="1:11">
      <c r="A181"/>
      <c r="B181"/>
      <c r="C181"/>
      <c r="D181"/>
      <c r="E181"/>
      <c r="F181"/>
      <c r="G181"/>
      <c r="H181"/>
      <c r="I181"/>
      <c r="J181"/>
      <c r="K181"/>
    </row>
    <row r="182" spans="1:11" ht="58">
      <c r="A182" s="352"/>
      <c r="B182" s="353" t="s">
        <v>42</v>
      </c>
      <c r="C182" s="353" t="s">
        <v>52</v>
      </c>
      <c r="D182" s="353" t="s">
        <v>53</v>
      </c>
      <c r="E182" s="353" t="s">
        <v>32</v>
      </c>
      <c r="F182" s="353" t="s">
        <v>20</v>
      </c>
      <c r="G182" s="353" t="s">
        <v>55</v>
      </c>
      <c r="H182" s="353" t="s">
        <v>56</v>
      </c>
      <c r="I182" s="353" t="s">
        <v>57</v>
      </c>
      <c r="J182" s="353" t="s">
        <v>58</v>
      </c>
      <c r="K182" s="353" t="s">
        <v>10</v>
      </c>
    </row>
    <row r="183" spans="1:11" ht="15.5">
      <c r="A183" s="354"/>
      <c r="B183" s="355"/>
      <c r="C183" s="355"/>
      <c r="D183" s="355"/>
      <c r="E183" s="355"/>
      <c r="F183" s="355"/>
      <c r="G183" s="355"/>
      <c r="H183" s="355"/>
      <c r="I183" s="355"/>
      <c r="J183" s="355"/>
      <c r="K183" s="355"/>
    </row>
    <row r="184" spans="1:11">
      <c r="A184" s="175" t="s">
        <v>59</v>
      </c>
      <c r="B184" s="356">
        <v>0</v>
      </c>
      <c r="C184" s="356">
        <v>0.99</v>
      </c>
      <c r="D184" s="356">
        <v>0</v>
      </c>
      <c r="E184" s="356">
        <v>1.9114359415305201E-2</v>
      </c>
      <c r="F184" s="362" t="e">
        <f>#REF!*#REF!*0.086/0.32</f>
        <v>#REF!</v>
      </c>
      <c r="G184" s="362" t="e">
        <f>(#REF!+#REF!+#REF!+#REF!+#REF!+#REF!)*#REF!*0.086</f>
        <v>#REF!</v>
      </c>
      <c r="H184" s="356">
        <v>24.4</v>
      </c>
      <c r="I184" s="63"/>
      <c r="J184" s="63"/>
      <c r="K184" s="63" t="e">
        <f>SUM(B184:H184)</f>
        <v>#REF!</v>
      </c>
    </row>
    <row r="185" spans="1:11">
      <c r="A185" s="175" t="s">
        <v>60</v>
      </c>
      <c r="B185" s="356">
        <v>3.9420430643859001</v>
      </c>
      <c r="C185" s="356">
        <v>42.81</v>
      </c>
      <c r="D185" s="356">
        <v>30.839296393289001</v>
      </c>
      <c r="E185" s="356">
        <v>33.2504669093926</v>
      </c>
      <c r="F185" s="63"/>
      <c r="G185" s="63"/>
      <c r="H185" s="63">
        <v>0</v>
      </c>
      <c r="I185" s="75">
        <v>0</v>
      </c>
      <c r="J185" s="63"/>
      <c r="K185" s="63">
        <v>110.84180636706699</v>
      </c>
    </row>
    <row r="186" spans="1:11">
      <c r="A186" s="175" t="s">
        <v>61</v>
      </c>
      <c r="B186" s="356">
        <v>0</v>
      </c>
      <c r="C186" s="356">
        <v>0</v>
      </c>
      <c r="D186" s="356">
        <v>0</v>
      </c>
      <c r="E186" s="356">
        <v>0</v>
      </c>
      <c r="F186" s="63"/>
      <c r="G186" s="63"/>
      <c r="H186" s="356">
        <v>-3.9572315921481001</v>
      </c>
      <c r="I186" s="63">
        <f>I202+I209</f>
        <v>-0.61079363022761157</v>
      </c>
      <c r="J186" s="63"/>
      <c r="K186" s="63">
        <v>-4.6554080254711101</v>
      </c>
    </row>
    <row r="187" spans="1:11">
      <c r="A187" s="175" t="s">
        <v>62</v>
      </c>
      <c r="B187" s="356"/>
      <c r="C187" s="356"/>
      <c r="D187" s="356">
        <v>-1.4</v>
      </c>
      <c r="E187" s="356"/>
      <c r="F187" s="63"/>
      <c r="G187" s="63"/>
      <c r="H187" s="63"/>
      <c r="I187" s="63"/>
      <c r="J187" s="63"/>
      <c r="K187" s="63">
        <v>-1.4</v>
      </c>
    </row>
    <row r="188" spans="1:11">
      <c r="A188" s="175" t="s">
        <v>63</v>
      </c>
      <c r="B188" s="356"/>
      <c r="C188" s="356"/>
      <c r="D188" s="356">
        <v>-9.8675445253719403</v>
      </c>
      <c r="E188" s="356"/>
      <c r="F188" s="63"/>
      <c r="G188" s="63"/>
      <c r="H188" s="63"/>
      <c r="I188" s="63"/>
      <c r="J188" s="63"/>
      <c r="K188" s="63">
        <v>-9.8675445253719403</v>
      </c>
    </row>
    <row r="189" spans="1:11">
      <c r="A189" s="175" t="s">
        <v>64</v>
      </c>
      <c r="B189" s="63"/>
      <c r="C189" s="63"/>
      <c r="D189" s="63"/>
      <c r="E189" s="63"/>
      <c r="F189" s="63"/>
      <c r="G189" s="63"/>
      <c r="H189" s="63"/>
      <c r="I189" s="63"/>
      <c r="J189" s="63"/>
      <c r="K189" s="63">
        <v>0</v>
      </c>
    </row>
    <row r="190" spans="1:11" ht="15.5">
      <c r="A190" s="358" t="s">
        <v>65</v>
      </c>
      <c r="B190" s="359">
        <v>3.9420430643859001</v>
      </c>
      <c r="C190" s="359">
        <v>43.8</v>
      </c>
      <c r="D190" s="359">
        <v>19.571751867917001</v>
      </c>
      <c r="E190" s="359">
        <v>33.269581268807897</v>
      </c>
      <c r="F190" s="359">
        <v>0</v>
      </c>
      <c r="G190" s="359">
        <v>0</v>
      </c>
      <c r="H190" s="359">
        <v>20.442768407851901</v>
      </c>
      <c r="I190" s="359">
        <f>SUM(I184:I189)</f>
        <v>-0.61079363022761157</v>
      </c>
      <c r="J190" s="359">
        <v>0</v>
      </c>
      <c r="K190" s="359">
        <v>120.32796817564</v>
      </c>
    </row>
    <row r="191" spans="1:11" ht="15.5">
      <c r="A191" s="360"/>
      <c r="B191" s="361"/>
      <c r="C191" s="361"/>
      <c r="D191" s="361"/>
      <c r="E191" s="361"/>
      <c r="F191" s="361"/>
      <c r="G191" s="361"/>
      <c r="H191" s="361"/>
      <c r="I191" s="361"/>
      <c r="J191" s="361"/>
      <c r="K191" s="361"/>
    </row>
    <row r="192" spans="1:11">
      <c r="A192" s="175" t="s">
        <v>66</v>
      </c>
      <c r="B192" s="63"/>
      <c r="C192" s="63"/>
      <c r="D192" s="63"/>
      <c r="E192" s="63"/>
      <c r="F192" s="63"/>
      <c r="G192" s="63"/>
      <c r="H192" s="63"/>
      <c r="I192" s="63"/>
      <c r="J192" s="63"/>
      <c r="K192" s="63">
        <v>0</v>
      </c>
    </row>
    <row r="193" spans="1:11">
      <c r="A193" s="175" t="s">
        <v>67</v>
      </c>
      <c r="B193" s="356"/>
      <c r="C193" s="356"/>
      <c r="D193" s="356"/>
      <c r="E193" s="356"/>
      <c r="F193" s="63"/>
      <c r="G193" s="63"/>
      <c r="H193" s="356"/>
      <c r="I193" s="356"/>
      <c r="J193" s="63"/>
      <c r="K193" s="63">
        <v>0</v>
      </c>
    </row>
    <row r="194" spans="1:11">
      <c r="A194" s="175" t="s">
        <v>68</v>
      </c>
      <c r="B194" s="356">
        <f>'Mix énergie_2015'!D18*'Mix énergie_2015'!L18/11.63/0.25</f>
        <v>2.5795356835769589</v>
      </c>
      <c r="C194" s="356">
        <v>0</v>
      </c>
      <c r="D194" s="356"/>
      <c r="E194" s="356">
        <f>'Mix énergie_2015'!G18*'Mix énergie_2015'!L18/11.63/0.58</f>
        <v>3.7803540190351907</v>
      </c>
      <c r="F194" s="362" t="e">
        <f>F184</f>
        <v>#REF!</v>
      </c>
      <c r="G194" s="362" t="e">
        <f>G184</f>
        <v>#REF!</v>
      </c>
      <c r="H194" s="356">
        <f>'Mix énergie_2015'!K18*'Mix énergie_2015'!L18/11.63/0.4</f>
        <v>6.6638005159071412</v>
      </c>
      <c r="I194" s="356">
        <f>-'Mix énergie_2015'!L18/11.63</f>
        <v>-55.460017196904552</v>
      </c>
      <c r="J194" s="63"/>
      <c r="K194" s="63" t="e">
        <f>SUM(B194:I194)</f>
        <v>#REF!</v>
      </c>
    </row>
    <row r="195" spans="1:11">
      <c r="A195" s="175" t="s">
        <v>69</v>
      </c>
      <c r="B195" s="356"/>
      <c r="C195" s="356"/>
      <c r="D195" s="356"/>
      <c r="E195" s="356"/>
      <c r="F195" s="63"/>
      <c r="G195" s="63"/>
      <c r="H195" s="356"/>
      <c r="I195" s="356"/>
      <c r="J195" s="63"/>
      <c r="K195" s="63">
        <v>0</v>
      </c>
    </row>
    <row r="196" spans="1:11">
      <c r="A196" s="175" t="s">
        <v>70</v>
      </c>
      <c r="B196" s="356">
        <v>0.135892809642852</v>
      </c>
      <c r="C196" s="356"/>
      <c r="D196" s="356">
        <v>2.58629024146893E-2</v>
      </c>
      <c r="E196" s="356">
        <v>1.4872400262784899</v>
      </c>
      <c r="F196" s="63"/>
      <c r="G196" s="63"/>
      <c r="H196" s="356">
        <v>1.30584074728472</v>
      </c>
      <c r="I196" s="356"/>
      <c r="J196" s="63">
        <v>2.6815325616924102</v>
      </c>
      <c r="K196" s="63">
        <v>5.6363690473131696</v>
      </c>
    </row>
    <row r="197" spans="1:11">
      <c r="A197" s="175" t="s">
        <v>71</v>
      </c>
      <c r="B197" s="356"/>
      <c r="C197" s="356"/>
      <c r="D197" s="356"/>
      <c r="E197" s="356"/>
      <c r="F197" s="63"/>
      <c r="G197" s="63"/>
      <c r="H197" s="356"/>
      <c r="I197" s="356"/>
      <c r="J197" s="63"/>
      <c r="K197" s="63">
        <v>0</v>
      </c>
    </row>
    <row r="198" spans="1:11">
      <c r="A198" s="175" t="s">
        <v>72</v>
      </c>
      <c r="B198" s="356"/>
      <c r="C198" s="356">
        <v>43.8</v>
      </c>
      <c r="D198" s="356">
        <v>-41.8</v>
      </c>
      <c r="E198" s="356">
        <v>0.7</v>
      </c>
      <c r="F198" s="63"/>
      <c r="G198" s="63"/>
      <c r="H198" s="356"/>
      <c r="I198" s="356"/>
      <c r="J198" s="63"/>
      <c r="K198" s="63">
        <v>2.7</v>
      </c>
    </row>
    <row r="199" spans="1:11">
      <c r="A199" s="175" t="s">
        <v>74</v>
      </c>
      <c r="B199" s="356">
        <v>2.2968000000000002</v>
      </c>
      <c r="C199" s="356"/>
      <c r="D199" s="356"/>
      <c r="E199" s="356"/>
      <c r="F199" s="63"/>
      <c r="G199" s="63"/>
      <c r="H199" s="356"/>
      <c r="I199" s="356"/>
      <c r="J199" s="63"/>
      <c r="K199" s="63">
        <v>2.2968000000000002</v>
      </c>
    </row>
    <row r="200" spans="1:11">
      <c r="A200" s="175" t="s">
        <v>75</v>
      </c>
      <c r="B200" s="356">
        <v>1.0374988057705199</v>
      </c>
      <c r="C200" s="356"/>
      <c r="D200" s="356">
        <v>1.7969999999999999</v>
      </c>
      <c r="E200" s="356">
        <v>1.2420767288043999</v>
      </c>
      <c r="F200" s="63"/>
      <c r="G200" s="63"/>
      <c r="H200" s="356">
        <v>5.1017483519633103E-2</v>
      </c>
      <c r="I200" s="356">
        <v>2.7822871883060998</v>
      </c>
      <c r="J200" s="63"/>
      <c r="K200" s="63">
        <v>6.9098802064006604</v>
      </c>
    </row>
    <row r="201" spans="1:11">
      <c r="A201" s="175" t="s">
        <v>76</v>
      </c>
      <c r="B201" s="356"/>
      <c r="C201" s="356"/>
      <c r="D201" s="356"/>
      <c r="E201" s="356">
        <v>0.41641310817864502</v>
      </c>
      <c r="F201" s="63"/>
      <c r="G201" s="63"/>
      <c r="H201" s="356"/>
      <c r="I201" s="356">
        <v>3.4599202074282398</v>
      </c>
      <c r="J201" s="63"/>
      <c r="K201" s="63">
        <v>3.87633331560688</v>
      </c>
    </row>
    <row r="202" spans="1:11" ht="15.5">
      <c r="A202" s="358" t="s">
        <v>77</v>
      </c>
      <c r="B202" s="359">
        <v>3.4701916154133698</v>
      </c>
      <c r="C202" s="359">
        <v>43.8</v>
      </c>
      <c r="D202" s="359">
        <v>-39.977137097585299</v>
      </c>
      <c r="E202" s="359">
        <v>8.78920967865864</v>
      </c>
      <c r="F202" s="359">
        <v>0</v>
      </c>
      <c r="G202" s="359">
        <v>0</v>
      </c>
      <c r="H202" s="359">
        <v>1.35685823080435</v>
      </c>
      <c r="I202" s="359">
        <f>SUM(I192:I201)</f>
        <v>-49.217809801170212</v>
      </c>
      <c r="J202" s="359">
        <v>2.6815325616924102</v>
      </c>
      <c r="K202" s="359">
        <v>-29.184537615282199</v>
      </c>
    </row>
    <row r="203" spans="1:11" ht="15.5">
      <c r="A203" s="360"/>
      <c r="B203" s="361"/>
      <c r="C203" s="361"/>
      <c r="D203" s="361"/>
      <c r="E203" s="361"/>
      <c r="F203" s="361"/>
      <c r="G203" s="361"/>
      <c r="H203" s="361"/>
      <c r="I203" s="361"/>
      <c r="J203" s="361"/>
      <c r="K203" s="361"/>
    </row>
    <row r="204" spans="1:11" ht="15.5">
      <c r="A204" s="363" t="s">
        <v>78</v>
      </c>
      <c r="B204" s="356">
        <v>0</v>
      </c>
      <c r="C204" s="63"/>
      <c r="D204" s="356">
        <v>0.35040946047782001</v>
      </c>
      <c r="E204" s="356">
        <v>13.1122786123137</v>
      </c>
      <c r="F204" s="63"/>
      <c r="G204" s="63"/>
      <c r="H204" s="356">
        <v>4.66831152571954</v>
      </c>
      <c r="I204" s="356">
        <v>12.829852160228</v>
      </c>
      <c r="J204" s="356">
        <v>0.81083472365086695</v>
      </c>
      <c r="K204" s="63">
        <v>31.771686482389899</v>
      </c>
    </row>
    <row r="205" spans="1:11" ht="15.5">
      <c r="A205" s="363" t="s">
        <v>79</v>
      </c>
      <c r="B205" s="63"/>
      <c r="C205" s="63"/>
      <c r="D205" s="356">
        <v>35.4517442</v>
      </c>
      <c r="E205" s="356">
        <v>0.105274671461417</v>
      </c>
      <c r="F205" s="63"/>
      <c r="G205" s="63"/>
      <c r="H205" s="356">
        <v>2.51195197643551</v>
      </c>
      <c r="I205" s="356">
        <v>4.1345119518486699</v>
      </c>
      <c r="J205" s="356">
        <v>0</v>
      </c>
      <c r="K205" s="63">
        <v>42.203482799745601</v>
      </c>
    </row>
    <row r="206" spans="1:11">
      <c r="A206" s="175" t="s">
        <v>80</v>
      </c>
      <c r="B206" s="356">
        <v>0</v>
      </c>
      <c r="C206" s="63"/>
      <c r="D206" s="356">
        <v>2.9572954110546101</v>
      </c>
      <c r="E206" s="356">
        <v>6.53908745235245</v>
      </c>
      <c r="F206" s="63"/>
      <c r="G206" s="63"/>
      <c r="H206" s="356">
        <v>10.5065557971717</v>
      </c>
      <c r="I206" s="356">
        <v>13.5983670581426</v>
      </c>
      <c r="J206" s="356">
        <v>1.14544436300186</v>
      </c>
      <c r="K206" s="63">
        <v>34.746750081723299</v>
      </c>
    </row>
    <row r="207" spans="1:11">
      <c r="A207" s="175" t="s">
        <v>81</v>
      </c>
      <c r="B207" s="356">
        <v>0</v>
      </c>
      <c r="C207" s="63"/>
      <c r="D207" s="356">
        <v>1.3854656446401701</v>
      </c>
      <c r="E207" s="356">
        <v>3.4047021225751299</v>
      </c>
      <c r="F207" s="63"/>
      <c r="G207" s="63"/>
      <c r="H207" s="356">
        <v>1.2275980094224599</v>
      </c>
      <c r="I207" s="356">
        <v>17.452965476499799</v>
      </c>
      <c r="J207" s="356">
        <v>0.72525347503968096</v>
      </c>
      <c r="K207" s="63">
        <v>24.195984728177201</v>
      </c>
    </row>
    <row r="208" spans="1:11">
      <c r="A208" s="175" t="s">
        <v>82</v>
      </c>
      <c r="B208" s="356">
        <v>2.2137192704974398E-3</v>
      </c>
      <c r="C208" s="63"/>
      <c r="D208" s="356">
        <v>2.78834566881127</v>
      </c>
      <c r="E208" s="356">
        <v>0.17469504166713101</v>
      </c>
      <c r="F208" s="63"/>
      <c r="G208" s="63"/>
      <c r="H208" s="356">
        <v>0.17149286829830701</v>
      </c>
      <c r="I208" s="356">
        <v>0.59131952422357603</v>
      </c>
      <c r="J208" s="356">
        <v>6.4536710533781398E-3</v>
      </c>
      <c r="K208" s="63">
        <v>3.73452049332416</v>
      </c>
    </row>
    <row r="209" spans="1:11" ht="15.5">
      <c r="A209" s="358" t="s">
        <v>83</v>
      </c>
      <c r="B209" s="359">
        <v>2.2137192704974398E-3</v>
      </c>
      <c r="C209" s="359">
        <v>0</v>
      </c>
      <c r="D209" s="359">
        <v>42.933260384983903</v>
      </c>
      <c r="E209" s="359">
        <v>23.336037900369799</v>
      </c>
      <c r="F209" s="359">
        <v>0</v>
      </c>
      <c r="G209" s="359">
        <v>0</v>
      </c>
      <c r="H209" s="359">
        <v>19.085910177047499</v>
      </c>
      <c r="I209" s="359">
        <v>48.6070161709426</v>
      </c>
      <c r="J209" s="359">
        <v>2.6879862327457902</v>
      </c>
      <c r="K209" s="359">
        <v>136.65242458536</v>
      </c>
    </row>
    <row r="210" spans="1:11">
      <c r="A210" s="175" t="s">
        <v>84</v>
      </c>
      <c r="B210" s="63">
        <v>0.46963772970203199</v>
      </c>
      <c r="C210" s="63"/>
      <c r="D210" s="364">
        <v>16.6156285805185</v>
      </c>
      <c r="E210" s="364">
        <v>1.14433368977949</v>
      </c>
      <c r="F210" s="63"/>
      <c r="G210" s="63"/>
      <c r="H210" s="63"/>
      <c r="I210" s="63"/>
      <c r="J210" s="63"/>
      <c r="K210" s="63">
        <v>18.229600000000001</v>
      </c>
    </row>
    <row r="211" spans="1:11" ht="15.5">
      <c r="A211" s="358" t="s">
        <v>85</v>
      </c>
      <c r="B211" s="359">
        <v>0.47185144897253001</v>
      </c>
      <c r="C211" s="359">
        <v>0</v>
      </c>
      <c r="D211" s="359">
        <v>59.5488889655023</v>
      </c>
      <c r="E211" s="359">
        <v>24.4803715901493</v>
      </c>
      <c r="F211" s="359">
        <v>0</v>
      </c>
      <c r="G211" s="359">
        <v>0</v>
      </c>
      <c r="H211" s="359">
        <v>19.085910177047499</v>
      </c>
      <c r="I211" s="359">
        <v>48.6070161709426</v>
      </c>
      <c r="J211" s="359">
        <v>2.6879862327457902</v>
      </c>
      <c r="K211" s="359">
        <v>154.88202458536</v>
      </c>
    </row>
  </sheetData>
  <conditionalFormatting sqref="B38:K38 B11:K11 B54:K54 B97:K97 B140:K140 B183:K183">
    <cfRule type="cellIs" dxfId="1011" priority="1" operator="equal">
      <formula>0</formula>
    </cfRule>
  </conditionalFormatting>
  <conditionalFormatting sqref="B210:J210">
    <cfRule type="cellIs" dxfId="1010" priority="3" operator="equal">
      <formula>0</formula>
    </cfRule>
  </conditionalFormatting>
  <conditionalFormatting sqref="K210">
    <cfRule type="cellIs" dxfId="1009" priority="8" operator="equal">
      <formula>0</formula>
    </cfRule>
  </conditionalFormatting>
  <conditionalFormatting sqref="B81:J81">
    <cfRule type="cellIs" dxfId="1008" priority="9" operator="equal">
      <formula>0</formula>
    </cfRule>
  </conditionalFormatting>
  <conditionalFormatting sqref="K81">
    <cfRule type="cellIs" dxfId="1007" priority="10" operator="equal">
      <formula>0</formula>
    </cfRule>
  </conditionalFormatting>
  <conditionalFormatting sqref="B124:J124">
    <cfRule type="cellIs" dxfId="1006" priority="11" operator="equal">
      <formula>0</formula>
    </cfRule>
  </conditionalFormatting>
  <conditionalFormatting sqref="K124">
    <cfRule type="cellIs" dxfId="1005" priority="12" operator="equal">
      <formula>0</formula>
    </cfRule>
  </conditionalFormatting>
  <conditionalFormatting sqref="B167:J167">
    <cfRule type="cellIs" dxfId="1004" priority="13" operator="equal">
      <formula>0</formula>
    </cfRule>
  </conditionalFormatting>
  <conditionalFormatting sqref="K167">
    <cfRule type="cellIs" dxfId="1003" priority="14" operator="equal">
      <formula>0</formula>
    </cfRule>
  </conditionalFormatting>
  <conditionalFormatting sqref="I108">
    <cfRule type="cellIs" dxfId="1002" priority="15" operator="equal">
      <formula>0</formula>
    </cfRule>
  </conditionalFormatting>
  <conditionalFormatting sqref="I151">
    <cfRule type="cellIs" dxfId="1001" priority="16" operator="equal">
      <formula>0</formula>
    </cfRule>
  </conditionalFormatting>
  <conditionalFormatting sqref="I194">
    <cfRule type="cellIs" dxfId="1000" priority="17" operator="equal">
      <formula>0</formula>
    </cfRule>
  </conditionalFormatting>
  <conditionalFormatting sqref="I99:I100">
    <cfRule type="cellIs" dxfId="999" priority="18" operator="equal">
      <formula>0</formula>
    </cfRule>
  </conditionalFormatting>
  <conditionalFormatting sqref="I142:I143">
    <cfRule type="cellIs" dxfId="998" priority="19" operator="equal">
      <formula>0</formula>
    </cfRule>
  </conditionalFormatting>
  <conditionalFormatting sqref="I185:I186">
    <cfRule type="cellIs" dxfId="997" priority="20" operator="equal">
      <formula>0</formula>
    </cfRule>
  </conditionalFormatting>
  <conditionalFormatting sqref="D56:D57">
    <cfRule type="cellIs" dxfId="996" priority="21" operator="equal">
      <formula>0</formula>
    </cfRule>
  </conditionalFormatting>
  <conditionalFormatting sqref="D99:D100">
    <cfRule type="cellIs" dxfId="995" priority="22" operator="equal">
      <formula>0</formula>
    </cfRule>
  </conditionalFormatting>
  <conditionalFormatting sqref="D142:D143">
    <cfRule type="cellIs" dxfId="994" priority="23" operator="equal">
      <formula>0</formula>
    </cfRule>
  </conditionalFormatting>
  <conditionalFormatting sqref="D185:D186">
    <cfRule type="cellIs" dxfId="993" priority="24" operator="equal">
      <formula>0</formula>
    </cfRule>
  </conditionalFormatting>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Z412"/>
  <sheetViews>
    <sheetView workbookViewId="0"/>
  </sheetViews>
  <sheetFormatPr baseColWidth="10" defaultColWidth="9.1796875" defaultRowHeight="14.5"/>
  <cols>
    <col min="1" max="1" width="20.7265625" style="351" customWidth="1"/>
    <col min="2" max="11" width="9.1796875" style="351"/>
    <col min="12" max="12" width="15" style="351" customWidth="1"/>
    <col min="13" max="78" width="9.1796875" style="351"/>
  </cols>
  <sheetData>
    <row r="1" spans="1:78" ht="28.5">
      <c r="A1" s="223" t="s">
        <v>320</v>
      </c>
      <c r="B1" s="224"/>
      <c r="C1" s="224"/>
      <c r="D1" s="224"/>
      <c r="E1" s="224"/>
      <c r="F1" s="225" t="s">
        <v>321</v>
      </c>
      <c r="G1" s="226" t="s">
        <v>322</v>
      </c>
      <c r="H1" s="226"/>
      <c r="I1" s="225" t="s">
        <v>48</v>
      </c>
      <c r="J1" s="226">
        <v>2.1</v>
      </c>
      <c r="K1" s="225" t="s">
        <v>49</v>
      </c>
      <c r="L1" s="227">
        <v>43144</v>
      </c>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row>
    <row r="2" spans="1:78" ht="26">
      <c r="A2"/>
      <c r="B2" s="228"/>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row>
    <row r="3" spans="1:78" ht="21">
      <c r="A3" s="229"/>
      <c r="B3" s="230"/>
      <c r="C3" s="231"/>
      <c r="D3" s="232"/>
      <c r="E3" s="230"/>
      <c r="F3" s="23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row>
    <row r="4" spans="1:78">
      <c r="A4"/>
      <c r="B4" s="231"/>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row>
    <row r="5" spans="1:78" ht="21">
      <c r="A5" s="234" t="s">
        <v>96</v>
      </c>
      <c r="B5" s="235"/>
      <c r="C5" s="235"/>
      <c r="D5" s="235"/>
      <c r="E5" s="235"/>
      <c r="F5" s="235"/>
      <c r="G5" s="235"/>
      <c r="H5" s="235"/>
      <c r="I5" s="235"/>
      <c r="J5" s="235"/>
      <c r="K5" s="235"/>
      <c r="L5" s="23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row>
    <row r="6" spans="1:78">
      <c r="A6"/>
      <c r="B6" s="236"/>
      <c r="C6" s="236"/>
      <c r="D6" s="236"/>
      <c r="E6" s="23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row>
    <row r="7" spans="1:78" ht="16" thickBot="1">
      <c r="A7" s="237" t="s">
        <v>97</v>
      </c>
      <c r="B7" s="238"/>
      <c r="C7" s="238"/>
      <c r="D7" s="238"/>
      <c r="E7" s="238"/>
      <c r="F7" s="239"/>
      <c r="G7" s="239"/>
      <c r="H7" s="239"/>
      <c r="I7" s="239"/>
      <c r="J7" s="239"/>
      <c r="K7" s="239"/>
      <c r="L7" s="239"/>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row>
    <row r="8" spans="1:78" ht="15" thickBot="1">
      <c r="A8" s="240" t="s">
        <v>51</v>
      </c>
      <c r="B8" s="241">
        <v>2000</v>
      </c>
      <c r="C8" s="241">
        <v>2015</v>
      </c>
      <c r="D8" s="241">
        <v>2020</v>
      </c>
      <c r="E8" s="241">
        <v>2025</v>
      </c>
      <c r="F8" s="241">
        <v>2030</v>
      </c>
      <c r="G8" s="241">
        <v>2050</v>
      </c>
      <c r="H8" s="242" t="s">
        <v>98</v>
      </c>
      <c r="I8" s="241" t="s">
        <v>99</v>
      </c>
      <c r="J8" s="241" t="s">
        <v>100</v>
      </c>
      <c r="K8" s="241" t="s">
        <v>101</v>
      </c>
      <c r="L8" s="243" t="s">
        <v>323</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row>
    <row r="9" spans="1:78">
      <c r="A9" s="244" t="s">
        <v>103</v>
      </c>
      <c r="B9" s="245">
        <v>6.4882</v>
      </c>
      <c r="C9" s="245">
        <v>3.3111000000000002</v>
      </c>
      <c r="D9" s="245">
        <v>2.6368999999999998</v>
      </c>
      <c r="E9" s="245">
        <v>1.9693000000000001</v>
      </c>
      <c r="F9" s="245">
        <v>1.3056000000000001</v>
      </c>
      <c r="G9" s="245">
        <v>1.3048999999999999</v>
      </c>
      <c r="H9" s="246">
        <v>-4.3856219092764999E-2</v>
      </c>
      <c r="I9" s="247">
        <v>-4.4514122029814703E-2</v>
      </c>
      <c r="J9" s="247">
        <v>-5.6713445416275397E-2</v>
      </c>
      <c r="K9" s="247">
        <v>-7.8915122401445395E-2</v>
      </c>
      <c r="L9" s="248">
        <v>-2.68144275689108E-5</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row>
    <row r="10" spans="1:78">
      <c r="A10" s="244" t="s">
        <v>54</v>
      </c>
      <c r="B10" s="245">
        <v>11.950799999999999</v>
      </c>
      <c r="C10" s="245">
        <v>10.494899999999999</v>
      </c>
      <c r="D10" s="245">
        <v>11.5999</v>
      </c>
      <c r="E10" s="245">
        <v>12.073700000000001</v>
      </c>
      <c r="F10" s="245">
        <v>12.567299999999999</v>
      </c>
      <c r="G10" s="245">
        <v>14.305199999999999</v>
      </c>
      <c r="H10" s="249">
        <v>-8.6231916102810207E-3</v>
      </c>
      <c r="I10" s="250">
        <v>2.0223183282431102E-2</v>
      </c>
      <c r="J10" s="250">
        <v>8.0387498082372701E-3</v>
      </c>
      <c r="K10" s="250">
        <v>8.0459297318797897E-3</v>
      </c>
      <c r="L10" s="251">
        <v>6.4972614773459699E-3</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row>
    <row r="11" spans="1:78">
      <c r="A11" s="244" t="s">
        <v>42</v>
      </c>
      <c r="B11" s="245">
        <v>6.5015999999999998</v>
      </c>
      <c r="C11" s="245">
        <v>4.4408000000000003</v>
      </c>
      <c r="D11" s="245">
        <v>3.5754999999999999</v>
      </c>
      <c r="E11" s="245">
        <v>3.1808999999999998</v>
      </c>
      <c r="F11" s="245">
        <v>2.7844000000000002</v>
      </c>
      <c r="G11" s="245">
        <v>2.3864999999999998</v>
      </c>
      <c r="H11" s="249">
        <v>-2.5094027085230002E-2</v>
      </c>
      <c r="I11" s="250">
        <v>-4.2419896843558201E-2</v>
      </c>
      <c r="J11" s="250">
        <v>-2.3116786763208101E-2</v>
      </c>
      <c r="K11" s="250">
        <v>-2.6274997072359401E-2</v>
      </c>
      <c r="L11" s="251">
        <v>-7.68058008268968E-3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row>
    <row r="12" spans="1:78">
      <c r="A12" s="244" t="s">
        <v>104</v>
      </c>
      <c r="B12" s="245">
        <v>11.392799999999999</v>
      </c>
      <c r="C12" s="245">
        <v>9.9553999999999991</v>
      </c>
      <c r="D12" s="245">
        <v>10.2475</v>
      </c>
      <c r="E12" s="245">
        <v>10.430999999999999</v>
      </c>
      <c r="F12" s="245">
        <v>10.629</v>
      </c>
      <c r="G12" s="245">
        <v>12.7157</v>
      </c>
      <c r="H12" s="249">
        <v>-8.95079824608736E-3</v>
      </c>
      <c r="I12" s="250">
        <v>5.8004892403744597E-3</v>
      </c>
      <c r="J12" s="250">
        <v>3.5559812120831099E-3</v>
      </c>
      <c r="K12" s="250">
        <v>3.7678752329486399E-3</v>
      </c>
      <c r="L12" s="251">
        <v>9.0028508560735503E-3</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row>
    <row r="13" spans="1:78">
      <c r="A13" s="244" t="s">
        <v>105</v>
      </c>
      <c r="B13" s="245">
        <v>1.0062</v>
      </c>
      <c r="C13" s="245">
        <v>1.8103</v>
      </c>
      <c r="D13" s="245">
        <v>1.4061999999999999</v>
      </c>
      <c r="E13" s="245">
        <v>1.4024000000000001</v>
      </c>
      <c r="F13" s="245">
        <v>1.397</v>
      </c>
      <c r="G13" s="245">
        <v>1.4796</v>
      </c>
      <c r="H13" s="249">
        <v>3.99307397641082E-2</v>
      </c>
      <c r="I13" s="250">
        <v>-4.9265380300576603E-2</v>
      </c>
      <c r="J13" s="250">
        <v>-5.4104881188299402E-4</v>
      </c>
      <c r="K13" s="250">
        <v>-7.7129726723867997E-4</v>
      </c>
      <c r="L13" s="251">
        <v>2.8763638541484701E-3</v>
      </c>
      <c r="M13"/>
      <c r="N13"/>
      <c r="O13" s="252"/>
      <c r="P13" s="252"/>
      <c r="Q13" s="252"/>
      <c r="R13" s="252"/>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row>
    <row r="14" spans="1:78">
      <c r="A14" s="244" t="s">
        <v>106</v>
      </c>
      <c r="B14" s="245">
        <v>1.5759000000000001</v>
      </c>
      <c r="C14" s="245">
        <v>1.8351</v>
      </c>
      <c r="D14" s="245">
        <v>2.5373999999999999</v>
      </c>
      <c r="E14" s="245">
        <v>3.0972</v>
      </c>
      <c r="F14" s="245">
        <v>3.6291000000000002</v>
      </c>
      <c r="G14" s="245">
        <v>4.2359999999999998</v>
      </c>
      <c r="H14" s="249">
        <v>1.02031971204586E-2</v>
      </c>
      <c r="I14" s="250">
        <v>6.6954354117112702E-2</v>
      </c>
      <c r="J14" s="250">
        <v>4.0677255645489498E-2</v>
      </c>
      <c r="K14" s="250">
        <v>3.2204948886277902E-2</v>
      </c>
      <c r="L14" s="251">
        <v>7.7617042671653796E-3</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row>
    <row r="15" spans="1:78">
      <c r="A15" s="244"/>
      <c r="B15" s="245"/>
      <c r="C15" s="245"/>
      <c r="D15" s="245"/>
      <c r="E15" s="245"/>
      <c r="F15" s="245"/>
      <c r="G15" s="245"/>
      <c r="H15" s="249"/>
      <c r="I15" s="250"/>
      <c r="J15" s="250"/>
      <c r="K15" s="250"/>
      <c r="L15" s="251"/>
      <c r="M15"/>
      <c r="N15"/>
      <c r="O15" s="252"/>
      <c r="P15" s="252"/>
      <c r="Q15" s="252"/>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row>
    <row r="16" spans="1:78" ht="15" thickBot="1">
      <c r="A16" s="253" t="s">
        <v>10</v>
      </c>
      <c r="B16" s="254">
        <v>38.915500000000002</v>
      </c>
      <c r="C16" s="254">
        <v>31.8477</v>
      </c>
      <c r="D16" s="254">
        <v>32.003300000000003</v>
      </c>
      <c r="E16" s="254">
        <v>32.154499999999999</v>
      </c>
      <c r="F16" s="254">
        <v>32.312199999999997</v>
      </c>
      <c r="G16" s="254">
        <v>36.428100000000001</v>
      </c>
      <c r="H16" s="255">
        <v>-1.32729578759672E-2</v>
      </c>
      <c r="I16" s="256">
        <v>9.75246558531762E-4</v>
      </c>
      <c r="J16" s="256">
        <v>9.4312192044454502E-4</v>
      </c>
      <c r="K16" s="256">
        <v>9.789705007394729E-4</v>
      </c>
      <c r="L16" s="257">
        <v>6.0127839972017299E-3</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row>
    <row r="17" spans="1:78">
      <c r="A17" s="258"/>
      <c r="B17"/>
      <c r="C17"/>
      <c r="D17" s="259"/>
      <c r="E17" s="259"/>
      <c r="F17" s="259"/>
      <c r="G17" s="259"/>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row>
    <row r="18" spans="1:78">
      <c r="A18"/>
      <c r="B18"/>
      <c r="C18"/>
      <c r="D18"/>
      <c r="E18"/>
      <c r="F18" s="260"/>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row>
    <row r="19" spans="1:78" ht="16" thickBot="1">
      <c r="A19" s="237" t="s">
        <v>107</v>
      </c>
      <c r="B19" s="238"/>
      <c r="C19" s="238"/>
      <c r="D19" s="238"/>
      <c r="E19" s="238"/>
      <c r="F19" s="238"/>
      <c r="G19" s="239"/>
      <c r="H19" s="239"/>
      <c r="I19" s="239"/>
      <c r="J19" s="239"/>
      <c r="K19" s="239"/>
      <c r="L19" s="23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row>
    <row r="20" spans="1:78" ht="15" thickBot="1">
      <c r="A20" s="240" t="s">
        <v>51</v>
      </c>
      <c r="B20" s="241">
        <v>2000</v>
      </c>
      <c r="C20" s="241">
        <v>2015</v>
      </c>
      <c r="D20" s="241">
        <v>2020</v>
      </c>
      <c r="E20" s="241">
        <v>2025</v>
      </c>
      <c r="F20" s="241">
        <v>2030</v>
      </c>
      <c r="G20" s="241">
        <v>2050</v>
      </c>
      <c r="H20" s="261" t="s">
        <v>98</v>
      </c>
      <c r="I20" s="262" t="s">
        <v>99</v>
      </c>
      <c r="J20" s="262" t="s">
        <v>100</v>
      </c>
      <c r="K20" s="262" t="s">
        <v>101</v>
      </c>
      <c r="L20" s="263" t="s">
        <v>323</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row>
    <row r="21" spans="1:78">
      <c r="A21" s="244" t="s">
        <v>108</v>
      </c>
      <c r="B21" s="264">
        <v>12.8356442885731</v>
      </c>
      <c r="C21" s="264">
        <v>12.448173508076</v>
      </c>
      <c r="D21" s="264">
        <v>13.005694811337801</v>
      </c>
      <c r="E21" s="264">
        <v>13.4270982361849</v>
      </c>
      <c r="F21" s="264">
        <v>13.913274339353899</v>
      </c>
      <c r="G21" s="264">
        <v>16.6156285805185</v>
      </c>
      <c r="H21" s="265">
        <v>-2.0413871877454901E-3</v>
      </c>
      <c r="I21" s="266">
        <v>8.8011882941165798E-3</v>
      </c>
      <c r="J21" s="266">
        <v>6.3978991642414896E-3</v>
      </c>
      <c r="K21" s="266">
        <v>7.1390526967343203E-3</v>
      </c>
      <c r="L21" s="267">
        <v>8.9145177562362007E-3</v>
      </c>
      <c r="M21"/>
      <c r="N21"/>
      <c r="O21"/>
      <c r="P21"/>
      <c r="Q21"/>
      <c r="R21" s="268"/>
      <c r="S21" s="269"/>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row>
    <row r="22" spans="1:78">
      <c r="A22" s="244" t="s">
        <v>54</v>
      </c>
      <c r="B22" s="264">
        <v>1.62869795676853</v>
      </c>
      <c r="C22" s="264">
        <v>1.1015166939407</v>
      </c>
      <c r="D22" s="264">
        <v>1.10724474305145</v>
      </c>
      <c r="E22" s="264">
        <v>1.11157429870939</v>
      </c>
      <c r="F22" s="264">
        <v>1.11656933760591</v>
      </c>
      <c r="G22" s="264">
        <v>1.14433368977949</v>
      </c>
      <c r="H22" s="270">
        <v>-2.57358948260114E-2</v>
      </c>
      <c r="I22" s="271">
        <v>1.0378728715621001E-3</v>
      </c>
      <c r="J22" s="271">
        <v>7.8082099669196702E-4</v>
      </c>
      <c r="K22" s="271">
        <v>8.9712125008523103E-4</v>
      </c>
      <c r="L22" s="272">
        <v>1.2288366156623101E-3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row>
    <row r="23" spans="1:78">
      <c r="A23" s="244" t="s">
        <v>42</v>
      </c>
      <c r="B23" s="245">
        <v>0.15113499999999999</v>
      </c>
      <c r="C23" s="245">
        <v>0.30480979798330099</v>
      </c>
      <c r="D23" s="245">
        <v>0.32686044561077698</v>
      </c>
      <c r="E23" s="245">
        <v>0.34352746510573001</v>
      </c>
      <c r="F23" s="245">
        <v>0.36275632304023198</v>
      </c>
      <c r="G23" s="245">
        <v>0.46963772970203199</v>
      </c>
      <c r="H23" s="270"/>
      <c r="I23" s="271"/>
      <c r="J23" s="271"/>
      <c r="K23" s="271"/>
      <c r="L23" s="272"/>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row>
    <row r="24" spans="1:78" ht="15" thickBot="1">
      <c r="A24" s="253" t="s">
        <v>10</v>
      </c>
      <c r="B24" s="273">
        <v>14.6154772453416</v>
      </c>
      <c r="C24" s="273">
        <v>13.8545</v>
      </c>
      <c r="D24" s="274">
        <v>14.4398</v>
      </c>
      <c r="E24" s="273">
        <v>14.882199999999999</v>
      </c>
      <c r="F24" s="273">
        <v>15.3926</v>
      </c>
      <c r="G24" s="273">
        <v>18.229600000000001</v>
      </c>
      <c r="H24" s="275">
        <v>-3.55838475051873E-3</v>
      </c>
      <c r="I24" s="276">
        <v>8.3099764234824108E-3</v>
      </c>
      <c r="J24" s="276">
        <v>6.0537674282470401E-3</v>
      </c>
      <c r="K24" s="276">
        <v>6.7669946405326496E-3</v>
      </c>
      <c r="L24" s="277">
        <v>8.4938584503877496E-3</v>
      </c>
      <c r="M24"/>
      <c r="N24"/>
      <c r="O24"/>
      <c r="P24"/>
      <c r="Q24"/>
      <c r="R24"/>
      <c r="S24" s="269"/>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row>
    <row r="25" spans="1:78">
      <c r="A25" s="258"/>
      <c r="B25"/>
      <c r="C25"/>
      <c r="D25"/>
      <c r="E25"/>
      <c r="F25" s="260"/>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row>
    <row r="26" spans="1:78">
      <c r="A26" s="258"/>
      <c r="B26"/>
      <c r="C26"/>
      <c r="D26"/>
      <c r="E26"/>
      <c r="F26" s="260"/>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row>
    <row r="27" spans="1:78" ht="16" thickBot="1">
      <c r="A27" s="237" t="s">
        <v>110</v>
      </c>
      <c r="B27" s="238"/>
      <c r="C27" s="238"/>
      <c r="D27" s="238"/>
      <c r="E27" s="238"/>
      <c r="F27" s="238"/>
      <c r="G27" s="239"/>
      <c r="H27" s="239"/>
      <c r="I27" s="239"/>
      <c r="J27" s="239"/>
      <c r="K27" s="239"/>
      <c r="L27" s="239"/>
      <c r="M27"/>
      <c r="N27"/>
      <c r="O27"/>
      <c r="P27"/>
      <c r="Q27"/>
      <c r="R27" s="269"/>
      <c r="S27" s="269"/>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row>
    <row r="28" spans="1:78" ht="15" thickBot="1">
      <c r="A28" s="240" t="s">
        <v>51</v>
      </c>
      <c r="B28" s="241">
        <v>2000</v>
      </c>
      <c r="C28" s="241">
        <v>2015</v>
      </c>
      <c r="D28" s="241">
        <v>2020</v>
      </c>
      <c r="E28" s="241">
        <v>2025</v>
      </c>
      <c r="F28" s="241">
        <v>2030</v>
      </c>
      <c r="G28" s="241">
        <v>2050</v>
      </c>
      <c r="H28" s="261" t="s">
        <v>98</v>
      </c>
      <c r="I28" s="262" t="s">
        <v>99</v>
      </c>
      <c r="J28" s="262" t="s">
        <v>100</v>
      </c>
      <c r="K28" s="262" t="s">
        <v>101</v>
      </c>
      <c r="L28" s="263" t="s">
        <v>323</v>
      </c>
      <c r="M28"/>
      <c r="N28"/>
      <c r="O28"/>
      <c r="P28"/>
      <c r="Q28"/>
      <c r="R28" s="26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row>
    <row r="29" spans="1:78">
      <c r="A29" s="278" t="s">
        <v>111</v>
      </c>
      <c r="B29" s="279">
        <v>8.0395000000000003</v>
      </c>
      <c r="C29" s="279">
        <v>5.1847000000000003</v>
      </c>
      <c r="D29" s="279">
        <v>5.0029000000000003</v>
      </c>
      <c r="E29" s="279">
        <v>4.8792999999999997</v>
      </c>
      <c r="F29" s="279">
        <v>4.7746000000000004</v>
      </c>
      <c r="G29" s="279">
        <v>4.2873000000000001</v>
      </c>
      <c r="H29" s="265">
        <v>-2.8820202773232301E-2</v>
      </c>
      <c r="I29" s="266">
        <v>-7.1134262577403603E-3</v>
      </c>
      <c r="J29" s="266">
        <v>-4.9907003339448898E-3</v>
      </c>
      <c r="K29" s="266">
        <v>-4.3289163455219101E-3</v>
      </c>
      <c r="L29" s="267">
        <v>-5.3681913174004102E-3</v>
      </c>
      <c r="M29"/>
      <c r="N29"/>
      <c r="O29"/>
      <c r="P29"/>
      <c r="Q29"/>
      <c r="R29" s="269"/>
      <c r="S29" s="280"/>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row>
    <row r="30" spans="1:78">
      <c r="A30" s="281" t="s">
        <v>324</v>
      </c>
      <c r="B30" s="282">
        <v>6.7333081685296703</v>
      </c>
      <c r="C30" s="282">
        <v>4.3241676698194302</v>
      </c>
      <c r="D30" s="282">
        <v>4.12923766122098</v>
      </c>
      <c r="E30" s="282">
        <v>4.0052162510748097</v>
      </c>
      <c r="F30" s="282">
        <v>3.8777862424763501</v>
      </c>
      <c r="G30" s="282">
        <v>3.36553766122098</v>
      </c>
      <c r="H30" s="270">
        <v>-2.9091576675537301E-2</v>
      </c>
      <c r="I30" s="271">
        <v>-9.1829510527656807E-3</v>
      </c>
      <c r="J30" s="271">
        <v>-6.0804845612360001E-3</v>
      </c>
      <c r="K30" s="271">
        <v>-6.4457642771538204E-3</v>
      </c>
      <c r="L30" s="272">
        <v>-7.0588039779074796E-3</v>
      </c>
      <c r="M30"/>
      <c r="N30"/>
      <c r="O30"/>
      <c r="P30"/>
      <c r="Q30"/>
      <c r="R30" s="269"/>
      <c r="S30" s="28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row>
    <row r="31" spans="1:78">
      <c r="A31" s="281" t="s">
        <v>325</v>
      </c>
      <c r="B31" s="282">
        <v>0.77559888220120399</v>
      </c>
      <c r="C31" s="282">
        <v>0.54067386070507295</v>
      </c>
      <c r="D31" s="282">
        <v>0.52756122098022395</v>
      </c>
      <c r="E31" s="282">
        <v>0.50129294926913204</v>
      </c>
      <c r="F31" s="282">
        <v>0.50129294926913204</v>
      </c>
      <c r="G31" s="282">
        <v>0.41472622527945002</v>
      </c>
      <c r="H31" s="270">
        <v>-2.3767608980079E-2</v>
      </c>
      <c r="I31" s="271">
        <v>-4.8982312347996002E-3</v>
      </c>
      <c r="J31" s="271">
        <v>-1.01628572059761E-2</v>
      </c>
      <c r="K31" s="271">
        <v>0</v>
      </c>
      <c r="L31" s="272">
        <v>-9.4338223850389796E-3</v>
      </c>
      <c r="M31"/>
      <c r="N31"/>
      <c r="O31"/>
      <c r="P31"/>
      <c r="Q31"/>
      <c r="R31" s="269"/>
      <c r="S31" s="280"/>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row>
    <row r="32" spans="1:78">
      <c r="A32" s="278" t="s">
        <v>114</v>
      </c>
      <c r="B32" s="264">
        <v>10.4049</v>
      </c>
      <c r="C32" s="264">
        <v>8.6717999999999993</v>
      </c>
      <c r="D32" s="264">
        <v>8.8864999999999998</v>
      </c>
      <c r="E32" s="264">
        <v>8.9934999999999992</v>
      </c>
      <c r="F32" s="264">
        <v>9.0847999999999995</v>
      </c>
      <c r="G32" s="264">
        <v>10.4232</v>
      </c>
      <c r="H32" s="270">
        <v>-1.2073224475376201E-2</v>
      </c>
      <c r="I32" s="271">
        <v>4.9033602210513099E-3</v>
      </c>
      <c r="J32" s="271">
        <v>2.3966319355179801E-3</v>
      </c>
      <c r="K32" s="271">
        <v>2.0221604364199001E-3</v>
      </c>
      <c r="L32" s="272">
        <v>6.8952335894163497E-3</v>
      </c>
      <c r="M32"/>
      <c r="N32"/>
      <c r="O32"/>
      <c r="P32"/>
      <c r="Q32"/>
      <c r="R32" s="269"/>
      <c r="S32" s="280"/>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row>
    <row r="33" spans="1:78">
      <c r="A33" s="281" t="s">
        <v>326</v>
      </c>
      <c r="B33" s="282">
        <v>0.68307506448839195</v>
      </c>
      <c r="C33" s="282">
        <v>0.48066870163370601</v>
      </c>
      <c r="D33" s="282">
        <v>0.46725477214101502</v>
      </c>
      <c r="E33" s="282">
        <v>0.45394084264832302</v>
      </c>
      <c r="F33" s="282">
        <v>0.440618314703353</v>
      </c>
      <c r="G33" s="282">
        <v>0.42950438521066198</v>
      </c>
      <c r="H33" s="270">
        <v>-2.3156118034364199E-2</v>
      </c>
      <c r="I33" s="271">
        <v>-5.6447289637038302E-3</v>
      </c>
      <c r="J33" s="271">
        <v>-5.7648734804401896E-3</v>
      </c>
      <c r="K33" s="271">
        <v>-5.9398659999631001E-3</v>
      </c>
      <c r="L33" s="272">
        <v>-1.2765370194788299E-3</v>
      </c>
      <c r="M33"/>
      <c r="N33"/>
      <c r="O33"/>
      <c r="P33"/>
      <c r="Q33"/>
      <c r="R33" s="269"/>
      <c r="S33" s="280"/>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row>
    <row r="34" spans="1:78">
      <c r="A34" s="281" t="s">
        <v>327</v>
      </c>
      <c r="B34" s="282">
        <v>5.1073606190885599</v>
      </c>
      <c r="C34" s="282">
        <v>4.2139189165950102</v>
      </c>
      <c r="D34" s="282">
        <v>4.1711650042992297</v>
      </c>
      <c r="E34" s="282">
        <v>4.1288110920034402</v>
      </c>
      <c r="F34" s="282">
        <v>4.0862173688735997</v>
      </c>
      <c r="G34" s="282">
        <v>4.04346345657782</v>
      </c>
      <c r="H34" s="270">
        <v>-1.27374948782196E-2</v>
      </c>
      <c r="I34" s="271">
        <v>-2.0374614398909201E-3</v>
      </c>
      <c r="J34" s="271">
        <v>-2.03909421242632E-3</v>
      </c>
      <c r="K34" s="271">
        <v>-2.0718110130689702E-3</v>
      </c>
      <c r="L34" s="272">
        <v>-5.2576561135531097E-4</v>
      </c>
      <c r="M34"/>
      <c r="N34"/>
      <c r="O34"/>
      <c r="P34"/>
      <c r="Q34"/>
      <c r="R34" s="269"/>
      <c r="S34" s="280"/>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row>
    <row r="35" spans="1:78">
      <c r="A35" s="281" t="s">
        <v>328</v>
      </c>
      <c r="B35" s="282">
        <v>0.54880481513327595</v>
      </c>
      <c r="C35" s="282">
        <v>0.34386070507308703</v>
      </c>
      <c r="D35" s="282">
        <v>0.34038693035253598</v>
      </c>
      <c r="E35" s="282">
        <v>0.33691315563198598</v>
      </c>
      <c r="F35" s="282">
        <v>0.33343938091143599</v>
      </c>
      <c r="G35" s="282">
        <v>0.329965606190886</v>
      </c>
      <c r="H35" s="270">
        <v>-3.0686393504073099E-2</v>
      </c>
      <c r="I35" s="271">
        <v>-2.02866891639664E-3</v>
      </c>
      <c r="J35" s="271">
        <v>-2.0494574426596101E-3</v>
      </c>
      <c r="K35" s="271">
        <v>-2.0706764393267898E-3</v>
      </c>
      <c r="L35" s="272">
        <v>-5.2349578258237305E-4</v>
      </c>
      <c r="M35"/>
      <c r="N35"/>
      <c r="O35"/>
      <c r="P35"/>
      <c r="Q35"/>
      <c r="R35" s="269"/>
      <c r="S35" s="280"/>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row>
    <row r="36" spans="1:78">
      <c r="A36" s="278" t="s">
        <v>118</v>
      </c>
      <c r="B36" s="264">
        <v>4.5197000000000003</v>
      </c>
      <c r="C36" s="264">
        <v>3.4478</v>
      </c>
      <c r="D36" s="264">
        <v>3.5855000000000001</v>
      </c>
      <c r="E36" s="264">
        <v>3.6153</v>
      </c>
      <c r="F36" s="264">
        <v>3.7075999999999998</v>
      </c>
      <c r="G36" s="264">
        <v>4.0397999999999996</v>
      </c>
      <c r="H36" s="270">
        <v>-1.78854079287021E-2</v>
      </c>
      <c r="I36" s="271">
        <v>7.8630704078541704E-3</v>
      </c>
      <c r="J36" s="271">
        <v>1.6567519753676299E-3</v>
      </c>
      <c r="K36" s="271">
        <v>5.0547176582593804E-3</v>
      </c>
      <c r="L36" s="272">
        <v>4.2997384017018402E-3</v>
      </c>
      <c r="M36"/>
      <c r="N36"/>
      <c r="O36"/>
      <c r="P36"/>
      <c r="Q36"/>
      <c r="R36" s="269"/>
      <c r="S36" s="280"/>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row>
    <row r="37" spans="1:78">
      <c r="A37" s="281" t="s">
        <v>329</v>
      </c>
      <c r="B37" s="282">
        <v>1.7363669819432499</v>
      </c>
      <c r="C37" s="282">
        <v>1.4016233018056701</v>
      </c>
      <c r="D37" s="282">
        <v>1.50207893379192</v>
      </c>
      <c r="E37" s="282">
        <v>1.4892156491831501</v>
      </c>
      <c r="F37" s="282">
        <v>1.4891156491831501</v>
      </c>
      <c r="G37" s="282">
        <v>1.3828008598452299</v>
      </c>
      <c r="H37" s="270">
        <v>-1.41761533511731E-2</v>
      </c>
      <c r="I37" s="271">
        <v>1.3940076878419E-2</v>
      </c>
      <c r="J37" s="271">
        <v>-1.71862806616696E-3</v>
      </c>
      <c r="K37" s="271">
        <v>-1.34302491571203E-5</v>
      </c>
      <c r="L37" s="272">
        <v>-3.6967186908993801E-3</v>
      </c>
      <c r="M37"/>
      <c r="N37"/>
      <c r="O37"/>
      <c r="P37"/>
      <c r="Q37"/>
      <c r="R37" s="269"/>
      <c r="S37" s="280"/>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row>
    <row r="38" spans="1:78">
      <c r="A38" s="281" t="s">
        <v>330</v>
      </c>
      <c r="B38" s="282">
        <v>1.4736458297506501</v>
      </c>
      <c r="C38" s="282">
        <v>1.2876062768701599</v>
      </c>
      <c r="D38" s="282">
        <v>1.25890627687016</v>
      </c>
      <c r="E38" s="282">
        <v>1.2016062768701601</v>
      </c>
      <c r="F38" s="282">
        <v>1.2016062768701601</v>
      </c>
      <c r="G38" s="282">
        <v>1.04906921754084</v>
      </c>
      <c r="H38" s="270">
        <v>-8.9566210976280702E-3</v>
      </c>
      <c r="I38" s="271">
        <v>-4.4981698966123397E-3</v>
      </c>
      <c r="J38" s="271">
        <v>-9.2735497369074195E-3</v>
      </c>
      <c r="K38" s="271">
        <v>0</v>
      </c>
      <c r="L38" s="272">
        <v>-6.7648106613980002E-3</v>
      </c>
      <c r="M38"/>
      <c r="N38"/>
      <c r="O38"/>
      <c r="P38"/>
      <c r="Q38"/>
      <c r="R38" s="269"/>
      <c r="S38" s="280"/>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row>
    <row r="39" spans="1:78">
      <c r="A39" s="278" t="s">
        <v>121</v>
      </c>
      <c r="B39" s="264">
        <v>5.1496000000000004</v>
      </c>
      <c r="C39" s="264">
        <v>5.8753000000000002</v>
      </c>
      <c r="D39" s="264">
        <v>5.9512999999999998</v>
      </c>
      <c r="E39" s="264">
        <v>5.9692999999999996</v>
      </c>
      <c r="F39" s="264">
        <v>5.9718</v>
      </c>
      <c r="G39" s="264">
        <v>7.1319999999999997</v>
      </c>
      <c r="H39" s="270">
        <v>8.8279438626317503E-3</v>
      </c>
      <c r="I39" s="271">
        <v>2.5738187051156402E-3</v>
      </c>
      <c r="J39" s="271">
        <v>6.0417934504353198E-4</v>
      </c>
      <c r="K39" s="271">
        <v>8.3747886540530599E-5</v>
      </c>
      <c r="L39" s="272">
        <v>8.9166844110339892E-3</v>
      </c>
      <c r="M39"/>
      <c r="N39"/>
      <c r="O39"/>
      <c r="P39"/>
      <c r="Q39"/>
      <c r="R39" s="269"/>
      <c r="S39" s="280"/>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row>
    <row r="40" spans="1:78">
      <c r="A40" s="281" t="s">
        <v>331</v>
      </c>
      <c r="B40" s="282">
        <v>0.89188495270851198</v>
      </c>
      <c r="C40" s="282">
        <v>0.88629441100601902</v>
      </c>
      <c r="D40" s="282">
        <v>0.85669441100601895</v>
      </c>
      <c r="E40" s="282">
        <v>0.82709441100601899</v>
      </c>
      <c r="F40" s="282">
        <v>0.79759441100601902</v>
      </c>
      <c r="G40" s="282">
        <v>0.79759441100601902</v>
      </c>
      <c r="H40" s="270">
        <v>-4.19109464917855E-4</v>
      </c>
      <c r="I40" s="271">
        <v>-6.77055831766282E-3</v>
      </c>
      <c r="J40" s="271">
        <v>-7.0078150903363197E-3</v>
      </c>
      <c r="K40" s="271">
        <v>-7.2374104850786401E-3</v>
      </c>
      <c r="L40" s="272">
        <v>0</v>
      </c>
      <c r="M40"/>
      <c r="N40"/>
      <c r="O40"/>
      <c r="P40"/>
      <c r="Q40"/>
      <c r="R40" s="269"/>
      <c r="S40" s="28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row>
    <row r="41" spans="1:78">
      <c r="A41" s="278" t="s">
        <v>123</v>
      </c>
      <c r="B41" s="264">
        <v>4.7685000000000004</v>
      </c>
      <c r="C41" s="264">
        <v>3.83</v>
      </c>
      <c r="D41" s="264">
        <v>4.0110999999999999</v>
      </c>
      <c r="E41" s="264">
        <v>4.1416000000000004</v>
      </c>
      <c r="F41" s="264">
        <v>4.2241999999999997</v>
      </c>
      <c r="G41" s="264">
        <v>5.7804000000000002</v>
      </c>
      <c r="H41" s="270">
        <v>-1.4504907843731801E-2</v>
      </c>
      <c r="I41" s="271">
        <v>9.2829648573524697E-3</v>
      </c>
      <c r="J41" s="271">
        <v>6.4238789085733199E-3</v>
      </c>
      <c r="K41" s="271">
        <v>3.95735114944884E-3</v>
      </c>
      <c r="L41" s="272">
        <v>1.58057597533778E-2</v>
      </c>
      <c r="M41"/>
      <c r="N41"/>
      <c r="O41"/>
      <c r="P41"/>
      <c r="Q41"/>
      <c r="R41" s="269"/>
      <c r="S41" s="280"/>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row>
    <row r="42" spans="1:78">
      <c r="A42" s="278" t="s">
        <v>124</v>
      </c>
      <c r="B42" s="264">
        <v>6.0332999999999997</v>
      </c>
      <c r="C42" s="264">
        <v>4.8380000000000001</v>
      </c>
      <c r="D42" s="264">
        <v>4.5659000000000001</v>
      </c>
      <c r="E42" s="264">
        <v>4.5555000000000003</v>
      </c>
      <c r="F42" s="264">
        <v>4.5491999999999999</v>
      </c>
      <c r="G42" s="264">
        <v>4.7652999999999999</v>
      </c>
      <c r="H42" s="270">
        <v>-1.46117117020375E-2</v>
      </c>
      <c r="I42" s="271">
        <v>-1.1510395697390499E-2</v>
      </c>
      <c r="J42" s="271">
        <v>-4.5596655335111702E-4</v>
      </c>
      <c r="K42" s="271">
        <v>-2.7674186862747301E-4</v>
      </c>
      <c r="L42" s="272">
        <v>2.3231493830715398E-3</v>
      </c>
      <c r="M42"/>
      <c r="N42"/>
      <c r="O42"/>
      <c r="P42"/>
      <c r="Q42"/>
      <c r="R42" s="269"/>
      <c r="S42" s="280"/>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row>
    <row r="43" spans="1:78">
      <c r="A43" s="281" t="s">
        <v>332</v>
      </c>
      <c r="B43" s="283">
        <v>3.7798932072226998</v>
      </c>
      <c r="C43" s="283">
        <v>3.2045226999140102</v>
      </c>
      <c r="D43" s="283">
        <v>2.91299294926913</v>
      </c>
      <c r="E43" s="283">
        <v>2.9042913155632002</v>
      </c>
      <c r="F43" s="283">
        <v>2.9042913155632002</v>
      </c>
      <c r="G43" s="283">
        <v>2.9042913155632002</v>
      </c>
      <c r="H43" s="270">
        <v>-1.09484645761908E-2</v>
      </c>
      <c r="I43" s="271">
        <v>-1.88956162581395E-2</v>
      </c>
      <c r="J43" s="271">
        <v>-5.9815110230121405E-4</v>
      </c>
      <c r="K43" s="271">
        <v>0</v>
      </c>
      <c r="L43" s="272">
        <v>0</v>
      </c>
      <c r="M43"/>
      <c r="N43"/>
      <c r="O43"/>
      <c r="P43"/>
      <c r="Q43"/>
      <c r="R43" s="269"/>
      <c r="S43" s="280"/>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row>
    <row r="44" spans="1:78">
      <c r="A44" s="244"/>
      <c r="B44" s="245"/>
      <c r="C44" s="245"/>
      <c r="D44" s="245"/>
      <c r="E44" s="245"/>
      <c r="F44" s="245"/>
      <c r="G44" s="245"/>
      <c r="H44" s="270"/>
      <c r="I44" s="271"/>
      <c r="J44" s="271"/>
      <c r="K44" s="271"/>
      <c r="L44" s="272"/>
      <c r="M44"/>
      <c r="N44"/>
      <c r="O44"/>
      <c r="P44"/>
      <c r="Q44"/>
      <c r="R44" s="269"/>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row>
    <row r="45" spans="1:78">
      <c r="A45" s="244"/>
      <c r="B45" s="245"/>
      <c r="C45" s="245"/>
      <c r="D45" s="245"/>
      <c r="E45" s="245"/>
      <c r="F45" s="245"/>
      <c r="G45" s="245"/>
      <c r="H45" s="270"/>
      <c r="I45" s="271"/>
      <c r="J45" s="271"/>
      <c r="K45" s="271"/>
      <c r="L45" s="272"/>
      <c r="M45"/>
      <c r="N45"/>
      <c r="O45"/>
      <c r="P45"/>
      <c r="Q45"/>
      <c r="R45" s="269"/>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row>
    <row r="46" spans="1:78" ht="15" thickBot="1">
      <c r="A46" s="253" t="s">
        <v>10</v>
      </c>
      <c r="B46" s="273">
        <v>38.915500000000002</v>
      </c>
      <c r="C46" s="273">
        <v>31.8476</v>
      </c>
      <c r="D46" s="273">
        <v>32.0032</v>
      </c>
      <c r="E46" s="273">
        <v>32.154499999999999</v>
      </c>
      <c r="F46" s="273">
        <v>32.312199999999997</v>
      </c>
      <c r="G46" s="273">
        <v>36.427999999999997</v>
      </c>
      <c r="H46" s="275">
        <v>-1.32731644274582E-2</v>
      </c>
      <c r="I46" s="276">
        <v>9.7524961479988903E-4</v>
      </c>
      <c r="J46" s="276">
        <v>9.43747446561227E-4</v>
      </c>
      <c r="K46" s="276">
        <v>9.789705007394729E-4</v>
      </c>
      <c r="L46" s="277">
        <v>6.0126459150486901E-3</v>
      </c>
      <c r="M46"/>
      <c r="N46"/>
      <c r="O46"/>
      <c r="P46"/>
      <c r="Q46"/>
      <c r="R46" s="269"/>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row>
    <row r="47" spans="1:78" ht="15" thickBot="1">
      <c r="A47" s="258"/>
      <c r="B47"/>
      <c r="C47"/>
      <c r="D47"/>
      <c r="E47"/>
      <c r="F47" s="260"/>
      <c r="G47"/>
      <c r="H47"/>
      <c r="I47"/>
      <c r="J47"/>
      <c r="K47"/>
      <c r="L47"/>
      <c r="M47"/>
      <c r="N47"/>
      <c r="O47"/>
      <c r="P47"/>
      <c r="Q47"/>
      <c r="R47" s="269"/>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row>
    <row r="48" spans="1:78" ht="15" thickBot="1">
      <c r="A48" s="284" t="s">
        <v>126</v>
      </c>
      <c r="B48" s="285">
        <v>21.729938521066199</v>
      </c>
      <c r="C48" s="285">
        <v>16.6833365434222</v>
      </c>
      <c r="D48" s="285">
        <v>16.166278159931199</v>
      </c>
      <c r="E48" s="285">
        <v>15.8483819432502</v>
      </c>
      <c r="F48" s="285">
        <v>15.6319619088564</v>
      </c>
      <c r="G48" s="285">
        <v>14.7169531384351</v>
      </c>
      <c r="H48" s="286">
        <v>-1.7464401870883699E-2</v>
      </c>
      <c r="I48" s="287">
        <v>-6.2768044141875397E-3</v>
      </c>
      <c r="J48" s="287">
        <v>-3.9641356137063398E-3</v>
      </c>
      <c r="K48" s="287">
        <v>-2.7461725419317701E-3</v>
      </c>
      <c r="L48" s="288">
        <v>-3.0113345370587101E-3</v>
      </c>
      <c r="M48"/>
      <c r="N48"/>
      <c r="O48"/>
      <c r="P48"/>
      <c r="Q48"/>
      <c r="R48" s="269"/>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s="289"/>
      <c r="B49" s="290"/>
      <c r="C49" s="290"/>
      <c r="D49" s="290"/>
      <c r="E49" s="290"/>
      <c r="F49" s="290"/>
      <c r="G49" s="290"/>
      <c r="H49" s="271"/>
      <c r="I49" s="271"/>
      <c r="J49" s="271"/>
      <c r="K49" s="271"/>
      <c r="L49" s="271"/>
      <c r="M49"/>
      <c r="N49"/>
      <c r="O49"/>
      <c r="P49"/>
      <c r="Q49"/>
      <c r="R49" s="26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row>
    <row r="50" spans="1:78">
      <c r="A50"/>
      <c r="B50" s="291"/>
      <c r="C50" s="291"/>
      <c r="D50"/>
      <c r="E50" s="236"/>
      <c r="F50"/>
      <c r="G50"/>
      <c r="H50"/>
      <c r="I50"/>
      <c r="J50"/>
      <c r="K50"/>
      <c r="L50"/>
      <c r="M50"/>
      <c r="N50"/>
      <c r="O50"/>
      <c r="P50"/>
      <c r="Q50"/>
      <c r="R50" s="269"/>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row>
    <row r="51" spans="1:78" ht="16" thickBot="1">
      <c r="A51" s="237" t="s">
        <v>127</v>
      </c>
      <c r="B51" s="238"/>
      <c r="C51" s="238"/>
      <c r="D51" s="238"/>
      <c r="E51" s="239"/>
      <c r="F51" s="239"/>
      <c r="G51" s="239"/>
      <c r="H51" s="239"/>
      <c r="I51" s="239"/>
      <c r="J51" s="239"/>
      <c r="K51" s="239"/>
      <c r="L51" s="239"/>
      <c r="M51"/>
      <c r="N51"/>
      <c r="O51"/>
      <c r="P51"/>
      <c r="Q51"/>
      <c r="R51" s="269"/>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ht="15" thickBot="1">
      <c r="A52" s="292" t="s">
        <v>128</v>
      </c>
      <c r="B52" s="241">
        <v>2000</v>
      </c>
      <c r="C52" s="241">
        <v>2015</v>
      </c>
      <c r="D52" s="241">
        <v>2020</v>
      </c>
      <c r="E52" s="241">
        <v>2025</v>
      </c>
      <c r="F52" s="241">
        <v>2030</v>
      </c>
      <c r="G52" s="241">
        <v>2050</v>
      </c>
      <c r="H52" s="261" t="s">
        <v>98</v>
      </c>
      <c r="I52" s="262" t="s">
        <v>99</v>
      </c>
      <c r="J52" s="262" t="s">
        <v>100</v>
      </c>
      <c r="K52" s="262" t="s">
        <v>101</v>
      </c>
      <c r="L52" s="263" t="s">
        <v>323</v>
      </c>
      <c r="M52"/>
      <c r="N52"/>
      <c r="O52"/>
      <c r="P52"/>
      <c r="Q52"/>
      <c r="R52" s="269"/>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row>
    <row r="53" spans="1:78">
      <c r="A53" s="278" t="s">
        <v>111</v>
      </c>
      <c r="B53" s="264">
        <v>22.518699999999999</v>
      </c>
      <c r="C53" s="264">
        <v>16.763300000000001</v>
      </c>
      <c r="D53" s="264">
        <v>16.728100000000001</v>
      </c>
      <c r="E53" s="264">
        <v>16.5381</v>
      </c>
      <c r="F53" s="264">
        <v>16.624500000000001</v>
      </c>
      <c r="G53" s="264">
        <v>16.008800000000001</v>
      </c>
      <c r="H53" s="265">
        <v>-1.9484612690580001E-2</v>
      </c>
      <c r="I53" s="266">
        <v>-4.2031822902799398E-4</v>
      </c>
      <c r="J53" s="266">
        <v>-2.28201825772945E-3</v>
      </c>
      <c r="K53" s="266">
        <v>1.04268340469482E-3</v>
      </c>
      <c r="L53" s="267">
        <v>-1.88516782758574E-3</v>
      </c>
      <c r="M53"/>
      <c r="N53"/>
      <c r="O53"/>
      <c r="P53"/>
      <c r="Q53"/>
      <c r="R53" s="269"/>
      <c r="S53" s="280"/>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row>
    <row r="54" spans="1:78">
      <c r="A54" s="281" t="s">
        <v>324</v>
      </c>
      <c r="B54" s="282">
        <v>12.717499999999999</v>
      </c>
      <c r="C54" s="282">
        <v>8.8988999999999994</v>
      </c>
      <c r="D54" s="282">
        <v>8.8089999999999993</v>
      </c>
      <c r="E54" s="282">
        <v>8.7192000000000007</v>
      </c>
      <c r="F54" s="293">
        <v>8.6293000000000006</v>
      </c>
      <c r="G54" s="282">
        <v>7.9949000000000003</v>
      </c>
      <c r="H54" s="270">
        <v>-2.3522354702618101E-2</v>
      </c>
      <c r="I54" s="271">
        <v>-2.0286889165749299E-3</v>
      </c>
      <c r="J54" s="271">
        <v>-2.0471887517375898E-3</v>
      </c>
      <c r="K54" s="271">
        <v>-2.07067342890943E-3</v>
      </c>
      <c r="L54" s="272">
        <v>-3.8106983414415399E-3</v>
      </c>
      <c r="M54"/>
      <c r="N54"/>
      <c r="O54"/>
      <c r="P54"/>
      <c r="Q54"/>
      <c r="R54" s="269"/>
      <c r="S54" s="280"/>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row>
    <row r="55" spans="1:78">
      <c r="A55" s="281" t="s">
        <v>325</v>
      </c>
      <c r="B55" s="282">
        <v>6.4558</v>
      </c>
      <c r="C55" s="282">
        <v>5.2424999999999997</v>
      </c>
      <c r="D55" s="282">
        <v>5.09</v>
      </c>
      <c r="E55" s="282">
        <v>4.7845000000000004</v>
      </c>
      <c r="F55" s="282">
        <v>4.7845000000000004</v>
      </c>
      <c r="G55" s="282">
        <v>3.9138000000000002</v>
      </c>
      <c r="H55" s="270">
        <v>-1.37828327304185E-2</v>
      </c>
      <c r="I55" s="271">
        <v>-5.8867355181637703E-3</v>
      </c>
      <c r="J55" s="271">
        <v>-1.23029530180773E-2</v>
      </c>
      <c r="K55" s="271">
        <v>0</v>
      </c>
      <c r="L55" s="272">
        <v>-9.9933689636923003E-3</v>
      </c>
      <c r="M55"/>
      <c r="N55"/>
      <c r="O55"/>
      <c r="P55"/>
      <c r="Q55"/>
      <c r="R55" s="269"/>
      <c r="S55" s="280"/>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row>
    <row r="56" spans="1:78">
      <c r="A56" s="278" t="s">
        <v>114</v>
      </c>
      <c r="B56" s="264">
        <v>34.314</v>
      </c>
      <c r="C56" s="264">
        <v>30.441500000000001</v>
      </c>
      <c r="D56" s="264">
        <v>31.549399999999999</v>
      </c>
      <c r="E56" s="264">
        <v>32.128500000000003</v>
      </c>
      <c r="F56" s="264">
        <v>32.627400000000002</v>
      </c>
      <c r="G56" s="264">
        <v>39.034199999999998</v>
      </c>
      <c r="H56" s="270">
        <v>-7.9513279565939197E-3</v>
      </c>
      <c r="I56" s="271">
        <v>7.1751715343111302E-3</v>
      </c>
      <c r="J56" s="271">
        <v>3.6444078282133999E-3</v>
      </c>
      <c r="K56" s="271">
        <v>3.0865414819234399E-3</v>
      </c>
      <c r="L56" s="272">
        <v>9.0045874969917304E-3</v>
      </c>
      <c r="M56"/>
      <c r="N56" s="280"/>
      <c r="O56" s="280"/>
      <c r="P56" s="280"/>
      <c r="Q56" s="280"/>
      <c r="R56" s="280"/>
      <c r="S56" s="280"/>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row>
    <row r="57" spans="1:78">
      <c r="A57" s="281" t="s">
        <v>326</v>
      </c>
      <c r="B57" s="282">
        <v>1.4301999999999999</v>
      </c>
      <c r="C57" s="282">
        <v>0.73</v>
      </c>
      <c r="D57" s="282">
        <v>0.6996</v>
      </c>
      <c r="E57" s="282">
        <v>0.66920000000000002</v>
      </c>
      <c r="F57" s="282">
        <v>0.63870000000000005</v>
      </c>
      <c r="G57" s="282">
        <v>0.60829999999999995</v>
      </c>
      <c r="H57" s="270">
        <v>-4.3844768084247802E-2</v>
      </c>
      <c r="I57" s="271">
        <v>-8.4710747243904594E-3</v>
      </c>
      <c r="J57" s="271">
        <v>-8.8457984670333705E-3</v>
      </c>
      <c r="K57" s="271">
        <v>-9.2862358178932292E-3</v>
      </c>
      <c r="L57" s="272">
        <v>-2.4353636404914601E-3</v>
      </c>
      <c r="M57"/>
      <c r="N57" s="280"/>
      <c r="O57" s="280"/>
      <c r="P57" s="280"/>
      <c r="Q57" s="280"/>
      <c r="R57" s="280"/>
      <c r="S57" s="280"/>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row>
    <row r="58" spans="1:78">
      <c r="A58" s="281" t="s">
        <v>327</v>
      </c>
      <c r="B58" s="282">
        <v>9.2639999999999993</v>
      </c>
      <c r="C58" s="282">
        <v>8.2110000000000003</v>
      </c>
      <c r="D58" s="282">
        <v>8.1278000000000006</v>
      </c>
      <c r="E58" s="282">
        <v>8.0446000000000009</v>
      </c>
      <c r="F58" s="282">
        <v>7.9621000000000004</v>
      </c>
      <c r="G58" s="282">
        <v>7.8788999999999998</v>
      </c>
      <c r="H58" s="270">
        <v>-8.0118131051195602E-3</v>
      </c>
      <c r="I58" s="271">
        <v>-2.03481385213622E-3</v>
      </c>
      <c r="J58" s="271">
        <v>-2.0557291583102001E-3</v>
      </c>
      <c r="K58" s="271">
        <v>-2.0595311946615099E-3</v>
      </c>
      <c r="L58" s="272">
        <v>-5.2508629094683002E-4</v>
      </c>
      <c r="M58"/>
      <c r="N58" s="280"/>
      <c r="O58" s="280"/>
      <c r="P58" s="280"/>
      <c r="Q58" s="280"/>
      <c r="R58" s="280"/>
      <c r="S58" s="280"/>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row>
    <row r="59" spans="1:78">
      <c r="A59" s="281" t="s">
        <v>328</v>
      </c>
      <c r="B59" s="282">
        <v>6.3826000000000001</v>
      </c>
      <c r="C59" s="282">
        <v>3.9990999999999999</v>
      </c>
      <c r="D59" s="282">
        <v>3.9586999999999999</v>
      </c>
      <c r="E59" s="282">
        <v>3.9182999999999999</v>
      </c>
      <c r="F59" s="282">
        <v>3.8778999999999999</v>
      </c>
      <c r="G59" s="282">
        <v>3.8374999999999999</v>
      </c>
      <c r="H59" s="270">
        <v>-3.0686393504073099E-2</v>
      </c>
      <c r="I59" s="271">
        <v>-2.02866891639664E-3</v>
      </c>
      <c r="J59" s="271">
        <v>-2.0494574426596101E-3</v>
      </c>
      <c r="K59" s="271">
        <v>-2.0706764393267898E-3</v>
      </c>
      <c r="L59" s="272">
        <v>-5.2349578258237305E-4</v>
      </c>
      <c r="M59"/>
      <c r="N59" s="280"/>
      <c r="O59" s="280"/>
      <c r="P59" s="280"/>
      <c r="Q59" s="280"/>
      <c r="R59" s="280"/>
      <c r="S59" s="280"/>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row>
    <row r="60" spans="1:78">
      <c r="A60" s="278" t="s">
        <v>118</v>
      </c>
      <c r="B60" s="264">
        <v>10.089700000000001</v>
      </c>
      <c r="C60" s="264">
        <v>9.3522999999999996</v>
      </c>
      <c r="D60" s="264">
        <v>9.7937999999999992</v>
      </c>
      <c r="E60" s="264">
        <v>10.0779</v>
      </c>
      <c r="F60" s="264">
        <v>10.4786</v>
      </c>
      <c r="G60" s="264">
        <v>12.556800000000001</v>
      </c>
      <c r="H60" s="270">
        <v>-5.0467421319278002E-3</v>
      </c>
      <c r="I60" s="271">
        <v>9.2681316007854307E-3</v>
      </c>
      <c r="J60" s="271">
        <v>5.7354601706101098E-3</v>
      </c>
      <c r="K60" s="271">
        <v>7.8285187763251808E-3</v>
      </c>
      <c r="L60" s="272">
        <v>9.0874054792398108E-3</v>
      </c>
      <c r="M60"/>
      <c r="N60" s="280"/>
      <c r="O60" s="280"/>
      <c r="P60" s="280"/>
      <c r="Q60" s="280"/>
      <c r="R60" s="280"/>
      <c r="S60" s="28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row>
    <row r="61" spans="1:78">
      <c r="A61" s="281" t="s">
        <v>329</v>
      </c>
      <c r="B61" s="282">
        <v>2.8698999999999999</v>
      </c>
      <c r="C61" s="282">
        <v>2.5390999999999999</v>
      </c>
      <c r="D61" s="282">
        <v>2.6920999999999999</v>
      </c>
      <c r="E61" s="282">
        <v>2.5425</v>
      </c>
      <c r="F61" s="282">
        <v>2.5425</v>
      </c>
      <c r="G61" s="282">
        <v>2.3609</v>
      </c>
      <c r="H61" s="270">
        <v>-8.1312608873422808E-3</v>
      </c>
      <c r="I61" s="271">
        <v>1.1771114794102601E-2</v>
      </c>
      <c r="J61" s="271">
        <v>-1.13696136679873E-2</v>
      </c>
      <c r="K61" s="271">
        <v>0</v>
      </c>
      <c r="L61" s="272">
        <v>-3.6983913748145402E-3</v>
      </c>
      <c r="M61"/>
      <c r="N61" s="280"/>
      <c r="O61" s="280"/>
      <c r="P61" s="280"/>
      <c r="Q61" s="280"/>
      <c r="R61" s="280"/>
      <c r="S61" s="280"/>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row>
    <row r="62" spans="1:78">
      <c r="A62" s="281" t="s">
        <v>330</v>
      </c>
      <c r="B62" s="282">
        <v>3.5</v>
      </c>
      <c r="C62" s="282">
        <v>3.5228000000000002</v>
      </c>
      <c r="D62" s="282">
        <v>3.5228000000000002</v>
      </c>
      <c r="E62" s="282">
        <v>3.5228000000000002</v>
      </c>
      <c r="F62" s="282">
        <v>3.5228000000000002</v>
      </c>
      <c r="G62" s="282">
        <v>3.2164999999999999</v>
      </c>
      <c r="H62" s="270">
        <v>4.3297100181738401E-4</v>
      </c>
      <c r="I62" s="271">
        <v>0</v>
      </c>
      <c r="J62" s="271">
        <v>0</v>
      </c>
      <c r="K62" s="271">
        <v>0</v>
      </c>
      <c r="L62" s="272">
        <v>-4.5377887874169503E-3</v>
      </c>
      <c r="M62"/>
      <c r="N62" s="280"/>
      <c r="O62" s="280"/>
      <c r="P62" s="280"/>
      <c r="Q62" s="280"/>
      <c r="R62" s="280"/>
      <c r="S62" s="280"/>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row>
    <row r="63" spans="1:78">
      <c r="A63" s="278" t="s">
        <v>121</v>
      </c>
      <c r="B63" s="264">
        <v>17.1267</v>
      </c>
      <c r="C63" s="264">
        <v>20.747</v>
      </c>
      <c r="D63" s="264">
        <v>21.0184</v>
      </c>
      <c r="E63" s="264">
        <v>21.054600000000001</v>
      </c>
      <c r="F63" s="264">
        <v>21.018699999999999</v>
      </c>
      <c r="G63" s="264">
        <v>25.280999999999999</v>
      </c>
      <c r="H63" s="270">
        <v>1.2866267815070401E-2</v>
      </c>
      <c r="I63" s="271">
        <v>2.6026984857863101E-3</v>
      </c>
      <c r="J63" s="271">
        <v>3.4422303153114299E-4</v>
      </c>
      <c r="K63" s="271">
        <v>-3.41250939748794E-4</v>
      </c>
      <c r="L63" s="272">
        <v>9.2747770265297902E-3</v>
      </c>
      <c r="M63"/>
      <c r="N63" s="280"/>
      <c r="O63" s="280"/>
      <c r="P63" s="280"/>
      <c r="Q63" s="280"/>
      <c r="R63" s="280"/>
      <c r="S63" s="280"/>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row>
    <row r="64" spans="1:78">
      <c r="A64" s="281" t="s">
        <v>331</v>
      </c>
      <c r="B64" s="282">
        <v>1.0755999999999999</v>
      </c>
      <c r="C64" s="282">
        <v>1.1106</v>
      </c>
      <c r="D64" s="282">
        <v>1.1106</v>
      </c>
      <c r="E64" s="282">
        <v>1.1106</v>
      </c>
      <c r="F64" s="282">
        <v>1.1106</v>
      </c>
      <c r="G64" s="282">
        <v>1.1106</v>
      </c>
      <c r="H64" s="270">
        <v>2.1370645685203598E-3</v>
      </c>
      <c r="I64" s="271">
        <v>0</v>
      </c>
      <c r="J64" s="271">
        <v>0</v>
      </c>
      <c r="K64" s="271">
        <v>0</v>
      </c>
      <c r="L64" s="272">
        <v>0</v>
      </c>
      <c r="M64"/>
      <c r="N64" s="280"/>
      <c r="O64" s="280"/>
      <c r="P64" s="280"/>
      <c r="Q64" s="280"/>
      <c r="R64" s="280"/>
      <c r="S64" s="280"/>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row>
    <row r="65" spans="1:78">
      <c r="A65" s="278" t="s">
        <v>123</v>
      </c>
      <c r="B65" s="264">
        <v>26.596499999999999</v>
      </c>
      <c r="C65" s="264">
        <v>22.5806</v>
      </c>
      <c r="D65" s="264">
        <v>24.336300000000001</v>
      </c>
      <c r="E65" s="264">
        <v>25.917400000000001</v>
      </c>
      <c r="F65" s="264">
        <v>27.3353</v>
      </c>
      <c r="G65" s="264">
        <v>38.633800000000001</v>
      </c>
      <c r="H65" s="270">
        <v>-1.0853240450502099E-2</v>
      </c>
      <c r="I65" s="271">
        <v>1.5088282414999999E-2</v>
      </c>
      <c r="J65" s="271">
        <v>1.26686752780785E-2</v>
      </c>
      <c r="K65" s="271">
        <v>1.07098137271502E-2</v>
      </c>
      <c r="L65" s="272">
        <v>1.74478985708553E-2</v>
      </c>
      <c r="M65"/>
      <c r="N65" s="280"/>
      <c r="O65" s="280"/>
      <c r="P65" s="280"/>
      <c r="Q65" s="280"/>
      <c r="R65" s="280"/>
      <c r="S65" s="280"/>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row>
    <row r="66" spans="1:78">
      <c r="A66" s="278" t="s">
        <v>124</v>
      </c>
      <c r="B66" s="264">
        <v>21.828800000000001</v>
      </c>
      <c r="C66" s="264">
        <v>15.8759</v>
      </c>
      <c r="D66" s="264">
        <v>15.731400000000001</v>
      </c>
      <c r="E66" s="264">
        <v>15.5741</v>
      </c>
      <c r="F66" s="264">
        <v>15.508100000000001</v>
      </c>
      <c r="G66" s="264">
        <v>16.3429</v>
      </c>
      <c r="H66" s="270">
        <v>-2.1004791603714601E-2</v>
      </c>
      <c r="I66" s="271">
        <v>-1.82703315287458E-3</v>
      </c>
      <c r="J66" s="271">
        <v>-2.0078689138259801E-3</v>
      </c>
      <c r="K66" s="271">
        <v>-8.4900139810295495E-4</v>
      </c>
      <c r="L66" s="272">
        <v>2.6249934875941499E-3</v>
      </c>
      <c r="M66"/>
      <c r="N66" s="280"/>
      <c r="O66" s="280"/>
      <c r="P66" s="280"/>
      <c r="Q66" s="280"/>
      <c r="R66" s="280"/>
      <c r="S66" s="280"/>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row>
    <row r="67" spans="1:78">
      <c r="A67" s="281" t="s">
        <v>332</v>
      </c>
      <c r="B67" s="282">
        <v>12.1335</v>
      </c>
      <c r="C67" s="282">
        <v>9.0390999999999995</v>
      </c>
      <c r="D67" s="282">
        <v>8.8550000000000004</v>
      </c>
      <c r="E67" s="282">
        <v>8.7538</v>
      </c>
      <c r="F67" s="282">
        <v>8.7538</v>
      </c>
      <c r="G67" s="282">
        <v>8.7538</v>
      </c>
      <c r="H67" s="270">
        <v>-1.9436011137856202E-2</v>
      </c>
      <c r="I67" s="271">
        <v>-4.1070112045900097E-3</v>
      </c>
      <c r="J67" s="271">
        <v>-2.2962354936776298E-3</v>
      </c>
      <c r="K67" s="271">
        <v>0</v>
      </c>
      <c r="L67" s="272">
        <v>0</v>
      </c>
      <c r="M67"/>
      <c r="N67" s="280"/>
      <c r="O67" s="280"/>
      <c r="P67" s="280"/>
      <c r="Q67" s="280"/>
      <c r="R67" s="280"/>
      <c r="S67" s="280"/>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row>
    <row r="68" spans="1:78">
      <c r="A68" s="244"/>
      <c r="B68" s="245"/>
      <c r="C68" s="245"/>
      <c r="D68" s="245"/>
      <c r="E68" s="245"/>
      <c r="F68" s="245"/>
      <c r="G68" s="245"/>
      <c r="H68" s="270"/>
      <c r="I68" s="271"/>
      <c r="J68" s="271"/>
      <c r="K68" s="271"/>
      <c r="L68" s="272"/>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row>
    <row r="69" spans="1:78">
      <c r="A69" s="244"/>
      <c r="B69" s="245"/>
      <c r="C69" s="245"/>
      <c r="D69" s="245"/>
      <c r="E69" s="245"/>
      <c r="F69" s="245"/>
      <c r="G69" s="245"/>
      <c r="H69" s="270"/>
      <c r="I69" s="271"/>
      <c r="J69" s="271"/>
      <c r="K69" s="271"/>
      <c r="L69" s="272"/>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row>
    <row r="70" spans="1:78" ht="15" thickBot="1">
      <c r="A70" s="253" t="s">
        <v>10</v>
      </c>
      <c r="B70" s="273">
        <v>132.4744</v>
      </c>
      <c r="C70" s="273">
        <v>115.7606</v>
      </c>
      <c r="D70" s="273">
        <v>119.1574</v>
      </c>
      <c r="E70" s="273">
        <v>121.2906</v>
      </c>
      <c r="F70" s="273">
        <v>123.5926</v>
      </c>
      <c r="G70" s="273">
        <v>147.85749999999999</v>
      </c>
      <c r="H70" s="275">
        <v>-8.9507119828033908E-3</v>
      </c>
      <c r="I70" s="276">
        <v>5.80096938620067E-3</v>
      </c>
      <c r="J70" s="276">
        <v>3.5551066391559202E-3</v>
      </c>
      <c r="K70" s="276">
        <v>3.7673493978989101E-3</v>
      </c>
      <c r="L70" s="277">
        <v>9.0032021669577099E-3</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row>
    <row r="71" spans="1:78" ht="15" thickBot="1">
      <c r="A71" s="258"/>
      <c r="B71"/>
      <c r="C71"/>
      <c r="D71"/>
      <c r="E71" s="236"/>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row>
    <row r="72" spans="1:78" ht="15" thickBot="1">
      <c r="A72" s="284" t="s">
        <v>126</v>
      </c>
      <c r="B72" s="285">
        <v>55.829099999999997</v>
      </c>
      <c r="C72" s="285">
        <v>43.293100000000003</v>
      </c>
      <c r="D72" s="285">
        <v>42.865600000000001</v>
      </c>
      <c r="E72" s="285">
        <v>42.0655</v>
      </c>
      <c r="F72" s="285">
        <v>41.822200000000002</v>
      </c>
      <c r="G72" s="285">
        <v>39.675199999999997</v>
      </c>
      <c r="H72" s="286">
        <v>-1.6810563372649901E-2</v>
      </c>
      <c r="I72" s="287">
        <v>-1.9827576329365399E-3</v>
      </c>
      <c r="J72" s="287">
        <v>-3.7612511415377999E-3</v>
      </c>
      <c r="K72" s="287">
        <v>-1.1594529690384099E-3</v>
      </c>
      <c r="L72" s="288">
        <v>-2.63158088762827E-3</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row>
    <row r="73" spans="1:78">
      <c r="A73" s="289"/>
      <c r="B73" s="290"/>
      <c r="C73" s="290"/>
      <c r="D73" s="290"/>
      <c r="E73" s="290"/>
      <c r="F73" s="290"/>
      <c r="G73" s="290"/>
      <c r="H73" s="271"/>
      <c r="I73" s="271"/>
      <c r="J73" s="271"/>
      <c r="K73" s="271"/>
      <c r="L73" s="271"/>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row>
    <row r="74" spans="1:78">
      <c r="A74"/>
      <c r="B74"/>
      <c r="C74"/>
      <c r="D74"/>
      <c r="E74" s="236"/>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row>
    <row r="75" spans="1:78" ht="16" thickBot="1">
      <c r="A75" s="237" t="s">
        <v>129</v>
      </c>
      <c r="B75" s="238"/>
      <c r="C75" s="238"/>
      <c r="D75" s="238"/>
      <c r="E75" s="239"/>
      <c r="F75" s="239"/>
      <c r="G75" s="239"/>
      <c r="H75" s="239"/>
      <c r="I75" s="239"/>
      <c r="J75" s="239"/>
      <c r="K75" s="239"/>
      <c r="L75" s="239"/>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row>
    <row r="76" spans="1:78" ht="15" thickBot="1">
      <c r="A76" s="292" t="s">
        <v>51</v>
      </c>
      <c r="B76" s="241">
        <v>2000</v>
      </c>
      <c r="C76" s="241">
        <v>2015</v>
      </c>
      <c r="D76" s="241">
        <v>2020</v>
      </c>
      <c r="E76" s="241">
        <v>2025</v>
      </c>
      <c r="F76" s="241">
        <v>2030</v>
      </c>
      <c r="G76" s="241">
        <v>2050</v>
      </c>
      <c r="H76" s="261" t="s">
        <v>98</v>
      </c>
      <c r="I76" s="262" t="s">
        <v>99</v>
      </c>
      <c r="J76" s="262" t="s">
        <v>100</v>
      </c>
      <c r="K76" s="262" t="s">
        <v>101</v>
      </c>
      <c r="L76" s="263" t="s">
        <v>323</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row>
    <row r="77" spans="1:78">
      <c r="A77" s="278" t="s">
        <v>111</v>
      </c>
      <c r="B77" s="264">
        <v>6.1029</v>
      </c>
      <c r="C77" s="264">
        <v>3.7431000000000001</v>
      </c>
      <c r="D77" s="264">
        <v>3.5642999999999998</v>
      </c>
      <c r="E77" s="264">
        <v>3.4569999999999999</v>
      </c>
      <c r="F77" s="264">
        <v>3.3449</v>
      </c>
      <c r="G77" s="264">
        <v>2.9106000000000001</v>
      </c>
      <c r="H77" s="265">
        <v>-3.2064663296258997E-2</v>
      </c>
      <c r="I77" s="266">
        <v>-9.7415336337166591E-3</v>
      </c>
      <c r="J77" s="266">
        <v>-6.0946558190933002E-3</v>
      </c>
      <c r="K77" s="266">
        <v>-6.5711873320074598E-3</v>
      </c>
      <c r="L77" s="267">
        <v>-6.9297553533703704E-3</v>
      </c>
      <c r="M77"/>
      <c r="N77" s="280"/>
      <c r="O77" s="280"/>
      <c r="P77" s="280"/>
      <c r="Q77" s="280"/>
      <c r="R77" s="280"/>
      <c r="S77" s="280"/>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row>
    <row r="78" spans="1:78">
      <c r="A78" s="281" t="s">
        <v>324</v>
      </c>
      <c r="B78" s="282">
        <v>5.6398000000000001</v>
      </c>
      <c r="C78" s="282">
        <v>3.5590000000000002</v>
      </c>
      <c r="D78" s="282">
        <v>3.3717999999999999</v>
      </c>
      <c r="E78" s="282">
        <v>3.2555000000000001</v>
      </c>
      <c r="F78" s="282">
        <v>3.1358000000000001</v>
      </c>
      <c r="G78" s="282">
        <v>2.6781000000000001</v>
      </c>
      <c r="H78" s="270">
        <v>-3.0225071119895301E-2</v>
      </c>
      <c r="I78" s="271">
        <v>-1.07483947517197E-2</v>
      </c>
      <c r="J78" s="271">
        <v>-6.9955867049572599E-3</v>
      </c>
      <c r="K78" s="271">
        <v>-7.4643123627513601E-3</v>
      </c>
      <c r="L78" s="272">
        <v>-7.8578016443847706E-3</v>
      </c>
      <c r="M78"/>
      <c r="N78" s="280"/>
      <c r="O78" s="280"/>
      <c r="P78" s="280"/>
      <c r="Q78" s="280"/>
      <c r="R78" s="280"/>
      <c r="S78" s="280"/>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row>
    <row r="79" spans="1:78">
      <c r="A79" s="281" t="s">
        <v>325</v>
      </c>
      <c r="B79" s="282">
        <v>0.2205</v>
      </c>
      <c r="C79" s="282">
        <v>8.9899999999999994E-2</v>
      </c>
      <c r="D79" s="282">
        <v>8.9899999999999994E-2</v>
      </c>
      <c r="E79" s="282">
        <v>8.9899999999999994E-2</v>
      </c>
      <c r="F79" s="282">
        <v>8.9899999999999994E-2</v>
      </c>
      <c r="G79" s="282">
        <v>7.8200000000000006E-2</v>
      </c>
      <c r="H79" s="270">
        <v>-5.8059638475916601E-2</v>
      </c>
      <c r="I79" s="271">
        <v>0</v>
      </c>
      <c r="J79" s="271">
        <v>0</v>
      </c>
      <c r="K79" s="271">
        <v>0</v>
      </c>
      <c r="L79" s="272">
        <v>-6.9471707557837697E-3</v>
      </c>
      <c r="M79"/>
      <c r="N79" s="280"/>
      <c r="O79" s="280"/>
      <c r="P79" s="280"/>
      <c r="Q79" s="280"/>
      <c r="R79" s="280"/>
      <c r="S79" s="280"/>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row>
    <row r="80" spans="1:78">
      <c r="A80" s="278" t="s">
        <v>114</v>
      </c>
      <c r="B80" s="264">
        <v>7.4539</v>
      </c>
      <c r="C80" s="264">
        <v>6.0538999999999996</v>
      </c>
      <c r="D80" s="264">
        <v>6.1731999999999996</v>
      </c>
      <c r="E80" s="264">
        <v>6.2305000000000001</v>
      </c>
      <c r="F80" s="264">
        <v>6.2789000000000001</v>
      </c>
      <c r="G80" s="264">
        <v>7.0663</v>
      </c>
      <c r="H80" s="270">
        <v>-1.37732483054394E-2</v>
      </c>
      <c r="I80" s="271">
        <v>3.9105562666561502E-3</v>
      </c>
      <c r="J80" s="271">
        <v>1.84955719605462E-3</v>
      </c>
      <c r="K80" s="271">
        <v>1.5488421191765E-3</v>
      </c>
      <c r="L80" s="272">
        <v>5.9245913269441201E-3</v>
      </c>
      <c r="M80"/>
      <c r="N80" s="280"/>
      <c r="O80" s="280"/>
      <c r="P80" s="280"/>
      <c r="Q80" s="280"/>
      <c r="R80" s="280"/>
      <c r="S80" s="2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row>
    <row r="81" spans="1:78">
      <c r="A81" s="281" t="s">
        <v>326</v>
      </c>
      <c r="B81" s="282">
        <v>0.56010000000000004</v>
      </c>
      <c r="C81" s="282">
        <v>0.41789999999999999</v>
      </c>
      <c r="D81" s="282">
        <v>0.40710000000000002</v>
      </c>
      <c r="E81" s="282">
        <v>0.39639999999999997</v>
      </c>
      <c r="F81" s="282">
        <v>0.38569999999999999</v>
      </c>
      <c r="G81" s="282">
        <v>0.37719999999999998</v>
      </c>
      <c r="H81" s="270">
        <v>-1.9335502070624101E-2</v>
      </c>
      <c r="I81" s="271">
        <v>-5.2229753729545799E-3</v>
      </c>
      <c r="J81" s="271">
        <v>-5.3128472502146397E-3</v>
      </c>
      <c r="K81" s="271">
        <v>-5.4578390293750197E-3</v>
      </c>
      <c r="L81" s="272">
        <v>-1.1135952148868501E-3</v>
      </c>
      <c r="M81"/>
      <c r="N81" s="280"/>
      <c r="O81" s="280"/>
      <c r="P81" s="280"/>
      <c r="Q81" s="280"/>
      <c r="R81" s="280"/>
      <c r="S81" s="280"/>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row>
    <row r="82" spans="1:78">
      <c r="A82" s="281" t="s">
        <v>327</v>
      </c>
      <c r="B82" s="282">
        <v>4.3108000000000004</v>
      </c>
      <c r="C82" s="282">
        <v>3.5078999999999998</v>
      </c>
      <c r="D82" s="282">
        <v>3.4723000000000002</v>
      </c>
      <c r="E82" s="282">
        <v>3.4371</v>
      </c>
      <c r="F82" s="282">
        <v>3.4016000000000002</v>
      </c>
      <c r="G82" s="282">
        <v>3.3660000000000001</v>
      </c>
      <c r="H82" s="270">
        <v>-1.3646427238164199E-2</v>
      </c>
      <c r="I82" s="271">
        <v>-2.0379943111109599E-3</v>
      </c>
      <c r="J82" s="271">
        <v>-2.03574625402381E-3</v>
      </c>
      <c r="K82" s="271">
        <v>-2.0742823807102799E-3</v>
      </c>
      <c r="L82" s="272">
        <v>-5.2590233470839497E-4</v>
      </c>
      <c r="M82"/>
      <c r="N82" s="280"/>
      <c r="O82" s="280"/>
      <c r="P82" s="280"/>
      <c r="Q82" s="280"/>
      <c r="R82" s="280"/>
      <c r="S82" s="280"/>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row>
    <row r="83" spans="1:78">
      <c r="A83" s="281" t="s">
        <v>328</v>
      </c>
      <c r="B83" s="282">
        <v>0</v>
      </c>
      <c r="C83" s="282">
        <v>0</v>
      </c>
      <c r="D83" s="282">
        <v>0</v>
      </c>
      <c r="E83" s="282">
        <v>0</v>
      </c>
      <c r="F83" s="282">
        <v>0</v>
      </c>
      <c r="G83" s="282">
        <v>0</v>
      </c>
      <c r="H83" s="270" t="e">
        <f>#DIV/0!</f>
        <v>#DIV/0!</v>
      </c>
      <c r="I83" s="271" t="e">
        <f>#DIV/0!</f>
        <v>#DIV/0!</v>
      </c>
      <c r="J83" s="271" t="e">
        <f>#DIV/0!</f>
        <v>#DIV/0!</v>
      </c>
      <c r="K83" s="271" t="e">
        <f>#DIV/0!</f>
        <v>#DIV/0!</v>
      </c>
      <c r="L83" s="272" t="e">
        <f>#DIV/0!</f>
        <v>#DIV/0!</v>
      </c>
      <c r="M83"/>
      <c r="N83" s="280"/>
      <c r="O83" s="280"/>
      <c r="P83" s="280"/>
      <c r="Q83" s="280"/>
      <c r="R83" s="280"/>
      <c r="S83" s="280"/>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row>
    <row r="84" spans="1:78">
      <c r="A84" s="278" t="s">
        <v>118</v>
      </c>
      <c r="B84" s="264">
        <v>3.6520000000000001</v>
      </c>
      <c r="C84" s="264">
        <v>2.6435</v>
      </c>
      <c r="D84" s="264">
        <v>2.7433000000000001</v>
      </c>
      <c r="E84" s="264">
        <v>2.7486000000000002</v>
      </c>
      <c r="F84" s="264">
        <v>2.8064</v>
      </c>
      <c r="G84" s="264">
        <v>2.9599000000000002</v>
      </c>
      <c r="H84" s="270">
        <v>-2.1314314216928198E-2</v>
      </c>
      <c r="I84" s="271">
        <v>7.4390892762887803E-3</v>
      </c>
      <c r="J84" s="271">
        <v>3.8609768850328402E-4</v>
      </c>
      <c r="K84" s="271">
        <v>4.17084025586023E-3</v>
      </c>
      <c r="L84" s="272">
        <v>2.6661960349014802E-3</v>
      </c>
      <c r="M84"/>
      <c r="N84" s="280"/>
      <c r="O84" s="280"/>
      <c r="P84" s="280"/>
      <c r="Q84" s="280"/>
      <c r="R84" s="280"/>
      <c r="S84" s="280"/>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row>
    <row r="85" spans="1:78">
      <c r="A85" s="281" t="s">
        <v>329</v>
      </c>
      <c r="B85" s="282">
        <v>1.4896</v>
      </c>
      <c r="C85" s="282">
        <v>1.1833</v>
      </c>
      <c r="D85" s="282">
        <v>1.2706</v>
      </c>
      <c r="E85" s="282">
        <v>1.2706</v>
      </c>
      <c r="F85" s="282">
        <v>1.2705</v>
      </c>
      <c r="G85" s="282">
        <v>1.1798</v>
      </c>
      <c r="H85" s="270">
        <v>-1.5229538334533801E-2</v>
      </c>
      <c r="I85" s="271">
        <v>1.4338237283377801E-2</v>
      </c>
      <c r="J85" s="271">
        <v>0</v>
      </c>
      <c r="K85" s="271">
        <v>-1.5741090550580601E-5</v>
      </c>
      <c r="L85" s="272">
        <v>-3.6964308766183102E-3</v>
      </c>
      <c r="M85"/>
      <c r="N85" s="280"/>
      <c r="O85" s="280"/>
      <c r="P85" s="280"/>
      <c r="Q85" s="280"/>
      <c r="R85" s="280"/>
      <c r="S85" s="280"/>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row>
    <row r="86" spans="1:78">
      <c r="A86" s="281" t="s">
        <v>330</v>
      </c>
      <c r="B86" s="282">
        <v>1.1727000000000001</v>
      </c>
      <c r="C86" s="282">
        <v>0.98470000000000002</v>
      </c>
      <c r="D86" s="282">
        <v>0.95599999999999996</v>
      </c>
      <c r="E86" s="282">
        <v>0.89870000000000005</v>
      </c>
      <c r="F86" s="282">
        <v>0.89870000000000005</v>
      </c>
      <c r="G86" s="282">
        <v>0.77249999999999996</v>
      </c>
      <c r="H86" s="270">
        <v>-1.15808882576653E-2</v>
      </c>
      <c r="I86" s="271">
        <v>-5.8983586167073998E-3</v>
      </c>
      <c r="J86" s="271">
        <v>-1.2285635388609301E-2</v>
      </c>
      <c r="K86" s="271">
        <v>0</v>
      </c>
      <c r="L86" s="272">
        <v>-7.53731419582315E-3</v>
      </c>
      <c r="M86"/>
      <c r="N86" s="280"/>
      <c r="O86" s="280"/>
      <c r="P86" s="280"/>
      <c r="Q86" s="280"/>
      <c r="R86" s="280"/>
      <c r="S86" s="280"/>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row>
    <row r="87" spans="1:78">
      <c r="A87" s="278" t="s">
        <v>121</v>
      </c>
      <c r="B87" s="264">
        <v>3.6766999999999999</v>
      </c>
      <c r="C87" s="264">
        <v>4.0911</v>
      </c>
      <c r="D87" s="264">
        <v>4.1436999999999999</v>
      </c>
      <c r="E87" s="264">
        <v>4.1585999999999999</v>
      </c>
      <c r="F87" s="264">
        <v>4.1642000000000001</v>
      </c>
      <c r="G87" s="264">
        <v>4.9579000000000004</v>
      </c>
      <c r="H87" s="270">
        <v>7.1452914287142297E-3</v>
      </c>
      <c r="I87" s="271">
        <v>2.5583121026373501E-3</v>
      </c>
      <c r="J87" s="271">
        <v>7.1813186442937205E-4</v>
      </c>
      <c r="K87" s="271">
        <v>2.6917645530222202E-4</v>
      </c>
      <c r="L87" s="272">
        <v>8.7610595723068806E-3</v>
      </c>
      <c r="M87"/>
      <c r="N87" s="280"/>
      <c r="O87" s="280"/>
      <c r="P87" s="280"/>
      <c r="Q87" s="280"/>
      <c r="R87" s="280"/>
      <c r="S87" s="280"/>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row>
    <row r="88" spans="1:78">
      <c r="A88" s="281" t="s">
        <v>331</v>
      </c>
      <c r="B88" s="282">
        <v>0.7994</v>
      </c>
      <c r="C88" s="282">
        <v>0.79079999999999995</v>
      </c>
      <c r="D88" s="282">
        <v>0.76119999999999999</v>
      </c>
      <c r="E88" s="282">
        <v>0.73160000000000003</v>
      </c>
      <c r="F88" s="282">
        <v>0.70209999999999995</v>
      </c>
      <c r="G88" s="282">
        <v>0.70209999999999995</v>
      </c>
      <c r="H88" s="270">
        <v>-7.2083040889703298E-4</v>
      </c>
      <c r="I88" s="271">
        <v>-7.6007582036337097E-3</v>
      </c>
      <c r="J88" s="271">
        <v>-7.9010649739121898E-3</v>
      </c>
      <c r="K88" s="271">
        <v>-8.1978275307315104E-3</v>
      </c>
      <c r="L88" s="272">
        <v>0</v>
      </c>
      <c r="M88"/>
      <c r="N88" s="280"/>
      <c r="O88" s="280"/>
      <c r="P88" s="280"/>
      <c r="Q88" s="280"/>
      <c r="R88" s="280"/>
      <c r="S88" s="280"/>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row>
    <row r="89" spans="1:78">
      <c r="A89" s="278" t="s">
        <v>123</v>
      </c>
      <c r="B89" s="264">
        <v>2.4811999999999999</v>
      </c>
      <c r="C89" s="264">
        <v>1.8880999999999999</v>
      </c>
      <c r="D89" s="264">
        <v>1.9181999999999999</v>
      </c>
      <c r="E89" s="264">
        <v>1.9128000000000001</v>
      </c>
      <c r="F89" s="264">
        <v>1.8733</v>
      </c>
      <c r="G89" s="264">
        <v>2.4579</v>
      </c>
      <c r="H89" s="270">
        <v>-1.8046592979841101E-2</v>
      </c>
      <c r="I89" s="271">
        <v>3.16825110977303E-3</v>
      </c>
      <c r="J89" s="271">
        <v>-5.6366291228771004E-4</v>
      </c>
      <c r="K89" s="271">
        <v>-4.1646149739722497E-3</v>
      </c>
      <c r="L89" s="272">
        <v>1.3672918211887101E-2</v>
      </c>
      <c r="M89"/>
      <c r="N89" s="280"/>
      <c r="O89" s="280"/>
      <c r="P89" s="280"/>
      <c r="Q89" s="280"/>
      <c r="R89" s="280"/>
      <c r="S89" s="280"/>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row>
    <row r="90" spans="1:78">
      <c r="A90" s="278" t="s">
        <v>124</v>
      </c>
      <c r="B90" s="264">
        <v>4.1561000000000003</v>
      </c>
      <c r="C90" s="264">
        <v>3.4727000000000001</v>
      </c>
      <c r="D90" s="264">
        <v>3.2130000000000001</v>
      </c>
      <c r="E90" s="264">
        <v>3.2161</v>
      </c>
      <c r="F90" s="264">
        <v>3.2155</v>
      </c>
      <c r="G90" s="264">
        <v>3.3597999999999999</v>
      </c>
      <c r="H90" s="270">
        <v>-1.19048857107346E-2</v>
      </c>
      <c r="I90" s="271">
        <v>-1.54252548544122E-2</v>
      </c>
      <c r="J90" s="271">
        <v>1.9289164658897699E-4</v>
      </c>
      <c r="K90" s="271">
        <v>-3.7315057351383602E-5</v>
      </c>
      <c r="L90" s="272">
        <v>2.19733971030589E-3</v>
      </c>
      <c r="M90"/>
      <c r="N90" s="280"/>
      <c r="O90" s="280"/>
      <c r="P90" s="280"/>
      <c r="Q90" s="280"/>
      <c r="R90" s="280"/>
      <c r="S90" s="28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row>
    <row r="91" spans="1:78">
      <c r="A91" s="281" t="s">
        <v>332</v>
      </c>
      <c r="B91" s="282">
        <v>2.7366000000000001</v>
      </c>
      <c r="C91" s="282">
        <v>2.4272999999999998</v>
      </c>
      <c r="D91" s="282">
        <v>2.1516000000000002</v>
      </c>
      <c r="E91" s="282">
        <v>2.1516000000000002</v>
      </c>
      <c r="F91" s="282">
        <v>2.1516000000000002</v>
      </c>
      <c r="G91" s="282">
        <v>2.1516000000000002</v>
      </c>
      <c r="H91" s="270">
        <v>-7.9639017862079796E-3</v>
      </c>
      <c r="I91" s="271">
        <v>-2.3825146478264701E-2</v>
      </c>
      <c r="J91" s="271">
        <v>0</v>
      </c>
      <c r="K91" s="271">
        <v>0</v>
      </c>
      <c r="L91" s="272">
        <v>0</v>
      </c>
      <c r="M91"/>
      <c r="N91" s="280"/>
      <c r="O91" s="280"/>
      <c r="P91" s="280"/>
      <c r="Q91" s="280"/>
      <c r="R91" s="280"/>
      <c r="S91" s="280"/>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row>
    <row r="92" spans="1:78">
      <c r="A92" s="244"/>
      <c r="B92" s="245"/>
      <c r="C92" s="245"/>
      <c r="D92" s="245"/>
      <c r="E92" s="245"/>
      <c r="F92" s="245"/>
      <c r="G92" s="245"/>
      <c r="H92" s="270"/>
      <c r="I92" s="271"/>
      <c r="J92" s="271"/>
      <c r="K92" s="271"/>
      <c r="L92" s="27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row>
    <row r="93" spans="1:78">
      <c r="A93" s="244"/>
      <c r="B93" s="245"/>
      <c r="C93" s="245"/>
      <c r="D93" s="245"/>
      <c r="E93" s="245"/>
      <c r="F93" s="245"/>
      <c r="G93" s="245"/>
      <c r="H93" s="270"/>
      <c r="I93" s="271"/>
      <c r="J93" s="271"/>
      <c r="K93" s="271"/>
      <c r="L93" s="272"/>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row>
    <row r="94" spans="1:78" ht="15" thickBot="1">
      <c r="A94" s="253" t="s">
        <v>10</v>
      </c>
      <c r="B94" s="273">
        <v>27.5228</v>
      </c>
      <c r="C94" s="273">
        <v>21.892399999999999</v>
      </c>
      <c r="D94" s="273">
        <v>21.755700000000001</v>
      </c>
      <c r="E94" s="273">
        <v>21.723600000000001</v>
      </c>
      <c r="F94" s="273">
        <v>21.683199999999999</v>
      </c>
      <c r="G94" s="273">
        <v>23.712399999999999</v>
      </c>
      <c r="H94" s="275">
        <v>-1.5142528399887599E-2</v>
      </c>
      <c r="I94" s="276">
        <v>-1.25196612833756E-3</v>
      </c>
      <c r="J94" s="276">
        <v>-2.9526939508450799E-4</v>
      </c>
      <c r="K94" s="276">
        <v>-3.7222271439563099E-4</v>
      </c>
      <c r="L94" s="277">
        <v>4.4830364212027404E-3</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row>
    <row r="95" spans="1:78" ht="15" thickBot="1">
      <c r="A95" s="258"/>
      <c r="B95"/>
      <c r="C95"/>
      <c r="D95"/>
      <c r="E95" s="236"/>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row>
    <row r="96" spans="1:78" ht="15" thickBot="1">
      <c r="A96" s="284" t="s">
        <v>126</v>
      </c>
      <c r="B96" s="285">
        <v>16.929500000000001</v>
      </c>
      <c r="C96" s="285">
        <v>12.960800000000001</v>
      </c>
      <c r="D96" s="285">
        <v>12.480499999999999</v>
      </c>
      <c r="E96" s="285">
        <v>12.231400000000001</v>
      </c>
      <c r="F96" s="285">
        <v>12.0359</v>
      </c>
      <c r="G96" s="285">
        <v>11.3055</v>
      </c>
      <c r="H96" s="286">
        <v>-1.76509145787325E-2</v>
      </c>
      <c r="I96" s="287">
        <v>-7.5239505361731603E-3</v>
      </c>
      <c r="J96" s="287">
        <v>-4.0240836855555103E-3</v>
      </c>
      <c r="K96" s="287">
        <v>-3.2173263637790299E-3</v>
      </c>
      <c r="L96" s="288">
        <v>-3.1253318186170698E-3</v>
      </c>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row>
    <row r="97" spans="1:78">
      <c r="A97" s="289"/>
      <c r="B97" s="290"/>
      <c r="C97" s="290"/>
      <c r="D97" s="290"/>
      <c r="E97" s="290"/>
      <c r="F97" s="290"/>
      <c r="G97" s="290"/>
      <c r="H97" s="271"/>
      <c r="I97" s="271"/>
      <c r="J97" s="271"/>
      <c r="K97" s="271"/>
      <c r="L97" s="271"/>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row>
    <row r="98" spans="1:78">
      <c r="A98"/>
      <c r="B98"/>
      <c r="C98"/>
      <c r="D98"/>
      <c r="E98"/>
      <c r="F98" s="260"/>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row>
    <row r="99" spans="1:78" ht="16" thickBot="1">
      <c r="A99" s="237" t="s">
        <v>130</v>
      </c>
      <c r="B99" s="238"/>
      <c r="C99" s="238"/>
      <c r="D99" s="238"/>
      <c r="E99" s="238"/>
      <c r="F99" s="238"/>
      <c r="G99" s="239"/>
      <c r="H99" s="239"/>
      <c r="I99" s="239"/>
      <c r="J99" s="239"/>
      <c r="K99" s="239"/>
      <c r="L99" s="23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row>
    <row r="100" spans="1:78" ht="15" thickBot="1">
      <c r="A100" s="240"/>
      <c r="B100" s="241">
        <v>2000</v>
      </c>
      <c r="C100" s="241">
        <v>2015</v>
      </c>
      <c r="D100" s="241">
        <v>2020</v>
      </c>
      <c r="E100" s="241">
        <v>2025</v>
      </c>
      <c r="F100" s="241">
        <v>2030</v>
      </c>
      <c r="G100" s="241">
        <v>2050</v>
      </c>
      <c r="H100" s="261" t="s">
        <v>98</v>
      </c>
      <c r="I100" s="262" t="s">
        <v>99</v>
      </c>
      <c r="J100" s="262" t="s">
        <v>100</v>
      </c>
      <c r="K100" s="262" t="s">
        <v>101</v>
      </c>
      <c r="L100" s="263" t="s">
        <v>323</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row>
    <row r="101" spans="1:78" ht="15" thickBot="1">
      <c r="A101" s="253" t="s">
        <v>131</v>
      </c>
      <c r="B101" s="294">
        <v>0.14861332923950199</v>
      </c>
      <c r="C101" s="294">
        <v>0.110941580597999</v>
      </c>
      <c r="D101" s="294">
        <v>0.10396332292291301</v>
      </c>
      <c r="E101" s="294">
        <v>9.9385626244271399E-2</v>
      </c>
      <c r="F101" s="294">
        <v>9.4579979036345102E-2</v>
      </c>
      <c r="G101" s="294">
        <v>8.2360372895128306E-2</v>
      </c>
      <c r="H101" s="275">
        <v>-1.9300909856419E-2</v>
      </c>
      <c r="I101" s="276">
        <v>-1.29090716677155E-2</v>
      </c>
      <c r="J101" s="276">
        <v>-8.9657011857309198E-3</v>
      </c>
      <c r="K101" s="276">
        <v>-9.8633712034121909E-3</v>
      </c>
      <c r="L101" s="277">
        <v>-6.8932024225259996E-3</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row>
    <row r="102" spans="1:78">
      <c r="A102" s="295"/>
      <c r="B102"/>
      <c r="C102"/>
      <c r="D102"/>
      <c r="E102"/>
      <c r="F102" s="260"/>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row>
    <row r="103" spans="1:78">
      <c r="A103"/>
      <c r="B103"/>
      <c r="C103"/>
      <c r="D103"/>
      <c r="E103"/>
      <c r="F103" s="260"/>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row>
    <row r="104" spans="1:78" ht="21">
      <c r="A104" s="234" t="s">
        <v>132</v>
      </c>
      <c r="B104" s="224"/>
      <c r="C104" s="224"/>
      <c r="D104" s="224"/>
      <c r="E104" s="224"/>
      <c r="F104" s="224"/>
      <c r="G104" s="296"/>
      <c r="H104" s="296"/>
      <c r="I104" s="296"/>
      <c r="J104" s="296"/>
      <c r="K104" s="296"/>
      <c r="L104" s="296"/>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row>
    <row r="105" spans="1:78">
      <c r="A105"/>
      <c r="B105"/>
      <c r="C105"/>
      <c r="D105"/>
      <c r="E105"/>
      <c r="F105" s="260"/>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row>
    <row r="106" spans="1:78" ht="16" thickBot="1">
      <c r="A106" s="237" t="s">
        <v>133</v>
      </c>
      <c r="B106" s="238"/>
      <c r="C106" s="238"/>
      <c r="D106" s="238"/>
      <c r="E106" s="238"/>
      <c r="F106" s="238"/>
      <c r="G106" s="239"/>
      <c r="H106" s="239"/>
      <c r="I106" s="239"/>
      <c r="J106" s="239"/>
      <c r="K106" s="239"/>
      <c r="L106" s="239"/>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row>
    <row r="107" spans="1:78" ht="15" thickBot="1">
      <c r="A107" s="240" t="s">
        <v>51</v>
      </c>
      <c r="B107" s="241">
        <v>2000</v>
      </c>
      <c r="C107" s="241">
        <v>2015</v>
      </c>
      <c r="D107" s="241">
        <v>2020</v>
      </c>
      <c r="E107" s="241">
        <v>2025</v>
      </c>
      <c r="F107" s="241">
        <v>2030</v>
      </c>
      <c r="G107" s="241">
        <v>2050</v>
      </c>
      <c r="H107" s="261" t="s">
        <v>98</v>
      </c>
      <c r="I107" s="262" t="s">
        <v>99</v>
      </c>
      <c r="J107" s="262" t="s">
        <v>100</v>
      </c>
      <c r="K107" s="262" t="s">
        <v>101</v>
      </c>
      <c r="L107" s="263" t="s">
        <v>323</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row>
    <row r="108" spans="1:78">
      <c r="A108" s="244" t="s">
        <v>103</v>
      </c>
      <c r="B108" s="245">
        <v>9.0759000000000007</v>
      </c>
      <c r="C108" s="245">
        <v>6.5214999999999996</v>
      </c>
      <c r="D108" s="245">
        <v>5.1642000000000001</v>
      </c>
      <c r="E108" s="245">
        <v>4.3639999999999999</v>
      </c>
      <c r="F108" s="245">
        <v>3.6859000000000002</v>
      </c>
      <c r="G108" s="245">
        <v>2.8035000000000001</v>
      </c>
      <c r="H108" s="265">
        <v>-2.17935552584426E-2</v>
      </c>
      <c r="I108" s="266">
        <v>-4.5598505014204697E-2</v>
      </c>
      <c r="J108" s="266">
        <v>-3.3111627186345201E-2</v>
      </c>
      <c r="K108" s="266">
        <v>-3.3210864451994698E-2</v>
      </c>
      <c r="L108" s="267">
        <v>-1.35891273449983E-2</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row>
    <row r="109" spans="1:78">
      <c r="A109" s="244" t="s">
        <v>54</v>
      </c>
      <c r="B109" s="245">
        <v>15.005599999999999</v>
      </c>
      <c r="C109" s="245">
        <v>14.2493</v>
      </c>
      <c r="D109" s="245">
        <v>12.052199999999999</v>
      </c>
      <c r="E109" s="245">
        <v>11.236800000000001</v>
      </c>
      <c r="F109" s="245">
        <v>10.642799999999999</v>
      </c>
      <c r="G109" s="245">
        <v>9.4556000000000004</v>
      </c>
      <c r="H109" s="270">
        <v>-3.44177560248382E-3</v>
      </c>
      <c r="I109" s="271">
        <v>-3.2937461927411801E-2</v>
      </c>
      <c r="J109" s="271">
        <v>-1.39129299038766E-2</v>
      </c>
      <c r="K109" s="271">
        <v>-1.0803320256092101E-2</v>
      </c>
      <c r="L109" s="272">
        <v>-5.8963702023894201E-3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row>
    <row r="110" spans="1:78">
      <c r="A110" s="244" t="s">
        <v>42</v>
      </c>
      <c r="B110" s="245">
        <v>0.06</v>
      </c>
      <c r="C110" s="245">
        <v>8.1900000000000001E-2</v>
      </c>
      <c r="D110" s="245">
        <v>1.0500000000000001E-2</v>
      </c>
      <c r="E110" s="245">
        <v>1.2E-2</v>
      </c>
      <c r="F110" s="245">
        <v>8.8000000000000005E-3</v>
      </c>
      <c r="G110" s="245">
        <v>7.1000000000000004E-3</v>
      </c>
      <c r="H110" s="270">
        <v>2.0960273043430001E-2</v>
      </c>
      <c r="I110" s="271">
        <v>-0.33689686759559401</v>
      </c>
      <c r="J110" s="271">
        <v>2.7066087089351799E-2</v>
      </c>
      <c r="K110" s="271">
        <v>-6.0146235650011301E-2</v>
      </c>
      <c r="L110" s="272">
        <v>-1.0675455379070199E-2</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row>
    <row r="111" spans="1:78">
      <c r="A111" s="244" t="s">
        <v>104</v>
      </c>
      <c r="B111" s="245">
        <v>10.5669</v>
      </c>
      <c r="C111" s="245">
        <v>12.6416</v>
      </c>
      <c r="D111" s="245">
        <v>12.3057</v>
      </c>
      <c r="E111" s="245">
        <v>12.1876</v>
      </c>
      <c r="F111" s="245">
        <v>12.1678</v>
      </c>
      <c r="G111" s="245">
        <v>12.6196</v>
      </c>
      <c r="H111" s="270">
        <v>1.20227989987569E-2</v>
      </c>
      <c r="I111" s="271">
        <v>-5.3715997482802801E-3</v>
      </c>
      <c r="J111" s="271">
        <v>-1.9268468925702799E-3</v>
      </c>
      <c r="K111" s="271">
        <v>-3.2513176350812401E-4</v>
      </c>
      <c r="L111" s="272">
        <v>1.8245646272585501E-3</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row>
    <row r="112" spans="1:78">
      <c r="A112" s="244" t="s">
        <v>105</v>
      </c>
      <c r="B112" s="245">
        <v>1.752</v>
      </c>
      <c r="C112" s="245">
        <v>1.3252999999999999</v>
      </c>
      <c r="D112" s="245">
        <v>1.4417</v>
      </c>
      <c r="E112" s="245">
        <v>1.4137999999999999</v>
      </c>
      <c r="F112" s="245">
        <v>1.3756999999999999</v>
      </c>
      <c r="G112" s="245">
        <v>1.2588999999999999</v>
      </c>
      <c r="H112" s="270">
        <v>-1.8435884011240002E-2</v>
      </c>
      <c r="I112" s="271">
        <v>1.69793629604462E-2</v>
      </c>
      <c r="J112" s="271">
        <v>-3.9007438724438801E-3</v>
      </c>
      <c r="K112" s="271">
        <v>-5.4487856764971997E-3</v>
      </c>
      <c r="L112" s="272">
        <v>-4.4263929524347399E-3</v>
      </c>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row>
    <row r="113" spans="1:78">
      <c r="A113" s="244" t="s">
        <v>134</v>
      </c>
      <c r="B113" s="245">
        <v>6.2961</v>
      </c>
      <c r="C113" s="245">
        <v>6.7679</v>
      </c>
      <c r="D113" s="245">
        <v>7.2196999999999996</v>
      </c>
      <c r="E113" s="245">
        <v>7.2439</v>
      </c>
      <c r="F113" s="245">
        <v>7.2420000000000098</v>
      </c>
      <c r="G113" s="245">
        <v>6.9114000000000004</v>
      </c>
      <c r="H113" s="270">
        <v>4.8289856636014603E-3</v>
      </c>
      <c r="I113" s="271">
        <v>1.30083932829694E-2</v>
      </c>
      <c r="J113" s="271">
        <v>6.6949092969248501E-4</v>
      </c>
      <c r="K113" s="271">
        <v>-5.2463434655591903E-5</v>
      </c>
      <c r="L113" s="272">
        <v>-2.3335325281442802E-3</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row>
    <row r="114" spans="1:78">
      <c r="A114" s="244" t="s">
        <v>135</v>
      </c>
      <c r="B114" s="245">
        <v>2.0799999999999999E-2</v>
      </c>
      <c r="C114" s="245">
        <v>8.5300000000000001E-2</v>
      </c>
      <c r="D114" s="245">
        <v>0.1007</v>
      </c>
      <c r="E114" s="245">
        <v>0.1164</v>
      </c>
      <c r="F114" s="245">
        <v>0.1183</v>
      </c>
      <c r="G114" s="245">
        <v>0.12470000000000001</v>
      </c>
      <c r="H114" s="270"/>
      <c r="I114" s="271"/>
      <c r="J114" s="271"/>
      <c r="K114" s="271"/>
      <c r="L114" s="272"/>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row>
    <row r="115" spans="1:78">
      <c r="A115" s="244" t="s">
        <v>136</v>
      </c>
      <c r="B115" s="245">
        <v>0</v>
      </c>
      <c r="C115" s="245">
        <v>0.420688103993204</v>
      </c>
      <c r="D115" s="245">
        <v>0.65528600572635798</v>
      </c>
      <c r="E115" s="245">
        <v>0.85316975623719604</v>
      </c>
      <c r="F115" s="245">
        <v>1.0269460024889701</v>
      </c>
      <c r="G115" s="245">
        <v>1.45611201019554</v>
      </c>
      <c r="H115" s="270"/>
      <c r="I115" s="271"/>
      <c r="J115" s="271"/>
      <c r="K115" s="271"/>
      <c r="L115" s="272"/>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row>
    <row r="116" spans="1:78">
      <c r="A116" s="244"/>
      <c r="B116" s="245"/>
      <c r="C116" s="245"/>
      <c r="D116" s="245"/>
      <c r="E116" s="245"/>
      <c r="F116" s="245"/>
      <c r="G116" s="297"/>
      <c r="H116" s="270"/>
      <c r="I116" s="271"/>
      <c r="J116" s="271"/>
      <c r="K116" s="271"/>
      <c r="L116" s="272"/>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row>
    <row r="117" spans="1:78" ht="15" thickBot="1">
      <c r="A117" s="298" t="s">
        <v>10</v>
      </c>
      <c r="B117" s="299">
        <v>42.777299999999997</v>
      </c>
      <c r="C117" s="299">
        <v>42.093488103993202</v>
      </c>
      <c r="D117" s="299">
        <v>38.949986005726402</v>
      </c>
      <c r="E117" s="299">
        <v>37.427669756237201</v>
      </c>
      <c r="F117" s="299">
        <v>36.268246002489001</v>
      </c>
      <c r="G117" s="299">
        <v>34.636912010195502</v>
      </c>
      <c r="H117" s="275">
        <v>-1.0737255569641701E-3</v>
      </c>
      <c r="I117" s="276">
        <v>-1.54030681153818E-2</v>
      </c>
      <c r="J117" s="276">
        <v>-7.9419247568907093E-3</v>
      </c>
      <c r="K117" s="276">
        <v>-6.27377144735408E-3</v>
      </c>
      <c r="L117" s="277">
        <v>-2.2984873308317102E-3</v>
      </c>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row>
    <row r="118" spans="1:78">
      <c r="A118" s="258"/>
      <c r="B118" s="236"/>
      <c r="C118" s="236"/>
      <c r="D118" s="236"/>
      <c r="E118" s="236"/>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row>
    <row r="119" spans="1:78">
      <c r="A119"/>
      <c r="B119" s="236"/>
      <c r="C119" s="236"/>
      <c r="D119" s="236"/>
      <c r="E119" s="236"/>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row>
    <row r="120" spans="1:78" ht="16" thickBot="1">
      <c r="A120" s="237" t="s">
        <v>137</v>
      </c>
      <c r="B120" s="239"/>
      <c r="C120" s="239"/>
      <c r="D120" s="239"/>
      <c r="E120" s="239"/>
      <c r="F120" s="239"/>
      <c r="G120" s="239"/>
      <c r="H120" s="239"/>
      <c r="I120" s="239"/>
      <c r="J120" s="239"/>
      <c r="K120" s="239"/>
      <c r="L120" s="239"/>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row>
    <row r="121" spans="1:78" ht="15" thickBot="1">
      <c r="A121" s="240" t="s">
        <v>51</v>
      </c>
      <c r="B121" s="241">
        <v>2000</v>
      </c>
      <c r="C121" s="241">
        <v>2015</v>
      </c>
      <c r="D121" s="241">
        <v>2020</v>
      </c>
      <c r="E121" s="241">
        <v>2025</v>
      </c>
      <c r="F121" s="241">
        <v>2030</v>
      </c>
      <c r="G121" s="241">
        <v>2050</v>
      </c>
      <c r="H121" s="261" t="s">
        <v>98</v>
      </c>
      <c r="I121" s="262" t="s">
        <v>99</v>
      </c>
      <c r="J121" s="262" t="s">
        <v>100</v>
      </c>
      <c r="K121" s="262" t="s">
        <v>101</v>
      </c>
      <c r="L121" s="263" t="s">
        <v>323</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row>
    <row r="122" spans="1:78">
      <c r="A122" s="244" t="s">
        <v>138</v>
      </c>
      <c r="B122" s="245">
        <v>30.922000000000001</v>
      </c>
      <c r="C122" s="245">
        <v>28.023920309676601</v>
      </c>
      <c r="D122" s="245">
        <v>24.912528596675799</v>
      </c>
      <c r="E122" s="245">
        <v>23.5361416462416</v>
      </c>
      <c r="F122" s="245">
        <v>22.5010829799809</v>
      </c>
      <c r="G122" s="245">
        <v>20.207454330937399</v>
      </c>
      <c r="H122" s="265">
        <v>-6.5391568771049303E-3</v>
      </c>
      <c r="I122" s="266">
        <v>-2.32626749266578E-2</v>
      </c>
      <c r="J122" s="266">
        <v>-1.1302373056406001E-2</v>
      </c>
      <c r="K122" s="266">
        <v>-8.9544165915632599E-3</v>
      </c>
      <c r="L122" s="267">
        <v>-5.3611712440481104E-3</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row>
    <row r="123" spans="1:78">
      <c r="A123" s="244" t="s">
        <v>139</v>
      </c>
      <c r="B123" s="245">
        <v>4.4291</v>
      </c>
      <c r="C123" s="245">
        <v>4.6972677943166401</v>
      </c>
      <c r="D123" s="245">
        <v>4.4479574090505798</v>
      </c>
      <c r="E123" s="245">
        <v>4.3295281099956302</v>
      </c>
      <c r="F123" s="245">
        <v>4.2373630225080401</v>
      </c>
      <c r="G123" s="245">
        <v>4.09635767925809</v>
      </c>
      <c r="H123" s="270">
        <v>3.9266636335164602E-3</v>
      </c>
      <c r="I123" s="271">
        <v>-1.0847939635284E-2</v>
      </c>
      <c r="J123" s="271">
        <v>-5.3827462339912603E-3</v>
      </c>
      <c r="K123" s="271">
        <v>-4.2942347802371597E-3</v>
      </c>
      <c r="L123" s="272">
        <v>-1.69071608403115E-3</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row>
    <row r="124" spans="1:78">
      <c r="A124" s="244" t="s">
        <v>140</v>
      </c>
      <c r="B124" s="245">
        <v>2.4603000000000002</v>
      </c>
      <c r="C124" s="245">
        <v>2.6871999999999998</v>
      </c>
      <c r="D124" s="245">
        <v>2.7454999999999998</v>
      </c>
      <c r="E124" s="245">
        <v>2.7967</v>
      </c>
      <c r="F124" s="245">
        <v>2.8445</v>
      </c>
      <c r="G124" s="245">
        <v>2.9962</v>
      </c>
      <c r="H124" s="270">
        <v>5.89842531274898E-3</v>
      </c>
      <c r="I124" s="271">
        <v>4.3019164743893796E-3</v>
      </c>
      <c r="J124" s="271">
        <v>3.70222495769901E-3</v>
      </c>
      <c r="K124" s="271">
        <v>3.39518151968621E-3</v>
      </c>
      <c r="L124" s="272">
        <v>2.60125309774928E-3</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row>
    <row r="125" spans="1:78">
      <c r="A125" s="244" t="s">
        <v>141</v>
      </c>
      <c r="B125" s="245">
        <v>0.96689999999999998</v>
      </c>
      <c r="C125" s="245">
        <v>0.70150000000000001</v>
      </c>
      <c r="D125" s="245">
        <v>0.67610000000000003</v>
      </c>
      <c r="E125" s="245">
        <v>0.64649999999999996</v>
      </c>
      <c r="F125" s="245">
        <v>0.6139</v>
      </c>
      <c r="G125" s="245">
        <v>0.4284</v>
      </c>
      <c r="H125" s="270">
        <v>-2.1164434117033299E-2</v>
      </c>
      <c r="I125" s="271">
        <v>-7.3488452993424299E-3</v>
      </c>
      <c r="J125" s="271">
        <v>-8.9135954275146902E-3</v>
      </c>
      <c r="K125" s="271">
        <v>-1.0294871238786901E-2</v>
      </c>
      <c r="L125" s="272">
        <v>-1.7827904019555099E-2</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row>
    <row r="126" spans="1:78">
      <c r="A126" s="244" t="s">
        <v>142</v>
      </c>
      <c r="B126" s="245">
        <v>3.9872999999999998</v>
      </c>
      <c r="C126" s="245">
        <v>5.9343000000000004</v>
      </c>
      <c r="D126" s="245">
        <v>6.0978000000000003</v>
      </c>
      <c r="E126" s="245">
        <v>6.0098000000000003</v>
      </c>
      <c r="F126" s="245">
        <v>5.9207999999999998</v>
      </c>
      <c r="G126" s="245">
        <v>6.4943</v>
      </c>
      <c r="H126" s="270">
        <v>2.6863473013139599E-2</v>
      </c>
      <c r="I126" s="271">
        <v>5.4505954743069296E-3</v>
      </c>
      <c r="J126" s="271">
        <v>-2.9030939026749602E-3</v>
      </c>
      <c r="K126" s="271">
        <v>-2.9795314039316998E-3</v>
      </c>
      <c r="L126" s="272">
        <v>4.6333657072765702E-3</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row>
    <row r="127" spans="1:78">
      <c r="A127" s="244" t="s">
        <v>143</v>
      </c>
      <c r="B127" s="245">
        <v>1.1599999999999999E-2</v>
      </c>
      <c r="C127" s="245">
        <v>4.9200000000000001E-2</v>
      </c>
      <c r="D127" s="245">
        <v>7.0000000000000007E-2</v>
      </c>
      <c r="E127" s="245">
        <v>0.1089</v>
      </c>
      <c r="F127" s="245">
        <v>0.15049999999999999</v>
      </c>
      <c r="G127" s="245">
        <v>0.4143</v>
      </c>
      <c r="H127" s="270"/>
      <c r="I127" s="271"/>
      <c r="J127" s="271"/>
      <c r="K127" s="271"/>
      <c r="L127" s="272"/>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row>
    <row r="128" spans="1:78">
      <c r="A128" s="244"/>
      <c r="B128" s="245"/>
      <c r="C128" s="245"/>
      <c r="D128" s="245"/>
      <c r="E128" s="245"/>
      <c r="F128" s="245"/>
      <c r="G128" s="245"/>
      <c r="H128" s="270"/>
      <c r="I128" s="271"/>
      <c r="J128" s="271"/>
      <c r="K128" s="271"/>
      <c r="L128" s="272"/>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row>
    <row r="129" spans="1:78" ht="15" thickBot="1">
      <c r="A129" s="298" t="s">
        <v>10</v>
      </c>
      <c r="B129" s="299">
        <v>42.777299999999997</v>
      </c>
      <c r="C129" s="299">
        <v>42.093488103993202</v>
      </c>
      <c r="D129" s="299">
        <v>38.949986005726402</v>
      </c>
      <c r="E129" s="299">
        <v>37.427669756237201</v>
      </c>
      <c r="F129" s="299">
        <v>36.268246002489001</v>
      </c>
      <c r="G129" s="299">
        <v>34.636912010195502</v>
      </c>
      <c r="H129" s="275">
        <v>-1.0737255569641701E-3</v>
      </c>
      <c r="I129" s="276">
        <v>-1.54030681153818E-2</v>
      </c>
      <c r="J129" s="276">
        <v>-7.9419247568907093E-3</v>
      </c>
      <c r="K129" s="276">
        <v>-6.27377144735408E-3</v>
      </c>
      <c r="L129" s="277">
        <v>-2.2984873308317102E-3</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row>
    <row r="130" spans="1:78">
      <c r="A130" s="258"/>
      <c r="B130" s="236"/>
      <c r="C130" s="236"/>
      <c r="D130" s="236"/>
      <c r="E130" s="236"/>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row>
    <row r="131" spans="1:78">
      <c r="A131"/>
      <c r="B131" s="236"/>
      <c r="C131" s="236"/>
      <c r="D131" s="236"/>
      <c r="E131" s="236"/>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row>
    <row r="132" spans="1:78" ht="16" thickBot="1">
      <c r="A132" s="237" t="s">
        <v>144</v>
      </c>
      <c r="B132" s="239"/>
      <c r="C132" s="239"/>
      <c r="D132" s="239"/>
      <c r="E132" s="239"/>
      <c r="F132" s="239"/>
      <c r="G132" s="239"/>
      <c r="H132" s="239"/>
      <c r="I132" s="239"/>
      <c r="J132" s="239"/>
      <c r="K132" s="239"/>
      <c r="L132" s="239"/>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row>
    <row r="133" spans="1:78" ht="15" thickBot="1">
      <c r="A133" s="240" t="s">
        <v>51</v>
      </c>
      <c r="B133" s="241">
        <v>2000</v>
      </c>
      <c r="C133" s="241">
        <v>2015</v>
      </c>
      <c r="D133" s="241">
        <v>2020</v>
      </c>
      <c r="E133" s="241">
        <v>2025</v>
      </c>
      <c r="F133" s="241">
        <v>2030</v>
      </c>
      <c r="G133" s="241">
        <v>2050</v>
      </c>
      <c r="H133" s="261" t="s">
        <v>98</v>
      </c>
      <c r="I133" s="262" t="s">
        <v>99</v>
      </c>
      <c r="J133" s="262" t="s">
        <v>100</v>
      </c>
      <c r="K133" s="262" t="s">
        <v>101</v>
      </c>
      <c r="L133" s="263" t="s">
        <v>323</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row>
    <row r="134" spans="1:78">
      <c r="A134" s="244" t="s">
        <v>103</v>
      </c>
      <c r="B134" s="245">
        <v>9.0759000000000007</v>
      </c>
      <c r="C134" s="245">
        <v>6.5214999999999996</v>
      </c>
      <c r="D134" s="245">
        <v>5.1642000000000001</v>
      </c>
      <c r="E134" s="245">
        <v>4.3639999999999999</v>
      </c>
      <c r="F134" s="245">
        <v>3.6859000000000002</v>
      </c>
      <c r="G134" s="245">
        <v>2.8035000000000001</v>
      </c>
      <c r="H134" s="265">
        <v>-2.17935552584426E-2</v>
      </c>
      <c r="I134" s="266">
        <v>-4.5598505014204697E-2</v>
      </c>
      <c r="J134" s="266">
        <v>-3.3111627186345201E-2</v>
      </c>
      <c r="K134" s="266">
        <v>-3.3210864451994698E-2</v>
      </c>
      <c r="L134" s="267">
        <v>-1.35891273449983E-2</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row>
    <row r="135" spans="1:78">
      <c r="A135" s="244" t="s">
        <v>54</v>
      </c>
      <c r="B135" s="245">
        <v>15.005599999999999</v>
      </c>
      <c r="C135" s="245">
        <v>14.2493</v>
      </c>
      <c r="D135" s="245">
        <v>12.052199999999999</v>
      </c>
      <c r="E135" s="245">
        <v>11.236800000000001</v>
      </c>
      <c r="F135" s="245">
        <v>10.642799999999999</v>
      </c>
      <c r="G135" s="245">
        <v>9.4556000000000004</v>
      </c>
      <c r="H135" s="270">
        <v>-3.44177560248382E-3</v>
      </c>
      <c r="I135" s="271">
        <v>-3.2937461927411801E-2</v>
      </c>
      <c r="J135" s="271">
        <v>-1.39129299038766E-2</v>
      </c>
      <c r="K135" s="271">
        <v>-1.0803320256092101E-2</v>
      </c>
      <c r="L135" s="272">
        <v>-5.8963702023894201E-3</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row>
    <row r="136" spans="1:78">
      <c r="A136" s="244" t="s">
        <v>42</v>
      </c>
      <c r="B136" s="245">
        <v>0.06</v>
      </c>
      <c r="C136" s="245">
        <v>8.1900000000000001E-2</v>
      </c>
      <c r="D136" s="245">
        <v>1.0500000000000001E-2</v>
      </c>
      <c r="E136" s="245">
        <v>1.2E-2</v>
      </c>
      <c r="F136" s="245">
        <v>8.8000000000000005E-3</v>
      </c>
      <c r="G136" s="245">
        <v>7.1000000000000004E-3</v>
      </c>
      <c r="H136" s="270">
        <v>2.0960273043430001E-2</v>
      </c>
      <c r="I136" s="271">
        <v>-0.33689686759559401</v>
      </c>
      <c r="J136" s="271">
        <v>2.7066087089351799E-2</v>
      </c>
      <c r="K136" s="271">
        <v>-6.0146235650011301E-2</v>
      </c>
      <c r="L136" s="272">
        <v>-1.0675455379070199E-2</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row>
    <row r="137" spans="1:78">
      <c r="A137" s="244" t="s">
        <v>104</v>
      </c>
      <c r="B137" s="245">
        <v>5.6010999999999997</v>
      </c>
      <c r="C137" s="245">
        <v>5.9565999999999999</v>
      </c>
      <c r="D137" s="245">
        <v>5.4618000000000002</v>
      </c>
      <c r="E137" s="245">
        <v>5.4223999999999997</v>
      </c>
      <c r="F137" s="245">
        <v>5.4825999999999997</v>
      </c>
      <c r="G137" s="245">
        <v>5.2826000000000004</v>
      </c>
      <c r="H137" s="270">
        <v>4.1108826907092499E-3</v>
      </c>
      <c r="I137" s="271">
        <v>-1.7194742215482599E-2</v>
      </c>
      <c r="J137" s="271">
        <v>-1.44692896472554E-3</v>
      </c>
      <c r="K137" s="271">
        <v>2.21062365883862E-3</v>
      </c>
      <c r="L137" s="272">
        <v>-1.85632690187798E-3</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row>
    <row r="138" spans="1:78">
      <c r="A138" s="244" t="s">
        <v>105</v>
      </c>
      <c r="B138" s="245">
        <v>1.752</v>
      </c>
      <c r="C138" s="245">
        <v>1.3252999999999999</v>
      </c>
      <c r="D138" s="245">
        <v>1.4417</v>
      </c>
      <c r="E138" s="245">
        <v>1.4137999999999999</v>
      </c>
      <c r="F138" s="245">
        <v>1.3756999999999999</v>
      </c>
      <c r="G138" s="245">
        <v>1.2588999999999999</v>
      </c>
      <c r="H138" s="270">
        <v>-1.8435884011240002E-2</v>
      </c>
      <c r="I138" s="271">
        <v>1.69793629604462E-2</v>
      </c>
      <c r="J138" s="271">
        <v>-3.9007438724438801E-3</v>
      </c>
      <c r="K138" s="271">
        <v>-5.4487856764971997E-3</v>
      </c>
      <c r="L138" s="272">
        <v>-4.4263929524347399E-3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row>
    <row r="139" spans="1:78">
      <c r="A139" s="244" t="s">
        <v>134</v>
      </c>
      <c r="B139" s="245">
        <v>6.2961</v>
      </c>
      <c r="C139" s="245">
        <v>6.7679</v>
      </c>
      <c r="D139" s="245">
        <v>7.2196999999999996</v>
      </c>
      <c r="E139" s="245">
        <v>7.2439</v>
      </c>
      <c r="F139" s="245">
        <v>7.2420000000000098</v>
      </c>
      <c r="G139" s="245">
        <v>6.9114000000000004</v>
      </c>
      <c r="H139" s="270">
        <v>4.8289856636014603E-3</v>
      </c>
      <c r="I139" s="271">
        <v>1.30083932829694E-2</v>
      </c>
      <c r="J139" s="271">
        <v>6.6949092969248501E-4</v>
      </c>
      <c r="K139" s="271">
        <v>-5.2463434655591903E-5</v>
      </c>
      <c r="L139" s="272">
        <v>-2.3335325281442802E-3</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row>
    <row r="140" spans="1:78">
      <c r="A140" s="244" t="s">
        <v>135</v>
      </c>
      <c r="B140" s="245">
        <v>2.0799999999999999E-2</v>
      </c>
      <c r="C140" s="245">
        <v>8.5300000000000001E-2</v>
      </c>
      <c r="D140" s="245">
        <v>0.1007</v>
      </c>
      <c r="E140" s="245">
        <v>0.1164</v>
      </c>
      <c r="F140" s="245">
        <v>0.1183</v>
      </c>
      <c r="G140" s="245">
        <v>0.12470000000000001</v>
      </c>
      <c r="H140" s="270"/>
      <c r="I140" s="271"/>
      <c r="J140" s="271"/>
      <c r="K140" s="271"/>
      <c r="L140" s="272"/>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row>
    <row r="141" spans="1:78">
      <c r="A141" s="244" t="s">
        <v>136</v>
      </c>
      <c r="B141" s="245">
        <v>0</v>
      </c>
      <c r="C141" s="245">
        <v>0.420688103993204</v>
      </c>
      <c r="D141" s="245">
        <v>0.65528600572635798</v>
      </c>
      <c r="E141" s="245">
        <v>0.85316975623719604</v>
      </c>
      <c r="F141" s="245">
        <v>1.0269460024889701</v>
      </c>
      <c r="G141" s="245">
        <v>1.45611201019554</v>
      </c>
      <c r="H141" s="270"/>
      <c r="I141" s="271"/>
      <c r="J141" s="271"/>
      <c r="K141" s="271"/>
      <c r="L141" s="272"/>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row>
    <row r="142" spans="1:78">
      <c r="A142" s="244"/>
      <c r="B142" s="245"/>
      <c r="C142" s="245"/>
      <c r="D142" s="245"/>
      <c r="E142" s="245"/>
      <c r="F142" s="245"/>
      <c r="G142" s="300"/>
      <c r="H142" s="270"/>
      <c r="I142" s="271"/>
      <c r="J142" s="271"/>
      <c r="K142" s="271"/>
      <c r="L142" s="27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row>
    <row r="143" spans="1:78" ht="15" thickBot="1">
      <c r="A143" s="298" t="s">
        <v>10</v>
      </c>
      <c r="B143" s="299">
        <v>37.811500000000002</v>
      </c>
      <c r="C143" s="299">
        <v>35.4084881039932</v>
      </c>
      <c r="D143" s="299">
        <v>32.106086005726397</v>
      </c>
      <c r="E143" s="299">
        <v>30.662469756237201</v>
      </c>
      <c r="F143" s="299">
        <v>29.583046002488999</v>
      </c>
      <c r="G143" s="299">
        <v>27.299912010195499</v>
      </c>
      <c r="H143" s="275">
        <v>-4.3678809933656E-3</v>
      </c>
      <c r="I143" s="276">
        <v>-1.9390725865499302E-2</v>
      </c>
      <c r="J143" s="276">
        <v>-9.1590349797487907E-3</v>
      </c>
      <c r="K143" s="276">
        <v>-7.1419732611346402E-3</v>
      </c>
      <c r="L143" s="277">
        <v>-4.0078444641916703E-3</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row>
    <row r="144" spans="1:78">
      <c r="A144"/>
      <c r="B144" s="236"/>
      <c r="C144" s="236"/>
      <c r="D144" s="236"/>
      <c r="E144" s="236"/>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row>
    <row r="145" spans="1:78">
      <c r="A145"/>
      <c r="B145" s="236"/>
      <c r="C145" s="236"/>
      <c r="D145" s="236"/>
      <c r="E145" s="236"/>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row>
    <row r="146" spans="1:78" ht="16" thickBot="1">
      <c r="A146" s="237" t="s">
        <v>145</v>
      </c>
      <c r="B146" s="239"/>
      <c r="C146" s="239"/>
      <c r="D146" s="239"/>
      <c r="E146" s="239"/>
      <c r="F146" s="239"/>
      <c r="G146" s="239"/>
      <c r="H146" s="239"/>
      <c r="I146" s="239"/>
      <c r="J146" s="239"/>
      <c r="K146" s="239"/>
      <c r="L146" s="239"/>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row>
    <row r="147" spans="1:78" ht="15" thickBot="1">
      <c r="A147" s="240" t="s">
        <v>51</v>
      </c>
      <c r="B147" s="241">
        <v>2000</v>
      </c>
      <c r="C147" s="241">
        <v>2015</v>
      </c>
      <c r="D147" s="241">
        <v>2020</v>
      </c>
      <c r="E147" s="241">
        <v>2025</v>
      </c>
      <c r="F147" s="241">
        <v>2030</v>
      </c>
      <c r="G147" s="241">
        <v>2050</v>
      </c>
      <c r="H147" s="261" t="s">
        <v>98</v>
      </c>
      <c r="I147" s="262" t="s">
        <v>99</v>
      </c>
      <c r="J147" s="262" t="s">
        <v>100</v>
      </c>
      <c r="K147" s="262" t="s">
        <v>101</v>
      </c>
      <c r="L147" s="263" t="s">
        <v>323</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row>
    <row r="148" spans="1:78">
      <c r="A148" s="244" t="s">
        <v>103</v>
      </c>
      <c r="B148" s="264">
        <v>7.42</v>
      </c>
      <c r="C148" s="264">
        <v>5.2900999999999998</v>
      </c>
      <c r="D148" s="264">
        <v>4.2248000000000001</v>
      </c>
      <c r="E148" s="264">
        <v>3.6564000000000001</v>
      </c>
      <c r="F148" s="264">
        <v>3.2021000000000002</v>
      </c>
      <c r="G148" s="264">
        <v>2.3736000000000002</v>
      </c>
      <c r="H148" s="265">
        <v>-2.2303639699071901E-2</v>
      </c>
      <c r="I148" s="266">
        <v>-4.3976749265529899E-2</v>
      </c>
      <c r="J148" s="266">
        <v>-2.8485002797911701E-2</v>
      </c>
      <c r="K148" s="266">
        <v>-2.61854972954489E-2</v>
      </c>
      <c r="L148" s="267">
        <v>-1.4858460026491599E-2</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row>
    <row r="149" spans="1:78">
      <c r="A149" s="244" t="s">
        <v>54</v>
      </c>
      <c r="B149" s="264">
        <v>12.598000000000001</v>
      </c>
      <c r="C149" s="264">
        <v>11.803000000000001</v>
      </c>
      <c r="D149" s="264">
        <v>9.6600999999999999</v>
      </c>
      <c r="E149" s="264">
        <v>8.9097000000000008</v>
      </c>
      <c r="F149" s="264">
        <v>8.3757000000000001</v>
      </c>
      <c r="G149" s="264">
        <v>7.4927999999999999</v>
      </c>
      <c r="H149" s="270">
        <v>-4.3361937627828303E-3</v>
      </c>
      <c r="I149" s="271">
        <v>-3.9277763087819002E-2</v>
      </c>
      <c r="J149" s="271">
        <v>-1.6042610135881E-2</v>
      </c>
      <c r="K149" s="271">
        <v>-1.22850973186632E-2</v>
      </c>
      <c r="L149" s="272">
        <v>-5.5541233492533201E-3</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row>
    <row r="150" spans="1:78">
      <c r="A150" s="244" t="s">
        <v>42</v>
      </c>
      <c r="B150" s="264">
        <v>0.06</v>
      </c>
      <c r="C150" s="264">
        <v>8.1900000000000001E-2</v>
      </c>
      <c r="D150" s="264">
        <v>1.0500000000000001E-2</v>
      </c>
      <c r="E150" s="264">
        <v>1.2E-2</v>
      </c>
      <c r="F150" s="264">
        <v>8.8000000000000005E-3</v>
      </c>
      <c r="G150" s="264">
        <v>7.1000000000000004E-3</v>
      </c>
      <c r="H150" s="270">
        <v>2.0960273043430001E-2</v>
      </c>
      <c r="I150" s="271">
        <v>-0.33689686759559401</v>
      </c>
      <c r="J150" s="271">
        <v>2.7066087089351799E-2</v>
      </c>
      <c r="K150" s="271">
        <v>-6.0146235650011301E-2</v>
      </c>
      <c r="L150" s="272">
        <v>-1.0675455379070199E-2</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row>
    <row r="151" spans="1:78">
      <c r="A151" s="244" t="s">
        <v>104</v>
      </c>
      <c r="B151" s="264">
        <v>3.2040000000000002</v>
      </c>
      <c r="C151" s="264">
        <v>2.6758000000000002</v>
      </c>
      <c r="D151" s="264">
        <v>2.1305000000000001</v>
      </c>
      <c r="E151" s="264">
        <v>1.9403999999999999</v>
      </c>
      <c r="F151" s="264">
        <v>1.8198000000000001</v>
      </c>
      <c r="G151" s="264">
        <v>1.5403</v>
      </c>
      <c r="H151" s="270">
        <v>-1.1938275053230101E-2</v>
      </c>
      <c r="I151" s="271">
        <v>-4.4555251258347403E-2</v>
      </c>
      <c r="J151" s="271">
        <v>-1.85188898144911E-2</v>
      </c>
      <c r="K151" s="271">
        <v>-1.27515081953163E-2</v>
      </c>
      <c r="L151" s="272">
        <v>-8.3028098039769106E-3</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row>
    <row r="152" spans="1:78">
      <c r="A152" s="244" t="s">
        <v>105</v>
      </c>
      <c r="B152" s="264">
        <v>1.4530000000000001</v>
      </c>
      <c r="C152" s="264">
        <v>1.0764</v>
      </c>
      <c r="D152" s="264">
        <v>1.1569</v>
      </c>
      <c r="E152" s="264">
        <v>1.1224000000000001</v>
      </c>
      <c r="F152" s="264">
        <v>1.0828</v>
      </c>
      <c r="G152" s="264">
        <v>0.96579999999999999</v>
      </c>
      <c r="H152" s="270">
        <v>-1.9801865457175799E-2</v>
      </c>
      <c r="I152" s="271">
        <v>1.45289081355604E-2</v>
      </c>
      <c r="J152" s="271">
        <v>-6.0366585646151102E-3</v>
      </c>
      <c r="K152" s="271">
        <v>-7.1580524380782098E-3</v>
      </c>
      <c r="L152" s="272">
        <v>-5.7011257646408797E-3</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row>
    <row r="153" spans="1:78">
      <c r="A153" s="244" t="s">
        <v>134</v>
      </c>
      <c r="B153" s="264">
        <v>6.1870000000000003</v>
      </c>
      <c r="C153" s="264">
        <v>6.6993999999999998</v>
      </c>
      <c r="D153" s="264">
        <v>7.1783999999999999</v>
      </c>
      <c r="E153" s="264">
        <v>7.2217000000000002</v>
      </c>
      <c r="F153" s="264">
        <v>7.2374000000000001</v>
      </c>
      <c r="G153" s="264">
        <v>6.9071999999999996</v>
      </c>
      <c r="H153" s="270">
        <v>5.3186040636485901E-3</v>
      </c>
      <c r="I153" s="271">
        <v>1.3907531676985699E-2</v>
      </c>
      <c r="J153" s="271">
        <v>1.20349667180797E-3</v>
      </c>
      <c r="K153" s="271">
        <v>4.3442305940599702E-4</v>
      </c>
      <c r="L153" s="272">
        <v>-2.3321602815591399E-3</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row>
    <row r="154" spans="1:78">
      <c r="A154" s="244" t="s">
        <v>136</v>
      </c>
      <c r="B154" s="264">
        <v>0</v>
      </c>
      <c r="C154" s="264">
        <v>0.39732030967656001</v>
      </c>
      <c r="D154" s="264">
        <v>0.55132859667578105</v>
      </c>
      <c r="E154" s="264">
        <v>0.67354164624156099</v>
      </c>
      <c r="F154" s="264">
        <v>0.77448297998092896</v>
      </c>
      <c r="G154" s="264">
        <v>0.92065433093745397</v>
      </c>
      <c r="H154" s="270"/>
      <c r="I154" s="271"/>
      <c r="J154" s="271"/>
      <c r="K154" s="271"/>
      <c r="L154" s="272"/>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row>
    <row r="155" spans="1:78">
      <c r="A155" s="244"/>
      <c r="B155" s="245"/>
      <c r="C155" s="245"/>
      <c r="D155" s="245"/>
      <c r="E155" s="245"/>
      <c r="F155" s="245"/>
      <c r="G155" s="300"/>
      <c r="H155" s="270"/>
      <c r="I155" s="271"/>
      <c r="J155" s="271"/>
      <c r="K155" s="271"/>
      <c r="L155" s="272"/>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row>
    <row r="156" spans="1:78" ht="15" thickBot="1">
      <c r="A156" s="298" t="s">
        <v>10</v>
      </c>
      <c r="B156" s="299">
        <v>30.922000000000001</v>
      </c>
      <c r="C156" s="299">
        <v>28.023920309676601</v>
      </c>
      <c r="D156" s="299">
        <v>24.912528596675799</v>
      </c>
      <c r="E156" s="299">
        <v>23.5361416462416</v>
      </c>
      <c r="F156" s="299">
        <v>22.5010829799809</v>
      </c>
      <c r="G156" s="299">
        <v>20.207454330937399</v>
      </c>
      <c r="H156" s="275">
        <v>-6.5391568771049303E-3</v>
      </c>
      <c r="I156" s="276">
        <v>-2.32626749266578E-2</v>
      </c>
      <c r="J156" s="276">
        <v>-1.1302373056406001E-2</v>
      </c>
      <c r="K156" s="276">
        <v>-8.9544165915632599E-3</v>
      </c>
      <c r="L156" s="277">
        <v>-5.3611712440481104E-3</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row>
    <row r="157" spans="1:78">
      <c r="A157" s="258"/>
      <c r="B157" s="236"/>
      <c r="C157"/>
      <c r="D157" s="236"/>
      <c r="E157" s="236"/>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row>
    <row r="158" spans="1:78">
      <c r="A158" s="258"/>
      <c r="B158" s="236"/>
      <c r="C158" s="236"/>
      <c r="D158" s="236"/>
      <c r="E158" s="236"/>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row>
    <row r="159" spans="1:78" ht="16" thickBot="1">
      <c r="A159" s="237" t="s">
        <v>146</v>
      </c>
      <c r="B159" s="239"/>
      <c r="C159" s="239"/>
      <c r="D159" s="239"/>
      <c r="E159" s="239"/>
      <c r="F159" s="239"/>
      <c r="G159" s="239"/>
      <c r="H159" s="239"/>
      <c r="I159" s="239"/>
      <c r="J159" s="239"/>
      <c r="K159" s="239"/>
      <c r="L159" s="23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row>
    <row r="160" spans="1:78" ht="15" thickBot="1">
      <c r="A160" s="301" t="s">
        <v>51</v>
      </c>
      <c r="B160" s="241">
        <v>2000</v>
      </c>
      <c r="C160" s="241">
        <v>2015</v>
      </c>
      <c r="D160" s="241">
        <v>2020</v>
      </c>
      <c r="E160" s="241">
        <v>2025</v>
      </c>
      <c r="F160" s="241">
        <v>2030</v>
      </c>
      <c r="G160" s="241">
        <v>2050</v>
      </c>
      <c r="H160" s="261" t="s">
        <v>98</v>
      </c>
      <c r="I160" s="262" t="s">
        <v>99</v>
      </c>
      <c r="J160" s="262" t="s">
        <v>100</v>
      </c>
      <c r="K160" s="262" t="s">
        <v>101</v>
      </c>
      <c r="L160" s="263" t="s">
        <v>323</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row>
    <row r="161" spans="1:78">
      <c r="A161" s="244" t="s">
        <v>103</v>
      </c>
      <c r="B161" s="264">
        <v>0.97709999999999997</v>
      </c>
      <c r="C161" s="264">
        <v>0.61350000000000005</v>
      </c>
      <c r="D161" s="264">
        <v>0.37669999999999998</v>
      </c>
      <c r="E161" s="264">
        <v>0.2039</v>
      </c>
      <c r="F161" s="264">
        <v>4.2200000000000001E-2</v>
      </c>
      <c r="G161" s="264">
        <v>3.9600000000000003E-2</v>
      </c>
      <c r="H161" s="265">
        <v>-3.0550843920237099E-2</v>
      </c>
      <c r="I161" s="266">
        <v>-9.2939592716890201E-2</v>
      </c>
      <c r="J161" s="266">
        <v>-0.115527527017108</v>
      </c>
      <c r="K161" s="266">
        <v>-0.27024169690088501</v>
      </c>
      <c r="L161" s="267">
        <v>-3.1745057067026298E-3</v>
      </c>
      <c r="M161"/>
      <c r="N161" s="302"/>
      <c r="O161" s="302"/>
      <c r="P161" s="302"/>
      <c r="Q161" s="302"/>
      <c r="R161" s="302"/>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row>
    <row r="162" spans="1:78">
      <c r="A162" s="244" t="s">
        <v>54</v>
      </c>
      <c r="B162" s="264">
        <v>1.4520999999999999</v>
      </c>
      <c r="C162" s="264">
        <v>1.4991000000000001</v>
      </c>
      <c r="D162" s="264">
        <v>1.5206</v>
      </c>
      <c r="E162" s="264">
        <v>1.5376000000000001</v>
      </c>
      <c r="F162" s="264">
        <v>1.5640000000000001</v>
      </c>
      <c r="G162" s="264">
        <v>1.3273999999999999</v>
      </c>
      <c r="H162" s="270">
        <v>2.1258660212259998E-3</v>
      </c>
      <c r="I162" s="271">
        <v>2.8520725975464999E-3</v>
      </c>
      <c r="J162" s="271">
        <v>2.2260270117944198E-3</v>
      </c>
      <c r="K162" s="271">
        <v>3.41057941353551E-3</v>
      </c>
      <c r="L162" s="272">
        <v>-8.1676867214299804E-3</v>
      </c>
      <c r="M162"/>
      <c r="N162" s="302"/>
      <c r="O162" s="302"/>
      <c r="P162" s="302"/>
      <c r="Q162" s="302"/>
      <c r="R162" s="30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row>
    <row r="163" spans="1:78">
      <c r="A163" s="244" t="s">
        <v>42</v>
      </c>
      <c r="B163" s="264">
        <v>0</v>
      </c>
      <c r="C163" s="264">
        <v>0</v>
      </c>
      <c r="D163" s="264">
        <v>0</v>
      </c>
      <c r="E163" s="264">
        <v>0</v>
      </c>
      <c r="F163" s="264">
        <v>0</v>
      </c>
      <c r="G163" s="264">
        <v>0</v>
      </c>
      <c r="H163" s="270" t="e">
        <f>#DIV/0!</f>
        <v>#DIV/0!</v>
      </c>
      <c r="I163" s="271" t="e">
        <f>#DIV/0!</f>
        <v>#DIV/0!</v>
      </c>
      <c r="J163" s="271" t="e">
        <f>#DIV/0!</f>
        <v>#DIV/0!</v>
      </c>
      <c r="K163" s="271" t="e">
        <f>#DIV/0!</f>
        <v>#DIV/0!</v>
      </c>
      <c r="L163" s="272" t="e">
        <f>#DIV/0!</f>
        <v>#DIV/0!</v>
      </c>
      <c r="M163"/>
      <c r="N163" s="302"/>
      <c r="O163" s="302"/>
      <c r="P163" s="302"/>
      <c r="Q163" s="302"/>
      <c r="R163" s="302"/>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row>
    <row r="164" spans="1:78">
      <c r="A164" s="244" t="s">
        <v>104</v>
      </c>
      <c r="B164" s="264">
        <v>1.5710999999999999</v>
      </c>
      <c r="C164" s="264">
        <v>2.1585999999999999</v>
      </c>
      <c r="D164" s="264">
        <v>2.02</v>
      </c>
      <c r="E164" s="264">
        <v>1.9784999999999999</v>
      </c>
      <c r="F164" s="264">
        <v>1.9629000000000001</v>
      </c>
      <c r="G164" s="264">
        <v>1.7719</v>
      </c>
      <c r="H164" s="270">
        <v>2.1404788604523901E-2</v>
      </c>
      <c r="I164" s="271">
        <v>-1.31847795507305E-2</v>
      </c>
      <c r="J164" s="271">
        <v>-4.1430994975125701E-3</v>
      </c>
      <c r="K164" s="271">
        <v>-1.58194945308821E-3</v>
      </c>
      <c r="L164" s="272">
        <v>-5.1054503777423496E-3</v>
      </c>
      <c r="M164"/>
      <c r="N164" s="302"/>
      <c r="O164" s="302"/>
      <c r="P164" s="302"/>
      <c r="Q164" s="302"/>
      <c r="R164" s="302"/>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row>
    <row r="165" spans="1:78">
      <c r="A165" s="244" t="s">
        <v>105</v>
      </c>
      <c r="B165" s="264">
        <v>0.29899999999999999</v>
      </c>
      <c r="C165" s="264">
        <v>0.24890000000000001</v>
      </c>
      <c r="D165" s="264">
        <v>0.2848</v>
      </c>
      <c r="E165" s="264">
        <v>0.2913</v>
      </c>
      <c r="F165" s="264">
        <v>0.29289999999999999</v>
      </c>
      <c r="G165" s="264">
        <v>0.29310000000000003</v>
      </c>
      <c r="H165" s="270">
        <v>-1.2151721799731299E-2</v>
      </c>
      <c r="I165" s="271">
        <v>2.7313553045417601E-2</v>
      </c>
      <c r="J165" s="271">
        <v>4.5234971497356601E-3</v>
      </c>
      <c r="K165" s="271">
        <v>1.0961182726678699E-3</v>
      </c>
      <c r="L165" s="272">
        <v>3.4130276582500203E-5</v>
      </c>
      <c r="M165"/>
      <c r="N165" s="302"/>
      <c r="O165" s="302"/>
      <c r="P165" s="302"/>
      <c r="Q165" s="302"/>
      <c r="R165" s="302"/>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row>
    <row r="166" spans="1:78">
      <c r="A166" s="244" t="s">
        <v>134</v>
      </c>
      <c r="B166" s="264">
        <v>0.109</v>
      </c>
      <c r="C166" s="264">
        <v>6.8500000000000005E-2</v>
      </c>
      <c r="D166" s="264">
        <v>4.1200000000000001E-2</v>
      </c>
      <c r="E166" s="264">
        <v>2.2200000000000001E-2</v>
      </c>
      <c r="F166" s="264">
        <v>4.5999999999999999E-3</v>
      </c>
      <c r="G166" s="264">
        <v>4.1999999999999997E-3</v>
      </c>
      <c r="H166" s="270"/>
      <c r="I166" s="271"/>
      <c r="J166" s="271"/>
      <c r="K166" s="271"/>
      <c r="L166" s="272"/>
      <c r="M166"/>
      <c r="N166" s="302"/>
      <c r="O166" s="302"/>
      <c r="P166" s="302"/>
      <c r="Q166" s="302"/>
      <c r="R166" s="302"/>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row>
    <row r="167" spans="1:78">
      <c r="A167" s="244" t="s">
        <v>135</v>
      </c>
      <c r="B167" s="264">
        <v>2.0799999999999999E-2</v>
      </c>
      <c r="C167" s="264">
        <v>8.5300000000000001E-2</v>
      </c>
      <c r="D167" s="303">
        <v>0.1007</v>
      </c>
      <c r="E167" s="303">
        <v>0.1164</v>
      </c>
      <c r="F167" s="303">
        <v>0.1183</v>
      </c>
      <c r="G167" s="303">
        <v>0.12470000000000001</v>
      </c>
      <c r="H167" s="270">
        <v>9.8649206582596793E-2</v>
      </c>
      <c r="I167" s="271">
        <v>3.3751345622512897E-2</v>
      </c>
      <c r="J167" s="271">
        <v>2.94012753018515E-2</v>
      </c>
      <c r="K167" s="271">
        <v>3.2434959237554999E-3</v>
      </c>
      <c r="L167" s="272">
        <v>2.6378270448042E-3</v>
      </c>
      <c r="M167"/>
      <c r="N167" s="302"/>
      <c r="O167" s="302"/>
      <c r="P167" s="302"/>
      <c r="Q167" s="302"/>
      <c r="R167" s="302"/>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row>
    <row r="168" spans="1:78">
      <c r="A168" s="244" t="s">
        <v>136</v>
      </c>
      <c r="B168" s="264">
        <v>0</v>
      </c>
      <c r="C168" s="264">
        <v>2.3367794316644101E-2</v>
      </c>
      <c r="D168" s="264">
        <v>0.103957409050577</v>
      </c>
      <c r="E168" s="264">
        <v>0.179628109995635</v>
      </c>
      <c r="F168" s="264">
        <v>0.25246302250803898</v>
      </c>
      <c r="G168" s="264">
        <v>0.53545767925808696</v>
      </c>
      <c r="H168" s="270"/>
      <c r="I168" s="271"/>
      <c r="J168" s="271"/>
      <c r="K168" s="271"/>
      <c r="L168" s="272"/>
      <c r="M168"/>
      <c r="N168" s="302"/>
      <c r="O168" s="302"/>
      <c r="P168" s="302"/>
      <c r="Q168" s="302"/>
      <c r="R168" s="302"/>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row>
    <row r="169" spans="1:78">
      <c r="A169" s="244"/>
      <c r="B169" s="245"/>
      <c r="C169" s="245"/>
      <c r="D169" s="245"/>
      <c r="E169" s="245"/>
      <c r="F169" s="245"/>
      <c r="G169" s="245"/>
      <c r="H169" s="270"/>
      <c r="I169" s="271"/>
      <c r="J169" s="271"/>
      <c r="K169" s="271"/>
      <c r="L169" s="272"/>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row>
    <row r="170" spans="1:78" ht="15" thickBot="1">
      <c r="A170" s="298" t="s">
        <v>10</v>
      </c>
      <c r="B170" s="299">
        <v>4.4291</v>
      </c>
      <c r="C170" s="299">
        <v>4.6972677943166401</v>
      </c>
      <c r="D170" s="299">
        <v>4.4479574090505798</v>
      </c>
      <c r="E170" s="299">
        <v>4.3295281099956302</v>
      </c>
      <c r="F170" s="299">
        <v>4.2373630225080401</v>
      </c>
      <c r="G170" s="299">
        <v>4.09635767925809</v>
      </c>
      <c r="H170" s="275">
        <v>3.9266636335164602E-3</v>
      </c>
      <c r="I170" s="276">
        <v>-1.0847939635284E-2</v>
      </c>
      <c r="J170" s="276">
        <v>-5.3827462339912603E-3</v>
      </c>
      <c r="K170" s="276">
        <v>-4.2942347802371597E-3</v>
      </c>
      <c r="L170" s="277">
        <v>-1.69071608403115E-3</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row>
    <row r="171" spans="1:78">
      <c r="A171" s="258"/>
      <c r="B171" s="236"/>
      <c r="C171" s="236"/>
      <c r="D171" s="236"/>
      <c r="E171" s="236"/>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c r="B172" s="236"/>
      <c r="C172" s="236"/>
      <c r="D172" s="236"/>
      <c r="E172" s="236"/>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row>
    <row r="173" spans="1:78" ht="16" thickBot="1">
      <c r="A173" s="237" t="s">
        <v>333</v>
      </c>
      <c r="B173" s="239"/>
      <c r="C173" s="239"/>
      <c r="D173" s="239"/>
      <c r="E173" s="239"/>
      <c r="F173" s="239"/>
      <c r="G173" s="239"/>
      <c r="H173" s="239"/>
      <c r="I173" s="239"/>
      <c r="J173" s="239"/>
      <c r="K173" s="239"/>
      <c r="L173" s="239"/>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row>
    <row r="174" spans="1:78" ht="15" thickBot="1">
      <c r="A174" s="240"/>
      <c r="B174" s="241">
        <v>2000</v>
      </c>
      <c r="C174" s="241">
        <v>2015</v>
      </c>
      <c r="D174" s="241">
        <v>2020</v>
      </c>
      <c r="E174" s="241">
        <v>2025</v>
      </c>
      <c r="F174" s="241">
        <v>2030</v>
      </c>
      <c r="G174" s="241">
        <v>2050</v>
      </c>
      <c r="H174" s="261" t="s">
        <v>98</v>
      </c>
      <c r="I174" s="262" t="s">
        <v>99</v>
      </c>
      <c r="J174" s="262" t="s">
        <v>100</v>
      </c>
      <c r="K174" s="262" t="s">
        <v>101</v>
      </c>
      <c r="L174" s="263" t="s">
        <v>323</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s="244" t="s">
        <v>149</v>
      </c>
      <c r="B175" s="304">
        <v>24.333600000000001</v>
      </c>
      <c r="C175" s="304">
        <v>28.339300000000001</v>
      </c>
      <c r="D175" s="304">
        <v>29.486799999999999</v>
      </c>
      <c r="E175" s="304">
        <v>30.563199999999998</v>
      </c>
      <c r="F175" s="304">
        <v>31.6767</v>
      </c>
      <c r="G175" s="304">
        <v>34.886899999999997</v>
      </c>
      <c r="H175" s="270">
        <v>1.02112103718381E-2</v>
      </c>
      <c r="I175" s="271">
        <v>7.9702288465317607E-3</v>
      </c>
      <c r="J175" s="271">
        <v>7.1965647566061301E-3</v>
      </c>
      <c r="K175" s="271">
        <v>7.1826169366853198E-3</v>
      </c>
      <c r="L175" s="272">
        <v>4.8381666003032304E-3</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row>
    <row r="176" spans="1:78">
      <c r="A176" s="244" t="s">
        <v>150</v>
      </c>
      <c r="B176" s="305">
        <v>0.72678820211356199</v>
      </c>
      <c r="C176" s="305">
        <v>0.64822353265087995</v>
      </c>
      <c r="D176" s="305">
        <v>0.583033656203088</v>
      </c>
      <c r="E176" s="305">
        <v>0.54665582556994197</v>
      </c>
      <c r="F176" s="305">
        <v>0.51786525125971505</v>
      </c>
      <c r="G176" s="305">
        <v>0.46291147275682398</v>
      </c>
      <c r="H176" s="270">
        <v>-7.5976249600224798E-3</v>
      </c>
      <c r="I176" s="271">
        <v>-2.0975034865257002E-2</v>
      </c>
      <c r="J176" s="271">
        <v>-1.28024451307539E-2</v>
      </c>
      <c r="K176" s="271">
        <v>-1.0762530034204E-2</v>
      </c>
      <c r="L176" s="272">
        <v>-5.5932613135782896E-3</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row>
    <row r="177" spans="1:78">
      <c r="A177" s="244" t="s">
        <v>151</v>
      </c>
      <c r="B177" s="306">
        <v>2087.9582554622998</v>
      </c>
      <c r="C177" s="306">
        <v>2286.9352613330402</v>
      </c>
      <c r="D177" s="306">
        <v>2178.91852842035</v>
      </c>
      <c r="E177" s="306">
        <v>2118.52449485023</v>
      </c>
      <c r="F177" s="306">
        <v>2079.48900164729</v>
      </c>
      <c r="G177" s="306">
        <v>2047.55886353649</v>
      </c>
      <c r="H177" s="270">
        <v>6.0868453574838303E-3</v>
      </c>
      <c r="I177" s="271">
        <v>-9.6301188556817702E-3</v>
      </c>
      <c r="J177" s="271">
        <v>-5.6059899545614104E-3</v>
      </c>
      <c r="K177" s="271">
        <v>-3.7126235333300199E-3</v>
      </c>
      <c r="L177" s="272">
        <v>-7.7339607167248303E-4</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row>
    <row r="178" spans="1:78" ht="15" thickBot="1">
      <c r="A178" s="253" t="s">
        <v>152</v>
      </c>
      <c r="B178" s="307">
        <v>4.7056641153043199E-2</v>
      </c>
      <c r="C178" s="307">
        <v>3.7830929395763602E-2</v>
      </c>
      <c r="D178" s="307">
        <v>3.2334851141514999E-2</v>
      </c>
      <c r="E178" s="307">
        <v>2.9127896511607802E-2</v>
      </c>
      <c r="F178" s="307">
        <v>2.63301368687969E-2</v>
      </c>
      <c r="G178" s="307">
        <v>1.7949265120470299E-2</v>
      </c>
      <c r="H178" s="275">
        <v>-1.4443017738933899E-2</v>
      </c>
      <c r="I178" s="276">
        <v>-3.0908529703838599E-2</v>
      </c>
      <c r="J178" s="276">
        <v>-2.0673173078978799E-2</v>
      </c>
      <c r="K178" s="276">
        <v>-1.9993855320703E-2</v>
      </c>
      <c r="L178" s="277">
        <v>-1.8975897006451602E-2</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row>
    <row r="179" spans="1:78">
      <c r="A179" s="295"/>
      <c r="B179"/>
      <c r="C179"/>
      <c r="D179"/>
      <c r="E179"/>
      <c r="F179" s="26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row>
    <row r="180" spans="1:78">
      <c r="A180"/>
      <c r="B180"/>
      <c r="C180"/>
      <c r="D180"/>
      <c r="E180"/>
      <c r="F180" s="26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row>
    <row r="181" spans="1:78" ht="21">
      <c r="A181" s="234" t="s">
        <v>153</v>
      </c>
      <c r="B181" s="224"/>
      <c r="C181" s="224"/>
      <c r="D181" s="224"/>
      <c r="E181" s="224"/>
      <c r="F181" s="224"/>
      <c r="G181" s="296"/>
      <c r="H181" s="296"/>
      <c r="I181" s="296"/>
      <c r="J181" s="296"/>
      <c r="K181" s="296"/>
      <c r="L181" s="296"/>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row>
    <row r="182" spans="1:78">
      <c r="A182"/>
      <c r="B182"/>
      <c r="C182"/>
      <c r="D182"/>
      <c r="E182"/>
      <c r="F182" s="26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row>
    <row r="183" spans="1:78" ht="16" thickBot="1">
      <c r="A183" s="237" t="s">
        <v>154</v>
      </c>
      <c r="B183" s="239"/>
      <c r="C183" s="239"/>
      <c r="D183" s="239"/>
      <c r="E183" s="239"/>
      <c r="F183" s="239"/>
      <c r="G183" s="239"/>
      <c r="H183" s="239"/>
      <c r="I183" s="239"/>
      <c r="J183" s="239"/>
      <c r="K183" s="239"/>
      <c r="L183" s="239"/>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row>
    <row r="184" spans="1:78" ht="15" thickBot="1">
      <c r="A184" s="292" t="s">
        <v>51</v>
      </c>
      <c r="B184" s="241">
        <v>2000</v>
      </c>
      <c r="C184" s="241">
        <v>2015</v>
      </c>
      <c r="D184" s="241">
        <v>2020</v>
      </c>
      <c r="E184" s="241">
        <v>2025</v>
      </c>
      <c r="F184" s="241">
        <v>2030</v>
      </c>
      <c r="G184" s="241">
        <v>2050</v>
      </c>
      <c r="H184" s="261" t="s">
        <v>98</v>
      </c>
      <c r="I184" s="262" t="s">
        <v>99</v>
      </c>
      <c r="J184" s="262" t="s">
        <v>100</v>
      </c>
      <c r="K184" s="262" t="s">
        <v>101</v>
      </c>
      <c r="L184" s="263" t="s">
        <v>323</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row>
    <row r="185" spans="1:78">
      <c r="A185" s="244" t="s">
        <v>103</v>
      </c>
      <c r="B185" s="264">
        <v>3.7561</v>
      </c>
      <c r="C185" s="264">
        <v>2.3746</v>
      </c>
      <c r="D185" s="264">
        <v>1.9155</v>
      </c>
      <c r="E185" s="264">
        <v>1.4925999999999999</v>
      </c>
      <c r="F185" s="264">
        <v>1.1229</v>
      </c>
      <c r="G185" s="264">
        <v>0.74460000000000004</v>
      </c>
      <c r="H185" s="265">
        <v>-3.0107603926098101E-2</v>
      </c>
      <c r="I185" s="266">
        <v>-4.2059932911037302E-2</v>
      </c>
      <c r="J185" s="266">
        <v>-4.86676696332956E-2</v>
      </c>
      <c r="K185" s="266">
        <v>-5.5331293629666801E-2</v>
      </c>
      <c r="L185" s="267">
        <v>-2.03316050780015E-2</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row>
    <row r="186" spans="1:78">
      <c r="A186" s="244" t="s">
        <v>54</v>
      </c>
      <c r="B186" s="264">
        <v>5.5961999999999996</v>
      </c>
      <c r="C186" s="264">
        <v>6.1024000000000003</v>
      </c>
      <c r="D186" s="264">
        <v>5.7868000000000004</v>
      </c>
      <c r="E186" s="264">
        <v>5.2241999999999997</v>
      </c>
      <c r="F186" s="264">
        <v>4.3676000000000004</v>
      </c>
      <c r="G186" s="264">
        <v>2.6025</v>
      </c>
      <c r="H186" s="270">
        <v>5.7896516525792804E-3</v>
      </c>
      <c r="I186" s="271">
        <v>-1.05643361785912E-2</v>
      </c>
      <c r="J186" s="271">
        <v>-2.0247761500076299E-2</v>
      </c>
      <c r="K186" s="271">
        <v>-3.5183743345156303E-2</v>
      </c>
      <c r="L186" s="272">
        <v>-2.5554859734163798E-2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row>
    <row r="187" spans="1:78">
      <c r="A187" s="244" t="s">
        <v>42</v>
      </c>
      <c r="B187" s="264">
        <v>0.15870000000000001</v>
      </c>
      <c r="C187" s="264">
        <v>6.5500000000000003E-2</v>
      </c>
      <c r="D187" s="264">
        <v>0</v>
      </c>
      <c r="E187" s="264">
        <v>0</v>
      </c>
      <c r="F187" s="264">
        <v>0</v>
      </c>
      <c r="G187" s="264">
        <v>0</v>
      </c>
      <c r="H187" s="270">
        <v>-5.7291061665288301E-2</v>
      </c>
      <c r="I187" s="271">
        <v>-1</v>
      </c>
      <c r="J187" s="271" t="e">
        <f>#DIV/0!</f>
        <v>#DIV/0!</v>
      </c>
      <c r="K187" s="271" t="e">
        <f>#DIV/0!</f>
        <v>#DIV/0!</v>
      </c>
      <c r="L187" s="272" t="e">
        <f>#DIV/0!</f>
        <v>#DIV/0!</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row>
    <row r="188" spans="1:78">
      <c r="A188" s="244" t="s">
        <v>104</v>
      </c>
      <c r="B188" s="264">
        <v>9.33</v>
      </c>
      <c r="C188" s="264">
        <v>12.408300000000001</v>
      </c>
      <c r="D188" s="264">
        <v>12.885300000000001</v>
      </c>
      <c r="E188" s="264">
        <v>13.4857</v>
      </c>
      <c r="F188" s="264">
        <v>14.125299999999999</v>
      </c>
      <c r="G188" s="264">
        <v>17.1599</v>
      </c>
      <c r="H188" s="270">
        <v>1.9190521561260901E-2</v>
      </c>
      <c r="I188" s="271">
        <v>7.5728346050991701E-3</v>
      </c>
      <c r="J188" s="271">
        <v>9.1501566671643407E-3</v>
      </c>
      <c r="K188" s="271">
        <v>9.3106067204133895E-3</v>
      </c>
      <c r="L188" s="272">
        <v>9.7778816809108698E-3</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row>
    <row r="189" spans="1:78">
      <c r="A189" s="244" t="s">
        <v>105</v>
      </c>
      <c r="B189" s="264">
        <v>0.85540000000000005</v>
      </c>
      <c r="C189" s="264">
        <v>0.81569999999999998</v>
      </c>
      <c r="D189" s="264">
        <v>0.73019999999999996</v>
      </c>
      <c r="E189" s="264">
        <v>0.69030000000000002</v>
      </c>
      <c r="F189" s="264">
        <v>0.70609999999999995</v>
      </c>
      <c r="G189" s="264">
        <v>0.83020000000000005</v>
      </c>
      <c r="H189" s="270">
        <v>-3.1631570098044101E-3</v>
      </c>
      <c r="I189" s="271">
        <v>-2.19022198260551E-2</v>
      </c>
      <c r="J189" s="271">
        <v>-1.11755213831751E-2</v>
      </c>
      <c r="K189" s="271">
        <v>4.5363753009275403E-3</v>
      </c>
      <c r="L189" s="272">
        <v>8.1283453247007493E-3</v>
      </c>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row>
    <row r="190" spans="1:78">
      <c r="A190" s="244" t="s">
        <v>134</v>
      </c>
      <c r="B190" s="245">
        <v>0.32079999999999997</v>
      </c>
      <c r="C190" s="245">
        <v>0.43919999999999998</v>
      </c>
      <c r="D190" s="245">
        <v>0.28920000000000001</v>
      </c>
      <c r="E190" s="245">
        <v>0.1908</v>
      </c>
      <c r="F190" s="245">
        <v>0.1142</v>
      </c>
      <c r="G190" s="245">
        <v>4.9099999999999998E-2</v>
      </c>
      <c r="H190" s="270">
        <v>2.11632999858604E-2</v>
      </c>
      <c r="I190" s="271">
        <v>-8.0170801502706598E-2</v>
      </c>
      <c r="J190" s="271">
        <v>-7.9813163360698103E-2</v>
      </c>
      <c r="K190" s="271">
        <v>-9.7561641878772601E-2</v>
      </c>
      <c r="L190" s="272">
        <v>-4.1326396695113801E-2</v>
      </c>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row>
    <row r="191" spans="1:78">
      <c r="A191" s="244" t="s">
        <v>135</v>
      </c>
      <c r="B191" s="245">
        <v>0</v>
      </c>
      <c r="C191" s="245">
        <v>8.9099999999999999E-2</v>
      </c>
      <c r="D191" s="245">
        <v>7.9899999999999999E-2</v>
      </c>
      <c r="E191" s="245">
        <v>6.5100000000000005E-2</v>
      </c>
      <c r="F191" s="245">
        <v>5.2400000000000002E-2</v>
      </c>
      <c r="G191" s="245">
        <v>3.4099999999999998E-2</v>
      </c>
      <c r="H191" s="270"/>
      <c r="I191" s="271"/>
      <c r="J191" s="271"/>
      <c r="K191" s="271"/>
      <c r="L191" s="272"/>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row>
    <row r="192" spans="1:78">
      <c r="A192" s="244" t="s">
        <v>136</v>
      </c>
      <c r="B192" s="245">
        <v>0</v>
      </c>
      <c r="C192" s="245">
        <v>0.70541508524818897</v>
      </c>
      <c r="D192" s="245">
        <v>0.84021412129145101</v>
      </c>
      <c r="E192" s="245">
        <v>0.92974017049510504</v>
      </c>
      <c r="F192" s="245">
        <v>0.95436496257908998</v>
      </c>
      <c r="G192" s="245">
        <v>1.2473564476953301</v>
      </c>
      <c r="H192" s="270"/>
      <c r="I192" s="271"/>
      <c r="J192" s="271"/>
      <c r="K192" s="271"/>
      <c r="L192" s="27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row>
    <row r="193" spans="1:78">
      <c r="A193" s="244"/>
      <c r="B193" s="245"/>
      <c r="C193" s="245"/>
      <c r="D193" s="245"/>
      <c r="E193" s="245"/>
      <c r="F193" s="245"/>
      <c r="G193" s="245"/>
      <c r="H193" s="270"/>
      <c r="I193" s="271"/>
      <c r="J193" s="271"/>
      <c r="K193" s="271"/>
      <c r="L193" s="272"/>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row>
    <row r="194" spans="1:78" ht="15" thickBot="1">
      <c r="A194" s="253" t="s">
        <v>10</v>
      </c>
      <c r="B194" s="273">
        <v>20.017199999999999</v>
      </c>
      <c r="C194" s="273">
        <v>23.0002150852482</v>
      </c>
      <c r="D194" s="273">
        <v>22.5271141212915</v>
      </c>
      <c r="E194" s="273">
        <v>22.078440170495099</v>
      </c>
      <c r="F194" s="273">
        <v>21.442864962579101</v>
      </c>
      <c r="G194" s="273">
        <v>22.6677564476953</v>
      </c>
      <c r="H194" s="275">
        <v>9.3037912415132595E-3</v>
      </c>
      <c r="I194" s="276">
        <v>-4.1481548719571899E-3</v>
      </c>
      <c r="J194" s="276">
        <v>-4.0155323599075903E-3</v>
      </c>
      <c r="K194" s="276">
        <v>-5.8248931822137999E-3</v>
      </c>
      <c r="L194" s="277">
        <v>2.7814380241897299E-3</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row>
    <row r="195" spans="1:78">
      <c r="A195" s="258"/>
      <c r="B195" s="236"/>
      <c r="C195" s="236"/>
      <c r="D195" s="236"/>
      <c r="E195" s="236"/>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row>
    <row r="196" spans="1:78">
      <c r="A196" s="258"/>
      <c r="B196" s="236"/>
      <c r="C196" s="236"/>
      <c r="D196" s="236"/>
      <c r="E196" s="23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row>
    <row r="197" spans="1:78" ht="16" thickBot="1">
      <c r="A197" s="237" t="s">
        <v>155</v>
      </c>
      <c r="B197" s="239"/>
      <c r="C197" s="239"/>
      <c r="D197" s="239"/>
      <c r="E197" s="239"/>
      <c r="F197" s="239"/>
      <c r="G197" s="239"/>
      <c r="H197" s="239"/>
      <c r="I197" s="239"/>
      <c r="J197" s="239"/>
      <c r="K197" s="239"/>
      <c r="L197" s="239"/>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row>
    <row r="198" spans="1:78" ht="15" thickBot="1">
      <c r="A198" s="292" t="s">
        <v>51</v>
      </c>
      <c r="B198" s="241">
        <v>2000</v>
      </c>
      <c r="C198" s="241">
        <v>2015</v>
      </c>
      <c r="D198" s="241">
        <v>2020</v>
      </c>
      <c r="E198" s="241">
        <v>2025</v>
      </c>
      <c r="F198" s="241">
        <v>2030</v>
      </c>
      <c r="G198" s="241">
        <v>2050</v>
      </c>
      <c r="H198" s="261" t="s">
        <v>98</v>
      </c>
      <c r="I198" s="262" t="s">
        <v>99</v>
      </c>
      <c r="J198" s="262" t="s">
        <v>100</v>
      </c>
      <c r="K198" s="262" t="s">
        <v>101</v>
      </c>
      <c r="L198" s="263" t="s">
        <v>323</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row>
    <row r="199" spans="1:78">
      <c r="A199" s="244" t="s">
        <v>138</v>
      </c>
      <c r="B199" s="264">
        <v>9.3125</v>
      </c>
      <c r="C199" s="264">
        <v>9.4195150852481895</v>
      </c>
      <c r="D199" s="264">
        <v>8.5917141212914494</v>
      </c>
      <c r="E199" s="264">
        <v>7.7719401704950997</v>
      </c>
      <c r="F199" s="264">
        <v>6.7008649625790904</v>
      </c>
      <c r="G199" s="264">
        <v>5.20145644769533</v>
      </c>
      <c r="H199" s="265">
        <v>7.6202528770386003E-4</v>
      </c>
      <c r="I199" s="266">
        <v>-1.8228876035648999E-2</v>
      </c>
      <c r="J199" s="266">
        <v>-1.9855908742122699E-2</v>
      </c>
      <c r="K199" s="266">
        <v>-2.9221200253626501E-2</v>
      </c>
      <c r="L199" s="267">
        <v>-1.25850349185209E-2</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row>
    <row r="200" spans="1:78">
      <c r="A200" s="244" t="s">
        <v>156</v>
      </c>
      <c r="B200" s="245">
        <v>3.78571461736888</v>
      </c>
      <c r="C200" s="245">
        <v>3.9586567497850398</v>
      </c>
      <c r="D200" s="245">
        <v>3.97265709372313</v>
      </c>
      <c r="E200" s="245">
        <v>3.9334647463456598</v>
      </c>
      <c r="F200" s="245">
        <v>3.8856425623387798</v>
      </c>
      <c r="G200" s="245">
        <v>4.0064719690455703</v>
      </c>
      <c r="H200" s="270">
        <v>2.9824447705471E-3</v>
      </c>
      <c r="I200" s="271">
        <v>7.0632949884630303E-4</v>
      </c>
      <c r="J200" s="271">
        <v>-1.9809376716346501E-3</v>
      </c>
      <c r="K200" s="271">
        <v>-2.4434671579897098E-3</v>
      </c>
      <c r="L200" s="272">
        <v>1.5323067835169E-3</v>
      </c>
      <c r="M200"/>
      <c r="N200"/>
      <c r="O200" s="268"/>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row>
    <row r="201" spans="1:78">
      <c r="A201" s="244" t="s">
        <v>143</v>
      </c>
      <c r="B201" s="264">
        <v>0.26721410146173702</v>
      </c>
      <c r="C201" s="264">
        <v>0.52036973344797899</v>
      </c>
      <c r="D201" s="264">
        <v>0.51314703353396396</v>
      </c>
      <c r="E201" s="264">
        <v>0.54453138435081705</v>
      </c>
      <c r="F201" s="264">
        <v>0.57324161650902805</v>
      </c>
      <c r="G201" s="264">
        <v>0.61307824591573501</v>
      </c>
      <c r="H201" s="270">
        <v>4.54345378075625E-2</v>
      </c>
      <c r="I201" s="271">
        <v>-2.7915295345626299E-3</v>
      </c>
      <c r="J201" s="271">
        <v>1.19433915277583E-2</v>
      </c>
      <c r="K201" s="271">
        <v>1.03293264690474E-2</v>
      </c>
      <c r="L201" s="272">
        <v>3.3649123941530399E-3</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row>
    <row r="202" spans="1:78">
      <c r="A202" s="244" t="s">
        <v>142</v>
      </c>
      <c r="B202" s="264">
        <v>6.6517712811693901</v>
      </c>
      <c r="C202" s="264">
        <v>9.1015735167669796</v>
      </c>
      <c r="D202" s="264">
        <v>9.4495958727429095</v>
      </c>
      <c r="E202" s="264">
        <v>9.82850386930353</v>
      </c>
      <c r="F202" s="264">
        <v>10.283215821152201</v>
      </c>
      <c r="G202" s="264">
        <v>12.8467497850387</v>
      </c>
      <c r="H202" s="270">
        <v>2.1124300532036101E-2</v>
      </c>
      <c r="I202" s="271">
        <v>7.5331652501646803E-3</v>
      </c>
      <c r="J202" s="271">
        <v>7.8939434265645793E-3</v>
      </c>
      <c r="K202" s="271">
        <v>9.0862944238156995E-3</v>
      </c>
      <c r="L202" s="272">
        <v>1.1191046973166001E-2</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row>
    <row r="203" spans="1:78">
      <c r="A203" s="244"/>
      <c r="B203" s="245"/>
      <c r="C203" s="245"/>
      <c r="D203" s="245"/>
      <c r="E203" s="245"/>
      <c r="F203" s="245"/>
      <c r="G203" s="245"/>
      <c r="H203" s="270"/>
      <c r="I203" s="271"/>
      <c r="J203" s="271"/>
      <c r="K203" s="271"/>
      <c r="L203" s="272"/>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row>
    <row r="204" spans="1:78" ht="15" thickBot="1">
      <c r="A204" s="253" t="s">
        <v>10</v>
      </c>
      <c r="B204" s="273">
        <v>20.017199999999999</v>
      </c>
      <c r="C204" s="273">
        <v>23.000115085248201</v>
      </c>
      <c r="D204" s="273">
        <v>22.5271141212915</v>
      </c>
      <c r="E204" s="273">
        <v>22.078440170495099</v>
      </c>
      <c r="F204" s="273">
        <v>21.442964962579101</v>
      </c>
      <c r="G204" s="273">
        <v>22.6677564476953</v>
      </c>
      <c r="H204" s="275">
        <v>9.3034986918318907E-3</v>
      </c>
      <c r="I204" s="276">
        <v>-4.1472889196699798E-3</v>
      </c>
      <c r="J204" s="276">
        <v>-4.0155323599075903E-3</v>
      </c>
      <c r="K204" s="276">
        <v>-5.82396590570111E-3</v>
      </c>
      <c r="L204" s="277">
        <v>2.7812041983963399E-3</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row>
    <row r="205" spans="1:78">
      <c r="A205" s="258"/>
      <c r="B205" s="236"/>
      <c r="C205" s="308"/>
      <c r="D205" s="308"/>
      <c r="E205" s="308"/>
      <c r="F205" s="308"/>
      <c r="G205" s="308"/>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row>
    <row r="206" spans="1:78">
      <c r="A206" s="258"/>
      <c r="B206" s="236"/>
      <c r="C206" s="236"/>
      <c r="D206" s="236"/>
      <c r="E206" s="308"/>
      <c r="F206" s="309"/>
      <c r="G206" s="308"/>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row>
    <row r="207" spans="1:78" ht="16" thickBot="1">
      <c r="A207" s="237" t="s">
        <v>157</v>
      </c>
      <c r="B207" s="239"/>
      <c r="C207" s="239"/>
      <c r="D207" s="239"/>
      <c r="E207" s="310"/>
      <c r="F207" s="310"/>
      <c r="G207" s="310"/>
      <c r="H207" s="239"/>
      <c r="I207" s="239"/>
      <c r="J207" s="239"/>
      <c r="K207" s="239"/>
      <c r="L207" s="239"/>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row>
    <row r="208" spans="1:78" ht="15" thickBot="1">
      <c r="A208" s="292" t="s">
        <v>51</v>
      </c>
      <c r="B208" s="241">
        <v>2000</v>
      </c>
      <c r="C208" s="241">
        <v>2015</v>
      </c>
      <c r="D208" s="241">
        <v>2020</v>
      </c>
      <c r="E208" s="241">
        <v>2025</v>
      </c>
      <c r="F208" s="241">
        <v>2030</v>
      </c>
      <c r="G208" s="241">
        <v>2050</v>
      </c>
      <c r="H208" s="261" t="s">
        <v>98</v>
      </c>
      <c r="I208" s="262" t="s">
        <v>99</v>
      </c>
      <c r="J208" s="262" t="s">
        <v>100</v>
      </c>
      <c r="K208" s="262" t="s">
        <v>101</v>
      </c>
      <c r="L208" s="263" t="s">
        <v>323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row>
    <row r="209" spans="1:78">
      <c r="A209" s="244" t="s">
        <v>103</v>
      </c>
      <c r="B209" s="245">
        <v>3.7561</v>
      </c>
      <c r="C209" s="245">
        <v>2.3746</v>
      </c>
      <c r="D209" s="245">
        <v>1.9155</v>
      </c>
      <c r="E209" s="245">
        <v>1.4925999999999999</v>
      </c>
      <c r="F209" s="245">
        <v>1.1229</v>
      </c>
      <c r="G209" s="245">
        <v>0.74460000000000004</v>
      </c>
      <c r="H209" s="265">
        <v>-3.0107603926098101E-2</v>
      </c>
      <c r="I209" s="266">
        <v>-4.2059932911037302E-2</v>
      </c>
      <c r="J209" s="266">
        <v>-4.86676696332956E-2</v>
      </c>
      <c r="K209" s="266">
        <v>-5.5331293629666801E-2</v>
      </c>
      <c r="L209" s="267">
        <v>-2.03316050780015E-2</v>
      </c>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row>
    <row r="210" spans="1:78">
      <c r="A210" s="244" t="s">
        <v>54</v>
      </c>
      <c r="B210" s="245">
        <v>5.5961999999999996</v>
      </c>
      <c r="C210" s="245">
        <v>6.1024000000000003</v>
      </c>
      <c r="D210" s="245">
        <v>5.7868000000000004</v>
      </c>
      <c r="E210" s="245">
        <v>5.2241999999999997</v>
      </c>
      <c r="F210" s="245">
        <v>4.3676000000000004</v>
      </c>
      <c r="G210" s="245">
        <v>2.6025</v>
      </c>
      <c r="H210" s="270">
        <v>5.7896516525792804E-3</v>
      </c>
      <c r="I210" s="271">
        <v>-1.05643361785912E-2</v>
      </c>
      <c r="J210" s="271">
        <v>-2.0247761500076299E-2</v>
      </c>
      <c r="K210" s="271">
        <v>-3.5183743345156303E-2</v>
      </c>
      <c r="L210" s="272">
        <v>-2.5554859734163798E-2</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row>
    <row r="211" spans="1:78">
      <c r="A211" s="244" t="s">
        <v>42</v>
      </c>
      <c r="B211" s="245">
        <v>0.15870000000000001</v>
      </c>
      <c r="C211" s="245">
        <v>6.5500000000000003E-2</v>
      </c>
      <c r="D211" s="245">
        <v>0</v>
      </c>
      <c r="E211" s="245">
        <v>0</v>
      </c>
      <c r="F211" s="245">
        <v>0</v>
      </c>
      <c r="G211" s="245">
        <v>0</v>
      </c>
      <c r="H211" s="270">
        <v>-5.7291061665288301E-2</v>
      </c>
      <c r="I211" s="271">
        <v>-1</v>
      </c>
      <c r="J211" s="271" t="e">
        <f>#DIV/0!</f>
        <v>#DIV/0!</v>
      </c>
      <c r="K211" s="271" t="e">
        <f>#DIV/0!</f>
        <v>#DIV/0!</v>
      </c>
      <c r="L211" s="272" t="e">
        <f>#DIV/0!</f>
        <v>#DIV/0!</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row>
    <row r="212" spans="1:78">
      <c r="A212" s="244" t="s">
        <v>104</v>
      </c>
      <c r="B212" s="245">
        <v>2.4110146173688798</v>
      </c>
      <c r="C212" s="245">
        <v>2.7863567497850399</v>
      </c>
      <c r="D212" s="245">
        <v>2.92255709372313</v>
      </c>
      <c r="E212" s="245">
        <v>3.11266474634566</v>
      </c>
      <c r="F212" s="245">
        <v>3.2688425623387798</v>
      </c>
      <c r="G212" s="245">
        <v>3.7000719690455699</v>
      </c>
      <c r="H212" s="270">
        <v>9.6924879048045903E-3</v>
      </c>
      <c r="I212" s="271">
        <v>9.5905033465326604E-3</v>
      </c>
      <c r="J212" s="271">
        <v>1.2683813956920999E-2</v>
      </c>
      <c r="K212" s="271">
        <v>9.8394471178493408E-3</v>
      </c>
      <c r="L212" s="272">
        <v>6.2150490043679802E-3</v>
      </c>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row>
    <row r="213" spans="1:78">
      <c r="A213" s="244" t="s">
        <v>105</v>
      </c>
      <c r="B213" s="245">
        <v>0.85540000000000005</v>
      </c>
      <c r="C213" s="245">
        <v>0.81569999999999998</v>
      </c>
      <c r="D213" s="245">
        <v>0.73019999999999996</v>
      </c>
      <c r="E213" s="245">
        <v>0.69030000000000002</v>
      </c>
      <c r="F213" s="245">
        <v>0.70609999999999995</v>
      </c>
      <c r="G213" s="245">
        <v>0.83020000000000005</v>
      </c>
      <c r="H213" s="270">
        <v>-3.1631570098044101E-3</v>
      </c>
      <c r="I213" s="271">
        <v>-2.19022198260551E-2</v>
      </c>
      <c r="J213" s="271">
        <v>-1.11755213831751E-2</v>
      </c>
      <c r="K213" s="271">
        <v>4.5363753009275403E-3</v>
      </c>
      <c r="L213" s="272">
        <v>8.1283453247007493E-3</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row>
    <row r="214" spans="1:78">
      <c r="A214" s="244" t="s">
        <v>134</v>
      </c>
      <c r="B214" s="245">
        <v>0.32079999999999997</v>
      </c>
      <c r="C214" s="245">
        <v>0.43919999999999998</v>
      </c>
      <c r="D214" s="245">
        <v>0.28920000000000001</v>
      </c>
      <c r="E214" s="245">
        <v>0.1908</v>
      </c>
      <c r="F214" s="245">
        <v>0.1142</v>
      </c>
      <c r="G214" s="245">
        <v>4.9099999999999998E-2</v>
      </c>
      <c r="H214" s="270">
        <v>2.11632999858604E-2</v>
      </c>
      <c r="I214" s="271">
        <v>-8.0170801502706598E-2</v>
      </c>
      <c r="J214" s="271">
        <v>-7.9813163360698103E-2</v>
      </c>
      <c r="K214" s="271">
        <v>-9.7561641878772601E-2</v>
      </c>
      <c r="L214" s="272">
        <v>-4.1326396695113801E-2</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row>
    <row r="215" spans="1:78">
      <c r="A215" s="244" t="s">
        <v>135</v>
      </c>
      <c r="B215" s="245">
        <v>0</v>
      </c>
      <c r="C215" s="245">
        <v>8.9099999999999999E-2</v>
      </c>
      <c r="D215" s="245">
        <v>7.9899999999999999E-2</v>
      </c>
      <c r="E215" s="245">
        <v>6.5100000000000005E-2</v>
      </c>
      <c r="F215" s="245">
        <v>5.2400000000000002E-2</v>
      </c>
      <c r="G215" s="245">
        <v>3.4099999999999998E-2</v>
      </c>
      <c r="H215" s="270"/>
      <c r="I215" s="271"/>
      <c r="J215" s="271"/>
      <c r="K215" s="271"/>
      <c r="L215" s="272"/>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row>
    <row r="216" spans="1:78">
      <c r="A216" s="244" t="s">
        <v>136</v>
      </c>
      <c r="B216" s="245">
        <v>0</v>
      </c>
      <c r="C216" s="245">
        <v>0.70541508524818897</v>
      </c>
      <c r="D216" s="245">
        <v>0.84021412129145101</v>
      </c>
      <c r="E216" s="245">
        <v>0.92974017049510504</v>
      </c>
      <c r="F216" s="245">
        <v>0.95436496257908998</v>
      </c>
      <c r="G216" s="245">
        <v>1.2473564476953301</v>
      </c>
      <c r="H216" s="270"/>
      <c r="I216" s="271"/>
      <c r="J216" s="271"/>
      <c r="K216" s="271"/>
      <c r="L216" s="272"/>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row>
    <row r="217" spans="1:78">
      <c r="A217" s="244"/>
      <c r="B217" s="245"/>
      <c r="C217" s="245"/>
      <c r="D217" s="245"/>
      <c r="E217" s="245"/>
      <c r="F217" s="245"/>
      <c r="G217" s="245"/>
      <c r="H217" s="270"/>
      <c r="I217" s="271"/>
      <c r="J217" s="271"/>
      <c r="K217" s="271"/>
      <c r="L217" s="272"/>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row>
    <row r="218" spans="1:78" ht="15" thickBot="1">
      <c r="A218" s="253" t="s">
        <v>10</v>
      </c>
      <c r="B218" s="273">
        <v>13.0982146173689</v>
      </c>
      <c r="C218" s="273">
        <v>13.3782718350332</v>
      </c>
      <c r="D218" s="273">
        <v>12.564371215014599</v>
      </c>
      <c r="E218" s="273">
        <v>11.7054049168408</v>
      </c>
      <c r="F218" s="273">
        <v>10.586407524917901</v>
      </c>
      <c r="G218" s="273">
        <v>9.2079284167409003</v>
      </c>
      <c r="H218" s="275">
        <v>1.41139200272455E-3</v>
      </c>
      <c r="I218" s="276">
        <v>-1.24748871303695E-2</v>
      </c>
      <c r="J218" s="276">
        <v>-1.40630647971826E-2</v>
      </c>
      <c r="K218" s="276">
        <v>-1.9895386857720899E-2</v>
      </c>
      <c r="L218" s="277">
        <v>-6.9510276661613997E-3</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row>
    <row r="219" spans="1:78">
      <c r="A219" s="258"/>
      <c r="B219" s="236"/>
      <c r="C219" s="236"/>
      <c r="D219" s="236"/>
      <c r="E219" s="236"/>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row>
    <row r="220" spans="1:78">
      <c r="A220" s="258"/>
      <c r="B220" s="236"/>
      <c r="C220" s="236"/>
      <c r="D220" s="236"/>
      <c r="E220" s="236"/>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row>
    <row r="221" spans="1:78" ht="16" thickBot="1">
      <c r="A221" s="237" t="s">
        <v>158</v>
      </c>
      <c r="B221" s="239"/>
      <c r="C221" s="239"/>
      <c r="D221" s="239"/>
      <c r="E221" s="239"/>
      <c r="F221" s="239"/>
      <c r="G221" s="239"/>
      <c r="H221" s="239"/>
      <c r="I221" s="239"/>
      <c r="J221" s="239"/>
      <c r="K221" s="239"/>
      <c r="L221" s="239"/>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row>
    <row r="222" spans="1:78" ht="15" thickBot="1">
      <c r="A222" s="292" t="s">
        <v>51</v>
      </c>
      <c r="B222" s="241">
        <v>2000</v>
      </c>
      <c r="C222" s="241">
        <v>2015</v>
      </c>
      <c r="D222" s="241">
        <v>2020</v>
      </c>
      <c r="E222" s="241">
        <v>2025</v>
      </c>
      <c r="F222" s="241">
        <v>2030</v>
      </c>
      <c r="G222" s="241">
        <v>2050</v>
      </c>
      <c r="H222" s="261" t="s">
        <v>98</v>
      </c>
      <c r="I222" s="262" t="s">
        <v>99</v>
      </c>
      <c r="J222" s="262" t="s">
        <v>100</v>
      </c>
      <c r="K222" s="262" t="s">
        <v>101</v>
      </c>
      <c r="L222" s="263" t="s">
        <v>323</v>
      </c>
      <c r="M222"/>
      <c r="N222" s="311"/>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row>
    <row r="223" spans="1:78">
      <c r="A223" s="244" t="s">
        <v>103</v>
      </c>
      <c r="B223" s="264">
        <v>2.6355</v>
      </c>
      <c r="C223" s="264">
        <v>1.5865</v>
      </c>
      <c r="D223" s="264">
        <v>1.2203999999999999</v>
      </c>
      <c r="E223" s="264">
        <v>0.9052</v>
      </c>
      <c r="F223" s="264">
        <v>0.63119999999999998</v>
      </c>
      <c r="G223" s="264">
        <v>0.33550000000000002</v>
      </c>
      <c r="H223" s="265">
        <v>-3.32701312538944E-2</v>
      </c>
      <c r="I223" s="266">
        <v>-5.1117527571357797E-2</v>
      </c>
      <c r="J223" s="266">
        <v>-5.8005278398234397E-2</v>
      </c>
      <c r="K223" s="266">
        <v>-6.9568320334211703E-2</v>
      </c>
      <c r="L223" s="267">
        <v>-3.1105977188465101E-2</v>
      </c>
      <c r="M223" s="312"/>
      <c r="N223" s="311"/>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row>
    <row r="224" spans="1:78">
      <c r="A224" s="244" t="s">
        <v>54</v>
      </c>
      <c r="B224" s="264">
        <v>3.9832000000000001</v>
      </c>
      <c r="C224" s="264">
        <v>4.2202000000000002</v>
      </c>
      <c r="D224" s="264">
        <v>3.8336999999999999</v>
      </c>
      <c r="E224" s="264">
        <v>3.3018000000000001</v>
      </c>
      <c r="F224" s="264">
        <v>2.5691000000000002</v>
      </c>
      <c r="G224" s="264">
        <v>1.2297</v>
      </c>
      <c r="H224" s="270">
        <v>3.8605664590591901E-3</v>
      </c>
      <c r="I224" s="271">
        <v>-1.90270808974272E-2</v>
      </c>
      <c r="J224" s="271">
        <v>-2.9430750049253399E-2</v>
      </c>
      <c r="K224" s="271">
        <v>-4.8944088896414002E-2</v>
      </c>
      <c r="L224" s="272">
        <v>-3.6168960817935601E-2</v>
      </c>
      <c r="M224" s="312"/>
      <c r="N224" s="311"/>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row>
    <row r="225" spans="1:78">
      <c r="A225" s="244" t="s">
        <v>42</v>
      </c>
      <c r="B225" s="264">
        <v>0.11509999999999999</v>
      </c>
      <c r="C225" s="264">
        <v>4.6199999999999998E-2</v>
      </c>
      <c r="D225" s="264">
        <v>0</v>
      </c>
      <c r="E225" s="264">
        <v>0</v>
      </c>
      <c r="F225" s="264">
        <v>0</v>
      </c>
      <c r="G225" s="264">
        <v>0</v>
      </c>
      <c r="H225" s="270">
        <v>-5.9040112512636501E-2</v>
      </c>
      <c r="I225" s="271">
        <v>-1</v>
      </c>
      <c r="J225" s="271" t="e">
        <f>#DIV/0!</f>
        <v>#DIV/0!</v>
      </c>
      <c r="K225" s="271" t="e">
        <f>#DIV/0!</f>
        <v>#DIV/0!</v>
      </c>
      <c r="L225" s="272" t="e">
        <f>#DIV/0!</f>
        <v>#DIV/0!</v>
      </c>
      <c r="M225" s="312"/>
      <c r="N225" s="311"/>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row>
    <row r="226" spans="1:78">
      <c r="A226" s="244" t="s">
        <v>104</v>
      </c>
      <c r="B226" s="264">
        <v>1.7258</v>
      </c>
      <c r="C226" s="264">
        <v>1.9755</v>
      </c>
      <c r="D226" s="264">
        <v>2.0043000000000002</v>
      </c>
      <c r="E226" s="264">
        <v>2.0605000000000002</v>
      </c>
      <c r="F226" s="264">
        <v>2.0430000000000001</v>
      </c>
      <c r="G226" s="264">
        <v>1.9240999999999999</v>
      </c>
      <c r="H226" s="270">
        <v>9.0494219768668706E-3</v>
      </c>
      <c r="I226" s="271">
        <v>2.8988619474283901E-3</v>
      </c>
      <c r="J226" s="271">
        <v>5.5460827240940702E-3</v>
      </c>
      <c r="K226" s="271">
        <v>-1.70441702098156E-3</v>
      </c>
      <c r="L226" s="272">
        <v>-2.9935598320109899E-3</v>
      </c>
      <c r="M226" s="312"/>
      <c r="N226" s="311"/>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row>
    <row r="227" spans="1:78">
      <c r="A227" s="244" t="s">
        <v>105</v>
      </c>
      <c r="B227" s="264">
        <v>0.62029999999999996</v>
      </c>
      <c r="C227" s="264">
        <v>0.57579999999999998</v>
      </c>
      <c r="D227" s="264">
        <v>0.49149999999999999</v>
      </c>
      <c r="E227" s="264">
        <v>0.44379999999999997</v>
      </c>
      <c r="F227" s="264">
        <v>0.42580000000000001</v>
      </c>
      <c r="G227" s="264">
        <v>0.43020000000000003</v>
      </c>
      <c r="H227" s="270">
        <v>-4.9505622928958104E-3</v>
      </c>
      <c r="I227" s="271">
        <v>-3.1163767146966399E-2</v>
      </c>
      <c r="J227" s="271">
        <v>-2.0210558307184798E-2</v>
      </c>
      <c r="K227" s="271">
        <v>-8.2466598003344601E-3</v>
      </c>
      <c r="L227" s="272">
        <v>5.1415535128596101E-4</v>
      </c>
      <c r="M227" s="312"/>
      <c r="N227" s="311"/>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row>
    <row r="228" spans="1:78">
      <c r="A228" s="244" t="s">
        <v>134</v>
      </c>
      <c r="B228" s="264">
        <v>0.2326</v>
      </c>
      <c r="C228" s="264">
        <v>0.30990000000000001</v>
      </c>
      <c r="D228" s="264">
        <v>0.2016</v>
      </c>
      <c r="E228" s="264">
        <v>0.13089999999999999</v>
      </c>
      <c r="F228" s="264">
        <v>7.7399999999999997E-2</v>
      </c>
      <c r="G228" s="264">
        <v>3.4599999999999999E-2</v>
      </c>
      <c r="H228" s="270">
        <v>1.9312752666136499E-2</v>
      </c>
      <c r="I228" s="271">
        <v>-8.2399185677649006E-2</v>
      </c>
      <c r="J228" s="271">
        <v>-8.2745557664505698E-2</v>
      </c>
      <c r="K228" s="271">
        <v>-9.97559434406773E-2</v>
      </c>
      <c r="L228" s="272">
        <v>-3.9457120548926097E-2</v>
      </c>
      <c r="M228" s="312"/>
      <c r="N228" s="311"/>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row>
    <row r="229" spans="1:78">
      <c r="A229" s="244" t="s">
        <v>136</v>
      </c>
      <c r="B229" s="264">
        <v>0</v>
      </c>
      <c r="C229" s="264">
        <v>0.70541508524818897</v>
      </c>
      <c r="D229" s="264">
        <v>0.84021412129145101</v>
      </c>
      <c r="E229" s="264">
        <v>0.92974017049510504</v>
      </c>
      <c r="F229" s="264">
        <v>0.95436496257908998</v>
      </c>
      <c r="G229" s="264">
        <v>1.2473564476953301</v>
      </c>
      <c r="H229" s="270"/>
      <c r="I229" s="271"/>
      <c r="J229" s="271"/>
      <c r="K229" s="271"/>
      <c r="L229" s="272"/>
      <c r="M229" s="311"/>
      <c r="N229" s="311"/>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row>
    <row r="230" spans="1:78">
      <c r="A230" s="244"/>
      <c r="B230" s="245"/>
      <c r="C230" s="245"/>
      <c r="D230" s="245"/>
      <c r="E230" s="245"/>
      <c r="F230" s="245"/>
      <c r="G230" s="245"/>
      <c r="H230" s="270"/>
      <c r="I230" s="271"/>
      <c r="J230" s="271"/>
      <c r="K230" s="271"/>
      <c r="L230" s="272"/>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row>
    <row r="231" spans="1:78" ht="15" thickBot="1">
      <c r="A231" s="253" t="s">
        <v>10</v>
      </c>
      <c r="B231" s="273">
        <v>9.3125</v>
      </c>
      <c r="C231" s="273">
        <v>9.4195150852481895</v>
      </c>
      <c r="D231" s="273">
        <v>8.5917141212914494</v>
      </c>
      <c r="E231" s="273">
        <v>7.7719401704950997</v>
      </c>
      <c r="F231" s="273">
        <v>6.7008649625790904</v>
      </c>
      <c r="G231" s="313">
        <v>5.20145644769533</v>
      </c>
      <c r="H231" s="275">
        <v>7.6202528770386003E-4</v>
      </c>
      <c r="I231" s="276">
        <v>-1.8228876035648999E-2</v>
      </c>
      <c r="J231" s="276">
        <v>-1.9855908742122699E-2</v>
      </c>
      <c r="K231" s="276">
        <v>-2.9221200253626501E-2</v>
      </c>
      <c r="L231" s="277">
        <v>-1.25850349185209E-2</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row>
    <row r="232" spans="1:78">
      <c r="A232" s="258"/>
      <c r="B232" s="236"/>
      <c r="C232" s="236"/>
      <c r="D232" s="236"/>
      <c r="E232" s="236"/>
      <c r="F232"/>
      <c r="G232" s="314"/>
      <c r="H232"/>
      <c r="I232"/>
      <c r="J232"/>
      <c r="K232"/>
      <c r="L232"/>
      <c r="M232" s="252"/>
      <c r="N232" s="252"/>
      <c r="O232" s="252"/>
      <c r="P232" s="252"/>
      <c r="Q232" s="252"/>
      <c r="R232" s="25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row>
    <row r="233" spans="1:78">
      <c r="A233" s="258"/>
      <c r="B233" s="236"/>
      <c r="C233" s="236"/>
      <c r="D233" s="236"/>
      <c r="E233" s="236"/>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row>
    <row r="234" spans="1:78" ht="16" thickBot="1">
      <c r="A234" s="237" t="s">
        <v>159</v>
      </c>
      <c r="B234" s="239"/>
      <c r="C234" s="239"/>
      <c r="D234" s="239"/>
      <c r="E234" s="239"/>
      <c r="F234" s="239"/>
      <c r="G234" s="239"/>
      <c r="H234" s="239"/>
      <c r="I234" s="239"/>
      <c r="J234" s="239"/>
      <c r="K234" s="239"/>
      <c r="L234" s="239"/>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row>
    <row r="235" spans="1:78" ht="15" thickBot="1">
      <c r="A235" s="292" t="s">
        <v>51</v>
      </c>
      <c r="B235" s="241">
        <v>2000</v>
      </c>
      <c r="C235" s="241">
        <v>2015</v>
      </c>
      <c r="D235" s="241">
        <v>2020</v>
      </c>
      <c r="E235" s="241">
        <v>2025</v>
      </c>
      <c r="F235" s="241">
        <v>2030</v>
      </c>
      <c r="G235" s="241">
        <v>2050</v>
      </c>
      <c r="H235" s="261" t="s">
        <v>98</v>
      </c>
      <c r="I235" s="262" t="s">
        <v>99</v>
      </c>
      <c r="J235" s="262" t="s">
        <v>100</v>
      </c>
      <c r="K235" s="262" t="s">
        <v>101</v>
      </c>
      <c r="L235" s="263" t="s">
        <v>323</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row>
    <row r="236" spans="1:78">
      <c r="A236" s="244" t="s">
        <v>103</v>
      </c>
      <c r="B236" s="264">
        <v>1.1206</v>
      </c>
      <c r="C236" s="264">
        <v>0.78810000000000002</v>
      </c>
      <c r="D236" s="264">
        <v>0.69510000000000005</v>
      </c>
      <c r="E236" s="303">
        <v>0.58740000000000003</v>
      </c>
      <c r="F236" s="264">
        <v>0.49180000000000001</v>
      </c>
      <c r="G236" s="264">
        <v>0.40910000000000002</v>
      </c>
      <c r="H236" s="265">
        <v>-2.3193110734695498E-2</v>
      </c>
      <c r="I236" s="266">
        <v>-2.4801123659468301E-2</v>
      </c>
      <c r="J236" s="266">
        <v>-3.31094163764196E-2</v>
      </c>
      <c r="K236" s="266">
        <v>-3.4903109284142503E-2</v>
      </c>
      <c r="L236" s="267">
        <v>-9.1633831951471994E-3</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row>
    <row r="237" spans="1:78">
      <c r="A237" s="244" t="s">
        <v>54</v>
      </c>
      <c r="B237" s="264">
        <v>1.613</v>
      </c>
      <c r="C237" s="264">
        <v>1.8822000000000001</v>
      </c>
      <c r="D237" s="264">
        <v>1.9531000000000001</v>
      </c>
      <c r="E237" s="303">
        <v>1.9224000000000001</v>
      </c>
      <c r="F237" s="264">
        <v>1.7985</v>
      </c>
      <c r="G237" s="264">
        <v>1.3728</v>
      </c>
      <c r="H237" s="270">
        <v>1.0342821430755E-2</v>
      </c>
      <c r="I237" s="271">
        <v>7.4227225200960102E-3</v>
      </c>
      <c r="J237" s="271">
        <v>-3.1636746853501698E-3</v>
      </c>
      <c r="K237" s="271">
        <v>-1.3235908929934001E-2</v>
      </c>
      <c r="L237" s="272">
        <v>-1.3414242985186099E-2</v>
      </c>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row>
    <row r="238" spans="1:78">
      <c r="A238" s="244" t="s">
        <v>42</v>
      </c>
      <c r="B238" s="264">
        <v>4.36E-2</v>
      </c>
      <c r="C238" s="264">
        <v>1.9199999999999998E-2</v>
      </c>
      <c r="D238" s="264">
        <v>0</v>
      </c>
      <c r="E238" s="264">
        <v>0</v>
      </c>
      <c r="F238" s="264">
        <v>0</v>
      </c>
      <c r="G238" s="264">
        <v>0</v>
      </c>
      <c r="H238" s="270">
        <v>-5.3208574888069703E-2</v>
      </c>
      <c r="I238" s="271">
        <v>-1</v>
      </c>
      <c r="J238" s="271" t="e">
        <f>#DIV/0!</f>
        <v>#DIV/0!</v>
      </c>
      <c r="K238" s="271" t="e">
        <f>#DIV/0!</f>
        <v>#DIV/0!</v>
      </c>
      <c r="L238" s="272" t="e">
        <f>#DIV/0!</f>
        <v>#DIV/0!</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row>
    <row r="239" spans="1:78">
      <c r="A239" s="244" t="s">
        <v>104</v>
      </c>
      <c r="B239" s="245">
        <v>0.68521461736887601</v>
      </c>
      <c r="C239" s="245">
        <v>0.81085674978504096</v>
      </c>
      <c r="D239" s="245">
        <v>0.91825709372313202</v>
      </c>
      <c r="E239" s="315">
        <v>1.05216474634566</v>
      </c>
      <c r="F239" s="245">
        <v>1.2258425623387801</v>
      </c>
      <c r="G239" s="245">
        <v>1.77597196904557</v>
      </c>
      <c r="H239" s="270">
        <v>1.1287178574132001E-2</v>
      </c>
      <c r="I239" s="271">
        <v>2.5189220679678399E-2</v>
      </c>
      <c r="J239" s="271">
        <v>2.7599515553620401E-2</v>
      </c>
      <c r="K239" s="271">
        <v>3.1027359667426899E-2</v>
      </c>
      <c r="L239" s="272">
        <v>1.8708829896345799E-2</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row>
    <row r="240" spans="1:78">
      <c r="A240" s="244" t="s">
        <v>105</v>
      </c>
      <c r="B240" s="264">
        <v>0.2351</v>
      </c>
      <c r="C240" s="264">
        <v>0.2399</v>
      </c>
      <c r="D240" s="264">
        <v>0.2387</v>
      </c>
      <c r="E240" s="303">
        <v>0.2465</v>
      </c>
      <c r="F240" s="264">
        <v>0.28029999999999999</v>
      </c>
      <c r="G240" s="264">
        <v>0.4</v>
      </c>
      <c r="H240" s="270">
        <v>1.3483224571198E-3</v>
      </c>
      <c r="I240" s="271">
        <v>-1.00242453668065E-3</v>
      </c>
      <c r="J240" s="271">
        <v>6.4516146114776997E-3</v>
      </c>
      <c r="K240" s="271">
        <v>2.60327773134887E-2</v>
      </c>
      <c r="L240" s="272">
        <v>1.7939213287181802E-2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row>
    <row r="241" spans="1:78">
      <c r="A241" s="244" t="s">
        <v>134</v>
      </c>
      <c r="B241" s="264">
        <v>8.8200000000000001E-2</v>
      </c>
      <c r="C241" s="264">
        <v>0.1293</v>
      </c>
      <c r="D241" s="264">
        <v>8.7599999999999997E-2</v>
      </c>
      <c r="E241" s="264">
        <v>5.9900000000000002E-2</v>
      </c>
      <c r="F241" s="264">
        <v>3.6799999999999999E-2</v>
      </c>
      <c r="G241" s="264">
        <v>1.4500000000000001E-2</v>
      </c>
      <c r="H241" s="270">
        <v>2.5829843224459002E-2</v>
      </c>
      <c r="I241" s="271">
        <v>-7.4916113586561597E-2</v>
      </c>
      <c r="J241" s="271">
        <v>-7.3203162366209398E-2</v>
      </c>
      <c r="K241" s="271">
        <v>-9.2839358907831002E-2</v>
      </c>
      <c r="L241" s="272">
        <v>-4.5499831980384001E-2</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row>
    <row r="242" spans="1:78">
      <c r="A242" s="244" t="s">
        <v>135</v>
      </c>
      <c r="B242" s="264">
        <v>0</v>
      </c>
      <c r="C242" s="264">
        <v>8.9099999999999999E-2</v>
      </c>
      <c r="D242" s="264">
        <v>7.9899999999999999E-2</v>
      </c>
      <c r="E242" s="264">
        <v>6.5100000000000005E-2</v>
      </c>
      <c r="F242" s="264">
        <v>5.2400000000000002E-2</v>
      </c>
      <c r="G242" s="264">
        <v>3.4099999999999998E-2</v>
      </c>
      <c r="H242" s="270"/>
      <c r="I242" s="271"/>
      <c r="J242" s="271"/>
      <c r="K242" s="271"/>
      <c r="L242" s="27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row>
    <row r="243" spans="1:78">
      <c r="A243" s="244"/>
      <c r="B243" s="245"/>
      <c r="C243" s="245"/>
      <c r="D243" s="245"/>
      <c r="E243" s="315"/>
      <c r="F243" s="245"/>
      <c r="G243" s="245"/>
      <c r="H243" s="270" t="e">
        <f>#DIV/0!</f>
        <v>#DIV/0!</v>
      </c>
      <c r="I243" s="271" t="e">
        <f>#DIV/0!</f>
        <v>#DIV/0!</v>
      </c>
      <c r="J243" s="271" t="e">
        <f>#DIV/0!</f>
        <v>#DIV/0!</v>
      </c>
      <c r="K243" s="271" t="e">
        <f>#DIV/0!</f>
        <v>#DIV/0!</v>
      </c>
      <c r="L243" s="272" t="e">
        <f>#DIV/0!</f>
        <v>#DIV/0!</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row>
    <row r="244" spans="1:78" ht="15" thickBot="1">
      <c r="A244" s="253" t="s">
        <v>10</v>
      </c>
      <c r="B244" s="273">
        <v>3.78571461736888</v>
      </c>
      <c r="C244" s="273">
        <v>3.9586567497850398</v>
      </c>
      <c r="D244" s="273">
        <v>3.97265709372313</v>
      </c>
      <c r="E244" s="273">
        <v>3.9334647463456598</v>
      </c>
      <c r="F244" s="273">
        <v>3.8856425623387798</v>
      </c>
      <c r="G244" s="313">
        <v>4.0064719690455703</v>
      </c>
      <c r="H244" s="275">
        <v>2.9824447705471E-3</v>
      </c>
      <c r="I244" s="276">
        <v>7.0632949884630303E-4</v>
      </c>
      <c r="J244" s="276">
        <v>-1.9809376716346501E-3</v>
      </c>
      <c r="K244" s="276">
        <v>-2.4434671579897098E-3</v>
      </c>
      <c r="L244" s="277">
        <v>1.5323067835169E-3</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row>
    <row r="245" spans="1:78">
      <c r="A245" s="258"/>
      <c r="B245" s="236"/>
      <c r="C245" s="236"/>
      <c r="D245" s="236"/>
      <c r="E245" s="236"/>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row>
    <row r="246" spans="1:78">
      <c r="A246" s="258"/>
      <c r="B246" s="236"/>
      <c r="C246" s="236"/>
      <c r="D246" s="236"/>
      <c r="E246" s="23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row>
    <row r="247" spans="1:78" ht="16" thickBot="1">
      <c r="A247" s="237" t="s">
        <v>160</v>
      </c>
      <c r="B247" s="239"/>
      <c r="C247" s="239"/>
      <c r="D247" s="239"/>
      <c r="E247" s="239"/>
      <c r="F247" s="239"/>
      <c r="G247" s="239"/>
      <c r="H247" s="239"/>
      <c r="I247" s="239"/>
      <c r="J247" s="239"/>
      <c r="K247" s="239"/>
      <c r="L247" s="239"/>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row>
    <row r="248" spans="1:78" ht="15" thickBot="1">
      <c r="A248" s="240"/>
      <c r="B248" s="241">
        <v>2000</v>
      </c>
      <c r="C248" s="241">
        <v>2015</v>
      </c>
      <c r="D248" s="241">
        <v>2020</v>
      </c>
      <c r="E248" s="241">
        <v>2025</v>
      </c>
      <c r="F248" s="241">
        <v>2030</v>
      </c>
      <c r="G248" s="241">
        <v>2050</v>
      </c>
      <c r="H248" s="261" t="s">
        <v>98</v>
      </c>
      <c r="I248" s="262" t="s">
        <v>99</v>
      </c>
      <c r="J248" s="262" t="s">
        <v>100</v>
      </c>
      <c r="K248" s="262" t="s">
        <v>101</v>
      </c>
      <c r="L248" s="263" t="s">
        <v>323</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row>
    <row r="249" spans="1:78">
      <c r="A249" s="244" t="s">
        <v>161</v>
      </c>
      <c r="B249" s="305">
        <v>1.4720905322587E-2</v>
      </c>
      <c r="C249" s="305">
        <v>1.3822364259190799E-2</v>
      </c>
      <c r="D249" s="305">
        <v>1.24768482009943E-2</v>
      </c>
      <c r="E249" s="305">
        <v>1.14751113707548E-2</v>
      </c>
      <c r="F249" s="305">
        <v>1.0392448104838E-2</v>
      </c>
      <c r="G249" s="305">
        <v>7.77069433164654E-3</v>
      </c>
      <c r="H249" s="270">
        <v>-4.1899134103409201E-3</v>
      </c>
      <c r="I249" s="271">
        <v>-2.0274275228004401E-2</v>
      </c>
      <c r="J249" s="271">
        <v>-1.6599547953537099E-2</v>
      </c>
      <c r="K249" s="271">
        <v>-1.9625083440440099E-2</v>
      </c>
      <c r="L249" s="272">
        <v>-1.4430856366119999E-2</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row>
    <row r="250" spans="1:78">
      <c r="A250" s="244" t="s">
        <v>162</v>
      </c>
      <c r="B250" s="316">
        <v>17.813600000000001</v>
      </c>
      <c r="C250" s="316">
        <v>20.182200000000002</v>
      </c>
      <c r="D250" s="264">
        <v>20.667100000000001</v>
      </c>
      <c r="E250" s="264">
        <v>21.0288</v>
      </c>
      <c r="F250" s="264">
        <v>21.396899999999999</v>
      </c>
      <c r="G250" s="264">
        <v>22.7471</v>
      </c>
      <c r="H250" s="270">
        <v>8.35731683262542E-3</v>
      </c>
      <c r="I250" s="271">
        <v>4.7596987678148999E-3</v>
      </c>
      <c r="J250" s="271">
        <v>3.47599989365133E-3</v>
      </c>
      <c r="K250" s="271">
        <v>3.4766545875790601E-3</v>
      </c>
      <c r="L250" s="272">
        <v>3.0642659451392E-3</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row>
    <row r="251" spans="1:78">
      <c r="A251" s="244" t="s">
        <v>163</v>
      </c>
      <c r="B251" s="317">
        <v>1.1237032379754801</v>
      </c>
      <c r="C251" s="317">
        <v>1.1396287364731399</v>
      </c>
      <c r="D251" s="317">
        <v>1.0899987962167601</v>
      </c>
      <c r="E251" s="317">
        <v>1.04991441121201</v>
      </c>
      <c r="F251" s="317">
        <v>1.00214820663643</v>
      </c>
      <c r="G251" s="317">
        <v>0.996511926693747</v>
      </c>
      <c r="H251" s="270">
        <v>9.3862998075011595E-4</v>
      </c>
      <c r="I251" s="271">
        <v>-8.8656557888380193E-3</v>
      </c>
      <c r="J251" s="271">
        <v>-7.4655818916973303E-3</v>
      </c>
      <c r="K251" s="271">
        <v>-9.2693215405353895E-3</v>
      </c>
      <c r="L251" s="272">
        <v>-2.8196390854673398E-4</v>
      </c>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row>
    <row r="252" spans="1:78" ht="15" thickBot="1">
      <c r="A252" s="253" t="s">
        <v>164</v>
      </c>
      <c r="B252" s="318">
        <v>6091.2954147393002</v>
      </c>
      <c r="C252" s="318">
        <v>7150.2873324018201</v>
      </c>
      <c r="D252" s="318">
        <v>7250.9466253127002</v>
      </c>
      <c r="E252" s="318">
        <v>7458.2805961348304</v>
      </c>
      <c r="F252" s="318">
        <v>7677.61867373311</v>
      </c>
      <c r="G252" s="318">
        <v>8773.4101050243808</v>
      </c>
      <c r="H252" s="275">
        <v>1.0743418575732499E-2</v>
      </c>
      <c r="I252" s="276">
        <v>2.7998095870427299E-3</v>
      </c>
      <c r="J252" s="276">
        <v>5.6545017261144803E-3</v>
      </c>
      <c r="K252" s="276">
        <v>5.8137397677995297E-3</v>
      </c>
      <c r="L252" s="277">
        <v>6.6931062781363498E-3</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row>
    <row r="253" spans="1:78">
      <c r="A253" s="295"/>
      <c r="B253"/>
      <c r="C253"/>
      <c r="D253"/>
      <c r="E253"/>
      <c r="F253" s="26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row>
    <row r="254" spans="1:78">
      <c r="A254"/>
      <c r="B254"/>
      <c r="C254"/>
      <c r="D254"/>
      <c r="E254"/>
      <c r="F254" s="260"/>
      <c r="G254" s="271"/>
      <c r="H254" s="271"/>
      <c r="I254" s="271"/>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row>
    <row r="255" spans="1:78" ht="21">
      <c r="A255" s="234" t="s">
        <v>165</v>
      </c>
      <c r="B255" s="224"/>
      <c r="C255" s="224"/>
      <c r="D255" s="224"/>
      <c r="E255" s="224"/>
      <c r="F255" s="224"/>
      <c r="G255" s="296"/>
      <c r="H255" s="296"/>
      <c r="I255" s="296"/>
      <c r="J255" s="296"/>
      <c r="K255" s="296"/>
      <c r="L255" s="296"/>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row>
    <row r="256" spans="1:78" ht="21">
      <c r="A256" s="229"/>
      <c r="B256"/>
      <c r="C256"/>
      <c r="D256"/>
      <c r="E256" s="259"/>
      <c r="F256" s="260"/>
      <c r="G256" s="260"/>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row>
    <row r="257" spans="1:78" ht="16" thickBot="1">
      <c r="A257" s="237" t="s">
        <v>166</v>
      </c>
      <c r="B257" s="238"/>
      <c r="C257" s="238"/>
      <c r="D257" s="238"/>
      <c r="E257" s="238"/>
      <c r="F257" s="238"/>
      <c r="G257" s="239"/>
      <c r="H257" s="239"/>
      <c r="I257" s="239"/>
      <c r="J257" s="239"/>
      <c r="K257" s="239"/>
      <c r="L257" s="239"/>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row>
    <row r="258" spans="1:78" ht="15" thickBot="1">
      <c r="A258" s="240"/>
      <c r="B258" s="241">
        <v>2000</v>
      </c>
      <c r="C258" s="241">
        <v>2015</v>
      </c>
      <c r="D258" s="241">
        <v>2020</v>
      </c>
      <c r="E258" s="241">
        <v>2025</v>
      </c>
      <c r="F258" s="241">
        <v>2030</v>
      </c>
      <c r="G258" s="241">
        <v>2050</v>
      </c>
      <c r="H258" s="261" t="s">
        <v>98</v>
      </c>
      <c r="I258" s="262" t="s">
        <v>99</v>
      </c>
      <c r="J258" s="262" t="s">
        <v>100</v>
      </c>
      <c r="K258" s="262" t="s">
        <v>101</v>
      </c>
      <c r="L258" s="263" t="s">
        <v>323</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row>
    <row r="259" spans="1:78">
      <c r="A259" s="319" t="s">
        <v>167</v>
      </c>
      <c r="B259" s="320"/>
      <c r="C259" s="320"/>
      <c r="D259" s="320"/>
      <c r="E259" s="320"/>
      <c r="F259" s="320"/>
      <c r="G259" s="320"/>
      <c r="H259" s="321"/>
      <c r="I259" s="322"/>
      <c r="J259" s="322"/>
      <c r="K259" s="322"/>
      <c r="L259" s="323"/>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row>
    <row r="260" spans="1:78">
      <c r="A260" s="244" t="s">
        <v>334</v>
      </c>
      <c r="B260" s="324">
        <v>687.75139999999999</v>
      </c>
      <c r="C260" s="324">
        <v>729.41039999999998</v>
      </c>
      <c r="D260" s="324">
        <v>741.40110000000004</v>
      </c>
      <c r="E260" s="324">
        <v>756.66959999999995</v>
      </c>
      <c r="F260" s="324">
        <v>778.22469999999998</v>
      </c>
      <c r="G260" s="324">
        <v>909.726</v>
      </c>
      <c r="H260" s="270">
        <v>3.9283023752718603E-3</v>
      </c>
      <c r="I260" s="271">
        <v>3.2663705657525201E-3</v>
      </c>
      <c r="J260" s="271">
        <v>4.0853070199218201E-3</v>
      </c>
      <c r="K260" s="271">
        <v>5.6335292818185901E-3</v>
      </c>
      <c r="L260" s="272">
        <v>7.8369572087166901E-3</v>
      </c>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row>
    <row r="261" spans="1:78">
      <c r="A261" s="244" t="s">
        <v>190</v>
      </c>
      <c r="B261" s="324">
        <v>55.897300000000001</v>
      </c>
      <c r="C261" s="324">
        <v>71.178700000000006</v>
      </c>
      <c r="D261" s="324">
        <v>82.192400000000006</v>
      </c>
      <c r="E261" s="324">
        <v>85.473299999999995</v>
      </c>
      <c r="F261" s="324">
        <v>89.915099999999995</v>
      </c>
      <c r="G261" s="324">
        <v>111.08929999999999</v>
      </c>
      <c r="H261" s="270">
        <v>1.6242331386241898E-2</v>
      </c>
      <c r="I261" s="271">
        <v>2.9191811075447899E-2</v>
      </c>
      <c r="J261" s="271">
        <v>7.8589620121247705E-3</v>
      </c>
      <c r="K261" s="271">
        <v>1.01838753259413E-2</v>
      </c>
      <c r="L261" s="272">
        <v>1.06295207183478E-2</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row>
    <row r="262" spans="1:78">
      <c r="A262" s="244" t="s">
        <v>184</v>
      </c>
      <c r="B262" s="324">
        <v>80.924999999999997</v>
      </c>
      <c r="C262" s="324">
        <v>104.51479999999999</v>
      </c>
      <c r="D262" s="324">
        <v>113.20359999999999</v>
      </c>
      <c r="E262" s="324">
        <v>119.03700000000001</v>
      </c>
      <c r="F262" s="324">
        <v>126.9782</v>
      </c>
      <c r="G262" s="324">
        <v>164.40620000000001</v>
      </c>
      <c r="H262" s="270">
        <v>1.7199970831537799E-2</v>
      </c>
      <c r="I262" s="271">
        <v>1.61000877227735E-2</v>
      </c>
      <c r="J262" s="271">
        <v>1.00999439406149E-2</v>
      </c>
      <c r="K262" s="271">
        <v>1.29999843378217E-2</v>
      </c>
      <c r="L262" s="272">
        <v>1.30000137410558E-2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row>
    <row r="263" spans="1:78">
      <c r="A263" s="244" t="s">
        <v>186</v>
      </c>
      <c r="B263" s="324">
        <v>15.128</v>
      </c>
      <c r="C263" s="324">
        <v>14.279299999999999</v>
      </c>
      <c r="D263" s="324">
        <v>14.2354</v>
      </c>
      <c r="E263" s="324">
        <v>15.2354</v>
      </c>
      <c r="F263" s="324">
        <v>17.1067</v>
      </c>
      <c r="G263" s="324">
        <v>23.6632</v>
      </c>
      <c r="H263" s="270">
        <v>-3.84169475365603E-3</v>
      </c>
      <c r="I263" s="271">
        <v>-6.1563362236105601E-4</v>
      </c>
      <c r="J263" s="271">
        <v>1.36705687234326E-2</v>
      </c>
      <c r="K263" s="271">
        <v>2.3440209206746498E-2</v>
      </c>
      <c r="L263" s="272">
        <v>1.6354844884853201E-2</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row>
    <row r="264" spans="1:78">
      <c r="A264" s="244"/>
      <c r="B264" s="324"/>
      <c r="C264" s="324"/>
      <c r="D264" s="324"/>
      <c r="E264" s="324"/>
      <c r="F264" s="324"/>
      <c r="G264" s="324"/>
      <c r="H264" s="270"/>
      <c r="I264" s="271"/>
      <c r="J264" s="271"/>
      <c r="K264" s="271"/>
      <c r="L264" s="272"/>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row>
    <row r="265" spans="1:78">
      <c r="A265" s="244"/>
      <c r="B265" s="324"/>
      <c r="C265" s="324"/>
      <c r="D265" s="324"/>
      <c r="E265" s="324"/>
      <c r="F265" s="324"/>
      <c r="G265" s="324"/>
      <c r="H265" s="270"/>
      <c r="I265" s="271"/>
      <c r="J265" s="271"/>
      <c r="K265" s="271"/>
      <c r="L265" s="272"/>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row>
    <row r="266" spans="1:78">
      <c r="A266" s="319" t="s">
        <v>172</v>
      </c>
      <c r="B266" s="325"/>
      <c r="C266" s="325"/>
      <c r="D266" s="325"/>
      <c r="E266" s="325"/>
      <c r="F266" s="325"/>
      <c r="G266" s="326"/>
      <c r="H266" s="270"/>
      <c r="I266" s="271"/>
      <c r="J266" s="271"/>
      <c r="K266" s="271"/>
      <c r="L266" s="272"/>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row>
    <row r="267" spans="1:78">
      <c r="A267" s="244" t="s">
        <v>189</v>
      </c>
      <c r="B267" s="324">
        <v>276.81830000000002</v>
      </c>
      <c r="C267" s="324">
        <v>281.44720000000001</v>
      </c>
      <c r="D267" s="324">
        <v>309.88189999999997</v>
      </c>
      <c r="E267" s="324">
        <v>329.65730000000002</v>
      </c>
      <c r="F267" s="324">
        <v>353.20060000000001</v>
      </c>
      <c r="G267" s="324">
        <v>495.22289999999998</v>
      </c>
      <c r="H267" s="270">
        <v>1.10617997322349E-3</v>
      </c>
      <c r="I267" s="271">
        <v>1.9435740617660398E-2</v>
      </c>
      <c r="J267" s="271">
        <v>1.2449330274007899E-2</v>
      </c>
      <c r="K267" s="271">
        <v>1.3892118496743299E-2</v>
      </c>
      <c r="L267" s="272">
        <v>1.7042178683341701E-2</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row>
    <row r="268" spans="1:78">
      <c r="A268" s="244" t="s">
        <v>184</v>
      </c>
      <c r="B268" s="324">
        <v>57.725999999999999</v>
      </c>
      <c r="C268" s="324">
        <v>34.2515</v>
      </c>
      <c r="D268" s="324">
        <v>39.9968</v>
      </c>
      <c r="E268" s="324">
        <v>42.5809</v>
      </c>
      <c r="F268" s="324">
        <v>45.5563</v>
      </c>
      <c r="G268" s="324">
        <v>66.248999999999995</v>
      </c>
      <c r="H268" s="270">
        <v>-3.4199983008170301E-2</v>
      </c>
      <c r="I268" s="271">
        <v>3.1499757370236699E-2</v>
      </c>
      <c r="J268" s="271">
        <v>1.2599988303198599E-2</v>
      </c>
      <c r="K268" s="271">
        <v>1.3600279275669499E-2</v>
      </c>
      <c r="L268" s="272">
        <v>1.8899957550523299E-2</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row>
    <row r="269" spans="1:78">
      <c r="A269" s="244" t="s">
        <v>185</v>
      </c>
      <c r="B269" s="324">
        <v>7.2610000000000001</v>
      </c>
      <c r="C269" s="324">
        <v>7.4595000000000002</v>
      </c>
      <c r="D269" s="324">
        <v>8.1836000000000002</v>
      </c>
      <c r="E269" s="324">
        <v>8.3943999999999992</v>
      </c>
      <c r="F269" s="324">
        <v>8.6234999999999999</v>
      </c>
      <c r="G269" s="324">
        <v>12.7639</v>
      </c>
      <c r="H269" s="270">
        <v>1.79967263331648E-3</v>
      </c>
      <c r="I269" s="271">
        <v>1.8701475219116401E-2</v>
      </c>
      <c r="J269" s="271">
        <v>5.0994914233970503E-3</v>
      </c>
      <c r="K269" s="271">
        <v>5.3997700662658001E-3</v>
      </c>
      <c r="L269" s="272">
        <v>1.97999615700102E-2</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row>
    <row r="270" spans="1:78">
      <c r="A270" s="244"/>
      <c r="B270" s="324"/>
      <c r="C270" s="324"/>
      <c r="D270" s="324"/>
      <c r="E270" s="324"/>
      <c r="F270" s="324"/>
      <c r="G270" s="324"/>
      <c r="H270" s="270"/>
      <c r="I270" s="271"/>
      <c r="J270" s="271"/>
      <c r="K270" s="271"/>
      <c r="L270" s="272"/>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row>
    <row r="271" spans="1:78">
      <c r="A271" s="244" t="s">
        <v>335</v>
      </c>
      <c r="B271" s="324">
        <v>397.56709999999998</v>
      </c>
      <c r="C271" s="324">
        <v>443.3836</v>
      </c>
      <c r="D271" s="324">
        <v>450.69979999999998</v>
      </c>
      <c r="E271" s="324">
        <v>459.702</v>
      </c>
      <c r="F271" s="324">
        <v>472.85500000000002</v>
      </c>
      <c r="G271" s="324">
        <v>554.00160000000005</v>
      </c>
      <c r="H271" s="270">
        <v>7.2979400871426899E-3</v>
      </c>
      <c r="I271" s="271">
        <v>3.2785981569913901E-3</v>
      </c>
      <c r="J271" s="271">
        <v>3.9632263976450101E-3</v>
      </c>
      <c r="K271" s="271">
        <v>5.6580132586543401E-3</v>
      </c>
      <c r="L271" s="272">
        <v>7.9503770923274892E-3</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row>
    <row r="272" spans="1:78" ht="15" thickBot="1">
      <c r="A272" s="298"/>
      <c r="B272" s="327"/>
      <c r="C272" s="327"/>
      <c r="D272" s="327"/>
      <c r="E272" s="327"/>
      <c r="F272" s="327"/>
      <c r="G272" s="327"/>
      <c r="H272" s="275"/>
      <c r="I272" s="276"/>
      <c r="J272" s="276"/>
      <c r="K272" s="276"/>
      <c r="L272" s="277"/>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row>
    <row r="273" spans="1:78">
      <c r="A273" s="258"/>
      <c r="B273" s="328"/>
      <c r="C273" s="328"/>
      <c r="D273" s="328"/>
      <c r="E273" s="328"/>
      <c r="F273" s="328"/>
      <c r="G273" s="328"/>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row>
    <row r="274" spans="1:78">
      <c r="A274" s="258"/>
      <c r="B274" s="328"/>
      <c r="C274" s="328"/>
      <c r="D274" s="329"/>
      <c r="E274" s="329"/>
      <c r="F274" s="329"/>
      <c r="G274" s="329"/>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row>
    <row r="275" spans="1:78" ht="16" thickBot="1">
      <c r="A275" s="237" t="s">
        <v>176</v>
      </c>
      <c r="B275" s="239"/>
      <c r="C275" s="239"/>
      <c r="D275" s="239"/>
      <c r="E275" s="239"/>
      <c r="F275" s="239"/>
      <c r="G275" s="239"/>
      <c r="H275" s="239"/>
      <c r="I275" s="239"/>
      <c r="J275" s="239"/>
      <c r="K275" s="239"/>
      <c r="L275" s="239"/>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row>
    <row r="276" spans="1:78" ht="15" thickBot="1">
      <c r="A276" s="240" t="s">
        <v>51</v>
      </c>
      <c r="B276" s="241">
        <v>2000</v>
      </c>
      <c r="C276" s="241">
        <v>2015</v>
      </c>
      <c r="D276" s="241">
        <v>2020</v>
      </c>
      <c r="E276" s="241">
        <v>2025</v>
      </c>
      <c r="F276" s="241">
        <v>2030</v>
      </c>
      <c r="G276" s="241">
        <v>2050</v>
      </c>
      <c r="H276" s="261" t="s">
        <v>98</v>
      </c>
      <c r="I276" s="262" t="s">
        <v>99</v>
      </c>
      <c r="J276" s="262" t="s">
        <v>100</v>
      </c>
      <c r="K276" s="262" t="s">
        <v>101</v>
      </c>
      <c r="L276" s="263" t="s">
        <v>323</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row>
    <row r="277" spans="1:78">
      <c r="A277" s="244" t="s">
        <v>177</v>
      </c>
      <c r="B277" s="264">
        <v>13.9971</v>
      </c>
      <c r="C277" s="264">
        <v>7.2347999999999999</v>
      </c>
      <c r="D277" s="264">
        <v>6.7095000000000002</v>
      </c>
      <c r="E277" s="264">
        <v>6.4130000000000003</v>
      </c>
      <c r="F277" s="264">
        <v>5.77</v>
      </c>
      <c r="G277" s="264">
        <v>3.5712999999999999</v>
      </c>
      <c r="H277" s="265">
        <v>-4.3042689928576301E-2</v>
      </c>
      <c r="I277" s="266">
        <v>-1.49625879438747E-2</v>
      </c>
      <c r="J277" s="266">
        <v>-8.9987174730144E-3</v>
      </c>
      <c r="K277" s="266">
        <v>-2.0909324225712199E-2</v>
      </c>
      <c r="L277" s="267">
        <v>-2.3701715862578999E-2</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row>
    <row r="278" spans="1:78">
      <c r="A278" s="244" t="s">
        <v>178</v>
      </c>
      <c r="B278" s="264">
        <v>26.535799999999998</v>
      </c>
      <c r="C278" s="264">
        <v>32.707599999999999</v>
      </c>
      <c r="D278" s="264">
        <v>32.730899999999998</v>
      </c>
      <c r="E278" s="264">
        <v>31.736999999999998</v>
      </c>
      <c r="F278" s="264">
        <v>31.259599999999999</v>
      </c>
      <c r="G278" s="264">
        <v>31.748000000000001</v>
      </c>
      <c r="H278" s="270">
        <v>1.40384735515253E-2</v>
      </c>
      <c r="I278" s="271">
        <v>1.4243395127255801E-4</v>
      </c>
      <c r="J278" s="271">
        <v>-6.1483000068241998E-3</v>
      </c>
      <c r="K278" s="271">
        <v>-3.0267428832079198E-3</v>
      </c>
      <c r="L278" s="272">
        <v>7.7546062536670802E-4</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row>
    <row r="279" spans="1:78">
      <c r="A279" s="244" t="s">
        <v>179</v>
      </c>
      <c r="B279" s="264">
        <v>1.7838000000000001</v>
      </c>
      <c r="C279" s="264">
        <v>1.1121000000000001</v>
      </c>
      <c r="D279" s="264">
        <v>0.97289999999999999</v>
      </c>
      <c r="E279" s="264">
        <v>0.98340000000000005</v>
      </c>
      <c r="F279" s="264">
        <v>1.016</v>
      </c>
      <c r="G279" s="264">
        <v>1.0871</v>
      </c>
      <c r="H279" s="270">
        <v>-3.10087722550666E-2</v>
      </c>
      <c r="I279" s="271">
        <v>-2.63903438455984E-2</v>
      </c>
      <c r="J279" s="271">
        <v>2.1492369049878101E-3</v>
      </c>
      <c r="K279" s="271">
        <v>6.5438526851737703E-3</v>
      </c>
      <c r="L279" s="272">
        <v>3.38773801073589E-3</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row>
    <row r="280" spans="1:78">
      <c r="A280" s="244" t="s">
        <v>180</v>
      </c>
      <c r="B280" s="264">
        <v>0.20849999999999999</v>
      </c>
      <c r="C280" s="264">
        <v>0.15459999999999999</v>
      </c>
      <c r="D280" s="264">
        <v>0.152</v>
      </c>
      <c r="E280" s="264">
        <v>0.15179999999999999</v>
      </c>
      <c r="F280" s="264">
        <v>1.44E-2</v>
      </c>
      <c r="G280" s="264">
        <v>4.0000000000000001E-3</v>
      </c>
      <c r="H280" s="270">
        <v>-1.9742376104737801E-2</v>
      </c>
      <c r="I280" s="271">
        <v>-3.3863763117075699E-3</v>
      </c>
      <c r="J280" s="271">
        <v>-2.6329650833822898E-4</v>
      </c>
      <c r="K280" s="271">
        <v>-0.37566433569493302</v>
      </c>
      <c r="L280" s="272">
        <v>-6.20387970323922E-2</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row>
    <row r="281" spans="1:78">
      <c r="A281" s="244" t="s">
        <v>181</v>
      </c>
      <c r="B281" s="245">
        <v>0</v>
      </c>
      <c r="C281" s="315">
        <v>7.5200000000000003E-2</v>
      </c>
      <c r="D281" s="315">
        <v>8.6400000000000005E-2</v>
      </c>
      <c r="E281" s="315">
        <v>9.1899999999999996E-2</v>
      </c>
      <c r="F281" s="315">
        <v>9.7500000000000003E-2</v>
      </c>
      <c r="G281" s="315">
        <v>0.1215</v>
      </c>
      <c r="H281" s="270"/>
      <c r="I281" s="271">
        <v>2.8156393247250399E-2</v>
      </c>
      <c r="J281" s="271">
        <v>1.2419155823384201E-2</v>
      </c>
      <c r="K281" s="271">
        <v>1.1900524138891399E-2</v>
      </c>
      <c r="L281" s="272">
        <v>1.10638509129168E-2</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row>
    <row r="282" spans="1:78">
      <c r="A282" s="244" t="s">
        <v>104</v>
      </c>
      <c r="B282" s="264">
        <v>0.80669999999999997</v>
      </c>
      <c r="C282" s="264">
        <v>0.89270000000000005</v>
      </c>
      <c r="D282" s="264">
        <v>1.147</v>
      </c>
      <c r="E282" s="264">
        <v>1.4209000000000001</v>
      </c>
      <c r="F282" s="264">
        <v>1.8814</v>
      </c>
      <c r="G282" s="264">
        <v>4.0824999999999996</v>
      </c>
      <c r="H282" s="270">
        <v>6.7761030168769203E-3</v>
      </c>
      <c r="I282" s="271">
        <v>5.1408724958821497E-2</v>
      </c>
      <c r="J282" s="271">
        <v>4.3758485638497602E-2</v>
      </c>
      <c r="K282" s="271">
        <v>5.7751196062832501E-2</v>
      </c>
      <c r="L282" s="272">
        <v>3.9494636141248499E-2</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row>
    <row r="283" spans="1:78">
      <c r="A283" s="244" t="s">
        <v>109</v>
      </c>
      <c r="B283" s="264">
        <v>0</v>
      </c>
      <c r="C283" s="264">
        <v>0</v>
      </c>
      <c r="D283" s="264">
        <v>0</v>
      </c>
      <c r="E283" s="264">
        <v>0</v>
      </c>
      <c r="F283" s="303">
        <v>0</v>
      </c>
      <c r="G283" s="264">
        <v>0</v>
      </c>
      <c r="H283" s="270"/>
      <c r="I283" s="271"/>
      <c r="J283" s="271"/>
      <c r="K283" s="271"/>
      <c r="L283" s="272"/>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row>
    <row r="284" spans="1:78">
      <c r="A284" s="244"/>
      <c r="B284" s="245"/>
      <c r="C284" s="245"/>
      <c r="D284" s="245"/>
      <c r="E284" s="245"/>
      <c r="F284" s="245"/>
      <c r="G284" s="245"/>
      <c r="H284" s="270"/>
      <c r="I284" s="271"/>
      <c r="J284" s="271"/>
      <c r="K284" s="271"/>
      <c r="L284" s="272"/>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row>
    <row r="285" spans="1:78" ht="15" thickBot="1">
      <c r="A285" s="253" t="s">
        <v>10</v>
      </c>
      <c r="B285" s="273">
        <v>43.331899999999997</v>
      </c>
      <c r="C285" s="273">
        <v>42.177</v>
      </c>
      <c r="D285" s="273">
        <v>41.798699999999997</v>
      </c>
      <c r="E285" s="273">
        <v>40.798000000000002</v>
      </c>
      <c r="F285" s="273">
        <v>40.038899999999998</v>
      </c>
      <c r="G285" s="273">
        <v>40.614400000000003</v>
      </c>
      <c r="H285" s="275">
        <v>-1.7993149918053E-3</v>
      </c>
      <c r="I285" s="276">
        <v>-1.80033948060065E-3</v>
      </c>
      <c r="J285" s="276">
        <v>-4.83471057375173E-3</v>
      </c>
      <c r="K285" s="276">
        <v>-3.7492696827380301E-3</v>
      </c>
      <c r="L285" s="277">
        <v>7.1381474379505995E-4</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row>
    <row r="286" spans="1:78">
      <c r="A286" s="258"/>
      <c r="B286" s="236"/>
      <c r="C286" s="236"/>
      <c r="D286" s="236"/>
      <c r="E286" s="308"/>
      <c r="F286" s="308"/>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row>
    <row r="287" spans="1:78">
      <c r="A287" s="258"/>
      <c r="B287" s="236"/>
      <c r="C287" s="236"/>
      <c r="D287" s="236"/>
      <c r="E287" s="308"/>
      <c r="F287" s="308"/>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row>
    <row r="288" spans="1:78" ht="16" thickBot="1">
      <c r="A288" s="237" t="s">
        <v>182</v>
      </c>
      <c r="B288" s="239"/>
      <c r="C288" s="239"/>
      <c r="D288" s="239"/>
      <c r="E288" s="330"/>
      <c r="F288" s="330"/>
      <c r="G288" s="330"/>
      <c r="H288" s="239"/>
      <c r="I288" s="239"/>
      <c r="J288" s="239"/>
      <c r="K288" s="239"/>
      <c r="L288" s="239"/>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row>
    <row r="289" spans="1:78" ht="15" thickBot="1">
      <c r="A289" s="240" t="s">
        <v>51</v>
      </c>
      <c r="B289" s="241">
        <v>2000</v>
      </c>
      <c r="C289" s="241">
        <v>2015</v>
      </c>
      <c r="D289" s="241">
        <v>2020</v>
      </c>
      <c r="E289" s="241">
        <v>2025</v>
      </c>
      <c r="F289" s="241">
        <v>2030</v>
      </c>
      <c r="G289" s="241">
        <v>2050</v>
      </c>
      <c r="H289" s="261" t="s">
        <v>98</v>
      </c>
      <c r="I289" s="262" t="s">
        <v>99</v>
      </c>
      <c r="J289" s="262" t="s">
        <v>100</v>
      </c>
      <c r="K289" s="262" t="s">
        <v>101</v>
      </c>
      <c r="L289" s="263" t="s">
        <v>323</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row>
    <row r="290" spans="1:78">
      <c r="A290" s="244" t="s">
        <v>183</v>
      </c>
      <c r="B290" s="245">
        <v>39.905799999999999</v>
      </c>
      <c r="C290" s="245">
        <v>39.588700000000003</v>
      </c>
      <c r="D290" s="245">
        <v>39.209800000000001</v>
      </c>
      <c r="E290" s="245">
        <v>38.1265</v>
      </c>
      <c r="F290" s="245">
        <v>37.241999999999997</v>
      </c>
      <c r="G290" s="245">
        <v>37.095799999999997</v>
      </c>
      <c r="H290" s="265">
        <v>-5.3172210141172504E-4</v>
      </c>
      <c r="I290" s="266">
        <v>-1.9215531388057101E-3</v>
      </c>
      <c r="J290" s="266">
        <v>-5.5877575097548196E-3</v>
      </c>
      <c r="K290" s="266">
        <v>-4.6834824823716002E-3</v>
      </c>
      <c r="L290" s="267">
        <v>-1.9665071180397E-4</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row>
    <row r="291" spans="1:78">
      <c r="A291" s="244" t="s">
        <v>184</v>
      </c>
      <c r="B291" s="264">
        <v>1.1697</v>
      </c>
      <c r="C291" s="264">
        <v>1.0153000000000001</v>
      </c>
      <c r="D291" s="264">
        <v>1.1104000000000001</v>
      </c>
      <c r="E291" s="264">
        <v>1.1695</v>
      </c>
      <c r="F291" s="264">
        <v>1.2481</v>
      </c>
      <c r="G291" s="264">
        <v>1.6429</v>
      </c>
      <c r="H291" s="270">
        <v>-9.3931508311854203E-3</v>
      </c>
      <c r="I291" s="271">
        <v>1.80685309726576E-2</v>
      </c>
      <c r="J291" s="271">
        <v>1.0425166548489399E-2</v>
      </c>
      <c r="K291" s="271">
        <v>1.3094205593694E-2</v>
      </c>
      <c r="L291" s="272">
        <v>1.3836884583680001E-2</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row>
    <row r="292" spans="1:78">
      <c r="A292" s="244" t="s">
        <v>185</v>
      </c>
      <c r="B292" s="264">
        <v>0.47260000000000002</v>
      </c>
      <c r="C292" s="264">
        <v>0.46089999999999998</v>
      </c>
      <c r="D292" s="264">
        <v>0.50560000000000005</v>
      </c>
      <c r="E292" s="264">
        <v>0.51859999999999995</v>
      </c>
      <c r="F292" s="264">
        <v>0.53280000000000005</v>
      </c>
      <c r="G292" s="264">
        <v>0.78859999999999997</v>
      </c>
      <c r="H292" s="270">
        <v>-1.6698219617935499E-3</v>
      </c>
      <c r="I292" s="271">
        <v>1.8685375655264701E-2</v>
      </c>
      <c r="J292" s="271">
        <v>5.0903179241896801E-3</v>
      </c>
      <c r="K292" s="271">
        <v>5.4172698518257798E-3</v>
      </c>
      <c r="L292" s="272">
        <v>1.9799108156683499E-2</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row>
    <row r="293" spans="1:78">
      <c r="A293" s="244" t="s">
        <v>186</v>
      </c>
      <c r="B293" s="264">
        <v>1.7838000000000001</v>
      </c>
      <c r="C293" s="264">
        <v>1.1121000000000001</v>
      </c>
      <c r="D293" s="264">
        <v>0.97289999999999999</v>
      </c>
      <c r="E293" s="264">
        <v>0.98340000000000005</v>
      </c>
      <c r="F293" s="264">
        <v>1.016</v>
      </c>
      <c r="G293" s="264">
        <v>1.0871</v>
      </c>
      <c r="H293" s="270">
        <v>-3.10087722550666E-2</v>
      </c>
      <c r="I293" s="271">
        <v>-2.63903438455984E-2</v>
      </c>
      <c r="J293" s="271">
        <v>2.1492369049878101E-3</v>
      </c>
      <c r="K293" s="271">
        <v>6.5438526851737703E-3</v>
      </c>
      <c r="L293" s="272">
        <v>3.38773801073589E-3</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row>
    <row r="294" spans="1:78">
      <c r="A294" s="244"/>
      <c r="B294" s="245"/>
      <c r="C294" s="245"/>
      <c r="D294" s="245"/>
      <c r="E294" s="245"/>
      <c r="F294" s="245"/>
      <c r="G294" s="245"/>
      <c r="H294" s="270"/>
      <c r="I294" s="271"/>
      <c r="J294" s="271"/>
      <c r="K294" s="271"/>
      <c r="L294" s="272"/>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row>
    <row r="295" spans="1:78" ht="15" thickBot="1">
      <c r="A295" s="298" t="s">
        <v>10</v>
      </c>
      <c r="B295" s="273">
        <v>43.331899999999997</v>
      </c>
      <c r="C295" s="273">
        <v>42.177</v>
      </c>
      <c r="D295" s="273">
        <v>41.798699999999997</v>
      </c>
      <c r="E295" s="273">
        <v>40.798000000000002</v>
      </c>
      <c r="F295" s="273">
        <v>40.038899999999998</v>
      </c>
      <c r="G295" s="273">
        <v>40.614400000000003</v>
      </c>
      <c r="H295" s="275">
        <v>-1.7993149918053E-3</v>
      </c>
      <c r="I295" s="276">
        <v>-1.80033948060065E-3</v>
      </c>
      <c r="J295" s="276">
        <v>-4.83471057375173E-3</v>
      </c>
      <c r="K295" s="276">
        <v>-3.7492696827380301E-3</v>
      </c>
      <c r="L295" s="277">
        <v>7.1381474379505995E-4</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row>
    <row r="296" spans="1:78">
      <c r="A296" s="258"/>
      <c r="B296" s="331"/>
      <c r="C296" s="236"/>
      <c r="D296" s="236"/>
      <c r="E296" s="23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row>
    <row r="297" spans="1:78">
      <c r="A297" s="258"/>
      <c r="B297" s="331"/>
      <c r="C297" s="236"/>
      <c r="D297" s="236"/>
      <c r="E297" s="236"/>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row>
    <row r="298" spans="1:78" ht="16" thickBot="1">
      <c r="A298" s="237" t="s">
        <v>187</v>
      </c>
      <c r="B298" s="332"/>
      <c r="C298" s="239"/>
      <c r="D298" s="239"/>
      <c r="E298" s="239"/>
      <c r="F298" s="239"/>
      <c r="G298" s="239"/>
      <c r="H298" s="239"/>
      <c r="I298" s="239"/>
      <c r="J298" s="239"/>
      <c r="K298" s="239"/>
      <c r="L298" s="239"/>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row>
    <row r="299" spans="1:78" ht="15" thickBot="1">
      <c r="A299" s="240" t="s">
        <v>51</v>
      </c>
      <c r="B299" s="241">
        <v>2000</v>
      </c>
      <c r="C299" s="241">
        <v>2015</v>
      </c>
      <c r="D299" s="241">
        <v>2020</v>
      </c>
      <c r="E299" s="241">
        <v>2025</v>
      </c>
      <c r="F299" s="241">
        <v>2030</v>
      </c>
      <c r="G299" s="241">
        <v>2050</v>
      </c>
      <c r="H299" s="261" t="s">
        <v>98</v>
      </c>
      <c r="I299" s="262" t="s">
        <v>99</v>
      </c>
      <c r="J299" s="262" t="s">
        <v>100</v>
      </c>
      <c r="K299" s="262" t="s">
        <v>101</v>
      </c>
      <c r="L299" s="263" t="s">
        <v>323</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row>
    <row r="300" spans="1:78">
      <c r="A300" s="319" t="s">
        <v>188</v>
      </c>
      <c r="B300" s="245">
        <v>24.0273</v>
      </c>
      <c r="C300" s="245">
        <v>23.461400000000001</v>
      </c>
      <c r="D300" s="245">
        <v>22.6571</v>
      </c>
      <c r="E300" s="245">
        <v>21.686900000000001</v>
      </c>
      <c r="F300" s="245">
        <v>20.764600000000002</v>
      </c>
      <c r="G300" s="245">
        <v>18.468</v>
      </c>
      <c r="H300" s="265">
        <v>-1.58768272254539E-3</v>
      </c>
      <c r="I300" s="266">
        <v>-6.9523694561535202E-3</v>
      </c>
      <c r="J300" s="266">
        <v>-8.7147796291577907E-3</v>
      </c>
      <c r="K300" s="266">
        <v>-8.6540914747326204E-3</v>
      </c>
      <c r="L300" s="267">
        <v>-5.8433661893037003E-3</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row>
    <row r="301" spans="1:78">
      <c r="A301" s="244" t="s">
        <v>177</v>
      </c>
      <c r="B301" s="264">
        <v>13.3986</v>
      </c>
      <c r="C301" s="264">
        <v>6.5430999999999999</v>
      </c>
      <c r="D301" s="264">
        <v>6.0305999999999997</v>
      </c>
      <c r="E301" s="264">
        <v>5.7404999999999999</v>
      </c>
      <c r="F301" s="264">
        <v>5.0959000000000003</v>
      </c>
      <c r="G301" s="264">
        <v>2.8450000000000002</v>
      </c>
      <c r="H301" s="270">
        <v>-4.6658989573450098E-2</v>
      </c>
      <c r="I301" s="271">
        <v>-1.6180575247603999E-2</v>
      </c>
      <c r="J301" s="271">
        <v>-9.8115879359933506E-3</v>
      </c>
      <c r="K301" s="271">
        <v>-2.3540499767392E-2</v>
      </c>
      <c r="L301" s="272">
        <v>-2.8723080523118099E-2</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row>
    <row r="302" spans="1:78">
      <c r="A302" s="244" t="s">
        <v>178</v>
      </c>
      <c r="B302" s="264">
        <v>10.4703</v>
      </c>
      <c r="C302" s="264">
        <v>16.771000000000001</v>
      </c>
      <c r="D302" s="264">
        <v>16.402799999999999</v>
      </c>
      <c r="E302" s="264">
        <v>15.5016</v>
      </c>
      <c r="F302" s="264">
        <v>14.972300000000001</v>
      </c>
      <c r="G302" s="264">
        <v>13.1013</v>
      </c>
      <c r="H302" s="270">
        <v>3.1905646537125701E-2</v>
      </c>
      <c r="I302" s="271">
        <v>-4.4299889998889999E-3</v>
      </c>
      <c r="J302" s="271">
        <v>-1.1238136522470001E-2</v>
      </c>
      <c r="K302" s="271">
        <v>-6.9241999225698701E-3</v>
      </c>
      <c r="L302" s="272">
        <v>-6.6522931437719103E-3</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row>
    <row r="303" spans="1:78">
      <c r="A303" s="244" t="s">
        <v>180</v>
      </c>
      <c r="B303" s="264">
        <v>0.15840000000000001</v>
      </c>
      <c r="C303" s="264">
        <v>0.1298</v>
      </c>
      <c r="D303" s="264">
        <v>0.13150000000000001</v>
      </c>
      <c r="E303" s="264">
        <v>0.13489999999999999</v>
      </c>
      <c r="F303" s="264">
        <v>5.0000000000000001E-4</v>
      </c>
      <c r="G303" s="264">
        <v>-1E-4</v>
      </c>
      <c r="H303" s="270">
        <v>-1.31875175724918E-2</v>
      </c>
      <c r="I303" s="271">
        <v>2.6057986764866899E-3</v>
      </c>
      <c r="J303" s="271">
        <v>5.1184369903980497E-3</v>
      </c>
      <c r="K303" s="271">
        <v>-0.67356883803888701</v>
      </c>
      <c r="L303" s="272" t="e">
        <f>#NUM!</f>
        <v>#NUM!</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row>
    <row r="304" spans="1:78">
      <c r="A304" s="244" t="s">
        <v>181</v>
      </c>
      <c r="B304" s="264">
        <v>0</v>
      </c>
      <c r="C304" s="264">
        <v>0</v>
      </c>
      <c r="D304" s="264">
        <v>0</v>
      </c>
      <c r="E304" s="264">
        <v>0</v>
      </c>
      <c r="F304" s="264">
        <v>0</v>
      </c>
      <c r="G304" s="264">
        <v>0</v>
      </c>
      <c r="H304" s="270"/>
      <c r="I304" s="271"/>
      <c r="J304" s="271"/>
      <c r="K304" s="271"/>
      <c r="L304" s="272"/>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row>
    <row r="305" spans="1:78">
      <c r="A305" s="244" t="s">
        <v>109</v>
      </c>
      <c r="B305" s="264">
        <v>0</v>
      </c>
      <c r="C305" s="264">
        <v>0</v>
      </c>
      <c r="D305" s="264">
        <v>0</v>
      </c>
      <c r="E305" s="264">
        <v>0</v>
      </c>
      <c r="F305" s="264">
        <v>0</v>
      </c>
      <c r="G305" s="264">
        <v>0</v>
      </c>
      <c r="H305" s="270"/>
      <c r="I305" s="271"/>
      <c r="J305" s="271"/>
      <c r="K305" s="271"/>
      <c r="L305" s="272"/>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row>
    <row r="306" spans="1:78">
      <c r="A306" s="244" t="s">
        <v>104</v>
      </c>
      <c r="B306" s="264">
        <v>0</v>
      </c>
      <c r="C306" s="264">
        <v>1.7500000000000002E-2</v>
      </c>
      <c r="D306" s="264">
        <v>9.2200000000000004E-2</v>
      </c>
      <c r="E306" s="264">
        <v>0.30990000000000001</v>
      </c>
      <c r="F306" s="264">
        <v>0.69589999999999996</v>
      </c>
      <c r="G306" s="264">
        <v>2.5217999999999998</v>
      </c>
      <c r="H306" s="270"/>
      <c r="I306" s="271"/>
      <c r="J306" s="271"/>
      <c r="K306" s="271"/>
      <c r="L306" s="272"/>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row>
    <row r="307" spans="1:78">
      <c r="A307" s="244"/>
      <c r="B307" s="245"/>
      <c r="C307" s="245"/>
      <c r="D307" s="245"/>
      <c r="E307" s="245"/>
      <c r="F307" s="245"/>
      <c r="G307" s="300"/>
      <c r="H307" s="270"/>
      <c r="I307" s="271"/>
      <c r="J307" s="271"/>
      <c r="K307" s="271"/>
      <c r="L307" s="272"/>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row>
    <row r="308" spans="1:78">
      <c r="A308" s="319" t="s">
        <v>189</v>
      </c>
      <c r="B308" s="245">
        <v>14.8622</v>
      </c>
      <c r="C308" s="245">
        <v>14.641500000000001</v>
      </c>
      <c r="D308" s="245">
        <v>14.9407</v>
      </c>
      <c r="E308" s="245">
        <v>14.7842</v>
      </c>
      <c r="F308" s="245">
        <v>14.770899999999999</v>
      </c>
      <c r="G308" s="245">
        <v>16.707599999999999</v>
      </c>
      <c r="H308" s="270">
        <v>-9.9691038652360798E-4</v>
      </c>
      <c r="I308" s="271">
        <v>4.0540094321539497E-3</v>
      </c>
      <c r="J308" s="271">
        <v>-2.1037818910039099E-3</v>
      </c>
      <c r="K308" s="271">
        <v>-1.7998658709983401E-4</v>
      </c>
      <c r="L308" s="272">
        <v>6.1792470978452299E-3</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row>
    <row r="309" spans="1:78">
      <c r="A309" s="244" t="s">
        <v>177</v>
      </c>
      <c r="B309" s="264">
        <v>0.2555</v>
      </c>
      <c r="C309" s="264">
        <v>0.1265</v>
      </c>
      <c r="D309" s="264">
        <v>0.10440000000000001</v>
      </c>
      <c r="E309" s="264">
        <v>8.6099999999999996E-2</v>
      </c>
      <c r="F309" s="264">
        <v>7.0999999999999994E-2</v>
      </c>
      <c r="G309" s="264">
        <v>2.1299999999999999E-2</v>
      </c>
      <c r="H309" s="270"/>
      <c r="I309" s="271"/>
      <c r="J309" s="271"/>
      <c r="K309" s="271"/>
      <c r="L309" s="272"/>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row>
    <row r="310" spans="1:78">
      <c r="A310" s="244" t="s">
        <v>178</v>
      </c>
      <c r="B310" s="264">
        <v>14.5566</v>
      </c>
      <c r="C310" s="264">
        <v>14.4419</v>
      </c>
      <c r="D310" s="264">
        <v>14.760999999999999</v>
      </c>
      <c r="E310" s="264">
        <v>14.6226</v>
      </c>
      <c r="F310" s="264">
        <v>14.6234</v>
      </c>
      <c r="G310" s="264">
        <v>16.6005</v>
      </c>
      <c r="H310" s="270">
        <v>-5.2724730689668298E-4</v>
      </c>
      <c r="I310" s="271">
        <v>4.3805393945668403E-3</v>
      </c>
      <c r="J310" s="271">
        <v>-1.88228437012594E-3</v>
      </c>
      <c r="K310" s="271">
        <v>1.09417270994783E-5</v>
      </c>
      <c r="L310" s="272">
        <v>6.3606349652314299E-3</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row>
    <row r="311" spans="1:78">
      <c r="A311" s="244" t="s">
        <v>180</v>
      </c>
      <c r="B311" s="264">
        <v>5.0099999999999999E-2</v>
      </c>
      <c r="C311" s="264">
        <v>2.4799999999999999E-2</v>
      </c>
      <c r="D311" s="264">
        <v>2.0500000000000001E-2</v>
      </c>
      <c r="E311" s="264">
        <v>1.6899999999999998E-2</v>
      </c>
      <c r="F311" s="264">
        <v>1.3899999999999999E-2</v>
      </c>
      <c r="G311" s="264">
        <v>4.1999999999999997E-3</v>
      </c>
      <c r="H311" s="270"/>
      <c r="I311" s="271"/>
      <c r="J311" s="271"/>
      <c r="K311" s="271"/>
      <c r="L311" s="272"/>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row>
    <row r="312" spans="1:78">
      <c r="A312" s="244" t="s">
        <v>181</v>
      </c>
      <c r="B312" s="264">
        <v>0</v>
      </c>
      <c r="C312" s="264">
        <v>4.8300000000000003E-2</v>
      </c>
      <c r="D312" s="264">
        <v>5.4800000000000001E-2</v>
      </c>
      <c r="E312" s="264">
        <v>5.8599999999999999E-2</v>
      </c>
      <c r="F312" s="264">
        <v>6.2600000000000003E-2</v>
      </c>
      <c r="G312" s="264">
        <v>8.1600000000000006E-2</v>
      </c>
      <c r="H312" s="270"/>
      <c r="I312" s="271"/>
      <c r="J312" s="271"/>
      <c r="K312" s="271"/>
      <c r="L312" s="27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row>
    <row r="313" spans="1:78">
      <c r="A313" s="244" t="s">
        <v>109</v>
      </c>
      <c r="B313" s="264">
        <v>0</v>
      </c>
      <c r="C313" s="264">
        <v>0</v>
      </c>
      <c r="D313" s="264">
        <v>0</v>
      </c>
      <c r="E313" s="264">
        <v>0</v>
      </c>
      <c r="F313" s="264">
        <v>0</v>
      </c>
      <c r="G313" s="264">
        <v>0</v>
      </c>
      <c r="H313" s="270"/>
      <c r="I313" s="271"/>
      <c r="J313" s="271"/>
      <c r="K313" s="271"/>
      <c r="L313" s="272"/>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row>
    <row r="314" spans="1:78">
      <c r="A314" s="244" t="s">
        <v>104</v>
      </c>
      <c r="B314" s="264">
        <v>0</v>
      </c>
      <c r="C314" s="264">
        <v>0</v>
      </c>
      <c r="D314" s="264">
        <v>0</v>
      </c>
      <c r="E314" s="264">
        <v>0</v>
      </c>
      <c r="F314" s="264">
        <v>0</v>
      </c>
      <c r="G314" s="264">
        <v>0</v>
      </c>
      <c r="H314" s="270"/>
      <c r="I314" s="271"/>
      <c r="J314" s="271"/>
      <c r="K314" s="271"/>
      <c r="L314" s="272"/>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row>
    <row r="315" spans="1:78">
      <c r="A315" s="244"/>
      <c r="B315" s="245"/>
      <c r="C315" s="245"/>
      <c r="D315" s="245"/>
      <c r="E315" s="245"/>
      <c r="F315" s="245"/>
      <c r="G315" s="300"/>
      <c r="H315" s="270"/>
      <c r="I315" s="271"/>
      <c r="J315" s="271"/>
      <c r="K315" s="271"/>
      <c r="L315" s="272"/>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row>
    <row r="316" spans="1:78">
      <c r="A316" s="319" t="s">
        <v>190</v>
      </c>
      <c r="B316" s="245">
        <v>0.67330000000000001</v>
      </c>
      <c r="C316" s="245">
        <v>0.92049999999999998</v>
      </c>
      <c r="D316" s="245">
        <v>1.0375000000000001</v>
      </c>
      <c r="E316" s="245">
        <v>1.0688</v>
      </c>
      <c r="F316" s="245">
        <v>1.1034999999999999</v>
      </c>
      <c r="G316" s="245">
        <v>1.2153</v>
      </c>
      <c r="H316" s="270">
        <v>2.1067246457709299E-2</v>
      </c>
      <c r="I316" s="271">
        <v>2.4219081269583699E-2</v>
      </c>
      <c r="J316" s="271">
        <v>5.9622137983643703E-3</v>
      </c>
      <c r="K316" s="271">
        <v>6.4105447308451203E-3</v>
      </c>
      <c r="L316" s="272">
        <v>4.8368606861448598E-3</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row>
    <row r="317" spans="1:78">
      <c r="A317" s="244" t="s">
        <v>177</v>
      </c>
      <c r="B317" s="264">
        <v>0</v>
      </c>
      <c r="C317" s="264">
        <v>0</v>
      </c>
      <c r="D317" s="264">
        <v>0</v>
      </c>
      <c r="E317" s="264">
        <v>0</v>
      </c>
      <c r="F317" s="264">
        <v>0</v>
      </c>
      <c r="G317" s="264">
        <v>0</v>
      </c>
      <c r="H317" s="270"/>
      <c r="I317" s="271"/>
      <c r="J317" s="271"/>
      <c r="K317" s="271"/>
      <c r="L317" s="272"/>
      <c r="M317"/>
      <c r="N317" s="333"/>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row>
    <row r="318" spans="1:78">
      <c r="A318" s="244" t="s">
        <v>178</v>
      </c>
      <c r="B318" s="303">
        <v>0.67330000000000001</v>
      </c>
      <c r="C318" s="303">
        <v>0.89359999999999995</v>
      </c>
      <c r="D318" s="264">
        <v>1.0059</v>
      </c>
      <c r="E318" s="264">
        <v>1.0355000000000001</v>
      </c>
      <c r="F318" s="264">
        <v>1.0686</v>
      </c>
      <c r="G318" s="264">
        <v>1.1754</v>
      </c>
      <c r="H318" s="270">
        <v>1.90503356717273E-2</v>
      </c>
      <c r="I318" s="271">
        <v>2.3958438997417501E-2</v>
      </c>
      <c r="J318" s="271">
        <v>5.8172023277505199E-3</v>
      </c>
      <c r="K318" s="271">
        <v>6.3128382363661899E-3</v>
      </c>
      <c r="L318" s="272">
        <v>4.7743176411731997E-3</v>
      </c>
      <c r="M318"/>
      <c r="N318" s="333"/>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row>
    <row r="319" spans="1:78">
      <c r="A319" s="244" t="s">
        <v>180</v>
      </c>
      <c r="B319" s="264">
        <v>0</v>
      </c>
      <c r="C319" s="264">
        <v>0</v>
      </c>
      <c r="D319" s="264">
        <v>0</v>
      </c>
      <c r="E319" s="264">
        <v>0</v>
      </c>
      <c r="F319" s="264">
        <v>0</v>
      </c>
      <c r="G319" s="264">
        <v>0</v>
      </c>
      <c r="H319" s="270"/>
      <c r="I319" s="271"/>
      <c r="J319" s="271"/>
      <c r="K319" s="271"/>
      <c r="L319" s="272"/>
      <c r="M319"/>
      <c r="N319" s="333"/>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row>
    <row r="320" spans="1:78">
      <c r="A320" s="244" t="s">
        <v>181</v>
      </c>
      <c r="B320" s="264">
        <v>0</v>
      </c>
      <c r="C320" s="303">
        <v>2.69E-2</v>
      </c>
      <c r="D320" s="303">
        <v>3.1600000000000003E-2</v>
      </c>
      <c r="E320" s="303">
        <v>3.3300000000000003E-2</v>
      </c>
      <c r="F320" s="303">
        <v>3.49E-2</v>
      </c>
      <c r="G320" s="303">
        <v>3.9899999999999998E-2</v>
      </c>
      <c r="H320" s="270"/>
      <c r="I320" s="271">
        <v>3.2730398077005098E-2</v>
      </c>
      <c r="J320" s="271">
        <v>1.05351634018422E-2</v>
      </c>
      <c r="K320" s="271">
        <v>9.4300720086064604E-3</v>
      </c>
      <c r="L320" s="272">
        <v>6.7169328174092602E-3</v>
      </c>
      <c r="M320"/>
      <c r="N320" s="333"/>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row>
    <row r="321" spans="1:78">
      <c r="A321" s="244" t="s">
        <v>109</v>
      </c>
      <c r="B321" s="264">
        <v>0</v>
      </c>
      <c r="C321" s="264">
        <v>0</v>
      </c>
      <c r="D321" s="264">
        <v>0</v>
      </c>
      <c r="E321" s="264">
        <v>0</v>
      </c>
      <c r="F321" s="264">
        <v>0</v>
      </c>
      <c r="G321" s="264">
        <v>0</v>
      </c>
      <c r="H321" s="270"/>
      <c r="I321" s="271"/>
      <c r="J321" s="271"/>
      <c r="K321" s="271"/>
      <c r="L321" s="272"/>
      <c r="M321"/>
      <c r="N321" s="333"/>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row>
    <row r="322" spans="1:78">
      <c r="A322" s="244" t="s">
        <v>104</v>
      </c>
      <c r="B322" s="264">
        <v>0</v>
      </c>
      <c r="C322" s="264">
        <v>0</v>
      </c>
      <c r="D322" s="264">
        <v>0</v>
      </c>
      <c r="E322" s="264">
        <v>0</v>
      </c>
      <c r="F322" s="264">
        <v>0</v>
      </c>
      <c r="G322" s="264">
        <v>0</v>
      </c>
      <c r="H322" s="270"/>
      <c r="I322" s="271"/>
      <c r="J322" s="271"/>
      <c r="K322" s="271"/>
      <c r="L322" s="272"/>
      <c r="M322"/>
      <c r="N322" s="333"/>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row>
    <row r="323" spans="1:78">
      <c r="A323" s="244"/>
      <c r="B323" s="245"/>
      <c r="C323" s="245"/>
      <c r="D323" s="245"/>
      <c r="E323" s="245"/>
      <c r="F323" s="245"/>
      <c r="G323" s="300"/>
      <c r="H323" s="270"/>
      <c r="I323" s="271"/>
      <c r="J323" s="271"/>
      <c r="K323" s="271"/>
      <c r="L323" s="272"/>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row>
    <row r="324" spans="1:78">
      <c r="A324" s="319" t="s">
        <v>191</v>
      </c>
      <c r="B324" s="315">
        <v>0.34300000000000003</v>
      </c>
      <c r="C324" s="315">
        <v>0.56530000000000102</v>
      </c>
      <c r="D324" s="315">
        <v>0.57449999999999701</v>
      </c>
      <c r="E324" s="315">
        <v>0.586600000000008</v>
      </c>
      <c r="F324" s="315">
        <v>0.60300000000000198</v>
      </c>
      <c r="G324" s="315">
        <v>0.70489999999998798</v>
      </c>
      <c r="H324" s="270">
        <v>3.3869343414219398E-2</v>
      </c>
      <c r="I324" s="271">
        <v>3.2339246092236702E-3</v>
      </c>
      <c r="J324" s="271">
        <v>4.1773125991064796E-3</v>
      </c>
      <c r="K324" s="271">
        <v>5.5300425829301102E-3</v>
      </c>
      <c r="L324" s="272">
        <v>7.83749119824728E-3</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row>
    <row r="325" spans="1:78">
      <c r="A325" s="244"/>
      <c r="B325" s="245"/>
      <c r="C325" s="245"/>
      <c r="D325" s="245"/>
      <c r="E325" s="245"/>
      <c r="F325" s="245"/>
      <c r="G325" s="300"/>
      <c r="H325" s="270"/>
      <c r="I325" s="271"/>
      <c r="J325" s="271"/>
      <c r="K325" s="271"/>
      <c r="L325" s="272"/>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row>
    <row r="326" spans="1:78" ht="15" thickBot="1">
      <c r="A326" s="298" t="s">
        <v>10</v>
      </c>
      <c r="B326" s="273">
        <v>39.905799999999999</v>
      </c>
      <c r="C326" s="273">
        <v>39.588700000000003</v>
      </c>
      <c r="D326" s="273">
        <v>39.209800000000001</v>
      </c>
      <c r="E326" s="273">
        <v>38.1265</v>
      </c>
      <c r="F326" s="273">
        <v>37.241999999999997</v>
      </c>
      <c r="G326" s="273">
        <v>37.095799999999997</v>
      </c>
      <c r="H326" s="275">
        <v>-5.3172210141172504E-4</v>
      </c>
      <c r="I326" s="276">
        <v>-1.9215531388057101E-3</v>
      </c>
      <c r="J326" s="276">
        <v>-5.5877575097548196E-3</v>
      </c>
      <c r="K326" s="276">
        <v>-4.6834824823716002E-3</v>
      </c>
      <c r="L326" s="277">
        <v>-1.9665071180397E-4</v>
      </c>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row>
    <row r="327" spans="1:78">
      <c r="A327" s="258"/>
      <c r="B327" s="331"/>
      <c r="C327" s="236"/>
      <c r="D327" s="236"/>
      <c r="E327" s="236"/>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row>
    <row r="328" spans="1:78">
      <c r="A328" s="334"/>
      <c r="B328" s="331"/>
      <c r="C328" s="236"/>
      <c r="D328" s="236"/>
      <c r="E328" s="236"/>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row>
    <row r="329" spans="1:78" ht="16" thickBot="1">
      <c r="A329" s="237" t="s">
        <v>194</v>
      </c>
      <c r="B329" s="332"/>
      <c r="C329" s="239"/>
      <c r="D329" s="239"/>
      <c r="E329" s="239"/>
      <c r="F329" s="239"/>
      <c r="G329" s="239"/>
      <c r="H329" s="239"/>
      <c r="I329" s="239"/>
      <c r="J329" s="239"/>
      <c r="K329" s="239"/>
      <c r="L329" s="23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row>
    <row r="330" spans="1:78" ht="15" thickBot="1">
      <c r="A330" s="240"/>
      <c r="B330" s="241">
        <v>2000</v>
      </c>
      <c r="C330" s="241">
        <v>2015</v>
      </c>
      <c r="D330" s="241">
        <v>2020</v>
      </c>
      <c r="E330" s="241">
        <v>2025</v>
      </c>
      <c r="F330" s="241">
        <v>2030</v>
      </c>
      <c r="G330" s="241">
        <v>2050</v>
      </c>
      <c r="H330" s="261" t="s">
        <v>98</v>
      </c>
      <c r="I330" s="262" t="s">
        <v>99</v>
      </c>
      <c r="J330" s="262" t="s">
        <v>100</v>
      </c>
      <c r="K330" s="262" t="s">
        <v>101</v>
      </c>
      <c r="L330" s="263" t="s">
        <v>323</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row>
    <row r="331" spans="1:78">
      <c r="A331" s="335" t="s">
        <v>195</v>
      </c>
      <c r="B331" s="336">
        <v>29.760999999999999</v>
      </c>
      <c r="C331" s="337">
        <v>34.182400000000001</v>
      </c>
      <c r="D331" s="337">
        <v>34.690399999999997</v>
      </c>
      <c r="E331" s="337">
        <v>35.603400000000001</v>
      </c>
      <c r="F331" s="337">
        <v>36.435899999999997</v>
      </c>
      <c r="G331" s="338">
        <v>41.278700000000001</v>
      </c>
      <c r="H331" s="265">
        <v>9.2769048716843105E-3</v>
      </c>
      <c r="I331" s="266">
        <v>2.9547767512230201E-3</v>
      </c>
      <c r="J331" s="266">
        <v>5.2091501487479003E-3</v>
      </c>
      <c r="K331" s="266">
        <v>4.6333837654495297E-3</v>
      </c>
      <c r="L331" s="267">
        <v>6.2591106828908697E-3</v>
      </c>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row>
    <row r="332" spans="1:78" ht="15" thickBot="1">
      <c r="A332" s="253" t="s">
        <v>196</v>
      </c>
      <c r="B332" s="339">
        <v>2.4457795079418001E-2</v>
      </c>
      <c r="C332" s="294">
        <v>2.01432401822897E-2</v>
      </c>
      <c r="D332" s="294">
        <v>1.84394466794023E-2</v>
      </c>
      <c r="E332" s="294">
        <v>1.68723959199223E-2</v>
      </c>
      <c r="F332" s="294">
        <v>1.54465057840343E-2</v>
      </c>
      <c r="G332" s="340">
        <v>1.11843074702006E-2</v>
      </c>
      <c r="H332" s="275">
        <v>-1.28553367686193E-2</v>
      </c>
      <c r="I332" s="276">
        <v>-1.7520017241700801E-2</v>
      </c>
      <c r="J332" s="276">
        <v>-1.7605834298643801E-2</v>
      </c>
      <c r="K332" s="276">
        <v>-1.75042086046443E-2</v>
      </c>
      <c r="L332" s="277">
        <v>-1.6013948063625699E-2</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row>
    <row r="333" spans="1:78">
      <c r="A333" s="295"/>
      <c r="B333" s="331"/>
      <c r="C333" s="236"/>
      <c r="D333" s="236"/>
      <c r="E333" s="236"/>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row>
    <row r="334" spans="1:78" ht="15.5">
      <c r="A334" s="341"/>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row>
    <row r="335" spans="1:78" ht="21">
      <c r="A335" s="234" t="s">
        <v>197</v>
      </c>
      <c r="B335" s="224"/>
      <c r="C335" s="224"/>
      <c r="D335" s="224"/>
      <c r="E335" s="224"/>
      <c r="F335" s="224"/>
      <c r="G335" s="296"/>
      <c r="H335" s="296"/>
      <c r="I335" s="296"/>
      <c r="J335" s="296"/>
      <c r="K335" s="296"/>
      <c r="L335" s="296"/>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row>
    <row r="336" spans="1:78">
      <c r="A336"/>
      <c r="B336"/>
      <c r="C336"/>
      <c r="D336"/>
      <c r="E336"/>
      <c r="F336" s="26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row>
    <row r="337" spans="1:78" ht="16" thickBot="1">
      <c r="A337" s="237" t="s">
        <v>198</v>
      </c>
      <c r="B337" s="239"/>
      <c r="C337" s="239"/>
      <c r="D337" s="239"/>
      <c r="E337" s="239"/>
      <c r="F337" s="239"/>
      <c r="G337" s="239"/>
      <c r="H337" s="239"/>
      <c r="I337" s="239"/>
      <c r="J337" s="239"/>
      <c r="K337" s="239"/>
      <c r="L337" s="239"/>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row>
    <row r="338" spans="1:78" ht="15" thickBot="1">
      <c r="A338" s="292" t="s">
        <v>51</v>
      </c>
      <c r="B338" s="241">
        <v>2000</v>
      </c>
      <c r="C338" s="241">
        <v>2015</v>
      </c>
      <c r="D338" s="241">
        <v>2020</v>
      </c>
      <c r="E338" s="241">
        <v>2025</v>
      </c>
      <c r="F338" s="241">
        <v>2030</v>
      </c>
      <c r="G338" s="241">
        <v>2050</v>
      </c>
      <c r="H338" s="261" t="s">
        <v>98</v>
      </c>
      <c r="I338" s="262" t="s">
        <v>99</v>
      </c>
      <c r="J338" s="262" t="s">
        <v>100</v>
      </c>
      <c r="K338" s="262" t="s">
        <v>101</v>
      </c>
      <c r="L338" s="263" t="s">
        <v>323</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row>
    <row r="339" spans="1:78">
      <c r="A339" s="244" t="s">
        <v>103</v>
      </c>
      <c r="B339" s="342">
        <v>3.48</v>
      </c>
      <c r="C339" s="264">
        <v>3.32</v>
      </c>
      <c r="D339" s="264">
        <v>3.2403790892055202</v>
      </c>
      <c r="E339" s="264">
        <v>3.1480557957396398</v>
      </c>
      <c r="F339" s="264">
        <v>3.0575434296915498</v>
      </c>
      <c r="G339" s="264">
        <v>2.7373456688112698</v>
      </c>
      <c r="H339" s="265">
        <v>-3.1329162010640399E-3</v>
      </c>
      <c r="I339" s="266">
        <v>-4.8431254885559199E-3</v>
      </c>
      <c r="J339" s="266">
        <v>-5.7643761037503597E-3</v>
      </c>
      <c r="K339" s="266">
        <v>-5.8176638310959402E-3</v>
      </c>
      <c r="L339" s="267">
        <v>-5.5158851293937196E-3</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row>
    <row r="340" spans="1:78">
      <c r="A340" s="244" t="s">
        <v>54</v>
      </c>
      <c r="B340" s="264">
        <v>0.29509000000000002</v>
      </c>
      <c r="C340" s="264">
        <v>0.28999999999999998</v>
      </c>
      <c r="D340" s="264">
        <v>0.28932774170376402</v>
      </c>
      <c r="E340" s="264">
        <v>0.28766042012747101</v>
      </c>
      <c r="F340" s="264">
        <v>0.28593442316422701</v>
      </c>
      <c r="G340" s="264">
        <v>0.27632213168832598</v>
      </c>
      <c r="H340" s="270">
        <v>-1.1592922726594301E-3</v>
      </c>
      <c r="I340" s="271">
        <v>-4.6405690900497298E-4</v>
      </c>
      <c r="J340" s="271">
        <v>-1.15521466960655E-3</v>
      </c>
      <c r="K340" s="271">
        <v>-1.20291447393783E-3</v>
      </c>
      <c r="L340" s="272">
        <v>-1.7082974939792699E-3</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row>
    <row r="341" spans="1:78">
      <c r="A341" s="244" t="s">
        <v>42</v>
      </c>
      <c r="B341" s="264">
        <v>0</v>
      </c>
      <c r="C341" s="264">
        <v>0</v>
      </c>
      <c r="D341" s="264">
        <v>0</v>
      </c>
      <c r="E341" s="264">
        <v>0</v>
      </c>
      <c r="F341" s="264">
        <v>0</v>
      </c>
      <c r="G341" s="264">
        <v>0</v>
      </c>
      <c r="H341" s="270"/>
      <c r="I341" s="271"/>
      <c r="J341" s="271"/>
      <c r="K341" s="271"/>
      <c r="L341" s="272"/>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row>
    <row r="342" spans="1:78">
      <c r="A342" s="244" t="s">
        <v>104</v>
      </c>
      <c r="B342" s="264">
        <v>0.51178999999999997</v>
      </c>
      <c r="C342" s="264">
        <v>0.7</v>
      </c>
      <c r="D342" s="264">
        <v>0.67672325485005003</v>
      </c>
      <c r="E342" s="264">
        <v>0.655302823772964</v>
      </c>
      <c r="F342" s="264">
        <v>0.63033074879441797</v>
      </c>
      <c r="G342" s="264">
        <v>0.54480189739640505</v>
      </c>
      <c r="H342" s="270">
        <v>2.1097194477189801E-2</v>
      </c>
      <c r="I342" s="271">
        <v>-6.7407638997093499E-3</v>
      </c>
      <c r="J342" s="271">
        <v>-6.4123431274779596E-3</v>
      </c>
      <c r="K342" s="271">
        <v>-7.7404423762908996E-3</v>
      </c>
      <c r="L342" s="272">
        <v>-7.2646063585369803E-3</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row>
    <row r="343" spans="1:78">
      <c r="A343" s="244" t="s">
        <v>105</v>
      </c>
      <c r="B343" s="264">
        <v>0</v>
      </c>
      <c r="C343" s="264">
        <v>0</v>
      </c>
      <c r="D343" s="264">
        <v>0</v>
      </c>
      <c r="E343" s="264">
        <v>0</v>
      </c>
      <c r="F343" s="264">
        <v>0</v>
      </c>
      <c r="G343" s="264">
        <v>0</v>
      </c>
      <c r="H343" s="270"/>
      <c r="I343" s="271"/>
      <c r="J343" s="271"/>
      <c r="K343" s="271"/>
      <c r="L343" s="272"/>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row>
    <row r="344" spans="1:78">
      <c r="A344" s="244" t="s">
        <v>134</v>
      </c>
      <c r="B344" s="264">
        <v>7.0879999999999999E-2</v>
      </c>
      <c r="C344" s="264">
        <v>0.15</v>
      </c>
      <c r="D344" s="264">
        <v>0.15</v>
      </c>
      <c r="E344" s="264">
        <v>0.15</v>
      </c>
      <c r="F344" s="264">
        <v>0.15</v>
      </c>
      <c r="G344" s="264">
        <v>0.15</v>
      </c>
      <c r="H344" s="270">
        <v>5.1246355898939798E-2</v>
      </c>
      <c r="I344" s="271">
        <v>0</v>
      </c>
      <c r="J344" s="271">
        <v>0</v>
      </c>
      <c r="K344" s="271">
        <v>0</v>
      </c>
      <c r="L344" s="272">
        <v>0</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row>
    <row r="345" spans="1:78">
      <c r="A345" s="244"/>
      <c r="B345" s="245"/>
      <c r="C345" s="245"/>
      <c r="D345" s="245"/>
      <c r="E345" s="245"/>
      <c r="F345" s="245"/>
      <c r="G345" s="245"/>
      <c r="H345" s="270"/>
      <c r="I345" s="271"/>
      <c r="J345" s="271"/>
      <c r="K345" s="271"/>
      <c r="L345" s="272"/>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row>
    <row r="346" spans="1:78" ht="15" thickBot="1">
      <c r="A346" s="253" t="s">
        <v>10</v>
      </c>
      <c r="B346" s="273">
        <v>4.3577599999999999</v>
      </c>
      <c r="C346" s="273">
        <v>4.46</v>
      </c>
      <c r="D346" s="273">
        <v>4.3564300857593397</v>
      </c>
      <c r="E346" s="273">
        <v>4.2410190396400802</v>
      </c>
      <c r="F346" s="273">
        <v>4.1238086016501896</v>
      </c>
      <c r="G346" s="273">
        <v>3.7084696978960001</v>
      </c>
      <c r="H346" s="275">
        <v>1.54723588017358E-3</v>
      </c>
      <c r="I346" s="276">
        <v>-4.6881425382782104E-3</v>
      </c>
      <c r="J346" s="276">
        <v>-5.3554788952561204E-3</v>
      </c>
      <c r="K346" s="276">
        <v>-5.5896048360853899E-3</v>
      </c>
      <c r="L346" s="277">
        <v>-5.2938301838630899E-3</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row>
    <row r="347" spans="1:78" ht="15.5">
      <c r="A347" s="341"/>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row>
    <row r="348" spans="1:78" ht="15.5">
      <c r="A348" s="341"/>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row>
    <row r="349" spans="1:78" ht="21">
      <c r="A349" s="234" t="s">
        <v>199</v>
      </c>
      <c r="B349" s="224"/>
      <c r="C349" s="224"/>
      <c r="D349" s="224"/>
      <c r="E349" s="224"/>
      <c r="F349" s="224"/>
      <c r="G349" s="296"/>
      <c r="H349" s="296"/>
      <c r="I349" s="296"/>
      <c r="J349" s="296"/>
      <c r="K349" s="296"/>
      <c r="L349" s="296"/>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row>
    <row r="350" spans="1:78">
      <c r="A350"/>
      <c r="B350"/>
      <c r="C350"/>
      <c r="D350"/>
      <c r="E350"/>
      <c r="F350" s="26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row>
    <row r="351" spans="1:78" ht="16" thickBot="1">
      <c r="A351" s="237" t="s">
        <v>200</v>
      </c>
      <c r="B351" s="239"/>
      <c r="C351" s="239"/>
      <c r="D351" s="239"/>
      <c r="E351" s="239"/>
      <c r="F351" s="239"/>
      <c r="G351" s="239"/>
      <c r="H351" s="239"/>
      <c r="I351" s="239"/>
      <c r="J351" s="239"/>
      <c r="K351" s="239"/>
      <c r="L351" s="239"/>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row>
    <row r="352" spans="1:78" ht="15" thickBot="1">
      <c r="A352" s="292" t="s">
        <v>51</v>
      </c>
      <c r="B352" s="241">
        <v>2000</v>
      </c>
      <c r="C352" s="241">
        <v>2015</v>
      </c>
      <c r="D352" s="241">
        <v>2020</v>
      </c>
      <c r="E352" s="241">
        <v>2025</v>
      </c>
      <c r="F352" s="241">
        <v>2030</v>
      </c>
      <c r="G352" s="241">
        <v>2050</v>
      </c>
      <c r="H352" s="261" t="s">
        <v>98</v>
      </c>
      <c r="I352" s="262" t="s">
        <v>99</v>
      </c>
      <c r="J352" s="262" t="s">
        <v>100</v>
      </c>
      <c r="K352" s="262" t="s">
        <v>101</v>
      </c>
      <c r="L352" s="263" t="s">
        <v>323</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row>
    <row r="353" spans="1:78">
      <c r="A353" s="244" t="s">
        <v>103</v>
      </c>
      <c r="B353" s="264">
        <v>22.8002</v>
      </c>
      <c r="C353" s="264">
        <v>15.527200000000001</v>
      </c>
      <c r="D353" s="264">
        <v>12.9569790892055</v>
      </c>
      <c r="E353" s="264">
        <v>10.973955795739601</v>
      </c>
      <c r="F353" s="264">
        <v>9.1719434296915505</v>
      </c>
      <c r="G353" s="264">
        <v>7.5903456688112696</v>
      </c>
      <c r="H353" s="265">
        <v>-2.5286534008190101E-2</v>
      </c>
      <c r="I353" s="266">
        <v>-3.5544659702188099E-2</v>
      </c>
      <c r="J353" s="266">
        <v>-3.2676163359987201E-2</v>
      </c>
      <c r="K353" s="266">
        <v>-3.52392372773008E-2</v>
      </c>
      <c r="L353" s="267">
        <v>-9.4189642445359194E-3</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row>
    <row r="354" spans="1:78">
      <c r="A354" s="244" t="s">
        <v>201</v>
      </c>
      <c r="B354" s="264">
        <v>42.525199999999998</v>
      </c>
      <c r="C354" s="264">
        <v>41.209099999999999</v>
      </c>
      <c r="D354" s="264">
        <v>40.565300000000001</v>
      </c>
      <c r="E354" s="264">
        <v>39.285200000000003</v>
      </c>
      <c r="F354" s="264">
        <v>38.06</v>
      </c>
      <c r="G354" s="264">
        <v>36.410400000000003</v>
      </c>
      <c r="H354" s="270"/>
      <c r="I354" s="271"/>
      <c r="J354" s="271"/>
      <c r="K354" s="271"/>
      <c r="L354" s="272"/>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row>
    <row r="355" spans="1:78">
      <c r="A355" s="244" t="s">
        <v>202</v>
      </c>
      <c r="B355" s="245">
        <v>32.84769</v>
      </c>
      <c r="C355" s="245">
        <v>31.136600000000001</v>
      </c>
      <c r="D355" s="245">
        <v>29.728227741703801</v>
      </c>
      <c r="E355" s="245">
        <v>28.822360420127499</v>
      </c>
      <c r="F355" s="245">
        <v>27.8636344231642</v>
      </c>
      <c r="G355" s="245">
        <v>26.639622131688299</v>
      </c>
      <c r="H355" s="270">
        <v>-3.5601440528808502E-3</v>
      </c>
      <c r="I355" s="271">
        <v>-9.2146728131732303E-3</v>
      </c>
      <c r="J355" s="271">
        <v>-6.1699937451433796E-3</v>
      </c>
      <c r="K355" s="271">
        <v>-6.7429786909308804E-3</v>
      </c>
      <c r="L355" s="272">
        <v>-2.2436169011268402E-3</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row>
    <row r="356" spans="1:78">
      <c r="A356" s="244" t="s">
        <v>203</v>
      </c>
      <c r="B356" s="245">
        <v>0</v>
      </c>
      <c r="C356" s="245">
        <v>7.5200000000000003E-2</v>
      </c>
      <c r="D356" s="245">
        <v>8.6400000000000005E-2</v>
      </c>
      <c r="E356" s="245">
        <v>9.1899999999999996E-2</v>
      </c>
      <c r="F356" s="245">
        <v>9.7500000000000003E-2</v>
      </c>
      <c r="G356" s="245">
        <v>0.1215</v>
      </c>
      <c r="H356" s="270"/>
      <c r="I356" s="271"/>
      <c r="J356" s="271"/>
      <c r="K356" s="271"/>
      <c r="L356" s="272"/>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row>
    <row r="357" spans="1:78">
      <c r="A357" s="244" t="s">
        <v>42</v>
      </c>
      <c r="B357" s="245">
        <v>6.7202999999999999</v>
      </c>
      <c r="C357" s="245">
        <v>4.5881999999999996</v>
      </c>
      <c r="D357" s="245">
        <v>3.5859999999999999</v>
      </c>
      <c r="E357" s="245">
        <v>3.1928999999999998</v>
      </c>
      <c r="F357" s="245">
        <v>2.7932000000000001</v>
      </c>
      <c r="G357" s="245">
        <v>2.3936000000000002</v>
      </c>
      <c r="H357" s="270">
        <v>-2.5122054971455799E-2</v>
      </c>
      <c r="I357" s="271">
        <v>-4.8095041823419102E-2</v>
      </c>
      <c r="J357" s="271">
        <v>-2.2954010697805699E-2</v>
      </c>
      <c r="K357" s="271">
        <v>-2.6393772094375299E-2</v>
      </c>
      <c r="L357" s="272">
        <v>-7.6897505772605098E-3</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row>
    <row r="358" spans="1:78">
      <c r="A358" s="244" t="s">
        <v>104</v>
      </c>
      <c r="B358" s="245">
        <v>32.60819</v>
      </c>
      <c r="C358" s="245">
        <v>36.597999999999999</v>
      </c>
      <c r="D358" s="245">
        <v>37.262223254849999</v>
      </c>
      <c r="E358" s="245">
        <v>38.180502823772997</v>
      </c>
      <c r="F358" s="245">
        <v>39.433830748794399</v>
      </c>
      <c r="G358" s="245">
        <v>47.122501897396397</v>
      </c>
      <c r="H358" s="270">
        <v>7.7250259173500301E-3</v>
      </c>
      <c r="I358" s="271">
        <v>3.60376559710485E-3</v>
      </c>
      <c r="J358" s="271">
        <v>4.8808639919555299E-3</v>
      </c>
      <c r="K358" s="271">
        <v>6.4807313060155601E-3</v>
      </c>
      <c r="L358" s="272">
        <v>8.9461062328843894E-3</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row>
    <row r="359" spans="1:78">
      <c r="A359" s="244" t="s">
        <v>105</v>
      </c>
      <c r="B359" s="245">
        <v>3.6135999999999999</v>
      </c>
      <c r="C359" s="245">
        <v>3.9512999999999998</v>
      </c>
      <c r="D359" s="245">
        <v>3.5781000000000001</v>
      </c>
      <c r="E359" s="245">
        <v>3.5065</v>
      </c>
      <c r="F359" s="245">
        <v>3.4788000000000001</v>
      </c>
      <c r="G359" s="245">
        <v>3.5687000000000002</v>
      </c>
      <c r="H359" s="270">
        <v>5.9737811762374804E-3</v>
      </c>
      <c r="I359" s="271">
        <v>-1.96469735209325E-2</v>
      </c>
      <c r="J359" s="271">
        <v>-4.0345481085878303E-3</v>
      </c>
      <c r="K359" s="271">
        <v>-1.5849391075648501E-3</v>
      </c>
      <c r="L359" s="272">
        <v>1.27651290404129E-3</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row>
    <row r="360" spans="1:78">
      <c r="A360" s="244" t="s">
        <v>106</v>
      </c>
      <c r="B360" s="264">
        <v>8.2636800000000008</v>
      </c>
      <c r="C360" s="264">
        <v>9.1921999999999997</v>
      </c>
      <c r="D360" s="264">
        <v>10.196300000000001</v>
      </c>
      <c r="E360" s="264">
        <v>10.681900000000001</v>
      </c>
      <c r="F360" s="264">
        <v>11.135300000000001</v>
      </c>
      <c r="G360" s="264">
        <v>11.346500000000001</v>
      </c>
      <c r="H360" s="270">
        <v>7.1242770679884604E-3</v>
      </c>
      <c r="I360" s="271">
        <v>2.0950363272350399E-2</v>
      </c>
      <c r="J360" s="271">
        <v>9.3485898068528302E-3</v>
      </c>
      <c r="K360" s="271">
        <v>8.3485608983049405E-3</v>
      </c>
      <c r="L360" s="272">
        <v>9.3989562064478204E-4</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row>
    <row r="361" spans="1:78">
      <c r="A361" s="244" t="s">
        <v>135</v>
      </c>
      <c r="B361" s="264">
        <v>2.0799999999999999E-2</v>
      </c>
      <c r="C361" s="264">
        <v>0.1744</v>
      </c>
      <c r="D361" s="264">
        <v>0.18060000000000001</v>
      </c>
      <c r="E361" s="264">
        <v>0.18149999999999999</v>
      </c>
      <c r="F361" s="264">
        <v>0.17069999999999999</v>
      </c>
      <c r="G361" s="264">
        <v>0.1588</v>
      </c>
      <c r="H361" s="270"/>
      <c r="I361" s="271"/>
      <c r="J361" s="271"/>
      <c r="K361" s="271"/>
      <c r="L361" s="272"/>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row>
    <row r="362" spans="1:78">
      <c r="A362" s="244" t="s">
        <v>136</v>
      </c>
      <c r="B362" s="264">
        <v>0</v>
      </c>
      <c r="C362" s="264">
        <v>1.12610318924139</v>
      </c>
      <c r="D362" s="264">
        <v>1.4955001270178101</v>
      </c>
      <c r="E362" s="264">
        <v>1.7829099267323001</v>
      </c>
      <c r="F362" s="264">
        <v>1.98131096506806</v>
      </c>
      <c r="G362" s="264">
        <v>2.7034684578908701</v>
      </c>
      <c r="H362" s="270"/>
      <c r="I362" s="271"/>
      <c r="J362" s="271"/>
      <c r="K362" s="271"/>
      <c r="L362" s="27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row>
    <row r="363" spans="1:78">
      <c r="A363" s="244"/>
      <c r="B363" s="245"/>
      <c r="C363" s="245"/>
      <c r="D363" s="245"/>
      <c r="E363" s="245"/>
      <c r="F363" s="245"/>
      <c r="G363" s="245"/>
      <c r="H363" s="270"/>
      <c r="I363" s="271"/>
      <c r="J363" s="271"/>
      <c r="K363" s="271"/>
      <c r="L363" s="272"/>
      <c r="M363" s="34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row>
    <row r="364" spans="1:78" ht="15" thickBot="1">
      <c r="A364" s="253" t="s">
        <v>10</v>
      </c>
      <c r="B364" s="273">
        <v>149.39966000000001</v>
      </c>
      <c r="C364" s="273">
        <v>143.57830318924101</v>
      </c>
      <c r="D364" s="273">
        <v>139.63563021277699</v>
      </c>
      <c r="E364" s="273">
        <v>136.69962896637199</v>
      </c>
      <c r="F364" s="273">
        <v>134.18621956671799</v>
      </c>
      <c r="G364" s="273">
        <v>138.05543815578699</v>
      </c>
      <c r="H364" s="275">
        <v>-2.6461224114398001E-3</v>
      </c>
      <c r="I364" s="276">
        <v>-5.5533557309074303E-3</v>
      </c>
      <c r="J364" s="276">
        <v>-4.2410530271742601E-3</v>
      </c>
      <c r="K364" s="276">
        <v>-3.7046201070318799E-3</v>
      </c>
      <c r="L364" s="277">
        <v>1.4223504212316201E-3</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row>
    <row r="365" spans="1:78">
      <c r="A365" s="344"/>
      <c r="B365"/>
      <c r="C365"/>
      <c r="D365"/>
      <c r="E365"/>
      <c r="F365" s="345"/>
      <c r="G365" s="345"/>
      <c r="H365" s="34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row>
    <row r="366" spans="1:78">
      <c r="A366" s="346"/>
      <c r="B366"/>
      <c r="C366"/>
      <c r="D366"/>
      <c r="E366"/>
      <c r="F366" s="345"/>
      <c r="G366" s="345"/>
      <c r="H366" s="345"/>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row>
    <row r="367" spans="1:78" ht="16" thickBot="1">
      <c r="A367" s="237" t="s">
        <v>204</v>
      </c>
      <c r="B367" s="239"/>
      <c r="C367" s="239"/>
      <c r="D367" s="239"/>
      <c r="E367" s="239"/>
      <c r="F367" s="239"/>
      <c r="G367" s="239"/>
      <c r="H367" s="239"/>
      <c r="I367" s="239"/>
      <c r="J367" s="239"/>
      <c r="K367" s="239"/>
      <c r="L367" s="239"/>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row>
    <row r="368" spans="1:78" ht="15" thickBot="1">
      <c r="A368" s="292" t="s">
        <v>51</v>
      </c>
      <c r="B368" s="241">
        <v>2000</v>
      </c>
      <c r="C368" s="241">
        <v>2015</v>
      </c>
      <c r="D368" s="241">
        <v>2020</v>
      </c>
      <c r="E368" s="241">
        <v>2025</v>
      </c>
      <c r="F368" s="241">
        <v>2030</v>
      </c>
      <c r="G368" s="241">
        <v>2050</v>
      </c>
      <c r="H368" s="261" t="s">
        <v>98</v>
      </c>
      <c r="I368" s="262" t="s">
        <v>99</v>
      </c>
      <c r="J368" s="262" t="s">
        <v>100</v>
      </c>
      <c r="K368" s="262" t="s">
        <v>101</v>
      </c>
      <c r="L368" s="263" t="s">
        <v>323</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row>
    <row r="369" spans="1:78">
      <c r="A369" s="347" t="s">
        <v>78</v>
      </c>
      <c r="B369" s="245">
        <v>38.915500000000002</v>
      </c>
      <c r="C369" s="245">
        <v>31.8477</v>
      </c>
      <c r="D369" s="245">
        <v>32.003300000000003</v>
      </c>
      <c r="E369" s="245">
        <v>32.154499999999999</v>
      </c>
      <c r="F369" s="245">
        <v>32.312199999999997</v>
      </c>
      <c r="G369" s="245">
        <v>36.428100000000001</v>
      </c>
      <c r="H369" s="265">
        <v>-1.32729578759672E-2</v>
      </c>
      <c r="I369" s="266">
        <v>9.75246558531762E-4</v>
      </c>
      <c r="J369" s="266">
        <v>9.4312192044454502E-4</v>
      </c>
      <c r="K369" s="266">
        <v>9.789705007394729E-4</v>
      </c>
      <c r="L369" s="267">
        <v>6.0127839972017299E-3</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row>
    <row r="370" spans="1:78">
      <c r="A370" s="347" t="s">
        <v>80</v>
      </c>
      <c r="B370" s="245">
        <v>42.777299999999997</v>
      </c>
      <c r="C370" s="245">
        <v>42.093488103993202</v>
      </c>
      <c r="D370" s="245">
        <v>38.949986005726402</v>
      </c>
      <c r="E370" s="245">
        <v>37.427669756237201</v>
      </c>
      <c r="F370" s="245">
        <v>36.268246002489001</v>
      </c>
      <c r="G370" s="245">
        <v>34.636912010195502</v>
      </c>
      <c r="H370" s="270">
        <v>-1.0737255569641701E-3</v>
      </c>
      <c r="I370" s="271">
        <v>-1.54030681153818E-2</v>
      </c>
      <c r="J370" s="271">
        <v>-7.9419247568907093E-3</v>
      </c>
      <c r="K370" s="271">
        <v>-6.27377144735408E-3</v>
      </c>
      <c r="L370" s="272">
        <v>-2.2984873308317102E-3</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row>
    <row r="371" spans="1:78">
      <c r="A371" s="347" t="s">
        <v>81</v>
      </c>
      <c r="B371" s="245">
        <v>20.017199999999999</v>
      </c>
      <c r="C371" s="245">
        <v>23.0002150852482</v>
      </c>
      <c r="D371" s="245">
        <v>22.5271141212915</v>
      </c>
      <c r="E371" s="245">
        <v>22.078440170495099</v>
      </c>
      <c r="F371" s="245">
        <v>21.442864962579101</v>
      </c>
      <c r="G371" s="245">
        <v>22.6677564476953</v>
      </c>
      <c r="H371" s="270">
        <v>9.3037912415132595E-3</v>
      </c>
      <c r="I371" s="271">
        <v>-4.1481548719571899E-3</v>
      </c>
      <c r="J371" s="271">
        <v>-4.0155323599075903E-3</v>
      </c>
      <c r="K371" s="271">
        <v>-5.8248931822137999E-3</v>
      </c>
      <c r="L371" s="272">
        <v>2.7814380241897299E-3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row>
    <row r="372" spans="1:78">
      <c r="A372" s="347" t="s">
        <v>82</v>
      </c>
      <c r="B372" s="245">
        <v>4.3577599999999999</v>
      </c>
      <c r="C372" s="245">
        <v>4.46</v>
      </c>
      <c r="D372" s="245">
        <v>4.3564300857593397</v>
      </c>
      <c r="E372" s="245">
        <v>4.2410190396400802</v>
      </c>
      <c r="F372" s="245">
        <v>4.1238086016501896</v>
      </c>
      <c r="G372" s="245">
        <v>3.7084696978960001</v>
      </c>
      <c r="H372" s="270">
        <v>1.54723588017358E-3</v>
      </c>
      <c r="I372" s="271">
        <v>-4.6881425382782104E-3</v>
      </c>
      <c r="J372" s="271">
        <v>-5.3554788952561204E-3</v>
      </c>
      <c r="K372" s="271">
        <v>-5.5896048360853899E-3</v>
      </c>
      <c r="L372" s="272">
        <v>-5.2938301838630899E-3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row>
    <row r="373" spans="1:78">
      <c r="A373" s="347" t="s">
        <v>79</v>
      </c>
      <c r="B373" s="245">
        <v>43.331899999999997</v>
      </c>
      <c r="C373" s="245">
        <v>42.177</v>
      </c>
      <c r="D373" s="245">
        <v>41.798699999999997</v>
      </c>
      <c r="E373" s="245">
        <v>40.798000000000002</v>
      </c>
      <c r="F373" s="245">
        <v>40.038899999999998</v>
      </c>
      <c r="G373" s="245">
        <v>40.614400000000003</v>
      </c>
      <c r="H373" s="270">
        <v>-1.7993149918053E-3</v>
      </c>
      <c r="I373" s="271">
        <v>-1.80033948060065E-3</v>
      </c>
      <c r="J373" s="271">
        <v>-4.83471057375173E-3</v>
      </c>
      <c r="K373" s="271">
        <v>-3.7492696827380301E-3</v>
      </c>
      <c r="L373" s="272">
        <v>7.1381474379505995E-4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row>
    <row r="374" spans="1:78">
      <c r="A374" s="347"/>
      <c r="B374" s="245"/>
      <c r="C374" s="245"/>
      <c r="D374" s="245"/>
      <c r="E374" s="245"/>
      <c r="F374" s="245"/>
      <c r="G374" s="245"/>
      <c r="H374" s="270"/>
      <c r="I374" s="271"/>
      <c r="J374" s="271"/>
      <c r="K374" s="271"/>
      <c r="L374" s="272"/>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row>
    <row r="375" spans="1:78" ht="15" thickBot="1">
      <c r="A375" s="348" t="s">
        <v>10</v>
      </c>
      <c r="B375" s="273">
        <v>149.39966000000001</v>
      </c>
      <c r="C375" s="273">
        <v>143.57840318924099</v>
      </c>
      <c r="D375" s="273">
        <v>139.63553021277701</v>
      </c>
      <c r="E375" s="273">
        <v>136.69962896637199</v>
      </c>
      <c r="F375" s="273">
        <v>134.18601956671799</v>
      </c>
      <c r="G375" s="273">
        <v>138.05563815578699</v>
      </c>
      <c r="H375" s="275">
        <v>-2.6460761020494798E-3</v>
      </c>
      <c r="I375" s="276">
        <v>-5.5536366886307399E-3</v>
      </c>
      <c r="J375" s="276">
        <v>-4.2409104046396999E-3</v>
      </c>
      <c r="K375" s="276">
        <v>-3.70491709609E-3</v>
      </c>
      <c r="L375" s="277">
        <v>1.42249758824131E-3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row>
    <row r="376" spans="1:78" ht="15.5">
      <c r="A376" s="341"/>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row>
    <row r="377" spans="1:78" ht="15.5">
      <c r="A377" s="341"/>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row>
    <row r="378" spans="1:78" ht="16" thickBot="1">
      <c r="A378" s="237" t="s">
        <v>205</v>
      </c>
      <c r="B378" s="332"/>
      <c r="C378" s="239"/>
      <c r="D378" s="239"/>
      <c r="E378" s="239"/>
      <c r="F378" s="239"/>
      <c r="G378" s="239"/>
      <c r="H378" s="239"/>
      <c r="I378" s="239"/>
      <c r="J378" s="239"/>
      <c r="K378" s="239"/>
      <c r="L378" s="239"/>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row>
    <row r="379" spans="1:78" ht="15" thickBot="1">
      <c r="A379" s="240"/>
      <c r="B379" s="241">
        <v>2000</v>
      </c>
      <c r="C379" s="241">
        <v>2015</v>
      </c>
      <c r="D379" s="241">
        <v>2020</v>
      </c>
      <c r="E379" s="241">
        <v>2025</v>
      </c>
      <c r="F379" s="241">
        <v>2030</v>
      </c>
      <c r="G379" s="241">
        <v>2050</v>
      </c>
      <c r="H379" s="261" t="s">
        <v>98</v>
      </c>
      <c r="I379" s="262" t="s">
        <v>99</v>
      </c>
      <c r="J379" s="262" t="s">
        <v>100</v>
      </c>
      <c r="K379" s="262" t="s">
        <v>101</v>
      </c>
      <c r="L379" s="263" t="s">
        <v>323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row>
    <row r="380" spans="1:78">
      <c r="A380" s="244" t="s">
        <v>196</v>
      </c>
      <c r="B380" s="342">
        <v>8.4325549288508606E-2</v>
      </c>
      <c r="C380" s="342">
        <v>6.8571312471406298E-2</v>
      </c>
      <c r="D380" s="342">
        <v>6.1600091817526598E-2</v>
      </c>
      <c r="E380" s="342">
        <v>5.6533414922964799E-2</v>
      </c>
      <c r="F380" s="342">
        <v>5.1767361657663297E-2</v>
      </c>
      <c r="G380" s="342">
        <v>3.8017414224205799E-2</v>
      </c>
      <c r="H380" s="270">
        <v>-1.3692764990851E-2</v>
      </c>
      <c r="I380" s="271">
        <v>-2.12139308811569E-2</v>
      </c>
      <c r="J380" s="271">
        <v>-1.70197952593216E-2</v>
      </c>
      <c r="K380" s="271">
        <v>-1.7460175492412602E-2</v>
      </c>
      <c r="L380" s="272">
        <v>-1.53172561486896E-2</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row>
    <row r="381" spans="1:78">
      <c r="A381" s="244" t="s">
        <v>206</v>
      </c>
      <c r="B381" s="324">
        <v>214.050367245941</v>
      </c>
      <c r="C381" s="324">
        <v>203.27815628770301</v>
      </c>
      <c r="D381" s="324">
        <v>191.176095863889</v>
      </c>
      <c r="E381" s="324">
        <v>183.63659967520701</v>
      </c>
      <c r="F381" s="324">
        <v>176.928093077429</v>
      </c>
      <c r="G381" s="324">
        <v>150.91663440386799</v>
      </c>
      <c r="H381" s="270">
        <v>-3.4364869917412602E-3</v>
      </c>
      <c r="I381" s="271">
        <v>-1.2201016170506999E-2</v>
      </c>
      <c r="J381" s="271">
        <v>-8.0149413372444505E-3</v>
      </c>
      <c r="K381" s="271">
        <v>-7.41545021124257E-3</v>
      </c>
      <c r="L381" s="272">
        <v>-7.9192661661721103E-3</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row>
    <row r="382" spans="1:78">
      <c r="A382" s="244" t="s">
        <v>150</v>
      </c>
      <c r="B382" s="303">
        <v>2.5383067722314698</v>
      </c>
      <c r="C382" s="303">
        <v>2.23337128547516</v>
      </c>
      <c r="D382" s="303">
        <v>2.12594097927854</v>
      </c>
      <c r="E382" s="303">
        <v>2.0431625457003402</v>
      </c>
      <c r="F382" s="303">
        <v>1.9718449748309499</v>
      </c>
      <c r="G382" s="303">
        <v>1.9260369309595899</v>
      </c>
      <c r="H382" s="270">
        <v>-8.4960364520788607E-3</v>
      </c>
      <c r="I382" s="271">
        <v>-9.8110966468509808E-3</v>
      </c>
      <c r="J382" s="271">
        <v>-7.9116653563052804E-3</v>
      </c>
      <c r="K382" s="271">
        <v>-7.0806601645884201E-3</v>
      </c>
      <c r="L382" s="272">
        <v>-1.1745672440818299E-3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row>
    <row r="383" spans="1:78" ht="15" thickBot="1">
      <c r="A383" s="253" t="s">
        <v>151</v>
      </c>
      <c r="B383" s="349">
        <v>6443.1895358319998</v>
      </c>
      <c r="C383" s="349">
        <v>6620.7803358962901</v>
      </c>
      <c r="D383" s="349">
        <v>6597.8651080498103</v>
      </c>
      <c r="E383" s="349">
        <v>6636.7726589206604</v>
      </c>
      <c r="F383" s="349">
        <v>6739.2805055095196</v>
      </c>
      <c r="G383" s="349">
        <v>7645.7333379844804</v>
      </c>
      <c r="H383" s="275">
        <v>1.81428058343625E-3</v>
      </c>
      <c r="I383" s="276">
        <v>-6.9318169594823097E-4</v>
      </c>
      <c r="J383" s="276">
        <v>1.1766260336725199E-3</v>
      </c>
      <c r="K383" s="276">
        <v>3.0701772327716998E-3</v>
      </c>
      <c r="L383" s="277">
        <v>6.3296777444214998E-3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row>
    <row r="384" spans="1:78" ht="15.5">
      <c r="A384" s="341"/>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row>
    <row r="385" spans="1:78" ht="15.5">
      <c r="A385" s="341"/>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row>
    <row r="386" spans="1:78">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row>
    <row r="410" spans="2:14" customFormat="1">
      <c r="B410" s="231"/>
      <c r="C410" s="231"/>
      <c r="D410" s="231"/>
      <c r="E410" s="231"/>
      <c r="F410" s="231"/>
      <c r="G410" s="231"/>
      <c r="H410" s="231"/>
      <c r="I410" s="231"/>
      <c r="J410" s="231"/>
      <c r="K410" s="231"/>
      <c r="L410" s="231"/>
      <c r="N410" s="350"/>
    </row>
    <row r="411" spans="2:14" customFormat="1">
      <c r="B411" s="231"/>
      <c r="C411" s="231"/>
      <c r="D411" s="231"/>
      <c r="E411" s="231"/>
      <c r="F411" s="231"/>
      <c r="G411" s="231"/>
      <c r="H411" s="231"/>
      <c r="I411" s="231"/>
      <c r="J411" s="231"/>
      <c r="K411" s="231"/>
      <c r="L411" s="231"/>
      <c r="N411" s="269"/>
    </row>
    <row r="412" spans="2:14" customFormat="1">
      <c r="B412" s="231"/>
      <c r="C412" s="231"/>
      <c r="D412" s="231"/>
      <c r="E412" s="231"/>
      <c r="F412" s="231"/>
      <c r="G412" s="231"/>
      <c r="H412" s="231"/>
      <c r="I412" s="231"/>
      <c r="J412" s="231"/>
      <c r="K412" s="231"/>
      <c r="L412" s="231"/>
      <c r="N412" s="268"/>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1"/>
  <dimension ref="A1:BZ642"/>
  <sheetViews>
    <sheetView workbookViewId="0"/>
  </sheetViews>
  <sheetFormatPr baseColWidth="10" defaultRowHeight="14.5"/>
  <cols>
    <col min="1" max="1" width="38.1796875" style="95" customWidth="1"/>
    <col min="2" max="5" width="12.26953125" style="97" customWidth="1"/>
    <col min="6" max="7" width="12.26953125" style="98" customWidth="1"/>
    <col min="8" max="12" width="13.1796875" style="98" customWidth="1"/>
    <col min="13" max="78" width="11.453125" style="95"/>
  </cols>
  <sheetData>
    <row r="1" spans="1:18" ht="28.5">
      <c r="A1" s="46" t="s">
        <v>45</v>
      </c>
      <c r="B1" s="47"/>
      <c r="C1" s="47"/>
      <c r="D1" s="47"/>
      <c r="E1" s="47"/>
      <c r="F1" s="48" t="s">
        <v>46</v>
      </c>
      <c r="G1" s="49" t="s">
        <v>47</v>
      </c>
      <c r="H1" s="49"/>
      <c r="I1" s="48" t="s">
        <v>48</v>
      </c>
      <c r="J1" s="49">
        <v>4</v>
      </c>
      <c r="K1" s="48" t="s">
        <v>49</v>
      </c>
      <c r="L1" s="94">
        <v>43273</v>
      </c>
    </row>
    <row r="2" spans="1:18" ht="26">
      <c r="B2" s="96"/>
    </row>
    <row r="3" spans="1:18" ht="21">
      <c r="A3" s="99"/>
      <c r="B3" s="100"/>
      <c r="C3" s="95"/>
      <c r="D3" s="101"/>
      <c r="E3" s="100"/>
      <c r="F3" s="102"/>
    </row>
    <row r="4" spans="1:18">
      <c r="B4" s="95"/>
    </row>
    <row r="5" spans="1:18" ht="21">
      <c r="A5" s="52" t="s">
        <v>96</v>
      </c>
      <c r="B5" s="103"/>
      <c r="C5" s="103"/>
      <c r="D5" s="103"/>
      <c r="E5" s="103"/>
      <c r="F5" s="103"/>
      <c r="G5" s="103"/>
      <c r="H5" s="103"/>
      <c r="I5" s="103"/>
      <c r="J5" s="103"/>
      <c r="K5" s="103"/>
      <c r="L5" s="103"/>
    </row>
    <row r="6" spans="1:18">
      <c r="B6" s="98"/>
      <c r="C6" s="98"/>
      <c r="D6" s="98"/>
      <c r="E6" s="98"/>
    </row>
    <row r="7" spans="1:18" ht="16" thickBot="1">
      <c r="A7" s="59" t="s">
        <v>97</v>
      </c>
      <c r="B7" s="54"/>
      <c r="C7" s="54"/>
      <c r="D7" s="54"/>
      <c r="E7" s="54"/>
      <c r="F7" s="53"/>
      <c r="G7" s="53"/>
      <c r="H7" s="53"/>
      <c r="I7" s="53"/>
      <c r="J7" s="53"/>
      <c r="K7" s="53"/>
      <c r="L7" s="53"/>
    </row>
    <row r="8" spans="1:18" ht="15" thickBot="1">
      <c r="A8" s="104" t="s">
        <v>51</v>
      </c>
      <c r="B8" s="105">
        <v>2000</v>
      </c>
      <c r="C8" s="105">
        <v>2015</v>
      </c>
      <c r="D8" s="105">
        <v>2020</v>
      </c>
      <c r="E8" s="105">
        <v>2025</v>
      </c>
      <c r="F8" s="105">
        <v>2030</v>
      </c>
      <c r="G8" s="105">
        <v>2050</v>
      </c>
      <c r="H8" s="371" t="s">
        <v>98</v>
      </c>
      <c r="I8" s="372" t="s">
        <v>99</v>
      </c>
      <c r="J8" s="372" t="s">
        <v>100</v>
      </c>
      <c r="K8" s="372" t="s">
        <v>101</v>
      </c>
      <c r="L8" s="373" t="s">
        <v>102</v>
      </c>
    </row>
    <row r="9" spans="1:18">
      <c r="A9" s="106" t="s">
        <v>103</v>
      </c>
      <c r="B9" s="107">
        <f>'Demande Format Medpro'!B9</f>
        <v>6.4882</v>
      </c>
      <c r="C9" s="107">
        <f>'Demande Format Medpro'!C9</f>
        <v>3.3111000000000002</v>
      </c>
      <c r="D9" s="107">
        <f>'Demande Format Medpro'!D9</f>
        <v>2.6368999999999998</v>
      </c>
      <c r="E9" s="107">
        <f>'Demande Format Medpro'!E9</f>
        <v>1.9693000000000001</v>
      </c>
      <c r="F9" s="107">
        <f>'Demande Format Medpro'!F9</f>
        <v>1.3056000000000001</v>
      </c>
      <c r="G9" s="107">
        <f>'Demande Format Medpro'!G9</f>
        <v>1.3048999999999999</v>
      </c>
      <c r="H9" s="107">
        <f>'Demande Format Medpro'!H9</f>
        <v>-4.3856219092764999E-2</v>
      </c>
      <c r="I9" s="107">
        <f>'Demande Format Medpro'!I9</f>
        <v>-4.4514122029814703E-2</v>
      </c>
      <c r="J9" s="107">
        <f>'Demande Format Medpro'!J9</f>
        <v>-5.6713445416275397E-2</v>
      </c>
      <c r="K9" s="107">
        <f>'Demande Format Medpro'!K9</f>
        <v>-7.8915122401445395E-2</v>
      </c>
      <c r="L9" s="107">
        <f>'Demande Format Medpro'!L9</f>
        <v>-2.68144275689108E-5</v>
      </c>
      <c r="M9" s="108"/>
    </row>
    <row r="10" spans="1:18">
      <c r="A10" s="106" t="s">
        <v>54</v>
      </c>
      <c r="B10" s="107">
        <f>'Demande Format Medpro'!B10</f>
        <v>11.950799999999999</v>
      </c>
      <c r="C10" s="107">
        <f>'Demande Format Medpro'!C10</f>
        <v>10.494899999999999</v>
      </c>
      <c r="D10" s="107">
        <f>'Demande Format Medpro'!D10</f>
        <v>11.5999</v>
      </c>
      <c r="E10" s="107">
        <f>'Demande Format Medpro'!E10</f>
        <v>12.073700000000001</v>
      </c>
      <c r="F10" s="107">
        <f>'Demande Format Medpro'!F10</f>
        <v>12.567299999999999</v>
      </c>
      <c r="G10" s="107">
        <f>'Demande Format Medpro'!G10</f>
        <v>14.305199999999999</v>
      </c>
      <c r="H10" s="107">
        <f>'Demande Format Medpro'!H10</f>
        <v>-8.6231916102810207E-3</v>
      </c>
      <c r="I10" s="107">
        <f>'Demande Format Medpro'!I10</f>
        <v>2.0223183282431102E-2</v>
      </c>
      <c r="J10" s="107">
        <f>'Demande Format Medpro'!J10</f>
        <v>8.0387498082372701E-3</v>
      </c>
      <c r="K10" s="107">
        <f>'Demande Format Medpro'!K10</f>
        <v>8.0459297318797897E-3</v>
      </c>
      <c r="L10" s="107">
        <f>'Demande Format Medpro'!L10</f>
        <v>6.4972614773459699E-3</v>
      </c>
      <c r="M10" s="108"/>
    </row>
    <row r="11" spans="1:18">
      <c r="A11" s="106" t="s">
        <v>42</v>
      </c>
      <c r="B11" s="107">
        <f>'Demande Format Medpro'!B11</f>
        <v>6.5015999999999998</v>
      </c>
      <c r="C11" s="107">
        <f>'Demande Format Medpro'!C11</f>
        <v>4.4408000000000003</v>
      </c>
      <c r="D11" s="107">
        <f>'Demande Format Medpro'!D11</f>
        <v>3.5754999999999999</v>
      </c>
      <c r="E11" s="107">
        <f>'Demande Format Medpro'!E11</f>
        <v>3.1808999999999998</v>
      </c>
      <c r="F11" s="107">
        <f>'Demande Format Medpro'!F11</f>
        <v>2.7844000000000002</v>
      </c>
      <c r="G11" s="107">
        <f>'Demande Format Medpro'!G11</f>
        <v>2.3864999999999998</v>
      </c>
      <c r="H11" s="107">
        <f>'Demande Format Medpro'!H11</f>
        <v>-2.5094027085230002E-2</v>
      </c>
      <c r="I11" s="107">
        <f>'Demande Format Medpro'!I11</f>
        <v>-4.2419896843558201E-2</v>
      </c>
      <c r="J11" s="107">
        <f>'Demande Format Medpro'!J11</f>
        <v>-2.3116786763208101E-2</v>
      </c>
      <c r="K11" s="107">
        <f>'Demande Format Medpro'!K11</f>
        <v>-2.6274997072359401E-2</v>
      </c>
      <c r="L11" s="107">
        <f>'Demande Format Medpro'!L11</f>
        <v>-7.68058008268968E-3</v>
      </c>
      <c r="M11" s="108"/>
    </row>
    <row r="12" spans="1:18">
      <c r="A12" s="106" t="s">
        <v>104</v>
      </c>
      <c r="B12" s="107">
        <f>'Demande Format Medpro'!B12</f>
        <v>11.392799999999999</v>
      </c>
      <c r="C12" s="107">
        <f>'Demande Format Medpro'!C12</f>
        <v>9.9553999999999991</v>
      </c>
      <c r="D12" s="107">
        <f>'Demande Format Medpro'!D12</f>
        <v>10.2475</v>
      </c>
      <c r="E12" s="107">
        <f>'Demande Format Medpro'!E12</f>
        <v>10.430999999999999</v>
      </c>
      <c r="F12" s="107">
        <f>'Demande Format Medpro'!F12</f>
        <v>10.629</v>
      </c>
      <c r="G12" s="107">
        <f>'Demande Format Medpro'!G12</f>
        <v>12.7157</v>
      </c>
      <c r="H12" s="107">
        <f>'Demande Format Medpro'!H12</f>
        <v>-8.95079824608736E-3</v>
      </c>
      <c r="I12" s="107">
        <f>'Demande Format Medpro'!I12</f>
        <v>5.8004892403744597E-3</v>
      </c>
      <c r="J12" s="107">
        <f>'Demande Format Medpro'!J12</f>
        <v>3.5559812120831099E-3</v>
      </c>
      <c r="K12" s="107">
        <f>'Demande Format Medpro'!K12</f>
        <v>3.7678752329486399E-3</v>
      </c>
      <c r="L12" s="107">
        <f>'Demande Format Medpro'!L12</f>
        <v>9.0028508560735503E-3</v>
      </c>
      <c r="M12" s="108"/>
    </row>
    <row r="13" spans="1:18">
      <c r="A13" s="106" t="s">
        <v>105</v>
      </c>
      <c r="B13" s="107">
        <f>'Demande Format Medpro'!B13</f>
        <v>1.0062</v>
      </c>
      <c r="C13" s="107">
        <f>'Demande Format Medpro'!C13</f>
        <v>1.8103</v>
      </c>
      <c r="D13" s="107">
        <f>'Demande Format Medpro'!D13</f>
        <v>1.4061999999999999</v>
      </c>
      <c r="E13" s="107">
        <f>'Demande Format Medpro'!E13</f>
        <v>1.4024000000000001</v>
      </c>
      <c r="F13" s="107">
        <f>'Demande Format Medpro'!F13</f>
        <v>1.397</v>
      </c>
      <c r="G13" s="107">
        <f>'Demande Format Medpro'!G13</f>
        <v>1.4796</v>
      </c>
      <c r="H13" s="107">
        <f>'Demande Format Medpro'!H13</f>
        <v>3.99307397641082E-2</v>
      </c>
      <c r="I13" s="107">
        <f>'Demande Format Medpro'!I13</f>
        <v>-4.9265380300576603E-2</v>
      </c>
      <c r="J13" s="107">
        <f>'Demande Format Medpro'!J13</f>
        <v>-5.4104881188299402E-4</v>
      </c>
      <c r="K13" s="107">
        <f>'Demande Format Medpro'!K13</f>
        <v>-7.7129726723867997E-4</v>
      </c>
      <c r="L13" s="107">
        <f>'Demande Format Medpro'!L13</f>
        <v>2.8763638541484701E-3</v>
      </c>
      <c r="M13" s="108"/>
      <c r="O13" s="108"/>
      <c r="P13" s="108"/>
      <c r="Q13" s="108"/>
      <c r="R13" s="108"/>
    </row>
    <row r="14" spans="1:18">
      <c r="A14" s="106" t="s">
        <v>106</v>
      </c>
      <c r="B14" s="107">
        <f>'Demande Format Medpro'!B14</f>
        <v>1.5759000000000001</v>
      </c>
      <c r="C14" s="107">
        <f>'Demande Format Medpro'!C14</f>
        <v>1.8351</v>
      </c>
      <c r="D14" s="107">
        <f>'Demande Format Medpro'!D14</f>
        <v>2.5373999999999999</v>
      </c>
      <c r="E14" s="107">
        <f>'Demande Format Medpro'!E14</f>
        <v>3.0972</v>
      </c>
      <c r="F14" s="107">
        <f>'Demande Format Medpro'!F14</f>
        <v>3.6291000000000002</v>
      </c>
      <c r="G14" s="107">
        <f>'Demande Format Medpro'!G14</f>
        <v>4.2359999999999998</v>
      </c>
      <c r="H14" s="107">
        <f>'Demande Format Medpro'!H14</f>
        <v>1.02031971204586E-2</v>
      </c>
      <c r="I14" s="107">
        <f>'Demande Format Medpro'!I14</f>
        <v>6.6954354117112702E-2</v>
      </c>
      <c r="J14" s="107">
        <f>'Demande Format Medpro'!J14</f>
        <v>4.0677255645489498E-2</v>
      </c>
      <c r="K14" s="107">
        <f>'Demande Format Medpro'!K14</f>
        <v>3.2204948886277902E-2</v>
      </c>
      <c r="L14" s="107">
        <f>'Demande Format Medpro'!L14</f>
        <v>7.7617042671653796E-3</v>
      </c>
      <c r="M14" s="108"/>
    </row>
    <row r="15" spans="1:18">
      <c r="A15" s="106"/>
      <c r="B15" s="107"/>
      <c r="C15" s="107"/>
      <c r="D15" s="107"/>
      <c r="E15" s="107"/>
      <c r="F15" s="107"/>
      <c r="G15" s="107"/>
      <c r="H15" s="107"/>
      <c r="I15" s="107"/>
      <c r="J15" s="107"/>
      <c r="K15" s="107"/>
      <c r="L15" s="107"/>
      <c r="O15" s="108"/>
      <c r="P15" s="108"/>
      <c r="Q15" s="108"/>
    </row>
    <row r="16" spans="1:18" ht="15" thickBot="1">
      <c r="A16" s="109" t="s">
        <v>10</v>
      </c>
      <c r="B16" s="126">
        <f>'Demande Format Medpro'!B16</f>
        <v>38.915500000000002</v>
      </c>
      <c r="C16" s="131">
        <f>'Demande Format Medpro'!C16</f>
        <v>31.8477</v>
      </c>
      <c r="D16" s="131">
        <f>'Demande Format Medpro'!D16</f>
        <v>32.003300000000003</v>
      </c>
      <c r="E16" s="131">
        <f>'Demande Format Medpro'!E16</f>
        <v>32.154499999999999</v>
      </c>
      <c r="F16" s="131">
        <f>'Demande Format Medpro'!F16</f>
        <v>32.312199999999997</v>
      </c>
      <c r="G16" s="131">
        <f>'Demande Format Medpro'!G16</f>
        <v>36.428100000000001</v>
      </c>
      <c r="H16" s="131">
        <f>'Demande Format Medpro'!H16</f>
        <v>-1.32729578759672E-2</v>
      </c>
      <c r="I16" s="131">
        <f>'Demande Format Medpro'!I16</f>
        <v>9.75246558531762E-4</v>
      </c>
      <c r="J16" s="131">
        <f>'Demande Format Medpro'!J16</f>
        <v>9.4312192044454502E-4</v>
      </c>
      <c r="K16" s="131">
        <f>'Demande Format Medpro'!K16</f>
        <v>9.789705007394729E-4</v>
      </c>
      <c r="L16" s="131">
        <f>'Demande Format Medpro'!L16</f>
        <v>6.0127839972017299E-3</v>
      </c>
    </row>
    <row r="17" spans="1:19">
      <c r="A17" s="111"/>
      <c r="D17" s="112"/>
      <c r="E17" s="112"/>
      <c r="F17" s="112"/>
      <c r="G17" s="112"/>
    </row>
    <row r="18" spans="1:19">
      <c r="F18" s="97"/>
    </row>
    <row r="19" spans="1:19" ht="16" thickBot="1">
      <c r="A19" s="59" t="s">
        <v>107</v>
      </c>
      <c r="B19" s="54"/>
      <c r="C19" s="54"/>
      <c r="D19" s="54"/>
      <c r="E19" s="54"/>
      <c r="F19" s="54"/>
      <c r="G19" s="53"/>
      <c r="H19" s="53"/>
      <c r="I19" s="53"/>
      <c r="J19" s="53"/>
      <c r="K19" s="53"/>
      <c r="L19" s="53"/>
    </row>
    <row r="20" spans="1:19" ht="15" thickBot="1">
      <c r="A20" s="104" t="s">
        <v>51</v>
      </c>
      <c r="B20" s="372">
        <v>2000</v>
      </c>
      <c r="C20" s="372">
        <v>2015</v>
      </c>
      <c r="D20" s="105">
        <v>2020</v>
      </c>
      <c r="E20" s="105">
        <v>2025</v>
      </c>
      <c r="F20" s="105">
        <v>2030</v>
      </c>
      <c r="G20" s="105">
        <v>2050</v>
      </c>
      <c r="H20" s="375" t="s">
        <v>98</v>
      </c>
      <c r="I20" s="376" t="s">
        <v>99</v>
      </c>
      <c r="J20" s="376" t="s">
        <v>100</v>
      </c>
      <c r="K20" s="376" t="s">
        <v>101</v>
      </c>
      <c r="L20" s="377" t="s">
        <v>102</v>
      </c>
    </row>
    <row r="21" spans="1:19">
      <c r="A21" s="152" t="s">
        <v>108</v>
      </c>
      <c r="B21" s="116">
        <f>'Demande Format Medpro'!B21</f>
        <v>12.8356442885731</v>
      </c>
      <c r="C21" s="117">
        <f>'Demande Format Medpro'!C21</f>
        <v>12.448173508076</v>
      </c>
      <c r="D21" s="117">
        <f>'Demande Format Medpro'!D21</f>
        <v>13.005694811337801</v>
      </c>
      <c r="E21" s="117">
        <f>'Demande Format Medpro'!E21</f>
        <v>13.4270982361849</v>
      </c>
      <c r="F21" s="117">
        <f>'Demande Format Medpro'!F21</f>
        <v>13.913274339353899</v>
      </c>
      <c r="G21" s="117">
        <f>'Demande Format Medpro'!G21</f>
        <v>16.6156285805185</v>
      </c>
      <c r="H21" s="117">
        <f>'Demande Format Medpro'!H21</f>
        <v>-2.0413871877454901E-3</v>
      </c>
      <c r="I21" s="117">
        <f>'Demande Format Medpro'!I21</f>
        <v>8.8011882941165798E-3</v>
      </c>
      <c r="J21" s="117">
        <f>'Demande Format Medpro'!J21</f>
        <v>6.3978991642414896E-3</v>
      </c>
      <c r="K21" s="117">
        <f>'Demande Format Medpro'!K21</f>
        <v>7.1390526967343203E-3</v>
      </c>
      <c r="L21" s="117">
        <f>'Demande Format Medpro'!L21</f>
        <v>8.9145177562362007E-3</v>
      </c>
      <c r="R21" s="118"/>
      <c r="S21" s="119"/>
    </row>
    <row r="22" spans="1:19">
      <c r="A22" s="152" t="s">
        <v>54</v>
      </c>
      <c r="B22" s="120">
        <f>'Demande Format Medpro'!B22</f>
        <v>1.62869795676853</v>
      </c>
      <c r="C22" s="121">
        <f>'Demande Format Medpro'!C22</f>
        <v>1.1015166939407</v>
      </c>
      <c r="D22" s="121">
        <f>'Demande Format Medpro'!D22</f>
        <v>1.10724474305145</v>
      </c>
      <c r="E22" s="121">
        <f>'Demande Format Medpro'!E22</f>
        <v>1.11157429870939</v>
      </c>
      <c r="F22" s="121">
        <f>'Demande Format Medpro'!F22</f>
        <v>1.11656933760591</v>
      </c>
      <c r="G22" s="121">
        <f>'Demande Format Medpro'!G22</f>
        <v>1.14433368977949</v>
      </c>
      <c r="H22" s="121">
        <f>'Demande Format Medpro'!H22</f>
        <v>-2.57358948260114E-2</v>
      </c>
      <c r="I22" s="121">
        <f>'Demande Format Medpro'!I22</f>
        <v>1.0378728715621001E-3</v>
      </c>
      <c r="J22" s="121">
        <f>'Demande Format Medpro'!J22</f>
        <v>7.8082099669196702E-4</v>
      </c>
      <c r="K22" s="121">
        <f>'Demande Format Medpro'!K22</f>
        <v>8.9712125008523103E-4</v>
      </c>
      <c r="L22" s="121">
        <f>'Demande Format Medpro'!L22</f>
        <v>1.2288366156623101E-3</v>
      </c>
    </row>
    <row r="23" spans="1:19">
      <c r="A23" s="152" t="s">
        <v>42</v>
      </c>
      <c r="B23" s="120">
        <f>'Demande Format Medpro'!B23</f>
        <v>0.15113499999999999</v>
      </c>
      <c r="C23" s="121">
        <f>'Demande Format Medpro'!C23</f>
        <v>0.30480979798330099</v>
      </c>
      <c r="D23" s="121">
        <f>'Demande Format Medpro'!D23</f>
        <v>0.32686044561077698</v>
      </c>
      <c r="E23" s="121">
        <f>'Demande Format Medpro'!E23</f>
        <v>0.34352746510573001</v>
      </c>
      <c r="F23" s="121">
        <f>'Demande Format Medpro'!F23</f>
        <v>0.36275632304023198</v>
      </c>
      <c r="G23" s="121">
        <f>'Demande Format Medpro'!G23</f>
        <v>0.46963772970203199</v>
      </c>
      <c r="H23" s="121">
        <f>'Demande Format Medpro'!H23</f>
        <v>0</v>
      </c>
      <c r="I23" s="121">
        <f>'Demande Format Medpro'!I23</f>
        <v>0</v>
      </c>
      <c r="J23" s="121">
        <f>'Demande Format Medpro'!J23</f>
        <v>0</v>
      </c>
      <c r="K23" s="121">
        <f>'Demande Format Medpro'!K23</f>
        <v>0</v>
      </c>
      <c r="L23" s="121">
        <f>'Demande Format Medpro'!L23</f>
        <v>0</v>
      </c>
    </row>
    <row r="24" spans="1:19">
      <c r="A24" s="152" t="s">
        <v>109</v>
      </c>
      <c r="B24" s="120"/>
      <c r="C24" s="121"/>
      <c r="D24" s="121">
        <v>0</v>
      </c>
      <c r="E24" s="121">
        <v>0.42992261392949233</v>
      </c>
      <c r="F24" s="121">
        <v>1.2897678417884793</v>
      </c>
      <c r="G24" s="122">
        <v>1.7196904557179702</v>
      </c>
      <c r="H24" s="124"/>
      <c r="I24" s="124"/>
      <c r="J24" s="124"/>
      <c r="K24" s="124"/>
      <c r="L24" s="125"/>
    </row>
    <row r="25" spans="1:19">
      <c r="A25" s="152"/>
      <c r="B25" s="120"/>
      <c r="C25" s="121"/>
      <c r="D25" s="121"/>
      <c r="E25" s="121"/>
      <c r="F25" s="121"/>
      <c r="G25" s="122"/>
      <c r="H25" s="124"/>
      <c r="I25" s="124"/>
      <c r="J25" s="124"/>
      <c r="K25" s="124"/>
      <c r="L25" s="125"/>
    </row>
    <row r="26" spans="1:19" ht="15" thickBot="1">
      <c r="A26" s="374" t="s">
        <v>10</v>
      </c>
      <c r="B26" s="378">
        <f>SUM(B21:B25)</f>
        <v>14.61547724534163</v>
      </c>
      <c r="C26" s="110">
        <f t="shared" ref="C26" si="0">SUM(C21:C25)</f>
        <v>13.854500000000002</v>
      </c>
      <c r="D26" s="110">
        <f>SUM(D21:D24)</f>
        <v>14.439800000000027</v>
      </c>
      <c r="E26" s="110">
        <f t="shared" ref="E26:L26" si="1">SUM(E21:E24)</f>
        <v>15.312122613929512</v>
      </c>
      <c r="F26" s="110">
        <f t="shared" si="1"/>
        <v>16.682367841788519</v>
      </c>
      <c r="G26" s="110">
        <f t="shared" si="1"/>
        <v>19.949290455717993</v>
      </c>
      <c r="H26" s="110">
        <f t="shared" si="1"/>
        <v>-2.7777282013756892E-2</v>
      </c>
      <c r="I26" s="110">
        <f t="shared" si="1"/>
        <v>9.8390611656786805E-3</v>
      </c>
      <c r="J26" s="110">
        <f t="shared" si="1"/>
        <v>7.1787201609334571E-3</v>
      </c>
      <c r="K26" s="110">
        <f t="shared" si="1"/>
        <v>8.0361739468195505E-3</v>
      </c>
      <c r="L26" s="110">
        <f t="shared" si="1"/>
        <v>1.0143354371898511E-2</v>
      </c>
      <c r="S26" s="119"/>
    </row>
    <row r="27" spans="1:19">
      <c r="A27" s="111"/>
      <c r="F27" s="97"/>
    </row>
    <row r="28" spans="1:19">
      <c r="A28" s="111"/>
      <c r="F28" s="97"/>
    </row>
    <row r="29" spans="1:19" ht="16" thickBot="1">
      <c r="A29" s="59" t="s">
        <v>110</v>
      </c>
      <c r="B29" s="54"/>
      <c r="C29" s="54"/>
      <c r="D29" s="54"/>
      <c r="E29" s="54"/>
      <c r="F29" s="54"/>
      <c r="G29" s="53"/>
      <c r="H29" s="53"/>
      <c r="I29" s="53"/>
      <c r="J29" s="53"/>
      <c r="K29" s="53"/>
      <c r="L29" s="53"/>
      <c r="R29" s="119"/>
      <c r="S29" s="119"/>
    </row>
    <row r="30" spans="1:19" ht="15" thickBot="1">
      <c r="A30" s="104" t="s">
        <v>51</v>
      </c>
      <c r="B30" s="105">
        <v>2000</v>
      </c>
      <c r="C30" s="105">
        <v>2015</v>
      </c>
      <c r="D30" s="105">
        <v>2020</v>
      </c>
      <c r="E30" s="105">
        <v>2025</v>
      </c>
      <c r="F30" s="105">
        <v>2030</v>
      </c>
      <c r="G30" s="105">
        <v>2050</v>
      </c>
      <c r="H30" s="375" t="s">
        <v>98</v>
      </c>
      <c r="I30" s="376" t="s">
        <v>99</v>
      </c>
      <c r="J30" s="376" t="s">
        <v>100</v>
      </c>
      <c r="K30" s="376" t="s">
        <v>101</v>
      </c>
      <c r="L30" s="377" t="s">
        <v>102</v>
      </c>
    </row>
    <row r="31" spans="1:19">
      <c r="A31" s="127" t="s">
        <v>111</v>
      </c>
      <c r="B31" s="128">
        <f>'Demande Format Medpro'!B29</f>
        <v>8.0395000000000003</v>
      </c>
      <c r="C31" s="128">
        <f>'Demande Format Medpro'!C29</f>
        <v>5.1847000000000003</v>
      </c>
      <c r="D31" s="128">
        <f>'Demande Format Medpro'!D29</f>
        <v>5.0029000000000003</v>
      </c>
      <c r="E31" s="128">
        <f>'Demande Format Medpro'!E29</f>
        <v>4.8792999999999997</v>
      </c>
      <c r="F31" s="128">
        <f>'Demande Format Medpro'!F29</f>
        <v>4.7746000000000004</v>
      </c>
      <c r="G31" s="128">
        <f>'Demande Format Medpro'!G29</f>
        <v>4.2873000000000001</v>
      </c>
      <c r="H31" s="128">
        <f>'Demande Format Medpro'!H29</f>
        <v>-2.8820202773232301E-2</v>
      </c>
      <c r="I31" s="128">
        <f>'Demande Format Medpro'!I29</f>
        <v>-7.1134262577403603E-3</v>
      </c>
      <c r="J31" s="128">
        <f>'Demande Format Medpro'!J29</f>
        <v>-4.9907003339448898E-3</v>
      </c>
      <c r="K31" s="128">
        <f>'Demande Format Medpro'!K29</f>
        <v>-4.3289163455219101E-3</v>
      </c>
      <c r="L31" s="128">
        <f>'Demande Format Medpro'!L29</f>
        <v>-5.3681913174004102E-3</v>
      </c>
      <c r="N31" s="129"/>
      <c r="O31" s="129"/>
      <c r="P31" s="129"/>
      <c r="Q31" s="129"/>
      <c r="R31" s="129"/>
      <c r="S31" s="129"/>
    </row>
    <row r="32" spans="1:19">
      <c r="A32" s="130" t="s">
        <v>112</v>
      </c>
      <c r="B32" s="128">
        <f>'Demande Format Medpro'!B30</f>
        <v>6.7333081685296703</v>
      </c>
      <c r="C32" s="128">
        <f>'Demande Format Medpro'!C30</f>
        <v>4.3241676698194302</v>
      </c>
      <c r="D32" s="128">
        <f>'Demande Format Medpro'!D30</f>
        <v>4.12923766122098</v>
      </c>
      <c r="E32" s="128">
        <f>'Demande Format Medpro'!E30</f>
        <v>4.0052162510748097</v>
      </c>
      <c r="F32" s="128">
        <f>'Demande Format Medpro'!F30</f>
        <v>3.8777862424763501</v>
      </c>
      <c r="G32" s="128">
        <f>'Demande Format Medpro'!G30</f>
        <v>3.36553766122098</v>
      </c>
      <c r="H32" s="128">
        <f>'Demande Format Medpro'!H30</f>
        <v>-2.9091576675537301E-2</v>
      </c>
      <c r="I32" s="128">
        <f>'Demande Format Medpro'!I30</f>
        <v>-9.1829510527656807E-3</v>
      </c>
      <c r="J32" s="128">
        <f>'Demande Format Medpro'!J30</f>
        <v>-6.0804845612360001E-3</v>
      </c>
      <c r="K32" s="128">
        <f>'Demande Format Medpro'!K30</f>
        <v>-6.4457642771538204E-3</v>
      </c>
      <c r="L32" s="128">
        <f>'Demande Format Medpro'!L30</f>
        <v>-7.0588039779074796E-3</v>
      </c>
      <c r="N32" s="129"/>
      <c r="O32" s="129"/>
      <c r="P32" s="129"/>
      <c r="Q32" s="129"/>
      <c r="R32" s="129"/>
      <c r="S32" s="129"/>
    </row>
    <row r="33" spans="1:19">
      <c r="A33" s="130" t="s">
        <v>113</v>
      </c>
      <c r="B33" s="128">
        <f>'Demande Format Medpro'!B31</f>
        <v>0.77559888220120399</v>
      </c>
      <c r="C33" s="128">
        <f>'Demande Format Medpro'!C31</f>
        <v>0.54067386070507295</v>
      </c>
      <c r="D33" s="128">
        <f>'Demande Format Medpro'!D31</f>
        <v>0.52756122098022395</v>
      </c>
      <c r="E33" s="128">
        <f>'Demande Format Medpro'!E31</f>
        <v>0.50129294926913204</v>
      </c>
      <c r="F33" s="128">
        <f>'Demande Format Medpro'!F31</f>
        <v>0.50129294926913204</v>
      </c>
      <c r="G33" s="128">
        <f>'Demande Format Medpro'!G31</f>
        <v>0.41472622527945002</v>
      </c>
      <c r="H33" s="128">
        <f>'Demande Format Medpro'!H31</f>
        <v>-2.3767608980079E-2</v>
      </c>
      <c r="I33" s="128">
        <f>'Demande Format Medpro'!I31</f>
        <v>-4.8982312347996002E-3</v>
      </c>
      <c r="J33" s="128">
        <f>'Demande Format Medpro'!J31</f>
        <v>-1.01628572059761E-2</v>
      </c>
      <c r="K33" s="128">
        <f>'Demande Format Medpro'!K31</f>
        <v>0</v>
      </c>
      <c r="L33" s="128">
        <f>'Demande Format Medpro'!L31</f>
        <v>-9.4338223850389796E-3</v>
      </c>
      <c r="N33" s="129"/>
      <c r="O33" s="129"/>
      <c r="P33" s="129"/>
      <c r="Q33" s="129"/>
      <c r="R33" s="129"/>
      <c r="S33" s="129"/>
    </row>
    <row r="34" spans="1:19">
      <c r="A34" s="127" t="s">
        <v>114</v>
      </c>
      <c r="B34" s="128">
        <f>'Demande Format Medpro'!B32</f>
        <v>10.4049</v>
      </c>
      <c r="C34" s="128">
        <f>'Demande Format Medpro'!C32</f>
        <v>8.6717999999999993</v>
      </c>
      <c r="D34" s="128">
        <f>'Demande Format Medpro'!D32</f>
        <v>8.8864999999999998</v>
      </c>
      <c r="E34" s="128">
        <f>'Demande Format Medpro'!E32</f>
        <v>8.9934999999999992</v>
      </c>
      <c r="F34" s="128">
        <f>'Demande Format Medpro'!F32</f>
        <v>9.0847999999999995</v>
      </c>
      <c r="G34" s="128">
        <f>'Demande Format Medpro'!G32</f>
        <v>10.4232</v>
      </c>
      <c r="H34" s="128">
        <f>'Demande Format Medpro'!H32</f>
        <v>-1.2073224475376201E-2</v>
      </c>
      <c r="I34" s="128">
        <f>'Demande Format Medpro'!I32</f>
        <v>4.9033602210513099E-3</v>
      </c>
      <c r="J34" s="128">
        <f>'Demande Format Medpro'!J32</f>
        <v>2.3966319355179801E-3</v>
      </c>
      <c r="K34" s="128">
        <f>'Demande Format Medpro'!K32</f>
        <v>2.0221604364199001E-3</v>
      </c>
      <c r="L34" s="128">
        <f>'Demande Format Medpro'!L32</f>
        <v>6.8952335894163497E-3</v>
      </c>
      <c r="N34" s="129"/>
      <c r="O34" s="129"/>
      <c r="P34" s="129"/>
      <c r="Q34" s="129"/>
      <c r="R34" s="129"/>
      <c r="S34" s="129"/>
    </row>
    <row r="35" spans="1:19">
      <c r="A35" s="130" t="s">
        <v>115</v>
      </c>
      <c r="B35" s="128">
        <f>'Demande Format Medpro'!B33</f>
        <v>0.68307506448839195</v>
      </c>
      <c r="C35" s="128">
        <f>'Demande Format Medpro'!C33</f>
        <v>0.48066870163370601</v>
      </c>
      <c r="D35" s="128">
        <f>'Demande Format Medpro'!D33</f>
        <v>0.46725477214101502</v>
      </c>
      <c r="E35" s="128">
        <f>'Demande Format Medpro'!E33</f>
        <v>0.45394084264832302</v>
      </c>
      <c r="F35" s="128">
        <f>'Demande Format Medpro'!F33</f>
        <v>0.440618314703353</v>
      </c>
      <c r="G35" s="128">
        <f>'Demande Format Medpro'!G33</f>
        <v>0.42950438521066198</v>
      </c>
      <c r="H35" s="128">
        <f>'Demande Format Medpro'!H33</f>
        <v>-2.3156118034364199E-2</v>
      </c>
      <c r="I35" s="128">
        <f>'Demande Format Medpro'!I33</f>
        <v>-5.6447289637038302E-3</v>
      </c>
      <c r="J35" s="128">
        <f>'Demande Format Medpro'!J33</f>
        <v>-5.7648734804401896E-3</v>
      </c>
      <c r="K35" s="128">
        <f>'Demande Format Medpro'!K33</f>
        <v>-5.9398659999631001E-3</v>
      </c>
      <c r="L35" s="128">
        <f>'Demande Format Medpro'!L33</f>
        <v>-1.2765370194788299E-3</v>
      </c>
      <c r="N35" s="129"/>
      <c r="O35" s="129"/>
      <c r="P35" s="129"/>
      <c r="Q35" s="129"/>
      <c r="R35" s="129"/>
      <c r="S35" s="129"/>
    </row>
    <row r="36" spans="1:19">
      <c r="A36" s="130" t="s">
        <v>116</v>
      </c>
      <c r="B36" s="128">
        <f>'Demande Format Medpro'!B34</f>
        <v>5.1073606190885599</v>
      </c>
      <c r="C36" s="128">
        <f>'Demande Format Medpro'!C34</f>
        <v>4.2139189165950102</v>
      </c>
      <c r="D36" s="128">
        <f>'Demande Format Medpro'!D34</f>
        <v>4.1711650042992297</v>
      </c>
      <c r="E36" s="128">
        <f>'Demande Format Medpro'!E34</f>
        <v>4.1288110920034402</v>
      </c>
      <c r="F36" s="128">
        <f>'Demande Format Medpro'!F34</f>
        <v>4.0862173688735997</v>
      </c>
      <c r="G36" s="128">
        <f>'Demande Format Medpro'!G34</f>
        <v>4.04346345657782</v>
      </c>
      <c r="H36" s="128">
        <f>'Demande Format Medpro'!H34</f>
        <v>-1.27374948782196E-2</v>
      </c>
      <c r="I36" s="128">
        <f>'Demande Format Medpro'!I34</f>
        <v>-2.0374614398909201E-3</v>
      </c>
      <c r="J36" s="128">
        <f>'Demande Format Medpro'!J34</f>
        <v>-2.03909421242632E-3</v>
      </c>
      <c r="K36" s="128">
        <f>'Demande Format Medpro'!K34</f>
        <v>-2.0718110130689702E-3</v>
      </c>
      <c r="L36" s="128">
        <f>'Demande Format Medpro'!L34</f>
        <v>-5.2576561135531097E-4</v>
      </c>
      <c r="N36" s="129"/>
      <c r="O36" s="129"/>
      <c r="P36" s="129"/>
      <c r="Q36" s="129"/>
      <c r="R36" s="129"/>
      <c r="S36" s="129"/>
    </row>
    <row r="37" spans="1:19">
      <c r="A37" s="130" t="s">
        <v>117</v>
      </c>
      <c r="B37" s="128">
        <f>'Demande Format Medpro'!B35</f>
        <v>0.54880481513327595</v>
      </c>
      <c r="C37" s="128">
        <f>'Demande Format Medpro'!C35</f>
        <v>0.34386070507308703</v>
      </c>
      <c r="D37" s="128">
        <f>'Demande Format Medpro'!D35</f>
        <v>0.34038693035253598</v>
      </c>
      <c r="E37" s="128">
        <f>'Demande Format Medpro'!E35</f>
        <v>0.33691315563198598</v>
      </c>
      <c r="F37" s="128">
        <f>'Demande Format Medpro'!F35</f>
        <v>0.33343938091143599</v>
      </c>
      <c r="G37" s="128">
        <f>'Demande Format Medpro'!G35</f>
        <v>0.329965606190886</v>
      </c>
      <c r="H37" s="128">
        <f>'Demande Format Medpro'!H35</f>
        <v>-3.0686393504073099E-2</v>
      </c>
      <c r="I37" s="128">
        <f>'Demande Format Medpro'!I35</f>
        <v>-2.02866891639664E-3</v>
      </c>
      <c r="J37" s="128">
        <f>'Demande Format Medpro'!J35</f>
        <v>-2.0494574426596101E-3</v>
      </c>
      <c r="K37" s="128">
        <f>'Demande Format Medpro'!K35</f>
        <v>-2.0706764393267898E-3</v>
      </c>
      <c r="L37" s="128">
        <f>'Demande Format Medpro'!L35</f>
        <v>-5.2349578258237305E-4</v>
      </c>
      <c r="N37" s="129"/>
      <c r="O37" s="129"/>
      <c r="P37" s="129"/>
      <c r="Q37" s="129"/>
      <c r="R37" s="129"/>
      <c r="S37" s="129"/>
    </row>
    <row r="38" spans="1:19">
      <c r="A38" s="127" t="s">
        <v>118</v>
      </c>
      <c r="B38" s="128">
        <f>'Demande Format Medpro'!B36</f>
        <v>4.5197000000000003</v>
      </c>
      <c r="C38" s="128">
        <f>'Demande Format Medpro'!C36</f>
        <v>3.4478</v>
      </c>
      <c r="D38" s="128">
        <f>'Demande Format Medpro'!D36</f>
        <v>3.5855000000000001</v>
      </c>
      <c r="E38" s="128">
        <f>'Demande Format Medpro'!E36</f>
        <v>3.6153</v>
      </c>
      <c r="F38" s="128">
        <f>'Demande Format Medpro'!F36</f>
        <v>3.7075999999999998</v>
      </c>
      <c r="G38" s="128">
        <f>'Demande Format Medpro'!G36</f>
        <v>4.0397999999999996</v>
      </c>
      <c r="H38" s="128">
        <f>'Demande Format Medpro'!H36</f>
        <v>-1.78854079287021E-2</v>
      </c>
      <c r="I38" s="128">
        <f>'Demande Format Medpro'!I36</f>
        <v>7.8630704078541704E-3</v>
      </c>
      <c r="J38" s="128">
        <f>'Demande Format Medpro'!J36</f>
        <v>1.6567519753676299E-3</v>
      </c>
      <c r="K38" s="128">
        <f>'Demande Format Medpro'!K36</f>
        <v>5.0547176582593804E-3</v>
      </c>
      <c r="L38" s="128">
        <f>'Demande Format Medpro'!L36</f>
        <v>4.2997384017018402E-3</v>
      </c>
      <c r="N38" s="129"/>
      <c r="O38" s="129"/>
      <c r="P38" s="129"/>
      <c r="Q38" s="129"/>
      <c r="R38" s="129"/>
      <c r="S38" s="129"/>
    </row>
    <row r="39" spans="1:19">
      <c r="A39" s="130" t="s">
        <v>119</v>
      </c>
      <c r="B39" s="128">
        <f>'Demande Format Medpro'!B37</f>
        <v>1.7363669819432499</v>
      </c>
      <c r="C39" s="128">
        <f>'Demande Format Medpro'!C37</f>
        <v>1.4016233018056701</v>
      </c>
      <c r="D39" s="128">
        <f>'Demande Format Medpro'!D37</f>
        <v>1.50207893379192</v>
      </c>
      <c r="E39" s="128">
        <f>'Demande Format Medpro'!E37</f>
        <v>1.4892156491831501</v>
      </c>
      <c r="F39" s="128">
        <f>'Demande Format Medpro'!F37</f>
        <v>1.4891156491831501</v>
      </c>
      <c r="G39" s="128">
        <f>'Demande Format Medpro'!G37</f>
        <v>1.3828008598452299</v>
      </c>
      <c r="H39" s="128">
        <f>'Demande Format Medpro'!H37</f>
        <v>-1.41761533511731E-2</v>
      </c>
      <c r="I39" s="128">
        <f>'Demande Format Medpro'!I37</f>
        <v>1.3940076878419E-2</v>
      </c>
      <c r="J39" s="128">
        <f>'Demande Format Medpro'!J37</f>
        <v>-1.71862806616696E-3</v>
      </c>
      <c r="K39" s="128">
        <f>'Demande Format Medpro'!K37</f>
        <v>-1.34302491571203E-5</v>
      </c>
      <c r="L39" s="128">
        <f>'Demande Format Medpro'!L37</f>
        <v>-3.6967186908993801E-3</v>
      </c>
      <c r="N39" s="129"/>
      <c r="O39" s="129"/>
      <c r="P39" s="129"/>
      <c r="Q39" s="129"/>
      <c r="R39" s="129"/>
      <c r="S39" s="129"/>
    </row>
    <row r="40" spans="1:19">
      <c r="A40" s="130" t="s">
        <v>120</v>
      </c>
      <c r="B40" s="128">
        <f>'Demande Format Medpro'!B38</f>
        <v>1.4736458297506501</v>
      </c>
      <c r="C40" s="128">
        <f>'Demande Format Medpro'!C38</f>
        <v>1.2876062768701599</v>
      </c>
      <c r="D40" s="128">
        <f>'Demande Format Medpro'!D38</f>
        <v>1.25890627687016</v>
      </c>
      <c r="E40" s="128">
        <f>'Demande Format Medpro'!E38</f>
        <v>1.2016062768701601</v>
      </c>
      <c r="F40" s="128">
        <f>'Demande Format Medpro'!F38</f>
        <v>1.2016062768701601</v>
      </c>
      <c r="G40" s="128">
        <f>'Demande Format Medpro'!G38</f>
        <v>1.04906921754084</v>
      </c>
      <c r="H40" s="128">
        <f>'Demande Format Medpro'!H38</f>
        <v>-8.9566210976280702E-3</v>
      </c>
      <c r="I40" s="128">
        <f>'Demande Format Medpro'!I38</f>
        <v>-4.4981698966123397E-3</v>
      </c>
      <c r="J40" s="128">
        <f>'Demande Format Medpro'!J38</f>
        <v>-9.2735497369074195E-3</v>
      </c>
      <c r="K40" s="128">
        <f>'Demande Format Medpro'!K38</f>
        <v>0</v>
      </c>
      <c r="L40" s="128">
        <f>'Demande Format Medpro'!L38</f>
        <v>-6.7648106613980002E-3</v>
      </c>
      <c r="N40" s="129"/>
      <c r="O40" s="129"/>
      <c r="P40" s="129"/>
      <c r="Q40" s="129"/>
      <c r="R40" s="129"/>
      <c r="S40" s="129"/>
    </row>
    <row r="41" spans="1:19">
      <c r="A41" s="127" t="s">
        <v>121</v>
      </c>
      <c r="B41" s="128">
        <f>'Demande Format Medpro'!B39</f>
        <v>5.1496000000000004</v>
      </c>
      <c r="C41" s="128">
        <f>'Demande Format Medpro'!C39</f>
        <v>5.8753000000000002</v>
      </c>
      <c r="D41" s="128">
        <f>'Demande Format Medpro'!D39</f>
        <v>5.9512999999999998</v>
      </c>
      <c r="E41" s="128">
        <f>'Demande Format Medpro'!E39</f>
        <v>5.9692999999999996</v>
      </c>
      <c r="F41" s="128">
        <f>'Demande Format Medpro'!F39</f>
        <v>5.9718</v>
      </c>
      <c r="G41" s="128">
        <f>'Demande Format Medpro'!G39</f>
        <v>7.1319999999999997</v>
      </c>
      <c r="H41" s="128">
        <f>'Demande Format Medpro'!H39</f>
        <v>8.8279438626317503E-3</v>
      </c>
      <c r="I41" s="128">
        <f>'Demande Format Medpro'!I39</f>
        <v>2.5738187051156402E-3</v>
      </c>
      <c r="J41" s="128">
        <f>'Demande Format Medpro'!J39</f>
        <v>6.0417934504353198E-4</v>
      </c>
      <c r="K41" s="128">
        <f>'Demande Format Medpro'!K39</f>
        <v>8.3747886540530599E-5</v>
      </c>
      <c r="L41" s="128">
        <f>'Demande Format Medpro'!L39</f>
        <v>8.9166844110339892E-3</v>
      </c>
      <c r="N41" s="129"/>
      <c r="O41" s="129"/>
      <c r="P41" s="129"/>
      <c r="Q41" s="129"/>
      <c r="R41" s="129"/>
      <c r="S41" s="129"/>
    </row>
    <row r="42" spans="1:19">
      <c r="A42" s="130" t="s">
        <v>122</v>
      </c>
      <c r="B42" s="128">
        <f>'Demande Format Medpro'!B40</f>
        <v>0.89188495270851198</v>
      </c>
      <c r="C42" s="128">
        <f>'Demande Format Medpro'!C40</f>
        <v>0.88629441100601902</v>
      </c>
      <c r="D42" s="128">
        <f>'Demande Format Medpro'!D40</f>
        <v>0.85669441100601895</v>
      </c>
      <c r="E42" s="128">
        <f>'Demande Format Medpro'!E40</f>
        <v>0.82709441100601899</v>
      </c>
      <c r="F42" s="128">
        <f>'Demande Format Medpro'!F40</f>
        <v>0.79759441100601902</v>
      </c>
      <c r="G42" s="128">
        <f>'Demande Format Medpro'!G40</f>
        <v>0.79759441100601902</v>
      </c>
      <c r="H42" s="128">
        <f>'Demande Format Medpro'!H40</f>
        <v>-4.19109464917855E-4</v>
      </c>
      <c r="I42" s="128">
        <f>'Demande Format Medpro'!I40</f>
        <v>-6.77055831766282E-3</v>
      </c>
      <c r="J42" s="128">
        <f>'Demande Format Medpro'!J40</f>
        <v>-7.0078150903363197E-3</v>
      </c>
      <c r="K42" s="128">
        <f>'Demande Format Medpro'!K40</f>
        <v>-7.2374104850786401E-3</v>
      </c>
      <c r="L42" s="128">
        <f>'Demande Format Medpro'!L40</f>
        <v>0</v>
      </c>
      <c r="N42" s="129"/>
      <c r="O42" s="129"/>
      <c r="P42" s="129"/>
      <c r="Q42" s="129"/>
      <c r="R42" s="129"/>
      <c r="S42" s="129"/>
    </row>
    <row r="43" spans="1:19">
      <c r="A43" s="127" t="s">
        <v>123</v>
      </c>
      <c r="B43" s="128">
        <f>'Demande Format Medpro'!B41</f>
        <v>4.7685000000000004</v>
      </c>
      <c r="C43" s="128">
        <f>'Demande Format Medpro'!C41</f>
        <v>3.83</v>
      </c>
      <c r="D43" s="128">
        <f>'Demande Format Medpro'!D41</f>
        <v>4.0110999999999999</v>
      </c>
      <c r="E43" s="128">
        <f>'Demande Format Medpro'!E41</f>
        <v>4.1416000000000004</v>
      </c>
      <c r="F43" s="128">
        <f>'Demande Format Medpro'!F41</f>
        <v>4.2241999999999997</v>
      </c>
      <c r="G43" s="128">
        <f>'Demande Format Medpro'!G41</f>
        <v>5.7804000000000002</v>
      </c>
      <c r="H43" s="128">
        <f>'Demande Format Medpro'!H41</f>
        <v>-1.4504907843731801E-2</v>
      </c>
      <c r="I43" s="128">
        <f>'Demande Format Medpro'!I41</f>
        <v>9.2829648573524697E-3</v>
      </c>
      <c r="J43" s="128">
        <f>'Demande Format Medpro'!J41</f>
        <v>6.4238789085733199E-3</v>
      </c>
      <c r="K43" s="128">
        <f>'Demande Format Medpro'!K41</f>
        <v>3.95735114944884E-3</v>
      </c>
      <c r="L43" s="128">
        <f>'Demande Format Medpro'!L41</f>
        <v>1.58057597533778E-2</v>
      </c>
      <c r="N43" s="129"/>
      <c r="O43" s="129"/>
      <c r="P43" s="129"/>
      <c r="Q43" s="129"/>
      <c r="R43" s="129"/>
      <c r="S43" s="129"/>
    </row>
    <row r="44" spans="1:19">
      <c r="A44" s="127" t="s">
        <v>124</v>
      </c>
      <c r="B44" s="128">
        <f>'Demande Format Medpro'!B42</f>
        <v>6.0332999999999997</v>
      </c>
      <c r="C44" s="128">
        <f>'Demande Format Medpro'!C42</f>
        <v>4.8380000000000001</v>
      </c>
      <c r="D44" s="128">
        <f>'Demande Format Medpro'!D42</f>
        <v>4.5659000000000001</v>
      </c>
      <c r="E44" s="128">
        <f>'Demande Format Medpro'!E42</f>
        <v>4.5555000000000003</v>
      </c>
      <c r="F44" s="128">
        <f>'Demande Format Medpro'!F42</f>
        <v>4.5491999999999999</v>
      </c>
      <c r="G44" s="128">
        <f>'Demande Format Medpro'!G42</f>
        <v>4.7652999999999999</v>
      </c>
      <c r="H44" s="128">
        <f>'Demande Format Medpro'!H42</f>
        <v>-1.46117117020375E-2</v>
      </c>
      <c r="I44" s="128">
        <f>'Demande Format Medpro'!I42</f>
        <v>-1.1510395697390499E-2</v>
      </c>
      <c r="J44" s="128">
        <f>'Demande Format Medpro'!J42</f>
        <v>-4.5596655335111702E-4</v>
      </c>
      <c r="K44" s="128">
        <f>'Demande Format Medpro'!K42</f>
        <v>-2.7674186862747301E-4</v>
      </c>
      <c r="L44" s="128">
        <f>'Demande Format Medpro'!L42</f>
        <v>2.3231493830715398E-3</v>
      </c>
      <c r="N44" s="129"/>
      <c r="O44" s="129"/>
      <c r="P44" s="129"/>
      <c r="Q44" s="129"/>
      <c r="R44" s="129"/>
      <c r="S44" s="129"/>
    </row>
    <row r="45" spans="1:19">
      <c r="A45" s="130" t="s">
        <v>125</v>
      </c>
      <c r="B45" s="128">
        <f>'Demande Format Medpro'!B43</f>
        <v>3.7798932072226998</v>
      </c>
      <c r="C45" s="128">
        <f>'Demande Format Medpro'!C43</f>
        <v>3.2045226999140102</v>
      </c>
      <c r="D45" s="128">
        <f>'Demande Format Medpro'!D43</f>
        <v>2.91299294926913</v>
      </c>
      <c r="E45" s="128">
        <f>'Demande Format Medpro'!E43</f>
        <v>2.9042913155632002</v>
      </c>
      <c r="F45" s="128">
        <f>'Demande Format Medpro'!F43</f>
        <v>2.9042913155632002</v>
      </c>
      <c r="G45" s="128">
        <f>'Demande Format Medpro'!G43</f>
        <v>2.9042913155632002</v>
      </c>
      <c r="H45" s="128">
        <f>'Demande Format Medpro'!H43</f>
        <v>-1.09484645761908E-2</v>
      </c>
      <c r="I45" s="128">
        <f>'Demande Format Medpro'!I43</f>
        <v>-1.88956162581395E-2</v>
      </c>
      <c r="J45" s="128">
        <f>'Demande Format Medpro'!J43</f>
        <v>-5.9815110230121405E-4</v>
      </c>
      <c r="K45" s="128">
        <f>'Demande Format Medpro'!K43</f>
        <v>0</v>
      </c>
      <c r="L45" s="128">
        <f>'Demande Format Medpro'!L43</f>
        <v>0</v>
      </c>
      <c r="N45" s="129"/>
      <c r="O45" s="129"/>
      <c r="P45" s="129"/>
      <c r="Q45" s="129"/>
      <c r="R45" s="129"/>
      <c r="S45" s="129"/>
    </row>
    <row r="46" spans="1:19">
      <c r="A46" s="106"/>
      <c r="B46" s="128"/>
      <c r="C46" s="128"/>
      <c r="D46" s="128"/>
      <c r="E46" s="128"/>
      <c r="F46" s="128"/>
      <c r="G46" s="128"/>
      <c r="H46" s="128"/>
      <c r="I46" s="128"/>
      <c r="J46" s="128"/>
      <c r="K46" s="128"/>
      <c r="L46" s="128"/>
    </row>
    <row r="47" spans="1:19">
      <c r="A47" s="106"/>
      <c r="B47" s="128"/>
      <c r="C47" s="128"/>
      <c r="D47" s="128"/>
      <c r="E47" s="128"/>
      <c r="F47" s="128"/>
      <c r="G47" s="128"/>
      <c r="H47" s="128"/>
      <c r="I47" s="128"/>
      <c r="J47" s="128"/>
      <c r="K47" s="128"/>
      <c r="L47" s="128"/>
    </row>
    <row r="48" spans="1:19" ht="15" thickBot="1">
      <c r="A48" s="109" t="s">
        <v>10</v>
      </c>
      <c r="B48" s="391">
        <f>'Demande Format Medpro'!B46</f>
        <v>38.915500000000002</v>
      </c>
      <c r="C48" s="392">
        <f>'Demande Format Medpro'!C46</f>
        <v>31.8476</v>
      </c>
      <c r="D48" s="392">
        <f>'Demande Format Medpro'!D46</f>
        <v>32.0032</v>
      </c>
      <c r="E48" s="392">
        <f>'Demande Format Medpro'!E46</f>
        <v>32.154499999999999</v>
      </c>
      <c r="F48" s="392">
        <f>'Demande Format Medpro'!F46</f>
        <v>32.312199999999997</v>
      </c>
      <c r="G48" s="392">
        <f>'Demande Format Medpro'!G46</f>
        <v>36.427999999999997</v>
      </c>
      <c r="H48" s="392">
        <f>'Demande Format Medpro'!H46</f>
        <v>-1.32731644274582E-2</v>
      </c>
      <c r="I48" s="392">
        <f>'Demande Format Medpro'!I46</f>
        <v>9.7524961479988903E-4</v>
      </c>
      <c r="J48" s="392">
        <f>'Demande Format Medpro'!J46</f>
        <v>9.43747446561227E-4</v>
      </c>
      <c r="K48" s="392">
        <f>'Demande Format Medpro'!K46</f>
        <v>9.789705007394729E-4</v>
      </c>
      <c r="L48" s="392">
        <f>'Demande Format Medpro'!L46</f>
        <v>6.0126459150486901E-3</v>
      </c>
    </row>
    <row r="49" spans="1:19" ht="15" thickBot="1">
      <c r="A49" s="111"/>
      <c r="F49" s="97"/>
    </row>
    <row r="50" spans="1:19" ht="15" thickBot="1">
      <c r="A50" s="132" t="s">
        <v>126</v>
      </c>
      <c r="B50" s="133">
        <f>'Demande Format Medpro'!B48</f>
        <v>21.729938521066199</v>
      </c>
      <c r="C50" s="133">
        <f>'Demande Format Medpro'!C48</f>
        <v>16.6833365434222</v>
      </c>
      <c r="D50" s="133">
        <f>'Demande Format Medpro'!D48</f>
        <v>16.166278159931199</v>
      </c>
      <c r="E50" s="133">
        <f>'Demande Format Medpro'!E48</f>
        <v>15.8483819432502</v>
      </c>
      <c r="F50" s="133">
        <f>'Demande Format Medpro'!F48</f>
        <v>15.6319619088564</v>
      </c>
      <c r="G50" s="133">
        <f>'Demande Format Medpro'!G48</f>
        <v>14.7169531384351</v>
      </c>
      <c r="H50" s="133">
        <f>'Demande Format Medpro'!H48</f>
        <v>-1.7464401870883699E-2</v>
      </c>
      <c r="I50" s="133">
        <f>'Demande Format Medpro'!I48</f>
        <v>-6.2768044141875397E-3</v>
      </c>
      <c r="J50" s="133">
        <f>'Demande Format Medpro'!J48</f>
        <v>-3.9641356137063398E-3</v>
      </c>
      <c r="K50" s="133">
        <f>'Demande Format Medpro'!K48</f>
        <v>-2.7461725419317701E-3</v>
      </c>
      <c r="L50" s="133">
        <f>'Demande Format Medpro'!L48</f>
        <v>-3.0113345370587101E-3</v>
      </c>
    </row>
    <row r="51" spans="1:19">
      <c r="A51" s="134"/>
      <c r="B51" s="135"/>
      <c r="C51" s="135"/>
      <c r="D51" s="135"/>
      <c r="E51" s="135"/>
      <c r="F51" s="135"/>
      <c r="G51" s="135"/>
      <c r="H51" s="124"/>
      <c r="I51" s="124"/>
      <c r="J51" s="124"/>
      <c r="K51" s="124"/>
      <c r="L51" s="124"/>
    </row>
    <row r="52" spans="1:19">
      <c r="B52" s="136"/>
      <c r="C52" s="136"/>
      <c r="E52" s="98"/>
    </row>
    <row r="53" spans="1:19" ht="16" thickBot="1">
      <c r="A53" s="59" t="s">
        <v>127</v>
      </c>
      <c r="B53" s="54"/>
      <c r="C53" s="54"/>
      <c r="D53" s="54"/>
      <c r="E53" s="53"/>
      <c r="F53" s="53"/>
      <c r="G53" s="53"/>
      <c r="H53" s="53"/>
      <c r="I53" s="53"/>
      <c r="J53" s="53"/>
      <c r="K53" s="53"/>
      <c r="L53" s="53"/>
    </row>
    <row r="54" spans="1:19" ht="15" thickBot="1">
      <c r="A54" s="137" t="s">
        <v>128</v>
      </c>
      <c r="B54" s="105">
        <v>2000</v>
      </c>
      <c r="C54" s="105">
        <v>2015</v>
      </c>
      <c r="D54" s="105">
        <v>2020</v>
      </c>
      <c r="E54" s="105">
        <v>2025</v>
      </c>
      <c r="F54" s="105">
        <v>2030</v>
      </c>
      <c r="G54" s="105">
        <v>2050</v>
      </c>
      <c r="H54" s="375" t="s">
        <v>98</v>
      </c>
      <c r="I54" s="376" t="s">
        <v>99</v>
      </c>
      <c r="J54" s="376" t="s">
        <v>100</v>
      </c>
      <c r="K54" s="376" t="s">
        <v>101</v>
      </c>
      <c r="L54" s="377" t="s">
        <v>102</v>
      </c>
    </row>
    <row r="55" spans="1:19">
      <c r="A55" s="127" t="s">
        <v>111</v>
      </c>
      <c r="B55" s="121">
        <f>'Demande Format Medpro'!B53</f>
        <v>22.518699999999999</v>
      </c>
      <c r="C55" s="121">
        <f>'Demande Format Medpro'!C53</f>
        <v>16.763300000000001</v>
      </c>
      <c r="D55" s="121">
        <f>'Demande Format Medpro'!D53</f>
        <v>16.728100000000001</v>
      </c>
      <c r="E55" s="121">
        <f>'Demande Format Medpro'!E53</f>
        <v>16.5381</v>
      </c>
      <c r="F55" s="121">
        <f>'Demande Format Medpro'!F53</f>
        <v>16.624500000000001</v>
      </c>
      <c r="G55" s="121">
        <f>'Demande Format Medpro'!G53</f>
        <v>16.008800000000001</v>
      </c>
      <c r="H55" s="121">
        <f>'Demande Format Medpro'!H53</f>
        <v>-1.9484612690580001E-2</v>
      </c>
      <c r="I55" s="121">
        <f>'Demande Format Medpro'!I53</f>
        <v>-4.2031822902799398E-4</v>
      </c>
      <c r="J55" s="121">
        <f>'Demande Format Medpro'!J53</f>
        <v>-2.28201825772945E-3</v>
      </c>
      <c r="K55" s="121">
        <f>'Demande Format Medpro'!K53</f>
        <v>1.04268340469482E-3</v>
      </c>
      <c r="L55" s="121">
        <f>'Demande Format Medpro'!L53</f>
        <v>-1.88516782758574E-3</v>
      </c>
      <c r="N55" s="129"/>
      <c r="O55" s="129"/>
      <c r="P55" s="129"/>
      <c r="Q55" s="129"/>
      <c r="R55" s="129"/>
      <c r="S55" s="129"/>
    </row>
    <row r="56" spans="1:19">
      <c r="A56" s="130" t="s">
        <v>112</v>
      </c>
      <c r="B56" s="121">
        <f>'Demande Format Medpro'!B54</f>
        <v>12.717499999999999</v>
      </c>
      <c r="C56" s="121">
        <f>'Demande Format Medpro'!C54</f>
        <v>8.8988999999999994</v>
      </c>
      <c r="D56" s="121">
        <f>'Demande Format Medpro'!D54</f>
        <v>8.8089999999999993</v>
      </c>
      <c r="E56" s="121">
        <f>'Demande Format Medpro'!E54</f>
        <v>8.7192000000000007</v>
      </c>
      <c r="F56" s="121">
        <f>'Demande Format Medpro'!F54</f>
        <v>8.6293000000000006</v>
      </c>
      <c r="G56" s="121">
        <f>'Demande Format Medpro'!G54</f>
        <v>7.9949000000000003</v>
      </c>
      <c r="H56" s="121">
        <f>'Demande Format Medpro'!H54</f>
        <v>-2.3522354702618101E-2</v>
      </c>
      <c r="I56" s="121">
        <f>'Demande Format Medpro'!I54</f>
        <v>-2.0286889165749299E-3</v>
      </c>
      <c r="J56" s="121">
        <f>'Demande Format Medpro'!J54</f>
        <v>-2.0471887517375898E-3</v>
      </c>
      <c r="K56" s="121">
        <f>'Demande Format Medpro'!K54</f>
        <v>-2.07067342890943E-3</v>
      </c>
      <c r="L56" s="121">
        <f>'Demande Format Medpro'!L54</f>
        <v>-3.8106983414415399E-3</v>
      </c>
      <c r="N56" s="129"/>
      <c r="O56" s="129"/>
      <c r="P56" s="129"/>
      <c r="Q56" s="129"/>
      <c r="R56" s="129"/>
      <c r="S56" s="129"/>
    </row>
    <row r="57" spans="1:19">
      <c r="A57" s="130" t="s">
        <v>113</v>
      </c>
      <c r="B57" s="121">
        <f>'Demande Format Medpro'!B55</f>
        <v>6.4558</v>
      </c>
      <c r="C57" s="121">
        <f>'Demande Format Medpro'!C55</f>
        <v>5.2424999999999997</v>
      </c>
      <c r="D57" s="121">
        <f>'Demande Format Medpro'!D55</f>
        <v>5.09</v>
      </c>
      <c r="E57" s="121">
        <f>'Demande Format Medpro'!E55</f>
        <v>4.7845000000000004</v>
      </c>
      <c r="F57" s="121">
        <f>'Demande Format Medpro'!F55</f>
        <v>4.7845000000000004</v>
      </c>
      <c r="G57" s="121">
        <f>'Demande Format Medpro'!G55</f>
        <v>3.9138000000000002</v>
      </c>
      <c r="H57" s="121">
        <f>'Demande Format Medpro'!H55</f>
        <v>-1.37828327304185E-2</v>
      </c>
      <c r="I57" s="121">
        <f>'Demande Format Medpro'!I55</f>
        <v>-5.8867355181637703E-3</v>
      </c>
      <c r="J57" s="121">
        <f>'Demande Format Medpro'!J55</f>
        <v>-1.23029530180773E-2</v>
      </c>
      <c r="K57" s="121">
        <f>'Demande Format Medpro'!K55</f>
        <v>0</v>
      </c>
      <c r="L57" s="121">
        <f>'Demande Format Medpro'!L55</f>
        <v>-9.9933689636923003E-3</v>
      </c>
      <c r="N57" s="129"/>
      <c r="O57" s="129"/>
      <c r="P57" s="129"/>
      <c r="Q57" s="129"/>
      <c r="R57" s="129"/>
      <c r="S57" s="129"/>
    </row>
    <row r="58" spans="1:19">
      <c r="A58" s="127" t="s">
        <v>114</v>
      </c>
      <c r="B58" s="121">
        <f>'Demande Format Medpro'!B56</f>
        <v>34.314</v>
      </c>
      <c r="C58" s="121">
        <f>'Demande Format Medpro'!C56</f>
        <v>30.441500000000001</v>
      </c>
      <c r="D58" s="121">
        <f>'Demande Format Medpro'!D56</f>
        <v>31.549399999999999</v>
      </c>
      <c r="E58" s="121">
        <f>'Demande Format Medpro'!E56</f>
        <v>32.128500000000003</v>
      </c>
      <c r="F58" s="121">
        <f>'Demande Format Medpro'!F56</f>
        <v>32.627400000000002</v>
      </c>
      <c r="G58" s="121">
        <f>'Demande Format Medpro'!G56</f>
        <v>39.034199999999998</v>
      </c>
      <c r="H58" s="121">
        <f>'Demande Format Medpro'!H56</f>
        <v>-7.9513279565939197E-3</v>
      </c>
      <c r="I58" s="121">
        <f>'Demande Format Medpro'!I56</f>
        <v>7.1751715343111302E-3</v>
      </c>
      <c r="J58" s="121">
        <f>'Demande Format Medpro'!J56</f>
        <v>3.6444078282133999E-3</v>
      </c>
      <c r="K58" s="121">
        <f>'Demande Format Medpro'!K56</f>
        <v>3.0865414819234399E-3</v>
      </c>
      <c r="L58" s="121">
        <f>'Demande Format Medpro'!L56</f>
        <v>9.0045874969917304E-3</v>
      </c>
      <c r="N58" s="129"/>
      <c r="O58" s="129"/>
      <c r="P58" s="129"/>
      <c r="Q58" s="129"/>
      <c r="R58" s="129"/>
      <c r="S58" s="129"/>
    </row>
    <row r="59" spans="1:19">
      <c r="A59" s="130" t="s">
        <v>115</v>
      </c>
      <c r="B59" s="121">
        <f>'Demande Format Medpro'!B57</f>
        <v>1.4301999999999999</v>
      </c>
      <c r="C59" s="121">
        <f>'Demande Format Medpro'!C57</f>
        <v>0.73</v>
      </c>
      <c r="D59" s="121">
        <f>'Demande Format Medpro'!D57</f>
        <v>0.6996</v>
      </c>
      <c r="E59" s="121">
        <f>'Demande Format Medpro'!E57</f>
        <v>0.66920000000000002</v>
      </c>
      <c r="F59" s="121">
        <f>'Demande Format Medpro'!F57</f>
        <v>0.63870000000000005</v>
      </c>
      <c r="G59" s="121">
        <f>'Demande Format Medpro'!G57</f>
        <v>0.60829999999999995</v>
      </c>
      <c r="H59" s="121">
        <f>'Demande Format Medpro'!H57</f>
        <v>-4.3844768084247802E-2</v>
      </c>
      <c r="I59" s="121">
        <f>'Demande Format Medpro'!I57</f>
        <v>-8.4710747243904594E-3</v>
      </c>
      <c r="J59" s="121">
        <f>'Demande Format Medpro'!J57</f>
        <v>-8.8457984670333705E-3</v>
      </c>
      <c r="K59" s="121">
        <f>'Demande Format Medpro'!K57</f>
        <v>-9.2862358178932292E-3</v>
      </c>
      <c r="L59" s="121">
        <f>'Demande Format Medpro'!L57</f>
        <v>-2.4353636404914601E-3</v>
      </c>
      <c r="N59" s="129"/>
      <c r="O59" s="129"/>
      <c r="P59" s="129"/>
      <c r="Q59" s="129"/>
      <c r="R59" s="129"/>
      <c r="S59" s="129"/>
    </row>
    <row r="60" spans="1:19">
      <c r="A60" s="130" t="s">
        <v>116</v>
      </c>
      <c r="B60" s="121">
        <f>'Demande Format Medpro'!B58</f>
        <v>9.2639999999999993</v>
      </c>
      <c r="C60" s="121">
        <f>'Demande Format Medpro'!C58</f>
        <v>8.2110000000000003</v>
      </c>
      <c r="D60" s="121">
        <f>'Demande Format Medpro'!D58</f>
        <v>8.1278000000000006</v>
      </c>
      <c r="E60" s="121">
        <f>'Demande Format Medpro'!E58</f>
        <v>8.0446000000000009</v>
      </c>
      <c r="F60" s="121">
        <f>'Demande Format Medpro'!F58</f>
        <v>7.9621000000000004</v>
      </c>
      <c r="G60" s="121">
        <f>'Demande Format Medpro'!G58</f>
        <v>7.8788999999999998</v>
      </c>
      <c r="H60" s="121">
        <f>'Demande Format Medpro'!H58</f>
        <v>-8.0118131051195602E-3</v>
      </c>
      <c r="I60" s="121">
        <f>'Demande Format Medpro'!I58</f>
        <v>-2.03481385213622E-3</v>
      </c>
      <c r="J60" s="121">
        <f>'Demande Format Medpro'!J58</f>
        <v>-2.0557291583102001E-3</v>
      </c>
      <c r="K60" s="121">
        <f>'Demande Format Medpro'!K58</f>
        <v>-2.0595311946615099E-3</v>
      </c>
      <c r="L60" s="121">
        <f>'Demande Format Medpro'!L58</f>
        <v>-5.2508629094683002E-4</v>
      </c>
      <c r="N60" s="129"/>
      <c r="O60" s="129"/>
      <c r="P60" s="129"/>
      <c r="Q60" s="129"/>
      <c r="R60" s="129"/>
      <c r="S60" s="129"/>
    </row>
    <row r="61" spans="1:19">
      <c r="A61" s="130" t="s">
        <v>117</v>
      </c>
      <c r="B61" s="121">
        <f>'Demande Format Medpro'!B59</f>
        <v>6.3826000000000001</v>
      </c>
      <c r="C61" s="121">
        <f>'Demande Format Medpro'!C59</f>
        <v>3.9990999999999999</v>
      </c>
      <c r="D61" s="121">
        <f>'Demande Format Medpro'!D59</f>
        <v>3.9586999999999999</v>
      </c>
      <c r="E61" s="121">
        <f>'Demande Format Medpro'!E59</f>
        <v>3.9182999999999999</v>
      </c>
      <c r="F61" s="121">
        <f>'Demande Format Medpro'!F59</f>
        <v>3.8778999999999999</v>
      </c>
      <c r="G61" s="121">
        <f>'Demande Format Medpro'!G59</f>
        <v>3.8374999999999999</v>
      </c>
      <c r="H61" s="121">
        <f>'Demande Format Medpro'!H59</f>
        <v>-3.0686393504073099E-2</v>
      </c>
      <c r="I61" s="121">
        <f>'Demande Format Medpro'!I59</f>
        <v>-2.02866891639664E-3</v>
      </c>
      <c r="J61" s="121">
        <f>'Demande Format Medpro'!J59</f>
        <v>-2.0494574426596101E-3</v>
      </c>
      <c r="K61" s="121">
        <f>'Demande Format Medpro'!K59</f>
        <v>-2.0706764393267898E-3</v>
      </c>
      <c r="L61" s="121">
        <f>'Demande Format Medpro'!L59</f>
        <v>-5.2349578258237305E-4</v>
      </c>
      <c r="N61" s="129"/>
      <c r="O61" s="129"/>
      <c r="P61" s="129"/>
      <c r="Q61" s="129"/>
      <c r="R61" s="129"/>
      <c r="S61" s="129"/>
    </row>
    <row r="62" spans="1:19">
      <c r="A62" s="127" t="s">
        <v>118</v>
      </c>
      <c r="B62" s="121">
        <f>'Demande Format Medpro'!B60</f>
        <v>10.089700000000001</v>
      </c>
      <c r="C62" s="121">
        <f>'Demande Format Medpro'!C60</f>
        <v>9.3522999999999996</v>
      </c>
      <c r="D62" s="121">
        <f>'Demande Format Medpro'!D60</f>
        <v>9.7937999999999992</v>
      </c>
      <c r="E62" s="121">
        <f>'Demande Format Medpro'!E60</f>
        <v>10.0779</v>
      </c>
      <c r="F62" s="121">
        <f>'Demande Format Medpro'!F60</f>
        <v>10.4786</v>
      </c>
      <c r="G62" s="121">
        <f>'Demande Format Medpro'!G60</f>
        <v>12.556800000000001</v>
      </c>
      <c r="H62" s="121">
        <f>'Demande Format Medpro'!H60</f>
        <v>-5.0467421319278002E-3</v>
      </c>
      <c r="I62" s="121">
        <f>'Demande Format Medpro'!I60</f>
        <v>9.2681316007854307E-3</v>
      </c>
      <c r="J62" s="121">
        <f>'Demande Format Medpro'!J60</f>
        <v>5.7354601706101098E-3</v>
      </c>
      <c r="K62" s="121">
        <f>'Demande Format Medpro'!K60</f>
        <v>7.8285187763251808E-3</v>
      </c>
      <c r="L62" s="121">
        <f>'Demande Format Medpro'!L60</f>
        <v>9.0874054792398108E-3</v>
      </c>
      <c r="N62" s="129"/>
      <c r="O62" s="129"/>
      <c r="P62" s="129"/>
      <c r="Q62" s="129"/>
      <c r="R62" s="129"/>
      <c r="S62" s="129"/>
    </row>
    <row r="63" spans="1:19">
      <c r="A63" s="130" t="s">
        <v>119</v>
      </c>
      <c r="B63" s="121">
        <f>'Demande Format Medpro'!B61</f>
        <v>2.8698999999999999</v>
      </c>
      <c r="C63" s="121">
        <f>'Demande Format Medpro'!C61</f>
        <v>2.5390999999999999</v>
      </c>
      <c r="D63" s="121">
        <f>'Demande Format Medpro'!D61</f>
        <v>2.6920999999999999</v>
      </c>
      <c r="E63" s="121">
        <f>'Demande Format Medpro'!E61</f>
        <v>2.5425</v>
      </c>
      <c r="F63" s="121">
        <f>'Demande Format Medpro'!F61</f>
        <v>2.5425</v>
      </c>
      <c r="G63" s="121">
        <f>'Demande Format Medpro'!G61</f>
        <v>2.3609</v>
      </c>
      <c r="H63" s="121">
        <f>'Demande Format Medpro'!H61</f>
        <v>-8.1312608873422808E-3</v>
      </c>
      <c r="I63" s="121">
        <f>'Demande Format Medpro'!I61</f>
        <v>1.1771114794102601E-2</v>
      </c>
      <c r="J63" s="121">
        <f>'Demande Format Medpro'!J61</f>
        <v>-1.13696136679873E-2</v>
      </c>
      <c r="K63" s="121">
        <f>'Demande Format Medpro'!K61</f>
        <v>0</v>
      </c>
      <c r="L63" s="121">
        <f>'Demande Format Medpro'!L61</f>
        <v>-3.6983913748145402E-3</v>
      </c>
      <c r="N63" s="129"/>
      <c r="O63" s="129"/>
      <c r="P63" s="129"/>
      <c r="Q63" s="129"/>
      <c r="R63" s="129"/>
      <c r="S63" s="129"/>
    </row>
    <row r="64" spans="1:19">
      <c r="A64" s="130" t="s">
        <v>120</v>
      </c>
      <c r="B64" s="121">
        <f>'Demande Format Medpro'!B62</f>
        <v>3.5</v>
      </c>
      <c r="C64" s="121">
        <f>'Demande Format Medpro'!C62</f>
        <v>3.5228000000000002</v>
      </c>
      <c r="D64" s="121">
        <f>'Demande Format Medpro'!D62</f>
        <v>3.5228000000000002</v>
      </c>
      <c r="E64" s="121">
        <f>'Demande Format Medpro'!E62</f>
        <v>3.5228000000000002</v>
      </c>
      <c r="F64" s="121">
        <f>'Demande Format Medpro'!F62</f>
        <v>3.5228000000000002</v>
      </c>
      <c r="G64" s="121">
        <f>'Demande Format Medpro'!G62</f>
        <v>3.2164999999999999</v>
      </c>
      <c r="H64" s="121">
        <f>'Demande Format Medpro'!H62</f>
        <v>4.3297100181738401E-4</v>
      </c>
      <c r="I64" s="121">
        <f>'Demande Format Medpro'!I62</f>
        <v>0</v>
      </c>
      <c r="J64" s="121">
        <f>'Demande Format Medpro'!J62</f>
        <v>0</v>
      </c>
      <c r="K64" s="121">
        <f>'Demande Format Medpro'!K62</f>
        <v>0</v>
      </c>
      <c r="L64" s="121">
        <f>'Demande Format Medpro'!L62</f>
        <v>-4.5377887874169503E-3</v>
      </c>
      <c r="N64" s="129"/>
      <c r="O64" s="129"/>
      <c r="P64" s="129"/>
      <c r="Q64" s="129"/>
      <c r="R64" s="129"/>
      <c r="S64" s="129"/>
    </row>
    <row r="65" spans="1:19">
      <c r="A65" s="127" t="s">
        <v>121</v>
      </c>
      <c r="B65" s="121">
        <f>'Demande Format Medpro'!B63</f>
        <v>17.1267</v>
      </c>
      <c r="C65" s="121">
        <f>'Demande Format Medpro'!C63</f>
        <v>20.747</v>
      </c>
      <c r="D65" s="121">
        <f>'Demande Format Medpro'!D63</f>
        <v>21.0184</v>
      </c>
      <c r="E65" s="121">
        <f>'Demande Format Medpro'!E63</f>
        <v>21.054600000000001</v>
      </c>
      <c r="F65" s="121">
        <f>'Demande Format Medpro'!F63</f>
        <v>21.018699999999999</v>
      </c>
      <c r="G65" s="121">
        <f>'Demande Format Medpro'!G63</f>
        <v>25.280999999999999</v>
      </c>
      <c r="H65" s="121">
        <f>'Demande Format Medpro'!H63</f>
        <v>1.2866267815070401E-2</v>
      </c>
      <c r="I65" s="121">
        <f>'Demande Format Medpro'!I63</f>
        <v>2.6026984857863101E-3</v>
      </c>
      <c r="J65" s="121">
        <f>'Demande Format Medpro'!J63</f>
        <v>3.4422303153114299E-4</v>
      </c>
      <c r="K65" s="121">
        <f>'Demande Format Medpro'!K63</f>
        <v>-3.41250939748794E-4</v>
      </c>
      <c r="L65" s="121">
        <f>'Demande Format Medpro'!L63</f>
        <v>9.2747770265297902E-3</v>
      </c>
      <c r="N65" s="129"/>
      <c r="O65" s="129"/>
      <c r="P65" s="129"/>
      <c r="Q65" s="129"/>
      <c r="R65" s="129"/>
      <c r="S65" s="129"/>
    </row>
    <row r="66" spans="1:19">
      <c r="A66" s="130" t="s">
        <v>122</v>
      </c>
      <c r="B66" s="121">
        <f>'Demande Format Medpro'!B64</f>
        <v>1.0755999999999999</v>
      </c>
      <c r="C66" s="121">
        <f>'Demande Format Medpro'!C64</f>
        <v>1.1106</v>
      </c>
      <c r="D66" s="121">
        <f>'Demande Format Medpro'!D64</f>
        <v>1.1106</v>
      </c>
      <c r="E66" s="121">
        <f>'Demande Format Medpro'!E64</f>
        <v>1.1106</v>
      </c>
      <c r="F66" s="121">
        <f>'Demande Format Medpro'!F64</f>
        <v>1.1106</v>
      </c>
      <c r="G66" s="121">
        <f>'Demande Format Medpro'!G64</f>
        <v>1.1106</v>
      </c>
      <c r="H66" s="121">
        <f>'Demande Format Medpro'!H64</f>
        <v>2.1370645685203598E-3</v>
      </c>
      <c r="I66" s="121">
        <f>'Demande Format Medpro'!I64</f>
        <v>0</v>
      </c>
      <c r="J66" s="121">
        <f>'Demande Format Medpro'!J64</f>
        <v>0</v>
      </c>
      <c r="K66" s="121">
        <f>'Demande Format Medpro'!K64</f>
        <v>0</v>
      </c>
      <c r="L66" s="121">
        <f>'Demande Format Medpro'!L64</f>
        <v>0</v>
      </c>
      <c r="N66" s="129"/>
      <c r="O66" s="129"/>
      <c r="P66" s="129"/>
      <c r="Q66" s="129"/>
      <c r="R66" s="129"/>
      <c r="S66" s="129"/>
    </row>
    <row r="67" spans="1:19">
      <c r="A67" s="127" t="s">
        <v>123</v>
      </c>
      <c r="B67" s="121">
        <f>'Demande Format Medpro'!B65</f>
        <v>26.596499999999999</v>
      </c>
      <c r="C67" s="121">
        <f>'Demande Format Medpro'!C65</f>
        <v>22.5806</v>
      </c>
      <c r="D67" s="121">
        <f>'Demande Format Medpro'!D65</f>
        <v>24.336300000000001</v>
      </c>
      <c r="E67" s="121">
        <f>'Demande Format Medpro'!E65</f>
        <v>25.917400000000001</v>
      </c>
      <c r="F67" s="121">
        <f>'Demande Format Medpro'!F65</f>
        <v>27.3353</v>
      </c>
      <c r="G67" s="121">
        <f>'Demande Format Medpro'!G65</f>
        <v>38.633800000000001</v>
      </c>
      <c r="H67" s="121">
        <f>'Demande Format Medpro'!H65</f>
        <v>-1.0853240450502099E-2</v>
      </c>
      <c r="I67" s="121">
        <f>'Demande Format Medpro'!I65</f>
        <v>1.5088282414999999E-2</v>
      </c>
      <c r="J67" s="121">
        <f>'Demande Format Medpro'!J65</f>
        <v>1.26686752780785E-2</v>
      </c>
      <c r="K67" s="121">
        <f>'Demande Format Medpro'!K65</f>
        <v>1.07098137271502E-2</v>
      </c>
      <c r="L67" s="121">
        <f>'Demande Format Medpro'!L65</f>
        <v>1.74478985708553E-2</v>
      </c>
      <c r="N67" s="129"/>
      <c r="O67" s="129"/>
      <c r="P67" s="129"/>
      <c r="Q67" s="129"/>
      <c r="R67" s="129"/>
      <c r="S67" s="129"/>
    </row>
    <row r="68" spans="1:19">
      <c r="A68" s="127" t="s">
        <v>124</v>
      </c>
      <c r="B68" s="121">
        <f>'Demande Format Medpro'!B66</f>
        <v>21.828800000000001</v>
      </c>
      <c r="C68" s="121">
        <f>'Demande Format Medpro'!C66</f>
        <v>15.8759</v>
      </c>
      <c r="D68" s="121">
        <f>'Demande Format Medpro'!D66</f>
        <v>15.731400000000001</v>
      </c>
      <c r="E68" s="121">
        <f>'Demande Format Medpro'!E66</f>
        <v>15.5741</v>
      </c>
      <c r="F68" s="121">
        <f>'Demande Format Medpro'!F66</f>
        <v>15.508100000000001</v>
      </c>
      <c r="G68" s="121">
        <f>'Demande Format Medpro'!G66</f>
        <v>16.3429</v>
      </c>
      <c r="H68" s="121">
        <f>'Demande Format Medpro'!H66</f>
        <v>-2.1004791603714601E-2</v>
      </c>
      <c r="I68" s="121">
        <f>'Demande Format Medpro'!I66</f>
        <v>-1.82703315287458E-3</v>
      </c>
      <c r="J68" s="121">
        <f>'Demande Format Medpro'!J66</f>
        <v>-2.0078689138259801E-3</v>
      </c>
      <c r="K68" s="121">
        <f>'Demande Format Medpro'!K66</f>
        <v>-8.4900139810295495E-4</v>
      </c>
      <c r="L68" s="121">
        <f>'Demande Format Medpro'!L66</f>
        <v>2.6249934875941499E-3</v>
      </c>
      <c r="N68" s="129"/>
      <c r="O68" s="129"/>
      <c r="P68" s="129"/>
      <c r="Q68" s="129"/>
      <c r="R68" s="129"/>
      <c r="S68" s="129"/>
    </row>
    <row r="69" spans="1:19">
      <c r="A69" s="130" t="s">
        <v>125</v>
      </c>
      <c r="B69" s="121">
        <f>'Demande Format Medpro'!B67</f>
        <v>12.1335</v>
      </c>
      <c r="C69" s="121">
        <f>'Demande Format Medpro'!C67</f>
        <v>9.0390999999999995</v>
      </c>
      <c r="D69" s="121">
        <f>'Demande Format Medpro'!D67</f>
        <v>8.8550000000000004</v>
      </c>
      <c r="E69" s="121">
        <f>'Demande Format Medpro'!E67</f>
        <v>8.7538</v>
      </c>
      <c r="F69" s="121">
        <f>'Demande Format Medpro'!F67</f>
        <v>8.7538</v>
      </c>
      <c r="G69" s="121">
        <f>'Demande Format Medpro'!G67</f>
        <v>8.7538</v>
      </c>
      <c r="H69" s="121">
        <f>'Demande Format Medpro'!H67</f>
        <v>-1.9436011137856202E-2</v>
      </c>
      <c r="I69" s="121">
        <f>'Demande Format Medpro'!I67</f>
        <v>-4.1070112045900097E-3</v>
      </c>
      <c r="J69" s="121">
        <f>'Demande Format Medpro'!J67</f>
        <v>-2.2962354936776298E-3</v>
      </c>
      <c r="K69" s="121">
        <f>'Demande Format Medpro'!K67</f>
        <v>0</v>
      </c>
      <c r="L69" s="121">
        <f>'Demande Format Medpro'!L67</f>
        <v>0</v>
      </c>
      <c r="N69" s="129"/>
      <c r="O69" s="129"/>
      <c r="P69" s="129"/>
      <c r="Q69" s="129"/>
      <c r="R69" s="129"/>
      <c r="S69" s="129"/>
    </row>
    <row r="70" spans="1:19">
      <c r="A70" s="106"/>
      <c r="B70" s="121"/>
      <c r="C70" s="121"/>
      <c r="D70" s="121"/>
      <c r="E70" s="121"/>
      <c r="F70" s="121"/>
      <c r="G70" s="121"/>
      <c r="H70" s="121"/>
      <c r="I70" s="121"/>
      <c r="J70" s="121"/>
      <c r="K70" s="121"/>
      <c r="L70" s="121"/>
    </row>
    <row r="71" spans="1:19">
      <c r="A71" s="106"/>
      <c r="B71" s="121"/>
      <c r="C71" s="121"/>
      <c r="D71" s="121"/>
      <c r="E71" s="121"/>
      <c r="F71" s="121"/>
      <c r="G71" s="121"/>
      <c r="H71" s="121"/>
      <c r="I71" s="121"/>
      <c r="J71" s="121"/>
      <c r="K71" s="121"/>
      <c r="L71" s="121"/>
    </row>
    <row r="72" spans="1:19" ht="15" thickBot="1">
      <c r="A72" s="109" t="s">
        <v>10</v>
      </c>
      <c r="B72" s="378">
        <f>'Demande Format Medpro'!B70</f>
        <v>132.4744</v>
      </c>
      <c r="C72" s="110">
        <f>'Demande Format Medpro'!C70</f>
        <v>115.7606</v>
      </c>
      <c r="D72" s="110">
        <f>'Demande Format Medpro'!D70</f>
        <v>119.1574</v>
      </c>
      <c r="E72" s="110">
        <f>'Demande Format Medpro'!E70</f>
        <v>121.2906</v>
      </c>
      <c r="F72" s="110">
        <f>'Demande Format Medpro'!F70</f>
        <v>123.5926</v>
      </c>
      <c r="G72" s="110">
        <f>'Demande Format Medpro'!G70</f>
        <v>147.85749999999999</v>
      </c>
      <c r="H72" s="110">
        <f>'Demande Format Medpro'!H70</f>
        <v>-8.9507119828033908E-3</v>
      </c>
      <c r="I72" s="110">
        <f>'Demande Format Medpro'!I70</f>
        <v>5.80096938620067E-3</v>
      </c>
      <c r="J72" s="110">
        <f>'Demande Format Medpro'!J70</f>
        <v>3.5551066391559202E-3</v>
      </c>
      <c r="K72" s="110">
        <f>'Demande Format Medpro'!K70</f>
        <v>3.7673493978989101E-3</v>
      </c>
      <c r="L72" s="110">
        <f>'Demande Format Medpro'!L70</f>
        <v>9.0032021669577099E-3</v>
      </c>
    </row>
    <row r="73" spans="1:19" ht="15" thickBot="1">
      <c r="A73" s="111"/>
      <c r="E73" s="98"/>
    </row>
    <row r="74" spans="1:19" ht="15" thickBot="1">
      <c r="A74" s="132" t="s">
        <v>126</v>
      </c>
      <c r="B74" s="133">
        <f>'Demande Format Medpro'!B72</f>
        <v>55.829099999999997</v>
      </c>
      <c r="C74" s="133">
        <f>'Demande Format Medpro'!C72</f>
        <v>43.293100000000003</v>
      </c>
      <c r="D74" s="133">
        <f>'Demande Format Medpro'!D72</f>
        <v>42.865600000000001</v>
      </c>
      <c r="E74" s="133">
        <f>'Demande Format Medpro'!E72</f>
        <v>42.0655</v>
      </c>
      <c r="F74" s="133">
        <f>'Demande Format Medpro'!F72</f>
        <v>41.822200000000002</v>
      </c>
      <c r="G74" s="133">
        <f>'Demande Format Medpro'!G72</f>
        <v>39.675199999999997</v>
      </c>
      <c r="H74" s="133">
        <f>'Demande Format Medpro'!H72</f>
        <v>-1.6810563372649901E-2</v>
      </c>
      <c r="I74" s="133">
        <f>'Demande Format Medpro'!I72</f>
        <v>-1.9827576329365399E-3</v>
      </c>
      <c r="J74" s="133">
        <f>'Demande Format Medpro'!J72</f>
        <v>-3.7612511415377999E-3</v>
      </c>
      <c r="K74" s="133">
        <f>'Demande Format Medpro'!K72</f>
        <v>-1.1594529690384099E-3</v>
      </c>
      <c r="L74" s="133">
        <f>'Demande Format Medpro'!L72</f>
        <v>-2.63158088762827E-3</v>
      </c>
    </row>
    <row r="75" spans="1:19">
      <c r="A75" s="134"/>
      <c r="B75" s="135"/>
      <c r="C75" s="135"/>
      <c r="D75" s="135"/>
      <c r="E75" s="135"/>
      <c r="F75" s="135"/>
      <c r="G75" s="135"/>
      <c r="H75" s="124"/>
      <c r="I75" s="124"/>
      <c r="J75" s="124"/>
      <c r="K75" s="124"/>
      <c r="L75" s="124"/>
    </row>
    <row r="76" spans="1:19">
      <c r="E76" s="98"/>
    </row>
    <row r="77" spans="1:19" ht="16" thickBot="1">
      <c r="A77" s="59" t="s">
        <v>129</v>
      </c>
      <c r="B77" s="54"/>
      <c r="C77" s="54"/>
      <c r="D77" s="54"/>
      <c r="E77" s="53"/>
      <c r="F77" s="53"/>
      <c r="G77" s="53"/>
      <c r="H77" s="53"/>
      <c r="I77" s="53"/>
      <c r="J77" s="53"/>
      <c r="K77" s="53"/>
      <c r="L77" s="53"/>
    </row>
    <row r="78" spans="1:19" ht="15" thickBot="1">
      <c r="A78" s="137" t="s">
        <v>51</v>
      </c>
      <c r="B78" s="105">
        <v>2000</v>
      </c>
      <c r="C78" s="105">
        <v>2015</v>
      </c>
      <c r="D78" s="105">
        <v>2020</v>
      </c>
      <c r="E78" s="105">
        <v>2025</v>
      </c>
      <c r="F78" s="105">
        <v>2030</v>
      </c>
      <c r="G78" s="105">
        <v>2050</v>
      </c>
      <c r="H78" s="113" t="s">
        <v>98</v>
      </c>
      <c r="I78" s="114" t="s">
        <v>99</v>
      </c>
      <c r="J78" s="114" t="s">
        <v>100</v>
      </c>
      <c r="K78" s="114" t="s">
        <v>101</v>
      </c>
      <c r="L78" s="115" t="s">
        <v>102</v>
      </c>
    </row>
    <row r="79" spans="1:19">
      <c r="A79" s="127" t="s">
        <v>111</v>
      </c>
      <c r="B79" s="121">
        <f>'Demande Format Medpro'!B77</f>
        <v>6.1029</v>
      </c>
      <c r="C79" s="121">
        <f>'Demande Format Medpro'!C77</f>
        <v>3.7431000000000001</v>
      </c>
      <c r="D79" s="121">
        <f>'Demande Format Medpro'!D77</f>
        <v>3.5642999999999998</v>
      </c>
      <c r="E79" s="121">
        <f>'Demande Format Medpro'!E77</f>
        <v>3.4569999999999999</v>
      </c>
      <c r="F79" s="121">
        <f>'Demande Format Medpro'!F77</f>
        <v>3.3449</v>
      </c>
      <c r="G79" s="121">
        <f>'Demande Format Medpro'!G77</f>
        <v>2.9106000000000001</v>
      </c>
      <c r="H79" s="121">
        <f>'Demande Format Medpro'!H77</f>
        <v>-3.2064663296258997E-2</v>
      </c>
      <c r="I79" s="121">
        <f>'Demande Format Medpro'!I77</f>
        <v>-9.7415336337166591E-3</v>
      </c>
      <c r="J79" s="121">
        <f>'Demande Format Medpro'!J77</f>
        <v>-6.0946558190933002E-3</v>
      </c>
      <c r="K79" s="121">
        <f>'Demande Format Medpro'!K77</f>
        <v>-6.5711873320074598E-3</v>
      </c>
      <c r="L79" s="121">
        <f>'Demande Format Medpro'!L77</f>
        <v>-6.9297553533703704E-3</v>
      </c>
      <c r="N79" s="129"/>
      <c r="O79" s="129"/>
      <c r="P79" s="129"/>
      <c r="Q79" s="129"/>
      <c r="R79" s="129"/>
      <c r="S79" s="129"/>
    </row>
    <row r="80" spans="1:19">
      <c r="A80" s="130" t="s">
        <v>112</v>
      </c>
      <c r="B80" s="121">
        <f>'Demande Format Medpro'!B78</f>
        <v>5.6398000000000001</v>
      </c>
      <c r="C80" s="121">
        <f>'Demande Format Medpro'!C78</f>
        <v>3.5590000000000002</v>
      </c>
      <c r="D80" s="121">
        <f>'Demande Format Medpro'!D78</f>
        <v>3.3717999999999999</v>
      </c>
      <c r="E80" s="121">
        <f>'Demande Format Medpro'!E78</f>
        <v>3.2555000000000001</v>
      </c>
      <c r="F80" s="121">
        <f>'Demande Format Medpro'!F78</f>
        <v>3.1358000000000001</v>
      </c>
      <c r="G80" s="121">
        <f>'Demande Format Medpro'!G78</f>
        <v>2.6781000000000001</v>
      </c>
      <c r="H80" s="121">
        <f>'Demande Format Medpro'!H78</f>
        <v>-3.0225071119895301E-2</v>
      </c>
      <c r="I80" s="121">
        <f>'Demande Format Medpro'!I78</f>
        <v>-1.07483947517197E-2</v>
      </c>
      <c r="J80" s="121">
        <f>'Demande Format Medpro'!J78</f>
        <v>-6.9955867049572599E-3</v>
      </c>
      <c r="K80" s="121">
        <f>'Demande Format Medpro'!K78</f>
        <v>-7.4643123627513601E-3</v>
      </c>
      <c r="L80" s="121">
        <f>'Demande Format Medpro'!L78</f>
        <v>-7.8578016443847706E-3</v>
      </c>
      <c r="N80" s="129"/>
      <c r="O80" s="129"/>
      <c r="P80" s="129"/>
      <c r="Q80" s="129"/>
      <c r="R80" s="129"/>
      <c r="S80" s="129"/>
    </row>
    <row r="81" spans="1:19">
      <c r="A81" s="130" t="s">
        <v>113</v>
      </c>
      <c r="B81" s="121">
        <f>'Demande Format Medpro'!B79</f>
        <v>0.2205</v>
      </c>
      <c r="C81" s="121">
        <f>'Demande Format Medpro'!C79</f>
        <v>8.9899999999999994E-2</v>
      </c>
      <c r="D81" s="121">
        <f>'Demande Format Medpro'!D79</f>
        <v>8.9899999999999994E-2</v>
      </c>
      <c r="E81" s="121">
        <f>'Demande Format Medpro'!E79</f>
        <v>8.9899999999999994E-2</v>
      </c>
      <c r="F81" s="121">
        <f>'Demande Format Medpro'!F79</f>
        <v>8.9899999999999994E-2</v>
      </c>
      <c r="G81" s="121">
        <f>'Demande Format Medpro'!G79</f>
        <v>7.8200000000000006E-2</v>
      </c>
      <c r="H81" s="121">
        <f>'Demande Format Medpro'!H79</f>
        <v>-5.8059638475916601E-2</v>
      </c>
      <c r="I81" s="121">
        <f>'Demande Format Medpro'!I79</f>
        <v>0</v>
      </c>
      <c r="J81" s="121">
        <f>'Demande Format Medpro'!J79</f>
        <v>0</v>
      </c>
      <c r="K81" s="121">
        <f>'Demande Format Medpro'!K79</f>
        <v>0</v>
      </c>
      <c r="L81" s="121">
        <f>'Demande Format Medpro'!L79</f>
        <v>-6.9471707557837697E-3</v>
      </c>
      <c r="N81" s="129"/>
      <c r="O81" s="129"/>
      <c r="P81" s="129"/>
      <c r="Q81" s="129"/>
      <c r="R81" s="129"/>
      <c r="S81" s="129"/>
    </row>
    <row r="82" spans="1:19">
      <c r="A82" s="127" t="s">
        <v>114</v>
      </c>
      <c r="B82" s="121">
        <f>'Demande Format Medpro'!B80</f>
        <v>7.4539</v>
      </c>
      <c r="C82" s="121">
        <f>'Demande Format Medpro'!C80</f>
        <v>6.0538999999999996</v>
      </c>
      <c r="D82" s="121">
        <f>'Demande Format Medpro'!D80</f>
        <v>6.1731999999999996</v>
      </c>
      <c r="E82" s="121">
        <f>'Demande Format Medpro'!E80</f>
        <v>6.2305000000000001</v>
      </c>
      <c r="F82" s="121">
        <f>'Demande Format Medpro'!F80</f>
        <v>6.2789000000000001</v>
      </c>
      <c r="G82" s="121">
        <f>'Demande Format Medpro'!G80</f>
        <v>7.0663</v>
      </c>
      <c r="H82" s="121">
        <f>'Demande Format Medpro'!H80</f>
        <v>-1.37732483054394E-2</v>
      </c>
      <c r="I82" s="121">
        <f>'Demande Format Medpro'!I80</f>
        <v>3.9105562666561502E-3</v>
      </c>
      <c r="J82" s="121">
        <f>'Demande Format Medpro'!J80</f>
        <v>1.84955719605462E-3</v>
      </c>
      <c r="K82" s="121">
        <f>'Demande Format Medpro'!K80</f>
        <v>1.5488421191765E-3</v>
      </c>
      <c r="L82" s="121">
        <f>'Demande Format Medpro'!L80</f>
        <v>5.9245913269441201E-3</v>
      </c>
      <c r="N82" s="129"/>
      <c r="O82" s="129"/>
      <c r="P82" s="129"/>
      <c r="Q82" s="129"/>
      <c r="R82" s="129"/>
      <c r="S82" s="129"/>
    </row>
    <row r="83" spans="1:19">
      <c r="A83" s="130" t="s">
        <v>115</v>
      </c>
      <c r="B83" s="121">
        <f>'Demande Format Medpro'!B81</f>
        <v>0.56010000000000004</v>
      </c>
      <c r="C83" s="121">
        <f>'Demande Format Medpro'!C81</f>
        <v>0.41789999999999999</v>
      </c>
      <c r="D83" s="121">
        <f>'Demande Format Medpro'!D81</f>
        <v>0.40710000000000002</v>
      </c>
      <c r="E83" s="121">
        <f>'Demande Format Medpro'!E81</f>
        <v>0.39639999999999997</v>
      </c>
      <c r="F83" s="121">
        <f>'Demande Format Medpro'!F81</f>
        <v>0.38569999999999999</v>
      </c>
      <c r="G83" s="121">
        <f>'Demande Format Medpro'!G81</f>
        <v>0.37719999999999998</v>
      </c>
      <c r="H83" s="121">
        <f>'Demande Format Medpro'!H81</f>
        <v>-1.9335502070624101E-2</v>
      </c>
      <c r="I83" s="121">
        <f>'Demande Format Medpro'!I81</f>
        <v>-5.2229753729545799E-3</v>
      </c>
      <c r="J83" s="121">
        <f>'Demande Format Medpro'!J81</f>
        <v>-5.3128472502146397E-3</v>
      </c>
      <c r="K83" s="121">
        <f>'Demande Format Medpro'!K81</f>
        <v>-5.4578390293750197E-3</v>
      </c>
      <c r="L83" s="121">
        <f>'Demande Format Medpro'!L81</f>
        <v>-1.1135952148868501E-3</v>
      </c>
      <c r="N83" s="129"/>
      <c r="O83" s="129"/>
      <c r="P83" s="129"/>
      <c r="Q83" s="129"/>
      <c r="R83" s="129"/>
      <c r="S83" s="129"/>
    </row>
    <row r="84" spans="1:19">
      <c r="A84" s="130" t="s">
        <v>116</v>
      </c>
      <c r="B84" s="121">
        <f>'Demande Format Medpro'!B82</f>
        <v>4.3108000000000004</v>
      </c>
      <c r="C84" s="121">
        <f>'Demande Format Medpro'!C82</f>
        <v>3.5078999999999998</v>
      </c>
      <c r="D84" s="121">
        <f>'Demande Format Medpro'!D82</f>
        <v>3.4723000000000002</v>
      </c>
      <c r="E84" s="121">
        <f>'Demande Format Medpro'!E82</f>
        <v>3.4371</v>
      </c>
      <c r="F84" s="121">
        <f>'Demande Format Medpro'!F82</f>
        <v>3.4016000000000002</v>
      </c>
      <c r="G84" s="121">
        <f>'Demande Format Medpro'!G82</f>
        <v>3.3660000000000001</v>
      </c>
      <c r="H84" s="121">
        <f>'Demande Format Medpro'!H82</f>
        <v>-1.3646427238164199E-2</v>
      </c>
      <c r="I84" s="121">
        <f>'Demande Format Medpro'!I82</f>
        <v>-2.0379943111109599E-3</v>
      </c>
      <c r="J84" s="121">
        <f>'Demande Format Medpro'!J82</f>
        <v>-2.03574625402381E-3</v>
      </c>
      <c r="K84" s="121">
        <f>'Demande Format Medpro'!K82</f>
        <v>-2.0742823807102799E-3</v>
      </c>
      <c r="L84" s="121">
        <f>'Demande Format Medpro'!L82</f>
        <v>-5.2590233470839497E-4</v>
      </c>
      <c r="N84" s="129"/>
      <c r="O84" s="129"/>
      <c r="P84" s="129"/>
      <c r="Q84" s="129"/>
      <c r="R84" s="129"/>
      <c r="S84" s="129"/>
    </row>
    <row r="85" spans="1:19">
      <c r="A85" s="130" t="s">
        <v>117</v>
      </c>
      <c r="B85" s="121">
        <f>'Demande Format Medpro'!B83</f>
        <v>0</v>
      </c>
      <c r="C85" s="121">
        <f>'Demande Format Medpro'!C83</f>
        <v>0</v>
      </c>
      <c r="D85" s="121">
        <f>'Demande Format Medpro'!D83</f>
        <v>0</v>
      </c>
      <c r="E85" s="121">
        <f>'Demande Format Medpro'!E83</f>
        <v>0</v>
      </c>
      <c r="F85" s="121">
        <f>'Demande Format Medpro'!F83</f>
        <v>0</v>
      </c>
      <c r="G85" s="121">
        <f>'Demande Format Medpro'!G83</f>
        <v>0</v>
      </c>
      <c r="H85" s="121" t="e">
        <f>'Demande Format Medpro'!H83</f>
        <v>#DIV/0!</v>
      </c>
      <c r="I85" s="121" t="e">
        <f>'Demande Format Medpro'!I83</f>
        <v>#DIV/0!</v>
      </c>
      <c r="J85" s="121" t="e">
        <f>'Demande Format Medpro'!J83</f>
        <v>#DIV/0!</v>
      </c>
      <c r="K85" s="121" t="e">
        <f>'Demande Format Medpro'!K83</f>
        <v>#DIV/0!</v>
      </c>
      <c r="L85" s="121" t="e">
        <f>'Demande Format Medpro'!L83</f>
        <v>#DIV/0!</v>
      </c>
      <c r="N85" s="129"/>
      <c r="O85" s="129"/>
      <c r="P85" s="129"/>
      <c r="Q85" s="129"/>
      <c r="R85" s="129"/>
      <c r="S85" s="129"/>
    </row>
    <row r="86" spans="1:19">
      <c r="A86" s="127" t="s">
        <v>118</v>
      </c>
      <c r="B86" s="121">
        <f>'Demande Format Medpro'!B84</f>
        <v>3.6520000000000001</v>
      </c>
      <c r="C86" s="121">
        <f>'Demande Format Medpro'!C84</f>
        <v>2.6435</v>
      </c>
      <c r="D86" s="121">
        <f>'Demande Format Medpro'!D84</f>
        <v>2.7433000000000001</v>
      </c>
      <c r="E86" s="121">
        <f>'Demande Format Medpro'!E84</f>
        <v>2.7486000000000002</v>
      </c>
      <c r="F86" s="121">
        <f>'Demande Format Medpro'!F84</f>
        <v>2.8064</v>
      </c>
      <c r="G86" s="121">
        <f>'Demande Format Medpro'!G84</f>
        <v>2.9599000000000002</v>
      </c>
      <c r="H86" s="121">
        <f>'Demande Format Medpro'!H84</f>
        <v>-2.1314314216928198E-2</v>
      </c>
      <c r="I86" s="121">
        <f>'Demande Format Medpro'!I84</f>
        <v>7.4390892762887803E-3</v>
      </c>
      <c r="J86" s="121">
        <f>'Demande Format Medpro'!J84</f>
        <v>3.8609768850328402E-4</v>
      </c>
      <c r="K86" s="121">
        <f>'Demande Format Medpro'!K84</f>
        <v>4.17084025586023E-3</v>
      </c>
      <c r="L86" s="121">
        <f>'Demande Format Medpro'!L84</f>
        <v>2.6661960349014802E-3</v>
      </c>
      <c r="N86" s="129"/>
      <c r="O86" s="129"/>
      <c r="P86" s="129"/>
      <c r="Q86" s="129"/>
      <c r="R86" s="129"/>
      <c r="S86" s="129"/>
    </row>
    <row r="87" spans="1:19">
      <c r="A87" s="130" t="s">
        <v>119</v>
      </c>
      <c r="B87" s="121">
        <f>'Demande Format Medpro'!B85</f>
        <v>1.4896</v>
      </c>
      <c r="C87" s="121">
        <f>'Demande Format Medpro'!C85</f>
        <v>1.1833</v>
      </c>
      <c r="D87" s="121">
        <f>'Demande Format Medpro'!D85</f>
        <v>1.2706</v>
      </c>
      <c r="E87" s="121">
        <f>'Demande Format Medpro'!E85</f>
        <v>1.2706</v>
      </c>
      <c r="F87" s="121">
        <f>'Demande Format Medpro'!F85</f>
        <v>1.2705</v>
      </c>
      <c r="G87" s="121">
        <f>'Demande Format Medpro'!G85</f>
        <v>1.1798</v>
      </c>
      <c r="H87" s="121">
        <f>'Demande Format Medpro'!H85</f>
        <v>-1.5229538334533801E-2</v>
      </c>
      <c r="I87" s="121">
        <f>'Demande Format Medpro'!I85</f>
        <v>1.4338237283377801E-2</v>
      </c>
      <c r="J87" s="121">
        <f>'Demande Format Medpro'!J85</f>
        <v>0</v>
      </c>
      <c r="K87" s="121">
        <f>'Demande Format Medpro'!K85</f>
        <v>-1.5741090550580601E-5</v>
      </c>
      <c r="L87" s="121">
        <f>'Demande Format Medpro'!L85</f>
        <v>-3.6964308766183102E-3</v>
      </c>
      <c r="N87" s="129"/>
      <c r="O87" s="129"/>
      <c r="P87" s="129"/>
      <c r="Q87" s="129"/>
      <c r="R87" s="129"/>
      <c r="S87" s="129"/>
    </row>
    <row r="88" spans="1:19">
      <c r="A88" s="130" t="s">
        <v>120</v>
      </c>
      <c r="B88" s="121">
        <f>'Demande Format Medpro'!B86</f>
        <v>1.1727000000000001</v>
      </c>
      <c r="C88" s="121">
        <f>'Demande Format Medpro'!C86</f>
        <v>0.98470000000000002</v>
      </c>
      <c r="D88" s="121">
        <f>'Demande Format Medpro'!D86</f>
        <v>0.95599999999999996</v>
      </c>
      <c r="E88" s="121">
        <f>'Demande Format Medpro'!E86</f>
        <v>0.89870000000000005</v>
      </c>
      <c r="F88" s="121">
        <f>'Demande Format Medpro'!F86</f>
        <v>0.89870000000000005</v>
      </c>
      <c r="G88" s="121">
        <f>'Demande Format Medpro'!G86</f>
        <v>0.77249999999999996</v>
      </c>
      <c r="H88" s="121">
        <f>'Demande Format Medpro'!H86</f>
        <v>-1.15808882576653E-2</v>
      </c>
      <c r="I88" s="121">
        <f>'Demande Format Medpro'!I86</f>
        <v>-5.8983586167073998E-3</v>
      </c>
      <c r="J88" s="121">
        <f>'Demande Format Medpro'!J86</f>
        <v>-1.2285635388609301E-2</v>
      </c>
      <c r="K88" s="121">
        <f>'Demande Format Medpro'!K86</f>
        <v>0</v>
      </c>
      <c r="L88" s="121">
        <f>'Demande Format Medpro'!L86</f>
        <v>-7.53731419582315E-3</v>
      </c>
      <c r="N88" s="129"/>
      <c r="O88" s="129"/>
      <c r="P88" s="129"/>
      <c r="Q88" s="129"/>
      <c r="R88" s="129"/>
      <c r="S88" s="129"/>
    </row>
    <row r="89" spans="1:19">
      <c r="A89" s="127" t="s">
        <v>121</v>
      </c>
      <c r="B89" s="121">
        <f>'Demande Format Medpro'!B87</f>
        <v>3.6766999999999999</v>
      </c>
      <c r="C89" s="121">
        <f>'Demande Format Medpro'!C87</f>
        <v>4.0911</v>
      </c>
      <c r="D89" s="121">
        <f>'Demande Format Medpro'!D87</f>
        <v>4.1436999999999999</v>
      </c>
      <c r="E89" s="121">
        <f>'Demande Format Medpro'!E87</f>
        <v>4.1585999999999999</v>
      </c>
      <c r="F89" s="121">
        <f>'Demande Format Medpro'!F87</f>
        <v>4.1642000000000001</v>
      </c>
      <c r="G89" s="121">
        <f>'Demande Format Medpro'!G87</f>
        <v>4.9579000000000004</v>
      </c>
      <c r="H89" s="121">
        <f>'Demande Format Medpro'!H87</f>
        <v>7.1452914287142297E-3</v>
      </c>
      <c r="I89" s="121">
        <f>'Demande Format Medpro'!I87</f>
        <v>2.5583121026373501E-3</v>
      </c>
      <c r="J89" s="121">
        <f>'Demande Format Medpro'!J87</f>
        <v>7.1813186442937205E-4</v>
      </c>
      <c r="K89" s="121">
        <f>'Demande Format Medpro'!K87</f>
        <v>2.6917645530222202E-4</v>
      </c>
      <c r="L89" s="121">
        <f>'Demande Format Medpro'!L87</f>
        <v>8.7610595723068806E-3</v>
      </c>
      <c r="N89" s="129"/>
      <c r="O89" s="129"/>
      <c r="P89" s="129"/>
      <c r="Q89" s="129"/>
      <c r="R89" s="129"/>
      <c r="S89" s="129"/>
    </row>
    <row r="90" spans="1:19">
      <c r="A90" s="130" t="s">
        <v>122</v>
      </c>
      <c r="B90" s="121">
        <f>'Demande Format Medpro'!B88</f>
        <v>0.7994</v>
      </c>
      <c r="C90" s="121">
        <f>'Demande Format Medpro'!C88</f>
        <v>0.79079999999999995</v>
      </c>
      <c r="D90" s="121">
        <f>'Demande Format Medpro'!D88</f>
        <v>0.76119999999999999</v>
      </c>
      <c r="E90" s="121">
        <f>'Demande Format Medpro'!E88</f>
        <v>0.73160000000000003</v>
      </c>
      <c r="F90" s="121">
        <f>'Demande Format Medpro'!F88</f>
        <v>0.70209999999999995</v>
      </c>
      <c r="G90" s="121">
        <f>'Demande Format Medpro'!G88</f>
        <v>0.70209999999999995</v>
      </c>
      <c r="H90" s="121">
        <f>'Demande Format Medpro'!H88</f>
        <v>-7.2083040889703298E-4</v>
      </c>
      <c r="I90" s="121">
        <f>'Demande Format Medpro'!I88</f>
        <v>-7.6007582036337097E-3</v>
      </c>
      <c r="J90" s="121">
        <f>'Demande Format Medpro'!J88</f>
        <v>-7.9010649739121898E-3</v>
      </c>
      <c r="K90" s="121">
        <f>'Demande Format Medpro'!K88</f>
        <v>-8.1978275307315104E-3</v>
      </c>
      <c r="L90" s="121">
        <f>'Demande Format Medpro'!L88</f>
        <v>0</v>
      </c>
      <c r="N90" s="129"/>
      <c r="O90" s="129"/>
      <c r="P90" s="129"/>
      <c r="Q90" s="129"/>
      <c r="R90" s="129"/>
      <c r="S90" s="129"/>
    </row>
    <row r="91" spans="1:19">
      <c r="A91" s="127" t="s">
        <v>123</v>
      </c>
      <c r="B91" s="121">
        <f>'Demande Format Medpro'!B89</f>
        <v>2.4811999999999999</v>
      </c>
      <c r="C91" s="121">
        <f>'Demande Format Medpro'!C89</f>
        <v>1.8880999999999999</v>
      </c>
      <c r="D91" s="121">
        <f>'Demande Format Medpro'!D89</f>
        <v>1.9181999999999999</v>
      </c>
      <c r="E91" s="121">
        <f>'Demande Format Medpro'!E89</f>
        <v>1.9128000000000001</v>
      </c>
      <c r="F91" s="121">
        <f>'Demande Format Medpro'!F89</f>
        <v>1.8733</v>
      </c>
      <c r="G91" s="121">
        <f>'Demande Format Medpro'!G89</f>
        <v>2.4579</v>
      </c>
      <c r="H91" s="121">
        <f>'Demande Format Medpro'!H89</f>
        <v>-1.8046592979841101E-2</v>
      </c>
      <c r="I91" s="121">
        <f>'Demande Format Medpro'!I89</f>
        <v>3.16825110977303E-3</v>
      </c>
      <c r="J91" s="121">
        <f>'Demande Format Medpro'!J89</f>
        <v>-5.6366291228771004E-4</v>
      </c>
      <c r="K91" s="121">
        <f>'Demande Format Medpro'!K89</f>
        <v>-4.1646149739722497E-3</v>
      </c>
      <c r="L91" s="121">
        <f>'Demande Format Medpro'!L89</f>
        <v>1.3672918211887101E-2</v>
      </c>
      <c r="N91" s="129"/>
      <c r="O91" s="129"/>
      <c r="P91" s="129"/>
      <c r="Q91" s="129"/>
      <c r="R91" s="129"/>
      <c r="S91" s="129"/>
    </row>
    <row r="92" spans="1:19">
      <c r="A92" s="127" t="s">
        <v>124</v>
      </c>
      <c r="B92" s="121">
        <f>'Demande Format Medpro'!B90</f>
        <v>4.1561000000000003</v>
      </c>
      <c r="C92" s="121">
        <f>'Demande Format Medpro'!C90</f>
        <v>3.4727000000000001</v>
      </c>
      <c r="D92" s="121">
        <f>'Demande Format Medpro'!D90</f>
        <v>3.2130000000000001</v>
      </c>
      <c r="E92" s="121">
        <f>'Demande Format Medpro'!E90</f>
        <v>3.2161</v>
      </c>
      <c r="F92" s="121">
        <f>'Demande Format Medpro'!F90</f>
        <v>3.2155</v>
      </c>
      <c r="G92" s="121">
        <f>'Demande Format Medpro'!G90</f>
        <v>3.3597999999999999</v>
      </c>
      <c r="H92" s="121">
        <f>'Demande Format Medpro'!H90</f>
        <v>-1.19048857107346E-2</v>
      </c>
      <c r="I92" s="121">
        <f>'Demande Format Medpro'!I90</f>
        <v>-1.54252548544122E-2</v>
      </c>
      <c r="J92" s="121">
        <f>'Demande Format Medpro'!J90</f>
        <v>1.9289164658897699E-4</v>
      </c>
      <c r="K92" s="121">
        <f>'Demande Format Medpro'!K90</f>
        <v>-3.7315057351383602E-5</v>
      </c>
      <c r="L92" s="121">
        <f>'Demande Format Medpro'!L90</f>
        <v>2.19733971030589E-3</v>
      </c>
      <c r="N92" s="129"/>
      <c r="O92" s="129"/>
      <c r="P92" s="129"/>
      <c r="Q92" s="129"/>
      <c r="R92" s="129"/>
      <c r="S92" s="129"/>
    </row>
    <row r="93" spans="1:19">
      <c r="A93" s="130" t="s">
        <v>125</v>
      </c>
      <c r="B93" s="121">
        <f>'Demande Format Medpro'!B91</f>
        <v>2.7366000000000001</v>
      </c>
      <c r="C93" s="121">
        <f>'Demande Format Medpro'!C91</f>
        <v>2.4272999999999998</v>
      </c>
      <c r="D93" s="121">
        <f>'Demande Format Medpro'!D91</f>
        <v>2.1516000000000002</v>
      </c>
      <c r="E93" s="121">
        <f>'Demande Format Medpro'!E91</f>
        <v>2.1516000000000002</v>
      </c>
      <c r="F93" s="121">
        <f>'Demande Format Medpro'!F91</f>
        <v>2.1516000000000002</v>
      </c>
      <c r="G93" s="121">
        <f>'Demande Format Medpro'!G91</f>
        <v>2.1516000000000002</v>
      </c>
      <c r="H93" s="121">
        <f>'Demande Format Medpro'!H91</f>
        <v>-7.9639017862079796E-3</v>
      </c>
      <c r="I93" s="121">
        <f>'Demande Format Medpro'!I91</f>
        <v>-2.3825146478264701E-2</v>
      </c>
      <c r="J93" s="121">
        <f>'Demande Format Medpro'!J91</f>
        <v>0</v>
      </c>
      <c r="K93" s="121">
        <f>'Demande Format Medpro'!K91</f>
        <v>0</v>
      </c>
      <c r="L93" s="121">
        <f>'Demande Format Medpro'!L91</f>
        <v>0</v>
      </c>
      <c r="N93" s="129"/>
      <c r="O93" s="129"/>
      <c r="P93" s="129"/>
      <c r="Q93" s="129"/>
      <c r="R93" s="129"/>
      <c r="S93" s="129"/>
    </row>
    <row r="94" spans="1:19">
      <c r="A94" s="106"/>
      <c r="B94" s="121"/>
      <c r="C94" s="121"/>
      <c r="D94" s="121"/>
      <c r="E94" s="121"/>
      <c r="F94" s="121"/>
      <c r="G94" s="121"/>
      <c r="H94" s="121"/>
      <c r="I94" s="121"/>
      <c r="J94" s="121"/>
      <c r="K94" s="121"/>
      <c r="L94" s="121"/>
    </row>
    <row r="95" spans="1:19">
      <c r="A95" s="106"/>
      <c r="B95" s="121"/>
      <c r="C95" s="121"/>
      <c r="D95" s="121"/>
      <c r="E95" s="121"/>
      <c r="F95" s="121"/>
      <c r="G95" s="121"/>
      <c r="H95" s="121"/>
      <c r="I95" s="121"/>
      <c r="J95" s="121"/>
      <c r="K95" s="121"/>
      <c r="L95" s="121"/>
    </row>
    <row r="96" spans="1:19" ht="15" thickBot="1">
      <c r="A96" s="109" t="s">
        <v>10</v>
      </c>
      <c r="B96" s="378">
        <f>'Demande Format Medpro'!B94</f>
        <v>27.5228</v>
      </c>
      <c r="C96" s="110">
        <f>'Demande Format Medpro'!C94</f>
        <v>21.892399999999999</v>
      </c>
      <c r="D96" s="110">
        <f>'Demande Format Medpro'!D94</f>
        <v>21.755700000000001</v>
      </c>
      <c r="E96" s="110">
        <f>'Demande Format Medpro'!E94</f>
        <v>21.723600000000001</v>
      </c>
      <c r="F96" s="110">
        <f>'Demande Format Medpro'!F94</f>
        <v>21.683199999999999</v>
      </c>
      <c r="G96" s="110">
        <f>'Demande Format Medpro'!G94</f>
        <v>23.712399999999999</v>
      </c>
      <c r="H96" s="110">
        <f>'Demande Format Medpro'!H94</f>
        <v>-1.5142528399887599E-2</v>
      </c>
      <c r="I96" s="110">
        <f>'Demande Format Medpro'!I94</f>
        <v>-1.25196612833756E-3</v>
      </c>
      <c r="J96" s="110">
        <f>'Demande Format Medpro'!J94</f>
        <v>-2.9526939508450799E-4</v>
      </c>
      <c r="K96" s="110">
        <f>'Demande Format Medpro'!K94</f>
        <v>-3.7222271439563099E-4</v>
      </c>
      <c r="L96" s="110">
        <f>'Demande Format Medpro'!L94</f>
        <v>4.4830364212027404E-3</v>
      </c>
    </row>
    <row r="97" spans="1:12" ht="15" thickBot="1">
      <c r="A97" s="111"/>
      <c r="E97" s="98"/>
    </row>
    <row r="98" spans="1:12" ht="15" thickBot="1">
      <c r="A98" s="132" t="s">
        <v>126</v>
      </c>
      <c r="B98" s="133">
        <f>'Demande Format Medpro'!B96</f>
        <v>16.929500000000001</v>
      </c>
      <c r="C98" s="133">
        <f>'Demande Format Medpro'!C96</f>
        <v>12.960800000000001</v>
      </c>
      <c r="D98" s="133">
        <f>'Demande Format Medpro'!D96</f>
        <v>12.480499999999999</v>
      </c>
      <c r="E98" s="133">
        <f>'Demande Format Medpro'!E96</f>
        <v>12.231400000000001</v>
      </c>
      <c r="F98" s="133">
        <f>'Demande Format Medpro'!F96</f>
        <v>12.0359</v>
      </c>
      <c r="G98" s="133">
        <f>'Demande Format Medpro'!G96</f>
        <v>11.3055</v>
      </c>
      <c r="H98" s="133">
        <f>'Demande Format Medpro'!H96</f>
        <v>-1.76509145787325E-2</v>
      </c>
      <c r="I98" s="133">
        <f>'Demande Format Medpro'!I96</f>
        <v>-7.5239505361731603E-3</v>
      </c>
      <c r="J98" s="133">
        <f>'Demande Format Medpro'!J96</f>
        <v>-4.0240836855555103E-3</v>
      </c>
      <c r="K98" s="133">
        <f>'Demande Format Medpro'!K96</f>
        <v>-3.2173263637790299E-3</v>
      </c>
      <c r="L98" s="133">
        <f>'Demande Format Medpro'!L96</f>
        <v>-3.1253318186170698E-3</v>
      </c>
    </row>
    <row r="99" spans="1:12">
      <c r="A99" s="134"/>
      <c r="B99" s="135"/>
      <c r="C99" s="135"/>
      <c r="D99" s="135"/>
      <c r="E99" s="135"/>
      <c r="F99" s="135"/>
      <c r="G99" s="135"/>
      <c r="H99" s="124"/>
      <c r="I99" s="124"/>
      <c r="J99" s="124"/>
      <c r="K99" s="124"/>
      <c r="L99" s="124"/>
    </row>
    <row r="100" spans="1:12">
      <c r="F100" s="97"/>
    </row>
    <row r="101" spans="1:12" ht="16" thickBot="1">
      <c r="A101" s="59" t="s">
        <v>130</v>
      </c>
      <c r="B101" s="54"/>
      <c r="C101" s="54"/>
      <c r="D101" s="54"/>
      <c r="E101" s="54"/>
      <c r="F101" s="54"/>
      <c r="G101" s="53"/>
      <c r="H101" s="53"/>
      <c r="I101" s="53"/>
      <c r="J101" s="53"/>
      <c r="K101" s="53"/>
      <c r="L101" s="53"/>
    </row>
    <row r="102" spans="1:12" ht="15" thickBot="1">
      <c r="A102" s="104"/>
      <c r="B102" s="105">
        <v>2000</v>
      </c>
      <c r="C102" s="105">
        <v>2015</v>
      </c>
      <c r="D102" s="105">
        <v>2020</v>
      </c>
      <c r="E102" s="105">
        <v>2025</v>
      </c>
      <c r="F102" s="105">
        <v>2030</v>
      </c>
      <c r="G102" s="105">
        <v>2050</v>
      </c>
      <c r="H102" s="113" t="s">
        <v>98</v>
      </c>
      <c r="I102" s="114" t="s">
        <v>99</v>
      </c>
      <c r="J102" s="114" t="s">
        <v>100</v>
      </c>
      <c r="K102" s="114" t="s">
        <v>101</v>
      </c>
      <c r="L102" s="115" t="s">
        <v>102</v>
      </c>
    </row>
    <row r="103" spans="1:12" ht="15" thickBot="1">
      <c r="A103" s="109" t="s">
        <v>131</v>
      </c>
      <c r="B103" s="138">
        <f>'Demande Format Medpro'!B101</f>
        <v>0.14861332923950199</v>
      </c>
      <c r="C103" s="138">
        <f>'Demande Format Medpro'!C101</f>
        <v>0.110941580597999</v>
      </c>
      <c r="D103" s="138">
        <f>'Demande Format Medpro'!D101</f>
        <v>0.10396332292291301</v>
      </c>
      <c r="E103" s="138">
        <f>'Demande Format Medpro'!E101</f>
        <v>9.9385626244271399E-2</v>
      </c>
      <c r="F103" s="138">
        <f>'Demande Format Medpro'!F101</f>
        <v>9.4579979036345102E-2</v>
      </c>
      <c r="G103" s="138">
        <f>'Demande Format Medpro'!G101</f>
        <v>8.2360372895128306E-2</v>
      </c>
      <c r="H103" s="138">
        <f>'Demande Format Medpro'!H101</f>
        <v>-1.9300909856419E-2</v>
      </c>
      <c r="I103" s="138">
        <f>'Demande Format Medpro'!I101</f>
        <v>-1.29090716677155E-2</v>
      </c>
      <c r="J103" s="138">
        <f>'Demande Format Medpro'!J101</f>
        <v>-8.9657011857309198E-3</v>
      </c>
      <c r="K103" s="138">
        <f>'Demande Format Medpro'!K101</f>
        <v>-9.8633712034121909E-3</v>
      </c>
      <c r="L103" s="138">
        <f>'Demande Format Medpro'!L101</f>
        <v>-6.8932024225259996E-3</v>
      </c>
    </row>
    <row r="104" spans="1:12">
      <c r="A104" s="139"/>
      <c r="F104" s="97"/>
    </row>
    <row r="105" spans="1:12">
      <c r="F105" s="97"/>
    </row>
    <row r="106" spans="1:12" ht="21">
      <c r="A106" s="52" t="s">
        <v>132</v>
      </c>
      <c r="B106" s="47"/>
      <c r="C106" s="47"/>
      <c r="D106" s="47"/>
      <c r="E106" s="47"/>
      <c r="F106" s="47"/>
      <c r="G106" s="140"/>
      <c r="H106" s="140"/>
      <c r="I106" s="140"/>
      <c r="J106" s="140"/>
      <c r="K106" s="140"/>
      <c r="L106" s="140"/>
    </row>
    <row r="107" spans="1:12">
      <c r="F107" s="97"/>
    </row>
    <row r="108" spans="1:12" ht="16" thickBot="1">
      <c r="A108" s="59" t="s">
        <v>133</v>
      </c>
      <c r="B108" s="54"/>
      <c r="C108" s="54"/>
      <c r="D108" s="54"/>
      <c r="E108" s="54"/>
      <c r="F108" s="54"/>
      <c r="G108" s="53"/>
      <c r="H108" s="53"/>
      <c r="I108" s="53"/>
      <c r="J108" s="53"/>
      <c r="K108" s="53"/>
      <c r="L108" s="53"/>
    </row>
    <row r="109" spans="1:12" ht="15" thickBot="1">
      <c r="A109" s="104" t="s">
        <v>51</v>
      </c>
      <c r="B109" s="105">
        <v>2000</v>
      </c>
      <c r="C109" s="105">
        <v>2015</v>
      </c>
      <c r="D109" s="105">
        <v>2020</v>
      </c>
      <c r="E109" s="105">
        <v>2025</v>
      </c>
      <c r="F109" s="105">
        <v>2030</v>
      </c>
      <c r="G109" s="105">
        <v>2050</v>
      </c>
      <c r="H109" s="113" t="s">
        <v>98</v>
      </c>
      <c r="I109" s="114" t="s">
        <v>99</v>
      </c>
      <c r="J109" s="114" t="s">
        <v>100</v>
      </c>
      <c r="K109" s="114" t="s">
        <v>101</v>
      </c>
      <c r="L109" s="115" t="s">
        <v>102</v>
      </c>
    </row>
    <row r="110" spans="1:12">
      <c r="A110" s="106" t="s">
        <v>103</v>
      </c>
      <c r="B110" s="107">
        <f>'Demande Format Medpro'!B108</f>
        <v>9.0759000000000007</v>
      </c>
      <c r="C110" s="107">
        <f>'Demande Format Medpro'!C108</f>
        <v>6.5214999999999996</v>
      </c>
      <c r="D110" s="107">
        <f>'Demande Format Medpro'!D108</f>
        <v>5.1642000000000001</v>
      </c>
      <c r="E110" s="107">
        <f>'Demande Format Medpro'!E108</f>
        <v>4.3639999999999999</v>
      </c>
      <c r="F110" s="107">
        <f>'Demande Format Medpro'!F108</f>
        <v>3.6859000000000002</v>
      </c>
      <c r="G110" s="107">
        <f>'Demande Format Medpro'!G108</f>
        <v>2.8035000000000001</v>
      </c>
      <c r="H110" s="107">
        <f>'Demande Format Medpro'!H108</f>
        <v>-2.17935552584426E-2</v>
      </c>
      <c r="I110" s="107">
        <f>'Demande Format Medpro'!I108</f>
        <v>-4.5598505014204697E-2</v>
      </c>
      <c r="J110" s="107">
        <f>'Demande Format Medpro'!J108</f>
        <v>-3.3111627186345201E-2</v>
      </c>
      <c r="K110" s="107">
        <f>'Demande Format Medpro'!K108</f>
        <v>-3.3210864451994698E-2</v>
      </c>
      <c r="L110" s="107">
        <f>'Demande Format Medpro'!L108</f>
        <v>-1.35891273449983E-2</v>
      </c>
    </row>
    <row r="111" spans="1:12">
      <c r="A111" s="106" t="s">
        <v>54</v>
      </c>
      <c r="B111" s="107">
        <f>'Demande Format Medpro'!B109</f>
        <v>15.005599999999999</v>
      </c>
      <c r="C111" s="107">
        <f>'Demande Format Medpro'!C109</f>
        <v>14.2493</v>
      </c>
      <c r="D111" s="107">
        <f>'Demande Format Medpro'!D109</f>
        <v>12.052199999999999</v>
      </c>
      <c r="E111" s="107">
        <f>'Demande Format Medpro'!E109</f>
        <v>11.236800000000001</v>
      </c>
      <c r="F111" s="107">
        <f>'Demande Format Medpro'!F109</f>
        <v>10.642799999999999</v>
      </c>
      <c r="G111" s="107">
        <f>'Demande Format Medpro'!G109</f>
        <v>9.4556000000000004</v>
      </c>
      <c r="H111" s="107">
        <f>'Demande Format Medpro'!H109</f>
        <v>-3.44177560248382E-3</v>
      </c>
      <c r="I111" s="107">
        <f>'Demande Format Medpro'!I109</f>
        <v>-3.2937461927411801E-2</v>
      </c>
      <c r="J111" s="107">
        <f>'Demande Format Medpro'!J109</f>
        <v>-1.39129299038766E-2</v>
      </c>
      <c r="K111" s="107">
        <f>'Demande Format Medpro'!K109</f>
        <v>-1.0803320256092101E-2</v>
      </c>
      <c r="L111" s="107">
        <f>'Demande Format Medpro'!L109</f>
        <v>-5.8963702023894201E-3</v>
      </c>
    </row>
    <row r="112" spans="1:12">
      <c r="A112" s="106" t="s">
        <v>42</v>
      </c>
      <c r="B112" s="107">
        <f>'Demande Format Medpro'!B110</f>
        <v>0.06</v>
      </c>
      <c r="C112" s="107">
        <f>'Demande Format Medpro'!C110</f>
        <v>8.1900000000000001E-2</v>
      </c>
      <c r="D112" s="107">
        <f>'Demande Format Medpro'!D110</f>
        <v>1.0500000000000001E-2</v>
      </c>
      <c r="E112" s="107">
        <f>'Demande Format Medpro'!E110</f>
        <v>1.2E-2</v>
      </c>
      <c r="F112" s="107">
        <f>'Demande Format Medpro'!F110</f>
        <v>8.8000000000000005E-3</v>
      </c>
      <c r="G112" s="107">
        <f>'Demande Format Medpro'!G110</f>
        <v>7.1000000000000004E-3</v>
      </c>
      <c r="H112" s="107">
        <f>'Demande Format Medpro'!H110</f>
        <v>2.0960273043430001E-2</v>
      </c>
      <c r="I112" s="107">
        <f>'Demande Format Medpro'!I110</f>
        <v>-0.33689686759559401</v>
      </c>
      <c r="J112" s="107">
        <f>'Demande Format Medpro'!J110</f>
        <v>2.7066087089351799E-2</v>
      </c>
      <c r="K112" s="107">
        <f>'Demande Format Medpro'!K110</f>
        <v>-6.0146235650011301E-2</v>
      </c>
      <c r="L112" s="107">
        <f>'Demande Format Medpro'!L110</f>
        <v>-1.0675455379070199E-2</v>
      </c>
    </row>
    <row r="113" spans="1:12">
      <c r="A113" s="106" t="s">
        <v>104</v>
      </c>
      <c r="B113" s="107">
        <f>'Demande Format Medpro'!B111</f>
        <v>10.5669</v>
      </c>
      <c r="C113" s="107">
        <f>'Demande Format Medpro'!C111</f>
        <v>12.6416</v>
      </c>
      <c r="D113" s="107">
        <f>'Demande Format Medpro'!D111</f>
        <v>12.3057</v>
      </c>
      <c r="E113" s="107">
        <f>'Demande Format Medpro'!E111</f>
        <v>12.1876</v>
      </c>
      <c r="F113" s="107">
        <f>'Demande Format Medpro'!F111</f>
        <v>12.1678</v>
      </c>
      <c r="G113" s="107">
        <f>'Demande Format Medpro'!G111</f>
        <v>12.6196</v>
      </c>
      <c r="H113" s="107">
        <f>'Demande Format Medpro'!H111</f>
        <v>1.20227989987569E-2</v>
      </c>
      <c r="I113" s="107">
        <f>'Demande Format Medpro'!I111</f>
        <v>-5.3715997482802801E-3</v>
      </c>
      <c r="J113" s="107">
        <f>'Demande Format Medpro'!J111</f>
        <v>-1.9268468925702799E-3</v>
      </c>
      <c r="K113" s="107">
        <f>'Demande Format Medpro'!K111</f>
        <v>-3.2513176350812401E-4</v>
      </c>
      <c r="L113" s="107">
        <f>'Demande Format Medpro'!L111</f>
        <v>1.8245646272585501E-3</v>
      </c>
    </row>
    <row r="114" spans="1:12">
      <c r="A114" s="106" t="s">
        <v>105</v>
      </c>
      <c r="B114" s="107">
        <f>'Demande Format Medpro'!B112</f>
        <v>1.752</v>
      </c>
      <c r="C114" s="107">
        <f>'Demande Format Medpro'!C112</f>
        <v>1.3252999999999999</v>
      </c>
      <c r="D114" s="107">
        <f>'Demande Format Medpro'!D112</f>
        <v>1.4417</v>
      </c>
      <c r="E114" s="107">
        <f>'Demande Format Medpro'!E112</f>
        <v>1.4137999999999999</v>
      </c>
      <c r="F114" s="107">
        <f>'Demande Format Medpro'!F112</f>
        <v>1.3756999999999999</v>
      </c>
      <c r="G114" s="107">
        <f>'Demande Format Medpro'!G112</f>
        <v>1.2588999999999999</v>
      </c>
      <c r="H114" s="107">
        <f>'Demande Format Medpro'!H112</f>
        <v>-1.8435884011240002E-2</v>
      </c>
      <c r="I114" s="107">
        <f>'Demande Format Medpro'!I112</f>
        <v>1.69793629604462E-2</v>
      </c>
      <c r="J114" s="107">
        <f>'Demande Format Medpro'!J112</f>
        <v>-3.9007438724438801E-3</v>
      </c>
      <c r="K114" s="107">
        <f>'Demande Format Medpro'!K112</f>
        <v>-5.4487856764971997E-3</v>
      </c>
      <c r="L114" s="107">
        <f>'Demande Format Medpro'!L112</f>
        <v>-4.4263929524347399E-3</v>
      </c>
    </row>
    <row r="115" spans="1:12">
      <c r="A115" s="106" t="s">
        <v>134</v>
      </c>
      <c r="B115" s="107">
        <f>'Demande Format Medpro'!B113</f>
        <v>6.2961</v>
      </c>
      <c r="C115" s="107">
        <f>'Demande Format Medpro'!C113</f>
        <v>6.7679</v>
      </c>
      <c r="D115" s="107">
        <f>'Demande Format Medpro'!D113</f>
        <v>7.2196999999999996</v>
      </c>
      <c r="E115" s="107">
        <f>'Demande Format Medpro'!E113</f>
        <v>7.2439</v>
      </c>
      <c r="F115" s="107">
        <f>'Demande Format Medpro'!F113</f>
        <v>7.2420000000000098</v>
      </c>
      <c r="G115" s="107">
        <f>'Demande Format Medpro'!G113</f>
        <v>6.9114000000000004</v>
      </c>
      <c r="H115" s="107">
        <f>'Demande Format Medpro'!H113</f>
        <v>4.8289856636014603E-3</v>
      </c>
      <c r="I115" s="107">
        <f>'Demande Format Medpro'!I113</f>
        <v>1.30083932829694E-2</v>
      </c>
      <c r="J115" s="107">
        <f>'Demande Format Medpro'!J113</f>
        <v>6.6949092969248501E-4</v>
      </c>
      <c r="K115" s="107">
        <f>'Demande Format Medpro'!K113</f>
        <v>-5.2463434655591903E-5</v>
      </c>
      <c r="L115" s="107">
        <f>'Demande Format Medpro'!L113</f>
        <v>-2.3335325281442802E-3</v>
      </c>
    </row>
    <row r="116" spans="1:12">
      <c r="A116" s="106" t="s">
        <v>135</v>
      </c>
      <c r="B116" s="107">
        <f>'Demande Format Medpro'!B114</f>
        <v>2.0799999999999999E-2</v>
      </c>
      <c r="C116" s="107">
        <f>'Demande Format Medpro'!C114</f>
        <v>8.5300000000000001E-2</v>
      </c>
      <c r="D116" s="107">
        <f>'Demande Format Medpro'!D114</f>
        <v>0.1007</v>
      </c>
      <c r="E116" s="107">
        <f>'Demande Format Medpro'!E114</f>
        <v>0.1164</v>
      </c>
      <c r="F116" s="107">
        <f>'Demande Format Medpro'!F114</f>
        <v>0.1183</v>
      </c>
      <c r="G116" s="107">
        <f>'Demande Format Medpro'!G114</f>
        <v>0.12470000000000001</v>
      </c>
      <c r="H116" s="107">
        <f>'Demande Format Medpro'!H114</f>
        <v>0</v>
      </c>
      <c r="I116" s="107">
        <f>'Demande Format Medpro'!I114</f>
        <v>0</v>
      </c>
      <c r="J116" s="107">
        <f>'Demande Format Medpro'!J114</f>
        <v>0</v>
      </c>
      <c r="K116" s="107">
        <f>'Demande Format Medpro'!K114</f>
        <v>0</v>
      </c>
      <c r="L116" s="107">
        <f>'Demande Format Medpro'!L114</f>
        <v>0</v>
      </c>
    </row>
    <row r="117" spans="1:12">
      <c r="A117" s="106" t="s">
        <v>136</v>
      </c>
      <c r="B117" s="107">
        <f>'Demande Format Medpro'!B115</f>
        <v>0</v>
      </c>
      <c r="C117" s="107">
        <f>'Demande Format Medpro'!C115</f>
        <v>0.420688103993204</v>
      </c>
      <c r="D117" s="107">
        <f>'Demande Format Medpro'!D115</f>
        <v>0.65528600572635798</v>
      </c>
      <c r="E117" s="107">
        <f>'Demande Format Medpro'!E115</f>
        <v>0.85316975623719604</v>
      </c>
      <c r="F117" s="107">
        <f>'Demande Format Medpro'!F115</f>
        <v>1.0269460024889701</v>
      </c>
      <c r="G117" s="107">
        <f>'Demande Format Medpro'!G115</f>
        <v>1.45611201019554</v>
      </c>
      <c r="H117" s="107">
        <f>'Demande Format Medpro'!H115</f>
        <v>0</v>
      </c>
      <c r="I117" s="107">
        <f>'Demande Format Medpro'!I115</f>
        <v>0</v>
      </c>
      <c r="J117" s="107">
        <f>'Demande Format Medpro'!J115</f>
        <v>0</v>
      </c>
      <c r="K117" s="107">
        <f>'Demande Format Medpro'!K115</f>
        <v>0</v>
      </c>
      <c r="L117" s="107">
        <f>'Demande Format Medpro'!L115</f>
        <v>0</v>
      </c>
    </row>
    <row r="118" spans="1:12">
      <c r="A118" s="106"/>
      <c r="B118" s="107"/>
      <c r="C118" s="107"/>
      <c r="D118" s="107"/>
      <c r="E118" s="107"/>
      <c r="F118" s="107"/>
      <c r="G118" s="107"/>
      <c r="H118" s="107"/>
      <c r="I118" s="107"/>
      <c r="J118" s="107"/>
      <c r="K118" s="107"/>
      <c r="L118" s="107"/>
    </row>
    <row r="119" spans="1:12" ht="15" thickBot="1">
      <c r="A119" s="141" t="s">
        <v>10</v>
      </c>
      <c r="B119" s="126">
        <f>'Demande Format Medpro'!B117</f>
        <v>42.777299999999997</v>
      </c>
      <c r="C119" s="131">
        <f>'Demande Format Medpro'!C117</f>
        <v>42.093488103993202</v>
      </c>
      <c r="D119" s="131">
        <f>'Demande Format Medpro'!D117</f>
        <v>38.949986005726402</v>
      </c>
      <c r="E119" s="131">
        <f>'Demande Format Medpro'!E117</f>
        <v>37.427669756237201</v>
      </c>
      <c r="F119" s="131">
        <f>'Demande Format Medpro'!F117</f>
        <v>36.268246002489001</v>
      </c>
      <c r="G119" s="131">
        <f>'Demande Format Medpro'!G117</f>
        <v>34.636912010195502</v>
      </c>
      <c r="H119" s="131">
        <f>'Demande Format Medpro'!H117</f>
        <v>-1.0737255569641701E-3</v>
      </c>
      <c r="I119" s="131">
        <f>'Demande Format Medpro'!I117</f>
        <v>-1.54030681153818E-2</v>
      </c>
      <c r="J119" s="131">
        <f>'Demande Format Medpro'!J117</f>
        <v>-7.9419247568907093E-3</v>
      </c>
      <c r="K119" s="131">
        <f>'Demande Format Medpro'!K117</f>
        <v>-6.27377144735408E-3</v>
      </c>
      <c r="L119" s="131">
        <f>'Demande Format Medpro'!L117</f>
        <v>-2.2984873308317102E-3</v>
      </c>
    </row>
    <row r="120" spans="1:12">
      <c r="A120" s="111"/>
      <c r="B120" s="98"/>
      <c r="C120" s="98"/>
      <c r="D120" s="98"/>
      <c r="E120" s="98"/>
    </row>
    <row r="121" spans="1:12">
      <c r="B121" s="98"/>
      <c r="C121" s="98"/>
      <c r="D121" s="98"/>
      <c r="E121" s="98"/>
    </row>
    <row r="122" spans="1:12" ht="16" thickBot="1">
      <c r="A122" s="59" t="s">
        <v>137</v>
      </c>
      <c r="B122" s="53"/>
      <c r="C122" s="53"/>
      <c r="D122" s="53"/>
      <c r="E122" s="53"/>
      <c r="F122" s="53"/>
      <c r="G122" s="53"/>
      <c r="H122" s="53"/>
      <c r="I122" s="53"/>
      <c r="J122" s="53"/>
      <c r="K122" s="53"/>
      <c r="L122" s="53"/>
    </row>
    <row r="123" spans="1:12" ht="15" thickBot="1">
      <c r="A123" s="104" t="s">
        <v>51</v>
      </c>
      <c r="B123" s="105">
        <v>2000</v>
      </c>
      <c r="C123" s="105">
        <v>2015</v>
      </c>
      <c r="D123" s="105">
        <v>2020</v>
      </c>
      <c r="E123" s="105">
        <v>2025</v>
      </c>
      <c r="F123" s="105">
        <v>2030</v>
      </c>
      <c r="G123" s="105">
        <v>2050</v>
      </c>
      <c r="H123" s="113" t="s">
        <v>98</v>
      </c>
      <c r="I123" s="114" t="s">
        <v>99</v>
      </c>
      <c r="J123" s="114" t="s">
        <v>100</v>
      </c>
      <c r="K123" s="114" t="s">
        <v>101</v>
      </c>
      <c r="L123" s="115" t="s">
        <v>102</v>
      </c>
    </row>
    <row r="124" spans="1:12">
      <c r="A124" s="106" t="s">
        <v>138</v>
      </c>
      <c r="B124" s="107">
        <f>'Demande Format Medpro'!B122</f>
        <v>30.922000000000001</v>
      </c>
      <c r="C124" s="107">
        <f>'Demande Format Medpro'!C122</f>
        <v>28.023920309676601</v>
      </c>
      <c r="D124" s="107">
        <f>'Demande Format Medpro'!D122</f>
        <v>24.912528596675799</v>
      </c>
      <c r="E124" s="107">
        <f>'Demande Format Medpro'!E122</f>
        <v>23.5361416462416</v>
      </c>
      <c r="F124" s="107">
        <f>'Demande Format Medpro'!F122</f>
        <v>22.5010829799809</v>
      </c>
      <c r="G124" s="107">
        <f>'Demande Format Medpro'!G122</f>
        <v>20.207454330937399</v>
      </c>
      <c r="H124" s="107">
        <f>'Demande Format Medpro'!H122</f>
        <v>-6.5391568771049303E-3</v>
      </c>
      <c r="I124" s="107">
        <f>'Demande Format Medpro'!I122</f>
        <v>-2.32626749266578E-2</v>
      </c>
      <c r="J124" s="107">
        <f>'Demande Format Medpro'!J122</f>
        <v>-1.1302373056406001E-2</v>
      </c>
      <c r="K124" s="107">
        <f>'Demande Format Medpro'!K122</f>
        <v>-8.9544165915632599E-3</v>
      </c>
      <c r="L124" s="107">
        <f>'Demande Format Medpro'!L122</f>
        <v>-5.3611712440481104E-3</v>
      </c>
    </row>
    <row r="125" spans="1:12">
      <c r="A125" s="106" t="s">
        <v>139</v>
      </c>
      <c r="B125" s="107">
        <f>'Demande Format Medpro'!B123</f>
        <v>4.4291</v>
      </c>
      <c r="C125" s="107">
        <f>'Demande Format Medpro'!C123</f>
        <v>4.6972677943166401</v>
      </c>
      <c r="D125" s="107">
        <f>'Demande Format Medpro'!D123</f>
        <v>4.4479574090505798</v>
      </c>
      <c r="E125" s="107">
        <f>'Demande Format Medpro'!E123</f>
        <v>4.3295281099956302</v>
      </c>
      <c r="F125" s="107">
        <f>'Demande Format Medpro'!F123</f>
        <v>4.2373630225080401</v>
      </c>
      <c r="G125" s="107">
        <f>'Demande Format Medpro'!G123</f>
        <v>4.09635767925809</v>
      </c>
      <c r="H125" s="107">
        <f>'Demande Format Medpro'!H123</f>
        <v>3.9266636335164602E-3</v>
      </c>
      <c r="I125" s="107">
        <f>'Demande Format Medpro'!I123</f>
        <v>-1.0847939635284E-2</v>
      </c>
      <c r="J125" s="107">
        <f>'Demande Format Medpro'!J123</f>
        <v>-5.3827462339912603E-3</v>
      </c>
      <c r="K125" s="107">
        <f>'Demande Format Medpro'!K123</f>
        <v>-4.2942347802371597E-3</v>
      </c>
      <c r="L125" s="107">
        <f>'Demande Format Medpro'!L123</f>
        <v>-1.69071608403115E-3</v>
      </c>
    </row>
    <row r="126" spans="1:12">
      <c r="A126" s="106" t="s">
        <v>140</v>
      </c>
      <c r="B126" s="107">
        <f>'Demande Format Medpro'!B124</f>
        <v>2.4603000000000002</v>
      </c>
      <c r="C126" s="107">
        <f>'Demande Format Medpro'!C124</f>
        <v>2.6871999999999998</v>
      </c>
      <c r="D126" s="107">
        <f>'Demande Format Medpro'!D124</f>
        <v>2.7454999999999998</v>
      </c>
      <c r="E126" s="107">
        <f>'Demande Format Medpro'!E124</f>
        <v>2.7967</v>
      </c>
      <c r="F126" s="107">
        <f>'Demande Format Medpro'!F124</f>
        <v>2.8445</v>
      </c>
      <c r="G126" s="107">
        <f>'Demande Format Medpro'!G124</f>
        <v>2.9962</v>
      </c>
      <c r="H126" s="107">
        <f>'Demande Format Medpro'!H124</f>
        <v>5.89842531274898E-3</v>
      </c>
      <c r="I126" s="107">
        <f>'Demande Format Medpro'!I124</f>
        <v>4.3019164743893796E-3</v>
      </c>
      <c r="J126" s="107">
        <f>'Demande Format Medpro'!J124</f>
        <v>3.70222495769901E-3</v>
      </c>
      <c r="K126" s="107">
        <f>'Demande Format Medpro'!K124</f>
        <v>3.39518151968621E-3</v>
      </c>
      <c r="L126" s="107">
        <f>'Demande Format Medpro'!L124</f>
        <v>2.60125309774928E-3</v>
      </c>
    </row>
    <row r="127" spans="1:12">
      <c r="A127" s="106" t="s">
        <v>141</v>
      </c>
      <c r="B127" s="107">
        <f>'Demande Format Medpro'!B125</f>
        <v>0.96689999999999998</v>
      </c>
      <c r="C127" s="107">
        <f>'Demande Format Medpro'!C125</f>
        <v>0.70150000000000001</v>
      </c>
      <c r="D127" s="107">
        <f>'Demande Format Medpro'!D125</f>
        <v>0.67610000000000003</v>
      </c>
      <c r="E127" s="107">
        <f>'Demande Format Medpro'!E125</f>
        <v>0.64649999999999996</v>
      </c>
      <c r="F127" s="107">
        <f>'Demande Format Medpro'!F125</f>
        <v>0.6139</v>
      </c>
      <c r="G127" s="107">
        <f>'Demande Format Medpro'!G125</f>
        <v>0.4284</v>
      </c>
      <c r="H127" s="107">
        <f>'Demande Format Medpro'!H125</f>
        <v>-2.1164434117033299E-2</v>
      </c>
      <c r="I127" s="107">
        <f>'Demande Format Medpro'!I125</f>
        <v>-7.3488452993424299E-3</v>
      </c>
      <c r="J127" s="107">
        <f>'Demande Format Medpro'!J125</f>
        <v>-8.9135954275146902E-3</v>
      </c>
      <c r="K127" s="107">
        <f>'Demande Format Medpro'!K125</f>
        <v>-1.0294871238786901E-2</v>
      </c>
      <c r="L127" s="107">
        <f>'Demande Format Medpro'!L125</f>
        <v>-1.7827904019555099E-2</v>
      </c>
    </row>
    <row r="128" spans="1:12">
      <c r="A128" s="106" t="s">
        <v>142</v>
      </c>
      <c r="B128" s="107">
        <f>'Demande Format Medpro'!B126</f>
        <v>3.9872999999999998</v>
      </c>
      <c r="C128" s="107">
        <f>'Demande Format Medpro'!C126</f>
        <v>5.9343000000000004</v>
      </c>
      <c r="D128" s="107">
        <f>'Demande Format Medpro'!D126</f>
        <v>6.0978000000000003</v>
      </c>
      <c r="E128" s="107">
        <f>'Demande Format Medpro'!E126</f>
        <v>6.0098000000000003</v>
      </c>
      <c r="F128" s="107">
        <f>'Demande Format Medpro'!F126</f>
        <v>5.9207999999999998</v>
      </c>
      <c r="G128" s="107">
        <f>'Demande Format Medpro'!G126</f>
        <v>6.4943</v>
      </c>
      <c r="H128" s="107">
        <f>'Demande Format Medpro'!H126</f>
        <v>2.6863473013139599E-2</v>
      </c>
      <c r="I128" s="107">
        <f>'Demande Format Medpro'!I126</f>
        <v>5.4505954743069296E-3</v>
      </c>
      <c r="J128" s="107">
        <f>'Demande Format Medpro'!J126</f>
        <v>-2.9030939026749602E-3</v>
      </c>
      <c r="K128" s="107">
        <f>'Demande Format Medpro'!K126</f>
        <v>-2.9795314039316998E-3</v>
      </c>
      <c r="L128" s="107">
        <f>'Demande Format Medpro'!L126</f>
        <v>4.6333657072765702E-3</v>
      </c>
    </row>
    <row r="129" spans="1:12">
      <c r="A129" s="106" t="s">
        <v>143</v>
      </c>
      <c r="B129" s="107">
        <f>'Demande Format Medpro'!B127</f>
        <v>1.1599999999999999E-2</v>
      </c>
      <c r="C129" s="107">
        <f>'Demande Format Medpro'!C127</f>
        <v>4.9200000000000001E-2</v>
      </c>
      <c r="D129" s="107">
        <f>'Demande Format Medpro'!D127</f>
        <v>7.0000000000000007E-2</v>
      </c>
      <c r="E129" s="107">
        <f>'Demande Format Medpro'!E127</f>
        <v>0.1089</v>
      </c>
      <c r="F129" s="107">
        <f>'Demande Format Medpro'!F127</f>
        <v>0.15049999999999999</v>
      </c>
      <c r="G129" s="107">
        <f>'Demande Format Medpro'!G127</f>
        <v>0.4143</v>
      </c>
      <c r="H129" s="107">
        <f>'Demande Format Medpro'!H127</f>
        <v>0</v>
      </c>
      <c r="I129" s="107">
        <f>'Demande Format Medpro'!I127</f>
        <v>0</v>
      </c>
      <c r="J129" s="107">
        <f>'Demande Format Medpro'!J127</f>
        <v>0</v>
      </c>
      <c r="K129" s="107">
        <f>'Demande Format Medpro'!K127</f>
        <v>0</v>
      </c>
      <c r="L129" s="107">
        <f>'Demande Format Medpro'!L127</f>
        <v>0</v>
      </c>
    </row>
    <row r="130" spans="1:12">
      <c r="A130" s="106"/>
      <c r="B130" s="107"/>
      <c r="C130" s="107"/>
      <c r="D130" s="107"/>
      <c r="E130" s="107"/>
      <c r="F130" s="107"/>
      <c r="G130" s="107"/>
      <c r="H130" s="107"/>
      <c r="I130" s="107"/>
      <c r="J130" s="107"/>
      <c r="K130" s="107"/>
      <c r="L130" s="107"/>
    </row>
    <row r="131" spans="1:12" ht="15" thickBot="1">
      <c r="A131" s="141" t="s">
        <v>10</v>
      </c>
      <c r="B131" s="131">
        <f>'Demande Format Medpro'!B129</f>
        <v>42.777299999999997</v>
      </c>
      <c r="C131" s="131">
        <f>'Demande Format Medpro'!C129</f>
        <v>42.093488103993202</v>
      </c>
      <c r="D131" s="131">
        <f>'Demande Format Medpro'!D129</f>
        <v>38.949986005726402</v>
      </c>
      <c r="E131" s="131">
        <f>'Demande Format Medpro'!E129</f>
        <v>37.427669756237201</v>
      </c>
      <c r="F131" s="131">
        <f>'Demande Format Medpro'!F129</f>
        <v>36.268246002489001</v>
      </c>
      <c r="G131" s="131">
        <f>'Demande Format Medpro'!G129</f>
        <v>34.636912010195502</v>
      </c>
      <c r="H131" s="131">
        <f>'Demande Format Medpro'!H129</f>
        <v>-1.0737255569641701E-3</v>
      </c>
      <c r="I131" s="131">
        <f>'Demande Format Medpro'!I129</f>
        <v>-1.54030681153818E-2</v>
      </c>
      <c r="J131" s="131">
        <f>'Demande Format Medpro'!J129</f>
        <v>-7.9419247568907093E-3</v>
      </c>
      <c r="K131" s="131">
        <f>'Demande Format Medpro'!K129</f>
        <v>-6.27377144735408E-3</v>
      </c>
      <c r="L131" s="131">
        <f>'Demande Format Medpro'!L129</f>
        <v>-2.2984873308317102E-3</v>
      </c>
    </row>
    <row r="132" spans="1:12">
      <c r="A132" s="111"/>
      <c r="B132" s="98"/>
      <c r="C132" s="98"/>
      <c r="D132" s="98"/>
      <c r="E132" s="98"/>
    </row>
    <row r="133" spans="1:12">
      <c r="B133" s="98"/>
      <c r="C133" s="98"/>
      <c r="D133" s="98"/>
      <c r="E133" s="98"/>
    </row>
    <row r="134" spans="1:12" ht="16" thickBot="1">
      <c r="A134" s="59" t="s">
        <v>144</v>
      </c>
      <c r="B134" s="53"/>
      <c r="C134" s="53"/>
      <c r="D134" s="53"/>
      <c r="E134" s="53"/>
      <c r="F134" s="53"/>
      <c r="G134" s="53"/>
      <c r="H134" s="53"/>
      <c r="I134" s="53"/>
      <c r="J134" s="53"/>
      <c r="K134" s="53"/>
      <c r="L134" s="53"/>
    </row>
    <row r="135" spans="1:12" ht="15" thickBot="1">
      <c r="A135" s="104" t="s">
        <v>51</v>
      </c>
      <c r="B135" s="105">
        <v>2000</v>
      </c>
      <c r="C135" s="105">
        <v>2015</v>
      </c>
      <c r="D135" s="105">
        <v>2020</v>
      </c>
      <c r="E135" s="105">
        <v>2025</v>
      </c>
      <c r="F135" s="105">
        <v>2030</v>
      </c>
      <c r="G135" s="105">
        <v>2050</v>
      </c>
      <c r="H135" s="113" t="s">
        <v>98</v>
      </c>
      <c r="I135" s="114" t="s">
        <v>99</v>
      </c>
      <c r="J135" s="114" t="s">
        <v>100</v>
      </c>
      <c r="K135" s="114" t="s">
        <v>101</v>
      </c>
      <c r="L135" s="115" t="s">
        <v>102</v>
      </c>
    </row>
    <row r="136" spans="1:12">
      <c r="A136" s="106" t="s">
        <v>103</v>
      </c>
      <c r="B136" s="107">
        <f>'Demande Format Medpro'!B134</f>
        <v>9.0759000000000007</v>
      </c>
      <c r="C136" s="107">
        <f>'Demande Format Medpro'!C134</f>
        <v>6.5214999999999996</v>
      </c>
      <c r="D136" s="107">
        <f>'Demande Format Medpro'!D134</f>
        <v>5.1642000000000001</v>
      </c>
      <c r="E136" s="107">
        <f>'Demande Format Medpro'!E134</f>
        <v>4.3639999999999999</v>
      </c>
      <c r="F136" s="107">
        <f>'Demande Format Medpro'!F134</f>
        <v>3.6859000000000002</v>
      </c>
      <c r="G136" s="107">
        <f>'Demande Format Medpro'!G134</f>
        <v>2.8035000000000001</v>
      </c>
      <c r="H136" s="107">
        <f>'Demande Format Medpro'!H134</f>
        <v>-2.17935552584426E-2</v>
      </c>
      <c r="I136" s="107">
        <f>'Demande Format Medpro'!I134</f>
        <v>-4.5598505014204697E-2</v>
      </c>
      <c r="J136" s="107">
        <f>'Demande Format Medpro'!J134</f>
        <v>-3.3111627186345201E-2</v>
      </c>
      <c r="K136" s="107">
        <f>'Demande Format Medpro'!K134</f>
        <v>-3.3210864451994698E-2</v>
      </c>
      <c r="L136" s="107">
        <f>'Demande Format Medpro'!L134</f>
        <v>-1.35891273449983E-2</v>
      </c>
    </row>
    <row r="137" spans="1:12">
      <c r="A137" s="106" t="s">
        <v>54</v>
      </c>
      <c r="B137" s="107">
        <f>'Demande Format Medpro'!B135</f>
        <v>15.005599999999999</v>
      </c>
      <c r="C137" s="107">
        <f>'Demande Format Medpro'!C135</f>
        <v>14.2493</v>
      </c>
      <c r="D137" s="107">
        <f>'Demande Format Medpro'!D135</f>
        <v>12.052199999999999</v>
      </c>
      <c r="E137" s="107">
        <f>'Demande Format Medpro'!E135</f>
        <v>11.236800000000001</v>
      </c>
      <c r="F137" s="107">
        <f>'Demande Format Medpro'!F135</f>
        <v>10.642799999999999</v>
      </c>
      <c r="G137" s="107">
        <f>'Demande Format Medpro'!G135</f>
        <v>9.4556000000000004</v>
      </c>
      <c r="H137" s="107">
        <f>'Demande Format Medpro'!H135</f>
        <v>-3.44177560248382E-3</v>
      </c>
      <c r="I137" s="107">
        <f>'Demande Format Medpro'!I135</f>
        <v>-3.2937461927411801E-2</v>
      </c>
      <c r="J137" s="107">
        <f>'Demande Format Medpro'!J135</f>
        <v>-1.39129299038766E-2</v>
      </c>
      <c r="K137" s="107">
        <f>'Demande Format Medpro'!K135</f>
        <v>-1.0803320256092101E-2</v>
      </c>
      <c r="L137" s="107">
        <f>'Demande Format Medpro'!L135</f>
        <v>-5.8963702023894201E-3</v>
      </c>
    </row>
    <row r="138" spans="1:12">
      <c r="A138" s="106" t="s">
        <v>42</v>
      </c>
      <c r="B138" s="107">
        <f>'Demande Format Medpro'!B136</f>
        <v>0.06</v>
      </c>
      <c r="C138" s="107">
        <f>'Demande Format Medpro'!C136</f>
        <v>8.1900000000000001E-2</v>
      </c>
      <c r="D138" s="107">
        <f>'Demande Format Medpro'!D136</f>
        <v>1.0500000000000001E-2</v>
      </c>
      <c r="E138" s="107">
        <f>'Demande Format Medpro'!E136</f>
        <v>1.2E-2</v>
      </c>
      <c r="F138" s="107">
        <f>'Demande Format Medpro'!F136</f>
        <v>8.8000000000000005E-3</v>
      </c>
      <c r="G138" s="107">
        <f>'Demande Format Medpro'!G136</f>
        <v>7.1000000000000004E-3</v>
      </c>
      <c r="H138" s="107">
        <f>'Demande Format Medpro'!H136</f>
        <v>2.0960273043430001E-2</v>
      </c>
      <c r="I138" s="107">
        <f>'Demande Format Medpro'!I136</f>
        <v>-0.33689686759559401</v>
      </c>
      <c r="J138" s="107">
        <f>'Demande Format Medpro'!J136</f>
        <v>2.7066087089351799E-2</v>
      </c>
      <c r="K138" s="107">
        <f>'Demande Format Medpro'!K136</f>
        <v>-6.0146235650011301E-2</v>
      </c>
      <c r="L138" s="107">
        <f>'Demande Format Medpro'!L136</f>
        <v>-1.0675455379070199E-2</v>
      </c>
    </row>
    <row r="139" spans="1:12">
      <c r="A139" s="106" t="s">
        <v>104</v>
      </c>
      <c r="B139" s="107">
        <f>'Demande Format Medpro'!B137</f>
        <v>5.6010999999999997</v>
      </c>
      <c r="C139" s="107">
        <f>'Demande Format Medpro'!C137</f>
        <v>5.9565999999999999</v>
      </c>
      <c r="D139" s="107">
        <f>'Demande Format Medpro'!D137</f>
        <v>5.4618000000000002</v>
      </c>
      <c r="E139" s="107">
        <f>'Demande Format Medpro'!E137</f>
        <v>5.4223999999999997</v>
      </c>
      <c r="F139" s="107">
        <f>'Demande Format Medpro'!F137</f>
        <v>5.4825999999999997</v>
      </c>
      <c r="G139" s="107">
        <f>'Demande Format Medpro'!G137</f>
        <v>5.2826000000000004</v>
      </c>
      <c r="H139" s="107">
        <f>'Demande Format Medpro'!H137</f>
        <v>4.1108826907092499E-3</v>
      </c>
      <c r="I139" s="107">
        <f>'Demande Format Medpro'!I137</f>
        <v>-1.7194742215482599E-2</v>
      </c>
      <c r="J139" s="107">
        <f>'Demande Format Medpro'!J137</f>
        <v>-1.44692896472554E-3</v>
      </c>
      <c r="K139" s="107">
        <f>'Demande Format Medpro'!K137</f>
        <v>2.21062365883862E-3</v>
      </c>
      <c r="L139" s="107">
        <f>'Demande Format Medpro'!L137</f>
        <v>-1.85632690187798E-3</v>
      </c>
    </row>
    <row r="140" spans="1:12">
      <c r="A140" s="106" t="s">
        <v>105</v>
      </c>
      <c r="B140" s="107">
        <f>'Demande Format Medpro'!B138</f>
        <v>1.752</v>
      </c>
      <c r="C140" s="107">
        <f>'Demande Format Medpro'!C138</f>
        <v>1.3252999999999999</v>
      </c>
      <c r="D140" s="107">
        <f>'Demande Format Medpro'!D138</f>
        <v>1.4417</v>
      </c>
      <c r="E140" s="107">
        <f>'Demande Format Medpro'!E138</f>
        <v>1.4137999999999999</v>
      </c>
      <c r="F140" s="107">
        <f>'Demande Format Medpro'!F138</f>
        <v>1.3756999999999999</v>
      </c>
      <c r="G140" s="107">
        <f>'Demande Format Medpro'!G138</f>
        <v>1.2588999999999999</v>
      </c>
      <c r="H140" s="107">
        <f>'Demande Format Medpro'!H138</f>
        <v>-1.8435884011240002E-2</v>
      </c>
      <c r="I140" s="107">
        <f>'Demande Format Medpro'!I138</f>
        <v>1.69793629604462E-2</v>
      </c>
      <c r="J140" s="107">
        <f>'Demande Format Medpro'!J138</f>
        <v>-3.9007438724438801E-3</v>
      </c>
      <c r="K140" s="107">
        <f>'Demande Format Medpro'!K138</f>
        <v>-5.4487856764971997E-3</v>
      </c>
      <c r="L140" s="107">
        <f>'Demande Format Medpro'!L138</f>
        <v>-4.4263929524347399E-3</v>
      </c>
    </row>
    <row r="141" spans="1:12">
      <c r="A141" s="106" t="s">
        <v>134</v>
      </c>
      <c r="B141" s="107">
        <f>'Demande Format Medpro'!B139</f>
        <v>6.2961</v>
      </c>
      <c r="C141" s="107">
        <f>'Demande Format Medpro'!C139</f>
        <v>6.7679</v>
      </c>
      <c r="D141" s="107">
        <f>'Demande Format Medpro'!D139</f>
        <v>7.2196999999999996</v>
      </c>
      <c r="E141" s="107">
        <f>'Demande Format Medpro'!E139</f>
        <v>7.2439</v>
      </c>
      <c r="F141" s="107">
        <f>'Demande Format Medpro'!F139</f>
        <v>7.2420000000000098</v>
      </c>
      <c r="G141" s="107">
        <f>'Demande Format Medpro'!G139</f>
        <v>6.9114000000000004</v>
      </c>
      <c r="H141" s="107">
        <f>'Demande Format Medpro'!H139</f>
        <v>4.8289856636014603E-3</v>
      </c>
      <c r="I141" s="107">
        <f>'Demande Format Medpro'!I139</f>
        <v>1.30083932829694E-2</v>
      </c>
      <c r="J141" s="107">
        <f>'Demande Format Medpro'!J139</f>
        <v>6.6949092969248501E-4</v>
      </c>
      <c r="K141" s="107">
        <f>'Demande Format Medpro'!K139</f>
        <v>-5.2463434655591903E-5</v>
      </c>
      <c r="L141" s="107">
        <f>'Demande Format Medpro'!L139</f>
        <v>-2.3335325281442802E-3</v>
      </c>
    </row>
    <row r="142" spans="1:12">
      <c r="A142" s="106" t="s">
        <v>135</v>
      </c>
      <c r="B142" s="107">
        <f>'Demande Format Medpro'!B140</f>
        <v>2.0799999999999999E-2</v>
      </c>
      <c r="C142" s="107">
        <f>'Demande Format Medpro'!C140</f>
        <v>8.5300000000000001E-2</v>
      </c>
      <c r="D142" s="107">
        <f>'Demande Format Medpro'!D140</f>
        <v>0.1007</v>
      </c>
      <c r="E142" s="107">
        <f>'Demande Format Medpro'!E140</f>
        <v>0.1164</v>
      </c>
      <c r="F142" s="107">
        <f>'Demande Format Medpro'!F140</f>
        <v>0.1183</v>
      </c>
      <c r="G142" s="107">
        <f>'Demande Format Medpro'!G140</f>
        <v>0.12470000000000001</v>
      </c>
      <c r="H142" s="107">
        <f>'Demande Format Medpro'!H140</f>
        <v>0</v>
      </c>
      <c r="I142" s="107">
        <f>'Demande Format Medpro'!I140</f>
        <v>0</v>
      </c>
      <c r="J142" s="107">
        <f>'Demande Format Medpro'!J140</f>
        <v>0</v>
      </c>
      <c r="K142" s="107">
        <f>'Demande Format Medpro'!K140</f>
        <v>0</v>
      </c>
      <c r="L142" s="107">
        <f>'Demande Format Medpro'!L140</f>
        <v>0</v>
      </c>
    </row>
    <row r="143" spans="1:12">
      <c r="A143" s="106" t="s">
        <v>136</v>
      </c>
      <c r="B143" s="107">
        <f>'Demande Format Medpro'!B141</f>
        <v>0</v>
      </c>
      <c r="C143" s="107">
        <f>'Demande Format Medpro'!C141</f>
        <v>0.420688103993204</v>
      </c>
      <c r="D143" s="107">
        <f>'Demande Format Medpro'!D141</f>
        <v>0.65528600572635798</v>
      </c>
      <c r="E143" s="107">
        <f>'Demande Format Medpro'!E141</f>
        <v>0.85316975623719604</v>
      </c>
      <c r="F143" s="107">
        <f>'Demande Format Medpro'!F141</f>
        <v>1.0269460024889701</v>
      </c>
      <c r="G143" s="107">
        <f>'Demande Format Medpro'!G141</f>
        <v>1.45611201019554</v>
      </c>
      <c r="H143" s="107">
        <f>'Demande Format Medpro'!H141</f>
        <v>0</v>
      </c>
      <c r="I143" s="107">
        <f>'Demande Format Medpro'!I141</f>
        <v>0</v>
      </c>
      <c r="J143" s="107">
        <f>'Demande Format Medpro'!J141</f>
        <v>0</v>
      </c>
      <c r="K143" s="107">
        <f>'Demande Format Medpro'!K141</f>
        <v>0</v>
      </c>
      <c r="L143" s="107">
        <f>'Demande Format Medpro'!L141</f>
        <v>0</v>
      </c>
    </row>
    <row r="144" spans="1:12">
      <c r="A144" s="106"/>
      <c r="B144" s="107"/>
      <c r="C144" s="107"/>
      <c r="D144" s="107"/>
      <c r="E144" s="107"/>
      <c r="F144" s="107"/>
      <c r="G144" s="107"/>
      <c r="H144" s="107"/>
      <c r="I144" s="107"/>
      <c r="J144" s="107"/>
      <c r="K144" s="107"/>
      <c r="L144" s="107"/>
    </row>
    <row r="145" spans="1:18" ht="15" thickBot="1">
      <c r="A145" s="141" t="s">
        <v>10</v>
      </c>
      <c r="B145" s="126">
        <f>'Demande Format Medpro'!B143</f>
        <v>37.811500000000002</v>
      </c>
      <c r="C145" s="131">
        <f>'Demande Format Medpro'!C143</f>
        <v>35.4084881039932</v>
      </c>
      <c r="D145" s="131">
        <f>'Demande Format Medpro'!D143</f>
        <v>32.106086005726397</v>
      </c>
      <c r="E145" s="131">
        <f>'Demande Format Medpro'!E143</f>
        <v>30.662469756237201</v>
      </c>
      <c r="F145" s="131">
        <f>'Demande Format Medpro'!F143</f>
        <v>29.583046002488999</v>
      </c>
      <c r="G145" s="131">
        <f>'Demande Format Medpro'!G143</f>
        <v>27.299912010195499</v>
      </c>
      <c r="H145" s="131">
        <f>'Demande Format Medpro'!H143</f>
        <v>-4.3678809933656E-3</v>
      </c>
      <c r="I145" s="131">
        <f>'Demande Format Medpro'!I143</f>
        <v>-1.9390725865499302E-2</v>
      </c>
      <c r="J145" s="131">
        <f>'Demande Format Medpro'!J143</f>
        <v>-9.1590349797487907E-3</v>
      </c>
      <c r="K145" s="131">
        <f>'Demande Format Medpro'!K143</f>
        <v>-7.1419732611346402E-3</v>
      </c>
      <c r="L145" s="131">
        <f>'Demande Format Medpro'!L143</f>
        <v>-4.0078444641916703E-3</v>
      </c>
    </row>
    <row r="146" spans="1:18">
      <c r="B146" s="142"/>
      <c r="C146" s="142"/>
      <c r="D146" s="142"/>
      <c r="E146" s="142"/>
      <c r="F146" s="142"/>
      <c r="G146" s="142"/>
    </row>
    <row r="147" spans="1:18">
      <c r="B147" s="98"/>
      <c r="C147" s="98"/>
      <c r="D147" s="98"/>
      <c r="E147" s="98"/>
    </row>
    <row r="148" spans="1:18" ht="16" thickBot="1">
      <c r="A148" s="59" t="s">
        <v>145</v>
      </c>
      <c r="B148" s="53"/>
      <c r="C148" s="53"/>
      <c r="D148" s="53"/>
      <c r="E148" s="53"/>
      <c r="F148" s="53"/>
      <c r="G148" s="53"/>
      <c r="H148" s="53"/>
      <c r="I148" s="53"/>
      <c r="J148" s="53"/>
      <c r="K148" s="53"/>
      <c r="L148" s="53"/>
    </row>
    <row r="149" spans="1:18" ht="15" thickBot="1">
      <c r="A149" s="104" t="s">
        <v>51</v>
      </c>
      <c r="B149" s="105">
        <v>2000</v>
      </c>
      <c r="C149" s="105">
        <v>2015</v>
      </c>
      <c r="D149" s="105">
        <v>2020</v>
      </c>
      <c r="E149" s="105">
        <v>2025</v>
      </c>
      <c r="F149" s="105">
        <v>2030</v>
      </c>
      <c r="G149" s="105">
        <v>2050</v>
      </c>
      <c r="H149" s="113" t="s">
        <v>98</v>
      </c>
      <c r="I149" s="114" t="s">
        <v>99</v>
      </c>
      <c r="J149" s="114" t="s">
        <v>100</v>
      </c>
      <c r="K149" s="114" t="s">
        <v>101</v>
      </c>
      <c r="L149" s="115" t="s">
        <v>102</v>
      </c>
    </row>
    <row r="150" spans="1:18">
      <c r="A150" s="106" t="s">
        <v>103</v>
      </c>
      <c r="B150" s="121">
        <f>'Demande Format Medpro'!B148</f>
        <v>7.42</v>
      </c>
      <c r="C150" s="121">
        <f>'Demande Format Medpro'!C148</f>
        <v>5.2900999999999998</v>
      </c>
      <c r="D150" s="121">
        <f>'Demande Format Medpro'!D148</f>
        <v>4.2248000000000001</v>
      </c>
      <c r="E150" s="121">
        <f>'Demande Format Medpro'!E148</f>
        <v>3.6564000000000001</v>
      </c>
      <c r="F150" s="121">
        <f>'Demande Format Medpro'!F148</f>
        <v>3.2021000000000002</v>
      </c>
      <c r="G150" s="121">
        <f>'Demande Format Medpro'!G148</f>
        <v>2.3736000000000002</v>
      </c>
      <c r="H150" s="121">
        <f>'Demande Format Medpro'!H148</f>
        <v>-2.2303639699071901E-2</v>
      </c>
      <c r="I150" s="121">
        <f>'Demande Format Medpro'!I148</f>
        <v>-4.3976749265529899E-2</v>
      </c>
      <c r="J150" s="121">
        <f>'Demande Format Medpro'!J148</f>
        <v>-2.8485002797911701E-2</v>
      </c>
      <c r="K150" s="121">
        <f>'Demande Format Medpro'!K148</f>
        <v>-2.61854972954489E-2</v>
      </c>
      <c r="L150" s="121">
        <f>'Demande Format Medpro'!L148</f>
        <v>-1.4858460026491599E-2</v>
      </c>
      <c r="N150" s="108"/>
      <c r="O150" s="108"/>
      <c r="P150" s="108"/>
      <c r="Q150" s="108"/>
      <c r="R150" s="108"/>
    </row>
    <row r="151" spans="1:18">
      <c r="A151" s="106" t="s">
        <v>54</v>
      </c>
      <c r="B151" s="121">
        <f>'Demande Format Medpro'!B149</f>
        <v>12.598000000000001</v>
      </c>
      <c r="C151" s="121">
        <f>'Demande Format Medpro'!C149</f>
        <v>11.803000000000001</v>
      </c>
      <c r="D151" s="121">
        <f>'Demande Format Medpro'!D149</f>
        <v>9.6600999999999999</v>
      </c>
      <c r="E151" s="121">
        <f>'Demande Format Medpro'!E149</f>
        <v>8.9097000000000008</v>
      </c>
      <c r="F151" s="121">
        <f>'Demande Format Medpro'!F149</f>
        <v>8.3757000000000001</v>
      </c>
      <c r="G151" s="121">
        <f>'Demande Format Medpro'!G149</f>
        <v>7.4927999999999999</v>
      </c>
      <c r="H151" s="121">
        <f>'Demande Format Medpro'!H149</f>
        <v>-4.3361937627828303E-3</v>
      </c>
      <c r="I151" s="121">
        <f>'Demande Format Medpro'!I149</f>
        <v>-3.9277763087819002E-2</v>
      </c>
      <c r="J151" s="121">
        <f>'Demande Format Medpro'!J149</f>
        <v>-1.6042610135881E-2</v>
      </c>
      <c r="K151" s="121">
        <f>'Demande Format Medpro'!K149</f>
        <v>-1.22850973186632E-2</v>
      </c>
      <c r="L151" s="121">
        <f>'Demande Format Medpro'!L149</f>
        <v>-5.5541233492533201E-3</v>
      </c>
      <c r="N151" s="108"/>
      <c r="O151" s="108"/>
      <c r="P151" s="108"/>
      <c r="Q151" s="108"/>
      <c r="R151" s="108"/>
    </row>
    <row r="152" spans="1:18">
      <c r="A152" s="106" t="s">
        <v>42</v>
      </c>
      <c r="B152" s="121">
        <f>'Demande Format Medpro'!B150</f>
        <v>0.06</v>
      </c>
      <c r="C152" s="121">
        <f>'Demande Format Medpro'!C150</f>
        <v>8.1900000000000001E-2</v>
      </c>
      <c r="D152" s="121">
        <f>'Demande Format Medpro'!D150</f>
        <v>1.0500000000000001E-2</v>
      </c>
      <c r="E152" s="121">
        <f>'Demande Format Medpro'!E150</f>
        <v>1.2E-2</v>
      </c>
      <c r="F152" s="121">
        <f>'Demande Format Medpro'!F150</f>
        <v>8.8000000000000005E-3</v>
      </c>
      <c r="G152" s="121">
        <f>'Demande Format Medpro'!G150</f>
        <v>7.1000000000000004E-3</v>
      </c>
      <c r="H152" s="121">
        <f>'Demande Format Medpro'!H150</f>
        <v>2.0960273043430001E-2</v>
      </c>
      <c r="I152" s="121">
        <f>'Demande Format Medpro'!I150</f>
        <v>-0.33689686759559401</v>
      </c>
      <c r="J152" s="121">
        <f>'Demande Format Medpro'!J150</f>
        <v>2.7066087089351799E-2</v>
      </c>
      <c r="K152" s="121">
        <f>'Demande Format Medpro'!K150</f>
        <v>-6.0146235650011301E-2</v>
      </c>
      <c r="L152" s="121">
        <f>'Demande Format Medpro'!L150</f>
        <v>-1.0675455379070199E-2</v>
      </c>
      <c r="N152" s="108"/>
      <c r="O152" s="108"/>
      <c r="P152" s="108"/>
      <c r="Q152" s="108"/>
      <c r="R152" s="108"/>
    </row>
    <row r="153" spans="1:18">
      <c r="A153" s="106" t="s">
        <v>104</v>
      </c>
      <c r="B153" s="121">
        <f>'Demande Format Medpro'!B151</f>
        <v>3.2040000000000002</v>
      </c>
      <c r="C153" s="121">
        <f>'Demande Format Medpro'!C151</f>
        <v>2.6758000000000002</v>
      </c>
      <c r="D153" s="121">
        <f>'Demande Format Medpro'!D151</f>
        <v>2.1305000000000001</v>
      </c>
      <c r="E153" s="121">
        <f>'Demande Format Medpro'!E151</f>
        <v>1.9403999999999999</v>
      </c>
      <c r="F153" s="121">
        <f>'Demande Format Medpro'!F151</f>
        <v>1.8198000000000001</v>
      </c>
      <c r="G153" s="121">
        <f>'Demande Format Medpro'!G151</f>
        <v>1.5403</v>
      </c>
      <c r="H153" s="121">
        <f>'Demande Format Medpro'!H151</f>
        <v>-1.1938275053230101E-2</v>
      </c>
      <c r="I153" s="121">
        <f>'Demande Format Medpro'!I151</f>
        <v>-4.4555251258347403E-2</v>
      </c>
      <c r="J153" s="121">
        <f>'Demande Format Medpro'!J151</f>
        <v>-1.85188898144911E-2</v>
      </c>
      <c r="K153" s="121">
        <f>'Demande Format Medpro'!K151</f>
        <v>-1.27515081953163E-2</v>
      </c>
      <c r="L153" s="121">
        <f>'Demande Format Medpro'!L151</f>
        <v>-8.3028098039769106E-3</v>
      </c>
      <c r="N153" s="108"/>
      <c r="O153" s="108"/>
      <c r="P153" s="108"/>
      <c r="Q153" s="108"/>
      <c r="R153" s="108"/>
    </row>
    <row r="154" spans="1:18">
      <c r="A154" s="106" t="s">
        <v>105</v>
      </c>
      <c r="B154" s="121">
        <f>'Demande Format Medpro'!B152</f>
        <v>1.4530000000000001</v>
      </c>
      <c r="C154" s="121">
        <f>'Demande Format Medpro'!C152</f>
        <v>1.0764</v>
      </c>
      <c r="D154" s="121">
        <f>'Demande Format Medpro'!D152</f>
        <v>1.1569</v>
      </c>
      <c r="E154" s="121">
        <f>'Demande Format Medpro'!E152</f>
        <v>1.1224000000000001</v>
      </c>
      <c r="F154" s="121">
        <f>'Demande Format Medpro'!F152</f>
        <v>1.0828</v>
      </c>
      <c r="G154" s="121">
        <f>'Demande Format Medpro'!G152</f>
        <v>0.96579999999999999</v>
      </c>
      <c r="H154" s="121">
        <f>'Demande Format Medpro'!H152</f>
        <v>-1.9801865457175799E-2</v>
      </c>
      <c r="I154" s="121">
        <f>'Demande Format Medpro'!I152</f>
        <v>1.45289081355604E-2</v>
      </c>
      <c r="J154" s="121">
        <f>'Demande Format Medpro'!J152</f>
        <v>-6.0366585646151102E-3</v>
      </c>
      <c r="K154" s="121">
        <f>'Demande Format Medpro'!K152</f>
        <v>-7.1580524380782098E-3</v>
      </c>
      <c r="L154" s="121">
        <f>'Demande Format Medpro'!L152</f>
        <v>-5.7011257646408797E-3</v>
      </c>
      <c r="N154" s="108"/>
      <c r="O154" s="108"/>
      <c r="P154" s="108"/>
      <c r="Q154" s="108"/>
      <c r="R154" s="108"/>
    </row>
    <row r="155" spans="1:18">
      <c r="A155" s="106" t="s">
        <v>134</v>
      </c>
      <c r="B155" s="121">
        <f>'Demande Format Medpro'!B153</f>
        <v>6.1870000000000003</v>
      </c>
      <c r="C155" s="121">
        <f>'Demande Format Medpro'!C153</f>
        <v>6.6993999999999998</v>
      </c>
      <c r="D155" s="121">
        <f>'Demande Format Medpro'!D153</f>
        <v>7.1783999999999999</v>
      </c>
      <c r="E155" s="121">
        <f>'Demande Format Medpro'!E153</f>
        <v>7.2217000000000002</v>
      </c>
      <c r="F155" s="121">
        <f>'Demande Format Medpro'!F153</f>
        <v>7.2374000000000001</v>
      </c>
      <c r="G155" s="121">
        <f>'Demande Format Medpro'!G153</f>
        <v>6.9071999999999996</v>
      </c>
      <c r="H155" s="121">
        <f>'Demande Format Medpro'!H153</f>
        <v>5.3186040636485901E-3</v>
      </c>
      <c r="I155" s="121">
        <f>'Demande Format Medpro'!I153</f>
        <v>1.3907531676985699E-2</v>
      </c>
      <c r="J155" s="121">
        <f>'Demande Format Medpro'!J153</f>
        <v>1.20349667180797E-3</v>
      </c>
      <c r="K155" s="121">
        <f>'Demande Format Medpro'!K153</f>
        <v>4.3442305940599702E-4</v>
      </c>
      <c r="L155" s="121">
        <f>'Demande Format Medpro'!L153</f>
        <v>-2.3321602815591399E-3</v>
      </c>
      <c r="N155" s="108"/>
      <c r="O155" s="108"/>
      <c r="P155" s="108"/>
      <c r="Q155" s="108"/>
      <c r="R155" s="108"/>
    </row>
    <row r="156" spans="1:18">
      <c r="A156" s="106" t="s">
        <v>136</v>
      </c>
      <c r="B156" s="121">
        <f>'Demande Format Medpro'!B154</f>
        <v>0</v>
      </c>
      <c r="C156" s="121">
        <f>'Demande Format Medpro'!C154</f>
        <v>0.39732030967656001</v>
      </c>
      <c r="D156" s="121">
        <f>'Demande Format Medpro'!D154</f>
        <v>0.55132859667578105</v>
      </c>
      <c r="E156" s="121">
        <f>'Demande Format Medpro'!E154</f>
        <v>0.67354164624156099</v>
      </c>
      <c r="F156" s="121">
        <f>'Demande Format Medpro'!F154</f>
        <v>0.77448297998092896</v>
      </c>
      <c r="G156" s="121">
        <f>'Demande Format Medpro'!G154</f>
        <v>0.92065433093745397</v>
      </c>
      <c r="H156" s="121">
        <f>'Demande Format Medpro'!H154</f>
        <v>0</v>
      </c>
      <c r="I156" s="121">
        <f>'Demande Format Medpro'!I154</f>
        <v>0</v>
      </c>
      <c r="J156" s="121">
        <f>'Demande Format Medpro'!J154</f>
        <v>0</v>
      </c>
      <c r="K156" s="121">
        <f>'Demande Format Medpro'!K154</f>
        <v>0</v>
      </c>
      <c r="L156" s="121">
        <f>'Demande Format Medpro'!L154</f>
        <v>0</v>
      </c>
      <c r="N156" s="108"/>
      <c r="O156" s="108"/>
      <c r="P156" s="108"/>
      <c r="Q156" s="108"/>
      <c r="R156" s="108"/>
    </row>
    <row r="157" spans="1:18">
      <c r="A157" s="106"/>
      <c r="B157" s="121"/>
      <c r="C157" s="121"/>
      <c r="D157" s="121"/>
      <c r="E157" s="121"/>
      <c r="F157" s="121"/>
      <c r="G157" s="121"/>
      <c r="H157" s="121"/>
      <c r="I157" s="121"/>
      <c r="J157" s="121"/>
      <c r="K157" s="121"/>
      <c r="L157" s="121"/>
      <c r="N157" s="108"/>
      <c r="O157" s="108"/>
      <c r="P157" s="108"/>
      <c r="Q157" s="108"/>
      <c r="R157" s="108"/>
    </row>
    <row r="158" spans="1:18" ht="15" thickBot="1">
      <c r="A158" s="141" t="s">
        <v>10</v>
      </c>
      <c r="B158" s="378">
        <f>'Demande Format Medpro'!B156</f>
        <v>30.922000000000001</v>
      </c>
      <c r="C158" s="110">
        <f>'Demande Format Medpro'!C156</f>
        <v>28.023920309676601</v>
      </c>
      <c r="D158" s="110">
        <f>'Demande Format Medpro'!D156</f>
        <v>24.912528596675799</v>
      </c>
      <c r="E158" s="110">
        <f>'Demande Format Medpro'!E156</f>
        <v>23.5361416462416</v>
      </c>
      <c r="F158" s="110">
        <f>'Demande Format Medpro'!F156</f>
        <v>22.5010829799809</v>
      </c>
      <c r="G158" s="110">
        <f>'Demande Format Medpro'!G156</f>
        <v>20.207454330937399</v>
      </c>
      <c r="H158" s="110">
        <f>'Demande Format Medpro'!H156</f>
        <v>-6.5391568771049303E-3</v>
      </c>
      <c r="I158" s="110">
        <f>'Demande Format Medpro'!I156</f>
        <v>-2.32626749266578E-2</v>
      </c>
      <c r="J158" s="110">
        <f>'Demande Format Medpro'!J156</f>
        <v>-1.1302373056406001E-2</v>
      </c>
      <c r="K158" s="110">
        <f>'Demande Format Medpro'!K156</f>
        <v>-8.9544165915632599E-3</v>
      </c>
      <c r="L158" s="110">
        <f>'Demande Format Medpro'!L156</f>
        <v>-5.3611712440481104E-3</v>
      </c>
      <c r="N158" s="108"/>
      <c r="O158" s="108"/>
      <c r="P158" s="108"/>
      <c r="Q158" s="108"/>
      <c r="R158" s="108"/>
    </row>
    <row r="159" spans="1:18">
      <c r="A159" s="111"/>
      <c r="B159" s="98"/>
      <c r="D159" s="98"/>
      <c r="E159" s="98"/>
    </row>
    <row r="160" spans="1:18">
      <c r="A160" s="111"/>
      <c r="B160" s="98"/>
      <c r="C160" s="98"/>
      <c r="D160" s="98"/>
      <c r="E160" s="98"/>
    </row>
    <row r="161" spans="1:17" ht="16" thickBot="1">
      <c r="A161" s="59" t="s">
        <v>146</v>
      </c>
      <c r="B161" s="53"/>
      <c r="C161" s="53"/>
      <c r="D161" s="53"/>
      <c r="E161" s="53"/>
      <c r="F161" s="53"/>
      <c r="G161" s="53"/>
      <c r="H161" s="53"/>
      <c r="I161" s="53"/>
      <c r="J161" s="53"/>
      <c r="K161" s="53"/>
      <c r="L161" s="53"/>
    </row>
    <row r="162" spans="1:17" ht="15" thickBot="1">
      <c r="A162" s="144" t="s">
        <v>51</v>
      </c>
      <c r="B162" s="105">
        <v>2000</v>
      </c>
      <c r="C162" s="105">
        <v>2015</v>
      </c>
      <c r="D162" s="105">
        <v>2020</v>
      </c>
      <c r="E162" s="105">
        <v>2025</v>
      </c>
      <c r="F162" s="105">
        <v>2030</v>
      </c>
      <c r="G162" s="105">
        <v>2050</v>
      </c>
      <c r="H162" s="113" t="s">
        <v>98</v>
      </c>
      <c r="I162" s="114" t="s">
        <v>99</v>
      </c>
      <c r="J162" s="114" t="s">
        <v>100</v>
      </c>
      <c r="K162" s="114" t="s">
        <v>101</v>
      </c>
      <c r="L162" s="115" t="s">
        <v>102</v>
      </c>
    </row>
    <row r="163" spans="1:17">
      <c r="A163" s="106" t="s">
        <v>103</v>
      </c>
      <c r="B163" s="121">
        <f>'Demande Format Medpro'!B161</f>
        <v>0.97709999999999997</v>
      </c>
      <c r="C163" s="121">
        <f>'Demande Format Medpro'!C161</f>
        <v>0.61350000000000005</v>
      </c>
      <c r="D163" s="121">
        <f>'Demande Format Medpro'!D161</f>
        <v>0.37669999999999998</v>
      </c>
      <c r="E163" s="121">
        <f>'Demande Format Medpro'!E161</f>
        <v>0.2039</v>
      </c>
      <c r="F163" s="121">
        <f>'Demande Format Medpro'!F161</f>
        <v>4.2200000000000001E-2</v>
      </c>
      <c r="G163" s="121">
        <f>'Demande Format Medpro'!G161</f>
        <v>3.9600000000000003E-2</v>
      </c>
      <c r="H163" s="121">
        <f>'Demande Format Medpro'!H161</f>
        <v>-3.0550843920237099E-2</v>
      </c>
      <c r="I163" s="121">
        <f>'Demande Format Medpro'!I161</f>
        <v>-9.2939592716890201E-2</v>
      </c>
      <c r="J163" s="121">
        <f>'Demande Format Medpro'!J161</f>
        <v>-0.115527527017108</v>
      </c>
      <c r="K163" s="121">
        <f>'Demande Format Medpro'!K161</f>
        <v>-0.27024169690088501</v>
      </c>
      <c r="L163" s="121">
        <f>'Demande Format Medpro'!L161</f>
        <v>-3.1745057067026298E-3</v>
      </c>
      <c r="N163" s="108"/>
      <c r="O163" s="108"/>
      <c r="P163" s="108"/>
      <c r="Q163" s="108"/>
    </row>
    <row r="164" spans="1:17">
      <c r="A164" s="106" t="s">
        <v>54</v>
      </c>
      <c r="B164" s="121">
        <f>'Demande Format Medpro'!B162</f>
        <v>1.4520999999999999</v>
      </c>
      <c r="C164" s="121">
        <f>'Demande Format Medpro'!C162</f>
        <v>1.4991000000000001</v>
      </c>
      <c r="D164" s="121">
        <f>'Demande Format Medpro'!D162</f>
        <v>1.5206</v>
      </c>
      <c r="E164" s="121">
        <f>'Demande Format Medpro'!E162</f>
        <v>1.5376000000000001</v>
      </c>
      <c r="F164" s="121">
        <f>'Demande Format Medpro'!F162</f>
        <v>1.5640000000000001</v>
      </c>
      <c r="G164" s="121">
        <f>'Demande Format Medpro'!G162</f>
        <v>1.3273999999999999</v>
      </c>
      <c r="H164" s="121">
        <f>'Demande Format Medpro'!H162</f>
        <v>2.1258660212259998E-3</v>
      </c>
      <c r="I164" s="121">
        <f>'Demande Format Medpro'!I162</f>
        <v>2.8520725975464999E-3</v>
      </c>
      <c r="J164" s="121">
        <f>'Demande Format Medpro'!J162</f>
        <v>2.2260270117944198E-3</v>
      </c>
      <c r="K164" s="121">
        <f>'Demande Format Medpro'!K162</f>
        <v>3.41057941353551E-3</v>
      </c>
      <c r="L164" s="121">
        <f>'Demande Format Medpro'!L162</f>
        <v>-8.1676867214299804E-3</v>
      </c>
      <c r="N164" s="108"/>
      <c r="O164" s="108"/>
      <c r="P164" s="108"/>
      <c r="Q164" s="108"/>
    </row>
    <row r="165" spans="1:17">
      <c r="A165" s="106" t="s">
        <v>42</v>
      </c>
      <c r="B165" s="121">
        <f>'Demande Format Medpro'!B163</f>
        <v>0</v>
      </c>
      <c r="C165" s="121">
        <f>'Demande Format Medpro'!C163</f>
        <v>0</v>
      </c>
      <c r="D165" s="121">
        <f>'Demande Format Medpro'!D163</f>
        <v>0</v>
      </c>
      <c r="E165" s="121">
        <f>'Demande Format Medpro'!E163</f>
        <v>0</v>
      </c>
      <c r="F165" s="121">
        <f>'Demande Format Medpro'!F163</f>
        <v>0</v>
      </c>
      <c r="G165" s="121">
        <f>'Demande Format Medpro'!G163</f>
        <v>0</v>
      </c>
      <c r="H165" s="121" t="e">
        <f>'Demande Format Medpro'!H163</f>
        <v>#DIV/0!</v>
      </c>
      <c r="I165" s="121" t="e">
        <f>'Demande Format Medpro'!I163</f>
        <v>#DIV/0!</v>
      </c>
      <c r="J165" s="121" t="e">
        <f>'Demande Format Medpro'!J163</f>
        <v>#DIV/0!</v>
      </c>
      <c r="K165" s="121" t="e">
        <f>'Demande Format Medpro'!K163</f>
        <v>#DIV/0!</v>
      </c>
      <c r="L165" s="121" t="e">
        <f>'Demande Format Medpro'!L163</f>
        <v>#DIV/0!</v>
      </c>
      <c r="N165" s="108"/>
      <c r="O165" s="108"/>
      <c r="P165" s="108"/>
      <c r="Q165" s="108"/>
    </row>
    <row r="166" spans="1:17">
      <c r="A166" s="106" t="s">
        <v>104</v>
      </c>
      <c r="B166" s="121">
        <f>'Demande Format Medpro'!B164</f>
        <v>1.5710999999999999</v>
      </c>
      <c r="C166" s="121">
        <f>'Demande Format Medpro'!C164</f>
        <v>2.1585999999999999</v>
      </c>
      <c r="D166" s="121">
        <f>'Demande Format Medpro'!D164</f>
        <v>2.02</v>
      </c>
      <c r="E166" s="121">
        <f>'Demande Format Medpro'!E164</f>
        <v>1.9784999999999999</v>
      </c>
      <c r="F166" s="121">
        <f>'Demande Format Medpro'!F164</f>
        <v>1.9629000000000001</v>
      </c>
      <c r="G166" s="121">
        <f>'Demande Format Medpro'!G164</f>
        <v>1.7719</v>
      </c>
      <c r="H166" s="121">
        <f>'Demande Format Medpro'!H164</f>
        <v>2.1404788604523901E-2</v>
      </c>
      <c r="I166" s="121">
        <f>'Demande Format Medpro'!I164</f>
        <v>-1.31847795507305E-2</v>
      </c>
      <c r="J166" s="121">
        <f>'Demande Format Medpro'!J164</f>
        <v>-4.1430994975125701E-3</v>
      </c>
      <c r="K166" s="121">
        <f>'Demande Format Medpro'!K164</f>
        <v>-1.58194945308821E-3</v>
      </c>
      <c r="L166" s="121">
        <f>'Demande Format Medpro'!L164</f>
        <v>-5.1054503777423496E-3</v>
      </c>
      <c r="N166" s="108"/>
      <c r="O166" s="108"/>
      <c r="P166" s="108"/>
      <c r="Q166" s="108"/>
    </row>
    <row r="167" spans="1:17">
      <c r="A167" s="106" t="s">
        <v>105</v>
      </c>
      <c r="B167" s="121">
        <f>'Demande Format Medpro'!B165</f>
        <v>0.29899999999999999</v>
      </c>
      <c r="C167" s="121">
        <f>'Demande Format Medpro'!C165</f>
        <v>0.24890000000000001</v>
      </c>
      <c r="D167" s="121">
        <f>'Demande Format Medpro'!D165</f>
        <v>0.2848</v>
      </c>
      <c r="E167" s="121">
        <f>'Demande Format Medpro'!E165</f>
        <v>0.2913</v>
      </c>
      <c r="F167" s="121">
        <f>'Demande Format Medpro'!F165</f>
        <v>0.29289999999999999</v>
      </c>
      <c r="G167" s="121">
        <f>'Demande Format Medpro'!G165</f>
        <v>0.29310000000000003</v>
      </c>
      <c r="H167" s="121">
        <f>'Demande Format Medpro'!H165</f>
        <v>-1.2151721799731299E-2</v>
      </c>
      <c r="I167" s="121">
        <f>'Demande Format Medpro'!I165</f>
        <v>2.7313553045417601E-2</v>
      </c>
      <c r="J167" s="121">
        <f>'Demande Format Medpro'!J165</f>
        <v>4.5234971497356601E-3</v>
      </c>
      <c r="K167" s="121">
        <f>'Demande Format Medpro'!K165</f>
        <v>1.0961182726678699E-3</v>
      </c>
      <c r="L167" s="121">
        <f>'Demande Format Medpro'!L165</f>
        <v>3.4130276582500203E-5</v>
      </c>
      <c r="N167" s="108"/>
      <c r="O167" s="108"/>
      <c r="P167" s="108"/>
      <c r="Q167" s="108"/>
    </row>
    <row r="168" spans="1:17">
      <c r="A168" s="106" t="s">
        <v>134</v>
      </c>
      <c r="B168" s="121">
        <f>'Demande Format Medpro'!B166</f>
        <v>0.109</v>
      </c>
      <c r="C168" s="121">
        <f>'Demande Format Medpro'!C166</f>
        <v>6.8500000000000005E-2</v>
      </c>
      <c r="D168" s="121">
        <f>'Demande Format Medpro'!D166</f>
        <v>4.1200000000000001E-2</v>
      </c>
      <c r="E168" s="121">
        <f>'Demande Format Medpro'!E166</f>
        <v>2.2200000000000001E-2</v>
      </c>
      <c r="F168" s="121">
        <f>'Demande Format Medpro'!F166</f>
        <v>4.5999999999999999E-3</v>
      </c>
      <c r="G168" s="121">
        <f>'Demande Format Medpro'!G166</f>
        <v>4.1999999999999997E-3</v>
      </c>
      <c r="H168" s="121">
        <f>'Demande Format Medpro'!H166</f>
        <v>0</v>
      </c>
      <c r="I168" s="121">
        <f>'Demande Format Medpro'!I166</f>
        <v>0</v>
      </c>
      <c r="J168" s="121">
        <f>'Demande Format Medpro'!J166</f>
        <v>0</v>
      </c>
      <c r="K168" s="121">
        <f>'Demande Format Medpro'!K166</f>
        <v>0</v>
      </c>
      <c r="L168" s="121">
        <f>'Demande Format Medpro'!L166</f>
        <v>0</v>
      </c>
      <c r="N168" s="108"/>
      <c r="O168" s="108"/>
      <c r="P168" s="108"/>
      <c r="Q168" s="108"/>
    </row>
    <row r="169" spans="1:17">
      <c r="A169" s="106" t="s">
        <v>135</v>
      </c>
      <c r="B169" s="121">
        <f>'Demande Format Medpro'!B167</f>
        <v>2.0799999999999999E-2</v>
      </c>
      <c r="C169" s="121">
        <f>'Demande Format Medpro'!C167</f>
        <v>8.5300000000000001E-2</v>
      </c>
      <c r="D169" s="121">
        <f>'Demande Format Medpro'!D167</f>
        <v>0.1007</v>
      </c>
      <c r="E169" s="121">
        <f>'Demande Format Medpro'!E167</f>
        <v>0.1164</v>
      </c>
      <c r="F169" s="121">
        <f>'Demande Format Medpro'!F167</f>
        <v>0.1183</v>
      </c>
      <c r="G169" s="121">
        <f>'Demande Format Medpro'!G167</f>
        <v>0.12470000000000001</v>
      </c>
      <c r="H169" s="121">
        <f>'Demande Format Medpro'!H167</f>
        <v>9.8649206582596793E-2</v>
      </c>
      <c r="I169" s="121">
        <f>'Demande Format Medpro'!I167</f>
        <v>3.3751345622512897E-2</v>
      </c>
      <c r="J169" s="121">
        <f>'Demande Format Medpro'!J167</f>
        <v>2.94012753018515E-2</v>
      </c>
      <c r="K169" s="121">
        <f>'Demande Format Medpro'!K167</f>
        <v>3.2434959237554999E-3</v>
      </c>
      <c r="L169" s="121">
        <f>'Demande Format Medpro'!L167</f>
        <v>2.6378270448042E-3</v>
      </c>
      <c r="N169" s="108"/>
      <c r="O169" s="108"/>
      <c r="P169" s="108"/>
      <c r="Q169" s="108"/>
    </row>
    <row r="170" spans="1:17">
      <c r="A170" s="106" t="s">
        <v>136</v>
      </c>
      <c r="B170" s="121">
        <f>'Demande Format Medpro'!B168</f>
        <v>0</v>
      </c>
      <c r="C170" s="121">
        <f>'Demande Format Medpro'!C168</f>
        <v>2.3367794316644101E-2</v>
      </c>
      <c r="D170" s="121">
        <f>'Demande Format Medpro'!D168</f>
        <v>0.103957409050577</v>
      </c>
      <c r="E170" s="121">
        <f>'Demande Format Medpro'!E168</f>
        <v>0.179628109995635</v>
      </c>
      <c r="F170" s="121">
        <f>'Demande Format Medpro'!F168</f>
        <v>0.25246302250803898</v>
      </c>
      <c r="G170" s="121">
        <f>'Demande Format Medpro'!G168</f>
        <v>0.53545767925808696</v>
      </c>
      <c r="H170" s="121">
        <f>'Demande Format Medpro'!H168</f>
        <v>0</v>
      </c>
      <c r="I170" s="121">
        <f>'Demande Format Medpro'!I168</f>
        <v>0</v>
      </c>
      <c r="J170" s="121">
        <f>'Demande Format Medpro'!J168</f>
        <v>0</v>
      </c>
      <c r="K170" s="121">
        <f>'Demande Format Medpro'!K168</f>
        <v>0</v>
      </c>
      <c r="L170" s="121">
        <f>'Demande Format Medpro'!L168</f>
        <v>0</v>
      </c>
      <c r="N170" s="108"/>
      <c r="O170" s="108"/>
      <c r="P170" s="108"/>
      <c r="Q170" s="108"/>
    </row>
    <row r="171" spans="1:17">
      <c r="A171" s="106"/>
      <c r="B171" s="121"/>
      <c r="C171" s="121"/>
      <c r="D171" s="121"/>
      <c r="E171" s="121"/>
      <c r="F171" s="121"/>
      <c r="G171" s="121"/>
      <c r="H171" s="121"/>
      <c r="I171" s="121"/>
      <c r="J171" s="121"/>
      <c r="K171" s="121"/>
      <c r="L171" s="121"/>
      <c r="N171" s="108"/>
      <c r="O171" s="108"/>
      <c r="P171" s="108"/>
      <c r="Q171" s="108"/>
    </row>
    <row r="172" spans="1:17" ht="15" thickBot="1">
      <c r="A172" s="141" t="s">
        <v>10</v>
      </c>
      <c r="B172" s="378">
        <f>'Demande Format Medpro'!B170</f>
        <v>4.4291</v>
      </c>
      <c r="C172" s="110">
        <f>'Demande Format Medpro'!C170</f>
        <v>4.6972677943166401</v>
      </c>
      <c r="D172" s="110">
        <f>'Demande Format Medpro'!D170</f>
        <v>4.4479574090505798</v>
      </c>
      <c r="E172" s="110">
        <f>'Demande Format Medpro'!E170</f>
        <v>4.3295281099956302</v>
      </c>
      <c r="F172" s="110">
        <f>'Demande Format Medpro'!F170</f>
        <v>4.2373630225080401</v>
      </c>
      <c r="G172" s="110">
        <f>'Demande Format Medpro'!G170</f>
        <v>4.09635767925809</v>
      </c>
      <c r="H172" s="110">
        <f>'Demande Format Medpro'!H170</f>
        <v>3.9266636335164602E-3</v>
      </c>
      <c r="I172" s="110">
        <f>'Demande Format Medpro'!I170</f>
        <v>-1.0847939635284E-2</v>
      </c>
      <c r="J172" s="110">
        <f>'Demande Format Medpro'!J170</f>
        <v>-5.3827462339912603E-3</v>
      </c>
      <c r="K172" s="110">
        <f>'Demande Format Medpro'!K170</f>
        <v>-4.2942347802371597E-3</v>
      </c>
      <c r="L172" s="110">
        <f>'Demande Format Medpro'!L170</f>
        <v>-1.69071608403115E-3</v>
      </c>
      <c r="N172" s="108"/>
      <c r="O172" s="108"/>
      <c r="P172" s="108"/>
      <c r="Q172" s="108"/>
    </row>
    <row r="173" spans="1:17">
      <c r="A173" s="111"/>
      <c r="B173" s="98"/>
      <c r="C173" s="98"/>
      <c r="D173" s="98"/>
      <c r="E173" s="98"/>
    </row>
    <row r="174" spans="1:17">
      <c r="B174" s="98"/>
      <c r="C174" s="98"/>
      <c r="D174" s="98"/>
      <c r="E174" s="98"/>
    </row>
    <row r="175" spans="1:17" ht="16" thickBot="1">
      <c r="A175" s="59" t="s">
        <v>147</v>
      </c>
      <c r="B175" s="53"/>
      <c r="C175" s="53"/>
      <c r="D175" s="53"/>
      <c r="E175" s="53"/>
      <c r="F175" s="53"/>
      <c r="G175" s="53"/>
      <c r="H175" s="53"/>
      <c r="I175" s="53"/>
      <c r="J175" s="53"/>
      <c r="K175" s="53"/>
      <c r="L175" s="53"/>
    </row>
    <row r="176" spans="1:17" ht="15" thickBot="1">
      <c r="A176" s="104" t="s">
        <v>51</v>
      </c>
      <c r="B176" s="105">
        <v>2000</v>
      </c>
      <c r="C176" s="105">
        <v>2015</v>
      </c>
      <c r="D176" s="105">
        <v>2020</v>
      </c>
      <c r="E176" s="105">
        <v>2025</v>
      </c>
      <c r="F176" s="105">
        <v>2030</v>
      </c>
      <c r="G176" s="105">
        <v>2050</v>
      </c>
      <c r="H176" s="113" t="s">
        <v>98</v>
      </c>
      <c r="I176" s="114" t="s">
        <v>99</v>
      </c>
      <c r="J176" s="114" t="s">
        <v>100</v>
      </c>
      <c r="K176" s="114" t="s">
        <v>101</v>
      </c>
      <c r="L176" s="115" t="s">
        <v>102</v>
      </c>
    </row>
    <row r="177" spans="1:21">
      <c r="A177" s="106" t="s">
        <v>103</v>
      </c>
      <c r="B177" s="379"/>
      <c r="C177" s="379">
        <v>0.61787754876954737</v>
      </c>
      <c r="D177" s="121">
        <v>0.56698467124688645</v>
      </c>
      <c r="E177" s="121">
        <v>0.41349072896673383</v>
      </c>
      <c r="F177" s="121">
        <v>0.2783747952996008</v>
      </c>
      <c r="G177" s="121">
        <v>0.14231770688151879</v>
      </c>
      <c r="H177" s="380">
        <v>-6.2452325127548836E-3</v>
      </c>
      <c r="I177" s="381">
        <v>-1.7044673184611447E-2</v>
      </c>
      <c r="J177" s="381">
        <v>-6.1187438802784877E-2</v>
      </c>
      <c r="K177" s="381">
        <v>-7.608327939658166E-2</v>
      </c>
      <c r="L177" s="382">
        <v>-3.2988917577112642E-2</v>
      </c>
      <c r="N177" s="146"/>
      <c r="O177" s="146"/>
      <c r="P177" s="146"/>
      <c r="Q177" s="146"/>
      <c r="R177" s="146"/>
      <c r="S177" s="146"/>
      <c r="T177" s="146"/>
      <c r="U177" s="146"/>
    </row>
    <row r="178" spans="1:21">
      <c r="A178" s="106" t="s">
        <v>54</v>
      </c>
      <c r="B178" s="379">
        <v>0.95550701195492693</v>
      </c>
      <c r="C178" s="379">
        <v>0.9471618351452129</v>
      </c>
      <c r="D178" s="121">
        <v>0.83823992763478516</v>
      </c>
      <c r="E178" s="121">
        <v>0.64245054295487036</v>
      </c>
      <c r="F178" s="121">
        <v>0.5589352095883674</v>
      </c>
      <c r="G178" s="121">
        <v>0.38201068689249773</v>
      </c>
      <c r="H178" s="383">
        <v>-5.8463777549722096E-4</v>
      </c>
      <c r="I178" s="384">
        <v>-2.4137047881651941E-2</v>
      </c>
      <c r="J178" s="384">
        <v>-5.1812400269630299E-2</v>
      </c>
      <c r="K178" s="384">
        <v>-2.7466984642139591E-2</v>
      </c>
      <c r="L178" s="385">
        <v>-1.8849335751053742E-2</v>
      </c>
      <c r="N178" s="146"/>
      <c r="O178" s="146"/>
      <c r="P178" s="146"/>
      <c r="Q178" s="146"/>
      <c r="R178" s="146"/>
      <c r="S178" s="146"/>
      <c r="T178" s="146"/>
      <c r="U178" s="146"/>
    </row>
    <row r="179" spans="1:21">
      <c r="A179" s="106" t="s">
        <v>104</v>
      </c>
      <c r="B179" s="379">
        <v>0.82600000000000007</v>
      </c>
      <c r="C179" s="379">
        <v>1.1221837024344656</v>
      </c>
      <c r="D179" s="121">
        <v>1.2801854610800787</v>
      </c>
      <c r="E179" s="121">
        <v>1.6084817283664707</v>
      </c>
      <c r="F179" s="121">
        <v>1.7944935823414079</v>
      </c>
      <c r="G179" s="121">
        <v>1.9175419082714962</v>
      </c>
      <c r="H179" s="383">
        <v>2.0639238204596122E-2</v>
      </c>
      <c r="I179" s="384">
        <v>2.6695803050380995E-2</v>
      </c>
      <c r="J179" s="384">
        <v>4.6715482882137893E-2</v>
      </c>
      <c r="K179" s="384">
        <v>2.2127694242718876E-2</v>
      </c>
      <c r="L179" s="385">
        <v>3.3215669382815616E-3</v>
      </c>
      <c r="N179" s="146"/>
      <c r="O179" s="146"/>
      <c r="P179" s="146"/>
      <c r="Q179" s="146"/>
      <c r="R179" s="129"/>
      <c r="S179" s="146"/>
      <c r="T179" s="146"/>
      <c r="U179" s="146"/>
    </row>
    <row r="180" spans="1:21">
      <c r="A180" s="106"/>
      <c r="B180" s="379"/>
      <c r="C180" s="379"/>
      <c r="D180" s="107"/>
      <c r="E180" s="107"/>
      <c r="F180" s="107"/>
      <c r="G180" s="142"/>
      <c r="H180" s="383"/>
      <c r="I180" s="384"/>
      <c r="J180" s="384"/>
      <c r="K180" s="384"/>
      <c r="L180" s="385"/>
    </row>
    <row r="181" spans="1:21" ht="15" thickBot="1">
      <c r="A181" s="141" t="s">
        <v>10</v>
      </c>
      <c r="B181" s="386">
        <v>2.4602635678511495</v>
      </c>
      <c r="C181" s="387">
        <v>2.6872230863492259</v>
      </c>
      <c r="D181" s="145">
        <v>2.6854100599617503</v>
      </c>
      <c r="E181" s="145">
        <v>2.6644230002880747</v>
      </c>
      <c r="F181" s="145">
        <v>2.6318035872293759</v>
      </c>
      <c r="G181" s="145">
        <v>2.4418703020455128</v>
      </c>
      <c r="H181" s="388">
        <v>5.899994469378278E-3</v>
      </c>
      <c r="I181" s="389">
        <v>-1.349732281475946E-4</v>
      </c>
      <c r="J181" s="389">
        <v>-1.5679524467334671E-3</v>
      </c>
      <c r="K181" s="389">
        <v>-2.4605953999589092E-3</v>
      </c>
      <c r="L181" s="390">
        <v>-3.7382514184234328E-3</v>
      </c>
    </row>
    <row r="182" spans="1:21">
      <c r="B182" s="98"/>
      <c r="C182" s="98"/>
      <c r="D182" s="98"/>
      <c r="E182" s="98"/>
    </row>
    <row r="183" spans="1:21">
      <c r="B183" s="98"/>
      <c r="C183" s="98"/>
      <c r="D183" s="98"/>
      <c r="E183" s="98"/>
    </row>
    <row r="184" spans="1:21" ht="16" thickBot="1">
      <c r="A184" s="59" t="s">
        <v>148</v>
      </c>
      <c r="B184" s="53"/>
      <c r="C184" s="53"/>
      <c r="D184" s="53"/>
      <c r="E184" s="53"/>
      <c r="F184" s="53"/>
      <c r="G184" s="53"/>
      <c r="H184" s="53"/>
      <c r="I184" s="53"/>
      <c r="J184" s="53"/>
      <c r="K184" s="53"/>
      <c r="L184" s="53"/>
    </row>
    <row r="185" spans="1:21" ht="15" thickBot="1">
      <c r="A185" s="104"/>
      <c r="B185" s="105">
        <v>2000</v>
      </c>
      <c r="C185" s="105">
        <v>2015</v>
      </c>
      <c r="D185" s="105">
        <v>2020</v>
      </c>
      <c r="E185" s="105">
        <v>2025</v>
      </c>
      <c r="F185" s="105">
        <v>2030</v>
      </c>
      <c r="G185" s="105">
        <v>2050</v>
      </c>
      <c r="H185" s="113" t="s">
        <v>98</v>
      </c>
      <c r="I185" s="114" t="s">
        <v>99</v>
      </c>
      <c r="J185" s="114" t="s">
        <v>100</v>
      </c>
      <c r="K185" s="114" t="s">
        <v>101</v>
      </c>
      <c r="L185" s="115" t="s">
        <v>102</v>
      </c>
    </row>
    <row r="186" spans="1:21">
      <c r="A186" s="106" t="s">
        <v>149</v>
      </c>
      <c r="B186" s="147">
        <f>'Demande Format Medpro'!B175</f>
        <v>24.333600000000001</v>
      </c>
      <c r="C186" s="147">
        <f>'Demande Format Medpro'!C175</f>
        <v>28.339300000000001</v>
      </c>
      <c r="D186" s="147">
        <f>'Demande Format Medpro'!D175</f>
        <v>29.486799999999999</v>
      </c>
      <c r="E186" s="147">
        <f>'Demande Format Medpro'!E175</f>
        <v>30.563199999999998</v>
      </c>
      <c r="F186" s="147">
        <f>'Demande Format Medpro'!F175</f>
        <v>31.6767</v>
      </c>
      <c r="G186" s="147">
        <f>'Demande Format Medpro'!G175</f>
        <v>34.886899999999997</v>
      </c>
      <c r="H186" s="147">
        <f>'Demande Format Medpro'!H175</f>
        <v>1.02112103718381E-2</v>
      </c>
      <c r="I186" s="147">
        <f>'Demande Format Medpro'!I175</f>
        <v>7.9702288465317607E-3</v>
      </c>
      <c r="J186" s="147">
        <f>'Demande Format Medpro'!J175</f>
        <v>7.1965647566061301E-3</v>
      </c>
      <c r="K186" s="147">
        <f>'Demande Format Medpro'!K175</f>
        <v>7.1826169366853198E-3</v>
      </c>
      <c r="L186" s="147">
        <f>'Demande Format Medpro'!L175</f>
        <v>4.8381666003032304E-3</v>
      </c>
    </row>
    <row r="187" spans="1:21">
      <c r="A187" s="106" t="s">
        <v>150</v>
      </c>
      <c r="B187" s="147">
        <f>'Demande Format Medpro'!B176</f>
        <v>0.72678820211356199</v>
      </c>
      <c r="C187" s="147">
        <f>'Demande Format Medpro'!C176</f>
        <v>0.64822353265087995</v>
      </c>
      <c r="D187" s="147">
        <f>'Demande Format Medpro'!D176</f>
        <v>0.583033656203088</v>
      </c>
      <c r="E187" s="147">
        <f>'Demande Format Medpro'!E176</f>
        <v>0.54665582556994197</v>
      </c>
      <c r="F187" s="147">
        <f>'Demande Format Medpro'!F176</f>
        <v>0.51786525125971505</v>
      </c>
      <c r="G187" s="147">
        <f>'Demande Format Medpro'!G176</f>
        <v>0.46291147275682398</v>
      </c>
      <c r="H187" s="147">
        <f>'Demande Format Medpro'!H176</f>
        <v>-7.5976249600224798E-3</v>
      </c>
      <c r="I187" s="147">
        <f>'Demande Format Medpro'!I176</f>
        <v>-2.0975034865257002E-2</v>
      </c>
      <c r="J187" s="147">
        <f>'Demande Format Medpro'!J176</f>
        <v>-1.28024451307539E-2</v>
      </c>
      <c r="K187" s="147">
        <f>'Demande Format Medpro'!K176</f>
        <v>-1.0762530034204E-2</v>
      </c>
      <c r="L187" s="147">
        <f>'Demande Format Medpro'!L176</f>
        <v>-5.5932613135782896E-3</v>
      </c>
    </row>
    <row r="188" spans="1:21">
      <c r="A188" s="106" t="s">
        <v>151</v>
      </c>
      <c r="B188" s="147">
        <f>'Demande Format Medpro'!B177</f>
        <v>2087.9582554622998</v>
      </c>
      <c r="C188" s="147">
        <f>'Demande Format Medpro'!C177</f>
        <v>2286.9352613330402</v>
      </c>
      <c r="D188" s="147">
        <f>'Demande Format Medpro'!D177</f>
        <v>2178.91852842035</v>
      </c>
      <c r="E188" s="147">
        <f>'Demande Format Medpro'!E177</f>
        <v>2118.52449485023</v>
      </c>
      <c r="F188" s="147">
        <f>'Demande Format Medpro'!F177</f>
        <v>2079.48900164729</v>
      </c>
      <c r="G188" s="147">
        <f>'Demande Format Medpro'!G177</f>
        <v>2047.55886353649</v>
      </c>
      <c r="H188" s="147">
        <f>'Demande Format Medpro'!H177</f>
        <v>6.0868453574838303E-3</v>
      </c>
      <c r="I188" s="147">
        <f>'Demande Format Medpro'!I177</f>
        <v>-9.6301188556817702E-3</v>
      </c>
      <c r="J188" s="147">
        <f>'Demande Format Medpro'!J177</f>
        <v>-5.6059899545614104E-3</v>
      </c>
      <c r="K188" s="147">
        <f>'Demande Format Medpro'!K177</f>
        <v>-3.7126235333300199E-3</v>
      </c>
      <c r="L188" s="147">
        <f>'Demande Format Medpro'!L177</f>
        <v>-7.7339607167248303E-4</v>
      </c>
    </row>
    <row r="189" spans="1:21" ht="15" thickBot="1">
      <c r="A189" s="109" t="s">
        <v>152</v>
      </c>
      <c r="B189" s="393">
        <f>'Demande Format Medpro'!B178</f>
        <v>4.7056641153043199E-2</v>
      </c>
      <c r="C189" s="394">
        <f>'Demande Format Medpro'!C178</f>
        <v>3.7830929395763602E-2</v>
      </c>
      <c r="D189" s="394">
        <f>'Demande Format Medpro'!D178</f>
        <v>3.2334851141514999E-2</v>
      </c>
      <c r="E189" s="394">
        <f>'Demande Format Medpro'!E178</f>
        <v>2.9127896511607802E-2</v>
      </c>
      <c r="F189" s="394">
        <f>'Demande Format Medpro'!F178</f>
        <v>2.63301368687969E-2</v>
      </c>
      <c r="G189" s="394">
        <f>'Demande Format Medpro'!G178</f>
        <v>1.7949265120470299E-2</v>
      </c>
      <c r="H189" s="394">
        <f>'Demande Format Medpro'!H178</f>
        <v>-1.4443017738933899E-2</v>
      </c>
      <c r="I189" s="394">
        <f>'Demande Format Medpro'!I178</f>
        <v>-3.0908529703838599E-2</v>
      </c>
      <c r="J189" s="394">
        <f>'Demande Format Medpro'!J178</f>
        <v>-2.0673173078978799E-2</v>
      </c>
      <c r="K189" s="394">
        <f>'Demande Format Medpro'!K178</f>
        <v>-1.9993855320703E-2</v>
      </c>
      <c r="L189" s="394">
        <f>'Demande Format Medpro'!L178</f>
        <v>-1.8975897006451602E-2</v>
      </c>
    </row>
    <row r="190" spans="1:21">
      <c r="A190" s="139"/>
      <c r="F190" s="97"/>
    </row>
    <row r="191" spans="1:21">
      <c r="F191" s="97"/>
    </row>
    <row r="192" spans="1:21" ht="21">
      <c r="A192" s="52" t="s">
        <v>153</v>
      </c>
      <c r="B192" s="47"/>
      <c r="C192" s="47"/>
      <c r="D192" s="47"/>
      <c r="E192" s="47"/>
      <c r="F192" s="47"/>
      <c r="G192" s="140"/>
      <c r="H192" s="140"/>
      <c r="I192" s="140"/>
      <c r="J192" s="140"/>
      <c r="K192" s="140"/>
      <c r="L192" s="140"/>
    </row>
    <row r="193" spans="1:13">
      <c r="F193" s="97"/>
    </row>
    <row r="194" spans="1:13" ht="16" thickBot="1">
      <c r="A194" s="59" t="s">
        <v>154</v>
      </c>
      <c r="B194" s="53"/>
      <c r="C194" s="53"/>
      <c r="D194" s="53"/>
      <c r="E194" s="53"/>
      <c r="F194" s="53"/>
      <c r="G194" s="53"/>
      <c r="H194" s="53"/>
      <c r="I194" s="53"/>
      <c r="J194" s="53"/>
      <c r="K194" s="53"/>
      <c r="L194" s="53"/>
    </row>
    <row r="195" spans="1:13" ht="15" thickBot="1">
      <c r="A195" s="137" t="s">
        <v>51</v>
      </c>
      <c r="B195" s="105">
        <v>2000</v>
      </c>
      <c r="C195" s="105">
        <v>2015</v>
      </c>
      <c r="D195" s="105">
        <v>2020</v>
      </c>
      <c r="E195" s="105">
        <v>2025</v>
      </c>
      <c r="F195" s="105">
        <v>2030</v>
      </c>
      <c r="G195" s="105">
        <v>2050</v>
      </c>
      <c r="H195" s="113" t="s">
        <v>98</v>
      </c>
      <c r="I195" s="114" t="s">
        <v>99</v>
      </c>
      <c r="J195" s="114" t="s">
        <v>100</v>
      </c>
      <c r="K195" s="114" t="s">
        <v>101</v>
      </c>
      <c r="L195" s="115" t="s">
        <v>102</v>
      </c>
    </row>
    <row r="196" spans="1:13">
      <c r="A196" s="106" t="s">
        <v>103</v>
      </c>
      <c r="B196" s="121">
        <f>'Demande Format Medpro'!B185</f>
        <v>3.7561</v>
      </c>
      <c r="C196" s="121">
        <f>'Demande Format Medpro'!C185</f>
        <v>2.3746</v>
      </c>
      <c r="D196" s="121">
        <f>'Demande Format Medpro'!D185</f>
        <v>1.9155</v>
      </c>
      <c r="E196" s="121">
        <f>'Demande Format Medpro'!E185</f>
        <v>1.4925999999999999</v>
      </c>
      <c r="F196" s="121">
        <f>'Demande Format Medpro'!F185</f>
        <v>1.1229</v>
      </c>
      <c r="G196" s="121">
        <f>'Demande Format Medpro'!G185</f>
        <v>0.74460000000000004</v>
      </c>
      <c r="H196" s="121">
        <f>'Demande Format Medpro'!H185</f>
        <v>-3.0107603926098101E-2</v>
      </c>
      <c r="I196" s="121">
        <f>'Demande Format Medpro'!I185</f>
        <v>-4.2059932911037302E-2</v>
      </c>
      <c r="J196" s="121">
        <f>'Demande Format Medpro'!J185</f>
        <v>-4.86676696332956E-2</v>
      </c>
      <c r="K196" s="121">
        <f>'Demande Format Medpro'!K185</f>
        <v>-5.5331293629666801E-2</v>
      </c>
      <c r="L196" s="121">
        <f>'Demande Format Medpro'!L185</f>
        <v>-2.03316050780015E-2</v>
      </c>
      <c r="M196" s="146"/>
    </row>
    <row r="197" spans="1:13">
      <c r="A197" s="106" t="s">
        <v>54</v>
      </c>
      <c r="B197" s="121">
        <f>'Demande Format Medpro'!B186</f>
        <v>5.5961999999999996</v>
      </c>
      <c r="C197" s="121">
        <f>'Demande Format Medpro'!C186</f>
        <v>6.1024000000000003</v>
      </c>
      <c r="D197" s="121">
        <f>'Demande Format Medpro'!D186</f>
        <v>5.7868000000000004</v>
      </c>
      <c r="E197" s="121">
        <f>'Demande Format Medpro'!E186</f>
        <v>5.2241999999999997</v>
      </c>
      <c r="F197" s="121">
        <f>'Demande Format Medpro'!F186</f>
        <v>4.3676000000000004</v>
      </c>
      <c r="G197" s="121">
        <f>'Demande Format Medpro'!G186</f>
        <v>2.6025</v>
      </c>
      <c r="H197" s="121">
        <f>'Demande Format Medpro'!H186</f>
        <v>5.7896516525792804E-3</v>
      </c>
      <c r="I197" s="121">
        <f>'Demande Format Medpro'!I186</f>
        <v>-1.05643361785912E-2</v>
      </c>
      <c r="J197" s="121">
        <f>'Demande Format Medpro'!J186</f>
        <v>-2.0247761500076299E-2</v>
      </c>
      <c r="K197" s="121">
        <f>'Demande Format Medpro'!K186</f>
        <v>-3.5183743345156303E-2</v>
      </c>
      <c r="L197" s="121">
        <f>'Demande Format Medpro'!L186</f>
        <v>-2.5554859734163798E-2</v>
      </c>
      <c r="M197" s="146"/>
    </row>
    <row r="198" spans="1:13">
      <c r="A198" s="106" t="s">
        <v>42</v>
      </c>
      <c r="B198" s="121">
        <f>'Demande Format Medpro'!B187</f>
        <v>0.15870000000000001</v>
      </c>
      <c r="C198" s="121">
        <f>'Demande Format Medpro'!C187</f>
        <v>6.5500000000000003E-2</v>
      </c>
      <c r="D198" s="121">
        <f>'Demande Format Medpro'!D187</f>
        <v>0</v>
      </c>
      <c r="E198" s="121">
        <f>'Demande Format Medpro'!E187</f>
        <v>0</v>
      </c>
      <c r="F198" s="121">
        <f>'Demande Format Medpro'!F187</f>
        <v>0</v>
      </c>
      <c r="G198" s="121">
        <f>'Demande Format Medpro'!G187</f>
        <v>0</v>
      </c>
      <c r="H198" s="121">
        <f>'Demande Format Medpro'!H187</f>
        <v>-5.7291061665288301E-2</v>
      </c>
      <c r="I198" s="121">
        <f>'Demande Format Medpro'!I187</f>
        <v>-1</v>
      </c>
      <c r="J198" s="121" t="e">
        <f>'Demande Format Medpro'!J187</f>
        <v>#DIV/0!</v>
      </c>
      <c r="K198" s="121" t="e">
        <f>'Demande Format Medpro'!K187</f>
        <v>#DIV/0!</v>
      </c>
      <c r="L198" s="121" t="e">
        <f>'Demande Format Medpro'!L187</f>
        <v>#DIV/0!</v>
      </c>
      <c r="M198" s="146"/>
    </row>
    <row r="199" spans="1:13">
      <c r="A199" s="106" t="s">
        <v>104</v>
      </c>
      <c r="B199" s="121">
        <f>'Demande Format Medpro'!B188</f>
        <v>9.33</v>
      </c>
      <c r="C199" s="121">
        <f>'Demande Format Medpro'!C188</f>
        <v>12.408300000000001</v>
      </c>
      <c r="D199" s="121">
        <f>'Demande Format Medpro'!D188</f>
        <v>12.885300000000001</v>
      </c>
      <c r="E199" s="121">
        <f>'Demande Format Medpro'!E188</f>
        <v>13.4857</v>
      </c>
      <c r="F199" s="121">
        <f>'Demande Format Medpro'!F188</f>
        <v>14.125299999999999</v>
      </c>
      <c r="G199" s="121">
        <f>'Demande Format Medpro'!G188</f>
        <v>17.1599</v>
      </c>
      <c r="H199" s="121">
        <f>'Demande Format Medpro'!H188</f>
        <v>1.9190521561260901E-2</v>
      </c>
      <c r="I199" s="121">
        <f>'Demande Format Medpro'!I188</f>
        <v>7.5728346050991701E-3</v>
      </c>
      <c r="J199" s="121">
        <f>'Demande Format Medpro'!J188</f>
        <v>9.1501566671643407E-3</v>
      </c>
      <c r="K199" s="121">
        <f>'Demande Format Medpro'!K188</f>
        <v>9.3106067204133895E-3</v>
      </c>
      <c r="L199" s="121">
        <f>'Demande Format Medpro'!L188</f>
        <v>9.7778816809108698E-3</v>
      </c>
      <c r="M199" s="146"/>
    </row>
    <row r="200" spans="1:13">
      <c r="A200" s="106" t="s">
        <v>105</v>
      </c>
      <c r="B200" s="121">
        <f>'Demande Format Medpro'!B189</f>
        <v>0.85540000000000005</v>
      </c>
      <c r="C200" s="121">
        <f>'Demande Format Medpro'!C189</f>
        <v>0.81569999999999998</v>
      </c>
      <c r="D200" s="121">
        <f>'Demande Format Medpro'!D189</f>
        <v>0.73019999999999996</v>
      </c>
      <c r="E200" s="121">
        <f>'Demande Format Medpro'!E189</f>
        <v>0.69030000000000002</v>
      </c>
      <c r="F200" s="121">
        <f>'Demande Format Medpro'!F189</f>
        <v>0.70609999999999995</v>
      </c>
      <c r="G200" s="121">
        <f>'Demande Format Medpro'!G189</f>
        <v>0.83020000000000005</v>
      </c>
      <c r="H200" s="121">
        <f>'Demande Format Medpro'!H189</f>
        <v>-3.1631570098044101E-3</v>
      </c>
      <c r="I200" s="121">
        <f>'Demande Format Medpro'!I189</f>
        <v>-2.19022198260551E-2</v>
      </c>
      <c r="J200" s="121">
        <f>'Demande Format Medpro'!J189</f>
        <v>-1.11755213831751E-2</v>
      </c>
      <c r="K200" s="121">
        <f>'Demande Format Medpro'!K189</f>
        <v>4.5363753009275403E-3</v>
      </c>
      <c r="L200" s="121">
        <f>'Demande Format Medpro'!L189</f>
        <v>8.1283453247007493E-3</v>
      </c>
      <c r="M200" s="146"/>
    </row>
    <row r="201" spans="1:13">
      <c r="A201" s="106" t="s">
        <v>134</v>
      </c>
      <c r="B201" s="121">
        <f>'Demande Format Medpro'!B190</f>
        <v>0.32079999999999997</v>
      </c>
      <c r="C201" s="121">
        <f>'Demande Format Medpro'!C190</f>
        <v>0.43919999999999998</v>
      </c>
      <c r="D201" s="121">
        <f>'Demande Format Medpro'!D190</f>
        <v>0.28920000000000001</v>
      </c>
      <c r="E201" s="121">
        <f>'Demande Format Medpro'!E190</f>
        <v>0.1908</v>
      </c>
      <c r="F201" s="121">
        <f>'Demande Format Medpro'!F190</f>
        <v>0.1142</v>
      </c>
      <c r="G201" s="121">
        <f>'Demande Format Medpro'!G190</f>
        <v>4.9099999999999998E-2</v>
      </c>
      <c r="H201" s="121">
        <f>'Demande Format Medpro'!H190</f>
        <v>2.11632999858604E-2</v>
      </c>
      <c r="I201" s="121">
        <f>'Demande Format Medpro'!I190</f>
        <v>-8.0170801502706598E-2</v>
      </c>
      <c r="J201" s="121">
        <f>'Demande Format Medpro'!J190</f>
        <v>-7.9813163360698103E-2</v>
      </c>
      <c r="K201" s="121">
        <f>'Demande Format Medpro'!K190</f>
        <v>-9.7561641878772601E-2</v>
      </c>
      <c r="L201" s="121">
        <f>'Demande Format Medpro'!L190</f>
        <v>-4.1326396695113801E-2</v>
      </c>
      <c r="M201" s="146"/>
    </row>
    <row r="202" spans="1:13">
      <c r="A202" s="106" t="s">
        <v>135</v>
      </c>
      <c r="B202" s="121">
        <f>'Demande Format Medpro'!B191</f>
        <v>0</v>
      </c>
      <c r="C202" s="121">
        <f>'Demande Format Medpro'!C191</f>
        <v>8.9099999999999999E-2</v>
      </c>
      <c r="D202" s="121">
        <f>'Demande Format Medpro'!D191</f>
        <v>7.9899999999999999E-2</v>
      </c>
      <c r="E202" s="121">
        <f>'Demande Format Medpro'!E191</f>
        <v>6.5100000000000005E-2</v>
      </c>
      <c r="F202" s="121">
        <f>'Demande Format Medpro'!F191</f>
        <v>5.2400000000000002E-2</v>
      </c>
      <c r="G202" s="121">
        <f>'Demande Format Medpro'!G191</f>
        <v>3.4099999999999998E-2</v>
      </c>
      <c r="H202" s="121">
        <f>'Demande Format Medpro'!H191</f>
        <v>0</v>
      </c>
      <c r="I202" s="121">
        <f>'Demande Format Medpro'!I191</f>
        <v>0</v>
      </c>
      <c r="J202" s="121">
        <f>'Demande Format Medpro'!J191</f>
        <v>0</v>
      </c>
      <c r="K202" s="121">
        <f>'Demande Format Medpro'!K191</f>
        <v>0</v>
      </c>
      <c r="L202" s="121">
        <f>'Demande Format Medpro'!L191</f>
        <v>0</v>
      </c>
      <c r="M202" s="146"/>
    </row>
    <row r="203" spans="1:13">
      <c r="A203" s="106" t="s">
        <v>136</v>
      </c>
      <c r="B203" s="121">
        <f>'Demande Format Medpro'!B192</f>
        <v>0</v>
      </c>
      <c r="C203" s="121">
        <f>'Demande Format Medpro'!C192</f>
        <v>0.70541508524818897</v>
      </c>
      <c r="D203" s="121">
        <f>'Demande Format Medpro'!D192</f>
        <v>0.84021412129145101</v>
      </c>
      <c r="E203" s="121">
        <f>'Demande Format Medpro'!E192</f>
        <v>0.92974017049510504</v>
      </c>
      <c r="F203" s="121">
        <f>'Demande Format Medpro'!F192</f>
        <v>0.95436496257908998</v>
      </c>
      <c r="G203" s="121">
        <f>'Demande Format Medpro'!G192</f>
        <v>1.2473564476953301</v>
      </c>
      <c r="H203" s="121">
        <f>'Demande Format Medpro'!H192</f>
        <v>0</v>
      </c>
      <c r="I203" s="121">
        <f>'Demande Format Medpro'!I192</f>
        <v>0</v>
      </c>
      <c r="J203" s="121">
        <f>'Demande Format Medpro'!J192</f>
        <v>0</v>
      </c>
      <c r="K203" s="121">
        <f>'Demande Format Medpro'!K192</f>
        <v>0</v>
      </c>
      <c r="L203" s="121">
        <f>'Demande Format Medpro'!L192</f>
        <v>0</v>
      </c>
      <c r="M203" s="146"/>
    </row>
    <row r="204" spans="1:13">
      <c r="A204" s="106"/>
      <c r="B204" s="121"/>
      <c r="C204" s="121"/>
      <c r="D204" s="121"/>
      <c r="E204" s="121"/>
      <c r="F204" s="121"/>
      <c r="G204" s="121"/>
      <c r="H204" s="121"/>
      <c r="I204" s="121"/>
      <c r="J204" s="121"/>
      <c r="K204" s="121"/>
      <c r="L204" s="121"/>
    </row>
    <row r="205" spans="1:13" ht="15" thickBot="1">
      <c r="A205" s="109" t="s">
        <v>10</v>
      </c>
      <c r="B205" s="378">
        <f>'Demande Format Medpro'!B194</f>
        <v>20.017199999999999</v>
      </c>
      <c r="C205" s="110">
        <f>'Demande Format Medpro'!C194</f>
        <v>23.0002150852482</v>
      </c>
      <c r="D205" s="110">
        <f>'Demande Format Medpro'!D194</f>
        <v>22.5271141212915</v>
      </c>
      <c r="E205" s="110">
        <f>'Demande Format Medpro'!E194</f>
        <v>22.078440170495099</v>
      </c>
      <c r="F205" s="110">
        <f>'Demande Format Medpro'!F194</f>
        <v>21.442864962579101</v>
      </c>
      <c r="G205" s="110">
        <f>'Demande Format Medpro'!G194</f>
        <v>22.6677564476953</v>
      </c>
      <c r="H205" s="110">
        <f>'Demande Format Medpro'!H194</f>
        <v>9.3037912415132595E-3</v>
      </c>
      <c r="I205" s="110">
        <f>'Demande Format Medpro'!I194</f>
        <v>-4.1481548719571899E-3</v>
      </c>
      <c r="J205" s="110">
        <f>'Demande Format Medpro'!J194</f>
        <v>-4.0155323599075903E-3</v>
      </c>
      <c r="K205" s="110">
        <f>'Demande Format Medpro'!K194</f>
        <v>-5.8248931822137999E-3</v>
      </c>
      <c r="L205" s="110">
        <f>'Demande Format Medpro'!L194</f>
        <v>2.7814380241897299E-3</v>
      </c>
    </row>
    <row r="206" spans="1:13">
      <c r="A206" s="111"/>
      <c r="B206" s="98"/>
      <c r="C206" s="98"/>
      <c r="D206" s="98"/>
      <c r="E206" s="98"/>
    </row>
    <row r="207" spans="1:13">
      <c r="A207" s="111"/>
      <c r="B207" s="98"/>
      <c r="C207" s="98"/>
      <c r="D207" s="98"/>
      <c r="E207" s="98"/>
    </row>
    <row r="208" spans="1:13" ht="16" thickBot="1">
      <c r="A208" s="59" t="s">
        <v>155</v>
      </c>
      <c r="B208" s="53"/>
      <c r="C208" s="53"/>
      <c r="D208" s="53"/>
      <c r="E208" s="53"/>
      <c r="F208" s="53"/>
      <c r="G208" s="53"/>
      <c r="H208" s="53"/>
      <c r="I208" s="53"/>
      <c r="J208" s="53"/>
      <c r="K208" s="53"/>
      <c r="L208" s="53"/>
    </row>
    <row r="209" spans="1:14" ht="15" thickBot="1">
      <c r="A209" s="137" t="s">
        <v>51</v>
      </c>
      <c r="B209" s="105">
        <v>2000</v>
      </c>
      <c r="C209" s="105">
        <v>2015</v>
      </c>
      <c r="D209" s="105">
        <v>2020</v>
      </c>
      <c r="E209" s="105">
        <v>2025</v>
      </c>
      <c r="F209" s="105">
        <v>2030</v>
      </c>
      <c r="G209" s="105">
        <v>2050</v>
      </c>
      <c r="H209" s="113" t="s">
        <v>98</v>
      </c>
      <c r="I209" s="114" t="s">
        <v>99</v>
      </c>
      <c r="J209" s="114" t="s">
        <v>100</v>
      </c>
      <c r="K209" s="114" t="s">
        <v>101</v>
      </c>
      <c r="L209" s="115" t="s">
        <v>102</v>
      </c>
    </row>
    <row r="210" spans="1:14">
      <c r="A210" s="106" t="s">
        <v>138</v>
      </c>
      <c r="B210" s="121">
        <f>'Demande Format Medpro'!B199</f>
        <v>9.3125</v>
      </c>
      <c r="C210" s="121">
        <f>'Demande Format Medpro'!C199</f>
        <v>9.4195150852481895</v>
      </c>
      <c r="D210" s="121">
        <f>'Demande Format Medpro'!D199</f>
        <v>8.5917141212914494</v>
      </c>
      <c r="E210" s="121">
        <f>'Demande Format Medpro'!E199</f>
        <v>7.7719401704950997</v>
      </c>
      <c r="F210" s="121">
        <f>'Demande Format Medpro'!F199</f>
        <v>6.7008649625790904</v>
      </c>
      <c r="G210" s="121">
        <f>'Demande Format Medpro'!G199</f>
        <v>5.20145644769533</v>
      </c>
      <c r="H210" s="121">
        <f>'Demande Format Medpro'!H199</f>
        <v>7.6202528770386003E-4</v>
      </c>
      <c r="I210" s="121">
        <f>'Demande Format Medpro'!I199</f>
        <v>-1.8228876035648999E-2</v>
      </c>
      <c r="J210" s="121">
        <f>'Demande Format Medpro'!J199</f>
        <v>-1.9855908742122699E-2</v>
      </c>
      <c r="K210" s="121">
        <f>'Demande Format Medpro'!K199</f>
        <v>-2.9221200253626501E-2</v>
      </c>
      <c r="L210" s="121">
        <f>'Demande Format Medpro'!L199</f>
        <v>-1.25850349185209E-2</v>
      </c>
      <c r="N210" s="108"/>
    </row>
    <row r="211" spans="1:14">
      <c r="A211" s="106" t="s">
        <v>156</v>
      </c>
      <c r="B211" s="121">
        <f>'Demande Format Medpro'!B200</f>
        <v>3.78571461736888</v>
      </c>
      <c r="C211" s="121">
        <f>'Demande Format Medpro'!C200</f>
        <v>3.9586567497850398</v>
      </c>
      <c r="D211" s="121">
        <f>'Demande Format Medpro'!D200</f>
        <v>3.97265709372313</v>
      </c>
      <c r="E211" s="121">
        <f>'Demande Format Medpro'!E200</f>
        <v>3.9334647463456598</v>
      </c>
      <c r="F211" s="121">
        <f>'Demande Format Medpro'!F200</f>
        <v>3.8856425623387798</v>
      </c>
      <c r="G211" s="121">
        <f>'Demande Format Medpro'!G200</f>
        <v>4.0064719690455703</v>
      </c>
      <c r="H211" s="121">
        <f>'Demande Format Medpro'!H200</f>
        <v>2.9824447705471E-3</v>
      </c>
      <c r="I211" s="121">
        <f>'Demande Format Medpro'!I200</f>
        <v>7.0632949884630303E-4</v>
      </c>
      <c r="J211" s="121">
        <f>'Demande Format Medpro'!J200</f>
        <v>-1.9809376716346501E-3</v>
      </c>
      <c r="K211" s="121">
        <f>'Demande Format Medpro'!K200</f>
        <v>-2.4434671579897098E-3</v>
      </c>
      <c r="L211" s="121">
        <f>'Demande Format Medpro'!L200</f>
        <v>1.5323067835169E-3</v>
      </c>
      <c r="N211" s="108"/>
    </row>
    <row r="212" spans="1:14">
      <c r="A212" s="106" t="s">
        <v>143</v>
      </c>
      <c r="B212" s="121">
        <f>'Demande Format Medpro'!B201</f>
        <v>0.26721410146173702</v>
      </c>
      <c r="C212" s="121">
        <f>'Demande Format Medpro'!C201</f>
        <v>0.52036973344797899</v>
      </c>
      <c r="D212" s="121">
        <f>'Demande Format Medpro'!D201</f>
        <v>0.51314703353396396</v>
      </c>
      <c r="E212" s="121">
        <f>'Demande Format Medpro'!E201</f>
        <v>0.54453138435081705</v>
      </c>
      <c r="F212" s="121">
        <f>'Demande Format Medpro'!F201</f>
        <v>0.57324161650902805</v>
      </c>
      <c r="G212" s="121">
        <f>'Demande Format Medpro'!G201</f>
        <v>0.61307824591573501</v>
      </c>
      <c r="H212" s="121">
        <f>'Demande Format Medpro'!H201</f>
        <v>4.54345378075625E-2</v>
      </c>
      <c r="I212" s="121">
        <f>'Demande Format Medpro'!I201</f>
        <v>-2.7915295345626299E-3</v>
      </c>
      <c r="J212" s="121">
        <f>'Demande Format Medpro'!J201</f>
        <v>1.19433915277583E-2</v>
      </c>
      <c r="K212" s="121">
        <f>'Demande Format Medpro'!K201</f>
        <v>1.03293264690474E-2</v>
      </c>
      <c r="L212" s="121">
        <f>'Demande Format Medpro'!L201</f>
        <v>3.3649123941530399E-3</v>
      </c>
      <c r="N212" s="108"/>
    </row>
    <row r="213" spans="1:14">
      <c r="A213" s="106" t="s">
        <v>142</v>
      </c>
      <c r="B213" s="121">
        <f>'Demande Format Medpro'!B202</f>
        <v>6.6517712811693901</v>
      </c>
      <c r="C213" s="121">
        <f>'Demande Format Medpro'!C202</f>
        <v>9.1015735167669796</v>
      </c>
      <c r="D213" s="121">
        <f>'Demande Format Medpro'!D202</f>
        <v>9.4495958727429095</v>
      </c>
      <c r="E213" s="121">
        <f>'Demande Format Medpro'!E202</f>
        <v>9.82850386930353</v>
      </c>
      <c r="F213" s="121">
        <f>'Demande Format Medpro'!F202</f>
        <v>10.283215821152201</v>
      </c>
      <c r="G213" s="121">
        <f>'Demande Format Medpro'!G202</f>
        <v>12.8467497850387</v>
      </c>
      <c r="H213" s="121">
        <f>'Demande Format Medpro'!H202</f>
        <v>2.1124300532036101E-2</v>
      </c>
      <c r="I213" s="121">
        <f>'Demande Format Medpro'!I202</f>
        <v>7.5331652501646803E-3</v>
      </c>
      <c r="J213" s="121">
        <f>'Demande Format Medpro'!J202</f>
        <v>7.8939434265645793E-3</v>
      </c>
      <c r="K213" s="121">
        <f>'Demande Format Medpro'!K202</f>
        <v>9.0862944238156995E-3</v>
      </c>
      <c r="L213" s="121">
        <f>'Demande Format Medpro'!L202</f>
        <v>1.1191046973166001E-2</v>
      </c>
      <c r="N213" s="108"/>
    </row>
    <row r="214" spans="1:14">
      <c r="A214" s="106"/>
      <c r="B214" s="121"/>
      <c r="C214" s="121"/>
      <c r="D214" s="121"/>
      <c r="E214" s="121"/>
      <c r="F214" s="121"/>
      <c r="G214" s="121"/>
      <c r="H214" s="121"/>
      <c r="I214" s="121"/>
      <c r="J214" s="121"/>
      <c r="K214" s="121"/>
      <c r="L214" s="121"/>
      <c r="N214" s="108"/>
    </row>
    <row r="215" spans="1:14" ht="15" thickBot="1">
      <c r="A215" s="109" t="s">
        <v>10</v>
      </c>
      <c r="B215" s="378">
        <f>'Demande Format Medpro'!B204</f>
        <v>20.017199999999999</v>
      </c>
      <c r="C215" s="110">
        <f>'Demande Format Medpro'!C204</f>
        <v>23.000115085248201</v>
      </c>
      <c r="D215" s="110">
        <f>'Demande Format Medpro'!D204</f>
        <v>22.5271141212915</v>
      </c>
      <c r="E215" s="110">
        <f>'Demande Format Medpro'!E204</f>
        <v>22.078440170495099</v>
      </c>
      <c r="F215" s="110">
        <f>'Demande Format Medpro'!F204</f>
        <v>21.442964962579101</v>
      </c>
      <c r="G215" s="110">
        <f>'Demande Format Medpro'!G204</f>
        <v>22.6677564476953</v>
      </c>
      <c r="H215" s="110">
        <f>'Demande Format Medpro'!H204</f>
        <v>9.3034986918318907E-3</v>
      </c>
      <c r="I215" s="110">
        <f>'Demande Format Medpro'!I204</f>
        <v>-4.1472889196699798E-3</v>
      </c>
      <c r="J215" s="110">
        <f>'Demande Format Medpro'!J204</f>
        <v>-4.0155323599075903E-3</v>
      </c>
      <c r="K215" s="110">
        <f>'Demande Format Medpro'!K204</f>
        <v>-5.82396590570111E-3</v>
      </c>
      <c r="L215" s="110">
        <f>'Demande Format Medpro'!L204</f>
        <v>2.7812041983963399E-3</v>
      </c>
      <c r="N215" s="108"/>
    </row>
    <row r="216" spans="1:14">
      <c r="A216" s="111"/>
      <c r="B216" s="98"/>
      <c r="C216" s="107"/>
      <c r="D216" s="107"/>
      <c r="E216" s="107"/>
      <c r="F216" s="107"/>
      <c r="G216" s="107"/>
      <c r="N216" s="108"/>
    </row>
    <row r="217" spans="1:14">
      <c r="A217" s="111"/>
      <c r="B217" s="98"/>
      <c r="C217" s="98"/>
      <c r="D217" s="98"/>
      <c r="E217" s="107"/>
      <c r="F217" s="150"/>
      <c r="G217" s="107"/>
      <c r="N217" s="108"/>
    </row>
    <row r="218" spans="1:14" ht="16" thickBot="1">
      <c r="A218" s="59" t="s">
        <v>157</v>
      </c>
      <c r="B218" s="53"/>
      <c r="C218" s="53"/>
      <c r="D218" s="53"/>
      <c r="E218" s="151"/>
      <c r="F218" s="151"/>
      <c r="G218" s="151"/>
      <c r="H218" s="53"/>
      <c r="I218" s="53"/>
      <c r="J218" s="53"/>
      <c r="K218" s="53"/>
      <c r="L218" s="53"/>
      <c r="N218" s="108"/>
    </row>
    <row r="219" spans="1:14" ht="15" thickBot="1">
      <c r="A219" s="137" t="s">
        <v>51</v>
      </c>
      <c r="B219" s="105">
        <v>2000</v>
      </c>
      <c r="C219" s="105">
        <v>2015</v>
      </c>
      <c r="D219" s="105">
        <v>2020</v>
      </c>
      <c r="E219" s="105">
        <v>2025</v>
      </c>
      <c r="F219" s="105">
        <v>2030</v>
      </c>
      <c r="G219" s="105">
        <v>2050</v>
      </c>
      <c r="H219" s="113" t="s">
        <v>98</v>
      </c>
      <c r="I219" s="114" t="s">
        <v>99</v>
      </c>
      <c r="J219" s="114" t="s">
        <v>100</v>
      </c>
      <c r="K219" s="114" t="s">
        <v>101</v>
      </c>
      <c r="L219" s="115" t="s">
        <v>102</v>
      </c>
      <c r="N219" s="108"/>
    </row>
    <row r="220" spans="1:14">
      <c r="A220" s="106" t="s">
        <v>103</v>
      </c>
      <c r="B220" s="107">
        <f>'Demande Format Medpro'!B209</f>
        <v>3.7561</v>
      </c>
      <c r="C220" s="107">
        <f>'Demande Format Medpro'!C209</f>
        <v>2.3746</v>
      </c>
      <c r="D220" s="107">
        <f>'Demande Format Medpro'!D209</f>
        <v>1.9155</v>
      </c>
      <c r="E220" s="107">
        <f>'Demande Format Medpro'!E209</f>
        <v>1.4925999999999999</v>
      </c>
      <c r="F220" s="107">
        <f>'Demande Format Medpro'!F209</f>
        <v>1.1229</v>
      </c>
      <c r="G220" s="107">
        <f>'Demande Format Medpro'!G209</f>
        <v>0.74460000000000004</v>
      </c>
      <c r="H220" s="107">
        <f>'Demande Format Medpro'!H209</f>
        <v>-3.0107603926098101E-2</v>
      </c>
      <c r="I220" s="107">
        <f>'Demande Format Medpro'!I209</f>
        <v>-4.2059932911037302E-2</v>
      </c>
      <c r="J220" s="107">
        <f>'Demande Format Medpro'!J209</f>
        <v>-4.86676696332956E-2</v>
      </c>
      <c r="K220" s="107">
        <f>'Demande Format Medpro'!K209</f>
        <v>-5.5331293629666801E-2</v>
      </c>
      <c r="L220" s="107">
        <f>'Demande Format Medpro'!L209</f>
        <v>-2.03316050780015E-2</v>
      </c>
      <c r="N220" s="108"/>
    </row>
    <row r="221" spans="1:14">
      <c r="A221" s="106" t="s">
        <v>54</v>
      </c>
      <c r="B221" s="107">
        <f>'Demande Format Medpro'!B210</f>
        <v>5.5961999999999996</v>
      </c>
      <c r="C221" s="107">
        <f>'Demande Format Medpro'!C210</f>
        <v>6.1024000000000003</v>
      </c>
      <c r="D221" s="107">
        <f>'Demande Format Medpro'!D210</f>
        <v>5.7868000000000004</v>
      </c>
      <c r="E221" s="107">
        <f>'Demande Format Medpro'!E210</f>
        <v>5.2241999999999997</v>
      </c>
      <c r="F221" s="107">
        <f>'Demande Format Medpro'!F210</f>
        <v>4.3676000000000004</v>
      </c>
      <c r="G221" s="107">
        <f>'Demande Format Medpro'!G210</f>
        <v>2.6025</v>
      </c>
      <c r="H221" s="107">
        <f>'Demande Format Medpro'!H210</f>
        <v>5.7896516525792804E-3</v>
      </c>
      <c r="I221" s="107">
        <f>'Demande Format Medpro'!I210</f>
        <v>-1.05643361785912E-2</v>
      </c>
      <c r="J221" s="107">
        <f>'Demande Format Medpro'!J210</f>
        <v>-2.0247761500076299E-2</v>
      </c>
      <c r="K221" s="107">
        <f>'Demande Format Medpro'!K210</f>
        <v>-3.5183743345156303E-2</v>
      </c>
      <c r="L221" s="107">
        <f>'Demande Format Medpro'!L210</f>
        <v>-2.5554859734163798E-2</v>
      </c>
      <c r="N221" s="108"/>
    </row>
    <row r="222" spans="1:14">
      <c r="A222" s="106" t="s">
        <v>42</v>
      </c>
      <c r="B222" s="107">
        <f>'Demande Format Medpro'!B211</f>
        <v>0.15870000000000001</v>
      </c>
      <c r="C222" s="107">
        <f>'Demande Format Medpro'!C211</f>
        <v>6.5500000000000003E-2</v>
      </c>
      <c r="D222" s="107">
        <f>'Demande Format Medpro'!D211</f>
        <v>0</v>
      </c>
      <c r="E222" s="107">
        <f>'Demande Format Medpro'!E211</f>
        <v>0</v>
      </c>
      <c r="F222" s="107">
        <f>'Demande Format Medpro'!F211</f>
        <v>0</v>
      </c>
      <c r="G222" s="107">
        <f>'Demande Format Medpro'!G211</f>
        <v>0</v>
      </c>
      <c r="H222" s="107">
        <f>'Demande Format Medpro'!H211</f>
        <v>-5.7291061665288301E-2</v>
      </c>
      <c r="I222" s="107">
        <f>'Demande Format Medpro'!I211</f>
        <v>-1</v>
      </c>
      <c r="J222" s="107" t="e">
        <f>'Demande Format Medpro'!J211</f>
        <v>#DIV/0!</v>
      </c>
      <c r="K222" s="107" t="e">
        <f>'Demande Format Medpro'!K211</f>
        <v>#DIV/0!</v>
      </c>
      <c r="L222" s="107" t="e">
        <f>'Demande Format Medpro'!L211</f>
        <v>#DIV/0!</v>
      </c>
      <c r="N222" s="108"/>
    </row>
    <row r="223" spans="1:14">
      <c r="A223" s="106" t="s">
        <v>104</v>
      </c>
      <c r="B223" s="107">
        <f>'Demande Format Medpro'!B212</f>
        <v>2.4110146173688798</v>
      </c>
      <c r="C223" s="107">
        <f>'Demande Format Medpro'!C212</f>
        <v>2.7863567497850399</v>
      </c>
      <c r="D223" s="107">
        <f>'Demande Format Medpro'!D212</f>
        <v>2.92255709372313</v>
      </c>
      <c r="E223" s="107">
        <f>'Demande Format Medpro'!E212</f>
        <v>3.11266474634566</v>
      </c>
      <c r="F223" s="107">
        <f>'Demande Format Medpro'!F212</f>
        <v>3.2688425623387798</v>
      </c>
      <c r="G223" s="107">
        <f>'Demande Format Medpro'!G212</f>
        <v>3.7000719690455699</v>
      </c>
      <c r="H223" s="107">
        <f>'Demande Format Medpro'!H212</f>
        <v>9.6924879048045903E-3</v>
      </c>
      <c r="I223" s="107">
        <f>'Demande Format Medpro'!I212</f>
        <v>9.5905033465326604E-3</v>
      </c>
      <c r="J223" s="107">
        <f>'Demande Format Medpro'!J212</f>
        <v>1.2683813956920999E-2</v>
      </c>
      <c r="K223" s="107">
        <f>'Demande Format Medpro'!K212</f>
        <v>9.8394471178493408E-3</v>
      </c>
      <c r="L223" s="107">
        <f>'Demande Format Medpro'!L212</f>
        <v>6.2150490043679802E-3</v>
      </c>
      <c r="N223" s="108"/>
    </row>
    <row r="224" spans="1:14">
      <c r="A224" s="106" t="s">
        <v>105</v>
      </c>
      <c r="B224" s="107">
        <f>'Demande Format Medpro'!B213</f>
        <v>0.85540000000000005</v>
      </c>
      <c r="C224" s="107">
        <f>'Demande Format Medpro'!C213</f>
        <v>0.81569999999999998</v>
      </c>
      <c r="D224" s="107">
        <f>'Demande Format Medpro'!D213</f>
        <v>0.73019999999999996</v>
      </c>
      <c r="E224" s="107">
        <f>'Demande Format Medpro'!E213</f>
        <v>0.69030000000000002</v>
      </c>
      <c r="F224" s="107">
        <f>'Demande Format Medpro'!F213</f>
        <v>0.70609999999999995</v>
      </c>
      <c r="G224" s="107">
        <f>'Demande Format Medpro'!G213</f>
        <v>0.83020000000000005</v>
      </c>
      <c r="H224" s="107">
        <f>'Demande Format Medpro'!H213</f>
        <v>-3.1631570098044101E-3</v>
      </c>
      <c r="I224" s="107">
        <f>'Demande Format Medpro'!I213</f>
        <v>-2.19022198260551E-2</v>
      </c>
      <c r="J224" s="107">
        <f>'Demande Format Medpro'!J213</f>
        <v>-1.11755213831751E-2</v>
      </c>
      <c r="K224" s="107">
        <f>'Demande Format Medpro'!K213</f>
        <v>4.5363753009275403E-3</v>
      </c>
      <c r="L224" s="107">
        <f>'Demande Format Medpro'!L213</f>
        <v>8.1283453247007493E-3</v>
      </c>
      <c r="N224" s="108"/>
    </row>
    <row r="225" spans="1:14">
      <c r="A225" s="106" t="s">
        <v>134</v>
      </c>
      <c r="B225" s="107">
        <f>'Demande Format Medpro'!B214</f>
        <v>0.32079999999999997</v>
      </c>
      <c r="C225" s="107">
        <f>'Demande Format Medpro'!C214</f>
        <v>0.43919999999999998</v>
      </c>
      <c r="D225" s="107">
        <f>'Demande Format Medpro'!D214</f>
        <v>0.28920000000000001</v>
      </c>
      <c r="E225" s="107">
        <f>'Demande Format Medpro'!E214</f>
        <v>0.1908</v>
      </c>
      <c r="F225" s="107">
        <f>'Demande Format Medpro'!F214</f>
        <v>0.1142</v>
      </c>
      <c r="G225" s="107">
        <f>'Demande Format Medpro'!G214</f>
        <v>4.9099999999999998E-2</v>
      </c>
      <c r="H225" s="107">
        <f>'Demande Format Medpro'!H214</f>
        <v>2.11632999858604E-2</v>
      </c>
      <c r="I225" s="107">
        <f>'Demande Format Medpro'!I214</f>
        <v>-8.0170801502706598E-2</v>
      </c>
      <c r="J225" s="107">
        <f>'Demande Format Medpro'!J214</f>
        <v>-7.9813163360698103E-2</v>
      </c>
      <c r="K225" s="107">
        <f>'Demande Format Medpro'!K214</f>
        <v>-9.7561641878772601E-2</v>
      </c>
      <c r="L225" s="107">
        <f>'Demande Format Medpro'!L214</f>
        <v>-4.1326396695113801E-2</v>
      </c>
      <c r="N225" s="108"/>
    </row>
    <row r="226" spans="1:14">
      <c r="A226" s="106" t="s">
        <v>135</v>
      </c>
      <c r="B226" s="107">
        <f>'Demande Format Medpro'!B215</f>
        <v>0</v>
      </c>
      <c r="C226" s="107">
        <f>'Demande Format Medpro'!C215</f>
        <v>8.9099999999999999E-2</v>
      </c>
      <c r="D226" s="107">
        <f>'Demande Format Medpro'!D215</f>
        <v>7.9899999999999999E-2</v>
      </c>
      <c r="E226" s="107">
        <f>'Demande Format Medpro'!E215</f>
        <v>6.5100000000000005E-2</v>
      </c>
      <c r="F226" s="107">
        <f>'Demande Format Medpro'!F215</f>
        <v>5.2400000000000002E-2</v>
      </c>
      <c r="G226" s="107">
        <f>'Demande Format Medpro'!G215</f>
        <v>3.4099999999999998E-2</v>
      </c>
      <c r="H226" s="107">
        <f>'Demande Format Medpro'!H215</f>
        <v>0</v>
      </c>
      <c r="I226" s="107">
        <f>'Demande Format Medpro'!I215</f>
        <v>0</v>
      </c>
      <c r="J226" s="107">
        <f>'Demande Format Medpro'!J215</f>
        <v>0</v>
      </c>
      <c r="K226" s="107">
        <f>'Demande Format Medpro'!K215</f>
        <v>0</v>
      </c>
      <c r="L226" s="107">
        <f>'Demande Format Medpro'!L215</f>
        <v>0</v>
      </c>
      <c r="N226" s="108"/>
    </row>
    <row r="227" spans="1:14">
      <c r="A227" s="106" t="s">
        <v>136</v>
      </c>
      <c r="B227" s="107">
        <f>'Demande Format Medpro'!B216</f>
        <v>0</v>
      </c>
      <c r="C227" s="107">
        <f>'Demande Format Medpro'!C216</f>
        <v>0.70541508524818897</v>
      </c>
      <c r="D227" s="107">
        <f>'Demande Format Medpro'!D216</f>
        <v>0.84021412129145101</v>
      </c>
      <c r="E227" s="107">
        <f>'Demande Format Medpro'!E216</f>
        <v>0.92974017049510504</v>
      </c>
      <c r="F227" s="107">
        <f>'Demande Format Medpro'!F216</f>
        <v>0.95436496257908998</v>
      </c>
      <c r="G227" s="107">
        <f>'Demande Format Medpro'!G216</f>
        <v>1.2473564476953301</v>
      </c>
      <c r="H227" s="107">
        <f>'Demande Format Medpro'!H216</f>
        <v>0</v>
      </c>
      <c r="I227" s="107">
        <f>'Demande Format Medpro'!I216</f>
        <v>0</v>
      </c>
      <c r="J227" s="107">
        <f>'Demande Format Medpro'!J216</f>
        <v>0</v>
      </c>
      <c r="K227" s="107">
        <f>'Demande Format Medpro'!K216</f>
        <v>0</v>
      </c>
      <c r="L227" s="107">
        <f>'Demande Format Medpro'!L216</f>
        <v>0</v>
      </c>
      <c r="N227" s="108"/>
    </row>
    <row r="228" spans="1:14">
      <c r="A228" s="106"/>
      <c r="B228" s="107"/>
      <c r="C228" s="107"/>
      <c r="D228" s="107"/>
      <c r="E228" s="107"/>
      <c r="F228" s="107"/>
      <c r="G228" s="107"/>
      <c r="H228" s="107"/>
      <c r="I228" s="107"/>
      <c r="J228" s="107"/>
      <c r="K228" s="107"/>
      <c r="L228" s="107"/>
      <c r="N228" s="108"/>
    </row>
    <row r="229" spans="1:14" ht="15" thickBot="1">
      <c r="A229" s="109" t="s">
        <v>10</v>
      </c>
      <c r="B229" s="126">
        <f>'Demande Format Medpro'!B218</f>
        <v>13.0982146173689</v>
      </c>
      <c r="C229" s="131">
        <f>'Demande Format Medpro'!C218</f>
        <v>13.3782718350332</v>
      </c>
      <c r="D229" s="131">
        <f>'Demande Format Medpro'!D218</f>
        <v>12.564371215014599</v>
      </c>
      <c r="E229" s="131">
        <f>'Demande Format Medpro'!E218</f>
        <v>11.7054049168408</v>
      </c>
      <c r="F229" s="131">
        <f>'Demande Format Medpro'!F218</f>
        <v>10.586407524917901</v>
      </c>
      <c r="G229" s="131">
        <f>'Demande Format Medpro'!G218</f>
        <v>9.2079284167409003</v>
      </c>
      <c r="H229" s="131">
        <f>'Demande Format Medpro'!H218</f>
        <v>1.41139200272455E-3</v>
      </c>
      <c r="I229" s="131">
        <f>'Demande Format Medpro'!I218</f>
        <v>-1.24748871303695E-2</v>
      </c>
      <c r="J229" s="131">
        <f>'Demande Format Medpro'!J218</f>
        <v>-1.40630647971826E-2</v>
      </c>
      <c r="K229" s="131">
        <f>'Demande Format Medpro'!K218</f>
        <v>-1.9895386857720899E-2</v>
      </c>
      <c r="L229" s="131">
        <f>'Demande Format Medpro'!L218</f>
        <v>-6.9510276661613997E-3</v>
      </c>
      <c r="N229" s="108"/>
    </row>
    <row r="230" spans="1:14">
      <c r="A230" s="111"/>
      <c r="B230" s="98"/>
      <c r="C230" s="98"/>
      <c r="D230" s="98"/>
      <c r="E230" s="98"/>
      <c r="N230" s="108"/>
    </row>
    <row r="231" spans="1:14">
      <c r="A231" s="111"/>
      <c r="B231" s="98"/>
      <c r="C231" s="98"/>
      <c r="D231" s="98"/>
      <c r="E231" s="98"/>
      <c r="N231" s="108"/>
    </row>
    <row r="232" spans="1:14" ht="16" thickBot="1">
      <c r="A232" s="59" t="s">
        <v>158</v>
      </c>
      <c r="B232" s="53"/>
      <c r="C232" s="53"/>
      <c r="D232" s="53"/>
      <c r="E232" s="53"/>
      <c r="F232" s="53"/>
      <c r="G232" s="53"/>
      <c r="H232" s="53"/>
      <c r="I232" s="53"/>
      <c r="J232" s="53"/>
      <c r="K232" s="53"/>
      <c r="L232" s="53"/>
      <c r="N232" s="108"/>
    </row>
    <row r="233" spans="1:14" ht="15" thickBot="1">
      <c r="A233" s="137" t="s">
        <v>51</v>
      </c>
      <c r="B233" s="105">
        <v>2000</v>
      </c>
      <c r="C233" s="105">
        <v>2015</v>
      </c>
      <c r="D233" s="105">
        <v>2020</v>
      </c>
      <c r="E233" s="105">
        <v>2025</v>
      </c>
      <c r="F233" s="105">
        <v>2030</v>
      </c>
      <c r="G233" s="105">
        <v>2050</v>
      </c>
      <c r="H233" s="113" t="s">
        <v>98</v>
      </c>
      <c r="I233" s="114" t="s">
        <v>99</v>
      </c>
      <c r="J233" s="114" t="s">
        <v>100</v>
      </c>
      <c r="K233" s="114" t="s">
        <v>101</v>
      </c>
      <c r="L233" s="115" t="s">
        <v>102</v>
      </c>
      <c r="N233" s="108"/>
    </row>
    <row r="234" spans="1:14">
      <c r="A234" s="106" t="s">
        <v>103</v>
      </c>
      <c r="B234" s="121">
        <f>'Demande Format Medpro'!B223</f>
        <v>2.6355</v>
      </c>
      <c r="C234" s="121">
        <f>'Demande Format Medpro'!C223</f>
        <v>1.5865</v>
      </c>
      <c r="D234" s="121">
        <f>'Demande Format Medpro'!D223</f>
        <v>1.2203999999999999</v>
      </c>
      <c r="E234" s="121">
        <f>'Demande Format Medpro'!E223</f>
        <v>0.9052</v>
      </c>
      <c r="F234" s="121">
        <f>'Demande Format Medpro'!F223</f>
        <v>0.63119999999999998</v>
      </c>
      <c r="G234" s="121">
        <f>'Demande Format Medpro'!G223</f>
        <v>0.33550000000000002</v>
      </c>
      <c r="H234" s="121">
        <f>'Demande Format Medpro'!H223</f>
        <v>-3.32701312538944E-2</v>
      </c>
      <c r="I234" s="121">
        <f>'Demande Format Medpro'!I223</f>
        <v>-5.1117527571357797E-2</v>
      </c>
      <c r="J234" s="121">
        <f>'Demande Format Medpro'!J223</f>
        <v>-5.8005278398234397E-2</v>
      </c>
      <c r="K234" s="121">
        <f>'Demande Format Medpro'!K223</f>
        <v>-6.9568320334211703E-2</v>
      </c>
      <c r="L234" s="121">
        <f>'Demande Format Medpro'!L223</f>
        <v>-3.1105977188465101E-2</v>
      </c>
      <c r="M234" s="152"/>
      <c r="N234" s="108"/>
    </row>
    <row r="235" spans="1:14">
      <c r="A235" s="106" t="s">
        <v>54</v>
      </c>
      <c r="B235" s="121">
        <f>'Demande Format Medpro'!B224</f>
        <v>3.9832000000000001</v>
      </c>
      <c r="C235" s="121">
        <f>'Demande Format Medpro'!C224</f>
        <v>4.2202000000000002</v>
      </c>
      <c r="D235" s="121">
        <f>'Demande Format Medpro'!D224</f>
        <v>3.8336999999999999</v>
      </c>
      <c r="E235" s="121">
        <f>'Demande Format Medpro'!E224</f>
        <v>3.3018000000000001</v>
      </c>
      <c r="F235" s="121">
        <f>'Demande Format Medpro'!F224</f>
        <v>2.5691000000000002</v>
      </c>
      <c r="G235" s="121">
        <f>'Demande Format Medpro'!G224</f>
        <v>1.2297</v>
      </c>
      <c r="H235" s="121">
        <f>'Demande Format Medpro'!H224</f>
        <v>3.8605664590591901E-3</v>
      </c>
      <c r="I235" s="121">
        <f>'Demande Format Medpro'!I224</f>
        <v>-1.90270808974272E-2</v>
      </c>
      <c r="J235" s="121">
        <f>'Demande Format Medpro'!J224</f>
        <v>-2.9430750049253399E-2</v>
      </c>
      <c r="K235" s="121">
        <f>'Demande Format Medpro'!K224</f>
        <v>-4.8944088896414002E-2</v>
      </c>
      <c r="L235" s="121">
        <f>'Demande Format Medpro'!L224</f>
        <v>-3.6168960817935601E-2</v>
      </c>
      <c r="M235" s="152"/>
      <c r="N235" s="108"/>
    </row>
    <row r="236" spans="1:14">
      <c r="A236" s="106" t="s">
        <v>42</v>
      </c>
      <c r="B236" s="121">
        <f>'Demande Format Medpro'!B225</f>
        <v>0.11509999999999999</v>
      </c>
      <c r="C236" s="121">
        <f>'Demande Format Medpro'!C225</f>
        <v>4.6199999999999998E-2</v>
      </c>
      <c r="D236" s="121">
        <f>'Demande Format Medpro'!D225</f>
        <v>0</v>
      </c>
      <c r="E236" s="121">
        <f>'Demande Format Medpro'!E225</f>
        <v>0</v>
      </c>
      <c r="F236" s="121">
        <f>'Demande Format Medpro'!F225</f>
        <v>0</v>
      </c>
      <c r="G236" s="121">
        <f>'Demande Format Medpro'!G225</f>
        <v>0</v>
      </c>
      <c r="H236" s="121">
        <f>'Demande Format Medpro'!H225</f>
        <v>-5.9040112512636501E-2</v>
      </c>
      <c r="I236" s="121">
        <f>'Demande Format Medpro'!I225</f>
        <v>-1</v>
      </c>
      <c r="J236" s="121" t="e">
        <f>'Demande Format Medpro'!J225</f>
        <v>#DIV/0!</v>
      </c>
      <c r="K236" s="121" t="e">
        <f>'Demande Format Medpro'!K225</f>
        <v>#DIV/0!</v>
      </c>
      <c r="L236" s="121" t="e">
        <f>'Demande Format Medpro'!L225</f>
        <v>#DIV/0!</v>
      </c>
      <c r="M236" s="152"/>
      <c r="N236" s="108"/>
    </row>
    <row r="237" spans="1:14">
      <c r="A237" s="106" t="s">
        <v>104</v>
      </c>
      <c r="B237" s="121">
        <f>'Demande Format Medpro'!B226</f>
        <v>1.7258</v>
      </c>
      <c r="C237" s="121">
        <f>'Demande Format Medpro'!C226</f>
        <v>1.9755</v>
      </c>
      <c r="D237" s="121">
        <f>'Demande Format Medpro'!D226</f>
        <v>2.0043000000000002</v>
      </c>
      <c r="E237" s="121">
        <f>'Demande Format Medpro'!E226</f>
        <v>2.0605000000000002</v>
      </c>
      <c r="F237" s="121">
        <f>'Demande Format Medpro'!F226</f>
        <v>2.0430000000000001</v>
      </c>
      <c r="G237" s="121">
        <f>'Demande Format Medpro'!G226</f>
        <v>1.9240999999999999</v>
      </c>
      <c r="H237" s="121">
        <f>'Demande Format Medpro'!H226</f>
        <v>9.0494219768668706E-3</v>
      </c>
      <c r="I237" s="121">
        <f>'Demande Format Medpro'!I226</f>
        <v>2.8988619474283901E-3</v>
      </c>
      <c r="J237" s="121">
        <f>'Demande Format Medpro'!J226</f>
        <v>5.5460827240940702E-3</v>
      </c>
      <c r="K237" s="121">
        <f>'Demande Format Medpro'!K226</f>
        <v>-1.70441702098156E-3</v>
      </c>
      <c r="L237" s="121">
        <f>'Demande Format Medpro'!L226</f>
        <v>-2.9935598320109899E-3</v>
      </c>
      <c r="M237" s="152"/>
      <c r="N237" s="108"/>
    </row>
    <row r="238" spans="1:14">
      <c r="A238" s="106" t="s">
        <v>105</v>
      </c>
      <c r="B238" s="121">
        <f>'Demande Format Medpro'!B227</f>
        <v>0.62029999999999996</v>
      </c>
      <c r="C238" s="121">
        <f>'Demande Format Medpro'!C227</f>
        <v>0.57579999999999998</v>
      </c>
      <c r="D238" s="121">
        <f>'Demande Format Medpro'!D227</f>
        <v>0.49149999999999999</v>
      </c>
      <c r="E238" s="121">
        <f>'Demande Format Medpro'!E227</f>
        <v>0.44379999999999997</v>
      </c>
      <c r="F238" s="121">
        <f>'Demande Format Medpro'!F227</f>
        <v>0.42580000000000001</v>
      </c>
      <c r="G238" s="121">
        <f>'Demande Format Medpro'!G227</f>
        <v>0.43020000000000003</v>
      </c>
      <c r="H238" s="121">
        <f>'Demande Format Medpro'!H227</f>
        <v>-4.9505622928958104E-3</v>
      </c>
      <c r="I238" s="121">
        <f>'Demande Format Medpro'!I227</f>
        <v>-3.1163767146966399E-2</v>
      </c>
      <c r="J238" s="121">
        <f>'Demande Format Medpro'!J227</f>
        <v>-2.0210558307184798E-2</v>
      </c>
      <c r="K238" s="121">
        <f>'Demande Format Medpro'!K227</f>
        <v>-8.2466598003344601E-3</v>
      </c>
      <c r="L238" s="121">
        <f>'Demande Format Medpro'!L227</f>
        <v>5.1415535128596101E-4</v>
      </c>
      <c r="M238" s="152"/>
      <c r="N238" s="108"/>
    </row>
    <row r="239" spans="1:14">
      <c r="A239" s="106" t="s">
        <v>134</v>
      </c>
      <c r="B239" s="121">
        <f>'Demande Format Medpro'!B228</f>
        <v>0.2326</v>
      </c>
      <c r="C239" s="121">
        <f>'Demande Format Medpro'!C228</f>
        <v>0.30990000000000001</v>
      </c>
      <c r="D239" s="121">
        <f>'Demande Format Medpro'!D228</f>
        <v>0.2016</v>
      </c>
      <c r="E239" s="121">
        <f>'Demande Format Medpro'!E228</f>
        <v>0.13089999999999999</v>
      </c>
      <c r="F239" s="121">
        <f>'Demande Format Medpro'!F228</f>
        <v>7.7399999999999997E-2</v>
      </c>
      <c r="G239" s="121">
        <f>'Demande Format Medpro'!G228</f>
        <v>3.4599999999999999E-2</v>
      </c>
      <c r="H239" s="121">
        <f>'Demande Format Medpro'!H228</f>
        <v>1.9312752666136499E-2</v>
      </c>
      <c r="I239" s="121">
        <f>'Demande Format Medpro'!I228</f>
        <v>-8.2399185677649006E-2</v>
      </c>
      <c r="J239" s="121">
        <f>'Demande Format Medpro'!J228</f>
        <v>-8.2745557664505698E-2</v>
      </c>
      <c r="K239" s="121">
        <f>'Demande Format Medpro'!K228</f>
        <v>-9.97559434406773E-2</v>
      </c>
      <c r="L239" s="121">
        <f>'Demande Format Medpro'!L228</f>
        <v>-3.9457120548926097E-2</v>
      </c>
      <c r="M239" s="152"/>
      <c r="N239" s="108"/>
    </row>
    <row r="240" spans="1:14">
      <c r="A240" s="106" t="s">
        <v>135</v>
      </c>
      <c r="B240" s="121">
        <v>0</v>
      </c>
      <c r="C240" s="121">
        <v>1</v>
      </c>
      <c r="D240" s="121">
        <v>9.8601218835455459E-2</v>
      </c>
      <c r="E240" s="121">
        <v>0.13582199694526742</v>
      </c>
      <c r="F240" s="121">
        <v>0.15372765584619141</v>
      </c>
      <c r="G240" s="121">
        <v>0.11641782052141147</v>
      </c>
      <c r="H240" s="121">
        <v>6</v>
      </c>
      <c r="I240" s="121">
        <v>7</v>
      </c>
      <c r="J240" s="121">
        <v>8</v>
      </c>
      <c r="K240" s="121">
        <v>9</v>
      </c>
      <c r="L240" s="121">
        <v>10</v>
      </c>
      <c r="N240" s="108"/>
    </row>
    <row r="241" spans="1:14">
      <c r="A241" s="106" t="s">
        <v>136</v>
      </c>
      <c r="B241" s="121">
        <f>'Demande Format Medpro'!B229</f>
        <v>0</v>
      </c>
      <c r="C241" s="121">
        <f>'Demande Format Medpro'!C229</f>
        <v>0.70541508524818897</v>
      </c>
      <c r="D241" s="121">
        <f>'Demande Format Medpro'!D229</f>
        <v>0.84021412129145101</v>
      </c>
      <c r="E241" s="121">
        <f>'Demande Format Medpro'!E229</f>
        <v>0.92974017049510504</v>
      </c>
      <c r="F241" s="121">
        <f>'Demande Format Medpro'!F229</f>
        <v>0.95436496257908998</v>
      </c>
      <c r="G241" s="121">
        <f>'Demande Format Medpro'!G229</f>
        <v>1.2473564476953301</v>
      </c>
      <c r="H241" s="121">
        <f>'Demande Format Medpro'!H229</f>
        <v>0</v>
      </c>
      <c r="I241" s="121">
        <f>'Demande Format Medpro'!I229</f>
        <v>0</v>
      </c>
      <c r="J241" s="121">
        <f>'Demande Format Medpro'!J229</f>
        <v>0</v>
      </c>
      <c r="K241" s="121">
        <f>'Demande Format Medpro'!K229</f>
        <v>0</v>
      </c>
      <c r="L241" s="121">
        <f>'Demande Format Medpro'!L229</f>
        <v>0</v>
      </c>
      <c r="N241" s="108"/>
    </row>
    <row r="242" spans="1:14">
      <c r="A242" s="106"/>
      <c r="B242" s="121"/>
      <c r="C242" s="121"/>
      <c r="D242" s="107"/>
      <c r="E242" s="107"/>
      <c r="F242" s="107"/>
      <c r="G242" s="107"/>
      <c r="H242" s="121"/>
      <c r="I242" s="121"/>
      <c r="J242" s="121"/>
      <c r="K242" s="121"/>
      <c r="L242" s="121"/>
      <c r="N242" s="108"/>
    </row>
    <row r="243" spans="1:14" ht="15" thickBot="1">
      <c r="A243" s="109" t="s">
        <v>10</v>
      </c>
      <c r="B243" s="378">
        <f>'Demande Format Medpro'!B231</f>
        <v>9.3125</v>
      </c>
      <c r="C243" s="110">
        <f>'Demande Format Medpro'!C231</f>
        <v>9.4195150852481895</v>
      </c>
      <c r="D243" s="131">
        <f>SUM(D234:D241)</f>
        <v>8.6903153401269062</v>
      </c>
      <c r="E243" s="131">
        <f>SUM(E234:E241)</f>
        <v>7.9077621674403717</v>
      </c>
      <c r="F243" s="131">
        <f>SUM(F234:F241)</f>
        <v>6.8545926184252819</v>
      </c>
      <c r="G243" s="131">
        <f>SUM(G234:G241)</f>
        <v>5.317874268216741</v>
      </c>
      <c r="H243" s="121">
        <f>'Demande Format Medpro'!H231</f>
        <v>7.6202528770386003E-4</v>
      </c>
      <c r="I243" s="121">
        <f>'Demande Format Medpro'!I231</f>
        <v>-1.8228876035648999E-2</v>
      </c>
      <c r="J243" s="121">
        <f>'Demande Format Medpro'!J231</f>
        <v>-1.9855908742122699E-2</v>
      </c>
      <c r="K243" s="121">
        <f>'Demande Format Medpro'!K231</f>
        <v>-2.9221200253626501E-2</v>
      </c>
      <c r="L243" s="121">
        <f>'Demande Format Medpro'!L231</f>
        <v>-1.25850349185209E-2</v>
      </c>
      <c r="N243" s="108"/>
    </row>
    <row r="244" spans="1:14">
      <c r="A244" s="111"/>
      <c r="B244" s="98"/>
      <c r="C244" s="98"/>
      <c r="D244" s="98"/>
      <c r="E244" s="98"/>
      <c r="G244" s="142"/>
      <c r="N244" s="108"/>
    </row>
    <row r="245" spans="1:14">
      <c r="A245" s="111"/>
      <c r="B245" s="98"/>
      <c r="C245" s="98"/>
      <c r="D245" s="98"/>
      <c r="E245" s="98"/>
      <c r="N245" s="108"/>
    </row>
    <row r="246" spans="1:14" ht="16" thickBot="1">
      <c r="A246" s="59" t="s">
        <v>159</v>
      </c>
      <c r="B246" s="53"/>
      <c r="C246" s="53"/>
      <c r="D246" s="53"/>
      <c r="E246" s="53"/>
      <c r="F246" s="53"/>
      <c r="G246" s="53"/>
      <c r="H246" s="53"/>
      <c r="I246" s="53"/>
      <c r="J246" s="53"/>
      <c r="K246" s="53"/>
      <c r="L246" s="53"/>
      <c r="N246" s="108"/>
    </row>
    <row r="247" spans="1:14" ht="15" thickBot="1">
      <c r="A247" s="137" t="s">
        <v>51</v>
      </c>
      <c r="B247" s="105">
        <v>2000</v>
      </c>
      <c r="C247" s="105">
        <v>2015</v>
      </c>
      <c r="D247" s="105">
        <v>2020</v>
      </c>
      <c r="E247" s="105">
        <v>2025</v>
      </c>
      <c r="F247" s="105">
        <v>2030</v>
      </c>
      <c r="G247" s="105">
        <v>2050</v>
      </c>
      <c r="H247" s="113" t="s">
        <v>98</v>
      </c>
      <c r="I247" s="114" t="s">
        <v>99</v>
      </c>
      <c r="J247" s="114" t="s">
        <v>100</v>
      </c>
      <c r="K247" s="114" t="s">
        <v>101</v>
      </c>
      <c r="L247" s="115" t="s">
        <v>102</v>
      </c>
      <c r="N247" s="108"/>
    </row>
    <row r="248" spans="1:14">
      <c r="A248" s="106" t="s">
        <v>103</v>
      </c>
      <c r="B248" s="121">
        <f>'Demande Format Medpro'!B236</f>
        <v>1.1206</v>
      </c>
      <c r="C248" s="121">
        <f>'Demande Format Medpro'!C236</f>
        <v>0.78810000000000002</v>
      </c>
      <c r="D248" s="121">
        <f>'Demande Format Medpro'!D236</f>
        <v>0.69510000000000005</v>
      </c>
      <c r="E248" s="121">
        <f>'Demande Format Medpro'!E236</f>
        <v>0.58740000000000003</v>
      </c>
      <c r="F248" s="121">
        <f>'Demande Format Medpro'!F236</f>
        <v>0.49180000000000001</v>
      </c>
      <c r="G248" s="121">
        <f>'Demande Format Medpro'!G236</f>
        <v>0.40910000000000002</v>
      </c>
      <c r="H248" s="121">
        <f>'Demande Format Medpro'!H236</f>
        <v>-2.3193110734695498E-2</v>
      </c>
      <c r="I248" s="121">
        <f>'Demande Format Medpro'!I236</f>
        <v>-2.4801123659468301E-2</v>
      </c>
      <c r="J248" s="121">
        <f>'Demande Format Medpro'!J236</f>
        <v>-3.31094163764196E-2</v>
      </c>
      <c r="K248" s="121">
        <f>'Demande Format Medpro'!K236</f>
        <v>-3.4903109284142503E-2</v>
      </c>
      <c r="L248" s="121">
        <f>'Demande Format Medpro'!L236</f>
        <v>-9.1633831951471994E-3</v>
      </c>
      <c r="N248" s="108"/>
    </row>
    <row r="249" spans="1:14">
      <c r="A249" s="106" t="s">
        <v>54</v>
      </c>
      <c r="B249" s="121">
        <f>'Demande Format Medpro'!B237</f>
        <v>1.613</v>
      </c>
      <c r="C249" s="121">
        <f>'Demande Format Medpro'!C237</f>
        <v>1.8822000000000001</v>
      </c>
      <c r="D249" s="121">
        <f>'Demande Format Medpro'!D237</f>
        <v>1.9531000000000001</v>
      </c>
      <c r="E249" s="121">
        <f>'Demande Format Medpro'!E237</f>
        <v>1.9224000000000001</v>
      </c>
      <c r="F249" s="121">
        <f>'Demande Format Medpro'!F237</f>
        <v>1.7985</v>
      </c>
      <c r="G249" s="121">
        <f>'Demande Format Medpro'!G237</f>
        <v>1.3728</v>
      </c>
      <c r="H249" s="121">
        <f>'Demande Format Medpro'!H237</f>
        <v>1.0342821430755E-2</v>
      </c>
      <c r="I249" s="121">
        <f>'Demande Format Medpro'!I237</f>
        <v>7.4227225200960102E-3</v>
      </c>
      <c r="J249" s="121">
        <f>'Demande Format Medpro'!J237</f>
        <v>-3.1636746853501698E-3</v>
      </c>
      <c r="K249" s="121">
        <f>'Demande Format Medpro'!K237</f>
        <v>-1.3235908929934001E-2</v>
      </c>
      <c r="L249" s="121">
        <f>'Demande Format Medpro'!L237</f>
        <v>-1.3414242985186099E-2</v>
      </c>
      <c r="N249" s="108"/>
    </row>
    <row r="250" spans="1:14">
      <c r="A250" s="106" t="s">
        <v>42</v>
      </c>
      <c r="B250" s="121">
        <f>'Demande Format Medpro'!B238</f>
        <v>4.36E-2</v>
      </c>
      <c r="C250" s="121">
        <f>'Demande Format Medpro'!C238</f>
        <v>1.9199999999999998E-2</v>
      </c>
      <c r="D250" s="121">
        <f>'Demande Format Medpro'!D238</f>
        <v>0</v>
      </c>
      <c r="E250" s="121">
        <f>'Demande Format Medpro'!E238</f>
        <v>0</v>
      </c>
      <c r="F250" s="121">
        <f>'Demande Format Medpro'!F238</f>
        <v>0</v>
      </c>
      <c r="G250" s="121">
        <f>'Demande Format Medpro'!G238</f>
        <v>0</v>
      </c>
      <c r="H250" s="121">
        <f>'Demande Format Medpro'!H238</f>
        <v>-5.3208574888069703E-2</v>
      </c>
      <c r="I250" s="121">
        <f>'Demande Format Medpro'!I238</f>
        <v>-1</v>
      </c>
      <c r="J250" s="121" t="e">
        <f>'Demande Format Medpro'!J238</f>
        <v>#DIV/0!</v>
      </c>
      <c r="K250" s="121" t="e">
        <f>'Demande Format Medpro'!K238</f>
        <v>#DIV/0!</v>
      </c>
      <c r="L250" s="121" t="e">
        <f>'Demande Format Medpro'!L238</f>
        <v>#DIV/0!</v>
      </c>
      <c r="N250" s="108"/>
    </row>
    <row r="251" spans="1:14">
      <c r="A251" s="106" t="s">
        <v>104</v>
      </c>
      <c r="B251" s="121">
        <f>'Demande Format Medpro'!B239</f>
        <v>0.68521461736887601</v>
      </c>
      <c r="C251" s="121">
        <f>'Demande Format Medpro'!C239</f>
        <v>0.81085674978504096</v>
      </c>
      <c r="D251" s="121">
        <f>'Demande Format Medpro'!D239</f>
        <v>0.91825709372313202</v>
      </c>
      <c r="E251" s="121">
        <f>'Demande Format Medpro'!E239</f>
        <v>1.05216474634566</v>
      </c>
      <c r="F251" s="121">
        <f>'Demande Format Medpro'!F239</f>
        <v>1.2258425623387801</v>
      </c>
      <c r="G251" s="121">
        <f>'Demande Format Medpro'!G239</f>
        <v>1.77597196904557</v>
      </c>
      <c r="H251" s="121">
        <f>'Demande Format Medpro'!H239</f>
        <v>1.1287178574132001E-2</v>
      </c>
      <c r="I251" s="121">
        <f>'Demande Format Medpro'!I239</f>
        <v>2.5189220679678399E-2</v>
      </c>
      <c r="J251" s="121">
        <f>'Demande Format Medpro'!J239</f>
        <v>2.7599515553620401E-2</v>
      </c>
      <c r="K251" s="121">
        <f>'Demande Format Medpro'!K239</f>
        <v>3.1027359667426899E-2</v>
      </c>
      <c r="L251" s="121">
        <f>'Demande Format Medpro'!L239</f>
        <v>1.8708829896345799E-2</v>
      </c>
      <c r="N251" s="108"/>
    </row>
    <row r="252" spans="1:14">
      <c r="A252" s="106" t="s">
        <v>105</v>
      </c>
      <c r="B252" s="121">
        <f>'Demande Format Medpro'!B240</f>
        <v>0.2351</v>
      </c>
      <c r="C252" s="121">
        <f>'Demande Format Medpro'!C240</f>
        <v>0.2399</v>
      </c>
      <c r="D252" s="121">
        <f>'Demande Format Medpro'!D240</f>
        <v>0.2387</v>
      </c>
      <c r="E252" s="121">
        <f>'Demande Format Medpro'!E240</f>
        <v>0.2465</v>
      </c>
      <c r="F252" s="121">
        <f>'Demande Format Medpro'!F240</f>
        <v>0.28029999999999999</v>
      </c>
      <c r="G252" s="121">
        <f>'Demande Format Medpro'!G240</f>
        <v>0.4</v>
      </c>
      <c r="H252" s="121">
        <f>'Demande Format Medpro'!H240</f>
        <v>1.3483224571198E-3</v>
      </c>
      <c r="I252" s="121">
        <f>'Demande Format Medpro'!I240</f>
        <v>-1.00242453668065E-3</v>
      </c>
      <c r="J252" s="121">
        <f>'Demande Format Medpro'!J240</f>
        <v>6.4516146114776997E-3</v>
      </c>
      <c r="K252" s="121">
        <f>'Demande Format Medpro'!K240</f>
        <v>2.60327773134887E-2</v>
      </c>
      <c r="L252" s="121">
        <f>'Demande Format Medpro'!L240</f>
        <v>1.7939213287181802E-2</v>
      </c>
      <c r="N252" s="108"/>
    </row>
    <row r="253" spans="1:14">
      <c r="A253" s="106" t="s">
        <v>134</v>
      </c>
      <c r="B253" s="121">
        <f>'Demande Format Medpro'!B241</f>
        <v>8.8200000000000001E-2</v>
      </c>
      <c r="C253" s="121">
        <f>'Demande Format Medpro'!C241</f>
        <v>0.1293</v>
      </c>
      <c r="D253" s="121">
        <f>'Demande Format Medpro'!D241</f>
        <v>8.7599999999999997E-2</v>
      </c>
      <c r="E253" s="121">
        <f>'Demande Format Medpro'!E241</f>
        <v>5.9900000000000002E-2</v>
      </c>
      <c r="F253" s="121">
        <f>'Demande Format Medpro'!F241</f>
        <v>3.6799999999999999E-2</v>
      </c>
      <c r="G253" s="121">
        <f>'Demande Format Medpro'!G241</f>
        <v>1.4500000000000001E-2</v>
      </c>
      <c r="H253" s="121">
        <f>'Demande Format Medpro'!H241</f>
        <v>2.5829843224459002E-2</v>
      </c>
      <c r="I253" s="121">
        <f>'Demande Format Medpro'!I241</f>
        <v>-7.4916113586561597E-2</v>
      </c>
      <c r="J253" s="121">
        <f>'Demande Format Medpro'!J241</f>
        <v>-7.3203162366209398E-2</v>
      </c>
      <c r="K253" s="121">
        <f>'Demande Format Medpro'!K241</f>
        <v>-9.2839358907831002E-2</v>
      </c>
      <c r="L253" s="121">
        <f>'Demande Format Medpro'!L241</f>
        <v>-4.5499831980384001E-2</v>
      </c>
      <c r="N253" s="108"/>
    </row>
    <row r="254" spans="1:14">
      <c r="A254" s="106" t="s">
        <v>135</v>
      </c>
      <c r="B254" s="121">
        <v>0</v>
      </c>
      <c r="C254" s="121">
        <v>0</v>
      </c>
      <c r="D254" s="121">
        <v>0.17538671311330201</v>
      </c>
      <c r="E254" s="121">
        <v>0.27725777640469929</v>
      </c>
      <c r="F254" s="121">
        <v>0.32589748131457796</v>
      </c>
      <c r="G254" s="121">
        <v>0.26969532605157076</v>
      </c>
      <c r="H254" s="121">
        <v>0</v>
      </c>
      <c r="I254" s="121">
        <v>0</v>
      </c>
      <c r="J254" s="121">
        <v>0</v>
      </c>
      <c r="K254" s="121">
        <v>0</v>
      </c>
      <c r="L254" s="121">
        <v>0</v>
      </c>
      <c r="N254" s="108"/>
    </row>
    <row r="255" spans="1:14">
      <c r="A255" s="106" t="s">
        <v>136</v>
      </c>
      <c r="B255" s="121">
        <v>0</v>
      </c>
      <c r="C255" s="121">
        <v>0</v>
      </c>
      <c r="D255" s="121">
        <v>0.27147606234765886</v>
      </c>
      <c r="E255" s="121">
        <v>0.44817270420611521</v>
      </c>
      <c r="F255" s="121">
        <v>0.52852105884237166</v>
      </c>
      <c r="G255" s="121">
        <v>0.53095438697366792</v>
      </c>
      <c r="H255" s="121">
        <v>0</v>
      </c>
      <c r="I255" s="121">
        <v>0</v>
      </c>
      <c r="J255" s="121">
        <v>0</v>
      </c>
      <c r="K255" s="121">
        <v>0</v>
      </c>
      <c r="L255" s="121">
        <v>0</v>
      </c>
      <c r="N255" s="108"/>
    </row>
    <row r="256" spans="1:14">
      <c r="A256" s="106"/>
      <c r="B256" s="107"/>
      <c r="C256" s="107"/>
      <c r="D256" s="107"/>
      <c r="E256" s="142"/>
      <c r="F256" s="107"/>
      <c r="G256" s="107"/>
      <c r="H256" s="107"/>
      <c r="I256" s="107"/>
      <c r="J256" s="107"/>
      <c r="K256" s="107"/>
      <c r="L256" s="107"/>
      <c r="N256" s="108"/>
    </row>
    <row r="257" spans="1:14" ht="15" thickBot="1">
      <c r="A257" s="109" t="s">
        <v>10</v>
      </c>
      <c r="B257" s="131">
        <f>SUM(B248:B255)</f>
        <v>3.785714617368876</v>
      </c>
      <c r="C257" s="131">
        <f t="shared" ref="C257:L257" si="2">SUM(C248:C255)</f>
        <v>3.8695567497850414</v>
      </c>
      <c r="D257" s="131">
        <f t="shared" si="2"/>
        <v>4.3396198691840926</v>
      </c>
      <c r="E257" s="131">
        <f t="shared" si="2"/>
        <v>4.593795226956475</v>
      </c>
      <c r="F257" s="131">
        <f t="shared" si="2"/>
        <v>4.6876611024957295</v>
      </c>
      <c r="G257" s="131">
        <f t="shared" si="2"/>
        <v>4.7730216820708087</v>
      </c>
      <c r="H257" s="131">
        <f t="shared" si="2"/>
        <v>-2.7593519936299406E-2</v>
      </c>
      <c r="I257" s="131">
        <f t="shared" si="2"/>
        <v>-1.0681077185829362</v>
      </c>
      <c r="J257" s="131" t="e">
        <f t="shared" si="2"/>
        <v>#DIV/0!</v>
      </c>
      <c r="K257" s="131" t="e">
        <f t="shared" si="2"/>
        <v>#DIV/0!</v>
      </c>
      <c r="L257" s="131" t="e">
        <f t="shared" si="2"/>
        <v>#DIV/0!</v>
      </c>
      <c r="N257" s="108"/>
    </row>
    <row r="258" spans="1:14">
      <c r="A258" s="111"/>
      <c r="B258" s="98"/>
      <c r="C258" s="98"/>
      <c r="D258" s="98"/>
      <c r="E258" s="98"/>
    </row>
    <row r="259" spans="1:14">
      <c r="A259" s="111"/>
      <c r="B259" s="98"/>
      <c r="C259" s="98"/>
      <c r="D259" s="98"/>
      <c r="E259" s="98"/>
    </row>
    <row r="260" spans="1:14" ht="16" thickBot="1">
      <c r="A260" s="59" t="s">
        <v>160</v>
      </c>
      <c r="B260" s="53"/>
      <c r="C260" s="53"/>
      <c r="D260" s="53"/>
      <c r="E260" s="53"/>
      <c r="F260" s="53"/>
      <c r="G260" s="53"/>
      <c r="H260" s="53"/>
      <c r="I260" s="53"/>
      <c r="J260" s="53"/>
      <c r="K260" s="53"/>
      <c r="L260" s="53"/>
    </row>
    <row r="261" spans="1:14" ht="15" thickBot="1">
      <c r="A261" s="104"/>
      <c r="B261" s="105">
        <v>2000</v>
      </c>
      <c r="C261" s="105">
        <v>2015</v>
      </c>
      <c r="D261" s="105">
        <v>2020</v>
      </c>
      <c r="E261" s="105">
        <v>2025</v>
      </c>
      <c r="F261" s="105">
        <v>2030</v>
      </c>
      <c r="G261" s="105">
        <v>2050</v>
      </c>
      <c r="H261" s="113" t="s">
        <v>98</v>
      </c>
      <c r="I261" s="114" t="s">
        <v>99</v>
      </c>
      <c r="J261" s="114" t="s">
        <v>100</v>
      </c>
      <c r="K261" s="114" t="s">
        <v>101</v>
      </c>
      <c r="L261" s="115" t="s">
        <v>102</v>
      </c>
    </row>
    <row r="262" spans="1:14">
      <c r="A262" s="106" t="s">
        <v>161</v>
      </c>
      <c r="B262" s="148">
        <f>'Demande Format Medpro'!B249</f>
        <v>1.4720905322587E-2</v>
      </c>
      <c r="C262" s="148">
        <f>'Demande Format Medpro'!C249</f>
        <v>1.3822364259190799E-2</v>
      </c>
      <c r="D262" s="148">
        <f>'Demande Format Medpro'!D249</f>
        <v>1.24768482009943E-2</v>
      </c>
      <c r="E262" s="148">
        <f>'Demande Format Medpro'!E249</f>
        <v>1.14751113707548E-2</v>
      </c>
      <c r="F262" s="148">
        <f>'Demande Format Medpro'!F249</f>
        <v>1.0392448104838E-2</v>
      </c>
      <c r="G262" s="148">
        <f>'Demande Format Medpro'!G249</f>
        <v>7.77069433164654E-3</v>
      </c>
      <c r="H262" s="148">
        <f>'Demande Format Medpro'!H249</f>
        <v>-4.1899134103409201E-3</v>
      </c>
      <c r="I262" s="148">
        <f>'Demande Format Medpro'!I249</f>
        <v>-2.0274275228004401E-2</v>
      </c>
      <c r="J262" s="148">
        <f>'Demande Format Medpro'!J249</f>
        <v>-1.6599547953537099E-2</v>
      </c>
      <c r="K262" s="148">
        <f>'Demande Format Medpro'!K249</f>
        <v>-1.9625083440440099E-2</v>
      </c>
      <c r="L262" s="148">
        <f>'Demande Format Medpro'!L249</f>
        <v>-1.4430856366119999E-2</v>
      </c>
    </row>
    <row r="263" spans="1:14">
      <c r="A263" s="106" t="s">
        <v>162</v>
      </c>
      <c r="B263" s="148">
        <f>'Demande Format Medpro'!B250</f>
        <v>17.813600000000001</v>
      </c>
      <c r="C263" s="148">
        <f>'Demande Format Medpro'!C250</f>
        <v>20.182200000000002</v>
      </c>
      <c r="D263" s="148">
        <f>'Demande Format Medpro'!D250</f>
        <v>20.667100000000001</v>
      </c>
      <c r="E263" s="148">
        <f>'Demande Format Medpro'!E250</f>
        <v>21.0288</v>
      </c>
      <c r="F263" s="148">
        <f>'Demande Format Medpro'!F250</f>
        <v>21.396899999999999</v>
      </c>
      <c r="G263" s="148">
        <f>'Demande Format Medpro'!G250</f>
        <v>22.7471</v>
      </c>
      <c r="H263" s="148">
        <f>'Demande Format Medpro'!H250</f>
        <v>8.35731683262542E-3</v>
      </c>
      <c r="I263" s="148">
        <f>'Demande Format Medpro'!I250</f>
        <v>4.7596987678148999E-3</v>
      </c>
      <c r="J263" s="148">
        <f>'Demande Format Medpro'!J250</f>
        <v>3.47599989365133E-3</v>
      </c>
      <c r="K263" s="148">
        <f>'Demande Format Medpro'!K250</f>
        <v>3.4766545875790601E-3</v>
      </c>
      <c r="L263" s="148">
        <f>'Demande Format Medpro'!L250</f>
        <v>3.0642659451392E-3</v>
      </c>
    </row>
    <row r="264" spans="1:14">
      <c r="A264" s="106" t="s">
        <v>163</v>
      </c>
      <c r="B264" s="148">
        <f>'Demande Format Medpro'!B251</f>
        <v>1.1237032379754801</v>
      </c>
      <c r="C264" s="148">
        <f>'Demande Format Medpro'!C251</f>
        <v>1.1396287364731399</v>
      </c>
      <c r="D264" s="148">
        <f>'Demande Format Medpro'!D251</f>
        <v>1.0899987962167601</v>
      </c>
      <c r="E264" s="148">
        <f>'Demande Format Medpro'!E251</f>
        <v>1.04991441121201</v>
      </c>
      <c r="F264" s="148">
        <f>'Demande Format Medpro'!F251</f>
        <v>1.00214820663643</v>
      </c>
      <c r="G264" s="148">
        <f>'Demande Format Medpro'!G251</f>
        <v>0.996511926693747</v>
      </c>
      <c r="H264" s="148">
        <f>'Demande Format Medpro'!H251</f>
        <v>9.3862998075011595E-4</v>
      </c>
      <c r="I264" s="148">
        <f>'Demande Format Medpro'!I251</f>
        <v>-8.8656557888380193E-3</v>
      </c>
      <c r="J264" s="148">
        <f>'Demande Format Medpro'!J251</f>
        <v>-7.4655818916973303E-3</v>
      </c>
      <c r="K264" s="148">
        <f>'Demande Format Medpro'!K251</f>
        <v>-9.2693215405353895E-3</v>
      </c>
      <c r="L264" s="148">
        <f>'Demande Format Medpro'!L251</f>
        <v>-2.8196390854673398E-4</v>
      </c>
    </row>
    <row r="265" spans="1:14" ht="15" thickBot="1">
      <c r="A265" s="109" t="s">
        <v>164</v>
      </c>
      <c r="B265" s="395">
        <f>'Demande Format Medpro'!B252</f>
        <v>6091.2954147393002</v>
      </c>
      <c r="C265" s="396">
        <f>'Demande Format Medpro'!C252</f>
        <v>7150.2873324018201</v>
      </c>
      <c r="D265" s="396">
        <f>'Demande Format Medpro'!D252</f>
        <v>7250.9466253127002</v>
      </c>
      <c r="E265" s="396">
        <f>'Demande Format Medpro'!E252</f>
        <v>7458.2805961348304</v>
      </c>
      <c r="F265" s="396">
        <f>'Demande Format Medpro'!F252</f>
        <v>7677.61867373311</v>
      </c>
      <c r="G265" s="396">
        <f>'Demande Format Medpro'!G252</f>
        <v>8773.4101050243808</v>
      </c>
      <c r="H265" s="396">
        <f>'Demande Format Medpro'!H252</f>
        <v>1.0743418575732499E-2</v>
      </c>
      <c r="I265" s="396">
        <f>'Demande Format Medpro'!I252</f>
        <v>2.7998095870427299E-3</v>
      </c>
      <c r="J265" s="396">
        <f>'Demande Format Medpro'!J252</f>
        <v>5.6545017261144803E-3</v>
      </c>
      <c r="K265" s="396">
        <f>'Demande Format Medpro'!K252</f>
        <v>5.8137397677995297E-3</v>
      </c>
      <c r="L265" s="396">
        <f>'Demande Format Medpro'!L252</f>
        <v>6.6931062781363498E-3</v>
      </c>
    </row>
    <row r="266" spans="1:14">
      <c r="A266" s="139"/>
      <c r="F266" s="97"/>
    </row>
    <row r="267" spans="1:14">
      <c r="F267" s="97"/>
      <c r="G267" s="124"/>
      <c r="H267" s="124"/>
      <c r="I267" s="124"/>
    </row>
    <row r="268" spans="1:14" ht="21">
      <c r="A268" s="52" t="s">
        <v>165</v>
      </c>
      <c r="B268" s="47"/>
      <c r="C268" s="47"/>
      <c r="D268" s="47"/>
      <c r="E268" s="47"/>
      <c r="F268" s="47"/>
      <c r="G268" s="140"/>
      <c r="H268" s="140"/>
      <c r="I268" s="140"/>
      <c r="J268" s="140"/>
      <c r="K268" s="140"/>
      <c r="L268" s="140"/>
    </row>
    <row r="269" spans="1:14" ht="21">
      <c r="A269" s="99"/>
      <c r="E269" s="112"/>
      <c r="F269" s="97"/>
      <c r="G269" s="97"/>
    </row>
    <row r="270" spans="1:14" ht="16" thickBot="1">
      <c r="A270" s="59" t="s">
        <v>166</v>
      </c>
      <c r="B270" s="54"/>
      <c r="C270" s="54"/>
      <c r="D270" s="54"/>
      <c r="E270" s="54"/>
      <c r="F270" s="54"/>
      <c r="G270" s="53"/>
      <c r="H270" s="53"/>
      <c r="I270" s="53"/>
      <c r="J270" s="53"/>
      <c r="K270" s="53"/>
      <c r="L270" s="53"/>
    </row>
    <row r="271" spans="1:14" ht="15" thickBot="1">
      <c r="A271" s="104"/>
      <c r="B271" s="105">
        <v>2000</v>
      </c>
      <c r="C271" s="105">
        <v>2015</v>
      </c>
      <c r="D271" s="105">
        <v>2020</v>
      </c>
      <c r="E271" s="105">
        <v>2025</v>
      </c>
      <c r="F271" s="105">
        <v>2030</v>
      </c>
      <c r="G271" s="105">
        <v>2050</v>
      </c>
      <c r="H271" s="113" t="s">
        <v>98</v>
      </c>
      <c r="I271" s="114" t="s">
        <v>99</v>
      </c>
      <c r="J271" s="114" t="s">
        <v>100</v>
      </c>
      <c r="K271" s="114" t="s">
        <v>101</v>
      </c>
      <c r="L271" s="115" t="s">
        <v>102</v>
      </c>
    </row>
    <row r="272" spans="1:14">
      <c r="A272" s="153" t="s">
        <v>167</v>
      </c>
      <c r="B272" s="154"/>
      <c r="C272" s="154"/>
      <c r="D272" s="154"/>
      <c r="E272" s="154"/>
      <c r="F272" s="154"/>
      <c r="G272" s="154"/>
      <c r="H272" s="154"/>
      <c r="I272" s="154"/>
      <c r="J272" s="154"/>
      <c r="K272" s="154"/>
      <c r="L272" s="154"/>
    </row>
    <row r="273" spans="1:15">
      <c r="A273" s="106" t="s">
        <v>168</v>
      </c>
      <c r="B273" s="155">
        <f>'Demande Format Medpro'!B260</f>
        <v>687.75139999999999</v>
      </c>
      <c r="C273" s="155">
        <f>'Demande Format Medpro'!C260</f>
        <v>729.41039999999998</v>
      </c>
      <c r="D273" s="155">
        <f>'Demande Format Medpro'!D260</f>
        <v>741.40110000000004</v>
      </c>
      <c r="E273" s="155">
        <f>'Demande Format Medpro'!E260</f>
        <v>756.66959999999995</v>
      </c>
      <c r="F273" s="155">
        <f>'Demande Format Medpro'!F260</f>
        <v>778.22469999999998</v>
      </c>
      <c r="G273" s="155">
        <f>'Demande Format Medpro'!G260</f>
        <v>909.726</v>
      </c>
      <c r="H273" s="155">
        <f>'Demande Format Medpro'!H260</f>
        <v>3.9283023752718603E-3</v>
      </c>
      <c r="I273" s="155">
        <f>'Demande Format Medpro'!I260</f>
        <v>3.2663705657525201E-3</v>
      </c>
      <c r="J273" s="155">
        <f>'Demande Format Medpro'!J260</f>
        <v>4.0853070199218201E-3</v>
      </c>
      <c r="K273" s="155">
        <f>'Demande Format Medpro'!K260</f>
        <v>5.6335292818185901E-3</v>
      </c>
      <c r="L273" s="155">
        <f>'Demande Format Medpro'!L260</f>
        <v>7.8369572087166901E-3</v>
      </c>
    </row>
    <row r="274" spans="1:15">
      <c r="A274" s="106" t="s">
        <v>169</v>
      </c>
      <c r="B274" s="155">
        <f>'Demande Format Medpro'!B261</f>
        <v>55.897300000000001</v>
      </c>
      <c r="C274" s="155">
        <f>'Demande Format Medpro'!C261</f>
        <v>71.178700000000006</v>
      </c>
      <c r="D274" s="155">
        <f>'Demande Format Medpro'!D261</f>
        <v>82.192400000000006</v>
      </c>
      <c r="E274" s="155">
        <f>'Demande Format Medpro'!E261</f>
        <v>85.473299999999995</v>
      </c>
      <c r="F274" s="155">
        <f>'Demande Format Medpro'!F261</f>
        <v>89.915099999999995</v>
      </c>
      <c r="G274" s="155">
        <f>'Demande Format Medpro'!G261</f>
        <v>111.08929999999999</v>
      </c>
      <c r="H274" s="155">
        <f>'Demande Format Medpro'!H261</f>
        <v>1.6242331386241898E-2</v>
      </c>
      <c r="I274" s="155">
        <f>'Demande Format Medpro'!I261</f>
        <v>2.9191811075447899E-2</v>
      </c>
      <c r="J274" s="155">
        <f>'Demande Format Medpro'!J261</f>
        <v>7.8589620121247705E-3</v>
      </c>
      <c r="K274" s="155">
        <f>'Demande Format Medpro'!K261</f>
        <v>1.01838753259413E-2</v>
      </c>
      <c r="L274" s="155">
        <f>'Demande Format Medpro'!L261</f>
        <v>1.06295207183478E-2</v>
      </c>
    </row>
    <row r="275" spans="1:15">
      <c r="A275" s="106" t="s">
        <v>170</v>
      </c>
      <c r="B275" s="155">
        <f>'Demande Format Medpro'!B262</f>
        <v>80.924999999999997</v>
      </c>
      <c r="C275" s="155">
        <f>'Demande Format Medpro'!C262</f>
        <v>104.51479999999999</v>
      </c>
      <c r="D275" s="155">
        <f>'Demande Format Medpro'!D262</f>
        <v>113.20359999999999</v>
      </c>
      <c r="E275" s="155">
        <f>'Demande Format Medpro'!E262</f>
        <v>119.03700000000001</v>
      </c>
      <c r="F275" s="155">
        <f>'Demande Format Medpro'!F262</f>
        <v>126.9782</v>
      </c>
      <c r="G275" s="155">
        <f>'Demande Format Medpro'!G262</f>
        <v>164.40620000000001</v>
      </c>
      <c r="H275" s="155">
        <f>'Demande Format Medpro'!H262</f>
        <v>1.7199970831537799E-2</v>
      </c>
      <c r="I275" s="155">
        <f>'Demande Format Medpro'!I262</f>
        <v>1.61000877227735E-2</v>
      </c>
      <c r="J275" s="155">
        <f>'Demande Format Medpro'!J262</f>
        <v>1.00999439406149E-2</v>
      </c>
      <c r="K275" s="155">
        <f>'Demande Format Medpro'!K262</f>
        <v>1.29999843378217E-2</v>
      </c>
      <c r="L275" s="155">
        <f>'Demande Format Medpro'!L262</f>
        <v>1.30000137410558E-2</v>
      </c>
    </row>
    <row r="276" spans="1:15">
      <c r="A276" s="106" t="s">
        <v>171</v>
      </c>
      <c r="B276" s="155">
        <f>'Demande Format Medpro'!B263</f>
        <v>15.128</v>
      </c>
      <c r="C276" s="155">
        <f>'Demande Format Medpro'!C263</f>
        <v>14.279299999999999</v>
      </c>
      <c r="D276" s="155">
        <f>'Demande Format Medpro'!D263</f>
        <v>14.2354</v>
      </c>
      <c r="E276" s="155">
        <f>'Demande Format Medpro'!E263</f>
        <v>15.2354</v>
      </c>
      <c r="F276" s="155">
        <f>'Demande Format Medpro'!F263</f>
        <v>17.1067</v>
      </c>
      <c r="G276" s="155">
        <f>'Demande Format Medpro'!G263</f>
        <v>23.6632</v>
      </c>
      <c r="H276" s="155">
        <f>'Demande Format Medpro'!H263</f>
        <v>-3.84169475365603E-3</v>
      </c>
      <c r="I276" s="155">
        <f>'Demande Format Medpro'!I263</f>
        <v>-6.1563362236105601E-4</v>
      </c>
      <c r="J276" s="155">
        <f>'Demande Format Medpro'!J263</f>
        <v>1.36705687234326E-2</v>
      </c>
      <c r="K276" s="155">
        <f>'Demande Format Medpro'!K263</f>
        <v>2.3440209206746498E-2</v>
      </c>
      <c r="L276" s="155">
        <f>'Demande Format Medpro'!L263</f>
        <v>1.6354844884853201E-2</v>
      </c>
    </row>
    <row r="277" spans="1:15">
      <c r="A277" s="106"/>
      <c r="B277" s="155">
        <f>'Demande Format Medpro'!B264</f>
        <v>0</v>
      </c>
      <c r="C277" s="155">
        <f>'Demande Format Medpro'!C264</f>
        <v>0</v>
      </c>
      <c r="D277" s="155">
        <f>'Demande Format Medpro'!D264</f>
        <v>0</v>
      </c>
      <c r="E277" s="155">
        <f>'Demande Format Medpro'!E264</f>
        <v>0</v>
      </c>
      <c r="F277" s="155">
        <f>'Demande Format Medpro'!F264</f>
        <v>0</v>
      </c>
      <c r="G277" s="155">
        <f>'Demande Format Medpro'!G264</f>
        <v>0</v>
      </c>
      <c r="H277" s="155">
        <f>'Demande Format Medpro'!H264</f>
        <v>0</v>
      </c>
      <c r="I277" s="155">
        <f>'Demande Format Medpro'!I264</f>
        <v>0</v>
      </c>
      <c r="J277" s="155">
        <f>'Demande Format Medpro'!J264</f>
        <v>0</v>
      </c>
      <c r="K277" s="155">
        <f>'Demande Format Medpro'!K264</f>
        <v>0</v>
      </c>
      <c r="L277" s="155">
        <f>'Demande Format Medpro'!L264</f>
        <v>0</v>
      </c>
    </row>
    <row r="278" spans="1:15">
      <c r="A278" s="106"/>
      <c r="B278" s="155">
        <f>'Demande Format Medpro'!B265</f>
        <v>0</v>
      </c>
      <c r="C278" s="155">
        <f>'Demande Format Medpro'!C265</f>
        <v>0</v>
      </c>
      <c r="D278" s="155">
        <f>'Demande Format Medpro'!D265</f>
        <v>0</v>
      </c>
      <c r="E278" s="155">
        <f>'Demande Format Medpro'!E265</f>
        <v>0</v>
      </c>
      <c r="F278" s="155">
        <f>'Demande Format Medpro'!F265</f>
        <v>0</v>
      </c>
      <c r="G278" s="155">
        <f>'Demande Format Medpro'!G265</f>
        <v>0</v>
      </c>
      <c r="H278" s="155">
        <f>'Demande Format Medpro'!H265</f>
        <v>0</v>
      </c>
      <c r="I278" s="155">
        <f>'Demande Format Medpro'!I265</f>
        <v>0</v>
      </c>
      <c r="J278" s="155">
        <f>'Demande Format Medpro'!J265</f>
        <v>0</v>
      </c>
      <c r="K278" s="155">
        <f>'Demande Format Medpro'!K265</f>
        <v>0</v>
      </c>
      <c r="L278" s="155">
        <f>'Demande Format Medpro'!L265</f>
        <v>0</v>
      </c>
    </row>
    <row r="279" spans="1:15">
      <c r="A279" s="153" t="s">
        <v>172</v>
      </c>
      <c r="B279" s="155">
        <f>'Demande Format Medpro'!B266</f>
        <v>0</v>
      </c>
      <c r="C279" s="155">
        <f>'Demande Format Medpro'!C266</f>
        <v>0</v>
      </c>
      <c r="D279" s="155">
        <f>'Demande Format Medpro'!D266</f>
        <v>0</v>
      </c>
      <c r="E279" s="155">
        <f>'Demande Format Medpro'!E266</f>
        <v>0</v>
      </c>
      <c r="F279" s="155">
        <f>'Demande Format Medpro'!F266</f>
        <v>0</v>
      </c>
      <c r="G279" s="155">
        <f>'Demande Format Medpro'!G266</f>
        <v>0</v>
      </c>
      <c r="H279" s="155">
        <f>'Demande Format Medpro'!H266</f>
        <v>0</v>
      </c>
      <c r="I279" s="155">
        <f>'Demande Format Medpro'!I266</f>
        <v>0</v>
      </c>
      <c r="J279" s="155">
        <f>'Demande Format Medpro'!J266</f>
        <v>0</v>
      </c>
      <c r="K279" s="155">
        <f>'Demande Format Medpro'!K266</f>
        <v>0</v>
      </c>
      <c r="L279" s="155">
        <f>'Demande Format Medpro'!L266</f>
        <v>0</v>
      </c>
    </row>
    <row r="280" spans="1:15">
      <c r="A280" s="106" t="s">
        <v>173</v>
      </c>
      <c r="B280" s="155">
        <f>'Demande Format Medpro'!B267</f>
        <v>276.81830000000002</v>
      </c>
      <c r="C280" s="155">
        <f>'Demande Format Medpro'!C267</f>
        <v>281.44720000000001</v>
      </c>
      <c r="D280" s="155">
        <f>'Demande Format Medpro'!D267</f>
        <v>309.88189999999997</v>
      </c>
      <c r="E280" s="155">
        <f>'Demande Format Medpro'!E267</f>
        <v>329.65730000000002</v>
      </c>
      <c r="F280" s="155">
        <f>'Demande Format Medpro'!F267</f>
        <v>353.20060000000001</v>
      </c>
      <c r="G280" s="155">
        <f>'Demande Format Medpro'!G267</f>
        <v>495.22289999999998</v>
      </c>
      <c r="H280" s="155">
        <f>'Demande Format Medpro'!H267</f>
        <v>1.10617997322349E-3</v>
      </c>
      <c r="I280" s="155">
        <f>'Demande Format Medpro'!I267</f>
        <v>1.9435740617660398E-2</v>
      </c>
      <c r="J280" s="155">
        <f>'Demande Format Medpro'!J267</f>
        <v>1.2449330274007899E-2</v>
      </c>
      <c r="K280" s="155">
        <f>'Demande Format Medpro'!K267</f>
        <v>1.3892118496743299E-2</v>
      </c>
      <c r="L280" s="155">
        <f>'Demande Format Medpro'!L267</f>
        <v>1.7042178683341701E-2</v>
      </c>
    </row>
    <row r="281" spans="1:15">
      <c r="A281" s="106" t="s">
        <v>170</v>
      </c>
      <c r="B281" s="155">
        <f>'Demande Format Medpro'!B268</f>
        <v>57.725999999999999</v>
      </c>
      <c r="C281" s="155">
        <f>'Demande Format Medpro'!C268</f>
        <v>34.2515</v>
      </c>
      <c r="D281" s="155">
        <f>'Demande Format Medpro'!D268</f>
        <v>39.9968</v>
      </c>
      <c r="E281" s="155">
        <f>'Demande Format Medpro'!E268</f>
        <v>42.5809</v>
      </c>
      <c r="F281" s="155">
        <f>'Demande Format Medpro'!F268</f>
        <v>45.5563</v>
      </c>
      <c r="G281" s="155">
        <f>'Demande Format Medpro'!G268</f>
        <v>66.248999999999995</v>
      </c>
      <c r="H281" s="155">
        <f>'Demande Format Medpro'!H268</f>
        <v>-3.4199983008170301E-2</v>
      </c>
      <c r="I281" s="155">
        <f>'Demande Format Medpro'!I268</f>
        <v>3.1499757370236699E-2</v>
      </c>
      <c r="J281" s="155">
        <f>'Demande Format Medpro'!J268</f>
        <v>1.2599988303198599E-2</v>
      </c>
      <c r="K281" s="155">
        <f>'Demande Format Medpro'!K268</f>
        <v>1.3600279275669499E-2</v>
      </c>
      <c r="L281" s="155">
        <f>'Demande Format Medpro'!L268</f>
        <v>1.8899957550523299E-2</v>
      </c>
    </row>
    <row r="282" spans="1:15">
      <c r="A282" s="106" t="s">
        <v>174</v>
      </c>
      <c r="B282" s="155">
        <f>'Demande Format Medpro'!B269</f>
        <v>7.2610000000000001</v>
      </c>
      <c r="C282" s="155">
        <f>'Demande Format Medpro'!C269</f>
        <v>7.4595000000000002</v>
      </c>
      <c r="D282" s="155">
        <f>'Demande Format Medpro'!D269</f>
        <v>8.1836000000000002</v>
      </c>
      <c r="E282" s="155">
        <f>'Demande Format Medpro'!E269</f>
        <v>8.3943999999999992</v>
      </c>
      <c r="F282" s="155">
        <f>'Demande Format Medpro'!F269</f>
        <v>8.6234999999999999</v>
      </c>
      <c r="G282" s="155">
        <f>'Demande Format Medpro'!G269</f>
        <v>12.7639</v>
      </c>
      <c r="H282" s="155">
        <f>'Demande Format Medpro'!H269</f>
        <v>1.79967263331648E-3</v>
      </c>
      <c r="I282" s="155">
        <f>'Demande Format Medpro'!I269</f>
        <v>1.8701475219116401E-2</v>
      </c>
      <c r="J282" s="155">
        <f>'Demande Format Medpro'!J269</f>
        <v>5.0994914233970503E-3</v>
      </c>
      <c r="K282" s="155">
        <f>'Demande Format Medpro'!K269</f>
        <v>5.3997700662658001E-3</v>
      </c>
      <c r="L282" s="155">
        <f>'Demande Format Medpro'!L269</f>
        <v>1.97999615700102E-2</v>
      </c>
      <c r="O282" s="156"/>
    </row>
    <row r="283" spans="1:15">
      <c r="A283" s="106"/>
      <c r="B283" s="155">
        <f>'Demande Format Medpro'!B270</f>
        <v>0</v>
      </c>
      <c r="C283" s="155">
        <f>'Demande Format Medpro'!C270</f>
        <v>0</v>
      </c>
      <c r="D283" s="155">
        <f>'Demande Format Medpro'!D270</f>
        <v>0</v>
      </c>
      <c r="E283" s="155">
        <f>'Demande Format Medpro'!E270</f>
        <v>0</v>
      </c>
      <c r="F283" s="155">
        <f>'Demande Format Medpro'!F270</f>
        <v>0</v>
      </c>
      <c r="G283" s="155">
        <f>'Demande Format Medpro'!G270</f>
        <v>0</v>
      </c>
      <c r="H283" s="155">
        <f>'Demande Format Medpro'!H270</f>
        <v>0</v>
      </c>
      <c r="I283" s="155">
        <f>'Demande Format Medpro'!I270</f>
        <v>0</v>
      </c>
      <c r="J283" s="155">
        <f>'Demande Format Medpro'!J270</f>
        <v>0</v>
      </c>
      <c r="K283" s="155">
        <f>'Demande Format Medpro'!K270</f>
        <v>0</v>
      </c>
      <c r="L283" s="155">
        <f>'Demande Format Medpro'!L270</f>
        <v>0</v>
      </c>
    </row>
    <row r="284" spans="1:15">
      <c r="A284" s="106" t="s">
        <v>175</v>
      </c>
      <c r="B284" s="155">
        <f>'Demande Format Medpro'!B271</f>
        <v>397.56709999999998</v>
      </c>
      <c r="C284" s="155">
        <f>'Demande Format Medpro'!C271</f>
        <v>443.3836</v>
      </c>
      <c r="D284" s="155">
        <f>'Demande Format Medpro'!D271</f>
        <v>450.69979999999998</v>
      </c>
      <c r="E284" s="155">
        <f>'Demande Format Medpro'!E271</f>
        <v>459.702</v>
      </c>
      <c r="F284" s="155">
        <f>'Demande Format Medpro'!F271</f>
        <v>472.85500000000002</v>
      </c>
      <c r="G284" s="155">
        <f>'Demande Format Medpro'!G271</f>
        <v>554.00160000000005</v>
      </c>
      <c r="H284" s="155">
        <f>'Demande Format Medpro'!H271</f>
        <v>7.2979400871426899E-3</v>
      </c>
      <c r="I284" s="155">
        <f>'Demande Format Medpro'!I271</f>
        <v>3.2785981569913901E-3</v>
      </c>
      <c r="J284" s="155">
        <f>'Demande Format Medpro'!J271</f>
        <v>3.9632263976450101E-3</v>
      </c>
      <c r="K284" s="155">
        <f>'Demande Format Medpro'!K271</f>
        <v>5.6580132586543401E-3</v>
      </c>
      <c r="L284" s="155">
        <f>'Demande Format Medpro'!L271</f>
        <v>7.9503770923274892E-3</v>
      </c>
    </row>
    <row r="285" spans="1:15" ht="15" thickBot="1">
      <c r="A285" s="141"/>
      <c r="B285" s="397"/>
      <c r="C285" s="398"/>
      <c r="D285" s="157"/>
      <c r="E285" s="157"/>
      <c r="F285" s="157"/>
      <c r="G285" s="157"/>
      <c r="H285" s="398"/>
      <c r="I285" s="398"/>
      <c r="J285" s="398"/>
      <c r="K285" s="398"/>
      <c r="L285" s="398"/>
    </row>
    <row r="286" spans="1:15">
      <c r="A286" s="111"/>
      <c r="B286" s="158"/>
      <c r="C286" s="158"/>
      <c r="D286" s="158"/>
      <c r="E286" s="158"/>
      <c r="F286" s="158"/>
      <c r="G286" s="158"/>
    </row>
    <row r="287" spans="1:15">
      <c r="A287" s="111"/>
      <c r="B287" s="158"/>
      <c r="C287" s="158"/>
      <c r="D287" s="159"/>
      <c r="E287" s="159"/>
      <c r="F287" s="159"/>
      <c r="G287" s="159"/>
    </row>
    <row r="288" spans="1:15" ht="16" thickBot="1">
      <c r="A288" s="59" t="s">
        <v>176</v>
      </c>
      <c r="B288" s="53"/>
      <c r="C288" s="53"/>
      <c r="D288" s="53"/>
      <c r="E288" s="53"/>
      <c r="F288" s="53"/>
      <c r="G288" s="53"/>
      <c r="H288" s="53"/>
      <c r="I288" s="53"/>
      <c r="J288" s="53"/>
      <c r="K288" s="53"/>
      <c r="L288" s="53"/>
    </row>
    <row r="289" spans="1:13" ht="15" thickBot="1">
      <c r="A289" s="104" t="s">
        <v>51</v>
      </c>
      <c r="B289" s="105">
        <v>2000</v>
      </c>
      <c r="C289" s="105">
        <v>2015</v>
      </c>
      <c r="D289" s="105">
        <v>2020</v>
      </c>
      <c r="E289" s="105">
        <v>2025</v>
      </c>
      <c r="F289" s="105">
        <v>2030</v>
      </c>
      <c r="G289" s="105">
        <v>2050</v>
      </c>
      <c r="H289" s="113" t="s">
        <v>98</v>
      </c>
      <c r="I289" s="114" t="s">
        <v>99</v>
      </c>
      <c r="J289" s="114" t="s">
        <v>100</v>
      </c>
      <c r="K289" s="114" t="s">
        <v>101</v>
      </c>
      <c r="L289" s="115" t="s">
        <v>102</v>
      </c>
    </row>
    <row r="290" spans="1:13">
      <c r="A290" s="106" t="s">
        <v>177</v>
      </c>
      <c r="B290" s="121">
        <f>'Demande Format Medpro'!B277</f>
        <v>13.9971</v>
      </c>
      <c r="C290" s="121">
        <f>'Demande Format Medpro'!C277</f>
        <v>7.2347999999999999</v>
      </c>
      <c r="D290" s="121">
        <f>'Demande Format Medpro'!D277</f>
        <v>6.7095000000000002</v>
      </c>
      <c r="E290" s="121">
        <f>'Demande Format Medpro'!E277</f>
        <v>6.4130000000000003</v>
      </c>
      <c r="F290" s="121">
        <f>'Demande Format Medpro'!F277</f>
        <v>5.77</v>
      </c>
      <c r="G290" s="121">
        <f>'Demande Format Medpro'!G277</f>
        <v>3.5712999999999999</v>
      </c>
      <c r="H290" s="121">
        <f>'Demande Format Medpro'!H277</f>
        <v>-4.3042689928576301E-2</v>
      </c>
      <c r="I290" s="121">
        <f>'Demande Format Medpro'!I277</f>
        <v>-1.49625879438747E-2</v>
      </c>
      <c r="J290" s="121">
        <f>'Demande Format Medpro'!J277</f>
        <v>-8.9987174730144E-3</v>
      </c>
      <c r="K290" s="121">
        <f>'Demande Format Medpro'!K277</f>
        <v>-2.0909324225712199E-2</v>
      </c>
      <c r="L290" s="121">
        <f>'Demande Format Medpro'!L277</f>
        <v>-2.3701715862578999E-2</v>
      </c>
      <c r="M290" s="118"/>
    </row>
    <row r="291" spans="1:13">
      <c r="A291" s="106" t="s">
        <v>178</v>
      </c>
      <c r="B291" s="121">
        <f>'Demande Format Medpro'!B278</f>
        <v>26.535799999999998</v>
      </c>
      <c r="C291" s="121">
        <f>'Demande Format Medpro'!C278</f>
        <v>32.707599999999999</v>
      </c>
      <c r="D291" s="121">
        <f>'Demande Format Medpro'!D278</f>
        <v>32.730899999999998</v>
      </c>
      <c r="E291" s="121">
        <f>'Demande Format Medpro'!E278</f>
        <v>31.736999999999998</v>
      </c>
      <c r="F291" s="121">
        <f>'Demande Format Medpro'!F278</f>
        <v>31.259599999999999</v>
      </c>
      <c r="G291" s="121">
        <f>'Demande Format Medpro'!G278</f>
        <v>31.748000000000001</v>
      </c>
      <c r="H291" s="121">
        <f>'Demande Format Medpro'!H278</f>
        <v>1.40384735515253E-2</v>
      </c>
      <c r="I291" s="121">
        <f>'Demande Format Medpro'!I278</f>
        <v>1.4243395127255801E-4</v>
      </c>
      <c r="J291" s="121">
        <f>'Demande Format Medpro'!J278</f>
        <v>-6.1483000068241998E-3</v>
      </c>
      <c r="K291" s="121">
        <f>'Demande Format Medpro'!K278</f>
        <v>-3.0267428832079198E-3</v>
      </c>
      <c r="L291" s="121">
        <f>'Demande Format Medpro'!L278</f>
        <v>7.7546062536670802E-4</v>
      </c>
      <c r="M291" s="118"/>
    </row>
    <row r="292" spans="1:13">
      <c r="A292" s="106" t="s">
        <v>179</v>
      </c>
      <c r="B292" s="121">
        <f>'Demande Format Medpro'!B279</f>
        <v>1.7838000000000001</v>
      </c>
      <c r="C292" s="121">
        <f>'Demande Format Medpro'!C279</f>
        <v>1.1121000000000001</v>
      </c>
      <c r="D292" s="121">
        <f>'Demande Format Medpro'!D279</f>
        <v>0.97289999999999999</v>
      </c>
      <c r="E292" s="121">
        <f>'Demande Format Medpro'!E279</f>
        <v>0.98340000000000005</v>
      </c>
      <c r="F292" s="121">
        <f>'Demande Format Medpro'!F279</f>
        <v>1.016</v>
      </c>
      <c r="G292" s="121">
        <f>'Demande Format Medpro'!G279</f>
        <v>1.0871</v>
      </c>
      <c r="H292" s="121">
        <f>'Demande Format Medpro'!H279</f>
        <v>-3.10087722550666E-2</v>
      </c>
      <c r="I292" s="121">
        <f>'Demande Format Medpro'!I279</f>
        <v>-2.63903438455984E-2</v>
      </c>
      <c r="J292" s="121">
        <f>'Demande Format Medpro'!J279</f>
        <v>2.1492369049878101E-3</v>
      </c>
      <c r="K292" s="121">
        <f>'Demande Format Medpro'!K279</f>
        <v>6.5438526851737703E-3</v>
      </c>
      <c r="L292" s="121">
        <f>'Demande Format Medpro'!L279</f>
        <v>3.38773801073589E-3</v>
      </c>
      <c r="M292" s="118"/>
    </row>
    <row r="293" spans="1:13">
      <c r="A293" s="106" t="s">
        <v>180</v>
      </c>
      <c r="B293" s="121">
        <f>'Demande Format Medpro'!B280</f>
        <v>0.20849999999999999</v>
      </c>
      <c r="C293" s="121">
        <f>'Demande Format Medpro'!C280</f>
        <v>0.15459999999999999</v>
      </c>
      <c r="D293" s="121">
        <f>'Demande Format Medpro'!D280</f>
        <v>0.152</v>
      </c>
      <c r="E293" s="121">
        <f>'Demande Format Medpro'!E280</f>
        <v>0.15179999999999999</v>
      </c>
      <c r="F293" s="121">
        <f>'Demande Format Medpro'!F280</f>
        <v>1.44E-2</v>
      </c>
      <c r="G293" s="121">
        <f>'Demande Format Medpro'!G280</f>
        <v>4.0000000000000001E-3</v>
      </c>
      <c r="H293" s="121">
        <f>'Demande Format Medpro'!H280</f>
        <v>-1.9742376104737801E-2</v>
      </c>
      <c r="I293" s="121">
        <f>'Demande Format Medpro'!I280</f>
        <v>-3.3863763117075699E-3</v>
      </c>
      <c r="J293" s="121">
        <f>'Demande Format Medpro'!J280</f>
        <v>-2.6329650833822898E-4</v>
      </c>
      <c r="K293" s="121">
        <f>'Demande Format Medpro'!K280</f>
        <v>-0.37566433569493302</v>
      </c>
      <c r="L293" s="121">
        <f>'Demande Format Medpro'!L280</f>
        <v>-6.20387970323922E-2</v>
      </c>
      <c r="M293" s="118"/>
    </row>
    <row r="294" spans="1:13">
      <c r="A294" s="106" t="s">
        <v>181</v>
      </c>
      <c r="B294" s="121">
        <f>'Demande Format Medpro'!B281</f>
        <v>0</v>
      </c>
      <c r="C294" s="121">
        <f>'Demande Format Medpro'!C281</f>
        <v>7.5200000000000003E-2</v>
      </c>
      <c r="D294" s="121">
        <f>'Demande Format Medpro'!D281</f>
        <v>8.6400000000000005E-2</v>
      </c>
      <c r="E294" s="121">
        <f>'Demande Format Medpro'!E281</f>
        <v>9.1899999999999996E-2</v>
      </c>
      <c r="F294" s="121">
        <f>'Demande Format Medpro'!F281</f>
        <v>9.7500000000000003E-2</v>
      </c>
      <c r="G294" s="121">
        <f>'Demande Format Medpro'!G281</f>
        <v>0.1215</v>
      </c>
      <c r="H294" s="121">
        <f>'Demande Format Medpro'!H281</f>
        <v>0</v>
      </c>
      <c r="I294" s="121">
        <f>'Demande Format Medpro'!I281</f>
        <v>2.8156393247250399E-2</v>
      </c>
      <c r="J294" s="121">
        <f>'Demande Format Medpro'!J281</f>
        <v>1.2419155823384201E-2</v>
      </c>
      <c r="K294" s="121">
        <f>'Demande Format Medpro'!K281</f>
        <v>1.1900524138891399E-2</v>
      </c>
      <c r="L294" s="121">
        <f>'Demande Format Medpro'!L281</f>
        <v>1.10638509129168E-2</v>
      </c>
      <c r="M294" s="118"/>
    </row>
    <row r="295" spans="1:13">
      <c r="A295" s="106" t="s">
        <v>104</v>
      </c>
      <c r="B295" s="121">
        <f>'Demande Format Medpro'!B282</f>
        <v>0.80669999999999997</v>
      </c>
      <c r="C295" s="121">
        <f>'Demande Format Medpro'!C282</f>
        <v>0.89270000000000005</v>
      </c>
      <c r="D295" s="121">
        <f>'Demande Format Medpro'!D282</f>
        <v>1.147</v>
      </c>
      <c r="E295" s="121">
        <f>'Demande Format Medpro'!E282</f>
        <v>1.4209000000000001</v>
      </c>
      <c r="F295" s="121">
        <f>'Demande Format Medpro'!F282</f>
        <v>1.8814</v>
      </c>
      <c r="G295" s="121">
        <f>'Demande Format Medpro'!G282</f>
        <v>4.0824999999999996</v>
      </c>
      <c r="H295" s="121">
        <f>'Demande Format Medpro'!H282</f>
        <v>6.7761030168769203E-3</v>
      </c>
      <c r="I295" s="121">
        <f>'Demande Format Medpro'!I282</f>
        <v>5.1408724958821497E-2</v>
      </c>
      <c r="J295" s="121">
        <f>'Demande Format Medpro'!J282</f>
        <v>4.3758485638497602E-2</v>
      </c>
      <c r="K295" s="121">
        <f>'Demande Format Medpro'!K282</f>
        <v>5.7751196062832501E-2</v>
      </c>
      <c r="L295" s="121">
        <f>'Demande Format Medpro'!L282</f>
        <v>3.9494636141248499E-2</v>
      </c>
      <c r="M295" s="118"/>
    </row>
    <row r="296" spans="1:13">
      <c r="A296" s="106" t="s">
        <v>109</v>
      </c>
      <c r="B296" s="121">
        <f>'Demande Format Medpro'!B283</f>
        <v>0</v>
      </c>
      <c r="C296" s="121">
        <f>'Demande Format Medpro'!C283</f>
        <v>0</v>
      </c>
      <c r="D296" s="121">
        <f>'Demande Format Medpro'!D283</f>
        <v>0</v>
      </c>
      <c r="E296" s="121">
        <f>'Demande Format Medpro'!E283</f>
        <v>0</v>
      </c>
      <c r="F296" s="121">
        <f>'Demande Format Medpro'!F283</f>
        <v>0</v>
      </c>
      <c r="G296" s="121">
        <f>'Demande Format Medpro'!G283</f>
        <v>0</v>
      </c>
      <c r="H296" s="121">
        <f>'Demande Format Medpro'!H283</f>
        <v>0</v>
      </c>
      <c r="I296" s="121">
        <f>'Demande Format Medpro'!I283</f>
        <v>0</v>
      </c>
      <c r="J296" s="121">
        <f>'Demande Format Medpro'!J283</f>
        <v>0</v>
      </c>
      <c r="K296" s="121">
        <f>'Demande Format Medpro'!K283</f>
        <v>0</v>
      </c>
      <c r="L296" s="121">
        <f>'Demande Format Medpro'!L283</f>
        <v>0</v>
      </c>
      <c r="M296" s="118"/>
    </row>
    <row r="297" spans="1:13">
      <c r="A297" s="106"/>
      <c r="B297" s="121">
        <f>'Demande Format Medpro'!B284</f>
        <v>0</v>
      </c>
      <c r="C297" s="121">
        <f>'Demande Format Medpro'!C284</f>
        <v>0</v>
      </c>
      <c r="D297" s="121">
        <f>'Demande Format Medpro'!D284</f>
        <v>0</v>
      </c>
      <c r="E297" s="121">
        <f>'Demande Format Medpro'!E284</f>
        <v>0</v>
      </c>
      <c r="F297" s="121">
        <f>'Demande Format Medpro'!F284</f>
        <v>0</v>
      </c>
      <c r="G297" s="121">
        <f>'Demande Format Medpro'!G284</f>
        <v>0</v>
      </c>
      <c r="H297" s="121">
        <f>'Demande Format Medpro'!H284</f>
        <v>0</v>
      </c>
      <c r="I297" s="121">
        <f>'Demande Format Medpro'!I284</f>
        <v>0</v>
      </c>
      <c r="J297" s="121">
        <f>'Demande Format Medpro'!J284</f>
        <v>0</v>
      </c>
      <c r="K297" s="121">
        <f>'Demande Format Medpro'!K284</f>
        <v>0</v>
      </c>
      <c r="L297" s="121">
        <f>'Demande Format Medpro'!L284</f>
        <v>0</v>
      </c>
    </row>
    <row r="298" spans="1:13" ht="15" thickBot="1">
      <c r="A298" s="109" t="s">
        <v>10</v>
      </c>
      <c r="B298" s="378">
        <f>'Demande Format Medpro'!B285</f>
        <v>43.331899999999997</v>
      </c>
      <c r="C298" s="110">
        <f>'Demande Format Medpro'!C285</f>
        <v>42.177</v>
      </c>
      <c r="D298" s="110">
        <f>'Demande Format Medpro'!D285</f>
        <v>41.798699999999997</v>
      </c>
      <c r="E298" s="110">
        <f>'Demande Format Medpro'!E285</f>
        <v>40.798000000000002</v>
      </c>
      <c r="F298" s="110">
        <f>'Demande Format Medpro'!F285</f>
        <v>40.038899999999998</v>
      </c>
      <c r="G298" s="110">
        <f>'Demande Format Medpro'!G285</f>
        <v>40.614400000000003</v>
      </c>
      <c r="H298" s="110">
        <f>'Demande Format Medpro'!H285</f>
        <v>-1.7993149918053E-3</v>
      </c>
      <c r="I298" s="110">
        <f>'Demande Format Medpro'!I285</f>
        <v>-1.80033948060065E-3</v>
      </c>
      <c r="J298" s="110">
        <f>'Demande Format Medpro'!J285</f>
        <v>-4.83471057375173E-3</v>
      </c>
      <c r="K298" s="110">
        <f>'Demande Format Medpro'!K285</f>
        <v>-3.7492696827380301E-3</v>
      </c>
      <c r="L298" s="110">
        <f>'Demande Format Medpro'!L285</f>
        <v>7.1381474379505995E-4</v>
      </c>
      <c r="M298" s="108"/>
    </row>
    <row r="299" spans="1:13">
      <c r="A299" s="111"/>
      <c r="B299" s="98"/>
      <c r="C299" s="98"/>
      <c r="D299" s="98"/>
      <c r="E299" s="107"/>
      <c r="F299" s="107"/>
      <c r="M299" s="129"/>
    </row>
    <row r="300" spans="1:13">
      <c r="A300" s="111"/>
      <c r="B300" s="98"/>
      <c r="C300" s="98"/>
      <c r="D300" s="98"/>
      <c r="E300" s="107"/>
      <c r="F300" s="107"/>
    </row>
    <row r="301" spans="1:13" ht="16" thickBot="1">
      <c r="A301" s="59" t="s">
        <v>182</v>
      </c>
      <c r="B301" s="53"/>
      <c r="C301" s="53"/>
      <c r="D301" s="53"/>
      <c r="E301" s="160"/>
      <c r="F301" s="160"/>
      <c r="G301" s="160"/>
      <c r="H301" s="53"/>
      <c r="I301" s="53"/>
      <c r="J301" s="53"/>
      <c r="K301" s="53"/>
      <c r="L301" s="53"/>
    </row>
    <row r="302" spans="1:13" ht="15" thickBot="1">
      <c r="A302" s="104" t="s">
        <v>51</v>
      </c>
      <c r="B302" s="105">
        <v>2000</v>
      </c>
      <c r="C302" s="105">
        <v>2015</v>
      </c>
      <c r="D302" s="105">
        <v>2020</v>
      </c>
      <c r="E302" s="105">
        <v>2025</v>
      </c>
      <c r="F302" s="105">
        <v>2030</v>
      </c>
      <c r="G302" s="105">
        <v>2050</v>
      </c>
      <c r="H302" s="113" t="s">
        <v>98</v>
      </c>
      <c r="I302" s="114" t="s">
        <v>99</v>
      </c>
      <c r="J302" s="114" t="s">
        <v>100</v>
      </c>
      <c r="K302" s="114" t="s">
        <v>101</v>
      </c>
      <c r="L302" s="115" t="s">
        <v>102</v>
      </c>
    </row>
    <row r="303" spans="1:13">
      <c r="A303" s="106" t="s">
        <v>183</v>
      </c>
      <c r="B303" s="107">
        <f>'Demande Format Medpro'!B290</f>
        <v>39.905799999999999</v>
      </c>
      <c r="C303" s="107">
        <f>'Demande Format Medpro'!C290</f>
        <v>39.588700000000003</v>
      </c>
      <c r="D303" s="107">
        <f>'Demande Format Medpro'!D290</f>
        <v>39.209800000000001</v>
      </c>
      <c r="E303" s="107">
        <f>'Demande Format Medpro'!E290</f>
        <v>38.1265</v>
      </c>
      <c r="F303" s="107">
        <f>'Demande Format Medpro'!F290</f>
        <v>37.241999999999997</v>
      </c>
      <c r="G303" s="107">
        <f>'Demande Format Medpro'!G290</f>
        <v>37.095799999999997</v>
      </c>
      <c r="H303" s="107">
        <f>'Demande Format Medpro'!H290</f>
        <v>-5.3172210141172504E-4</v>
      </c>
      <c r="I303" s="107">
        <f>'Demande Format Medpro'!I290</f>
        <v>-1.9215531388057101E-3</v>
      </c>
      <c r="J303" s="107">
        <f>'Demande Format Medpro'!J290</f>
        <v>-5.5877575097548196E-3</v>
      </c>
      <c r="K303" s="107">
        <f>'Demande Format Medpro'!K290</f>
        <v>-4.6834824823716002E-3</v>
      </c>
      <c r="L303" s="107">
        <f>'Demande Format Medpro'!L290</f>
        <v>-1.9665071180397E-4</v>
      </c>
    </row>
    <row r="304" spans="1:13">
      <c r="A304" s="106" t="s">
        <v>184</v>
      </c>
      <c r="B304" s="107">
        <f>'Demande Format Medpro'!B291</f>
        <v>1.1697</v>
      </c>
      <c r="C304" s="107">
        <f>'Demande Format Medpro'!C291</f>
        <v>1.0153000000000001</v>
      </c>
      <c r="D304" s="107">
        <f>'Demande Format Medpro'!D291</f>
        <v>1.1104000000000001</v>
      </c>
      <c r="E304" s="107">
        <f>'Demande Format Medpro'!E291</f>
        <v>1.1695</v>
      </c>
      <c r="F304" s="107">
        <f>'Demande Format Medpro'!F291</f>
        <v>1.2481</v>
      </c>
      <c r="G304" s="107">
        <f>'Demande Format Medpro'!G291</f>
        <v>1.6429</v>
      </c>
      <c r="H304" s="107">
        <f>'Demande Format Medpro'!H291</f>
        <v>-9.3931508311854203E-3</v>
      </c>
      <c r="I304" s="107">
        <f>'Demande Format Medpro'!I291</f>
        <v>1.80685309726576E-2</v>
      </c>
      <c r="J304" s="107">
        <f>'Demande Format Medpro'!J291</f>
        <v>1.0425166548489399E-2</v>
      </c>
      <c r="K304" s="107">
        <f>'Demande Format Medpro'!K291</f>
        <v>1.3094205593694E-2</v>
      </c>
      <c r="L304" s="107">
        <f>'Demande Format Medpro'!L291</f>
        <v>1.3836884583680001E-2</v>
      </c>
    </row>
    <row r="305" spans="1:14">
      <c r="A305" s="106" t="s">
        <v>185</v>
      </c>
      <c r="B305" s="107">
        <f>'Demande Format Medpro'!B292</f>
        <v>0.47260000000000002</v>
      </c>
      <c r="C305" s="107">
        <f>'Demande Format Medpro'!C292</f>
        <v>0.46089999999999998</v>
      </c>
      <c r="D305" s="107">
        <f>'Demande Format Medpro'!D292</f>
        <v>0.50560000000000005</v>
      </c>
      <c r="E305" s="107">
        <f>'Demande Format Medpro'!E292</f>
        <v>0.51859999999999995</v>
      </c>
      <c r="F305" s="107">
        <f>'Demande Format Medpro'!F292</f>
        <v>0.53280000000000005</v>
      </c>
      <c r="G305" s="107">
        <f>'Demande Format Medpro'!G292</f>
        <v>0.78859999999999997</v>
      </c>
      <c r="H305" s="107">
        <f>'Demande Format Medpro'!H292</f>
        <v>-1.6698219617935499E-3</v>
      </c>
      <c r="I305" s="107">
        <f>'Demande Format Medpro'!I292</f>
        <v>1.8685375655264701E-2</v>
      </c>
      <c r="J305" s="107">
        <f>'Demande Format Medpro'!J292</f>
        <v>5.0903179241896801E-3</v>
      </c>
      <c r="K305" s="107">
        <f>'Demande Format Medpro'!K292</f>
        <v>5.4172698518257798E-3</v>
      </c>
      <c r="L305" s="107">
        <f>'Demande Format Medpro'!L292</f>
        <v>1.9799108156683499E-2</v>
      </c>
    </row>
    <row r="306" spans="1:14">
      <c r="A306" s="106" t="s">
        <v>186</v>
      </c>
      <c r="B306" s="107">
        <f>'Demande Format Medpro'!B293</f>
        <v>1.7838000000000001</v>
      </c>
      <c r="C306" s="107">
        <f>'Demande Format Medpro'!C293</f>
        <v>1.1121000000000001</v>
      </c>
      <c r="D306" s="107">
        <f>'Demande Format Medpro'!D293</f>
        <v>0.97289999999999999</v>
      </c>
      <c r="E306" s="107">
        <f>'Demande Format Medpro'!E293</f>
        <v>0.98340000000000005</v>
      </c>
      <c r="F306" s="107">
        <f>'Demande Format Medpro'!F293</f>
        <v>1.016</v>
      </c>
      <c r="G306" s="107">
        <f>'Demande Format Medpro'!G293</f>
        <v>1.0871</v>
      </c>
      <c r="H306" s="107">
        <f>'Demande Format Medpro'!H293</f>
        <v>-3.10087722550666E-2</v>
      </c>
      <c r="I306" s="107">
        <f>'Demande Format Medpro'!I293</f>
        <v>-2.63903438455984E-2</v>
      </c>
      <c r="J306" s="107">
        <f>'Demande Format Medpro'!J293</f>
        <v>2.1492369049878101E-3</v>
      </c>
      <c r="K306" s="107">
        <f>'Demande Format Medpro'!K293</f>
        <v>6.5438526851737703E-3</v>
      </c>
      <c r="L306" s="107">
        <f>'Demande Format Medpro'!L293</f>
        <v>3.38773801073589E-3</v>
      </c>
    </row>
    <row r="307" spans="1:14">
      <c r="A307" s="106"/>
      <c r="B307" s="107">
        <f>'Demande Format Medpro'!B294</f>
        <v>0</v>
      </c>
      <c r="C307" s="107">
        <f>'Demande Format Medpro'!C294</f>
        <v>0</v>
      </c>
      <c r="D307" s="107">
        <f>'Demande Format Medpro'!D294</f>
        <v>0</v>
      </c>
      <c r="E307" s="107">
        <f>'Demande Format Medpro'!E294</f>
        <v>0</v>
      </c>
      <c r="F307" s="107">
        <f>'Demande Format Medpro'!F294</f>
        <v>0</v>
      </c>
      <c r="G307" s="107">
        <f>'Demande Format Medpro'!G294</f>
        <v>0</v>
      </c>
      <c r="H307" s="107">
        <f>'Demande Format Medpro'!H294</f>
        <v>0</v>
      </c>
      <c r="I307" s="107">
        <f>'Demande Format Medpro'!I294</f>
        <v>0</v>
      </c>
      <c r="J307" s="107">
        <f>'Demande Format Medpro'!J294</f>
        <v>0</v>
      </c>
      <c r="K307" s="107">
        <f>'Demande Format Medpro'!K294</f>
        <v>0</v>
      </c>
      <c r="L307" s="107">
        <f>'Demande Format Medpro'!L294</f>
        <v>0</v>
      </c>
    </row>
    <row r="308" spans="1:14" ht="15" thickBot="1">
      <c r="A308" s="141" t="s">
        <v>10</v>
      </c>
      <c r="B308" s="126">
        <f>'Demande Format Medpro'!B295</f>
        <v>43.331899999999997</v>
      </c>
      <c r="C308" s="131">
        <f>'Demande Format Medpro'!C295</f>
        <v>42.177</v>
      </c>
      <c r="D308" s="131">
        <f>'Demande Format Medpro'!D295</f>
        <v>41.798699999999997</v>
      </c>
      <c r="E308" s="131">
        <f>'Demande Format Medpro'!E295</f>
        <v>40.798000000000002</v>
      </c>
      <c r="F308" s="131">
        <f>'Demande Format Medpro'!F295</f>
        <v>40.038899999999998</v>
      </c>
      <c r="G308" s="131">
        <f>'Demande Format Medpro'!G295</f>
        <v>40.614400000000003</v>
      </c>
      <c r="H308" s="131">
        <f>'Demande Format Medpro'!H295</f>
        <v>-1.7993149918053E-3</v>
      </c>
      <c r="I308" s="131">
        <f>'Demande Format Medpro'!I295</f>
        <v>-1.80033948060065E-3</v>
      </c>
      <c r="J308" s="131">
        <f>'Demande Format Medpro'!J295</f>
        <v>-4.83471057375173E-3</v>
      </c>
      <c r="K308" s="131">
        <f>'Demande Format Medpro'!K295</f>
        <v>-3.7492696827380301E-3</v>
      </c>
      <c r="L308" s="131">
        <f>'Demande Format Medpro'!L295</f>
        <v>7.1381474379505995E-4</v>
      </c>
    </row>
    <row r="309" spans="1:14">
      <c r="A309" s="111"/>
      <c r="B309" s="161"/>
      <c r="C309" s="98"/>
      <c r="D309" s="98"/>
      <c r="E309" s="98"/>
    </row>
    <row r="310" spans="1:14">
      <c r="A310" s="111"/>
      <c r="B310" s="161"/>
      <c r="C310" s="98"/>
      <c r="D310" s="98"/>
      <c r="E310" s="98"/>
    </row>
    <row r="311" spans="1:14" ht="16" thickBot="1">
      <c r="A311" s="59" t="s">
        <v>187</v>
      </c>
      <c r="B311" s="162"/>
      <c r="C311" s="53"/>
      <c r="D311" s="53"/>
      <c r="E311" s="53"/>
      <c r="F311" s="53"/>
      <c r="G311" s="53"/>
      <c r="H311" s="53"/>
      <c r="I311" s="53"/>
      <c r="J311" s="53"/>
      <c r="K311" s="53"/>
      <c r="L311" s="53"/>
    </row>
    <row r="312" spans="1:14" ht="15" thickBot="1">
      <c r="A312" s="104" t="s">
        <v>51</v>
      </c>
      <c r="B312" s="105">
        <v>2000</v>
      </c>
      <c r="C312" s="105">
        <v>2015</v>
      </c>
      <c r="D312" s="105">
        <v>2020</v>
      </c>
      <c r="E312" s="105">
        <v>2025</v>
      </c>
      <c r="F312" s="105">
        <v>2030</v>
      </c>
      <c r="G312" s="105">
        <v>2050</v>
      </c>
      <c r="H312" s="113" t="s">
        <v>98</v>
      </c>
      <c r="I312" s="114" t="s">
        <v>99</v>
      </c>
      <c r="J312" s="114" t="s">
        <v>100</v>
      </c>
      <c r="K312" s="114" t="s">
        <v>101</v>
      </c>
      <c r="L312" s="115" t="s">
        <v>102</v>
      </c>
    </row>
    <row r="313" spans="1:14">
      <c r="A313" s="153" t="s">
        <v>188</v>
      </c>
      <c r="B313" s="107">
        <f>'Demande Format Medpro'!B300</f>
        <v>24.0273</v>
      </c>
      <c r="C313" s="107">
        <f>'Demande Format Medpro'!C300</f>
        <v>23.461400000000001</v>
      </c>
      <c r="D313" s="107">
        <f>'Demande Format Medpro'!D300</f>
        <v>22.6571</v>
      </c>
      <c r="E313" s="107">
        <f>'Demande Format Medpro'!E300</f>
        <v>21.686900000000001</v>
      </c>
      <c r="F313" s="107">
        <f>'Demande Format Medpro'!F300</f>
        <v>20.764600000000002</v>
      </c>
      <c r="G313" s="107">
        <f>'Demande Format Medpro'!G300</f>
        <v>18.468</v>
      </c>
      <c r="H313" s="107">
        <f>'Demande Format Medpro'!H300</f>
        <v>-1.58768272254539E-3</v>
      </c>
      <c r="I313" s="107">
        <f>'Demande Format Medpro'!I300</f>
        <v>-6.9523694561535202E-3</v>
      </c>
      <c r="J313" s="107">
        <f>'Demande Format Medpro'!J300</f>
        <v>-8.7147796291577907E-3</v>
      </c>
      <c r="K313" s="107">
        <f>'Demande Format Medpro'!K300</f>
        <v>-8.6540914747326204E-3</v>
      </c>
      <c r="L313" s="107">
        <f>'Demande Format Medpro'!L300</f>
        <v>-5.8433661893037003E-3</v>
      </c>
      <c r="N313" s="146"/>
    </row>
    <row r="314" spans="1:14">
      <c r="A314" s="106" t="s">
        <v>177</v>
      </c>
      <c r="B314" s="107">
        <f>'Demande Format Medpro'!B301</f>
        <v>13.3986</v>
      </c>
      <c r="C314" s="107">
        <f>'Demande Format Medpro'!C301</f>
        <v>6.5430999999999999</v>
      </c>
      <c r="D314" s="107">
        <f>'Demande Format Medpro'!D301</f>
        <v>6.0305999999999997</v>
      </c>
      <c r="E314" s="107">
        <f>'Demande Format Medpro'!E301</f>
        <v>5.7404999999999999</v>
      </c>
      <c r="F314" s="107">
        <f>'Demande Format Medpro'!F301</f>
        <v>5.0959000000000003</v>
      </c>
      <c r="G314" s="107">
        <f>'Demande Format Medpro'!G301</f>
        <v>2.8450000000000002</v>
      </c>
      <c r="H314" s="107">
        <f>'Demande Format Medpro'!H301</f>
        <v>-4.6658989573450098E-2</v>
      </c>
      <c r="I314" s="107">
        <f>'Demande Format Medpro'!I301</f>
        <v>-1.6180575247603999E-2</v>
      </c>
      <c r="J314" s="107">
        <f>'Demande Format Medpro'!J301</f>
        <v>-9.8115879359933506E-3</v>
      </c>
      <c r="K314" s="107">
        <f>'Demande Format Medpro'!K301</f>
        <v>-2.3540499767392E-2</v>
      </c>
      <c r="L314" s="107">
        <f>'Demande Format Medpro'!L301</f>
        <v>-2.8723080523118099E-2</v>
      </c>
    </row>
    <row r="315" spans="1:14">
      <c r="A315" s="106" t="s">
        <v>178</v>
      </c>
      <c r="B315" s="107">
        <f>'Demande Format Medpro'!B302</f>
        <v>10.4703</v>
      </c>
      <c r="C315" s="107">
        <f>'Demande Format Medpro'!C302</f>
        <v>16.771000000000001</v>
      </c>
      <c r="D315" s="107">
        <f>'Demande Format Medpro'!D302</f>
        <v>16.402799999999999</v>
      </c>
      <c r="E315" s="107">
        <f>'Demande Format Medpro'!E302</f>
        <v>15.5016</v>
      </c>
      <c r="F315" s="107">
        <f>'Demande Format Medpro'!F302</f>
        <v>14.972300000000001</v>
      </c>
      <c r="G315" s="107">
        <f>'Demande Format Medpro'!G302</f>
        <v>13.1013</v>
      </c>
      <c r="H315" s="107">
        <f>'Demande Format Medpro'!H302</f>
        <v>3.1905646537125701E-2</v>
      </c>
      <c r="I315" s="107">
        <f>'Demande Format Medpro'!I302</f>
        <v>-4.4299889998889999E-3</v>
      </c>
      <c r="J315" s="107">
        <f>'Demande Format Medpro'!J302</f>
        <v>-1.1238136522470001E-2</v>
      </c>
      <c r="K315" s="107">
        <f>'Demande Format Medpro'!K302</f>
        <v>-6.9241999225698701E-3</v>
      </c>
      <c r="L315" s="107">
        <f>'Demande Format Medpro'!L302</f>
        <v>-6.6522931437719103E-3</v>
      </c>
    </row>
    <row r="316" spans="1:14">
      <c r="A316" s="106" t="s">
        <v>180</v>
      </c>
      <c r="B316" s="107">
        <f>'Demande Format Medpro'!B303</f>
        <v>0.15840000000000001</v>
      </c>
      <c r="C316" s="107">
        <f>'Demande Format Medpro'!C303</f>
        <v>0.1298</v>
      </c>
      <c r="D316" s="107">
        <f>'Demande Format Medpro'!D303</f>
        <v>0.13150000000000001</v>
      </c>
      <c r="E316" s="107">
        <f>'Demande Format Medpro'!E303</f>
        <v>0.13489999999999999</v>
      </c>
      <c r="F316" s="107">
        <f>'Demande Format Medpro'!F303</f>
        <v>5.0000000000000001E-4</v>
      </c>
      <c r="G316" s="107">
        <f>'Demande Format Medpro'!G303</f>
        <v>-1E-4</v>
      </c>
      <c r="H316" s="107">
        <f>'Demande Format Medpro'!H303</f>
        <v>-1.31875175724918E-2</v>
      </c>
      <c r="I316" s="107">
        <f>'Demande Format Medpro'!I303</f>
        <v>2.6057986764866899E-3</v>
      </c>
      <c r="J316" s="107">
        <f>'Demande Format Medpro'!J303</f>
        <v>5.1184369903980497E-3</v>
      </c>
      <c r="K316" s="107">
        <f>'Demande Format Medpro'!K303</f>
        <v>-0.67356883803888701</v>
      </c>
      <c r="L316" s="107" t="e">
        <f>'Demande Format Medpro'!L303</f>
        <v>#NUM!</v>
      </c>
    </row>
    <row r="317" spans="1:14">
      <c r="A317" s="106" t="s">
        <v>181</v>
      </c>
      <c r="B317" s="107">
        <f>'Demande Format Medpro'!B304</f>
        <v>0</v>
      </c>
      <c r="C317" s="107">
        <f>'Demande Format Medpro'!C304</f>
        <v>0</v>
      </c>
      <c r="D317" s="107">
        <f>'Demande Format Medpro'!D304</f>
        <v>0</v>
      </c>
      <c r="E317" s="107">
        <f>'Demande Format Medpro'!E304</f>
        <v>0</v>
      </c>
      <c r="F317" s="107">
        <f>'Demande Format Medpro'!F304</f>
        <v>0</v>
      </c>
      <c r="G317" s="107">
        <f>'Demande Format Medpro'!G304</f>
        <v>0</v>
      </c>
      <c r="H317" s="107">
        <f>'Demande Format Medpro'!H304</f>
        <v>0</v>
      </c>
      <c r="I317" s="107">
        <f>'Demande Format Medpro'!I304</f>
        <v>0</v>
      </c>
      <c r="J317" s="107">
        <f>'Demande Format Medpro'!J304</f>
        <v>0</v>
      </c>
      <c r="K317" s="107">
        <f>'Demande Format Medpro'!K304</f>
        <v>0</v>
      </c>
      <c r="L317" s="107">
        <f>'Demande Format Medpro'!L304</f>
        <v>0</v>
      </c>
    </row>
    <row r="318" spans="1:14">
      <c r="A318" s="106" t="s">
        <v>109</v>
      </c>
      <c r="B318" s="107">
        <f>'Demande Format Medpro'!B305</f>
        <v>0</v>
      </c>
      <c r="C318" s="107">
        <f>'Demande Format Medpro'!C305</f>
        <v>0</v>
      </c>
      <c r="D318" s="107">
        <f>'Demande Format Medpro'!D305</f>
        <v>0</v>
      </c>
      <c r="E318" s="107">
        <f>'Demande Format Medpro'!E305</f>
        <v>0</v>
      </c>
      <c r="F318" s="107">
        <f>'Demande Format Medpro'!F305</f>
        <v>0</v>
      </c>
      <c r="G318" s="107">
        <f>'Demande Format Medpro'!G305</f>
        <v>0</v>
      </c>
      <c r="H318" s="107">
        <f>'Demande Format Medpro'!H305</f>
        <v>0</v>
      </c>
      <c r="I318" s="107">
        <f>'Demande Format Medpro'!I305</f>
        <v>0</v>
      </c>
      <c r="J318" s="107">
        <f>'Demande Format Medpro'!J305</f>
        <v>0</v>
      </c>
      <c r="K318" s="107">
        <f>'Demande Format Medpro'!K305</f>
        <v>0</v>
      </c>
      <c r="L318" s="107">
        <f>'Demande Format Medpro'!L305</f>
        <v>0</v>
      </c>
    </row>
    <row r="319" spans="1:14">
      <c r="A319" s="106" t="s">
        <v>104</v>
      </c>
      <c r="B319" s="107">
        <f>'Demande Format Medpro'!B306</f>
        <v>0</v>
      </c>
      <c r="C319" s="107">
        <f>'Demande Format Medpro'!C306</f>
        <v>1.7500000000000002E-2</v>
      </c>
      <c r="D319" s="107">
        <f>'Demande Format Medpro'!D306</f>
        <v>9.2200000000000004E-2</v>
      </c>
      <c r="E319" s="107">
        <f>'Demande Format Medpro'!E306</f>
        <v>0.30990000000000001</v>
      </c>
      <c r="F319" s="107">
        <f>'Demande Format Medpro'!F306</f>
        <v>0.69589999999999996</v>
      </c>
      <c r="G319" s="107">
        <f>'Demande Format Medpro'!G306</f>
        <v>2.5217999999999998</v>
      </c>
      <c r="H319" s="107">
        <f>'Demande Format Medpro'!H306</f>
        <v>0</v>
      </c>
      <c r="I319" s="107">
        <f>'Demande Format Medpro'!I306</f>
        <v>0</v>
      </c>
      <c r="J319" s="107">
        <f>'Demande Format Medpro'!J306</f>
        <v>0</v>
      </c>
      <c r="K319" s="107">
        <f>'Demande Format Medpro'!K306</f>
        <v>0</v>
      </c>
      <c r="L319" s="107">
        <f>'Demande Format Medpro'!L306</f>
        <v>0</v>
      </c>
    </row>
    <row r="320" spans="1:14">
      <c r="A320" s="106"/>
      <c r="B320" s="107"/>
      <c r="C320" s="107"/>
      <c r="D320" s="107"/>
      <c r="E320" s="107"/>
      <c r="F320" s="107"/>
      <c r="G320" s="107"/>
      <c r="H320" s="107"/>
      <c r="I320" s="107"/>
      <c r="J320" s="107"/>
      <c r="K320" s="107"/>
      <c r="L320" s="107"/>
    </row>
    <row r="321" spans="1:12">
      <c r="A321" s="153" t="s">
        <v>189</v>
      </c>
      <c r="B321" s="107">
        <f>'Demande Format Medpro'!B308</f>
        <v>14.8622</v>
      </c>
      <c r="C321" s="107">
        <f>'Demande Format Medpro'!C308</f>
        <v>14.641500000000001</v>
      </c>
      <c r="D321" s="107">
        <f>'Demande Format Medpro'!D308</f>
        <v>14.9407</v>
      </c>
      <c r="E321" s="107">
        <f>'Demande Format Medpro'!E308</f>
        <v>14.7842</v>
      </c>
      <c r="F321" s="107">
        <f>'Demande Format Medpro'!F308</f>
        <v>14.770899999999999</v>
      </c>
      <c r="G321" s="107">
        <f>'Demande Format Medpro'!G308</f>
        <v>16.707599999999999</v>
      </c>
      <c r="H321" s="107">
        <f>'Demande Format Medpro'!H308</f>
        <v>-9.9691038652360798E-4</v>
      </c>
      <c r="I321" s="107">
        <f>'Demande Format Medpro'!I308</f>
        <v>4.0540094321539497E-3</v>
      </c>
      <c r="J321" s="107">
        <f>'Demande Format Medpro'!J308</f>
        <v>-2.1037818910039099E-3</v>
      </c>
      <c r="K321" s="107">
        <f>'Demande Format Medpro'!K308</f>
        <v>-1.7998658709983401E-4</v>
      </c>
      <c r="L321" s="107">
        <f>'Demande Format Medpro'!L308</f>
        <v>6.1792470978452299E-3</v>
      </c>
    </row>
    <row r="322" spans="1:12">
      <c r="A322" s="106" t="s">
        <v>177</v>
      </c>
      <c r="B322" s="107">
        <f>'Demande Format Medpro'!B309</f>
        <v>0.2555</v>
      </c>
      <c r="C322" s="107">
        <f>'Demande Format Medpro'!C309</f>
        <v>0.1265</v>
      </c>
      <c r="D322" s="107">
        <f>'Demande Format Medpro'!D309</f>
        <v>0.10440000000000001</v>
      </c>
      <c r="E322" s="107">
        <f>'Demande Format Medpro'!E309</f>
        <v>8.6099999999999996E-2</v>
      </c>
      <c r="F322" s="107">
        <f>'Demande Format Medpro'!F309</f>
        <v>7.0999999999999994E-2</v>
      </c>
      <c r="G322" s="107">
        <f>'Demande Format Medpro'!G309</f>
        <v>2.1299999999999999E-2</v>
      </c>
      <c r="H322" s="107">
        <f>'Demande Format Medpro'!H309</f>
        <v>0</v>
      </c>
      <c r="I322" s="107">
        <f>'Demande Format Medpro'!I309</f>
        <v>0</v>
      </c>
      <c r="J322" s="107">
        <f>'Demande Format Medpro'!J309</f>
        <v>0</v>
      </c>
      <c r="K322" s="107">
        <f>'Demande Format Medpro'!K309</f>
        <v>0</v>
      </c>
      <c r="L322" s="107">
        <f>'Demande Format Medpro'!L309</f>
        <v>0</v>
      </c>
    </row>
    <row r="323" spans="1:12">
      <c r="A323" s="106" t="s">
        <v>178</v>
      </c>
      <c r="B323" s="107">
        <f>'Demande Format Medpro'!B310</f>
        <v>14.5566</v>
      </c>
      <c r="C323" s="107">
        <f>'Demande Format Medpro'!C310</f>
        <v>14.4419</v>
      </c>
      <c r="D323" s="107">
        <f>'Demande Format Medpro'!D310</f>
        <v>14.760999999999999</v>
      </c>
      <c r="E323" s="107">
        <f>'Demande Format Medpro'!E310</f>
        <v>14.6226</v>
      </c>
      <c r="F323" s="107">
        <f>'Demande Format Medpro'!F310</f>
        <v>14.6234</v>
      </c>
      <c r="G323" s="107">
        <f>'Demande Format Medpro'!G310</f>
        <v>16.6005</v>
      </c>
      <c r="H323" s="107">
        <f>'Demande Format Medpro'!H310</f>
        <v>-5.2724730689668298E-4</v>
      </c>
      <c r="I323" s="107">
        <f>'Demande Format Medpro'!I310</f>
        <v>4.3805393945668403E-3</v>
      </c>
      <c r="J323" s="107">
        <f>'Demande Format Medpro'!J310</f>
        <v>-1.88228437012594E-3</v>
      </c>
      <c r="K323" s="107">
        <f>'Demande Format Medpro'!K310</f>
        <v>1.09417270994783E-5</v>
      </c>
      <c r="L323" s="107">
        <f>'Demande Format Medpro'!L310</f>
        <v>6.3606349652314299E-3</v>
      </c>
    </row>
    <row r="324" spans="1:12">
      <c r="A324" s="106" t="s">
        <v>180</v>
      </c>
      <c r="B324" s="107">
        <f>'Demande Format Medpro'!B311</f>
        <v>5.0099999999999999E-2</v>
      </c>
      <c r="C324" s="107">
        <f>'Demande Format Medpro'!C311</f>
        <v>2.4799999999999999E-2</v>
      </c>
      <c r="D324" s="107">
        <f>'Demande Format Medpro'!D311</f>
        <v>2.0500000000000001E-2</v>
      </c>
      <c r="E324" s="107">
        <f>'Demande Format Medpro'!E311</f>
        <v>1.6899999999999998E-2</v>
      </c>
      <c r="F324" s="107">
        <f>'Demande Format Medpro'!F311</f>
        <v>1.3899999999999999E-2</v>
      </c>
      <c r="G324" s="107">
        <f>'Demande Format Medpro'!G311</f>
        <v>4.1999999999999997E-3</v>
      </c>
      <c r="H324" s="107">
        <f>'Demande Format Medpro'!H311</f>
        <v>0</v>
      </c>
      <c r="I324" s="107">
        <f>'Demande Format Medpro'!I311</f>
        <v>0</v>
      </c>
      <c r="J324" s="107">
        <f>'Demande Format Medpro'!J311</f>
        <v>0</v>
      </c>
      <c r="K324" s="107">
        <f>'Demande Format Medpro'!K311</f>
        <v>0</v>
      </c>
      <c r="L324" s="107">
        <f>'Demande Format Medpro'!L311</f>
        <v>0</v>
      </c>
    </row>
    <row r="325" spans="1:12">
      <c r="A325" s="106" t="s">
        <v>181</v>
      </c>
      <c r="B325" s="107">
        <f>'Demande Format Medpro'!B312</f>
        <v>0</v>
      </c>
      <c r="C325" s="107">
        <f>'Demande Format Medpro'!C312</f>
        <v>4.8300000000000003E-2</v>
      </c>
      <c r="D325" s="107">
        <f>'Demande Format Medpro'!D312</f>
        <v>5.4800000000000001E-2</v>
      </c>
      <c r="E325" s="107">
        <f>'Demande Format Medpro'!E312</f>
        <v>5.8599999999999999E-2</v>
      </c>
      <c r="F325" s="107">
        <f>'Demande Format Medpro'!F312</f>
        <v>6.2600000000000003E-2</v>
      </c>
      <c r="G325" s="107">
        <f>'Demande Format Medpro'!G312</f>
        <v>8.1600000000000006E-2</v>
      </c>
      <c r="H325" s="107">
        <f>'Demande Format Medpro'!H312</f>
        <v>0</v>
      </c>
      <c r="I325" s="107">
        <f>'Demande Format Medpro'!I312</f>
        <v>0</v>
      </c>
      <c r="J325" s="107">
        <f>'Demande Format Medpro'!J312</f>
        <v>0</v>
      </c>
      <c r="K325" s="107">
        <f>'Demande Format Medpro'!K312</f>
        <v>0</v>
      </c>
      <c r="L325" s="107">
        <f>'Demande Format Medpro'!L312</f>
        <v>0</v>
      </c>
    </row>
    <row r="326" spans="1:12">
      <c r="A326" s="106" t="s">
        <v>109</v>
      </c>
      <c r="B326" s="107">
        <f>'Demande Format Medpro'!B313</f>
        <v>0</v>
      </c>
      <c r="C326" s="107">
        <f>'Demande Format Medpro'!C313</f>
        <v>0</v>
      </c>
      <c r="D326" s="107">
        <f>'Demande Format Medpro'!D313</f>
        <v>0</v>
      </c>
      <c r="E326" s="107">
        <f>'Demande Format Medpro'!E313</f>
        <v>0</v>
      </c>
      <c r="F326" s="107">
        <f>'Demande Format Medpro'!F313</f>
        <v>0</v>
      </c>
      <c r="G326" s="107">
        <f>'Demande Format Medpro'!G313</f>
        <v>0</v>
      </c>
      <c r="H326" s="107">
        <f>'Demande Format Medpro'!H313</f>
        <v>0</v>
      </c>
      <c r="I326" s="107">
        <f>'Demande Format Medpro'!I313</f>
        <v>0</v>
      </c>
      <c r="J326" s="107">
        <f>'Demande Format Medpro'!J313</f>
        <v>0</v>
      </c>
      <c r="K326" s="107">
        <f>'Demande Format Medpro'!K313</f>
        <v>0</v>
      </c>
      <c r="L326" s="107">
        <f>'Demande Format Medpro'!L313</f>
        <v>0</v>
      </c>
    </row>
    <row r="327" spans="1:12">
      <c r="A327" s="106" t="s">
        <v>104</v>
      </c>
      <c r="B327" s="107">
        <f>'Demande Format Medpro'!B314</f>
        <v>0</v>
      </c>
      <c r="C327" s="107">
        <f>'Demande Format Medpro'!C314</f>
        <v>0</v>
      </c>
      <c r="D327" s="107">
        <f>'Demande Format Medpro'!D314</f>
        <v>0</v>
      </c>
      <c r="E327" s="107">
        <f>'Demande Format Medpro'!E314</f>
        <v>0</v>
      </c>
      <c r="F327" s="107">
        <f>'Demande Format Medpro'!F314</f>
        <v>0</v>
      </c>
      <c r="G327" s="107">
        <f>'Demande Format Medpro'!G314</f>
        <v>0</v>
      </c>
      <c r="H327" s="107">
        <f>'Demande Format Medpro'!H314</f>
        <v>0</v>
      </c>
      <c r="I327" s="107">
        <f>'Demande Format Medpro'!I314</f>
        <v>0</v>
      </c>
      <c r="J327" s="107">
        <f>'Demande Format Medpro'!J314</f>
        <v>0</v>
      </c>
      <c r="K327" s="107">
        <f>'Demande Format Medpro'!K314</f>
        <v>0</v>
      </c>
      <c r="L327" s="107">
        <f>'Demande Format Medpro'!L314</f>
        <v>0</v>
      </c>
    </row>
    <row r="328" spans="1:12">
      <c r="A328" s="106"/>
      <c r="B328" s="107"/>
      <c r="C328" s="107"/>
      <c r="D328" s="107"/>
      <c r="E328" s="107"/>
      <c r="F328" s="107"/>
      <c r="G328" s="107"/>
      <c r="H328" s="107"/>
      <c r="I328" s="107"/>
      <c r="J328" s="107"/>
      <c r="K328" s="107"/>
      <c r="L328" s="107"/>
    </row>
    <row r="329" spans="1:12">
      <c r="A329" s="153" t="s">
        <v>190</v>
      </c>
      <c r="B329" s="107">
        <f>'Demande Format Medpro'!B316</f>
        <v>0.67330000000000001</v>
      </c>
      <c r="C329" s="107">
        <f>'Demande Format Medpro'!C316</f>
        <v>0.92049999999999998</v>
      </c>
      <c r="D329" s="107">
        <f>'Demande Format Medpro'!D316</f>
        <v>1.0375000000000001</v>
      </c>
      <c r="E329" s="107">
        <f>'Demande Format Medpro'!E316</f>
        <v>1.0688</v>
      </c>
      <c r="F329" s="107">
        <f>'Demande Format Medpro'!F316</f>
        <v>1.1034999999999999</v>
      </c>
      <c r="G329" s="107">
        <f>'Demande Format Medpro'!G316</f>
        <v>1.2153</v>
      </c>
      <c r="H329" s="107">
        <f>'Demande Format Medpro'!H316</f>
        <v>2.1067246457709299E-2</v>
      </c>
      <c r="I329" s="107">
        <f>'Demande Format Medpro'!I316</f>
        <v>2.4219081269583699E-2</v>
      </c>
      <c r="J329" s="107">
        <f>'Demande Format Medpro'!J316</f>
        <v>5.9622137983643703E-3</v>
      </c>
      <c r="K329" s="107">
        <f>'Demande Format Medpro'!K316</f>
        <v>6.4105447308451203E-3</v>
      </c>
      <c r="L329" s="107">
        <f>'Demande Format Medpro'!L316</f>
        <v>4.8368606861448598E-3</v>
      </c>
    </row>
    <row r="330" spans="1:12">
      <c r="A330" s="106" t="s">
        <v>177</v>
      </c>
      <c r="B330" s="107">
        <f>'Demande Format Medpro'!B317</f>
        <v>0</v>
      </c>
      <c r="C330" s="107">
        <f>'Demande Format Medpro'!C317</f>
        <v>0</v>
      </c>
      <c r="D330" s="107">
        <f>'Demande Format Medpro'!D317</f>
        <v>0</v>
      </c>
      <c r="E330" s="107">
        <f>'Demande Format Medpro'!E317</f>
        <v>0</v>
      </c>
      <c r="F330" s="107">
        <f>'Demande Format Medpro'!F317</f>
        <v>0</v>
      </c>
      <c r="G330" s="107">
        <f>'Demande Format Medpro'!G317</f>
        <v>0</v>
      </c>
      <c r="H330" s="107">
        <f>'Demande Format Medpro'!H317</f>
        <v>0</v>
      </c>
      <c r="I330" s="107">
        <f>'Demande Format Medpro'!I317</f>
        <v>0</v>
      </c>
      <c r="J330" s="107">
        <f>'Demande Format Medpro'!J317</f>
        <v>0</v>
      </c>
      <c r="K330" s="107">
        <f>'Demande Format Medpro'!K317</f>
        <v>0</v>
      </c>
      <c r="L330" s="107">
        <f>'Demande Format Medpro'!L317</f>
        <v>0</v>
      </c>
    </row>
    <row r="331" spans="1:12">
      <c r="A331" s="106" t="s">
        <v>178</v>
      </c>
      <c r="B331" s="107">
        <f>'Demande Format Medpro'!B318</f>
        <v>0.67330000000000001</v>
      </c>
      <c r="C331" s="107">
        <f>'Demande Format Medpro'!C318</f>
        <v>0.89359999999999995</v>
      </c>
      <c r="D331" s="107">
        <f>'Demande Format Medpro'!D318</f>
        <v>1.0059</v>
      </c>
      <c r="E331" s="107">
        <f>'Demande Format Medpro'!E318</f>
        <v>1.0355000000000001</v>
      </c>
      <c r="F331" s="107">
        <f>'Demande Format Medpro'!F318</f>
        <v>1.0686</v>
      </c>
      <c r="G331" s="107">
        <f>'Demande Format Medpro'!G318</f>
        <v>1.1754</v>
      </c>
      <c r="H331" s="107">
        <f>'Demande Format Medpro'!H318</f>
        <v>1.90503356717273E-2</v>
      </c>
      <c r="I331" s="107">
        <f>'Demande Format Medpro'!I318</f>
        <v>2.3958438997417501E-2</v>
      </c>
      <c r="J331" s="107">
        <f>'Demande Format Medpro'!J318</f>
        <v>5.8172023277505199E-3</v>
      </c>
      <c r="K331" s="107">
        <f>'Demande Format Medpro'!K318</f>
        <v>6.3128382363661899E-3</v>
      </c>
      <c r="L331" s="107">
        <f>'Demande Format Medpro'!L318</f>
        <v>4.7743176411731997E-3</v>
      </c>
    </row>
    <row r="332" spans="1:12">
      <c r="A332" s="106" t="s">
        <v>180</v>
      </c>
      <c r="B332" s="107">
        <f>'Demande Format Medpro'!B319</f>
        <v>0</v>
      </c>
      <c r="C332" s="107">
        <f>'Demande Format Medpro'!C319</f>
        <v>0</v>
      </c>
      <c r="D332" s="107">
        <f>'Demande Format Medpro'!D319</f>
        <v>0</v>
      </c>
      <c r="E332" s="107">
        <f>'Demande Format Medpro'!E319</f>
        <v>0</v>
      </c>
      <c r="F332" s="107">
        <f>'Demande Format Medpro'!F319</f>
        <v>0</v>
      </c>
      <c r="G332" s="107">
        <f>'Demande Format Medpro'!G319</f>
        <v>0</v>
      </c>
      <c r="H332" s="107">
        <f>'Demande Format Medpro'!H319</f>
        <v>0</v>
      </c>
      <c r="I332" s="107">
        <f>'Demande Format Medpro'!I319</f>
        <v>0</v>
      </c>
      <c r="J332" s="107">
        <f>'Demande Format Medpro'!J319</f>
        <v>0</v>
      </c>
      <c r="K332" s="107">
        <f>'Demande Format Medpro'!K319</f>
        <v>0</v>
      </c>
      <c r="L332" s="107">
        <f>'Demande Format Medpro'!L319</f>
        <v>0</v>
      </c>
    </row>
    <row r="333" spans="1:12">
      <c r="A333" s="106" t="s">
        <v>181</v>
      </c>
      <c r="B333" s="107">
        <f>'Demande Format Medpro'!B320</f>
        <v>0</v>
      </c>
      <c r="C333" s="107">
        <f>'Demande Format Medpro'!C320</f>
        <v>2.69E-2</v>
      </c>
      <c r="D333" s="107">
        <f>'Demande Format Medpro'!D320</f>
        <v>3.1600000000000003E-2</v>
      </c>
      <c r="E333" s="107">
        <f>'Demande Format Medpro'!E320</f>
        <v>3.3300000000000003E-2</v>
      </c>
      <c r="F333" s="107">
        <f>'Demande Format Medpro'!F320</f>
        <v>3.49E-2</v>
      </c>
      <c r="G333" s="107">
        <f>'Demande Format Medpro'!G320</f>
        <v>3.9899999999999998E-2</v>
      </c>
      <c r="H333" s="107">
        <f>'Demande Format Medpro'!H320</f>
        <v>0</v>
      </c>
      <c r="I333" s="107">
        <f>'Demande Format Medpro'!I320</f>
        <v>3.2730398077005098E-2</v>
      </c>
      <c r="J333" s="107">
        <f>'Demande Format Medpro'!J320</f>
        <v>1.05351634018422E-2</v>
      </c>
      <c r="K333" s="107">
        <f>'Demande Format Medpro'!K320</f>
        <v>9.4300720086064604E-3</v>
      </c>
      <c r="L333" s="107">
        <f>'Demande Format Medpro'!L320</f>
        <v>6.7169328174092602E-3</v>
      </c>
    </row>
    <row r="334" spans="1:12">
      <c r="A334" s="106" t="s">
        <v>109</v>
      </c>
      <c r="B334" s="107">
        <f>'Demande Format Medpro'!B321</f>
        <v>0</v>
      </c>
      <c r="C334" s="107">
        <f>'Demande Format Medpro'!C321</f>
        <v>0</v>
      </c>
      <c r="D334" s="107">
        <f>'Demande Format Medpro'!D321</f>
        <v>0</v>
      </c>
      <c r="E334" s="107">
        <f>'Demande Format Medpro'!E321</f>
        <v>0</v>
      </c>
      <c r="F334" s="107">
        <f>'Demande Format Medpro'!F321</f>
        <v>0</v>
      </c>
      <c r="G334" s="107">
        <f>'Demande Format Medpro'!G321</f>
        <v>0</v>
      </c>
      <c r="H334" s="107">
        <f>'Demande Format Medpro'!H321</f>
        <v>0</v>
      </c>
      <c r="I334" s="107">
        <f>'Demande Format Medpro'!I321</f>
        <v>0</v>
      </c>
      <c r="J334" s="107">
        <f>'Demande Format Medpro'!J321</f>
        <v>0</v>
      </c>
      <c r="K334" s="107">
        <f>'Demande Format Medpro'!K321</f>
        <v>0</v>
      </c>
      <c r="L334" s="107">
        <f>'Demande Format Medpro'!L321</f>
        <v>0</v>
      </c>
    </row>
    <row r="335" spans="1:12">
      <c r="A335" s="106" t="s">
        <v>104</v>
      </c>
      <c r="B335" s="107">
        <f>'Demande Format Medpro'!B322</f>
        <v>0</v>
      </c>
      <c r="C335" s="107">
        <f>'Demande Format Medpro'!C322</f>
        <v>0</v>
      </c>
      <c r="D335" s="107">
        <f>'Demande Format Medpro'!D322</f>
        <v>0</v>
      </c>
      <c r="E335" s="107">
        <f>'Demande Format Medpro'!E322</f>
        <v>0</v>
      </c>
      <c r="F335" s="107">
        <f>'Demande Format Medpro'!F322</f>
        <v>0</v>
      </c>
      <c r="G335" s="107">
        <f>'Demande Format Medpro'!G322</f>
        <v>0</v>
      </c>
      <c r="H335" s="107">
        <f>'Demande Format Medpro'!H322</f>
        <v>0</v>
      </c>
      <c r="I335" s="107">
        <f>'Demande Format Medpro'!I322</f>
        <v>0</v>
      </c>
      <c r="J335" s="107">
        <f>'Demande Format Medpro'!J322</f>
        <v>0</v>
      </c>
      <c r="K335" s="107">
        <f>'Demande Format Medpro'!K322</f>
        <v>0</v>
      </c>
      <c r="L335" s="107">
        <f>'Demande Format Medpro'!L322</f>
        <v>0</v>
      </c>
    </row>
    <row r="336" spans="1:12">
      <c r="A336" s="106"/>
      <c r="B336" s="107"/>
      <c r="C336" s="107"/>
      <c r="D336" s="107"/>
      <c r="E336" s="107"/>
      <c r="F336" s="107"/>
      <c r="G336" s="107"/>
      <c r="H336" s="107"/>
      <c r="I336" s="107"/>
      <c r="J336" s="107"/>
      <c r="K336" s="107"/>
      <c r="L336" s="107"/>
    </row>
    <row r="337" spans="1:12">
      <c r="A337" s="153" t="s">
        <v>191</v>
      </c>
      <c r="B337" s="149">
        <f>'Demande Format Medpro'!B324</f>
        <v>0.34300000000000003</v>
      </c>
      <c r="C337" s="149">
        <f>'Demande Format Medpro'!C324</f>
        <v>0.56530000000000102</v>
      </c>
      <c r="D337" s="149">
        <f>'Demande Format Medpro'!D324</f>
        <v>0.57449999999999701</v>
      </c>
      <c r="E337" s="149">
        <f>'Demande Format Medpro'!E324</f>
        <v>0.586600000000008</v>
      </c>
      <c r="F337" s="149">
        <f>'Demande Format Medpro'!F324</f>
        <v>0.60300000000000198</v>
      </c>
      <c r="G337" s="149">
        <f>'Demande Format Medpro'!G324</f>
        <v>0.70489999999998798</v>
      </c>
      <c r="H337" s="149">
        <f>'Demande Format Medpro'!H324</f>
        <v>3.3869343414219398E-2</v>
      </c>
      <c r="I337" s="149">
        <f>'Demande Format Medpro'!I324</f>
        <v>3.2339246092236702E-3</v>
      </c>
      <c r="J337" s="149">
        <f>'Demande Format Medpro'!J324</f>
        <v>4.1773125991064796E-3</v>
      </c>
      <c r="K337" s="149">
        <f>'Demande Format Medpro'!K324</f>
        <v>5.5300425829301102E-3</v>
      </c>
      <c r="L337" s="149">
        <f>'Demande Format Medpro'!L324</f>
        <v>7.83749119824728E-3</v>
      </c>
    </row>
    <row r="338" spans="1:12">
      <c r="A338" s="106" t="s">
        <v>192</v>
      </c>
      <c r="B338" s="149">
        <v>0.342999993</v>
      </c>
      <c r="C338" s="149">
        <v>0.56526773749949999</v>
      </c>
      <c r="D338" s="149">
        <v>0.48451520357100597</v>
      </c>
      <c r="E338" s="149">
        <v>0.40376266964250501</v>
      </c>
      <c r="F338" s="149">
        <v>0.323010135714004</v>
      </c>
      <c r="G338" s="149">
        <v>0</v>
      </c>
      <c r="H338" s="123"/>
      <c r="I338" s="124"/>
      <c r="J338" s="124"/>
      <c r="K338" s="124"/>
      <c r="L338" s="125"/>
    </row>
    <row r="339" spans="1:12">
      <c r="A339" s="106" t="s">
        <v>104</v>
      </c>
      <c r="B339" s="149">
        <v>0</v>
      </c>
      <c r="C339" s="149">
        <v>0</v>
      </c>
      <c r="D339" s="149">
        <v>4.1259554716964186E-2</v>
      </c>
      <c r="E339" s="149">
        <v>8.2519109433928262E-2</v>
      </c>
      <c r="F339" s="149">
        <v>0.12377866415089239</v>
      </c>
      <c r="G339" s="149">
        <v>0.28881688301874892</v>
      </c>
      <c r="H339" s="123"/>
      <c r="I339" s="124"/>
      <c r="J339" s="124"/>
      <c r="K339" s="124"/>
      <c r="L339" s="125"/>
    </row>
    <row r="340" spans="1:12">
      <c r="A340" s="106"/>
      <c r="B340" s="107"/>
      <c r="C340" s="107"/>
      <c r="D340" s="107"/>
      <c r="E340" s="107"/>
      <c r="F340" s="107"/>
      <c r="G340" s="143"/>
      <c r="H340" s="123"/>
      <c r="I340" s="124"/>
      <c r="J340" s="124"/>
      <c r="K340" s="124"/>
      <c r="L340" s="125"/>
    </row>
    <row r="341" spans="1:12" ht="15" thickBot="1">
      <c r="A341" s="141" t="s">
        <v>193</v>
      </c>
      <c r="B341" s="131">
        <f>'Demande Format Medpro'!B326</f>
        <v>39.905799999999999</v>
      </c>
      <c r="C341" s="131">
        <f>'Demande Format Medpro'!C326</f>
        <v>39.588700000000003</v>
      </c>
      <c r="D341" s="131">
        <f>'Demande Format Medpro'!D326</f>
        <v>39.209800000000001</v>
      </c>
      <c r="E341" s="131">
        <f>'Demande Format Medpro'!E326</f>
        <v>38.1265</v>
      </c>
      <c r="F341" s="131">
        <f>'Demande Format Medpro'!F326</f>
        <v>37.241999999999997</v>
      </c>
      <c r="G341" s="131">
        <f>'Demande Format Medpro'!G326</f>
        <v>37.095799999999997</v>
      </c>
      <c r="H341" s="131">
        <f>'Demande Format Medpro'!H326</f>
        <v>-5.3172210141172504E-4</v>
      </c>
      <c r="I341" s="131">
        <f>'Demande Format Medpro'!I326</f>
        <v>-1.9215531388057101E-3</v>
      </c>
      <c r="J341" s="131">
        <f>'Demande Format Medpro'!J326</f>
        <v>-5.5877575097548196E-3</v>
      </c>
      <c r="K341" s="131">
        <f>'Demande Format Medpro'!K326</f>
        <v>-4.6834824823716002E-3</v>
      </c>
      <c r="L341" s="131">
        <f>'Demande Format Medpro'!L326</f>
        <v>-1.9665071180397E-4</v>
      </c>
    </row>
    <row r="342" spans="1:12">
      <c r="A342" s="111"/>
      <c r="B342" s="161"/>
      <c r="C342" s="98"/>
      <c r="D342" s="98"/>
      <c r="E342" s="98"/>
    </row>
    <row r="343" spans="1:12">
      <c r="A343" s="139"/>
      <c r="B343" s="161"/>
      <c r="C343" s="98"/>
      <c r="D343" s="98"/>
      <c r="E343" s="98"/>
    </row>
    <row r="344" spans="1:12" ht="16" thickBot="1">
      <c r="A344" s="59" t="s">
        <v>194</v>
      </c>
      <c r="B344" s="162"/>
      <c r="C344" s="53"/>
      <c r="D344" s="53"/>
      <c r="E344" s="53"/>
      <c r="F344" s="53"/>
      <c r="G344" s="53"/>
      <c r="H344" s="53"/>
      <c r="I344" s="53"/>
      <c r="J344" s="53"/>
      <c r="K344" s="53"/>
      <c r="L344" s="53"/>
    </row>
    <row r="345" spans="1:12" ht="15" thickBot="1">
      <c r="A345" s="104"/>
      <c r="B345" s="372">
        <v>2000</v>
      </c>
      <c r="C345" s="372">
        <v>2015</v>
      </c>
      <c r="D345" s="105">
        <v>2020</v>
      </c>
      <c r="E345" s="105">
        <v>2025</v>
      </c>
      <c r="F345" s="105">
        <v>2030</v>
      </c>
      <c r="G345" s="105">
        <v>2050</v>
      </c>
      <c r="H345" s="113" t="s">
        <v>98</v>
      </c>
      <c r="I345" s="114" t="s">
        <v>99</v>
      </c>
      <c r="J345" s="114" t="s">
        <v>100</v>
      </c>
      <c r="K345" s="114" t="s">
        <v>101</v>
      </c>
      <c r="L345" s="115" t="s">
        <v>102</v>
      </c>
    </row>
    <row r="346" spans="1:12">
      <c r="A346" s="399" t="s">
        <v>195</v>
      </c>
      <c r="B346" s="402">
        <f>'Demande Format Medpro'!B331</f>
        <v>29.760999999999999</v>
      </c>
      <c r="C346" s="401">
        <f>'Demande Format Medpro'!C331</f>
        <v>34.182400000000001</v>
      </c>
      <c r="D346" s="402">
        <f>'Demande Format Medpro'!D331</f>
        <v>34.690399999999997</v>
      </c>
      <c r="E346" s="401">
        <f>'Demande Format Medpro'!E331</f>
        <v>35.603400000000001</v>
      </c>
      <c r="F346" s="402">
        <f>'Demande Format Medpro'!F331</f>
        <v>36.435899999999997</v>
      </c>
      <c r="G346" s="401">
        <f>'Demande Format Medpro'!G331</f>
        <v>41.278700000000001</v>
      </c>
      <c r="H346" s="402">
        <f>'Demande Format Medpro'!H331</f>
        <v>9.2769048716843105E-3</v>
      </c>
      <c r="I346" s="401">
        <f>'Demande Format Medpro'!I331</f>
        <v>2.9547767512230201E-3</v>
      </c>
      <c r="J346" s="402">
        <f>'Demande Format Medpro'!J331</f>
        <v>5.2091501487479003E-3</v>
      </c>
      <c r="K346" s="401">
        <f>'Demande Format Medpro'!K331</f>
        <v>4.6333837654495297E-3</v>
      </c>
      <c r="L346" s="402">
        <f>'Demande Format Medpro'!L331</f>
        <v>6.2591106828908697E-3</v>
      </c>
    </row>
    <row r="347" spans="1:12" ht="15" thickBot="1">
      <c r="A347" s="374" t="s">
        <v>196</v>
      </c>
      <c r="B347" s="403">
        <f>'Demande Format Medpro'!B332</f>
        <v>2.4457795079418001E-2</v>
      </c>
      <c r="C347" s="400">
        <f>'Demande Format Medpro'!C332</f>
        <v>2.01432401822897E-2</v>
      </c>
      <c r="D347" s="403">
        <f>'Demande Format Medpro'!D332</f>
        <v>1.84394466794023E-2</v>
      </c>
      <c r="E347" s="400">
        <f>'Demande Format Medpro'!E332</f>
        <v>1.68723959199223E-2</v>
      </c>
      <c r="F347" s="403">
        <f>'Demande Format Medpro'!F332</f>
        <v>1.54465057840343E-2</v>
      </c>
      <c r="G347" s="400">
        <f>'Demande Format Medpro'!G332</f>
        <v>1.11843074702006E-2</v>
      </c>
      <c r="H347" s="403">
        <f>'Demande Format Medpro'!H332</f>
        <v>-1.28553367686193E-2</v>
      </c>
      <c r="I347" s="400">
        <f>'Demande Format Medpro'!I332</f>
        <v>-1.7520017241700801E-2</v>
      </c>
      <c r="J347" s="403">
        <f>'Demande Format Medpro'!J332</f>
        <v>-1.7605834298643801E-2</v>
      </c>
      <c r="K347" s="400">
        <f>'Demande Format Medpro'!K332</f>
        <v>-1.75042086046443E-2</v>
      </c>
      <c r="L347" s="403">
        <f>'Demande Format Medpro'!L332</f>
        <v>-1.6013948063625699E-2</v>
      </c>
    </row>
    <row r="348" spans="1:12">
      <c r="A348" s="139"/>
      <c r="B348" s="161"/>
      <c r="C348" s="98"/>
      <c r="D348" s="98"/>
      <c r="E348" s="98"/>
    </row>
    <row r="349" spans="1:12" ht="15.5">
      <c r="A349" s="164"/>
    </row>
    <row r="350" spans="1:12" ht="21">
      <c r="A350" s="52" t="s">
        <v>197</v>
      </c>
      <c r="B350" s="47"/>
      <c r="C350" s="47"/>
      <c r="D350" s="47"/>
      <c r="E350" s="47"/>
      <c r="F350" s="47"/>
      <c r="G350" s="140"/>
      <c r="H350" s="140"/>
      <c r="I350" s="140"/>
      <c r="J350" s="140"/>
      <c r="K350" s="140"/>
      <c r="L350" s="140"/>
    </row>
    <row r="351" spans="1:12">
      <c r="F351" s="97"/>
    </row>
    <row r="352" spans="1:12" ht="16" thickBot="1">
      <c r="A352" s="59" t="s">
        <v>198</v>
      </c>
      <c r="B352" s="53"/>
      <c r="C352" s="53"/>
      <c r="D352" s="53"/>
      <c r="E352" s="53"/>
      <c r="F352" s="53"/>
      <c r="G352" s="53"/>
      <c r="H352" s="53"/>
      <c r="I352" s="53"/>
      <c r="J352" s="53"/>
      <c r="K352" s="53"/>
      <c r="L352" s="53"/>
    </row>
    <row r="353" spans="1:12" ht="15" thickBot="1">
      <c r="A353" s="137" t="s">
        <v>51</v>
      </c>
      <c r="B353" s="105">
        <v>2000</v>
      </c>
      <c r="C353" s="105">
        <v>2015</v>
      </c>
      <c r="D353" s="105">
        <v>2020</v>
      </c>
      <c r="E353" s="105">
        <v>2025</v>
      </c>
      <c r="F353" s="105">
        <v>2030</v>
      </c>
      <c r="G353" s="105">
        <v>2050</v>
      </c>
      <c r="H353" s="113" t="s">
        <v>98</v>
      </c>
      <c r="I353" s="114" t="s">
        <v>99</v>
      </c>
      <c r="J353" s="114" t="s">
        <v>100</v>
      </c>
      <c r="K353" s="114" t="s">
        <v>101</v>
      </c>
      <c r="L353" s="115" t="s">
        <v>102</v>
      </c>
    </row>
    <row r="354" spans="1:12">
      <c r="A354" s="106" t="s">
        <v>103</v>
      </c>
      <c r="B354" s="121">
        <f>'Demande Format Medpro'!B339</f>
        <v>3.48</v>
      </c>
      <c r="C354" s="121">
        <f>'Demande Format Medpro'!C339</f>
        <v>3.32</v>
      </c>
      <c r="D354" s="121">
        <f>'Demande Format Medpro'!D339</f>
        <v>3.2403790892055202</v>
      </c>
      <c r="E354" s="121">
        <f>'Demande Format Medpro'!E339</f>
        <v>3.1480557957396398</v>
      </c>
      <c r="F354" s="121">
        <f>'Demande Format Medpro'!F339</f>
        <v>3.0575434296915498</v>
      </c>
      <c r="G354" s="121">
        <f>'Demande Format Medpro'!G339</f>
        <v>2.7373456688112698</v>
      </c>
      <c r="H354" s="121">
        <f>'Demande Format Medpro'!H339</f>
        <v>-3.1329162010640399E-3</v>
      </c>
      <c r="I354" s="121">
        <f>'Demande Format Medpro'!I339</f>
        <v>-4.8431254885559199E-3</v>
      </c>
      <c r="J354" s="121">
        <f>'Demande Format Medpro'!J339</f>
        <v>-5.7643761037503597E-3</v>
      </c>
      <c r="K354" s="121">
        <f>'Demande Format Medpro'!K339</f>
        <v>-5.8176638310959402E-3</v>
      </c>
      <c r="L354" s="121">
        <f>'Demande Format Medpro'!L339</f>
        <v>-5.5158851293937196E-3</v>
      </c>
    </row>
    <row r="355" spans="1:12">
      <c r="A355" s="106" t="s">
        <v>54</v>
      </c>
      <c r="B355" s="121">
        <f>'Demande Format Medpro'!B340</f>
        <v>0.29509000000000002</v>
      </c>
      <c r="C355" s="121">
        <f>'Demande Format Medpro'!C340</f>
        <v>0.28999999999999998</v>
      </c>
      <c r="D355" s="121">
        <f>'Demande Format Medpro'!D340</f>
        <v>0.28932774170376402</v>
      </c>
      <c r="E355" s="121">
        <f>'Demande Format Medpro'!E340</f>
        <v>0.28766042012747101</v>
      </c>
      <c r="F355" s="121">
        <f>'Demande Format Medpro'!F340</f>
        <v>0.28593442316422701</v>
      </c>
      <c r="G355" s="121">
        <f>'Demande Format Medpro'!G340</f>
        <v>0.27632213168832598</v>
      </c>
      <c r="H355" s="121">
        <f>'Demande Format Medpro'!H340</f>
        <v>-1.1592922726594301E-3</v>
      </c>
      <c r="I355" s="121">
        <f>'Demande Format Medpro'!I340</f>
        <v>-4.6405690900497298E-4</v>
      </c>
      <c r="J355" s="121">
        <f>'Demande Format Medpro'!J340</f>
        <v>-1.15521466960655E-3</v>
      </c>
      <c r="K355" s="121">
        <f>'Demande Format Medpro'!K340</f>
        <v>-1.20291447393783E-3</v>
      </c>
      <c r="L355" s="121">
        <f>'Demande Format Medpro'!L340</f>
        <v>-1.7082974939792699E-3</v>
      </c>
    </row>
    <row r="356" spans="1:12">
      <c r="A356" s="106" t="s">
        <v>42</v>
      </c>
      <c r="B356" s="121">
        <f>'Demande Format Medpro'!B341</f>
        <v>0</v>
      </c>
      <c r="C356" s="121">
        <f>'Demande Format Medpro'!C341</f>
        <v>0</v>
      </c>
      <c r="D356" s="121">
        <f>'Demande Format Medpro'!D341</f>
        <v>0</v>
      </c>
      <c r="E356" s="121">
        <f>'Demande Format Medpro'!E341</f>
        <v>0</v>
      </c>
      <c r="F356" s="121">
        <f>'Demande Format Medpro'!F341</f>
        <v>0</v>
      </c>
      <c r="G356" s="121">
        <f>'Demande Format Medpro'!G341</f>
        <v>0</v>
      </c>
      <c r="H356" s="121">
        <f>'Demande Format Medpro'!H341</f>
        <v>0</v>
      </c>
      <c r="I356" s="121">
        <f>'Demande Format Medpro'!I341</f>
        <v>0</v>
      </c>
      <c r="J356" s="121">
        <f>'Demande Format Medpro'!J341</f>
        <v>0</v>
      </c>
      <c r="K356" s="121">
        <f>'Demande Format Medpro'!K341</f>
        <v>0</v>
      </c>
      <c r="L356" s="121">
        <f>'Demande Format Medpro'!L341</f>
        <v>0</v>
      </c>
    </row>
    <row r="357" spans="1:12">
      <c r="A357" s="106" t="s">
        <v>104</v>
      </c>
      <c r="B357" s="121">
        <f>'Demande Format Medpro'!B342</f>
        <v>0.51178999999999997</v>
      </c>
      <c r="C357" s="121">
        <f>'Demande Format Medpro'!C342</f>
        <v>0.7</v>
      </c>
      <c r="D357" s="121">
        <f>'Demande Format Medpro'!D342</f>
        <v>0.67672325485005003</v>
      </c>
      <c r="E357" s="121">
        <f>'Demande Format Medpro'!E342</f>
        <v>0.655302823772964</v>
      </c>
      <c r="F357" s="121">
        <f>'Demande Format Medpro'!F342</f>
        <v>0.63033074879441797</v>
      </c>
      <c r="G357" s="121">
        <f>'Demande Format Medpro'!G342</f>
        <v>0.54480189739640505</v>
      </c>
      <c r="H357" s="121">
        <f>'Demande Format Medpro'!H342</f>
        <v>2.1097194477189801E-2</v>
      </c>
      <c r="I357" s="121">
        <f>'Demande Format Medpro'!I342</f>
        <v>-6.7407638997093499E-3</v>
      </c>
      <c r="J357" s="121">
        <f>'Demande Format Medpro'!J342</f>
        <v>-6.4123431274779596E-3</v>
      </c>
      <c r="K357" s="121">
        <f>'Demande Format Medpro'!K342</f>
        <v>-7.7404423762908996E-3</v>
      </c>
      <c r="L357" s="121">
        <f>'Demande Format Medpro'!L342</f>
        <v>-7.2646063585369803E-3</v>
      </c>
    </row>
    <row r="358" spans="1:12">
      <c r="A358" s="106" t="s">
        <v>105</v>
      </c>
      <c r="B358" s="121">
        <f>'Demande Format Medpro'!B343</f>
        <v>0</v>
      </c>
      <c r="C358" s="121">
        <f>'Demande Format Medpro'!C343</f>
        <v>0</v>
      </c>
      <c r="D358" s="121">
        <f>'Demande Format Medpro'!D343</f>
        <v>0</v>
      </c>
      <c r="E358" s="121">
        <f>'Demande Format Medpro'!E343</f>
        <v>0</v>
      </c>
      <c r="F358" s="121">
        <f>'Demande Format Medpro'!F343</f>
        <v>0</v>
      </c>
      <c r="G358" s="121">
        <f>'Demande Format Medpro'!G343</f>
        <v>0</v>
      </c>
      <c r="H358" s="121">
        <f>'Demande Format Medpro'!H343</f>
        <v>0</v>
      </c>
      <c r="I358" s="121">
        <f>'Demande Format Medpro'!I343</f>
        <v>0</v>
      </c>
      <c r="J358" s="121">
        <f>'Demande Format Medpro'!J343</f>
        <v>0</v>
      </c>
      <c r="K358" s="121">
        <f>'Demande Format Medpro'!K343</f>
        <v>0</v>
      </c>
      <c r="L358" s="121">
        <f>'Demande Format Medpro'!L343</f>
        <v>0</v>
      </c>
    </row>
    <row r="359" spans="1:12">
      <c r="A359" s="106" t="s">
        <v>134</v>
      </c>
      <c r="B359" s="121">
        <f>'Demande Format Medpro'!B344</f>
        <v>7.0879999999999999E-2</v>
      </c>
      <c r="C359" s="121">
        <f>'Demande Format Medpro'!C344</f>
        <v>0.15</v>
      </c>
      <c r="D359" s="121">
        <f>'Demande Format Medpro'!D344</f>
        <v>0.15</v>
      </c>
      <c r="E359" s="121">
        <f>'Demande Format Medpro'!E344</f>
        <v>0.15</v>
      </c>
      <c r="F359" s="121">
        <f>'Demande Format Medpro'!F344</f>
        <v>0.15</v>
      </c>
      <c r="G359" s="121">
        <f>'Demande Format Medpro'!G344</f>
        <v>0.15</v>
      </c>
      <c r="H359" s="121">
        <f>'Demande Format Medpro'!H344</f>
        <v>5.1246355898939798E-2</v>
      </c>
      <c r="I359" s="121">
        <f>'Demande Format Medpro'!I344</f>
        <v>0</v>
      </c>
      <c r="J359" s="121">
        <f>'Demande Format Medpro'!J344</f>
        <v>0</v>
      </c>
      <c r="K359" s="121">
        <f>'Demande Format Medpro'!K344</f>
        <v>0</v>
      </c>
      <c r="L359" s="121">
        <f>'Demande Format Medpro'!L344</f>
        <v>0</v>
      </c>
    </row>
    <row r="360" spans="1:12">
      <c r="A360" s="106" t="s">
        <v>136</v>
      </c>
      <c r="B360" s="121">
        <v>0</v>
      </c>
      <c r="C360" s="121">
        <v>0</v>
      </c>
      <c r="D360" s="121">
        <v>0</v>
      </c>
      <c r="E360" s="121">
        <v>0</v>
      </c>
      <c r="F360" s="121">
        <v>0</v>
      </c>
      <c r="G360" s="121">
        <v>0</v>
      </c>
      <c r="H360" s="121"/>
      <c r="I360" s="121"/>
      <c r="J360" s="121"/>
      <c r="K360" s="121"/>
      <c r="L360" s="121"/>
    </row>
    <row r="361" spans="1:12">
      <c r="A361" s="106"/>
      <c r="B361" s="107"/>
      <c r="C361" s="107"/>
      <c r="D361" s="107"/>
      <c r="E361" s="107"/>
      <c r="F361" s="107"/>
      <c r="G361" s="107"/>
      <c r="H361" s="107"/>
      <c r="I361" s="107"/>
      <c r="J361" s="107"/>
      <c r="K361" s="107"/>
      <c r="L361" s="107"/>
    </row>
    <row r="362" spans="1:12" ht="15" thickBot="1">
      <c r="A362" s="109" t="s">
        <v>10</v>
      </c>
      <c r="B362" s="131">
        <f>SUM(B354:B360)</f>
        <v>4.3577599999999999</v>
      </c>
      <c r="C362" s="131">
        <f t="shared" ref="C362:L362" si="3">SUM(C354:C360)</f>
        <v>4.46</v>
      </c>
      <c r="D362" s="131">
        <f t="shared" si="3"/>
        <v>4.3564300857593343</v>
      </c>
      <c r="E362" s="131">
        <f t="shared" si="3"/>
        <v>4.2410190396400749</v>
      </c>
      <c r="F362" s="131">
        <f t="shared" si="3"/>
        <v>4.1238086016501949</v>
      </c>
      <c r="G362" s="131">
        <f t="shared" si="3"/>
        <v>3.708469697896001</v>
      </c>
      <c r="H362" s="131">
        <f t="shared" si="3"/>
        <v>6.8051341902406137E-2</v>
      </c>
      <c r="I362" s="131">
        <f t="shared" si="3"/>
        <v>-1.2047946297270243E-2</v>
      </c>
      <c r="J362" s="131">
        <f t="shared" si="3"/>
        <v>-1.3331933900834869E-2</v>
      </c>
      <c r="K362" s="131">
        <f t="shared" si="3"/>
        <v>-1.476102068132467E-2</v>
      </c>
      <c r="L362" s="131">
        <f t="shared" si="3"/>
        <v>-1.4488788981909969E-2</v>
      </c>
    </row>
    <row r="363" spans="1:12" ht="15.5">
      <c r="A363" s="164"/>
    </row>
    <row r="364" spans="1:12" ht="15.5">
      <c r="A364" s="164"/>
    </row>
    <row r="365" spans="1:12" ht="21">
      <c r="A365" s="52" t="s">
        <v>199</v>
      </c>
      <c r="B365" s="47"/>
      <c r="C365" s="47"/>
      <c r="D365" s="47"/>
      <c r="E365" s="47"/>
      <c r="F365" s="47"/>
      <c r="G365" s="140"/>
      <c r="H365" s="140"/>
      <c r="I365" s="140"/>
      <c r="J365" s="140"/>
      <c r="K365" s="140"/>
      <c r="L365" s="140"/>
    </row>
    <row r="366" spans="1:12">
      <c r="F366" s="97"/>
    </row>
    <row r="367" spans="1:12" ht="16" thickBot="1">
      <c r="A367" s="59" t="s">
        <v>200</v>
      </c>
      <c r="B367" s="53"/>
      <c r="C367" s="53"/>
      <c r="D367" s="53"/>
      <c r="E367" s="53"/>
      <c r="F367" s="53"/>
      <c r="G367" s="53"/>
      <c r="H367" s="53"/>
      <c r="I367" s="53"/>
      <c r="J367" s="53"/>
      <c r="K367" s="53"/>
      <c r="L367" s="53"/>
    </row>
    <row r="368" spans="1:12" ht="15" thickBot="1">
      <c r="A368" s="137" t="s">
        <v>51</v>
      </c>
      <c r="B368" s="105">
        <v>2000</v>
      </c>
      <c r="C368" s="105">
        <v>2015</v>
      </c>
      <c r="D368" s="105">
        <v>2020</v>
      </c>
      <c r="E368" s="105">
        <v>2025</v>
      </c>
      <c r="F368" s="105">
        <v>2030</v>
      </c>
      <c r="G368" s="105">
        <v>2050</v>
      </c>
      <c r="H368" s="113" t="s">
        <v>98</v>
      </c>
      <c r="I368" s="114" t="s">
        <v>99</v>
      </c>
      <c r="J368" s="114" t="s">
        <v>100</v>
      </c>
      <c r="K368" s="114" t="s">
        <v>101</v>
      </c>
      <c r="L368" s="115" t="s">
        <v>102</v>
      </c>
    </row>
    <row r="369" spans="1:13">
      <c r="A369" s="106" t="s">
        <v>103</v>
      </c>
      <c r="B369" s="121">
        <f>'Demande Format Medpro'!B353</f>
        <v>22.8002</v>
      </c>
      <c r="C369" s="121">
        <f>'Demande Format Medpro'!C353</f>
        <v>15.527200000000001</v>
      </c>
      <c r="D369" s="121">
        <f>'Demande Format Medpro'!D353</f>
        <v>12.9569790892055</v>
      </c>
      <c r="E369" s="121">
        <f>'Demande Format Medpro'!E353</f>
        <v>10.973955795739601</v>
      </c>
      <c r="F369" s="121">
        <f>'Demande Format Medpro'!F353</f>
        <v>9.1719434296915505</v>
      </c>
      <c r="G369" s="121">
        <f>'Demande Format Medpro'!G353</f>
        <v>7.5903456688112696</v>
      </c>
      <c r="H369" s="121">
        <f>'Demande Format Medpro'!H353</f>
        <v>-2.5286534008190101E-2</v>
      </c>
      <c r="I369" s="121">
        <f>'Demande Format Medpro'!I353</f>
        <v>-3.5544659702188099E-2</v>
      </c>
      <c r="J369" s="121">
        <f>'Demande Format Medpro'!J353</f>
        <v>-3.2676163359987201E-2</v>
      </c>
      <c r="K369" s="121">
        <f>'Demande Format Medpro'!K353</f>
        <v>-3.52392372773008E-2</v>
      </c>
      <c r="L369" s="121">
        <f>'Demande Format Medpro'!L353</f>
        <v>-9.4189642445359194E-3</v>
      </c>
    </row>
    <row r="370" spans="1:13">
      <c r="A370" s="106" t="s">
        <v>201</v>
      </c>
      <c r="B370" s="121">
        <f>'Demande Format Medpro'!B354</f>
        <v>42.525199999999998</v>
      </c>
      <c r="C370" s="121">
        <f>'Demande Format Medpro'!C354</f>
        <v>41.209099999999999</v>
      </c>
      <c r="D370" s="121">
        <f>'Demande Format Medpro'!D354</f>
        <v>40.565300000000001</v>
      </c>
      <c r="E370" s="121">
        <f>'Demande Format Medpro'!E354</f>
        <v>39.285200000000003</v>
      </c>
      <c r="F370" s="121">
        <f>'Demande Format Medpro'!F354</f>
        <v>38.06</v>
      </c>
      <c r="G370" s="121">
        <f>'Demande Format Medpro'!G354</f>
        <v>36.410400000000003</v>
      </c>
      <c r="H370" s="121">
        <f>'Demande Format Medpro'!H354</f>
        <v>0</v>
      </c>
      <c r="I370" s="121">
        <f>'Demande Format Medpro'!I354</f>
        <v>0</v>
      </c>
      <c r="J370" s="121">
        <f>'Demande Format Medpro'!J354</f>
        <v>0</v>
      </c>
      <c r="K370" s="121">
        <f>'Demande Format Medpro'!K354</f>
        <v>0</v>
      </c>
      <c r="L370" s="121">
        <f>'Demande Format Medpro'!L354</f>
        <v>0</v>
      </c>
    </row>
    <row r="371" spans="1:13">
      <c r="A371" s="106" t="s">
        <v>202</v>
      </c>
      <c r="B371" s="121">
        <f>'Demande Format Medpro'!B355</f>
        <v>32.84769</v>
      </c>
      <c r="C371" s="121">
        <f>'Demande Format Medpro'!C355</f>
        <v>31.136600000000001</v>
      </c>
      <c r="D371" s="121">
        <f>'Demande Format Medpro'!D355</f>
        <v>29.728227741703801</v>
      </c>
      <c r="E371" s="121">
        <f>'Demande Format Medpro'!E355</f>
        <v>28.822360420127499</v>
      </c>
      <c r="F371" s="121">
        <f>'Demande Format Medpro'!F355</f>
        <v>27.8636344231642</v>
      </c>
      <c r="G371" s="121">
        <f>'Demande Format Medpro'!G355</f>
        <v>26.639622131688299</v>
      </c>
      <c r="H371" s="121">
        <f>'Demande Format Medpro'!H355</f>
        <v>-3.5601440528808502E-3</v>
      </c>
      <c r="I371" s="121">
        <f>'Demande Format Medpro'!I355</f>
        <v>-9.2146728131732303E-3</v>
      </c>
      <c r="J371" s="121">
        <f>'Demande Format Medpro'!J355</f>
        <v>-6.1699937451433796E-3</v>
      </c>
      <c r="K371" s="121">
        <f>'Demande Format Medpro'!K355</f>
        <v>-6.7429786909308804E-3</v>
      </c>
      <c r="L371" s="121">
        <f>'Demande Format Medpro'!L355</f>
        <v>-2.2436169011268402E-3</v>
      </c>
    </row>
    <row r="372" spans="1:13">
      <c r="A372" s="106" t="s">
        <v>203</v>
      </c>
      <c r="B372" s="121">
        <f>'Demande Format Medpro'!B356</f>
        <v>0</v>
      </c>
      <c r="C372" s="121">
        <f>'Demande Format Medpro'!C356</f>
        <v>7.5200000000000003E-2</v>
      </c>
      <c r="D372" s="121">
        <f>'Demande Format Medpro'!D356</f>
        <v>8.6400000000000005E-2</v>
      </c>
      <c r="E372" s="121">
        <f>'Demande Format Medpro'!E356</f>
        <v>9.1899999999999996E-2</v>
      </c>
      <c r="F372" s="121">
        <f>'Demande Format Medpro'!F356</f>
        <v>9.7500000000000003E-2</v>
      </c>
      <c r="G372" s="121">
        <f>'Demande Format Medpro'!G356</f>
        <v>0.1215</v>
      </c>
      <c r="H372" s="121">
        <f>'Demande Format Medpro'!H356</f>
        <v>0</v>
      </c>
      <c r="I372" s="121">
        <f>'Demande Format Medpro'!I356</f>
        <v>0</v>
      </c>
      <c r="J372" s="121">
        <f>'Demande Format Medpro'!J356</f>
        <v>0</v>
      </c>
      <c r="K372" s="121">
        <f>'Demande Format Medpro'!K356</f>
        <v>0</v>
      </c>
      <c r="L372" s="121">
        <f>'Demande Format Medpro'!L356</f>
        <v>0</v>
      </c>
    </row>
    <row r="373" spans="1:13">
      <c r="A373" s="106" t="s">
        <v>42</v>
      </c>
      <c r="B373" s="121">
        <f>'Demande Format Medpro'!B357</f>
        <v>6.7202999999999999</v>
      </c>
      <c r="C373" s="121">
        <f>'Demande Format Medpro'!C357</f>
        <v>4.5881999999999996</v>
      </c>
      <c r="D373" s="121">
        <f>'Demande Format Medpro'!D357</f>
        <v>3.5859999999999999</v>
      </c>
      <c r="E373" s="121">
        <f>'Demande Format Medpro'!E357</f>
        <v>3.1928999999999998</v>
      </c>
      <c r="F373" s="121">
        <f>'Demande Format Medpro'!F357</f>
        <v>2.7932000000000001</v>
      </c>
      <c r="G373" s="121">
        <f>'Demande Format Medpro'!G357</f>
        <v>2.3936000000000002</v>
      </c>
      <c r="H373" s="121">
        <f>'Demande Format Medpro'!H357</f>
        <v>-2.5122054971455799E-2</v>
      </c>
      <c r="I373" s="121">
        <f>'Demande Format Medpro'!I357</f>
        <v>-4.8095041823419102E-2</v>
      </c>
      <c r="J373" s="121">
        <f>'Demande Format Medpro'!J357</f>
        <v>-2.2954010697805699E-2</v>
      </c>
      <c r="K373" s="121">
        <f>'Demande Format Medpro'!K357</f>
        <v>-2.6393772094375299E-2</v>
      </c>
      <c r="L373" s="121">
        <f>'Demande Format Medpro'!L357</f>
        <v>-7.6897505772605098E-3</v>
      </c>
    </row>
    <row r="374" spans="1:13">
      <c r="A374" s="106" t="s">
        <v>104</v>
      </c>
      <c r="B374" s="121">
        <f>'Demande Format Medpro'!B358</f>
        <v>32.60819</v>
      </c>
      <c r="C374" s="121">
        <f>'Demande Format Medpro'!C358</f>
        <v>36.597999999999999</v>
      </c>
      <c r="D374" s="121">
        <f>'Demande Format Medpro'!D358</f>
        <v>37.262223254849999</v>
      </c>
      <c r="E374" s="121">
        <f>'Demande Format Medpro'!E358</f>
        <v>38.180502823772997</v>
      </c>
      <c r="F374" s="121">
        <f>'Demande Format Medpro'!F358</f>
        <v>39.433830748794399</v>
      </c>
      <c r="G374" s="121">
        <f>'Demande Format Medpro'!G358</f>
        <v>47.122501897396397</v>
      </c>
      <c r="H374" s="121">
        <f>'Demande Format Medpro'!H358</f>
        <v>7.7250259173500301E-3</v>
      </c>
      <c r="I374" s="121">
        <f>'Demande Format Medpro'!I358</f>
        <v>3.60376559710485E-3</v>
      </c>
      <c r="J374" s="121">
        <f>'Demande Format Medpro'!J358</f>
        <v>4.8808639919555299E-3</v>
      </c>
      <c r="K374" s="121">
        <f>'Demande Format Medpro'!K358</f>
        <v>6.4807313060155601E-3</v>
      </c>
      <c r="L374" s="121">
        <f>'Demande Format Medpro'!L358</f>
        <v>8.9461062328843894E-3</v>
      </c>
    </row>
    <row r="375" spans="1:13">
      <c r="A375" s="106" t="s">
        <v>105</v>
      </c>
      <c r="B375" s="121">
        <f>'Demande Format Medpro'!B359</f>
        <v>3.6135999999999999</v>
      </c>
      <c r="C375" s="121">
        <f>'Demande Format Medpro'!C359</f>
        <v>3.9512999999999998</v>
      </c>
      <c r="D375" s="121">
        <f>'Demande Format Medpro'!D359</f>
        <v>3.5781000000000001</v>
      </c>
      <c r="E375" s="121">
        <f>'Demande Format Medpro'!E359</f>
        <v>3.5065</v>
      </c>
      <c r="F375" s="121">
        <f>'Demande Format Medpro'!F359</f>
        <v>3.4788000000000001</v>
      </c>
      <c r="G375" s="121">
        <f>'Demande Format Medpro'!G359</f>
        <v>3.5687000000000002</v>
      </c>
      <c r="H375" s="121">
        <f>'Demande Format Medpro'!H359</f>
        <v>5.9737811762374804E-3</v>
      </c>
      <c r="I375" s="121">
        <f>'Demande Format Medpro'!I359</f>
        <v>-1.96469735209325E-2</v>
      </c>
      <c r="J375" s="121">
        <f>'Demande Format Medpro'!J359</f>
        <v>-4.0345481085878303E-3</v>
      </c>
      <c r="K375" s="121">
        <f>'Demande Format Medpro'!K359</f>
        <v>-1.5849391075648501E-3</v>
      </c>
      <c r="L375" s="121">
        <f>'Demande Format Medpro'!L359</f>
        <v>1.27651290404129E-3</v>
      </c>
      <c r="M375" s="165"/>
    </row>
    <row r="376" spans="1:13">
      <c r="A376" s="106" t="s">
        <v>106</v>
      </c>
      <c r="B376" s="121">
        <f>'Demande Format Medpro'!B360</f>
        <v>8.2636800000000008</v>
      </c>
      <c r="C376" s="121">
        <f>'Demande Format Medpro'!C360</f>
        <v>9.1921999999999997</v>
      </c>
      <c r="D376" s="121">
        <f>'Demande Format Medpro'!D360</f>
        <v>10.196300000000001</v>
      </c>
      <c r="E376" s="121">
        <f>'Demande Format Medpro'!E360</f>
        <v>10.681900000000001</v>
      </c>
      <c r="F376" s="121">
        <f>'Demande Format Medpro'!F360</f>
        <v>11.135300000000001</v>
      </c>
      <c r="G376" s="121">
        <f>'Demande Format Medpro'!G360</f>
        <v>11.346500000000001</v>
      </c>
      <c r="H376" s="121">
        <f>'Demande Format Medpro'!H360</f>
        <v>7.1242770679884604E-3</v>
      </c>
      <c r="I376" s="121">
        <f>'Demande Format Medpro'!I360</f>
        <v>2.0950363272350399E-2</v>
      </c>
      <c r="J376" s="121">
        <f>'Demande Format Medpro'!J360</f>
        <v>9.3485898068528302E-3</v>
      </c>
      <c r="K376" s="121">
        <f>'Demande Format Medpro'!K360</f>
        <v>8.3485608983049405E-3</v>
      </c>
      <c r="L376" s="121">
        <f>'Demande Format Medpro'!L360</f>
        <v>9.3989562064478204E-4</v>
      </c>
      <c r="M376" s="165"/>
    </row>
    <row r="377" spans="1:13">
      <c r="A377" s="106" t="s">
        <v>135</v>
      </c>
      <c r="B377" s="121">
        <f>'Demande Format Medpro'!B361</f>
        <v>2.0799999999999999E-2</v>
      </c>
      <c r="C377" s="121">
        <f>'Demande Format Medpro'!C361</f>
        <v>0.1744</v>
      </c>
      <c r="D377" s="121">
        <f>'Demande Format Medpro'!D361</f>
        <v>0.18060000000000001</v>
      </c>
      <c r="E377" s="121">
        <f>'Demande Format Medpro'!E361</f>
        <v>0.18149999999999999</v>
      </c>
      <c r="F377" s="121">
        <f>'Demande Format Medpro'!F361</f>
        <v>0.17069999999999999</v>
      </c>
      <c r="G377" s="121">
        <f>'Demande Format Medpro'!G361</f>
        <v>0.1588</v>
      </c>
      <c r="H377" s="121">
        <f>'Demande Format Medpro'!H361</f>
        <v>0</v>
      </c>
      <c r="I377" s="121">
        <f>'Demande Format Medpro'!I361</f>
        <v>0</v>
      </c>
      <c r="J377" s="121">
        <f>'Demande Format Medpro'!J361</f>
        <v>0</v>
      </c>
      <c r="K377" s="121">
        <f>'Demande Format Medpro'!K361</f>
        <v>0</v>
      </c>
      <c r="L377" s="121">
        <f>'Demande Format Medpro'!L361</f>
        <v>0</v>
      </c>
      <c r="M377" s="165"/>
    </row>
    <row r="378" spans="1:13">
      <c r="A378" s="106" t="s">
        <v>136</v>
      </c>
      <c r="B378" s="121">
        <f>'Demande Format Medpro'!B362</f>
        <v>0</v>
      </c>
      <c r="C378" s="121">
        <f>'Demande Format Medpro'!C362</f>
        <v>1.12610318924139</v>
      </c>
      <c r="D378" s="121">
        <f>'Demande Format Medpro'!D362</f>
        <v>1.4955001270178101</v>
      </c>
      <c r="E378" s="121">
        <f>'Demande Format Medpro'!E362</f>
        <v>1.7829099267323001</v>
      </c>
      <c r="F378" s="121">
        <f>'Demande Format Medpro'!F362</f>
        <v>1.98131096506806</v>
      </c>
      <c r="G378" s="121">
        <f>'Demande Format Medpro'!G362</f>
        <v>2.7034684578908701</v>
      </c>
      <c r="H378" s="121">
        <f>'Demande Format Medpro'!H362</f>
        <v>0</v>
      </c>
      <c r="I378" s="121">
        <f>'Demande Format Medpro'!I362</f>
        <v>0</v>
      </c>
      <c r="J378" s="121">
        <f>'Demande Format Medpro'!J362</f>
        <v>0</v>
      </c>
      <c r="K378" s="121">
        <f>'Demande Format Medpro'!K362</f>
        <v>0</v>
      </c>
      <c r="L378" s="121">
        <f>'Demande Format Medpro'!L362</f>
        <v>0</v>
      </c>
      <c r="M378" s="165"/>
    </row>
    <row r="379" spans="1:13">
      <c r="A379" s="106" t="s">
        <v>109</v>
      </c>
      <c r="B379" s="121">
        <v>0</v>
      </c>
      <c r="C379" s="121">
        <v>1</v>
      </c>
      <c r="D379" s="121">
        <v>0</v>
      </c>
      <c r="E379" s="121">
        <v>0</v>
      </c>
      <c r="F379" s="121">
        <v>0</v>
      </c>
      <c r="G379" s="121">
        <v>8.5984522785898534E-2</v>
      </c>
      <c r="H379" s="121">
        <v>6</v>
      </c>
      <c r="I379" s="121">
        <v>7</v>
      </c>
      <c r="J379" s="121">
        <v>8</v>
      </c>
      <c r="K379" s="121">
        <v>9</v>
      </c>
      <c r="L379" s="121">
        <v>10</v>
      </c>
      <c r="M379" s="165"/>
    </row>
    <row r="380" spans="1:13">
      <c r="A380" s="106"/>
      <c r="B380" s="107"/>
      <c r="C380" s="107"/>
      <c r="D380" s="107"/>
      <c r="E380" s="107"/>
      <c r="F380" s="107"/>
      <c r="G380" s="107"/>
      <c r="H380" s="107"/>
      <c r="I380" s="107"/>
      <c r="J380" s="107"/>
      <c r="K380" s="107"/>
      <c r="L380" s="107"/>
      <c r="M380" s="165"/>
    </row>
    <row r="381" spans="1:13" ht="15" thickBot="1">
      <c r="A381" s="109" t="s">
        <v>10</v>
      </c>
      <c r="B381" s="131">
        <f>SUM(B369:B379)</f>
        <v>149.39965999999998</v>
      </c>
      <c r="C381" s="131">
        <f t="shared" ref="C381:L381" si="4">SUM(C369:C379)</f>
        <v>144.57830318924138</v>
      </c>
      <c r="D381" s="131">
        <f t="shared" si="4"/>
        <v>139.6356302127771</v>
      </c>
      <c r="E381" s="131">
        <f t="shared" si="4"/>
        <v>136.69962896637239</v>
      </c>
      <c r="F381" s="131">
        <f t="shared" si="4"/>
        <v>134.18621956671822</v>
      </c>
      <c r="G381" s="131">
        <f t="shared" si="4"/>
        <v>138.14142267857275</v>
      </c>
      <c r="H381" s="131">
        <f t="shared" si="4"/>
        <v>5.966854351129049</v>
      </c>
      <c r="I381" s="131">
        <f t="shared" si="4"/>
        <v>6.9120527810097423</v>
      </c>
      <c r="J381" s="131">
        <f t="shared" si="4"/>
        <v>7.9483947378872841</v>
      </c>
      <c r="K381" s="131">
        <f t="shared" si="4"/>
        <v>8.9448683650341483</v>
      </c>
      <c r="L381" s="131">
        <f t="shared" si="4"/>
        <v>9.991810183034648</v>
      </c>
    </row>
    <row r="382" spans="1:13">
      <c r="A382" s="166"/>
      <c r="F382" s="167"/>
      <c r="G382" s="167"/>
      <c r="H382" s="167"/>
    </row>
    <row r="383" spans="1:13">
      <c r="A383" s="168"/>
      <c r="F383" s="167"/>
      <c r="G383" s="167"/>
      <c r="H383" s="167"/>
    </row>
    <row r="384" spans="1:13" ht="16" thickBot="1">
      <c r="A384" s="59" t="s">
        <v>204</v>
      </c>
      <c r="B384" s="53"/>
      <c r="C384" s="53"/>
      <c r="D384" s="53"/>
      <c r="E384" s="53"/>
      <c r="F384" s="53"/>
      <c r="G384" s="53"/>
      <c r="H384" s="53"/>
      <c r="I384" s="53"/>
      <c r="J384" s="53"/>
      <c r="K384" s="53"/>
      <c r="L384" s="53"/>
    </row>
    <row r="385" spans="1:12" ht="15" thickBot="1">
      <c r="A385" s="137" t="s">
        <v>51</v>
      </c>
      <c r="B385" s="105">
        <v>2000</v>
      </c>
      <c r="C385" s="105">
        <v>2015</v>
      </c>
      <c r="D385" s="105">
        <v>2020</v>
      </c>
      <c r="E385" s="105">
        <v>2025</v>
      </c>
      <c r="F385" s="105">
        <v>2030</v>
      </c>
      <c r="G385" s="105">
        <v>2050</v>
      </c>
      <c r="H385" s="113" t="s">
        <v>98</v>
      </c>
      <c r="I385" s="114" t="s">
        <v>99</v>
      </c>
      <c r="J385" s="114" t="s">
        <v>100</v>
      </c>
      <c r="K385" s="114" t="s">
        <v>101</v>
      </c>
      <c r="L385" s="115" t="s">
        <v>102</v>
      </c>
    </row>
    <row r="386" spans="1:12">
      <c r="A386" s="169" t="s">
        <v>78</v>
      </c>
      <c r="B386" s="107">
        <f>'Demande Format Medpro'!B369</f>
        <v>38.915500000000002</v>
      </c>
      <c r="C386" s="107">
        <f>'Demande Format Medpro'!C369</f>
        <v>31.8477</v>
      </c>
      <c r="D386" s="107">
        <f>'Demande Format Medpro'!D369</f>
        <v>32.003300000000003</v>
      </c>
      <c r="E386" s="107">
        <f>'Demande Format Medpro'!E369</f>
        <v>32.154499999999999</v>
      </c>
      <c r="F386" s="107">
        <f>'Demande Format Medpro'!F369</f>
        <v>32.312199999999997</v>
      </c>
      <c r="G386" s="107">
        <f>'Demande Format Medpro'!G369</f>
        <v>36.428100000000001</v>
      </c>
      <c r="H386" s="107">
        <f>'Demande Format Medpro'!H369</f>
        <v>-1.32729578759672E-2</v>
      </c>
      <c r="I386" s="107">
        <f>'Demande Format Medpro'!I369</f>
        <v>9.75246558531762E-4</v>
      </c>
      <c r="J386" s="107">
        <f>'Demande Format Medpro'!J369</f>
        <v>9.4312192044454502E-4</v>
      </c>
      <c r="K386" s="107">
        <f>'Demande Format Medpro'!K369</f>
        <v>9.789705007394729E-4</v>
      </c>
      <c r="L386" s="107">
        <f>'Demande Format Medpro'!L369</f>
        <v>6.0127839972017299E-3</v>
      </c>
    </row>
    <row r="387" spans="1:12">
      <c r="A387" s="169" t="s">
        <v>80</v>
      </c>
      <c r="B387" s="107">
        <f>'Demande Format Medpro'!B370</f>
        <v>42.777299999999997</v>
      </c>
      <c r="C387" s="107">
        <f>'Demande Format Medpro'!C370</f>
        <v>42.093488103993202</v>
      </c>
      <c r="D387" s="107">
        <f>'Demande Format Medpro'!D370</f>
        <v>38.949986005726402</v>
      </c>
      <c r="E387" s="107">
        <f>'Demande Format Medpro'!E370</f>
        <v>37.427669756237201</v>
      </c>
      <c r="F387" s="107">
        <f>'Demande Format Medpro'!F370</f>
        <v>36.268246002489001</v>
      </c>
      <c r="G387" s="107">
        <f>'Demande Format Medpro'!G370</f>
        <v>34.636912010195502</v>
      </c>
      <c r="H387" s="107">
        <f>'Demande Format Medpro'!H370</f>
        <v>-1.0737255569641701E-3</v>
      </c>
      <c r="I387" s="107">
        <f>'Demande Format Medpro'!I370</f>
        <v>-1.54030681153818E-2</v>
      </c>
      <c r="J387" s="107">
        <f>'Demande Format Medpro'!J370</f>
        <v>-7.9419247568907093E-3</v>
      </c>
      <c r="K387" s="107">
        <f>'Demande Format Medpro'!K370</f>
        <v>-6.27377144735408E-3</v>
      </c>
      <c r="L387" s="107">
        <f>'Demande Format Medpro'!L370</f>
        <v>-2.2984873308317102E-3</v>
      </c>
    </row>
    <row r="388" spans="1:12">
      <c r="A388" s="169" t="s">
        <v>81</v>
      </c>
      <c r="B388" s="107">
        <f>'Demande Format Medpro'!B371</f>
        <v>20.017199999999999</v>
      </c>
      <c r="C388" s="107">
        <f>'Demande Format Medpro'!C371</f>
        <v>23.0002150852482</v>
      </c>
      <c r="D388" s="107">
        <f>'Demande Format Medpro'!D371</f>
        <v>22.5271141212915</v>
      </c>
      <c r="E388" s="107">
        <f>'Demande Format Medpro'!E371</f>
        <v>22.078440170495099</v>
      </c>
      <c r="F388" s="107">
        <f>'Demande Format Medpro'!F371</f>
        <v>21.442864962579101</v>
      </c>
      <c r="G388" s="107">
        <f>'Demande Format Medpro'!G371</f>
        <v>22.6677564476953</v>
      </c>
      <c r="H388" s="107">
        <f>'Demande Format Medpro'!H371</f>
        <v>9.3037912415132595E-3</v>
      </c>
      <c r="I388" s="107">
        <f>'Demande Format Medpro'!I371</f>
        <v>-4.1481548719571899E-3</v>
      </c>
      <c r="J388" s="107">
        <f>'Demande Format Medpro'!J371</f>
        <v>-4.0155323599075903E-3</v>
      </c>
      <c r="K388" s="107">
        <f>'Demande Format Medpro'!K371</f>
        <v>-5.8248931822137999E-3</v>
      </c>
      <c r="L388" s="107">
        <f>'Demande Format Medpro'!L371</f>
        <v>2.7814380241897299E-3</v>
      </c>
    </row>
    <row r="389" spans="1:12">
      <c r="A389" s="169" t="s">
        <v>82</v>
      </c>
      <c r="B389" s="107">
        <f>'Demande Format Medpro'!B372</f>
        <v>4.3577599999999999</v>
      </c>
      <c r="C389" s="107">
        <f>'Demande Format Medpro'!C372</f>
        <v>4.46</v>
      </c>
      <c r="D389" s="107">
        <f>'Demande Format Medpro'!D372</f>
        <v>4.3564300857593397</v>
      </c>
      <c r="E389" s="107">
        <f>'Demande Format Medpro'!E372</f>
        <v>4.2410190396400802</v>
      </c>
      <c r="F389" s="107">
        <f>'Demande Format Medpro'!F372</f>
        <v>4.1238086016501896</v>
      </c>
      <c r="G389" s="107">
        <f>'Demande Format Medpro'!G372</f>
        <v>3.7084696978960001</v>
      </c>
      <c r="H389" s="107">
        <f>'Demande Format Medpro'!H372</f>
        <v>1.54723588017358E-3</v>
      </c>
      <c r="I389" s="107">
        <f>'Demande Format Medpro'!I372</f>
        <v>-4.6881425382782104E-3</v>
      </c>
      <c r="J389" s="107">
        <f>'Demande Format Medpro'!J372</f>
        <v>-5.3554788952561204E-3</v>
      </c>
      <c r="K389" s="107">
        <f>'Demande Format Medpro'!K372</f>
        <v>-5.5896048360853899E-3</v>
      </c>
      <c r="L389" s="107">
        <f>'Demande Format Medpro'!L372</f>
        <v>-5.2938301838630899E-3</v>
      </c>
    </row>
    <row r="390" spans="1:12">
      <c r="A390" s="169" t="s">
        <v>79</v>
      </c>
      <c r="B390" s="107">
        <f>'Demande Format Medpro'!B373</f>
        <v>43.331899999999997</v>
      </c>
      <c r="C390" s="107">
        <f>'Demande Format Medpro'!C373</f>
        <v>42.177</v>
      </c>
      <c r="D390" s="107">
        <f>'Demande Format Medpro'!D373</f>
        <v>41.798699999999997</v>
      </c>
      <c r="E390" s="107">
        <f>'Demande Format Medpro'!E373</f>
        <v>40.798000000000002</v>
      </c>
      <c r="F390" s="107">
        <f>'Demande Format Medpro'!F373</f>
        <v>40.038899999999998</v>
      </c>
      <c r="G390" s="107">
        <f>'Demande Format Medpro'!G373</f>
        <v>40.614400000000003</v>
      </c>
      <c r="H390" s="107">
        <f>'Demande Format Medpro'!H373</f>
        <v>-1.7993149918053E-3</v>
      </c>
      <c r="I390" s="107">
        <f>'Demande Format Medpro'!I373</f>
        <v>-1.80033948060065E-3</v>
      </c>
      <c r="J390" s="107">
        <f>'Demande Format Medpro'!J373</f>
        <v>-4.83471057375173E-3</v>
      </c>
      <c r="K390" s="107">
        <f>'Demande Format Medpro'!K373</f>
        <v>-3.7492696827380301E-3</v>
      </c>
      <c r="L390" s="107">
        <f>'Demande Format Medpro'!L373</f>
        <v>7.1381474379505995E-4</v>
      </c>
    </row>
    <row r="391" spans="1:12">
      <c r="A391" s="169"/>
      <c r="B391" s="107"/>
      <c r="C391" s="107"/>
      <c r="D391" s="107"/>
      <c r="E391" s="107"/>
      <c r="F391" s="107"/>
      <c r="G391" s="107"/>
      <c r="H391" s="107"/>
      <c r="I391" s="107"/>
      <c r="J391" s="107"/>
      <c r="K391" s="107"/>
      <c r="L391" s="107"/>
    </row>
    <row r="392" spans="1:12" ht="15" thickBot="1">
      <c r="A392" s="170" t="s">
        <v>10</v>
      </c>
      <c r="B392" s="126">
        <f>'Demande Format Medpro'!B375</f>
        <v>149.39966000000001</v>
      </c>
      <c r="C392" s="131">
        <f>'Demande Format Medpro'!C375</f>
        <v>143.57840318924099</v>
      </c>
      <c r="D392" s="131">
        <f>'Demande Format Medpro'!D375</f>
        <v>139.63553021277701</v>
      </c>
      <c r="E392" s="131">
        <f>'Demande Format Medpro'!E375</f>
        <v>136.69962896637199</v>
      </c>
      <c r="F392" s="131">
        <f>'Demande Format Medpro'!F375</f>
        <v>134.18601956671799</v>
      </c>
      <c r="G392" s="131">
        <f>'Demande Format Medpro'!G375</f>
        <v>138.05563815578699</v>
      </c>
      <c r="H392" s="131">
        <f>'Demande Format Medpro'!H375</f>
        <v>-2.6460761020494798E-3</v>
      </c>
      <c r="I392" s="131">
        <f>'Demande Format Medpro'!I375</f>
        <v>-5.5536366886307399E-3</v>
      </c>
      <c r="J392" s="131">
        <f>'Demande Format Medpro'!J375</f>
        <v>-4.2409104046396999E-3</v>
      </c>
      <c r="K392" s="131">
        <f>'Demande Format Medpro'!K375</f>
        <v>-3.70491709609E-3</v>
      </c>
      <c r="L392" s="131">
        <f>'Demande Format Medpro'!L375</f>
        <v>1.42249758824131E-3</v>
      </c>
    </row>
    <row r="393" spans="1:12" ht="15.5">
      <c r="A393" s="164"/>
    </row>
    <row r="394" spans="1:12" ht="15.5">
      <c r="A394" s="164"/>
    </row>
    <row r="395" spans="1:12" ht="16" thickBot="1">
      <c r="A395" s="59" t="s">
        <v>205</v>
      </c>
      <c r="B395" s="162"/>
      <c r="C395" s="53"/>
      <c r="D395" s="53"/>
      <c r="E395" s="53"/>
      <c r="F395" s="53"/>
      <c r="G395" s="53"/>
      <c r="H395" s="53"/>
      <c r="I395" s="53"/>
      <c r="J395" s="53"/>
      <c r="K395" s="53"/>
      <c r="L395" s="53"/>
    </row>
    <row r="396" spans="1:12" ht="15" thickBot="1">
      <c r="A396" s="104"/>
      <c r="B396" s="105">
        <v>2000</v>
      </c>
      <c r="C396" s="105">
        <v>2015</v>
      </c>
      <c r="D396" s="105">
        <v>2020</v>
      </c>
      <c r="E396" s="105">
        <v>2025</v>
      </c>
      <c r="F396" s="105">
        <v>2030</v>
      </c>
      <c r="G396" s="105">
        <v>2050</v>
      </c>
      <c r="H396" s="113" t="s">
        <v>98</v>
      </c>
      <c r="I396" s="114" t="s">
        <v>99</v>
      </c>
      <c r="J396" s="114" t="s">
        <v>100</v>
      </c>
      <c r="K396" s="114" t="s">
        <v>101</v>
      </c>
      <c r="L396" s="115" t="s">
        <v>102</v>
      </c>
    </row>
    <row r="397" spans="1:12">
      <c r="A397" s="106" t="s">
        <v>196</v>
      </c>
      <c r="B397" s="171">
        <f>'Demande Format Medpro'!B380</f>
        <v>8.4325549288508606E-2</v>
      </c>
      <c r="C397" s="171">
        <f>'Demande Format Medpro'!C380</f>
        <v>6.8571312471406298E-2</v>
      </c>
      <c r="D397" s="171">
        <f>'Demande Format Medpro'!D380</f>
        <v>6.1600091817526598E-2</v>
      </c>
      <c r="E397" s="171">
        <f>'Demande Format Medpro'!E380</f>
        <v>5.6533414922964799E-2</v>
      </c>
      <c r="F397" s="171">
        <f>'Demande Format Medpro'!F380</f>
        <v>5.1767361657663297E-2</v>
      </c>
      <c r="G397" s="171">
        <f>'Demande Format Medpro'!G380</f>
        <v>3.8017414224205799E-2</v>
      </c>
      <c r="H397" s="171">
        <f>'Demande Format Medpro'!H380</f>
        <v>-1.3692764990851E-2</v>
      </c>
      <c r="I397" s="171">
        <f>'Demande Format Medpro'!I380</f>
        <v>-2.12139308811569E-2</v>
      </c>
      <c r="J397" s="171">
        <f>'Demande Format Medpro'!J380</f>
        <v>-1.70197952593216E-2</v>
      </c>
      <c r="K397" s="171">
        <f>'Demande Format Medpro'!K380</f>
        <v>-1.7460175492412602E-2</v>
      </c>
      <c r="L397" s="171">
        <f>'Demande Format Medpro'!L380</f>
        <v>-1.53172561486896E-2</v>
      </c>
    </row>
    <row r="398" spans="1:12">
      <c r="A398" s="106" t="s">
        <v>206</v>
      </c>
      <c r="B398" s="171">
        <f>'Demande Format Medpro'!B381</f>
        <v>214.050367245941</v>
      </c>
      <c r="C398" s="171">
        <f>'Demande Format Medpro'!C381</f>
        <v>203.27815628770301</v>
      </c>
      <c r="D398" s="171">
        <f>'Demande Format Medpro'!D381</f>
        <v>191.176095863889</v>
      </c>
      <c r="E398" s="171">
        <f>'Demande Format Medpro'!E381</f>
        <v>183.63659967520701</v>
      </c>
      <c r="F398" s="171">
        <f>'Demande Format Medpro'!F381</f>
        <v>176.928093077429</v>
      </c>
      <c r="G398" s="171">
        <f>'Demande Format Medpro'!G381</f>
        <v>150.91663440386799</v>
      </c>
      <c r="H398" s="171">
        <f>'Demande Format Medpro'!H381</f>
        <v>-3.4364869917412602E-3</v>
      </c>
      <c r="I398" s="171">
        <f>'Demande Format Medpro'!I381</f>
        <v>-1.2201016170506999E-2</v>
      </c>
      <c r="J398" s="171">
        <f>'Demande Format Medpro'!J381</f>
        <v>-8.0149413372444505E-3</v>
      </c>
      <c r="K398" s="171">
        <f>'Demande Format Medpro'!K381</f>
        <v>-7.41545021124257E-3</v>
      </c>
      <c r="L398" s="171">
        <f>'Demande Format Medpro'!L381</f>
        <v>-7.9192661661721103E-3</v>
      </c>
    </row>
    <row r="399" spans="1:12">
      <c r="A399" s="106" t="s">
        <v>150</v>
      </c>
      <c r="B399" s="171">
        <f>'Demande Format Medpro'!B382</f>
        <v>2.5383067722314698</v>
      </c>
      <c r="C399" s="171">
        <f>'Demande Format Medpro'!C382</f>
        <v>2.23337128547516</v>
      </c>
      <c r="D399" s="171">
        <f>'Demande Format Medpro'!D382</f>
        <v>2.12594097927854</v>
      </c>
      <c r="E399" s="171">
        <f>'Demande Format Medpro'!E382</f>
        <v>2.0431625457003402</v>
      </c>
      <c r="F399" s="171">
        <f>'Demande Format Medpro'!F382</f>
        <v>1.9718449748309499</v>
      </c>
      <c r="G399" s="171">
        <f>'Demande Format Medpro'!G382</f>
        <v>1.9260369309595899</v>
      </c>
      <c r="H399" s="171">
        <f>'Demande Format Medpro'!H382</f>
        <v>-8.4960364520788607E-3</v>
      </c>
      <c r="I399" s="171">
        <f>'Demande Format Medpro'!I382</f>
        <v>-9.8110966468509808E-3</v>
      </c>
      <c r="J399" s="171">
        <f>'Demande Format Medpro'!J382</f>
        <v>-7.9116653563052804E-3</v>
      </c>
      <c r="K399" s="171">
        <f>'Demande Format Medpro'!K382</f>
        <v>-7.0806601645884201E-3</v>
      </c>
      <c r="L399" s="171">
        <f>'Demande Format Medpro'!L382</f>
        <v>-1.1745672440818299E-3</v>
      </c>
    </row>
    <row r="400" spans="1:12" ht="15" thickBot="1">
      <c r="A400" s="109" t="s">
        <v>151</v>
      </c>
      <c r="B400" s="163">
        <f>'Demande Format Medpro'!B383</f>
        <v>6443.1895358319998</v>
      </c>
      <c r="C400" s="138">
        <f>'Demande Format Medpro'!C383</f>
        <v>6620.7803358962901</v>
      </c>
      <c r="D400" s="138">
        <f>'Demande Format Medpro'!D383</f>
        <v>6597.8651080498103</v>
      </c>
      <c r="E400" s="138">
        <f>'Demande Format Medpro'!E383</f>
        <v>6636.7726589206604</v>
      </c>
      <c r="F400" s="138">
        <f>'Demande Format Medpro'!F383</f>
        <v>6739.2805055095196</v>
      </c>
      <c r="G400" s="138">
        <f>'Demande Format Medpro'!G383</f>
        <v>7645.7333379844804</v>
      </c>
      <c r="H400" s="138">
        <f>'Demande Format Medpro'!H383</f>
        <v>1.81428058343625E-3</v>
      </c>
      <c r="I400" s="138">
        <f>'Demande Format Medpro'!I383</f>
        <v>-6.9318169594823097E-4</v>
      </c>
      <c r="J400" s="138">
        <f>'Demande Format Medpro'!J383</f>
        <v>1.1766260336725199E-3</v>
      </c>
      <c r="K400" s="138">
        <f>'Demande Format Medpro'!K383</f>
        <v>3.0701772327716998E-3</v>
      </c>
      <c r="L400" s="138">
        <f>'Demande Format Medpro'!L383</f>
        <v>6.3296777444214998E-3</v>
      </c>
    </row>
    <row r="401" spans="1:1" ht="15.5">
      <c r="A401" s="164"/>
    </row>
    <row r="402" spans="1:1" ht="15.5">
      <c r="A402" s="164"/>
    </row>
    <row r="427" spans="2:14">
      <c r="B427" s="95"/>
      <c r="C427" s="95"/>
      <c r="D427" s="95"/>
      <c r="E427" s="95"/>
      <c r="F427" s="95"/>
      <c r="G427" s="95"/>
      <c r="H427" s="95"/>
      <c r="I427" s="95"/>
      <c r="J427" s="95"/>
      <c r="K427" s="95"/>
      <c r="L427" s="95"/>
      <c r="N427" s="172"/>
    </row>
    <row r="428" spans="2:14">
      <c r="B428" s="95"/>
      <c r="C428" s="95"/>
      <c r="D428" s="95"/>
      <c r="E428" s="95"/>
      <c r="F428" s="95"/>
      <c r="G428" s="95"/>
      <c r="H428" s="95"/>
      <c r="I428" s="95"/>
      <c r="J428" s="95"/>
      <c r="K428" s="95"/>
      <c r="L428" s="95"/>
      <c r="N428" s="119"/>
    </row>
    <row r="429" spans="2:14">
      <c r="B429" s="95"/>
      <c r="C429" s="95"/>
      <c r="D429" s="95"/>
      <c r="E429" s="95"/>
      <c r="F429" s="95"/>
      <c r="G429" s="95"/>
      <c r="H429" s="95"/>
      <c r="I429" s="95"/>
      <c r="J429" s="95"/>
      <c r="K429" s="95"/>
      <c r="L429" s="95"/>
      <c r="N429" s="118"/>
    </row>
    <row r="541" spans="2:12">
      <c r="B541" s="95"/>
      <c r="C541" s="95"/>
      <c r="D541" s="95"/>
      <c r="E541" s="95"/>
      <c r="F541" s="95"/>
      <c r="G541" s="95"/>
      <c r="H541" s="95"/>
      <c r="I541" s="95"/>
      <c r="J541" s="95"/>
      <c r="K541" s="95"/>
      <c r="L541" s="95"/>
    </row>
    <row r="542" spans="2:12">
      <c r="B542" s="95"/>
      <c r="C542" s="95"/>
      <c r="D542" s="95"/>
      <c r="E542" s="95"/>
      <c r="F542" s="95"/>
      <c r="G542" s="95"/>
      <c r="H542" s="95"/>
      <c r="I542" s="95"/>
      <c r="J542" s="95"/>
      <c r="K542" s="95"/>
      <c r="L542" s="95"/>
    </row>
    <row r="543" spans="2:12">
      <c r="B543" s="95"/>
      <c r="C543" s="95"/>
      <c r="D543" s="95"/>
      <c r="E543" s="95"/>
      <c r="F543" s="95"/>
      <c r="G543" s="95"/>
      <c r="H543" s="95"/>
      <c r="I543" s="95"/>
      <c r="J543" s="95"/>
      <c r="K543" s="95"/>
      <c r="L543" s="95"/>
    </row>
    <row r="544" spans="2:12">
      <c r="B544" s="95"/>
      <c r="C544" s="95"/>
      <c r="D544" s="95"/>
      <c r="E544" s="95"/>
      <c r="F544" s="95"/>
      <c r="G544" s="95"/>
      <c r="H544" s="95"/>
      <c r="I544" s="95"/>
      <c r="J544" s="95"/>
      <c r="K544" s="95"/>
      <c r="L544" s="95"/>
    </row>
    <row r="545" spans="2:12">
      <c r="B545" s="95"/>
      <c r="C545" s="95"/>
      <c r="D545" s="95"/>
      <c r="E545" s="95"/>
      <c r="F545" s="95"/>
      <c r="G545" s="95"/>
      <c r="H545" s="95"/>
      <c r="I545" s="95"/>
      <c r="J545" s="95"/>
      <c r="K545" s="95"/>
      <c r="L545" s="95"/>
    </row>
    <row r="546" spans="2:12">
      <c r="B546" s="95"/>
      <c r="C546" s="95"/>
      <c r="D546" s="95"/>
      <c r="E546" s="95"/>
      <c r="F546" s="95"/>
      <c r="G546" s="95"/>
      <c r="H546" s="95"/>
      <c r="I546" s="95"/>
      <c r="J546" s="95"/>
      <c r="K546" s="95"/>
      <c r="L546" s="95"/>
    </row>
    <row r="547" spans="2:12">
      <c r="B547" s="95"/>
      <c r="C547" s="95"/>
      <c r="D547" s="95"/>
      <c r="E547" s="95"/>
      <c r="F547" s="95"/>
      <c r="G547" s="95"/>
      <c r="H547" s="95"/>
      <c r="I547" s="95"/>
      <c r="J547" s="95"/>
      <c r="K547" s="95"/>
      <c r="L547" s="95"/>
    </row>
    <row r="548" spans="2:12">
      <c r="B548" s="95"/>
      <c r="C548" s="95"/>
      <c r="D548" s="95"/>
      <c r="E548" s="95"/>
      <c r="F548" s="95"/>
      <c r="G548" s="95"/>
      <c r="H548" s="95"/>
      <c r="I548" s="95"/>
      <c r="J548" s="95"/>
      <c r="K548" s="95"/>
      <c r="L548" s="95"/>
    </row>
    <row r="549" spans="2:12">
      <c r="B549" s="95"/>
      <c r="C549" s="95"/>
      <c r="D549" s="95"/>
      <c r="E549" s="95"/>
      <c r="F549" s="95"/>
      <c r="G549" s="95"/>
      <c r="H549" s="95"/>
      <c r="I549" s="95"/>
      <c r="J549" s="95"/>
      <c r="K549" s="95"/>
      <c r="L549" s="95"/>
    </row>
    <row r="550" spans="2:12">
      <c r="B550" s="95"/>
      <c r="C550" s="95"/>
      <c r="D550" s="95"/>
      <c r="E550" s="95"/>
      <c r="F550" s="95"/>
      <c r="G550" s="95"/>
      <c r="H550" s="95"/>
      <c r="I550" s="95"/>
      <c r="J550" s="95"/>
      <c r="K550" s="95"/>
      <c r="L550" s="95"/>
    </row>
    <row r="551" spans="2:12">
      <c r="B551" s="95"/>
      <c r="C551" s="95"/>
      <c r="D551" s="95"/>
      <c r="E551" s="95"/>
      <c r="F551" s="95"/>
      <c r="G551" s="95"/>
      <c r="H551" s="95"/>
      <c r="I551" s="95"/>
      <c r="J551" s="95"/>
      <c r="K551" s="95"/>
      <c r="L551" s="95"/>
    </row>
    <row r="552" spans="2:12">
      <c r="B552" s="95"/>
      <c r="C552" s="95"/>
      <c r="D552" s="95"/>
      <c r="E552" s="95"/>
      <c r="F552" s="95"/>
      <c r="G552" s="95"/>
      <c r="H552" s="95"/>
      <c r="I552" s="95"/>
      <c r="J552" s="95"/>
      <c r="K552" s="95"/>
      <c r="L552" s="95"/>
    </row>
    <row r="553" spans="2:12">
      <c r="B553" s="95"/>
      <c r="C553" s="95"/>
      <c r="D553" s="95"/>
      <c r="E553" s="95"/>
      <c r="F553" s="95"/>
      <c r="G553" s="95"/>
      <c r="H553" s="95"/>
      <c r="I553" s="95"/>
      <c r="J553" s="95"/>
      <c r="K553" s="95"/>
      <c r="L553" s="95"/>
    </row>
    <row r="554" spans="2:12">
      <c r="B554" s="95"/>
      <c r="C554" s="95"/>
      <c r="D554" s="95"/>
      <c r="E554" s="95"/>
      <c r="F554" s="95"/>
      <c r="G554" s="95"/>
      <c r="H554" s="95"/>
      <c r="I554" s="95"/>
      <c r="J554" s="95"/>
      <c r="K554" s="95"/>
      <c r="L554" s="95"/>
    </row>
    <row r="555" spans="2:12">
      <c r="B555" s="95"/>
      <c r="C555" s="95"/>
      <c r="D555" s="95"/>
      <c r="E555" s="95"/>
      <c r="F555" s="95"/>
      <c r="G555" s="95"/>
      <c r="H555" s="95"/>
      <c r="I555" s="95"/>
      <c r="J555" s="95"/>
      <c r="K555" s="95"/>
      <c r="L555" s="95"/>
    </row>
    <row r="556" spans="2:12">
      <c r="B556" s="95"/>
      <c r="C556" s="95"/>
      <c r="D556" s="95"/>
      <c r="E556" s="95"/>
      <c r="F556" s="95"/>
      <c r="G556" s="95"/>
      <c r="H556" s="95"/>
      <c r="I556" s="95"/>
      <c r="J556" s="95"/>
      <c r="K556" s="95"/>
      <c r="L556" s="95"/>
    </row>
    <row r="557" spans="2:12">
      <c r="B557" s="95"/>
      <c r="C557" s="95"/>
      <c r="D557" s="95"/>
      <c r="E557" s="95"/>
      <c r="F557" s="95"/>
      <c r="G557" s="95"/>
      <c r="H557" s="95"/>
      <c r="I557" s="95"/>
      <c r="J557" s="95"/>
      <c r="K557" s="95"/>
      <c r="L557" s="95"/>
    </row>
    <row r="558" spans="2:12">
      <c r="B558" s="95"/>
      <c r="C558" s="95"/>
      <c r="D558" s="95"/>
      <c r="E558" s="95"/>
      <c r="F558" s="95"/>
      <c r="G558" s="95"/>
      <c r="H558" s="95"/>
      <c r="I558" s="95"/>
      <c r="J558" s="95"/>
      <c r="K558" s="95"/>
      <c r="L558" s="95"/>
    </row>
    <row r="559" spans="2:12">
      <c r="B559" s="95"/>
      <c r="C559" s="95"/>
      <c r="D559" s="95"/>
      <c r="E559" s="95"/>
      <c r="F559" s="95"/>
      <c r="G559" s="95"/>
      <c r="H559" s="95"/>
      <c r="I559" s="95"/>
      <c r="J559" s="95"/>
      <c r="K559" s="95"/>
      <c r="L559" s="95"/>
    </row>
    <row r="560" spans="2:12">
      <c r="B560" s="95"/>
      <c r="C560" s="95"/>
      <c r="D560" s="95"/>
      <c r="E560" s="95"/>
      <c r="F560" s="95"/>
      <c r="G560" s="95"/>
      <c r="H560" s="95"/>
      <c r="I560" s="95"/>
      <c r="J560" s="95"/>
      <c r="K560" s="95"/>
      <c r="L560" s="95"/>
    </row>
    <row r="561" spans="1:78">
      <c r="B561" s="95"/>
      <c r="C561" s="95"/>
      <c r="D561" s="95"/>
      <c r="E561" s="95"/>
      <c r="F561" s="95"/>
      <c r="G561" s="95"/>
      <c r="H561" s="95"/>
      <c r="I561" s="95"/>
      <c r="J561" s="95"/>
      <c r="K561" s="95"/>
      <c r="L561" s="95"/>
    </row>
    <row r="562" spans="1:78">
      <c r="B562" s="95"/>
      <c r="C562" s="95"/>
      <c r="D562" s="95"/>
      <c r="E562" s="95"/>
      <c r="F562" s="95"/>
      <c r="G562" s="95"/>
      <c r="H562" s="95"/>
      <c r="I562" s="95"/>
      <c r="J562" s="95"/>
      <c r="K562" s="95"/>
      <c r="L562" s="95"/>
    </row>
    <row r="563" spans="1:78">
      <c r="B563" s="95"/>
      <c r="C563" s="95"/>
      <c r="D563" s="95"/>
      <c r="E563" s="95"/>
      <c r="F563" s="95"/>
      <c r="G563" s="95"/>
      <c r="H563" s="95"/>
      <c r="I563" s="95"/>
      <c r="J563" s="95"/>
      <c r="K563" s="95"/>
      <c r="L563" s="95"/>
    </row>
    <row r="564" spans="1:78">
      <c r="A564" s="98"/>
      <c r="B564" s="98"/>
      <c r="C564" s="98"/>
      <c r="D564" s="98"/>
      <c r="E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row>
    <row r="565" spans="1:78">
      <c r="A565" s="98"/>
      <c r="B565" s="98"/>
      <c r="C565" s="98"/>
      <c r="D565" s="98"/>
      <c r="E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row>
    <row r="566" spans="1:78">
      <c r="A566" s="98"/>
      <c r="B566" s="98"/>
      <c r="C566" s="98"/>
      <c r="D566" s="98"/>
      <c r="E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row>
    <row r="567" spans="1:78">
      <c r="A567" s="98"/>
      <c r="B567" s="98"/>
      <c r="C567" s="98"/>
      <c r="D567" s="98"/>
      <c r="E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row>
    <row r="568" spans="1:78">
      <c r="B568" s="95"/>
      <c r="C568" s="95"/>
      <c r="D568" s="95"/>
      <c r="E568" s="95"/>
      <c r="F568" s="95"/>
      <c r="G568" s="95"/>
      <c r="H568" s="95"/>
      <c r="I568" s="95"/>
      <c r="J568" s="95"/>
      <c r="K568" s="95"/>
      <c r="L568" s="95"/>
    </row>
    <row r="569" spans="1:78">
      <c r="A569" s="98"/>
      <c r="B569" s="98"/>
      <c r="C569" s="98"/>
      <c r="D569" s="98"/>
      <c r="E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row>
    <row r="570" spans="1:78">
      <c r="A570" s="98"/>
      <c r="B570" s="98"/>
      <c r="C570" s="98"/>
      <c r="D570" s="98"/>
      <c r="E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row>
    <row r="571" spans="1:78">
      <c r="A571" s="98"/>
      <c r="B571" s="98"/>
      <c r="C571" s="98"/>
      <c r="D571" s="98"/>
      <c r="E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row>
    <row r="572" spans="1:78">
      <c r="A572" s="98"/>
      <c r="B572" s="98"/>
      <c r="C572" s="98"/>
      <c r="D572" s="98"/>
      <c r="E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row>
    <row r="573" spans="1:78">
      <c r="A573" s="98"/>
      <c r="B573" s="98"/>
      <c r="C573" s="98"/>
      <c r="D573" s="98"/>
      <c r="E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row>
    <row r="574" spans="1:78">
      <c r="A574" s="98"/>
      <c r="B574" s="98"/>
      <c r="C574" s="98"/>
      <c r="D574" s="98"/>
      <c r="E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row>
    <row r="575" spans="1:78">
      <c r="A575" s="98"/>
      <c r="B575" s="98"/>
      <c r="C575" s="98"/>
      <c r="D575" s="98"/>
      <c r="E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row>
    <row r="576" spans="1:78">
      <c r="A576" s="98"/>
      <c r="B576" s="98"/>
      <c r="C576" s="98"/>
      <c r="D576" s="98"/>
      <c r="E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row>
    <row r="577" spans="1:78">
      <c r="A577" s="98"/>
      <c r="B577" s="98"/>
      <c r="C577" s="98"/>
      <c r="D577" s="98"/>
      <c r="E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row>
    <row r="578" spans="1:78">
      <c r="A578" s="98"/>
      <c r="B578" s="98"/>
      <c r="C578" s="98"/>
      <c r="D578" s="98"/>
      <c r="E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row>
    <row r="579" spans="1:78">
      <c r="B579" s="95"/>
      <c r="C579" s="95"/>
      <c r="D579" s="95"/>
      <c r="E579" s="95"/>
      <c r="F579" s="95"/>
      <c r="G579" s="95"/>
      <c r="H579" s="95"/>
      <c r="I579" s="95"/>
      <c r="J579" s="95"/>
      <c r="K579" s="95"/>
      <c r="L579" s="95"/>
    </row>
    <row r="580" spans="1:78">
      <c r="B580" s="95"/>
      <c r="C580" s="95"/>
      <c r="D580" s="95"/>
      <c r="E580" s="95"/>
      <c r="F580" s="95"/>
      <c r="G580" s="95"/>
      <c r="H580" s="95"/>
      <c r="I580" s="95"/>
      <c r="J580" s="95"/>
      <c r="K580" s="95"/>
      <c r="L580" s="95"/>
    </row>
    <row r="581" spans="1:78">
      <c r="A581" s="98"/>
      <c r="B581" s="98"/>
      <c r="C581" s="98"/>
      <c r="D581" s="98"/>
      <c r="E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row>
    <row r="582" spans="1:78">
      <c r="A582" s="98"/>
      <c r="B582" s="98"/>
      <c r="C582" s="98"/>
      <c r="D582" s="98"/>
      <c r="E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row>
    <row r="583" spans="1:78">
      <c r="A583" s="98"/>
      <c r="B583" s="98"/>
      <c r="C583" s="98"/>
      <c r="D583" s="98"/>
      <c r="E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row>
    <row r="584" spans="1:78">
      <c r="A584" s="98"/>
      <c r="B584" s="98"/>
      <c r="C584" s="98"/>
      <c r="D584" s="98"/>
      <c r="E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row>
    <row r="585" spans="1:78">
      <c r="A585" s="98"/>
      <c r="B585" s="98"/>
      <c r="C585" s="98"/>
      <c r="D585" s="98"/>
      <c r="E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row>
    <row r="586" spans="1:78">
      <c r="A586" s="98"/>
      <c r="B586" s="98"/>
      <c r="C586" s="98"/>
      <c r="D586" s="98"/>
      <c r="E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row>
    <row r="587" spans="1:78">
      <c r="A587" s="98"/>
      <c r="B587" s="98"/>
      <c r="C587" s="98"/>
      <c r="D587" s="98"/>
      <c r="E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row>
    <row r="588" spans="1:78">
      <c r="A588" s="98"/>
      <c r="B588" s="98"/>
      <c r="C588" s="98"/>
      <c r="D588" s="98"/>
      <c r="E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row>
    <row r="589" spans="1:78">
      <c r="A589" s="98"/>
      <c r="B589" s="98"/>
      <c r="C589" s="98"/>
      <c r="D589" s="98"/>
      <c r="E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row>
    <row r="590" spans="1:78">
      <c r="A590" s="98"/>
      <c r="B590" s="98"/>
      <c r="C590" s="98"/>
      <c r="D590" s="98"/>
      <c r="E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row>
    <row r="591" spans="1:78">
      <c r="B591" s="95"/>
      <c r="C591" s="95"/>
      <c r="D591" s="95"/>
      <c r="E591" s="95"/>
      <c r="F591" s="95"/>
      <c r="G591" s="95"/>
      <c r="H591" s="95"/>
      <c r="I591" s="95"/>
      <c r="J591" s="95"/>
      <c r="K591" s="95"/>
      <c r="L591" s="95"/>
    </row>
    <row r="592" spans="1:78">
      <c r="B592" s="95"/>
      <c r="C592" s="95"/>
      <c r="D592" s="95"/>
      <c r="E592" s="95"/>
      <c r="F592" s="95"/>
      <c r="G592" s="95"/>
      <c r="H592" s="95"/>
      <c r="I592" s="95"/>
      <c r="J592" s="95"/>
      <c r="K592" s="95"/>
      <c r="L592" s="95"/>
    </row>
    <row r="593" spans="1:78">
      <c r="A593" s="98"/>
      <c r="B593" s="98"/>
      <c r="C593" s="98"/>
      <c r="D593" s="98"/>
      <c r="E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row>
    <row r="594" spans="1:78">
      <c r="A594" s="98"/>
      <c r="B594" s="98"/>
      <c r="C594" s="98"/>
      <c r="D594" s="98"/>
      <c r="E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row>
    <row r="595" spans="1:78">
      <c r="A595" s="98"/>
      <c r="B595" s="98"/>
      <c r="C595" s="98"/>
      <c r="D595" s="98"/>
      <c r="E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row>
    <row r="596" spans="1:78">
      <c r="B596" s="95"/>
      <c r="C596" s="95"/>
      <c r="D596" s="95"/>
      <c r="E596" s="95"/>
      <c r="F596" s="95"/>
      <c r="G596" s="95"/>
      <c r="H596" s="95"/>
      <c r="I596" s="95"/>
      <c r="J596" s="95"/>
      <c r="K596" s="95"/>
      <c r="L596" s="95"/>
    </row>
    <row r="597" spans="1:78">
      <c r="B597" s="95"/>
      <c r="C597" s="95"/>
      <c r="D597" s="95"/>
      <c r="E597" s="95"/>
      <c r="F597" s="95"/>
      <c r="G597" s="95"/>
      <c r="H597" s="95"/>
      <c r="I597" s="95"/>
      <c r="J597" s="95"/>
      <c r="K597" s="95"/>
      <c r="L597" s="95"/>
    </row>
    <row r="598" spans="1:78">
      <c r="B598" s="95"/>
      <c r="C598" s="95"/>
      <c r="D598" s="95"/>
      <c r="E598" s="95"/>
      <c r="F598" s="95"/>
      <c r="G598" s="95"/>
      <c r="H598" s="95"/>
      <c r="I598" s="95"/>
      <c r="J598" s="95"/>
      <c r="K598" s="95"/>
      <c r="L598" s="95"/>
    </row>
    <row r="599" spans="1:78">
      <c r="B599" s="95"/>
      <c r="C599" s="95"/>
      <c r="D599" s="95"/>
      <c r="E599" s="95"/>
      <c r="F599" s="95"/>
      <c r="G599" s="95"/>
      <c r="H599" s="95"/>
      <c r="I599" s="95"/>
      <c r="J599" s="95"/>
      <c r="K599" s="95"/>
      <c r="L599" s="95"/>
    </row>
    <row r="600" spans="1:78">
      <c r="B600" s="95"/>
      <c r="C600" s="95"/>
      <c r="D600" s="95"/>
      <c r="E600" s="95"/>
      <c r="F600" s="95"/>
      <c r="G600" s="95"/>
      <c r="H600" s="95"/>
      <c r="I600" s="95"/>
      <c r="J600" s="95"/>
      <c r="K600" s="95"/>
      <c r="L600" s="95"/>
    </row>
    <row r="601" spans="1:78">
      <c r="B601" s="95"/>
      <c r="C601" s="95"/>
      <c r="D601" s="95"/>
      <c r="E601" s="95"/>
      <c r="F601" s="95"/>
      <c r="G601" s="95"/>
      <c r="H601" s="95"/>
      <c r="I601" s="95"/>
      <c r="J601" s="95"/>
      <c r="K601" s="95"/>
      <c r="L601" s="95"/>
    </row>
    <row r="602" spans="1:78">
      <c r="B602" s="95"/>
      <c r="C602" s="95"/>
      <c r="D602" s="95"/>
      <c r="E602" s="95"/>
      <c r="F602" s="95"/>
      <c r="G602" s="95"/>
      <c r="H602" s="95"/>
      <c r="I602" s="95"/>
      <c r="J602" s="95"/>
      <c r="K602" s="95"/>
      <c r="L602" s="95"/>
    </row>
    <row r="603" spans="1:78">
      <c r="B603" s="95"/>
      <c r="C603" s="95"/>
      <c r="D603" s="95"/>
      <c r="E603" s="95"/>
      <c r="F603" s="95"/>
      <c r="G603" s="95"/>
      <c r="H603" s="95"/>
      <c r="I603" s="95"/>
      <c r="J603" s="95"/>
      <c r="K603" s="95"/>
      <c r="L603" s="95"/>
    </row>
    <row r="604" spans="1:78">
      <c r="B604" s="95"/>
      <c r="C604" s="95"/>
      <c r="D604" s="95"/>
      <c r="E604" s="95"/>
      <c r="F604" s="95"/>
      <c r="G604" s="95"/>
      <c r="H604" s="95"/>
      <c r="I604" s="95"/>
      <c r="J604" s="95"/>
      <c r="K604" s="95"/>
      <c r="L604" s="95"/>
    </row>
    <row r="605" spans="1:78">
      <c r="B605" s="95"/>
      <c r="C605" s="95"/>
      <c r="D605" s="95"/>
      <c r="E605" s="95"/>
      <c r="F605" s="95"/>
      <c r="G605" s="95"/>
      <c r="H605" s="95"/>
      <c r="I605" s="95"/>
      <c r="J605" s="95"/>
      <c r="K605" s="95"/>
      <c r="L605" s="95"/>
    </row>
    <row r="606" spans="1:78">
      <c r="B606" s="95"/>
      <c r="C606" s="95"/>
      <c r="D606" s="95"/>
      <c r="E606" s="95"/>
      <c r="F606" s="95"/>
      <c r="G606" s="95"/>
      <c r="H606" s="95"/>
      <c r="I606" s="95"/>
      <c r="J606" s="95"/>
      <c r="K606" s="95"/>
      <c r="L606" s="95"/>
    </row>
    <row r="607" spans="1:78">
      <c r="B607" s="95"/>
      <c r="C607" s="95"/>
      <c r="D607" s="95"/>
      <c r="E607" s="95"/>
      <c r="F607" s="95"/>
      <c r="G607" s="95"/>
      <c r="H607" s="95"/>
      <c r="I607" s="95"/>
      <c r="J607" s="95"/>
      <c r="K607" s="95"/>
      <c r="L607" s="95"/>
    </row>
    <row r="608" spans="1:78">
      <c r="B608" s="95"/>
      <c r="C608" s="95"/>
      <c r="D608" s="95"/>
      <c r="E608" s="95"/>
      <c r="F608" s="95"/>
      <c r="G608" s="95"/>
      <c r="H608" s="95"/>
      <c r="I608" s="95"/>
      <c r="J608" s="95"/>
      <c r="K608" s="95"/>
      <c r="L608" s="95"/>
    </row>
    <row r="609" spans="2:12">
      <c r="B609" s="95"/>
      <c r="C609" s="95"/>
      <c r="D609" s="95"/>
      <c r="E609" s="95"/>
      <c r="F609" s="95"/>
      <c r="G609" s="95"/>
      <c r="H609" s="95"/>
      <c r="I609" s="95"/>
      <c r="J609" s="95"/>
      <c r="K609" s="95"/>
      <c r="L609" s="95"/>
    </row>
    <row r="610" spans="2:12">
      <c r="B610" s="95"/>
      <c r="C610" s="95"/>
      <c r="D610" s="95"/>
      <c r="E610" s="95"/>
      <c r="F610" s="95"/>
      <c r="G610" s="95"/>
      <c r="H610" s="95"/>
      <c r="I610" s="95"/>
      <c r="J610" s="95"/>
      <c r="K610" s="95"/>
      <c r="L610" s="95"/>
    </row>
    <row r="611" spans="2:12">
      <c r="B611" s="95"/>
      <c r="C611" s="95"/>
      <c r="D611" s="95"/>
      <c r="E611" s="95"/>
      <c r="F611" s="95"/>
      <c r="G611" s="95"/>
      <c r="H611" s="95"/>
      <c r="I611" s="95"/>
      <c r="J611" s="95"/>
      <c r="K611" s="95"/>
      <c r="L611" s="95"/>
    </row>
    <row r="612" spans="2:12">
      <c r="B612" s="95"/>
      <c r="C612" s="95"/>
      <c r="D612" s="95"/>
      <c r="E612" s="95"/>
      <c r="F612" s="95"/>
      <c r="G612" s="95"/>
      <c r="H612" s="95"/>
      <c r="I612" s="95"/>
      <c r="J612" s="95"/>
      <c r="K612" s="95"/>
      <c r="L612" s="95"/>
    </row>
    <row r="613" spans="2:12">
      <c r="B613" s="95"/>
      <c r="C613" s="95"/>
      <c r="D613" s="95"/>
      <c r="E613" s="95"/>
      <c r="F613" s="95"/>
      <c r="G613" s="95"/>
      <c r="H613" s="95"/>
      <c r="I613" s="95"/>
      <c r="J613" s="95"/>
      <c r="K613" s="95"/>
      <c r="L613" s="95"/>
    </row>
    <row r="614" spans="2:12">
      <c r="B614" s="95"/>
      <c r="C614" s="95"/>
      <c r="D614" s="95"/>
      <c r="E614" s="95"/>
      <c r="F614" s="95"/>
      <c r="G614" s="95"/>
      <c r="H614" s="95"/>
      <c r="I614" s="95"/>
      <c r="J614" s="95"/>
      <c r="K614" s="95"/>
      <c r="L614" s="95"/>
    </row>
    <row r="615" spans="2:12">
      <c r="B615" s="95"/>
      <c r="C615" s="95"/>
      <c r="D615" s="95"/>
      <c r="E615" s="95"/>
      <c r="F615" s="95"/>
      <c r="G615" s="95"/>
      <c r="H615" s="95"/>
      <c r="I615" s="95"/>
      <c r="J615" s="95"/>
      <c r="K615" s="95"/>
      <c r="L615" s="95"/>
    </row>
    <row r="616" spans="2:12">
      <c r="B616" s="95"/>
      <c r="C616" s="95"/>
      <c r="D616" s="95"/>
      <c r="E616" s="95"/>
      <c r="F616" s="95"/>
      <c r="G616" s="95"/>
      <c r="H616" s="95"/>
      <c r="I616" s="95"/>
      <c r="J616" s="95"/>
      <c r="K616" s="95"/>
      <c r="L616" s="95"/>
    </row>
    <row r="617" spans="2:12">
      <c r="B617" s="95"/>
      <c r="C617" s="95"/>
      <c r="D617" s="95"/>
      <c r="E617" s="95"/>
      <c r="F617" s="95"/>
      <c r="G617" s="95"/>
      <c r="H617" s="95"/>
      <c r="I617" s="95"/>
      <c r="J617" s="95"/>
      <c r="K617" s="95"/>
      <c r="L617" s="95"/>
    </row>
    <row r="618" spans="2:12">
      <c r="B618" s="95"/>
      <c r="C618" s="95"/>
      <c r="D618" s="95"/>
      <c r="E618" s="95"/>
      <c r="F618" s="95"/>
      <c r="G618" s="95"/>
      <c r="H618" s="95"/>
      <c r="I618" s="95"/>
      <c r="J618" s="95"/>
      <c r="K618" s="95"/>
      <c r="L618" s="95"/>
    </row>
    <row r="619" spans="2:12">
      <c r="B619" s="95"/>
      <c r="C619" s="95"/>
      <c r="D619" s="95"/>
      <c r="E619" s="95"/>
      <c r="F619" s="95"/>
      <c r="G619" s="95"/>
      <c r="H619" s="95"/>
      <c r="I619" s="95"/>
      <c r="J619" s="95"/>
      <c r="K619" s="95"/>
      <c r="L619" s="95"/>
    </row>
    <row r="620" spans="2:12">
      <c r="B620" s="95"/>
      <c r="C620" s="95"/>
      <c r="D620" s="95"/>
      <c r="E620" s="95"/>
      <c r="F620" s="95"/>
      <c r="G620" s="95"/>
      <c r="H620" s="95"/>
      <c r="I620" s="95"/>
      <c r="J620" s="95"/>
      <c r="K620" s="95"/>
      <c r="L620" s="95"/>
    </row>
    <row r="621" spans="2:12">
      <c r="B621" s="95"/>
      <c r="C621" s="95"/>
      <c r="D621" s="95"/>
      <c r="E621" s="95"/>
      <c r="F621" s="95"/>
      <c r="G621" s="95"/>
      <c r="H621" s="95"/>
      <c r="I621" s="95"/>
      <c r="J621" s="95"/>
      <c r="K621" s="95"/>
      <c r="L621" s="95"/>
    </row>
    <row r="622" spans="2:12">
      <c r="B622" s="95"/>
      <c r="C622" s="95"/>
      <c r="D622" s="95"/>
      <c r="E622" s="95"/>
      <c r="F622" s="95"/>
      <c r="G622" s="95"/>
      <c r="H622" s="95"/>
      <c r="I622" s="95"/>
      <c r="J622" s="95"/>
      <c r="K622" s="95"/>
      <c r="L622" s="95"/>
    </row>
    <row r="623" spans="2:12">
      <c r="B623" s="95"/>
      <c r="C623" s="95"/>
      <c r="D623" s="95"/>
      <c r="E623" s="95"/>
      <c r="F623" s="95"/>
      <c r="G623" s="95"/>
      <c r="H623" s="95"/>
      <c r="I623" s="95"/>
      <c r="J623" s="95"/>
      <c r="K623" s="95"/>
      <c r="L623" s="95"/>
    </row>
    <row r="624" spans="2:12">
      <c r="B624" s="95"/>
      <c r="C624" s="95"/>
      <c r="D624" s="95"/>
      <c r="E624" s="95"/>
      <c r="F624" s="95"/>
      <c r="G624" s="95"/>
      <c r="H624" s="95"/>
      <c r="I624" s="95"/>
      <c r="J624" s="95"/>
      <c r="K624" s="95"/>
      <c r="L624" s="95"/>
    </row>
    <row r="625" spans="1:78">
      <c r="B625" s="95"/>
      <c r="C625" s="95"/>
      <c r="D625" s="95"/>
      <c r="E625" s="95"/>
      <c r="F625" s="95"/>
      <c r="G625" s="95"/>
      <c r="H625" s="95"/>
      <c r="I625" s="95"/>
      <c r="J625" s="95"/>
      <c r="K625" s="95"/>
      <c r="L625" s="95"/>
    </row>
    <row r="626" spans="1:78">
      <c r="B626" s="95"/>
      <c r="C626" s="95"/>
      <c r="D626" s="95"/>
      <c r="E626" s="95"/>
      <c r="F626" s="95"/>
      <c r="G626" s="95"/>
      <c r="H626" s="95"/>
      <c r="I626" s="95"/>
      <c r="J626" s="95"/>
      <c r="K626" s="95"/>
      <c r="L626" s="95"/>
    </row>
    <row r="627" spans="1:78">
      <c r="B627" s="95"/>
      <c r="C627" s="95"/>
      <c r="D627" s="95"/>
      <c r="E627" s="95"/>
      <c r="F627" s="95"/>
      <c r="G627" s="95"/>
      <c r="H627" s="95"/>
      <c r="I627" s="95"/>
      <c r="J627" s="95"/>
      <c r="K627" s="95"/>
      <c r="L627" s="95"/>
    </row>
    <row r="628" spans="1:78">
      <c r="A628" s="98"/>
      <c r="B628" s="98"/>
      <c r="C628" s="98"/>
      <c r="D628" s="98"/>
      <c r="E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row>
    <row r="629" spans="1:78">
      <c r="A629" s="98"/>
      <c r="B629" s="98"/>
      <c r="C629" s="98"/>
      <c r="D629" s="98"/>
      <c r="E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row>
    <row r="630" spans="1:78">
      <c r="A630" s="98"/>
      <c r="B630" s="98"/>
      <c r="C630" s="98"/>
      <c r="D630" s="98"/>
      <c r="E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row>
    <row r="631" spans="1:78">
      <c r="A631" s="98"/>
      <c r="B631" s="98"/>
      <c r="C631" s="98"/>
      <c r="D631" s="98"/>
      <c r="E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row>
    <row r="632" spans="1:78">
      <c r="A632" s="98"/>
      <c r="B632" s="98"/>
      <c r="C632" s="98"/>
      <c r="D632" s="98"/>
      <c r="E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row>
    <row r="633" spans="1:78">
      <c r="A633" s="98"/>
      <c r="B633" s="98"/>
      <c r="C633" s="98"/>
      <c r="D633" s="98"/>
      <c r="E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row>
    <row r="634" spans="1:78">
      <c r="A634" s="98"/>
      <c r="B634" s="98"/>
      <c r="C634" s="98"/>
      <c r="D634" s="98"/>
      <c r="E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row>
    <row r="635" spans="1:78">
      <c r="B635" s="95"/>
      <c r="C635" s="95"/>
      <c r="D635" s="95"/>
      <c r="E635" s="95"/>
      <c r="F635" s="95"/>
      <c r="G635" s="95"/>
      <c r="H635" s="95"/>
      <c r="I635" s="95"/>
      <c r="J635" s="95"/>
      <c r="K635" s="95"/>
      <c r="L635" s="95"/>
    </row>
    <row r="636" spans="1:78">
      <c r="A636" s="98"/>
      <c r="B636" s="98"/>
      <c r="C636" s="98"/>
      <c r="D636" s="98"/>
      <c r="E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row>
    <row r="637" spans="1:78">
      <c r="B637" s="95"/>
      <c r="C637" s="95"/>
      <c r="D637" s="95"/>
      <c r="E637" s="95"/>
      <c r="F637" s="95"/>
      <c r="G637" s="95"/>
      <c r="H637" s="95"/>
      <c r="I637" s="95"/>
      <c r="J637" s="95"/>
      <c r="K637" s="95"/>
      <c r="L637" s="95"/>
    </row>
    <row r="638" spans="1:78">
      <c r="B638" s="95"/>
      <c r="C638" s="95"/>
      <c r="D638" s="95"/>
      <c r="E638" s="95"/>
      <c r="F638" s="95"/>
      <c r="G638" s="95"/>
      <c r="H638" s="95"/>
      <c r="I638" s="95"/>
      <c r="J638" s="95"/>
      <c r="K638" s="95"/>
      <c r="L638" s="95"/>
    </row>
    <row r="639" spans="1:78">
      <c r="B639" s="95"/>
      <c r="C639" s="95"/>
      <c r="D639" s="95"/>
      <c r="E639" s="95"/>
      <c r="F639" s="95"/>
      <c r="G639" s="95"/>
      <c r="H639" s="95"/>
      <c r="I639" s="95"/>
      <c r="J639" s="95"/>
      <c r="K639" s="95"/>
      <c r="L639" s="95"/>
    </row>
    <row r="640" spans="1:78">
      <c r="B640" s="95"/>
      <c r="C640" s="95"/>
      <c r="D640" s="95"/>
      <c r="E640" s="95"/>
      <c r="F640" s="95"/>
      <c r="G640" s="95"/>
      <c r="H640" s="95"/>
      <c r="I640" s="95"/>
      <c r="J640" s="95"/>
      <c r="K640" s="95"/>
      <c r="L640" s="95"/>
    </row>
    <row r="641" spans="2:12">
      <c r="B641" s="95"/>
      <c r="C641" s="95"/>
      <c r="D641" s="95"/>
      <c r="E641" s="95"/>
      <c r="F641" s="95"/>
      <c r="G641" s="95"/>
      <c r="H641" s="95"/>
      <c r="I641" s="95"/>
      <c r="J641" s="95"/>
      <c r="K641" s="95"/>
      <c r="L641" s="95"/>
    </row>
    <row r="642" spans="2:12">
      <c r="B642" s="95"/>
      <c r="C642" s="95"/>
      <c r="D642" s="95"/>
      <c r="E642" s="95"/>
      <c r="F642" s="95"/>
      <c r="G642" s="95"/>
      <c r="H642" s="95"/>
      <c r="I642" s="95"/>
      <c r="J642" s="95"/>
      <c r="K642" s="95"/>
      <c r="L642" s="95"/>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6"/>
  <dimension ref="A1:K25"/>
  <sheetViews>
    <sheetView workbookViewId="0"/>
  </sheetViews>
  <sheetFormatPr baseColWidth="10" defaultRowHeight="14.5"/>
  <sheetData>
    <row r="1" spans="1:11" ht="21">
      <c r="A1" s="179"/>
      <c r="B1" s="179"/>
      <c r="C1" s="179"/>
      <c r="D1" s="179"/>
      <c r="E1" s="180" t="s">
        <v>219</v>
      </c>
      <c r="F1" s="179"/>
      <c r="G1" s="179"/>
      <c r="H1" s="179"/>
      <c r="I1" s="179"/>
      <c r="J1" s="179"/>
      <c r="K1" s="179"/>
    </row>
    <row r="3" spans="1:11" ht="43.5">
      <c r="B3" s="174" t="s">
        <v>42</v>
      </c>
      <c r="C3" s="174" t="s">
        <v>52</v>
      </c>
      <c r="D3" s="174" t="s">
        <v>53</v>
      </c>
      <c r="E3" s="174" t="s">
        <v>32</v>
      </c>
      <c r="F3" s="174" t="s">
        <v>20</v>
      </c>
      <c r="G3" s="174" t="s">
        <v>55</v>
      </c>
      <c r="H3" s="174" t="s">
        <v>56</v>
      </c>
      <c r="I3" s="174" t="s">
        <v>57</v>
      </c>
      <c r="J3" s="174" t="s">
        <v>58</v>
      </c>
      <c r="K3" s="174" t="s">
        <v>10</v>
      </c>
    </row>
    <row r="4" spans="1:11">
      <c r="B4" s="181"/>
      <c r="C4" s="181"/>
      <c r="D4" s="181"/>
      <c r="E4" s="181"/>
      <c r="F4" s="181"/>
      <c r="G4" s="181"/>
      <c r="H4" s="181"/>
      <c r="I4" s="181"/>
      <c r="J4" s="181"/>
      <c r="K4" s="181"/>
    </row>
    <row r="5" spans="1:11">
      <c r="A5" s="182" t="s">
        <v>220</v>
      </c>
    </row>
    <row r="6" spans="1:11" ht="15.5">
      <c r="A6" s="178" t="s">
        <v>78</v>
      </c>
      <c r="B6" s="183">
        <v>1.3884902020173964</v>
      </c>
      <c r="C6" s="177"/>
      <c r="D6" s="177">
        <v>3.3110847535138079</v>
      </c>
      <c r="E6" s="177">
        <v>10.494994051790096</v>
      </c>
      <c r="F6" s="177"/>
      <c r="G6" s="177"/>
      <c r="H6" s="177">
        <v>1.8351247425062329</v>
      </c>
      <c r="I6" s="177">
        <v>9.9556529577361133</v>
      </c>
      <c r="J6" s="177">
        <v>1.8103380194101062</v>
      </c>
      <c r="K6" s="177">
        <v>28.795684726973754</v>
      </c>
    </row>
    <row r="7" spans="1:11" ht="15.5">
      <c r="A7" s="178" t="s">
        <v>79</v>
      </c>
      <c r="B7" s="177"/>
      <c r="C7" s="177"/>
      <c r="D7" s="183">
        <v>38.361881676283886</v>
      </c>
      <c r="E7" s="177">
        <v>8.4067737661287986E-2</v>
      </c>
      <c r="F7" s="177"/>
      <c r="G7" s="177"/>
      <c r="H7" s="177">
        <v>2.8949414869669079</v>
      </c>
      <c r="I7" s="177">
        <v>0.89186890806551777</v>
      </c>
      <c r="J7" s="177"/>
      <c r="K7" s="177">
        <v>42.232759808977598</v>
      </c>
    </row>
    <row r="8" spans="1:11">
      <c r="A8" s="175" t="s">
        <v>80</v>
      </c>
      <c r="B8" s="177">
        <v>0</v>
      </c>
      <c r="C8" s="177"/>
      <c r="D8" s="177">
        <v>6.7005679295957643</v>
      </c>
      <c r="E8" s="177">
        <v>14.533749468475101</v>
      </c>
      <c r="F8" s="177"/>
      <c r="G8" s="177"/>
      <c r="H8" s="183">
        <v>4.6160129151116731</v>
      </c>
      <c r="I8" s="177">
        <v>13.873471120627759</v>
      </c>
      <c r="J8" s="177">
        <v>1.3253610960698863</v>
      </c>
      <c r="K8" s="177">
        <v>41.049162529880178</v>
      </c>
    </row>
    <row r="9" spans="1:11">
      <c r="A9" s="175" t="s">
        <v>81</v>
      </c>
      <c r="B9" s="177">
        <v>6.1426658136617469E-2</v>
      </c>
      <c r="C9" s="177"/>
      <c r="D9" s="177">
        <v>2.294081628046909</v>
      </c>
      <c r="E9" s="177">
        <v>5.9093799275223491</v>
      </c>
      <c r="F9" s="177"/>
      <c r="G9" s="177"/>
      <c r="H9" s="183">
        <v>1.2236531460535565</v>
      </c>
      <c r="I9" s="177">
        <v>11.937063274925904</v>
      </c>
      <c r="J9" s="177">
        <v>0.53425976252893026</v>
      </c>
      <c r="K9" s="177">
        <v>21.959864397214265</v>
      </c>
    </row>
    <row r="10" spans="1:11">
      <c r="A10" s="175" t="s">
        <v>82</v>
      </c>
      <c r="B10" s="177"/>
      <c r="C10" s="177"/>
      <c r="D10" s="177">
        <v>3.371</v>
      </c>
      <c r="E10" s="177">
        <v>0.20038837309893262</v>
      </c>
      <c r="F10" s="177"/>
      <c r="G10" s="177"/>
      <c r="H10" s="177">
        <v>0.15947740517817902</v>
      </c>
      <c r="I10" s="177">
        <v>0.74651762682717115</v>
      </c>
      <c r="J10" s="177"/>
      <c r="K10" s="177">
        <v>4.4773834051042822</v>
      </c>
    </row>
    <row r="11" spans="1:11" ht="15.5">
      <c r="A11" s="176" t="s">
        <v>83</v>
      </c>
      <c r="B11" s="184">
        <v>1.4499168601540138</v>
      </c>
      <c r="C11" s="184"/>
      <c r="D11" s="184">
        <v>54.038615987440373</v>
      </c>
      <c r="E11" s="184">
        <v>31.222579558547764</v>
      </c>
      <c r="F11" s="184"/>
      <c r="G11" s="184"/>
      <c r="H11" s="184">
        <v>10.72920969581655</v>
      </c>
      <c r="I11" s="184">
        <v>37.404573888182469</v>
      </c>
      <c r="J11" s="184"/>
      <c r="K11" s="184">
        <v>134.84489599014117</v>
      </c>
    </row>
    <row r="12" spans="1:11">
      <c r="A12" s="175" t="s">
        <v>84</v>
      </c>
      <c r="B12" s="177">
        <v>0.30481003053267108</v>
      </c>
      <c r="C12" s="177"/>
      <c r="D12" s="177">
        <v>12.44809233451895</v>
      </c>
      <c r="E12" s="177">
        <v>1.1015358194081886</v>
      </c>
      <c r="F12" s="177"/>
      <c r="G12" s="177"/>
      <c r="H12" s="177"/>
      <c r="I12" s="177"/>
      <c r="J12" s="177"/>
      <c r="K12" s="177">
        <v>13.854438184459809</v>
      </c>
    </row>
    <row r="13" spans="1:11" ht="15.5">
      <c r="A13" s="176" t="s">
        <v>85</v>
      </c>
      <c r="B13" s="184"/>
      <c r="C13" s="184"/>
      <c r="D13" s="184"/>
      <c r="E13" s="184"/>
      <c r="F13" s="184"/>
      <c r="G13" s="184"/>
      <c r="H13" s="184"/>
      <c r="I13" s="184"/>
      <c r="J13" s="184"/>
      <c r="K13" s="184"/>
    </row>
    <row r="15" spans="1:11" ht="21">
      <c r="A15" s="179"/>
      <c r="B15" s="179"/>
      <c r="C15" s="179"/>
      <c r="D15" s="179"/>
      <c r="E15" s="180" t="s">
        <v>221</v>
      </c>
      <c r="F15" s="179"/>
      <c r="G15" s="179"/>
      <c r="H15" s="179"/>
      <c r="I15" s="179"/>
      <c r="J15" s="179"/>
      <c r="K15" s="179"/>
    </row>
    <row r="17" spans="1:11">
      <c r="A17" s="182" t="s">
        <v>220</v>
      </c>
    </row>
    <row r="18" spans="1:11" ht="15.5">
      <c r="A18" s="178" t="s">
        <v>78</v>
      </c>
      <c r="B18" s="177">
        <v>-0.33918093707456642</v>
      </c>
      <c r="C18" s="177"/>
      <c r="D18" s="177">
        <v>-0.95447529303598744</v>
      </c>
      <c r="E18" s="177">
        <v>-0.29115755854525993</v>
      </c>
      <c r="F18" s="177"/>
      <c r="G18" s="177"/>
      <c r="H18" s="177">
        <v>-0.46957109771785044</v>
      </c>
      <c r="I18" s="177">
        <v>0.11389920249186147</v>
      </c>
      <c r="J18" s="177">
        <v>-0.66880329575923958</v>
      </c>
      <c r="K18" s="177">
        <v>-2.87286801490065</v>
      </c>
    </row>
    <row r="19" spans="1:11" ht="15.5">
      <c r="A19" s="178" t="s">
        <v>79</v>
      </c>
      <c r="B19" s="177">
        <v>0</v>
      </c>
      <c r="C19" s="177"/>
      <c r="D19" s="185">
        <v>1.445118323716116</v>
      </c>
      <c r="E19" s="177">
        <v>-1.7852311566213724E-2</v>
      </c>
      <c r="F19" s="177"/>
      <c r="G19" s="177"/>
      <c r="H19" s="177">
        <v>5.3213934834945409E-2</v>
      </c>
      <c r="I19" s="177">
        <v>5.2843043783149524E-2</v>
      </c>
      <c r="J19" s="177">
        <v>0</v>
      </c>
      <c r="K19" s="177">
        <v>1.5333229907679993</v>
      </c>
    </row>
    <row r="20" spans="1:11">
      <c r="A20" s="175" t="s">
        <v>80</v>
      </c>
      <c r="B20" s="177">
        <v>3.6764196608413298E-2</v>
      </c>
      <c r="C20" s="177"/>
      <c r="D20" s="177">
        <v>-2.527251854115331E-2</v>
      </c>
      <c r="E20" s="177">
        <v>-2.7512058961250272</v>
      </c>
      <c r="F20" s="177"/>
      <c r="G20" s="177"/>
      <c r="H20" s="177">
        <v>4.2224628558600852</v>
      </c>
      <c r="I20" s="177">
        <v>-0.25310406248511974</v>
      </c>
      <c r="J20" s="177">
        <v>-0.11351673306802224</v>
      </c>
      <c r="K20" s="177">
        <v>-1.3152724484181135</v>
      </c>
    </row>
    <row r="21" spans="1:11">
      <c r="A21" s="175" t="s">
        <v>81</v>
      </c>
      <c r="B21" s="177">
        <v>-1.835326584075557E-2</v>
      </c>
      <c r="C21" s="177"/>
      <c r="D21" s="177">
        <v>0.72138401659326323</v>
      </c>
      <c r="E21" s="177">
        <v>1.2293964017069836</v>
      </c>
      <c r="F21" s="177"/>
      <c r="G21" s="177"/>
      <c r="H21" s="177">
        <v>-0.32707070573243202</v>
      </c>
      <c r="I21" s="177">
        <v>0.76430220157386941</v>
      </c>
      <c r="J21" s="177">
        <v>0.17649371251075074</v>
      </c>
      <c r="K21" s="177">
        <v>1.6888670650480151</v>
      </c>
    </row>
    <row r="22" spans="1:11">
      <c r="A22" s="175" t="s">
        <v>82</v>
      </c>
      <c r="B22" s="177">
        <v>2.2137192704974398E-3</v>
      </c>
      <c r="C22" s="177"/>
      <c r="D22" s="177">
        <v>0</v>
      </c>
      <c r="E22" s="177">
        <v>0</v>
      </c>
      <c r="F22" s="177"/>
      <c r="G22" s="177"/>
      <c r="H22" s="177">
        <v>0</v>
      </c>
      <c r="I22" s="177">
        <v>0</v>
      </c>
      <c r="J22" s="177">
        <v>6.4536710533781346E-3</v>
      </c>
      <c r="K22" s="177">
        <v>8.6673903238754235E-3</v>
      </c>
    </row>
    <row r="23" spans="1:11" ht="15.5">
      <c r="A23" s="176" t="s">
        <v>83</v>
      </c>
      <c r="B23" s="184">
        <v>-0.31855628703641115</v>
      </c>
      <c r="C23" s="184"/>
      <c r="D23" s="184">
        <v>1.1867545287322372</v>
      </c>
      <c r="E23" s="184">
        <v>-1.8308193645295177</v>
      </c>
      <c r="F23" s="184"/>
      <c r="G23" s="184"/>
      <c r="H23" s="184">
        <v>3.4790349872447468</v>
      </c>
      <c r="I23" s="184">
        <v>0.67786761383800354</v>
      </c>
      <c r="J23" s="184">
        <v>3.0705862327457898</v>
      </c>
      <c r="K23" s="184">
        <v>2.7126758608300463</v>
      </c>
    </row>
    <row r="24" spans="1:11">
      <c r="A24" s="175" t="s">
        <v>84</v>
      </c>
      <c r="B24" s="177">
        <v>1.9410438238792738E-4</v>
      </c>
      <c r="C24" s="177"/>
      <c r="D24" s="177">
        <v>4.9076654810491505E-3</v>
      </c>
      <c r="E24" s="177">
        <v>5.0421916540477341E-5</v>
      </c>
      <c r="F24" s="177"/>
      <c r="G24" s="177"/>
      <c r="H24" s="177">
        <v>0</v>
      </c>
      <c r="I24" s="177">
        <v>0</v>
      </c>
      <c r="J24" s="177">
        <v>0</v>
      </c>
      <c r="K24" s="177">
        <v>5.1521917799774997E-3</v>
      </c>
    </row>
    <row r="25" spans="1:11" ht="15.5">
      <c r="A25" s="176" t="s">
        <v>85</v>
      </c>
      <c r="B25" s="184">
        <v>1.4363647080326616</v>
      </c>
      <c r="C25" s="184"/>
      <c r="D25" s="184">
        <v>67.678370516172606</v>
      </c>
      <c r="E25" s="184">
        <v>30.493346435342975</v>
      </c>
      <c r="F25" s="184"/>
      <c r="G25" s="184"/>
      <c r="H25" s="184">
        <v>14.208244683061297</v>
      </c>
      <c r="I25" s="184">
        <v>38.082441502020473</v>
      </c>
      <c r="J25" s="184">
        <v>3.0705862327457898</v>
      </c>
      <c r="K25" s="184">
        <v>151.41716222721098</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7"/>
  <dimension ref="A1:L75"/>
  <sheetViews>
    <sheetView workbookViewId="0"/>
  </sheetViews>
  <sheetFormatPr baseColWidth="10" defaultRowHeight="14.5"/>
  <sheetData>
    <row r="1" spans="1:12">
      <c r="A1">
        <v>2015</v>
      </c>
    </row>
    <row r="2" spans="1:12">
      <c r="A2" t="s">
        <v>128</v>
      </c>
      <c r="B2" t="s">
        <v>57</v>
      </c>
      <c r="C2" t="s">
        <v>207</v>
      </c>
      <c r="D2" t="s">
        <v>105</v>
      </c>
      <c r="E2" t="s">
        <v>42</v>
      </c>
      <c r="F2" t="s">
        <v>134</v>
      </c>
      <c r="G2" t="s">
        <v>54</v>
      </c>
      <c r="H2" t="s">
        <v>208</v>
      </c>
      <c r="I2" t="s">
        <v>209</v>
      </c>
      <c r="J2" t="s">
        <v>210</v>
      </c>
      <c r="K2" t="s">
        <v>211</v>
      </c>
      <c r="L2" t="s">
        <v>10</v>
      </c>
    </row>
    <row r="3" spans="1:12">
      <c r="A3" t="s">
        <v>138</v>
      </c>
      <c r="B3">
        <v>12.5519328150197</v>
      </c>
      <c r="C3">
        <v>5.2870368800138001</v>
      </c>
      <c r="D3">
        <v>6.0440913051639003</v>
      </c>
      <c r="F3">
        <v>3.9201473744425601</v>
      </c>
      <c r="G3">
        <v>55.1774071232783</v>
      </c>
      <c r="H3">
        <v>21.106295900439498</v>
      </c>
      <c r="I3">
        <v>0.98003684361064003</v>
      </c>
      <c r="J3">
        <v>7.8304431965415997</v>
      </c>
      <c r="K3">
        <v>105.06694824196801</v>
      </c>
      <c r="L3">
        <v>112.89739143851</v>
      </c>
    </row>
    <row r="4" spans="1:12">
      <c r="A4" t="s">
        <v>212</v>
      </c>
      <c r="B4">
        <v>6.9037124632711402</v>
      </c>
      <c r="C4">
        <v>1.0774580144989601</v>
      </c>
      <c r="D4">
        <v>1.2370323236909</v>
      </c>
      <c r="E4">
        <v>1.03281341623395</v>
      </c>
      <c r="F4">
        <v>0</v>
      </c>
      <c r="G4">
        <v>8.0421226086564008</v>
      </c>
      <c r="H4">
        <v>2.3840661307587001</v>
      </c>
      <c r="I4">
        <v>1.03281341623395</v>
      </c>
      <c r="J4">
        <v>1.61618702174845</v>
      </c>
      <c r="K4">
        <v>21.710018373343999</v>
      </c>
      <c r="L4">
        <v>23.326205395092401</v>
      </c>
    </row>
    <row r="5" spans="1:12">
      <c r="A5" t="s">
        <v>140</v>
      </c>
      <c r="B5">
        <v>8.9358473663910996</v>
      </c>
      <c r="C5">
        <v>0</v>
      </c>
      <c r="D5">
        <v>0</v>
      </c>
      <c r="E5">
        <v>0</v>
      </c>
      <c r="F5">
        <v>0</v>
      </c>
      <c r="G5">
        <v>4.1110437237771</v>
      </c>
      <c r="H5">
        <v>1.4519374850925</v>
      </c>
      <c r="I5">
        <v>0</v>
      </c>
      <c r="J5">
        <v>0</v>
      </c>
      <c r="K5">
        <v>14.498828575260699</v>
      </c>
      <c r="L5">
        <v>14.498828575260699</v>
      </c>
    </row>
    <row r="6" spans="1:12">
      <c r="A6" t="s">
        <v>141</v>
      </c>
      <c r="B6">
        <v>24.9401523606955</v>
      </c>
      <c r="C6">
        <v>0</v>
      </c>
      <c r="D6">
        <v>0</v>
      </c>
      <c r="E6">
        <v>0</v>
      </c>
      <c r="F6">
        <v>0</v>
      </c>
      <c r="G6">
        <v>0</v>
      </c>
      <c r="H6">
        <v>0</v>
      </c>
      <c r="I6">
        <v>0</v>
      </c>
      <c r="J6">
        <v>0</v>
      </c>
      <c r="K6">
        <v>24.9401523606955</v>
      </c>
      <c r="L6">
        <v>24.9401523606955</v>
      </c>
    </row>
    <row r="7" spans="1:12">
      <c r="A7" t="s">
        <v>213</v>
      </c>
      <c r="B7">
        <v>43.880450716373602</v>
      </c>
      <c r="C7">
        <v>0</v>
      </c>
      <c r="D7">
        <v>0</v>
      </c>
      <c r="E7">
        <v>0</v>
      </c>
      <c r="F7">
        <v>0</v>
      </c>
      <c r="G7">
        <v>0</v>
      </c>
      <c r="H7">
        <v>0</v>
      </c>
      <c r="I7">
        <v>0</v>
      </c>
      <c r="J7">
        <v>0</v>
      </c>
      <c r="K7">
        <v>43.880450716373602</v>
      </c>
      <c r="L7">
        <v>43.880450716373602</v>
      </c>
    </row>
    <row r="8" spans="1:12">
      <c r="A8" t="s">
        <v>143</v>
      </c>
      <c r="C8">
        <v>5.9124410470313</v>
      </c>
      <c r="D8">
        <v>0</v>
      </c>
      <c r="E8">
        <v>0</v>
      </c>
      <c r="F8">
        <v>0</v>
      </c>
      <c r="G8">
        <v>0</v>
      </c>
      <c r="H8">
        <v>0</v>
      </c>
      <c r="I8">
        <v>0</v>
      </c>
      <c r="J8">
        <v>11.943759318006499</v>
      </c>
      <c r="K8">
        <v>5.9124410470313</v>
      </c>
      <c r="L8">
        <v>17.8562003650378</v>
      </c>
    </row>
    <row r="9" spans="1:12">
      <c r="A9" t="s">
        <v>214</v>
      </c>
      <c r="B9">
        <v>0</v>
      </c>
      <c r="C9">
        <v>0</v>
      </c>
      <c r="D9">
        <v>0</v>
      </c>
      <c r="E9">
        <v>1.2866889215937001</v>
      </c>
      <c r="F9">
        <v>0</v>
      </c>
      <c r="G9">
        <v>2.5572921097845001</v>
      </c>
      <c r="H9">
        <v>0</v>
      </c>
      <c r="I9">
        <v>0</v>
      </c>
      <c r="J9">
        <v>0</v>
      </c>
      <c r="K9">
        <v>3.8439810313781999</v>
      </c>
      <c r="L9">
        <v>3.8439810313781999</v>
      </c>
    </row>
    <row r="10" spans="1:12">
      <c r="A10" t="s">
        <v>215</v>
      </c>
      <c r="B10">
        <v>97.212095721750998</v>
      </c>
      <c r="C10">
        <v>12.2769359415441</v>
      </c>
      <c r="D10">
        <v>7.2811236288548002</v>
      </c>
      <c r="E10">
        <v>2.3195023378276498</v>
      </c>
      <c r="F10">
        <v>3.9201473744425601</v>
      </c>
      <c r="G10">
        <v>69.887865565496298</v>
      </c>
      <c r="H10">
        <v>24.942299516290699</v>
      </c>
      <c r="I10">
        <v>2.0128502598445901</v>
      </c>
      <c r="J10">
        <v>21.390389536296599</v>
      </c>
      <c r="K10">
        <v>219.852820346052</v>
      </c>
      <c r="L10">
        <v>241.243209882348</v>
      </c>
    </row>
    <row r="11" spans="1:12">
      <c r="A11" t="s">
        <v>216</v>
      </c>
      <c r="B11">
        <v>27.679951884962101</v>
      </c>
      <c r="C11">
        <v>0</v>
      </c>
      <c r="D11">
        <v>0</v>
      </c>
      <c r="E11">
        <v>0</v>
      </c>
      <c r="F11">
        <v>0</v>
      </c>
      <c r="G11">
        <v>0</v>
      </c>
      <c r="H11">
        <v>0</v>
      </c>
      <c r="I11">
        <v>0</v>
      </c>
      <c r="J11">
        <v>0</v>
      </c>
      <c r="K11">
        <v>27.679951884962101</v>
      </c>
      <c r="L11">
        <v>27.679951884962101</v>
      </c>
    </row>
    <row r="12" spans="1:12">
      <c r="A12" t="s">
        <v>10</v>
      </c>
      <c r="B12">
        <v>124.89204760671301</v>
      </c>
      <c r="C12">
        <v>12.2769359415441</v>
      </c>
      <c r="D12">
        <v>7.2811236288548002</v>
      </c>
      <c r="E12">
        <v>2.3195023378276498</v>
      </c>
      <c r="F12">
        <v>3.9201473744425601</v>
      </c>
      <c r="G12">
        <v>69.887865565496298</v>
      </c>
      <c r="H12">
        <v>24.942299516290699</v>
      </c>
      <c r="I12">
        <v>2.0128502598445901</v>
      </c>
      <c r="J12">
        <v>21.390389536296599</v>
      </c>
      <c r="K12">
        <v>247.53277223101401</v>
      </c>
      <c r="L12">
        <v>268.92316176730998</v>
      </c>
    </row>
    <row r="13" spans="1:12">
      <c r="A13" t="s">
        <v>217</v>
      </c>
    </row>
    <row r="14" spans="1:12">
      <c r="A14" t="s">
        <v>218</v>
      </c>
    </row>
    <row r="17" spans="1:12">
      <c r="A17">
        <v>2020</v>
      </c>
    </row>
    <row r="18" spans="1:12">
      <c r="A18" t="s">
        <v>128</v>
      </c>
      <c r="B18" t="s">
        <v>57</v>
      </c>
      <c r="C18" t="s">
        <v>207</v>
      </c>
      <c r="D18" t="s">
        <v>105</v>
      </c>
      <c r="E18" t="s">
        <v>42</v>
      </c>
      <c r="F18" t="s">
        <v>134</v>
      </c>
      <c r="G18" t="s">
        <v>54</v>
      </c>
      <c r="H18" t="s">
        <v>208</v>
      </c>
      <c r="I18" t="s">
        <v>209</v>
      </c>
      <c r="J18" t="s">
        <v>210</v>
      </c>
      <c r="K18" t="s">
        <v>211</v>
      </c>
      <c r="L18" t="s">
        <v>10</v>
      </c>
    </row>
    <row r="19" spans="1:12">
      <c r="A19" t="s">
        <v>138</v>
      </c>
      <c r="B19">
        <v>10.3742757878855</v>
      </c>
      <c r="C19">
        <v>6.1002330193981003</v>
      </c>
      <c r="D19">
        <v>4.8012381348690996</v>
      </c>
      <c r="F19">
        <v>4.7207015465331201</v>
      </c>
      <c r="G19">
        <v>48.617576303646601</v>
      </c>
      <c r="H19">
        <v>14.4330293124561</v>
      </c>
      <c r="I19">
        <v>1.18017538663328</v>
      </c>
      <c r="J19">
        <v>9.1571461976879007</v>
      </c>
      <c r="K19">
        <v>90.227229491421795</v>
      </c>
      <c r="L19">
        <v>99.384375689109703</v>
      </c>
    </row>
    <row r="20" spans="1:12">
      <c r="A20" t="s">
        <v>212</v>
      </c>
      <c r="B20">
        <v>6.7699876877453198</v>
      </c>
      <c r="C20">
        <v>2.1378908487616801</v>
      </c>
      <c r="D20">
        <v>1.2322317177116</v>
      </c>
      <c r="E20">
        <v>0.89967193568838</v>
      </c>
      <c r="F20">
        <v>0</v>
      </c>
      <c r="G20">
        <v>6.2169602451413999</v>
      </c>
      <c r="H20">
        <v>1.2070758173613001</v>
      </c>
      <c r="I20">
        <v>2.0992345166062201</v>
      </c>
      <c r="J20">
        <v>3.2068362731425202</v>
      </c>
      <c r="K20">
        <v>20.563052769015901</v>
      </c>
      <c r="L20">
        <v>23.7698890421584</v>
      </c>
    </row>
    <row r="21" spans="1:12">
      <c r="A21" t="s">
        <v>140</v>
      </c>
      <c r="B21">
        <v>10.5272361865745</v>
      </c>
      <c r="C21">
        <v>0</v>
      </c>
      <c r="D21">
        <v>0</v>
      </c>
      <c r="E21">
        <v>0</v>
      </c>
      <c r="F21">
        <v>0</v>
      </c>
      <c r="G21">
        <v>3.609606004083</v>
      </c>
      <c r="H21">
        <v>1.1084107534645</v>
      </c>
      <c r="I21">
        <v>0</v>
      </c>
      <c r="K21">
        <v>15.245252944122001</v>
      </c>
      <c r="L21">
        <v>15.245252944122001</v>
      </c>
    </row>
    <row r="22" spans="1:12">
      <c r="A22" t="s">
        <v>141</v>
      </c>
      <c r="B22">
        <v>23.389235120450699</v>
      </c>
      <c r="C22">
        <v>0</v>
      </c>
      <c r="D22">
        <v>0</v>
      </c>
      <c r="E22">
        <v>0</v>
      </c>
      <c r="F22">
        <v>0</v>
      </c>
      <c r="G22">
        <v>0</v>
      </c>
      <c r="H22">
        <v>0</v>
      </c>
      <c r="I22">
        <v>0</v>
      </c>
      <c r="K22">
        <v>23.389235120450699</v>
      </c>
      <c r="L22">
        <v>23.389235120450699</v>
      </c>
    </row>
    <row r="23" spans="1:12">
      <c r="A23" t="s">
        <v>213</v>
      </c>
      <c r="B23">
        <v>46.6814996815285</v>
      </c>
      <c r="C23">
        <v>0</v>
      </c>
      <c r="D23">
        <v>0</v>
      </c>
      <c r="E23">
        <v>0</v>
      </c>
      <c r="F23">
        <v>0</v>
      </c>
      <c r="G23">
        <v>0</v>
      </c>
      <c r="H23">
        <v>0</v>
      </c>
      <c r="I23">
        <v>0</v>
      </c>
      <c r="K23">
        <v>46.6814996815285</v>
      </c>
      <c r="L23">
        <v>46.6814996815285</v>
      </c>
    </row>
    <row r="24" spans="1:12">
      <c r="A24" t="s">
        <v>143</v>
      </c>
      <c r="C24">
        <v>6.1479590102429</v>
      </c>
      <c r="D24">
        <v>0</v>
      </c>
      <c r="E24">
        <v>0</v>
      </c>
      <c r="F24">
        <v>0</v>
      </c>
      <c r="G24">
        <v>0</v>
      </c>
      <c r="H24">
        <v>0</v>
      </c>
      <c r="I24">
        <v>0</v>
      </c>
      <c r="J24">
        <v>15.215325420320401</v>
      </c>
      <c r="K24">
        <v>6.1479590102429</v>
      </c>
      <c r="L24">
        <v>21.363284430563301</v>
      </c>
    </row>
    <row r="25" spans="1:12">
      <c r="A25" t="s">
        <v>214</v>
      </c>
      <c r="B25">
        <v>0.22503356683190001</v>
      </c>
      <c r="C25">
        <v>0</v>
      </c>
      <c r="D25">
        <v>0</v>
      </c>
      <c r="E25">
        <v>0.90013426732760005</v>
      </c>
      <c r="F25">
        <v>0</v>
      </c>
      <c r="G25">
        <v>2.2363983456957999</v>
      </c>
      <c r="H25">
        <v>0</v>
      </c>
      <c r="I25">
        <v>0</v>
      </c>
      <c r="K25">
        <v>3.3615661798552998</v>
      </c>
      <c r="L25">
        <v>3.3615661798552998</v>
      </c>
    </row>
    <row r="26" spans="1:12">
      <c r="A26" t="s">
        <v>215</v>
      </c>
      <c r="B26">
        <v>97.967268031016403</v>
      </c>
      <c r="C26">
        <v>14.3860828784027</v>
      </c>
      <c r="D26">
        <v>6.0334698525806996</v>
      </c>
      <c r="E26">
        <v>1.79980620301598</v>
      </c>
      <c r="F26">
        <v>4.7207015465331201</v>
      </c>
      <c r="G26">
        <v>60.680540898566797</v>
      </c>
      <c r="H26">
        <v>16.7485158832819</v>
      </c>
      <c r="I26">
        <v>3.2794099032394999</v>
      </c>
      <c r="J26">
        <v>27.579307891150801</v>
      </c>
      <c r="K26">
        <v>205.61579519663701</v>
      </c>
      <c r="L26">
        <v>233.195103087788</v>
      </c>
    </row>
    <row r="27" spans="1:12">
      <c r="A27" t="s">
        <v>216</v>
      </c>
      <c r="B27">
        <v>26.994931226968699</v>
      </c>
      <c r="C27">
        <v>0</v>
      </c>
      <c r="D27">
        <v>0</v>
      </c>
      <c r="E27">
        <v>0</v>
      </c>
      <c r="F27">
        <v>0</v>
      </c>
      <c r="G27">
        <v>0</v>
      </c>
      <c r="H27">
        <v>0</v>
      </c>
      <c r="I27">
        <v>0</v>
      </c>
      <c r="K27">
        <v>26.994931226968699</v>
      </c>
      <c r="L27">
        <v>26.994931226968699</v>
      </c>
    </row>
    <row r="28" spans="1:12">
      <c r="A28" t="s">
        <v>10</v>
      </c>
      <c r="B28">
        <v>124.96219925798501</v>
      </c>
      <c r="C28">
        <v>14.3860828784027</v>
      </c>
      <c r="D28">
        <v>6.0334698525806996</v>
      </c>
      <c r="E28">
        <v>1.79980620301598</v>
      </c>
      <c r="F28">
        <v>4.7207015465331201</v>
      </c>
      <c r="G28">
        <v>60.680540898566797</v>
      </c>
      <c r="H28">
        <v>16.7485158832819</v>
      </c>
      <c r="I28">
        <v>3.2794099032394999</v>
      </c>
      <c r="J28">
        <v>27.579307891150801</v>
      </c>
      <c r="K28">
        <v>232.610726423606</v>
      </c>
      <c r="L28">
        <v>260.19003431475699</v>
      </c>
    </row>
    <row r="29" spans="1:12">
      <c r="A29" t="s">
        <v>217</v>
      </c>
    </row>
    <row r="30" spans="1:12">
      <c r="A30" t="s">
        <v>218</v>
      </c>
    </row>
    <row r="32" spans="1:12">
      <c r="A32">
        <v>2025</v>
      </c>
    </row>
    <row r="33" spans="1:12">
      <c r="A33" t="s">
        <v>128</v>
      </c>
      <c r="B33" t="s">
        <v>57</v>
      </c>
      <c r="C33" t="s">
        <v>207</v>
      </c>
      <c r="D33" t="s">
        <v>105</v>
      </c>
      <c r="E33" t="s">
        <v>42</v>
      </c>
      <c r="F33" t="s">
        <v>134</v>
      </c>
      <c r="G33" t="s">
        <v>54</v>
      </c>
      <c r="H33" t="s">
        <v>208</v>
      </c>
      <c r="I33" t="s">
        <v>209</v>
      </c>
      <c r="J33" t="s">
        <v>210</v>
      </c>
      <c r="K33" t="s">
        <v>211</v>
      </c>
      <c r="L33" t="s">
        <v>10</v>
      </c>
    </row>
    <row r="34" spans="1:12">
      <c r="A34" t="s">
        <v>138</v>
      </c>
      <c r="B34">
        <v>8.9718125061079999</v>
      </c>
      <c r="C34">
        <v>7.5244428280336004</v>
      </c>
      <c r="D34">
        <v>4.1448280467982999</v>
      </c>
      <c r="F34">
        <v>5.7574771280624804</v>
      </c>
      <c r="G34">
        <v>39.004453813544799</v>
      </c>
      <c r="H34">
        <v>8.9939273059531999</v>
      </c>
      <c r="I34">
        <v>1.4393692820156201</v>
      </c>
      <c r="J34">
        <v>11.4217194648713</v>
      </c>
      <c r="K34">
        <v>75.836310910516005</v>
      </c>
      <c r="L34">
        <v>87.258030375387307</v>
      </c>
    </row>
    <row r="35" spans="1:12">
      <c r="A35" t="s">
        <v>212</v>
      </c>
      <c r="B35">
        <v>5.2475986366028398</v>
      </c>
      <c r="C35">
        <v>3.4983990910685598</v>
      </c>
      <c r="D35">
        <v>1.1963054104524999</v>
      </c>
      <c r="E35">
        <v>0.73455761130816</v>
      </c>
      <c r="F35">
        <v>0</v>
      </c>
      <c r="G35">
        <v>4.5534877411513</v>
      </c>
      <c r="H35">
        <v>0.30731067968190001</v>
      </c>
      <c r="I35">
        <v>2.93823044523264</v>
      </c>
      <c r="J35">
        <v>5.2475986366028398</v>
      </c>
      <c r="K35">
        <v>18.475889615497898</v>
      </c>
      <c r="L35">
        <v>23.723488252100701</v>
      </c>
    </row>
    <row r="36" spans="1:12">
      <c r="A36" t="s">
        <v>140</v>
      </c>
      <c r="B36">
        <v>11.2851059106452</v>
      </c>
      <c r="C36">
        <v>0</v>
      </c>
      <c r="D36">
        <v>0</v>
      </c>
      <c r="E36">
        <v>0</v>
      </c>
      <c r="F36">
        <v>0</v>
      </c>
      <c r="G36">
        <v>3.0165698263876002</v>
      </c>
      <c r="H36">
        <v>0.82147656588960005</v>
      </c>
      <c r="I36">
        <v>0</v>
      </c>
      <c r="K36">
        <v>15.123152302922399</v>
      </c>
      <c r="L36">
        <v>15.123152302922399</v>
      </c>
    </row>
    <row r="37" spans="1:12">
      <c r="A37" t="s">
        <v>141</v>
      </c>
      <c r="B37">
        <v>19.375331905517701</v>
      </c>
      <c r="C37">
        <v>0</v>
      </c>
      <c r="D37">
        <v>0</v>
      </c>
      <c r="E37">
        <v>0</v>
      </c>
      <c r="F37">
        <v>0</v>
      </c>
      <c r="G37">
        <v>0</v>
      </c>
      <c r="H37">
        <v>0</v>
      </c>
      <c r="I37">
        <v>0</v>
      </c>
      <c r="K37">
        <v>19.375331905517701</v>
      </c>
      <c r="L37">
        <v>19.375331905517701</v>
      </c>
    </row>
    <row r="38" spans="1:12">
      <c r="A38" t="s">
        <v>213</v>
      </c>
      <c r="B38">
        <v>46.354708094036098</v>
      </c>
      <c r="C38">
        <v>0</v>
      </c>
      <c r="D38">
        <v>0</v>
      </c>
      <c r="E38">
        <v>0</v>
      </c>
      <c r="F38">
        <v>0</v>
      </c>
      <c r="G38">
        <v>0</v>
      </c>
      <c r="H38">
        <v>0</v>
      </c>
      <c r="I38">
        <v>0</v>
      </c>
      <c r="K38">
        <v>46.354708094036098</v>
      </c>
      <c r="L38">
        <v>46.354708094036098</v>
      </c>
    </row>
    <row r="39" spans="1:12">
      <c r="A39" t="s">
        <v>143</v>
      </c>
      <c r="C39">
        <v>6.0004736135138002</v>
      </c>
      <c r="D39">
        <v>0</v>
      </c>
      <c r="E39">
        <v>0</v>
      </c>
      <c r="F39">
        <v>0</v>
      </c>
      <c r="G39">
        <v>0</v>
      </c>
      <c r="H39">
        <v>0</v>
      </c>
      <c r="I39">
        <v>0</v>
      </c>
      <c r="J39">
        <v>14.8503200092174</v>
      </c>
      <c r="K39">
        <v>6.0004736135138002</v>
      </c>
      <c r="L39">
        <v>20.850793622731199</v>
      </c>
    </row>
    <row r="40" spans="1:12">
      <c r="A40" t="s">
        <v>214</v>
      </c>
      <c r="B40">
        <v>0.57553934335914003</v>
      </c>
      <c r="D40">
        <v>0</v>
      </c>
      <c r="E40">
        <v>0.38369289557275998</v>
      </c>
      <c r="F40">
        <v>0</v>
      </c>
      <c r="G40">
        <v>1.9118461767073001</v>
      </c>
      <c r="H40">
        <v>0</v>
      </c>
      <c r="I40">
        <v>0</v>
      </c>
      <c r="K40">
        <v>2.8710784156392002</v>
      </c>
      <c r="L40">
        <v>2.8710784156392002</v>
      </c>
    </row>
    <row r="41" spans="1:12">
      <c r="A41" t="s">
        <v>215</v>
      </c>
      <c r="B41">
        <v>91.810096396269003</v>
      </c>
      <c r="C41">
        <v>17.023315532616</v>
      </c>
      <c r="D41">
        <v>5.3411334572508</v>
      </c>
      <c r="E41">
        <v>1.1182505068809201</v>
      </c>
      <c r="F41">
        <v>5.7574771280624804</v>
      </c>
      <c r="G41">
        <v>48.486357557791003</v>
      </c>
      <c r="H41">
        <v>10.1227145515247</v>
      </c>
      <c r="I41">
        <v>4.3775997272482599</v>
      </c>
      <c r="J41">
        <v>31.519638110691499</v>
      </c>
      <c r="K41">
        <v>184.03694485764299</v>
      </c>
      <c r="L41">
        <v>215.55658296833499</v>
      </c>
    </row>
    <row r="42" spans="1:12">
      <c r="A42" t="s">
        <v>216</v>
      </c>
      <c r="B42">
        <v>26.309910568975301</v>
      </c>
      <c r="C42">
        <v>0</v>
      </c>
      <c r="D42">
        <v>0</v>
      </c>
      <c r="E42">
        <v>0</v>
      </c>
      <c r="F42">
        <v>0</v>
      </c>
      <c r="G42">
        <v>0</v>
      </c>
      <c r="H42">
        <v>0</v>
      </c>
      <c r="I42">
        <v>0</v>
      </c>
      <c r="K42">
        <v>26.309910568975301</v>
      </c>
      <c r="L42">
        <v>26.309910568975301</v>
      </c>
    </row>
    <row r="43" spans="1:12">
      <c r="A43" t="s">
        <v>10</v>
      </c>
      <c r="B43">
        <v>118.120006965244</v>
      </c>
      <c r="C43">
        <v>17.023315532616</v>
      </c>
      <c r="D43">
        <v>5.3411334572508</v>
      </c>
      <c r="E43">
        <v>1.1182505068809201</v>
      </c>
      <c r="F43">
        <v>5.7574771280624804</v>
      </c>
      <c r="G43">
        <v>48.486357557791003</v>
      </c>
      <c r="H43">
        <v>10.1227145515247</v>
      </c>
      <c r="I43">
        <v>4.3775997272482599</v>
      </c>
      <c r="J43">
        <v>31.519638110691499</v>
      </c>
      <c r="K43">
        <v>210.34685542661799</v>
      </c>
      <c r="L43">
        <v>241.86649353730999</v>
      </c>
    </row>
    <row r="44" spans="1:12">
      <c r="A44" t="s">
        <v>217</v>
      </c>
    </row>
    <row r="45" spans="1:12">
      <c r="A45" t="s">
        <v>218</v>
      </c>
    </row>
    <row r="47" spans="1:12">
      <c r="A47">
        <v>2030</v>
      </c>
    </row>
    <row r="48" spans="1:12">
      <c r="A48" t="s">
        <v>128</v>
      </c>
      <c r="B48" t="s">
        <v>57</v>
      </c>
      <c r="C48" t="s">
        <v>207</v>
      </c>
      <c r="D48" t="s">
        <v>105</v>
      </c>
      <c r="E48" t="s">
        <v>42</v>
      </c>
      <c r="F48" t="s">
        <v>134</v>
      </c>
      <c r="G48" t="s">
        <v>54</v>
      </c>
      <c r="H48" t="s">
        <v>208</v>
      </c>
      <c r="I48" t="s">
        <v>209</v>
      </c>
      <c r="J48" t="s">
        <v>210</v>
      </c>
      <c r="K48" t="s">
        <v>211</v>
      </c>
      <c r="L48" t="s">
        <v>10</v>
      </c>
    </row>
    <row r="49" spans="1:12">
      <c r="A49" t="s">
        <v>138</v>
      </c>
      <c r="B49">
        <v>7.9865806915524002</v>
      </c>
      <c r="C49">
        <v>9.2211616891774</v>
      </c>
      <c r="D49">
        <v>4.1797717793542999</v>
      </c>
      <c r="F49">
        <v>7.0537868434781599</v>
      </c>
      <c r="G49">
        <v>27.7414380005239</v>
      </c>
      <c r="H49">
        <v>4.0007689276751002</v>
      </c>
      <c r="I49">
        <v>1.76344671086954</v>
      </c>
      <c r="J49">
        <v>14.106786738135799</v>
      </c>
      <c r="K49">
        <v>61.9469546426308</v>
      </c>
      <c r="L49">
        <v>76.053741380766596</v>
      </c>
    </row>
    <row r="50" spans="1:12">
      <c r="A50" t="s">
        <v>212</v>
      </c>
      <c r="B50">
        <v>4.1300172223687497</v>
      </c>
      <c r="C50">
        <v>4.1300172223687497</v>
      </c>
      <c r="D50">
        <v>0.8946934460707</v>
      </c>
      <c r="E50">
        <v>0</v>
      </c>
      <c r="F50">
        <v>0</v>
      </c>
      <c r="G50">
        <v>3.6379629672113998</v>
      </c>
      <c r="H50">
        <v>0.19343554945649999</v>
      </c>
      <c r="I50">
        <v>3.7384479607226</v>
      </c>
      <c r="J50">
        <v>6.1950258335531201</v>
      </c>
      <c r="K50">
        <v>16.724574368198699</v>
      </c>
      <c r="L50">
        <v>22.919600201751798</v>
      </c>
    </row>
    <row r="51" spans="1:12">
      <c r="A51" t="s">
        <v>140</v>
      </c>
      <c r="B51">
        <v>11.8721780932577</v>
      </c>
      <c r="C51">
        <v>0</v>
      </c>
      <c r="D51">
        <v>0</v>
      </c>
      <c r="E51">
        <v>0</v>
      </c>
      <c r="F51">
        <v>0</v>
      </c>
      <c r="G51">
        <v>2.5273881171479</v>
      </c>
      <c r="H51">
        <v>0.61166542466829998</v>
      </c>
      <c r="I51">
        <v>0</v>
      </c>
      <c r="K51">
        <v>15.0112316350739</v>
      </c>
      <c r="L51">
        <v>15.0112316350739</v>
      </c>
    </row>
    <row r="52" spans="1:12">
      <c r="A52" t="s">
        <v>141</v>
      </c>
      <c r="B52">
        <v>15.2848315075233</v>
      </c>
      <c r="C52">
        <v>0</v>
      </c>
      <c r="D52">
        <v>0</v>
      </c>
      <c r="E52">
        <v>0</v>
      </c>
      <c r="F52">
        <v>0</v>
      </c>
      <c r="G52">
        <v>0</v>
      </c>
      <c r="H52">
        <v>0</v>
      </c>
      <c r="I52">
        <v>0</v>
      </c>
      <c r="K52">
        <v>15.2848315075233</v>
      </c>
      <c r="L52">
        <v>15.2848315075233</v>
      </c>
    </row>
    <row r="53" spans="1:12">
      <c r="A53" t="s">
        <v>213</v>
      </c>
      <c r="B53">
        <v>45.907009040287299</v>
      </c>
      <c r="C53">
        <v>0</v>
      </c>
      <c r="D53">
        <v>0</v>
      </c>
      <c r="E53">
        <v>0</v>
      </c>
      <c r="F53">
        <v>0</v>
      </c>
      <c r="G53">
        <v>0</v>
      </c>
      <c r="H53">
        <v>0</v>
      </c>
      <c r="I53">
        <v>0</v>
      </c>
      <c r="K53">
        <v>45.907009040287299</v>
      </c>
      <c r="L53">
        <v>45.907009040287299</v>
      </c>
    </row>
    <row r="54" spans="1:12">
      <c r="A54" t="s">
        <v>143</v>
      </c>
      <c r="C54">
        <v>6.0856597961760004</v>
      </c>
      <c r="D54">
        <v>0</v>
      </c>
      <c r="E54">
        <v>0</v>
      </c>
      <c r="F54">
        <v>0</v>
      </c>
      <c r="G54">
        <v>0</v>
      </c>
      <c r="H54">
        <v>0</v>
      </c>
      <c r="I54">
        <v>0</v>
      </c>
      <c r="J54">
        <v>18.776315865322498</v>
      </c>
      <c r="K54">
        <v>6.0856597961760004</v>
      </c>
      <c r="L54">
        <v>24.861975661498501</v>
      </c>
    </row>
    <row r="55" spans="1:12">
      <c r="A55" t="s">
        <v>214</v>
      </c>
      <c r="B55">
        <v>0.81988401876299999</v>
      </c>
      <c r="D55">
        <v>0</v>
      </c>
      <c r="E55">
        <v>0</v>
      </c>
      <c r="F55">
        <v>0</v>
      </c>
      <c r="G55">
        <v>1.6393711123813</v>
      </c>
      <c r="H55">
        <v>0</v>
      </c>
      <c r="I55">
        <v>0</v>
      </c>
      <c r="K55">
        <v>2.4592551311443001</v>
      </c>
      <c r="L55">
        <v>2.4592551311443001</v>
      </c>
    </row>
    <row r="56" spans="1:12">
      <c r="A56" t="s">
        <v>215</v>
      </c>
      <c r="B56">
        <v>86.000500573752504</v>
      </c>
      <c r="C56">
        <v>19.436838707722199</v>
      </c>
      <c r="D56">
        <v>5.0744652254249996</v>
      </c>
      <c r="E56">
        <v>0</v>
      </c>
      <c r="F56">
        <v>7.0537868434781599</v>
      </c>
      <c r="G56">
        <v>35.546160197264498</v>
      </c>
      <c r="H56">
        <v>4.8058699017999</v>
      </c>
      <c r="I56">
        <v>5.5018946715921402</v>
      </c>
      <c r="J56">
        <v>39.078128437011401</v>
      </c>
      <c r="K56">
        <v>163.41951612103401</v>
      </c>
      <c r="L56">
        <v>202.49764455804601</v>
      </c>
    </row>
    <row r="57" spans="1:12">
      <c r="A57" t="s">
        <v>216</v>
      </c>
      <c r="B57">
        <v>25.624889910981899</v>
      </c>
      <c r="C57">
        <v>0</v>
      </c>
      <c r="D57">
        <v>0</v>
      </c>
      <c r="E57">
        <v>0</v>
      </c>
      <c r="F57">
        <v>0</v>
      </c>
      <c r="G57">
        <v>0</v>
      </c>
      <c r="H57">
        <v>0</v>
      </c>
      <c r="I57">
        <v>0</v>
      </c>
      <c r="K57">
        <v>25.624889910981899</v>
      </c>
      <c r="L57">
        <v>25.624889910981899</v>
      </c>
    </row>
    <row r="58" spans="1:12">
      <c r="A58" t="s">
        <v>10</v>
      </c>
      <c r="B58">
        <v>111.625390484734</v>
      </c>
      <c r="C58">
        <v>19.436838707722199</v>
      </c>
      <c r="D58">
        <v>5.0744652254249996</v>
      </c>
      <c r="E58">
        <v>0</v>
      </c>
      <c r="F58">
        <v>7.0537868434781599</v>
      </c>
      <c r="G58">
        <v>35.546160197264498</v>
      </c>
      <c r="H58">
        <v>4.8058699017999</v>
      </c>
      <c r="I58">
        <v>5.5018946715921402</v>
      </c>
      <c r="J58">
        <v>39.078128437011401</v>
      </c>
      <c r="K58">
        <v>189.04440603201601</v>
      </c>
      <c r="L58">
        <v>228.12253446902801</v>
      </c>
    </row>
    <row r="59" spans="1:12">
      <c r="A59" t="s">
        <v>217</v>
      </c>
      <c r="K59">
        <v>0.93576088486563302</v>
      </c>
    </row>
    <row r="60" spans="1:12">
      <c r="A60" t="s">
        <v>218</v>
      </c>
    </row>
    <row r="62" spans="1:12">
      <c r="A62">
        <v>2050</v>
      </c>
    </row>
    <row r="63" spans="1:12">
      <c r="A63" t="s">
        <v>128</v>
      </c>
      <c r="B63" t="s">
        <v>57</v>
      </c>
      <c r="C63" t="s">
        <v>207</v>
      </c>
      <c r="D63" t="s">
        <v>105</v>
      </c>
      <c r="E63" t="s">
        <v>42</v>
      </c>
      <c r="F63" t="s">
        <v>134</v>
      </c>
      <c r="G63" t="s">
        <v>54</v>
      </c>
      <c r="H63" t="s">
        <v>208</v>
      </c>
      <c r="I63" t="s">
        <v>209</v>
      </c>
      <c r="J63" t="s">
        <v>210</v>
      </c>
      <c r="K63" t="s">
        <v>211</v>
      </c>
      <c r="L63" t="s">
        <v>10</v>
      </c>
    </row>
    <row r="64" spans="1:12">
      <c r="A64" t="s">
        <v>138</v>
      </c>
      <c r="B64">
        <v>5.8523640541175004</v>
      </c>
      <c r="C64">
        <v>9.6916384892280991</v>
      </c>
      <c r="D64">
        <v>12.0940616509414</v>
      </c>
      <c r="F64">
        <v>5.7376992755080796</v>
      </c>
      <c r="G64">
        <v>1.6243612661704001</v>
      </c>
      <c r="H64">
        <v>9.9083878957999996E-3</v>
      </c>
      <c r="I64">
        <v>1.4344248188770199</v>
      </c>
      <c r="J64">
        <v>15.069021727073199</v>
      </c>
      <c r="K64">
        <v>36.444457942738303</v>
      </c>
      <c r="L64">
        <v>51.513479669811503</v>
      </c>
    </row>
    <row r="65" spans="1:12">
      <c r="A65" t="s">
        <v>212</v>
      </c>
      <c r="B65">
        <v>0.11976961531749999</v>
      </c>
      <c r="C65">
        <v>4.1300172223687497</v>
      </c>
      <c r="D65">
        <v>0.8946934460707</v>
      </c>
      <c r="E65">
        <v>0</v>
      </c>
      <c r="F65">
        <v>0</v>
      </c>
      <c r="G65">
        <v>1.689494832574</v>
      </c>
      <c r="H65">
        <v>6.1075926729999997E-3</v>
      </c>
      <c r="I65">
        <v>3.3230107511964002</v>
      </c>
      <c r="J65">
        <v>6.1950258335531201</v>
      </c>
      <c r="K65">
        <v>10.1630934602004</v>
      </c>
      <c r="L65">
        <v>16.3581192937535</v>
      </c>
    </row>
    <row r="66" spans="1:12">
      <c r="A66" t="s">
        <v>140</v>
      </c>
      <c r="B66">
        <v>12.139093722674</v>
      </c>
      <c r="C66">
        <v>0</v>
      </c>
      <c r="D66">
        <v>0</v>
      </c>
      <c r="E66">
        <v>0</v>
      </c>
      <c r="F66">
        <v>0</v>
      </c>
      <c r="G66">
        <v>1.3508680727360001</v>
      </c>
      <c r="H66">
        <v>0.2384320247301</v>
      </c>
      <c r="I66">
        <v>0</v>
      </c>
      <c r="K66">
        <v>13.7283938201401</v>
      </c>
      <c r="L66">
        <v>13.7283938201401</v>
      </c>
    </row>
    <row r="67" spans="1:12">
      <c r="A67" t="s">
        <v>141</v>
      </c>
      <c r="B67">
        <v>9.8452476075075008</v>
      </c>
      <c r="C67">
        <v>0</v>
      </c>
      <c r="D67">
        <v>0</v>
      </c>
      <c r="E67">
        <v>0</v>
      </c>
      <c r="F67">
        <v>0</v>
      </c>
      <c r="G67">
        <v>0</v>
      </c>
      <c r="H67">
        <v>0</v>
      </c>
      <c r="I67">
        <v>0</v>
      </c>
      <c r="K67">
        <v>9.8452476075075008</v>
      </c>
      <c r="L67">
        <v>9.8452476075075008</v>
      </c>
    </row>
    <row r="68" spans="1:12">
      <c r="A68" t="s">
        <v>213</v>
      </c>
      <c r="B68">
        <v>42.907833391588298</v>
      </c>
      <c r="C68">
        <v>0</v>
      </c>
      <c r="D68">
        <v>0</v>
      </c>
      <c r="E68">
        <v>0</v>
      </c>
      <c r="F68">
        <v>0</v>
      </c>
      <c r="G68">
        <v>0</v>
      </c>
      <c r="H68">
        <v>0</v>
      </c>
      <c r="I68">
        <v>0</v>
      </c>
      <c r="K68">
        <v>42.907833391588298</v>
      </c>
      <c r="L68">
        <v>42.907833391588298</v>
      </c>
    </row>
    <row r="69" spans="1:12">
      <c r="A69" t="s">
        <v>143</v>
      </c>
      <c r="C69">
        <v>6.3631434451273003</v>
      </c>
      <c r="D69">
        <v>0</v>
      </c>
      <c r="E69">
        <v>0</v>
      </c>
      <c r="F69">
        <v>0</v>
      </c>
      <c r="G69">
        <v>0</v>
      </c>
      <c r="H69">
        <v>0</v>
      </c>
      <c r="I69">
        <v>0</v>
      </c>
      <c r="K69">
        <v>6.3631434451273003</v>
      </c>
      <c r="L69">
        <v>6.4</v>
      </c>
    </row>
    <row r="70" spans="1:12">
      <c r="A70" t="s">
        <v>214</v>
      </c>
      <c r="B70">
        <v>0.46133931642010001</v>
      </c>
      <c r="D70">
        <v>0</v>
      </c>
      <c r="E70">
        <v>0</v>
      </c>
      <c r="F70">
        <v>0</v>
      </c>
      <c r="G70">
        <v>0.95264690516810002</v>
      </c>
      <c r="H70">
        <v>0</v>
      </c>
      <c r="I70">
        <v>0</v>
      </c>
      <c r="K70">
        <v>1.4139862215882</v>
      </c>
      <c r="L70">
        <v>1.4139862215882</v>
      </c>
    </row>
    <row r="71" spans="1:12">
      <c r="A71" t="s">
        <v>215</v>
      </c>
      <c r="B71">
        <v>71.325647707624896</v>
      </c>
      <c r="C71">
        <v>20.1847991567241</v>
      </c>
      <c r="D71">
        <v>12.988755097012101</v>
      </c>
      <c r="E71">
        <v>0</v>
      </c>
      <c r="F71">
        <v>5.7376992755080796</v>
      </c>
      <c r="G71">
        <v>5.6173710766485003</v>
      </c>
      <c r="H71">
        <v>0.25444800529889999</v>
      </c>
      <c r="I71">
        <v>4.7574355700734197</v>
      </c>
      <c r="J71">
        <v>44.850389616754001</v>
      </c>
      <c r="K71">
        <v>120.86615588889001</v>
      </c>
      <c r="L71">
        <v>165.71654550564401</v>
      </c>
    </row>
    <row r="72" spans="1:12">
      <c r="A72" t="s">
        <v>216</v>
      </c>
      <c r="B72">
        <v>23.9431583804922</v>
      </c>
      <c r="C72">
        <v>0</v>
      </c>
      <c r="D72">
        <v>0</v>
      </c>
      <c r="E72">
        <v>0</v>
      </c>
      <c r="F72">
        <v>0</v>
      </c>
      <c r="G72">
        <v>0</v>
      </c>
      <c r="H72">
        <v>0</v>
      </c>
      <c r="I72">
        <v>0</v>
      </c>
      <c r="K72">
        <v>23.9431583804922</v>
      </c>
      <c r="L72">
        <v>23.9431583804922</v>
      </c>
    </row>
    <row r="73" spans="1:12">
      <c r="A73" t="s">
        <v>10</v>
      </c>
      <c r="B73">
        <v>95.268806088117103</v>
      </c>
      <c r="C73">
        <v>20.1847991567241</v>
      </c>
      <c r="D73">
        <v>12.988755097012101</v>
      </c>
      <c r="E73">
        <v>0</v>
      </c>
      <c r="F73">
        <v>5.7376992755080796</v>
      </c>
      <c r="G73">
        <v>5.6173710766485003</v>
      </c>
      <c r="H73">
        <v>0.25444800529889999</v>
      </c>
      <c r="I73">
        <v>4.7574355700734197</v>
      </c>
      <c r="J73">
        <v>44.850389616754001</v>
      </c>
      <c r="K73">
        <v>144.80931426938201</v>
      </c>
      <c r="L73">
        <v>166.11021838488099</v>
      </c>
    </row>
    <row r="74" spans="1:12">
      <c r="A74" t="s">
        <v>217</v>
      </c>
    </row>
    <row r="75" spans="1:12">
      <c r="A75" t="s">
        <v>218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18"/>
  <dimension ref="A1:L59"/>
  <sheetViews>
    <sheetView workbookViewId="0"/>
  </sheetViews>
  <sheetFormatPr baseColWidth="10" defaultColWidth="11.453125" defaultRowHeight="14.5"/>
  <sheetData>
    <row r="1" spans="1:12">
      <c r="A1">
        <v>2020</v>
      </c>
    </row>
    <row r="2" spans="1:12">
      <c r="A2" t="s">
        <v>128</v>
      </c>
      <c r="B2" t="s">
        <v>57</v>
      </c>
      <c r="C2" t="s">
        <v>207</v>
      </c>
      <c r="D2" t="s">
        <v>105</v>
      </c>
      <c r="E2" t="s">
        <v>42</v>
      </c>
      <c r="F2" t="s">
        <v>134</v>
      </c>
      <c r="G2" t="s">
        <v>54</v>
      </c>
      <c r="H2" t="s">
        <v>208</v>
      </c>
      <c r="I2" t="s">
        <v>209</v>
      </c>
      <c r="J2" t="s">
        <v>210</v>
      </c>
      <c r="K2" t="s">
        <v>211</v>
      </c>
      <c r="L2" t="s">
        <v>10</v>
      </c>
    </row>
    <row r="3" spans="1:12">
      <c r="A3" t="s">
        <v>138</v>
      </c>
      <c r="B3">
        <v>10.3742757878855</v>
      </c>
      <c r="C3">
        <v>6.1002330193981003</v>
      </c>
      <c r="D3">
        <v>4.8012381348690996</v>
      </c>
      <c r="F3">
        <v>4.7207015465331201</v>
      </c>
      <c r="G3">
        <v>48.617576303646601</v>
      </c>
      <c r="H3">
        <v>14.4330293124561</v>
      </c>
      <c r="I3">
        <v>1.18017538663328</v>
      </c>
      <c r="J3">
        <v>9.1571461976879007</v>
      </c>
      <c r="K3">
        <v>90.227229491421795</v>
      </c>
      <c r="L3">
        <v>99.384375689109703</v>
      </c>
    </row>
    <row r="4" spans="1:12">
      <c r="A4" t="s">
        <v>212</v>
      </c>
      <c r="B4">
        <v>6.7699876877453198</v>
      </c>
      <c r="C4">
        <v>2.1378908487616801</v>
      </c>
      <c r="D4">
        <v>1.2322317177116</v>
      </c>
      <c r="E4">
        <v>0.89967193568838</v>
      </c>
      <c r="F4">
        <v>0</v>
      </c>
      <c r="G4">
        <v>6.2169602451413999</v>
      </c>
      <c r="H4">
        <v>1.2070758173613001</v>
      </c>
      <c r="I4">
        <v>2.0992345166062201</v>
      </c>
      <c r="J4">
        <v>3.2068362731425202</v>
      </c>
      <c r="K4">
        <v>20.563052769015901</v>
      </c>
      <c r="L4">
        <v>23.7698890421584</v>
      </c>
    </row>
    <row r="5" spans="1:12">
      <c r="A5" t="s">
        <v>140</v>
      </c>
      <c r="B5">
        <v>10.5272361865745</v>
      </c>
      <c r="C5">
        <v>0</v>
      </c>
      <c r="D5">
        <v>0</v>
      </c>
      <c r="E5">
        <v>0</v>
      </c>
      <c r="F5">
        <v>0</v>
      </c>
      <c r="G5">
        <v>3.609606004083</v>
      </c>
      <c r="H5">
        <v>1.1084107534645</v>
      </c>
      <c r="I5">
        <v>0</v>
      </c>
      <c r="K5">
        <v>15.245252944122001</v>
      </c>
      <c r="L5">
        <v>15.245252944122001</v>
      </c>
    </row>
    <row r="6" spans="1:12">
      <c r="A6" t="s">
        <v>141</v>
      </c>
      <c r="B6">
        <v>23.389235120450699</v>
      </c>
      <c r="C6">
        <v>0</v>
      </c>
      <c r="D6">
        <v>0</v>
      </c>
      <c r="E6">
        <v>0</v>
      </c>
      <c r="F6">
        <v>0</v>
      </c>
      <c r="G6">
        <v>0</v>
      </c>
      <c r="H6">
        <v>0</v>
      </c>
      <c r="I6">
        <v>0</v>
      </c>
      <c r="K6">
        <v>23.389235120450699</v>
      </c>
      <c r="L6">
        <v>23.389235120450699</v>
      </c>
    </row>
    <row r="7" spans="1:12">
      <c r="A7" t="s">
        <v>213</v>
      </c>
      <c r="B7">
        <v>46.6814996815285</v>
      </c>
      <c r="C7">
        <v>0</v>
      </c>
      <c r="D7">
        <v>0</v>
      </c>
      <c r="E7">
        <v>0</v>
      </c>
      <c r="F7">
        <v>0</v>
      </c>
      <c r="G7">
        <v>0</v>
      </c>
      <c r="H7">
        <v>0</v>
      </c>
      <c r="I7">
        <v>0</v>
      </c>
      <c r="K7">
        <v>46.6814996815285</v>
      </c>
      <c r="L7">
        <v>46.6814996815285</v>
      </c>
    </row>
    <row r="8" spans="1:12">
      <c r="A8" t="s">
        <v>143</v>
      </c>
      <c r="C8">
        <v>6.1479590102429</v>
      </c>
      <c r="D8">
        <v>0</v>
      </c>
      <c r="E8">
        <v>0</v>
      </c>
      <c r="F8">
        <v>0</v>
      </c>
      <c r="G8">
        <v>0</v>
      </c>
      <c r="H8">
        <v>0</v>
      </c>
      <c r="I8">
        <v>0</v>
      </c>
      <c r="J8">
        <v>15.215325420320401</v>
      </c>
      <c r="K8">
        <v>6.1479590102429</v>
      </c>
      <c r="L8">
        <v>21.363284430563301</v>
      </c>
    </row>
    <row r="9" spans="1:12">
      <c r="A9" t="s">
        <v>214</v>
      </c>
      <c r="B9">
        <v>0.22503356683190001</v>
      </c>
      <c r="C9">
        <v>0</v>
      </c>
      <c r="D9">
        <v>0</v>
      </c>
      <c r="E9">
        <v>0.90013426732760005</v>
      </c>
      <c r="F9">
        <v>0</v>
      </c>
      <c r="G9">
        <v>2.2363983456957999</v>
      </c>
      <c r="H9">
        <v>0</v>
      </c>
      <c r="I9">
        <v>0</v>
      </c>
      <c r="K9">
        <v>3.3615661798552998</v>
      </c>
      <c r="L9">
        <v>3.3615661798552998</v>
      </c>
    </row>
    <row r="10" spans="1:12">
      <c r="A10" t="s">
        <v>215</v>
      </c>
      <c r="B10">
        <v>97.967268031016403</v>
      </c>
      <c r="C10">
        <v>14.3860828784027</v>
      </c>
      <c r="D10">
        <v>6.0334698525806996</v>
      </c>
      <c r="E10">
        <v>1.79980620301598</v>
      </c>
      <c r="F10">
        <v>4.7207015465331201</v>
      </c>
      <c r="G10">
        <v>60.680540898566797</v>
      </c>
      <c r="H10">
        <v>16.7485158832819</v>
      </c>
      <c r="I10">
        <v>3.2794099032394999</v>
      </c>
      <c r="J10">
        <v>27.579307891150801</v>
      </c>
      <c r="K10">
        <v>205.61579519663701</v>
      </c>
      <c r="L10">
        <v>233.195103087788</v>
      </c>
    </row>
    <row r="11" spans="1:12">
      <c r="A11" t="s">
        <v>216</v>
      </c>
      <c r="B11">
        <v>26.994931226968699</v>
      </c>
      <c r="C11">
        <v>0</v>
      </c>
      <c r="D11">
        <v>0</v>
      </c>
      <c r="E11">
        <v>0</v>
      </c>
      <c r="F11">
        <v>0</v>
      </c>
      <c r="G11">
        <v>0</v>
      </c>
      <c r="H11">
        <v>0</v>
      </c>
      <c r="I11">
        <v>0</v>
      </c>
      <c r="K11">
        <v>26.994931226968699</v>
      </c>
      <c r="L11">
        <v>26.994931226968699</v>
      </c>
    </row>
    <row r="12" spans="1:12">
      <c r="A12" t="s">
        <v>10</v>
      </c>
      <c r="B12">
        <v>124.96219925798501</v>
      </c>
      <c r="C12">
        <v>14.3860828784027</v>
      </c>
      <c r="D12">
        <v>6.0334698525806996</v>
      </c>
      <c r="E12">
        <v>1.79980620301598</v>
      </c>
      <c r="F12">
        <v>4.7207015465331201</v>
      </c>
      <c r="G12">
        <v>60.680540898566797</v>
      </c>
      <c r="H12">
        <v>16.7485158832819</v>
      </c>
      <c r="I12">
        <v>3.2794099032394999</v>
      </c>
      <c r="J12">
        <v>27.579307891150801</v>
      </c>
      <c r="K12">
        <v>232.610726423606</v>
      </c>
      <c r="L12">
        <v>260.19003431475699</v>
      </c>
    </row>
    <row r="13" spans="1:12">
      <c r="A13" t="s">
        <v>217</v>
      </c>
    </row>
    <row r="14" spans="1:12">
      <c r="A14" t="s">
        <v>218</v>
      </c>
    </row>
    <row r="16" spans="1:12">
      <c r="A16">
        <v>2025</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8.9718125061079999</v>
      </c>
      <c r="C18">
        <v>7.5244428280336004</v>
      </c>
      <c r="D18">
        <v>4.1448280467982999</v>
      </c>
      <c r="F18">
        <v>5.7574771280624804</v>
      </c>
      <c r="G18">
        <v>39.004453813544799</v>
      </c>
      <c r="H18">
        <v>8.9939273059531999</v>
      </c>
      <c r="I18">
        <v>1.4393692820156201</v>
      </c>
      <c r="J18">
        <v>11.4217194648713</v>
      </c>
      <c r="K18">
        <v>75.836310910516005</v>
      </c>
      <c r="L18">
        <v>87.258030375387307</v>
      </c>
    </row>
    <row r="19" spans="1:12">
      <c r="A19" t="s">
        <v>212</v>
      </c>
      <c r="B19">
        <v>5.2475986366028398</v>
      </c>
      <c r="C19">
        <v>3.4983990910685598</v>
      </c>
      <c r="D19">
        <v>1.1963054104524999</v>
      </c>
      <c r="E19">
        <v>0.73455761130816</v>
      </c>
      <c r="F19">
        <v>0</v>
      </c>
      <c r="G19">
        <v>4.5534877411513</v>
      </c>
      <c r="H19">
        <v>0.30731067968190001</v>
      </c>
      <c r="I19">
        <v>2.93823044523264</v>
      </c>
      <c r="J19">
        <v>5.2475986366028398</v>
      </c>
      <c r="K19">
        <v>18.475889615497898</v>
      </c>
      <c r="L19">
        <v>23.723488252100701</v>
      </c>
    </row>
    <row r="20" spans="1:12">
      <c r="A20" t="s">
        <v>140</v>
      </c>
      <c r="B20">
        <v>11.2851059106452</v>
      </c>
      <c r="C20">
        <v>0</v>
      </c>
      <c r="D20">
        <v>0</v>
      </c>
      <c r="E20">
        <v>0</v>
      </c>
      <c r="F20">
        <v>0</v>
      </c>
      <c r="G20">
        <v>3.0165698263876002</v>
      </c>
      <c r="H20">
        <v>0.82147656588960005</v>
      </c>
      <c r="I20">
        <v>0</v>
      </c>
      <c r="K20">
        <v>15.123152302922399</v>
      </c>
      <c r="L20">
        <v>15.123152302922399</v>
      </c>
    </row>
    <row r="21" spans="1:12">
      <c r="A21" t="s">
        <v>141</v>
      </c>
      <c r="B21">
        <v>19.375331905517701</v>
      </c>
      <c r="C21">
        <v>0</v>
      </c>
      <c r="D21">
        <v>0</v>
      </c>
      <c r="E21">
        <v>0</v>
      </c>
      <c r="F21">
        <v>0</v>
      </c>
      <c r="G21">
        <v>0</v>
      </c>
      <c r="H21">
        <v>0</v>
      </c>
      <c r="I21">
        <v>0</v>
      </c>
      <c r="K21">
        <v>19.375331905517701</v>
      </c>
      <c r="L21">
        <v>19.375331905517701</v>
      </c>
    </row>
    <row r="22" spans="1:12">
      <c r="A22" t="s">
        <v>213</v>
      </c>
      <c r="B22">
        <v>46.354708094036098</v>
      </c>
      <c r="C22">
        <v>0</v>
      </c>
      <c r="D22">
        <v>0</v>
      </c>
      <c r="E22">
        <v>0</v>
      </c>
      <c r="F22">
        <v>0</v>
      </c>
      <c r="G22">
        <v>0</v>
      </c>
      <c r="H22">
        <v>0</v>
      </c>
      <c r="I22">
        <v>0</v>
      </c>
      <c r="K22">
        <v>46.354708094036098</v>
      </c>
      <c r="L22">
        <v>46.354708094036098</v>
      </c>
    </row>
    <row r="23" spans="1:12">
      <c r="A23" t="s">
        <v>143</v>
      </c>
      <c r="C23">
        <v>6.0004736135138002</v>
      </c>
      <c r="D23">
        <v>0</v>
      </c>
      <c r="E23">
        <v>0</v>
      </c>
      <c r="F23">
        <v>0</v>
      </c>
      <c r="G23">
        <v>0</v>
      </c>
      <c r="H23">
        <v>0</v>
      </c>
      <c r="I23">
        <v>0</v>
      </c>
      <c r="J23">
        <v>14.8503200092174</v>
      </c>
      <c r="K23">
        <v>6.0004736135138002</v>
      </c>
      <c r="L23">
        <v>20.850793622731199</v>
      </c>
    </row>
    <row r="24" spans="1:12">
      <c r="A24" t="s">
        <v>214</v>
      </c>
      <c r="B24">
        <v>0.57553934335914003</v>
      </c>
      <c r="D24">
        <v>0</v>
      </c>
      <c r="E24">
        <v>0.38369289557275998</v>
      </c>
      <c r="F24">
        <v>0</v>
      </c>
      <c r="G24">
        <v>1.9118461767073001</v>
      </c>
      <c r="H24">
        <v>0</v>
      </c>
      <c r="I24">
        <v>0</v>
      </c>
      <c r="K24">
        <v>2.8710784156392002</v>
      </c>
      <c r="L24">
        <v>2.8710784156392002</v>
      </c>
    </row>
    <row r="25" spans="1:12">
      <c r="A25" t="s">
        <v>215</v>
      </c>
      <c r="B25">
        <v>91.810096396269003</v>
      </c>
      <c r="C25">
        <v>17.023315532616</v>
      </c>
      <c r="D25">
        <v>5.3411334572508</v>
      </c>
      <c r="E25">
        <v>1.1182505068809201</v>
      </c>
      <c r="F25">
        <v>5.7574771280624804</v>
      </c>
      <c r="G25">
        <v>48.486357557791003</v>
      </c>
      <c r="H25">
        <v>10.1227145515247</v>
      </c>
      <c r="I25">
        <v>4.3775997272482599</v>
      </c>
      <c r="J25">
        <v>31.519638110691499</v>
      </c>
      <c r="K25">
        <v>184.03694485764299</v>
      </c>
      <c r="L25">
        <v>215.55658296833499</v>
      </c>
    </row>
    <row r="26" spans="1:12">
      <c r="A26" t="s">
        <v>216</v>
      </c>
      <c r="B26">
        <v>26.309910568975301</v>
      </c>
      <c r="C26">
        <v>0</v>
      </c>
      <c r="D26">
        <v>0</v>
      </c>
      <c r="E26">
        <v>0</v>
      </c>
      <c r="F26">
        <v>0</v>
      </c>
      <c r="G26">
        <v>0</v>
      </c>
      <c r="H26">
        <v>0</v>
      </c>
      <c r="I26">
        <v>0</v>
      </c>
      <c r="K26">
        <v>26.309910568975301</v>
      </c>
      <c r="L26">
        <v>26.309910568975301</v>
      </c>
    </row>
    <row r="27" spans="1:12">
      <c r="A27" t="s">
        <v>10</v>
      </c>
      <c r="B27">
        <v>118.120006965244</v>
      </c>
      <c r="C27">
        <v>17.023315532616</v>
      </c>
      <c r="D27">
        <v>5.3411334572508</v>
      </c>
      <c r="E27">
        <v>1.1182505068809201</v>
      </c>
      <c r="F27">
        <v>5.7574771280624804</v>
      </c>
      <c r="G27">
        <v>48.486357557791003</v>
      </c>
      <c r="H27">
        <v>10.1227145515247</v>
      </c>
      <c r="I27">
        <v>4.3775997272482599</v>
      </c>
      <c r="J27">
        <v>31.519638110691499</v>
      </c>
      <c r="K27">
        <v>210.34685542661799</v>
      </c>
      <c r="L27">
        <v>241.86649353730999</v>
      </c>
    </row>
    <row r="28" spans="1:12">
      <c r="A28" t="s">
        <v>217</v>
      </c>
    </row>
    <row r="29" spans="1:12">
      <c r="A29" t="s">
        <v>218</v>
      </c>
    </row>
    <row r="31" spans="1:12">
      <c r="A31">
        <v>2030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7.9865806915524002</v>
      </c>
      <c r="C33">
        <v>9.2211616891774</v>
      </c>
      <c r="D33">
        <v>4.1797717793542999</v>
      </c>
      <c r="F33">
        <v>7.0537868434781599</v>
      </c>
      <c r="G33">
        <v>27.7414380005239</v>
      </c>
      <c r="H33">
        <v>4.0007689276751002</v>
      </c>
      <c r="I33">
        <v>1.76344671086954</v>
      </c>
      <c r="J33">
        <v>14.106786738135799</v>
      </c>
      <c r="K33">
        <v>61.9469546426308</v>
      </c>
      <c r="L33">
        <v>76.053741380766596</v>
      </c>
    </row>
    <row r="34" spans="1:12">
      <c r="A34" t="s">
        <v>212</v>
      </c>
      <c r="B34">
        <v>4.1300172223687497</v>
      </c>
      <c r="C34">
        <v>4.1300172223687497</v>
      </c>
      <c r="D34">
        <v>0.8946934460707</v>
      </c>
      <c r="E34">
        <v>0</v>
      </c>
      <c r="F34">
        <v>0</v>
      </c>
      <c r="G34">
        <v>3.6379629672113998</v>
      </c>
      <c r="H34">
        <v>0.19343554945649999</v>
      </c>
      <c r="I34">
        <v>3.7384479607226</v>
      </c>
      <c r="J34">
        <v>6.1950258335531201</v>
      </c>
      <c r="K34">
        <v>16.724574368198699</v>
      </c>
      <c r="L34">
        <v>22.919600201751798</v>
      </c>
    </row>
    <row r="35" spans="1:12">
      <c r="A35" t="s">
        <v>140</v>
      </c>
      <c r="B35">
        <v>11.8721780932577</v>
      </c>
      <c r="C35">
        <v>0</v>
      </c>
      <c r="D35">
        <v>0</v>
      </c>
      <c r="E35">
        <v>0</v>
      </c>
      <c r="F35">
        <v>0</v>
      </c>
      <c r="G35">
        <v>2.5273881171479</v>
      </c>
      <c r="H35">
        <v>0.61166542466829998</v>
      </c>
      <c r="I35">
        <v>0</v>
      </c>
      <c r="K35">
        <v>15.0112316350739</v>
      </c>
      <c r="L35">
        <v>15.0112316350739</v>
      </c>
    </row>
    <row r="36" spans="1:12">
      <c r="A36" t="s">
        <v>141</v>
      </c>
      <c r="B36">
        <v>15.2848315075233</v>
      </c>
      <c r="C36">
        <v>0</v>
      </c>
      <c r="D36">
        <v>0</v>
      </c>
      <c r="E36">
        <v>0</v>
      </c>
      <c r="F36">
        <v>0</v>
      </c>
      <c r="G36">
        <v>0</v>
      </c>
      <c r="H36">
        <v>0</v>
      </c>
      <c r="I36">
        <v>0</v>
      </c>
      <c r="K36">
        <v>15.2848315075233</v>
      </c>
      <c r="L36">
        <v>15.2848315075233</v>
      </c>
    </row>
    <row r="37" spans="1:12">
      <c r="A37" t="s">
        <v>213</v>
      </c>
      <c r="B37">
        <v>45.907009040287299</v>
      </c>
      <c r="C37">
        <v>0</v>
      </c>
      <c r="D37">
        <v>0</v>
      </c>
      <c r="E37">
        <v>0</v>
      </c>
      <c r="F37">
        <v>0</v>
      </c>
      <c r="G37">
        <v>0</v>
      </c>
      <c r="H37">
        <v>0</v>
      </c>
      <c r="I37">
        <v>0</v>
      </c>
      <c r="K37">
        <v>45.907009040287299</v>
      </c>
      <c r="L37">
        <v>45.907009040287299</v>
      </c>
    </row>
    <row r="38" spans="1:12">
      <c r="A38" t="s">
        <v>143</v>
      </c>
      <c r="C38">
        <v>6.0856597961760004</v>
      </c>
      <c r="D38">
        <v>0</v>
      </c>
      <c r="E38">
        <v>0</v>
      </c>
      <c r="F38">
        <v>0</v>
      </c>
      <c r="G38">
        <v>0</v>
      </c>
      <c r="H38">
        <v>0</v>
      </c>
      <c r="I38">
        <v>0</v>
      </c>
      <c r="J38">
        <v>18.776315865322498</v>
      </c>
      <c r="K38">
        <v>6.0856597961760004</v>
      </c>
      <c r="L38">
        <v>24.861975661498501</v>
      </c>
    </row>
    <row r="39" spans="1:12">
      <c r="A39" t="s">
        <v>214</v>
      </c>
      <c r="B39">
        <v>0.81988401876299999</v>
      </c>
      <c r="D39">
        <v>0</v>
      </c>
      <c r="E39">
        <v>0</v>
      </c>
      <c r="F39">
        <v>0</v>
      </c>
      <c r="G39">
        <v>1.6393711123813</v>
      </c>
      <c r="H39">
        <v>0</v>
      </c>
      <c r="I39">
        <v>0</v>
      </c>
      <c r="K39">
        <v>2.4592551311443001</v>
      </c>
      <c r="L39">
        <v>2.4592551311443001</v>
      </c>
    </row>
    <row r="40" spans="1:12">
      <c r="A40" t="s">
        <v>215</v>
      </c>
      <c r="B40">
        <v>86.000500573752504</v>
      </c>
      <c r="C40">
        <v>19.436838707722199</v>
      </c>
      <c r="D40">
        <v>5.0744652254249996</v>
      </c>
      <c r="E40">
        <v>0</v>
      </c>
      <c r="F40">
        <v>7.0537868434781599</v>
      </c>
      <c r="G40">
        <v>35.546160197264498</v>
      </c>
      <c r="H40">
        <v>4.8058699017999</v>
      </c>
      <c r="I40">
        <v>5.5018946715921402</v>
      </c>
      <c r="J40">
        <v>39.078128437011401</v>
      </c>
      <c r="K40">
        <v>163.41951612103401</v>
      </c>
      <c r="L40">
        <v>202.49764455804601</v>
      </c>
    </row>
    <row r="41" spans="1:12">
      <c r="A41" t="s">
        <v>216</v>
      </c>
      <c r="B41">
        <v>25.624889910981899</v>
      </c>
      <c r="C41">
        <v>0</v>
      </c>
      <c r="D41">
        <v>0</v>
      </c>
      <c r="E41">
        <v>0</v>
      </c>
      <c r="F41">
        <v>0</v>
      </c>
      <c r="G41">
        <v>0</v>
      </c>
      <c r="H41">
        <v>0</v>
      </c>
      <c r="I41">
        <v>0</v>
      </c>
      <c r="K41">
        <v>25.624889910981899</v>
      </c>
      <c r="L41">
        <v>25.624889910981899</v>
      </c>
    </row>
    <row r="42" spans="1:12">
      <c r="A42" t="s">
        <v>10</v>
      </c>
      <c r="B42">
        <v>111.625390484734</v>
      </c>
      <c r="C42">
        <v>19.436838707722199</v>
      </c>
      <c r="D42">
        <v>5.0744652254249996</v>
      </c>
      <c r="E42">
        <v>0</v>
      </c>
      <c r="F42">
        <v>7.0537868434781599</v>
      </c>
      <c r="G42">
        <v>35.546160197264498</v>
      </c>
      <c r="H42">
        <v>4.8058699017999</v>
      </c>
      <c r="I42">
        <v>5.5018946715921402</v>
      </c>
      <c r="J42">
        <v>39.078128437011401</v>
      </c>
      <c r="K42">
        <v>189.04440603201601</v>
      </c>
      <c r="L42">
        <v>228.12253446902801</v>
      </c>
    </row>
    <row r="43" spans="1:12">
      <c r="A43" t="s">
        <v>217</v>
      </c>
      <c r="K43">
        <v>0.93576088486563302</v>
      </c>
    </row>
    <row r="44" spans="1:12">
      <c r="A44" t="s">
        <v>218</v>
      </c>
    </row>
    <row r="46" spans="1:12">
      <c r="A46">
        <v>2050</v>
      </c>
    </row>
    <row r="47" spans="1:12">
      <c r="A47" t="s">
        <v>128</v>
      </c>
      <c r="B47" t="s">
        <v>57</v>
      </c>
      <c r="C47" t="s">
        <v>207</v>
      </c>
      <c r="D47" t="s">
        <v>105</v>
      </c>
      <c r="E47" t="s">
        <v>42</v>
      </c>
      <c r="F47" t="s">
        <v>134</v>
      </c>
      <c r="G47" t="s">
        <v>54</v>
      </c>
      <c r="H47" t="s">
        <v>208</v>
      </c>
      <c r="I47" t="s">
        <v>209</v>
      </c>
      <c r="J47" t="s">
        <v>210</v>
      </c>
      <c r="K47" t="s">
        <v>211</v>
      </c>
      <c r="L47" t="s">
        <v>10</v>
      </c>
    </row>
    <row r="48" spans="1:12">
      <c r="A48" t="s">
        <v>138</v>
      </c>
      <c r="B48">
        <v>5.8523640541175004</v>
      </c>
      <c r="C48">
        <v>9.6916384892280991</v>
      </c>
      <c r="D48">
        <v>12.0940616509414</v>
      </c>
      <c r="F48">
        <v>5.7376992755080796</v>
      </c>
      <c r="G48">
        <v>1.6243612661704001</v>
      </c>
      <c r="H48">
        <v>9.9083878957999996E-3</v>
      </c>
      <c r="I48">
        <v>1.4344248188770199</v>
      </c>
      <c r="J48">
        <v>15.069021727073199</v>
      </c>
      <c r="K48">
        <v>36.444457942738303</v>
      </c>
      <c r="L48">
        <v>51.513479669811503</v>
      </c>
    </row>
    <row r="49" spans="1:12">
      <c r="A49" t="s">
        <v>212</v>
      </c>
      <c r="B49">
        <v>0.11976961531749999</v>
      </c>
      <c r="C49">
        <v>4.1300172223687497</v>
      </c>
      <c r="D49">
        <v>0.8946934460707</v>
      </c>
      <c r="E49">
        <v>0</v>
      </c>
      <c r="F49">
        <v>0</v>
      </c>
      <c r="G49">
        <v>1.689494832574</v>
      </c>
      <c r="H49">
        <v>6.1075926729999997E-3</v>
      </c>
      <c r="I49">
        <v>3.3230107511964002</v>
      </c>
      <c r="J49">
        <v>6.1950258335531201</v>
      </c>
      <c r="K49">
        <v>10.1630934602004</v>
      </c>
      <c r="L49">
        <v>16.3581192937535</v>
      </c>
    </row>
    <row r="50" spans="1:12">
      <c r="A50" t="s">
        <v>140</v>
      </c>
      <c r="B50">
        <v>12.139093722674</v>
      </c>
      <c r="C50">
        <v>0</v>
      </c>
      <c r="D50">
        <v>0</v>
      </c>
      <c r="E50">
        <v>0</v>
      </c>
      <c r="F50">
        <v>0</v>
      </c>
      <c r="G50">
        <v>1.3508680727360001</v>
      </c>
      <c r="H50">
        <v>0.2384320247301</v>
      </c>
      <c r="I50">
        <v>0</v>
      </c>
      <c r="K50">
        <v>13.7283938201401</v>
      </c>
      <c r="L50">
        <v>13.7283938201401</v>
      </c>
    </row>
    <row r="51" spans="1:12">
      <c r="A51" t="s">
        <v>141</v>
      </c>
      <c r="B51">
        <v>9.8452476075075008</v>
      </c>
      <c r="C51">
        <v>0</v>
      </c>
      <c r="D51">
        <v>0</v>
      </c>
      <c r="E51">
        <v>0</v>
      </c>
      <c r="F51">
        <v>0</v>
      </c>
      <c r="G51">
        <v>0</v>
      </c>
      <c r="H51">
        <v>0</v>
      </c>
      <c r="I51">
        <v>0</v>
      </c>
      <c r="K51">
        <v>9.8452476075075008</v>
      </c>
      <c r="L51">
        <v>9.8452476075075008</v>
      </c>
    </row>
    <row r="52" spans="1:12">
      <c r="A52" t="s">
        <v>213</v>
      </c>
      <c r="B52">
        <v>42.907833391588298</v>
      </c>
      <c r="C52">
        <v>0</v>
      </c>
      <c r="D52">
        <v>0</v>
      </c>
      <c r="E52">
        <v>0</v>
      </c>
      <c r="F52">
        <v>0</v>
      </c>
      <c r="G52">
        <v>0</v>
      </c>
      <c r="H52">
        <v>0</v>
      </c>
      <c r="I52">
        <v>0</v>
      </c>
      <c r="K52">
        <v>42.907833391588298</v>
      </c>
      <c r="L52">
        <v>42.907833391588298</v>
      </c>
    </row>
    <row r="53" spans="1:12">
      <c r="A53" t="s">
        <v>143</v>
      </c>
      <c r="C53">
        <v>6.3631434451273003</v>
      </c>
      <c r="D53">
        <v>0</v>
      </c>
      <c r="E53">
        <v>0</v>
      </c>
      <c r="F53">
        <v>0</v>
      </c>
      <c r="G53">
        <v>0</v>
      </c>
      <c r="H53">
        <v>0</v>
      </c>
      <c r="I53">
        <v>0</v>
      </c>
      <c r="K53">
        <v>6.3631434451273003</v>
      </c>
      <c r="L53">
        <v>6.4</v>
      </c>
    </row>
    <row r="54" spans="1:12">
      <c r="A54" t="s">
        <v>214</v>
      </c>
      <c r="B54">
        <v>0.46133931642010001</v>
      </c>
      <c r="D54">
        <v>0</v>
      </c>
      <c r="E54">
        <v>0</v>
      </c>
      <c r="F54">
        <v>0</v>
      </c>
      <c r="G54">
        <v>0.95264690516810002</v>
      </c>
      <c r="H54">
        <v>0</v>
      </c>
      <c r="I54">
        <v>0</v>
      </c>
      <c r="K54">
        <v>1.4139862215882</v>
      </c>
      <c r="L54">
        <v>1.4139862215882</v>
      </c>
    </row>
    <row r="55" spans="1:12">
      <c r="A55" t="s">
        <v>215</v>
      </c>
      <c r="B55">
        <v>71.325647707624896</v>
      </c>
      <c r="C55">
        <v>20.1847991567241</v>
      </c>
      <c r="D55">
        <v>12.988755097012101</v>
      </c>
      <c r="E55">
        <v>0</v>
      </c>
      <c r="F55">
        <v>5.7376992755080796</v>
      </c>
      <c r="G55">
        <v>5.6173710766485003</v>
      </c>
      <c r="H55">
        <v>0.25444800529889999</v>
      </c>
      <c r="I55">
        <v>4.7574355700734197</v>
      </c>
      <c r="J55">
        <v>44.850389616754001</v>
      </c>
      <c r="K55">
        <v>120.86615588889001</v>
      </c>
      <c r="L55">
        <v>165.71654550564401</v>
      </c>
    </row>
    <row r="56" spans="1:12">
      <c r="A56" t="s">
        <v>216</v>
      </c>
      <c r="B56">
        <v>23.9431583804922</v>
      </c>
      <c r="C56">
        <v>0</v>
      </c>
      <c r="D56">
        <v>0</v>
      </c>
      <c r="E56">
        <v>0</v>
      </c>
      <c r="F56">
        <v>0</v>
      </c>
      <c r="G56">
        <v>0</v>
      </c>
      <c r="H56">
        <v>0</v>
      </c>
      <c r="I56">
        <v>0</v>
      </c>
      <c r="K56">
        <v>23.9431583804922</v>
      </c>
      <c r="L56">
        <v>23.9431583804922</v>
      </c>
    </row>
    <row r="57" spans="1:12">
      <c r="A57" t="s">
        <v>10</v>
      </c>
      <c r="B57">
        <v>95.268806088117103</v>
      </c>
      <c r="C57">
        <v>20.1847991567241</v>
      </c>
      <c r="D57">
        <v>12.988755097012101</v>
      </c>
      <c r="E57">
        <v>0</v>
      </c>
      <c r="F57">
        <v>5.7376992755080796</v>
      </c>
      <c r="G57">
        <v>5.6173710766485003</v>
      </c>
      <c r="H57">
        <v>0.25444800529889999</v>
      </c>
      <c r="I57">
        <v>4.7574355700734197</v>
      </c>
      <c r="J57">
        <v>44.850389616754001</v>
      </c>
      <c r="K57">
        <v>144.80931426938201</v>
      </c>
      <c r="L57">
        <v>166.11021838488099</v>
      </c>
    </row>
    <row r="58" spans="1:12">
      <c r="A58" t="s">
        <v>217</v>
      </c>
    </row>
    <row r="59" spans="1:12">
      <c r="A59" t="s">
        <v>218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19"/>
  <dimension ref="A1:L44"/>
  <sheetViews>
    <sheetView workbookViewId="0"/>
  </sheetViews>
  <sheetFormatPr baseColWidth="10" defaultColWidth="11.453125" defaultRowHeight="14.5"/>
  <sheetData>
    <row r="1" spans="1:12">
      <c r="A1">
        <v>2025</v>
      </c>
    </row>
    <row r="2" spans="1:12">
      <c r="A2" t="s">
        <v>128</v>
      </c>
      <c r="B2" t="s">
        <v>57</v>
      </c>
      <c r="C2" t="s">
        <v>207</v>
      </c>
      <c r="D2" t="s">
        <v>105</v>
      </c>
      <c r="E2" t="s">
        <v>42</v>
      </c>
      <c r="F2" t="s">
        <v>134</v>
      </c>
      <c r="G2" t="s">
        <v>54</v>
      </c>
      <c r="H2" t="s">
        <v>208</v>
      </c>
      <c r="I2" t="s">
        <v>209</v>
      </c>
      <c r="J2" t="s">
        <v>210</v>
      </c>
      <c r="K2" t="s">
        <v>211</v>
      </c>
      <c r="L2" t="s">
        <v>10</v>
      </c>
    </row>
    <row r="3" spans="1:12">
      <c r="A3" t="s">
        <v>138</v>
      </c>
      <c r="B3">
        <v>8.9718125061079999</v>
      </c>
      <c r="C3">
        <v>7.5244428280336004</v>
      </c>
      <c r="D3">
        <v>4.1448280467982999</v>
      </c>
      <c r="F3">
        <v>5.7574771280624804</v>
      </c>
      <c r="G3">
        <v>39.004453813544799</v>
      </c>
      <c r="H3">
        <v>8.9939273059531999</v>
      </c>
      <c r="I3">
        <v>1.4393692820156201</v>
      </c>
      <c r="J3">
        <v>11.4217194648713</v>
      </c>
      <c r="K3">
        <v>75.836310910516005</v>
      </c>
      <c r="L3">
        <v>87.258030375387307</v>
      </c>
    </row>
    <row r="4" spans="1:12">
      <c r="A4" t="s">
        <v>212</v>
      </c>
      <c r="B4">
        <v>5.2475986366028398</v>
      </c>
      <c r="C4">
        <v>3.4983990910685598</v>
      </c>
      <c r="D4">
        <v>1.1963054104524999</v>
      </c>
      <c r="E4">
        <v>0.73455761130816</v>
      </c>
      <c r="F4">
        <v>0</v>
      </c>
      <c r="G4">
        <v>4.5534877411513</v>
      </c>
      <c r="H4">
        <v>0.30731067968190001</v>
      </c>
      <c r="I4">
        <v>2.93823044523264</v>
      </c>
      <c r="J4">
        <v>5.2475986366028398</v>
      </c>
      <c r="K4">
        <v>18.475889615497898</v>
      </c>
      <c r="L4">
        <v>23.723488252100701</v>
      </c>
    </row>
    <row r="5" spans="1:12">
      <c r="A5" t="s">
        <v>140</v>
      </c>
      <c r="B5">
        <v>11.2851059106452</v>
      </c>
      <c r="C5">
        <v>0</v>
      </c>
      <c r="D5">
        <v>0</v>
      </c>
      <c r="E5">
        <v>0</v>
      </c>
      <c r="F5">
        <v>0</v>
      </c>
      <c r="G5">
        <v>3.0165698263876002</v>
      </c>
      <c r="H5">
        <v>0.82147656588960005</v>
      </c>
      <c r="I5">
        <v>0</v>
      </c>
      <c r="K5">
        <v>15.123152302922399</v>
      </c>
      <c r="L5">
        <v>15.123152302922399</v>
      </c>
    </row>
    <row r="6" spans="1:12">
      <c r="A6" t="s">
        <v>141</v>
      </c>
      <c r="B6">
        <v>19.375331905517701</v>
      </c>
      <c r="C6">
        <v>0</v>
      </c>
      <c r="D6">
        <v>0</v>
      </c>
      <c r="E6">
        <v>0</v>
      </c>
      <c r="F6">
        <v>0</v>
      </c>
      <c r="G6">
        <v>0</v>
      </c>
      <c r="H6">
        <v>0</v>
      </c>
      <c r="I6">
        <v>0</v>
      </c>
      <c r="K6">
        <v>19.375331905517701</v>
      </c>
      <c r="L6">
        <v>19.375331905517701</v>
      </c>
    </row>
    <row r="7" spans="1:12">
      <c r="A7" t="s">
        <v>213</v>
      </c>
      <c r="B7">
        <v>46.354708094036098</v>
      </c>
      <c r="C7">
        <v>0</v>
      </c>
      <c r="D7">
        <v>0</v>
      </c>
      <c r="E7">
        <v>0</v>
      </c>
      <c r="F7">
        <v>0</v>
      </c>
      <c r="G7">
        <v>0</v>
      </c>
      <c r="H7">
        <v>0</v>
      </c>
      <c r="I7">
        <v>0</v>
      </c>
      <c r="K7">
        <v>46.354708094036098</v>
      </c>
      <c r="L7">
        <v>46.354708094036098</v>
      </c>
    </row>
    <row r="8" spans="1:12">
      <c r="A8" t="s">
        <v>143</v>
      </c>
      <c r="C8">
        <v>6.0004736135138002</v>
      </c>
      <c r="D8">
        <v>0</v>
      </c>
      <c r="E8">
        <v>0</v>
      </c>
      <c r="F8">
        <v>0</v>
      </c>
      <c r="G8">
        <v>0</v>
      </c>
      <c r="H8">
        <v>0</v>
      </c>
      <c r="I8">
        <v>0</v>
      </c>
      <c r="J8">
        <v>14.8503200092174</v>
      </c>
      <c r="K8">
        <v>6.0004736135138002</v>
      </c>
      <c r="L8">
        <v>20.850793622731199</v>
      </c>
    </row>
    <row r="9" spans="1:12">
      <c r="A9" t="s">
        <v>214</v>
      </c>
      <c r="B9">
        <v>0.57553934335914003</v>
      </c>
      <c r="D9">
        <v>0</v>
      </c>
      <c r="E9">
        <v>0.38369289557275998</v>
      </c>
      <c r="F9">
        <v>0</v>
      </c>
      <c r="G9">
        <v>1.9118461767073001</v>
      </c>
      <c r="H9">
        <v>0</v>
      </c>
      <c r="I9">
        <v>0</v>
      </c>
      <c r="K9">
        <v>2.8710784156392002</v>
      </c>
      <c r="L9">
        <v>2.8710784156392002</v>
      </c>
    </row>
    <row r="10" spans="1:12">
      <c r="A10" t="s">
        <v>215</v>
      </c>
      <c r="B10">
        <v>91.810096396269003</v>
      </c>
      <c r="C10">
        <v>17.023315532616</v>
      </c>
      <c r="D10">
        <v>5.3411334572508</v>
      </c>
      <c r="E10">
        <v>1.1182505068809201</v>
      </c>
      <c r="F10">
        <v>5.7574771280624804</v>
      </c>
      <c r="G10">
        <v>48.486357557791003</v>
      </c>
      <c r="H10">
        <v>10.1227145515247</v>
      </c>
      <c r="I10">
        <v>4.3775997272482599</v>
      </c>
      <c r="J10">
        <v>31.519638110691499</v>
      </c>
      <c r="K10">
        <v>184.03694485764299</v>
      </c>
      <c r="L10">
        <v>215.55658296833499</v>
      </c>
    </row>
    <row r="11" spans="1:12">
      <c r="A11" t="s">
        <v>216</v>
      </c>
      <c r="B11">
        <v>26.309910568975301</v>
      </c>
      <c r="C11">
        <v>0</v>
      </c>
      <c r="D11">
        <v>0</v>
      </c>
      <c r="E11">
        <v>0</v>
      </c>
      <c r="F11">
        <v>0</v>
      </c>
      <c r="G11">
        <v>0</v>
      </c>
      <c r="H11">
        <v>0</v>
      </c>
      <c r="I11">
        <v>0</v>
      </c>
      <c r="K11">
        <v>26.309910568975301</v>
      </c>
      <c r="L11">
        <v>26.309910568975301</v>
      </c>
    </row>
    <row r="12" spans="1:12">
      <c r="A12" t="s">
        <v>10</v>
      </c>
      <c r="B12">
        <v>118.120006965244</v>
      </c>
      <c r="C12">
        <v>17.023315532616</v>
      </c>
      <c r="D12">
        <v>5.3411334572508</v>
      </c>
      <c r="E12">
        <v>1.1182505068809201</v>
      </c>
      <c r="F12">
        <v>5.7574771280624804</v>
      </c>
      <c r="G12">
        <v>48.486357557791003</v>
      </c>
      <c r="H12">
        <v>10.1227145515247</v>
      </c>
      <c r="I12">
        <v>4.3775997272482599</v>
      </c>
      <c r="J12">
        <v>31.519638110691499</v>
      </c>
      <c r="K12">
        <v>210.34685542661799</v>
      </c>
      <c r="L12">
        <v>241.86649353730999</v>
      </c>
    </row>
    <row r="13" spans="1:12">
      <c r="A13" t="s">
        <v>217</v>
      </c>
    </row>
    <row r="14" spans="1:12">
      <c r="A14" t="s">
        <v>218</v>
      </c>
    </row>
    <row r="16" spans="1:12">
      <c r="A16">
        <v>2030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7.9865806915524002</v>
      </c>
      <c r="C18">
        <v>9.2211616891774</v>
      </c>
      <c r="D18">
        <v>4.1797717793542999</v>
      </c>
      <c r="F18">
        <v>7.0537868434781599</v>
      </c>
      <c r="G18">
        <v>27.7414380005239</v>
      </c>
      <c r="H18">
        <v>4.0007689276751002</v>
      </c>
      <c r="I18">
        <v>1.76344671086954</v>
      </c>
      <c r="J18">
        <v>14.106786738135799</v>
      </c>
      <c r="K18">
        <v>61.9469546426308</v>
      </c>
      <c r="L18">
        <v>76.053741380766596</v>
      </c>
    </row>
    <row r="19" spans="1:12">
      <c r="A19" t="s">
        <v>212</v>
      </c>
      <c r="B19">
        <v>4.1300172223687497</v>
      </c>
      <c r="C19">
        <v>4.1300172223687497</v>
      </c>
      <c r="D19">
        <v>0.8946934460707</v>
      </c>
      <c r="E19">
        <v>0</v>
      </c>
      <c r="F19">
        <v>0</v>
      </c>
      <c r="G19">
        <v>3.6379629672113998</v>
      </c>
      <c r="H19">
        <v>0.19343554945649999</v>
      </c>
      <c r="I19">
        <v>3.7384479607226</v>
      </c>
      <c r="J19">
        <v>6.1950258335531201</v>
      </c>
      <c r="K19">
        <v>16.724574368198699</v>
      </c>
      <c r="L19">
        <v>22.919600201751798</v>
      </c>
    </row>
    <row r="20" spans="1:12">
      <c r="A20" t="s">
        <v>140</v>
      </c>
      <c r="B20">
        <v>11.8721780932577</v>
      </c>
      <c r="C20">
        <v>0</v>
      </c>
      <c r="D20">
        <v>0</v>
      </c>
      <c r="E20">
        <v>0</v>
      </c>
      <c r="F20">
        <v>0</v>
      </c>
      <c r="G20">
        <v>2.5273881171479</v>
      </c>
      <c r="H20">
        <v>0.61166542466829998</v>
      </c>
      <c r="I20">
        <v>0</v>
      </c>
      <c r="K20">
        <v>15.0112316350739</v>
      </c>
      <c r="L20">
        <v>15.0112316350739</v>
      </c>
    </row>
    <row r="21" spans="1:12">
      <c r="A21" t="s">
        <v>141</v>
      </c>
      <c r="B21">
        <v>15.2848315075233</v>
      </c>
      <c r="C21">
        <v>0</v>
      </c>
      <c r="D21">
        <v>0</v>
      </c>
      <c r="E21">
        <v>0</v>
      </c>
      <c r="F21">
        <v>0</v>
      </c>
      <c r="G21">
        <v>0</v>
      </c>
      <c r="H21">
        <v>0</v>
      </c>
      <c r="I21">
        <v>0</v>
      </c>
      <c r="K21">
        <v>15.2848315075233</v>
      </c>
      <c r="L21">
        <v>15.2848315075233</v>
      </c>
    </row>
    <row r="22" spans="1:12">
      <c r="A22" t="s">
        <v>213</v>
      </c>
      <c r="B22">
        <v>45.907009040287299</v>
      </c>
      <c r="C22">
        <v>0</v>
      </c>
      <c r="D22">
        <v>0</v>
      </c>
      <c r="E22">
        <v>0</v>
      </c>
      <c r="F22">
        <v>0</v>
      </c>
      <c r="G22">
        <v>0</v>
      </c>
      <c r="H22">
        <v>0</v>
      </c>
      <c r="I22">
        <v>0</v>
      </c>
      <c r="K22">
        <v>45.907009040287299</v>
      </c>
      <c r="L22">
        <v>45.907009040287299</v>
      </c>
    </row>
    <row r="23" spans="1:12">
      <c r="A23" t="s">
        <v>143</v>
      </c>
      <c r="C23">
        <v>6.0856597961760004</v>
      </c>
      <c r="D23">
        <v>0</v>
      </c>
      <c r="E23">
        <v>0</v>
      </c>
      <c r="F23">
        <v>0</v>
      </c>
      <c r="G23">
        <v>0</v>
      </c>
      <c r="H23">
        <v>0</v>
      </c>
      <c r="I23">
        <v>0</v>
      </c>
      <c r="J23">
        <v>18.776315865322498</v>
      </c>
      <c r="K23">
        <v>6.0856597961760004</v>
      </c>
      <c r="L23">
        <v>24.861975661498501</v>
      </c>
    </row>
    <row r="24" spans="1:12">
      <c r="A24" t="s">
        <v>214</v>
      </c>
      <c r="B24">
        <v>0.81988401876299999</v>
      </c>
      <c r="D24">
        <v>0</v>
      </c>
      <c r="E24">
        <v>0</v>
      </c>
      <c r="F24">
        <v>0</v>
      </c>
      <c r="G24">
        <v>1.6393711123813</v>
      </c>
      <c r="H24">
        <v>0</v>
      </c>
      <c r="I24">
        <v>0</v>
      </c>
      <c r="K24">
        <v>2.4592551311443001</v>
      </c>
      <c r="L24">
        <v>2.4592551311443001</v>
      </c>
    </row>
    <row r="25" spans="1:12">
      <c r="A25" t="s">
        <v>215</v>
      </c>
      <c r="B25">
        <v>86.000500573752504</v>
      </c>
      <c r="C25">
        <v>19.436838707722199</v>
      </c>
      <c r="D25">
        <v>5.0744652254249996</v>
      </c>
      <c r="E25">
        <v>0</v>
      </c>
      <c r="F25">
        <v>7.0537868434781599</v>
      </c>
      <c r="G25">
        <v>35.546160197264498</v>
      </c>
      <c r="H25">
        <v>4.8058699017999</v>
      </c>
      <c r="I25">
        <v>5.5018946715921402</v>
      </c>
      <c r="J25">
        <v>39.078128437011401</v>
      </c>
      <c r="K25">
        <v>163.41951612103401</v>
      </c>
      <c r="L25">
        <v>202.49764455804601</v>
      </c>
    </row>
    <row r="26" spans="1:12">
      <c r="A26" t="s">
        <v>216</v>
      </c>
      <c r="B26">
        <v>25.624889910981899</v>
      </c>
      <c r="C26">
        <v>0</v>
      </c>
      <c r="D26">
        <v>0</v>
      </c>
      <c r="E26">
        <v>0</v>
      </c>
      <c r="F26">
        <v>0</v>
      </c>
      <c r="G26">
        <v>0</v>
      </c>
      <c r="H26">
        <v>0</v>
      </c>
      <c r="I26">
        <v>0</v>
      </c>
      <c r="K26">
        <v>25.624889910981899</v>
      </c>
      <c r="L26">
        <v>25.624889910981899</v>
      </c>
    </row>
    <row r="27" spans="1:12">
      <c r="A27" t="s">
        <v>10</v>
      </c>
      <c r="B27">
        <v>111.625390484734</v>
      </c>
      <c r="C27">
        <v>19.436838707722199</v>
      </c>
      <c r="D27">
        <v>5.0744652254249996</v>
      </c>
      <c r="E27">
        <v>0</v>
      </c>
      <c r="F27">
        <v>7.0537868434781599</v>
      </c>
      <c r="G27">
        <v>35.546160197264498</v>
      </c>
      <c r="H27">
        <v>4.8058699017999</v>
      </c>
      <c r="I27">
        <v>5.5018946715921402</v>
      </c>
      <c r="J27">
        <v>39.078128437011401</v>
      </c>
      <c r="K27">
        <v>189.04440603201601</v>
      </c>
      <c r="L27">
        <v>228.12253446902801</v>
      </c>
    </row>
    <row r="28" spans="1:12">
      <c r="A28" t="s">
        <v>217</v>
      </c>
      <c r="K28">
        <v>0.93576088486563302</v>
      </c>
    </row>
    <row r="29" spans="1:12">
      <c r="A29" t="s">
        <v>218</v>
      </c>
    </row>
    <row r="31" spans="1:12">
      <c r="A31">
        <v>2050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5.8523640541175004</v>
      </c>
      <c r="C33">
        <v>9.6916384892280991</v>
      </c>
      <c r="D33">
        <v>12.0940616509414</v>
      </c>
      <c r="F33">
        <v>5.7376992755080796</v>
      </c>
      <c r="G33">
        <v>1.6243612661704001</v>
      </c>
      <c r="H33">
        <v>9.9083878957999996E-3</v>
      </c>
      <c r="I33">
        <v>1.4344248188770199</v>
      </c>
      <c r="J33">
        <v>15.069021727073199</v>
      </c>
      <c r="K33">
        <v>36.444457942738303</v>
      </c>
      <c r="L33">
        <v>51.513479669811503</v>
      </c>
    </row>
    <row r="34" spans="1:12">
      <c r="A34" t="s">
        <v>212</v>
      </c>
      <c r="B34">
        <v>0.11976961531749999</v>
      </c>
      <c r="C34">
        <v>4.1300172223687497</v>
      </c>
      <c r="D34">
        <v>0.8946934460707</v>
      </c>
      <c r="E34">
        <v>0</v>
      </c>
      <c r="F34">
        <v>0</v>
      </c>
      <c r="G34">
        <v>1.689494832574</v>
      </c>
      <c r="H34">
        <v>6.1075926729999997E-3</v>
      </c>
      <c r="I34">
        <v>3.3230107511964002</v>
      </c>
      <c r="J34">
        <v>6.1950258335531201</v>
      </c>
      <c r="K34">
        <v>10.1630934602004</v>
      </c>
      <c r="L34">
        <v>16.3581192937535</v>
      </c>
    </row>
    <row r="35" spans="1:12">
      <c r="A35" t="s">
        <v>140</v>
      </c>
      <c r="B35">
        <v>12.139093722674</v>
      </c>
      <c r="C35">
        <v>0</v>
      </c>
      <c r="D35">
        <v>0</v>
      </c>
      <c r="E35">
        <v>0</v>
      </c>
      <c r="F35">
        <v>0</v>
      </c>
      <c r="G35">
        <v>1.3508680727360001</v>
      </c>
      <c r="H35">
        <v>0.2384320247301</v>
      </c>
      <c r="I35">
        <v>0</v>
      </c>
      <c r="K35">
        <v>13.7283938201401</v>
      </c>
      <c r="L35">
        <v>13.7283938201401</v>
      </c>
    </row>
    <row r="36" spans="1:12">
      <c r="A36" t="s">
        <v>141</v>
      </c>
      <c r="B36">
        <v>9.8452476075075008</v>
      </c>
      <c r="C36">
        <v>0</v>
      </c>
      <c r="D36">
        <v>0</v>
      </c>
      <c r="E36">
        <v>0</v>
      </c>
      <c r="F36">
        <v>0</v>
      </c>
      <c r="G36">
        <v>0</v>
      </c>
      <c r="H36">
        <v>0</v>
      </c>
      <c r="I36">
        <v>0</v>
      </c>
      <c r="K36">
        <v>9.8452476075075008</v>
      </c>
      <c r="L36">
        <v>9.8452476075075008</v>
      </c>
    </row>
    <row r="37" spans="1:12">
      <c r="A37" t="s">
        <v>213</v>
      </c>
      <c r="B37">
        <v>42.907833391588298</v>
      </c>
      <c r="C37">
        <v>0</v>
      </c>
      <c r="D37">
        <v>0</v>
      </c>
      <c r="E37">
        <v>0</v>
      </c>
      <c r="F37">
        <v>0</v>
      </c>
      <c r="G37">
        <v>0</v>
      </c>
      <c r="H37">
        <v>0</v>
      </c>
      <c r="I37">
        <v>0</v>
      </c>
      <c r="K37">
        <v>42.907833391588298</v>
      </c>
      <c r="L37">
        <v>42.907833391588298</v>
      </c>
    </row>
    <row r="38" spans="1:12">
      <c r="A38" t="s">
        <v>143</v>
      </c>
      <c r="C38">
        <v>6.3631434451273003</v>
      </c>
      <c r="D38">
        <v>0</v>
      </c>
      <c r="E38">
        <v>0</v>
      </c>
      <c r="F38">
        <v>0</v>
      </c>
      <c r="G38">
        <v>0</v>
      </c>
      <c r="H38">
        <v>0</v>
      </c>
      <c r="I38">
        <v>0</v>
      </c>
      <c r="K38">
        <v>6.3631434451273003</v>
      </c>
      <c r="L38">
        <v>6.4</v>
      </c>
    </row>
    <row r="39" spans="1:12">
      <c r="A39" t="s">
        <v>214</v>
      </c>
      <c r="B39">
        <v>0.46133931642010001</v>
      </c>
      <c r="D39">
        <v>0</v>
      </c>
      <c r="E39">
        <v>0</v>
      </c>
      <c r="F39">
        <v>0</v>
      </c>
      <c r="G39">
        <v>0.95264690516810002</v>
      </c>
      <c r="H39">
        <v>0</v>
      </c>
      <c r="I39">
        <v>0</v>
      </c>
      <c r="K39">
        <v>1.4139862215882</v>
      </c>
      <c r="L39">
        <v>1.4139862215882</v>
      </c>
    </row>
    <row r="40" spans="1:12">
      <c r="A40" t="s">
        <v>215</v>
      </c>
      <c r="B40">
        <v>71.325647707624896</v>
      </c>
      <c r="C40">
        <v>20.1847991567241</v>
      </c>
      <c r="D40">
        <v>12.988755097012101</v>
      </c>
      <c r="E40">
        <v>0</v>
      </c>
      <c r="F40">
        <v>5.7376992755080796</v>
      </c>
      <c r="G40">
        <v>5.6173710766485003</v>
      </c>
      <c r="H40">
        <v>0.25444800529889999</v>
      </c>
      <c r="I40">
        <v>4.7574355700734197</v>
      </c>
      <c r="J40">
        <v>44.850389616754001</v>
      </c>
      <c r="K40">
        <v>120.86615588889001</v>
      </c>
      <c r="L40">
        <v>165.71654550564401</v>
      </c>
    </row>
    <row r="41" spans="1:12">
      <c r="A41" t="s">
        <v>216</v>
      </c>
      <c r="B41">
        <v>23.9431583804922</v>
      </c>
      <c r="C41">
        <v>0</v>
      </c>
      <c r="D41">
        <v>0</v>
      </c>
      <c r="E41">
        <v>0</v>
      </c>
      <c r="F41">
        <v>0</v>
      </c>
      <c r="G41">
        <v>0</v>
      </c>
      <c r="H41">
        <v>0</v>
      </c>
      <c r="I41">
        <v>0</v>
      </c>
      <c r="K41">
        <v>23.9431583804922</v>
      </c>
      <c r="L41">
        <v>23.9431583804922</v>
      </c>
    </row>
    <row r="42" spans="1:12">
      <c r="A42" t="s">
        <v>10</v>
      </c>
      <c r="B42">
        <v>95.268806088117103</v>
      </c>
      <c r="C42">
        <v>20.1847991567241</v>
      </c>
      <c r="D42">
        <v>12.988755097012101</v>
      </c>
      <c r="E42">
        <v>0</v>
      </c>
      <c r="F42">
        <v>5.7376992755080796</v>
      </c>
      <c r="G42">
        <v>5.6173710766485003</v>
      </c>
      <c r="H42">
        <v>0.25444800529889999</v>
      </c>
      <c r="I42">
        <v>4.7574355700734197</v>
      </c>
      <c r="J42">
        <v>44.850389616754001</v>
      </c>
      <c r="K42">
        <v>144.80931426938201</v>
      </c>
      <c r="L42">
        <v>166.11021838488099</v>
      </c>
    </row>
    <row r="43" spans="1:12">
      <c r="A43" t="s">
        <v>217</v>
      </c>
    </row>
    <row r="44" spans="1:12">
      <c r="A44" t="s">
        <v>218</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0"/>
  <dimension ref="A1:L29"/>
  <sheetViews>
    <sheetView workbookViewId="0"/>
  </sheetViews>
  <sheetFormatPr baseColWidth="10" defaultColWidth="11.453125" defaultRowHeight="14.5"/>
  <sheetData>
    <row r="1" spans="1:12">
      <c r="A1">
        <v>2030</v>
      </c>
    </row>
    <row r="2" spans="1:12">
      <c r="A2" t="s">
        <v>128</v>
      </c>
      <c r="B2" t="s">
        <v>57</v>
      </c>
      <c r="C2" t="s">
        <v>207</v>
      </c>
      <c r="D2" t="s">
        <v>105</v>
      </c>
      <c r="E2" t="s">
        <v>42</v>
      </c>
      <c r="F2" t="s">
        <v>134</v>
      </c>
      <c r="G2" t="s">
        <v>54</v>
      </c>
      <c r="H2" t="s">
        <v>208</v>
      </c>
      <c r="I2" t="s">
        <v>209</v>
      </c>
      <c r="J2" t="s">
        <v>210</v>
      </c>
      <c r="K2" t="s">
        <v>211</v>
      </c>
      <c r="L2" t="s">
        <v>10</v>
      </c>
    </row>
    <row r="3" spans="1:12">
      <c r="A3" t="s">
        <v>138</v>
      </c>
      <c r="B3">
        <v>7.9865806915524002</v>
      </c>
      <c r="C3">
        <v>9.2211616891774</v>
      </c>
      <c r="D3">
        <v>4.1797717793542999</v>
      </c>
      <c r="F3">
        <v>7.0537868434781599</v>
      </c>
      <c r="G3">
        <v>27.7414380005239</v>
      </c>
      <c r="H3">
        <v>4.0007689276751002</v>
      </c>
      <c r="I3">
        <v>1.76344671086954</v>
      </c>
      <c r="J3">
        <v>14.106786738135799</v>
      </c>
      <c r="K3">
        <v>61.9469546426308</v>
      </c>
      <c r="L3">
        <v>76.053741380766596</v>
      </c>
    </row>
    <row r="4" spans="1:12">
      <c r="A4" t="s">
        <v>212</v>
      </c>
      <c r="B4">
        <v>4.1300172223687497</v>
      </c>
      <c r="C4">
        <v>4.1300172223687497</v>
      </c>
      <c r="D4">
        <v>0.8946934460707</v>
      </c>
      <c r="E4">
        <v>0</v>
      </c>
      <c r="F4">
        <v>0</v>
      </c>
      <c r="G4">
        <v>3.6379629672113998</v>
      </c>
      <c r="H4">
        <v>0.19343554945649999</v>
      </c>
      <c r="I4">
        <v>3.7384479607226</v>
      </c>
      <c r="J4">
        <v>6.1950258335531201</v>
      </c>
      <c r="K4">
        <v>16.724574368198699</v>
      </c>
      <c r="L4">
        <v>22.919600201751798</v>
      </c>
    </row>
    <row r="5" spans="1:12">
      <c r="A5" t="s">
        <v>140</v>
      </c>
      <c r="B5">
        <v>11.8721780932577</v>
      </c>
      <c r="C5">
        <v>0</v>
      </c>
      <c r="D5">
        <v>0</v>
      </c>
      <c r="E5">
        <v>0</v>
      </c>
      <c r="F5">
        <v>0</v>
      </c>
      <c r="G5">
        <v>2.5273881171479</v>
      </c>
      <c r="H5">
        <v>0.61166542466829998</v>
      </c>
      <c r="I5">
        <v>0</v>
      </c>
      <c r="K5">
        <v>15.0112316350739</v>
      </c>
      <c r="L5">
        <v>15.0112316350739</v>
      </c>
    </row>
    <row r="6" spans="1:12">
      <c r="A6" t="s">
        <v>141</v>
      </c>
      <c r="B6">
        <v>15.2848315075233</v>
      </c>
      <c r="C6">
        <v>0</v>
      </c>
      <c r="D6">
        <v>0</v>
      </c>
      <c r="E6">
        <v>0</v>
      </c>
      <c r="F6">
        <v>0</v>
      </c>
      <c r="G6">
        <v>0</v>
      </c>
      <c r="H6">
        <v>0</v>
      </c>
      <c r="I6">
        <v>0</v>
      </c>
      <c r="K6">
        <v>15.2848315075233</v>
      </c>
      <c r="L6">
        <v>15.2848315075233</v>
      </c>
    </row>
    <row r="7" spans="1:12">
      <c r="A7" t="s">
        <v>213</v>
      </c>
      <c r="B7">
        <v>45.907009040287299</v>
      </c>
      <c r="C7">
        <v>0</v>
      </c>
      <c r="D7">
        <v>0</v>
      </c>
      <c r="E7">
        <v>0</v>
      </c>
      <c r="F7">
        <v>0</v>
      </c>
      <c r="G7">
        <v>0</v>
      </c>
      <c r="H7">
        <v>0</v>
      </c>
      <c r="I7">
        <v>0</v>
      </c>
      <c r="K7">
        <v>45.907009040287299</v>
      </c>
      <c r="L7">
        <v>45.907009040287299</v>
      </c>
    </row>
    <row r="8" spans="1:12">
      <c r="A8" t="s">
        <v>143</v>
      </c>
      <c r="C8">
        <v>6.0856597961760004</v>
      </c>
      <c r="D8">
        <v>0</v>
      </c>
      <c r="E8">
        <v>0</v>
      </c>
      <c r="F8">
        <v>0</v>
      </c>
      <c r="G8">
        <v>0</v>
      </c>
      <c r="H8">
        <v>0</v>
      </c>
      <c r="I8">
        <v>0</v>
      </c>
      <c r="J8">
        <v>18.776315865322498</v>
      </c>
      <c r="K8">
        <v>6.0856597961760004</v>
      </c>
      <c r="L8">
        <v>24.861975661498501</v>
      </c>
    </row>
    <row r="9" spans="1:12">
      <c r="A9" t="s">
        <v>214</v>
      </c>
      <c r="B9">
        <v>0.81988401876299999</v>
      </c>
      <c r="D9">
        <v>0</v>
      </c>
      <c r="E9">
        <v>0</v>
      </c>
      <c r="F9">
        <v>0</v>
      </c>
      <c r="G9">
        <v>1.6393711123813</v>
      </c>
      <c r="H9">
        <v>0</v>
      </c>
      <c r="I9">
        <v>0</v>
      </c>
      <c r="K9">
        <v>2.4592551311443001</v>
      </c>
      <c r="L9">
        <v>2.4592551311443001</v>
      </c>
    </row>
    <row r="10" spans="1:12">
      <c r="A10" t="s">
        <v>215</v>
      </c>
      <c r="B10">
        <v>86.000500573752504</v>
      </c>
      <c r="C10">
        <v>19.436838707722199</v>
      </c>
      <c r="D10">
        <v>5.0744652254249996</v>
      </c>
      <c r="E10">
        <v>0</v>
      </c>
      <c r="F10">
        <v>7.0537868434781599</v>
      </c>
      <c r="G10">
        <v>35.546160197264498</v>
      </c>
      <c r="H10">
        <v>4.8058699017999</v>
      </c>
      <c r="I10">
        <v>5.5018946715921402</v>
      </c>
      <c r="J10">
        <v>39.078128437011401</v>
      </c>
      <c r="K10">
        <v>163.41951612103401</v>
      </c>
      <c r="L10">
        <v>202.49764455804601</v>
      </c>
    </row>
    <row r="11" spans="1:12">
      <c r="A11" t="s">
        <v>216</v>
      </c>
      <c r="B11">
        <v>25.624889910981899</v>
      </c>
      <c r="C11">
        <v>0</v>
      </c>
      <c r="D11">
        <v>0</v>
      </c>
      <c r="E11">
        <v>0</v>
      </c>
      <c r="F11">
        <v>0</v>
      </c>
      <c r="G11">
        <v>0</v>
      </c>
      <c r="H11">
        <v>0</v>
      </c>
      <c r="I11">
        <v>0</v>
      </c>
      <c r="K11">
        <v>25.624889910981899</v>
      </c>
      <c r="L11">
        <v>25.624889910981899</v>
      </c>
    </row>
    <row r="12" spans="1:12">
      <c r="A12" t="s">
        <v>10</v>
      </c>
      <c r="B12">
        <v>111.625390484734</v>
      </c>
      <c r="C12">
        <v>19.436838707722199</v>
      </c>
      <c r="D12">
        <v>5.0744652254249996</v>
      </c>
      <c r="E12">
        <v>0</v>
      </c>
      <c r="F12">
        <v>7.0537868434781599</v>
      </c>
      <c r="G12">
        <v>35.546160197264498</v>
      </c>
      <c r="H12">
        <v>4.8058699017999</v>
      </c>
      <c r="I12">
        <v>5.5018946715921402</v>
      </c>
      <c r="J12">
        <v>39.078128437011401</v>
      </c>
      <c r="K12">
        <v>189.04440603201601</v>
      </c>
      <c r="L12">
        <v>228.12253446902801</v>
      </c>
    </row>
    <row r="13" spans="1:12">
      <c r="A13" t="s">
        <v>217</v>
      </c>
      <c r="K13">
        <v>0.93576088486563302</v>
      </c>
    </row>
    <row r="14" spans="1:12">
      <c r="A14" t="s">
        <v>218</v>
      </c>
    </row>
    <row r="16" spans="1:12">
      <c r="A16">
        <v>2050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5.8523640541175004</v>
      </c>
      <c r="C18">
        <v>9.6916384892280991</v>
      </c>
      <c r="D18">
        <v>12.0940616509414</v>
      </c>
      <c r="F18">
        <v>5.7376992755080796</v>
      </c>
      <c r="G18">
        <v>1.6243612661704001</v>
      </c>
      <c r="H18">
        <v>9.9083878957999996E-3</v>
      </c>
      <c r="I18">
        <v>1.4344248188770199</v>
      </c>
      <c r="J18">
        <v>15.069021727073199</v>
      </c>
      <c r="K18">
        <v>36.444457942738303</v>
      </c>
      <c r="L18">
        <v>51.513479669811503</v>
      </c>
    </row>
    <row r="19" spans="1:12">
      <c r="A19" t="s">
        <v>212</v>
      </c>
      <c r="B19">
        <v>0.11976961531749999</v>
      </c>
      <c r="C19">
        <v>4.1300172223687497</v>
      </c>
      <c r="D19">
        <v>0.8946934460707</v>
      </c>
      <c r="E19">
        <v>0</v>
      </c>
      <c r="F19">
        <v>0</v>
      </c>
      <c r="G19">
        <v>1.689494832574</v>
      </c>
      <c r="H19">
        <v>6.1075926729999997E-3</v>
      </c>
      <c r="I19">
        <v>3.3230107511964002</v>
      </c>
      <c r="J19">
        <v>6.1950258335531201</v>
      </c>
      <c r="K19">
        <v>10.1630934602004</v>
      </c>
      <c r="L19">
        <v>16.3581192937535</v>
      </c>
    </row>
    <row r="20" spans="1:12">
      <c r="A20" t="s">
        <v>140</v>
      </c>
      <c r="B20">
        <v>12.139093722674</v>
      </c>
      <c r="C20">
        <v>0</v>
      </c>
      <c r="D20">
        <v>0</v>
      </c>
      <c r="E20">
        <v>0</v>
      </c>
      <c r="F20">
        <v>0</v>
      </c>
      <c r="G20">
        <v>1.3508680727360001</v>
      </c>
      <c r="H20">
        <v>0.2384320247301</v>
      </c>
      <c r="I20">
        <v>0</v>
      </c>
      <c r="K20">
        <v>13.7283938201401</v>
      </c>
      <c r="L20">
        <v>13.7283938201401</v>
      </c>
    </row>
    <row r="21" spans="1:12">
      <c r="A21" t="s">
        <v>141</v>
      </c>
      <c r="B21">
        <v>9.8452476075075008</v>
      </c>
      <c r="C21">
        <v>0</v>
      </c>
      <c r="D21">
        <v>0</v>
      </c>
      <c r="E21">
        <v>0</v>
      </c>
      <c r="F21">
        <v>0</v>
      </c>
      <c r="G21">
        <v>0</v>
      </c>
      <c r="H21">
        <v>0</v>
      </c>
      <c r="I21">
        <v>0</v>
      </c>
      <c r="K21">
        <v>9.8452476075075008</v>
      </c>
      <c r="L21">
        <v>9.8452476075075008</v>
      </c>
    </row>
    <row r="22" spans="1:12">
      <c r="A22" t="s">
        <v>213</v>
      </c>
      <c r="B22">
        <v>42.907833391588298</v>
      </c>
      <c r="C22">
        <v>0</v>
      </c>
      <c r="D22">
        <v>0</v>
      </c>
      <c r="E22">
        <v>0</v>
      </c>
      <c r="F22">
        <v>0</v>
      </c>
      <c r="G22">
        <v>0</v>
      </c>
      <c r="H22">
        <v>0</v>
      </c>
      <c r="I22">
        <v>0</v>
      </c>
      <c r="K22">
        <v>42.907833391588298</v>
      </c>
      <c r="L22">
        <v>42.907833391588298</v>
      </c>
    </row>
    <row r="23" spans="1:12">
      <c r="A23" t="s">
        <v>143</v>
      </c>
      <c r="C23">
        <v>6.3631434451273003</v>
      </c>
      <c r="D23">
        <v>0</v>
      </c>
      <c r="E23">
        <v>0</v>
      </c>
      <c r="F23">
        <v>0</v>
      </c>
      <c r="G23">
        <v>0</v>
      </c>
      <c r="H23">
        <v>0</v>
      </c>
      <c r="I23">
        <v>0</v>
      </c>
      <c r="K23">
        <v>6.3631434451273003</v>
      </c>
      <c r="L23">
        <v>6.4</v>
      </c>
    </row>
    <row r="24" spans="1:12">
      <c r="A24" t="s">
        <v>214</v>
      </c>
      <c r="B24">
        <v>0.46133931642010001</v>
      </c>
      <c r="D24">
        <v>0</v>
      </c>
      <c r="E24">
        <v>0</v>
      </c>
      <c r="F24">
        <v>0</v>
      </c>
      <c r="G24">
        <v>0.95264690516810002</v>
      </c>
      <c r="H24">
        <v>0</v>
      </c>
      <c r="I24">
        <v>0</v>
      </c>
      <c r="K24">
        <v>1.4139862215882</v>
      </c>
      <c r="L24">
        <v>1.4139862215882</v>
      </c>
    </row>
    <row r="25" spans="1:12">
      <c r="A25" t="s">
        <v>215</v>
      </c>
      <c r="B25">
        <v>71.325647707624896</v>
      </c>
      <c r="C25">
        <v>20.1847991567241</v>
      </c>
      <c r="D25">
        <v>12.988755097012101</v>
      </c>
      <c r="E25">
        <v>0</v>
      </c>
      <c r="F25">
        <v>5.7376992755080796</v>
      </c>
      <c r="G25">
        <v>5.6173710766485003</v>
      </c>
      <c r="H25">
        <v>0.25444800529889999</v>
      </c>
      <c r="I25">
        <v>4.7574355700734197</v>
      </c>
      <c r="J25">
        <v>44.850389616754001</v>
      </c>
      <c r="K25">
        <v>120.86615588889001</v>
      </c>
      <c r="L25">
        <v>165.71654550564401</v>
      </c>
    </row>
    <row r="26" spans="1:12">
      <c r="A26" t="s">
        <v>216</v>
      </c>
      <c r="B26">
        <v>23.9431583804922</v>
      </c>
      <c r="C26">
        <v>0</v>
      </c>
      <c r="D26">
        <v>0</v>
      </c>
      <c r="E26">
        <v>0</v>
      </c>
      <c r="F26">
        <v>0</v>
      </c>
      <c r="G26">
        <v>0</v>
      </c>
      <c r="H26">
        <v>0</v>
      </c>
      <c r="I26">
        <v>0</v>
      </c>
      <c r="K26">
        <v>23.9431583804922</v>
      </c>
      <c r="L26">
        <v>23.9431583804922</v>
      </c>
    </row>
    <row r="27" spans="1:12">
      <c r="A27" t="s">
        <v>10</v>
      </c>
      <c r="B27">
        <v>95.268806088117103</v>
      </c>
      <c r="C27">
        <v>20.1847991567241</v>
      </c>
      <c r="D27">
        <v>12.988755097012101</v>
      </c>
      <c r="E27">
        <v>0</v>
      </c>
      <c r="F27">
        <v>5.7376992755080796</v>
      </c>
      <c r="G27">
        <v>5.6173710766485003</v>
      </c>
      <c r="H27">
        <v>0.25444800529889999</v>
      </c>
      <c r="I27">
        <v>4.7574355700734197</v>
      </c>
      <c r="J27">
        <v>44.850389616754001</v>
      </c>
      <c r="K27">
        <v>144.80931426938201</v>
      </c>
      <c r="L27">
        <v>166.11021838488099</v>
      </c>
    </row>
    <row r="28" spans="1:12">
      <c r="A28" t="s">
        <v>217</v>
      </c>
    </row>
    <row r="29" spans="1:12">
      <c r="A29" t="s">
        <v>218</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1"/>
  <dimension ref="A1:L14"/>
  <sheetViews>
    <sheetView workbookViewId="0"/>
  </sheetViews>
  <sheetFormatPr baseColWidth="10" defaultColWidth="11.453125" defaultRowHeight="14.5"/>
  <sheetData>
    <row r="1" spans="1:12">
      <c r="A1">
        <v>2050</v>
      </c>
    </row>
    <row r="2" spans="1:12">
      <c r="A2" t="s">
        <v>128</v>
      </c>
      <c r="B2" t="s">
        <v>57</v>
      </c>
      <c r="C2" t="s">
        <v>207</v>
      </c>
      <c r="D2" t="s">
        <v>105</v>
      </c>
      <c r="E2" t="s">
        <v>42</v>
      </c>
      <c r="F2" t="s">
        <v>134</v>
      </c>
      <c r="G2" t="s">
        <v>54</v>
      </c>
      <c r="H2" t="s">
        <v>208</v>
      </c>
      <c r="I2" t="s">
        <v>209</v>
      </c>
      <c r="J2" t="s">
        <v>210</v>
      </c>
      <c r="K2" t="s">
        <v>211</v>
      </c>
      <c r="L2" t="s">
        <v>10</v>
      </c>
    </row>
    <row r="3" spans="1:12">
      <c r="A3" t="s">
        <v>138</v>
      </c>
      <c r="B3">
        <v>5.8523640541175004</v>
      </c>
      <c r="C3">
        <v>9.6916384892280991</v>
      </c>
      <c r="D3">
        <v>12.0940616509414</v>
      </c>
      <c r="F3">
        <v>5.7376992755080796</v>
      </c>
      <c r="G3">
        <v>1.6243612661704001</v>
      </c>
      <c r="H3">
        <v>9.9083878957999996E-3</v>
      </c>
      <c r="I3">
        <v>1.4344248188770199</v>
      </c>
      <c r="J3">
        <v>15.069021727073199</v>
      </c>
      <c r="K3">
        <v>36.444457942738303</v>
      </c>
      <c r="L3">
        <v>51.513479669811503</v>
      </c>
    </row>
    <row r="4" spans="1:12">
      <c r="A4" t="s">
        <v>212</v>
      </c>
      <c r="B4">
        <v>0.11976961531749999</v>
      </c>
      <c r="C4">
        <v>4.1300172223687497</v>
      </c>
      <c r="D4">
        <v>0.8946934460707</v>
      </c>
      <c r="E4">
        <v>0</v>
      </c>
      <c r="F4">
        <v>0</v>
      </c>
      <c r="G4">
        <v>1.689494832574</v>
      </c>
      <c r="H4">
        <v>6.1075926729999997E-3</v>
      </c>
      <c r="I4">
        <v>3.3230107511964002</v>
      </c>
      <c r="J4">
        <v>6.1950258335531201</v>
      </c>
      <c r="K4">
        <v>10.1630934602004</v>
      </c>
      <c r="L4">
        <v>16.3581192937535</v>
      </c>
    </row>
    <row r="5" spans="1:12">
      <c r="A5" t="s">
        <v>140</v>
      </c>
      <c r="B5">
        <v>12.139093722674</v>
      </c>
      <c r="C5">
        <v>0</v>
      </c>
      <c r="D5">
        <v>0</v>
      </c>
      <c r="E5">
        <v>0</v>
      </c>
      <c r="F5">
        <v>0</v>
      </c>
      <c r="G5">
        <v>1.3508680727360001</v>
      </c>
      <c r="H5">
        <v>0.2384320247301</v>
      </c>
      <c r="I5">
        <v>0</v>
      </c>
      <c r="K5">
        <v>13.7283938201401</v>
      </c>
      <c r="L5">
        <v>13.7283938201401</v>
      </c>
    </row>
    <row r="6" spans="1:12">
      <c r="A6" t="s">
        <v>141</v>
      </c>
      <c r="B6">
        <v>9.8452476075075008</v>
      </c>
      <c r="C6">
        <v>0</v>
      </c>
      <c r="D6">
        <v>0</v>
      </c>
      <c r="E6">
        <v>0</v>
      </c>
      <c r="F6">
        <v>0</v>
      </c>
      <c r="G6">
        <v>0</v>
      </c>
      <c r="H6">
        <v>0</v>
      </c>
      <c r="I6">
        <v>0</v>
      </c>
      <c r="K6">
        <v>9.8452476075075008</v>
      </c>
      <c r="L6">
        <v>9.8452476075075008</v>
      </c>
    </row>
    <row r="7" spans="1:12">
      <c r="A7" t="s">
        <v>213</v>
      </c>
      <c r="B7">
        <v>42.907833391588298</v>
      </c>
      <c r="C7">
        <v>0</v>
      </c>
      <c r="D7">
        <v>0</v>
      </c>
      <c r="E7">
        <v>0</v>
      </c>
      <c r="F7">
        <v>0</v>
      </c>
      <c r="G7">
        <v>0</v>
      </c>
      <c r="H7">
        <v>0</v>
      </c>
      <c r="I7">
        <v>0</v>
      </c>
      <c r="K7">
        <v>42.907833391588298</v>
      </c>
      <c r="L7">
        <v>42.907833391588298</v>
      </c>
    </row>
    <row r="8" spans="1:12">
      <c r="A8" t="s">
        <v>143</v>
      </c>
      <c r="C8">
        <v>6.3631434451273003</v>
      </c>
      <c r="D8">
        <v>0</v>
      </c>
      <c r="E8">
        <v>0</v>
      </c>
      <c r="F8">
        <v>0</v>
      </c>
      <c r="G8">
        <v>0</v>
      </c>
      <c r="H8">
        <v>0</v>
      </c>
      <c r="I8">
        <v>0</v>
      </c>
      <c r="K8">
        <v>6.3631434451273003</v>
      </c>
      <c r="L8">
        <v>6.4</v>
      </c>
    </row>
    <row r="9" spans="1:12">
      <c r="A9" t="s">
        <v>214</v>
      </c>
      <c r="B9">
        <v>0.46133931642010001</v>
      </c>
      <c r="D9">
        <v>0</v>
      </c>
      <c r="E9">
        <v>0</v>
      </c>
      <c r="F9">
        <v>0</v>
      </c>
      <c r="G9">
        <v>0.95264690516810002</v>
      </c>
      <c r="H9">
        <v>0</v>
      </c>
      <c r="I9">
        <v>0</v>
      </c>
      <c r="K9">
        <v>1.4139862215882</v>
      </c>
      <c r="L9">
        <v>1.4139862215882</v>
      </c>
    </row>
    <row r="10" spans="1:12">
      <c r="A10" t="s">
        <v>215</v>
      </c>
      <c r="B10">
        <v>71.325647707624896</v>
      </c>
      <c r="C10">
        <v>20.1847991567241</v>
      </c>
      <c r="D10">
        <v>12.988755097012101</v>
      </c>
      <c r="E10">
        <v>0</v>
      </c>
      <c r="F10">
        <v>5.7376992755080796</v>
      </c>
      <c r="G10">
        <v>5.6173710766485003</v>
      </c>
      <c r="H10">
        <v>0.25444800529889999</v>
      </c>
      <c r="I10">
        <v>4.7574355700734197</v>
      </c>
      <c r="J10">
        <v>44.850389616754001</v>
      </c>
      <c r="K10">
        <v>120.86615588889001</v>
      </c>
      <c r="L10">
        <v>165.71654550564401</v>
      </c>
    </row>
    <row r="11" spans="1:12">
      <c r="A11" t="s">
        <v>216</v>
      </c>
      <c r="B11">
        <v>23.9431583804922</v>
      </c>
      <c r="C11">
        <v>0</v>
      </c>
      <c r="D11">
        <v>0</v>
      </c>
      <c r="E11">
        <v>0</v>
      </c>
      <c r="F11">
        <v>0</v>
      </c>
      <c r="G11">
        <v>0</v>
      </c>
      <c r="H11">
        <v>0</v>
      </c>
      <c r="I11">
        <v>0</v>
      </c>
      <c r="K11">
        <v>23.9431583804922</v>
      </c>
      <c r="L11">
        <v>23.9431583804922</v>
      </c>
    </row>
    <row r="12" spans="1:12">
      <c r="A12" t="s">
        <v>10</v>
      </c>
      <c r="B12">
        <v>95.268806088117103</v>
      </c>
      <c r="C12">
        <v>20.1847991567241</v>
      </c>
      <c r="D12">
        <v>12.988755097012101</v>
      </c>
      <c r="E12">
        <v>0</v>
      </c>
      <c r="F12">
        <v>5.7376992755080796</v>
      </c>
      <c r="G12">
        <v>5.6173710766485003</v>
      </c>
      <c r="H12">
        <v>0.25444800529889999</v>
      </c>
      <c r="I12">
        <v>4.7574355700734197</v>
      </c>
      <c r="J12">
        <v>44.850389616754001</v>
      </c>
      <c r="K12">
        <v>144.80931426938201</v>
      </c>
      <c r="L12">
        <v>166.11021838488099</v>
      </c>
    </row>
    <row r="13" spans="1:12">
      <c r="A13" t="s">
        <v>217</v>
      </c>
    </row>
    <row r="14" spans="1:12">
      <c r="A14" t="s">
        <v>218</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2"/>
  <dimension ref="A1:K50"/>
  <sheetViews>
    <sheetView workbookViewId="0"/>
  </sheetViews>
  <sheetFormatPr baseColWidth="10" defaultRowHeight="14.5"/>
  <sheetData>
    <row r="1" spans="1:11">
      <c r="A1" t="s">
        <v>222</v>
      </c>
    </row>
    <row r="3" spans="1:11">
      <c r="B3" t="s">
        <v>223</v>
      </c>
    </row>
    <row r="4" spans="1:11">
      <c r="C4" t="s">
        <v>54</v>
      </c>
      <c r="D4" t="s">
        <v>224</v>
      </c>
      <c r="E4" t="s">
        <v>225</v>
      </c>
      <c r="F4" t="s">
        <v>226</v>
      </c>
      <c r="G4" t="s">
        <v>134</v>
      </c>
      <c r="H4" t="s">
        <v>227</v>
      </c>
      <c r="I4" t="s">
        <v>10</v>
      </c>
      <c r="J4" t="s">
        <v>228</v>
      </c>
      <c r="K4" t="s">
        <v>229</v>
      </c>
    </row>
    <row r="5" spans="1:11">
      <c r="A5" t="s">
        <v>230</v>
      </c>
      <c r="B5" t="s">
        <v>231</v>
      </c>
      <c r="C5">
        <v>75.943574999999996</v>
      </c>
      <c r="D5">
        <v>59.147292999999998</v>
      </c>
      <c r="E5">
        <v>31.440052000000001</v>
      </c>
      <c r="F5">
        <v>0.71148400000000001</v>
      </c>
      <c r="G5">
        <v>48.420904999999998</v>
      </c>
      <c r="H5">
        <v>0</v>
      </c>
      <c r="I5">
        <v>215.663309</v>
      </c>
      <c r="J5">
        <v>1.422968</v>
      </c>
      <c r="K5">
        <v>217.086277</v>
      </c>
    </row>
    <row r="6" spans="1:11">
      <c r="B6" t="s">
        <v>232</v>
      </c>
      <c r="C6">
        <v>1.4633107999999999</v>
      </c>
      <c r="D6">
        <v>7.4991199999999994E-2</v>
      </c>
      <c r="E6">
        <v>2.9691252000000001</v>
      </c>
      <c r="F6">
        <v>0.53709240000000003</v>
      </c>
      <c r="G6">
        <v>0.22598860000000001</v>
      </c>
      <c r="H6">
        <v>3.7794E-3</v>
      </c>
      <c r="I6">
        <v>5.2742876000000001</v>
      </c>
      <c r="J6">
        <v>1.0741848000000001</v>
      </c>
      <c r="K6">
        <v>6.3484724000000003</v>
      </c>
    </row>
    <row r="7" spans="1:11">
      <c r="B7" t="s">
        <v>233</v>
      </c>
      <c r="C7">
        <v>61.531348000000001</v>
      </c>
      <c r="D7">
        <v>9.4036627999999993</v>
      </c>
      <c r="E7">
        <v>10.650235</v>
      </c>
      <c r="F7">
        <v>0.16498550000000001</v>
      </c>
      <c r="G7">
        <v>0</v>
      </c>
      <c r="H7">
        <v>12.714601999999999</v>
      </c>
      <c r="I7">
        <v>94.464833299999995</v>
      </c>
      <c r="J7">
        <v>0.32997100000000001</v>
      </c>
      <c r="K7">
        <v>94.794804299999996</v>
      </c>
    </row>
    <row r="8" spans="1:11">
      <c r="B8" t="s">
        <v>234</v>
      </c>
      <c r="C8">
        <v>1.8106469999999999</v>
      </c>
      <c r="D8">
        <v>0</v>
      </c>
      <c r="E8">
        <v>0.94022530000000004</v>
      </c>
      <c r="F8">
        <v>0.16561049999999999</v>
      </c>
      <c r="G8">
        <v>2.4927E-3</v>
      </c>
      <c r="H8">
        <v>0.2993596</v>
      </c>
      <c r="I8">
        <v>3.2183351</v>
      </c>
      <c r="J8">
        <v>0.33122099999999999</v>
      </c>
      <c r="K8">
        <v>3.5495561000000002</v>
      </c>
    </row>
    <row r="9" spans="1:11">
      <c r="B9" t="s">
        <v>10</v>
      </c>
      <c r="C9">
        <v>140.74888079999999</v>
      </c>
      <c r="D9">
        <v>68.625946999999996</v>
      </c>
      <c r="E9">
        <v>45.999637499999999</v>
      </c>
      <c r="F9">
        <v>1.5791724</v>
      </c>
      <c r="G9">
        <v>48.649386300000003</v>
      </c>
      <c r="H9">
        <v>13.017740999999999</v>
      </c>
      <c r="I9">
        <v>318.62076500000001</v>
      </c>
      <c r="J9">
        <v>3.1583448000000001</v>
      </c>
      <c r="K9">
        <v>321.77910980000001</v>
      </c>
    </row>
    <row r="11" spans="1:11">
      <c r="A11" t="s">
        <v>235</v>
      </c>
    </row>
    <row r="12" spans="1:11">
      <c r="C12" t="s">
        <v>54</v>
      </c>
      <c r="D12" t="s">
        <v>224</v>
      </c>
      <c r="E12" t="s">
        <v>225</v>
      </c>
      <c r="F12" t="s">
        <v>226</v>
      </c>
      <c r="G12" t="s">
        <v>134</v>
      </c>
      <c r="H12" t="s">
        <v>227</v>
      </c>
      <c r="I12" t="s">
        <v>10</v>
      </c>
      <c r="J12" t="s">
        <v>228</v>
      </c>
      <c r="K12" t="s">
        <v>229</v>
      </c>
    </row>
    <row r="13" spans="1:11">
      <c r="A13" t="s">
        <v>230</v>
      </c>
      <c r="B13" t="s">
        <v>231</v>
      </c>
      <c r="C13">
        <v>70.910274999999999</v>
      </c>
      <c r="D13">
        <v>51.957292000000002</v>
      </c>
      <c r="E13">
        <v>28.546569000000002</v>
      </c>
      <c r="F13">
        <v>1.3306235</v>
      </c>
      <c r="G13">
        <v>48.821179000000001</v>
      </c>
      <c r="H13">
        <v>0</v>
      </c>
      <c r="I13">
        <v>201.56593849999999</v>
      </c>
      <c r="J13">
        <v>2.6612469999999999</v>
      </c>
      <c r="K13">
        <v>204.22718549999999</v>
      </c>
    </row>
    <row r="14" spans="1:11">
      <c r="B14" t="s">
        <v>232</v>
      </c>
      <c r="C14">
        <v>1.8763993000000001</v>
      </c>
      <c r="D14">
        <v>7.4991199999999994E-2</v>
      </c>
      <c r="E14">
        <v>3.0184796</v>
      </c>
      <c r="F14">
        <v>1.0201834000000001</v>
      </c>
      <c r="G14">
        <v>0.58581930000000004</v>
      </c>
      <c r="H14">
        <v>5.1790799999999998E-2</v>
      </c>
      <c r="I14">
        <v>6.6276636</v>
      </c>
      <c r="J14">
        <v>2.0403668000000001</v>
      </c>
      <c r="K14">
        <v>8.6680303999999992</v>
      </c>
    </row>
    <row r="15" spans="1:11">
      <c r="B15" t="s">
        <v>233</v>
      </c>
      <c r="C15">
        <v>57.179420999999998</v>
      </c>
      <c r="D15">
        <v>7.3662149000000001</v>
      </c>
      <c r="E15">
        <v>10.201407</v>
      </c>
      <c r="F15">
        <v>0.27936349999999999</v>
      </c>
      <c r="G15">
        <v>0</v>
      </c>
      <c r="H15">
        <v>13.177293000000001</v>
      </c>
      <c r="I15">
        <v>88.203699400000005</v>
      </c>
      <c r="J15">
        <v>0.55872699999999997</v>
      </c>
      <c r="K15">
        <v>88.762426399999995</v>
      </c>
    </row>
    <row r="16" spans="1:11">
      <c r="B16" t="s">
        <v>234</v>
      </c>
      <c r="C16">
        <v>2.930526</v>
      </c>
      <c r="D16">
        <v>0</v>
      </c>
      <c r="E16">
        <v>1.1283666000000001</v>
      </c>
      <c r="F16">
        <v>0.2126458</v>
      </c>
      <c r="G16">
        <v>5.93565E-2</v>
      </c>
      <c r="H16">
        <v>0.53837970000000002</v>
      </c>
      <c r="I16">
        <v>4.8692745999999998</v>
      </c>
      <c r="J16">
        <v>0.42529159999999999</v>
      </c>
      <c r="K16">
        <v>5.2945662000000002</v>
      </c>
    </row>
    <row r="17" spans="1:11">
      <c r="B17" t="s">
        <v>10</v>
      </c>
      <c r="C17">
        <v>132.89662129999999</v>
      </c>
      <c r="D17">
        <v>59.398498099999998</v>
      </c>
      <c r="E17">
        <v>42.8948222</v>
      </c>
      <c r="F17">
        <v>2.8428162000000001</v>
      </c>
      <c r="G17">
        <v>49.466354799999998</v>
      </c>
      <c r="H17">
        <v>13.7674635</v>
      </c>
      <c r="I17">
        <v>301.26657610000001</v>
      </c>
      <c r="J17">
        <v>5.6856324000000003</v>
      </c>
      <c r="K17">
        <v>306.95220849999998</v>
      </c>
    </row>
    <row r="19" spans="1:11">
      <c r="A19" t="s">
        <v>236</v>
      </c>
    </row>
    <row r="20" spans="1:11">
      <c r="C20" t="s">
        <v>54</v>
      </c>
      <c r="D20" t="s">
        <v>224</v>
      </c>
      <c r="E20" t="s">
        <v>225</v>
      </c>
      <c r="F20" t="s">
        <v>226</v>
      </c>
      <c r="G20" t="s">
        <v>134</v>
      </c>
      <c r="H20" t="s">
        <v>227</v>
      </c>
      <c r="I20" t="s">
        <v>10</v>
      </c>
      <c r="J20" t="s">
        <v>228</v>
      </c>
      <c r="K20" t="s">
        <v>229</v>
      </c>
    </row>
    <row r="21" spans="1:11">
      <c r="A21" t="s">
        <v>230</v>
      </c>
      <c r="B21" t="s">
        <v>231</v>
      </c>
      <c r="C21">
        <v>64.233862999999999</v>
      </c>
      <c r="D21">
        <v>38.044361000000002</v>
      </c>
      <c r="E21">
        <v>26.340436</v>
      </c>
      <c r="F21">
        <v>2.6082527</v>
      </c>
      <c r="G21">
        <v>48.557799000000003</v>
      </c>
      <c r="H21">
        <v>0</v>
      </c>
      <c r="I21">
        <v>179.7847117</v>
      </c>
      <c r="J21">
        <v>5.2165054</v>
      </c>
      <c r="K21">
        <v>185.00121709999999</v>
      </c>
    </row>
    <row r="22" spans="1:11">
      <c r="B22" t="s">
        <v>232</v>
      </c>
      <c r="C22">
        <v>2.0694583</v>
      </c>
      <c r="D22">
        <v>7.4991199999999994E-2</v>
      </c>
      <c r="E22">
        <v>3.0582562000000002</v>
      </c>
      <c r="F22">
        <v>1.5053761999999999</v>
      </c>
      <c r="G22">
        <v>0.93088789999999999</v>
      </c>
      <c r="H22">
        <v>0.21171490000000001</v>
      </c>
      <c r="I22">
        <v>7.8506847000000004</v>
      </c>
      <c r="J22">
        <v>3.0107523999999999</v>
      </c>
      <c r="K22">
        <v>10.8614371</v>
      </c>
    </row>
    <row r="23" spans="1:11">
      <c r="B23" t="s">
        <v>233</v>
      </c>
      <c r="C23">
        <v>46.32461</v>
      </c>
      <c r="D23">
        <v>5.0388058999999998</v>
      </c>
      <c r="E23">
        <v>9.3020040000000002</v>
      </c>
      <c r="F23">
        <v>0.40639150000000002</v>
      </c>
      <c r="G23">
        <v>0</v>
      </c>
      <c r="H23">
        <v>17.500266</v>
      </c>
      <c r="I23">
        <v>78.572077399999998</v>
      </c>
      <c r="J23">
        <v>0.81278300000000003</v>
      </c>
      <c r="K23">
        <v>79.384860399999994</v>
      </c>
    </row>
    <row r="24" spans="1:11">
      <c r="B24" t="s">
        <v>234</v>
      </c>
      <c r="C24">
        <v>3.5608468000000002</v>
      </c>
      <c r="D24">
        <v>0</v>
      </c>
      <c r="E24">
        <v>1.3056243000000001</v>
      </c>
      <c r="F24">
        <v>0.26464929999999998</v>
      </c>
      <c r="G24">
        <v>0.27635880000000002</v>
      </c>
      <c r="H24">
        <v>1.0712090999999999</v>
      </c>
      <c r="I24">
        <v>6.4786883</v>
      </c>
      <c r="J24">
        <v>0.52929859999999995</v>
      </c>
      <c r="K24">
        <v>7.0079868999999997</v>
      </c>
    </row>
    <row r="25" spans="1:11">
      <c r="B25" t="s">
        <v>10</v>
      </c>
      <c r="C25">
        <v>116.18877809999999</v>
      </c>
      <c r="D25">
        <v>43.158158100000001</v>
      </c>
      <c r="E25">
        <v>40.006320500000001</v>
      </c>
      <c r="F25">
        <v>4.7846697000000002</v>
      </c>
      <c r="G25">
        <v>49.765045700000002</v>
      </c>
      <c r="H25">
        <v>18.783190000000001</v>
      </c>
      <c r="I25">
        <v>272.68616209999999</v>
      </c>
      <c r="J25">
        <v>9.5693394000000005</v>
      </c>
      <c r="K25">
        <v>282.25550149999998</v>
      </c>
    </row>
    <row r="27" spans="1:11">
      <c r="A27" t="s">
        <v>237</v>
      </c>
    </row>
    <row r="28" spans="1:11">
      <c r="C28" t="s">
        <v>54</v>
      </c>
      <c r="D28" t="s">
        <v>224</v>
      </c>
      <c r="E28" t="s">
        <v>225</v>
      </c>
      <c r="F28" t="s">
        <v>226</v>
      </c>
      <c r="G28" t="s">
        <v>134</v>
      </c>
      <c r="H28" t="s">
        <v>227</v>
      </c>
      <c r="I28" t="s">
        <v>10</v>
      </c>
      <c r="J28" t="s">
        <v>228</v>
      </c>
      <c r="K28" t="s">
        <v>229</v>
      </c>
    </row>
    <row r="29" spans="1:11">
      <c r="A29" t="s">
        <v>230</v>
      </c>
      <c r="B29" t="s">
        <v>231</v>
      </c>
      <c r="C29">
        <v>57.531471000000003</v>
      </c>
      <c r="D29">
        <v>15.686718000000001</v>
      </c>
      <c r="E29">
        <v>26.169868000000001</v>
      </c>
      <c r="F29">
        <v>4.4080085999999996</v>
      </c>
      <c r="G29">
        <v>51.399140000000003</v>
      </c>
      <c r="H29">
        <v>0</v>
      </c>
      <c r="I29">
        <v>155.19520560000001</v>
      </c>
      <c r="J29">
        <v>8.8160171999999992</v>
      </c>
      <c r="K29">
        <v>164.01122280000001</v>
      </c>
    </row>
    <row r="30" spans="1:11">
      <c r="B30" t="s">
        <v>232</v>
      </c>
      <c r="C30">
        <v>2.1909060999999999</v>
      </c>
      <c r="D30">
        <v>7.4991199999999994E-2</v>
      </c>
      <c r="E30">
        <v>3.0938952</v>
      </c>
      <c r="F30">
        <v>1.9729159999999999</v>
      </c>
      <c r="G30">
        <v>1.1406442000000001</v>
      </c>
      <c r="H30">
        <v>0.4212822</v>
      </c>
      <c r="I30">
        <v>8.8946348999999998</v>
      </c>
      <c r="J30">
        <v>3.9458319999999998</v>
      </c>
      <c r="K30">
        <v>12.840466899999999</v>
      </c>
    </row>
    <row r="31" spans="1:11">
      <c r="B31" t="s">
        <v>233</v>
      </c>
      <c r="C31">
        <v>36.724297999999997</v>
      </c>
      <c r="D31">
        <v>2.6175671</v>
      </c>
      <c r="E31">
        <v>8.4114698000000008</v>
      </c>
      <c r="F31">
        <v>0.57285299999999995</v>
      </c>
      <c r="G31">
        <v>0</v>
      </c>
      <c r="H31">
        <v>21.109458</v>
      </c>
      <c r="I31">
        <v>69.435645899999997</v>
      </c>
      <c r="J31">
        <v>1.1457059999999999</v>
      </c>
      <c r="K31">
        <v>70.581351900000001</v>
      </c>
    </row>
    <row r="32" spans="1:11">
      <c r="B32" t="s">
        <v>234</v>
      </c>
      <c r="C32">
        <v>3.7557597999999999</v>
      </c>
      <c r="D32">
        <v>0</v>
      </c>
      <c r="E32">
        <v>1.4353636999999999</v>
      </c>
      <c r="F32">
        <v>0.34315099999999998</v>
      </c>
      <c r="G32">
        <v>0.55239419999999995</v>
      </c>
      <c r="H32">
        <v>1.9032347999999999</v>
      </c>
      <c r="I32">
        <v>7.9899034999999996</v>
      </c>
      <c r="J32">
        <v>0.68630199999999997</v>
      </c>
      <c r="K32">
        <v>8.6762055</v>
      </c>
    </row>
    <row r="33" spans="1:11">
      <c r="B33" t="s">
        <v>10</v>
      </c>
      <c r="C33">
        <v>100.2024349</v>
      </c>
      <c r="D33">
        <v>18.379276300000001</v>
      </c>
      <c r="E33">
        <v>39.110596700000002</v>
      </c>
      <c r="F33">
        <v>7.2969286000000002</v>
      </c>
      <c r="G33">
        <v>53.092178400000002</v>
      </c>
      <c r="H33">
        <v>23.433975</v>
      </c>
      <c r="I33">
        <v>241.5153899</v>
      </c>
      <c r="J33">
        <v>14.5938572</v>
      </c>
      <c r="K33">
        <v>256.1092471</v>
      </c>
    </row>
    <row r="35" spans="1:11">
      <c r="A35" t="s">
        <v>238</v>
      </c>
    </row>
    <row r="36" spans="1:11">
      <c r="C36" t="s">
        <v>54</v>
      </c>
      <c r="D36" t="s">
        <v>224</v>
      </c>
      <c r="E36" t="s">
        <v>225</v>
      </c>
      <c r="F36" t="s">
        <v>226</v>
      </c>
      <c r="G36" t="s">
        <v>134</v>
      </c>
      <c r="H36" t="s">
        <v>227</v>
      </c>
      <c r="I36" t="s">
        <v>10</v>
      </c>
      <c r="J36" t="s">
        <v>228</v>
      </c>
      <c r="K36" t="s">
        <v>229</v>
      </c>
    </row>
    <row r="37" spans="1:11">
      <c r="A37" t="s">
        <v>230</v>
      </c>
      <c r="B37" t="s">
        <v>231</v>
      </c>
      <c r="C37">
        <v>22.234912999999999</v>
      </c>
      <c r="D37">
        <v>1.5291052999999999</v>
      </c>
      <c r="E37">
        <v>24.232078000000001</v>
      </c>
      <c r="F37">
        <v>8.1830636000000005</v>
      </c>
      <c r="G37">
        <v>45.880267000000003</v>
      </c>
      <c r="H37">
        <v>1.3454208999999999</v>
      </c>
      <c r="I37">
        <v>103.4048478</v>
      </c>
      <c r="J37">
        <v>16.366127200000001</v>
      </c>
      <c r="K37">
        <v>119.77097500000001</v>
      </c>
    </row>
    <row r="38" spans="1:11">
      <c r="B38" t="s">
        <v>232</v>
      </c>
      <c r="C38">
        <v>2.3466241999999999</v>
      </c>
      <c r="D38">
        <v>7.4991199999999994E-2</v>
      </c>
      <c r="E38">
        <v>3.1542509999999999</v>
      </c>
      <c r="F38">
        <v>2.7957477000000002</v>
      </c>
      <c r="G38">
        <v>1.4106574999999999</v>
      </c>
      <c r="H38">
        <v>0.83128880000000005</v>
      </c>
      <c r="I38">
        <v>10.613560400000001</v>
      </c>
      <c r="J38">
        <v>5.5914954000000003</v>
      </c>
      <c r="K38">
        <v>16.2050558</v>
      </c>
    </row>
    <row r="39" spans="1:11">
      <c r="B39" t="s">
        <v>233</v>
      </c>
      <c r="C39">
        <v>25.554660999999999</v>
      </c>
      <c r="D39">
        <v>1.3862036</v>
      </c>
      <c r="E39">
        <v>6.4436308999999996</v>
      </c>
      <c r="F39">
        <v>0.93348260000000005</v>
      </c>
      <c r="G39">
        <v>0</v>
      </c>
      <c r="H39">
        <v>18.185676000000001</v>
      </c>
      <c r="I39">
        <v>52.503654099999999</v>
      </c>
      <c r="J39">
        <v>1.8669652000000001</v>
      </c>
      <c r="K39">
        <v>54.370619300000001</v>
      </c>
    </row>
    <row r="40" spans="1:11">
      <c r="B40" t="s">
        <v>234</v>
      </c>
      <c r="C40">
        <v>3.9274494999999998</v>
      </c>
      <c r="D40">
        <v>0</v>
      </c>
      <c r="E40">
        <v>1.5742809</v>
      </c>
      <c r="F40">
        <v>0.54902759999999995</v>
      </c>
      <c r="G40">
        <v>1.0674633</v>
      </c>
      <c r="H40">
        <v>3.7607020000000002</v>
      </c>
      <c r="I40">
        <v>10.8789233</v>
      </c>
      <c r="J40">
        <v>1.0980551999999999</v>
      </c>
      <c r="K40">
        <v>11.9769785</v>
      </c>
    </row>
    <row r="41" spans="1:11">
      <c r="B41" t="s">
        <v>10</v>
      </c>
      <c r="C41">
        <v>54.063647699999997</v>
      </c>
      <c r="D41">
        <v>2.9903000999999998</v>
      </c>
      <c r="E41">
        <v>35.404240799999997</v>
      </c>
      <c r="F41">
        <v>12.4613215</v>
      </c>
      <c r="G41">
        <v>48.358387800000003</v>
      </c>
      <c r="H41">
        <v>24.123087699999999</v>
      </c>
      <c r="I41">
        <v>177.40098560000001</v>
      </c>
      <c r="J41">
        <v>24.922643000000001</v>
      </c>
      <c r="K41">
        <v>202.32362860000001</v>
      </c>
    </row>
    <row r="43" spans="1:11">
      <c r="B43" t="s">
        <v>239</v>
      </c>
    </row>
    <row r="44" spans="1:11">
      <c r="C44" t="s">
        <v>54</v>
      </c>
      <c r="D44" t="s">
        <v>224</v>
      </c>
      <c r="E44" t="s">
        <v>225</v>
      </c>
      <c r="F44" t="s">
        <v>226</v>
      </c>
      <c r="G44" t="s">
        <v>134</v>
      </c>
      <c r="H44" t="s">
        <v>227</v>
      </c>
      <c r="I44" t="s">
        <v>10</v>
      </c>
      <c r="J44" t="s">
        <v>228</v>
      </c>
      <c r="K44" t="s">
        <v>229</v>
      </c>
    </row>
    <row r="45" spans="1:11">
      <c r="A45" t="s">
        <v>230</v>
      </c>
      <c r="B45" t="s">
        <v>231</v>
      </c>
      <c r="C45">
        <v>3.0888198</v>
      </c>
      <c r="D45">
        <v>1.1872600000000001E-2</v>
      </c>
      <c r="E45">
        <v>19.294653</v>
      </c>
      <c r="F45">
        <v>9.7085719000000008</v>
      </c>
      <c r="G45">
        <v>33.971479000000002</v>
      </c>
      <c r="H45">
        <v>1.666364</v>
      </c>
      <c r="I45">
        <v>67.741760299999996</v>
      </c>
      <c r="J45">
        <v>19.417143800000002</v>
      </c>
      <c r="K45">
        <v>87.158904100000001</v>
      </c>
    </row>
    <row r="46" spans="1:11">
      <c r="B46" t="s">
        <v>232</v>
      </c>
      <c r="C46">
        <v>2.4270782</v>
      </c>
      <c r="D46">
        <v>7.4991199999999994E-2</v>
      </c>
      <c r="E46">
        <v>3.1854347000000001</v>
      </c>
      <c r="F46">
        <v>3.2323195</v>
      </c>
      <c r="G46">
        <v>1.4911114999999999</v>
      </c>
      <c r="H46">
        <v>1.0726507000000001</v>
      </c>
      <c r="I46">
        <v>11.4835858</v>
      </c>
      <c r="J46">
        <v>6.464639</v>
      </c>
      <c r="K46">
        <v>17.948224799999998</v>
      </c>
    </row>
    <row r="47" spans="1:11">
      <c r="B47" t="s">
        <v>233</v>
      </c>
      <c r="C47">
        <v>7.6454529999999998</v>
      </c>
      <c r="D47">
        <v>0.26575090000000001</v>
      </c>
      <c r="E47">
        <v>6.5657907</v>
      </c>
      <c r="F47">
        <v>3.0998155999999999</v>
      </c>
      <c r="G47">
        <v>0</v>
      </c>
      <c r="H47">
        <v>13.403691</v>
      </c>
      <c r="I47">
        <v>30.980501199999999</v>
      </c>
      <c r="J47">
        <v>6.1996311999999998</v>
      </c>
      <c r="K47">
        <v>37.180132399999998</v>
      </c>
    </row>
    <row r="48" spans="1:11">
      <c r="B48" t="s">
        <v>234</v>
      </c>
      <c r="C48">
        <v>4.0471668999999997</v>
      </c>
      <c r="D48">
        <v>0</v>
      </c>
      <c r="E48">
        <v>1.6206830000000001</v>
      </c>
      <c r="F48">
        <v>0.73463590000000001</v>
      </c>
      <c r="G48">
        <v>1.4266155</v>
      </c>
      <c r="H48">
        <v>5.0775933999999996</v>
      </c>
      <c r="I48">
        <v>12.906694699999999</v>
      </c>
      <c r="J48">
        <v>1.4692718</v>
      </c>
      <c r="K48">
        <v>14.375966500000001</v>
      </c>
    </row>
    <row r="49" spans="2:11">
      <c r="B49" t="s">
        <v>10</v>
      </c>
      <c r="C49">
        <v>17.2085179</v>
      </c>
      <c r="D49">
        <v>0.3526147</v>
      </c>
      <c r="E49">
        <v>30.666561399999999</v>
      </c>
      <c r="F49">
        <v>16.775342899999998</v>
      </c>
      <c r="G49">
        <v>36.889206000000001</v>
      </c>
      <c r="H49">
        <v>21.220299099999998</v>
      </c>
      <c r="I49">
        <v>123.112542</v>
      </c>
      <c r="J49">
        <v>33.550685799999997</v>
      </c>
      <c r="K49">
        <v>156.66322779999999</v>
      </c>
    </row>
    <row r="50" spans="2:11">
      <c r="C50">
        <v>0.109844014716515</v>
      </c>
      <c r="D50">
        <v>2.2507815327931099E-3</v>
      </c>
      <c r="E50">
        <v>0.19574830565312801</v>
      </c>
      <c r="F50">
        <v>0.107079007215502</v>
      </c>
      <c r="G50">
        <v>0.23546818559804999</v>
      </c>
      <c r="H50">
        <v>0.13545169085300801</v>
      </c>
      <c r="I50">
        <v>0.78584198556899598</v>
      </c>
      <c r="J50">
        <v>0.21415801443100399</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3"/>
  <dimension ref="A1:K42"/>
  <sheetViews>
    <sheetView workbookViewId="0"/>
  </sheetViews>
  <sheetFormatPr baseColWidth="10" defaultColWidth="11.453125" defaultRowHeight="14.5"/>
  <sheetData>
    <row r="1" spans="1:11">
      <c r="A1" t="s">
        <v>222</v>
      </c>
    </row>
    <row r="3" spans="1:11">
      <c r="A3" t="s">
        <v>235</v>
      </c>
    </row>
    <row r="4" spans="1:11">
      <c r="C4" t="s">
        <v>54</v>
      </c>
      <c r="D4" t="s">
        <v>224</v>
      </c>
      <c r="E4" t="s">
        <v>225</v>
      </c>
      <c r="F4" t="s">
        <v>226</v>
      </c>
      <c r="G4" t="s">
        <v>134</v>
      </c>
      <c r="H4" t="s">
        <v>227</v>
      </c>
      <c r="I4" t="s">
        <v>10</v>
      </c>
      <c r="J4" t="s">
        <v>228</v>
      </c>
      <c r="K4" t="s">
        <v>229</v>
      </c>
    </row>
    <row r="5" spans="1:11">
      <c r="A5" t="s">
        <v>230</v>
      </c>
      <c r="B5" t="s">
        <v>231</v>
      </c>
      <c r="C5">
        <v>70.910274999999999</v>
      </c>
      <c r="D5">
        <v>51.957292000000002</v>
      </c>
      <c r="E5">
        <v>28.546569000000002</v>
      </c>
      <c r="F5">
        <v>1.3306235</v>
      </c>
      <c r="G5">
        <v>48.821179000000001</v>
      </c>
      <c r="H5">
        <v>0</v>
      </c>
      <c r="I5">
        <v>201.56593849999999</v>
      </c>
      <c r="J5">
        <v>2.6612469999999999</v>
      </c>
      <c r="K5">
        <v>204.22718549999999</v>
      </c>
    </row>
    <row r="6" spans="1:11">
      <c r="B6" t="s">
        <v>232</v>
      </c>
      <c r="C6">
        <v>1.8763993000000001</v>
      </c>
      <c r="D6">
        <v>7.4991199999999994E-2</v>
      </c>
      <c r="E6">
        <v>3.0184796</v>
      </c>
      <c r="F6">
        <v>1.0201834000000001</v>
      </c>
      <c r="G6">
        <v>0.58581930000000004</v>
      </c>
      <c r="H6">
        <v>5.1790799999999998E-2</v>
      </c>
      <c r="I6">
        <v>6.6276636</v>
      </c>
      <c r="J6">
        <v>2.0403668000000001</v>
      </c>
      <c r="K6">
        <v>8.6680303999999992</v>
      </c>
    </row>
    <row r="7" spans="1:11">
      <c r="B7" t="s">
        <v>233</v>
      </c>
      <c r="C7">
        <v>57.179420999999998</v>
      </c>
      <c r="D7">
        <v>7.3662149000000001</v>
      </c>
      <c r="E7">
        <v>10.201407</v>
      </c>
      <c r="F7">
        <v>0.27936349999999999</v>
      </c>
      <c r="G7">
        <v>0</v>
      </c>
      <c r="H7">
        <v>13.177293000000001</v>
      </c>
      <c r="I7">
        <v>88.203699400000005</v>
      </c>
      <c r="J7">
        <v>0.55872699999999997</v>
      </c>
      <c r="K7">
        <v>88.762426399999995</v>
      </c>
    </row>
    <row r="8" spans="1:11">
      <c r="B8" t="s">
        <v>234</v>
      </c>
      <c r="C8">
        <v>2.930526</v>
      </c>
      <c r="D8">
        <v>0</v>
      </c>
      <c r="E8">
        <v>1.1283666000000001</v>
      </c>
      <c r="F8">
        <v>0.2126458</v>
      </c>
      <c r="G8">
        <v>5.93565E-2</v>
      </c>
      <c r="H8">
        <v>0.53837970000000002</v>
      </c>
      <c r="I8">
        <v>4.8692745999999998</v>
      </c>
      <c r="J8">
        <v>0.42529159999999999</v>
      </c>
      <c r="K8">
        <v>5.2945662000000002</v>
      </c>
    </row>
    <row r="9" spans="1:11">
      <c r="B9" t="s">
        <v>10</v>
      </c>
      <c r="C9">
        <v>132.89662129999999</v>
      </c>
      <c r="D9">
        <v>59.398498099999998</v>
      </c>
      <c r="E9">
        <v>42.8948222</v>
      </c>
      <c r="F9">
        <v>2.8428162000000001</v>
      </c>
      <c r="G9">
        <v>49.466354799999998</v>
      </c>
      <c r="H9">
        <v>13.7674635</v>
      </c>
      <c r="I9">
        <v>301.26657610000001</v>
      </c>
      <c r="J9">
        <v>5.6856324000000003</v>
      </c>
      <c r="K9">
        <v>306.95220849999998</v>
      </c>
    </row>
    <row r="11" spans="1:11">
      <c r="A11" t="s">
        <v>236</v>
      </c>
    </row>
    <row r="12" spans="1:11">
      <c r="C12" t="s">
        <v>54</v>
      </c>
      <c r="D12" t="s">
        <v>224</v>
      </c>
      <c r="E12" t="s">
        <v>225</v>
      </c>
      <c r="F12" t="s">
        <v>226</v>
      </c>
      <c r="G12" t="s">
        <v>134</v>
      </c>
      <c r="H12" t="s">
        <v>227</v>
      </c>
      <c r="I12" t="s">
        <v>10</v>
      </c>
      <c r="J12" t="s">
        <v>228</v>
      </c>
      <c r="K12" t="s">
        <v>229</v>
      </c>
    </row>
    <row r="13" spans="1:11">
      <c r="A13" t="s">
        <v>230</v>
      </c>
      <c r="B13" t="s">
        <v>231</v>
      </c>
      <c r="C13">
        <v>64.233862999999999</v>
      </c>
      <c r="D13">
        <v>38.044361000000002</v>
      </c>
      <c r="E13">
        <v>26.340436</v>
      </c>
      <c r="F13">
        <v>2.6082527</v>
      </c>
      <c r="G13">
        <v>48.557799000000003</v>
      </c>
      <c r="H13">
        <v>0</v>
      </c>
      <c r="I13">
        <v>179.7847117</v>
      </c>
      <c r="J13">
        <v>5.2165054</v>
      </c>
      <c r="K13">
        <v>185.00121709999999</v>
      </c>
    </row>
    <row r="14" spans="1:11">
      <c r="B14" t="s">
        <v>232</v>
      </c>
      <c r="C14">
        <v>2.0694583</v>
      </c>
      <c r="D14">
        <v>7.4991199999999994E-2</v>
      </c>
      <c r="E14">
        <v>3.0582562000000002</v>
      </c>
      <c r="F14">
        <v>1.5053761999999999</v>
      </c>
      <c r="G14">
        <v>0.93088789999999999</v>
      </c>
      <c r="H14">
        <v>0.21171490000000001</v>
      </c>
      <c r="I14">
        <v>7.8506847000000004</v>
      </c>
      <c r="J14">
        <v>3.0107523999999999</v>
      </c>
      <c r="K14">
        <v>10.8614371</v>
      </c>
    </row>
    <row r="15" spans="1:11">
      <c r="B15" t="s">
        <v>233</v>
      </c>
      <c r="C15">
        <v>46.32461</v>
      </c>
      <c r="D15">
        <v>5.0388058999999998</v>
      </c>
      <c r="E15">
        <v>9.3020040000000002</v>
      </c>
      <c r="F15">
        <v>0.40639150000000002</v>
      </c>
      <c r="G15">
        <v>0</v>
      </c>
      <c r="H15">
        <v>17.500266</v>
      </c>
      <c r="I15">
        <v>78.572077399999998</v>
      </c>
      <c r="J15">
        <v>0.81278300000000003</v>
      </c>
      <c r="K15">
        <v>79.384860399999994</v>
      </c>
    </row>
    <row r="16" spans="1:11">
      <c r="B16" t="s">
        <v>234</v>
      </c>
      <c r="C16">
        <v>3.5608468000000002</v>
      </c>
      <c r="D16">
        <v>0</v>
      </c>
      <c r="E16">
        <v>1.3056243000000001</v>
      </c>
      <c r="F16">
        <v>0.26464929999999998</v>
      </c>
      <c r="G16">
        <v>0.27635880000000002</v>
      </c>
      <c r="H16">
        <v>1.0712090999999999</v>
      </c>
      <c r="I16">
        <v>6.4786883</v>
      </c>
      <c r="J16">
        <v>0.52929859999999995</v>
      </c>
      <c r="K16">
        <v>7.0079868999999997</v>
      </c>
    </row>
    <row r="17" spans="1:11">
      <c r="B17" t="s">
        <v>10</v>
      </c>
      <c r="C17">
        <v>116.18877809999999</v>
      </c>
      <c r="D17">
        <v>43.158158100000001</v>
      </c>
      <c r="E17">
        <v>40.006320500000001</v>
      </c>
      <c r="F17">
        <v>4.7846697000000002</v>
      </c>
      <c r="G17">
        <v>49.765045700000002</v>
      </c>
      <c r="H17">
        <v>18.783190000000001</v>
      </c>
      <c r="I17">
        <v>272.68616209999999</v>
      </c>
      <c r="J17">
        <v>9.5693394000000005</v>
      </c>
      <c r="K17">
        <v>282.25550149999998</v>
      </c>
    </row>
    <row r="19" spans="1:11">
      <c r="A19" t="s">
        <v>237</v>
      </c>
    </row>
    <row r="20" spans="1:11">
      <c r="C20" t="s">
        <v>54</v>
      </c>
      <c r="D20" t="s">
        <v>224</v>
      </c>
      <c r="E20" t="s">
        <v>225</v>
      </c>
      <c r="F20" t="s">
        <v>226</v>
      </c>
      <c r="G20" t="s">
        <v>134</v>
      </c>
      <c r="H20" t="s">
        <v>227</v>
      </c>
      <c r="I20" t="s">
        <v>10</v>
      </c>
      <c r="J20" t="s">
        <v>228</v>
      </c>
      <c r="K20" t="s">
        <v>229</v>
      </c>
    </row>
    <row r="21" spans="1:11">
      <c r="A21" t="s">
        <v>230</v>
      </c>
      <c r="B21" t="s">
        <v>231</v>
      </c>
      <c r="C21">
        <v>57.531471000000003</v>
      </c>
      <c r="D21">
        <v>15.686718000000001</v>
      </c>
      <c r="E21">
        <v>26.169868000000001</v>
      </c>
      <c r="F21">
        <v>4.4080085999999996</v>
      </c>
      <c r="G21">
        <v>51.399140000000003</v>
      </c>
      <c r="H21">
        <v>0</v>
      </c>
      <c r="I21">
        <v>155.19520560000001</v>
      </c>
      <c r="J21">
        <v>8.8160171999999992</v>
      </c>
      <c r="K21">
        <v>164.01122280000001</v>
      </c>
    </row>
    <row r="22" spans="1:11">
      <c r="B22" t="s">
        <v>232</v>
      </c>
      <c r="C22">
        <v>2.1909060999999999</v>
      </c>
      <c r="D22">
        <v>7.4991199999999994E-2</v>
      </c>
      <c r="E22">
        <v>3.0938952</v>
      </c>
      <c r="F22">
        <v>1.9729159999999999</v>
      </c>
      <c r="G22">
        <v>1.1406442000000001</v>
      </c>
      <c r="H22">
        <v>0.4212822</v>
      </c>
      <c r="I22">
        <v>8.8946348999999998</v>
      </c>
      <c r="J22">
        <v>3.9458319999999998</v>
      </c>
      <c r="K22">
        <v>12.840466899999999</v>
      </c>
    </row>
    <row r="23" spans="1:11">
      <c r="B23" t="s">
        <v>233</v>
      </c>
      <c r="C23">
        <v>36.724297999999997</v>
      </c>
      <c r="D23">
        <v>2.6175671</v>
      </c>
      <c r="E23">
        <v>8.4114698000000008</v>
      </c>
      <c r="F23">
        <v>0.57285299999999995</v>
      </c>
      <c r="G23">
        <v>0</v>
      </c>
      <c r="H23">
        <v>21.109458</v>
      </c>
      <c r="I23">
        <v>69.435645899999997</v>
      </c>
      <c r="J23">
        <v>1.1457059999999999</v>
      </c>
      <c r="K23">
        <v>70.581351900000001</v>
      </c>
    </row>
    <row r="24" spans="1:11">
      <c r="B24" t="s">
        <v>234</v>
      </c>
      <c r="C24">
        <v>3.7557597999999999</v>
      </c>
      <c r="D24">
        <v>0</v>
      </c>
      <c r="E24">
        <v>1.4353636999999999</v>
      </c>
      <c r="F24">
        <v>0.34315099999999998</v>
      </c>
      <c r="G24">
        <v>0.55239419999999995</v>
      </c>
      <c r="H24">
        <v>1.9032347999999999</v>
      </c>
      <c r="I24">
        <v>7.9899034999999996</v>
      </c>
      <c r="J24">
        <v>0.68630199999999997</v>
      </c>
      <c r="K24">
        <v>8.6762055</v>
      </c>
    </row>
    <row r="25" spans="1:11">
      <c r="B25" t="s">
        <v>10</v>
      </c>
      <c r="C25">
        <v>100.2024349</v>
      </c>
      <c r="D25">
        <v>18.379276300000001</v>
      </c>
      <c r="E25">
        <v>39.110596700000002</v>
      </c>
      <c r="F25">
        <v>7.2969286000000002</v>
      </c>
      <c r="G25">
        <v>53.092178400000002</v>
      </c>
      <c r="H25">
        <v>23.433975</v>
      </c>
      <c r="I25">
        <v>241.5153899</v>
      </c>
      <c r="J25">
        <v>14.5938572</v>
      </c>
      <c r="K25">
        <v>256.1092471</v>
      </c>
    </row>
    <row r="27" spans="1:11">
      <c r="A27" t="s">
        <v>238</v>
      </c>
    </row>
    <row r="28" spans="1:11">
      <c r="C28" t="s">
        <v>54</v>
      </c>
      <c r="D28" t="s">
        <v>224</v>
      </c>
      <c r="E28" t="s">
        <v>225</v>
      </c>
      <c r="F28" t="s">
        <v>226</v>
      </c>
      <c r="G28" t="s">
        <v>134</v>
      </c>
      <c r="H28" t="s">
        <v>227</v>
      </c>
      <c r="I28" t="s">
        <v>10</v>
      </c>
      <c r="J28" t="s">
        <v>228</v>
      </c>
      <c r="K28" t="s">
        <v>229</v>
      </c>
    </row>
    <row r="29" spans="1:11">
      <c r="A29" t="s">
        <v>230</v>
      </c>
      <c r="B29" t="s">
        <v>231</v>
      </c>
      <c r="C29">
        <v>22.234912999999999</v>
      </c>
      <c r="D29">
        <v>1.5291052999999999</v>
      </c>
      <c r="E29">
        <v>24.232078000000001</v>
      </c>
      <c r="F29">
        <v>8.1830636000000005</v>
      </c>
      <c r="G29">
        <v>45.880267000000003</v>
      </c>
      <c r="H29">
        <v>1.3454208999999999</v>
      </c>
      <c r="I29">
        <v>103.4048478</v>
      </c>
      <c r="J29">
        <v>16.366127200000001</v>
      </c>
      <c r="K29">
        <v>119.77097500000001</v>
      </c>
    </row>
    <row r="30" spans="1:11">
      <c r="B30" t="s">
        <v>232</v>
      </c>
      <c r="C30">
        <v>2.3466241999999999</v>
      </c>
      <c r="D30">
        <v>7.4991199999999994E-2</v>
      </c>
      <c r="E30">
        <v>3.1542509999999999</v>
      </c>
      <c r="F30">
        <v>2.7957477000000002</v>
      </c>
      <c r="G30">
        <v>1.4106574999999999</v>
      </c>
      <c r="H30">
        <v>0.83128880000000005</v>
      </c>
      <c r="I30">
        <v>10.613560400000001</v>
      </c>
      <c r="J30">
        <v>5.5914954000000003</v>
      </c>
      <c r="K30">
        <v>16.2050558</v>
      </c>
    </row>
    <row r="31" spans="1:11">
      <c r="B31" t="s">
        <v>233</v>
      </c>
      <c r="C31">
        <v>25.554660999999999</v>
      </c>
      <c r="D31">
        <v>1.3862036</v>
      </c>
      <c r="E31">
        <v>6.4436308999999996</v>
      </c>
      <c r="F31">
        <v>0.93348260000000005</v>
      </c>
      <c r="G31">
        <v>0</v>
      </c>
      <c r="H31">
        <v>18.185676000000001</v>
      </c>
      <c r="I31">
        <v>52.503654099999999</v>
      </c>
      <c r="J31">
        <v>1.8669652000000001</v>
      </c>
      <c r="K31">
        <v>54.370619300000001</v>
      </c>
    </row>
    <row r="32" spans="1:11">
      <c r="B32" t="s">
        <v>234</v>
      </c>
      <c r="C32">
        <v>3.9274494999999998</v>
      </c>
      <c r="D32">
        <v>0</v>
      </c>
      <c r="E32">
        <v>1.5742809</v>
      </c>
      <c r="F32">
        <v>0.54902759999999995</v>
      </c>
      <c r="G32">
        <v>1.0674633</v>
      </c>
      <c r="H32">
        <v>3.7607020000000002</v>
      </c>
      <c r="I32">
        <v>10.8789233</v>
      </c>
      <c r="J32">
        <v>1.0980551999999999</v>
      </c>
      <c r="K32">
        <v>11.9769785</v>
      </c>
    </row>
    <row r="33" spans="1:11">
      <c r="B33" t="s">
        <v>10</v>
      </c>
      <c r="C33">
        <v>54.063647699999997</v>
      </c>
      <c r="D33">
        <v>2.9903000999999998</v>
      </c>
      <c r="E33">
        <v>35.404240799999997</v>
      </c>
      <c r="F33">
        <v>12.4613215</v>
      </c>
      <c r="G33">
        <v>48.358387800000003</v>
      </c>
      <c r="H33">
        <v>24.123087699999999</v>
      </c>
      <c r="I33">
        <v>177.40098560000001</v>
      </c>
      <c r="J33">
        <v>24.922643000000001</v>
      </c>
      <c r="K33">
        <v>202.32362860000001</v>
      </c>
    </row>
    <row r="35" spans="1:11">
      <c r="B35" t="s">
        <v>239</v>
      </c>
    </row>
    <row r="36" spans="1:11">
      <c r="C36" t="s">
        <v>54</v>
      </c>
      <c r="D36" t="s">
        <v>224</v>
      </c>
      <c r="E36" t="s">
        <v>225</v>
      </c>
      <c r="F36" t="s">
        <v>226</v>
      </c>
      <c r="G36" t="s">
        <v>134</v>
      </c>
      <c r="H36" t="s">
        <v>227</v>
      </c>
      <c r="I36" t="s">
        <v>10</v>
      </c>
      <c r="J36" t="s">
        <v>228</v>
      </c>
      <c r="K36" t="s">
        <v>229</v>
      </c>
    </row>
    <row r="37" spans="1:11">
      <c r="A37" t="s">
        <v>230</v>
      </c>
      <c r="B37" t="s">
        <v>231</v>
      </c>
      <c r="C37">
        <v>3.0888198</v>
      </c>
      <c r="D37">
        <v>1.1872600000000001E-2</v>
      </c>
      <c r="E37">
        <v>19.294653</v>
      </c>
      <c r="F37">
        <v>9.7085719000000008</v>
      </c>
      <c r="G37">
        <v>33.971479000000002</v>
      </c>
      <c r="H37">
        <v>1.666364</v>
      </c>
      <c r="I37">
        <v>67.741760299999996</v>
      </c>
      <c r="J37">
        <v>19.417143800000002</v>
      </c>
      <c r="K37">
        <v>87.158904100000001</v>
      </c>
    </row>
    <row r="38" spans="1:11">
      <c r="B38" t="s">
        <v>232</v>
      </c>
      <c r="C38">
        <v>2.4270782</v>
      </c>
      <c r="D38">
        <v>7.4991199999999994E-2</v>
      </c>
      <c r="E38">
        <v>3.1854347000000001</v>
      </c>
      <c r="F38">
        <v>3.2323195</v>
      </c>
      <c r="G38">
        <v>1.4911114999999999</v>
      </c>
      <c r="H38">
        <v>1.0726507000000001</v>
      </c>
      <c r="I38">
        <v>11.4835858</v>
      </c>
      <c r="J38">
        <v>6.464639</v>
      </c>
      <c r="K38">
        <v>17.948224799999998</v>
      </c>
    </row>
    <row r="39" spans="1:11">
      <c r="B39" t="s">
        <v>233</v>
      </c>
      <c r="C39">
        <v>7.6454529999999998</v>
      </c>
      <c r="D39">
        <v>0.26575090000000001</v>
      </c>
      <c r="E39">
        <v>6.5657907</v>
      </c>
      <c r="F39">
        <v>3.0998155999999999</v>
      </c>
      <c r="G39">
        <v>0</v>
      </c>
      <c r="H39">
        <v>13.403691</v>
      </c>
      <c r="I39">
        <v>30.980501199999999</v>
      </c>
      <c r="J39">
        <v>6.1996311999999998</v>
      </c>
      <c r="K39">
        <v>37.180132399999998</v>
      </c>
    </row>
    <row r="40" spans="1:11">
      <c r="B40" t="s">
        <v>234</v>
      </c>
      <c r="C40">
        <v>4.0471668999999997</v>
      </c>
      <c r="D40">
        <v>0</v>
      </c>
      <c r="E40">
        <v>1.6206830000000001</v>
      </c>
      <c r="F40">
        <v>0.73463590000000001</v>
      </c>
      <c r="G40">
        <v>1.4266155</v>
      </c>
      <c r="H40">
        <v>5.0775933999999996</v>
      </c>
      <c r="I40">
        <v>12.906694699999999</v>
      </c>
      <c r="J40">
        <v>1.4692718</v>
      </c>
      <c r="K40">
        <v>14.375966500000001</v>
      </c>
    </row>
    <row r="41" spans="1:11">
      <c r="B41" t="s">
        <v>10</v>
      </c>
      <c r="C41">
        <v>17.2085179</v>
      </c>
      <c r="D41">
        <v>0.3526147</v>
      </c>
      <c r="E41">
        <v>30.666561399999999</v>
      </c>
      <c r="F41">
        <v>16.775342899999998</v>
      </c>
      <c r="G41">
        <v>36.889206000000001</v>
      </c>
      <c r="H41">
        <v>21.220299099999998</v>
      </c>
      <c r="I41">
        <v>123.112542</v>
      </c>
      <c r="J41">
        <v>33.550685799999997</v>
      </c>
      <c r="K41">
        <v>156.66322779999999</v>
      </c>
    </row>
    <row r="42" spans="1:11">
      <c r="C42">
        <v>0.109844014716515</v>
      </c>
      <c r="D42">
        <v>2.2507815327931099E-3</v>
      </c>
      <c r="E42">
        <v>0.19574830565312801</v>
      </c>
      <c r="F42">
        <v>0.107079007215502</v>
      </c>
      <c r="G42">
        <v>0.23546818559804999</v>
      </c>
      <c r="H42">
        <v>0.13545169085300801</v>
      </c>
      <c r="I42">
        <v>0.78584198556899598</v>
      </c>
      <c r="J42">
        <v>0.21415801443100399</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4"/>
  <dimension ref="A1:K34"/>
  <sheetViews>
    <sheetView workbookViewId="0"/>
  </sheetViews>
  <sheetFormatPr baseColWidth="10" defaultColWidth="11.453125" defaultRowHeight="14.5"/>
  <sheetData>
    <row r="1" spans="1:11">
      <c r="A1" t="s">
        <v>222</v>
      </c>
    </row>
    <row r="3" spans="1:11">
      <c r="A3" t="s">
        <v>236</v>
      </c>
    </row>
    <row r="4" spans="1:11">
      <c r="C4" t="s">
        <v>54</v>
      </c>
      <c r="D4" t="s">
        <v>224</v>
      </c>
      <c r="E4" t="s">
        <v>225</v>
      </c>
      <c r="F4" t="s">
        <v>226</v>
      </c>
      <c r="G4" t="s">
        <v>134</v>
      </c>
      <c r="H4" t="s">
        <v>227</v>
      </c>
      <c r="I4" t="s">
        <v>10</v>
      </c>
      <c r="J4" t="s">
        <v>228</v>
      </c>
      <c r="K4" t="s">
        <v>229</v>
      </c>
    </row>
    <row r="5" spans="1:11">
      <c r="A5" t="s">
        <v>230</v>
      </c>
      <c r="B5" t="s">
        <v>231</v>
      </c>
      <c r="C5">
        <v>64.233862999999999</v>
      </c>
      <c r="D5">
        <v>38.044361000000002</v>
      </c>
      <c r="E5">
        <v>26.340436</v>
      </c>
      <c r="F5">
        <v>2.6082527</v>
      </c>
      <c r="G5">
        <v>48.557799000000003</v>
      </c>
      <c r="H5">
        <v>0</v>
      </c>
      <c r="I5">
        <v>179.7847117</v>
      </c>
      <c r="J5">
        <v>5.2165054</v>
      </c>
      <c r="K5">
        <v>185.00121709999999</v>
      </c>
    </row>
    <row r="6" spans="1:11">
      <c r="B6" t="s">
        <v>232</v>
      </c>
      <c r="C6">
        <v>2.0694583</v>
      </c>
      <c r="D6">
        <v>7.4991199999999994E-2</v>
      </c>
      <c r="E6">
        <v>3.0582562000000002</v>
      </c>
      <c r="F6">
        <v>1.5053761999999999</v>
      </c>
      <c r="G6">
        <v>0.93088789999999999</v>
      </c>
      <c r="H6">
        <v>0.21171490000000001</v>
      </c>
      <c r="I6">
        <v>7.8506847000000004</v>
      </c>
      <c r="J6">
        <v>3.0107523999999999</v>
      </c>
      <c r="K6">
        <v>10.8614371</v>
      </c>
    </row>
    <row r="7" spans="1:11">
      <c r="B7" t="s">
        <v>233</v>
      </c>
      <c r="C7">
        <v>46.32461</v>
      </c>
      <c r="D7">
        <v>5.0388058999999998</v>
      </c>
      <c r="E7">
        <v>9.3020040000000002</v>
      </c>
      <c r="F7">
        <v>0.40639150000000002</v>
      </c>
      <c r="G7">
        <v>0</v>
      </c>
      <c r="H7">
        <v>17.500266</v>
      </c>
      <c r="I7">
        <v>78.572077399999998</v>
      </c>
      <c r="J7">
        <v>0.81278300000000003</v>
      </c>
      <c r="K7">
        <v>79.384860399999994</v>
      </c>
    </row>
    <row r="8" spans="1:11">
      <c r="B8" t="s">
        <v>234</v>
      </c>
      <c r="C8">
        <v>3.5608468000000002</v>
      </c>
      <c r="D8">
        <v>0</v>
      </c>
      <c r="E8">
        <v>1.3056243000000001</v>
      </c>
      <c r="F8">
        <v>0.26464929999999998</v>
      </c>
      <c r="G8">
        <v>0.27635880000000002</v>
      </c>
      <c r="H8">
        <v>1.0712090999999999</v>
      </c>
      <c r="I8">
        <v>6.4786883</v>
      </c>
      <c r="J8">
        <v>0.52929859999999995</v>
      </c>
      <c r="K8">
        <v>7.0079868999999997</v>
      </c>
    </row>
    <row r="9" spans="1:11">
      <c r="B9" t="s">
        <v>10</v>
      </c>
      <c r="C9">
        <v>116.18877809999999</v>
      </c>
      <c r="D9">
        <v>43.158158100000001</v>
      </c>
      <c r="E9">
        <v>40.006320500000001</v>
      </c>
      <c r="F9">
        <v>4.7846697000000002</v>
      </c>
      <c r="G9">
        <v>49.765045700000002</v>
      </c>
      <c r="H9">
        <v>18.783190000000001</v>
      </c>
      <c r="I9">
        <v>272.68616209999999</v>
      </c>
      <c r="J9">
        <v>9.5693394000000005</v>
      </c>
      <c r="K9">
        <v>282.25550149999998</v>
      </c>
    </row>
    <row r="11" spans="1:11">
      <c r="A11" t="s">
        <v>237</v>
      </c>
    </row>
    <row r="12" spans="1:11">
      <c r="C12" t="s">
        <v>54</v>
      </c>
      <c r="D12" t="s">
        <v>224</v>
      </c>
      <c r="E12" t="s">
        <v>225</v>
      </c>
      <c r="F12" t="s">
        <v>226</v>
      </c>
      <c r="G12" t="s">
        <v>134</v>
      </c>
      <c r="H12" t="s">
        <v>227</v>
      </c>
      <c r="I12" t="s">
        <v>10</v>
      </c>
      <c r="J12" t="s">
        <v>228</v>
      </c>
      <c r="K12" t="s">
        <v>229</v>
      </c>
    </row>
    <row r="13" spans="1:11">
      <c r="A13" t="s">
        <v>230</v>
      </c>
      <c r="B13" t="s">
        <v>231</v>
      </c>
      <c r="C13">
        <v>57.531471000000003</v>
      </c>
      <c r="D13">
        <v>15.686718000000001</v>
      </c>
      <c r="E13">
        <v>26.169868000000001</v>
      </c>
      <c r="F13">
        <v>4.4080085999999996</v>
      </c>
      <c r="G13">
        <v>51.399140000000003</v>
      </c>
      <c r="H13">
        <v>0</v>
      </c>
      <c r="I13">
        <v>155.19520560000001</v>
      </c>
      <c r="J13">
        <v>8.8160171999999992</v>
      </c>
      <c r="K13">
        <v>164.01122280000001</v>
      </c>
    </row>
    <row r="14" spans="1:11">
      <c r="B14" t="s">
        <v>232</v>
      </c>
      <c r="C14">
        <v>2.1909060999999999</v>
      </c>
      <c r="D14">
        <v>7.4991199999999994E-2</v>
      </c>
      <c r="E14">
        <v>3.0938952</v>
      </c>
      <c r="F14">
        <v>1.9729159999999999</v>
      </c>
      <c r="G14">
        <v>1.1406442000000001</v>
      </c>
      <c r="H14">
        <v>0.4212822</v>
      </c>
      <c r="I14">
        <v>8.8946348999999998</v>
      </c>
      <c r="J14">
        <v>3.9458319999999998</v>
      </c>
      <c r="K14">
        <v>12.840466899999999</v>
      </c>
    </row>
    <row r="15" spans="1:11">
      <c r="B15" t="s">
        <v>233</v>
      </c>
      <c r="C15">
        <v>36.724297999999997</v>
      </c>
      <c r="D15">
        <v>2.6175671</v>
      </c>
      <c r="E15">
        <v>8.4114698000000008</v>
      </c>
      <c r="F15">
        <v>0.57285299999999995</v>
      </c>
      <c r="G15">
        <v>0</v>
      </c>
      <c r="H15">
        <v>21.109458</v>
      </c>
      <c r="I15">
        <v>69.435645899999997</v>
      </c>
      <c r="J15">
        <v>1.1457059999999999</v>
      </c>
      <c r="K15">
        <v>70.581351900000001</v>
      </c>
    </row>
    <row r="16" spans="1:11">
      <c r="B16" t="s">
        <v>234</v>
      </c>
      <c r="C16">
        <v>3.7557597999999999</v>
      </c>
      <c r="D16">
        <v>0</v>
      </c>
      <c r="E16">
        <v>1.4353636999999999</v>
      </c>
      <c r="F16">
        <v>0.34315099999999998</v>
      </c>
      <c r="G16">
        <v>0.55239419999999995</v>
      </c>
      <c r="H16">
        <v>1.9032347999999999</v>
      </c>
      <c r="I16">
        <v>7.9899034999999996</v>
      </c>
      <c r="J16">
        <v>0.68630199999999997</v>
      </c>
      <c r="K16">
        <v>8.6762055</v>
      </c>
    </row>
    <row r="17" spans="1:11">
      <c r="B17" t="s">
        <v>10</v>
      </c>
      <c r="C17">
        <v>100.2024349</v>
      </c>
      <c r="D17">
        <v>18.379276300000001</v>
      </c>
      <c r="E17">
        <v>39.110596700000002</v>
      </c>
      <c r="F17">
        <v>7.2969286000000002</v>
      </c>
      <c r="G17">
        <v>53.092178400000002</v>
      </c>
      <c r="H17">
        <v>23.433975</v>
      </c>
      <c r="I17">
        <v>241.5153899</v>
      </c>
      <c r="J17">
        <v>14.5938572</v>
      </c>
      <c r="K17">
        <v>256.1092471</v>
      </c>
    </row>
    <row r="19" spans="1:11">
      <c r="A19" t="s">
        <v>238</v>
      </c>
    </row>
    <row r="20" spans="1:11">
      <c r="C20" t="s">
        <v>54</v>
      </c>
      <c r="D20" t="s">
        <v>224</v>
      </c>
      <c r="E20" t="s">
        <v>225</v>
      </c>
      <c r="F20" t="s">
        <v>226</v>
      </c>
      <c r="G20" t="s">
        <v>134</v>
      </c>
      <c r="H20" t="s">
        <v>227</v>
      </c>
      <c r="I20" t="s">
        <v>10</v>
      </c>
      <c r="J20" t="s">
        <v>228</v>
      </c>
      <c r="K20" t="s">
        <v>229</v>
      </c>
    </row>
    <row r="21" spans="1:11">
      <c r="A21" t="s">
        <v>230</v>
      </c>
      <c r="B21" t="s">
        <v>231</v>
      </c>
      <c r="C21">
        <v>22.234912999999999</v>
      </c>
      <c r="D21">
        <v>1.5291052999999999</v>
      </c>
      <c r="E21">
        <v>24.232078000000001</v>
      </c>
      <c r="F21">
        <v>8.1830636000000005</v>
      </c>
      <c r="G21">
        <v>45.880267000000003</v>
      </c>
      <c r="H21">
        <v>1.3454208999999999</v>
      </c>
      <c r="I21">
        <v>103.4048478</v>
      </c>
      <c r="J21">
        <v>16.366127200000001</v>
      </c>
      <c r="K21">
        <v>119.77097500000001</v>
      </c>
    </row>
    <row r="22" spans="1:11">
      <c r="B22" t="s">
        <v>232</v>
      </c>
      <c r="C22">
        <v>2.3466241999999999</v>
      </c>
      <c r="D22">
        <v>7.4991199999999994E-2</v>
      </c>
      <c r="E22">
        <v>3.1542509999999999</v>
      </c>
      <c r="F22">
        <v>2.7957477000000002</v>
      </c>
      <c r="G22">
        <v>1.4106574999999999</v>
      </c>
      <c r="H22">
        <v>0.83128880000000005</v>
      </c>
      <c r="I22">
        <v>10.613560400000001</v>
      </c>
      <c r="J22">
        <v>5.5914954000000003</v>
      </c>
      <c r="K22">
        <v>16.2050558</v>
      </c>
    </row>
    <row r="23" spans="1:11">
      <c r="B23" t="s">
        <v>233</v>
      </c>
      <c r="C23">
        <v>25.554660999999999</v>
      </c>
      <c r="D23">
        <v>1.3862036</v>
      </c>
      <c r="E23">
        <v>6.4436308999999996</v>
      </c>
      <c r="F23">
        <v>0.93348260000000005</v>
      </c>
      <c r="G23">
        <v>0</v>
      </c>
      <c r="H23">
        <v>18.185676000000001</v>
      </c>
      <c r="I23">
        <v>52.503654099999999</v>
      </c>
      <c r="J23">
        <v>1.8669652000000001</v>
      </c>
      <c r="K23">
        <v>54.370619300000001</v>
      </c>
    </row>
    <row r="24" spans="1:11">
      <c r="B24" t="s">
        <v>234</v>
      </c>
      <c r="C24">
        <v>3.9274494999999998</v>
      </c>
      <c r="D24">
        <v>0</v>
      </c>
      <c r="E24">
        <v>1.5742809</v>
      </c>
      <c r="F24">
        <v>0.54902759999999995</v>
      </c>
      <c r="G24">
        <v>1.0674633</v>
      </c>
      <c r="H24">
        <v>3.7607020000000002</v>
      </c>
      <c r="I24">
        <v>10.8789233</v>
      </c>
      <c r="J24">
        <v>1.0980551999999999</v>
      </c>
      <c r="K24">
        <v>11.9769785</v>
      </c>
    </row>
    <row r="25" spans="1:11">
      <c r="B25" t="s">
        <v>10</v>
      </c>
      <c r="C25">
        <v>54.063647699999997</v>
      </c>
      <c r="D25">
        <v>2.9903000999999998</v>
      </c>
      <c r="E25">
        <v>35.404240799999997</v>
      </c>
      <c r="F25">
        <v>12.4613215</v>
      </c>
      <c r="G25">
        <v>48.358387800000003</v>
      </c>
      <c r="H25">
        <v>24.123087699999999</v>
      </c>
      <c r="I25">
        <v>177.40098560000001</v>
      </c>
      <c r="J25">
        <v>24.922643000000001</v>
      </c>
      <c r="K25">
        <v>202.32362860000001</v>
      </c>
    </row>
    <row r="27" spans="1:11">
      <c r="B27" t="s">
        <v>239</v>
      </c>
    </row>
    <row r="28" spans="1:11">
      <c r="C28" t="s">
        <v>54</v>
      </c>
      <c r="D28" t="s">
        <v>224</v>
      </c>
      <c r="E28" t="s">
        <v>225</v>
      </c>
      <c r="F28" t="s">
        <v>226</v>
      </c>
      <c r="G28" t="s">
        <v>134</v>
      </c>
      <c r="H28" t="s">
        <v>227</v>
      </c>
      <c r="I28" t="s">
        <v>10</v>
      </c>
      <c r="J28" t="s">
        <v>228</v>
      </c>
      <c r="K28" t="s">
        <v>229</v>
      </c>
    </row>
    <row r="29" spans="1:11">
      <c r="A29" t="s">
        <v>230</v>
      </c>
      <c r="B29" t="s">
        <v>231</v>
      </c>
      <c r="C29">
        <v>3.0888198</v>
      </c>
      <c r="D29">
        <v>1.1872600000000001E-2</v>
      </c>
      <c r="E29">
        <v>19.294653</v>
      </c>
      <c r="F29">
        <v>9.7085719000000008</v>
      </c>
      <c r="G29">
        <v>33.971479000000002</v>
      </c>
      <c r="H29">
        <v>1.666364</v>
      </c>
      <c r="I29">
        <v>67.741760299999996</v>
      </c>
      <c r="J29">
        <v>19.417143800000002</v>
      </c>
      <c r="K29">
        <v>87.158904100000001</v>
      </c>
    </row>
    <row r="30" spans="1:11">
      <c r="B30" t="s">
        <v>232</v>
      </c>
      <c r="C30">
        <v>2.4270782</v>
      </c>
      <c r="D30">
        <v>7.4991199999999994E-2</v>
      </c>
      <c r="E30">
        <v>3.1854347000000001</v>
      </c>
      <c r="F30">
        <v>3.2323195</v>
      </c>
      <c r="G30">
        <v>1.4911114999999999</v>
      </c>
      <c r="H30">
        <v>1.0726507000000001</v>
      </c>
      <c r="I30">
        <v>11.4835858</v>
      </c>
      <c r="J30">
        <v>6.464639</v>
      </c>
      <c r="K30">
        <v>17.948224799999998</v>
      </c>
    </row>
    <row r="31" spans="1:11">
      <c r="B31" t="s">
        <v>233</v>
      </c>
      <c r="C31">
        <v>7.6454529999999998</v>
      </c>
      <c r="D31">
        <v>0.26575090000000001</v>
      </c>
      <c r="E31">
        <v>6.5657907</v>
      </c>
      <c r="F31">
        <v>3.0998155999999999</v>
      </c>
      <c r="G31">
        <v>0</v>
      </c>
      <c r="H31">
        <v>13.403691</v>
      </c>
      <c r="I31">
        <v>30.980501199999999</v>
      </c>
      <c r="J31">
        <v>6.1996311999999998</v>
      </c>
      <c r="K31">
        <v>37.180132399999998</v>
      </c>
    </row>
    <row r="32" spans="1:11">
      <c r="B32" t="s">
        <v>234</v>
      </c>
      <c r="C32">
        <v>4.0471668999999997</v>
      </c>
      <c r="D32">
        <v>0</v>
      </c>
      <c r="E32">
        <v>1.6206830000000001</v>
      </c>
      <c r="F32">
        <v>0.73463590000000001</v>
      </c>
      <c r="G32">
        <v>1.4266155</v>
      </c>
      <c r="H32">
        <v>5.0775933999999996</v>
      </c>
      <c r="I32">
        <v>12.906694699999999</v>
      </c>
      <c r="J32">
        <v>1.4692718</v>
      </c>
      <c r="K32">
        <v>14.375966500000001</v>
      </c>
    </row>
    <row r="33" spans="2:11">
      <c r="B33" t="s">
        <v>10</v>
      </c>
      <c r="C33">
        <v>17.2085179</v>
      </c>
      <c r="D33">
        <v>0.3526147</v>
      </c>
      <c r="E33">
        <v>30.666561399999999</v>
      </c>
      <c r="F33">
        <v>16.775342899999998</v>
      </c>
      <c r="G33">
        <v>36.889206000000001</v>
      </c>
      <c r="H33">
        <v>21.220299099999998</v>
      </c>
      <c r="I33">
        <v>123.112542</v>
      </c>
      <c r="J33">
        <v>33.550685799999997</v>
      </c>
      <c r="K33">
        <v>156.66322779999999</v>
      </c>
    </row>
    <row r="34" spans="2:11">
      <c r="C34">
        <v>0.109844014716515</v>
      </c>
      <c r="D34">
        <v>2.2507815327931099E-3</v>
      </c>
      <c r="E34">
        <v>0.19574830565312801</v>
      </c>
      <c r="F34">
        <v>0.107079007215502</v>
      </c>
      <c r="G34">
        <v>0.23546818559804999</v>
      </c>
      <c r="H34">
        <v>0.13545169085300801</v>
      </c>
      <c r="I34">
        <v>0.78584198556899598</v>
      </c>
      <c r="J34">
        <v>0.21415801443100399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5"/>
  <dimension ref="A1:K26"/>
  <sheetViews>
    <sheetView workbookViewId="0"/>
  </sheetViews>
  <sheetFormatPr baseColWidth="10" defaultColWidth="11.453125" defaultRowHeight="14.5"/>
  <sheetData>
    <row r="1" spans="1:11">
      <c r="A1" t="s">
        <v>222</v>
      </c>
    </row>
    <row r="3" spans="1:11">
      <c r="A3" t="s">
        <v>237</v>
      </c>
    </row>
    <row r="4" spans="1:11">
      <c r="C4" t="s">
        <v>54</v>
      </c>
      <c r="D4" t="s">
        <v>224</v>
      </c>
      <c r="E4" t="s">
        <v>225</v>
      </c>
      <c r="F4" t="s">
        <v>226</v>
      </c>
      <c r="G4" t="s">
        <v>134</v>
      </c>
      <c r="H4" t="s">
        <v>227</v>
      </c>
      <c r="I4" t="s">
        <v>10</v>
      </c>
      <c r="J4" t="s">
        <v>228</v>
      </c>
      <c r="K4" t="s">
        <v>229</v>
      </c>
    </row>
    <row r="5" spans="1:11">
      <c r="A5" t="s">
        <v>230</v>
      </c>
      <c r="B5" t="s">
        <v>231</v>
      </c>
      <c r="C5">
        <v>57.531471000000003</v>
      </c>
      <c r="D5">
        <v>15.686718000000001</v>
      </c>
      <c r="E5">
        <v>26.169868000000001</v>
      </c>
      <c r="F5">
        <v>4.4080085999999996</v>
      </c>
      <c r="G5">
        <v>51.399140000000003</v>
      </c>
      <c r="H5">
        <v>0</v>
      </c>
      <c r="I5">
        <v>155.19520560000001</v>
      </c>
      <c r="J5">
        <v>8.8160171999999992</v>
      </c>
      <c r="K5">
        <v>164.01122280000001</v>
      </c>
    </row>
    <row r="6" spans="1:11">
      <c r="B6" t="s">
        <v>232</v>
      </c>
      <c r="C6">
        <v>2.1909060999999999</v>
      </c>
      <c r="D6">
        <v>7.4991199999999994E-2</v>
      </c>
      <c r="E6">
        <v>3.0938952</v>
      </c>
      <c r="F6">
        <v>1.9729159999999999</v>
      </c>
      <c r="G6">
        <v>1.1406442000000001</v>
      </c>
      <c r="H6">
        <v>0.4212822</v>
      </c>
      <c r="I6">
        <v>8.8946348999999998</v>
      </c>
      <c r="J6">
        <v>3.9458319999999998</v>
      </c>
      <c r="K6">
        <v>12.840466899999999</v>
      </c>
    </row>
    <row r="7" spans="1:11">
      <c r="B7" t="s">
        <v>233</v>
      </c>
      <c r="C7">
        <v>36.724297999999997</v>
      </c>
      <c r="D7">
        <v>2.6175671</v>
      </c>
      <c r="E7">
        <v>8.4114698000000008</v>
      </c>
      <c r="F7">
        <v>0.57285299999999995</v>
      </c>
      <c r="G7">
        <v>0</v>
      </c>
      <c r="H7">
        <v>21.109458</v>
      </c>
      <c r="I7">
        <v>69.435645899999997</v>
      </c>
      <c r="J7">
        <v>1.1457059999999999</v>
      </c>
      <c r="K7">
        <v>70.581351900000001</v>
      </c>
    </row>
    <row r="8" spans="1:11">
      <c r="B8" t="s">
        <v>234</v>
      </c>
      <c r="C8">
        <v>3.7557597999999999</v>
      </c>
      <c r="D8">
        <v>0</v>
      </c>
      <c r="E8">
        <v>1.4353636999999999</v>
      </c>
      <c r="F8">
        <v>0.34315099999999998</v>
      </c>
      <c r="G8">
        <v>0.55239419999999995</v>
      </c>
      <c r="H8">
        <v>1.9032347999999999</v>
      </c>
      <c r="I8">
        <v>7.9899034999999996</v>
      </c>
      <c r="J8">
        <v>0.68630199999999997</v>
      </c>
      <c r="K8">
        <v>8.6762055</v>
      </c>
    </row>
    <row r="9" spans="1:11">
      <c r="B9" t="s">
        <v>10</v>
      </c>
      <c r="C9">
        <v>100.2024349</v>
      </c>
      <c r="D9">
        <v>18.379276300000001</v>
      </c>
      <c r="E9">
        <v>39.110596700000002</v>
      </c>
      <c r="F9">
        <v>7.2969286000000002</v>
      </c>
      <c r="G9">
        <v>53.092178400000002</v>
      </c>
      <c r="H9">
        <v>23.433975</v>
      </c>
      <c r="I9">
        <v>241.5153899</v>
      </c>
      <c r="J9">
        <v>14.5938572</v>
      </c>
      <c r="K9">
        <v>256.1092471</v>
      </c>
    </row>
    <row r="11" spans="1:11">
      <c r="A11" t="s">
        <v>238</v>
      </c>
    </row>
    <row r="12" spans="1:11">
      <c r="C12" t="s">
        <v>54</v>
      </c>
      <c r="D12" t="s">
        <v>224</v>
      </c>
      <c r="E12" t="s">
        <v>225</v>
      </c>
      <c r="F12" t="s">
        <v>226</v>
      </c>
      <c r="G12" t="s">
        <v>134</v>
      </c>
      <c r="H12" t="s">
        <v>227</v>
      </c>
      <c r="I12" t="s">
        <v>10</v>
      </c>
      <c r="J12" t="s">
        <v>228</v>
      </c>
      <c r="K12" t="s">
        <v>229</v>
      </c>
    </row>
    <row r="13" spans="1:11">
      <c r="A13" t="s">
        <v>230</v>
      </c>
      <c r="B13" t="s">
        <v>231</v>
      </c>
      <c r="C13">
        <v>22.234912999999999</v>
      </c>
      <c r="D13">
        <v>1.5291052999999999</v>
      </c>
      <c r="E13">
        <v>24.232078000000001</v>
      </c>
      <c r="F13">
        <v>8.1830636000000005</v>
      </c>
      <c r="G13">
        <v>45.880267000000003</v>
      </c>
      <c r="H13">
        <v>1.3454208999999999</v>
      </c>
      <c r="I13">
        <v>103.4048478</v>
      </c>
      <c r="J13">
        <v>16.366127200000001</v>
      </c>
      <c r="K13">
        <v>119.77097500000001</v>
      </c>
    </row>
    <row r="14" spans="1:11">
      <c r="B14" t="s">
        <v>232</v>
      </c>
      <c r="C14">
        <v>2.3466241999999999</v>
      </c>
      <c r="D14">
        <v>7.4991199999999994E-2</v>
      </c>
      <c r="E14">
        <v>3.1542509999999999</v>
      </c>
      <c r="F14">
        <v>2.7957477000000002</v>
      </c>
      <c r="G14">
        <v>1.4106574999999999</v>
      </c>
      <c r="H14">
        <v>0.83128880000000005</v>
      </c>
      <c r="I14">
        <v>10.613560400000001</v>
      </c>
      <c r="J14">
        <v>5.5914954000000003</v>
      </c>
      <c r="K14">
        <v>16.2050558</v>
      </c>
    </row>
    <row r="15" spans="1:11">
      <c r="B15" t="s">
        <v>233</v>
      </c>
      <c r="C15">
        <v>25.554660999999999</v>
      </c>
      <c r="D15">
        <v>1.3862036</v>
      </c>
      <c r="E15">
        <v>6.4436308999999996</v>
      </c>
      <c r="F15">
        <v>0.93348260000000005</v>
      </c>
      <c r="G15">
        <v>0</v>
      </c>
      <c r="H15">
        <v>18.185676000000001</v>
      </c>
      <c r="I15">
        <v>52.503654099999999</v>
      </c>
      <c r="J15">
        <v>1.8669652000000001</v>
      </c>
      <c r="K15">
        <v>54.370619300000001</v>
      </c>
    </row>
    <row r="16" spans="1:11">
      <c r="B16" t="s">
        <v>234</v>
      </c>
      <c r="C16">
        <v>3.9274494999999998</v>
      </c>
      <c r="D16">
        <v>0</v>
      </c>
      <c r="E16">
        <v>1.5742809</v>
      </c>
      <c r="F16">
        <v>0.54902759999999995</v>
      </c>
      <c r="G16">
        <v>1.0674633</v>
      </c>
      <c r="H16">
        <v>3.7607020000000002</v>
      </c>
      <c r="I16">
        <v>10.8789233</v>
      </c>
      <c r="J16">
        <v>1.0980551999999999</v>
      </c>
      <c r="K16">
        <v>11.9769785</v>
      </c>
    </row>
    <row r="17" spans="1:11">
      <c r="B17" t="s">
        <v>10</v>
      </c>
      <c r="C17">
        <v>54.063647699999997</v>
      </c>
      <c r="D17">
        <v>2.9903000999999998</v>
      </c>
      <c r="E17">
        <v>35.404240799999997</v>
      </c>
      <c r="F17">
        <v>12.4613215</v>
      </c>
      <c r="G17">
        <v>48.358387800000003</v>
      </c>
      <c r="H17">
        <v>24.123087699999999</v>
      </c>
      <c r="I17">
        <v>177.40098560000001</v>
      </c>
      <c r="J17">
        <v>24.922643000000001</v>
      </c>
      <c r="K17">
        <v>202.32362860000001</v>
      </c>
    </row>
    <row r="19" spans="1:11">
      <c r="B19" t="s">
        <v>239</v>
      </c>
    </row>
    <row r="20" spans="1:11">
      <c r="C20" t="s">
        <v>54</v>
      </c>
      <c r="D20" t="s">
        <v>224</v>
      </c>
      <c r="E20" t="s">
        <v>225</v>
      </c>
      <c r="F20" t="s">
        <v>226</v>
      </c>
      <c r="G20" t="s">
        <v>134</v>
      </c>
      <c r="H20" t="s">
        <v>227</v>
      </c>
      <c r="I20" t="s">
        <v>10</v>
      </c>
      <c r="J20" t="s">
        <v>228</v>
      </c>
      <c r="K20" t="s">
        <v>229</v>
      </c>
    </row>
    <row r="21" spans="1:11">
      <c r="A21" t="s">
        <v>230</v>
      </c>
      <c r="B21" t="s">
        <v>231</v>
      </c>
      <c r="C21">
        <v>3.0888198</v>
      </c>
      <c r="D21">
        <v>1.1872600000000001E-2</v>
      </c>
      <c r="E21">
        <v>19.294653</v>
      </c>
      <c r="F21">
        <v>9.7085719000000008</v>
      </c>
      <c r="G21">
        <v>33.971479000000002</v>
      </c>
      <c r="H21">
        <v>1.666364</v>
      </c>
      <c r="I21">
        <v>67.741760299999996</v>
      </c>
      <c r="J21">
        <v>19.417143800000002</v>
      </c>
      <c r="K21">
        <v>87.158904100000001</v>
      </c>
    </row>
    <row r="22" spans="1:11">
      <c r="B22" t="s">
        <v>232</v>
      </c>
      <c r="C22">
        <v>2.4270782</v>
      </c>
      <c r="D22">
        <v>7.4991199999999994E-2</v>
      </c>
      <c r="E22">
        <v>3.1854347000000001</v>
      </c>
      <c r="F22">
        <v>3.2323195</v>
      </c>
      <c r="G22">
        <v>1.4911114999999999</v>
      </c>
      <c r="H22">
        <v>1.0726507000000001</v>
      </c>
      <c r="I22">
        <v>11.4835858</v>
      </c>
      <c r="J22">
        <v>6.464639</v>
      </c>
      <c r="K22">
        <v>17.948224799999998</v>
      </c>
    </row>
    <row r="23" spans="1:11">
      <c r="B23" t="s">
        <v>233</v>
      </c>
      <c r="C23">
        <v>7.6454529999999998</v>
      </c>
      <c r="D23">
        <v>0.26575090000000001</v>
      </c>
      <c r="E23">
        <v>6.5657907</v>
      </c>
      <c r="F23">
        <v>3.0998155999999999</v>
      </c>
      <c r="G23">
        <v>0</v>
      </c>
      <c r="H23">
        <v>13.403691</v>
      </c>
      <c r="I23">
        <v>30.980501199999999</v>
      </c>
      <c r="J23">
        <v>6.1996311999999998</v>
      </c>
      <c r="K23">
        <v>37.180132399999998</v>
      </c>
    </row>
    <row r="24" spans="1:11">
      <c r="B24" t="s">
        <v>234</v>
      </c>
      <c r="C24">
        <v>4.0471668999999997</v>
      </c>
      <c r="D24">
        <v>0</v>
      </c>
      <c r="E24">
        <v>1.6206830000000001</v>
      </c>
      <c r="F24">
        <v>0.73463590000000001</v>
      </c>
      <c r="G24">
        <v>1.4266155</v>
      </c>
      <c r="H24">
        <v>5.0775933999999996</v>
      </c>
      <c r="I24">
        <v>12.906694699999999</v>
      </c>
      <c r="J24">
        <v>1.4692718</v>
      </c>
      <c r="K24">
        <v>14.375966500000001</v>
      </c>
    </row>
    <row r="25" spans="1:11">
      <c r="B25" t="s">
        <v>10</v>
      </c>
      <c r="C25">
        <v>17.2085179</v>
      </c>
      <c r="D25">
        <v>0.3526147</v>
      </c>
      <c r="E25">
        <v>30.666561399999999</v>
      </c>
      <c r="F25">
        <v>16.775342899999998</v>
      </c>
      <c r="G25">
        <v>36.889206000000001</v>
      </c>
      <c r="H25">
        <v>21.220299099999998</v>
      </c>
      <c r="I25">
        <v>123.112542</v>
      </c>
      <c r="J25">
        <v>33.550685799999997</v>
      </c>
      <c r="K25">
        <v>156.66322779999999</v>
      </c>
    </row>
    <row r="26" spans="1:11">
      <c r="C26">
        <v>0.109844014716515</v>
      </c>
      <c r="D26">
        <v>2.2507815327931099E-3</v>
      </c>
      <c r="E26">
        <v>0.19574830565312801</v>
      </c>
      <c r="F26">
        <v>0.107079007215502</v>
      </c>
      <c r="G26">
        <v>0.23546818559804999</v>
      </c>
      <c r="H26">
        <v>0.13545169085300801</v>
      </c>
      <c r="I26">
        <v>0.78584198556899598</v>
      </c>
      <c r="J26">
        <v>0.21415801443100399</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6"/>
  <dimension ref="A1:K10"/>
  <sheetViews>
    <sheetView workbookViewId="0"/>
  </sheetViews>
  <sheetFormatPr baseColWidth="10" defaultColWidth="11.453125" defaultRowHeight="14.5"/>
  <sheetData>
    <row r="1" spans="1:11">
      <c r="A1" t="s">
        <v>222</v>
      </c>
    </row>
    <row r="3" spans="1:11">
      <c r="B3" t="s">
        <v>239</v>
      </c>
    </row>
    <row r="4" spans="1:11">
      <c r="C4" t="s">
        <v>54</v>
      </c>
      <c r="D4" t="s">
        <v>224</v>
      </c>
      <c r="E4" t="s">
        <v>225</v>
      </c>
      <c r="F4" t="s">
        <v>226</v>
      </c>
      <c r="G4" t="s">
        <v>134</v>
      </c>
      <c r="H4" t="s">
        <v>227</v>
      </c>
      <c r="I4" t="s">
        <v>10</v>
      </c>
      <c r="J4" t="s">
        <v>228</v>
      </c>
      <c r="K4" t="s">
        <v>229</v>
      </c>
    </row>
    <row r="5" spans="1:11">
      <c r="A5" t="s">
        <v>230</v>
      </c>
      <c r="B5" t="s">
        <v>231</v>
      </c>
      <c r="C5">
        <v>3.0888198</v>
      </c>
      <c r="D5">
        <v>1.1872600000000001E-2</v>
      </c>
      <c r="E5">
        <v>19.294653</v>
      </c>
      <c r="F5">
        <v>9.7085719000000008</v>
      </c>
      <c r="G5">
        <v>33.971479000000002</v>
      </c>
      <c r="H5">
        <v>1.666364</v>
      </c>
      <c r="I5">
        <v>67.741760299999996</v>
      </c>
      <c r="J5">
        <v>19.417143800000002</v>
      </c>
      <c r="K5">
        <v>87.158904100000001</v>
      </c>
    </row>
    <row r="6" spans="1:11">
      <c r="B6" t="s">
        <v>232</v>
      </c>
      <c r="C6">
        <v>2.4270782</v>
      </c>
      <c r="D6">
        <v>7.4991199999999994E-2</v>
      </c>
      <c r="E6">
        <v>3.1854347000000001</v>
      </c>
      <c r="F6">
        <v>3.2323195</v>
      </c>
      <c r="G6">
        <v>1.4911114999999999</v>
      </c>
      <c r="H6">
        <v>1.0726507000000001</v>
      </c>
      <c r="I6">
        <v>11.4835858</v>
      </c>
      <c r="J6">
        <v>6.464639</v>
      </c>
      <c r="K6">
        <v>17.948224799999998</v>
      </c>
    </row>
    <row r="7" spans="1:11">
      <c r="B7" t="s">
        <v>233</v>
      </c>
      <c r="C7">
        <v>7.6454529999999998</v>
      </c>
      <c r="D7">
        <v>0.26575090000000001</v>
      </c>
      <c r="E7">
        <v>6.5657907</v>
      </c>
      <c r="F7">
        <v>3.0998155999999999</v>
      </c>
      <c r="G7">
        <v>0</v>
      </c>
      <c r="H7">
        <v>13.403691</v>
      </c>
      <c r="I7">
        <v>30.980501199999999</v>
      </c>
      <c r="J7">
        <v>6.1996311999999998</v>
      </c>
      <c r="K7">
        <v>37.180132399999998</v>
      </c>
    </row>
    <row r="8" spans="1:11">
      <c r="B8" t="s">
        <v>234</v>
      </c>
      <c r="C8">
        <v>4.0471668999999997</v>
      </c>
      <c r="D8">
        <v>0</v>
      </c>
      <c r="E8">
        <v>1.6206830000000001</v>
      </c>
      <c r="F8">
        <v>0.73463590000000001</v>
      </c>
      <c r="G8">
        <v>1.4266155</v>
      </c>
      <c r="H8">
        <v>5.0775933999999996</v>
      </c>
      <c r="I8">
        <v>12.906694699999999</v>
      </c>
      <c r="J8">
        <v>1.4692718</v>
      </c>
      <c r="K8">
        <v>14.375966500000001</v>
      </c>
    </row>
    <row r="9" spans="1:11">
      <c r="B9" t="s">
        <v>10</v>
      </c>
      <c r="C9">
        <v>17.2085179</v>
      </c>
      <c r="D9">
        <v>0.3526147</v>
      </c>
      <c r="E9">
        <v>30.666561399999999</v>
      </c>
      <c r="F9">
        <v>16.775342899999998</v>
      </c>
      <c r="G9">
        <v>36.889206000000001</v>
      </c>
      <c r="H9">
        <v>21.220299099999998</v>
      </c>
      <c r="I9">
        <v>123.112542</v>
      </c>
      <c r="J9">
        <v>33.550685799999997</v>
      </c>
      <c r="K9">
        <v>156.66322779999999</v>
      </c>
    </row>
    <row r="10" spans="1:11">
      <c r="C10">
        <v>0.109844014716515</v>
      </c>
      <c r="D10">
        <v>2.2507815327931099E-3</v>
      </c>
      <c r="E10">
        <v>0.19574830565312801</v>
      </c>
      <c r="F10">
        <v>0.107079007215502</v>
      </c>
      <c r="G10">
        <v>0.23546818559804999</v>
      </c>
      <c r="H10">
        <v>0.13545169085300801</v>
      </c>
      <c r="I10">
        <v>0.78584198556899598</v>
      </c>
      <c r="J10">
        <v>0.21415801443100399</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7"/>
  <dimension ref="A1:G35"/>
  <sheetViews>
    <sheetView workbookViewId="0"/>
  </sheetViews>
  <sheetFormatPr baseColWidth="10" defaultRowHeight="14.5"/>
  <sheetData>
    <row r="1" spans="1:7">
      <c r="A1" t="s">
        <v>240</v>
      </c>
    </row>
    <row r="3" spans="1:7">
      <c r="A3" t="s">
        <v>212</v>
      </c>
    </row>
    <row r="4" spans="1:7">
      <c r="A4" t="s">
        <v>128</v>
      </c>
      <c r="B4">
        <v>2015</v>
      </c>
      <c r="C4">
        <v>2020</v>
      </c>
      <c r="D4">
        <v>2025</v>
      </c>
      <c r="E4">
        <v>2030</v>
      </c>
      <c r="F4">
        <v>2040</v>
      </c>
      <c r="G4">
        <v>2050</v>
      </c>
    </row>
    <row r="5" spans="1:7">
      <c r="A5" t="s">
        <v>104</v>
      </c>
      <c r="B5">
        <v>25.308019668171202</v>
      </c>
      <c r="C5">
        <v>24.344010698547201</v>
      </c>
      <c r="D5">
        <v>22.530538802537901</v>
      </c>
      <c r="E5">
        <v>16.5347505482708</v>
      </c>
      <c r="F5">
        <v>13.312344444513601</v>
      </c>
      <c r="G5">
        <v>2.1146503112217898</v>
      </c>
    </row>
    <row r="6" spans="1:7">
      <c r="A6" t="s">
        <v>54</v>
      </c>
      <c r="B6">
        <v>18.981014751128399</v>
      </c>
      <c r="C6">
        <v>16.9677157901945</v>
      </c>
      <c r="D6">
        <v>14.034981027112799</v>
      </c>
      <c r="E6">
        <v>12.003004101707701</v>
      </c>
      <c r="F6">
        <v>5.9734878917689302</v>
      </c>
      <c r="G6">
        <v>3.7006380446381302</v>
      </c>
    </row>
    <row r="7" spans="1:7">
      <c r="A7" t="s">
        <v>224</v>
      </c>
      <c r="B7">
        <v>4.2180032780285304</v>
      </c>
      <c r="C7">
        <v>2.9087512783190701</v>
      </c>
      <c r="D7">
        <v>0.91309174478370303</v>
      </c>
      <c r="E7">
        <v>0</v>
      </c>
      <c r="F7">
        <v>0</v>
      </c>
      <c r="G7">
        <v>0</v>
      </c>
    </row>
    <row r="8" spans="1:7">
      <c r="A8" t="s">
        <v>135</v>
      </c>
      <c r="B8">
        <v>1.0545008195071299</v>
      </c>
      <c r="C8">
        <v>1.54406781362761</v>
      </c>
      <c r="D8">
        <v>2.01373746957703</v>
      </c>
      <c r="E8">
        <v>2.4430777996853998</v>
      </c>
      <c r="F8">
        <v>3.2696986354945698</v>
      </c>
      <c r="G8">
        <v>4.4518953920458797</v>
      </c>
    </row>
    <row r="9" spans="1:7">
      <c r="A9" t="s">
        <v>241</v>
      </c>
      <c r="B9">
        <v>1.5817512292607001</v>
      </c>
      <c r="C9">
        <v>2.2892949875659299</v>
      </c>
      <c r="D9">
        <v>4.8292407835226996</v>
      </c>
      <c r="E9">
        <v>8.5735743583626398</v>
      </c>
      <c r="F9">
        <v>12.0797199589105</v>
      </c>
      <c r="G9">
        <v>19.736736238070002</v>
      </c>
    </row>
    <row r="10" spans="1:7">
      <c r="A10" t="s">
        <v>242</v>
      </c>
      <c r="B10">
        <v>1.0545008195071299</v>
      </c>
      <c r="C10">
        <v>0.969583759439688</v>
      </c>
      <c r="D10">
        <v>1.3582239703657599</v>
      </c>
      <c r="E10">
        <v>2.14339358959066</v>
      </c>
      <c r="F10">
        <v>3.9823252611792901</v>
      </c>
      <c r="G10">
        <v>3.7006380446381302</v>
      </c>
    </row>
    <row r="11" spans="1:7">
      <c r="A11" t="s">
        <v>243</v>
      </c>
      <c r="B11">
        <v>0.52725040975356696</v>
      </c>
      <c r="C11">
        <v>0.484791879719844</v>
      </c>
      <c r="D11">
        <v>0.45274132345525298</v>
      </c>
      <c r="E11">
        <v>0.857357435836264</v>
      </c>
      <c r="F11">
        <v>1.1946975783537901</v>
      </c>
      <c r="G11">
        <v>1.85031902231906</v>
      </c>
    </row>
    <row r="12" spans="1:7">
      <c r="A12" t="s">
        <v>10</v>
      </c>
      <c r="B12">
        <v>52.725040975356698</v>
      </c>
      <c r="C12">
        <v>49.508216207413902</v>
      </c>
      <c r="D12">
        <v>46.132555121355203</v>
      </c>
      <c r="E12">
        <v>42.555157833453499</v>
      </c>
      <c r="F12">
        <v>39.812273770220699</v>
      </c>
      <c r="G12">
        <v>35.554877052933001</v>
      </c>
    </row>
    <row r="14" spans="1:7">
      <c r="A14" t="s">
        <v>140</v>
      </c>
    </row>
    <row r="15" spans="1:7">
      <c r="A15" t="s">
        <v>244</v>
      </c>
      <c r="B15">
        <v>2015</v>
      </c>
      <c r="C15">
        <v>2020</v>
      </c>
      <c r="D15">
        <v>2025</v>
      </c>
      <c r="E15">
        <v>2030</v>
      </c>
      <c r="F15">
        <v>2040</v>
      </c>
      <c r="G15">
        <v>2050</v>
      </c>
    </row>
    <row r="16" spans="1:7">
      <c r="A16" t="s">
        <v>41</v>
      </c>
      <c r="B16">
        <v>11.0276342788289</v>
      </c>
      <c r="C16">
        <v>9.3829992656699002</v>
      </c>
      <c r="D16">
        <v>7.4799597463327601</v>
      </c>
      <c r="E16">
        <v>6.50801172424993</v>
      </c>
      <c r="F16">
        <v>6.0948723369684901</v>
      </c>
      <c r="G16">
        <v>4.4438696697774303</v>
      </c>
    </row>
    <row r="17" spans="1:7">
      <c r="A17" t="s">
        <v>180</v>
      </c>
      <c r="B17">
        <v>7.1939435732653196</v>
      </c>
      <c r="C17">
        <v>6.3466515714263503</v>
      </c>
      <c r="D17">
        <v>4.8145263292626801</v>
      </c>
      <c r="E17">
        <v>3.2409945700553902</v>
      </c>
      <c r="F17">
        <v>1.6456155309814899</v>
      </c>
      <c r="G17">
        <v>1.6555592887406101</v>
      </c>
    </row>
    <row r="18" spans="1:7">
      <c r="A18" t="s">
        <v>104</v>
      </c>
      <c r="B18">
        <v>13.0631221479058</v>
      </c>
      <c r="C18">
        <v>14.9032163518961</v>
      </c>
      <c r="D18">
        <v>18.727809663392801</v>
      </c>
      <c r="E18">
        <v>20.893769374254902</v>
      </c>
      <c r="F18">
        <v>21.9415404130865</v>
      </c>
      <c r="G18">
        <v>22.306483048294499</v>
      </c>
    </row>
    <row r="19" spans="1:7">
      <c r="A19" t="s">
        <v>10</v>
      </c>
      <c r="B19">
        <v>31.284700000000001</v>
      </c>
      <c r="C19">
        <v>30.6328671889923</v>
      </c>
      <c r="D19">
        <v>31.022295738988198</v>
      </c>
      <c r="E19">
        <v>30.642775668560201</v>
      </c>
      <c r="F19">
        <v>29.682028281036501</v>
      </c>
      <c r="G19">
        <v>28.4059120068125</v>
      </c>
    </row>
    <row r="21" spans="1:7">
      <c r="A21" t="s">
        <v>141</v>
      </c>
    </row>
    <row r="22" spans="1:7">
      <c r="B22">
        <v>2015</v>
      </c>
      <c r="C22">
        <v>2020</v>
      </c>
      <c r="D22">
        <v>2025</v>
      </c>
      <c r="E22">
        <v>2030</v>
      </c>
      <c r="F22">
        <v>2050</v>
      </c>
    </row>
    <row r="23" spans="1:7">
      <c r="A23" t="s">
        <v>245</v>
      </c>
      <c r="B23">
        <v>8.247522</v>
      </c>
      <c r="C23">
        <v>6.914360984</v>
      </c>
      <c r="D23">
        <v>5.4399118480000004</v>
      </c>
      <c r="E23">
        <v>3.8476310444999999</v>
      </c>
      <c r="F23">
        <v>2.7900163349999998</v>
      </c>
    </row>
    <row r="25" spans="1:7">
      <c r="A25" t="s">
        <v>143</v>
      </c>
    </row>
    <row r="27" spans="1:7">
      <c r="A27" t="s">
        <v>128</v>
      </c>
      <c r="B27">
        <v>2015</v>
      </c>
      <c r="C27">
        <v>2020</v>
      </c>
      <c r="D27">
        <v>2025</v>
      </c>
      <c r="E27">
        <v>2030</v>
      </c>
      <c r="F27">
        <v>2050</v>
      </c>
    </row>
    <row r="28" spans="1:7">
      <c r="A28" t="s">
        <v>104</v>
      </c>
      <c r="B28">
        <v>0.565565939792534</v>
      </c>
      <c r="C28">
        <v>0.86061670840319104</v>
      </c>
      <c r="D28">
        <v>1.25109084860822</v>
      </c>
      <c r="E28">
        <v>1.4752842591356601</v>
      </c>
      <c r="F28">
        <v>2.1980218817885699</v>
      </c>
    </row>
    <row r="29" spans="1:7">
      <c r="A29" t="s">
        <v>135</v>
      </c>
      <c r="B29">
        <v>5.9533256820266797E-3</v>
      </c>
      <c r="C29">
        <v>9.1554968979062797E-3</v>
      </c>
      <c r="D29">
        <v>2.8114401092319601E-2</v>
      </c>
      <c r="E29">
        <v>5.39738143586216E-2</v>
      </c>
      <c r="F29">
        <v>0.18316849014904699</v>
      </c>
    </row>
    <row r="30" spans="1:7">
      <c r="A30" t="s">
        <v>246</v>
      </c>
      <c r="B30">
        <v>2.3813302728106701E-2</v>
      </c>
      <c r="C30">
        <v>4.5777484489531402E-2</v>
      </c>
      <c r="D30">
        <v>0.12651480491543801</v>
      </c>
      <c r="E30">
        <v>0.26986907179310798</v>
      </c>
      <c r="F30">
        <v>1.2821794310433301</v>
      </c>
    </row>
    <row r="31" spans="1:7">
      <c r="A31" t="s">
        <v>10</v>
      </c>
      <c r="B31">
        <v>0.595332568202668</v>
      </c>
      <c r="C31">
        <v>0.91554968979062801</v>
      </c>
      <c r="D31">
        <v>1.40572005461598</v>
      </c>
      <c r="E31">
        <v>1.79912714528739</v>
      </c>
      <c r="F31">
        <v>3.6633698029809501</v>
      </c>
    </row>
    <row r="33" spans="1:6">
      <c r="A33" t="s">
        <v>213</v>
      </c>
    </row>
    <row r="34" spans="1:6">
      <c r="A34" t="s">
        <v>128</v>
      </c>
      <c r="B34">
        <v>2015</v>
      </c>
      <c r="C34">
        <v>2020</v>
      </c>
      <c r="D34">
        <v>2025</v>
      </c>
      <c r="E34">
        <v>2030</v>
      </c>
      <c r="F34">
        <v>2050</v>
      </c>
    </row>
    <row r="35" spans="1:6">
      <c r="A35" t="s">
        <v>247</v>
      </c>
      <c r="B35">
        <v>63.628359610598103</v>
      </c>
      <c r="C35">
        <v>60.705245610807602</v>
      </c>
      <c r="D35">
        <v>57.2669859004478</v>
      </c>
      <c r="E35">
        <v>53.588829719739699</v>
      </c>
      <c r="F35">
        <v>49.965433346804502</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28"/>
  <dimension ref="A1:F35"/>
  <sheetViews>
    <sheetView workbookViewId="0"/>
  </sheetViews>
  <sheetFormatPr baseColWidth="10" defaultColWidth="11.453125" defaultRowHeight="14.5"/>
  <sheetData>
    <row r="1" spans="1:6">
      <c r="A1" t="s">
        <v>240</v>
      </c>
    </row>
    <row r="3" spans="1:6">
      <c r="A3" t="s">
        <v>212</v>
      </c>
    </row>
    <row r="4" spans="1:6">
      <c r="A4" t="s">
        <v>128</v>
      </c>
      <c r="B4">
        <v>2020</v>
      </c>
      <c r="C4">
        <v>2025</v>
      </c>
      <c r="D4">
        <v>2030</v>
      </c>
      <c r="E4">
        <v>2040</v>
      </c>
      <c r="F4">
        <v>2050</v>
      </c>
    </row>
    <row r="5" spans="1:6">
      <c r="A5" t="s">
        <v>104</v>
      </c>
      <c r="B5">
        <v>24.344010698547201</v>
      </c>
      <c r="C5">
        <v>22.530538802537901</v>
      </c>
      <c r="D5">
        <v>16.5347505482708</v>
      </c>
      <c r="E5">
        <v>13.312344444513601</v>
      </c>
      <c r="F5">
        <v>2.1146503112217898</v>
      </c>
    </row>
    <row r="6" spans="1:6">
      <c r="A6" t="s">
        <v>54</v>
      </c>
      <c r="B6">
        <v>16.9677157901945</v>
      </c>
      <c r="C6">
        <v>14.034981027112799</v>
      </c>
      <c r="D6">
        <v>12.003004101707701</v>
      </c>
      <c r="E6">
        <v>5.9734878917689302</v>
      </c>
      <c r="F6">
        <v>3.7006380446381302</v>
      </c>
    </row>
    <row r="7" spans="1:6">
      <c r="A7" t="s">
        <v>224</v>
      </c>
      <c r="B7">
        <v>2.9087512783190701</v>
      </c>
      <c r="C7">
        <v>0.91309174478370303</v>
      </c>
      <c r="D7">
        <v>0</v>
      </c>
      <c r="E7">
        <v>0</v>
      </c>
      <c r="F7">
        <v>0</v>
      </c>
    </row>
    <row r="8" spans="1:6">
      <c r="A8" t="s">
        <v>135</v>
      </c>
      <c r="B8">
        <v>1.54406781362761</v>
      </c>
      <c r="C8">
        <v>2.01373746957703</v>
      </c>
      <c r="D8">
        <v>2.4430777996853998</v>
      </c>
      <c r="E8">
        <v>3.2696986354945698</v>
      </c>
      <c r="F8">
        <v>4.4518953920458797</v>
      </c>
    </row>
    <row r="9" spans="1:6">
      <c r="A9" t="s">
        <v>241</v>
      </c>
      <c r="B9">
        <v>2.2892949875659299</v>
      </c>
      <c r="C9">
        <v>4.8292407835226996</v>
      </c>
      <c r="D9">
        <v>8.5735743583626398</v>
      </c>
      <c r="E9">
        <v>12.0797199589105</v>
      </c>
      <c r="F9">
        <v>19.736736238070002</v>
      </c>
    </row>
    <row r="10" spans="1:6">
      <c r="A10" t="s">
        <v>242</v>
      </c>
      <c r="B10">
        <v>0.969583759439688</v>
      </c>
      <c r="C10">
        <v>1.3582239703657599</v>
      </c>
      <c r="D10">
        <v>2.14339358959066</v>
      </c>
      <c r="E10">
        <v>3.9823252611792901</v>
      </c>
      <c r="F10">
        <v>3.7006380446381302</v>
      </c>
    </row>
    <row r="11" spans="1:6">
      <c r="A11" t="s">
        <v>243</v>
      </c>
      <c r="B11">
        <v>0.484791879719844</v>
      </c>
      <c r="C11">
        <v>0.45274132345525298</v>
      </c>
      <c r="D11">
        <v>0.857357435836264</v>
      </c>
      <c r="E11">
        <v>1.1946975783537901</v>
      </c>
      <c r="F11">
        <v>1.85031902231906</v>
      </c>
    </row>
    <row r="12" spans="1:6">
      <c r="A12" t="s">
        <v>10</v>
      </c>
      <c r="B12">
        <v>49.508216207413902</v>
      </c>
      <c r="C12">
        <v>46.132555121355203</v>
      </c>
      <c r="D12">
        <v>42.555157833453499</v>
      </c>
      <c r="E12">
        <v>39.812273770220699</v>
      </c>
      <c r="F12">
        <v>35.554877052933001</v>
      </c>
    </row>
    <row r="14" spans="1:6">
      <c r="A14" t="s">
        <v>140</v>
      </c>
    </row>
    <row r="15" spans="1:6">
      <c r="A15" t="s">
        <v>244</v>
      </c>
      <c r="B15">
        <v>2020</v>
      </c>
      <c r="C15">
        <v>2025</v>
      </c>
      <c r="D15">
        <v>2030</v>
      </c>
      <c r="E15">
        <v>2040</v>
      </c>
      <c r="F15">
        <v>2050</v>
      </c>
    </row>
    <row r="16" spans="1:6">
      <c r="A16" t="s">
        <v>41</v>
      </c>
      <c r="B16">
        <v>9.3829992656699002</v>
      </c>
      <c r="C16">
        <v>7.4799597463327601</v>
      </c>
      <c r="D16">
        <v>6.50801172424993</v>
      </c>
      <c r="E16">
        <v>6.0948723369684901</v>
      </c>
      <c r="F16">
        <v>4.4438696697774303</v>
      </c>
    </row>
    <row r="17" spans="1:6">
      <c r="A17" t="s">
        <v>180</v>
      </c>
      <c r="B17">
        <v>6.3466515714263503</v>
      </c>
      <c r="C17">
        <v>4.8145263292626801</v>
      </c>
      <c r="D17">
        <v>3.2409945700553902</v>
      </c>
      <c r="E17">
        <v>1.6456155309814899</v>
      </c>
      <c r="F17">
        <v>1.6555592887406101</v>
      </c>
    </row>
    <row r="18" spans="1:6">
      <c r="A18" t="s">
        <v>104</v>
      </c>
      <c r="B18">
        <v>14.9032163518961</v>
      </c>
      <c r="C18">
        <v>18.727809663392801</v>
      </c>
      <c r="D18">
        <v>20.893769374254902</v>
      </c>
      <c r="E18">
        <v>21.9415404130865</v>
      </c>
      <c r="F18">
        <v>22.306483048294499</v>
      </c>
    </row>
    <row r="19" spans="1:6">
      <c r="A19" t="s">
        <v>10</v>
      </c>
      <c r="B19">
        <v>30.6328671889923</v>
      </c>
      <c r="C19">
        <v>31.022295738988198</v>
      </c>
      <c r="D19">
        <v>30.642775668560201</v>
      </c>
      <c r="E19">
        <v>29.682028281036501</v>
      </c>
      <c r="F19">
        <v>28.4059120068125</v>
      </c>
    </row>
    <row r="21" spans="1:6">
      <c r="A21" t="s">
        <v>141</v>
      </c>
    </row>
    <row r="22" spans="1:6">
      <c r="B22">
        <v>2020</v>
      </c>
      <c r="C22">
        <v>2025</v>
      </c>
      <c r="D22">
        <v>2030</v>
      </c>
      <c r="E22">
        <v>2050</v>
      </c>
    </row>
    <row r="23" spans="1:6">
      <c r="A23" t="s">
        <v>245</v>
      </c>
      <c r="B23">
        <v>6.914360984</v>
      </c>
      <c r="C23">
        <v>5.4399118480000004</v>
      </c>
      <c r="D23">
        <v>3.8476310444999999</v>
      </c>
      <c r="E23">
        <v>2.7900163349999998</v>
      </c>
    </row>
    <row r="25" spans="1:6">
      <c r="A25" t="s">
        <v>143</v>
      </c>
    </row>
    <row r="27" spans="1:6">
      <c r="A27" t="s">
        <v>128</v>
      </c>
      <c r="B27">
        <v>2020</v>
      </c>
      <c r="C27">
        <v>2025</v>
      </c>
      <c r="D27">
        <v>2030</v>
      </c>
      <c r="E27">
        <v>2050</v>
      </c>
    </row>
    <row r="28" spans="1:6">
      <c r="A28" t="s">
        <v>104</v>
      </c>
      <c r="B28">
        <v>0.86061670840319104</v>
      </c>
      <c r="C28">
        <v>1.25109084860822</v>
      </c>
      <c r="D28">
        <v>1.4752842591356601</v>
      </c>
      <c r="E28">
        <v>2.1980218817885699</v>
      </c>
    </row>
    <row r="29" spans="1:6">
      <c r="A29" t="s">
        <v>135</v>
      </c>
      <c r="B29">
        <v>9.1554968979062797E-3</v>
      </c>
      <c r="C29">
        <v>2.8114401092319601E-2</v>
      </c>
      <c r="D29">
        <v>5.39738143586216E-2</v>
      </c>
      <c r="E29">
        <v>0.18316849014904699</v>
      </c>
    </row>
    <row r="30" spans="1:6">
      <c r="A30" t="s">
        <v>246</v>
      </c>
      <c r="B30">
        <v>4.5777484489531402E-2</v>
      </c>
      <c r="C30">
        <v>0.12651480491543801</v>
      </c>
      <c r="D30">
        <v>0.26986907179310798</v>
      </c>
      <c r="E30">
        <v>1.2821794310433301</v>
      </c>
    </row>
    <row r="31" spans="1:6">
      <c r="A31" t="s">
        <v>10</v>
      </c>
      <c r="B31">
        <v>0.91554968979062801</v>
      </c>
      <c r="C31">
        <v>1.40572005461598</v>
      </c>
      <c r="D31">
        <v>1.79912714528739</v>
      </c>
      <c r="E31">
        <v>3.6633698029809501</v>
      </c>
    </row>
    <row r="33" spans="1:5">
      <c r="A33" t="s">
        <v>213</v>
      </c>
    </row>
    <row r="34" spans="1:5">
      <c r="A34" t="s">
        <v>128</v>
      </c>
      <c r="B34">
        <v>2020</v>
      </c>
      <c r="C34">
        <v>2025</v>
      </c>
      <c r="D34">
        <v>2030</v>
      </c>
      <c r="E34">
        <v>2050</v>
      </c>
    </row>
    <row r="35" spans="1:5">
      <c r="A35" t="s">
        <v>247</v>
      </c>
      <c r="B35">
        <v>60.705245610807602</v>
      </c>
      <c r="C35">
        <v>57.2669859004478</v>
      </c>
      <c r="D35">
        <v>53.588829719739699</v>
      </c>
      <c r="E35">
        <v>49.965433346804502</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29"/>
  <dimension ref="A1:E35"/>
  <sheetViews>
    <sheetView workbookViewId="0"/>
  </sheetViews>
  <sheetFormatPr baseColWidth="10" defaultColWidth="11.453125" defaultRowHeight="14.5"/>
  <sheetData>
    <row r="1" spans="1:5">
      <c r="A1" t="s">
        <v>240</v>
      </c>
    </row>
    <row r="3" spans="1:5">
      <c r="A3" t="s">
        <v>212</v>
      </c>
    </row>
    <row r="4" spans="1:5">
      <c r="A4" t="s">
        <v>128</v>
      </c>
      <c r="B4">
        <v>2025</v>
      </c>
      <c r="C4">
        <v>2030</v>
      </c>
      <c r="D4">
        <v>2040</v>
      </c>
      <c r="E4">
        <v>2050</v>
      </c>
    </row>
    <row r="5" spans="1:5">
      <c r="A5" t="s">
        <v>104</v>
      </c>
      <c r="B5">
        <v>22.530538802537901</v>
      </c>
      <c r="C5">
        <v>16.5347505482708</v>
      </c>
      <c r="D5">
        <v>13.312344444513601</v>
      </c>
      <c r="E5">
        <v>2.1146503112217898</v>
      </c>
    </row>
    <row r="6" spans="1:5">
      <c r="A6" t="s">
        <v>54</v>
      </c>
      <c r="B6">
        <v>14.034981027112799</v>
      </c>
      <c r="C6">
        <v>12.003004101707701</v>
      </c>
      <c r="D6">
        <v>5.9734878917689302</v>
      </c>
      <c r="E6">
        <v>3.7006380446381302</v>
      </c>
    </row>
    <row r="7" spans="1:5">
      <c r="A7" t="s">
        <v>224</v>
      </c>
      <c r="B7">
        <v>0.91309174478370303</v>
      </c>
      <c r="C7">
        <v>0</v>
      </c>
      <c r="D7">
        <v>0</v>
      </c>
      <c r="E7">
        <v>0</v>
      </c>
    </row>
    <row r="8" spans="1:5">
      <c r="A8" t="s">
        <v>135</v>
      </c>
      <c r="B8">
        <v>2.01373746957703</v>
      </c>
      <c r="C8">
        <v>2.4430777996853998</v>
      </c>
      <c r="D8">
        <v>3.2696986354945698</v>
      </c>
      <c r="E8">
        <v>4.4518953920458797</v>
      </c>
    </row>
    <row r="9" spans="1:5">
      <c r="A9" t="s">
        <v>241</v>
      </c>
      <c r="B9">
        <v>4.8292407835226996</v>
      </c>
      <c r="C9">
        <v>8.5735743583626398</v>
      </c>
      <c r="D9">
        <v>12.0797199589105</v>
      </c>
      <c r="E9">
        <v>19.736736238070002</v>
      </c>
    </row>
    <row r="10" spans="1:5">
      <c r="A10" t="s">
        <v>242</v>
      </c>
      <c r="B10">
        <v>1.3582239703657599</v>
      </c>
      <c r="C10">
        <v>2.14339358959066</v>
      </c>
      <c r="D10">
        <v>3.9823252611792901</v>
      </c>
      <c r="E10">
        <v>3.7006380446381302</v>
      </c>
    </row>
    <row r="11" spans="1:5">
      <c r="A11" t="s">
        <v>243</v>
      </c>
      <c r="B11">
        <v>0.45274132345525298</v>
      </c>
      <c r="C11">
        <v>0.857357435836264</v>
      </c>
      <c r="D11">
        <v>1.1946975783537901</v>
      </c>
      <c r="E11">
        <v>1.85031902231906</v>
      </c>
    </row>
    <row r="12" spans="1:5">
      <c r="A12" t="s">
        <v>10</v>
      </c>
      <c r="B12">
        <v>46.132555121355203</v>
      </c>
      <c r="C12">
        <v>42.555157833453499</v>
      </c>
      <c r="D12">
        <v>39.812273770220699</v>
      </c>
      <c r="E12">
        <v>35.554877052933001</v>
      </c>
    </row>
    <row r="14" spans="1:5">
      <c r="A14" t="s">
        <v>140</v>
      </c>
    </row>
    <row r="15" spans="1:5">
      <c r="A15" t="s">
        <v>244</v>
      </c>
      <c r="B15">
        <v>2025</v>
      </c>
      <c r="C15">
        <v>2030</v>
      </c>
      <c r="D15">
        <v>2040</v>
      </c>
      <c r="E15">
        <v>2050</v>
      </c>
    </row>
    <row r="16" spans="1:5">
      <c r="A16" t="s">
        <v>41</v>
      </c>
      <c r="B16">
        <v>7.4799597463327601</v>
      </c>
      <c r="C16">
        <v>6.50801172424993</v>
      </c>
      <c r="D16">
        <v>6.0948723369684901</v>
      </c>
      <c r="E16">
        <v>4.4438696697774303</v>
      </c>
    </row>
    <row r="17" spans="1:5">
      <c r="A17" t="s">
        <v>180</v>
      </c>
      <c r="B17">
        <v>4.8145263292626801</v>
      </c>
      <c r="C17">
        <v>3.2409945700553902</v>
      </c>
      <c r="D17">
        <v>1.6456155309814899</v>
      </c>
      <c r="E17">
        <v>1.6555592887406101</v>
      </c>
    </row>
    <row r="18" spans="1:5">
      <c r="A18" t="s">
        <v>104</v>
      </c>
      <c r="B18">
        <v>18.727809663392801</v>
      </c>
      <c r="C18">
        <v>20.893769374254902</v>
      </c>
      <c r="D18">
        <v>21.9415404130865</v>
      </c>
      <c r="E18">
        <v>22.306483048294499</v>
      </c>
    </row>
    <row r="19" spans="1:5">
      <c r="A19" t="s">
        <v>10</v>
      </c>
      <c r="B19">
        <v>31.022295738988198</v>
      </c>
      <c r="C19">
        <v>30.642775668560201</v>
      </c>
      <c r="D19">
        <v>29.682028281036501</v>
      </c>
      <c r="E19">
        <v>28.4059120068125</v>
      </c>
    </row>
    <row r="21" spans="1:5">
      <c r="A21" t="s">
        <v>141</v>
      </c>
    </row>
    <row r="22" spans="1:5">
      <c r="B22">
        <v>2025</v>
      </c>
      <c r="C22">
        <v>2030</v>
      </c>
      <c r="D22">
        <v>2050</v>
      </c>
    </row>
    <row r="23" spans="1:5">
      <c r="A23" t="s">
        <v>245</v>
      </c>
      <c r="B23">
        <v>5.4399118480000004</v>
      </c>
      <c r="C23">
        <v>3.8476310444999999</v>
      </c>
      <c r="D23">
        <v>2.7900163349999998</v>
      </c>
    </row>
    <row r="25" spans="1:5">
      <c r="A25" t="s">
        <v>143</v>
      </c>
    </row>
    <row r="27" spans="1:5">
      <c r="A27" t="s">
        <v>128</v>
      </c>
      <c r="B27">
        <v>2025</v>
      </c>
      <c r="C27">
        <v>2030</v>
      </c>
      <c r="D27">
        <v>2050</v>
      </c>
    </row>
    <row r="28" spans="1:5">
      <c r="A28" t="s">
        <v>104</v>
      </c>
      <c r="B28">
        <v>1.25109084860822</v>
      </c>
      <c r="C28">
        <v>1.4752842591356601</v>
      </c>
      <c r="D28">
        <v>2.1980218817885699</v>
      </c>
    </row>
    <row r="29" spans="1:5">
      <c r="A29" t="s">
        <v>135</v>
      </c>
      <c r="B29">
        <v>2.8114401092319601E-2</v>
      </c>
      <c r="C29">
        <v>5.39738143586216E-2</v>
      </c>
      <c r="D29">
        <v>0.18316849014904699</v>
      </c>
    </row>
    <row r="30" spans="1:5">
      <c r="A30" t="s">
        <v>246</v>
      </c>
      <c r="B30">
        <v>0.12651480491543801</v>
      </c>
      <c r="C30">
        <v>0.26986907179310798</v>
      </c>
      <c r="D30">
        <v>1.2821794310433301</v>
      </c>
    </row>
    <row r="31" spans="1:5">
      <c r="A31" t="s">
        <v>10</v>
      </c>
      <c r="B31">
        <v>1.40572005461598</v>
      </c>
      <c r="C31">
        <v>1.79912714528739</v>
      </c>
      <c r="D31">
        <v>3.6633698029809501</v>
      </c>
    </row>
    <row r="33" spans="1:4">
      <c r="A33" t="s">
        <v>213</v>
      </c>
    </row>
    <row r="34" spans="1:4">
      <c r="A34" t="s">
        <v>128</v>
      </c>
      <c r="B34">
        <v>2025</v>
      </c>
      <c r="C34">
        <v>2030</v>
      </c>
      <c r="D34">
        <v>2050</v>
      </c>
    </row>
    <row r="35" spans="1:4">
      <c r="A35" t="s">
        <v>247</v>
      </c>
      <c r="B35">
        <v>57.2669859004478</v>
      </c>
      <c r="C35">
        <v>53.588829719739699</v>
      </c>
      <c r="D35">
        <v>49.965433346804502</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0"/>
  <dimension ref="A1:D35"/>
  <sheetViews>
    <sheetView workbookViewId="0"/>
  </sheetViews>
  <sheetFormatPr baseColWidth="10" defaultColWidth="11.453125" defaultRowHeight="14.5"/>
  <sheetData>
    <row r="1" spans="1:4">
      <c r="A1" t="s">
        <v>240</v>
      </c>
    </row>
    <row r="3" spans="1:4">
      <c r="A3" t="s">
        <v>212</v>
      </c>
    </row>
    <row r="4" spans="1:4">
      <c r="A4" t="s">
        <v>128</v>
      </c>
      <c r="B4">
        <v>2030</v>
      </c>
      <c r="C4">
        <v>2040</v>
      </c>
      <c r="D4">
        <v>2050</v>
      </c>
    </row>
    <row r="5" spans="1:4">
      <c r="A5" t="s">
        <v>104</v>
      </c>
      <c r="B5">
        <v>16.5347505482708</v>
      </c>
      <c r="C5">
        <v>13.312344444513601</v>
      </c>
      <c r="D5">
        <v>2.1146503112217898</v>
      </c>
    </row>
    <row r="6" spans="1:4">
      <c r="A6" t="s">
        <v>54</v>
      </c>
      <c r="B6">
        <v>12.003004101707701</v>
      </c>
      <c r="C6">
        <v>5.9734878917689302</v>
      </c>
      <c r="D6">
        <v>3.7006380446381302</v>
      </c>
    </row>
    <row r="7" spans="1:4">
      <c r="A7" t="s">
        <v>224</v>
      </c>
      <c r="B7">
        <v>0</v>
      </c>
      <c r="C7">
        <v>0</v>
      </c>
      <c r="D7">
        <v>0</v>
      </c>
    </row>
    <row r="8" spans="1:4">
      <c r="A8" t="s">
        <v>135</v>
      </c>
      <c r="B8">
        <v>2.4430777996853998</v>
      </c>
      <c r="C8">
        <v>3.2696986354945698</v>
      </c>
      <c r="D8">
        <v>4.4518953920458797</v>
      </c>
    </row>
    <row r="9" spans="1:4">
      <c r="A9" t="s">
        <v>241</v>
      </c>
      <c r="B9">
        <v>8.5735743583626398</v>
      </c>
      <c r="C9">
        <v>12.0797199589105</v>
      </c>
      <c r="D9">
        <v>19.736736238070002</v>
      </c>
    </row>
    <row r="10" spans="1:4">
      <c r="A10" t="s">
        <v>242</v>
      </c>
      <c r="B10">
        <v>2.14339358959066</v>
      </c>
      <c r="C10">
        <v>3.9823252611792901</v>
      </c>
      <c r="D10">
        <v>3.7006380446381302</v>
      </c>
    </row>
    <row r="11" spans="1:4">
      <c r="A11" t="s">
        <v>243</v>
      </c>
      <c r="B11">
        <v>0.857357435836264</v>
      </c>
      <c r="C11">
        <v>1.1946975783537901</v>
      </c>
      <c r="D11">
        <v>1.85031902231906</v>
      </c>
    </row>
    <row r="12" spans="1:4">
      <c r="A12" t="s">
        <v>10</v>
      </c>
      <c r="B12">
        <v>42.555157833453499</v>
      </c>
      <c r="C12">
        <v>39.812273770220699</v>
      </c>
      <c r="D12">
        <v>35.554877052933001</v>
      </c>
    </row>
    <row r="14" spans="1:4">
      <c r="A14" t="s">
        <v>140</v>
      </c>
    </row>
    <row r="15" spans="1:4">
      <c r="A15" t="s">
        <v>244</v>
      </c>
      <c r="B15">
        <v>2030</v>
      </c>
      <c r="C15">
        <v>2040</v>
      </c>
      <c r="D15">
        <v>2050</v>
      </c>
    </row>
    <row r="16" spans="1:4">
      <c r="A16" t="s">
        <v>41</v>
      </c>
      <c r="B16">
        <v>6.50801172424993</v>
      </c>
      <c r="C16">
        <v>6.0948723369684901</v>
      </c>
      <c r="D16">
        <v>4.4438696697774303</v>
      </c>
    </row>
    <row r="17" spans="1:4">
      <c r="A17" t="s">
        <v>180</v>
      </c>
      <c r="B17">
        <v>3.2409945700553902</v>
      </c>
      <c r="C17">
        <v>1.6456155309814899</v>
      </c>
      <c r="D17">
        <v>1.6555592887406101</v>
      </c>
    </row>
    <row r="18" spans="1:4">
      <c r="A18" t="s">
        <v>104</v>
      </c>
      <c r="B18">
        <v>20.893769374254902</v>
      </c>
      <c r="C18">
        <v>21.9415404130865</v>
      </c>
      <c r="D18">
        <v>22.306483048294499</v>
      </c>
    </row>
    <row r="19" spans="1:4">
      <c r="A19" t="s">
        <v>10</v>
      </c>
      <c r="B19">
        <v>30.642775668560201</v>
      </c>
      <c r="C19">
        <v>29.682028281036501</v>
      </c>
      <c r="D19">
        <v>28.4059120068125</v>
      </c>
    </row>
    <row r="21" spans="1:4">
      <c r="A21" t="s">
        <v>141</v>
      </c>
    </row>
    <row r="22" spans="1:4">
      <c r="B22">
        <v>2030</v>
      </c>
      <c r="C22">
        <v>2050</v>
      </c>
    </row>
    <row r="23" spans="1:4">
      <c r="A23" t="s">
        <v>245</v>
      </c>
      <c r="B23">
        <v>3.8476310444999999</v>
      </c>
      <c r="C23">
        <v>2.7900163349999998</v>
      </c>
    </row>
    <row r="25" spans="1:4">
      <c r="A25" t="s">
        <v>143</v>
      </c>
    </row>
    <row r="27" spans="1:4">
      <c r="A27" t="s">
        <v>128</v>
      </c>
      <c r="B27">
        <v>2030</v>
      </c>
      <c r="C27">
        <v>2050</v>
      </c>
    </row>
    <row r="28" spans="1:4">
      <c r="A28" t="s">
        <v>104</v>
      </c>
      <c r="B28">
        <v>1.4752842591356601</v>
      </c>
      <c r="C28">
        <v>2.1980218817885699</v>
      </c>
    </row>
    <row r="29" spans="1:4">
      <c r="A29" t="s">
        <v>135</v>
      </c>
      <c r="B29">
        <v>5.39738143586216E-2</v>
      </c>
      <c r="C29">
        <v>0.18316849014904699</v>
      </c>
    </row>
    <row r="30" spans="1:4">
      <c r="A30" t="s">
        <v>246</v>
      </c>
      <c r="B30">
        <v>0.26986907179310798</v>
      </c>
      <c r="C30">
        <v>1.2821794310433301</v>
      </c>
    </row>
    <row r="31" spans="1:4">
      <c r="A31" t="s">
        <v>10</v>
      </c>
      <c r="B31">
        <v>1.79912714528739</v>
      </c>
      <c r="C31">
        <v>3.6633698029809501</v>
      </c>
    </row>
    <row r="33" spans="1:3">
      <c r="A33" t="s">
        <v>213</v>
      </c>
    </row>
    <row r="34" spans="1:3">
      <c r="A34" t="s">
        <v>128</v>
      </c>
      <c r="B34">
        <v>2030</v>
      </c>
      <c r="C34">
        <v>2050</v>
      </c>
    </row>
    <row r="35" spans="1:3">
      <c r="A35" t="s">
        <v>247</v>
      </c>
      <c r="B35">
        <v>53.588829719739699</v>
      </c>
      <c r="C35">
        <v>49.965433346804502</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1"/>
  <dimension ref="A1:B35"/>
  <sheetViews>
    <sheetView workbookViewId="0"/>
  </sheetViews>
  <sheetFormatPr baseColWidth="10" defaultColWidth="11.453125" defaultRowHeight="14.5"/>
  <sheetData>
    <row r="1" spans="1:2">
      <c r="A1" t="s">
        <v>240</v>
      </c>
    </row>
    <row r="3" spans="1:2">
      <c r="A3" t="s">
        <v>212</v>
      </c>
    </row>
    <row r="4" spans="1:2">
      <c r="A4" t="s">
        <v>128</v>
      </c>
      <c r="B4">
        <v>2050</v>
      </c>
    </row>
    <row r="5" spans="1:2">
      <c r="A5" t="s">
        <v>104</v>
      </c>
      <c r="B5">
        <v>2.1146503112217898</v>
      </c>
    </row>
    <row r="6" spans="1:2">
      <c r="A6" t="s">
        <v>54</v>
      </c>
      <c r="B6">
        <v>3.7006380446381302</v>
      </c>
    </row>
    <row r="7" spans="1:2">
      <c r="A7" t="s">
        <v>224</v>
      </c>
      <c r="B7">
        <v>0</v>
      </c>
    </row>
    <row r="8" spans="1:2">
      <c r="A8" t="s">
        <v>135</v>
      </c>
      <c r="B8">
        <v>4.4518953920458797</v>
      </c>
    </row>
    <row r="9" spans="1:2">
      <c r="A9" t="s">
        <v>241</v>
      </c>
      <c r="B9">
        <v>19.736736238070002</v>
      </c>
    </row>
    <row r="10" spans="1:2">
      <c r="A10" t="s">
        <v>242</v>
      </c>
      <c r="B10">
        <v>3.7006380446381302</v>
      </c>
    </row>
    <row r="11" spans="1:2">
      <c r="A11" t="s">
        <v>243</v>
      </c>
      <c r="B11">
        <v>1.85031902231906</v>
      </c>
    </row>
    <row r="12" spans="1:2">
      <c r="A12" t="s">
        <v>10</v>
      </c>
      <c r="B12">
        <v>35.554877052933001</v>
      </c>
    </row>
    <row r="14" spans="1:2">
      <c r="A14" t="s">
        <v>140</v>
      </c>
    </row>
    <row r="15" spans="1:2">
      <c r="A15" t="s">
        <v>244</v>
      </c>
      <c r="B15">
        <v>2050</v>
      </c>
    </row>
    <row r="16" spans="1:2">
      <c r="A16" t="s">
        <v>41</v>
      </c>
      <c r="B16">
        <v>4.4438696697774303</v>
      </c>
    </row>
    <row r="17" spans="1:2">
      <c r="A17" t="s">
        <v>180</v>
      </c>
      <c r="B17">
        <v>1.6555592887406101</v>
      </c>
    </row>
    <row r="18" spans="1:2">
      <c r="A18" t="s">
        <v>104</v>
      </c>
      <c r="B18">
        <v>22.306483048294499</v>
      </c>
    </row>
    <row r="19" spans="1:2">
      <c r="A19" t="s">
        <v>10</v>
      </c>
      <c r="B19">
        <v>28.4059120068125</v>
      </c>
    </row>
    <row r="21" spans="1:2">
      <c r="A21" t="s">
        <v>141</v>
      </c>
    </row>
    <row r="23" spans="1:2">
      <c r="A23" t="s">
        <v>245</v>
      </c>
    </row>
    <row r="25" spans="1:2">
      <c r="A25" t="s">
        <v>143</v>
      </c>
    </row>
    <row r="27" spans="1:2">
      <c r="A27" t="s">
        <v>128</v>
      </c>
    </row>
    <row r="28" spans="1:2">
      <c r="A28" t="s">
        <v>104</v>
      </c>
    </row>
    <row r="29" spans="1:2">
      <c r="A29" t="s">
        <v>135</v>
      </c>
    </row>
    <row r="30" spans="1:2">
      <c r="A30" t="s">
        <v>246</v>
      </c>
    </row>
    <row r="31" spans="1:2">
      <c r="A31" t="s">
        <v>10</v>
      </c>
    </row>
    <row r="33" spans="1:1">
      <c r="A33" t="s">
        <v>213</v>
      </c>
    </row>
    <row r="34" spans="1:1">
      <c r="A34" t="s">
        <v>128</v>
      </c>
    </row>
    <row r="35" spans="1:1">
      <c r="A35" t="s">
        <v>247</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2"/>
  <dimension ref="B3:P18"/>
  <sheetViews>
    <sheetView workbookViewId="0"/>
  </sheetViews>
  <sheetFormatPr baseColWidth="10" defaultRowHeight="14.5"/>
  <sheetData>
    <row r="3" spans="2:16">
      <c r="C3" t="s">
        <v>248</v>
      </c>
    </row>
    <row r="4" spans="2:16">
      <c r="C4" t="s">
        <v>249</v>
      </c>
      <c r="D4" t="s">
        <v>250</v>
      </c>
      <c r="E4" t="s">
        <v>42</v>
      </c>
      <c r="F4" t="s">
        <v>251</v>
      </c>
      <c r="G4" t="s">
        <v>224</v>
      </c>
      <c r="H4" t="s">
        <v>252</v>
      </c>
      <c r="I4" t="s">
        <v>32</v>
      </c>
      <c r="J4" t="s">
        <v>253</v>
      </c>
      <c r="K4" t="s">
        <v>254</v>
      </c>
      <c r="L4" t="s">
        <v>255</v>
      </c>
    </row>
    <row r="5" spans="2:16">
      <c r="B5">
        <v>2015</v>
      </c>
      <c r="C5">
        <v>0.01</v>
      </c>
      <c r="D5">
        <v>0.45</v>
      </c>
      <c r="E5">
        <v>7.0000000000000007E-2</v>
      </c>
      <c r="F5">
        <v>0</v>
      </c>
      <c r="G5">
        <v>0.02</v>
      </c>
      <c r="H5">
        <v>0</v>
      </c>
      <c r="I5">
        <v>0.39</v>
      </c>
      <c r="J5">
        <v>0.01</v>
      </c>
      <c r="K5">
        <v>0.05</v>
      </c>
      <c r="L5">
        <v>56.3</v>
      </c>
    </row>
    <row r="6" spans="2:16">
      <c r="B6">
        <v>2020</v>
      </c>
      <c r="C6">
        <v>0.02</v>
      </c>
      <c r="D6">
        <v>0.5</v>
      </c>
      <c r="E6">
        <v>0.05</v>
      </c>
      <c r="F6">
        <v>0</v>
      </c>
      <c r="G6">
        <v>0.01</v>
      </c>
      <c r="H6">
        <v>0</v>
      </c>
      <c r="I6">
        <v>0.33</v>
      </c>
      <c r="J6">
        <v>0.03</v>
      </c>
      <c r="K6">
        <v>0.06</v>
      </c>
      <c r="L6">
        <v>41.909196312542598</v>
      </c>
    </row>
    <row r="7" spans="2:16">
      <c r="B7">
        <v>2025</v>
      </c>
      <c r="C7">
        <v>0.03</v>
      </c>
      <c r="D7">
        <v>0.55000000000000004</v>
      </c>
      <c r="E7">
        <v>0.01</v>
      </c>
      <c r="F7">
        <v>0</v>
      </c>
      <c r="G7">
        <v>0</v>
      </c>
      <c r="H7">
        <v>0.01</v>
      </c>
      <c r="I7">
        <v>0.2</v>
      </c>
      <c r="J7">
        <v>0.12</v>
      </c>
      <c r="K7">
        <v>0.08</v>
      </c>
      <c r="L7">
        <v>45.564233197792099</v>
      </c>
    </row>
    <row r="8" spans="2:16">
      <c r="B8">
        <v>2030</v>
      </c>
      <c r="C8">
        <v>0.03</v>
      </c>
      <c r="D8">
        <v>0.5</v>
      </c>
      <c r="E8">
        <v>0</v>
      </c>
      <c r="F8">
        <v>0</v>
      </c>
      <c r="G8">
        <v>0</v>
      </c>
      <c r="H8">
        <v>0.02</v>
      </c>
      <c r="I8">
        <v>0.15</v>
      </c>
      <c r="J8">
        <v>0.2</v>
      </c>
      <c r="K8">
        <v>0.1</v>
      </c>
      <c r="L8">
        <v>49.216831482822897</v>
      </c>
    </row>
    <row r="9" spans="2:16">
      <c r="B9">
        <v>2050</v>
      </c>
      <c r="C9">
        <v>0.05</v>
      </c>
      <c r="D9">
        <v>0.45</v>
      </c>
      <c r="E9">
        <v>0</v>
      </c>
      <c r="F9">
        <v>0</v>
      </c>
      <c r="G9">
        <v>0</v>
      </c>
      <c r="H9">
        <v>0</v>
      </c>
      <c r="I9">
        <v>0</v>
      </c>
      <c r="J9">
        <v>0.25</v>
      </c>
      <c r="K9">
        <v>0.25</v>
      </c>
      <c r="L9">
        <v>45.563789831074999</v>
      </c>
    </row>
    <row r="12" spans="2:16">
      <c r="B12" t="s">
        <v>256</v>
      </c>
    </row>
    <row r="13" spans="2:16">
      <c r="C13" t="s">
        <v>20</v>
      </c>
      <c r="D13" t="s">
        <v>42</v>
      </c>
      <c r="E13" t="s">
        <v>224</v>
      </c>
      <c r="F13" t="s">
        <v>252</v>
      </c>
      <c r="G13" t="s">
        <v>32</v>
      </c>
      <c r="H13" t="s">
        <v>257</v>
      </c>
      <c r="I13" t="s">
        <v>258</v>
      </c>
      <c r="J13" t="s">
        <v>135</v>
      </c>
      <c r="K13" t="s">
        <v>259</v>
      </c>
      <c r="L13" t="s">
        <v>255</v>
      </c>
      <c r="M13" t="s">
        <v>31</v>
      </c>
    </row>
    <row r="14" spans="2:16">
      <c r="B14">
        <v>2015</v>
      </c>
      <c r="C14">
        <v>0.76336996336996299</v>
      </c>
      <c r="D14">
        <v>1.6E-2</v>
      </c>
      <c r="E14">
        <v>6.0000000000000001E-3</v>
      </c>
      <c r="F14">
        <v>0</v>
      </c>
      <c r="G14">
        <v>0.04</v>
      </c>
      <c r="H14">
        <v>0.107509157509158</v>
      </c>
      <c r="I14">
        <v>3.8644688644688598E-2</v>
      </c>
      <c r="J14">
        <v>1.35531135531136E-2</v>
      </c>
      <c r="K14">
        <v>1.4468864468864501E-2</v>
      </c>
      <c r="L14">
        <v>546</v>
      </c>
      <c r="M14">
        <v>0</v>
      </c>
    </row>
    <row r="15" spans="2:16">
      <c r="B15">
        <v>2020</v>
      </c>
      <c r="C15" s="404">
        <v>0.71671743415158573</v>
      </c>
      <c r="D15" s="404">
        <v>1.3438451890342233E-2</v>
      </c>
      <c r="E15" s="404">
        <v>0</v>
      </c>
      <c r="F15" s="404">
        <v>0</v>
      </c>
      <c r="G15" s="404">
        <v>4.4078122200322527E-2</v>
      </c>
      <c r="H15" s="404">
        <v>0.10929940870811682</v>
      </c>
      <c r="I15" s="404">
        <v>6.9879949829779603E-2</v>
      </c>
      <c r="J15" s="404">
        <v>2.8668697366063429E-2</v>
      </c>
      <c r="K15" s="404">
        <v>1.7917935853789643E-2</v>
      </c>
      <c r="L15">
        <v>558.1</v>
      </c>
      <c r="M15">
        <v>0</v>
      </c>
      <c r="O15">
        <f>G15*L15/11.63</f>
        <v>2.1152192605331042</v>
      </c>
      <c r="P15">
        <f>D15*L15/11.63</f>
        <v>0.64488392089423896</v>
      </c>
    </row>
    <row r="16" spans="2:16">
      <c r="B16">
        <v>2025</v>
      </c>
      <c r="C16" s="404">
        <v>0.667779632721202</v>
      </c>
      <c r="D16" s="404">
        <v>1.2520868113522538E-2</v>
      </c>
      <c r="E16" s="404">
        <v>0</v>
      </c>
      <c r="F16" s="404">
        <v>0</v>
      </c>
      <c r="G16" s="404">
        <v>4.2570951585976631E-2</v>
      </c>
      <c r="H16" s="404">
        <v>0.1018363939899833</v>
      </c>
      <c r="I16" s="404">
        <v>0.10851419031719532</v>
      </c>
      <c r="J16" s="404">
        <v>4.340567612687813E-2</v>
      </c>
      <c r="K16" s="404">
        <v>2.337228714524207E-2</v>
      </c>
      <c r="L16">
        <v>599</v>
      </c>
      <c r="M16">
        <v>0</v>
      </c>
    </row>
    <row r="17" spans="2:13">
      <c r="B17">
        <v>2030</v>
      </c>
      <c r="C17" s="404">
        <v>0.63795853269537484</v>
      </c>
      <c r="D17" s="404">
        <v>1.1961722488038277E-2</v>
      </c>
      <c r="E17" s="404">
        <v>0</v>
      </c>
      <c r="F17" s="404">
        <v>0</v>
      </c>
      <c r="G17" s="404">
        <v>4.0669856459330141E-2</v>
      </c>
      <c r="H17" s="404">
        <v>9.7288676236044661E-2</v>
      </c>
      <c r="I17" s="404">
        <v>0.12759170653907495</v>
      </c>
      <c r="J17" s="404">
        <v>5.7416267942583733E-2</v>
      </c>
      <c r="K17" s="404">
        <v>2.7113237639553429E-2</v>
      </c>
      <c r="L17">
        <v>627</v>
      </c>
      <c r="M17">
        <v>0</v>
      </c>
    </row>
    <row r="18" spans="2:13">
      <c r="B18">
        <v>2050</v>
      </c>
      <c r="C18" s="404">
        <v>0.15503875968992201</v>
      </c>
      <c r="D18" s="404">
        <v>1.16279069767442E-2</v>
      </c>
      <c r="E18" s="404">
        <v>0</v>
      </c>
      <c r="F18" s="404">
        <v>0</v>
      </c>
      <c r="G18" s="404">
        <v>3.9534883720930197E-2</v>
      </c>
      <c r="H18" s="404">
        <v>9.4573643410852698E-2</v>
      </c>
      <c r="I18" s="404">
        <v>0.34108527131782901</v>
      </c>
      <c r="J18" s="404">
        <v>0.31007751937984501</v>
      </c>
      <c r="K18" s="404">
        <v>4.8062015503876003E-2</v>
      </c>
      <c r="L18">
        <v>645</v>
      </c>
      <c r="M18">
        <v>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9AF7-8290-4BB1-8ACC-ED8FCBA4CE82}">
  <sheetPr>
    <tabColor theme="3"/>
  </sheetPr>
  <dimension ref="A1:X45"/>
  <sheetViews>
    <sheetView topLeftCell="D7" zoomScale="55" zoomScaleNormal="55" workbookViewId="0">
      <selection activeCell="C10" sqref="C10:U43"/>
    </sheetView>
  </sheetViews>
  <sheetFormatPr baseColWidth="10" defaultColWidth="14.26953125" defaultRowHeight="14.5"/>
  <cols>
    <col min="1" max="1" width="14.26953125" customWidth="1"/>
    <col min="3" max="3" width="43.81640625" customWidth="1"/>
    <col min="23" max="23" width="0" hidden="1" customWidth="1"/>
  </cols>
  <sheetData>
    <row r="1" spans="1:24" ht="15.5" hidden="1">
      <c r="D1" s="600" t="e">
        <f>LEFT(ADDRESS(1,COLUMN(#REF!),4),LEN(ADDRESS(1,COLUMN(#REF!),4))-1)</f>
        <v>#REF!</v>
      </c>
      <c r="E1" s="600" t="e">
        <f>LEFT(ADDRESS(1,COLUMN(#REF!),4),LEN(ADDRESS(1,COLUMN(#REF!),4))-1)</f>
        <v>#REF!</v>
      </c>
      <c r="F1" s="600" t="e">
        <f>LEFT(ADDRESS(1,COLUMN(#REF!),4),LEN(ADDRESS(1,COLUMN(#REF!),4))-1)</f>
        <v>#REF!</v>
      </c>
      <c r="G1" s="600"/>
      <c r="H1" s="600" t="e">
        <f>LEFT(ADDRESS(1,COLUMN(#REF!),4),LEN(ADDRESS(1,COLUMN(#REF!),4))-1)</f>
        <v>#REF!</v>
      </c>
      <c r="I1" s="600"/>
      <c r="J1" s="600" t="e">
        <f>LEFT(ADDRESS(1,COLUMN(#REF!),4),LEN(ADDRESS(1,COLUMN(#REF!),4))-1)</f>
        <v>#REF!</v>
      </c>
      <c r="K1" s="600" t="e">
        <f>LEFT(ADDRESS(1,COLUMN(#REF!),4),LEN(ADDRESS(1,COLUMN(#REF!),4))-1)</f>
        <v>#REF!</v>
      </c>
      <c r="L1" s="600" t="e">
        <f>LEFT(ADDRESS(1,COLUMN(#REF!),4),LEN(ADDRESS(1,COLUMN(#REF!),4))-1)</f>
        <v>#REF!</v>
      </c>
      <c r="M1" s="600" t="e">
        <f>LEFT(ADDRESS(1,COLUMN(#REF!),4),LEN(ADDRESS(1,COLUMN(#REF!),4))-1)</f>
        <v>#REF!</v>
      </c>
      <c r="N1" s="600" t="e">
        <f>LEFT(ADDRESS(1,COLUMN(#REF!),4),LEN(ADDRESS(1,COLUMN(#REF!),4))-1)</f>
        <v>#REF!</v>
      </c>
      <c r="O1" s="600" t="e">
        <f>LEFT(ADDRESS(1,COLUMN(#REF!),4),LEN(ADDRESS(1,COLUMN(#REF!),4))-1)</f>
        <v>#REF!</v>
      </c>
      <c r="P1" s="600" t="e">
        <f>LEFT(ADDRESS(1,COLUMN(#REF!),4),LEN(ADDRESS(1,COLUMN(#REF!),4))-1)</f>
        <v>#REF!</v>
      </c>
      <c r="Q1" s="600" t="e">
        <f>LEFT(ADDRESS(1,COLUMN(#REF!),4),LEN(ADDRESS(1,COLUMN(#REF!),4))-1)</f>
        <v>#REF!</v>
      </c>
      <c r="R1" s="600" t="e">
        <f>LEFT(ADDRESS(1,COLUMN(#REF!),4),LEN(ADDRESS(1,COLUMN(#REF!),4))-1)</f>
        <v>#REF!</v>
      </c>
      <c r="S1" s="600" t="e">
        <f>LEFT(ADDRESS(1,COLUMN(#REF!),4),LEN(ADDRESS(1,COLUMN(#REF!),4))-1)</f>
        <v>#REF!</v>
      </c>
      <c r="T1" s="600" t="e">
        <f>LEFT(ADDRESS(1,COLUMN(#REF!),4),LEN(ADDRESS(1,COLUMN(#REF!),4))-1)</f>
        <v>#REF!</v>
      </c>
      <c r="U1" s="600" t="e">
        <f>LEFT(ADDRESS(1,COLUMN(#REF!),4),LEN(ADDRESS(1,COLUMN(#REF!),4))-1)</f>
        <v>#REF!</v>
      </c>
      <c r="W1" t="e">
        <f>U1</f>
        <v>#REF!</v>
      </c>
    </row>
    <row r="2" spans="1:24" hidden="1">
      <c r="D2" t="e">
        <f>#REF!</f>
        <v>#REF!</v>
      </c>
      <c r="E2" s="51" t="e">
        <f>#REF!</f>
        <v>#REF!</v>
      </c>
      <c r="F2" s="51" t="e">
        <f>#REF!</f>
        <v>#REF!</v>
      </c>
      <c r="G2" s="51"/>
      <c r="H2" s="51" t="e">
        <f>#REF!</f>
        <v>#REF!</v>
      </c>
      <c r="I2" s="51"/>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row>
    <row r="3" spans="1:24" hidden="1"/>
    <row r="4" spans="1:24" s="603" customFormat="1" ht="18.5">
      <c r="A4" s="601"/>
      <c r="B4" s="601"/>
      <c r="C4" s="602" t="s">
        <v>409</v>
      </c>
      <c r="D4" s="601"/>
      <c r="E4" s="601"/>
      <c r="F4" s="601"/>
      <c r="G4" s="601"/>
      <c r="H4" s="601"/>
      <c r="I4" s="601"/>
      <c r="J4" s="601"/>
      <c r="K4" s="601"/>
      <c r="L4" s="601"/>
      <c r="M4" s="601"/>
      <c r="N4" s="601"/>
      <c r="O4" s="601"/>
      <c r="P4" s="601"/>
      <c r="Q4" s="601"/>
      <c r="R4" s="601"/>
      <c r="S4" s="601"/>
      <c r="T4" s="601"/>
      <c r="U4" s="601"/>
      <c r="V4" s="601"/>
      <c r="W4" s="601"/>
      <c r="X4" s="601"/>
    </row>
    <row r="5" spans="1:24">
      <c r="A5" s="51"/>
      <c r="B5" s="51"/>
      <c r="C5" s="51"/>
      <c r="D5" s="51"/>
      <c r="E5" s="51"/>
      <c r="F5" s="51"/>
      <c r="G5" s="51"/>
      <c r="H5" s="51"/>
      <c r="I5" s="51"/>
      <c r="J5" s="51"/>
      <c r="K5" s="51"/>
      <c r="L5" s="51"/>
      <c r="M5" s="51"/>
      <c r="N5" s="51"/>
      <c r="O5" s="51"/>
      <c r="P5" s="51"/>
      <c r="Q5" s="51"/>
      <c r="R5" s="51"/>
      <c r="S5" s="51"/>
      <c r="T5" s="51"/>
      <c r="U5" s="51"/>
      <c r="V5" s="51"/>
      <c r="W5" s="51"/>
      <c r="X5" s="51"/>
    </row>
    <row r="6" spans="1:24" s="607" customFormat="1" ht="15.5">
      <c r="A6" s="604"/>
      <c r="B6" s="51"/>
      <c r="C6" s="605" t="s">
        <v>341</v>
      </c>
      <c r="D6" s="604" t="s">
        <v>486</v>
      </c>
      <c r="E6" s="604"/>
      <c r="F6" s="604"/>
      <c r="G6" s="604"/>
      <c r="H6" s="604"/>
      <c r="I6" s="604"/>
      <c r="J6" s="604"/>
      <c r="K6" s="606"/>
      <c r="L6" s="606"/>
      <c r="M6" s="606"/>
      <c r="N6" s="606"/>
      <c r="O6" s="606"/>
      <c r="P6" s="606"/>
      <c r="Q6" s="606"/>
      <c r="R6" s="604"/>
      <c r="S6" s="604"/>
      <c r="T6" s="604"/>
      <c r="U6" s="604"/>
      <c r="V6" s="604"/>
      <c r="W6" s="604"/>
      <c r="X6" s="604"/>
    </row>
    <row r="7" spans="1:24" s="607" customFormat="1" ht="15.5">
      <c r="A7" s="604"/>
      <c r="B7" s="51"/>
      <c r="C7" s="605" t="s">
        <v>344</v>
      </c>
      <c r="D7" s="604" t="s">
        <v>345</v>
      </c>
      <c r="E7" s="604"/>
      <c r="F7" s="604"/>
      <c r="G7" s="604"/>
      <c r="H7" s="604"/>
      <c r="I7" s="604"/>
      <c r="J7" s="604"/>
      <c r="K7" s="604"/>
      <c r="L7" s="604"/>
      <c r="M7" s="604"/>
      <c r="N7" s="604"/>
      <c r="O7" s="604"/>
      <c r="P7" s="604"/>
      <c r="Q7" s="604"/>
      <c r="R7" s="604"/>
      <c r="S7" s="604"/>
      <c r="T7" s="604"/>
      <c r="U7" s="604"/>
      <c r="V7" s="604"/>
      <c r="W7" s="604"/>
      <c r="X7" s="604"/>
    </row>
    <row r="8" spans="1:24">
      <c r="A8" s="608"/>
      <c r="B8" s="608"/>
      <c r="C8" s="609" t="s">
        <v>89</v>
      </c>
      <c r="D8" s="608"/>
      <c r="E8" s="608"/>
      <c r="F8" s="608"/>
      <c r="G8" s="608"/>
      <c r="H8" s="608"/>
      <c r="I8" s="608"/>
      <c r="J8" s="608"/>
      <c r="K8" s="608"/>
      <c r="L8" s="608"/>
      <c r="M8" s="608"/>
      <c r="N8" s="608"/>
      <c r="O8" s="608"/>
      <c r="P8" s="608"/>
      <c r="Q8" s="608"/>
      <c r="R8" s="608"/>
      <c r="S8" s="608"/>
      <c r="T8" s="608"/>
      <c r="U8" s="608"/>
      <c r="V8" s="608"/>
      <c r="W8" s="608"/>
      <c r="X8" s="608"/>
    </row>
    <row r="9" spans="1:24">
      <c r="A9" s="51"/>
      <c r="B9" s="51"/>
      <c r="C9" s="51"/>
      <c r="D9" s="51"/>
      <c r="E9" s="51"/>
      <c r="F9" s="51"/>
      <c r="G9" s="51"/>
      <c r="H9" s="51"/>
      <c r="I9" s="51"/>
      <c r="J9" s="51"/>
      <c r="K9" s="51"/>
      <c r="L9" s="51"/>
      <c r="M9" s="51"/>
      <c r="N9" s="51"/>
      <c r="O9" s="51"/>
      <c r="P9" s="51"/>
      <c r="Q9" s="51"/>
      <c r="R9" s="51"/>
      <c r="S9" s="51"/>
      <c r="T9" s="51"/>
      <c r="U9" s="51"/>
      <c r="V9" s="51"/>
      <c r="W9" s="51"/>
      <c r="X9" s="51"/>
    </row>
    <row r="10" spans="1:24" ht="14.25" customHeight="1">
      <c r="A10" s="51"/>
      <c r="B10" s="51"/>
      <c r="C10" s="713" t="s">
        <v>128</v>
      </c>
      <c r="D10" s="711" t="s">
        <v>42</v>
      </c>
      <c r="E10" s="711" t="s">
        <v>52</v>
      </c>
      <c r="F10" s="711" t="s">
        <v>53</v>
      </c>
      <c r="G10" s="711" t="s">
        <v>487</v>
      </c>
      <c r="H10" s="711" t="s">
        <v>32</v>
      </c>
      <c r="I10" s="711" t="s">
        <v>488</v>
      </c>
      <c r="J10" s="711" t="s">
        <v>20</v>
      </c>
      <c r="K10" s="711" t="s">
        <v>55</v>
      </c>
      <c r="L10" s="715" t="s">
        <v>56</v>
      </c>
      <c r="M10" s="716"/>
      <c r="N10" s="716"/>
      <c r="O10" s="716"/>
      <c r="P10" s="716"/>
      <c r="Q10" s="717"/>
      <c r="R10" s="711" t="s">
        <v>57</v>
      </c>
      <c r="S10" s="711" t="s">
        <v>58</v>
      </c>
      <c r="T10" s="711" t="s">
        <v>31</v>
      </c>
      <c r="U10" s="711" t="s">
        <v>10</v>
      </c>
      <c r="V10" s="51"/>
      <c r="W10" s="51"/>
      <c r="X10" s="51"/>
    </row>
    <row r="11" spans="1:24" ht="24">
      <c r="A11" s="51"/>
      <c r="B11" s="51"/>
      <c r="C11" s="714"/>
      <c r="D11" s="712"/>
      <c r="E11" s="712"/>
      <c r="F11" s="712"/>
      <c r="G11" s="712"/>
      <c r="H11" s="712"/>
      <c r="I11" s="712"/>
      <c r="J11" s="712"/>
      <c r="K11" s="712"/>
      <c r="L11" s="610" t="s">
        <v>338</v>
      </c>
      <c r="M11" s="610" t="s">
        <v>40</v>
      </c>
      <c r="N11" s="610" t="s">
        <v>346</v>
      </c>
      <c r="O11" s="610" t="s">
        <v>347</v>
      </c>
      <c r="P11" s="611" t="s">
        <v>348</v>
      </c>
      <c r="Q11" s="610" t="s">
        <v>349</v>
      </c>
      <c r="R11" s="712"/>
      <c r="S11" s="712"/>
      <c r="T11" s="712"/>
      <c r="U11" s="712"/>
      <c r="V11" s="51"/>
      <c r="W11" s="51"/>
      <c r="X11" s="51"/>
    </row>
    <row r="12" spans="1:24">
      <c r="A12" s="51"/>
      <c r="B12" s="51"/>
      <c r="C12" s="612" t="s">
        <v>59</v>
      </c>
      <c r="D12" s="421">
        <v>0</v>
      </c>
      <c r="E12" s="421">
        <v>0</v>
      </c>
      <c r="F12" s="422">
        <v>0</v>
      </c>
      <c r="G12" s="613">
        <v>0</v>
      </c>
      <c r="H12" s="421">
        <v>0</v>
      </c>
      <c r="I12" s="613">
        <v>0</v>
      </c>
      <c r="J12" s="422">
        <v>722.62832727272735</v>
      </c>
      <c r="K12" s="422">
        <v>564.70258021663687</v>
      </c>
      <c r="L12" s="422">
        <v>261.57522104592402</v>
      </c>
      <c r="M12" s="422">
        <v>19.259411243005907</v>
      </c>
      <c r="N12" s="630">
        <v>1.5563580670349855</v>
      </c>
      <c r="O12" s="630">
        <v>0.17110271620039663</v>
      </c>
      <c r="P12" s="432">
        <v>165.69550077594988</v>
      </c>
      <c r="Q12" s="509">
        <v>24.373068583718577</v>
      </c>
      <c r="R12" s="422">
        <v>0</v>
      </c>
      <c r="S12" s="422">
        <v>0</v>
      </c>
      <c r="T12" s="422">
        <v>0</v>
      </c>
      <c r="U12" s="423">
        <v>1759.9615699211979</v>
      </c>
      <c r="V12" s="51"/>
      <c r="W12" s="51"/>
      <c r="X12" s="51"/>
    </row>
    <row r="13" spans="1:24">
      <c r="A13" s="51"/>
      <c r="B13" s="51"/>
      <c r="C13" s="612" t="s">
        <v>60</v>
      </c>
      <c r="D13" s="422">
        <v>5.9311888025037742</v>
      </c>
      <c r="E13" s="422">
        <v>113.95685880900638</v>
      </c>
      <c r="F13" s="422">
        <v>1.9517818504706483</v>
      </c>
      <c r="G13" s="626">
        <v>0</v>
      </c>
      <c r="H13" s="422">
        <v>2.6585092475046008</v>
      </c>
      <c r="I13" s="626">
        <v>0</v>
      </c>
      <c r="J13" s="422">
        <v>0</v>
      </c>
      <c r="K13" s="422">
        <v>0</v>
      </c>
      <c r="L13" s="422">
        <v>5.2309321400654634</v>
      </c>
      <c r="M13" s="422">
        <v>0</v>
      </c>
      <c r="N13" s="630">
        <v>5.4084519189769722</v>
      </c>
      <c r="O13" s="432">
        <v>0</v>
      </c>
      <c r="P13" s="422">
        <v>0</v>
      </c>
      <c r="Q13" s="422">
        <v>0</v>
      </c>
      <c r="R13" s="432">
        <v>0</v>
      </c>
      <c r="S13" s="422">
        <v>0</v>
      </c>
      <c r="T13" s="432">
        <v>0</v>
      </c>
      <c r="U13" s="423">
        <v>135.13772276852782</v>
      </c>
      <c r="V13" s="51"/>
      <c r="W13" s="51"/>
      <c r="X13" s="51"/>
    </row>
    <row r="14" spans="1:24">
      <c r="A14" s="51"/>
      <c r="B14" s="51"/>
      <c r="C14" s="612" t="s">
        <v>61</v>
      </c>
      <c r="D14" s="422">
        <v>0</v>
      </c>
      <c r="E14" s="422">
        <v>0</v>
      </c>
      <c r="F14" s="422">
        <v>-32.162617358689019</v>
      </c>
      <c r="G14" s="626">
        <v>-9.0412558456810785</v>
      </c>
      <c r="H14" s="422">
        <v>0</v>
      </c>
      <c r="I14" s="626">
        <v>0</v>
      </c>
      <c r="J14" s="422">
        <v>0</v>
      </c>
      <c r="K14" s="422">
        <v>0</v>
      </c>
      <c r="L14" s="422">
        <v>0</v>
      </c>
      <c r="M14" s="422">
        <v>0</v>
      </c>
      <c r="N14" s="630">
        <v>0</v>
      </c>
      <c r="O14" s="432">
        <v>0</v>
      </c>
      <c r="P14" s="422">
        <v>0</v>
      </c>
      <c r="Q14" s="422">
        <v>0</v>
      </c>
      <c r="R14" s="432">
        <v>-51.026672969387278</v>
      </c>
      <c r="S14" s="422">
        <v>0</v>
      </c>
      <c r="T14" s="432">
        <v>0</v>
      </c>
      <c r="U14" s="423">
        <v>-92.230546173757375</v>
      </c>
      <c r="V14" s="51"/>
      <c r="W14" s="51"/>
      <c r="X14" s="51"/>
    </row>
    <row r="15" spans="1:24">
      <c r="A15" s="51"/>
      <c r="B15" s="51"/>
      <c r="C15" s="612" t="s">
        <v>62</v>
      </c>
      <c r="D15" s="421">
        <v>0</v>
      </c>
      <c r="E15" s="421">
        <v>0</v>
      </c>
      <c r="F15" s="421">
        <v>-1.6540275032482068</v>
      </c>
      <c r="G15" s="626">
        <v>-4.2955328800984329</v>
      </c>
      <c r="H15" s="421">
        <v>0</v>
      </c>
      <c r="I15" s="626">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c r="V15" s="51"/>
      <c r="W15" s="51"/>
      <c r="X15" s="51"/>
    </row>
    <row r="16" spans="1:24">
      <c r="A16" s="51"/>
      <c r="B16" s="51"/>
      <c r="C16" s="612" t="s">
        <v>63</v>
      </c>
      <c r="D16" s="421">
        <v>0</v>
      </c>
      <c r="E16" s="421">
        <v>0</v>
      </c>
      <c r="F16" s="421">
        <v>-18.714774559646315</v>
      </c>
      <c r="G16" s="626">
        <v>-28.257765893495769</v>
      </c>
      <c r="H16" s="421">
        <v>0</v>
      </c>
      <c r="I16" s="626">
        <v>0</v>
      </c>
      <c r="J16" s="421">
        <v>0</v>
      </c>
      <c r="K16" s="421">
        <v>0</v>
      </c>
      <c r="L16" s="421">
        <v>0</v>
      </c>
      <c r="M16" s="421">
        <v>0</v>
      </c>
      <c r="N16" s="431">
        <v>-13.972472121868162</v>
      </c>
      <c r="O16" s="431">
        <v>0</v>
      </c>
      <c r="P16" s="421">
        <v>0</v>
      </c>
      <c r="Q16" s="421">
        <v>0</v>
      </c>
      <c r="R16" s="422">
        <v>0</v>
      </c>
      <c r="S16" s="422">
        <v>0</v>
      </c>
      <c r="T16" s="431">
        <v>-2.6159745910871801</v>
      </c>
      <c r="U16" s="423">
        <v>-63.560987166097433</v>
      </c>
      <c r="V16" s="51"/>
      <c r="W16" s="51"/>
      <c r="X16" s="51"/>
    </row>
    <row r="17" spans="1:24">
      <c r="A17" s="51"/>
      <c r="B17" s="51"/>
      <c r="C17" s="612" t="s">
        <v>64</v>
      </c>
      <c r="D17" s="422">
        <v>0</v>
      </c>
      <c r="E17" s="422">
        <v>0</v>
      </c>
      <c r="F17" s="422">
        <v>0</v>
      </c>
      <c r="G17" s="613">
        <v>0</v>
      </c>
      <c r="H17" s="422">
        <v>0</v>
      </c>
      <c r="I17" s="613">
        <v>0</v>
      </c>
      <c r="J17" s="422">
        <v>0</v>
      </c>
      <c r="K17" s="422">
        <v>0</v>
      </c>
      <c r="L17" s="422">
        <v>0</v>
      </c>
      <c r="M17" s="422">
        <v>0</v>
      </c>
      <c r="N17" s="422">
        <v>0</v>
      </c>
      <c r="O17" s="422">
        <v>0</v>
      </c>
      <c r="P17" s="422">
        <v>0</v>
      </c>
      <c r="Q17" s="422">
        <v>0</v>
      </c>
      <c r="R17" s="422">
        <v>0</v>
      </c>
      <c r="S17" s="422">
        <v>0</v>
      </c>
      <c r="T17" s="422">
        <v>0</v>
      </c>
      <c r="U17" s="423">
        <v>0</v>
      </c>
      <c r="V17" s="51"/>
      <c r="W17" s="51"/>
      <c r="X17" s="51"/>
    </row>
    <row r="18" spans="1:24">
      <c r="A18" s="51"/>
      <c r="B18" s="51"/>
      <c r="C18" s="616" t="s">
        <v>65</v>
      </c>
      <c r="D18" s="510">
        <v>5.9311888025037742</v>
      </c>
      <c r="E18" s="510">
        <v>113.95685880900638</v>
      </c>
      <c r="F18" s="510">
        <v>-50.579637571112897</v>
      </c>
      <c r="G18" s="617">
        <v>-41.594554619275279</v>
      </c>
      <c r="H18" s="510">
        <v>2.6585092475046008</v>
      </c>
      <c r="I18" s="617">
        <v>-0.31877375583888373</v>
      </c>
      <c r="J18" s="425">
        <v>722.62832727272735</v>
      </c>
      <c r="K18" s="425">
        <v>564.70258021663687</v>
      </c>
      <c r="L18" s="425">
        <v>266.80615318598944</v>
      </c>
      <c r="M18" s="510">
        <v>19.259411243005907</v>
      </c>
      <c r="N18" s="425">
        <v>-7.2531211575761132</v>
      </c>
      <c r="O18" s="425">
        <v>-5.8855986447383941</v>
      </c>
      <c r="P18" s="425">
        <v>165.69550077594988</v>
      </c>
      <c r="Q18" s="425">
        <v>24.373068583718577</v>
      </c>
      <c r="R18" s="425">
        <v>-51.026672969387278</v>
      </c>
      <c r="S18" s="425">
        <v>0</v>
      </c>
      <c r="T18" s="425">
        <v>-2.6159745910871801</v>
      </c>
      <c r="U18" s="425">
        <v>1726.7372648280268</v>
      </c>
      <c r="V18" s="51"/>
      <c r="W18" s="51"/>
      <c r="X18" s="51"/>
    </row>
    <row r="19" spans="1:24">
      <c r="A19" s="51"/>
      <c r="B19" s="51"/>
      <c r="C19" s="618"/>
      <c r="D19" s="427">
        <v>0</v>
      </c>
      <c r="E19" s="492">
        <v>0</v>
      </c>
      <c r="F19" s="492">
        <v>0</v>
      </c>
      <c r="G19" s="619">
        <v>0</v>
      </c>
      <c r="H19" s="492">
        <v>0</v>
      </c>
      <c r="I19" s="619">
        <v>0</v>
      </c>
      <c r="J19" s="427">
        <v>0</v>
      </c>
      <c r="K19" s="427">
        <v>0</v>
      </c>
      <c r="L19" s="427">
        <v>0</v>
      </c>
      <c r="M19" s="492">
        <v>0</v>
      </c>
      <c r="N19" s="427">
        <v>0</v>
      </c>
      <c r="O19" s="427">
        <v>0</v>
      </c>
      <c r="P19" s="427">
        <v>0</v>
      </c>
      <c r="Q19" s="427">
        <v>0</v>
      </c>
      <c r="R19" s="492">
        <v>0</v>
      </c>
      <c r="S19" s="492">
        <v>0</v>
      </c>
      <c r="T19" s="427">
        <v>0</v>
      </c>
      <c r="U19" s="427">
        <v>0</v>
      </c>
      <c r="V19" s="51"/>
      <c r="W19" s="51"/>
      <c r="X19" s="51"/>
    </row>
    <row r="20" spans="1:24">
      <c r="A20" s="51"/>
      <c r="B20" s="51"/>
      <c r="C20" s="620" t="s">
        <v>67</v>
      </c>
      <c r="D20" s="421">
        <v>0</v>
      </c>
      <c r="E20" s="431">
        <v>0</v>
      </c>
      <c r="F20" s="431">
        <v>0</v>
      </c>
      <c r="G20" s="613">
        <v>0</v>
      </c>
      <c r="H20" s="431">
        <v>0</v>
      </c>
      <c r="I20" s="613">
        <v>0</v>
      </c>
      <c r="J20" s="421">
        <v>0</v>
      </c>
      <c r="K20" s="421">
        <v>0</v>
      </c>
      <c r="L20" s="421">
        <v>0</v>
      </c>
      <c r="M20" s="431">
        <v>0</v>
      </c>
      <c r="N20" s="421">
        <v>0</v>
      </c>
      <c r="O20" s="421">
        <v>0</v>
      </c>
      <c r="P20" s="421">
        <v>0</v>
      </c>
      <c r="Q20" s="421">
        <v>0</v>
      </c>
      <c r="R20" s="431">
        <v>0</v>
      </c>
      <c r="S20" s="431">
        <v>0</v>
      </c>
      <c r="T20" s="422">
        <v>0</v>
      </c>
      <c r="U20" s="423">
        <v>0</v>
      </c>
      <c r="V20" s="51"/>
      <c r="W20" s="51"/>
      <c r="X20" s="51"/>
    </row>
    <row r="21" spans="1:24">
      <c r="A21" s="51"/>
      <c r="B21" s="51"/>
      <c r="C21" s="620" t="s">
        <v>350</v>
      </c>
      <c r="D21" s="431">
        <v>0</v>
      </c>
      <c r="E21" s="421">
        <v>0</v>
      </c>
      <c r="F21" s="431">
        <v>0</v>
      </c>
      <c r="G21" s="613">
        <v>0</v>
      </c>
      <c r="H21" s="431">
        <v>0</v>
      </c>
      <c r="I21" s="613">
        <v>0</v>
      </c>
      <c r="J21" s="431">
        <v>722.62832727272735</v>
      </c>
      <c r="K21" s="431">
        <v>564.70258021663687</v>
      </c>
      <c r="L21" s="431">
        <v>14.491283228737107</v>
      </c>
      <c r="M21" s="431">
        <v>2.8360527767240682</v>
      </c>
      <c r="N21" s="627">
        <v>6.5561937148871507</v>
      </c>
      <c r="O21" s="431">
        <v>0.11326810820885491</v>
      </c>
      <c r="P21" s="421">
        <v>0</v>
      </c>
      <c r="Q21" s="627">
        <v>6.7631767445353068</v>
      </c>
      <c r="R21" s="421">
        <v>-821.10381752645753</v>
      </c>
      <c r="S21" s="421">
        <v>0</v>
      </c>
      <c r="T21" s="432">
        <v>26.28</v>
      </c>
      <c r="U21" s="491">
        <v>523.267064535999</v>
      </c>
      <c r="V21" s="51"/>
      <c r="W21" s="51"/>
      <c r="X21" s="51"/>
    </row>
    <row r="22" spans="1:24">
      <c r="A22" s="51"/>
      <c r="B22" s="51"/>
      <c r="C22" s="620" t="s">
        <v>351</v>
      </c>
      <c r="D22" s="431">
        <v>0</v>
      </c>
      <c r="E22" s="421">
        <v>0</v>
      </c>
      <c r="F22" s="431">
        <v>0</v>
      </c>
      <c r="G22" s="613">
        <v>0</v>
      </c>
      <c r="H22" s="431">
        <v>0</v>
      </c>
      <c r="I22" s="613">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c r="V22" s="51"/>
      <c r="W22" s="51"/>
      <c r="X22" s="51"/>
    </row>
    <row r="23" spans="1:24">
      <c r="A23" s="51"/>
      <c r="B23" s="51"/>
      <c r="C23" s="620" t="s">
        <v>352</v>
      </c>
      <c r="D23" s="421">
        <v>0</v>
      </c>
      <c r="E23" s="421">
        <v>0</v>
      </c>
      <c r="F23" s="421">
        <v>0</v>
      </c>
      <c r="G23" s="613">
        <v>0</v>
      </c>
      <c r="H23" s="421">
        <v>0</v>
      </c>
      <c r="I23" s="613">
        <v>0</v>
      </c>
      <c r="J23" s="421">
        <v>0</v>
      </c>
      <c r="K23" s="421">
        <v>0</v>
      </c>
      <c r="L23" s="431">
        <v>104.38683240846164</v>
      </c>
      <c r="M23" s="421">
        <v>0</v>
      </c>
      <c r="N23" s="421">
        <v>0</v>
      </c>
      <c r="O23" s="421">
        <v>-100.27188716566127</v>
      </c>
      <c r="P23" s="421">
        <v>0</v>
      </c>
      <c r="Q23" s="421">
        <v>0</v>
      </c>
      <c r="R23" s="421">
        <v>0</v>
      </c>
      <c r="S23" s="421">
        <v>0</v>
      </c>
      <c r="T23" s="422">
        <v>0</v>
      </c>
      <c r="U23" s="491">
        <v>4.1149452428003741</v>
      </c>
      <c r="V23" s="51"/>
      <c r="W23" s="51"/>
      <c r="X23" s="51"/>
    </row>
    <row r="24" spans="1:24">
      <c r="A24" s="51"/>
      <c r="B24" s="51"/>
      <c r="C24" s="620" t="s">
        <v>353</v>
      </c>
      <c r="D24" s="421">
        <v>0</v>
      </c>
      <c r="E24" s="421">
        <v>0</v>
      </c>
      <c r="F24" s="421">
        <v>0</v>
      </c>
      <c r="G24" s="613">
        <v>0</v>
      </c>
      <c r="H24" s="421">
        <v>0</v>
      </c>
      <c r="I24" s="613">
        <v>-4.5962253881571415</v>
      </c>
      <c r="J24" s="421">
        <v>0</v>
      </c>
      <c r="K24" s="421">
        <v>0</v>
      </c>
      <c r="L24" s="421">
        <v>0</v>
      </c>
      <c r="M24" s="421">
        <v>0</v>
      </c>
      <c r="N24" s="421">
        <v>0</v>
      </c>
      <c r="O24" s="421">
        <v>0</v>
      </c>
      <c r="P24" s="421">
        <v>0</v>
      </c>
      <c r="Q24" s="421">
        <v>0</v>
      </c>
      <c r="R24" s="421">
        <v>0</v>
      </c>
      <c r="S24" s="421">
        <v>0</v>
      </c>
      <c r="T24" s="630">
        <v>6.4074201765093832</v>
      </c>
      <c r="U24" s="631">
        <v>1.8111947883522417</v>
      </c>
      <c r="V24" s="51"/>
      <c r="W24" s="51"/>
      <c r="X24" s="51"/>
    </row>
    <row r="25" spans="1:24">
      <c r="A25" s="51"/>
      <c r="B25" s="51"/>
      <c r="C25" s="620" t="s">
        <v>72</v>
      </c>
      <c r="D25" s="421">
        <v>0</v>
      </c>
      <c r="E25" s="431">
        <v>118.07035586741333</v>
      </c>
      <c r="F25" s="421">
        <v>-116.89188714951831</v>
      </c>
      <c r="G25" s="613">
        <v>0</v>
      </c>
      <c r="H25" s="431">
        <v>0</v>
      </c>
      <c r="I25" s="613">
        <v>0</v>
      </c>
      <c r="J25" s="421">
        <v>0</v>
      </c>
      <c r="K25" s="421">
        <v>0</v>
      </c>
      <c r="L25" s="421">
        <v>0</v>
      </c>
      <c r="M25" s="421">
        <v>0</v>
      </c>
      <c r="N25" s="421">
        <v>0</v>
      </c>
      <c r="O25" s="421">
        <v>0</v>
      </c>
      <c r="P25" s="421">
        <v>0</v>
      </c>
      <c r="Q25" s="421">
        <v>0</v>
      </c>
      <c r="R25" s="421">
        <v>0</v>
      </c>
      <c r="S25" s="421">
        <v>0</v>
      </c>
      <c r="T25" s="422">
        <v>0</v>
      </c>
      <c r="U25" s="491">
        <v>1.1784687178950146</v>
      </c>
      <c r="V25" s="51"/>
      <c r="W25" s="51"/>
      <c r="X25" s="51"/>
    </row>
    <row r="26" spans="1:24">
      <c r="A26" s="51"/>
      <c r="B26" s="51"/>
      <c r="C26" s="620" t="s">
        <v>354</v>
      </c>
      <c r="D26" s="421">
        <v>0</v>
      </c>
      <c r="E26" s="421">
        <v>0</v>
      </c>
      <c r="F26" s="421">
        <v>0</v>
      </c>
      <c r="G26" s="613">
        <v>0</v>
      </c>
      <c r="H26" s="421">
        <v>0</v>
      </c>
      <c r="I26" s="613">
        <v>0</v>
      </c>
      <c r="J26" s="421">
        <v>0</v>
      </c>
      <c r="K26" s="421">
        <v>0</v>
      </c>
      <c r="L26" s="627">
        <v>61.244429678974598</v>
      </c>
      <c r="M26" s="421">
        <v>0</v>
      </c>
      <c r="N26" s="421">
        <v>-61.244429678974598</v>
      </c>
      <c r="O26" s="421">
        <v>0</v>
      </c>
      <c r="P26" s="421">
        <v>0</v>
      </c>
      <c r="Q26" s="421">
        <v>0</v>
      </c>
      <c r="R26" s="421">
        <v>0</v>
      </c>
      <c r="S26" s="421">
        <v>0</v>
      </c>
      <c r="T26" s="422">
        <v>0</v>
      </c>
      <c r="U26" s="423">
        <v>0</v>
      </c>
      <c r="V26" s="51"/>
      <c r="W26" s="51"/>
      <c r="X26" s="51"/>
    </row>
    <row r="27" spans="1:24">
      <c r="A27" s="51"/>
      <c r="B27" s="51"/>
      <c r="C27" s="620" t="s">
        <v>355</v>
      </c>
      <c r="D27" s="421">
        <v>0</v>
      </c>
      <c r="E27" s="421">
        <v>0</v>
      </c>
      <c r="F27" s="421">
        <v>0</v>
      </c>
      <c r="G27" s="613">
        <v>-56.725829149009897</v>
      </c>
      <c r="H27" s="421">
        <v>0</v>
      </c>
      <c r="I27" s="613">
        <v>0</v>
      </c>
      <c r="J27" s="421">
        <v>0</v>
      </c>
      <c r="K27" s="421">
        <v>0</v>
      </c>
      <c r="L27" s="421">
        <v>0</v>
      </c>
      <c r="M27" s="421">
        <v>0</v>
      </c>
      <c r="N27" s="421">
        <v>0</v>
      </c>
      <c r="O27" s="421">
        <v>0</v>
      </c>
      <c r="P27" s="421">
        <v>0</v>
      </c>
      <c r="Q27" s="421">
        <v>0</v>
      </c>
      <c r="R27" s="421">
        <v>0</v>
      </c>
      <c r="S27" s="421">
        <v>0</v>
      </c>
      <c r="T27" s="629">
        <v>79.005333076615457</v>
      </c>
      <c r="U27" s="631">
        <v>22.27950392760556</v>
      </c>
      <c r="V27" s="51"/>
      <c r="W27" s="51"/>
      <c r="X27" s="51"/>
    </row>
    <row r="28" spans="1:24">
      <c r="A28" s="51"/>
      <c r="B28" s="51"/>
      <c r="C28" s="620" t="s">
        <v>73</v>
      </c>
      <c r="D28" s="421">
        <v>0</v>
      </c>
      <c r="E28" s="421">
        <v>0</v>
      </c>
      <c r="F28" s="421">
        <v>0</v>
      </c>
      <c r="G28" s="613">
        <v>0</v>
      </c>
      <c r="H28" s="431">
        <v>0</v>
      </c>
      <c r="I28" s="613">
        <v>0</v>
      </c>
      <c r="J28" s="421">
        <v>0</v>
      </c>
      <c r="K28" s="421">
        <v>0</v>
      </c>
      <c r="L28" s="421">
        <v>0</v>
      </c>
      <c r="M28" s="431">
        <v>0</v>
      </c>
      <c r="N28" s="421">
        <v>0</v>
      </c>
      <c r="O28" s="431">
        <v>0</v>
      </c>
      <c r="P28" s="421">
        <v>0</v>
      </c>
      <c r="Q28" s="421">
        <v>0</v>
      </c>
      <c r="R28" s="431">
        <v>227.61268014910149</v>
      </c>
      <c r="S28" s="421">
        <v>0</v>
      </c>
      <c r="T28" s="509">
        <v>-163.88112970735307</v>
      </c>
      <c r="U28" s="491">
        <v>63.731550441748425</v>
      </c>
      <c r="V28" s="51"/>
      <c r="W28" s="51"/>
      <c r="X28" s="51"/>
    </row>
    <row r="29" spans="1:24">
      <c r="A29" s="51"/>
      <c r="B29" s="51"/>
      <c r="C29" s="620" t="s">
        <v>356</v>
      </c>
      <c r="D29" s="431">
        <v>3.3456624609374996</v>
      </c>
      <c r="E29" s="431">
        <v>-4.1134970584069457</v>
      </c>
      <c r="F29" s="431">
        <v>5.3691262200413341</v>
      </c>
      <c r="G29" s="613">
        <v>0</v>
      </c>
      <c r="H29" s="431">
        <v>0</v>
      </c>
      <c r="I29" s="613">
        <v>0</v>
      </c>
      <c r="J29" s="421">
        <v>0</v>
      </c>
      <c r="K29" s="421">
        <v>0</v>
      </c>
      <c r="L29" s="421">
        <v>0</v>
      </c>
      <c r="M29" s="421">
        <v>0</v>
      </c>
      <c r="N29" s="431">
        <v>0</v>
      </c>
      <c r="O29" s="431">
        <v>0</v>
      </c>
      <c r="P29" s="421">
        <v>0</v>
      </c>
      <c r="Q29" s="421">
        <v>0</v>
      </c>
      <c r="R29" s="421">
        <v>0</v>
      </c>
      <c r="S29" s="421">
        <v>0</v>
      </c>
      <c r="T29" s="422">
        <v>0</v>
      </c>
      <c r="U29" s="423">
        <v>4.6012916225718881</v>
      </c>
      <c r="V29" s="51"/>
      <c r="W29" s="51"/>
      <c r="X29" s="51"/>
    </row>
    <row r="30" spans="1:24">
      <c r="A30" s="51"/>
      <c r="B30" s="51"/>
      <c r="C30" s="620" t="s">
        <v>75</v>
      </c>
      <c r="D30" s="431">
        <v>1.3010909570312501</v>
      </c>
      <c r="E30" s="421">
        <v>0</v>
      </c>
      <c r="F30" s="431">
        <v>16.404377382526505</v>
      </c>
      <c r="G30" s="613">
        <v>0</v>
      </c>
      <c r="H30" s="431">
        <v>0</v>
      </c>
      <c r="I30" s="626">
        <v>0.23833359000000001</v>
      </c>
      <c r="J30" s="421">
        <v>0</v>
      </c>
      <c r="K30" s="421">
        <v>0</v>
      </c>
      <c r="L30" s="421">
        <v>0</v>
      </c>
      <c r="M30" s="421">
        <v>0</v>
      </c>
      <c r="N30" s="421">
        <v>0</v>
      </c>
      <c r="O30" s="431">
        <v>4.5283382100000003</v>
      </c>
      <c r="P30" s="421">
        <v>0</v>
      </c>
      <c r="Q30" s="421">
        <v>0</v>
      </c>
      <c r="R30" s="431">
        <v>17.461456726006222</v>
      </c>
      <c r="S30" s="421">
        <v>0</v>
      </c>
      <c r="T30" s="422">
        <v>0</v>
      </c>
      <c r="U30" s="423">
        <v>39.93359686556397</v>
      </c>
      <c r="V30" s="51"/>
      <c r="W30" s="51"/>
      <c r="X30" s="51"/>
    </row>
    <row r="31" spans="1:24">
      <c r="A31" s="51"/>
      <c r="B31" s="51"/>
      <c r="C31" s="620" t="s">
        <v>76</v>
      </c>
      <c r="D31" s="421">
        <v>0</v>
      </c>
      <c r="E31" s="421">
        <v>0</v>
      </c>
      <c r="F31" s="421">
        <v>0</v>
      </c>
      <c r="G31" s="613">
        <v>0</v>
      </c>
      <c r="H31" s="431">
        <v>0</v>
      </c>
      <c r="I31" s="626">
        <v>5.9340338699632358E-2</v>
      </c>
      <c r="J31" s="421">
        <v>0</v>
      </c>
      <c r="K31" s="421">
        <v>0</v>
      </c>
      <c r="L31" s="421">
        <v>0</v>
      </c>
      <c r="M31" s="421">
        <v>0</v>
      </c>
      <c r="N31" s="421">
        <v>0</v>
      </c>
      <c r="O31" s="431">
        <v>1.1274664352930146</v>
      </c>
      <c r="P31" s="421">
        <v>0</v>
      </c>
      <c r="Q31" s="421">
        <v>0</v>
      </c>
      <c r="R31" s="431">
        <v>58.914344999319319</v>
      </c>
      <c r="S31" s="431">
        <v>5.0089527300753778</v>
      </c>
      <c r="T31" s="432">
        <v>0</v>
      </c>
      <c r="U31" s="423">
        <v>65.110104503387348</v>
      </c>
      <c r="V31" s="51"/>
      <c r="W31" s="51"/>
      <c r="X31" s="51"/>
    </row>
    <row r="32" spans="1:24">
      <c r="A32" s="51"/>
      <c r="B32" s="51"/>
      <c r="C32" s="616" t="s">
        <v>77</v>
      </c>
      <c r="D32" s="425">
        <v>4.6467534179687497</v>
      </c>
      <c r="E32" s="425">
        <v>113.95685880900638</v>
      </c>
      <c r="F32" s="425">
        <v>-95.118383546950469</v>
      </c>
      <c r="G32" s="617">
        <v>-56.725829149009897</v>
      </c>
      <c r="H32" s="425">
        <v>0</v>
      </c>
      <c r="I32" s="617">
        <v>-4.2985514594575092</v>
      </c>
      <c r="J32" s="425">
        <v>722.62832727272735</v>
      </c>
      <c r="K32" s="425">
        <v>564.70258021663687</v>
      </c>
      <c r="L32" s="425">
        <v>213.8444073724234</v>
      </c>
      <c r="M32" s="425">
        <v>17.212670139955119</v>
      </c>
      <c r="N32" s="425">
        <v>-54.688235964087447</v>
      </c>
      <c r="O32" s="425">
        <v>-86.324247110085594</v>
      </c>
      <c r="P32" s="425">
        <v>0</v>
      </c>
      <c r="Q32" s="425">
        <v>18.079692789637626</v>
      </c>
      <c r="R32" s="425">
        <v>-517.11533565203058</v>
      </c>
      <c r="S32" s="425">
        <v>-59.56652365415701</v>
      </c>
      <c r="T32" s="425">
        <v>-52.188376454228234</v>
      </c>
      <c r="U32" s="425">
        <v>729.04580702834869</v>
      </c>
      <c r="V32" s="51"/>
      <c r="W32" s="51"/>
      <c r="X32" s="51"/>
    </row>
    <row r="33" spans="1:24">
      <c r="A33" s="51"/>
      <c r="B33" s="51"/>
      <c r="C33" s="618"/>
      <c r="D33" s="427">
        <v>0</v>
      </c>
      <c r="E33" s="427">
        <v>0</v>
      </c>
      <c r="F33" s="427">
        <v>0</v>
      </c>
      <c r="G33" s="619">
        <v>0</v>
      </c>
      <c r="H33" s="427">
        <v>0</v>
      </c>
      <c r="I33" s="619">
        <v>0</v>
      </c>
      <c r="J33" s="427">
        <v>0</v>
      </c>
      <c r="K33" s="427">
        <v>0</v>
      </c>
      <c r="L33" s="427">
        <v>0</v>
      </c>
      <c r="M33" s="427">
        <v>0</v>
      </c>
      <c r="N33" s="427">
        <v>0</v>
      </c>
      <c r="O33" s="427">
        <v>0</v>
      </c>
      <c r="P33" s="427">
        <v>0</v>
      </c>
      <c r="Q33" s="427">
        <v>0</v>
      </c>
      <c r="R33" s="427">
        <v>0</v>
      </c>
      <c r="S33" s="427">
        <v>0</v>
      </c>
      <c r="T33" s="427">
        <v>0</v>
      </c>
      <c r="U33" s="427">
        <v>0</v>
      </c>
      <c r="V33" s="51"/>
      <c r="W33" s="51"/>
      <c r="X33" s="51"/>
    </row>
    <row r="34" spans="1:24">
      <c r="A34" s="51"/>
      <c r="B34" s="51"/>
      <c r="C34" s="620" t="s">
        <v>78</v>
      </c>
      <c r="D34" s="431">
        <v>1.2844353845350245</v>
      </c>
      <c r="E34" s="421">
        <v>0</v>
      </c>
      <c r="F34" s="431">
        <v>0.671413025716175</v>
      </c>
      <c r="G34" s="626">
        <v>0</v>
      </c>
      <c r="H34" s="431">
        <v>0</v>
      </c>
      <c r="I34" s="626">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c r="V34" s="51"/>
      <c r="W34" s="622" t="e" cm="1">
        <f t="array" aca="1" ref="W34" ca="1">_xlfn.IFNA(INDEX(#REF!,MATCH(INDIRECT("Codes_bilans!"&amp;W$1&amp;"$"&amp;#REF!),#REF!,0),MATCH(#REF!,#REF!,0)),0)</f>
        <v>#REF!</v>
      </c>
      <c r="X34" s="51"/>
    </row>
    <row r="35" spans="1:24">
      <c r="A35" s="51"/>
      <c r="B35" s="51"/>
      <c r="C35" s="620" t="s">
        <v>79</v>
      </c>
      <c r="D35" s="431">
        <v>0</v>
      </c>
      <c r="E35" s="421">
        <v>0</v>
      </c>
      <c r="F35" s="431">
        <v>2.0327553633446804</v>
      </c>
      <c r="G35" s="626">
        <v>2.9414401384596758</v>
      </c>
      <c r="H35" s="431">
        <v>0</v>
      </c>
      <c r="I35" s="626">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c r="V35" s="51"/>
      <c r="W35" s="622" t="e" cm="1">
        <f t="array" aca="1" ref="W35" ca="1">_xlfn.IFNA(INDEX(#REF!,MATCH(INDIRECT("Codes_bilans!"&amp;W$1&amp;"$"&amp;#REF!),#REF!,0),MATCH(#REF!,#REF!,0)),0)</f>
        <v>#REF!</v>
      </c>
      <c r="X35" s="51"/>
    </row>
    <row r="36" spans="1:24">
      <c r="A36" s="51"/>
      <c r="B36" s="51"/>
      <c r="C36" s="620" t="s">
        <v>80</v>
      </c>
      <c r="D36" s="431">
        <v>0</v>
      </c>
      <c r="E36" s="421">
        <v>0</v>
      </c>
      <c r="F36" s="431">
        <v>1.3379901667389997</v>
      </c>
      <c r="G36" s="626">
        <v>0</v>
      </c>
      <c r="H36" s="431">
        <v>0</v>
      </c>
      <c r="I36" s="626">
        <v>1.3094987150488224</v>
      </c>
      <c r="J36" s="421">
        <v>0</v>
      </c>
      <c r="K36" s="421">
        <v>0</v>
      </c>
      <c r="L36" s="431">
        <v>28.937300829462252</v>
      </c>
      <c r="M36" s="431">
        <v>0</v>
      </c>
      <c r="N36" s="431">
        <v>0</v>
      </c>
      <c r="O36" s="431">
        <v>24.88047558592762</v>
      </c>
      <c r="P36" s="431">
        <v>123.41345399070538</v>
      </c>
      <c r="Q36" s="431">
        <v>3.1166998128913419</v>
      </c>
      <c r="R36" s="431">
        <v>128.52074855567903</v>
      </c>
      <c r="S36" s="431">
        <v>22.248806062911136</v>
      </c>
      <c r="T36" s="431">
        <v>0</v>
      </c>
      <c r="U36" s="429">
        <v>333.76497371936455</v>
      </c>
      <c r="V36" s="51"/>
      <c r="W36" s="622" t="e" cm="1">
        <f t="array" aca="1" ref="W36" ca="1">_xlfn.IFNA(INDEX(#REF!,MATCH(INDIRECT("Codes_bilans!"&amp;W$1&amp;"$"&amp;#REF!),#REF!,0),MATCH(#REF!,#REF!,0)),0)</f>
        <v>#REF!</v>
      </c>
      <c r="X36" s="51"/>
    </row>
    <row r="37" spans="1:24">
      <c r="A37" s="51"/>
      <c r="B37" s="51"/>
      <c r="C37" s="620" t="s">
        <v>81</v>
      </c>
      <c r="D37" s="431">
        <v>0</v>
      </c>
      <c r="E37" s="421">
        <v>0</v>
      </c>
      <c r="F37" s="431">
        <v>0.13103912510682203</v>
      </c>
      <c r="G37" s="626">
        <v>0</v>
      </c>
      <c r="H37" s="431">
        <v>0</v>
      </c>
      <c r="I37" s="626">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c r="V37" s="51"/>
      <c r="W37" s="622" t="e" cm="1">
        <f t="array" aca="1" ref="W37" ca="1">_xlfn.IFNA(INDEX(#REF!,MATCH(INDIRECT("Codes_bilans!"&amp;W$1&amp;"$"&amp;#REF!),#REF!,0),MATCH(#REF!,#REF!,0)),0)</f>
        <v>#REF!</v>
      </c>
      <c r="X37" s="51"/>
    </row>
    <row r="38" spans="1:24">
      <c r="A38" s="51"/>
      <c r="B38" s="51"/>
      <c r="C38" s="620" t="s">
        <v>82</v>
      </c>
      <c r="D38" s="431">
        <v>0</v>
      </c>
      <c r="E38" s="421">
        <v>0</v>
      </c>
      <c r="F38" s="431">
        <v>0.51674120491916908</v>
      </c>
      <c r="G38" s="626">
        <v>0</v>
      </c>
      <c r="H38" s="431">
        <v>0</v>
      </c>
      <c r="I38" s="626">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35.316233258357272</v>
      </c>
      <c r="V38" s="51"/>
      <c r="W38" s="622" t="e" cm="1">
        <f t="array" aca="1" ref="W38" ca="1">_xlfn.IFNA(INDEX(#REF!,MATCH(INDIRECT("Codes_bilans!"&amp;W$1&amp;"$"&amp;#REF!),#REF!,0),MATCH(#REF!,#REF!,0)),0)</f>
        <v>#REF!</v>
      </c>
      <c r="X38" s="51"/>
    </row>
    <row r="39" spans="1:24">
      <c r="A39" s="51"/>
      <c r="B39" s="51"/>
      <c r="C39" s="620" t="s">
        <v>357</v>
      </c>
      <c r="D39" s="421">
        <v>0</v>
      </c>
      <c r="E39" s="421">
        <v>0</v>
      </c>
      <c r="F39" s="421">
        <v>0</v>
      </c>
      <c r="G39" s="613">
        <v>0</v>
      </c>
      <c r="H39" s="421">
        <v>0</v>
      </c>
      <c r="I39" s="613">
        <v>0</v>
      </c>
      <c r="J39" s="421">
        <v>0</v>
      </c>
      <c r="K39" s="421">
        <v>0</v>
      </c>
      <c r="L39" s="421">
        <v>0</v>
      </c>
      <c r="M39" s="421">
        <v>0</v>
      </c>
      <c r="N39" s="421">
        <v>0</v>
      </c>
      <c r="O39" s="421">
        <v>0</v>
      </c>
      <c r="P39" s="421">
        <v>0</v>
      </c>
      <c r="Q39" s="421">
        <v>0</v>
      </c>
      <c r="R39" s="431">
        <v>2.5199999999999996</v>
      </c>
      <c r="S39" s="421">
        <v>0</v>
      </c>
      <c r="T39" s="421">
        <v>0</v>
      </c>
      <c r="U39" s="429">
        <v>2.5199999999999996</v>
      </c>
      <c r="V39" s="51"/>
      <c r="W39" s="622" t="e" cm="1">
        <f t="array" aca="1" ref="W39" ca="1">_xlfn.IFNA(INDEX(#REF!,MATCH(INDIRECT("Codes_bilans!"&amp;W$1&amp;"$"&amp;#REF!),#REF!,0),MATCH(#REF!,#REF!,0)),0)</f>
        <v>#REF!</v>
      </c>
      <c r="X39" s="51"/>
    </row>
    <row r="40" spans="1:24">
      <c r="A40" s="51"/>
      <c r="B40" s="51"/>
      <c r="C40" s="616" t="s">
        <v>83</v>
      </c>
      <c r="D40" s="425">
        <v>1.2844353845350245</v>
      </c>
      <c r="E40" s="425">
        <v>0</v>
      </c>
      <c r="F40" s="425">
        <v>4.6899388858258462</v>
      </c>
      <c r="G40" s="617">
        <v>2.9414401384596758</v>
      </c>
      <c r="H40" s="425">
        <v>0</v>
      </c>
      <c r="I40" s="617">
        <v>3.9797777036186259</v>
      </c>
      <c r="J40" s="425">
        <v>0</v>
      </c>
      <c r="K40" s="425">
        <v>0</v>
      </c>
      <c r="L40" s="425">
        <v>52.365476880840774</v>
      </c>
      <c r="M40" s="425">
        <v>2.0467411030507856</v>
      </c>
      <c r="N40" s="425">
        <v>29.329147031481789</v>
      </c>
      <c r="O40" s="425">
        <v>75.65790718490868</v>
      </c>
      <c r="P40" s="425">
        <v>165.69550077594988</v>
      </c>
      <c r="Q40" s="425">
        <v>6.2933757940809487</v>
      </c>
      <c r="R40" s="425">
        <v>466.08866268264325</v>
      </c>
      <c r="S40" s="425">
        <v>59.566523654157017</v>
      </c>
      <c r="T40" s="425">
        <v>14.075687902585015</v>
      </c>
      <c r="U40" s="425">
        <v>884.01461512213723</v>
      </c>
      <c r="V40" s="51"/>
      <c r="W40" s="51"/>
      <c r="X40" s="51"/>
    </row>
    <row r="41" spans="1:24">
      <c r="A41" s="51"/>
      <c r="B41" s="51"/>
      <c r="C41" s="612" t="s">
        <v>84</v>
      </c>
      <c r="D41" s="431">
        <v>0</v>
      </c>
      <c r="E41" s="421">
        <v>0</v>
      </c>
      <c r="F41" s="431">
        <v>39.848807090011732</v>
      </c>
      <c r="G41" s="626">
        <v>12.189834391274943</v>
      </c>
      <c r="H41" s="431">
        <v>2.6585092475046008</v>
      </c>
      <c r="I41" s="613">
        <v>0</v>
      </c>
      <c r="J41" s="421">
        <v>0</v>
      </c>
      <c r="K41" s="421">
        <v>0</v>
      </c>
      <c r="L41" s="627">
        <v>0.5962689327253029</v>
      </c>
      <c r="M41" s="421">
        <v>0</v>
      </c>
      <c r="N41" s="431">
        <v>18.105967775029544</v>
      </c>
      <c r="O41" s="627">
        <v>4.780741280438523</v>
      </c>
      <c r="P41" s="421">
        <v>0</v>
      </c>
      <c r="Q41" s="421">
        <v>0</v>
      </c>
      <c r="R41" s="421">
        <v>0</v>
      </c>
      <c r="S41" s="421">
        <v>0</v>
      </c>
      <c r="T41" s="431">
        <v>35.496713960556022</v>
      </c>
      <c r="U41" s="429">
        <v>113.67684267754068</v>
      </c>
      <c r="V41" s="51"/>
      <c r="W41" s="622" t="e" cm="1">
        <f t="array" aca="1" ref="W41" ca="1">_xlfn.IFNA(INDEX(#REF!,MATCH(INDIRECT("Codes_bilans!"&amp;W$1&amp;"$"&amp;#REF!),#REF!,0),MATCH(#REF!,#REF!,0)),0)</f>
        <v>#REF!</v>
      </c>
      <c r="X41" s="51"/>
    </row>
    <row r="42" spans="1:24">
      <c r="A42" s="51"/>
      <c r="B42" s="51"/>
      <c r="C42" s="616" t="s">
        <v>85</v>
      </c>
      <c r="D42" s="425">
        <v>1.2844353845350245</v>
      </c>
      <c r="E42" s="425">
        <v>0</v>
      </c>
      <c r="F42" s="425">
        <v>44.538745975837578</v>
      </c>
      <c r="G42" s="617">
        <v>15.131274529734618</v>
      </c>
      <c r="H42" s="425">
        <v>2.6585092475046008</v>
      </c>
      <c r="I42" s="617">
        <v>3.9797777036186259</v>
      </c>
      <c r="J42" s="425">
        <v>0</v>
      </c>
      <c r="K42" s="425">
        <v>0</v>
      </c>
      <c r="L42" s="425">
        <v>52.961745813566075</v>
      </c>
      <c r="M42" s="425">
        <v>2.0467411030507856</v>
      </c>
      <c r="N42" s="425">
        <v>47.435114806511329</v>
      </c>
      <c r="O42" s="425">
        <v>80.4386484653472</v>
      </c>
      <c r="P42" s="425">
        <v>165.69550077594988</v>
      </c>
      <c r="Q42" s="425">
        <v>6.2933757940809487</v>
      </c>
      <c r="R42" s="425">
        <v>466.08866268264325</v>
      </c>
      <c r="S42" s="425">
        <v>59.566523654157017</v>
      </c>
      <c r="T42" s="425">
        <v>49.572401863141039</v>
      </c>
      <c r="U42" s="425">
        <v>997.69145779967789</v>
      </c>
      <c r="V42" s="51"/>
      <c r="W42" s="51"/>
      <c r="X42" s="51"/>
    </row>
    <row r="43" spans="1:24">
      <c r="A43" s="51"/>
      <c r="B43" s="51"/>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c r="V43" s="51"/>
      <c r="W43" s="51"/>
      <c r="X43" s="51"/>
    </row>
    <row r="44" spans="1:24">
      <c r="A44" s="51"/>
      <c r="B44" s="51"/>
      <c r="C44" s="51"/>
      <c r="D44" s="51"/>
      <c r="E44" s="51"/>
      <c r="F44" s="51"/>
      <c r="G44" s="51"/>
      <c r="H44" s="51"/>
      <c r="I44" s="51"/>
      <c r="J44" s="51"/>
      <c r="K44" s="51"/>
      <c r="L44" s="51"/>
      <c r="M44" s="51"/>
      <c r="N44" s="51"/>
      <c r="O44" s="51"/>
      <c r="P44" s="51"/>
      <c r="Q44" s="51"/>
      <c r="R44" s="51"/>
      <c r="S44" s="51"/>
      <c r="T44" s="51"/>
      <c r="U44" s="51"/>
      <c r="V44" s="51"/>
      <c r="W44" s="51"/>
      <c r="X44" s="51"/>
    </row>
    <row r="45" spans="1:24">
      <c r="D45" s="489"/>
      <c r="E45" s="489"/>
      <c r="F45" s="489"/>
      <c r="G45" s="489"/>
      <c r="H45" s="489"/>
      <c r="I45" s="489"/>
      <c r="J45" s="489"/>
      <c r="K45" s="489"/>
      <c r="L45" s="489"/>
      <c r="M45" s="489"/>
      <c r="N45" s="489"/>
      <c r="O45" s="489"/>
      <c r="P45" s="489"/>
      <c r="Q45" s="489"/>
      <c r="R45" s="489"/>
      <c r="S45" s="489"/>
      <c r="T45" s="489"/>
      <c r="U45" s="489"/>
    </row>
  </sheetData>
  <mergeCells count="14">
    <mergeCell ref="T10:T11"/>
    <mergeCell ref="U10:U11"/>
    <mergeCell ref="H10:H11"/>
    <mergeCell ref="J10:J11"/>
    <mergeCell ref="K10:K11"/>
    <mergeCell ref="L10:Q10"/>
    <mergeCell ref="R10:R11"/>
    <mergeCell ref="S10:S11"/>
    <mergeCell ref="I10:I11"/>
    <mergeCell ref="C10:C11"/>
    <mergeCell ref="D10:D11"/>
    <mergeCell ref="E10:E11"/>
    <mergeCell ref="F10:F11"/>
    <mergeCell ref="G10:G11"/>
  </mergeCells>
  <conditionalFormatting sqref="W34:W39">
    <cfRule type="cellIs" dxfId="992" priority="955" operator="equal">
      <formula>0</formula>
    </cfRule>
  </conditionalFormatting>
  <conditionalFormatting sqref="W41">
    <cfRule type="cellIs" dxfId="991" priority="954" operator="equal">
      <formula>0</formula>
    </cfRule>
  </conditionalFormatting>
  <conditionalFormatting sqref="L11:P11">
    <cfRule type="cellIs" dxfId="990" priority="84" operator="equal">
      <formula>0</formula>
    </cfRule>
  </conditionalFormatting>
  <conditionalFormatting sqref="Q11">
    <cfRule type="cellIs" dxfId="989" priority="83" operator="equal">
      <formula>0</formula>
    </cfRule>
  </conditionalFormatting>
  <conditionalFormatting sqref="O23">
    <cfRule type="expression" dxfId="988" priority="82">
      <formula>LEN(TRIM(O23))=0</formula>
    </cfRule>
  </conditionalFormatting>
  <conditionalFormatting sqref="O23">
    <cfRule type="cellIs" dxfId="987" priority="81" operator="equal">
      <formula>0</formula>
    </cfRule>
  </conditionalFormatting>
  <conditionalFormatting sqref="T27:T28">
    <cfRule type="expression" dxfId="986" priority="80">
      <formula>LEN(TRIM(T27))=0</formula>
    </cfRule>
  </conditionalFormatting>
  <conditionalFormatting sqref="T27:T28">
    <cfRule type="cellIs" dxfId="985" priority="79" operator="equal">
      <formula>0</formula>
    </cfRule>
  </conditionalFormatting>
  <conditionalFormatting sqref="D27:F28 H27:H28 J27:S28">
    <cfRule type="expression" dxfId="984" priority="78">
      <formula>LEN(TRIM(D27))=0</formula>
    </cfRule>
  </conditionalFormatting>
  <conditionalFormatting sqref="D27:F28 H27:H28 J27:S28">
    <cfRule type="cellIs" dxfId="983" priority="77" operator="equal">
      <formula>0</formula>
    </cfRule>
  </conditionalFormatting>
  <conditionalFormatting sqref="U20:U31">
    <cfRule type="expression" dxfId="982" priority="76">
      <formula>LEN(TRIM(U20))=0</formula>
    </cfRule>
  </conditionalFormatting>
  <conditionalFormatting sqref="U20:U31">
    <cfRule type="cellIs" dxfId="981" priority="75" operator="equal">
      <formula>0</formula>
    </cfRule>
  </conditionalFormatting>
  <conditionalFormatting sqref="T20:T26 T29:T31">
    <cfRule type="expression" dxfId="980" priority="74">
      <formula>LEN(TRIM(T20))=0</formula>
    </cfRule>
  </conditionalFormatting>
  <conditionalFormatting sqref="T20:T26 T29:T31">
    <cfRule type="cellIs" dxfId="979" priority="73" operator="equal">
      <formula>0</formula>
    </cfRule>
  </conditionalFormatting>
  <conditionalFormatting sqref="D42:F42 H42 J42:U42">
    <cfRule type="expression" dxfId="978" priority="72">
      <formula>LEN(TRIM(D42))=0</formula>
    </cfRule>
  </conditionalFormatting>
  <conditionalFormatting sqref="D42:F42 H42 J42:U42">
    <cfRule type="cellIs" dxfId="977" priority="71" operator="equal">
      <formula>0</formula>
    </cfRule>
  </conditionalFormatting>
  <conditionalFormatting sqref="D41:F41 H41 J41:T41">
    <cfRule type="cellIs" dxfId="976" priority="70" operator="equal">
      <formula>0</formula>
    </cfRule>
  </conditionalFormatting>
  <conditionalFormatting sqref="D34:F41 H34:H41 J34:U41">
    <cfRule type="expression" dxfId="975" priority="69">
      <formula>LEN(TRIM(D34))=0</formula>
    </cfRule>
  </conditionalFormatting>
  <conditionalFormatting sqref="D41:F41 H41 J41:U41">
    <cfRule type="cellIs" dxfId="974" priority="68" operator="equal">
      <formula>0</formula>
    </cfRule>
  </conditionalFormatting>
  <conditionalFormatting sqref="U34:U41 D34:F40 H34:H40 J34:T40">
    <cfRule type="cellIs" dxfId="973" priority="67" operator="equal">
      <formula>0</formula>
    </cfRule>
  </conditionalFormatting>
  <conditionalFormatting sqref="D32:F32 H32 J32:U32">
    <cfRule type="expression" dxfId="972" priority="66">
      <formula>LEN(TRIM(D32))=0</formula>
    </cfRule>
  </conditionalFormatting>
  <conditionalFormatting sqref="D32:F32 H32 J32:U32">
    <cfRule type="cellIs" dxfId="971" priority="65" operator="equal">
      <formula>0</formula>
    </cfRule>
  </conditionalFormatting>
  <conditionalFormatting sqref="D18:F18 H18 J18:U18">
    <cfRule type="expression" dxfId="970" priority="64">
      <formula>LEN(TRIM(D18))=0</formula>
    </cfRule>
  </conditionalFormatting>
  <conditionalFormatting sqref="D18:F18 H18 J18:U18">
    <cfRule type="cellIs" dxfId="969" priority="63" operator="equal">
      <formula>0</formula>
    </cfRule>
  </conditionalFormatting>
  <conditionalFormatting sqref="P16:Q16">
    <cfRule type="cellIs" dxfId="968" priority="62" operator="equal">
      <formula>0</formula>
    </cfRule>
  </conditionalFormatting>
  <conditionalFormatting sqref="P15:Q15">
    <cfRule type="cellIs" dxfId="967" priority="61" operator="equal">
      <formula>0</formula>
    </cfRule>
  </conditionalFormatting>
  <conditionalFormatting sqref="O15:O16">
    <cfRule type="cellIs" dxfId="966" priority="60" operator="equal">
      <formula>0</formula>
    </cfRule>
  </conditionalFormatting>
  <conditionalFormatting sqref="N15:N16">
    <cfRule type="cellIs" dxfId="965" priority="59" operator="equal">
      <formula>0</formula>
    </cfRule>
  </conditionalFormatting>
  <conditionalFormatting sqref="D15:F16 T15:T16 H15:H16 J15:Q16">
    <cfRule type="expression" dxfId="964" priority="58">
      <formula>LEN(TRIM(D15))=0</formula>
    </cfRule>
  </conditionalFormatting>
  <conditionalFormatting sqref="Q15:Q16">
    <cfRule type="cellIs" dxfId="963" priority="57" operator="equal">
      <formula>0</formula>
    </cfRule>
  </conditionalFormatting>
  <conditionalFormatting sqref="P15:P16">
    <cfRule type="cellIs" dxfId="962" priority="56" operator="equal">
      <formula>0</formula>
    </cfRule>
  </conditionalFormatting>
  <conditionalFormatting sqref="O15:O16">
    <cfRule type="cellIs" dxfId="961" priority="55" operator="equal">
      <formula>0</formula>
    </cfRule>
  </conditionalFormatting>
  <conditionalFormatting sqref="N15:N16">
    <cfRule type="cellIs" dxfId="960" priority="54" operator="equal">
      <formula>0</formula>
    </cfRule>
  </conditionalFormatting>
  <conditionalFormatting sqref="M15:M16">
    <cfRule type="cellIs" dxfId="959" priority="53" operator="equal">
      <formula>0</formula>
    </cfRule>
  </conditionalFormatting>
  <conditionalFormatting sqref="L15:L16">
    <cfRule type="cellIs" dxfId="958" priority="52" operator="equal">
      <formula>0</formula>
    </cfRule>
  </conditionalFormatting>
  <conditionalFormatting sqref="D15:F16 T15:T16 H15:H16 J15:Q16">
    <cfRule type="cellIs" dxfId="957" priority="51" operator="equal">
      <formula>0</formula>
    </cfRule>
  </conditionalFormatting>
  <conditionalFormatting sqref="D23:F24 P23:S23 H23:H24 J24:S24 J23:N23">
    <cfRule type="expression" dxfId="956" priority="50">
      <formula>LEN(TRIM(D23))=0</formula>
    </cfRule>
  </conditionalFormatting>
  <conditionalFormatting sqref="D23:F24 P23:S23 H23:H24 J24:S24 J23:N23">
    <cfRule type="cellIs" dxfId="955" priority="49" operator="equal">
      <formula>0</formula>
    </cfRule>
  </conditionalFormatting>
  <conditionalFormatting sqref="U12:U17">
    <cfRule type="expression" dxfId="954" priority="48">
      <formula>LEN(TRIM(U12))=0</formula>
    </cfRule>
  </conditionalFormatting>
  <conditionalFormatting sqref="U12:U17">
    <cfRule type="cellIs" dxfId="953" priority="47" operator="equal">
      <formula>0</formula>
    </cfRule>
  </conditionalFormatting>
  <conditionalFormatting sqref="D12:F12 R13:R17 T12 S12:S17 H12 J12:R12">
    <cfRule type="expression" dxfId="952" priority="46">
      <formula>LEN(TRIM(D12))=0</formula>
    </cfRule>
  </conditionalFormatting>
  <conditionalFormatting sqref="M12">
    <cfRule type="cellIs" dxfId="951" priority="45" operator="equal">
      <formula>0</formula>
    </cfRule>
  </conditionalFormatting>
  <conditionalFormatting sqref="L12">
    <cfRule type="cellIs" dxfId="950" priority="44" operator="equal">
      <formula>0</formula>
    </cfRule>
  </conditionalFormatting>
  <conditionalFormatting sqref="N12:Q12">
    <cfRule type="cellIs" dxfId="949" priority="43" operator="equal">
      <formula>0</formula>
    </cfRule>
  </conditionalFormatting>
  <conditionalFormatting sqref="K12">
    <cfRule type="cellIs" dxfId="948" priority="42" operator="equal">
      <formula>0</formula>
    </cfRule>
  </conditionalFormatting>
  <conditionalFormatting sqref="J12">
    <cfRule type="cellIs" dxfId="947" priority="41" operator="equal">
      <formula>0</formula>
    </cfRule>
  </conditionalFormatting>
  <conditionalFormatting sqref="D12:F12 T12 R12:S17 H12">
    <cfRule type="cellIs" dxfId="946" priority="40" operator="equal">
      <formula>0</formula>
    </cfRule>
  </conditionalFormatting>
  <conditionalFormatting sqref="D13:F14 D17:F17 T17 T13:T14 D25:F26 D29:F31 H29:H31 H25:H26 H17 H13:H14 J13:Q14 J17:Q17 J25:S26 J29:S31">
    <cfRule type="expression" dxfId="945" priority="39">
      <formula>LEN(TRIM(D13))=0</formula>
    </cfRule>
  </conditionalFormatting>
  <conditionalFormatting sqref="Q13:Q14">
    <cfRule type="cellIs" dxfId="944" priority="38" operator="equal">
      <formula>0</formula>
    </cfRule>
  </conditionalFormatting>
  <conditionalFormatting sqref="Q17 Q33">
    <cfRule type="cellIs" dxfId="943" priority="37" operator="equal">
      <formula>0</formula>
    </cfRule>
  </conditionalFormatting>
  <conditionalFormatting sqref="P13:P14">
    <cfRule type="cellIs" dxfId="942" priority="36" operator="equal">
      <formula>0</formula>
    </cfRule>
  </conditionalFormatting>
  <conditionalFormatting sqref="P17 P33">
    <cfRule type="cellIs" dxfId="941" priority="35" operator="equal">
      <formula>0</formula>
    </cfRule>
  </conditionalFormatting>
  <conditionalFormatting sqref="O13:O14">
    <cfRule type="cellIs" dxfId="940" priority="34" operator="equal">
      <formula>0</formula>
    </cfRule>
  </conditionalFormatting>
  <conditionalFormatting sqref="O17 O33">
    <cfRule type="cellIs" dxfId="939" priority="33" operator="equal">
      <formula>0</formula>
    </cfRule>
  </conditionalFormatting>
  <conditionalFormatting sqref="N13:N14">
    <cfRule type="cellIs" dxfId="938" priority="32" operator="equal">
      <formula>0</formula>
    </cfRule>
  </conditionalFormatting>
  <conditionalFormatting sqref="N17 N33">
    <cfRule type="cellIs" dxfId="937" priority="31" operator="equal">
      <formula>0</formula>
    </cfRule>
  </conditionalFormatting>
  <conditionalFormatting sqref="M13:M14">
    <cfRule type="cellIs" dxfId="936" priority="30" operator="equal">
      <formula>0</formula>
    </cfRule>
  </conditionalFormatting>
  <conditionalFormatting sqref="M17 M33">
    <cfRule type="cellIs" dxfId="935" priority="29" operator="equal">
      <formula>0</formula>
    </cfRule>
  </conditionalFormatting>
  <conditionalFormatting sqref="L13:L14">
    <cfRule type="cellIs" dxfId="934" priority="28" operator="equal">
      <formula>0</formula>
    </cfRule>
  </conditionalFormatting>
  <conditionalFormatting sqref="L17 L33">
    <cfRule type="cellIs" dxfId="933" priority="27" operator="equal">
      <formula>0</formula>
    </cfRule>
  </conditionalFormatting>
  <conditionalFormatting sqref="D29:F31 H29:H31 J29:S31">
    <cfRule type="cellIs" dxfId="932" priority="26" operator="equal">
      <formula>0</formula>
    </cfRule>
  </conditionalFormatting>
  <conditionalFormatting sqref="F13:F14">
    <cfRule type="cellIs" dxfId="931" priority="25" operator="equal">
      <formula>0</formula>
    </cfRule>
  </conditionalFormatting>
  <conditionalFormatting sqref="D13:E14 J13:K14">
    <cfRule type="cellIs" dxfId="930" priority="24" operator="equal">
      <formula>0</formula>
    </cfRule>
  </conditionalFormatting>
  <conditionalFormatting sqref="T13:T14 T17 H13:H14 D17:F17 R33:T33 D33:F33 D30:F31 D25:F26 H25:H26 H30:H31 H33 H17 J17:K17 J33:K33 J30:S31 J25:S26">
    <cfRule type="cellIs" dxfId="929" priority="23" operator="equal">
      <formula>0</formula>
    </cfRule>
  </conditionalFormatting>
  <conditionalFormatting sqref="D20:F22 H20:H22 J20:S22">
    <cfRule type="expression" dxfId="928" priority="22">
      <formula>LEN(TRIM(D20))=0</formula>
    </cfRule>
  </conditionalFormatting>
  <conditionalFormatting sqref="U33 D19:F22 H19:H22 J20:S22 J19:U19">
    <cfRule type="cellIs" dxfId="927" priority="21" operator="equal">
      <formula>0</formula>
    </cfRule>
  </conditionalFormatting>
  <conditionalFormatting sqref="G12">
    <cfRule type="cellIs" dxfId="926" priority="20" operator="equal">
      <formula>0</formula>
    </cfRule>
  </conditionalFormatting>
  <conditionalFormatting sqref="G12">
    <cfRule type="containsBlanks" dxfId="925" priority="19">
      <formula>LEN(TRIM(G12))=0</formula>
    </cfRule>
  </conditionalFormatting>
  <conditionalFormatting sqref="G13:G19 G32:G40 G42">
    <cfRule type="cellIs" dxfId="924" priority="18" operator="equal">
      <formula>0</formula>
    </cfRule>
  </conditionalFormatting>
  <conditionalFormatting sqref="G13:G14">
    <cfRule type="cellIs" dxfId="923" priority="17" operator="equal">
      <formula>0</formula>
    </cfRule>
  </conditionalFormatting>
  <conditionalFormatting sqref="G13:G14">
    <cfRule type="cellIs" dxfId="922" priority="16" operator="equal">
      <formula>0</formula>
    </cfRule>
  </conditionalFormatting>
  <conditionalFormatting sqref="G41">
    <cfRule type="cellIs" dxfId="921" priority="15" operator="equal">
      <formula>0</formula>
    </cfRule>
  </conditionalFormatting>
  <conditionalFormatting sqref="G13:G18 G34:G42 G32">
    <cfRule type="containsBlanks" dxfId="920" priority="14">
      <formula>LEN(TRIM(G13))=0</formula>
    </cfRule>
  </conditionalFormatting>
  <conditionalFormatting sqref="G41">
    <cfRule type="cellIs" dxfId="919" priority="13" operator="equal">
      <formula>0</formula>
    </cfRule>
  </conditionalFormatting>
  <conditionalFormatting sqref="G20:G31">
    <cfRule type="cellIs" dxfId="918" priority="12" operator="equal">
      <formula>0</formula>
    </cfRule>
  </conditionalFormatting>
  <conditionalFormatting sqref="G20:G31">
    <cfRule type="containsBlanks" dxfId="917" priority="11">
      <formula>LEN(TRIM(G20))=0</formula>
    </cfRule>
  </conditionalFormatting>
  <conditionalFormatting sqref="I12">
    <cfRule type="cellIs" dxfId="916" priority="10" operator="equal">
      <formula>0</formula>
    </cfRule>
  </conditionalFormatting>
  <conditionalFormatting sqref="I12">
    <cfRule type="containsBlanks" dxfId="915" priority="9">
      <formula>LEN(TRIM(I12))=0</formula>
    </cfRule>
  </conditionalFormatting>
  <conditionalFormatting sqref="I13:I19 I32:I40 I42">
    <cfRule type="cellIs" dxfId="914" priority="8" operator="equal">
      <formula>0</formula>
    </cfRule>
  </conditionalFormatting>
  <conditionalFormatting sqref="I13:I14">
    <cfRule type="cellIs" dxfId="913" priority="7" operator="equal">
      <formula>0</formula>
    </cfRule>
  </conditionalFormatting>
  <conditionalFormatting sqref="I13:I14">
    <cfRule type="cellIs" dxfId="912" priority="6" operator="equal">
      <formula>0</formula>
    </cfRule>
  </conditionalFormatting>
  <conditionalFormatting sqref="I41">
    <cfRule type="cellIs" dxfId="911" priority="5" operator="equal">
      <formula>0</formula>
    </cfRule>
  </conditionalFormatting>
  <conditionalFormatting sqref="I13:I18 I34:I42 I32">
    <cfRule type="containsBlanks" dxfId="910" priority="4">
      <formula>LEN(TRIM(I13))=0</formula>
    </cfRule>
  </conditionalFormatting>
  <conditionalFormatting sqref="I41">
    <cfRule type="cellIs" dxfId="909" priority="3" operator="equal">
      <formula>0</formula>
    </cfRule>
  </conditionalFormatting>
  <conditionalFormatting sqref="I20:I31">
    <cfRule type="cellIs" dxfId="908" priority="2" operator="equal">
      <formula>0</formula>
    </cfRule>
  </conditionalFormatting>
  <conditionalFormatting sqref="I20:I31">
    <cfRule type="containsBlanks" dxfId="907" priority="1">
      <formula>LEN(TRIM(I20))=0</formula>
    </cfRule>
  </conditionalFormatting>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C2948-A552-463C-B3A1-B9D2E28908DB}">
  <dimension ref="A1:Z59"/>
  <sheetViews>
    <sheetView zoomScale="55" zoomScaleNormal="55" workbookViewId="0">
      <selection sqref="A1:XFD1048576"/>
    </sheetView>
  </sheetViews>
  <sheetFormatPr baseColWidth="10" defaultColWidth="11.453125" defaultRowHeight="14.5"/>
  <cols>
    <col min="2" max="2" width="25.81640625" customWidth="1"/>
    <col min="5" max="5" width="11.7265625" customWidth="1"/>
    <col min="17" max="17" width="15.90625" bestFit="1" customWidth="1"/>
    <col min="18" max="18" width="11.54296875" customWidth="1"/>
    <col min="19" max="24" width="11.453125" style="21"/>
  </cols>
  <sheetData>
    <row r="1" spans="1:24">
      <c r="A1" s="1"/>
      <c r="B1" s="1"/>
      <c r="C1" s="680" t="s">
        <v>0</v>
      </c>
      <c r="D1" s="680"/>
      <c r="E1" s="680"/>
      <c r="F1" s="680"/>
      <c r="G1" s="680"/>
      <c r="H1" s="680"/>
      <c r="I1" s="2"/>
      <c r="J1" s="681" t="s">
        <v>1</v>
      </c>
      <c r="K1" s="681"/>
      <c r="L1" s="681"/>
      <c r="M1" s="681"/>
      <c r="N1" s="681"/>
      <c r="O1" s="681"/>
      <c r="P1" s="681"/>
      <c r="Q1" s="681"/>
    </row>
    <row r="2" spans="1:24">
      <c r="A2" s="1"/>
      <c r="B2" s="1"/>
      <c r="C2" s="682" t="s">
        <v>2</v>
      </c>
      <c r="D2" s="683"/>
      <c r="E2" s="684" t="s">
        <v>3</v>
      </c>
      <c r="F2" s="685"/>
      <c r="G2" s="685"/>
      <c r="H2" s="685"/>
      <c r="I2" s="3"/>
      <c r="J2" s="686" t="s">
        <v>4</v>
      </c>
      <c r="K2" s="687" t="s">
        <v>5</v>
      </c>
      <c r="L2" s="688"/>
      <c r="M2" s="688"/>
      <c r="N2" s="688"/>
      <c r="O2" s="688"/>
      <c r="P2" s="688"/>
      <c r="Q2" s="689"/>
      <c r="S2" s="690" t="s">
        <v>90</v>
      </c>
      <c r="T2" s="691"/>
      <c r="U2" s="691"/>
      <c r="V2" s="691"/>
      <c r="W2" s="691"/>
      <c r="X2" s="692"/>
    </row>
    <row r="3" spans="1:24" ht="52">
      <c r="A3" s="4"/>
      <c r="B3" s="4" t="s">
        <v>342</v>
      </c>
      <c r="C3" s="5"/>
      <c r="D3" s="5"/>
      <c r="E3" s="6" t="s">
        <v>6</v>
      </c>
      <c r="F3" s="7"/>
      <c r="G3" s="693" t="s">
        <v>7</v>
      </c>
      <c r="H3" s="694"/>
      <c r="I3" s="8" t="s">
        <v>75</v>
      </c>
      <c r="J3" s="686"/>
      <c r="K3" s="687"/>
      <c r="L3" s="688"/>
      <c r="M3" s="688"/>
      <c r="N3" s="688"/>
      <c r="O3" s="688"/>
      <c r="P3" s="688"/>
      <c r="Q3" s="689"/>
      <c r="R3" s="182"/>
      <c r="S3" s="690"/>
      <c r="T3" s="691"/>
      <c r="U3" s="691"/>
      <c r="V3" s="691"/>
      <c r="W3" s="691"/>
      <c r="X3" s="692"/>
    </row>
    <row r="4" spans="1:24">
      <c r="A4" s="9" t="s">
        <v>8</v>
      </c>
      <c r="B4" s="9" t="s">
        <v>9</v>
      </c>
      <c r="C4" s="10"/>
      <c r="D4" s="13" t="s">
        <v>10</v>
      </c>
      <c r="E4" s="12"/>
      <c r="F4" s="13" t="s">
        <v>10</v>
      </c>
      <c r="G4" s="12"/>
      <c r="H4" s="13" t="s">
        <v>10</v>
      </c>
      <c r="I4" s="11"/>
      <c r="J4" s="686"/>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1819.2099246348469</v>
      </c>
      <c r="D5" s="18"/>
      <c r="E5" s="20"/>
      <c r="F5" s="494"/>
      <c r="G5" s="21"/>
      <c r="H5" s="493"/>
      <c r="I5" s="21"/>
      <c r="J5" s="22"/>
      <c r="K5" s="23"/>
      <c r="L5" s="14"/>
      <c r="M5" s="14"/>
      <c r="N5" s="15"/>
      <c r="O5" s="16"/>
      <c r="P5" s="16"/>
      <c r="Q5" s="24">
        <f>Q13+Q22+Q30+Q42+Q46+Q38+Q43</f>
        <v>884.93548042238842</v>
      </c>
      <c r="R5" s="487"/>
      <c r="S5" s="79">
        <f>SUM(S13,S22,S27:S32,S41)</f>
        <v>884.9354804223882</v>
      </c>
      <c r="T5" s="79">
        <f>SUM(T8:T46)</f>
        <v>35.294954528658479</v>
      </c>
      <c r="U5" s="79">
        <f>SUM(U8:U46)</f>
        <v>233.19574866888979</v>
      </c>
      <c r="V5" s="79">
        <f>SUM(V8:V46)</f>
        <v>334.70711774931425</v>
      </c>
      <c r="W5" s="173">
        <f>SUM(W8:W46)</f>
        <v>144.47126625070987</v>
      </c>
      <c r="X5" s="79">
        <f>SUM(X8:X46)</f>
        <v>137.26639322481577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(([7]Offre_calc!$V$106+[7]Offre_calc!$V$107+[7]Offre_calc!$V$144+[7]Offre_calc!$V$145)/([7]Offre_calc!$V$103+[7]Offre_calc!$V$141))*Bilan_E_KP_AMS_2050!K$21</f>
        <v>318.19737227203552</v>
      </c>
      <c r="D7" s="518"/>
      <c r="E7" s="28">
        <v>0</v>
      </c>
      <c r="F7" s="518"/>
      <c r="G7" s="17">
        <f>C7-E7</f>
        <v>318.19737227203552</v>
      </c>
      <c r="H7" s="518"/>
      <c r="I7" s="21"/>
      <c r="J7" s="518"/>
      <c r="K7" s="525"/>
      <c r="L7" s="525"/>
      <c r="M7" s="525"/>
      <c r="N7" s="525"/>
      <c r="O7" s="525"/>
      <c r="P7" s="513"/>
      <c r="Q7" s="528"/>
      <c r="R7" s="498"/>
      <c r="S7" s="528"/>
      <c r="T7" s="525"/>
      <c r="U7" s="525"/>
      <c r="V7" s="525"/>
      <c r="W7" s="525"/>
      <c r="X7" s="525"/>
    </row>
    <row r="8" spans="1:24">
      <c r="A8" s="695"/>
      <c r="B8" s="1" t="s">
        <v>18</v>
      </c>
      <c r="C8" s="486">
        <f>(([7]Offre_calc!$V$105+[7]Offre_calc!$V$143)/([7]Offre_calc!$V$103+[7]Offre_calc!$V$141))*Bilan_E_KP_AMS_2050!K$21</f>
        <v>73.2588239466414</v>
      </c>
      <c r="D8" s="81"/>
      <c r="E8" s="28">
        <v>0</v>
      </c>
      <c r="F8" s="81"/>
      <c r="G8" s="17">
        <f t="shared" ref="G8:G19" si="0">C8-E8</f>
        <v>73.2588239466414</v>
      </c>
      <c r="H8" s="81"/>
      <c r="I8" s="21"/>
      <c r="J8" s="81"/>
      <c r="K8" s="526"/>
      <c r="L8" s="526"/>
      <c r="M8" s="526"/>
      <c r="N8" s="526"/>
      <c r="O8" s="526"/>
      <c r="P8" s="29"/>
      <c r="Q8" s="529"/>
      <c r="R8" s="498"/>
      <c r="S8" s="529"/>
      <c r="T8" s="526"/>
      <c r="U8" s="526"/>
      <c r="V8" s="526"/>
      <c r="W8" s="526"/>
      <c r="X8" s="526"/>
    </row>
    <row r="9" spans="1:24">
      <c r="A9" s="695"/>
      <c r="B9" s="1" t="s">
        <v>19</v>
      </c>
      <c r="C9" s="486">
        <f>(([7]Offre_calc!$V$104+[7]Offre_calc!$V$142)/([7]Offre_calc!$V$103+[7]Offre_calc!$V$141))*Bilan_E_KP_AMS_2050!K$21</f>
        <v>165.46515435257197</v>
      </c>
      <c r="D9" s="81"/>
      <c r="E9" s="28">
        <v>0</v>
      </c>
      <c r="F9" s="81"/>
      <c r="G9" s="17">
        <f t="shared" si="0"/>
        <v>165.46515435257197</v>
      </c>
      <c r="H9" s="81"/>
      <c r="I9" s="21"/>
      <c r="J9" s="81"/>
      <c r="K9" s="526"/>
      <c r="L9" s="526"/>
      <c r="M9" s="526"/>
      <c r="N9" s="526"/>
      <c r="O9" s="526"/>
      <c r="P9" s="29"/>
      <c r="Q9" s="529"/>
      <c r="R9" s="498"/>
      <c r="S9" s="529"/>
      <c r="T9" s="526"/>
      <c r="U9" s="526"/>
      <c r="V9" s="526"/>
      <c r="W9" s="526"/>
      <c r="X9" s="526"/>
    </row>
    <row r="10" spans="1:24">
      <c r="A10" s="695"/>
      <c r="B10" s="1" t="s">
        <v>20</v>
      </c>
      <c r="C10" s="17">
        <f>Bilan_E_KP_AMS_2050!J21-(Bilan_E_KP_AMS_2050!R20+Bilan_E_KP_AMS_2050!R19)</f>
        <v>712.60987447127138</v>
      </c>
      <c r="D10" s="81"/>
      <c r="E10" s="28">
        <f>F13-SUM(E11:E19)</f>
        <v>491.85665513055869</v>
      </c>
      <c r="F10" s="81"/>
      <c r="G10" s="17">
        <f t="shared" si="0"/>
        <v>220.75321934071269</v>
      </c>
      <c r="H10" s="81"/>
      <c r="I10" s="21"/>
      <c r="J10" s="81"/>
      <c r="K10" s="526"/>
      <c r="L10" s="526"/>
      <c r="M10" s="526"/>
      <c r="N10" s="526"/>
      <c r="O10" s="526"/>
      <c r="P10" s="29"/>
      <c r="Q10" s="529"/>
      <c r="R10" s="498"/>
      <c r="S10" s="529"/>
      <c r="T10" s="526"/>
      <c r="U10" s="526"/>
      <c r="V10" s="526"/>
      <c r="W10" s="526"/>
      <c r="X10" s="526"/>
    </row>
    <row r="11" spans="1:24">
      <c r="A11" s="695"/>
      <c r="B11" s="1" t="s">
        <v>21</v>
      </c>
      <c r="C11" s="17">
        <f>Bilan_E_KP_AMS_2050!O21</f>
        <v>0.11326810820885491</v>
      </c>
      <c r="D11" s="81"/>
      <c r="E11" s="28">
        <f>C11*(1-[7]Offre_calc!$V$161)</f>
        <v>4.5307243283541965E-2</v>
      </c>
      <c r="F11" s="81"/>
      <c r="G11" s="17">
        <f t="shared" si="0"/>
        <v>6.7960864925312947E-2</v>
      </c>
      <c r="H11" s="81"/>
      <c r="I11" s="21"/>
      <c r="J11" s="81"/>
      <c r="K11" s="526"/>
      <c r="L11" s="526"/>
      <c r="M11" s="526"/>
      <c r="N11" s="526"/>
      <c r="O11" s="526"/>
      <c r="P11" s="29"/>
      <c r="Q11" s="529"/>
      <c r="R11" s="498"/>
      <c r="S11" s="529"/>
      <c r="T11" s="526"/>
      <c r="U11" s="526"/>
      <c r="V11" s="526"/>
      <c r="W11" s="526"/>
      <c r="X11" s="526"/>
    </row>
    <row r="12" spans="1:24">
      <c r="A12" s="695"/>
      <c r="B12" s="1" t="s">
        <v>22</v>
      </c>
      <c r="C12" s="17">
        <f>Bilan_E_KP_AMS_2050!M21</f>
        <v>2.8053264742296591</v>
      </c>
      <c r="D12" s="81"/>
      <c r="E12" s="28">
        <f>C12*(1-[7]Offre_calc!$V$171)</f>
        <v>1.6831958845377955</v>
      </c>
      <c r="F12" s="81"/>
      <c r="G12" s="17">
        <f t="shared" si="0"/>
        <v>1.1221305896918636</v>
      </c>
      <c r="H12" s="81"/>
      <c r="I12" s="21"/>
      <c r="J12" s="81"/>
      <c r="K12" s="526"/>
      <c r="L12" s="526"/>
      <c r="M12" s="526"/>
      <c r="N12" s="526"/>
      <c r="O12" s="526"/>
      <c r="P12" s="29"/>
      <c r="Q12" s="529"/>
      <c r="R12" s="498"/>
      <c r="S12" s="529"/>
      <c r="T12" s="526"/>
      <c r="U12" s="526"/>
      <c r="V12" s="526"/>
      <c r="W12" s="526"/>
      <c r="X12" s="526"/>
    </row>
    <row r="13" spans="1:24">
      <c r="A13" s="695"/>
      <c r="B13" s="1" t="s">
        <v>23</v>
      </c>
      <c r="C13" s="17">
        <f>Bilan_E_KP_AMS_2050!L21</f>
        <v>14.491283228737107</v>
      </c>
      <c r="D13" s="81">
        <f>SUM(C7:C19)</f>
        <v>1326.1761298052793</v>
      </c>
      <c r="E13" s="28">
        <f>C13*(1-[7]Offre_calc!$V$170)</f>
        <v>8.6947699372422633</v>
      </c>
      <c r="F13" s="81">
        <f>Bilan_E_KP_AMS_2050!U21</f>
        <v>516.31765927282356</v>
      </c>
      <c r="G13" s="17">
        <f t="shared" si="0"/>
        <v>5.7965132914948434</v>
      </c>
      <c r="H13" s="81">
        <f>SUM(G7:G19)</f>
        <v>809.85847053245607</v>
      </c>
      <c r="I13" s="33">
        <f>Bilan_E_KP_AMS_2050!R30</f>
        <v>17.221013858771279</v>
      </c>
      <c r="J13" s="81">
        <f>H13-I13</f>
        <v>792.63745667368482</v>
      </c>
      <c r="K13" s="29">
        <f>Bilan_E_KP_AMS_2050!R31</f>
        <v>58.897580266978245</v>
      </c>
      <c r="L13" s="29">
        <f>-(Bilan_E_KP_AMS_2050!R14+Bilan_E_KP_AMS_2050!R13)</f>
        <v>40.000075434727478</v>
      </c>
      <c r="M13" s="29">
        <f>Bilan_E_KP_AMS_2050!R28</f>
        <v>227.10664749932533</v>
      </c>
      <c r="N13" s="29"/>
      <c r="O13" s="29"/>
      <c r="P13" s="29"/>
      <c r="Q13" s="81">
        <f>J13-K13-L13-M13-N13-O13-P13</f>
        <v>466.63315347265376</v>
      </c>
      <c r="R13" s="508">
        <f>Q13-S13</f>
        <v>0</v>
      </c>
      <c r="S13" s="81">
        <f>SUM(T8:X19)</f>
        <v>466.63315347265365</v>
      </c>
      <c r="T13" s="29">
        <f>Bilan_E_KP_AMS_2050!R38</f>
        <v>7.8459207286229669</v>
      </c>
      <c r="U13" s="29">
        <f>Bilan_E_KP_AMS_2050!R34+Bilan_E_KP_AMS_2050!R39</f>
        <v>137.71292998685365</v>
      </c>
      <c r="V13" s="29">
        <f>Bilan_E_KP_AMS_2050!R36</f>
        <v>129.06523934568938</v>
      </c>
      <c r="W13" s="29">
        <f>Bilan_E_KP_AMS_2050!R37</f>
        <v>81.567308013661545</v>
      </c>
      <c r="X13" s="29">
        <f>Bilan_E_KP_AMS_2050!R35</f>
        <v>110.4417553978261</v>
      </c>
    </row>
    <row r="14" spans="1:24">
      <c r="A14" s="695"/>
      <c r="B14" s="1" t="s">
        <v>24</v>
      </c>
      <c r="C14" s="17">
        <f>Bilan_E_KP_AMS_2050!Q21</f>
        <v>6.7631767445353068</v>
      </c>
      <c r="D14" s="81"/>
      <c r="E14" s="28">
        <v>0</v>
      </c>
      <c r="F14" s="81"/>
      <c r="G14" s="17">
        <f t="shared" si="0"/>
        <v>6.7631767445353068</v>
      </c>
      <c r="H14" s="81"/>
      <c r="I14" s="21"/>
      <c r="J14" s="81"/>
      <c r="K14" s="526"/>
      <c r="L14" s="526"/>
      <c r="M14" s="526"/>
      <c r="N14" s="526"/>
      <c r="O14" s="526"/>
      <c r="P14" s="29"/>
      <c r="Q14" s="529"/>
      <c r="R14" s="508"/>
      <c r="S14" s="529"/>
      <c r="T14" s="526"/>
      <c r="U14" s="526"/>
      <c r="V14" s="526"/>
      <c r="W14" s="526"/>
      <c r="X14" s="526"/>
    </row>
    <row r="15" spans="1:24">
      <c r="A15" s="695"/>
      <c r="B15" s="1" t="s">
        <v>25</v>
      </c>
      <c r="C15" s="17">
        <v>0</v>
      </c>
      <c r="D15" s="81"/>
      <c r="E15" s="28">
        <v>0</v>
      </c>
      <c r="F15" s="81"/>
      <c r="G15" s="17">
        <f t="shared" si="0"/>
        <v>0</v>
      </c>
      <c r="H15" s="81"/>
      <c r="I15" s="21"/>
      <c r="J15" s="81"/>
      <c r="K15" s="526"/>
      <c r="L15" s="526"/>
      <c r="M15" s="526"/>
      <c r="N15" s="526"/>
      <c r="O15" s="526"/>
      <c r="P15" s="29"/>
      <c r="Q15" s="529"/>
      <c r="R15" s="508"/>
      <c r="S15" s="529"/>
      <c r="T15" s="526"/>
      <c r="U15" s="526"/>
      <c r="V15" s="526"/>
      <c r="W15" s="526"/>
      <c r="X15" s="526"/>
    </row>
    <row r="16" spans="1:24">
      <c r="A16" s="695"/>
      <c r="B16" s="1" t="s">
        <v>346</v>
      </c>
      <c r="C16" s="17">
        <f>Bilan_E_KP_AMS_2050!N21</f>
        <v>6.5561937148871507</v>
      </c>
      <c r="D16" s="81"/>
      <c r="E16" s="28">
        <f>C16*(1-[7]Offre_calc!$V$158)</f>
        <v>3.671468480336805</v>
      </c>
      <c r="F16" s="81"/>
      <c r="G16" s="17">
        <f t="shared" si="0"/>
        <v>2.8847252345503458</v>
      </c>
      <c r="H16" s="81"/>
      <c r="I16" s="21"/>
      <c r="J16" s="81"/>
      <c r="K16" s="526"/>
      <c r="L16" s="526"/>
      <c r="M16" s="526"/>
      <c r="N16" s="526"/>
      <c r="O16" s="526"/>
      <c r="P16" s="29"/>
      <c r="Q16" s="529"/>
      <c r="R16" s="508"/>
      <c r="S16" s="529"/>
      <c r="T16" s="526"/>
      <c r="U16" s="526"/>
      <c r="V16" s="526"/>
      <c r="W16" s="526"/>
      <c r="X16" s="526"/>
    </row>
    <row r="17" spans="1:24">
      <c r="A17" s="695"/>
      <c r="B17" s="1" t="s">
        <v>27</v>
      </c>
      <c r="C17" s="17">
        <f>Bilan_E_KP_AMS_2050!F21</f>
        <v>0</v>
      </c>
      <c r="D17" s="81"/>
      <c r="E17" s="28">
        <f>C17*(1-[7]Offre_calc!$V$158)</f>
        <v>0</v>
      </c>
      <c r="F17" s="81"/>
      <c r="G17" s="17">
        <f t="shared" si="0"/>
        <v>0</v>
      </c>
      <c r="H17" s="81"/>
      <c r="I17" s="21"/>
      <c r="J17" s="81"/>
      <c r="K17" s="526"/>
      <c r="L17" s="526"/>
      <c r="M17" s="526"/>
      <c r="N17" s="526"/>
      <c r="O17" s="526"/>
      <c r="P17" s="29"/>
      <c r="Q17" s="529"/>
      <c r="R17" s="508"/>
      <c r="S17" s="529"/>
      <c r="T17" s="526"/>
      <c r="U17" s="526"/>
      <c r="V17" s="526"/>
      <c r="W17" s="526"/>
      <c r="X17" s="526"/>
    </row>
    <row r="18" spans="1:24">
      <c r="A18" s="695"/>
      <c r="B18" s="1" t="s">
        <v>28</v>
      </c>
      <c r="C18" s="17">
        <f>Bilan_E_KP_AMS_2050!D21</f>
        <v>0</v>
      </c>
      <c r="D18" s="81"/>
      <c r="E18" s="28">
        <f>C18*(1-[7]Offre_calc!$V$157)</f>
        <v>0</v>
      </c>
      <c r="F18" s="81"/>
      <c r="G18" s="17">
        <f t="shared" si="0"/>
        <v>0</v>
      </c>
      <c r="H18" s="81"/>
      <c r="I18" s="21"/>
      <c r="J18" s="81"/>
      <c r="K18" s="526"/>
      <c r="L18" s="526"/>
      <c r="M18" s="526"/>
      <c r="N18" s="526"/>
      <c r="O18" s="526"/>
      <c r="P18" s="29"/>
      <c r="Q18" s="529"/>
      <c r="R18" s="508"/>
      <c r="S18" s="529"/>
      <c r="T18" s="526"/>
      <c r="U18" s="526"/>
      <c r="V18" s="526"/>
      <c r="W18" s="526"/>
      <c r="X18" s="526"/>
    </row>
    <row r="19" spans="1:24">
      <c r="A19" s="695"/>
      <c r="B19" s="1" t="s">
        <v>260</v>
      </c>
      <c r="C19" s="17">
        <f>Bilan_E_KP_AMS_2050!H21+Bilan_E_KP_AMS_2050!T21</f>
        <v>25.915656492161155</v>
      </c>
      <c r="D19" s="82"/>
      <c r="E19" s="28">
        <f>C19*(1-[7]Offre_calc!$V$160)</f>
        <v>10.366262596864463</v>
      </c>
      <c r="F19" s="82"/>
      <c r="G19" s="17">
        <f t="shared" si="0"/>
        <v>15.549393895296692</v>
      </c>
      <c r="H19" s="82"/>
      <c r="I19" s="21"/>
      <c r="J19" s="82"/>
      <c r="K19" s="527"/>
      <c r="L19" s="527"/>
      <c r="M19" s="527"/>
      <c r="N19" s="527"/>
      <c r="O19" s="527"/>
      <c r="P19" s="514"/>
      <c r="Q19" s="530"/>
      <c r="R19" s="508"/>
      <c r="S19" s="530"/>
      <c r="T19" s="527"/>
      <c r="U19" s="527"/>
      <c r="V19" s="527"/>
      <c r="W19" s="527"/>
      <c r="X19" s="527"/>
    </row>
    <row r="20" spans="1:24">
      <c r="A20" s="1"/>
      <c r="B20" s="1"/>
      <c r="C20" s="31"/>
      <c r="D20" s="499"/>
      <c r="E20" s="490"/>
      <c r="F20" s="499"/>
      <c r="G20" s="548">
        <f>G10/C10</f>
        <v>0.3097813084676983</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Bilan_E_KP_AMS_2050!L23+Bilan_E_KP_AMS_2050!O12</f>
        <v>104.55793512466204</v>
      </c>
      <c r="D21" s="531"/>
      <c r="E21" s="33">
        <f>Bilan_E_KP_AMS_2050!U23+Bilan_E_KP_AMS_2050!O30</f>
        <v>8.6432834528003752</v>
      </c>
      <c r="F21" s="531"/>
      <c r="G21" s="17">
        <f t="shared" ref="G21:G45" si="1">C21-E21</f>
        <v>95.914651671861662</v>
      </c>
      <c r="H21" s="531"/>
      <c r="I21" s="17"/>
      <c r="J21" s="531"/>
      <c r="K21" s="547">
        <f>Bilan_E_KP_AMS_2050!O31</f>
        <v>1.1274664352930146</v>
      </c>
      <c r="L21" s="547">
        <f>-(Bilan_E_KP_AMS_2050!O13+Bilan_E_KP_AMS_2050!O14+Bilan_E_KP_AMS_2050!O15+Bilan_E_KP_AMS_2050!O16)</f>
        <v>6.0567013609387903</v>
      </c>
      <c r="M21" s="547">
        <f>Bilan_E_KP_AMS_2050!O28</f>
        <v>0</v>
      </c>
      <c r="N21" s="547">
        <f>Bilan_E_KP_AMS_2050!O22</f>
        <v>8.1785673020738106</v>
      </c>
      <c r="O21" s="547">
        <f>Bilan_E_KP_AMS_2050!O21</f>
        <v>0.11326810820885491</v>
      </c>
      <c r="P21" s="547">
        <f>C36</f>
        <v>4.780741280438523</v>
      </c>
      <c r="Q21" s="531"/>
      <c r="R21" s="508"/>
      <c r="S21" s="531"/>
      <c r="T21" s="531"/>
      <c r="U21" s="531"/>
      <c r="V21" s="531"/>
      <c r="W21" s="531"/>
      <c r="X21" s="531"/>
    </row>
    <row r="22" spans="1:24">
      <c r="A22" s="696"/>
      <c r="B22" s="1" t="s">
        <v>524</v>
      </c>
      <c r="C22" s="17">
        <f>Bilan_E_KP_AMS_2050!T24</f>
        <v>6.4074201765093832</v>
      </c>
      <c r="D22" s="85">
        <f>SUM(C21:C24)</f>
        <v>302.57528883994075</v>
      </c>
      <c r="E22" s="632">
        <f>Bilan_E_KP_AMS_2050!I30+Bilan_E_KP_AMS_2050!U24</f>
        <v>2.0495283783522416</v>
      </c>
      <c r="F22" s="85">
        <f>SUM(E21:E24)</f>
        <v>74.28267313096373</v>
      </c>
      <c r="G22" s="17">
        <f t="shared" si="1"/>
        <v>4.3578917981571417</v>
      </c>
      <c r="H22" s="85">
        <f>SUM(G21:G24)</f>
        <v>228.29261570897702</v>
      </c>
      <c r="I22" s="408"/>
      <c r="J22" s="85">
        <f>H22-I22</f>
        <v>228.29261570897702</v>
      </c>
      <c r="K22" s="628">
        <f>Bilan_E_KP_AMS_2050!I31</f>
        <v>5.9340338699632358E-2</v>
      </c>
      <c r="L22" s="628">
        <f>-SUM(Bilan_E_KP_AMS_2050!I13:I16)</f>
        <v>0.31877375583888373</v>
      </c>
      <c r="M22" s="32"/>
      <c r="N22" s="32"/>
      <c r="O22" s="32"/>
      <c r="P22" s="32"/>
      <c r="Q22" s="85">
        <f>J22-SUM(K21:P24)</f>
        <v>93.713372791112334</v>
      </c>
      <c r="R22" s="508">
        <f>Q22-S22</f>
        <v>-2.9244114948312472E-4</v>
      </c>
      <c r="S22" s="85">
        <f>SUM(T22:X24)</f>
        <v>93.713665232261818</v>
      </c>
      <c r="T22" s="32">
        <f>Bilan_E_KP_AMS_2050!H38+Bilan_E_KP_AMS_2050!T38+Bilan_E_KP_AMS_2050!O$38+Bilan_E_KP_AMS_2050!I38</f>
        <v>2.0699451002198215</v>
      </c>
      <c r="U22" s="32">
        <f>Bilan_E_KP_AMS_2050!H34+Bilan_E_KP_AMS_2050!T34+Bilan_E_KP_AMS_2050!O$34+Bilan_E_KP_AMS_2050!I34</f>
        <v>41.814196369584614</v>
      </c>
      <c r="V22" s="32">
        <f>Bilan_E_KP_AMS_2050!H36+Bilan_E_KP_AMS_2050!T36+Bilan_E_KP_AMS_2050!O$36+Bilan_E_KP_AMS_2050!I36</f>
        <v>26.189974300976441</v>
      </c>
      <c r="W22" s="32">
        <f>Bilan_E_KP_AMS_2050!H37+Bilan_E_KP_AMS_2050!M37+Bilan_E_KP_AMS_2050!T37+Bilan_E_KP_AMS_2050!O$37+Bilan_E_KP_AMS_2050!I37</f>
        <v>13.079973215835341</v>
      </c>
      <c r="X22" s="32">
        <f>Bilan_E_KP_AMS_2050!H35+Bilan_E_KP_AMS_2050!T35+Bilan_E_KP_AMS_2050!O$35+Bilan_E_KP_AMS_2050!I35</f>
        <v>10.559576245645603</v>
      </c>
    </row>
    <row r="23" spans="1:24">
      <c r="A23" s="696"/>
      <c r="B23" s="1" t="s">
        <v>31</v>
      </c>
      <c r="C23" s="17">
        <f>SUM(Bilan_E_KP_AMS_2050!D28:S28)-C47</f>
        <v>191.60993353876933</v>
      </c>
      <c r="D23" s="532"/>
      <c r="E23" s="33">
        <f>Bilan_E_KP_AMS_2050!U28</f>
        <v>63.589861299811105</v>
      </c>
      <c r="F23" s="534"/>
      <c r="G23" s="17">
        <f t="shared" si="1"/>
        <v>128.02007223895822</v>
      </c>
      <c r="H23" s="534"/>
      <c r="I23" s="17"/>
      <c r="J23" s="534"/>
      <c r="K23" s="536">
        <f>Bilan_E_KP_AMS_2050!T31</f>
        <v>0</v>
      </c>
      <c r="L23" s="536">
        <f>-(Bilan_E_KP_AMS_2050!T13+Bilan_E_KP_AMS_2050!T14+Bilan_E_KP_AMS_2050!T15+Bilan_E_KP_AMS_2050!T16)</f>
        <v>2.6159745910871801</v>
      </c>
      <c r="M23" s="536">
        <f>Bilan_E_KP_AMS_2050!T24</f>
        <v>6.4074201765093832</v>
      </c>
      <c r="N23" s="536">
        <f>Bilan_E_KP_AMS_2050!T22</f>
        <v>0</v>
      </c>
      <c r="O23" s="536">
        <f>Bilan_E_KP_AMS_2050!T21</f>
        <v>25.915656492161155</v>
      </c>
      <c r="P23" s="536">
        <f>Bilan_E_KP_AMS_2050!T27</f>
        <v>79.005333076615457</v>
      </c>
      <c r="Q23" s="534"/>
      <c r="R23" s="489"/>
      <c r="S23" s="534"/>
      <c r="T23" s="538"/>
      <c r="U23" s="538"/>
      <c r="V23" s="538"/>
      <c r="W23" s="538"/>
      <c r="X23" s="538"/>
    </row>
    <row r="24" spans="1:24">
      <c r="A24" s="696"/>
      <c r="B24" s="1" t="s">
        <v>32</v>
      </c>
      <c r="C24" s="17">
        <f>Bilan_E_KP_AMS_2050!H18-C45-(Bilan_E_KP_AMS_2050!H20+Bilan_E_KP_AMS_2050!H19)</f>
        <v>0</v>
      </c>
      <c r="D24" s="533"/>
      <c r="E24" s="33">
        <f>Bilan_E_KP_AMS_2050!H30</f>
        <v>0</v>
      </c>
      <c r="F24" s="535"/>
      <c r="G24" s="17">
        <f t="shared" si="1"/>
        <v>0</v>
      </c>
      <c r="H24" s="535"/>
      <c r="I24" s="34"/>
      <c r="J24" s="535"/>
      <c r="K24" s="537">
        <f>Bilan_E_KP_AMS_2050!H31</f>
        <v>0</v>
      </c>
      <c r="L24" s="537"/>
      <c r="M24" s="537">
        <f>Bilan_E_KP_AMS_2050!H28</f>
        <v>0</v>
      </c>
      <c r="N24" s="537">
        <f>Bilan_E_KP_AMS_2050!H22</f>
        <v>0</v>
      </c>
      <c r="O24" s="537">
        <f>Bilan_E_KP_AMS_2050!H21</f>
        <v>0</v>
      </c>
      <c r="P24" s="537"/>
      <c r="Q24" s="535"/>
      <c r="R24" s="508"/>
      <c r="S24" s="535"/>
      <c r="T24" s="539"/>
      <c r="U24" s="539"/>
      <c r="V24" s="539"/>
      <c r="W24" s="539"/>
      <c r="X24" s="539"/>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Bilan_E_KP_AMS_2050!O22</f>
        <v>8.1785673020738106</v>
      </c>
      <c r="D26" s="512"/>
      <c r="E26" s="190">
        <f>C26*F$35</f>
        <v>0.35444449881085055</v>
      </c>
      <c r="F26" s="512"/>
      <c r="G26" s="33">
        <f t="shared" ref="G26:G31" si="2">C26-E26</f>
        <v>7.8241228032629602</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Bilan_E_KP_AMS_2050!M18-Bilan_E_KP_AMS_2050!M21-(Bilan_E_KP_AMS_2050!S20+Bilan_E_KP_AMS_2050!S19+Bilan_E_KP_AMS_2050!M20+Bilan_E_KP_AMS_2050!M19)</f>
        <v>16.42335846628184</v>
      </c>
      <c r="D27" s="87"/>
      <c r="E27" s="190">
        <f t="shared" ref="E27:E34" si="3">C27*F$35</f>
        <v>0.71175902152155091</v>
      </c>
      <c r="F27" s="87"/>
      <c r="G27" s="33">
        <f t="shared" si="2"/>
        <v>15.711599444760289</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Bilan_E_KP_AMS_2050!L22</f>
        <v>33.721862056250039</v>
      </c>
      <c r="D29" s="87"/>
      <c r="E29" s="190">
        <f t="shared" si="3"/>
        <v>1.4614452695725109</v>
      </c>
      <c r="F29" s="87"/>
      <c r="G29" s="33">
        <f t="shared" si="2"/>
        <v>32.260416786677531</v>
      </c>
      <c r="H29" s="87"/>
      <c r="I29" s="1"/>
      <c r="J29" s="87"/>
      <c r="K29" s="87"/>
      <c r="L29" s="87"/>
      <c r="M29" s="87"/>
      <c r="N29" s="87"/>
      <c r="O29" s="87"/>
      <c r="P29" s="87"/>
      <c r="Q29" s="87"/>
      <c r="R29" s="508"/>
      <c r="S29" s="87"/>
      <c r="T29" s="87"/>
      <c r="U29" s="87"/>
      <c r="V29" s="87"/>
      <c r="W29" s="87"/>
      <c r="X29" s="87"/>
    </row>
    <row r="30" spans="1:24">
      <c r="A30" s="697"/>
      <c r="B30" s="1" t="s">
        <v>24</v>
      </c>
      <c r="C30" s="17">
        <f>Bilan_E_KP_AMS_2050!Q22</f>
        <v>11.316516045102318</v>
      </c>
      <c r="D30" s="86">
        <f>SUM(C26:C34)</f>
        <v>69.640303869708006</v>
      </c>
      <c r="E30" s="190">
        <f t="shared" si="3"/>
        <v>0.4904375925199228</v>
      </c>
      <c r="F30" s="86">
        <f>Bilan_E_KP_AMS_2050!U22</f>
        <v>3.0180863824248352</v>
      </c>
      <c r="G30" s="33">
        <f t="shared" si="2"/>
        <v>10.826078452582395</v>
      </c>
      <c r="H30" s="86">
        <f>SUM(G26:G34)</f>
        <v>66.62221748728318</v>
      </c>
      <c r="I30" s="1"/>
      <c r="J30" s="86">
        <f>H30</f>
        <v>66.62221748728318</v>
      </c>
      <c r="K30" s="87">
        <f>Bilan_E_KP_AMS_2050!S31</f>
        <v>5.0089527300753778</v>
      </c>
      <c r="L30" s="87"/>
      <c r="M30" s="87">
        <f>Bilan_E_KP_AMS_2050!M28</f>
        <v>0</v>
      </c>
      <c r="N30" s="87"/>
      <c r="O30" s="87"/>
      <c r="P30" s="87"/>
      <c r="Q30" s="86">
        <f>J30-K30-L30-M30-N30-O30-P30</f>
        <v>61.613264757207801</v>
      </c>
      <c r="R30" s="508">
        <f>Q30-S30</f>
        <v>2.9244114949733557E-4</v>
      </c>
      <c r="S30" s="86">
        <f>SUM(T27:X34)</f>
        <v>61.612972316058304</v>
      </c>
      <c r="T30" s="87">
        <f>Bilan_E_KP_AMS_2050!S$38</f>
        <v>0</v>
      </c>
      <c r="U30" s="87">
        <f>Bilan_E_KP_AMS_2050!S$34+Bilan_E_KP_AMS_2050!M34</f>
        <v>20.476765974261674</v>
      </c>
      <c r="V30" s="87">
        <f>Bilan_E_KP_AMS_2050!S$36</f>
        <v>22.248806062911136</v>
      </c>
      <c r="W30" s="87">
        <f>Bilan_E_KP_AMS_2050!S$37</f>
        <v>18.887400278885494</v>
      </c>
      <c r="X30" s="87">
        <f>Bilan_E_KP_AMS_2050!S$35</f>
        <v>0</v>
      </c>
    </row>
    <row r="31" spans="1:24">
      <c r="A31" s="697"/>
      <c r="B31" s="1" t="s">
        <v>33</v>
      </c>
      <c r="C31" s="17">
        <v>0</v>
      </c>
      <c r="D31" s="86"/>
      <c r="E31" s="190">
        <f t="shared" si="3"/>
        <v>0</v>
      </c>
      <c r="F31" s="86"/>
      <c r="G31" s="33">
        <f t="shared" si="2"/>
        <v>0</v>
      </c>
      <c r="H31" s="86"/>
      <c r="I31" s="1"/>
      <c r="J31" s="519"/>
      <c r="K31" s="87"/>
      <c r="L31" s="87"/>
      <c r="M31" s="87"/>
      <c r="N31" s="87"/>
      <c r="O31" s="87"/>
      <c r="P31" s="87"/>
      <c r="Q31" s="519"/>
      <c r="R31" s="508"/>
      <c r="S31" s="521"/>
      <c r="T31" s="523"/>
      <c r="U31" s="523"/>
      <c r="V31" s="523"/>
      <c r="W31" s="523"/>
      <c r="X31" s="523"/>
    </row>
    <row r="32" spans="1:24">
      <c r="A32" s="697"/>
      <c r="B32" s="1" t="s">
        <v>29</v>
      </c>
      <c r="C32" s="17">
        <f>Bilan_E_KP_AMS_2050!H22</f>
        <v>0</v>
      </c>
      <c r="D32" s="86"/>
      <c r="E32" s="190">
        <f t="shared" si="3"/>
        <v>0</v>
      </c>
      <c r="F32" s="86"/>
      <c r="G32" s="33">
        <f>C32-E32</f>
        <v>0</v>
      </c>
      <c r="H32" s="86"/>
      <c r="I32" s="1"/>
      <c r="J32" s="519"/>
      <c r="K32" s="87"/>
      <c r="L32" s="87"/>
      <c r="M32" s="87"/>
      <c r="N32" s="87"/>
      <c r="O32" s="87"/>
      <c r="P32" s="87"/>
      <c r="Q32" s="519"/>
      <c r="R32" s="508"/>
      <c r="S32" s="521"/>
      <c r="T32" s="523"/>
      <c r="U32" s="523"/>
      <c r="V32" s="523"/>
      <c r="W32" s="523"/>
      <c r="X32" s="523"/>
    </row>
    <row r="33" spans="1:26">
      <c r="A33" s="186"/>
      <c r="B33" s="1" t="s">
        <v>27</v>
      </c>
      <c r="C33" s="33">
        <f>Bilan_E_KP_AMS_2050!F22</f>
        <v>0</v>
      </c>
      <c r="D33" s="86"/>
      <c r="E33" s="190">
        <f t="shared" si="3"/>
        <v>0</v>
      </c>
      <c r="F33" s="86"/>
      <c r="G33" s="33">
        <f t="shared" ref="G33:G34" si="4">C33-E33</f>
        <v>0</v>
      </c>
      <c r="H33" s="86"/>
      <c r="I33" s="1"/>
      <c r="J33" s="519"/>
      <c r="K33" s="87"/>
      <c r="L33" s="87"/>
      <c r="M33" s="87"/>
      <c r="N33" s="87"/>
      <c r="O33" s="87"/>
      <c r="P33" s="87"/>
      <c r="Q33" s="519"/>
      <c r="R33" s="508"/>
      <c r="S33" s="521"/>
      <c r="T33" s="523"/>
      <c r="U33" s="523"/>
      <c r="V33" s="523"/>
      <c r="W33" s="523"/>
      <c r="X33" s="523"/>
    </row>
    <row r="34" spans="1:26">
      <c r="A34" s="186"/>
      <c r="B34" s="1" t="s">
        <v>28</v>
      </c>
      <c r="C34" s="33">
        <f>Bilan_E_KP_AMS_2050!D22</f>
        <v>0</v>
      </c>
      <c r="D34" s="88"/>
      <c r="E34" s="190">
        <f t="shared" si="3"/>
        <v>0</v>
      </c>
      <c r="F34" s="88"/>
      <c r="G34" s="33">
        <f t="shared" si="4"/>
        <v>0</v>
      </c>
      <c r="H34" s="88"/>
      <c r="I34" s="1"/>
      <c r="J34" s="520"/>
      <c r="K34" s="89"/>
      <c r="L34" s="89"/>
      <c r="M34" s="89"/>
      <c r="N34" s="89"/>
      <c r="O34" s="89"/>
      <c r="P34" s="89"/>
      <c r="Q34" s="520"/>
      <c r="R34" s="508"/>
      <c r="S34" s="522"/>
      <c r="T34" s="524"/>
      <c r="U34" s="524"/>
      <c r="V34" s="524"/>
      <c r="W34" s="524"/>
      <c r="X34" s="524"/>
    </row>
    <row r="35" spans="1:26">
      <c r="A35" s="4"/>
      <c r="B35" s="1"/>
      <c r="C35" s="21"/>
      <c r="D35" s="499"/>
      <c r="E35" s="45"/>
      <c r="F35" s="45">
        <f>F30/D30</f>
        <v>4.3338213860632448E-2</v>
      </c>
      <c r="G35" s="17"/>
      <c r="H35" s="501"/>
      <c r="I35" s="1"/>
      <c r="J35" s="1"/>
      <c r="K35" s="1"/>
      <c r="L35" s="1"/>
      <c r="M35" s="1"/>
      <c r="N35" s="1"/>
      <c r="O35" s="1"/>
      <c r="P35" s="1"/>
      <c r="Q35" s="502"/>
      <c r="R35" s="508"/>
      <c r="U35" s="33"/>
      <c r="V35" s="33"/>
      <c r="W35" s="33"/>
    </row>
    <row r="36" spans="1:26">
      <c r="A36" s="679" t="s">
        <v>34</v>
      </c>
      <c r="B36" s="1" t="s">
        <v>21</v>
      </c>
      <c r="C36" s="33">
        <f>E55</f>
        <v>4.780741280438523</v>
      </c>
      <c r="D36" s="540"/>
      <c r="E36" s="17"/>
      <c r="F36" s="540"/>
      <c r="G36" s="17">
        <f t="shared" ref="G36:G42" si="5">C36-E36</f>
        <v>4.780741280438523</v>
      </c>
      <c r="H36" s="540"/>
      <c r="I36" s="35"/>
      <c r="J36" s="37"/>
      <c r="K36" s="35"/>
      <c r="L36" s="35"/>
      <c r="M36" s="35"/>
      <c r="N36" s="35"/>
      <c r="O36" s="35"/>
      <c r="P36" s="35"/>
      <c r="Q36" s="542"/>
      <c r="R36" s="508"/>
      <c r="S36" s="540"/>
      <c r="T36" s="503">
        <v>0</v>
      </c>
      <c r="U36" s="503">
        <v>0</v>
      </c>
      <c r="V36" s="503">
        <v>0</v>
      </c>
      <c r="W36" s="503">
        <v>0</v>
      </c>
      <c r="X36" s="503">
        <v>0</v>
      </c>
      <c r="Y36" s="489">
        <f>SUM(T36:X36)</f>
        <v>0</v>
      </c>
      <c r="Z36" s="489">
        <f>G36-Y36</f>
        <v>4.780741280438523</v>
      </c>
    </row>
    <row r="37" spans="1:26">
      <c r="A37" s="679"/>
      <c r="B37" s="1" t="s">
        <v>23</v>
      </c>
      <c r="C37" s="33">
        <f>SUM(T37:X37)+E58</f>
        <v>52.961745813566075</v>
      </c>
      <c r="D37" s="541"/>
      <c r="E37" s="504"/>
      <c r="F37" s="541"/>
      <c r="G37" s="17">
        <f t="shared" si="5"/>
        <v>52.961745813566075</v>
      </c>
      <c r="H37" s="541"/>
      <c r="I37" s="498"/>
      <c r="J37" s="37"/>
      <c r="K37" s="35"/>
      <c r="L37" s="35"/>
      <c r="M37" s="505"/>
      <c r="N37" s="35"/>
      <c r="P37" s="35"/>
      <c r="Q37" s="543"/>
      <c r="R37" s="508"/>
      <c r="S37" s="541"/>
      <c r="T37" s="506">
        <f>Bilan_E_KP_AMS_2050!L38</f>
        <v>4.5749249618986854</v>
      </c>
      <c r="U37" s="93">
        <f>Bilan_E_KP_AMS_2050!L34</f>
        <v>18.511250218523632</v>
      </c>
      <c r="V37" s="506">
        <f>Bilan_E_KP_AMS_2050!L36</f>
        <v>28.937300829462252</v>
      </c>
      <c r="W37" s="507">
        <f>Bilan_E_KP_AMS_2050!L37</f>
        <v>0.34200087095620557</v>
      </c>
      <c r="X37" s="506">
        <f>Bilan_E_KP_AMS_2050!L35</f>
        <v>0</v>
      </c>
      <c r="Y37" s="489">
        <f t="shared" ref="Y37:Y47" si="6">SUM(T37:X37)</f>
        <v>52.365476880840774</v>
      </c>
      <c r="Z37" s="489">
        <f t="shared" ref="Z37:Z44" si="7">G37-Y37</f>
        <v>0.59626893272530168</v>
      </c>
    </row>
    <row r="38" spans="1:26">
      <c r="A38" s="679"/>
      <c r="B38" s="1" t="s">
        <v>33</v>
      </c>
      <c r="C38" s="33">
        <f>SUM(T38:X38)</f>
        <v>0</v>
      </c>
      <c r="D38" s="541"/>
      <c r="E38" s="35"/>
      <c r="F38" s="541"/>
      <c r="G38" s="17">
        <f t="shared" si="5"/>
        <v>0</v>
      </c>
      <c r="H38" s="541"/>
      <c r="I38" s="35"/>
      <c r="J38" s="37"/>
      <c r="K38" s="35"/>
      <c r="L38" s="35"/>
      <c r="M38" s="37"/>
      <c r="N38" s="35"/>
      <c r="O38" s="35"/>
      <c r="P38" s="35"/>
      <c r="Q38" s="36">
        <f>SUM(G36:G41)-E55-E56-E58-L41-L36</f>
        <v>258.6627915960334</v>
      </c>
      <c r="R38" s="508"/>
      <c r="S38" s="541"/>
      <c r="T38" s="84">
        <v>0</v>
      </c>
      <c r="U38" s="83">
        <v>0</v>
      </c>
      <c r="V38" s="84">
        <v>0</v>
      </c>
      <c r="W38" s="91">
        <v>0</v>
      </c>
      <c r="X38" s="91">
        <v>0</v>
      </c>
      <c r="Y38" s="489">
        <f t="shared" si="6"/>
        <v>0</v>
      </c>
      <c r="Z38" s="489">
        <f t="shared" si="7"/>
        <v>0</v>
      </c>
    </row>
    <row r="39" spans="1:26">
      <c r="A39" s="679"/>
      <c r="B39" s="1" t="s">
        <v>35</v>
      </c>
      <c r="C39" s="33">
        <f>SUM(T39:X39)</f>
        <v>6.2933757940809487</v>
      </c>
      <c r="D39" s="541"/>
      <c r="E39" s="35"/>
      <c r="F39" s="541"/>
      <c r="G39" s="17">
        <f t="shared" si="5"/>
        <v>6.2933757940809487</v>
      </c>
      <c r="H39" s="541"/>
      <c r="I39" s="35"/>
      <c r="J39" s="37"/>
      <c r="K39" s="35"/>
      <c r="L39" s="35"/>
      <c r="M39" s="37"/>
      <c r="N39" s="35"/>
      <c r="O39" s="35"/>
      <c r="P39" s="35"/>
      <c r="Q39" s="543"/>
      <c r="R39" s="508"/>
      <c r="S39" s="541"/>
      <c r="T39" s="84">
        <f>Bilan_E_KP_AMS_2050!Q38</f>
        <v>2.1874070050904897</v>
      </c>
      <c r="U39" s="83">
        <f>Bilan_E_KP_AMS_2050!Q34</f>
        <v>8.5890570413253253E-4</v>
      </c>
      <c r="V39" s="84">
        <f>Bilan_E_KP_AMS_2050!Q36</f>
        <v>3.1166998128913419</v>
      </c>
      <c r="W39" s="91">
        <f>Bilan_E_KP_AMS_2050!Q37</f>
        <v>0.98841007039498519</v>
      </c>
      <c r="X39" s="91">
        <f>Bilan_E_KP_AMS_2050!Q35</f>
        <v>0</v>
      </c>
      <c r="Y39" s="489">
        <f t="shared" si="6"/>
        <v>6.2933757940809487</v>
      </c>
      <c r="Z39" s="489">
        <f t="shared" si="7"/>
        <v>0</v>
      </c>
    </row>
    <row r="40" spans="1:26">
      <c r="A40" s="679"/>
      <c r="B40" s="1" t="s">
        <v>36</v>
      </c>
      <c r="C40" s="33">
        <f>Bilan_E_KP_AMS_2050!P12</f>
        <v>167.23788927594987</v>
      </c>
      <c r="D40" s="541"/>
      <c r="E40" s="35"/>
      <c r="F40" s="541"/>
      <c r="G40" s="17">
        <f t="shared" si="5"/>
        <v>167.23788927594987</v>
      </c>
      <c r="H40" s="541"/>
      <c r="I40" s="35"/>
      <c r="J40" s="37"/>
      <c r="K40" s="35"/>
      <c r="L40" s="35"/>
      <c r="M40" s="37"/>
      <c r="N40" s="35"/>
      <c r="O40" s="35"/>
      <c r="P40" s="35"/>
      <c r="Q40" s="543"/>
      <c r="R40" s="508"/>
      <c r="S40" s="541"/>
      <c r="T40" s="83">
        <f>Bilan_E_KP_AMS_2050!P$38</f>
        <v>1.5</v>
      </c>
      <c r="U40" s="83">
        <f>Bilan_E_KP_AMS_2050!P$34</f>
        <v>11.306912109375</v>
      </c>
      <c r="V40" s="83">
        <f>Bilan_E_KP_AMS_2050!P$36</f>
        <v>124.95584249070536</v>
      </c>
      <c r="W40" s="83">
        <f>Bilan_E_KP_AMS_2050!P$37</f>
        <v>29.475134675869491</v>
      </c>
      <c r="X40" s="84">
        <f>Bilan_E_KP_AMS_2050!P$35</f>
        <v>0</v>
      </c>
      <c r="Y40" s="489">
        <f t="shared" si="6"/>
        <v>167.23788927594987</v>
      </c>
      <c r="Z40" s="489">
        <f t="shared" si="7"/>
        <v>0</v>
      </c>
    </row>
    <row r="41" spans="1:26">
      <c r="A41" s="679"/>
      <c r="B41" s="1" t="s">
        <v>37</v>
      </c>
      <c r="C41" s="33">
        <f>Bilan_E_KP_AMS_2050!N12+Bilan_E_KP_AMS_2050!L26-Bilan_E_KP_AMS_2050!N21+Bilan_E_KP_AMS_2050!T27</f>
        <v>135.2499271077379</v>
      </c>
      <c r="D41" s="191">
        <f>SUM(C36:C47)</f>
        <v>472.32583605525127</v>
      </c>
      <c r="E41" s="511">
        <f>Bilan_E_KP_AMS_2050!U27</f>
        <v>22.27950392760556</v>
      </c>
      <c r="F41" s="191">
        <f>SUM(E36:E47)</f>
        <v>41.117979189661469</v>
      </c>
      <c r="G41" s="17">
        <f t="shared" si="5"/>
        <v>112.97042318013234</v>
      </c>
      <c r="H41" s="191">
        <f>SUM(G36:G47)</f>
        <v>431.2078568655898</v>
      </c>
      <c r="I41" s="35"/>
      <c r="J41" s="37"/>
      <c r="K41" s="35"/>
      <c r="L41" s="37">
        <f>-(SUM(Bilan_E_KP_AMS_2050!N13:N16)+SUM(Bilan_E_KP_AMS_2050!G13:G16))</f>
        <v>49.908571368665989</v>
      </c>
      <c r="M41" s="35"/>
      <c r="N41" s="35"/>
      <c r="O41" s="35"/>
      <c r="P41" s="35"/>
      <c r="Q41" s="543"/>
      <c r="R41" s="508">
        <f>SUM(Q36:Q47)-S41</f>
        <v>0</v>
      </c>
      <c r="S41" s="191">
        <f>SUM(T36:X46)</f>
        <v>262.97568940141446</v>
      </c>
      <c r="T41" s="83">
        <f>Bilan_E_KP_AMS_2050!N$38+Bilan_E_KP_AMS_2050!G$38</f>
        <v>17.116756732826516</v>
      </c>
      <c r="U41" s="83">
        <f>Bilan_E_KP_AMS_2050!N$34+Bilan_E_KP_AMS_2050!G$34</f>
        <v>1.4169866943359375</v>
      </c>
      <c r="V41" s="83">
        <f>Bilan_E_KP_AMS_2050!N$36+Bilan_E_KP_AMS_2050!G$36</f>
        <v>0</v>
      </c>
      <c r="W41" s="83">
        <f>Bilan_E_KP_AMS_2050!N$37+Bilan_E_KP_AMS_2050!G$37</f>
        <v>0</v>
      </c>
      <c r="X41" s="84">
        <f>Bilan_E_KP_AMS_2050!N$35+Bilan_E_KP_AMS_2050!G$35</f>
        <v>14.232306217999398</v>
      </c>
      <c r="Y41" s="489">
        <f t="shared" si="6"/>
        <v>32.76604964516185</v>
      </c>
      <c r="Z41" s="489">
        <f>G41-Y41-L41</f>
        <v>30.295802166304512</v>
      </c>
    </row>
    <row r="42" spans="1:26">
      <c r="A42" s="679"/>
      <c r="B42" s="1" t="s">
        <v>38</v>
      </c>
      <c r="C42" s="33">
        <f>Bilan_E_KP_AMS_2050!E18+Bilan_E_KP_AMS_2050!F18-Bilan_E_KP_AMS_2050!F21-Bilan_E_KP_AMS_2050!F22-E54-SUM(T43:X43)-(Bilan_E_KP_AMS_2050!E20+Bilan_E_KP_AMS_2050!F20+Bilan_E_KP_AMS_2050!E19+Bilan_E_KP_AMS_2050!F19)</f>
        <v>20.871230625400578</v>
      </c>
      <c r="D42" s="541"/>
      <c r="E42" s="17">
        <f>Bilan_E_KP_AMS_2050!F30+Bilan_E_KP_AMS_2050!U25+Bilan_E_KP_AMS_2050!F29+Bilan_E_KP_AMS_2050!E29</f>
        <v>18.838475262055908</v>
      </c>
      <c r="F42" s="541"/>
      <c r="G42" s="17">
        <f t="shared" si="5"/>
        <v>2.0327553633446698</v>
      </c>
      <c r="H42" s="541"/>
      <c r="I42" s="498"/>
      <c r="J42" s="37"/>
      <c r="K42" s="35"/>
      <c r="L42" s="35"/>
      <c r="M42" s="35"/>
      <c r="N42" s="35"/>
      <c r="O42" s="35"/>
      <c r="P42" s="35"/>
      <c r="Q42" s="36">
        <f>G42</f>
        <v>2.0327553633446698</v>
      </c>
      <c r="R42" s="508"/>
      <c r="S42" s="541"/>
      <c r="T42" s="83">
        <v>0</v>
      </c>
      <c r="U42" s="83">
        <v>0</v>
      </c>
      <c r="V42" s="83">
        <v>0</v>
      </c>
      <c r="W42" s="83">
        <v>0</v>
      </c>
      <c r="X42" s="84">
        <f>Bilan_E_KP_AMS_2050!F35</f>
        <v>2.0327553633446804</v>
      </c>
      <c r="Y42" s="489">
        <f t="shared" si="6"/>
        <v>2.0327553633446804</v>
      </c>
      <c r="Z42" s="489">
        <f>Q42-SUM(T42:X42)</f>
        <v>-1.0658141036401503E-14</v>
      </c>
    </row>
    <row r="43" spans="1:26">
      <c r="A43" s="679"/>
      <c r="B43" s="1" t="s">
        <v>39</v>
      </c>
      <c r="C43" s="33">
        <f>Bilan_E_KP_AMS_2050!F41+SUM(T43:X43)</f>
        <v>40.84451414751306</v>
      </c>
      <c r="D43" s="541"/>
      <c r="E43" s="38"/>
      <c r="F43" s="541"/>
      <c r="G43" s="17">
        <f>C43-E43</f>
        <v>40.84451414751306</v>
      </c>
      <c r="H43" s="541"/>
      <c r="I43" s="35"/>
      <c r="J43" s="37"/>
      <c r="K43" s="35"/>
      <c r="L43" s="35"/>
      <c r="M43" s="35"/>
      <c r="N43" s="35"/>
      <c r="O43" s="35"/>
      <c r="P43" s="35"/>
      <c r="Q43" s="36">
        <f>G43-Bilan_E_KP_AMS_2050!F41</f>
        <v>0.9957070575013276</v>
      </c>
      <c r="R43" s="508"/>
      <c r="S43" s="541"/>
      <c r="T43" s="83">
        <f>Bilan_E_KP_AMS_2050!F38</f>
        <v>0</v>
      </c>
      <c r="U43" s="83">
        <f>Bilan_E_KP_AMS_2050!F34</f>
        <v>0.671413025716175</v>
      </c>
      <c r="V43" s="83">
        <f>Bilan_E_KP_AMS_2050!F36</f>
        <v>0.19325490667833059</v>
      </c>
      <c r="W43" s="83">
        <f>Bilan_E_KP_AMS_2050!F37</f>
        <v>0.13103912510682203</v>
      </c>
      <c r="X43" s="84">
        <v>0</v>
      </c>
      <c r="Y43" s="489">
        <f t="shared" si="6"/>
        <v>0.9957070575013276</v>
      </c>
      <c r="Z43" s="489">
        <f>Q43-SUM(T43:X43)</f>
        <v>0</v>
      </c>
    </row>
    <row r="44" spans="1:26">
      <c r="A44" s="679"/>
      <c r="B44" s="1" t="s">
        <v>40</v>
      </c>
      <c r="C44" s="33">
        <f>SUM(T44:X44)</f>
        <v>0</v>
      </c>
      <c r="D44" s="541"/>
      <c r="E44" s="38"/>
      <c r="F44" s="541"/>
      <c r="G44" s="17">
        <f t="shared" si="1"/>
        <v>0</v>
      </c>
      <c r="H44" s="541"/>
      <c r="I44" s="35"/>
      <c r="J44" s="37"/>
      <c r="K44" s="35"/>
      <c r="L44" s="35"/>
      <c r="M44" s="35"/>
      <c r="N44" s="35"/>
      <c r="O44" s="35"/>
      <c r="P44" s="35"/>
      <c r="Q44" s="36">
        <f>G44-Bilan_E_KP_AMS_2050!M41</f>
        <v>0</v>
      </c>
      <c r="R44" s="498"/>
      <c r="S44" s="541"/>
      <c r="T44" s="83">
        <f>Bilan_E_KP_AMS_2050!M$38</f>
        <v>0</v>
      </c>
      <c r="U44" s="83">
        <v>0</v>
      </c>
      <c r="V44" s="83">
        <f>Bilan_E_KP_AMS_2050!M$36</f>
        <v>0</v>
      </c>
      <c r="W44" s="83">
        <v>0</v>
      </c>
      <c r="X44" s="84">
        <f>Bilan_E_KP_AMS_2050!M$35</f>
        <v>0</v>
      </c>
      <c r="Y44" s="489">
        <f t="shared" si="6"/>
        <v>0</v>
      </c>
      <c r="Z44" s="489">
        <f t="shared" si="7"/>
        <v>0</v>
      </c>
    </row>
    <row r="45" spans="1:26">
      <c r="A45" s="679"/>
      <c r="B45" s="1" t="s">
        <v>41</v>
      </c>
      <c r="C45" s="33">
        <f>E53</f>
        <v>2.6585092475046008</v>
      </c>
      <c r="D45" s="541"/>
      <c r="E45" s="38"/>
      <c r="F45" s="541"/>
      <c r="G45" s="17">
        <f t="shared" si="1"/>
        <v>2.6585092475046008</v>
      </c>
      <c r="H45" s="541"/>
      <c r="I45" s="35"/>
      <c r="J45" s="37"/>
      <c r="K45" s="35"/>
      <c r="L45" s="35"/>
      <c r="M45" s="35"/>
      <c r="N45" s="35"/>
      <c r="O45" s="35"/>
      <c r="P45" s="35"/>
      <c r="Q45" s="36">
        <f>G45-Bilan_E_KP_AMS_2050!H41</f>
        <v>0</v>
      </c>
      <c r="R45" s="498"/>
      <c r="S45" s="541"/>
      <c r="T45" s="84">
        <v>0</v>
      </c>
      <c r="U45" s="83">
        <v>0</v>
      </c>
      <c r="V45" s="84">
        <v>0</v>
      </c>
      <c r="W45" s="92">
        <v>0</v>
      </c>
      <c r="X45" s="84">
        <v>0</v>
      </c>
      <c r="Y45" s="489">
        <f t="shared" si="6"/>
        <v>0</v>
      </c>
      <c r="Z45" s="489">
        <f>Q45-Y45</f>
        <v>0</v>
      </c>
    </row>
    <row r="46" spans="1:26">
      <c r="A46" s="679"/>
      <c r="B46" s="1" t="s">
        <v>42</v>
      </c>
      <c r="C46" s="33">
        <f>Bilan_E_KP_AMS_2050!D18-C18-C34</f>
        <v>5.9311888025037742</v>
      </c>
      <c r="D46" s="541"/>
      <c r="E46" s="511"/>
      <c r="F46" s="541"/>
      <c r="G46" s="17">
        <f>C46-E46</f>
        <v>5.9311888025037742</v>
      </c>
      <c r="H46" s="541"/>
      <c r="I46" s="38"/>
      <c r="J46" s="37"/>
      <c r="K46" s="35"/>
      <c r="L46" s="35"/>
      <c r="M46" s="35"/>
      <c r="N46" s="35"/>
      <c r="O46" s="35"/>
      <c r="P46" s="35"/>
      <c r="Q46" s="36">
        <f>G46-(Bilan_E_KP_AMS_2050!D41+Bilan_E_KP_AMS_2050!D29+Bilan_E_KP_AMS_2050!D30)</f>
        <v>1.2844353845350245</v>
      </c>
      <c r="R46" s="498"/>
      <c r="S46" s="541"/>
      <c r="T46" s="506">
        <f>Bilan_E_KP_AMS_2050!D38</f>
        <v>0</v>
      </c>
      <c r="U46" s="93">
        <f>Bilan_E_KP_AMS_2050!D34</f>
        <v>1.2844353845350245</v>
      </c>
      <c r="V46" s="506">
        <f>Bilan_E_KP_AMS_2050!D36</f>
        <v>0</v>
      </c>
      <c r="W46" s="507">
        <f>Bilan_E_KP_AMS_2050!D37</f>
        <v>0</v>
      </c>
      <c r="X46" s="506">
        <f>Bilan_E_KP_AMS_2050!D35</f>
        <v>0</v>
      </c>
      <c r="Y46" s="489">
        <f t="shared" si="6"/>
        <v>1.2844353845350245</v>
      </c>
      <c r="Z46" s="489">
        <f>Q46-Y46</f>
        <v>0</v>
      </c>
    </row>
    <row r="47" spans="1:26">
      <c r="A47" s="90"/>
      <c r="B47" s="1" t="s">
        <v>31</v>
      </c>
      <c r="C47" s="33">
        <f>E57</f>
        <v>35.496713960556022</v>
      </c>
      <c r="D47" s="192"/>
      <c r="E47" s="511"/>
      <c r="F47" s="192"/>
      <c r="G47" s="17">
        <f>C47-E47</f>
        <v>35.496713960556022</v>
      </c>
      <c r="H47" s="192"/>
      <c r="I47" s="38"/>
      <c r="J47" s="37"/>
      <c r="K47" s="35"/>
      <c r="L47" s="35"/>
      <c r="M47" s="35"/>
      <c r="N47" s="35"/>
      <c r="O47" s="35"/>
      <c r="P47" s="35"/>
      <c r="Q47" s="544">
        <f>G47-Bilan_E_KP_AMS_2050!T41</f>
        <v>0</v>
      </c>
      <c r="R47" s="498"/>
      <c r="S47" s="192"/>
      <c r="T47" s="545">
        <v>0</v>
      </c>
      <c r="U47" s="545">
        <v>0</v>
      </c>
      <c r="V47" s="545">
        <v>0</v>
      </c>
      <c r="W47" s="545">
        <v>0</v>
      </c>
      <c r="X47" s="545">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C5-L13-SUM(L21:L24)-L30-L41-Bilan_E_KP_AMS_2050!U18</f>
        <v>0</v>
      </c>
      <c r="D49" s="1"/>
      <c r="E49" s="34">
        <f>SUM(E7:E47)+I13-Bilan_E_KP_AMS_2050!U32+K13+SUM(K21:K24)+K30+Bilan_E_KP_AMS_2050!D29+Bilan_E_KP_AMS_2050!D30</f>
        <v>-1.5010215292932116E-13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6">
        <f>Q22+Q30+SUM(G36:G40)+(G44)</f>
        <v>386.60038971235554</v>
      </c>
    </row>
    <row r="52" spans="1:19">
      <c r="A52" s="21"/>
      <c r="B52" s="1" t="s">
        <v>44</v>
      </c>
      <c r="C52" s="44"/>
      <c r="D52" s="1"/>
      <c r="E52" s="39">
        <f>Bilan_E_KP_AMS_2050!D41+Bilan_E_KP_AMS_2050!D29+Bilan_E_KP_AMS_2050!D30</f>
        <v>4.6467534179687497</v>
      </c>
      <c r="F52" s="187"/>
      <c r="G52" s="1"/>
      <c r="H52" s="1"/>
      <c r="I52" s="30"/>
      <c r="J52" s="17"/>
      <c r="K52" s="17"/>
      <c r="L52" s="21"/>
      <c r="M52" s="1"/>
      <c r="N52" s="17"/>
      <c r="O52" s="17"/>
      <c r="P52" s="17"/>
      <c r="Q52" s="1"/>
      <c r="S52" s="33"/>
    </row>
    <row r="53" spans="1:19">
      <c r="A53" s="21"/>
      <c r="B53" s="1" t="s">
        <v>41</v>
      </c>
      <c r="C53" s="45"/>
      <c r="D53" s="17"/>
      <c r="E53" s="433">
        <f>Bilan_E_KP_AMS_2050!H41+Bilan_E_KP_AMS_2050!H29</f>
        <v>2.6585092475046008</v>
      </c>
      <c r="F53" s="187"/>
      <c r="G53" s="1"/>
      <c r="H53" s="1"/>
      <c r="I53" s="30"/>
      <c r="J53" s="17"/>
      <c r="K53" s="17"/>
      <c r="L53" s="21"/>
      <c r="M53" s="1"/>
      <c r="N53" s="17"/>
      <c r="O53" s="17"/>
      <c r="P53" s="17"/>
      <c r="Q53" s="1"/>
    </row>
    <row r="54" spans="1:19">
      <c r="A54" s="21"/>
      <c r="B54" s="1" t="s">
        <v>39</v>
      </c>
      <c r="C54" s="45"/>
      <c r="D54" s="17"/>
      <c r="E54" s="435">
        <f>Bilan_E_KP_AMS_2050!F41</f>
        <v>39.848807090011732</v>
      </c>
      <c r="F54" s="187"/>
      <c r="G54" s="1"/>
      <c r="H54" s="1"/>
      <c r="I54" s="30"/>
      <c r="J54" s="17"/>
      <c r="K54" s="17"/>
      <c r="L54" s="21"/>
      <c r="M54" s="21"/>
      <c r="N54" s="17"/>
      <c r="O54" s="17"/>
      <c r="P54" s="17"/>
      <c r="Q54" s="1"/>
    </row>
    <row r="55" spans="1:19">
      <c r="B55" s="1" t="s">
        <v>21</v>
      </c>
      <c r="E55" s="633">
        <f>Bilan_E_KP_AMS_2050!O41+Bilan_E_KP_AMS_2050!O29</f>
        <v>4.780741280438523</v>
      </c>
    </row>
    <row r="56" spans="1:19">
      <c r="B56" s="1" t="s">
        <v>37</v>
      </c>
      <c r="E56" s="633">
        <f>Bilan_E_KP_AMS_2050!N41+Bilan_E_KP_AMS_2050!N29+Bilan_E_KP_AMS_2050!G41</f>
        <v>30.295802166304487</v>
      </c>
    </row>
    <row r="57" spans="1:19">
      <c r="B57" s="1" t="s">
        <v>31</v>
      </c>
      <c r="E57" s="633">
        <f>Bilan_E_KP_AMS_2050!T41</f>
        <v>35.496713960556022</v>
      </c>
    </row>
    <row r="58" spans="1:19">
      <c r="B58" s="1" t="s">
        <v>338</v>
      </c>
      <c r="E58" s="633">
        <f>Bilan_E_KP_AMS_2050!L41</f>
        <v>0.5962689327253029</v>
      </c>
    </row>
    <row r="59" spans="1:19">
      <c r="E59" s="634"/>
    </row>
  </sheetData>
  <mergeCells count="12">
    <mergeCell ref="A36:A46"/>
    <mergeCell ref="S2:X3"/>
    <mergeCell ref="G3:H3"/>
    <mergeCell ref="A7:A19"/>
    <mergeCell ref="A21:A24"/>
    <mergeCell ref="A26:A32"/>
    <mergeCell ref="C1:H1"/>
    <mergeCell ref="J1:Q1"/>
    <mergeCell ref="C2:D2"/>
    <mergeCell ref="E2:H2"/>
    <mergeCell ref="J2:J4"/>
    <mergeCell ref="K2:Q3"/>
  </mergeCell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9140-CC24-47C1-9005-743B6F325B07}">
  <sheetPr>
    <tabColor theme="3"/>
  </sheetPr>
  <dimension ref="A1:AB490"/>
  <sheetViews>
    <sheetView topLeftCell="F4" zoomScale="70" zoomScaleNormal="70" workbookViewId="0">
      <selection activeCell="N473" sqref="N473"/>
    </sheetView>
  </sheetViews>
  <sheetFormatPr baseColWidth="10" defaultColWidth="14.26953125" defaultRowHeight="14.5"/>
  <cols>
    <col min="1" max="5" width="0" hidden="1" customWidth="1"/>
    <col min="7" max="7" width="58.453125" bestFit="1" customWidth="1"/>
    <col min="27" max="27" width="0" hidden="1" customWidth="1"/>
  </cols>
  <sheetData>
    <row r="1" spans="1:28" ht="15.5" hidden="1">
      <c r="H1" s="600" t="e">
        <f>LEFT(ADDRESS(1,COLUMN(#REF!),4),LEN(ADDRESS(1,COLUMN(#REF!),4))-1)</f>
        <v>#REF!</v>
      </c>
      <c r="I1" s="600" t="e">
        <f>LEFT(ADDRESS(1,COLUMN(#REF!),4),LEN(ADDRESS(1,COLUMN(#REF!),4))-1)</f>
        <v>#REF!</v>
      </c>
      <c r="J1" s="600" t="e">
        <f>LEFT(ADDRESS(1,COLUMN(#REF!),4),LEN(ADDRESS(1,COLUMN(#REF!),4))-1)</f>
        <v>#REF!</v>
      </c>
      <c r="K1" s="600" t="e">
        <f>LEFT(ADDRESS(1,COLUMN(#REF!),4),LEN(ADDRESS(1,COLUMN(#REF!),4))-1)</f>
        <v>#REF!</v>
      </c>
      <c r="L1" s="600" t="e">
        <f>LEFT(ADDRESS(1,COLUMN(#REF!),4),LEN(ADDRESS(1,COLUMN(#REF!),4))-1)</f>
        <v>#REF!</v>
      </c>
      <c r="M1" s="600" t="e">
        <f>LEFT(ADDRESS(1,COLUMN(#REF!),4),LEN(ADDRESS(1,COLUMN(#REF!),4))-1)</f>
        <v>#REF!</v>
      </c>
      <c r="N1" s="600" t="e">
        <f>LEFT(ADDRESS(1,COLUMN(#REF!),4),LEN(ADDRESS(1,COLUMN(#REF!),4))-1)</f>
        <v>#REF!</v>
      </c>
      <c r="O1" s="600" t="e">
        <f>LEFT(ADDRESS(1,COLUMN(#REF!),4),LEN(ADDRESS(1,COLUMN(#REF!),4))-1)</f>
        <v>#REF!</v>
      </c>
      <c r="P1" s="600" t="e">
        <f>LEFT(ADDRESS(1,COLUMN(#REF!),4),LEN(ADDRESS(1,COLUMN(#REF!),4))-1)</f>
        <v>#REF!</v>
      </c>
      <c r="Q1" s="600" t="e">
        <f>LEFT(ADDRESS(1,COLUMN(#REF!),4),LEN(ADDRESS(1,COLUMN(#REF!),4))-1)</f>
        <v>#REF!</v>
      </c>
      <c r="R1" s="600" t="e">
        <f>LEFT(ADDRESS(1,COLUMN(#REF!),4),LEN(ADDRESS(1,COLUMN(#REF!),4))-1)</f>
        <v>#REF!</v>
      </c>
      <c r="S1" s="600" t="e">
        <f>LEFT(ADDRESS(1,COLUMN(#REF!),4),LEN(ADDRESS(1,COLUMN(#REF!),4))-1)</f>
        <v>#REF!</v>
      </c>
      <c r="T1" s="600" t="e">
        <f>LEFT(ADDRESS(1,COLUMN(#REF!),4),LEN(ADDRESS(1,COLUMN(#REF!),4))-1)</f>
        <v>#REF!</v>
      </c>
      <c r="U1" s="600" t="e">
        <f>LEFT(ADDRESS(1,COLUMN(#REF!),4),LEN(ADDRESS(1,COLUMN(#REF!),4))-1)</f>
        <v>#REF!</v>
      </c>
      <c r="V1" s="600" t="e">
        <f>LEFT(ADDRESS(1,COLUMN(#REF!),4),LEN(ADDRESS(1,COLUMN(#REF!),4))-1)</f>
        <v>#REF!</v>
      </c>
      <c r="W1" s="600" t="e">
        <f>LEFT(ADDRESS(1,COLUMN(#REF!),4),LEN(ADDRESS(1,COLUMN(#REF!),4))-1)</f>
        <v>#REF!</v>
      </c>
      <c r="X1" s="600" t="e">
        <f>LEFT(ADDRESS(1,COLUMN(#REF!),4),LEN(ADDRESS(1,COLUMN(#REF!),4))-1)</f>
        <v>#REF!</v>
      </c>
      <c r="Y1" s="600" t="e">
        <f>LEFT(ADDRESS(1,COLUMN(#REF!),4),LEN(ADDRESS(1,COLUMN(#REF!),4))-1)</f>
        <v>#REF!</v>
      </c>
      <c r="AA1" t="e">
        <f>Y1</f>
        <v>#REF!</v>
      </c>
    </row>
    <row r="2" spans="1:28" hidden="1">
      <c r="H2" t="e">
        <f>#REF!</f>
        <v>#REF!</v>
      </c>
      <c r="I2" s="51" t="e">
        <f>#REF!</f>
        <v>#REF!</v>
      </c>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c r="V2" s="51" t="e">
        <f>#REF!</f>
        <v>#REF!</v>
      </c>
      <c r="W2" s="51" t="e">
        <f>#REF!</f>
        <v>#REF!</v>
      </c>
      <c r="X2" s="51" t="e">
        <f>#REF!</f>
        <v>#REF!</v>
      </c>
      <c r="Y2" s="51" t="e">
        <f>#REF!</f>
        <v>#REF!</v>
      </c>
    </row>
    <row r="3" spans="1:28" hidden="1"/>
    <row r="4" spans="1:28" s="603" customFormat="1" ht="18.5">
      <c r="A4" s="601"/>
      <c r="B4" s="601"/>
      <c r="C4" s="601"/>
      <c r="D4" s="601"/>
      <c r="E4" s="601"/>
      <c r="F4" s="601"/>
      <c r="G4" s="602" t="s">
        <v>409</v>
      </c>
      <c r="H4" s="601"/>
      <c r="I4" s="601"/>
      <c r="J4" s="601"/>
      <c r="K4" s="601"/>
      <c r="L4" s="601"/>
      <c r="M4" s="601"/>
      <c r="N4" s="601"/>
      <c r="O4" s="601"/>
      <c r="P4" s="601"/>
      <c r="Q4" s="601"/>
      <c r="R4" s="601"/>
      <c r="S4" s="601"/>
      <c r="T4" s="601"/>
      <c r="U4" s="601"/>
      <c r="V4" s="601"/>
      <c r="W4" s="601"/>
      <c r="X4" s="601"/>
      <c r="Y4" s="601"/>
      <c r="Z4" s="601"/>
      <c r="AA4" s="601"/>
      <c r="AB4" s="601"/>
    </row>
    <row r="5" spans="1:28">
      <c r="A5" s="51"/>
      <c r="B5" s="51"/>
      <c r="C5" s="51"/>
      <c r="D5" s="51"/>
      <c r="E5" s="51"/>
      <c r="F5" s="51"/>
      <c r="G5" s="51"/>
      <c r="H5" s="51"/>
      <c r="I5" s="51"/>
      <c r="J5" s="51"/>
      <c r="K5" s="51"/>
      <c r="L5" s="51"/>
      <c r="M5" s="51"/>
      <c r="N5" s="51"/>
      <c r="O5" s="51"/>
      <c r="P5" s="51"/>
      <c r="Q5" s="51"/>
      <c r="R5" s="51"/>
      <c r="S5" s="51"/>
      <c r="T5" s="51"/>
      <c r="U5" s="51"/>
      <c r="V5" s="51"/>
      <c r="W5" s="51"/>
      <c r="X5" s="51"/>
      <c r="Y5" s="51"/>
      <c r="Z5" s="51"/>
      <c r="AA5" s="51"/>
      <c r="AB5" s="51"/>
    </row>
    <row r="6" spans="1:28" s="607" customFormat="1" ht="15.5">
      <c r="A6" s="604"/>
      <c r="B6" s="604"/>
      <c r="C6" s="604"/>
      <c r="D6" s="604"/>
      <c r="E6" s="604"/>
      <c r="F6" s="51"/>
      <c r="G6" s="605" t="s">
        <v>341</v>
      </c>
      <c r="H6" s="604" t="s">
        <v>486</v>
      </c>
      <c r="I6" s="604"/>
      <c r="J6" s="604"/>
      <c r="K6" s="604"/>
      <c r="L6" s="604"/>
      <c r="M6" s="604"/>
      <c r="N6" s="604"/>
      <c r="O6" s="606"/>
      <c r="P6" s="606"/>
      <c r="Q6" s="606"/>
      <c r="R6" s="606"/>
      <c r="S6" s="606"/>
      <c r="T6" s="606"/>
      <c r="U6" s="606"/>
      <c r="V6" s="604"/>
      <c r="W6" s="604"/>
      <c r="X6" s="604"/>
      <c r="Y6" s="604"/>
      <c r="Z6" s="604"/>
      <c r="AA6" s="604"/>
      <c r="AB6" s="604"/>
    </row>
    <row r="7" spans="1:28" s="607" customFormat="1" ht="15.5">
      <c r="A7" s="604"/>
      <c r="B7" s="604"/>
      <c r="C7" s="604"/>
      <c r="D7" s="604"/>
      <c r="E7" s="604"/>
      <c r="F7" s="51"/>
      <c r="G7" s="605" t="s">
        <v>344</v>
      </c>
      <c r="H7" s="604" t="s">
        <v>345</v>
      </c>
      <c r="I7" s="604"/>
      <c r="J7" s="604"/>
      <c r="K7" s="604"/>
      <c r="L7" s="604"/>
      <c r="M7" s="604"/>
      <c r="N7" s="604"/>
      <c r="O7" s="604"/>
      <c r="P7" s="604"/>
      <c r="Q7" s="604"/>
      <c r="R7" s="604"/>
      <c r="S7" s="604"/>
      <c r="T7" s="604"/>
      <c r="U7" s="604"/>
      <c r="V7" s="604"/>
      <c r="W7" s="604"/>
      <c r="X7" s="604"/>
      <c r="Y7" s="604"/>
      <c r="Z7" s="604"/>
      <c r="AA7" s="604"/>
      <c r="AB7" s="604"/>
    </row>
    <row r="8" spans="1:28">
      <c r="A8" s="51"/>
      <c r="B8" s="51"/>
      <c r="C8" s="51"/>
      <c r="D8" s="51"/>
      <c r="E8" s="51"/>
      <c r="F8" s="51"/>
      <c r="G8" s="51"/>
      <c r="H8" s="51"/>
      <c r="I8" s="51"/>
      <c r="J8" s="51"/>
      <c r="K8" s="51"/>
      <c r="L8" s="51"/>
      <c r="M8" s="51"/>
      <c r="N8" s="51"/>
      <c r="O8" s="51"/>
      <c r="P8" s="51"/>
      <c r="Q8" s="51"/>
      <c r="R8" s="51"/>
      <c r="S8" s="51"/>
      <c r="T8" s="51"/>
      <c r="U8" s="51"/>
      <c r="V8" s="51"/>
      <c r="W8" s="51"/>
      <c r="X8" s="51"/>
      <c r="Y8" s="51"/>
      <c r="Z8" s="51"/>
      <c r="AA8" s="51"/>
      <c r="AB8" s="51"/>
    </row>
    <row r="9" spans="1:28">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row>
    <row r="10" spans="1:28">
      <c r="A10" s="608"/>
      <c r="B10" s="608"/>
      <c r="C10" s="608"/>
      <c r="D10" s="608"/>
      <c r="E10" s="608"/>
      <c r="F10" s="608"/>
      <c r="G10" s="609" t="s">
        <v>410</v>
      </c>
      <c r="H10" s="608"/>
      <c r="I10" s="608"/>
      <c r="J10" s="608"/>
      <c r="K10" s="608"/>
      <c r="L10" s="608"/>
      <c r="M10" s="608"/>
      <c r="N10" s="608"/>
      <c r="O10" s="608"/>
      <c r="P10" s="608"/>
      <c r="Q10" s="608"/>
      <c r="R10" s="608"/>
      <c r="S10" s="608"/>
      <c r="T10" s="608"/>
      <c r="U10" s="608"/>
      <c r="V10" s="608"/>
      <c r="W10" s="608"/>
      <c r="X10" s="608"/>
      <c r="Y10" s="608"/>
      <c r="Z10" s="608"/>
      <c r="AA10" s="608"/>
      <c r="AB10" s="608"/>
    </row>
    <row r="11" spans="1:28">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row>
    <row r="12" spans="1:28" ht="14.25" customHeight="1">
      <c r="A12" s="51"/>
      <c r="B12" s="51"/>
      <c r="C12" s="51"/>
      <c r="D12" s="51"/>
      <c r="E12" s="51"/>
      <c r="F12" s="51"/>
      <c r="G12" s="713" t="s">
        <v>128</v>
      </c>
      <c r="H12" s="711" t="s">
        <v>42</v>
      </c>
      <c r="I12" s="711" t="s">
        <v>52</v>
      </c>
      <c r="J12" s="711" t="s">
        <v>53</v>
      </c>
      <c r="K12" s="711" t="s">
        <v>487</v>
      </c>
      <c r="L12" s="711" t="s">
        <v>32</v>
      </c>
      <c r="M12" s="711" t="s">
        <v>488</v>
      </c>
      <c r="N12" s="711" t="s">
        <v>20</v>
      </c>
      <c r="O12" s="711" t="s">
        <v>55</v>
      </c>
      <c r="P12" s="715" t="s">
        <v>56</v>
      </c>
      <c r="Q12" s="716"/>
      <c r="R12" s="716"/>
      <c r="S12" s="716"/>
      <c r="T12" s="716"/>
      <c r="U12" s="717"/>
      <c r="V12" s="711" t="s">
        <v>57</v>
      </c>
      <c r="W12" s="711" t="s">
        <v>58</v>
      </c>
      <c r="X12" s="711" t="s">
        <v>31</v>
      </c>
      <c r="Y12" s="711" t="s">
        <v>10</v>
      </c>
      <c r="Z12" s="51"/>
      <c r="AA12" s="51"/>
      <c r="AB12" s="51"/>
    </row>
    <row r="13" spans="1:28" ht="24">
      <c r="A13" s="51"/>
      <c r="B13" s="51" t="s">
        <v>489</v>
      </c>
      <c r="C13" s="51" t="s">
        <v>490</v>
      </c>
      <c r="D13" s="51" t="s">
        <v>491</v>
      </c>
      <c r="E13" s="51"/>
      <c r="F13" s="51"/>
      <c r="G13" s="714"/>
      <c r="H13" s="712"/>
      <c r="I13" s="712"/>
      <c r="J13" s="712"/>
      <c r="K13" s="712"/>
      <c r="L13" s="712"/>
      <c r="M13" s="712"/>
      <c r="N13" s="712"/>
      <c r="O13" s="712"/>
      <c r="P13" s="610" t="s">
        <v>338</v>
      </c>
      <c r="Q13" s="610" t="s">
        <v>40</v>
      </c>
      <c r="R13" s="610" t="s">
        <v>346</v>
      </c>
      <c r="S13" s="610" t="s">
        <v>347</v>
      </c>
      <c r="T13" s="611" t="s">
        <v>348</v>
      </c>
      <c r="U13" s="610" t="s">
        <v>349</v>
      </c>
      <c r="V13" s="712"/>
      <c r="W13" s="712"/>
      <c r="X13" s="712"/>
      <c r="Y13" s="712"/>
      <c r="Z13" s="51"/>
      <c r="AA13" s="51"/>
      <c r="AB13" s="51"/>
    </row>
    <row r="14" spans="1:28">
      <c r="A14" s="51"/>
      <c r="B14" s="51">
        <v>2019</v>
      </c>
      <c r="C14" s="51" t="s">
        <v>47</v>
      </c>
      <c r="D14" s="51" t="s">
        <v>492</v>
      </c>
      <c r="E14" s="51"/>
      <c r="F14" s="51"/>
      <c r="G14" s="612" t="s">
        <v>59</v>
      </c>
      <c r="H14" s="613">
        <v>0</v>
      </c>
      <c r="I14" s="613">
        <v>11.595553697293001</v>
      </c>
      <c r="J14" s="614">
        <v>0</v>
      </c>
      <c r="K14" s="613">
        <v>0</v>
      </c>
      <c r="L14" s="613">
        <v>0.16688824999999999</v>
      </c>
      <c r="M14" s="613">
        <v>0</v>
      </c>
      <c r="N14" s="614">
        <v>1209.1260212121213</v>
      </c>
      <c r="O14" s="614">
        <v>104.3311966741735</v>
      </c>
      <c r="P14" s="614">
        <v>120.67293388888889</v>
      </c>
      <c r="Q14" s="614">
        <v>34.900820833333334</v>
      </c>
      <c r="R14" s="614">
        <v>0</v>
      </c>
      <c r="S14" s="614">
        <v>9.0983058888888646</v>
      </c>
      <c r="T14" s="614">
        <v>31.698274999999999</v>
      </c>
      <c r="U14" s="614">
        <v>7.5310224999999988</v>
      </c>
      <c r="V14" s="614">
        <v>0</v>
      </c>
      <c r="W14" s="614">
        <v>0</v>
      </c>
      <c r="X14" s="614">
        <v>0</v>
      </c>
      <c r="Y14" s="615">
        <v>1529.1210179446989</v>
      </c>
      <c r="Z14" s="51"/>
      <c r="AA14" s="51"/>
      <c r="AB14" s="51"/>
    </row>
    <row r="15" spans="1:28">
      <c r="A15" s="51"/>
      <c r="B15" s="51">
        <f t="shared" ref="B15:C20" si="0">B14</f>
        <v>2019</v>
      </c>
      <c r="C15" s="51" t="str">
        <f t="shared" si="0"/>
        <v>AMS</v>
      </c>
      <c r="D15" s="51" t="s">
        <v>493</v>
      </c>
      <c r="E15" s="51"/>
      <c r="F15" s="51"/>
      <c r="G15" s="612" t="s">
        <v>60</v>
      </c>
      <c r="H15" s="614">
        <v>84.727843146635564</v>
      </c>
      <c r="I15" s="614">
        <v>578.28949050727442</v>
      </c>
      <c r="J15" s="614">
        <v>535.06419481988212</v>
      </c>
      <c r="K15" s="613">
        <v>0</v>
      </c>
      <c r="L15" s="614">
        <v>568.75187100000016</v>
      </c>
      <c r="M15" s="613">
        <v>0</v>
      </c>
      <c r="N15" s="614">
        <v>0</v>
      </c>
      <c r="O15" s="614">
        <v>0</v>
      </c>
      <c r="P15" s="614">
        <v>2.7591261111111107</v>
      </c>
      <c r="Q15" s="614">
        <v>0</v>
      </c>
      <c r="R15" s="614">
        <v>19.183841687689483</v>
      </c>
      <c r="S15" s="614">
        <v>0</v>
      </c>
      <c r="T15" s="614">
        <v>0</v>
      </c>
      <c r="U15" s="614">
        <v>0</v>
      </c>
      <c r="V15" s="614">
        <v>15.63175</v>
      </c>
      <c r="W15" s="614">
        <v>0</v>
      </c>
      <c r="X15" s="614">
        <v>0</v>
      </c>
      <c r="Y15" s="615">
        <v>1804.4081172725928</v>
      </c>
      <c r="Z15" s="51"/>
      <c r="AA15" s="51"/>
      <c r="AB15" s="51"/>
    </row>
    <row r="16" spans="1:28">
      <c r="A16" s="51"/>
      <c r="B16" s="51">
        <f t="shared" si="0"/>
        <v>2019</v>
      </c>
      <c r="C16" s="51" t="str">
        <f t="shared" si="0"/>
        <v>AMS</v>
      </c>
      <c r="D16" s="51" t="s">
        <v>494</v>
      </c>
      <c r="E16" s="51"/>
      <c r="F16" s="51"/>
      <c r="G16" s="612" t="s">
        <v>61</v>
      </c>
      <c r="H16" s="614">
        <v>-4.7877500119999999E-2</v>
      </c>
      <c r="I16" s="614">
        <v>-1.599063909936</v>
      </c>
      <c r="J16" s="614">
        <v>-205.43265045753787</v>
      </c>
      <c r="K16" s="613">
        <v>0</v>
      </c>
      <c r="L16" s="614">
        <v>-112.63352224999998</v>
      </c>
      <c r="M16" s="613">
        <v>0</v>
      </c>
      <c r="N16" s="614">
        <v>0</v>
      </c>
      <c r="O16" s="614">
        <v>0</v>
      </c>
      <c r="P16" s="614">
        <v>-2.3667455555555552</v>
      </c>
      <c r="Q16" s="614">
        <v>0</v>
      </c>
      <c r="R16" s="614">
        <v>-8.0445142984108866</v>
      </c>
      <c r="S16" s="614">
        <v>0</v>
      </c>
      <c r="T16" s="614">
        <v>0</v>
      </c>
      <c r="U16" s="614">
        <v>0</v>
      </c>
      <c r="V16" s="614">
        <v>-73.298799000000002</v>
      </c>
      <c r="W16" s="614">
        <v>0</v>
      </c>
      <c r="X16" s="614">
        <v>0</v>
      </c>
      <c r="Y16" s="615">
        <v>-403.42317297156029</v>
      </c>
      <c r="Z16" s="51"/>
      <c r="AA16" s="51"/>
      <c r="AB16" s="51"/>
    </row>
    <row r="17" spans="1:28">
      <c r="A17" s="51"/>
      <c r="B17" s="51">
        <f t="shared" si="0"/>
        <v>2019</v>
      </c>
      <c r="C17" s="51" t="str">
        <f t="shared" si="0"/>
        <v>AMS</v>
      </c>
      <c r="D17" s="51" t="s">
        <v>495</v>
      </c>
      <c r="E17" s="51"/>
      <c r="F17" s="51"/>
      <c r="G17" s="612" t="s">
        <v>62</v>
      </c>
      <c r="H17" s="613">
        <v>0</v>
      </c>
      <c r="I17" s="613">
        <v>0</v>
      </c>
      <c r="J17" s="613">
        <v>-19.747038815182684</v>
      </c>
      <c r="K17" s="613">
        <v>0</v>
      </c>
      <c r="L17" s="613">
        <v>0</v>
      </c>
      <c r="M17" s="613">
        <v>0</v>
      </c>
      <c r="N17" s="613">
        <v>0</v>
      </c>
      <c r="O17" s="613">
        <v>0</v>
      </c>
      <c r="P17" s="613">
        <v>0</v>
      </c>
      <c r="Q17" s="613">
        <v>0</v>
      </c>
      <c r="R17" s="613">
        <v>0</v>
      </c>
      <c r="S17" s="613">
        <v>0</v>
      </c>
      <c r="T17" s="613">
        <v>0</v>
      </c>
      <c r="U17" s="613">
        <v>0</v>
      </c>
      <c r="V17" s="614">
        <v>0</v>
      </c>
      <c r="W17" s="614">
        <v>0</v>
      </c>
      <c r="X17" s="613">
        <v>0</v>
      </c>
      <c r="Y17" s="615">
        <v>-19.747038815182684</v>
      </c>
      <c r="Z17" s="51"/>
      <c r="AA17" s="51"/>
      <c r="AB17" s="51"/>
    </row>
    <row r="18" spans="1:28">
      <c r="A18" s="51"/>
      <c r="B18" s="51">
        <f t="shared" si="0"/>
        <v>2019</v>
      </c>
      <c r="C18" s="51" t="str">
        <f t="shared" si="0"/>
        <v>AMS</v>
      </c>
      <c r="D18" s="51" t="s">
        <v>496</v>
      </c>
      <c r="E18" s="51"/>
      <c r="F18" s="51"/>
      <c r="G18" s="612" t="s">
        <v>63</v>
      </c>
      <c r="H18" s="613">
        <v>0</v>
      </c>
      <c r="I18" s="613">
        <v>0</v>
      </c>
      <c r="J18" s="613">
        <v>-82.452981163797972</v>
      </c>
      <c r="K18" s="613">
        <v>0</v>
      </c>
      <c r="L18" s="613">
        <v>0</v>
      </c>
      <c r="M18" s="613">
        <v>0</v>
      </c>
      <c r="N18" s="613">
        <v>0</v>
      </c>
      <c r="O18" s="613">
        <v>0</v>
      </c>
      <c r="P18" s="613">
        <v>0</v>
      </c>
      <c r="Q18" s="613">
        <v>0</v>
      </c>
      <c r="R18" s="613">
        <v>0</v>
      </c>
      <c r="S18" s="613">
        <v>0</v>
      </c>
      <c r="T18" s="613">
        <v>0</v>
      </c>
      <c r="U18" s="613">
        <v>0</v>
      </c>
      <c r="V18" s="614">
        <v>0</v>
      </c>
      <c r="W18" s="614">
        <v>0</v>
      </c>
      <c r="X18" s="613">
        <v>0</v>
      </c>
      <c r="Y18" s="615">
        <v>-82.452981163797972</v>
      </c>
      <c r="Z18" s="51"/>
      <c r="AA18" s="51"/>
      <c r="AB18" s="51"/>
    </row>
    <row r="19" spans="1:28">
      <c r="A19" s="51"/>
      <c r="B19" s="51">
        <f t="shared" si="0"/>
        <v>2019</v>
      </c>
      <c r="C19" s="51" t="str">
        <f t="shared" si="0"/>
        <v>AMS</v>
      </c>
      <c r="D19" s="51" t="s">
        <v>497</v>
      </c>
      <c r="E19" s="51"/>
      <c r="F19" s="51"/>
      <c r="G19" s="612" t="s">
        <v>64</v>
      </c>
      <c r="H19" s="614">
        <v>0.41223964042222283</v>
      </c>
      <c r="I19" s="614">
        <v>1.3710702337312513</v>
      </c>
      <c r="J19" s="614">
        <v>1.3272538188370329</v>
      </c>
      <c r="K19" s="613">
        <v>0</v>
      </c>
      <c r="L19" s="614">
        <v>-19.664768250000005</v>
      </c>
      <c r="M19" s="613">
        <v>0</v>
      </c>
      <c r="N19" s="614">
        <v>0</v>
      </c>
      <c r="O19" s="614">
        <v>0</v>
      </c>
      <c r="P19" s="614">
        <v>0</v>
      </c>
      <c r="Q19" s="614">
        <v>0</v>
      </c>
      <c r="R19" s="614">
        <v>0</v>
      </c>
      <c r="S19" s="614">
        <v>0</v>
      </c>
      <c r="T19" s="614">
        <v>0</v>
      </c>
      <c r="U19" s="614">
        <v>0</v>
      </c>
      <c r="V19" s="614">
        <v>0</v>
      </c>
      <c r="W19" s="614">
        <v>0</v>
      </c>
      <c r="X19" s="614">
        <v>0</v>
      </c>
      <c r="Y19" s="615">
        <v>-16.554204557009498</v>
      </c>
      <c r="Z19" s="51"/>
      <c r="AA19" s="51"/>
      <c r="AB19" s="51"/>
    </row>
    <row r="20" spans="1:28">
      <c r="A20" s="51"/>
      <c r="B20" s="51">
        <f t="shared" si="0"/>
        <v>2019</v>
      </c>
      <c r="C20" s="51" t="str">
        <f t="shared" si="0"/>
        <v>AMS</v>
      </c>
      <c r="D20" s="51" t="s">
        <v>498</v>
      </c>
      <c r="E20" s="51"/>
      <c r="F20" s="51"/>
      <c r="G20" s="616" t="s">
        <v>65</v>
      </c>
      <c r="H20" s="617">
        <v>85.092205286937784</v>
      </c>
      <c r="I20" s="617">
        <v>589.65705052836267</v>
      </c>
      <c r="J20" s="617">
        <v>228.75877820220057</v>
      </c>
      <c r="K20" s="617">
        <v>0</v>
      </c>
      <c r="L20" s="617">
        <v>436.62046875000021</v>
      </c>
      <c r="M20" s="617">
        <v>0</v>
      </c>
      <c r="N20" s="617">
        <v>1209.1260212121213</v>
      </c>
      <c r="O20" s="617">
        <v>104.3311966741735</v>
      </c>
      <c r="P20" s="617">
        <v>121.06531444444445</v>
      </c>
      <c r="Q20" s="617">
        <v>34.900820833333334</v>
      </c>
      <c r="R20" s="617">
        <v>11.139327389278597</v>
      </c>
      <c r="S20" s="617">
        <v>9.0983058888888646</v>
      </c>
      <c r="T20" s="617">
        <v>31.698274999999999</v>
      </c>
      <c r="U20" s="617">
        <v>7.5310224999999988</v>
      </c>
      <c r="V20" s="617">
        <v>-57.667049000000006</v>
      </c>
      <c r="W20" s="617">
        <v>0</v>
      </c>
      <c r="X20" s="617">
        <v>0</v>
      </c>
      <c r="Y20" s="617">
        <v>2811.351737709741</v>
      </c>
      <c r="Z20" s="51"/>
      <c r="AA20" s="51"/>
      <c r="AB20" s="51"/>
    </row>
    <row r="21" spans="1:28">
      <c r="A21" s="51"/>
      <c r="B21" s="51"/>
      <c r="C21" s="51"/>
      <c r="D21" s="51"/>
      <c r="E21" s="51"/>
      <c r="F21" s="51"/>
      <c r="G21" s="618"/>
      <c r="H21" s="619"/>
      <c r="I21" s="619"/>
      <c r="J21" s="619"/>
      <c r="K21" s="619"/>
      <c r="L21" s="619"/>
      <c r="M21" s="619"/>
      <c r="N21" s="619"/>
      <c r="O21" s="619"/>
      <c r="P21" s="619"/>
      <c r="Q21" s="619"/>
      <c r="R21" s="619"/>
      <c r="S21" s="619"/>
      <c r="T21" s="619"/>
      <c r="U21" s="619"/>
      <c r="V21" s="619"/>
      <c r="W21" s="619"/>
      <c r="X21" s="619"/>
      <c r="Y21" s="619"/>
      <c r="Z21" s="51"/>
      <c r="AA21" s="51"/>
      <c r="AB21" s="51"/>
    </row>
    <row r="22" spans="1:28">
      <c r="A22" s="51"/>
      <c r="B22" s="51">
        <f>B20</f>
        <v>2019</v>
      </c>
      <c r="C22" s="51" t="str">
        <f>C20</f>
        <v>AMS</v>
      </c>
      <c r="D22" s="51" t="s">
        <v>499</v>
      </c>
      <c r="E22" s="51"/>
      <c r="F22" s="51"/>
      <c r="G22" s="620" t="s">
        <v>67</v>
      </c>
      <c r="H22" s="613">
        <v>3.6318872869800032</v>
      </c>
      <c r="I22" s="613">
        <v>10.787016352492323</v>
      </c>
      <c r="J22" s="613">
        <v>16.441628886851458</v>
      </c>
      <c r="K22" s="613">
        <v>0</v>
      </c>
      <c r="L22" s="613">
        <v>-1.2134132500000001</v>
      </c>
      <c r="M22" s="613">
        <v>0</v>
      </c>
      <c r="N22" s="613">
        <v>0</v>
      </c>
      <c r="O22" s="613">
        <v>0</v>
      </c>
      <c r="P22" s="613">
        <v>0</v>
      </c>
      <c r="Q22" s="613">
        <v>-0.39035819434438856</v>
      </c>
      <c r="R22" s="613">
        <v>0.39056626803326822</v>
      </c>
      <c r="S22" s="613">
        <v>0</v>
      </c>
      <c r="T22" s="613">
        <v>0</v>
      </c>
      <c r="U22" s="613">
        <v>0</v>
      </c>
      <c r="V22" s="613">
        <v>4.6315588193812136</v>
      </c>
      <c r="W22" s="613">
        <v>0</v>
      </c>
      <c r="X22" s="614">
        <v>0</v>
      </c>
      <c r="Y22" s="615">
        <v>34.278886169393878</v>
      </c>
      <c r="Z22" s="51"/>
      <c r="AA22" s="51"/>
      <c r="AB22" s="51"/>
    </row>
    <row r="23" spans="1:28">
      <c r="A23" s="51"/>
      <c r="B23" s="51">
        <f t="shared" ref="B23:C34" si="1">B22</f>
        <v>2019</v>
      </c>
      <c r="C23" s="51" t="str">
        <f t="shared" si="1"/>
        <v>AMS</v>
      </c>
      <c r="D23" s="51" t="s">
        <v>500</v>
      </c>
      <c r="E23" s="51"/>
      <c r="F23" s="51"/>
      <c r="G23" s="620" t="s">
        <v>350</v>
      </c>
      <c r="H23" s="613">
        <v>17.443753714840586</v>
      </c>
      <c r="I23" s="613">
        <v>0</v>
      </c>
      <c r="J23" s="613">
        <v>13.62708829242459</v>
      </c>
      <c r="K23" s="613">
        <v>0</v>
      </c>
      <c r="L23" s="613">
        <v>62.931904980327779</v>
      </c>
      <c r="M23" s="613">
        <v>0</v>
      </c>
      <c r="N23" s="613">
        <v>1209.1260212121213</v>
      </c>
      <c r="O23" s="613">
        <v>104.3311966741735</v>
      </c>
      <c r="P23" s="613">
        <v>17.794147670554988</v>
      </c>
      <c r="Q23" s="613">
        <v>12.388866225144911</v>
      </c>
      <c r="R23" s="613">
        <v>0</v>
      </c>
      <c r="S23" s="613">
        <v>4.8474406033333333</v>
      </c>
      <c r="T23" s="613">
        <v>0</v>
      </c>
      <c r="U23" s="613">
        <v>1.1825205542668356</v>
      </c>
      <c r="V23" s="613">
        <v>-566.17178776794128</v>
      </c>
      <c r="W23" s="613">
        <v>0</v>
      </c>
      <c r="X23" s="614">
        <v>0</v>
      </c>
      <c r="Y23" s="615">
        <v>877.50115215924666</v>
      </c>
      <c r="Z23" s="51"/>
      <c r="AA23" s="51"/>
      <c r="AB23" s="51"/>
    </row>
    <row r="24" spans="1:28">
      <c r="A24" s="51"/>
      <c r="B24" s="51">
        <f t="shared" si="1"/>
        <v>2019</v>
      </c>
      <c r="C24" s="51" t="str">
        <f t="shared" si="1"/>
        <v>AMS</v>
      </c>
      <c r="D24" s="51" t="s">
        <v>501</v>
      </c>
      <c r="E24" s="51"/>
      <c r="F24" s="51"/>
      <c r="G24" s="620" t="s">
        <v>351</v>
      </c>
      <c r="H24" s="613">
        <v>1.9109444951460814</v>
      </c>
      <c r="I24" s="613">
        <v>0</v>
      </c>
      <c r="J24" s="613">
        <v>0.26671791988070115</v>
      </c>
      <c r="K24" s="613">
        <v>0</v>
      </c>
      <c r="L24" s="613">
        <v>20.764778769672215</v>
      </c>
      <c r="M24" s="613">
        <v>0</v>
      </c>
      <c r="N24" s="613">
        <v>0</v>
      </c>
      <c r="O24" s="613">
        <v>0</v>
      </c>
      <c r="P24" s="613">
        <v>8.5293872999380707</v>
      </c>
      <c r="Q24" s="613">
        <v>16.588146755013483</v>
      </c>
      <c r="R24" s="613">
        <v>0</v>
      </c>
      <c r="S24" s="613">
        <v>2.852532452222222</v>
      </c>
      <c r="T24" s="613">
        <v>0.25919055555555554</v>
      </c>
      <c r="U24" s="613">
        <v>3.5768259901376065</v>
      </c>
      <c r="V24" s="613">
        <v>0</v>
      </c>
      <c r="W24" s="613">
        <v>-46.772072780777776</v>
      </c>
      <c r="X24" s="614">
        <v>0</v>
      </c>
      <c r="Y24" s="615">
        <v>7.9764514567881601</v>
      </c>
      <c r="Z24" s="51"/>
      <c r="AA24" s="51"/>
      <c r="AB24" s="51"/>
    </row>
    <row r="25" spans="1:28">
      <c r="A25" s="51"/>
      <c r="B25" s="51">
        <f t="shared" si="1"/>
        <v>2019</v>
      </c>
      <c r="C25" s="51" t="str">
        <f t="shared" si="1"/>
        <v>AMS</v>
      </c>
      <c r="D25" s="51" t="s">
        <v>502</v>
      </c>
      <c r="E25" s="51"/>
      <c r="F25" s="51"/>
      <c r="G25" s="620" t="s">
        <v>352</v>
      </c>
      <c r="H25" s="613">
        <v>0</v>
      </c>
      <c r="I25" s="613">
        <v>0</v>
      </c>
      <c r="J25" s="613">
        <v>0</v>
      </c>
      <c r="K25" s="613">
        <v>0</v>
      </c>
      <c r="L25" s="613">
        <v>0</v>
      </c>
      <c r="M25" s="613">
        <v>0</v>
      </c>
      <c r="N25" s="613">
        <v>0</v>
      </c>
      <c r="O25" s="613">
        <v>0</v>
      </c>
      <c r="P25" s="613">
        <v>0</v>
      </c>
      <c r="Q25" s="613">
        <v>0</v>
      </c>
      <c r="R25" s="613">
        <v>0</v>
      </c>
      <c r="S25" s="613">
        <v>-1.1106240000000001</v>
      </c>
      <c r="T25" s="613">
        <v>0</v>
      </c>
      <c r="U25" s="613">
        <v>0</v>
      </c>
      <c r="V25" s="613">
        <v>0</v>
      </c>
      <c r="W25" s="613">
        <v>0</v>
      </c>
      <c r="X25" s="614">
        <v>0</v>
      </c>
      <c r="Y25" s="615">
        <v>-1.1106240000000001</v>
      </c>
      <c r="Z25" s="51"/>
      <c r="AA25" s="51"/>
      <c r="AB25" s="51"/>
    </row>
    <row r="26" spans="1:28">
      <c r="A26" s="51"/>
      <c r="B26" s="51">
        <f t="shared" si="1"/>
        <v>2019</v>
      </c>
      <c r="C26" s="51" t="str">
        <f t="shared" si="1"/>
        <v>AMS</v>
      </c>
      <c r="D26" s="51" t="s">
        <v>503</v>
      </c>
      <c r="E26" s="51"/>
      <c r="F26" s="51"/>
      <c r="G26" s="620" t="s">
        <v>353</v>
      </c>
      <c r="H26" s="613">
        <v>0</v>
      </c>
      <c r="I26" s="613">
        <v>0</v>
      </c>
      <c r="J26" s="613">
        <v>0</v>
      </c>
      <c r="K26" s="613">
        <v>0</v>
      </c>
      <c r="L26" s="613">
        <v>0</v>
      </c>
      <c r="M26" s="613">
        <v>0</v>
      </c>
      <c r="N26" s="613">
        <v>0</v>
      </c>
      <c r="O26" s="613">
        <v>0</v>
      </c>
      <c r="P26" s="613">
        <v>0</v>
      </c>
      <c r="Q26" s="613">
        <v>0</v>
      </c>
      <c r="R26" s="613">
        <v>0</v>
      </c>
      <c r="S26" s="613">
        <v>0</v>
      </c>
      <c r="T26" s="613">
        <v>0</v>
      </c>
      <c r="U26" s="613">
        <v>0</v>
      </c>
      <c r="V26" s="613">
        <v>0</v>
      </c>
      <c r="W26" s="613">
        <v>0</v>
      </c>
      <c r="X26" s="614">
        <v>0</v>
      </c>
      <c r="Y26" s="615">
        <v>0</v>
      </c>
      <c r="Z26" s="51"/>
      <c r="AA26" s="51"/>
      <c r="AB26" s="51"/>
    </row>
    <row r="27" spans="1:28">
      <c r="A27" s="51"/>
      <c r="B27" s="51">
        <f t="shared" si="1"/>
        <v>2019</v>
      </c>
      <c r="C27" s="51" t="str">
        <f t="shared" si="1"/>
        <v>AMS</v>
      </c>
      <c r="D27" s="51" t="s">
        <v>504</v>
      </c>
      <c r="E27" s="51"/>
      <c r="F27" s="51"/>
      <c r="G27" s="620" t="s">
        <v>72</v>
      </c>
      <c r="H27" s="613">
        <v>0</v>
      </c>
      <c r="I27" s="613">
        <v>607.94319903666315</v>
      </c>
      <c r="J27" s="613">
        <v>-602.93238189654937</v>
      </c>
      <c r="K27" s="613">
        <v>0</v>
      </c>
      <c r="L27" s="613">
        <v>0</v>
      </c>
      <c r="M27" s="613">
        <v>0</v>
      </c>
      <c r="N27" s="613">
        <v>0</v>
      </c>
      <c r="O27" s="613">
        <v>0</v>
      </c>
      <c r="P27" s="613">
        <v>0</v>
      </c>
      <c r="Q27" s="613">
        <v>0</v>
      </c>
      <c r="R27" s="613">
        <v>0</v>
      </c>
      <c r="S27" s="613">
        <v>0</v>
      </c>
      <c r="T27" s="613">
        <v>0</v>
      </c>
      <c r="U27" s="613">
        <v>0</v>
      </c>
      <c r="V27" s="613">
        <v>0</v>
      </c>
      <c r="W27" s="613">
        <v>0</v>
      </c>
      <c r="X27" s="614">
        <v>0</v>
      </c>
      <c r="Y27" s="615">
        <v>5.0108171401137289</v>
      </c>
      <c r="Z27" s="51"/>
      <c r="AA27" s="51"/>
      <c r="AB27" s="51"/>
    </row>
    <row r="28" spans="1:28">
      <c r="A28" s="51"/>
      <c r="B28" s="51">
        <f t="shared" si="1"/>
        <v>2019</v>
      </c>
      <c r="C28" s="51" t="str">
        <f t="shared" si="1"/>
        <v>AMS</v>
      </c>
      <c r="D28" s="51" t="s">
        <v>505</v>
      </c>
      <c r="E28" s="51"/>
      <c r="F28" s="51"/>
      <c r="G28" s="620" t="s">
        <v>354</v>
      </c>
      <c r="H28" s="613">
        <v>0</v>
      </c>
      <c r="I28" s="613">
        <v>0</v>
      </c>
      <c r="J28" s="613">
        <v>0</v>
      </c>
      <c r="K28" s="613">
        <v>0</v>
      </c>
      <c r="L28" s="613">
        <v>0</v>
      </c>
      <c r="M28" s="613">
        <v>0</v>
      </c>
      <c r="N28" s="613">
        <v>0</v>
      </c>
      <c r="O28" s="613">
        <v>0</v>
      </c>
      <c r="P28" s="613">
        <v>0</v>
      </c>
      <c r="Q28" s="613">
        <v>0</v>
      </c>
      <c r="R28" s="613">
        <v>-29.34529096854553</v>
      </c>
      <c r="S28" s="613">
        <v>0</v>
      </c>
      <c r="T28" s="613">
        <v>0</v>
      </c>
      <c r="U28" s="613">
        <v>0</v>
      </c>
      <c r="V28" s="613">
        <v>0</v>
      </c>
      <c r="W28" s="613">
        <v>0</v>
      </c>
      <c r="X28" s="614">
        <v>0</v>
      </c>
      <c r="Y28" s="615">
        <v>-29.34529096854553</v>
      </c>
      <c r="Z28" s="51"/>
      <c r="AA28" s="51"/>
      <c r="AB28" s="51"/>
    </row>
    <row r="29" spans="1:28">
      <c r="A29" s="51"/>
      <c r="B29" s="51">
        <f t="shared" si="1"/>
        <v>2019</v>
      </c>
      <c r="C29" s="51" t="str">
        <f t="shared" si="1"/>
        <v>AMS</v>
      </c>
      <c r="D29" s="51" t="s">
        <v>506</v>
      </c>
      <c r="E29" s="51"/>
      <c r="F29" s="51"/>
      <c r="G29" s="620" t="s">
        <v>355</v>
      </c>
      <c r="H29" s="613">
        <v>0</v>
      </c>
      <c r="I29" s="613">
        <v>0</v>
      </c>
      <c r="J29" s="613">
        <v>0</v>
      </c>
      <c r="K29" s="613">
        <v>0</v>
      </c>
      <c r="L29" s="613">
        <v>0</v>
      </c>
      <c r="M29" s="613">
        <v>0</v>
      </c>
      <c r="N29" s="613">
        <v>0</v>
      </c>
      <c r="O29" s="613">
        <v>0</v>
      </c>
      <c r="P29" s="613">
        <v>0</v>
      </c>
      <c r="Q29" s="613">
        <v>0</v>
      </c>
      <c r="R29" s="613">
        <v>0</v>
      </c>
      <c r="S29" s="613">
        <v>0</v>
      </c>
      <c r="T29" s="613">
        <v>0</v>
      </c>
      <c r="U29" s="613">
        <v>0</v>
      </c>
      <c r="V29" s="613">
        <v>0</v>
      </c>
      <c r="W29" s="613">
        <v>0</v>
      </c>
      <c r="X29" s="614">
        <v>0</v>
      </c>
      <c r="Y29" s="615">
        <v>0</v>
      </c>
      <c r="Z29" s="51"/>
      <c r="AA29" s="51"/>
      <c r="AB29" s="51"/>
    </row>
    <row r="30" spans="1:28">
      <c r="A30" s="51"/>
      <c r="B30" s="51">
        <f t="shared" si="1"/>
        <v>2019</v>
      </c>
      <c r="C30" s="51" t="str">
        <f t="shared" si="1"/>
        <v>AMS</v>
      </c>
      <c r="D30" s="51" t="s">
        <v>507</v>
      </c>
      <c r="E30" s="51"/>
      <c r="F30" s="51"/>
      <c r="G30" s="620" t="s">
        <v>73</v>
      </c>
      <c r="H30" s="613">
        <v>0</v>
      </c>
      <c r="I30" s="613">
        <v>0</v>
      </c>
      <c r="J30" s="613">
        <v>0</v>
      </c>
      <c r="K30" s="613">
        <v>0</v>
      </c>
      <c r="L30" s="613">
        <v>0</v>
      </c>
      <c r="M30" s="613">
        <v>0</v>
      </c>
      <c r="N30" s="613">
        <v>0</v>
      </c>
      <c r="O30" s="613">
        <v>0</v>
      </c>
      <c r="P30" s="613">
        <v>0</v>
      </c>
      <c r="Q30" s="613">
        <v>0</v>
      </c>
      <c r="R30" s="613">
        <v>0</v>
      </c>
      <c r="S30" s="613">
        <v>0</v>
      </c>
      <c r="T30" s="613">
        <v>0</v>
      </c>
      <c r="U30" s="613">
        <v>0</v>
      </c>
      <c r="V30" s="613">
        <v>0</v>
      </c>
      <c r="W30" s="613">
        <v>0</v>
      </c>
      <c r="X30" s="614">
        <v>0</v>
      </c>
      <c r="Y30" s="615">
        <v>0</v>
      </c>
      <c r="Z30" s="51"/>
      <c r="AA30" s="51"/>
      <c r="AB30" s="51"/>
    </row>
    <row r="31" spans="1:28">
      <c r="A31" s="51"/>
      <c r="B31" s="51">
        <f t="shared" si="1"/>
        <v>2019</v>
      </c>
      <c r="C31" s="51" t="str">
        <f t="shared" si="1"/>
        <v>AMS</v>
      </c>
      <c r="D31" s="51" t="s">
        <v>508</v>
      </c>
      <c r="E31" s="51"/>
      <c r="F31" s="51"/>
      <c r="G31" s="620" t="s">
        <v>356</v>
      </c>
      <c r="H31" s="613">
        <v>32.750811529533344</v>
      </c>
      <c r="I31" s="613">
        <v>-29.152970396099011</v>
      </c>
      <c r="J31" s="613">
        <v>28.064488458099014</v>
      </c>
      <c r="K31" s="613">
        <v>0</v>
      </c>
      <c r="L31" s="613">
        <v>0</v>
      </c>
      <c r="M31" s="613">
        <v>0</v>
      </c>
      <c r="N31" s="613">
        <v>0</v>
      </c>
      <c r="O31" s="613">
        <v>0</v>
      </c>
      <c r="P31" s="613">
        <v>0</v>
      </c>
      <c r="Q31" s="613">
        <v>0</v>
      </c>
      <c r="R31" s="613">
        <v>0</v>
      </c>
      <c r="S31" s="613">
        <v>0</v>
      </c>
      <c r="T31" s="613">
        <v>0</v>
      </c>
      <c r="U31" s="613">
        <v>0</v>
      </c>
      <c r="V31" s="613">
        <v>0</v>
      </c>
      <c r="W31" s="613">
        <v>0</v>
      </c>
      <c r="X31" s="614">
        <v>0</v>
      </c>
      <c r="Y31" s="615">
        <v>31.662329591533346</v>
      </c>
      <c r="Z31" s="51"/>
      <c r="AA31" s="51"/>
      <c r="AB31" s="51"/>
    </row>
    <row r="32" spans="1:28">
      <c r="A32" s="51"/>
      <c r="B32" s="51">
        <f t="shared" si="1"/>
        <v>2019</v>
      </c>
      <c r="C32" s="51" t="str">
        <f t="shared" si="1"/>
        <v>AMS</v>
      </c>
      <c r="D32" s="51" t="s">
        <v>509</v>
      </c>
      <c r="E32" s="51"/>
      <c r="F32" s="51"/>
      <c r="G32" s="620" t="s">
        <v>75</v>
      </c>
      <c r="H32" s="613">
        <v>15.211467777777777</v>
      </c>
      <c r="I32" s="613">
        <v>0</v>
      </c>
      <c r="J32" s="613">
        <v>17.163531653267256</v>
      </c>
      <c r="K32" s="613">
        <v>0</v>
      </c>
      <c r="L32" s="613">
        <v>6.4721602499999999</v>
      </c>
      <c r="M32" s="613">
        <v>0</v>
      </c>
      <c r="N32" s="613">
        <v>0</v>
      </c>
      <c r="O32" s="613">
        <v>0</v>
      </c>
      <c r="P32" s="613">
        <v>0</v>
      </c>
      <c r="Q32" s="613">
        <v>0</v>
      </c>
      <c r="R32" s="613">
        <v>0</v>
      </c>
      <c r="S32" s="613">
        <v>0</v>
      </c>
      <c r="T32" s="613">
        <v>0</v>
      </c>
      <c r="U32" s="613">
        <v>0</v>
      </c>
      <c r="V32" s="613">
        <v>34.075655948560012</v>
      </c>
      <c r="W32" s="613">
        <v>0</v>
      </c>
      <c r="X32" s="614">
        <v>0</v>
      </c>
      <c r="Y32" s="615">
        <v>72.922815629605054</v>
      </c>
      <c r="Z32" s="51"/>
      <c r="AA32" s="51"/>
      <c r="AB32" s="51"/>
    </row>
    <row r="33" spans="1:28">
      <c r="A33" s="51"/>
      <c r="B33" s="51">
        <f t="shared" si="1"/>
        <v>2019</v>
      </c>
      <c r="C33" s="51" t="str">
        <f t="shared" si="1"/>
        <v>AMS</v>
      </c>
      <c r="D33" s="51" t="s">
        <v>510</v>
      </c>
      <c r="E33" s="51"/>
      <c r="F33" s="51"/>
      <c r="G33" s="620" t="s">
        <v>76</v>
      </c>
      <c r="H33" s="613">
        <v>0</v>
      </c>
      <c r="I33" s="613">
        <v>0</v>
      </c>
      <c r="J33" s="613">
        <v>0</v>
      </c>
      <c r="K33" s="613">
        <v>0</v>
      </c>
      <c r="L33" s="613">
        <v>4.9770604999999994</v>
      </c>
      <c r="M33" s="613">
        <v>0</v>
      </c>
      <c r="N33" s="613">
        <v>0</v>
      </c>
      <c r="O33" s="613">
        <v>0</v>
      </c>
      <c r="P33" s="613">
        <v>0</v>
      </c>
      <c r="Q33" s="613">
        <v>0</v>
      </c>
      <c r="R33" s="613">
        <v>0</v>
      </c>
      <c r="S33" s="613">
        <v>0</v>
      </c>
      <c r="T33" s="613">
        <v>0</v>
      </c>
      <c r="U33" s="613">
        <v>0</v>
      </c>
      <c r="V33" s="613">
        <v>38.092724000000004</v>
      </c>
      <c r="W33" s="613">
        <v>3.667636947251947</v>
      </c>
      <c r="X33" s="614">
        <v>0</v>
      </c>
      <c r="Y33" s="615">
        <v>46.737421447251954</v>
      </c>
      <c r="Z33" s="51"/>
      <c r="AA33" s="51"/>
      <c r="AB33" s="51"/>
    </row>
    <row r="34" spans="1:28">
      <c r="A34" s="51"/>
      <c r="B34" s="51">
        <f t="shared" si="1"/>
        <v>2019</v>
      </c>
      <c r="C34" s="51" t="str">
        <f t="shared" si="1"/>
        <v>AMS</v>
      </c>
      <c r="D34" s="51" t="s">
        <v>511</v>
      </c>
      <c r="E34" s="51"/>
      <c r="F34" s="51"/>
      <c r="G34" s="616" t="s">
        <v>77</v>
      </c>
      <c r="H34" s="617">
        <v>70.94886480427779</v>
      </c>
      <c r="I34" s="617">
        <v>589.57724499305652</v>
      </c>
      <c r="J34" s="617">
        <v>-527.3689266860265</v>
      </c>
      <c r="K34" s="617">
        <v>0</v>
      </c>
      <c r="L34" s="617">
        <v>93.932491249999984</v>
      </c>
      <c r="M34" s="617">
        <v>0</v>
      </c>
      <c r="N34" s="617">
        <v>1209.1260212121213</v>
      </c>
      <c r="O34" s="617">
        <v>104.3311966741735</v>
      </c>
      <c r="P34" s="617">
        <v>26.323534970493061</v>
      </c>
      <c r="Q34" s="617">
        <v>28.586654785814009</v>
      </c>
      <c r="R34" s="617">
        <v>-28.954724700512262</v>
      </c>
      <c r="S34" s="617">
        <v>6.5893490555555561</v>
      </c>
      <c r="T34" s="617">
        <v>0.25919055555555554</v>
      </c>
      <c r="U34" s="617">
        <v>4.7593465444044423</v>
      </c>
      <c r="V34" s="617">
        <v>-489.37184900000005</v>
      </c>
      <c r="W34" s="617">
        <v>-43.104435833525834</v>
      </c>
      <c r="X34" s="617">
        <v>0</v>
      </c>
      <c r="Y34" s="617">
        <v>1045.6339586253871</v>
      </c>
      <c r="Z34" s="51"/>
      <c r="AA34" s="51"/>
      <c r="AB34" s="51"/>
    </row>
    <row r="35" spans="1:28">
      <c r="A35" s="51"/>
      <c r="B35" s="51"/>
      <c r="C35" s="51"/>
      <c r="D35" s="51"/>
      <c r="E35" s="51"/>
      <c r="F35" s="51"/>
      <c r="G35" s="618"/>
      <c r="H35" s="619">
        <v>0</v>
      </c>
      <c r="I35" s="619">
        <v>0</v>
      </c>
      <c r="J35" s="619">
        <v>0</v>
      </c>
      <c r="K35" s="619"/>
      <c r="L35" s="619">
        <v>0</v>
      </c>
      <c r="M35" s="619"/>
      <c r="N35" s="619">
        <v>0</v>
      </c>
      <c r="O35" s="619">
        <v>0</v>
      </c>
      <c r="P35" s="619">
        <v>0</v>
      </c>
      <c r="Q35" s="619">
        <v>0</v>
      </c>
      <c r="R35" s="619">
        <v>0</v>
      </c>
      <c r="S35" s="619">
        <v>0</v>
      </c>
      <c r="T35" s="619">
        <v>0</v>
      </c>
      <c r="U35" s="619">
        <v>0</v>
      </c>
      <c r="V35" s="619">
        <v>0</v>
      </c>
      <c r="W35" s="619">
        <v>0</v>
      </c>
      <c r="X35" s="619">
        <v>0</v>
      </c>
      <c r="Y35" s="619">
        <v>0</v>
      </c>
      <c r="Z35" s="51"/>
      <c r="AA35" s="51"/>
      <c r="AB35" s="51"/>
    </row>
    <row r="36" spans="1:28">
      <c r="A36" s="51"/>
      <c r="B36" s="51">
        <f>B34</f>
        <v>2019</v>
      </c>
      <c r="C36" s="51" t="str">
        <f>C14</f>
        <v>AMS</v>
      </c>
      <c r="D36" s="51" t="s">
        <v>512</v>
      </c>
      <c r="E36" s="51"/>
      <c r="F36" s="51"/>
      <c r="G36" s="620" t="s">
        <v>78</v>
      </c>
      <c r="H36" s="613">
        <v>10.318644626420003</v>
      </c>
      <c r="I36" s="613">
        <v>0</v>
      </c>
      <c r="J36" s="613">
        <v>31.798889573736361</v>
      </c>
      <c r="K36" s="613">
        <v>0</v>
      </c>
      <c r="L36" s="613">
        <v>122.13725650000002</v>
      </c>
      <c r="M36" s="613">
        <v>0</v>
      </c>
      <c r="N36" s="613">
        <v>0</v>
      </c>
      <c r="O36" s="613">
        <v>0</v>
      </c>
      <c r="P36" s="613">
        <v>15.07633527777778</v>
      </c>
      <c r="Q36" s="613">
        <v>4.5361330555555552</v>
      </c>
      <c r="R36" s="613">
        <v>1.0714586421915442</v>
      </c>
      <c r="S36" s="613">
        <v>0.59537055555555551</v>
      </c>
      <c r="T36" s="613">
        <v>0</v>
      </c>
      <c r="U36" s="613">
        <v>1.4743611111111112E-2</v>
      </c>
      <c r="V36" s="613">
        <v>115.65608999999999</v>
      </c>
      <c r="W36" s="613">
        <v>18.599047500192498</v>
      </c>
      <c r="X36" s="613">
        <v>0</v>
      </c>
      <c r="Y36" s="621">
        <v>319.80396934254043</v>
      </c>
      <c r="Z36" s="51"/>
      <c r="AA36" s="51"/>
      <c r="AB36" s="51"/>
    </row>
    <row r="37" spans="1:28">
      <c r="A37" s="51"/>
      <c r="B37" s="51">
        <f t="shared" ref="B37:C44" si="2">B36</f>
        <v>2019</v>
      </c>
      <c r="C37" s="51" t="str">
        <f t="shared" si="2"/>
        <v>AMS</v>
      </c>
      <c r="D37" s="51" t="s">
        <v>513</v>
      </c>
      <c r="E37" s="51"/>
      <c r="F37" s="51"/>
      <c r="G37" s="620" t="s">
        <v>79</v>
      </c>
      <c r="H37" s="613">
        <v>0</v>
      </c>
      <c r="I37" s="613">
        <v>0</v>
      </c>
      <c r="J37" s="613">
        <v>465.47698922226442</v>
      </c>
      <c r="K37" s="613">
        <v>0</v>
      </c>
      <c r="L37" s="613">
        <v>1.8942870000000003</v>
      </c>
      <c r="M37" s="613">
        <v>0</v>
      </c>
      <c r="N37" s="613">
        <v>0</v>
      </c>
      <c r="O37" s="613">
        <v>0</v>
      </c>
      <c r="P37" s="613">
        <v>0</v>
      </c>
      <c r="Q37" s="613">
        <v>0</v>
      </c>
      <c r="R37" s="613">
        <v>37.188256545358975</v>
      </c>
      <c r="S37" s="613">
        <v>0</v>
      </c>
      <c r="T37" s="613">
        <v>0</v>
      </c>
      <c r="U37" s="613">
        <v>0</v>
      </c>
      <c r="V37" s="613">
        <v>10.07993007</v>
      </c>
      <c r="W37" s="613">
        <v>0</v>
      </c>
      <c r="X37" s="613">
        <v>0</v>
      </c>
      <c r="Y37" s="621">
        <v>514.63946283762346</v>
      </c>
      <c r="Z37" s="51"/>
      <c r="AA37" s="51"/>
      <c r="AB37" s="51"/>
    </row>
    <row r="38" spans="1:28">
      <c r="A38" s="51"/>
      <c r="B38" s="51">
        <f t="shared" si="2"/>
        <v>2019</v>
      </c>
      <c r="C38" s="51" t="str">
        <f t="shared" si="2"/>
        <v>AMS</v>
      </c>
      <c r="D38" s="51" t="s">
        <v>514</v>
      </c>
      <c r="E38" s="51"/>
      <c r="F38" s="51"/>
      <c r="G38" s="620" t="s">
        <v>80</v>
      </c>
      <c r="H38" s="613">
        <v>0.28361423905000005</v>
      </c>
      <c r="I38" s="613">
        <v>0</v>
      </c>
      <c r="J38" s="613">
        <v>50.740146891881786</v>
      </c>
      <c r="K38" s="613">
        <v>0</v>
      </c>
      <c r="L38" s="613">
        <v>132.15121725</v>
      </c>
      <c r="M38" s="613">
        <v>0</v>
      </c>
      <c r="N38" s="613">
        <v>0</v>
      </c>
      <c r="O38" s="613">
        <v>0</v>
      </c>
      <c r="P38" s="613">
        <v>74.953719722222218</v>
      </c>
      <c r="Q38" s="613">
        <v>0</v>
      </c>
      <c r="R38" s="613">
        <v>0</v>
      </c>
      <c r="S38" s="613">
        <v>0</v>
      </c>
      <c r="T38" s="613">
        <v>26.665051666666663</v>
      </c>
      <c r="U38" s="613">
        <v>1.98639250004</v>
      </c>
      <c r="V38" s="613">
        <v>159.72207699999998</v>
      </c>
      <c r="W38" s="613">
        <v>14.980747222222222</v>
      </c>
      <c r="X38" s="613">
        <v>0</v>
      </c>
      <c r="Y38" s="621">
        <v>461.48296649208288</v>
      </c>
      <c r="Z38" s="51"/>
      <c r="AA38" s="51"/>
      <c r="AB38" s="51"/>
    </row>
    <row r="39" spans="1:28">
      <c r="A39" s="51"/>
      <c r="B39" s="51">
        <f t="shared" si="2"/>
        <v>2019</v>
      </c>
      <c r="C39" s="51" t="str">
        <f t="shared" si="2"/>
        <v>AMS</v>
      </c>
      <c r="D39" s="51" t="s">
        <v>515</v>
      </c>
      <c r="E39" s="51"/>
      <c r="F39" s="51"/>
      <c r="G39" s="620" t="s">
        <v>81</v>
      </c>
      <c r="H39" s="613">
        <v>0.40432760307999993</v>
      </c>
      <c r="I39" s="613">
        <v>0</v>
      </c>
      <c r="J39" s="613">
        <v>33.030604242320379</v>
      </c>
      <c r="K39" s="613">
        <v>0</v>
      </c>
      <c r="L39" s="613">
        <v>70.504948999999996</v>
      </c>
      <c r="M39" s="613">
        <v>0</v>
      </c>
      <c r="N39" s="613">
        <v>0</v>
      </c>
      <c r="O39" s="613">
        <v>0</v>
      </c>
      <c r="P39" s="613">
        <v>3.0152302777777784</v>
      </c>
      <c r="Q39" s="613">
        <v>1.7780329919637734</v>
      </c>
      <c r="R39" s="613">
        <v>0</v>
      </c>
      <c r="S39" s="613">
        <v>1.4820169444444444</v>
      </c>
      <c r="T39" s="613">
        <v>4.7740327777777782</v>
      </c>
      <c r="U39" s="613">
        <v>0.35231138888888891</v>
      </c>
      <c r="V39" s="613">
        <v>137.76728493000002</v>
      </c>
      <c r="W39" s="613">
        <v>9.3080608333333341</v>
      </c>
      <c r="X39" s="613">
        <v>0</v>
      </c>
      <c r="Y39" s="621">
        <v>262.41685098958635</v>
      </c>
      <c r="Z39" s="51"/>
      <c r="AA39" s="51"/>
      <c r="AB39" s="51"/>
    </row>
    <row r="40" spans="1:28">
      <c r="A40" s="51"/>
      <c r="B40" s="51">
        <f t="shared" si="2"/>
        <v>2019</v>
      </c>
      <c r="C40" s="51" t="str">
        <f t="shared" si="2"/>
        <v>AMS</v>
      </c>
      <c r="D40" s="51" t="s">
        <v>516</v>
      </c>
      <c r="E40" s="51"/>
      <c r="F40" s="51"/>
      <c r="G40" s="620" t="s">
        <v>82</v>
      </c>
      <c r="H40" s="613">
        <v>1.6738093710000002E-2</v>
      </c>
      <c r="I40" s="613">
        <v>0</v>
      </c>
      <c r="J40" s="613">
        <v>35.508479849329859</v>
      </c>
      <c r="K40" s="613">
        <v>0</v>
      </c>
      <c r="L40" s="613">
        <v>2.1960534999999997</v>
      </c>
      <c r="M40" s="613">
        <v>0</v>
      </c>
      <c r="N40" s="613">
        <v>0</v>
      </c>
      <c r="O40" s="613">
        <v>0</v>
      </c>
      <c r="P40" s="613">
        <v>1.6964935406677779</v>
      </c>
      <c r="Q40" s="613">
        <v>0</v>
      </c>
      <c r="R40" s="613">
        <v>1.834336902240338</v>
      </c>
      <c r="S40" s="613">
        <v>0.43157000000000006</v>
      </c>
      <c r="T40" s="613">
        <v>0</v>
      </c>
      <c r="U40" s="613">
        <v>0.29222750000000003</v>
      </c>
      <c r="V40" s="613">
        <v>8.4794180000000026</v>
      </c>
      <c r="W40" s="613">
        <v>0.21658055555555558</v>
      </c>
      <c r="X40" s="613">
        <v>0</v>
      </c>
      <c r="Y40" s="621">
        <v>50.671897941503538</v>
      </c>
      <c r="Z40" s="51"/>
      <c r="AA40" s="51"/>
      <c r="AB40" s="51"/>
    </row>
    <row r="41" spans="1:28">
      <c r="A41" s="51"/>
      <c r="B41" s="51">
        <f t="shared" si="2"/>
        <v>2019</v>
      </c>
      <c r="C41" s="51" t="str">
        <f t="shared" si="2"/>
        <v>AMS</v>
      </c>
      <c r="D41" s="51" t="s">
        <v>517</v>
      </c>
      <c r="E41" s="51"/>
      <c r="F41" s="51"/>
      <c r="G41" s="620" t="s">
        <v>357</v>
      </c>
      <c r="H41" s="613">
        <v>0</v>
      </c>
      <c r="I41" s="613">
        <v>0</v>
      </c>
      <c r="J41" s="613">
        <v>0</v>
      </c>
      <c r="K41" s="613">
        <v>0</v>
      </c>
      <c r="L41" s="613">
        <v>0</v>
      </c>
      <c r="M41" s="613">
        <v>0</v>
      </c>
      <c r="N41" s="613">
        <v>0</v>
      </c>
      <c r="O41" s="613">
        <v>0</v>
      </c>
      <c r="P41" s="613">
        <v>0</v>
      </c>
      <c r="Q41" s="613">
        <v>0</v>
      </c>
      <c r="R41" s="613">
        <v>0</v>
      </c>
      <c r="S41" s="613">
        <v>0</v>
      </c>
      <c r="T41" s="613">
        <v>0</v>
      </c>
      <c r="U41" s="613">
        <v>0</v>
      </c>
      <c r="V41" s="613">
        <v>0</v>
      </c>
      <c r="W41" s="613">
        <v>0</v>
      </c>
      <c r="X41" s="613">
        <v>0</v>
      </c>
      <c r="Y41" s="621">
        <v>0</v>
      </c>
      <c r="Z41" s="51"/>
      <c r="AA41" s="51"/>
      <c r="AB41" s="51"/>
    </row>
    <row r="42" spans="1:28">
      <c r="A42" s="51"/>
      <c r="B42" s="51">
        <f t="shared" si="2"/>
        <v>2019</v>
      </c>
      <c r="C42" s="51" t="str">
        <f t="shared" si="2"/>
        <v>AMS</v>
      </c>
      <c r="D42" s="51" t="s">
        <v>518</v>
      </c>
      <c r="E42" s="51"/>
      <c r="F42" s="51"/>
      <c r="G42" s="616" t="s">
        <v>83</v>
      </c>
      <c r="H42" s="617">
        <v>11.023324562260003</v>
      </c>
      <c r="I42" s="617">
        <v>0</v>
      </c>
      <c r="J42" s="617">
        <v>616.5551097795327</v>
      </c>
      <c r="K42" s="617">
        <v>0</v>
      </c>
      <c r="L42" s="617">
        <v>328.88376325000007</v>
      </c>
      <c r="M42" s="617">
        <v>0</v>
      </c>
      <c r="N42" s="617">
        <v>0</v>
      </c>
      <c r="O42" s="617">
        <v>0</v>
      </c>
      <c r="P42" s="617">
        <v>94.741778818445539</v>
      </c>
      <c r="Q42" s="617">
        <v>6.3141660475193291</v>
      </c>
      <c r="R42" s="617">
        <v>40.094052089790857</v>
      </c>
      <c r="S42" s="617">
        <v>2.5089575000000002</v>
      </c>
      <c r="T42" s="617">
        <v>31.43908444444444</v>
      </c>
      <c r="U42" s="617">
        <v>2.6456750000400002</v>
      </c>
      <c r="V42" s="617">
        <v>431.70479999999998</v>
      </c>
      <c r="W42" s="617">
        <v>43.104436111303606</v>
      </c>
      <c r="X42" s="617">
        <v>0</v>
      </c>
      <c r="Y42" s="617">
        <v>1609.0151476033366</v>
      </c>
      <c r="Z42" s="51"/>
      <c r="AA42" s="51"/>
      <c r="AB42" s="51"/>
    </row>
    <row r="43" spans="1:28">
      <c r="A43" s="51"/>
      <c r="B43" s="51">
        <f t="shared" si="2"/>
        <v>2019</v>
      </c>
      <c r="C43" s="51" t="str">
        <f t="shared" si="2"/>
        <v>AMS</v>
      </c>
      <c r="D43" s="51" t="s">
        <v>519</v>
      </c>
      <c r="E43" s="51"/>
      <c r="F43" s="51"/>
      <c r="G43" s="612" t="s">
        <v>84</v>
      </c>
      <c r="H43" s="613">
        <v>3.1200159203999993</v>
      </c>
      <c r="I43" s="613">
        <v>0</v>
      </c>
      <c r="J43" s="613">
        <v>139.5725242203051</v>
      </c>
      <c r="K43" s="613">
        <v>0</v>
      </c>
      <c r="L43" s="613">
        <v>13.804214250000001</v>
      </c>
      <c r="M43" s="613">
        <v>0</v>
      </c>
      <c r="N43" s="613">
        <v>0</v>
      </c>
      <c r="O43" s="613">
        <v>0</v>
      </c>
      <c r="P43" s="613">
        <v>0</v>
      </c>
      <c r="Q43" s="613">
        <v>0</v>
      </c>
      <c r="R43" s="613">
        <v>0</v>
      </c>
      <c r="S43" s="613">
        <v>0</v>
      </c>
      <c r="T43" s="613">
        <v>0</v>
      </c>
      <c r="U43" s="613">
        <v>0</v>
      </c>
      <c r="V43" s="613">
        <v>0</v>
      </c>
      <c r="W43" s="613">
        <v>0</v>
      </c>
      <c r="X43" s="613">
        <v>0</v>
      </c>
      <c r="Y43" s="621">
        <v>156.49675439070509</v>
      </c>
      <c r="Z43" s="51"/>
      <c r="AA43" s="51"/>
      <c r="AB43" s="51"/>
    </row>
    <row r="44" spans="1:28">
      <c r="A44" s="51"/>
      <c r="B44" s="51">
        <f t="shared" si="2"/>
        <v>2019</v>
      </c>
      <c r="C44" s="51" t="str">
        <f t="shared" si="2"/>
        <v>AMS</v>
      </c>
      <c r="D44" s="51" t="s">
        <v>520</v>
      </c>
      <c r="E44" s="51"/>
      <c r="F44" s="51"/>
      <c r="G44" s="616" t="s">
        <v>85</v>
      </c>
      <c r="H44" s="617">
        <v>14.143340482660001</v>
      </c>
      <c r="I44" s="617">
        <v>0</v>
      </c>
      <c r="J44" s="617">
        <v>756.12763399983783</v>
      </c>
      <c r="K44" s="617">
        <v>0</v>
      </c>
      <c r="L44" s="617">
        <v>342.6879775000001</v>
      </c>
      <c r="M44" s="617">
        <v>0</v>
      </c>
      <c r="N44" s="617">
        <v>0</v>
      </c>
      <c r="O44" s="617">
        <v>0</v>
      </c>
      <c r="P44" s="617">
        <v>94.741778818445539</v>
      </c>
      <c r="Q44" s="617">
        <v>6.3141660475193291</v>
      </c>
      <c r="R44" s="617">
        <v>40.094052089790857</v>
      </c>
      <c r="S44" s="617">
        <v>2.5089575000000002</v>
      </c>
      <c r="T44" s="617">
        <v>31.43908444444444</v>
      </c>
      <c r="U44" s="617">
        <v>2.6456750000400002</v>
      </c>
      <c r="V44" s="617">
        <v>431.70479999999998</v>
      </c>
      <c r="W44" s="617">
        <v>43.104436111303606</v>
      </c>
      <c r="X44" s="617">
        <v>0</v>
      </c>
      <c r="Y44" s="617">
        <v>1765.5119019940419</v>
      </c>
      <c r="Z44" s="51"/>
      <c r="AA44" s="51"/>
      <c r="AB44" s="51"/>
    </row>
    <row r="45" spans="1:28">
      <c r="A45" s="51"/>
      <c r="B45" s="51"/>
      <c r="C45" s="51"/>
      <c r="D45" s="51"/>
      <c r="E45" s="51"/>
      <c r="F45" s="51"/>
      <c r="G45" s="51"/>
      <c r="H45" s="67">
        <v>0</v>
      </c>
      <c r="I45" s="67">
        <v>-7.9805535306149977E-2</v>
      </c>
      <c r="J45" s="67">
        <v>-7.0888389245737926E-5</v>
      </c>
      <c r="K45" s="67">
        <v>0</v>
      </c>
      <c r="L45" s="67">
        <v>0</v>
      </c>
      <c r="M45" s="51"/>
      <c r="N45" s="67">
        <v>0</v>
      </c>
      <c r="O45" s="67">
        <v>0</v>
      </c>
      <c r="P45" s="67">
        <v>-6.5550585759410751E-7</v>
      </c>
      <c r="Q45" s="67">
        <v>0</v>
      </c>
      <c r="R45" s="67">
        <v>0</v>
      </c>
      <c r="S45" s="67">
        <v>6.6666669162884773E-7</v>
      </c>
      <c r="T45" s="67">
        <v>0</v>
      </c>
      <c r="U45" s="67">
        <v>-0.1260009555555559</v>
      </c>
      <c r="V45" s="67">
        <v>-7.1054273576010019E-14</v>
      </c>
      <c r="W45" s="67">
        <v>2.7777777233950474E-7</v>
      </c>
      <c r="X45" s="67">
        <v>0</v>
      </c>
      <c r="Y45" s="67">
        <v>-0.20587709031178747</v>
      </c>
      <c r="Z45" s="51"/>
      <c r="AA45" s="51"/>
      <c r="AB45" s="51"/>
    </row>
    <row r="46" spans="1:28">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row>
    <row r="47" spans="1:28">
      <c r="A47" s="608"/>
      <c r="B47" s="608"/>
      <c r="C47" s="608"/>
      <c r="D47" s="608"/>
      <c r="E47" s="608"/>
      <c r="F47" s="608"/>
      <c r="G47" s="609" t="s">
        <v>86</v>
      </c>
      <c r="H47" s="608"/>
      <c r="I47" s="608"/>
      <c r="J47" s="608"/>
      <c r="K47" s="608"/>
      <c r="L47" s="608"/>
      <c r="M47" s="608"/>
      <c r="N47" s="608"/>
      <c r="O47" s="608"/>
      <c r="P47" s="608"/>
      <c r="Q47" s="608"/>
      <c r="R47" s="608"/>
      <c r="S47" s="608"/>
      <c r="T47" s="608"/>
      <c r="U47" s="608"/>
      <c r="V47" s="608"/>
      <c r="W47" s="608"/>
      <c r="X47" s="608"/>
      <c r="Y47" s="608"/>
      <c r="Z47" s="608"/>
      <c r="AA47" s="608"/>
      <c r="AB47" s="608"/>
    </row>
    <row r="48" spans="1:28">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row>
    <row r="49" spans="1:28" ht="14.25" customHeight="1">
      <c r="A49" s="51"/>
      <c r="B49" s="51"/>
      <c r="C49" s="51"/>
      <c r="D49" s="51"/>
      <c r="E49" s="51"/>
      <c r="F49" s="51"/>
      <c r="G49" s="713" t="s">
        <v>128</v>
      </c>
      <c r="H49" s="711" t="s">
        <v>42</v>
      </c>
      <c r="I49" s="711" t="s">
        <v>52</v>
      </c>
      <c r="J49" s="711" t="s">
        <v>53</v>
      </c>
      <c r="K49" s="711" t="s">
        <v>487</v>
      </c>
      <c r="L49" s="711" t="s">
        <v>32</v>
      </c>
      <c r="M49" s="711" t="s">
        <v>488</v>
      </c>
      <c r="N49" s="711" t="s">
        <v>20</v>
      </c>
      <c r="O49" s="711" t="s">
        <v>55</v>
      </c>
      <c r="P49" s="715" t="s">
        <v>56</v>
      </c>
      <c r="Q49" s="716"/>
      <c r="R49" s="716"/>
      <c r="S49" s="716"/>
      <c r="T49" s="716"/>
      <c r="U49" s="717"/>
      <c r="V49" s="711" t="s">
        <v>57</v>
      </c>
      <c r="W49" s="711" t="s">
        <v>58</v>
      </c>
      <c r="X49" s="711" t="s">
        <v>31</v>
      </c>
      <c r="Y49" s="711" t="s">
        <v>10</v>
      </c>
      <c r="Z49" s="51"/>
      <c r="AA49" s="51"/>
      <c r="AB49" s="51"/>
    </row>
    <row r="50" spans="1:28" ht="24">
      <c r="A50" s="51"/>
      <c r="B50" s="51" t="s">
        <v>489</v>
      </c>
      <c r="C50" s="51" t="s">
        <v>490</v>
      </c>
      <c r="D50" s="51" t="s">
        <v>491</v>
      </c>
      <c r="E50" s="51"/>
      <c r="F50" s="51"/>
      <c r="G50" s="714"/>
      <c r="H50" s="712"/>
      <c r="I50" s="712"/>
      <c r="J50" s="712"/>
      <c r="K50" s="712"/>
      <c r="L50" s="712"/>
      <c r="M50" s="712"/>
      <c r="N50" s="712"/>
      <c r="O50" s="712"/>
      <c r="P50" s="610" t="s">
        <v>338</v>
      </c>
      <c r="Q50" s="610" t="s">
        <v>40</v>
      </c>
      <c r="R50" s="610" t="s">
        <v>346</v>
      </c>
      <c r="S50" s="610" t="s">
        <v>347</v>
      </c>
      <c r="T50" s="611" t="s">
        <v>348</v>
      </c>
      <c r="U50" s="610" t="s">
        <v>349</v>
      </c>
      <c r="V50" s="712"/>
      <c r="W50" s="712"/>
      <c r="X50" s="712"/>
      <c r="Y50" s="712"/>
      <c r="Z50" s="51"/>
      <c r="AA50" s="51"/>
      <c r="AB50" s="51"/>
    </row>
    <row r="51" spans="1:28">
      <c r="A51" s="51"/>
      <c r="B51" s="51">
        <v>2020</v>
      </c>
      <c r="C51" s="51" t="s">
        <v>47</v>
      </c>
      <c r="D51" s="51" t="s">
        <v>492</v>
      </c>
      <c r="E51" s="51"/>
      <c r="F51" s="51"/>
      <c r="G51" s="612" t="s">
        <v>59</v>
      </c>
      <c r="H51" s="613">
        <v>0</v>
      </c>
      <c r="I51" s="613">
        <v>9.7977867342210008</v>
      </c>
      <c r="J51" s="622">
        <v>0</v>
      </c>
      <c r="K51" s="613">
        <v>0</v>
      </c>
      <c r="L51" s="613">
        <v>0.18111850000000002</v>
      </c>
      <c r="M51" s="613">
        <v>0</v>
      </c>
      <c r="N51" s="622">
        <v>1072.2208090909091</v>
      </c>
      <c r="O51" s="622">
        <v>115.72304451809002</v>
      </c>
      <c r="P51" s="622">
        <v>114.24305924309452</v>
      </c>
      <c r="Q51" s="622">
        <v>33.631608055405756</v>
      </c>
      <c r="R51" s="622">
        <v>0</v>
      </c>
      <c r="S51" s="622">
        <v>9.2815441223735728</v>
      </c>
      <c r="T51" s="622">
        <v>32.908596666666668</v>
      </c>
      <c r="U51" s="622">
        <v>8.1133079726239394</v>
      </c>
      <c r="V51" s="622">
        <v>0</v>
      </c>
      <c r="W51" s="622">
        <v>0</v>
      </c>
      <c r="X51" s="622">
        <v>0</v>
      </c>
      <c r="Y51" s="623">
        <v>1396.1008749033845</v>
      </c>
      <c r="Z51" s="51"/>
      <c r="AA51" s="51"/>
      <c r="AB51" s="51"/>
    </row>
    <row r="52" spans="1:28">
      <c r="A52" s="51"/>
      <c r="B52" s="51">
        <f t="shared" ref="B52:C57" si="3">B51</f>
        <v>2020</v>
      </c>
      <c r="C52" s="51" t="str">
        <f t="shared" si="3"/>
        <v>AMS</v>
      </c>
      <c r="D52" s="51" t="s">
        <v>493</v>
      </c>
      <c r="E52" s="51"/>
      <c r="F52" s="51"/>
      <c r="G52" s="612" t="s">
        <v>60</v>
      </c>
      <c r="H52" s="622">
        <v>59.346560356893349</v>
      </c>
      <c r="I52" s="622">
        <v>394.73997109464659</v>
      </c>
      <c r="J52" s="622">
        <v>515.26337584814883</v>
      </c>
      <c r="K52" s="613">
        <v>0</v>
      </c>
      <c r="L52" s="622">
        <v>479.42224425000006</v>
      </c>
      <c r="M52" s="613">
        <v>0</v>
      </c>
      <c r="N52" s="622">
        <v>0</v>
      </c>
      <c r="O52" s="622">
        <v>0</v>
      </c>
      <c r="P52" s="622">
        <v>2.6631252777777781</v>
      </c>
      <c r="Q52" s="622">
        <v>0</v>
      </c>
      <c r="R52" s="622">
        <v>13.962014778928699</v>
      </c>
      <c r="S52" s="622">
        <v>0</v>
      </c>
      <c r="T52" s="622">
        <v>0</v>
      </c>
      <c r="U52" s="622">
        <v>0</v>
      </c>
      <c r="V52" s="622">
        <v>19.536102</v>
      </c>
      <c r="W52" s="622">
        <v>0</v>
      </c>
      <c r="X52" s="622">
        <v>0</v>
      </c>
      <c r="Y52" s="623">
        <v>1484.9333936063952</v>
      </c>
      <c r="Z52" s="51"/>
      <c r="AA52" s="51"/>
      <c r="AB52" s="51"/>
    </row>
    <row r="53" spans="1:28">
      <c r="A53" s="51"/>
      <c r="B53" s="51">
        <f t="shared" si="3"/>
        <v>2020</v>
      </c>
      <c r="C53" s="51" t="str">
        <f t="shared" si="3"/>
        <v>AMS</v>
      </c>
      <c r="D53" s="51" t="s">
        <v>494</v>
      </c>
      <c r="E53" s="51"/>
      <c r="F53" s="51"/>
      <c r="G53" s="612" t="s">
        <v>61</v>
      </c>
      <c r="H53" s="622">
        <v>-9.6972882210000014E-2</v>
      </c>
      <c r="I53" s="622">
        <v>-1.4488664385590002</v>
      </c>
      <c r="J53" s="622">
        <v>-154.00833143808623</v>
      </c>
      <c r="K53" s="613">
        <v>0</v>
      </c>
      <c r="L53" s="622">
        <v>-95.022441999999998</v>
      </c>
      <c r="M53" s="613">
        <v>0</v>
      </c>
      <c r="N53" s="622">
        <v>0</v>
      </c>
      <c r="O53" s="622">
        <v>0</v>
      </c>
      <c r="P53" s="622">
        <v>-2.0287163888888888</v>
      </c>
      <c r="Q53" s="622">
        <v>0</v>
      </c>
      <c r="R53" s="622">
        <v>-7.1333416709442901</v>
      </c>
      <c r="S53" s="622">
        <v>0</v>
      </c>
      <c r="T53" s="622">
        <v>0</v>
      </c>
      <c r="U53" s="622">
        <v>0</v>
      </c>
      <c r="V53" s="622">
        <v>-64.575296000000009</v>
      </c>
      <c r="W53" s="622">
        <v>0</v>
      </c>
      <c r="X53" s="622">
        <v>0</v>
      </c>
      <c r="Y53" s="623">
        <v>-324.31396681868836</v>
      </c>
      <c r="Z53" s="51"/>
      <c r="AA53" s="51"/>
      <c r="AB53" s="51"/>
    </row>
    <row r="54" spans="1:28">
      <c r="A54" s="51"/>
      <c r="B54" s="51">
        <f t="shared" si="3"/>
        <v>2020</v>
      </c>
      <c r="C54" s="51" t="str">
        <f t="shared" si="3"/>
        <v>AMS</v>
      </c>
      <c r="D54" s="51" t="s">
        <v>495</v>
      </c>
      <c r="E54" s="51"/>
      <c r="F54" s="51"/>
      <c r="G54" s="612" t="s">
        <v>62</v>
      </c>
      <c r="H54" s="613">
        <v>0</v>
      </c>
      <c r="I54" s="613">
        <v>0</v>
      </c>
      <c r="J54" s="613">
        <v>-11.254966292131096</v>
      </c>
      <c r="K54" s="613">
        <v>0</v>
      </c>
      <c r="L54" s="613">
        <v>0</v>
      </c>
      <c r="M54" s="613">
        <v>0</v>
      </c>
      <c r="N54" s="613">
        <v>0</v>
      </c>
      <c r="O54" s="613">
        <v>0</v>
      </c>
      <c r="P54" s="613">
        <v>0</v>
      </c>
      <c r="Q54" s="613">
        <v>0</v>
      </c>
      <c r="R54" s="613">
        <v>0</v>
      </c>
      <c r="S54" s="613">
        <v>0</v>
      </c>
      <c r="T54" s="613">
        <v>0</v>
      </c>
      <c r="U54" s="613">
        <v>0</v>
      </c>
      <c r="V54" s="622">
        <v>0</v>
      </c>
      <c r="W54" s="622">
        <v>0</v>
      </c>
      <c r="X54" s="613">
        <v>0</v>
      </c>
      <c r="Y54" s="623">
        <v>-11.254966292131096</v>
      </c>
      <c r="Z54" s="51"/>
      <c r="AA54" s="51"/>
      <c r="AB54" s="51"/>
    </row>
    <row r="55" spans="1:28">
      <c r="A55" s="51"/>
      <c r="B55" s="51">
        <f t="shared" si="3"/>
        <v>2020</v>
      </c>
      <c r="C55" s="51" t="str">
        <f t="shared" si="3"/>
        <v>AMS</v>
      </c>
      <c r="D55" s="51" t="s">
        <v>496</v>
      </c>
      <c r="E55" s="51"/>
      <c r="F55" s="51"/>
      <c r="G55" s="612" t="s">
        <v>63</v>
      </c>
      <c r="H55" s="613">
        <v>0</v>
      </c>
      <c r="I55" s="613">
        <v>0</v>
      </c>
      <c r="J55" s="613">
        <v>-37.45524104092592</v>
      </c>
      <c r="K55" s="613">
        <v>0</v>
      </c>
      <c r="L55" s="613">
        <v>0</v>
      </c>
      <c r="M55" s="613">
        <v>0</v>
      </c>
      <c r="N55" s="613">
        <v>0</v>
      </c>
      <c r="O55" s="613">
        <v>0</v>
      </c>
      <c r="P55" s="613">
        <v>0</v>
      </c>
      <c r="Q55" s="613">
        <v>0</v>
      </c>
      <c r="R55" s="613">
        <v>0</v>
      </c>
      <c r="S55" s="613">
        <v>0</v>
      </c>
      <c r="T55" s="613">
        <v>0</v>
      </c>
      <c r="U55" s="613">
        <v>0</v>
      </c>
      <c r="V55" s="622">
        <v>0</v>
      </c>
      <c r="W55" s="622">
        <v>0</v>
      </c>
      <c r="X55" s="613">
        <v>0</v>
      </c>
      <c r="Y55" s="623">
        <v>-37.45524104092592</v>
      </c>
      <c r="Z55" s="51"/>
      <c r="AA55" s="51"/>
      <c r="AB55" s="51"/>
    </row>
    <row r="56" spans="1:28">
      <c r="A56" s="51"/>
      <c r="B56" s="51">
        <f t="shared" si="3"/>
        <v>2020</v>
      </c>
      <c r="C56" s="51" t="str">
        <f t="shared" si="3"/>
        <v>AMS</v>
      </c>
      <c r="D56" s="51" t="s">
        <v>497</v>
      </c>
      <c r="E56" s="51"/>
      <c r="F56" s="51"/>
      <c r="G56" s="612" t="s">
        <v>64</v>
      </c>
      <c r="H56" s="622">
        <v>2.2754338241033341</v>
      </c>
      <c r="I56" s="622">
        <v>1.7895047303380001</v>
      </c>
      <c r="J56" s="622">
        <v>-1.4741451662241043</v>
      </c>
      <c r="K56" s="613">
        <v>0</v>
      </c>
      <c r="L56" s="622">
        <v>21.247482000000002</v>
      </c>
      <c r="M56" s="613">
        <v>0</v>
      </c>
      <c r="N56" s="622">
        <v>0</v>
      </c>
      <c r="O56" s="622">
        <v>0</v>
      </c>
      <c r="P56" s="622">
        <v>0</v>
      </c>
      <c r="Q56" s="622">
        <v>0</v>
      </c>
      <c r="R56" s="622">
        <v>0</v>
      </c>
      <c r="S56" s="622">
        <v>0</v>
      </c>
      <c r="T56" s="622">
        <v>0</v>
      </c>
      <c r="U56" s="622">
        <v>0</v>
      </c>
      <c r="V56" s="622">
        <v>0</v>
      </c>
      <c r="W56" s="622">
        <v>0</v>
      </c>
      <c r="X56" s="622">
        <v>0</v>
      </c>
      <c r="Y56" s="623">
        <v>23.838275388217234</v>
      </c>
      <c r="Z56" s="51"/>
      <c r="AA56" s="51"/>
      <c r="AB56" s="51"/>
    </row>
    <row r="57" spans="1:28">
      <c r="A57" s="51"/>
      <c r="B57" s="51">
        <f t="shared" si="3"/>
        <v>2020</v>
      </c>
      <c r="C57" s="51" t="str">
        <f t="shared" si="3"/>
        <v>AMS</v>
      </c>
      <c r="D57" s="51" t="s">
        <v>498</v>
      </c>
      <c r="E57" s="51"/>
      <c r="F57" s="51"/>
      <c r="G57" s="616" t="s">
        <v>65</v>
      </c>
      <c r="H57" s="624">
        <v>61.52502129878669</v>
      </c>
      <c r="I57" s="624">
        <v>404.87839612064664</v>
      </c>
      <c r="J57" s="624">
        <v>311.07069191078136</v>
      </c>
      <c r="K57" s="617">
        <v>0</v>
      </c>
      <c r="L57" s="624">
        <v>405.82840275000007</v>
      </c>
      <c r="M57" s="617">
        <v>0</v>
      </c>
      <c r="N57" s="624">
        <v>1072.2208090909091</v>
      </c>
      <c r="O57" s="624">
        <v>115.72304451809002</v>
      </c>
      <c r="P57" s="624">
        <v>114.87746813198341</v>
      </c>
      <c r="Q57" s="624">
        <v>33.631608055405756</v>
      </c>
      <c r="R57" s="624">
        <v>6.8286731079844092</v>
      </c>
      <c r="S57" s="624">
        <v>9.2815441223735728</v>
      </c>
      <c r="T57" s="624">
        <v>32.908596666666668</v>
      </c>
      <c r="U57" s="624">
        <v>8.1133079726239394</v>
      </c>
      <c r="V57" s="624">
        <v>-45.039194000000009</v>
      </c>
      <c r="W57" s="624">
        <v>0</v>
      </c>
      <c r="X57" s="624">
        <v>0</v>
      </c>
      <c r="Y57" s="624">
        <v>2531.8483697462511</v>
      </c>
      <c r="Z57" s="51"/>
      <c r="AA57" s="51"/>
      <c r="AB57" s="51"/>
    </row>
    <row r="58" spans="1:28">
      <c r="A58" s="51"/>
      <c r="B58" s="51"/>
      <c r="C58" s="51"/>
      <c r="D58" s="51"/>
      <c r="E58" s="51"/>
      <c r="F58" s="51"/>
      <c r="G58" s="618"/>
      <c r="H58" s="625"/>
      <c r="I58" s="625"/>
      <c r="J58" s="625"/>
      <c r="K58" s="619"/>
      <c r="L58" s="625"/>
      <c r="M58" s="619"/>
      <c r="N58" s="625"/>
      <c r="O58" s="625"/>
      <c r="P58" s="625"/>
      <c r="Q58" s="625"/>
      <c r="R58" s="625"/>
      <c r="S58" s="625"/>
      <c r="T58" s="625"/>
      <c r="U58" s="625"/>
      <c r="V58" s="625"/>
      <c r="W58" s="625"/>
      <c r="X58" s="625"/>
      <c r="Y58" s="625"/>
      <c r="Z58" s="51"/>
      <c r="AA58" s="51"/>
      <c r="AB58" s="51"/>
    </row>
    <row r="59" spans="1:28">
      <c r="A59" s="51"/>
      <c r="B59" s="51">
        <f>B57</f>
        <v>2020</v>
      </c>
      <c r="C59" s="51" t="str">
        <f>C57</f>
        <v>AMS</v>
      </c>
      <c r="D59" s="51" t="s">
        <v>499</v>
      </c>
      <c r="E59" s="51"/>
      <c r="F59" s="51"/>
      <c r="G59" s="620" t="s">
        <v>67</v>
      </c>
      <c r="H59" s="613">
        <v>-3.1696853392377875</v>
      </c>
      <c r="I59" s="613">
        <v>7.594656734105321</v>
      </c>
      <c r="J59" s="613">
        <v>3.8234994290490683</v>
      </c>
      <c r="K59" s="613">
        <v>0</v>
      </c>
      <c r="L59" s="613">
        <v>-0.68950250000000013</v>
      </c>
      <c r="M59" s="613">
        <v>0</v>
      </c>
      <c r="N59" s="613">
        <v>0</v>
      </c>
      <c r="O59" s="613">
        <v>0</v>
      </c>
      <c r="P59" s="613">
        <v>0</v>
      </c>
      <c r="Q59" s="613">
        <v>0</v>
      </c>
      <c r="R59" s="613">
        <v>0</v>
      </c>
      <c r="S59" s="613">
        <v>0</v>
      </c>
      <c r="T59" s="613">
        <v>0</v>
      </c>
      <c r="U59" s="613">
        <v>0</v>
      </c>
      <c r="V59" s="613">
        <v>2.0843062301020092</v>
      </c>
      <c r="W59" s="613">
        <v>0</v>
      </c>
      <c r="X59" s="622">
        <v>0</v>
      </c>
      <c r="Y59" s="623">
        <v>9.6432745540186122</v>
      </c>
      <c r="Z59" s="51"/>
      <c r="AA59" s="51"/>
      <c r="AB59" s="51"/>
    </row>
    <row r="60" spans="1:28">
      <c r="A60" s="51"/>
      <c r="B60" s="51">
        <f t="shared" ref="B60:C71" si="4">B59</f>
        <v>2020</v>
      </c>
      <c r="C60" s="51" t="str">
        <f t="shared" si="4"/>
        <v>AMS</v>
      </c>
      <c r="D60" s="51" t="s">
        <v>500</v>
      </c>
      <c r="E60" s="51"/>
      <c r="F60" s="51"/>
      <c r="G60" s="620" t="s">
        <v>350</v>
      </c>
      <c r="H60" s="613">
        <v>14.864431241687887</v>
      </c>
      <c r="I60" s="613">
        <v>0</v>
      </c>
      <c r="J60" s="613">
        <v>13.418152502737103</v>
      </c>
      <c r="K60" s="613">
        <v>0</v>
      </c>
      <c r="L60" s="613">
        <v>55.436136268601025</v>
      </c>
      <c r="M60" s="613">
        <v>0</v>
      </c>
      <c r="N60" s="613">
        <v>1072.2208090909091</v>
      </c>
      <c r="O60" s="613">
        <v>115.67142051809002</v>
      </c>
      <c r="P60" s="613">
        <v>17.347825951117827</v>
      </c>
      <c r="Q60" s="613">
        <v>11.678824122543197</v>
      </c>
      <c r="R60" s="613">
        <v>0</v>
      </c>
      <c r="S60" s="613">
        <v>5.2886919634287652</v>
      </c>
      <c r="T60" s="613">
        <v>0</v>
      </c>
      <c r="U60" s="613">
        <v>1.3922112325408571</v>
      </c>
      <c r="V60" s="613">
        <v>-527.28039181222232</v>
      </c>
      <c r="W60" s="613">
        <v>0</v>
      </c>
      <c r="X60" s="622">
        <v>0</v>
      </c>
      <c r="Y60" s="623">
        <v>780.03811107943307</v>
      </c>
      <c r="Z60" s="51"/>
      <c r="AA60" s="51"/>
      <c r="AB60" s="51"/>
    </row>
    <row r="61" spans="1:28">
      <c r="A61" s="51"/>
      <c r="B61" s="51">
        <f t="shared" si="4"/>
        <v>2020</v>
      </c>
      <c r="C61" s="51" t="str">
        <f t="shared" si="4"/>
        <v>AMS</v>
      </c>
      <c r="D61" s="51" t="s">
        <v>501</v>
      </c>
      <c r="E61" s="51"/>
      <c r="F61" s="51"/>
      <c r="G61" s="620" t="s">
        <v>351</v>
      </c>
      <c r="H61" s="613">
        <v>1.5729367626898902</v>
      </c>
      <c r="I61" s="613">
        <v>0</v>
      </c>
      <c r="J61" s="613">
        <v>0.20358189452574635</v>
      </c>
      <c r="K61" s="613">
        <v>0</v>
      </c>
      <c r="L61" s="613">
        <v>21.08911448139898</v>
      </c>
      <c r="M61" s="613">
        <v>0</v>
      </c>
      <c r="N61" s="613">
        <v>0</v>
      </c>
      <c r="O61" s="613">
        <v>0</v>
      </c>
      <c r="P61" s="613">
        <v>7.8982729217883261</v>
      </c>
      <c r="Q61" s="613">
        <v>16.49482411485047</v>
      </c>
      <c r="R61" s="613">
        <v>0</v>
      </c>
      <c r="S61" s="613">
        <v>3.0673174902469076</v>
      </c>
      <c r="T61" s="613">
        <v>0.25705111111111106</v>
      </c>
      <c r="U61" s="613">
        <v>3.9939867016268904</v>
      </c>
      <c r="V61" s="613">
        <v>0</v>
      </c>
      <c r="W61" s="613">
        <v>-45.831488617908406</v>
      </c>
      <c r="X61" s="622">
        <v>0</v>
      </c>
      <c r="Y61" s="623">
        <v>8.7455968603299254</v>
      </c>
      <c r="Z61" s="51"/>
      <c r="AA61" s="51"/>
      <c r="AB61" s="51"/>
    </row>
    <row r="62" spans="1:28">
      <c r="A62" s="51"/>
      <c r="B62" s="51">
        <f t="shared" si="4"/>
        <v>2020</v>
      </c>
      <c r="C62" s="51" t="str">
        <f t="shared" si="4"/>
        <v>AMS</v>
      </c>
      <c r="D62" s="51" t="s">
        <v>502</v>
      </c>
      <c r="E62" s="51"/>
      <c r="F62" s="51"/>
      <c r="G62" s="620" t="s">
        <v>352</v>
      </c>
      <c r="H62" s="613">
        <v>0</v>
      </c>
      <c r="I62" s="613">
        <v>0</v>
      </c>
      <c r="J62" s="613">
        <v>0</v>
      </c>
      <c r="K62" s="613">
        <v>0</v>
      </c>
      <c r="L62" s="613">
        <v>0</v>
      </c>
      <c r="M62" s="613">
        <v>0</v>
      </c>
      <c r="N62" s="613">
        <v>0</v>
      </c>
      <c r="O62" s="613">
        <v>0</v>
      </c>
      <c r="P62" s="613">
        <v>0</v>
      </c>
      <c r="Q62" s="613">
        <v>0</v>
      </c>
      <c r="R62" s="613">
        <v>0</v>
      </c>
      <c r="S62" s="613">
        <v>-1.9873640000000001</v>
      </c>
      <c r="T62" s="613">
        <v>0</v>
      </c>
      <c r="U62" s="613">
        <v>0</v>
      </c>
      <c r="V62" s="613">
        <v>0</v>
      </c>
      <c r="W62" s="613">
        <v>0</v>
      </c>
      <c r="X62" s="622">
        <v>0</v>
      </c>
      <c r="Y62" s="623">
        <v>-1.9873640000000001</v>
      </c>
      <c r="Z62" s="51"/>
      <c r="AA62" s="51"/>
      <c r="AB62" s="51"/>
    </row>
    <row r="63" spans="1:28">
      <c r="A63" s="51"/>
      <c r="B63" s="51">
        <f t="shared" si="4"/>
        <v>2020</v>
      </c>
      <c r="C63" s="51" t="str">
        <f t="shared" si="4"/>
        <v>AMS</v>
      </c>
      <c r="D63" s="51" t="s">
        <v>503</v>
      </c>
      <c r="E63" s="51"/>
      <c r="F63" s="51"/>
      <c r="G63" s="620" t="s">
        <v>353</v>
      </c>
      <c r="H63" s="613">
        <v>0</v>
      </c>
      <c r="I63" s="613">
        <v>0</v>
      </c>
      <c r="J63" s="613">
        <v>0</v>
      </c>
      <c r="K63" s="613">
        <v>0</v>
      </c>
      <c r="L63" s="613">
        <v>0</v>
      </c>
      <c r="M63" s="613">
        <v>0</v>
      </c>
      <c r="N63" s="613">
        <v>0</v>
      </c>
      <c r="O63" s="613">
        <v>0</v>
      </c>
      <c r="P63" s="613">
        <v>0</v>
      </c>
      <c r="Q63" s="613">
        <v>0</v>
      </c>
      <c r="R63" s="613">
        <v>0</v>
      </c>
      <c r="S63" s="613">
        <v>0</v>
      </c>
      <c r="T63" s="613">
        <v>0</v>
      </c>
      <c r="U63" s="613">
        <v>0</v>
      </c>
      <c r="V63" s="613">
        <v>0</v>
      </c>
      <c r="W63" s="613">
        <v>0</v>
      </c>
      <c r="X63" s="622">
        <v>0</v>
      </c>
      <c r="Y63" s="623">
        <v>0</v>
      </c>
      <c r="Z63" s="51"/>
      <c r="AA63" s="51"/>
      <c r="AB63" s="51"/>
    </row>
    <row r="64" spans="1:28">
      <c r="A64" s="51"/>
      <c r="B64" s="51">
        <f t="shared" si="4"/>
        <v>2020</v>
      </c>
      <c r="C64" s="51" t="str">
        <f t="shared" si="4"/>
        <v>AMS</v>
      </c>
      <c r="D64" s="51" t="s">
        <v>504</v>
      </c>
      <c r="E64" s="51"/>
      <c r="F64" s="51"/>
      <c r="G64" s="620" t="s">
        <v>72</v>
      </c>
      <c r="H64" s="613">
        <v>0</v>
      </c>
      <c r="I64" s="613">
        <v>440.59076600316865</v>
      </c>
      <c r="J64" s="613">
        <v>-437.66600779015403</v>
      </c>
      <c r="K64" s="613">
        <v>0</v>
      </c>
      <c r="L64" s="613">
        <v>0</v>
      </c>
      <c r="M64" s="613">
        <v>0</v>
      </c>
      <c r="N64" s="613">
        <v>0</v>
      </c>
      <c r="O64" s="613">
        <v>0</v>
      </c>
      <c r="P64" s="613">
        <v>0</v>
      </c>
      <c r="Q64" s="613">
        <v>0</v>
      </c>
      <c r="R64" s="613">
        <v>0</v>
      </c>
      <c r="S64" s="613">
        <v>0</v>
      </c>
      <c r="T64" s="613">
        <v>0</v>
      </c>
      <c r="U64" s="613">
        <v>0</v>
      </c>
      <c r="V64" s="613">
        <v>0</v>
      </c>
      <c r="W64" s="613">
        <v>0</v>
      </c>
      <c r="X64" s="622">
        <v>0</v>
      </c>
      <c r="Y64" s="623">
        <v>2.9247582130146133</v>
      </c>
      <c r="Z64" s="51"/>
      <c r="AA64" s="51"/>
      <c r="AB64" s="51"/>
    </row>
    <row r="65" spans="1:28">
      <c r="A65" s="51"/>
      <c r="B65" s="51">
        <f t="shared" si="4"/>
        <v>2020</v>
      </c>
      <c r="C65" s="51" t="str">
        <f t="shared" si="4"/>
        <v>AMS</v>
      </c>
      <c r="D65" s="51" t="s">
        <v>505</v>
      </c>
      <c r="E65" s="51"/>
      <c r="F65" s="51"/>
      <c r="G65" s="620" t="s">
        <v>354</v>
      </c>
      <c r="H65" s="613">
        <v>0</v>
      </c>
      <c r="I65" s="613">
        <v>0</v>
      </c>
      <c r="J65" s="613">
        <v>0</v>
      </c>
      <c r="K65" s="613">
        <v>0</v>
      </c>
      <c r="L65" s="613">
        <v>0</v>
      </c>
      <c r="M65" s="613">
        <v>0</v>
      </c>
      <c r="N65" s="613">
        <v>0</v>
      </c>
      <c r="O65" s="613">
        <v>0</v>
      </c>
      <c r="P65" s="613">
        <v>0</v>
      </c>
      <c r="Q65" s="613">
        <v>0</v>
      </c>
      <c r="R65" s="613">
        <v>-27.31624937979873</v>
      </c>
      <c r="S65" s="613">
        <v>0</v>
      </c>
      <c r="T65" s="613">
        <v>0</v>
      </c>
      <c r="U65" s="613">
        <v>0</v>
      </c>
      <c r="V65" s="613">
        <v>0</v>
      </c>
      <c r="W65" s="613">
        <v>0</v>
      </c>
      <c r="X65" s="622">
        <v>0</v>
      </c>
      <c r="Y65" s="623">
        <v>-27.31624937979873</v>
      </c>
      <c r="Z65" s="51"/>
      <c r="AA65" s="51"/>
      <c r="AB65" s="51"/>
    </row>
    <row r="66" spans="1:28">
      <c r="A66" s="51"/>
      <c r="B66" s="51">
        <f t="shared" si="4"/>
        <v>2020</v>
      </c>
      <c r="C66" s="51" t="str">
        <f t="shared" si="4"/>
        <v>AMS</v>
      </c>
      <c r="D66" s="51" t="s">
        <v>506</v>
      </c>
      <c r="E66" s="51"/>
      <c r="F66" s="51"/>
      <c r="G66" s="620" t="s">
        <v>355</v>
      </c>
      <c r="H66" s="613">
        <v>0</v>
      </c>
      <c r="I66" s="613">
        <v>0</v>
      </c>
      <c r="J66" s="613">
        <v>0</v>
      </c>
      <c r="K66" s="613">
        <v>0</v>
      </c>
      <c r="L66" s="613">
        <v>0</v>
      </c>
      <c r="M66" s="613">
        <v>0</v>
      </c>
      <c r="N66" s="613">
        <v>0</v>
      </c>
      <c r="O66" s="613">
        <v>0</v>
      </c>
      <c r="P66" s="613">
        <v>0</v>
      </c>
      <c r="Q66" s="613">
        <v>0</v>
      </c>
      <c r="R66" s="613">
        <v>0</v>
      </c>
      <c r="S66" s="613">
        <v>0</v>
      </c>
      <c r="T66" s="613">
        <v>0</v>
      </c>
      <c r="U66" s="613">
        <v>0</v>
      </c>
      <c r="V66" s="613">
        <v>0</v>
      </c>
      <c r="W66" s="613">
        <v>0</v>
      </c>
      <c r="X66" s="622">
        <v>0</v>
      </c>
      <c r="Y66" s="623">
        <v>0</v>
      </c>
      <c r="Z66" s="51"/>
      <c r="AA66" s="51"/>
      <c r="AB66" s="51"/>
    </row>
    <row r="67" spans="1:28">
      <c r="A67" s="51"/>
      <c r="B67" s="51">
        <f t="shared" si="4"/>
        <v>2020</v>
      </c>
      <c r="C67" s="51" t="str">
        <f t="shared" si="4"/>
        <v>AMS</v>
      </c>
      <c r="D67" s="51" t="s">
        <v>507</v>
      </c>
      <c r="E67" s="51"/>
      <c r="F67" s="51"/>
      <c r="G67" s="620" t="s">
        <v>73</v>
      </c>
      <c r="H67" s="613">
        <v>0</v>
      </c>
      <c r="I67" s="613">
        <v>0</v>
      </c>
      <c r="J67" s="613">
        <v>0</v>
      </c>
      <c r="K67" s="613">
        <v>0</v>
      </c>
      <c r="L67" s="613">
        <v>0</v>
      </c>
      <c r="M67" s="613">
        <v>0</v>
      </c>
      <c r="N67" s="613">
        <v>0</v>
      </c>
      <c r="O67" s="613">
        <v>0</v>
      </c>
      <c r="P67" s="613">
        <v>0</v>
      </c>
      <c r="Q67" s="613">
        <v>0</v>
      </c>
      <c r="R67" s="613">
        <v>0</v>
      </c>
      <c r="S67" s="613">
        <v>0</v>
      </c>
      <c r="T67" s="613">
        <v>0</v>
      </c>
      <c r="U67" s="613">
        <v>0</v>
      </c>
      <c r="V67" s="613">
        <v>0</v>
      </c>
      <c r="W67" s="613">
        <v>0</v>
      </c>
      <c r="X67" s="622">
        <v>0</v>
      </c>
      <c r="Y67" s="623">
        <v>0</v>
      </c>
      <c r="Z67" s="51"/>
      <c r="AA67" s="51"/>
      <c r="AB67" s="51"/>
    </row>
    <row r="68" spans="1:28">
      <c r="A68" s="51"/>
      <c r="B68" s="51">
        <f t="shared" si="4"/>
        <v>2020</v>
      </c>
      <c r="C68" s="51" t="str">
        <f t="shared" si="4"/>
        <v>AMS</v>
      </c>
      <c r="D68" s="51" t="s">
        <v>508</v>
      </c>
      <c r="E68" s="51"/>
      <c r="F68" s="51"/>
      <c r="G68" s="620" t="s">
        <v>356</v>
      </c>
      <c r="H68" s="613">
        <v>24.856875540426671</v>
      </c>
      <c r="I68" s="613">
        <v>-42.586921310488997</v>
      </c>
      <c r="J68" s="613">
        <v>41.670112128488995</v>
      </c>
      <c r="K68" s="613">
        <v>0</v>
      </c>
      <c r="L68" s="613">
        <v>0</v>
      </c>
      <c r="M68" s="613">
        <v>0</v>
      </c>
      <c r="N68" s="613">
        <v>0</v>
      </c>
      <c r="O68" s="613">
        <v>0</v>
      </c>
      <c r="P68" s="613">
        <v>0</v>
      </c>
      <c r="Q68" s="613">
        <v>0</v>
      </c>
      <c r="R68" s="613">
        <v>0</v>
      </c>
      <c r="S68" s="613">
        <v>0</v>
      </c>
      <c r="T68" s="613">
        <v>0</v>
      </c>
      <c r="U68" s="613">
        <v>0</v>
      </c>
      <c r="V68" s="613">
        <v>0</v>
      </c>
      <c r="W68" s="613">
        <v>0</v>
      </c>
      <c r="X68" s="622">
        <v>0</v>
      </c>
      <c r="Y68" s="623">
        <v>23.94006635842667</v>
      </c>
      <c r="Z68" s="51"/>
      <c r="AA68" s="51"/>
      <c r="AB68" s="51"/>
    </row>
    <row r="69" spans="1:28">
      <c r="A69" s="51"/>
      <c r="B69" s="51">
        <f t="shared" si="4"/>
        <v>2020</v>
      </c>
      <c r="C69" s="51" t="str">
        <f t="shared" si="4"/>
        <v>AMS</v>
      </c>
      <c r="D69" s="51" t="s">
        <v>509</v>
      </c>
      <c r="E69" s="51"/>
      <c r="F69" s="51"/>
      <c r="G69" s="620" t="s">
        <v>75</v>
      </c>
      <c r="H69" s="613">
        <v>10.864485000000002</v>
      </c>
      <c r="I69" s="613">
        <v>0</v>
      </c>
      <c r="J69" s="613">
        <v>12.156002809978</v>
      </c>
      <c r="K69" s="613">
        <v>0</v>
      </c>
      <c r="L69" s="613">
        <v>6.2612449999999988</v>
      </c>
      <c r="M69" s="613">
        <v>0</v>
      </c>
      <c r="N69" s="613">
        <v>0</v>
      </c>
      <c r="O69" s="613">
        <v>0</v>
      </c>
      <c r="P69" s="613">
        <v>0</v>
      </c>
      <c r="Q69" s="613">
        <v>0</v>
      </c>
      <c r="R69" s="613">
        <v>0</v>
      </c>
      <c r="S69" s="613">
        <v>0</v>
      </c>
      <c r="T69" s="613">
        <v>0</v>
      </c>
      <c r="U69" s="613">
        <v>0</v>
      </c>
      <c r="V69" s="613">
        <v>32.903944582120353</v>
      </c>
      <c r="W69" s="613">
        <v>0</v>
      </c>
      <c r="X69" s="622">
        <v>0</v>
      </c>
      <c r="Y69" s="623">
        <v>62.185677392098349</v>
      </c>
      <c r="Z69" s="51"/>
      <c r="AA69" s="51"/>
      <c r="AB69" s="51"/>
    </row>
    <row r="70" spans="1:28">
      <c r="A70" s="51"/>
      <c r="B70" s="51">
        <f t="shared" si="4"/>
        <v>2020</v>
      </c>
      <c r="C70" s="51" t="str">
        <f t="shared" si="4"/>
        <v>AMS</v>
      </c>
      <c r="D70" s="51" t="s">
        <v>510</v>
      </c>
      <c r="E70" s="51"/>
      <c r="F70" s="51"/>
      <c r="G70" s="620" t="s">
        <v>76</v>
      </c>
      <c r="H70" s="613">
        <v>0</v>
      </c>
      <c r="I70" s="613">
        <v>0</v>
      </c>
      <c r="J70" s="613">
        <v>0</v>
      </c>
      <c r="K70" s="613">
        <v>0</v>
      </c>
      <c r="L70" s="613">
        <v>3.9080132499999998</v>
      </c>
      <c r="M70" s="613">
        <v>0</v>
      </c>
      <c r="N70" s="613">
        <v>0</v>
      </c>
      <c r="O70" s="613">
        <v>0</v>
      </c>
      <c r="P70" s="613">
        <v>0</v>
      </c>
      <c r="Q70" s="613">
        <v>0</v>
      </c>
      <c r="R70" s="613">
        <v>0</v>
      </c>
      <c r="S70" s="613">
        <v>0</v>
      </c>
      <c r="T70" s="613">
        <v>0</v>
      </c>
      <c r="U70" s="613">
        <v>0</v>
      </c>
      <c r="V70" s="613">
        <v>35.893531999999993</v>
      </c>
      <c r="W70" s="613">
        <v>4.1669160064579911</v>
      </c>
      <c r="X70" s="622">
        <v>0</v>
      </c>
      <c r="Y70" s="623">
        <v>43.968461256457985</v>
      </c>
      <c r="Z70" s="51"/>
      <c r="AA70" s="51"/>
      <c r="AB70" s="51"/>
    </row>
    <row r="71" spans="1:28">
      <c r="A71" s="51"/>
      <c r="B71" s="51">
        <f t="shared" si="4"/>
        <v>2020</v>
      </c>
      <c r="C71" s="51" t="str">
        <f t="shared" si="4"/>
        <v>AMS</v>
      </c>
      <c r="D71" s="51" t="s">
        <v>511</v>
      </c>
      <c r="E71" s="51"/>
      <c r="F71" s="51"/>
      <c r="G71" s="616" t="s">
        <v>77</v>
      </c>
      <c r="H71" s="624">
        <v>48.989043205566666</v>
      </c>
      <c r="I71" s="624">
        <v>405.59850142678499</v>
      </c>
      <c r="J71" s="624">
        <v>-366.39465902537506</v>
      </c>
      <c r="K71" s="617">
        <v>0</v>
      </c>
      <c r="L71" s="624">
        <v>86.005006499999993</v>
      </c>
      <c r="M71" s="617">
        <v>0</v>
      </c>
      <c r="N71" s="624">
        <v>1072.2208090909091</v>
      </c>
      <c r="O71" s="624">
        <v>115.67142051809002</v>
      </c>
      <c r="P71" s="624">
        <v>25.246098872906153</v>
      </c>
      <c r="Q71" s="624">
        <v>28.173648237393667</v>
      </c>
      <c r="R71" s="624">
        <v>-27.31624937979873</v>
      </c>
      <c r="S71" s="624">
        <v>6.3686454536756729</v>
      </c>
      <c r="T71" s="624">
        <v>0.25705111111111106</v>
      </c>
      <c r="U71" s="624">
        <v>5.3861979341677468</v>
      </c>
      <c r="V71" s="624">
        <v>-456.39860899999991</v>
      </c>
      <c r="W71" s="624">
        <v>-41.66457261145041</v>
      </c>
      <c r="X71" s="624">
        <v>0</v>
      </c>
      <c r="Y71" s="624">
        <v>902.14233233398068</v>
      </c>
      <c r="Z71" s="51"/>
      <c r="AA71" s="51"/>
      <c r="AB71" s="51"/>
    </row>
    <row r="72" spans="1:28">
      <c r="A72" s="51"/>
      <c r="B72" s="51"/>
      <c r="C72" s="51"/>
      <c r="D72" s="51"/>
      <c r="E72" s="51"/>
      <c r="F72" s="51"/>
      <c r="G72" s="618"/>
      <c r="H72" s="625">
        <v>0</v>
      </c>
      <c r="I72" s="625">
        <v>0</v>
      </c>
      <c r="J72" s="625">
        <v>0</v>
      </c>
      <c r="K72" s="619"/>
      <c r="L72" s="625">
        <v>0</v>
      </c>
      <c r="M72" s="619"/>
      <c r="N72" s="625">
        <v>0</v>
      </c>
      <c r="O72" s="625">
        <v>0</v>
      </c>
      <c r="P72" s="625">
        <v>0</v>
      </c>
      <c r="Q72" s="625">
        <v>0</v>
      </c>
      <c r="R72" s="625">
        <v>0</v>
      </c>
      <c r="S72" s="625">
        <v>0</v>
      </c>
      <c r="T72" s="625">
        <v>0</v>
      </c>
      <c r="U72" s="625">
        <v>0</v>
      </c>
      <c r="V72" s="625">
        <v>0</v>
      </c>
      <c r="W72" s="625">
        <v>0</v>
      </c>
      <c r="X72" s="625">
        <v>0</v>
      </c>
      <c r="Y72" s="625">
        <v>0</v>
      </c>
      <c r="Z72" s="51"/>
      <c r="AA72" s="51"/>
      <c r="AB72" s="51"/>
    </row>
    <row r="73" spans="1:28">
      <c r="A73" s="51"/>
      <c r="B73" s="51">
        <f>B71</f>
        <v>2020</v>
      </c>
      <c r="C73" s="51" t="str">
        <f>C51</f>
        <v>AMS</v>
      </c>
      <c r="D73" s="51" t="s">
        <v>512</v>
      </c>
      <c r="E73" s="51"/>
      <c r="F73" s="51"/>
      <c r="G73" s="620" t="s">
        <v>78</v>
      </c>
      <c r="H73" s="613">
        <v>9.103168484740003</v>
      </c>
      <c r="I73" s="613">
        <v>0</v>
      </c>
      <c r="J73" s="613">
        <v>30.742620872292591</v>
      </c>
      <c r="K73" s="613">
        <v>0</v>
      </c>
      <c r="L73" s="613">
        <v>115.67477925</v>
      </c>
      <c r="M73" s="613">
        <v>0</v>
      </c>
      <c r="N73" s="613">
        <v>0</v>
      </c>
      <c r="O73" s="613">
        <v>0</v>
      </c>
      <c r="P73" s="613">
        <v>15.652087601653344</v>
      </c>
      <c r="Q73" s="613">
        <v>3.5686448746488644</v>
      </c>
      <c r="R73" s="613">
        <v>1.0751813257923004</v>
      </c>
      <c r="S73" s="613">
        <v>0.92719655758676645</v>
      </c>
      <c r="T73" s="613">
        <v>0</v>
      </c>
      <c r="U73" s="613">
        <v>1.540935583552362E-2</v>
      </c>
      <c r="V73" s="613">
        <v>105.80333299999998</v>
      </c>
      <c r="W73" s="613">
        <v>17.474535389228187</v>
      </c>
      <c r="X73" s="613">
        <v>0</v>
      </c>
      <c r="Y73" s="621">
        <v>300.03695671177758</v>
      </c>
      <c r="Z73" s="51"/>
      <c r="AA73" s="51"/>
      <c r="AB73" s="51"/>
    </row>
    <row r="74" spans="1:28">
      <c r="A74" s="51"/>
      <c r="B74" s="51">
        <f t="shared" ref="B74:C81" si="5">B73</f>
        <v>2020</v>
      </c>
      <c r="C74" s="51" t="str">
        <f t="shared" si="5"/>
        <v>AMS</v>
      </c>
      <c r="D74" s="51" t="s">
        <v>513</v>
      </c>
      <c r="E74" s="51"/>
      <c r="F74" s="51"/>
      <c r="G74" s="620" t="s">
        <v>79</v>
      </c>
      <c r="H74" s="613">
        <v>0</v>
      </c>
      <c r="I74" s="613">
        <v>0</v>
      </c>
      <c r="J74" s="613">
        <v>396.20072754031048</v>
      </c>
      <c r="K74" s="613">
        <v>0</v>
      </c>
      <c r="L74" s="613">
        <v>2.2477145000000003</v>
      </c>
      <c r="M74" s="613">
        <v>0</v>
      </c>
      <c r="N74" s="613">
        <v>0</v>
      </c>
      <c r="O74" s="613">
        <v>0</v>
      </c>
      <c r="P74" s="613">
        <v>0</v>
      </c>
      <c r="Q74" s="613">
        <v>0</v>
      </c>
      <c r="R74" s="613">
        <v>30.751352031352695</v>
      </c>
      <c r="S74" s="613">
        <v>0</v>
      </c>
      <c r="T74" s="613">
        <v>0</v>
      </c>
      <c r="U74" s="613">
        <v>0</v>
      </c>
      <c r="V74" s="613">
        <v>8.3371990700000005</v>
      </c>
      <c r="W74" s="613">
        <v>0</v>
      </c>
      <c r="X74" s="613">
        <v>0</v>
      </c>
      <c r="Y74" s="621">
        <v>437.53699314166312</v>
      </c>
      <c r="Z74" s="51"/>
      <c r="AA74" s="51"/>
      <c r="AB74" s="51"/>
    </row>
    <row r="75" spans="1:28">
      <c r="A75" s="51"/>
      <c r="B75" s="51">
        <f t="shared" si="5"/>
        <v>2020</v>
      </c>
      <c r="C75" s="51" t="str">
        <f t="shared" si="5"/>
        <v>AMS</v>
      </c>
      <c r="D75" s="51" t="s">
        <v>514</v>
      </c>
      <c r="E75" s="51"/>
      <c r="F75" s="51"/>
      <c r="G75" s="620" t="s">
        <v>80</v>
      </c>
      <c r="H75" s="613">
        <v>0.24074954804999998</v>
      </c>
      <c r="I75" s="613">
        <v>0</v>
      </c>
      <c r="J75" s="613">
        <v>50.312051197940285</v>
      </c>
      <c r="K75" s="613">
        <v>0</v>
      </c>
      <c r="L75" s="613">
        <v>125.05981225000002</v>
      </c>
      <c r="M75" s="613">
        <v>0</v>
      </c>
      <c r="N75" s="613">
        <v>0</v>
      </c>
      <c r="O75" s="613">
        <v>0</v>
      </c>
      <c r="P75" s="613">
        <v>69.406708888888886</v>
      </c>
      <c r="Q75" s="613">
        <v>0</v>
      </c>
      <c r="R75" s="613">
        <v>0</v>
      </c>
      <c r="S75" s="613">
        <v>0</v>
      </c>
      <c r="T75" s="613">
        <v>28.099863055555552</v>
      </c>
      <c r="U75" s="613">
        <v>2.0645206826866662</v>
      </c>
      <c r="V75" s="613">
        <v>161.49853200000001</v>
      </c>
      <c r="W75" s="613">
        <v>14.411899999999999</v>
      </c>
      <c r="X75" s="613">
        <v>0</v>
      </c>
      <c r="Y75" s="621">
        <v>451.09413762312141</v>
      </c>
      <c r="Z75" s="51"/>
      <c r="AA75" s="51"/>
      <c r="AB75" s="51"/>
    </row>
    <row r="76" spans="1:28">
      <c r="A76" s="51"/>
      <c r="B76" s="51">
        <f t="shared" si="5"/>
        <v>2020</v>
      </c>
      <c r="C76" s="51" t="str">
        <f t="shared" si="5"/>
        <v>AMS</v>
      </c>
      <c r="D76" s="51" t="s">
        <v>515</v>
      </c>
      <c r="E76" s="51"/>
      <c r="F76" s="51"/>
      <c r="G76" s="620" t="s">
        <v>81</v>
      </c>
      <c r="H76" s="613">
        <v>0.35525487623000002</v>
      </c>
      <c r="I76" s="613">
        <v>0</v>
      </c>
      <c r="J76" s="613">
        <v>31.907501208676987</v>
      </c>
      <c r="K76" s="613">
        <v>0</v>
      </c>
      <c r="L76" s="613">
        <v>62.61667825</v>
      </c>
      <c r="M76" s="613">
        <v>0</v>
      </c>
      <c r="N76" s="613">
        <v>0</v>
      </c>
      <c r="O76" s="613">
        <v>0</v>
      </c>
      <c r="P76" s="613">
        <v>2.8232277777777779</v>
      </c>
      <c r="Q76" s="613">
        <v>2.2859468815788357</v>
      </c>
      <c r="R76" s="613">
        <v>0</v>
      </c>
      <c r="S76" s="613">
        <v>1.4745088888888889</v>
      </c>
      <c r="T76" s="613">
        <v>4.5516825000000001</v>
      </c>
      <c r="U76" s="613">
        <v>0.35485889253622721</v>
      </c>
      <c r="V76" s="613">
        <v>127.64086592999999</v>
      </c>
      <c r="W76" s="613">
        <v>9.5887644444444451</v>
      </c>
      <c r="X76" s="613">
        <v>0</v>
      </c>
      <c r="Y76" s="621">
        <v>243.59928965013316</v>
      </c>
      <c r="Z76" s="51"/>
      <c r="AA76" s="51"/>
      <c r="AB76" s="51"/>
    </row>
    <row r="77" spans="1:28">
      <c r="A77" s="51"/>
      <c r="B77" s="51">
        <f t="shared" si="5"/>
        <v>2020</v>
      </c>
      <c r="C77" s="51" t="str">
        <f t="shared" si="5"/>
        <v>AMS</v>
      </c>
      <c r="D77" s="51" t="s">
        <v>516</v>
      </c>
      <c r="E77" s="51"/>
      <c r="F77" s="51"/>
      <c r="G77" s="620" t="s">
        <v>82</v>
      </c>
      <c r="H77" s="613">
        <v>1.5371382629999998E-2</v>
      </c>
      <c r="I77" s="613">
        <v>0</v>
      </c>
      <c r="J77" s="613">
        <v>37.352212663167997</v>
      </c>
      <c r="K77" s="613">
        <v>0</v>
      </c>
      <c r="L77" s="613">
        <v>2.1964755</v>
      </c>
      <c r="M77" s="613">
        <v>0</v>
      </c>
      <c r="N77" s="613">
        <v>0</v>
      </c>
      <c r="O77" s="613">
        <v>0</v>
      </c>
      <c r="P77" s="613">
        <v>1.7493453935920653</v>
      </c>
      <c r="Q77" s="613">
        <v>0</v>
      </c>
      <c r="R77" s="613">
        <v>1.9048961095281811</v>
      </c>
      <c r="S77" s="613">
        <v>0.51119305555555561</v>
      </c>
      <c r="T77" s="613">
        <v>0</v>
      </c>
      <c r="U77" s="613">
        <v>0.29232166666666665</v>
      </c>
      <c r="V77" s="613">
        <v>8.079485</v>
      </c>
      <c r="W77" s="613">
        <v>0.18937333333333334</v>
      </c>
      <c r="X77" s="613">
        <v>0</v>
      </c>
      <c r="Y77" s="621">
        <v>52.290674104473801</v>
      </c>
      <c r="Z77" s="51"/>
      <c r="AA77" s="51"/>
      <c r="AB77" s="51"/>
    </row>
    <row r="78" spans="1:28">
      <c r="A78" s="51"/>
      <c r="B78" s="51">
        <f t="shared" si="5"/>
        <v>2020</v>
      </c>
      <c r="C78" s="51" t="str">
        <f t="shared" si="5"/>
        <v>AMS</v>
      </c>
      <c r="D78" s="51" t="s">
        <v>517</v>
      </c>
      <c r="E78" s="51"/>
      <c r="F78" s="51"/>
      <c r="G78" s="620" t="s">
        <v>357</v>
      </c>
      <c r="H78" s="613">
        <v>0</v>
      </c>
      <c r="I78" s="613">
        <v>0</v>
      </c>
      <c r="J78" s="613">
        <v>0</v>
      </c>
      <c r="K78" s="613">
        <v>0</v>
      </c>
      <c r="L78" s="613">
        <v>0</v>
      </c>
      <c r="M78" s="613">
        <v>0</v>
      </c>
      <c r="N78" s="613">
        <v>0</v>
      </c>
      <c r="O78" s="613">
        <v>0</v>
      </c>
      <c r="P78" s="613">
        <v>0</v>
      </c>
      <c r="Q78" s="613">
        <v>0</v>
      </c>
      <c r="R78" s="613">
        <v>0</v>
      </c>
      <c r="S78" s="613">
        <v>0</v>
      </c>
      <c r="T78" s="613">
        <v>0</v>
      </c>
      <c r="U78" s="613">
        <v>0</v>
      </c>
      <c r="V78" s="613">
        <v>0</v>
      </c>
      <c r="W78" s="613">
        <v>0</v>
      </c>
      <c r="X78" s="613">
        <v>0</v>
      </c>
      <c r="Y78" s="621">
        <v>0</v>
      </c>
      <c r="Z78" s="51"/>
      <c r="AA78" s="51"/>
      <c r="AB78" s="51"/>
    </row>
    <row r="79" spans="1:28">
      <c r="A79" s="51"/>
      <c r="B79" s="51">
        <f t="shared" si="5"/>
        <v>2020</v>
      </c>
      <c r="C79" s="51" t="str">
        <f t="shared" si="5"/>
        <v>AMS</v>
      </c>
      <c r="D79" s="51" t="s">
        <v>518</v>
      </c>
      <c r="E79" s="51"/>
      <c r="F79" s="51"/>
      <c r="G79" s="616" t="s">
        <v>83</v>
      </c>
      <c r="H79" s="624">
        <v>9.714544291650002</v>
      </c>
      <c r="I79" s="624">
        <v>0</v>
      </c>
      <c r="J79" s="624">
        <v>546.5151134823883</v>
      </c>
      <c r="K79" s="617">
        <v>0</v>
      </c>
      <c r="L79" s="624">
        <v>307.79545975000002</v>
      </c>
      <c r="M79" s="617">
        <v>0</v>
      </c>
      <c r="N79" s="624">
        <v>0</v>
      </c>
      <c r="O79" s="624">
        <v>0</v>
      </c>
      <c r="P79" s="624">
        <v>89.631369661912075</v>
      </c>
      <c r="Q79" s="624">
        <v>5.8545917562277001</v>
      </c>
      <c r="R79" s="624">
        <v>33.731429466673177</v>
      </c>
      <c r="S79" s="624">
        <v>2.9128985020312106</v>
      </c>
      <c r="T79" s="624">
        <v>32.65154555555555</v>
      </c>
      <c r="U79" s="624">
        <v>2.7271105977250834</v>
      </c>
      <c r="V79" s="624">
        <v>411.35941499999996</v>
      </c>
      <c r="W79" s="624">
        <v>41.664573167005962</v>
      </c>
      <c r="X79" s="624">
        <v>0</v>
      </c>
      <c r="Y79" s="624">
        <v>1484.5580512311692</v>
      </c>
      <c r="Z79" s="51"/>
      <c r="AA79" s="51"/>
      <c r="AB79" s="51"/>
    </row>
    <row r="80" spans="1:28">
      <c r="A80" s="51"/>
      <c r="B80" s="51">
        <f t="shared" si="5"/>
        <v>2020</v>
      </c>
      <c r="C80" s="51" t="str">
        <f t="shared" si="5"/>
        <v>AMS</v>
      </c>
      <c r="D80" s="51" t="s">
        <v>519</v>
      </c>
      <c r="E80" s="51"/>
      <c r="F80" s="51"/>
      <c r="G80" s="612" t="s">
        <v>84</v>
      </c>
      <c r="H80" s="613">
        <v>2.8214338015700005</v>
      </c>
      <c r="I80" s="613">
        <v>0</v>
      </c>
      <c r="J80" s="613">
        <v>130.9502374537683</v>
      </c>
      <c r="K80" s="613">
        <v>0</v>
      </c>
      <c r="L80" s="613">
        <v>12.027936500000001</v>
      </c>
      <c r="M80" s="613">
        <v>0</v>
      </c>
      <c r="N80" s="613">
        <v>0</v>
      </c>
      <c r="O80" s="613">
        <v>0</v>
      </c>
      <c r="P80" s="613">
        <v>0</v>
      </c>
      <c r="Q80" s="613">
        <v>0</v>
      </c>
      <c r="R80" s="613">
        <v>0</v>
      </c>
      <c r="S80" s="613">
        <v>0</v>
      </c>
      <c r="T80" s="613">
        <v>0</v>
      </c>
      <c r="U80" s="613">
        <v>0</v>
      </c>
      <c r="V80" s="613">
        <v>0</v>
      </c>
      <c r="W80" s="613">
        <v>0</v>
      </c>
      <c r="X80" s="613">
        <v>0</v>
      </c>
      <c r="Y80" s="621">
        <v>145.79960775533831</v>
      </c>
      <c r="Z80" s="51"/>
      <c r="AA80" s="51"/>
      <c r="AB80" s="51"/>
    </row>
    <row r="81" spans="1:28">
      <c r="A81" s="51"/>
      <c r="B81" s="51">
        <f t="shared" si="5"/>
        <v>2020</v>
      </c>
      <c r="C81" s="51" t="str">
        <f t="shared" si="5"/>
        <v>AMS</v>
      </c>
      <c r="D81" s="51" t="s">
        <v>520</v>
      </c>
      <c r="E81" s="51"/>
      <c r="F81" s="51"/>
      <c r="G81" s="616" t="s">
        <v>85</v>
      </c>
      <c r="H81" s="624">
        <v>12.535978093220002</v>
      </c>
      <c r="I81" s="624">
        <v>0</v>
      </c>
      <c r="J81" s="624">
        <v>677.4653509361566</v>
      </c>
      <c r="K81" s="617">
        <v>0</v>
      </c>
      <c r="L81" s="624">
        <v>319.82339625000003</v>
      </c>
      <c r="M81" s="617">
        <v>0</v>
      </c>
      <c r="N81" s="624">
        <v>0</v>
      </c>
      <c r="O81" s="624">
        <v>0</v>
      </c>
      <c r="P81" s="624">
        <v>89.631369661912075</v>
      </c>
      <c r="Q81" s="624">
        <v>5.8545917562277001</v>
      </c>
      <c r="R81" s="624">
        <v>33.731429466673177</v>
      </c>
      <c r="S81" s="624">
        <v>2.9128985020312106</v>
      </c>
      <c r="T81" s="624">
        <v>32.65154555555555</v>
      </c>
      <c r="U81" s="624">
        <v>2.7271105977250834</v>
      </c>
      <c r="V81" s="624">
        <v>411.35941499999996</v>
      </c>
      <c r="W81" s="624">
        <v>41.664573167005962</v>
      </c>
      <c r="X81" s="624">
        <v>0</v>
      </c>
      <c r="Y81" s="624">
        <v>1630.3576589865074</v>
      </c>
      <c r="Z81" s="51"/>
      <c r="AA81" s="51"/>
      <c r="AB81" s="51"/>
    </row>
    <row r="82" spans="1:28">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c r="AA82" s="51"/>
      <c r="AB82" s="51"/>
    </row>
    <row r="83" spans="1:28">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row>
    <row r="84" spans="1:28">
      <c r="A84" s="608"/>
      <c r="B84" s="608"/>
      <c r="C84" s="608"/>
      <c r="D84" s="608"/>
      <c r="E84" s="608"/>
      <c r="F84" s="608"/>
      <c r="G84" s="609" t="s">
        <v>358</v>
      </c>
      <c r="H84" s="608"/>
      <c r="I84" s="608"/>
      <c r="J84" s="608"/>
      <c r="K84" s="608"/>
      <c r="L84" s="608"/>
      <c r="M84" s="608"/>
      <c r="N84" s="608"/>
      <c r="O84" s="608"/>
      <c r="P84" s="608"/>
      <c r="Q84" s="608"/>
      <c r="R84" s="608"/>
      <c r="S84" s="608"/>
      <c r="T84" s="608"/>
      <c r="U84" s="608"/>
      <c r="V84" s="608"/>
      <c r="W84" s="608"/>
      <c r="X84" s="608"/>
      <c r="Y84" s="608"/>
      <c r="Z84" s="608"/>
      <c r="AA84" s="608"/>
      <c r="AB84" s="608"/>
    </row>
    <row r="85" spans="1:28">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row>
    <row r="86" spans="1:28" ht="14.25" customHeight="1">
      <c r="A86" s="51"/>
      <c r="B86" s="51"/>
      <c r="C86" s="51"/>
      <c r="D86" s="51"/>
      <c r="E86" s="51"/>
      <c r="F86" s="51"/>
      <c r="G86" s="713" t="s">
        <v>128</v>
      </c>
      <c r="H86" s="711" t="s">
        <v>42</v>
      </c>
      <c r="I86" s="711" t="s">
        <v>52</v>
      </c>
      <c r="J86" s="711" t="s">
        <v>53</v>
      </c>
      <c r="K86" s="711" t="s">
        <v>487</v>
      </c>
      <c r="L86" s="711" t="s">
        <v>32</v>
      </c>
      <c r="M86" s="711" t="s">
        <v>488</v>
      </c>
      <c r="N86" s="711" t="s">
        <v>20</v>
      </c>
      <c r="O86" s="711" t="s">
        <v>55</v>
      </c>
      <c r="P86" s="715" t="s">
        <v>56</v>
      </c>
      <c r="Q86" s="716"/>
      <c r="R86" s="716"/>
      <c r="S86" s="716"/>
      <c r="T86" s="716"/>
      <c r="U86" s="717"/>
      <c r="V86" s="711" t="s">
        <v>57</v>
      </c>
      <c r="W86" s="711" t="s">
        <v>58</v>
      </c>
      <c r="X86" s="711" t="s">
        <v>31</v>
      </c>
      <c r="Y86" s="711" t="s">
        <v>10</v>
      </c>
      <c r="Z86" s="51"/>
      <c r="AA86" s="51"/>
      <c r="AB86" s="51"/>
    </row>
    <row r="87" spans="1:28" ht="24">
      <c r="A87" s="51" t="s">
        <v>521</v>
      </c>
      <c r="B87" s="51" t="s">
        <v>489</v>
      </c>
      <c r="C87" s="51" t="s">
        <v>490</v>
      </c>
      <c r="D87" s="51" t="s">
        <v>491</v>
      </c>
      <c r="E87" s="51" t="s">
        <v>522</v>
      </c>
      <c r="F87" s="51"/>
      <c r="G87" s="714"/>
      <c r="H87" s="712"/>
      <c r="I87" s="712"/>
      <c r="J87" s="712"/>
      <c r="K87" s="712"/>
      <c r="L87" s="712"/>
      <c r="M87" s="712"/>
      <c r="N87" s="712"/>
      <c r="O87" s="712"/>
      <c r="P87" s="610" t="s">
        <v>338</v>
      </c>
      <c r="Q87" s="610" t="s">
        <v>40</v>
      </c>
      <c r="R87" s="610" t="s">
        <v>346</v>
      </c>
      <c r="S87" s="610" t="s">
        <v>347</v>
      </c>
      <c r="T87" s="611" t="s">
        <v>348</v>
      </c>
      <c r="U87" s="610" t="s">
        <v>349</v>
      </c>
      <c r="V87" s="712"/>
      <c r="W87" s="712"/>
      <c r="X87" s="712"/>
      <c r="Y87" s="712"/>
      <c r="Z87" s="51"/>
      <c r="AA87" s="51"/>
      <c r="AB87" s="51"/>
    </row>
    <row r="88" spans="1:28">
      <c r="A88" s="51" t="e">
        <f>ROW(#REF!)</f>
        <v>#REF!</v>
      </c>
      <c r="B88" s="51">
        <v>2023</v>
      </c>
      <c r="C88" s="51" t="s">
        <v>47</v>
      </c>
      <c r="D88" s="51" t="s">
        <v>492</v>
      </c>
      <c r="E88" s="51" t="e">
        <f>VLOOKUP($H$6,#REF!,2,FALSE)</f>
        <v>#REF!</v>
      </c>
      <c r="F88" s="51"/>
      <c r="G88" s="612" t="s">
        <v>59</v>
      </c>
      <c r="H88" s="613">
        <v>0</v>
      </c>
      <c r="I88" s="613">
        <v>9.7691999999999997</v>
      </c>
      <c r="J88" s="613">
        <v>0</v>
      </c>
      <c r="K88" s="613">
        <v>0</v>
      </c>
      <c r="L88" s="613">
        <v>0.18608000000000002</v>
      </c>
      <c r="M88" s="613">
        <v>0</v>
      </c>
      <c r="N88" s="622">
        <v>1053.5890909090911</v>
      </c>
      <c r="O88" s="622">
        <v>140.80876550165527</v>
      </c>
      <c r="P88" s="622">
        <v>211.56428068204218</v>
      </c>
      <c r="Q88" s="622">
        <v>28.846508757618857</v>
      </c>
      <c r="R88" s="613">
        <v>1.2541050018668516</v>
      </c>
      <c r="S88" s="613">
        <v>0.16066538698047411</v>
      </c>
      <c r="T88" s="622">
        <v>51.691578550496644</v>
      </c>
      <c r="U88" s="622">
        <v>7.2966333603269149</v>
      </c>
      <c r="V88" s="613">
        <v>0</v>
      </c>
      <c r="W88" s="613">
        <v>0</v>
      </c>
      <c r="X88" s="613">
        <v>0</v>
      </c>
      <c r="Y88" s="623">
        <v>1505.1669081500781</v>
      </c>
      <c r="Z88" s="51"/>
      <c r="AA88" s="51"/>
      <c r="AB88" s="51"/>
    </row>
    <row r="89" spans="1:28">
      <c r="A89" s="51" t="e">
        <f t="shared" ref="A89:A94" si="6">A88+1</f>
        <v>#REF!</v>
      </c>
      <c r="B89" s="51">
        <f t="shared" ref="B89:C94" si="7">B88</f>
        <v>2023</v>
      </c>
      <c r="C89" s="51" t="str">
        <f t="shared" si="7"/>
        <v>AMS</v>
      </c>
      <c r="D89" s="51" t="s">
        <v>493</v>
      </c>
      <c r="E89" s="51" t="e">
        <f>VLOOKUP($H$6,#REF!,2,FALSE)</f>
        <v>#REF!</v>
      </c>
      <c r="F89" s="51"/>
      <c r="G89" s="612" t="s">
        <v>60</v>
      </c>
      <c r="H89" s="613">
        <v>55.381963306879783</v>
      </c>
      <c r="I89" s="613">
        <v>462.05884439413359</v>
      </c>
      <c r="J89" s="613">
        <v>258.77539609169685</v>
      </c>
      <c r="K89" s="613">
        <v>0.4821984357974316</v>
      </c>
      <c r="L89" s="613">
        <v>373.52108413615281</v>
      </c>
      <c r="M89" s="613">
        <v>0</v>
      </c>
      <c r="N89" s="613">
        <v>0</v>
      </c>
      <c r="O89" s="613">
        <v>0</v>
      </c>
      <c r="P89" s="613">
        <v>1.7064184013992112</v>
      </c>
      <c r="Q89" s="613">
        <v>0</v>
      </c>
      <c r="R89" s="613">
        <v>2.499440757084872</v>
      </c>
      <c r="S89" s="613">
        <v>0</v>
      </c>
      <c r="T89" s="613">
        <v>0</v>
      </c>
      <c r="U89" s="613">
        <v>0</v>
      </c>
      <c r="V89" s="613">
        <v>0</v>
      </c>
      <c r="W89" s="613">
        <v>0</v>
      </c>
      <c r="X89" s="613">
        <v>0</v>
      </c>
      <c r="Y89" s="623">
        <v>1154.4253455231446</v>
      </c>
      <c r="Z89" s="51"/>
      <c r="AA89" s="51"/>
      <c r="AB89" s="51"/>
    </row>
    <row r="90" spans="1:28">
      <c r="A90" s="51" t="e">
        <f t="shared" si="6"/>
        <v>#REF!</v>
      </c>
      <c r="B90" s="51">
        <f t="shared" si="7"/>
        <v>2023</v>
      </c>
      <c r="C90" s="51" t="str">
        <f t="shared" si="7"/>
        <v>AMS</v>
      </c>
      <c r="D90" s="51" t="s">
        <v>494</v>
      </c>
      <c r="E90" s="51" t="e">
        <f>VLOOKUP($H$6,#REF!,2,FALSE)</f>
        <v>#REF!</v>
      </c>
      <c r="F90" s="51"/>
      <c r="G90" s="612" t="s">
        <v>61</v>
      </c>
      <c r="H90" s="613">
        <v>0</v>
      </c>
      <c r="I90" s="613">
        <v>0</v>
      </c>
      <c r="J90" s="613">
        <v>-1.2209185925395749</v>
      </c>
      <c r="K90" s="613">
        <v>0</v>
      </c>
      <c r="L90" s="613">
        <v>0</v>
      </c>
      <c r="M90" s="613">
        <v>0</v>
      </c>
      <c r="N90" s="613">
        <v>0</v>
      </c>
      <c r="O90" s="613">
        <v>0</v>
      </c>
      <c r="P90" s="613">
        <v>0</v>
      </c>
      <c r="Q90" s="613">
        <v>0</v>
      </c>
      <c r="R90" s="613">
        <v>0</v>
      </c>
      <c r="S90" s="613">
        <v>0</v>
      </c>
      <c r="T90" s="613">
        <v>0</v>
      </c>
      <c r="U90" s="613">
        <v>0</v>
      </c>
      <c r="V90" s="613">
        <v>-44.876679511255588</v>
      </c>
      <c r="W90" s="613">
        <v>0</v>
      </c>
      <c r="X90" s="613">
        <v>0</v>
      </c>
      <c r="Y90" s="623">
        <v>-46.097598103795164</v>
      </c>
      <c r="Z90" s="51"/>
      <c r="AA90" s="51"/>
      <c r="AB90" s="51"/>
    </row>
    <row r="91" spans="1:28">
      <c r="A91" s="51" t="e">
        <f t="shared" si="6"/>
        <v>#REF!</v>
      </c>
      <c r="B91" s="51">
        <f t="shared" si="7"/>
        <v>2023</v>
      </c>
      <c r="C91" s="51" t="str">
        <f t="shared" si="7"/>
        <v>AMS</v>
      </c>
      <c r="D91" s="51" t="s">
        <v>495</v>
      </c>
      <c r="E91" s="51" t="e">
        <f>VLOOKUP($H$6,#REF!,2,FALSE)</f>
        <v>#REF!</v>
      </c>
      <c r="F91" s="51"/>
      <c r="G91" s="612" t="s">
        <v>62</v>
      </c>
      <c r="H91" s="613">
        <v>0</v>
      </c>
      <c r="I91" s="613">
        <v>0</v>
      </c>
      <c r="J91" s="613">
        <v>-18.690118059591438</v>
      </c>
      <c r="K91" s="613">
        <v>0</v>
      </c>
      <c r="L91" s="613">
        <v>-0.63746853416095417</v>
      </c>
      <c r="M91" s="613">
        <v>0</v>
      </c>
      <c r="N91" s="613">
        <v>0</v>
      </c>
      <c r="O91" s="613">
        <v>0</v>
      </c>
      <c r="P91" s="613">
        <v>0</v>
      </c>
      <c r="Q91" s="613">
        <v>0</v>
      </c>
      <c r="R91" s="613">
        <v>-0.21915172379020703</v>
      </c>
      <c r="S91" s="613">
        <v>-1.9986637209666883E-2</v>
      </c>
      <c r="T91" s="613">
        <v>0</v>
      </c>
      <c r="U91" s="613">
        <v>0</v>
      </c>
      <c r="V91" s="613">
        <v>0</v>
      </c>
      <c r="W91" s="613">
        <v>0</v>
      </c>
      <c r="X91" s="613">
        <v>0</v>
      </c>
      <c r="Y91" s="623">
        <v>-19.566724954752267</v>
      </c>
      <c r="Z91" s="51"/>
      <c r="AA91" s="51"/>
      <c r="AB91" s="51"/>
    </row>
    <row r="92" spans="1:28">
      <c r="A92" s="51" t="e">
        <f t="shared" si="6"/>
        <v>#REF!</v>
      </c>
      <c r="B92" s="51">
        <f t="shared" si="7"/>
        <v>2023</v>
      </c>
      <c r="C92" s="51" t="str">
        <f t="shared" si="7"/>
        <v>AMS</v>
      </c>
      <c r="D92" s="51" t="s">
        <v>496</v>
      </c>
      <c r="E92" s="51" t="e">
        <f>VLOOKUP($H$6,#REF!,2,FALSE)</f>
        <v>#REF!</v>
      </c>
      <c r="F92" s="51"/>
      <c r="G92" s="612" t="s">
        <v>63</v>
      </c>
      <c r="H92" s="613">
        <v>0</v>
      </c>
      <c r="I92" s="613">
        <v>0</v>
      </c>
      <c r="J92" s="613">
        <v>-61.207306845856941</v>
      </c>
      <c r="K92" s="613">
        <v>-2.3572892961241775E-2</v>
      </c>
      <c r="L92" s="613">
        <v>0</v>
      </c>
      <c r="M92" s="613">
        <v>0</v>
      </c>
      <c r="N92" s="613">
        <v>0</v>
      </c>
      <c r="O92" s="613">
        <v>0</v>
      </c>
      <c r="P92" s="613">
        <v>0</v>
      </c>
      <c r="Q92" s="613">
        <v>0</v>
      </c>
      <c r="R92" s="613">
        <v>-0.99044454483745525</v>
      </c>
      <c r="S92" s="613">
        <v>0</v>
      </c>
      <c r="T92" s="613">
        <v>0</v>
      </c>
      <c r="U92" s="613">
        <v>0</v>
      </c>
      <c r="V92" s="613">
        <v>0</v>
      </c>
      <c r="W92" s="613">
        <v>0</v>
      </c>
      <c r="X92" s="613">
        <v>0</v>
      </c>
      <c r="Y92" s="623">
        <v>-62.221324283655633</v>
      </c>
      <c r="Z92" s="51"/>
      <c r="AA92" s="51"/>
      <c r="AB92" s="51"/>
    </row>
    <row r="93" spans="1:28">
      <c r="A93" s="51" t="e">
        <f t="shared" si="6"/>
        <v>#REF!</v>
      </c>
      <c r="B93" s="51">
        <f t="shared" si="7"/>
        <v>2023</v>
      </c>
      <c r="C93" s="51" t="str">
        <f t="shared" si="7"/>
        <v>AMS</v>
      </c>
      <c r="D93" s="51" t="s">
        <v>497</v>
      </c>
      <c r="E93" s="51" t="e">
        <f>VLOOKUP($H$6,#REF!,2,FALSE)</f>
        <v>#REF!</v>
      </c>
      <c r="F93" s="51"/>
      <c r="G93" s="612" t="s">
        <v>64</v>
      </c>
      <c r="H93" s="613">
        <v>9.7684723496666986E-2</v>
      </c>
      <c r="I93" s="613">
        <v>-5.9567697000000003E-2</v>
      </c>
      <c r="J93" s="613">
        <v>3.8766666666666671E-2</v>
      </c>
      <c r="K93" s="613">
        <v>0</v>
      </c>
      <c r="L93" s="613">
        <v>0</v>
      </c>
      <c r="M93" s="613">
        <v>0</v>
      </c>
      <c r="N93" s="613">
        <v>0</v>
      </c>
      <c r="O93" s="613">
        <v>0</v>
      </c>
      <c r="P93" s="613">
        <v>0</v>
      </c>
      <c r="Q93" s="613">
        <v>0</v>
      </c>
      <c r="R93" s="613">
        <v>0</v>
      </c>
      <c r="S93" s="613">
        <v>0</v>
      </c>
      <c r="T93" s="613">
        <v>0</v>
      </c>
      <c r="U93" s="613">
        <v>0</v>
      </c>
      <c r="V93" s="613">
        <v>0</v>
      </c>
      <c r="W93" s="613">
        <v>0</v>
      </c>
      <c r="X93" s="613">
        <v>0</v>
      </c>
      <c r="Y93" s="623">
        <v>7.6883693163333655E-2</v>
      </c>
      <c r="Z93" s="51"/>
      <c r="AA93" s="51"/>
      <c r="AB93" s="51"/>
    </row>
    <row r="94" spans="1:28">
      <c r="A94" s="51" t="e">
        <f t="shared" si="6"/>
        <v>#REF!</v>
      </c>
      <c r="B94" s="51">
        <f t="shared" si="7"/>
        <v>2023</v>
      </c>
      <c r="C94" s="51" t="str">
        <f t="shared" si="7"/>
        <v>AMS</v>
      </c>
      <c r="D94" s="51" t="s">
        <v>498</v>
      </c>
      <c r="E94" s="51" t="e">
        <f>VLOOKUP($H$6,#REF!,2,FALSE)</f>
        <v>#REF!</v>
      </c>
      <c r="F94" s="51"/>
      <c r="G94" s="616" t="s">
        <v>65</v>
      </c>
      <c r="H94" s="624">
        <v>55.479648030376453</v>
      </c>
      <c r="I94" s="624">
        <v>471.76847669713356</v>
      </c>
      <c r="J94" s="624">
        <v>177.6958192603756</v>
      </c>
      <c r="K94" s="617">
        <v>0.45862554283618984</v>
      </c>
      <c r="L94" s="624">
        <v>373.06969560199184</v>
      </c>
      <c r="M94" s="617">
        <v>0</v>
      </c>
      <c r="N94" s="624">
        <v>1053.5890909090911</v>
      </c>
      <c r="O94" s="624">
        <v>140.80876550165527</v>
      </c>
      <c r="P94" s="624">
        <v>213.2706990834414</v>
      </c>
      <c r="Q94" s="624">
        <v>28.846508757618857</v>
      </c>
      <c r="R94" s="624">
        <v>2.5439494903240614</v>
      </c>
      <c r="S94" s="624">
        <v>0.14067874977080724</v>
      </c>
      <c r="T94" s="624">
        <v>51.691578550496644</v>
      </c>
      <c r="U94" s="624">
        <v>7.2966333603269149</v>
      </c>
      <c r="V94" s="624">
        <v>-44.876679511255588</v>
      </c>
      <c r="W94" s="624">
        <v>0</v>
      </c>
      <c r="X94" s="624">
        <v>0</v>
      </c>
      <c r="Y94" s="624">
        <v>2531.7834900241833</v>
      </c>
      <c r="Z94" s="51"/>
      <c r="AA94" s="51"/>
      <c r="AB94" s="51"/>
    </row>
    <row r="95" spans="1:28">
      <c r="A95" s="51"/>
      <c r="B95" s="51"/>
      <c r="C95" s="51"/>
      <c r="D95" s="51"/>
      <c r="E95" s="51"/>
      <c r="F95" s="51"/>
      <c r="G95" s="618"/>
      <c r="H95" s="625">
        <v>0</v>
      </c>
      <c r="I95" s="625">
        <v>0</v>
      </c>
      <c r="J95" s="625">
        <v>0</v>
      </c>
      <c r="K95" s="619">
        <v>0</v>
      </c>
      <c r="L95" s="625">
        <v>0</v>
      </c>
      <c r="M95" s="619">
        <v>0</v>
      </c>
      <c r="N95" s="625">
        <v>0</v>
      </c>
      <c r="O95" s="625">
        <v>0</v>
      </c>
      <c r="P95" s="625">
        <v>0</v>
      </c>
      <c r="Q95" s="625">
        <v>0</v>
      </c>
      <c r="R95" s="625">
        <v>0</v>
      </c>
      <c r="S95" s="625">
        <v>0</v>
      </c>
      <c r="T95" s="625">
        <v>0</v>
      </c>
      <c r="U95" s="625">
        <v>0</v>
      </c>
      <c r="V95" s="625">
        <v>0</v>
      </c>
      <c r="W95" s="625">
        <v>0</v>
      </c>
      <c r="X95" s="625">
        <v>0</v>
      </c>
      <c r="Y95" s="625">
        <v>0</v>
      </c>
      <c r="Z95" s="51"/>
      <c r="AA95" s="51"/>
      <c r="AB95" s="51"/>
    </row>
    <row r="96" spans="1:28">
      <c r="A96" s="51" t="e">
        <f>A94+2</f>
        <v>#REF!</v>
      </c>
      <c r="B96" s="51">
        <f>B94</f>
        <v>2023</v>
      </c>
      <c r="C96" s="51" t="str">
        <f>C94</f>
        <v>AMS</v>
      </c>
      <c r="D96" s="51" t="s">
        <v>499</v>
      </c>
      <c r="E96" s="51" t="e">
        <f>VLOOKUP($H$6,#REF!,2,FALSE)</f>
        <v>#REF!</v>
      </c>
      <c r="F96" s="51"/>
      <c r="G96" s="620" t="s">
        <v>67</v>
      </c>
      <c r="H96" s="613">
        <v>0</v>
      </c>
      <c r="I96" s="613">
        <v>4.3623690669338813E-2</v>
      </c>
      <c r="J96" s="613">
        <v>-0.43976848620269193</v>
      </c>
      <c r="K96" s="613">
        <v>0</v>
      </c>
      <c r="L96" s="613">
        <v>0</v>
      </c>
      <c r="M96" s="613">
        <v>0</v>
      </c>
      <c r="N96" s="613">
        <v>0</v>
      </c>
      <c r="O96" s="613">
        <v>0</v>
      </c>
      <c r="P96" s="613">
        <v>0</v>
      </c>
      <c r="Q96" s="613">
        <v>0</v>
      </c>
      <c r="R96" s="613">
        <v>0</v>
      </c>
      <c r="S96" s="613">
        <v>0</v>
      </c>
      <c r="T96" s="613">
        <v>0</v>
      </c>
      <c r="U96" s="613">
        <v>0</v>
      </c>
      <c r="V96" s="613">
        <v>0.19176325930063415</v>
      </c>
      <c r="W96" s="613">
        <v>0</v>
      </c>
      <c r="X96" s="613">
        <v>0</v>
      </c>
      <c r="Y96" s="621">
        <v>-0.20438153623271899</v>
      </c>
      <c r="Z96" s="51"/>
      <c r="AA96" s="51"/>
      <c r="AB96" s="51"/>
    </row>
    <row r="97" spans="1:28">
      <c r="A97" s="51" t="e">
        <f t="shared" ref="A97:A108" si="8">A96+1</f>
        <v>#REF!</v>
      </c>
      <c r="B97" s="51">
        <f t="shared" ref="B97:C108" si="9">B96</f>
        <v>2023</v>
      </c>
      <c r="C97" s="51" t="str">
        <f t="shared" si="9"/>
        <v>AMS</v>
      </c>
      <c r="D97" s="51" t="s">
        <v>500</v>
      </c>
      <c r="E97" s="51" t="e">
        <f>VLOOKUP($H$6,#REF!,2,FALSE)</f>
        <v>#REF!</v>
      </c>
      <c r="F97" s="51"/>
      <c r="G97" s="620" t="s">
        <v>350</v>
      </c>
      <c r="H97" s="613">
        <v>6.8845296447860136</v>
      </c>
      <c r="I97" s="613">
        <v>0</v>
      </c>
      <c r="J97" s="613">
        <v>8.9608656289106836</v>
      </c>
      <c r="K97" s="613">
        <v>0</v>
      </c>
      <c r="L97" s="613">
        <v>46.648997158972115</v>
      </c>
      <c r="M97" s="613">
        <v>0</v>
      </c>
      <c r="N97" s="613">
        <v>1053.5890909090911</v>
      </c>
      <c r="O97" s="613">
        <v>140.80876550165527</v>
      </c>
      <c r="P97" s="613">
        <v>35.964632638361529</v>
      </c>
      <c r="Q97" s="613">
        <v>11.704080283712768</v>
      </c>
      <c r="R97" s="613">
        <v>3.7008210788065874</v>
      </c>
      <c r="S97" s="613">
        <v>5.9958333108106707</v>
      </c>
      <c r="T97" s="613">
        <v>0</v>
      </c>
      <c r="U97" s="613">
        <v>0.58332819125492874</v>
      </c>
      <c r="V97" s="613">
        <v>-536.95314024573702</v>
      </c>
      <c r="W97" s="613">
        <v>0</v>
      </c>
      <c r="X97" s="613">
        <v>0</v>
      </c>
      <c r="Y97" s="621">
        <v>777.88780410062475</v>
      </c>
      <c r="Z97" s="51"/>
      <c r="AA97" s="51"/>
      <c r="AB97" s="51"/>
    </row>
    <row r="98" spans="1:28">
      <c r="A98" s="51" t="e">
        <f t="shared" si="8"/>
        <v>#REF!</v>
      </c>
      <c r="B98" s="51">
        <f t="shared" si="9"/>
        <v>2023</v>
      </c>
      <c r="C98" s="51" t="str">
        <f t="shared" si="9"/>
        <v>AMS</v>
      </c>
      <c r="D98" s="51" t="s">
        <v>501</v>
      </c>
      <c r="E98" s="51" t="e">
        <f>VLOOKUP($H$6,#REF!,2,FALSE)</f>
        <v>#REF!</v>
      </c>
      <c r="F98" s="51"/>
      <c r="G98" s="620" t="s">
        <v>351</v>
      </c>
      <c r="H98" s="613">
        <v>0.51386910718324508</v>
      </c>
      <c r="I98" s="613">
        <v>0</v>
      </c>
      <c r="J98" s="613">
        <v>7.6404494382022473E-2</v>
      </c>
      <c r="K98" s="613">
        <v>0</v>
      </c>
      <c r="L98" s="613">
        <v>18.437939298309416</v>
      </c>
      <c r="M98" s="613">
        <v>0</v>
      </c>
      <c r="N98" s="613">
        <v>0</v>
      </c>
      <c r="O98" s="613">
        <v>0</v>
      </c>
      <c r="P98" s="613">
        <v>21.79805888469869</v>
      </c>
      <c r="Q98" s="613">
        <v>14.969732959042592</v>
      </c>
      <c r="R98" s="613">
        <v>0</v>
      </c>
      <c r="S98" s="613">
        <v>3.0216984697001137</v>
      </c>
      <c r="T98" s="613">
        <v>0</v>
      </c>
      <c r="U98" s="613">
        <v>4.3023879699163166</v>
      </c>
      <c r="V98" s="613">
        <v>0</v>
      </c>
      <c r="W98" s="613">
        <v>-56.500241406713869</v>
      </c>
      <c r="X98" s="613">
        <v>0</v>
      </c>
      <c r="Y98" s="621">
        <v>6.61984977651852</v>
      </c>
      <c r="Z98" s="51"/>
      <c r="AA98" s="51"/>
      <c r="AB98" s="51"/>
    </row>
    <row r="99" spans="1:28">
      <c r="A99" s="51" t="e">
        <f t="shared" si="8"/>
        <v>#REF!</v>
      </c>
      <c r="B99" s="51">
        <f t="shared" si="9"/>
        <v>2023</v>
      </c>
      <c r="C99" s="51" t="str">
        <f t="shared" si="9"/>
        <v>AMS</v>
      </c>
      <c r="D99" s="51" t="s">
        <v>502</v>
      </c>
      <c r="E99" s="51" t="e">
        <f>VLOOKUP($H$6,#REF!,2,FALSE)</f>
        <v>#REF!</v>
      </c>
      <c r="F99" s="51"/>
      <c r="G99" s="620" t="s">
        <v>352</v>
      </c>
      <c r="H99" s="613">
        <v>0</v>
      </c>
      <c r="I99" s="613">
        <v>0</v>
      </c>
      <c r="J99" s="613">
        <v>0</v>
      </c>
      <c r="K99" s="613">
        <v>0</v>
      </c>
      <c r="L99" s="613">
        <v>0</v>
      </c>
      <c r="M99" s="613">
        <v>0</v>
      </c>
      <c r="N99" s="613">
        <v>0</v>
      </c>
      <c r="O99" s="613">
        <v>0</v>
      </c>
      <c r="P99" s="613">
        <v>19.890638456413971</v>
      </c>
      <c r="Q99" s="613">
        <v>0</v>
      </c>
      <c r="R99" s="613">
        <v>0</v>
      </c>
      <c r="S99" s="613">
        <v>-18.500220621845841</v>
      </c>
      <c r="T99" s="613">
        <v>0</v>
      </c>
      <c r="U99" s="613">
        <v>0</v>
      </c>
      <c r="V99" s="613">
        <v>0</v>
      </c>
      <c r="W99" s="613">
        <v>0</v>
      </c>
      <c r="X99" s="613">
        <v>0</v>
      </c>
      <c r="Y99" s="621">
        <v>1.3904178345681295</v>
      </c>
      <c r="Z99" s="51"/>
      <c r="AA99" s="51"/>
      <c r="AB99" s="51"/>
    </row>
    <row r="100" spans="1:28">
      <c r="A100" s="51" t="e">
        <f t="shared" si="8"/>
        <v>#REF!</v>
      </c>
      <c r="B100" s="51">
        <f t="shared" si="9"/>
        <v>2023</v>
      </c>
      <c r="C100" s="51" t="str">
        <f t="shared" si="9"/>
        <v>AMS</v>
      </c>
      <c r="D100" s="51" t="s">
        <v>503</v>
      </c>
      <c r="E100" s="51" t="e">
        <f>VLOOKUP($H$6,#REF!,2,FALSE)</f>
        <v>#REF!</v>
      </c>
      <c r="F100" s="51"/>
      <c r="G100" s="620" t="s">
        <v>353</v>
      </c>
      <c r="H100" s="613">
        <v>0</v>
      </c>
      <c r="I100" s="613">
        <v>0</v>
      </c>
      <c r="J100" s="613">
        <v>0</v>
      </c>
      <c r="K100" s="613">
        <v>0</v>
      </c>
      <c r="L100" s="613">
        <v>0</v>
      </c>
      <c r="M100" s="613">
        <v>0</v>
      </c>
      <c r="N100" s="613">
        <v>0</v>
      </c>
      <c r="O100" s="613">
        <v>0</v>
      </c>
      <c r="P100" s="613">
        <v>0</v>
      </c>
      <c r="Q100" s="613">
        <v>0</v>
      </c>
      <c r="R100" s="613">
        <v>0</v>
      </c>
      <c r="S100" s="613">
        <v>0</v>
      </c>
      <c r="T100" s="613">
        <v>0</v>
      </c>
      <c r="U100" s="613">
        <v>0</v>
      </c>
      <c r="V100" s="613">
        <v>0</v>
      </c>
      <c r="W100" s="613">
        <v>0</v>
      </c>
      <c r="X100" s="613">
        <v>0</v>
      </c>
      <c r="Y100" s="621">
        <v>0</v>
      </c>
      <c r="Z100" s="51"/>
      <c r="AA100" s="51"/>
      <c r="AB100" s="51"/>
    </row>
    <row r="101" spans="1:28">
      <c r="A101" s="51" t="e">
        <f t="shared" si="8"/>
        <v>#REF!</v>
      </c>
      <c r="B101" s="51">
        <f t="shared" si="9"/>
        <v>2023</v>
      </c>
      <c r="C101" s="51" t="str">
        <f t="shared" si="9"/>
        <v>AMS</v>
      </c>
      <c r="D101" s="51" t="s">
        <v>504</v>
      </c>
      <c r="E101" s="51" t="e">
        <f>VLOOKUP($H$6,#REF!,2,FALSE)</f>
        <v>#REF!</v>
      </c>
      <c r="F101" s="51"/>
      <c r="G101" s="620" t="s">
        <v>72</v>
      </c>
      <c r="H101" s="613">
        <v>0</v>
      </c>
      <c r="I101" s="613">
        <v>488.94348991796431</v>
      </c>
      <c r="J101" s="613">
        <v>-484.0817118369651</v>
      </c>
      <c r="K101" s="613">
        <v>0</v>
      </c>
      <c r="L101" s="613">
        <v>0</v>
      </c>
      <c r="M101" s="613">
        <v>0</v>
      </c>
      <c r="N101" s="613">
        <v>0</v>
      </c>
      <c r="O101" s="613">
        <v>0</v>
      </c>
      <c r="P101" s="613">
        <v>0</v>
      </c>
      <c r="Q101" s="613">
        <v>0</v>
      </c>
      <c r="R101" s="613">
        <v>0</v>
      </c>
      <c r="S101" s="613">
        <v>0</v>
      </c>
      <c r="T101" s="613">
        <v>0</v>
      </c>
      <c r="U101" s="613">
        <v>0</v>
      </c>
      <c r="V101" s="613">
        <v>0</v>
      </c>
      <c r="W101" s="613">
        <v>0</v>
      </c>
      <c r="X101" s="613">
        <v>0</v>
      </c>
      <c r="Y101" s="621">
        <v>4.8617780809992377</v>
      </c>
      <c r="Z101" s="51"/>
      <c r="AA101" s="51"/>
      <c r="AB101" s="51"/>
    </row>
    <row r="102" spans="1:28">
      <c r="A102" s="51" t="e">
        <f t="shared" si="8"/>
        <v>#REF!</v>
      </c>
      <c r="B102" s="51">
        <f t="shared" si="9"/>
        <v>2023</v>
      </c>
      <c r="C102" s="51" t="str">
        <f t="shared" si="9"/>
        <v>AMS</v>
      </c>
      <c r="D102" s="51" t="s">
        <v>505</v>
      </c>
      <c r="E102" s="51" t="e">
        <f>VLOOKUP($H$6,#REF!,2,FALSE)</f>
        <v>#REF!</v>
      </c>
      <c r="F102" s="51"/>
      <c r="G102" s="620" t="s">
        <v>354</v>
      </c>
      <c r="H102" s="613">
        <v>0</v>
      </c>
      <c r="I102" s="613">
        <v>0</v>
      </c>
      <c r="J102" s="613">
        <v>0</v>
      </c>
      <c r="K102" s="613">
        <v>0</v>
      </c>
      <c r="L102" s="613">
        <v>0</v>
      </c>
      <c r="M102" s="613">
        <v>0</v>
      </c>
      <c r="N102" s="613">
        <v>0</v>
      </c>
      <c r="O102" s="613">
        <v>0</v>
      </c>
      <c r="P102" s="613">
        <v>46.704417237442101</v>
      </c>
      <c r="Q102" s="613">
        <v>0</v>
      </c>
      <c r="R102" s="613">
        <v>-46.704417237442101</v>
      </c>
      <c r="S102" s="613">
        <v>0</v>
      </c>
      <c r="T102" s="613">
        <v>0</v>
      </c>
      <c r="U102" s="613">
        <v>0</v>
      </c>
      <c r="V102" s="613">
        <v>0</v>
      </c>
      <c r="W102" s="613">
        <v>0</v>
      </c>
      <c r="X102" s="613">
        <v>0</v>
      </c>
      <c r="Y102" s="621">
        <v>0</v>
      </c>
      <c r="Z102" s="51"/>
      <c r="AA102" s="51"/>
      <c r="AB102" s="51"/>
    </row>
    <row r="103" spans="1:28">
      <c r="A103" s="51" t="e">
        <f t="shared" si="8"/>
        <v>#REF!</v>
      </c>
      <c r="B103" s="51">
        <f t="shared" si="9"/>
        <v>2023</v>
      </c>
      <c r="C103" s="51" t="str">
        <f t="shared" si="9"/>
        <v>AMS</v>
      </c>
      <c r="D103" s="51" t="s">
        <v>506</v>
      </c>
      <c r="E103" s="51" t="e">
        <f>VLOOKUP($H$6,#REF!,2,FALSE)</f>
        <v>#REF!</v>
      </c>
      <c r="F103" s="51"/>
      <c r="G103" s="620" t="s">
        <v>355</v>
      </c>
      <c r="H103" s="613">
        <v>0</v>
      </c>
      <c r="I103" s="613">
        <v>0</v>
      </c>
      <c r="J103" s="613">
        <v>0</v>
      </c>
      <c r="K103" s="613">
        <v>-4.2859805384075952E-2</v>
      </c>
      <c r="L103" s="613">
        <v>0</v>
      </c>
      <c r="M103" s="613">
        <v>0</v>
      </c>
      <c r="N103" s="613">
        <v>0</v>
      </c>
      <c r="O103" s="613">
        <v>0</v>
      </c>
      <c r="P103" s="613">
        <v>0</v>
      </c>
      <c r="Q103" s="613">
        <v>0</v>
      </c>
      <c r="R103" s="613">
        <v>0</v>
      </c>
      <c r="S103" s="613">
        <v>0</v>
      </c>
      <c r="T103" s="613">
        <v>0</v>
      </c>
      <c r="U103" s="613">
        <v>0</v>
      </c>
      <c r="V103" s="613">
        <v>0</v>
      </c>
      <c r="W103" s="613">
        <v>0</v>
      </c>
      <c r="X103" s="613">
        <v>5.969332226194423E-2</v>
      </c>
      <c r="Y103" s="621">
        <v>1.6833516877868278E-2</v>
      </c>
      <c r="Z103" s="51"/>
      <c r="AA103" s="51"/>
      <c r="AB103" s="51"/>
    </row>
    <row r="104" spans="1:28">
      <c r="A104" s="51" t="e">
        <f t="shared" si="8"/>
        <v>#REF!</v>
      </c>
      <c r="B104" s="51">
        <f t="shared" si="9"/>
        <v>2023</v>
      </c>
      <c r="C104" s="51" t="str">
        <f t="shared" si="9"/>
        <v>AMS</v>
      </c>
      <c r="D104" s="51" t="s">
        <v>507</v>
      </c>
      <c r="E104" s="51" t="e">
        <f>VLOOKUP($H$6,#REF!,2,FALSE)</f>
        <v>#REF!</v>
      </c>
      <c r="F104" s="51"/>
      <c r="G104" s="620" t="s">
        <v>73</v>
      </c>
      <c r="H104" s="613">
        <v>0</v>
      </c>
      <c r="I104" s="613">
        <v>0</v>
      </c>
      <c r="J104" s="613">
        <v>0</v>
      </c>
      <c r="K104" s="613">
        <v>0</v>
      </c>
      <c r="L104" s="613">
        <v>0</v>
      </c>
      <c r="M104" s="613">
        <v>0</v>
      </c>
      <c r="N104" s="613">
        <v>0</v>
      </c>
      <c r="O104" s="613">
        <v>0</v>
      </c>
      <c r="P104" s="613">
        <v>0</v>
      </c>
      <c r="Q104" s="613">
        <v>0</v>
      </c>
      <c r="R104" s="613">
        <v>0</v>
      </c>
      <c r="S104" s="613">
        <v>0</v>
      </c>
      <c r="T104" s="613">
        <v>0</v>
      </c>
      <c r="U104" s="613">
        <v>0</v>
      </c>
      <c r="V104" s="613">
        <v>3.2419807733491699</v>
      </c>
      <c r="W104" s="613">
        <v>0</v>
      </c>
      <c r="X104" s="613">
        <v>-2.1072875026769604</v>
      </c>
      <c r="Y104" s="621">
        <v>1.1346932706722095</v>
      </c>
      <c r="Z104" s="51"/>
      <c r="AA104" s="51"/>
      <c r="AB104" s="51"/>
    </row>
    <row r="105" spans="1:28">
      <c r="A105" s="51" t="e">
        <f t="shared" si="8"/>
        <v>#REF!</v>
      </c>
      <c r="B105" s="51">
        <f t="shared" si="9"/>
        <v>2023</v>
      </c>
      <c r="C105" s="51" t="str">
        <f t="shared" si="9"/>
        <v>AMS</v>
      </c>
      <c r="D105" s="51" t="s">
        <v>508</v>
      </c>
      <c r="E105" s="51" t="e">
        <f>VLOOKUP($H$6,#REF!,2,FALSE)</f>
        <v>#REF!</v>
      </c>
      <c r="F105" s="51"/>
      <c r="G105" s="620" t="s">
        <v>356</v>
      </c>
      <c r="H105" s="613">
        <v>29.6567859375</v>
      </c>
      <c r="I105" s="613">
        <v>-17.218594005820741</v>
      </c>
      <c r="J105" s="613">
        <v>22.383724171942411</v>
      </c>
      <c r="K105" s="613">
        <v>0</v>
      </c>
      <c r="L105" s="613">
        <v>0</v>
      </c>
      <c r="M105" s="613">
        <v>0</v>
      </c>
      <c r="N105" s="613">
        <v>0</v>
      </c>
      <c r="O105" s="613">
        <v>0</v>
      </c>
      <c r="P105" s="613">
        <v>0</v>
      </c>
      <c r="Q105" s="613">
        <v>0</v>
      </c>
      <c r="R105" s="613">
        <v>0</v>
      </c>
      <c r="S105" s="613">
        <v>0</v>
      </c>
      <c r="T105" s="613">
        <v>0</v>
      </c>
      <c r="U105" s="613">
        <v>0</v>
      </c>
      <c r="V105" s="613">
        <v>0</v>
      </c>
      <c r="W105" s="613">
        <v>0</v>
      </c>
      <c r="X105" s="613">
        <v>0</v>
      </c>
      <c r="Y105" s="621">
        <v>34.821916103621675</v>
      </c>
      <c r="Z105" s="51"/>
      <c r="AA105" s="51"/>
      <c r="AB105" s="51"/>
    </row>
    <row r="106" spans="1:28">
      <c r="A106" s="51" t="e">
        <f t="shared" si="8"/>
        <v>#REF!</v>
      </c>
      <c r="B106" s="51">
        <f t="shared" si="9"/>
        <v>2023</v>
      </c>
      <c r="C106" s="51" t="str">
        <f t="shared" si="9"/>
        <v>AMS</v>
      </c>
      <c r="D106" s="51" t="s">
        <v>509</v>
      </c>
      <c r="E106" s="51" t="e">
        <f>VLOOKUP($H$6,#REF!,2,FALSE)</f>
        <v>#REF!</v>
      </c>
      <c r="F106" s="51"/>
      <c r="G106" s="620" t="s">
        <v>75</v>
      </c>
      <c r="H106" s="613">
        <v>11.533194531250002</v>
      </c>
      <c r="I106" s="613">
        <v>0</v>
      </c>
      <c r="J106" s="613">
        <v>18.315545038272333</v>
      </c>
      <c r="K106" s="613">
        <v>0</v>
      </c>
      <c r="L106" s="613">
        <v>5.0521769918695103</v>
      </c>
      <c r="M106" s="613">
        <v>0</v>
      </c>
      <c r="N106" s="613">
        <v>0</v>
      </c>
      <c r="O106" s="613">
        <v>0</v>
      </c>
      <c r="P106" s="613">
        <v>0</v>
      </c>
      <c r="Q106" s="613">
        <v>0</v>
      </c>
      <c r="R106" s="613">
        <v>0</v>
      </c>
      <c r="S106" s="613">
        <v>0.15840158885399455</v>
      </c>
      <c r="T106" s="613">
        <v>0</v>
      </c>
      <c r="U106" s="613">
        <v>0</v>
      </c>
      <c r="V106" s="613">
        <v>27.462517867271458</v>
      </c>
      <c r="W106" s="613">
        <v>0</v>
      </c>
      <c r="X106" s="613">
        <v>0</v>
      </c>
      <c r="Y106" s="621">
        <v>62.521836017517295</v>
      </c>
      <c r="Z106" s="51"/>
      <c r="AA106" s="51"/>
      <c r="AB106" s="51"/>
    </row>
    <row r="107" spans="1:28">
      <c r="A107" s="51" t="e">
        <f t="shared" si="8"/>
        <v>#REF!</v>
      </c>
      <c r="B107" s="51">
        <f t="shared" si="9"/>
        <v>2023</v>
      </c>
      <c r="C107" s="51" t="str">
        <f t="shared" si="9"/>
        <v>AMS</v>
      </c>
      <c r="D107" s="51" t="s">
        <v>510</v>
      </c>
      <c r="E107" s="51" t="e">
        <f>VLOOKUP($H$6,#REF!,2,FALSE)</f>
        <v>#REF!</v>
      </c>
      <c r="F107" s="51"/>
      <c r="G107" s="620" t="s">
        <v>76</v>
      </c>
      <c r="H107" s="613">
        <v>0</v>
      </c>
      <c r="I107" s="613">
        <v>0</v>
      </c>
      <c r="J107" s="613">
        <v>0</v>
      </c>
      <c r="K107" s="613">
        <v>0</v>
      </c>
      <c r="L107" s="613">
        <v>4.3695792559361077</v>
      </c>
      <c r="M107" s="613">
        <v>0</v>
      </c>
      <c r="N107" s="613">
        <v>0</v>
      </c>
      <c r="O107" s="613">
        <v>0</v>
      </c>
      <c r="P107" s="613">
        <v>0</v>
      </c>
      <c r="Q107" s="613">
        <v>0</v>
      </c>
      <c r="R107" s="613">
        <v>0</v>
      </c>
      <c r="S107" s="613">
        <v>0.13700000967456447</v>
      </c>
      <c r="T107" s="613">
        <v>0</v>
      </c>
      <c r="U107" s="613">
        <v>0</v>
      </c>
      <c r="V107" s="613">
        <v>37.694603636370609</v>
      </c>
      <c r="W107" s="613">
        <v>4.3810396487584971</v>
      </c>
      <c r="X107" s="613">
        <v>0</v>
      </c>
      <c r="Y107" s="621">
        <v>46.582222550739779</v>
      </c>
      <c r="Z107" s="51"/>
      <c r="AA107" s="51"/>
      <c r="AB107" s="51"/>
    </row>
    <row r="108" spans="1:28">
      <c r="A108" s="51" t="e">
        <f t="shared" si="8"/>
        <v>#REF!</v>
      </c>
      <c r="B108" s="51">
        <f t="shared" si="9"/>
        <v>2023</v>
      </c>
      <c r="C108" s="51" t="str">
        <f t="shared" si="9"/>
        <v>AMS</v>
      </c>
      <c r="D108" s="51" t="s">
        <v>511</v>
      </c>
      <c r="E108" s="51" t="e">
        <f>VLOOKUP($H$6,#REF!,2,FALSE)</f>
        <v>#REF!</v>
      </c>
      <c r="F108" s="51"/>
      <c r="G108" s="616" t="s">
        <v>77</v>
      </c>
      <c r="H108" s="624">
        <v>48.588379220719261</v>
      </c>
      <c r="I108" s="624">
        <v>471.76851960281289</v>
      </c>
      <c r="J108" s="624">
        <v>-434.7849409896603</v>
      </c>
      <c r="K108" s="617">
        <v>-4.2859805384075952E-2</v>
      </c>
      <c r="L108" s="624">
        <v>74.508692705087142</v>
      </c>
      <c r="M108" s="617">
        <v>0</v>
      </c>
      <c r="N108" s="624">
        <v>1053.5890909090911</v>
      </c>
      <c r="O108" s="624">
        <v>140.80876550165527</v>
      </c>
      <c r="P108" s="624">
        <v>124.35774721691629</v>
      </c>
      <c r="Q108" s="624">
        <v>26.673813242755362</v>
      </c>
      <c r="R108" s="624">
        <v>-43.003596158635517</v>
      </c>
      <c r="S108" s="624">
        <v>-9.1872872428064998</v>
      </c>
      <c r="T108" s="624">
        <v>0</v>
      </c>
      <c r="U108" s="624">
        <v>4.8857161611712456</v>
      </c>
      <c r="V108" s="624">
        <v>-468.36227470944522</v>
      </c>
      <c r="W108" s="624">
        <v>-52.119201757955373</v>
      </c>
      <c r="X108" s="624">
        <v>-2.0475941804150164</v>
      </c>
      <c r="Y108" s="624">
        <v>935.63296971590671</v>
      </c>
      <c r="Z108" s="51"/>
      <c r="AA108" s="51"/>
      <c r="AB108" s="51"/>
    </row>
    <row r="109" spans="1:28">
      <c r="A109" s="51"/>
      <c r="B109" s="51"/>
      <c r="C109" s="51"/>
      <c r="D109" s="51"/>
      <c r="E109" s="51"/>
      <c r="F109" s="51"/>
      <c r="G109" s="618"/>
      <c r="H109" s="625">
        <v>0</v>
      </c>
      <c r="I109" s="625">
        <v>0</v>
      </c>
      <c r="J109" s="625">
        <v>0</v>
      </c>
      <c r="K109" s="619">
        <v>0</v>
      </c>
      <c r="L109" s="625">
        <v>0</v>
      </c>
      <c r="M109" s="619">
        <v>0</v>
      </c>
      <c r="N109" s="625">
        <v>0</v>
      </c>
      <c r="O109" s="625">
        <v>0</v>
      </c>
      <c r="P109" s="625">
        <v>0</v>
      </c>
      <c r="Q109" s="625">
        <v>0</v>
      </c>
      <c r="R109" s="625">
        <v>0</v>
      </c>
      <c r="S109" s="625">
        <v>0</v>
      </c>
      <c r="T109" s="625">
        <v>0</v>
      </c>
      <c r="U109" s="625">
        <v>0</v>
      </c>
      <c r="V109" s="625">
        <v>0</v>
      </c>
      <c r="W109" s="625">
        <v>0</v>
      </c>
      <c r="X109" s="625">
        <v>0</v>
      </c>
      <c r="Y109" s="625">
        <v>0</v>
      </c>
      <c r="Z109" s="51"/>
      <c r="AA109" s="51"/>
      <c r="AB109" s="51"/>
    </row>
    <row r="110" spans="1:28">
      <c r="A110" s="51" t="e">
        <f>A108+2</f>
        <v>#REF!</v>
      </c>
      <c r="B110" s="51">
        <f>B108</f>
        <v>2023</v>
      </c>
      <c r="C110" s="51" t="str">
        <f>C88</f>
        <v>AMS</v>
      </c>
      <c r="D110" s="51" t="s">
        <v>512</v>
      </c>
      <c r="E110" s="51" t="e">
        <f>VLOOKUP($H$6,#REF!,2,FALSE)</f>
        <v>#REF!</v>
      </c>
      <c r="F110" s="51"/>
      <c r="G110" s="620" t="s">
        <v>78</v>
      </c>
      <c r="H110" s="613">
        <v>6.8912688096571859</v>
      </c>
      <c r="I110" s="613">
        <v>0</v>
      </c>
      <c r="J110" s="613">
        <v>23.50730673118812</v>
      </c>
      <c r="K110" s="613">
        <v>0</v>
      </c>
      <c r="L110" s="613">
        <v>103.6322985075271</v>
      </c>
      <c r="M110" s="613">
        <v>0</v>
      </c>
      <c r="N110" s="613">
        <v>0</v>
      </c>
      <c r="O110" s="613">
        <v>0</v>
      </c>
      <c r="P110" s="613">
        <v>17.934528794531492</v>
      </c>
      <c r="Q110" s="613">
        <v>2.162623383313536</v>
      </c>
      <c r="R110" s="613">
        <v>0.76389416015625011</v>
      </c>
      <c r="S110" s="613">
        <v>3.2712996519108821</v>
      </c>
      <c r="T110" s="613">
        <v>1.2785699462890625</v>
      </c>
      <c r="U110" s="613">
        <v>4.5058902280570805E-4</v>
      </c>
      <c r="V110" s="613">
        <v>115.58056111877757</v>
      </c>
      <c r="W110" s="613">
        <v>17.85711360509158</v>
      </c>
      <c r="X110" s="613">
        <v>0.15803289794921874</v>
      </c>
      <c r="Y110" s="621">
        <v>293.03794819541474</v>
      </c>
      <c r="Z110" s="51"/>
      <c r="AA110" s="622" t="e" cm="1">
        <f t="array" aca="1" ref="AA110" ca="1">_xlfn.IFNA(INDEX(#REF!,MATCH(INDIRECT("Codes_bilans!"&amp;AA$1&amp;"$"&amp;$A110),#REF!,0),MATCH($B110,#REF!,0)),0)</f>
        <v>#REF!</v>
      </c>
      <c r="AB110" s="51"/>
    </row>
    <row r="111" spans="1:28">
      <c r="A111" s="51" t="e">
        <f t="shared" ref="A111:A118" si="10">A110+1</f>
        <v>#REF!</v>
      </c>
      <c r="B111" s="51">
        <f t="shared" ref="B111:C118" si="11">B110</f>
        <v>2023</v>
      </c>
      <c r="C111" s="51" t="str">
        <f t="shared" si="11"/>
        <v>AMS</v>
      </c>
      <c r="D111" s="51" t="s">
        <v>513</v>
      </c>
      <c r="E111" s="51" t="e">
        <f>VLOOKUP($H$6,#REF!,2,FALSE)</f>
        <v>#REF!</v>
      </c>
      <c r="F111" s="51"/>
      <c r="G111" s="620" t="s">
        <v>79</v>
      </c>
      <c r="H111" s="613">
        <v>0</v>
      </c>
      <c r="I111" s="613">
        <v>0</v>
      </c>
      <c r="J111" s="613">
        <v>390.39286283251352</v>
      </c>
      <c r="K111" s="613">
        <v>0</v>
      </c>
      <c r="L111" s="613">
        <v>3.1281168846544798</v>
      </c>
      <c r="M111" s="613">
        <v>0</v>
      </c>
      <c r="N111" s="613">
        <v>0</v>
      </c>
      <c r="O111" s="613">
        <v>0</v>
      </c>
      <c r="P111" s="613">
        <v>0</v>
      </c>
      <c r="Q111" s="613">
        <v>0</v>
      </c>
      <c r="R111" s="613">
        <v>38.392031856976942</v>
      </c>
      <c r="S111" s="613">
        <v>9.8076271961114056E-2</v>
      </c>
      <c r="T111" s="613">
        <v>0</v>
      </c>
      <c r="U111" s="613">
        <v>0</v>
      </c>
      <c r="V111" s="613">
        <v>12.839790522362275</v>
      </c>
      <c r="W111" s="613">
        <v>0</v>
      </c>
      <c r="X111" s="613">
        <v>1.404547929789267E-5</v>
      </c>
      <c r="Y111" s="621">
        <v>444.85089241394763</v>
      </c>
      <c r="Z111" s="51"/>
      <c r="AA111" s="622" t="e" cm="1">
        <f t="array" aca="1" ref="AA111" ca="1">_xlfn.IFNA(INDEX(#REF!,MATCH(INDIRECT("Codes_bilans!"&amp;AA$1&amp;"$"&amp;$A111),#REF!,0),MATCH($B111,#REF!,0)),0)</f>
        <v>#REF!</v>
      </c>
      <c r="AB111" s="51"/>
    </row>
    <row r="112" spans="1:28">
      <c r="A112" s="51" t="e">
        <f t="shared" si="10"/>
        <v>#REF!</v>
      </c>
      <c r="B112" s="51">
        <f t="shared" si="11"/>
        <v>2023</v>
      </c>
      <c r="C112" s="51" t="str">
        <f t="shared" si="11"/>
        <v>AMS</v>
      </c>
      <c r="D112" s="51" t="s">
        <v>514</v>
      </c>
      <c r="E112" s="51" t="e">
        <f>VLOOKUP($H$6,#REF!,2,FALSE)</f>
        <v>#REF!</v>
      </c>
      <c r="F112" s="51"/>
      <c r="G112" s="620" t="s">
        <v>80</v>
      </c>
      <c r="H112" s="613">
        <v>0</v>
      </c>
      <c r="I112" s="613">
        <v>0</v>
      </c>
      <c r="J112" s="613">
        <v>18.209722356615</v>
      </c>
      <c r="K112" s="613">
        <v>0</v>
      </c>
      <c r="L112" s="613">
        <v>121.89469525503438</v>
      </c>
      <c r="M112" s="613">
        <v>0</v>
      </c>
      <c r="N112" s="613">
        <v>0</v>
      </c>
      <c r="O112" s="613">
        <v>0</v>
      </c>
      <c r="P112" s="613">
        <v>69.673112957297619</v>
      </c>
      <c r="Q112" s="613">
        <v>0</v>
      </c>
      <c r="R112" s="613">
        <v>0</v>
      </c>
      <c r="S112" s="613">
        <v>3.8217808743327613</v>
      </c>
      <c r="T112" s="613">
        <v>41.524804077007047</v>
      </c>
      <c r="U112" s="613">
        <v>1.3186709338752973</v>
      </c>
      <c r="V112" s="613">
        <v>166.70645822540385</v>
      </c>
      <c r="W112" s="613">
        <v>23.041532520535192</v>
      </c>
      <c r="X112" s="613">
        <v>0</v>
      </c>
      <c r="Y112" s="621">
        <v>446.19077720010119</v>
      </c>
      <c r="Z112" s="51"/>
      <c r="AA112" s="622" t="e" cm="1">
        <f t="array" aca="1" ref="AA112" ca="1">_xlfn.IFNA(INDEX(#REF!,MATCH(INDIRECT("Codes_bilans!"&amp;AA$1&amp;"$"&amp;$A112),#REF!,0),MATCH($B112,#REF!,0)),0)</f>
        <v>#REF!</v>
      </c>
      <c r="AB112" s="51"/>
    </row>
    <row r="113" spans="1:28">
      <c r="A113" s="51" t="e">
        <f t="shared" si="10"/>
        <v>#REF!</v>
      </c>
      <c r="B113" s="51">
        <f t="shared" si="11"/>
        <v>2023</v>
      </c>
      <c r="C113" s="51" t="str">
        <f t="shared" si="11"/>
        <v>AMS</v>
      </c>
      <c r="D113" s="51" t="s">
        <v>515</v>
      </c>
      <c r="E113" s="51" t="e">
        <f>VLOOKUP($H$6,#REF!,2,FALSE)</f>
        <v>#REF!</v>
      </c>
      <c r="F113" s="51"/>
      <c r="G113" s="620" t="s">
        <v>81</v>
      </c>
      <c r="H113" s="613">
        <v>0</v>
      </c>
      <c r="I113" s="613">
        <v>0</v>
      </c>
      <c r="J113" s="613">
        <v>22.047417711617395</v>
      </c>
      <c r="K113" s="613">
        <v>0</v>
      </c>
      <c r="L113" s="613">
        <v>55.474573851605541</v>
      </c>
      <c r="M113" s="613">
        <v>0</v>
      </c>
      <c r="N113" s="613">
        <v>0</v>
      </c>
      <c r="O113" s="613">
        <v>0</v>
      </c>
      <c r="P113" s="613">
        <v>0.2600018184764662</v>
      </c>
      <c r="Q113" s="613">
        <v>1.0072131549959035E-2</v>
      </c>
      <c r="R113" s="613">
        <v>0</v>
      </c>
      <c r="S113" s="613">
        <v>1.7393018204298767</v>
      </c>
      <c r="T113" s="613">
        <v>8.7382045272005371</v>
      </c>
      <c r="U113" s="613">
        <v>0.83694366645922857</v>
      </c>
      <c r="V113" s="613">
        <v>120.24688741623336</v>
      </c>
      <c r="W113" s="613">
        <v>11.220555632328594</v>
      </c>
      <c r="X113" s="613">
        <v>0</v>
      </c>
      <c r="Y113" s="621">
        <v>220.57395857590095</v>
      </c>
      <c r="Z113" s="51"/>
      <c r="AA113" s="622" t="e" cm="1">
        <f t="array" aca="1" ref="AA113" ca="1">_xlfn.IFNA(INDEX(#REF!,MATCH(INDIRECT("Codes_bilans!"&amp;AA$1&amp;"$"&amp;$A113),#REF!,0),MATCH($B113,#REF!,0)),0)</f>
        <v>#REF!</v>
      </c>
      <c r="AB113" s="51"/>
    </row>
    <row r="114" spans="1:28">
      <c r="A114" s="51" t="e">
        <f t="shared" si="10"/>
        <v>#REF!</v>
      </c>
      <c r="B114" s="51">
        <f t="shared" si="11"/>
        <v>2023</v>
      </c>
      <c r="C114" s="51" t="str">
        <f t="shared" si="11"/>
        <v>AMS</v>
      </c>
      <c r="D114" s="51" t="s">
        <v>516</v>
      </c>
      <c r="E114" s="51" t="e">
        <f>VLOOKUP($H$6,#REF!,2,FALSE)</f>
        <v>#REF!</v>
      </c>
      <c r="F114" s="51"/>
      <c r="G114" s="620" t="s">
        <v>82</v>
      </c>
      <c r="H114" s="613">
        <v>0</v>
      </c>
      <c r="I114" s="613">
        <v>0</v>
      </c>
      <c r="J114" s="613">
        <v>32.350878858910924</v>
      </c>
      <c r="K114" s="613">
        <v>0</v>
      </c>
      <c r="L114" s="613">
        <v>2.5949331244793301</v>
      </c>
      <c r="M114" s="613">
        <v>0</v>
      </c>
      <c r="N114" s="613">
        <v>0</v>
      </c>
      <c r="O114" s="613">
        <v>0</v>
      </c>
      <c r="P114" s="613">
        <v>1.0052852655560149</v>
      </c>
      <c r="Q114" s="613">
        <v>0</v>
      </c>
      <c r="R114" s="613">
        <v>2.4838975032538144</v>
      </c>
      <c r="S114" s="613">
        <v>8.1359289381365135E-2</v>
      </c>
      <c r="T114" s="613">
        <v>0.15</v>
      </c>
      <c r="U114" s="613">
        <v>0.25485200979833694</v>
      </c>
      <c r="V114" s="613">
        <v>8.1118979154125785</v>
      </c>
      <c r="W114" s="613">
        <v>0</v>
      </c>
      <c r="X114" s="613">
        <v>5.2098714141513347E-2</v>
      </c>
      <c r="Y114" s="621">
        <v>47.085202680933875</v>
      </c>
      <c r="Z114" s="51"/>
      <c r="AA114" s="622" t="e" cm="1">
        <f t="array" aca="1" ref="AA114" ca="1">_xlfn.IFNA(INDEX(#REF!,MATCH(INDIRECT("Codes_bilans!"&amp;AA$1&amp;"$"&amp;$A114),#REF!,0),MATCH($B114,#REF!,0)),0)</f>
        <v>#REF!</v>
      </c>
      <c r="AB114" s="51"/>
    </row>
    <row r="115" spans="1:28">
      <c r="A115" s="51" t="e">
        <f t="shared" si="10"/>
        <v>#REF!</v>
      </c>
      <c r="B115" s="51">
        <f t="shared" si="11"/>
        <v>2023</v>
      </c>
      <c r="C115" s="51" t="str">
        <f t="shared" si="11"/>
        <v>AMS</v>
      </c>
      <c r="D115" s="51" t="s">
        <v>517</v>
      </c>
      <c r="E115" s="51" t="e">
        <f>VLOOKUP($H$6,#REF!,2,FALSE)</f>
        <v>#REF!</v>
      </c>
      <c r="F115" s="51"/>
      <c r="G115" s="620" t="s">
        <v>357</v>
      </c>
      <c r="H115" s="613">
        <v>0</v>
      </c>
      <c r="I115" s="613">
        <v>0</v>
      </c>
      <c r="J115" s="613">
        <v>0</v>
      </c>
      <c r="K115" s="613">
        <v>0</v>
      </c>
      <c r="L115" s="613">
        <v>0</v>
      </c>
      <c r="M115" s="613">
        <v>0</v>
      </c>
      <c r="N115" s="613">
        <v>0</v>
      </c>
      <c r="O115" s="613">
        <v>0</v>
      </c>
      <c r="P115" s="613">
        <v>0</v>
      </c>
      <c r="Q115" s="613">
        <v>0</v>
      </c>
      <c r="R115" s="613">
        <v>0</v>
      </c>
      <c r="S115" s="613">
        <v>0</v>
      </c>
      <c r="T115" s="613">
        <v>0</v>
      </c>
      <c r="U115" s="613">
        <v>0</v>
      </c>
      <c r="V115" s="613">
        <v>0</v>
      </c>
      <c r="W115" s="613">
        <v>0</v>
      </c>
      <c r="X115" s="613">
        <v>0</v>
      </c>
      <c r="Y115" s="621">
        <v>0</v>
      </c>
      <c r="Z115" s="51"/>
      <c r="AA115" s="622" t="e" cm="1">
        <f t="array" aca="1" ref="AA115" ca="1">_xlfn.IFNA(INDEX(#REF!,MATCH(INDIRECT("Codes_bilans!"&amp;AA$1&amp;"$"&amp;$A115),#REF!,0),MATCH($B115,#REF!,0)),0)</f>
        <v>#REF!</v>
      </c>
      <c r="AB115" s="51"/>
    </row>
    <row r="116" spans="1:28">
      <c r="A116" s="51" t="e">
        <f t="shared" si="10"/>
        <v>#REF!</v>
      </c>
      <c r="B116" s="51">
        <f t="shared" si="11"/>
        <v>2023</v>
      </c>
      <c r="C116" s="51" t="str">
        <f t="shared" si="11"/>
        <v>AMS</v>
      </c>
      <c r="D116" s="51" t="s">
        <v>518</v>
      </c>
      <c r="E116" s="51" t="e">
        <f>VLOOKUP($H$6,#REF!,2,FALSE)</f>
        <v>#REF!</v>
      </c>
      <c r="F116" s="51"/>
      <c r="G116" s="616" t="s">
        <v>83</v>
      </c>
      <c r="H116" s="624">
        <v>6.8912688096571859</v>
      </c>
      <c r="I116" s="624">
        <v>0</v>
      </c>
      <c r="J116" s="624">
        <v>486.50818849084493</v>
      </c>
      <c r="K116" s="617">
        <v>0</v>
      </c>
      <c r="L116" s="624">
        <v>286.72461762330084</v>
      </c>
      <c r="M116" s="617">
        <v>0</v>
      </c>
      <c r="N116" s="624">
        <v>0</v>
      </c>
      <c r="O116" s="624">
        <v>0</v>
      </c>
      <c r="P116" s="624">
        <v>88.872928835861586</v>
      </c>
      <c r="Q116" s="624">
        <v>2.172695514863495</v>
      </c>
      <c r="R116" s="624">
        <v>41.639823520387004</v>
      </c>
      <c r="S116" s="624">
        <v>9.0118179080160008</v>
      </c>
      <c r="T116" s="624">
        <v>51.691578550496644</v>
      </c>
      <c r="U116" s="624">
        <v>2.4109171991556684</v>
      </c>
      <c r="V116" s="624">
        <v>423.48559519818957</v>
      </c>
      <c r="W116" s="624">
        <v>52.119201757955373</v>
      </c>
      <c r="X116" s="624">
        <v>0.21014565757002998</v>
      </c>
      <c r="Y116" s="624">
        <v>1451.7387790662985</v>
      </c>
      <c r="Z116" s="51"/>
      <c r="AA116" s="51"/>
      <c r="AB116" s="51"/>
    </row>
    <row r="117" spans="1:28">
      <c r="A117" s="51" t="e">
        <f t="shared" si="10"/>
        <v>#REF!</v>
      </c>
      <c r="B117" s="51">
        <f t="shared" si="11"/>
        <v>2023</v>
      </c>
      <c r="C117" s="51" t="str">
        <f t="shared" si="11"/>
        <v>AMS</v>
      </c>
      <c r="D117" s="51" t="s">
        <v>519</v>
      </c>
      <c r="E117" s="51" t="e">
        <f>VLOOKUP($H$6,#REF!,2,FALSE)</f>
        <v>#REF!</v>
      </c>
      <c r="F117" s="51"/>
      <c r="G117" s="612" t="s">
        <v>84</v>
      </c>
      <c r="H117" s="613">
        <v>0</v>
      </c>
      <c r="I117" s="613">
        <v>0</v>
      </c>
      <c r="J117" s="613">
        <v>125.97254812972785</v>
      </c>
      <c r="K117" s="613">
        <v>0.5014853482202658</v>
      </c>
      <c r="L117" s="613">
        <v>11.836385273603906</v>
      </c>
      <c r="M117" s="613">
        <v>0</v>
      </c>
      <c r="N117" s="613">
        <v>0</v>
      </c>
      <c r="O117" s="613">
        <v>0</v>
      </c>
      <c r="P117" s="613">
        <v>4.0023030663522148E-2</v>
      </c>
      <c r="Q117" s="613">
        <v>0</v>
      </c>
      <c r="R117" s="613">
        <v>3.907722128572543</v>
      </c>
      <c r="S117" s="613">
        <v>0.3161480845613035</v>
      </c>
      <c r="T117" s="613">
        <v>0</v>
      </c>
      <c r="U117" s="613">
        <v>0</v>
      </c>
      <c r="V117" s="613">
        <v>0</v>
      </c>
      <c r="W117" s="613">
        <v>0</v>
      </c>
      <c r="X117" s="613">
        <v>1.8374485228449866</v>
      </c>
      <c r="Y117" s="621">
        <v>144.41176051819437</v>
      </c>
      <c r="Z117" s="51"/>
      <c r="AA117" s="622" t="e" cm="1">
        <f t="array" aca="1" ref="AA117" ca="1">_xlfn.IFNA(INDEX(#REF!,MATCH(INDIRECT("Codes_bilans!"&amp;AA$1&amp;"$"&amp;$A117),#REF!,0),MATCH($B117,#REF!,0)),0)</f>
        <v>#REF!</v>
      </c>
      <c r="AB117" s="51"/>
    </row>
    <row r="118" spans="1:28">
      <c r="A118" s="51" t="e">
        <f t="shared" si="10"/>
        <v>#REF!</v>
      </c>
      <c r="B118" s="51">
        <f t="shared" si="11"/>
        <v>2023</v>
      </c>
      <c r="C118" s="51" t="str">
        <f t="shared" si="11"/>
        <v>AMS</v>
      </c>
      <c r="D118" s="51" t="s">
        <v>520</v>
      </c>
      <c r="E118" s="51" t="e">
        <f>VLOOKUP($H$6,#REF!,2,FALSE)</f>
        <v>#REF!</v>
      </c>
      <c r="F118" s="51"/>
      <c r="G118" s="616" t="s">
        <v>85</v>
      </c>
      <c r="H118" s="624">
        <v>6.8912688096571859</v>
      </c>
      <c r="I118" s="624">
        <v>0</v>
      </c>
      <c r="J118" s="624">
        <v>612.48073662057277</v>
      </c>
      <c r="K118" s="617">
        <v>0.5014853482202658</v>
      </c>
      <c r="L118" s="624">
        <v>298.56100289690477</v>
      </c>
      <c r="M118" s="617">
        <v>0</v>
      </c>
      <c r="N118" s="624">
        <v>0</v>
      </c>
      <c r="O118" s="624">
        <v>0</v>
      </c>
      <c r="P118" s="624">
        <v>88.912951866525106</v>
      </c>
      <c r="Q118" s="624">
        <v>2.172695514863495</v>
      </c>
      <c r="R118" s="624">
        <v>45.547545648959549</v>
      </c>
      <c r="S118" s="624">
        <v>9.3279659925773046</v>
      </c>
      <c r="T118" s="624">
        <v>51.691578550496644</v>
      </c>
      <c r="U118" s="624">
        <v>2.4109171991556684</v>
      </c>
      <c r="V118" s="624">
        <v>423.48559519818957</v>
      </c>
      <c r="W118" s="624">
        <v>52.119201757955373</v>
      </c>
      <c r="X118" s="624">
        <v>2.0475941804150164</v>
      </c>
      <c r="Y118" s="624">
        <v>1596.1505395844929</v>
      </c>
      <c r="Z118" s="51"/>
      <c r="AA118" s="51"/>
      <c r="AB118" s="51"/>
    </row>
    <row r="119" spans="1:28">
      <c r="A119" s="51"/>
      <c r="B119" s="51"/>
      <c r="C119" s="51"/>
      <c r="D119" s="51"/>
      <c r="E119" s="51"/>
      <c r="F119" s="51"/>
      <c r="G119" s="51"/>
      <c r="H119" s="67">
        <v>0</v>
      </c>
      <c r="I119" s="67">
        <v>4.2905679322302603E-5</v>
      </c>
      <c r="J119" s="67">
        <v>-2.3629463129282158E-5</v>
      </c>
      <c r="K119" s="67">
        <v>0</v>
      </c>
      <c r="L119" s="67">
        <v>0</v>
      </c>
      <c r="M119" s="67">
        <v>0</v>
      </c>
      <c r="N119" s="67">
        <v>0</v>
      </c>
      <c r="O119" s="67">
        <v>0</v>
      </c>
      <c r="P119" s="67">
        <v>0</v>
      </c>
      <c r="Q119" s="67">
        <v>0</v>
      </c>
      <c r="R119" s="67">
        <v>-2.9753977059954195E-14</v>
      </c>
      <c r="S119" s="67">
        <v>-2.3869795029440866E-15</v>
      </c>
      <c r="T119" s="67">
        <v>0</v>
      </c>
      <c r="U119" s="67">
        <v>0</v>
      </c>
      <c r="V119" s="67">
        <v>-5.6843418860808015E-14</v>
      </c>
      <c r="W119" s="67">
        <v>0</v>
      </c>
      <c r="X119" s="67">
        <v>0</v>
      </c>
      <c r="Y119" s="67">
        <v>1.9276216335128993E-5</v>
      </c>
      <c r="Z119" s="51"/>
      <c r="AA119" s="51"/>
      <c r="AB119" s="51"/>
    </row>
    <row r="120" spans="1:28">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row>
    <row r="121" spans="1:28">
      <c r="A121" s="608"/>
      <c r="B121" s="608"/>
      <c r="C121" s="608"/>
      <c r="D121" s="608"/>
      <c r="E121" s="608"/>
      <c r="F121" s="608"/>
      <c r="G121" s="609" t="s">
        <v>87</v>
      </c>
      <c r="H121" s="608"/>
      <c r="I121" s="608"/>
      <c r="J121" s="608"/>
      <c r="K121" s="608"/>
      <c r="L121" s="608"/>
      <c r="M121" s="608"/>
      <c r="N121" s="608"/>
      <c r="O121" s="608"/>
      <c r="P121" s="608"/>
      <c r="Q121" s="608"/>
      <c r="R121" s="608"/>
      <c r="S121" s="608"/>
      <c r="T121" s="608"/>
      <c r="U121" s="608"/>
      <c r="V121" s="608"/>
      <c r="W121" s="608"/>
      <c r="X121" s="608"/>
      <c r="Y121" s="608"/>
      <c r="Z121" s="608"/>
      <c r="AA121" s="608"/>
      <c r="AB121" s="608"/>
    </row>
    <row r="122" spans="1:28">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row>
    <row r="123" spans="1:28" ht="14.25" customHeight="1">
      <c r="A123" s="51"/>
      <c r="B123" s="51"/>
      <c r="C123" s="51"/>
      <c r="D123" s="51"/>
      <c r="E123" s="51"/>
      <c r="F123" s="51"/>
      <c r="G123" s="713" t="s">
        <v>128</v>
      </c>
      <c r="H123" s="711" t="s">
        <v>42</v>
      </c>
      <c r="I123" s="711" t="s">
        <v>52</v>
      </c>
      <c r="J123" s="711" t="s">
        <v>53</v>
      </c>
      <c r="K123" s="711" t="s">
        <v>487</v>
      </c>
      <c r="L123" s="711" t="s">
        <v>32</v>
      </c>
      <c r="M123" s="711" t="s">
        <v>488</v>
      </c>
      <c r="N123" s="711" t="s">
        <v>20</v>
      </c>
      <c r="O123" s="711" t="s">
        <v>55</v>
      </c>
      <c r="P123" s="715" t="s">
        <v>56</v>
      </c>
      <c r="Q123" s="716"/>
      <c r="R123" s="716"/>
      <c r="S123" s="716"/>
      <c r="T123" s="716"/>
      <c r="U123" s="717"/>
      <c r="V123" s="711" t="s">
        <v>57</v>
      </c>
      <c r="W123" s="711" t="s">
        <v>58</v>
      </c>
      <c r="X123" s="711" t="s">
        <v>31</v>
      </c>
      <c r="Y123" s="711" t="s">
        <v>10</v>
      </c>
      <c r="Z123" s="51"/>
      <c r="AA123" s="51"/>
      <c r="AB123" s="51"/>
    </row>
    <row r="124" spans="1:28" ht="24">
      <c r="A124" s="51"/>
      <c r="B124" s="51"/>
      <c r="C124" s="51"/>
      <c r="D124" s="51" t="s">
        <v>491</v>
      </c>
      <c r="E124" s="51"/>
      <c r="F124" s="51"/>
      <c r="G124" s="714"/>
      <c r="H124" s="712"/>
      <c r="I124" s="712"/>
      <c r="J124" s="712"/>
      <c r="K124" s="712"/>
      <c r="L124" s="712"/>
      <c r="M124" s="712"/>
      <c r="N124" s="712"/>
      <c r="O124" s="712"/>
      <c r="P124" s="610" t="s">
        <v>338</v>
      </c>
      <c r="Q124" s="610" t="s">
        <v>40</v>
      </c>
      <c r="R124" s="610" t="s">
        <v>346</v>
      </c>
      <c r="S124" s="610" t="s">
        <v>347</v>
      </c>
      <c r="T124" s="611" t="s">
        <v>348</v>
      </c>
      <c r="U124" s="610" t="s">
        <v>349</v>
      </c>
      <c r="V124" s="712"/>
      <c r="W124" s="712"/>
      <c r="X124" s="712"/>
      <c r="Y124" s="712"/>
      <c r="Z124" s="51"/>
      <c r="AA124" s="51"/>
      <c r="AB124" s="51"/>
    </row>
    <row r="125" spans="1:28">
      <c r="A125" s="51" t="e">
        <f>A88</f>
        <v>#REF!</v>
      </c>
      <c r="B125" s="51">
        <v>2025</v>
      </c>
      <c r="C125" s="51" t="s">
        <v>47</v>
      </c>
      <c r="D125" s="51" t="s">
        <v>492</v>
      </c>
      <c r="E125" s="51" t="e">
        <f>VLOOKUP($H$6,#REF!,2,FALSE)</f>
        <v>#REF!</v>
      </c>
      <c r="F125" s="51"/>
      <c r="G125" s="612" t="s">
        <v>59</v>
      </c>
      <c r="H125" s="613">
        <v>0</v>
      </c>
      <c r="I125" s="613">
        <v>9.7691999999999997</v>
      </c>
      <c r="J125" s="613">
        <v>0</v>
      </c>
      <c r="K125" s="613">
        <v>0</v>
      </c>
      <c r="L125" s="613">
        <v>0.18608000000000002</v>
      </c>
      <c r="M125" s="613">
        <v>0</v>
      </c>
      <c r="N125" s="614">
        <v>1053.5890909090911</v>
      </c>
      <c r="O125" s="614">
        <v>155.22027541539615</v>
      </c>
      <c r="P125" s="614">
        <v>214.90208797994541</v>
      </c>
      <c r="Q125" s="614">
        <v>29.401690071090997</v>
      </c>
      <c r="R125" s="613">
        <v>1.8811575028002774</v>
      </c>
      <c r="S125" s="613">
        <v>0.15242099713737783</v>
      </c>
      <c r="T125" s="614">
        <v>63.09733962798451</v>
      </c>
      <c r="U125" s="614">
        <v>8.6306065878365068</v>
      </c>
      <c r="V125" s="613">
        <v>0</v>
      </c>
      <c r="W125" s="613">
        <v>0</v>
      </c>
      <c r="X125" s="613">
        <v>0</v>
      </c>
      <c r="Y125" s="615">
        <v>1536.8299490912823</v>
      </c>
      <c r="Z125" s="51"/>
      <c r="AA125" s="51"/>
      <c r="AB125" s="51"/>
    </row>
    <row r="126" spans="1:28">
      <c r="A126" s="51" t="e">
        <f t="shared" ref="A126:A131" si="12">A125+1</f>
        <v>#REF!</v>
      </c>
      <c r="B126" s="51">
        <f t="shared" ref="B126:C131" si="13">B125</f>
        <v>2025</v>
      </c>
      <c r="C126" s="51" t="str">
        <f t="shared" si="13"/>
        <v>AMS</v>
      </c>
      <c r="D126" s="51" t="s">
        <v>493</v>
      </c>
      <c r="E126" s="51" t="e">
        <f>VLOOKUP($H$6,#REF!,2,FALSE)</f>
        <v>#REF!</v>
      </c>
      <c r="F126" s="51"/>
      <c r="G126" s="612" t="s">
        <v>60</v>
      </c>
      <c r="H126" s="613">
        <v>41.831603018044838</v>
      </c>
      <c r="I126" s="613">
        <v>489.64185318884552</v>
      </c>
      <c r="J126" s="613">
        <v>215.36449986293647</v>
      </c>
      <c r="K126" s="613">
        <v>0.69497003447287165</v>
      </c>
      <c r="L126" s="613">
        <v>334.30189110500646</v>
      </c>
      <c r="M126" s="613">
        <v>0</v>
      </c>
      <c r="N126" s="613">
        <v>0</v>
      </c>
      <c r="O126" s="613">
        <v>0</v>
      </c>
      <c r="P126" s="613">
        <v>2.5596276020988169</v>
      </c>
      <c r="Q126" s="613">
        <v>0</v>
      </c>
      <c r="R126" s="613">
        <v>3.749161135627308</v>
      </c>
      <c r="S126" s="613">
        <v>0</v>
      </c>
      <c r="T126" s="613">
        <v>0</v>
      </c>
      <c r="U126" s="613">
        <v>0</v>
      </c>
      <c r="V126" s="613">
        <v>0</v>
      </c>
      <c r="W126" s="613">
        <v>0</v>
      </c>
      <c r="X126" s="613">
        <v>0</v>
      </c>
      <c r="Y126" s="615">
        <v>1088.1436059470323</v>
      </c>
      <c r="Z126" s="51"/>
      <c r="AA126" s="51"/>
      <c r="AB126" s="51"/>
    </row>
    <row r="127" spans="1:28">
      <c r="A127" s="51" t="e">
        <f t="shared" si="12"/>
        <v>#REF!</v>
      </c>
      <c r="B127" s="51">
        <f t="shared" si="13"/>
        <v>2025</v>
      </c>
      <c r="C127" s="51" t="str">
        <f t="shared" si="13"/>
        <v>AMS</v>
      </c>
      <c r="D127" s="51" t="s">
        <v>494</v>
      </c>
      <c r="E127" s="51" t="e">
        <f>VLOOKUP($H$6,#REF!,2,FALSE)</f>
        <v>#REF!</v>
      </c>
      <c r="F127" s="51"/>
      <c r="G127" s="612" t="s">
        <v>61</v>
      </c>
      <c r="H127" s="613">
        <v>0</v>
      </c>
      <c r="I127" s="613">
        <v>0</v>
      </c>
      <c r="J127" s="613">
        <v>-8.3753888093619933E-3</v>
      </c>
      <c r="K127" s="613">
        <v>0</v>
      </c>
      <c r="L127" s="613">
        <v>0</v>
      </c>
      <c r="M127" s="613">
        <v>0</v>
      </c>
      <c r="N127" s="613">
        <v>0</v>
      </c>
      <c r="O127" s="613">
        <v>0</v>
      </c>
      <c r="P127" s="613">
        <v>0</v>
      </c>
      <c r="Q127" s="613">
        <v>0</v>
      </c>
      <c r="R127" s="613">
        <v>0</v>
      </c>
      <c r="S127" s="613">
        <v>0</v>
      </c>
      <c r="T127" s="613">
        <v>0</v>
      </c>
      <c r="U127" s="613">
        <v>0</v>
      </c>
      <c r="V127" s="613">
        <v>-43.687310100194736</v>
      </c>
      <c r="W127" s="613">
        <v>0</v>
      </c>
      <c r="X127" s="613">
        <v>0</v>
      </c>
      <c r="Y127" s="615">
        <v>-43.695685489004099</v>
      </c>
      <c r="Z127" s="51"/>
      <c r="AA127" s="51"/>
      <c r="AB127" s="51"/>
    </row>
    <row r="128" spans="1:28">
      <c r="A128" s="51" t="e">
        <f t="shared" si="12"/>
        <v>#REF!</v>
      </c>
      <c r="B128" s="51">
        <f t="shared" si="13"/>
        <v>2025</v>
      </c>
      <c r="C128" s="51" t="str">
        <f t="shared" si="13"/>
        <v>AMS</v>
      </c>
      <c r="D128" s="51" t="s">
        <v>495</v>
      </c>
      <c r="E128" s="51" t="e">
        <f>VLOOKUP($H$6,#REF!,2,FALSE)</f>
        <v>#REF!</v>
      </c>
      <c r="F128" s="51"/>
      <c r="G128" s="612" t="s">
        <v>62</v>
      </c>
      <c r="H128" s="613">
        <v>0</v>
      </c>
      <c r="I128" s="613">
        <v>0</v>
      </c>
      <c r="J128" s="613">
        <v>-17.986125581751292</v>
      </c>
      <c r="K128" s="613">
        <v>0</v>
      </c>
      <c r="L128" s="613">
        <v>-0.52048534400174162</v>
      </c>
      <c r="M128" s="613">
        <v>0</v>
      </c>
      <c r="N128" s="613">
        <v>0</v>
      </c>
      <c r="O128" s="613">
        <v>0</v>
      </c>
      <c r="P128" s="613">
        <v>0</v>
      </c>
      <c r="Q128" s="613">
        <v>0</v>
      </c>
      <c r="R128" s="613">
        <v>-0.36525287298367837</v>
      </c>
      <c r="S128" s="613">
        <v>-2.7393965473775879E-2</v>
      </c>
      <c r="T128" s="613">
        <v>0</v>
      </c>
      <c r="U128" s="613">
        <v>0</v>
      </c>
      <c r="V128" s="613">
        <v>0</v>
      </c>
      <c r="W128" s="613">
        <v>0</v>
      </c>
      <c r="X128" s="613">
        <v>0</v>
      </c>
      <c r="Y128" s="615">
        <v>-18.899257764210489</v>
      </c>
      <c r="Z128" s="51"/>
      <c r="AA128" s="51"/>
      <c r="AB128" s="51"/>
    </row>
    <row r="129" spans="1:28">
      <c r="A129" s="51" t="e">
        <f t="shared" si="12"/>
        <v>#REF!</v>
      </c>
      <c r="B129" s="51">
        <f t="shared" si="13"/>
        <v>2025</v>
      </c>
      <c r="C129" s="51" t="str">
        <f t="shared" si="13"/>
        <v>AMS</v>
      </c>
      <c r="D129" s="51" t="s">
        <v>496</v>
      </c>
      <c r="E129" s="51" t="e">
        <f>VLOOKUP($H$6,#REF!,2,FALSE)</f>
        <v>#REF!</v>
      </c>
      <c r="F129" s="51"/>
      <c r="G129" s="612" t="s">
        <v>63</v>
      </c>
      <c r="H129" s="613">
        <v>0</v>
      </c>
      <c r="I129" s="613">
        <v>0</v>
      </c>
      <c r="J129" s="613">
        <v>-76.912420126613313</v>
      </c>
      <c r="K129" s="613">
        <v>-3.9288154935402962E-2</v>
      </c>
      <c r="L129" s="613">
        <v>0</v>
      </c>
      <c r="M129" s="613">
        <v>0</v>
      </c>
      <c r="N129" s="613">
        <v>0</v>
      </c>
      <c r="O129" s="613">
        <v>0</v>
      </c>
      <c r="P129" s="613">
        <v>0</v>
      </c>
      <c r="Q129" s="613">
        <v>0</v>
      </c>
      <c r="R129" s="613">
        <v>-1.6507409080624253</v>
      </c>
      <c r="S129" s="613">
        <v>0</v>
      </c>
      <c r="T129" s="613">
        <v>0</v>
      </c>
      <c r="U129" s="613">
        <v>0</v>
      </c>
      <c r="V129" s="613">
        <v>0</v>
      </c>
      <c r="W129" s="613">
        <v>0</v>
      </c>
      <c r="X129" s="613">
        <v>0</v>
      </c>
      <c r="Y129" s="615">
        <v>-78.60244918961115</v>
      </c>
      <c r="Z129" s="51"/>
      <c r="AA129" s="51"/>
      <c r="AB129" s="51"/>
    </row>
    <row r="130" spans="1:28">
      <c r="A130" s="51" t="e">
        <f t="shared" si="12"/>
        <v>#REF!</v>
      </c>
      <c r="B130" s="51">
        <f t="shared" si="13"/>
        <v>2025</v>
      </c>
      <c r="C130" s="51" t="str">
        <f t="shared" si="13"/>
        <v>AMS</v>
      </c>
      <c r="D130" s="51" t="s">
        <v>497</v>
      </c>
      <c r="E130" s="51" t="e">
        <f>VLOOKUP($H$6,#REF!,2,FALSE)</f>
        <v>#REF!</v>
      </c>
      <c r="F130" s="51"/>
      <c r="G130" s="612" t="s">
        <v>64</v>
      </c>
      <c r="H130" s="613">
        <v>0</v>
      </c>
      <c r="I130" s="613">
        <v>0</v>
      </c>
      <c r="J130" s="613">
        <v>0</v>
      </c>
      <c r="K130" s="613">
        <v>0</v>
      </c>
      <c r="L130" s="613">
        <v>0</v>
      </c>
      <c r="M130" s="613">
        <v>0</v>
      </c>
      <c r="N130" s="613">
        <v>0</v>
      </c>
      <c r="O130" s="613">
        <v>0</v>
      </c>
      <c r="P130" s="613">
        <v>0</v>
      </c>
      <c r="Q130" s="613">
        <v>0</v>
      </c>
      <c r="R130" s="613">
        <v>0</v>
      </c>
      <c r="S130" s="613">
        <v>0</v>
      </c>
      <c r="T130" s="613">
        <v>0</v>
      </c>
      <c r="U130" s="613">
        <v>0</v>
      </c>
      <c r="V130" s="613">
        <v>0</v>
      </c>
      <c r="W130" s="613">
        <v>0</v>
      </c>
      <c r="X130" s="613">
        <v>0</v>
      </c>
      <c r="Y130" s="615">
        <v>0</v>
      </c>
      <c r="Z130" s="51"/>
      <c r="AA130" s="51"/>
      <c r="AB130" s="51"/>
    </row>
    <row r="131" spans="1:28">
      <c r="A131" s="51" t="e">
        <f t="shared" si="12"/>
        <v>#REF!</v>
      </c>
      <c r="B131" s="51">
        <f t="shared" si="13"/>
        <v>2025</v>
      </c>
      <c r="C131" s="51" t="str">
        <f t="shared" si="13"/>
        <v>AMS</v>
      </c>
      <c r="D131" s="51" t="s">
        <v>498</v>
      </c>
      <c r="E131" s="51" t="e">
        <f>VLOOKUP($H$6,#REF!,2,FALSE)</f>
        <v>#REF!</v>
      </c>
      <c r="F131" s="51"/>
      <c r="G131" s="616" t="s">
        <v>65</v>
      </c>
      <c r="H131" s="617">
        <v>41.831603018044838</v>
      </c>
      <c r="I131" s="617">
        <v>499.41105318884553</v>
      </c>
      <c r="J131" s="617">
        <v>120.45757876576252</v>
      </c>
      <c r="K131" s="617">
        <v>0.6556818795374687</v>
      </c>
      <c r="L131" s="624">
        <v>333.9674857610047</v>
      </c>
      <c r="M131" s="617">
        <v>0</v>
      </c>
      <c r="N131" s="617">
        <v>1053.5890909090911</v>
      </c>
      <c r="O131" s="617">
        <v>155.22027541539615</v>
      </c>
      <c r="P131" s="617">
        <v>217.46171558204423</v>
      </c>
      <c r="Q131" s="617">
        <v>29.401690071090997</v>
      </c>
      <c r="R131" s="617">
        <v>3.6143248573814817</v>
      </c>
      <c r="S131" s="617">
        <v>0.12502703166360196</v>
      </c>
      <c r="T131" s="617">
        <v>63.09733962798451</v>
      </c>
      <c r="U131" s="617">
        <v>8.6306065878365068</v>
      </c>
      <c r="V131" s="617">
        <v>-43.687310100194736</v>
      </c>
      <c r="W131" s="617">
        <v>0</v>
      </c>
      <c r="X131" s="617">
        <v>0</v>
      </c>
      <c r="Y131" s="617">
        <v>2483.7761625954886</v>
      </c>
      <c r="Z131" s="51"/>
      <c r="AA131" s="51"/>
      <c r="AB131" s="51"/>
    </row>
    <row r="132" spans="1:28">
      <c r="A132" s="51"/>
      <c r="B132" s="51"/>
      <c r="C132" s="51"/>
      <c r="D132" s="51"/>
      <c r="E132" s="51"/>
      <c r="F132" s="51"/>
      <c r="G132" s="618"/>
      <c r="H132" s="619">
        <v>0</v>
      </c>
      <c r="I132" s="619">
        <v>0</v>
      </c>
      <c r="J132" s="619">
        <v>0</v>
      </c>
      <c r="K132" s="619">
        <v>0</v>
      </c>
      <c r="L132" s="625">
        <v>0</v>
      </c>
      <c r="M132" s="619">
        <v>0</v>
      </c>
      <c r="N132" s="619">
        <v>0</v>
      </c>
      <c r="O132" s="619">
        <v>0</v>
      </c>
      <c r="P132" s="619">
        <v>0</v>
      </c>
      <c r="Q132" s="619">
        <v>0</v>
      </c>
      <c r="R132" s="619">
        <v>0</v>
      </c>
      <c r="S132" s="619">
        <v>0</v>
      </c>
      <c r="T132" s="619">
        <v>0</v>
      </c>
      <c r="U132" s="619">
        <v>0</v>
      </c>
      <c r="V132" s="619">
        <v>0</v>
      </c>
      <c r="W132" s="619">
        <v>0</v>
      </c>
      <c r="X132" s="619">
        <v>0</v>
      </c>
      <c r="Y132" s="619">
        <v>0</v>
      </c>
      <c r="Z132" s="51"/>
      <c r="AA132" s="51"/>
      <c r="AB132" s="51"/>
    </row>
    <row r="133" spans="1:28">
      <c r="A133" s="51" t="e">
        <f>A131+2</f>
        <v>#REF!</v>
      </c>
      <c r="B133" s="51">
        <f>B131</f>
        <v>2025</v>
      </c>
      <c r="C133" s="51" t="str">
        <f>C131</f>
        <v>AMS</v>
      </c>
      <c r="D133" s="51" t="s">
        <v>499</v>
      </c>
      <c r="E133" s="51" t="e">
        <f>VLOOKUP($H$6,#REF!,2,FALSE)</f>
        <v>#REF!</v>
      </c>
      <c r="F133" s="51"/>
      <c r="G133" s="620" t="s">
        <v>67</v>
      </c>
      <c r="H133" s="613">
        <v>0</v>
      </c>
      <c r="I133" s="613">
        <v>0</v>
      </c>
      <c r="J133" s="613">
        <v>0</v>
      </c>
      <c r="K133" s="613">
        <v>0</v>
      </c>
      <c r="L133" s="613">
        <v>0</v>
      </c>
      <c r="M133" s="613">
        <v>0</v>
      </c>
      <c r="N133" s="613">
        <v>0</v>
      </c>
      <c r="O133" s="613">
        <v>0</v>
      </c>
      <c r="P133" s="613">
        <v>0</v>
      </c>
      <c r="Q133" s="613">
        <v>0</v>
      </c>
      <c r="R133" s="613">
        <v>0</v>
      </c>
      <c r="S133" s="613">
        <v>0</v>
      </c>
      <c r="T133" s="613">
        <v>0</v>
      </c>
      <c r="U133" s="613">
        <v>0</v>
      </c>
      <c r="V133" s="613">
        <v>0</v>
      </c>
      <c r="W133" s="613">
        <v>0</v>
      </c>
      <c r="X133" s="613">
        <v>0</v>
      </c>
      <c r="Y133" s="621">
        <v>0</v>
      </c>
      <c r="Z133" s="51"/>
      <c r="AA133" s="51"/>
      <c r="AB133" s="51"/>
    </row>
    <row r="134" spans="1:28">
      <c r="A134" s="51" t="e">
        <f t="shared" ref="A134:A145" si="14">A133+1</f>
        <v>#REF!</v>
      </c>
      <c r="B134" s="51">
        <f t="shared" ref="B134:C145" si="15">B133</f>
        <v>2025</v>
      </c>
      <c r="C134" s="51" t="str">
        <f t="shared" si="15"/>
        <v>AMS</v>
      </c>
      <c r="D134" s="51" t="s">
        <v>500</v>
      </c>
      <c r="E134" s="51" t="e">
        <f>VLOOKUP($H$6,#REF!,2,FALSE)</f>
        <v>#REF!</v>
      </c>
      <c r="F134" s="51"/>
      <c r="G134" s="620" t="s">
        <v>350</v>
      </c>
      <c r="H134" s="613">
        <v>5.068399788884058</v>
      </c>
      <c r="I134" s="613">
        <v>0</v>
      </c>
      <c r="J134" s="613">
        <v>4.9124728630946066</v>
      </c>
      <c r="K134" s="613">
        <v>0</v>
      </c>
      <c r="L134" s="613">
        <v>36.774004194815085</v>
      </c>
      <c r="M134" s="613">
        <v>0</v>
      </c>
      <c r="N134" s="613">
        <v>1053.5890909090911</v>
      </c>
      <c r="O134" s="613">
        <v>155.22027541539615</v>
      </c>
      <c r="P134" s="613">
        <v>34.16808670604641</v>
      </c>
      <c r="Q134" s="613">
        <v>11.281848474770838</v>
      </c>
      <c r="R134" s="613">
        <v>5.5512316182098811</v>
      </c>
      <c r="S134" s="613">
        <v>5.6113721233995753</v>
      </c>
      <c r="T134" s="613">
        <v>0</v>
      </c>
      <c r="U134" s="613">
        <v>0.31861460974897526</v>
      </c>
      <c r="V134" s="613">
        <v>-544.41932924379887</v>
      </c>
      <c r="W134" s="613">
        <v>0</v>
      </c>
      <c r="X134" s="613">
        <v>0</v>
      </c>
      <c r="Y134" s="621">
        <v>768.07606745965757</v>
      </c>
      <c r="Z134" s="51"/>
      <c r="AA134" s="51"/>
      <c r="AB134" s="51"/>
    </row>
    <row r="135" spans="1:28">
      <c r="A135" s="51" t="e">
        <f t="shared" si="14"/>
        <v>#REF!</v>
      </c>
      <c r="B135" s="51">
        <f t="shared" si="15"/>
        <v>2025</v>
      </c>
      <c r="C135" s="51" t="str">
        <f t="shared" si="15"/>
        <v>AMS</v>
      </c>
      <c r="D135" s="51" t="s">
        <v>501</v>
      </c>
      <c r="E135" s="51" t="e">
        <f>VLOOKUP($H$6,#REF!,2,FALSE)</f>
        <v>#REF!</v>
      </c>
      <c r="F135" s="51"/>
      <c r="G135" s="620" t="s">
        <v>351</v>
      </c>
      <c r="H135" s="613">
        <v>0.1931818181818182</v>
      </c>
      <c r="I135" s="613">
        <v>0</v>
      </c>
      <c r="J135" s="613">
        <v>0</v>
      </c>
      <c r="K135" s="613">
        <v>0</v>
      </c>
      <c r="L135" s="613">
        <v>18.699747563200777</v>
      </c>
      <c r="M135" s="613">
        <v>0</v>
      </c>
      <c r="N135" s="613">
        <v>0</v>
      </c>
      <c r="O135" s="613">
        <v>0</v>
      </c>
      <c r="P135" s="613">
        <v>26.355115374306525</v>
      </c>
      <c r="Q135" s="613">
        <v>15.857266887266444</v>
      </c>
      <c r="R135" s="613">
        <v>0</v>
      </c>
      <c r="S135" s="613">
        <v>3.312429986969792</v>
      </c>
      <c r="T135" s="613">
        <v>0</v>
      </c>
      <c r="U135" s="613">
        <v>5.6407627218251397</v>
      </c>
      <c r="V135" s="613">
        <v>0</v>
      </c>
      <c r="W135" s="613">
        <v>-63.097173845556554</v>
      </c>
      <c r="X135" s="613">
        <v>0</v>
      </c>
      <c r="Y135" s="621">
        <v>6.961330506193935</v>
      </c>
      <c r="Z135" s="51"/>
      <c r="AA135" s="51"/>
      <c r="AB135" s="51"/>
    </row>
    <row r="136" spans="1:28">
      <c r="A136" s="51" t="e">
        <f t="shared" si="14"/>
        <v>#REF!</v>
      </c>
      <c r="B136" s="51">
        <f t="shared" si="15"/>
        <v>2025</v>
      </c>
      <c r="C136" s="51" t="str">
        <f t="shared" si="15"/>
        <v>AMS</v>
      </c>
      <c r="D136" s="51" t="s">
        <v>502</v>
      </c>
      <c r="E136" s="51" t="e">
        <f>VLOOKUP($H$6,#REF!,2,FALSE)</f>
        <v>#REF!</v>
      </c>
      <c r="F136" s="51"/>
      <c r="G136" s="620" t="s">
        <v>352</v>
      </c>
      <c r="H136" s="613">
        <v>0</v>
      </c>
      <c r="I136" s="613">
        <v>0</v>
      </c>
      <c r="J136" s="613">
        <v>0</v>
      </c>
      <c r="K136" s="613">
        <v>0</v>
      </c>
      <c r="L136" s="613">
        <v>0</v>
      </c>
      <c r="M136" s="613">
        <v>0</v>
      </c>
      <c r="N136" s="613">
        <v>0</v>
      </c>
      <c r="O136" s="613">
        <v>0</v>
      </c>
      <c r="P136" s="613">
        <v>25.213782174041008</v>
      </c>
      <c r="Q136" s="613">
        <v>0</v>
      </c>
      <c r="R136" s="613">
        <v>0</v>
      </c>
      <c r="S136" s="613">
        <v>-23.351209189873732</v>
      </c>
      <c r="T136" s="613">
        <v>0</v>
      </c>
      <c r="U136" s="613">
        <v>0</v>
      </c>
      <c r="V136" s="613">
        <v>0</v>
      </c>
      <c r="W136" s="613">
        <v>0</v>
      </c>
      <c r="X136" s="613">
        <v>0</v>
      </c>
      <c r="Y136" s="621">
        <v>1.8625729841672758</v>
      </c>
      <c r="Z136" s="51"/>
      <c r="AA136" s="51"/>
      <c r="AB136" s="51"/>
    </row>
    <row r="137" spans="1:28">
      <c r="A137" s="51" t="e">
        <f t="shared" si="14"/>
        <v>#REF!</v>
      </c>
      <c r="B137" s="51">
        <f t="shared" si="15"/>
        <v>2025</v>
      </c>
      <c r="C137" s="51" t="str">
        <f t="shared" si="15"/>
        <v>AMS</v>
      </c>
      <c r="D137" s="51" t="s">
        <v>503</v>
      </c>
      <c r="E137" s="51" t="e">
        <f>VLOOKUP($H$6,#REF!,2,FALSE)</f>
        <v>#REF!</v>
      </c>
      <c r="F137" s="51"/>
      <c r="G137" s="620" t="s">
        <v>353</v>
      </c>
      <c r="H137" s="613">
        <v>0</v>
      </c>
      <c r="I137" s="613">
        <v>0</v>
      </c>
      <c r="J137" s="613">
        <v>0</v>
      </c>
      <c r="K137" s="613">
        <v>0</v>
      </c>
      <c r="L137" s="613">
        <v>0</v>
      </c>
      <c r="M137" s="613">
        <v>0</v>
      </c>
      <c r="N137" s="613">
        <v>0</v>
      </c>
      <c r="O137" s="613">
        <v>0</v>
      </c>
      <c r="P137" s="613">
        <v>0</v>
      </c>
      <c r="Q137" s="613">
        <v>0</v>
      </c>
      <c r="R137" s="613">
        <v>0</v>
      </c>
      <c r="S137" s="613">
        <v>0</v>
      </c>
      <c r="T137" s="613">
        <v>0</v>
      </c>
      <c r="U137" s="613">
        <v>0</v>
      </c>
      <c r="V137" s="613">
        <v>0</v>
      </c>
      <c r="W137" s="613">
        <v>0</v>
      </c>
      <c r="X137" s="613">
        <v>0</v>
      </c>
      <c r="Y137" s="621">
        <v>0</v>
      </c>
      <c r="Z137" s="51"/>
      <c r="AA137" s="51"/>
      <c r="AB137" s="51"/>
    </row>
    <row r="138" spans="1:28">
      <c r="A138" s="51" t="e">
        <f t="shared" si="14"/>
        <v>#REF!</v>
      </c>
      <c r="B138" s="51">
        <f t="shared" si="15"/>
        <v>2025</v>
      </c>
      <c r="C138" s="51" t="str">
        <f t="shared" si="15"/>
        <v>AMS</v>
      </c>
      <c r="D138" s="51" t="s">
        <v>504</v>
      </c>
      <c r="E138" s="51" t="e">
        <f>VLOOKUP($H$6,#REF!,2,FALSE)</f>
        <v>#REF!</v>
      </c>
      <c r="F138" s="51"/>
      <c r="G138" s="620" t="s">
        <v>72</v>
      </c>
      <c r="H138" s="613">
        <v>0</v>
      </c>
      <c r="I138" s="613">
        <v>517.60249070017358</v>
      </c>
      <c r="J138" s="613">
        <v>-512.45210450124512</v>
      </c>
      <c r="K138" s="613">
        <v>0</v>
      </c>
      <c r="L138" s="613">
        <v>0</v>
      </c>
      <c r="M138" s="613">
        <v>0</v>
      </c>
      <c r="N138" s="613">
        <v>0</v>
      </c>
      <c r="O138" s="613">
        <v>0</v>
      </c>
      <c r="P138" s="613">
        <v>0</v>
      </c>
      <c r="Q138" s="613">
        <v>0</v>
      </c>
      <c r="R138" s="613">
        <v>0</v>
      </c>
      <c r="S138" s="613">
        <v>0</v>
      </c>
      <c r="T138" s="613">
        <v>0</v>
      </c>
      <c r="U138" s="613">
        <v>0</v>
      </c>
      <c r="V138" s="613">
        <v>0</v>
      </c>
      <c r="W138" s="613">
        <v>0</v>
      </c>
      <c r="X138" s="613">
        <v>0</v>
      </c>
      <c r="Y138" s="621">
        <v>5.1503861989284561</v>
      </c>
      <c r="Z138" s="51"/>
      <c r="AA138" s="51"/>
      <c r="AB138" s="51"/>
    </row>
    <row r="139" spans="1:28">
      <c r="A139" s="51" t="e">
        <f t="shared" si="14"/>
        <v>#REF!</v>
      </c>
      <c r="B139" s="51">
        <f t="shared" si="15"/>
        <v>2025</v>
      </c>
      <c r="C139" s="51" t="str">
        <f t="shared" si="15"/>
        <v>AMS</v>
      </c>
      <c r="D139" s="51" t="s">
        <v>505</v>
      </c>
      <c r="E139" s="51" t="e">
        <f>VLOOKUP($H$6,#REF!,2,FALSE)</f>
        <v>#REF!</v>
      </c>
      <c r="F139" s="51"/>
      <c r="G139" s="620" t="s">
        <v>354</v>
      </c>
      <c r="H139" s="613">
        <v>0</v>
      </c>
      <c r="I139" s="613">
        <v>0</v>
      </c>
      <c r="J139" s="613">
        <v>0</v>
      </c>
      <c r="K139" s="613">
        <v>0</v>
      </c>
      <c r="L139" s="613">
        <v>0</v>
      </c>
      <c r="M139" s="613">
        <v>0</v>
      </c>
      <c r="N139" s="613">
        <v>0</v>
      </c>
      <c r="O139" s="613">
        <v>0</v>
      </c>
      <c r="P139" s="613">
        <v>52.070159971858487</v>
      </c>
      <c r="Q139" s="613">
        <v>0</v>
      </c>
      <c r="R139" s="613">
        <v>-52.070159971858487</v>
      </c>
      <c r="S139" s="613">
        <v>0</v>
      </c>
      <c r="T139" s="613">
        <v>0</v>
      </c>
      <c r="U139" s="613">
        <v>0</v>
      </c>
      <c r="V139" s="613">
        <v>0</v>
      </c>
      <c r="W139" s="613">
        <v>0</v>
      </c>
      <c r="X139" s="613">
        <v>0</v>
      </c>
      <c r="Y139" s="621">
        <v>0</v>
      </c>
      <c r="Z139" s="51"/>
      <c r="AA139" s="51"/>
      <c r="AB139" s="51"/>
    </row>
    <row r="140" spans="1:28">
      <c r="A140" s="51" t="e">
        <f t="shared" si="14"/>
        <v>#REF!</v>
      </c>
      <c r="B140" s="51">
        <f t="shared" si="15"/>
        <v>2025</v>
      </c>
      <c r="C140" s="51" t="str">
        <f t="shared" si="15"/>
        <v>AMS</v>
      </c>
      <c r="D140" s="51" t="s">
        <v>506</v>
      </c>
      <c r="E140" s="51" t="e">
        <f>VLOOKUP($H$6,#REF!,2,FALSE)</f>
        <v>#REF!</v>
      </c>
      <c r="F140" s="51"/>
      <c r="G140" s="620" t="s">
        <v>355</v>
      </c>
      <c r="H140" s="613">
        <v>0</v>
      </c>
      <c r="I140" s="613">
        <v>0</v>
      </c>
      <c r="J140" s="613">
        <v>0</v>
      </c>
      <c r="K140" s="613">
        <v>-7.143300897345993E-2</v>
      </c>
      <c r="L140" s="613">
        <v>0</v>
      </c>
      <c r="M140" s="613">
        <v>0</v>
      </c>
      <c r="N140" s="613">
        <v>0</v>
      </c>
      <c r="O140" s="613">
        <v>0</v>
      </c>
      <c r="P140" s="613">
        <v>0</v>
      </c>
      <c r="Q140" s="613">
        <v>0</v>
      </c>
      <c r="R140" s="613">
        <v>0</v>
      </c>
      <c r="S140" s="613">
        <v>0</v>
      </c>
      <c r="T140" s="613">
        <v>0</v>
      </c>
      <c r="U140" s="613">
        <v>0</v>
      </c>
      <c r="V140" s="613">
        <v>0</v>
      </c>
      <c r="W140" s="613">
        <v>0</v>
      </c>
      <c r="X140" s="613">
        <v>9.9488870436573729E-2</v>
      </c>
      <c r="Y140" s="621">
        <v>2.8055861463113799E-2</v>
      </c>
      <c r="Z140" s="51"/>
      <c r="AA140" s="51"/>
      <c r="AB140" s="51"/>
    </row>
    <row r="141" spans="1:28">
      <c r="A141" s="51" t="e">
        <f t="shared" si="14"/>
        <v>#REF!</v>
      </c>
      <c r="B141" s="51">
        <f t="shared" si="15"/>
        <v>2025</v>
      </c>
      <c r="C141" s="51" t="str">
        <f t="shared" si="15"/>
        <v>AMS</v>
      </c>
      <c r="D141" s="51" t="s">
        <v>507</v>
      </c>
      <c r="E141" s="51" t="e">
        <f>VLOOKUP($H$6,#REF!,2,FALSE)</f>
        <v>#REF!</v>
      </c>
      <c r="F141" s="51"/>
      <c r="G141" s="620" t="s">
        <v>73</v>
      </c>
      <c r="H141" s="613">
        <v>0</v>
      </c>
      <c r="I141" s="613">
        <v>0</v>
      </c>
      <c r="J141" s="613">
        <v>0</v>
      </c>
      <c r="K141" s="613">
        <v>0</v>
      </c>
      <c r="L141" s="613">
        <v>0</v>
      </c>
      <c r="M141" s="613">
        <v>0</v>
      </c>
      <c r="N141" s="613">
        <v>0</v>
      </c>
      <c r="O141" s="613">
        <v>0</v>
      </c>
      <c r="P141" s="613">
        <v>0</v>
      </c>
      <c r="Q141" s="613">
        <v>0</v>
      </c>
      <c r="R141" s="613">
        <v>0</v>
      </c>
      <c r="S141" s="613">
        <v>0</v>
      </c>
      <c r="T141" s="613">
        <v>0</v>
      </c>
      <c r="U141" s="613">
        <v>0</v>
      </c>
      <c r="V141" s="613">
        <v>7.9634516882678241</v>
      </c>
      <c r="W141" s="613">
        <v>0</v>
      </c>
      <c r="X141" s="613">
        <v>-5.1762435973740857</v>
      </c>
      <c r="Y141" s="621">
        <v>2.7872080908937384</v>
      </c>
      <c r="Z141" s="51"/>
      <c r="AA141" s="51"/>
      <c r="AB141" s="51"/>
    </row>
    <row r="142" spans="1:28">
      <c r="A142" s="51" t="e">
        <f t="shared" si="14"/>
        <v>#REF!</v>
      </c>
      <c r="B142" s="51">
        <f t="shared" si="15"/>
        <v>2025</v>
      </c>
      <c r="C142" s="51" t="str">
        <f t="shared" si="15"/>
        <v>AMS</v>
      </c>
      <c r="D142" s="51" t="s">
        <v>508</v>
      </c>
      <c r="E142" s="51" t="e">
        <f>VLOOKUP($H$6,#REF!,2,FALSE)</f>
        <v>#REF!</v>
      </c>
      <c r="F142" s="51"/>
      <c r="G142" s="620" t="s">
        <v>356</v>
      </c>
      <c r="H142" s="613">
        <v>22.178927109375</v>
      </c>
      <c r="I142" s="613">
        <v>-18.191437511328061</v>
      </c>
      <c r="J142" s="613">
        <v>23.666155984350404</v>
      </c>
      <c r="K142" s="613">
        <v>0</v>
      </c>
      <c r="L142" s="613">
        <v>0</v>
      </c>
      <c r="M142" s="613">
        <v>0</v>
      </c>
      <c r="N142" s="613">
        <v>0</v>
      </c>
      <c r="O142" s="613">
        <v>0</v>
      </c>
      <c r="P142" s="613">
        <v>0</v>
      </c>
      <c r="Q142" s="613">
        <v>0</v>
      </c>
      <c r="R142" s="613">
        <v>0</v>
      </c>
      <c r="S142" s="613">
        <v>0</v>
      </c>
      <c r="T142" s="613">
        <v>0</v>
      </c>
      <c r="U142" s="613">
        <v>0</v>
      </c>
      <c r="V142" s="613">
        <v>0</v>
      </c>
      <c r="W142" s="613">
        <v>0</v>
      </c>
      <c r="X142" s="613">
        <v>0</v>
      </c>
      <c r="Y142" s="621">
        <v>27.653645582397342</v>
      </c>
      <c r="Z142" s="51"/>
      <c r="AA142" s="51"/>
      <c r="AB142" s="51"/>
    </row>
    <row r="143" spans="1:28">
      <c r="A143" s="51" t="e">
        <f t="shared" si="14"/>
        <v>#REF!</v>
      </c>
      <c r="B143" s="51">
        <f t="shared" si="15"/>
        <v>2025</v>
      </c>
      <c r="C143" s="51" t="str">
        <f t="shared" si="15"/>
        <v>AMS</v>
      </c>
      <c r="D143" s="51" t="s">
        <v>509</v>
      </c>
      <c r="E143" s="51" t="e">
        <f>VLOOKUP($H$6,#REF!,2,FALSE)</f>
        <v>#REF!</v>
      </c>
      <c r="F143" s="51"/>
      <c r="G143" s="620" t="s">
        <v>75</v>
      </c>
      <c r="H143" s="613">
        <v>8.6251383203125016</v>
      </c>
      <c r="I143" s="613">
        <v>0</v>
      </c>
      <c r="J143" s="613">
        <v>20.228971403017535</v>
      </c>
      <c r="K143" s="613">
        <v>0</v>
      </c>
      <c r="L143" s="613">
        <v>5.487827419085181</v>
      </c>
      <c r="M143" s="613">
        <v>0</v>
      </c>
      <c r="N143" s="613">
        <v>0</v>
      </c>
      <c r="O143" s="613">
        <v>0</v>
      </c>
      <c r="P143" s="613">
        <v>0</v>
      </c>
      <c r="Q143" s="613">
        <v>0</v>
      </c>
      <c r="R143" s="613">
        <v>0</v>
      </c>
      <c r="S143" s="613">
        <v>0.28883302205711481</v>
      </c>
      <c r="T143" s="613">
        <v>0</v>
      </c>
      <c r="U143" s="613">
        <v>0</v>
      </c>
      <c r="V143" s="613">
        <v>27.175848689851513</v>
      </c>
      <c r="W143" s="613">
        <v>0</v>
      </c>
      <c r="X143" s="613">
        <v>0</v>
      </c>
      <c r="Y143" s="621">
        <v>61.806618854323844</v>
      </c>
      <c r="Z143" s="51"/>
      <c r="AA143" s="51"/>
      <c r="AB143" s="51"/>
    </row>
    <row r="144" spans="1:28">
      <c r="A144" s="51" t="e">
        <f t="shared" si="14"/>
        <v>#REF!</v>
      </c>
      <c r="B144" s="51">
        <f t="shared" si="15"/>
        <v>2025</v>
      </c>
      <c r="C144" s="51" t="str">
        <f t="shared" si="15"/>
        <v>AMS</v>
      </c>
      <c r="D144" s="51" t="s">
        <v>510</v>
      </c>
      <c r="E144" s="51" t="e">
        <f>VLOOKUP($H$6,#REF!,2,FALSE)</f>
        <v>#REF!</v>
      </c>
      <c r="F144" s="51"/>
      <c r="G144" s="620" t="s">
        <v>76</v>
      </c>
      <c r="H144" s="613">
        <v>0</v>
      </c>
      <c r="I144" s="613">
        <v>0</v>
      </c>
      <c r="J144" s="613">
        <v>0</v>
      </c>
      <c r="K144" s="613">
        <v>0</v>
      </c>
      <c r="L144" s="613">
        <v>3.8832871136431208</v>
      </c>
      <c r="M144" s="613">
        <v>0</v>
      </c>
      <c r="N144" s="613">
        <v>0</v>
      </c>
      <c r="O144" s="613">
        <v>0</v>
      </c>
      <c r="P144" s="613">
        <v>0</v>
      </c>
      <c r="Q144" s="613">
        <v>0</v>
      </c>
      <c r="R144" s="613">
        <v>0</v>
      </c>
      <c r="S144" s="613">
        <v>0.20438353229700637</v>
      </c>
      <c r="T144" s="613">
        <v>0</v>
      </c>
      <c r="U144" s="613">
        <v>0</v>
      </c>
      <c r="V144" s="613">
        <v>38.356125680711244</v>
      </c>
      <c r="W144" s="613">
        <v>4.8935866171781743</v>
      </c>
      <c r="X144" s="613">
        <v>0</v>
      </c>
      <c r="Y144" s="621">
        <v>47.337382943829546</v>
      </c>
      <c r="Z144" s="51"/>
      <c r="AA144" s="51"/>
      <c r="AB144" s="51"/>
    </row>
    <row r="145" spans="1:28">
      <c r="A145" s="51" t="e">
        <f t="shared" si="14"/>
        <v>#REF!</v>
      </c>
      <c r="B145" s="51">
        <f t="shared" si="15"/>
        <v>2025</v>
      </c>
      <c r="C145" s="51" t="str">
        <f t="shared" si="15"/>
        <v>AMS</v>
      </c>
      <c r="D145" s="51" t="s">
        <v>511</v>
      </c>
      <c r="E145" s="51" t="e">
        <f>VLOOKUP($H$6,#REF!,2,FALSE)</f>
        <v>#REF!</v>
      </c>
      <c r="F145" s="51"/>
      <c r="G145" s="616" t="s">
        <v>77</v>
      </c>
      <c r="H145" s="617">
        <v>36.065647036753376</v>
      </c>
      <c r="I145" s="617">
        <v>499.41105318884553</v>
      </c>
      <c r="J145" s="617">
        <v>-463.64450425078257</v>
      </c>
      <c r="K145" s="617">
        <v>-7.143300897345993E-2</v>
      </c>
      <c r="L145" s="624">
        <v>64.844866290744164</v>
      </c>
      <c r="M145" s="617">
        <v>0</v>
      </c>
      <c r="N145" s="617">
        <v>1053.5890909090911</v>
      </c>
      <c r="O145" s="617">
        <v>155.22027541539615</v>
      </c>
      <c r="P145" s="617">
        <v>137.80714422625243</v>
      </c>
      <c r="Q145" s="617">
        <v>27.13911536203728</v>
      </c>
      <c r="R145" s="617">
        <v>-46.518928353648604</v>
      </c>
      <c r="S145" s="617">
        <v>-13.934190525150244</v>
      </c>
      <c r="T145" s="617">
        <v>0</v>
      </c>
      <c r="U145" s="617">
        <v>5.9593773315741148</v>
      </c>
      <c r="V145" s="617">
        <v>-470.92390318496831</v>
      </c>
      <c r="W145" s="617">
        <v>-58.203587228378382</v>
      </c>
      <c r="X145" s="617">
        <v>-5.0767547269375122</v>
      </c>
      <c r="Y145" s="617">
        <v>921.66326848185474</v>
      </c>
      <c r="Z145" s="51"/>
      <c r="AA145" s="51"/>
      <c r="AB145" s="51"/>
    </row>
    <row r="146" spans="1:28">
      <c r="A146" s="51"/>
      <c r="B146" s="51"/>
      <c r="C146" s="51"/>
      <c r="D146" s="51"/>
      <c r="E146" s="51"/>
      <c r="F146" s="51"/>
      <c r="G146" s="618"/>
      <c r="H146" s="619">
        <v>0</v>
      </c>
      <c r="I146" s="619">
        <v>0</v>
      </c>
      <c r="J146" s="619">
        <v>0</v>
      </c>
      <c r="K146" s="619">
        <v>0</v>
      </c>
      <c r="L146" s="625">
        <v>0</v>
      </c>
      <c r="M146" s="619">
        <v>0</v>
      </c>
      <c r="N146" s="619">
        <v>0</v>
      </c>
      <c r="O146" s="619">
        <v>0</v>
      </c>
      <c r="P146" s="619">
        <v>0</v>
      </c>
      <c r="Q146" s="619">
        <v>0</v>
      </c>
      <c r="R146" s="619">
        <v>0</v>
      </c>
      <c r="S146" s="619">
        <v>0</v>
      </c>
      <c r="T146" s="619">
        <v>0</v>
      </c>
      <c r="U146" s="619">
        <v>0</v>
      </c>
      <c r="V146" s="619">
        <v>0</v>
      </c>
      <c r="W146" s="619">
        <v>0</v>
      </c>
      <c r="X146" s="619">
        <v>0</v>
      </c>
      <c r="Y146" s="619">
        <v>0</v>
      </c>
      <c r="Z146" s="51"/>
      <c r="AA146" s="51"/>
      <c r="AB146" s="51"/>
    </row>
    <row r="147" spans="1:28">
      <c r="A147" s="51" t="e">
        <f>A145+2</f>
        <v>#REF!</v>
      </c>
      <c r="B147" s="51">
        <f>B145</f>
        <v>2025</v>
      </c>
      <c r="C147" s="51" t="str">
        <f>C125</f>
        <v>AMS</v>
      </c>
      <c r="D147" s="51" t="s">
        <v>512</v>
      </c>
      <c r="E147" s="51" t="e">
        <f>VLOOKUP($H$6,#REF!,2,FALSE)</f>
        <v>#REF!</v>
      </c>
      <c r="F147" s="51"/>
      <c r="G147" s="620" t="s">
        <v>78</v>
      </c>
      <c r="H147" s="613">
        <v>5.7659559812914596</v>
      </c>
      <c r="I147" s="613">
        <v>0</v>
      </c>
      <c r="J147" s="613">
        <v>20.140625662246215</v>
      </c>
      <c r="K147" s="613">
        <v>0</v>
      </c>
      <c r="L147" s="613">
        <v>96.219207826214614</v>
      </c>
      <c r="M147" s="613">
        <v>0</v>
      </c>
      <c r="N147" s="613">
        <v>0</v>
      </c>
      <c r="O147" s="613">
        <v>0</v>
      </c>
      <c r="P147" s="613">
        <v>18.774389983885822</v>
      </c>
      <c r="Q147" s="613">
        <v>2.2619594529052449</v>
      </c>
      <c r="R147" s="613">
        <v>0.75934024169921888</v>
      </c>
      <c r="S147" s="613">
        <v>5.087709316109053</v>
      </c>
      <c r="T147" s="613">
        <v>1.955318115234375</v>
      </c>
      <c r="U147" s="613">
        <v>4.7991131198633983E-4</v>
      </c>
      <c r="V147" s="613">
        <v>121.32585979507003</v>
      </c>
      <c r="W147" s="613">
        <v>18.196197954086337</v>
      </c>
      <c r="X147" s="613">
        <v>0.58506469726562504</v>
      </c>
      <c r="Y147" s="621">
        <v>291.07210893731997</v>
      </c>
      <c r="Z147" s="51"/>
      <c r="AA147" s="622" t="e" cm="1">
        <f t="array" aca="1" ref="AA147" ca="1">_xlfn.IFNA(INDEX(#REF!,MATCH(INDIRECT("Codes_bilans!"&amp;AA$1&amp;"$"&amp;$A147),#REF!,0),MATCH($B147,#REF!,0)),0)</f>
        <v>#REF!</v>
      </c>
      <c r="AB147" s="51"/>
    </row>
    <row r="148" spans="1:28">
      <c r="A148" s="51" t="e">
        <f t="shared" ref="A148:A155" si="16">A147+1</f>
        <v>#REF!</v>
      </c>
      <c r="B148" s="51">
        <f t="shared" ref="B148:C155" si="17">B147</f>
        <v>2025</v>
      </c>
      <c r="C148" s="51" t="str">
        <f t="shared" si="17"/>
        <v>AMS</v>
      </c>
      <c r="D148" s="51" t="s">
        <v>513</v>
      </c>
      <c r="E148" s="51" t="e">
        <f>VLOOKUP($H$6,#REF!,2,FALSE)</f>
        <v>#REF!</v>
      </c>
      <c r="F148" s="51"/>
      <c r="G148" s="620" t="s">
        <v>79</v>
      </c>
      <c r="H148" s="613">
        <v>0</v>
      </c>
      <c r="I148" s="613">
        <v>0</v>
      </c>
      <c r="J148" s="613">
        <v>390.32849052575307</v>
      </c>
      <c r="K148" s="613">
        <v>0</v>
      </c>
      <c r="L148" s="613">
        <v>3.80545856067917</v>
      </c>
      <c r="M148" s="613">
        <v>0</v>
      </c>
      <c r="N148" s="613">
        <v>0</v>
      </c>
      <c r="O148" s="613">
        <v>0</v>
      </c>
      <c r="P148" s="613">
        <v>0</v>
      </c>
      <c r="Q148" s="613">
        <v>0</v>
      </c>
      <c r="R148" s="613">
        <v>41.205948968253495</v>
      </c>
      <c r="S148" s="613">
        <v>0.20028729266732476</v>
      </c>
      <c r="T148" s="613">
        <v>0</v>
      </c>
      <c r="U148" s="613">
        <v>0</v>
      </c>
      <c r="V148" s="613">
        <v>15.644073294761139</v>
      </c>
      <c r="W148" s="613">
        <v>0</v>
      </c>
      <c r="X148" s="613">
        <v>0</v>
      </c>
      <c r="Y148" s="621">
        <v>451.18425864211417</v>
      </c>
      <c r="Z148" s="51"/>
      <c r="AA148" s="622" t="e" cm="1">
        <f t="array" aca="1" ref="AA148" ca="1">_xlfn.IFNA(INDEX(#REF!,MATCH(INDIRECT("Codes_bilans!"&amp;AA$1&amp;"$"&amp;$A148),#REF!,0),MATCH($B148,#REF!,0)),0)</f>
        <v>#REF!</v>
      </c>
      <c r="AB148" s="51"/>
    </row>
    <row r="149" spans="1:28">
      <c r="A149" s="51" t="e">
        <f t="shared" si="16"/>
        <v>#REF!</v>
      </c>
      <c r="B149" s="51">
        <f t="shared" si="17"/>
        <v>2025</v>
      </c>
      <c r="C149" s="51" t="str">
        <f t="shared" si="17"/>
        <v>AMS</v>
      </c>
      <c r="D149" s="51" t="s">
        <v>514</v>
      </c>
      <c r="E149" s="51" t="e">
        <f>VLOOKUP($H$6,#REF!,2,FALSE)</f>
        <v>#REF!</v>
      </c>
      <c r="F149" s="51"/>
      <c r="G149" s="620" t="s">
        <v>80</v>
      </c>
      <c r="H149" s="613">
        <v>0</v>
      </c>
      <c r="I149" s="613">
        <v>0</v>
      </c>
      <c r="J149" s="613">
        <v>12.124097766198929</v>
      </c>
      <c r="K149" s="613">
        <v>0</v>
      </c>
      <c r="L149" s="613">
        <v>106.96046467685454</v>
      </c>
      <c r="M149" s="613">
        <v>0</v>
      </c>
      <c r="N149" s="613">
        <v>0</v>
      </c>
      <c r="O149" s="613">
        <v>0</v>
      </c>
      <c r="P149" s="613">
        <v>59.150287479050967</v>
      </c>
      <c r="Q149" s="613">
        <v>0</v>
      </c>
      <c r="R149" s="613">
        <v>0</v>
      </c>
      <c r="S149" s="613">
        <v>5.6294981408870823</v>
      </c>
      <c r="T149" s="613">
        <v>50.263804232391934</v>
      </c>
      <c r="U149" s="613">
        <v>1.4653773673998376</v>
      </c>
      <c r="V149" s="613">
        <v>167.05352361968622</v>
      </c>
      <c r="W149" s="613">
        <v>26.615725966388851</v>
      </c>
      <c r="X149" s="613">
        <v>0</v>
      </c>
      <c r="Y149" s="621">
        <v>429.26277924885835</v>
      </c>
      <c r="Z149" s="51"/>
      <c r="AA149" s="622" t="e" cm="1">
        <f t="array" aca="1" ref="AA149" ca="1">_xlfn.IFNA(INDEX(#REF!,MATCH(INDIRECT("Codes_bilans!"&amp;AA$1&amp;"$"&amp;$A149),#REF!,0),MATCH($B149,#REF!,0)),0)</f>
        <v>#REF!</v>
      </c>
      <c r="AB149" s="51"/>
    </row>
    <row r="150" spans="1:28">
      <c r="A150" s="51" t="e">
        <f t="shared" si="16"/>
        <v>#REF!</v>
      </c>
      <c r="B150" s="51">
        <f t="shared" si="17"/>
        <v>2025</v>
      </c>
      <c r="C150" s="51" t="str">
        <f t="shared" si="17"/>
        <v>AMS</v>
      </c>
      <c r="D150" s="51" t="s">
        <v>515</v>
      </c>
      <c r="E150" s="51" t="e">
        <f>VLOOKUP($H$6,#REF!,2,FALSE)</f>
        <v>#REF!</v>
      </c>
      <c r="F150" s="51"/>
      <c r="G150" s="620" t="s">
        <v>81</v>
      </c>
      <c r="H150" s="613">
        <v>0</v>
      </c>
      <c r="I150" s="613">
        <v>0</v>
      </c>
      <c r="J150" s="613">
        <v>17.266825593867647</v>
      </c>
      <c r="K150" s="613">
        <v>0</v>
      </c>
      <c r="L150" s="613">
        <v>47.207135385758583</v>
      </c>
      <c r="M150" s="613">
        <v>0</v>
      </c>
      <c r="N150" s="613">
        <v>0</v>
      </c>
      <c r="O150" s="613">
        <v>0</v>
      </c>
      <c r="P150" s="613">
        <v>0.34286013585192066</v>
      </c>
      <c r="Q150" s="613">
        <v>6.152561484679505E-4</v>
      </c>
      <c r="R150" s="613">
        <v>0</v>
      </c>
      <c r="S150" s="613">
        <v>2.4845860729346625</v>
      </c>
      <c r="T150" s="613">
        <v>10.628217280358204</v>
      </c>
      <c r="U150" s="613">
        <v>0.84471066492371039</v>
      </c>
      <c r="V150" s="613">
        <v>115.22915089485383</v>
      </c>
      <c r="W150" s="613">
        <v>13.391663307903183</v>
      </c>
      <c r="X150" s="613">
        <v>0</v>
      </c>
      <c r="Y150" s="621">
        <v>207.39576459260022</v>
      </c>
      <c r="Z150" s="51"/>
      <c r="AA150" s="622" t="e" cm="1">
        <f t="array" aca="1" ref="AA150" ca="1">_xlfn.IFNA(INDEX(#REF!,MATCH(INDIRECT("Codes_bilans!"&amp;AA$1&amp;"$"&amp;$A150),#REF!,0),MATCH($B150,#REF!,0)),0)</f>
        <v>#REF!</v>
      </c>
      <c r="AB150" s="51"/>
    </row>
    <row r="151" spans="1:28">
      <c r="A151" s="51" t="e">
        <f t="shared" si="16"/>
        <v>#REF!</v>
      </c>
      <c r="B151" s="51">
        <f t="shared" si="17"/>
        <v>2025</v>
      </c>
      <c r="C151" s="51" t="str">
        <f t="shared" si="17"/>
        <v>AMS</v>
      </c>
      <c r="D151" s="51" t="s">
        <v>516</v>
      </c>
      <c r="E151" s="51" t="e">
        <f>VLOOKUP($H$6,#REF!,2,FALSE)</f>
        <v>#REF!</v>
      </c>
      <c r="F151" s="51"/>
      <c r="G151" s="620" t="s">
        <v>82</v>
      </c>
      <c r="H151" s="613">
        <v>0</v>
      </c>
      <c r="I151" s="613">
        <v>0</v>
      </c>
      <c r="J151" s="613">
        <v>31.022615677081973</v>
      </c>
      <c r="K151" s="613">
        <v>0</v>
      </c>
      <c r="L151" s="613">
        <v>2.3514405709880259</v>
      </c>
      <c r="M151" s="613">
        <v>0</v>
      </c>
      <c r="N151" s="613">
        <v>0</v>
      </c>
      <c r="O151" s="613">
        <v>0</v>
      </c>
      <c r="P151" s="613">
        <v>1.325152202471839</v>
      </c>
      <c r="Q151" s="613">
        <v>0</v>
      </c>
      <c r="R151" s="613">
        <v>2.8798420607810633</v>
      </c>
      <c r="S151" s="613">
        <v>0.12376003005200138</v>
      </c>
      <c r="T151" s="613">
        <v>0.25</v>
      </c>
      <c r="U151" s="613">
        <v>0.36066131262685786</v>
      </c>
      <c r="V151" s="613">
        <v>7.9839854804023167</v>
      </c>
      <c r="W151" s="613">
        <v>0</v>
      </c>
      <c r="X151" s="613">
        <v>8.6831190235855574E-2</v>
      </c>
      <c r="Y151" s="621">
        <v>46.384288524639942</v>
      </c>
      <c r="Z151" s="51"/>
      <c r="AA151" s="622" t="e" cm="1">
        <f t="array" aca="1" ref="AA151" ca="1">_xlfn.IFNA(INDEX(#REF!,MATCH(INDIRECT("Codes_bilans!"&amp;AA$1&amp;"$"&amp;$A151),#REF!,0),MATCH($B151,#REF!,0)),0)</f>
        <v>#REF!</v>
      </c>
      <c r="AB151" s="51"/>
    </row>
    <row r="152" spans="1:28">
      <c r="A152" s="51" t="e">
        <f t="shared" si="16"/>
        <v>#REF!</v>
      </c>
      <c r="B152" s="51">
        <f t="shared" si="17"/>
        <v>2025</v>
      </c>
      <c r="C152" s="51" t="str">
        <f t="shared" si="17"/>
        <v>AMS</v>
      </c>
      <c r="D152" s="51" t="s">
        <v>517</v>
      </c>
      <c r="E152" s="51" t="e">
        <f>VLOOKUP($H$6,#REF!,2,FALSE)</f>
        <v>#REF!</v>
      </c>
      <c r="F152" s="51"/>
      <c r="G152" s="620" t="s">
        <v>357</v>
      </c>
      <c r="H152" s="613">
        <v>0</v>
      </c>
      <c r="I152" s="613">
        <v>0</v>
      </c>
      <c r="J152" s="613">
        <v>0</v>
      </c>
      <c r="K152" s="613">
        <v>0</v>
      </c>
      <c r="L152" s="613">
        <v>0</v>
      </c>
      <c r="M152" s="613">
        <v>0</v>
      </c>
      <c r="N152" s="613">
        <v>0</v>
      </c>
      <c r="O152" s="613">
        <v>0</v>
      </c>
      <c r="P152" s="613">
        <v>0</v>
      </c>
      <c r="Q152" s="613">
        <v>0</v>
      </c>
      <c r="R152" s="613">
        <v>0</v>
      </c>
      <c r="S152" s="613">
        <v>0</v>
      </c>
      <c r="T152" s="613">
        <v>0</v>
      </c>
      <c r="U152" s="613">
        <v>0</v>
      </c>
      <c r="V152" s="613">
        <v>0</v>
      </c>
      <c r="W152" s="613">
        <v>0</v>
      </c>
      <c r="X152" s="613">
        <v>0</v>
      </c>
      <c r="Y152" s="621">
        <v>0</v>
      </c>
      <c r="Z152" s="51"/>
      <c r="AA152" s="622" t="e" cm="1">
        <f t="array" aca="1" ref="AA152" ca="1">_xlfn.IFNA(INDEX(#REF!,MATCH(INDIRECT("Codes_bilans!"&amp;AA$1&amp;"$"&amp;$A152),#REF!,0),MATCH($B152,#REF!,0)),0)</f>
        <v>#REF!</v>
      </c>
      <c r="AB152" s="51"/>
    </row>
    <row r="153" spans="1:28">
      <c r="A153" s="51" t="e">
        <f t="shared" si="16"/>
        <v>#REF!</v>
      </c>
      <c r="B153" s="51">
        <f t="shared" si="17"/>
        <v>2025</v>
      </c>
      <c r="C153" s="51" t="str">
        <f t="shared" si="17"/>
        <v>AMS</v>
      </c>
      <c r="D153" s="51" t="s">
        <v>518</v>
      </c>
      <c r="E153" s="51" t="e">
        <f>VLOOKUP($H$6,#REF!,2,FALSE)</f>
        <v>#REF!</v>
      </c>
      <c r="F153" s="51"/>
      <c r="G153" s="616" t="s">
        <v>83</v>
      </c>
      <c r="H153" s="617">
        <v>5.7659559812914596</v>
      </c>
      <c r="I153" s="617">
        <v>0</v>
      </c>
      <c r="J153" s="617">
        <v>470.88265522514774</v>
      </c>
      <c r="K153" s="617">
        <v>0</v>
      </c>
      <c r="L153" s="624">
        <v>256.54370702049494</v>
      </c>
      <c r="M153" s="617">
        <v>0</v>
      </c>
      <c r="N153" s="617">
        <v>0</v>
      </c>
      <c r="O153" s="617">
        <v>0</v>
      </c>
      <c r="P153" s="617">
        <v>79.592689801260548</v>
      </c>
      <c r="Q153" s="617">
        <v>2.2625747090537129</v>
      </c>
      <c r="R153" s="617">
        <v>44.845131270733781</v>
      </c>
      <c r="S153" s="617">
        <v>13.525840852650123</v>
      </c>
      <c r="T153" s="617">
        <v>63.09733962798451</v>
      </c>
      <c r="U153" s="617">
        <v>2.671229256262392</v>
      </c>
      <c r="V153" s="617">
        <v>427.23659308477357</v>
      </c>
      <c r="W153" s="617">
        <v>58.203587228378382</v>
      </c>
      <c r="X153" s="617">
        <v>0.67189588750148066</v>
      </c>
      <c r="Y153" s="617">
        <v>1425.2991999455328</v>
      </c>
      <c r="Z153" s="51"/>
      <c r="AA153" s="51"/>
      <c r="AB153" s="51"/>
    </row>
    <row r="154" spans="1:28">
      <c r="A154" s="51" t="e">
        <f t="shared" si="16"/>
        <v>#REF!</v>
      </c>
      <c r="B154" s="51">
        <f t="shared" si="17"/>
        <v>2025</v>
      </c>
      <c r="C154" s="51" t="str">
        <f t="shared" si="17"/>
        <v>AMS</v>
      </c>
      <c r="D154" s="51" t="s">
        <v>519</v>
      </c>
      <c r="E154" s="51" t="e">
        <f>VLOOKUP($H$6,#REF!,2,FALSE)</f>
        <v>#REF!</v>
      </c>
      <c r="F154" s="51"/>
      <c r="G154" s="612" t="s">
        <v>84</v>
      </c>
      <c r="H154" s="613">
        <v>0</v>
      </c>
      <c r="I154" s="613">
        <v>0</v>
      </c>
      <c r="J154" s="613">
        <v>113.21942779139728</v>
      </c>
      <c r="K154" s="613">
        <v>0.72711488851092865</v>
      </c>
      <c r="L154" s="613">
        <v>12.578912449765744</v>
      </c>
      <c r="M154" s="613">
        <v>0</v>
      </c>
      <c r="N154" s="613">
        <v>0</v>
      </c>
      <c r="O154" s="613">
        <v>0</v>
      </c>
      <c r="P154" s="613">
        <v>6.1881554531238177E-2</v>
      </c>
      <c r="Q154" s="613">
        <v>0</v>
      </c>
      <c r="R154" s="613">
        <v>5.2881219402962731</v>
      </c>
      <c r="S154" s="613">
        <v>0.53337670416372851</v>
      </c>
      <c r="T154" s="613">
        <v>0</v>
      </c>
      <c r="U154" s="613">
        <v>0</v>
      </c>
      <c r="V154" s="613">
        <v>0</v>
      </c>
      <c r="W154" s="613">
        <v>0</v>
      </c>
      <c r="X154" s="613">
        <v>4.4048588394360317</v>
      </c>
      <c r="Y154" s="621">
        <v>136.81369416810119</v>
      </c>
      <c r="Z154" s="51"/>
      <c r="AA154" s="622" t="e" cm="1">
        <f t="array" aca="1" ref="AA154" ca="1">_xlfn.IFNA(INDEX(#REF!,MATCH(INDIRECT("Codes_bilans!"&amp;AA$1&amp;"$"&amp;$A154),#REF!,0),MATCH($B154,#REF!,0)),0)</f>
        <v>#REF!</v>
      </c>
      <c r="AB154" s="51"/>
    </row>
    <row r="155" spans="1:28">
      <c r="A155" s="51" t="e">
        <f t="shared" si="16"/>
        <v>#REF!</v>
      </c>
      <c r="B155" s="51">
        <f t="shared" si="17"/>
        <v>2025</v>
      </c>
      <c r="C155" s="51" t="str">
        <f t="shared" si="17"/>
        <v>AMS</v>
      </c>
      <c r="D155" s="51" t="s">
        <v>520</v>
      </c>
      <c r="E155" s="51" t="e">
        <f>VLOOKUP($H$6,#REF!,2,FALSE)</f>
        <v>#REF!</v>
      </c>
      <c r="F155" s="51"/>
      <c r="G155" s="616" t="s">
        <v>85</v>
      </c>
      <c r="H155" s="617">
        <v>5.7659559812914596</v>
      </c>
      <c r="I155" s="617">
        <v>0</v>
      </c>
      <c r="J155" s="617">
        <v>584.10208301654495</v>
      </c>
      <c r="K155" s="617">
        <v>0.72711488851092865</v>
      </c>
      <c r="L155" s="624">
        <v>269.1226194702607</v>
      </c>
      <c r="M155" s="617">
        <v>0</v>
      </c>
      <c r="N155" s="617">
        <v>0</v>
      </c>
      <c r="O155" s="617">
        <v>0</v>
      </c>
      <c r="P155" s="617">
        <v>79.654571355791788</v>
      </c>
      <c r="Q155" s="617">
        <v>2.2625747090537129</v>
      </c>
      <c r="R155" s="617">
        <v>50.133253211030052</v>
      </c>
      <c r="S155" s="617">
        <v>14.059217556813852</v>
      </c>
      <c r="T155" s="617">
        <v>63.09733962798451</v>
      </c>
      <c r="U155" s="617">
        <v>2.671229256262392</v>
      </c>
      <c r="V155" s="617">
        <v>427.23659308477357</v>
      </c>
      <c r="W155" s="617">
        <v>58.203587228378382</v>
      </c>
      <c r="X155" s="617">
        <v>5.0767547269375122</v>
      </c>
      <c r="Y155" s="617">
        <v>1562.1128941136342</v>
      </c>
      <c r="Z155" s="51"/>
      <c r="AA155" s="51"/>
      <c r="AB155" s="51"/>
    </row>
    <row r="156" spans="1:28">
      <c r="A156" s="51"/>
      <c r="B156" s="51"/>
      <c r="C156" s="51"/>
      <c r="D156" s="51"/>
      <c r="E156" s="51"/>
      <c r="F156" s="51"/>
      <c r="G156" s="51"/>
      <c r="H156" s="67">
        <v>0</v>
      </c>
      <c r="I156" s="67">
        <v>0</v>
      </c>
      <c r="J156" s="67">
        <v>-1.4210854715202004E-13</v>
      </c>
      <c r="K156" s="67">
        <v>0</v>
      </c>
      <c r="L156" s="67">
        <v>0</v>
      </c>
      <c r="M156" s="67">
        <v>0</v>
      </c>
      <c r="N156" s="67">
        <v>0</v>
      </c>
      <c r="O156" s="67">
        <v>0</v>
      </c>
      <c r="P156" s="67">
        <v>0</v>
      </c>
      <c r="Q156" s="67">
        <v>0</v>
      </c>
      <c r="R156" s="67">
        <v>-3.4194869158454821E-14</v>
      </c>
      <c r="S156" s="67">
        <v>5.9952043329758453E-15</v>
      </c>
      <c r="T156" s="67">
        <v>0</v>
      </c>
      <c r="U156" s="67">
        <v>0</v>
      </c>
      <c r="V156" s="67">
        <v>0</v>
      </c>
      <c r="W156" s="67">
        <v>0</v>
      </c>
      <c r="X156" s="67">
        <v>0</v>
      </c>
      <c r="Y156" s="67">
        <v>0</v>
      </c>
      <c r="Z156" s="51"/>
      <c r="AA156" s="51"/>
      <c r="AB156" s="51"/>
    </row>
    <row r="157" spans="1:28">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row>
    <row r="158" spans="1:28">
      <c r="A158" s="608"/>
      <c r="B158" s="608"/>
      <c r="C158" s="608"/>
      <c r="D158" s="608"/>
      <c r="E158" s="608"/>
      <c r="F158" s="608"/>
      <c r="G158" s="609" t="s">
        <v>359</v>
      </c>
      <c r="H158" s="608"/>
      <c r="I158" s="608"/>
      <c r="J158" s="608"/>
      <c r="K158" s="608"/>
      <c r="L158" s="608"/>
      <c r="M158" s="608"/>
      <c r="N158" s="608"/>
      <c r="O158" s="608"/>
      <c r="P158" s="608"/>
      <c r="Q158" s="608"/>
      <c r="R158" s="608"/>
      <c r="S158" s="608"/>
      <c r="T158" s="608"/>
      <c r="U158" s="608"/>
      <c r="V158" s="608"/>
      <c r="W158" s="608"/>
      <c r="X158" s="608"/>
      <c r="Y158" s="608"/>
      <c r="Z158" s="608"/>
      <c r="AA158" s="608"/>
      <c r="AB158" s="608"/>
    </row>
    <row r="159" spans="1:28">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row>
    <row r="160" spans="1:28" ht="14.25" customHeight="1">
      <c r="A160" s="51"/>
      <c r="B160" s="51"/>
      <c r="C160" s="51"/>
      <c r="D160" s="51"/>
      <c r="E160" s="51"/>
      <c r="F160" s="51"/>
      <c r="G160" s="713" t="s">
        <v>128</v>
      </c>
      <c r="H160" s="711" t="s">
        <v>42</v>
      </c>
      <c r="I160" s="711" t="s">
        <v>52</v>
      </c>
      <c r="J160" s="711" t="s">
        <v>53</v>
      </c>
      <c r="K160" s="711" t="s">
        <v>487</v>
      </c>
      <c r="L160" s="711" t="s">
        <v>32</v>
      </c>
      <c r="M160" s="711" t="s">
        <v>488</v>
      </c>
      <c r="N160" s="711" t="s">
        <v>20</v>
      </c>
      <c r="O160" s="711" t="s">
        <v>55</v>
      </c>
      <c r="P160" s="715" t="s">
        <v>56</v>
      </c>
      <c r="Q160" s="716"/>
      <c r="R160" s="716"/>
      <c r="S160" s="716"/>
      <c r="T160" s="716"/>
      <c r="U160" s="717"/>
      <c r="V160" s="711" t="s">
        <v>57</v>
      </c>
      <c r="W160" s="711" t="s">
        <v>58</v>
      </c>
      <c r="X160" s="711" t="s">
        <v>31</v>
      </c>
      <c r="Y160" s="711" t="s">
        <v>10</v>
      </c>
      <c r="Z160" s="51"/>
      <c r="AA160" s="51"/>
      <c r="AB160" s="51"/>
    </row>
    <row r="161" spans="1:28" ht="24">
      <c r="A161" s="51"/>
      <c r="B161" s="51"/>
      <c r="C161" s="51"/>
      <c r="D161" s="51" t="s">
        <v>491</v>
      </c>
      <c r="E161" s="51"/>
      <c r="F161" s="51"/>
      <c r="G161" s="714"/>
      <c r="H161" s="712"/>
      <c r="I161" s="712"/>
      <c r="J161" s="712"/>
      <c r="K161" s="712"/>
      <c r="L161" s="712"/>
      <c r="M161" s="712"/>
      <c r="N161" s="712"/>
      <c r="O161" s="712"/>
      <c r="P161" s="610" t="s">
        <v>338</v>
      </c>
      <c r="Q161" s="610" t="s">
        <v>40</v>
      </c>
      <c r="R161" s="610" t="s">
        <v>346</v>
      </c>
      <c r="S161" s="610" t="s">
        <v>347</v>
      </c>
      <c r="T161" s="611" t="s">
        <v>348</v>
      </c>
      <c r="U161" s="610" t="s">
        <v>349</v>
      </c>
      <c r="V161" s="712"/>
      <c r="W161" s="712"/>
      <c r="X161" s="712"/>
      <c r="Y161" s="712"/>
      <c r="Z161" s="51"/>
      <c r="AA161" s="51"/>
      <c r="AB161" s="51"/>
    </row>
    <row r="162" spans="1:28">
      <c r="A162" s="51" t="e">
        <f>A125</f>
        <v>#REF!</v>
      </c>
      <c r="B162" s="51">
        <v>2028</v>
      </c>
      <c r="C162" s="51" t="s">
        <v>47</v>
      </c>
      <c r="D162" s="51" t="s">
        <v>492</v>
      </c>
      <c r="E162" s="51" t="e">
        <f>VLOOKUP($H$6,#REF!,2,FALSE)</f>
        <v>#REF!</v>
      </c>
      <c r="F162" s="51"/>
      <c r="G162" s="612" t="s">
        <v>59</v>
      </c>
      <c r="H162" s="613">
        <v>0</v>
      </c>
      <c r="I162" s="613">
        <v>9.7691999999999997</v>
      </c>
      <c r="J162" s="613">
        <v>0</v>
      </c>
      <c r="K162" s="613">
        <v>0</v>
      </c>
      <c r="L162" s="613">
        <v>0.18608000000000002</v>
      </c>
      <c r="M162" s="613">
        <v>0</v>
      </c>
      <c r="N162" s="614">
        <v>1044.4078145454548</v>
      </c>
      <c r="O162" s="614">
        <v>185.40677407888145</v>
      </c>
      <c r="P162" s="614">
        <v>223.71408153333834</v>
      </c>
      <c r="Q162" s="614">
        <v>28.897382822906049</v>
      </c>
      <c r="R162" s="613">
        <v>1.6018700034195554</v>
      </c>
      <c r="S162" s="613">
        <v>0.1425306035599459</v>
      </c>
      <c r="T162" s="614">
        <v>79.93802880459161</v>
      </c>
      <c r="U162" s="614">
        <v>9.9179265849836327</v>
      </c>
      <c r="V162" s="613">
        <v>0</v>
      </c>
      <c r="W162" s="613">
        <v>0</v>
      </c>
      <c r="X162" s="613">
        <v>0</v>
      </c>
      <c r="Y162" s="615">
        <v>1583.981688977135</v>
      </c>
      <c r="Z162" s="51"/>
      <c r="AA162" s="51"/>
      <c r="AB162" s="51"/>
    </row>
    <row r="163" spans="1:28">
      <c r="A163" s="51" t="e">
        <f t="shared" ref="A163:A168" si="18">A162+1</f>
        <v>#REF!</v>
      </c>
      <c r="B163" s="51">
        <f t="shared" ref="B163:C168" si="19">B162</f>
        <v>2028</v>
      </c>
      <c r="C163" s="51" t="str">
        <f t="shared" si="19"/>
        <v>AMS</v>
      </c>
      <c r="D163" s="51" t="s">
        <v>493</v>
      </c>
      <c r="E163" s="51" t="e">
        <f>VLOOKUP($H$6,#REF!,2,FALSE)</f>
        <v>#REF!</v>
      </c>
      <c r="F163" s="51"/>
      <c r="G163" s="612" t="s">
        <v>60</v>
      </c>
      <c r="H163" s="613">
        <v>27.904129505618755</v>
      </c>
      <c r="I163" s="613">
        <v>443.26764285453919</v>
      </c>
      <c r="J163" s="613">
        <v>170.8178876133114</v>
      </c>
      <c r="K163" s="613">
        <v>0.96874110820809101</v>
      </c>
      <c r="L163" s="613">
        <v>280.123967850952</v>
      </c>
      <c r="M163" s="613">
        <v>0</v>
      </c>
      <c r="N163" s="613">
        <v>0</v>
      </c>
      <c r="O163" s="613">
        <v>0</v>
      </c>
      <c r="P163" s="613">
        <v>2.543202703318971</v>
      </c>
      <c r="Q163" s="613">
        <v>0</v>
      </c>
      <c r="R163" s="613">
        <v>3.3840076567254442</v>
      </c>
      <c r="S163" s="613">
        <v>0</v>
      </c>
      <c r="T163" s="613">
        <v>0</v>
      </c>
      <c r="U163" s="613">
        <v>0</v>
      </c>
      <c r="V163" s="613">
        <v>0</v>
      </c>
      <c r="W163" s="613">
        <v>0</v>
      </c>
      <c r="X163" s="613">
        <v>0</v>
      </c>
      <c r="Y163" s="615">
        <v>929.00957929267383</v>
      </c>
      <c r="Z163" s="51"/>
      <c r="AA163" s="51"/>
      <c r="AB163" s="51"/>
    </row>
    <row r="164" spans="1:28">
      <c r="A164" s="51" t="e">
        <f t="shared" si="18"/>
        <v>#REF!</v>
      </c>
      <c r="B164" s="51">
        <f t="shared" si="19"/>
        <v>2028</v>
      </c>
      <c r="C164" s="51" t="str">
        <f t="shared" si="19"/>
        <v>AMS</v>
      </c>
      <c r="D164" s="51" t="s">
        <v>494</v>
      </c>
      <c r="E164" s="51" t="e">
        <f>VLOOKUP($H$6,#REF!,2,FALSE)</f>
        <v>#REF!</v>
      </c>
      <c r="F164" s="51"/>
      <c r="G164" s="612" t="s">
        <v>61</v>
      </c>
      <c r="H164" s="613">
        <v>0</v>
      </c>
      <c r="I164" s="613">
        <v>0</v>
      </c>
      <c r="J164" s="613">
        <v>-8.238229290577169E-2</v>
      </c>
      <c r="K164" s="613">
        <v>0</v>
      </c>
      <c r="L164" s="613">
        <v>0</v>
      </c>
      <c r="M164" s="613">
        <v>0</v>
      </c>
      <c r="N164" s="613">
        <v>0</v>
      </c>
      <c r="O164" s="613">
        <v>0</v>
      </c>
      <c r="P164" s="613">
        <v>0</v>
      </c>
      <c r="Q164" s="613">
        <v>0</v>
      </c>
      <c r="R164" s="613">
        <v>0</v>
      </c>
      <c r="S164" s="613">
        <v>0</v>
      </c>
      <c r="T164" s="613">
        <v>0</v>
      </c>
      <c r="U164" s="613">
        <v>0</v>
      </c>
      <c r="V164" s="613">
        <v>-57.937485455201795</v>
      </c>
      <c r="W164" s="613">
        <v>0</v>
      </c>
      <c r="X164" s="613">
        <v>0</v>
      </c>
      <c r="Y164" s="615">
        <v>-58.019867748107565</v>
      </c>
      <c r="Z164" s="51"/>
      <c r="AA164" s="51"/>
      <c r="AB164" s="51"/>
    </row>
    <row r="165" spans="1:28">
      <c r="A165" s="51" t="e">
        <f t="shared" si="18"/>
        <v>#REF!</v>
      </c>
      <c r="B165" s="51">
        <f t="shared" si="19"/>
        <v>2028</v>
      </c>
      <c r="C165" s="51" t="str">
        <f t="shared" si="19"/>
        <v>AMS</v>
      </c>
      <c r="D165" s="51" t="s">
        <v>495</v>
      </c>
      <c r="E165" s="51" t="e">
        <f>VLOOKUP($H$6,#REF!,2,FALSE)</f>
        <v>#REF!</v>
      </c>
      <c r="F165" s="51"/>
      <c r="G165" s="612" t="s">
        <v>62</v>
      </c>
      <c r="H165" s="613">
        <v>0</v>
      </c>
      <c r="I165" s="613">
        <v>0</v>
      </c>
      <c r="J165" s="613">
        <v>-16.913982362364816</v>
      </c>
      <c r="K165" s="613">
        <v>-0.21068566030958977</v>
      </c>
      <c r="L165" s="613">
        <v>-1.5457950077696609</v>
      </c>
      <c r="M165" s="613">
        <v>0</v>
      </c>
      <c r="N165" s="613">
        <v>0</v>
      </c>
      <c r="O165" s="613">
        <v>0</v>
      </c>
      <c r="P165" s="613">
        <v>0</v>
      </c>
      <c r="Q165" s="613">
        <v>0</v>
      </c>
      <c r="R165" s="613">
        <v>-0.46212963965785603</v>
      </c>
      <c r="S165" s="613">
        <v>-0.15662240166829164</v>
      </c>
      <c r="T165" s="613">
        <v>0</v>
      </c>
      <c r="U165" s="613">
        <v>0</v>
      </c>
      <c r="V165" s="613">
        <v>0</v>
      </c>
      <c r="W165" s="613">
        <v>0</v>
      </c>
      <c r="X165" s="613">
        <v>0</v>
      </c>
      <c r="Y165" s="615">
        <v>-19.289215071770215</v>
      </c>
      <c r="Z165" s="51"/>
      <c r="AA165" s="51"/>
      <c r="AB165" s="51"/>
    </row>
    <row r="166" spans="1:28">
      <c r="A166" s="51" t="e">
        <f t="shared" si="18"/>
        <v>#REF!</v>
      </c>
      <c r="B166" s="51">
        <f t="shared" si="19"/>
        <v>2028</v>
      </c>
      <c r="C166" s="51" t="str">
        <f t="shared" si="19"/>
        <v>AMS</v>
      </c>
      <c r="D166" s="51" t="s">
        <v>496</v>
      </c>
      <c r="E166" s="51" t="e">
        <f>VLOOKUP($H$6,#REF!,2,FALSE)</f>
        <v>#REF!</v>
      </c>
      <c r="F166" s="51"/>
      <c r="G166" s="612" t="s">
        <v>63</v>
      </c>
      <c r="H166" s="613">
        <v>0</v>
      </c>
      <c r="I166" s="613">
        <v>0</v>
      </c>
      <c r="J166" s="613">
        <v>-74.821470237515427</v>
      </c>
      <c r="K166" s="613">
        <v>-0.43381751781743938</v>
      </c>
      <c r="L166" s="613">
        <v>0</v>
      </c>
      <c r="M166" s="613">
        <v>0</v>
      </c>
      <c r="N166" s="613">
        <v>0</v>
      </c>
      <c r="O166" s="613">
        <v>0</v>
      </c>
      <c r="P166" s="613">
        <v>0</v>
      </c>
      <c r="Q166" s="613">
        <v>0</v>
      </c>
      <c r="R166" s="613">
        <v>-2.9848679697644429</v>
      </c>
      <c r="S166" s="613">
        <v>0</v>
      </c>
      <c r="T166" s="613">
        <v>0</v>
      </c>
      <c r="U166" s="613">
        <v>0</v>
      </c>
      <c r="V166" s="613">
        <v>0</v>
      </c>
      <c r="W166" s="613">
        <v>0</v>
      </c>
      <c r="X166" s="613">
        <v>0</v>
      </c>
      <c r="Y166" s="615">
        <v>-78.24015572509731</v>
      </c>
      <c r="Z166" s="51"/>
      <c r="AA166" s="51"/>
      <c r="AB166" s="51"/>
    </row>
    <row r="167" spans="1:28">
      <c r="A167" s="51" t="e">
        <f t="shared" si="18"/>
        <v>#REF!</v>
      </c>
      <c r="B167" s="51">
        <f t="shared" si="19"/>
        <v>2028</v>
      </c>
      <c r="C167" s="51" t="str">
        <f t="shared" si="19"/>
        <v>AMS</v>
      </c>
      <c r="D167" s="51" t="s">
        <v>497</v>
      </c>
      <c r="E167" s="51" t="e">
        <f>VLOOKUP($H$6,#REF!,2,FALSE)</f>
        <v>#REF!</v>
      </c>
      <c r="F167" s="51"/>
      <c r="G167" s="612" t="s">
        <v>64</v>
      </c>
      <c r="H167" s="613">
        <v>0</v>
      </c>
      <c r="I167" s="613">
        <v>0</v>
      </c>
      <c r="J167" s="613">
        <v>0</v>
      </c>
      <c r="K167" s="613">
        <v>0</v>
      </c>
      <c r="L167" s="613">
        <v>0</v>
      </c>
      <c r="M167" s="613">
        <v>0</v>
      </c>
      <c r="N167" s="613">
        <v>0</v>
      </c>
      <c r="O167" s="613">
        <v>0</v>
      </c>
      <c r="P167" s="613">
        <v>0</v>
      </c>
      <c r="Q167" s="613">
        <v>0</v>
      </c>
      <c r="R167" s="613">
        <v>0</v>
      </c>
      <c r="S167" s="613">
        <v>0</v>
      </c>
      <c r="T167" s="613">
        <v>0</v>
      </c>
      <c r="U167" s="613">
        <v>0</v>
      </c>
      <c r="V167" s="613">
        <v>0</v>
      </c>
      <c r="W167" s="613">
        <v>0</v>
      </c>
      <c r="X167" s="613">
        <v>0</v>
      </c>
      <c r="Y167" s="615">
        <v>0</v>
      </c>
      <c r="Z167" s="51"/>
      <c r="AA167" s="51"/>
      <c r="AB167" s="51"/>
    </row>
    <row r="168" spans="1:28">
      <c r="A168" s="51" t="e">
        <f t="shared" si="18"/>
        <v>#REF!</v>
      </c>
      <c r="B168" s="51">
        <f t="shared" si="19"/>
        <v>2028</v>
      </c>
      <c r="C168" s="51" t="str">
        <f t="shared" si="19"/>
        <v>AMS</v>
      </c>
      <c r="D168" s="51" t="s">
        <v>498</v>
      </c>
      <c r="E168" s="51" t="e">
        <f>VLOOKUP($H$6,#REF!,2,FALSE)</f>
        <v>#REF!</v>
      </c>
      <c r="F168" s="51"/>
      <c r="G168" s="616" t="s">
        <v>65</v>
      </c>
      <c r="H168" s="617">
        <v>27.904129505618755</v>
      </c>
      <c r="I168" s="617">
        <v>453.03684285453915</v>
      </c>
      <c r="J168" s="617">
        <v>79.000052720525389</v>
      </c>
      <c r="K168" s="617">
        <v>0.32423793008106183</v>
      </c>
      <c r="L168" s="624">
        <v>278.76425284318236</v>
      </c>
      <c r="M168" s="617">
        <v>0</v>
      </c>
      <c r="N168" s="617">
        <v>1044.4078145454548</v>
      </c>
      <c r="O168" s="617">
        <v>185.40677407888145</v>
      </c>
      <c r="P168" s="617">
        <v>226.25728423665731</v>
      </c>
      <c r="Q168" s="617">
        <v>28.897382822906049</v>
      </c>
      <c r="R168" s="617">
        <v>1.5388800507227005</v>
      </c>
      <c r="S168" s="617">
        <v>-1.4091798108345738E-2</v>
      </c>
      <c r="T168" s="617">
        <v>79.93802880459161</v>
      </c>
      <c r="U168" s="617">
        <v>9.9179265849836327</v>
      </c>
      <c r="V168" s="617">
        <v>-57.937485455201795</v>
      </c>
      <c r="W168" s="617">
        <v>0</v>
      </c>
      <c r="X168" s="617">
        <v>0</v>
      </c>
      <c r="Y168" s="617">
        <v>2357.4420297248339</v>
      </c>
      <c r="Z168" s="51"/>
      <c r="AA168" s="51"/>
      <c r="AB168" s="51"/>
    </row>
    <row r="169" spans="1:28">
      <c r="A169" s="51"/>
      <c r="B169" s="51"/>
      <c r="C169" s="51"/>
      <c r="D169" s="51"/>
      <c r="E169" s="51"/>
      <c r="F169" s="51"/>
      <c r="G169" s="618"/>
      <c r="H169" s="619">
        <v>0</v>
      </c>
      <c r="I169" s="619">
        <v>0</v>
      </c>
      <c r="J169" s="619">
        <v>0</v>
      </c>
      <c r="K169" s="619">
        <v>0</v>
      </c>
      <c r="L169" s="625">
        <v>0</v>
      </c>
      <c r="M169" s="619">
        <v>0</v>
      </c>
      <c r="N169" s="619">
        <v>0</v>
      </c>
      <c r="O169" s="619">
        <v>0</v>
      </c>
      <c r="P169" s="619">
        <v>0</v>
      </c>
      <c r="Q169" s="619">
        <v>0</v>
      </c>
      <c r="R169" s="619">
        <v>0</v>
      </c>
      <c r="S169" s="619">
        <v>0</v>
      </c>
      <c r="T169" s="619">
        <v>0</v>
      </c>
      <c r="U169" s="619">
        <v>0</v>
      </c>
      <c r="V169" s="619">
        <v>0</v>
      </c>
      <c r="W169" s="619">
        <v>0</v>
      </c>
      <c r="X169" s="619">
        <v>0</v>
      </c>
      <c r="Y169" s="619">
        <v>0</v>
      </c>
      <c r="Z169" s="51"/>
      <c r="AA169" s="51"/>
      <c r="AB169" s="51"/>
    </row>
    <row r="170" spans="1:28">
      <c r="A170" s="51" t="e">
        <f>A168+2</f>
        <v>#REF!</v>
      </c>
      <c r="B170" s="51">
        <f>B168</f>
        <v>2028</v>
      </c>
      <c r="C170" s="51" t="str">
        <f>C168</f>
        <v>AMS</v>
      </c>
      <c r="D170" s="51" t="s">
        <v>499</v>
      </c>
      <c r="E170" s="51" t="e">
        <f>VLOOKUP($H$6,#REF!,2,FALSE)</f>
        <v>#REF!</v>
      </c>
      <c r="F170" s="51"/>
      <c r="G170" s="620" t="s">
        <v>67</v>
      </c>
      <c r="H170" s="613">
        <v>0</v>
      </c>
      <c r="I170" s="613">
        <v>0</v>
      </c>
      <c r="J170" s="613">
        <v>0</v>
      </c>
      <c r="K170" s="613">
        <v>0</v>
      </c>
      <c r="L170" s="613">
        <v>0</v>
      </c>
      <c r="M170" s="613">
        <v>0</v>
      </c>
      <c r="N170" s="613">
        <v>0</v>
      </c>
      <c r="O170" s="613">
        <v>0</v>
      </c>
      <c r="P170" s="613">
        <v>0</v>
      </c>
      <c r="Q170" s="613">
        <v>0</v>
      </c>
      <c r="R170" s="613">
        <v>0</v>
      </c>
      <c r="S170" s="613">
        <v>0</v>
      </c>
      <c r="T170" s="613">
        <v>0</v>
      </c>
      <c r="U170" s="613">
        <v>0</v>
      </c>
      <c r="V170" s="613">
        <v>0</v>
      </c>
      <c r="W170" s="613">
        <v>0</v>
      </c>
      <c r="X170" s="613">
        <v>0</v>
      </c>
      <c r="Y170" s="621">
        <v>0</v>
      </c>
      <c r="Z170" s="51"/>
      <c r="AA170" s="51"/>
      <c r="AB170" s="51"/>
    </row>
    <row r="171" spans="1:28">
      <c r="A171" s="51" t="e">
        <f t="shared" ref="A171:A182" si="20">A170+1</f>
        <v>#REF!</v>
      </c>
      <c r="B171" s="51">
        <f t="shared" ref="B171:C182" si="21">B170</f>
        <v>2028</v>
      </c>
      <c r="C171" s="51" t="str">
        <f t="shared" si="21"/>
        <v>AMS</v>
      </c>
      <c r="D171" s="51" t="s">
        <v>500</v>
      </c>
      <c r="E171" s="51" t="e">
        <f>VLOOKUP($H$6,#REF!,2,FALSE)</f>
        <v>#REF!</v>
      </c>
      <c r="F171" s="51"/>
      <c r="G171" s="620" t="s">
        <v>350</v>
      </c>
      <c r="H171" s="613">
        <v>2.0273599155536228</v>
      </c>
      <c r="I171" s="613">
        <v>0</v>
      </c>
      <c r="J171" s="613">
        <v>2.4321719640965189</v>
      </c>
      <c r="K171" s="613">
        <v>0</v>
      </c>
      <c r="L171" s="613">
        <v>36.482583105824936</v>
      </c>
      <c r="M171" s="613">
        <v>0</v>
      </c>
      <c r="N171" s="613">
        <v>1044.4078145454548</v>
      </c>
      <c r="O171" s="613">
        <v>185.40677407888145</v>
      </c>
      <c r="P171" s="613">
        <v>30.815753259183325</v>
      </c>
      <c r="Q171" s="613">
        <v>10.624448622108345</v>
      </c>
      <c r="R171" s="613">
        <v>4.867247129818443</v>
      </c>
      <c r="S171" s="613">
        <v>6.1417210708324728</v>
      </c>
      <c r="T171" s="613">
        <v>0</v>
      </c>
      <c r="U171" s="613">
        <v>0.1274458438995901</v>
      </c>
      <c r="V171" s="613">
        <v>-571.48896253419366</v>
      </c>
      <c r="W171" s="613">
        <v>0</v>
      </c>
      <c r="X171" s="613">
        <v>0</v>
      </c>
      <c r="Y171" s="621">
        <v>751.84435700146003</v>
      </c>
      <c r="Z171" s="51"/>
      <c r="AA171" s="51"/>
      <c r="AB171" s="51"/>
    </row>
    <row r="172" spans="1:28">
      <c r="A172" s="51" t="e">
        <f t="shared" si="20"/>
        <v>#REF!</v>
      </c>
      <c r="B172" s="51">
        <f t="shared" si="21"/>
        <v>2028</v>
      </c>
      <c r="C172" s="51" t="str">
        <f t="shared" si="21"/>
        <v>AMS</v>
      </c>
      <c r="D172" s="51" t="s">
        <v>501</v>
      </c>
      <c r="E172" s="51" t="e">
        <f>VLOOKUP($H$6,#REF!,2,FALSE)</f>
        <v>#REF!</v>
      </c>
      <c r="F172" s="51"/>
      <c r="G172" s="620" t="s">
        <v>351</v>
      </c>
      <c r="H172" s="613">
        <v>7.7272727272727285E-2</v>
      </c>
      <c r="I172" s="613">
        <v>0</v>
      </c>
      <c r="J172" s="613">
        <v>0</v>
      </c>
      <c r="K172" s="613">
        <v>0</v>
      </c>
      <c r="L172" s="613">
        <v>17.872657477712522</v>
      </c>
      <c r="M172" s="613">
        <v>0</v>
      </c>
      <c r="N172" s="613">
        <v>0</v>
      </c>
      <c r="O172" s="613">
        <v>0</v>
      </c>
      <c r="P172" s="613">
        <v>30.795424710415574</v>
      </c>
      <c r="Q172" s="613">
        <v>15.788091398661473</v>
      </c>
      <c r="R172" s="613">
        <v>0</v>
      </c>
      <c r="S172" s="613">
        <v>3.9361494776423425</v>
      </c>
      <c r="T172" s="613">
        <v>0</v>
      </c>
      <c r="U172" s="613">
        <v>6.7289973607209745</v>
      </c>
      <c r="V172" s="613">
        <v>0</v>
      </c>
      <c r="W172" s="613">
        <v>-68.166941269573059</v>
      </c>
      <c r="X172" s="613">
        <v>0</v>
      </c>
      <c r="Y172" s="621">
        <v>7.0316518828525636</v>
      </c>
      <c r="Z172" s="51"/>
      <c r="AA172" s="51"/>
      <c r="AB172" s="51"/>
    </row>
    <row r="173" spans="1:28">
      <c r="A173" s="51" t="e">
        <f t="shared" si="20"/>
        <v>#REF!</v>
      </c>
      <c r="B173" s="51">
        <f t="shared" si="21"/>
        <v>2028</v>
      </c>
      <c r="C173" s="51" t="str">
        <f t="shared" si="21"/>
        <v>AMS</v>
      </c>
      <c r="D173" s="51" t="s">
        <v>502</v>
      </c>
      <c r="E173" s="51" t="e">
        <f>VLOOKUP($H$6,#REF!,2,FALSE)</f>
        <v>#REF!</v>
      </c>
      <c r="F173" s="51"/>
      <c r="G173" s="620" t="s">
        <v>352</v>
      </c>
      <c r="H173" s="613">
        <v>0</v>
      </c>
      <c r="I173" s="613">
        <v>0</v>
      </c>
      <c r="J173" s="613">
        <v>0</v>
      </c>
      <c r="K173" s="613">
        <v>0</v>
      </c>
      <c r="L173" s="613">
        <v>0</v>
      </c>
      <c r="M173" s="613">
        <v>0</v>
      </c>
      <c r="N173" s="613">
        <v>0</v>
      </c>
      <c r="O173" s="613">
        <v>0</v>
      </c>
      <c r="P173" s="613">
        <v>35.174723763576111</v>
      </c>
      <c r="Q173" s="613">
        <v>0</v>
      </c>
      <c r="R173" s="613">
        <v>0</v>
      </c>
      <c r="S173" s="613">
        <v>-32.520130166014376</v>
      </c>
      <c r="T173" s="613">
        <v>0</v>
      </c>
      <c r="U173" s="613">
        <v>0</v>
      </c>
      <c r="V173" s="613">
        <v>0</v>
      </c>
      <c r="W173" s="613">
        <v>0</v>
      </c>
      <c r="X173" s="613">
        <v>0</v>
      </c>
      <c r="Y173" s="621">
        <v>2.6545935975617354</v>
      </c>
      <c r="Z173" s="51"/>
      <c r="AA173" s="51"/>
      <c r="AB173" s="51"/>
    </row>
    <row r="174" spans="1:28">
      <c r="A174" s="51" t="e">
        <f t="shared" si="20"/>
        <v>#REF!</v>
      </c>
      <c r="B174" s="51">
        <f t="shared" si="21"/>
        <v>2028</v>
      </c>
      <c r="C174" s="51" t="str">
        <f t="shared" si="21"/>
        <v>AMS</v>
      </c>
      <c r="D174" s="51" t="s">
        <v>503</v>
      </c>
      <c r="E174" s="51" t="e">
        <f>VLOOKUP($H$6,#REF!,2,FALSE)</f>
        <v>#REF!</v>
      </c>
      <c r="F174" s="51"/>
      <c r="G174" s="620" t="s">
        <v>353</v>
      </c>
      <c r="H174" s="613">
        <v>0</v>
      </c>
      <c r="I174" s="613">
        <v>0</v>
      </c>
      <c r="J174" s="613">
        <v>0</v>
      </c>
      <c r="K174" s="613">
        <v>0</v>
      </c>
      <c r="L174" s="613">
        <v>0</v>
      </c>
      <c r="M174" s="613">
        <v>0</v>
      </c>
      <c r="N174" s="613">
        <v>0</v>
      </c>
      <c r="O174" s="613">
        <v>0</v>
      </c>
      <c r="P174" s="613">
        <v>0</v>
      </c>
      <c r="Q174" s="613">
        <v>0</v>
      </c>
      <c r="R174" s="613">
        <v>0</v>
      </c>
      <c r="S174" s="613">
        <v>0</v>
      </c>
      <c r="T174" s="613">
        <v>0</v>
      </c>
      <c r="U174" s="613">
        <v>0</v>
      </c>
      <c r="V174" s="613">
        <v>0</v>
      </c>
      <c r="W174" s="613">
        <v>0</v>
      </c>
      <c r="X174" s="613">
        <v>0</v>
      </c>
      <c r="Y174" s="621">
        <v>0</v>
      </c>
      <c r="Z174" s="51"/>
      <c r="AA174" s="51"/>
      <c r="AB174" s="51"/>
    </row>
    <row r="175" spans="1:28">
      <c r="A175" s="51" t="e">
        <f t="shared" si="20"/>
        <v>#REF!</v>
      </c>
      <c r="B175" s="51">
        <f t="shared" si="21"/>
        <v>2028</v>
      </c>
      <c r="C175" s="51" t="str">
        <f t="shared" si="21"/>
        <v>AMS</v>
      </c>
      <c r="D175" s="51" t="s">
        <v>504</v>
      </c>
      <c r="E175" s="51" t="e">
        <f>VLOOKUP($H$6,#REF!,2,FALSE)</f>
        <v>#REF!</v>
      </c>
      <c r="F175" s="51"/>
      <c r="G175" s="620" t="s">
        <v>72</v>
      </c>
      <c r="H175" s="613">
        <v>0</v>
      </c>
      <c r="I175" s="613">
        <v>469.52687715624688</v>
      </c>
      <c r="J175" s="613">
        <v>-464.85369049462497</v>
      </c>
      <c r="K175" s="613">
        <v>0</v>
      </c>
      <c r="L175" s="613">
        <v>0</v>
      </c>
      <c r="M175" s="613">
        <v>0</v>
      </c>
      <c r="N175" s="613">
        <v>0</v>
      </c>
      <c r="O175" s="613">
        <v>0</v>
      </c>
      <c r="P175" s="613">
        <v>0</v>
      </c>
      <c r="Q175" s="613">
        <v>0</v>
      </c>
      <c r="R175" s="613">
        <v>0</v>
      </c>
      <c r="S175" s="613">
        <v>0</v>
      </c>
      <c r="T175" s="613">
        <v>0</v>
      </c>
      <c r="U175" s="613">
        <v>0</v>
      </c>
      <c r="V175" s="613">
        <v>0</v>
      </c>
      <c r="W175" s="613">
        <v>0</v>
      </c>
      <c r="X175" s="613">
        <v>0</v>
      </c>
      <c r="Y175" s="621">
        <v>4.6731866616218856</v>
      </c>
      <c r="Z175" s="51"/>
      <c r="AA175" s="51"/>
      <c r="AB175" s="51"/>
    </row>
    <row r="176" spans="1:28">
      <c r="A176" s="51" t="e">
        <f t="shared" si="20"/>
        <v>#REF!</v>
      </c>
      <c r="B176" s="51">
        <f t="shared" si="21"/>
        <v>2028</v>
      </c>
      <c r="C176" s="51" t="str">
        <f t="shared" si="21"/>
        <v>AMS</v>
      </c>
      <c r="D176" s="51" t="s">
        <v>505</v>
      </c>
      <c r="E176" s="51" t="e">
        <f>VLOOKUP($H$6,#REF!,2,FALSE)</f>
        <v>#REF!</v>
      </c>
      <c r="F176" s="51"/>
      <c r="G176" s="620" t="s">
        <v>354</v>
      </c>
      <c r="H176" s="613">
        <v>0</v>
      </c>
      <c r="I176" s="613">
        <v>0</v>
      </c>
      <c r="J176" s="613">
        <v>0</v>
      </c>
      <c r="K176" s="613">
        <v>0</v>
      </c>
      <c r="L176" s="613">
        <v>0</v>
      </c>
      <c r="M176" s="613">
        <v>0</v>
      </c>
      <c r="N176" s="613">
        <v>0</v>
      </c>
      <c r="O176" s="613">
        <v>0</v>
      </c>
      <c r="P176" s="613">
        <v>56.146757475987663</v>
      </c>
      <c r="Q176" s="613">
        <v>0</v>
      </c>
      <c r="R176" s="613">
        <v>-56.146757475987663</v>
      </c>
      <c r="S176" s="613">
        <v>0</v>
      </c>
      <c r="T176" s="613">
        <v>0</v>
      </c>
      <c r="U176" s="613">
        <v>0</v>
      </c>
      <c r="V176" s="613">
        <v>0</v>
      </c>
      <c r="W176" s="613">
        <v>0</v>
      </c>
      <c r="X176" s="613">
        <v>0</v>
      </c>
      <c r="Y176" s="621">
        <v>0</v>
      </c>
      <c r="Z176" s="51"/>
      <c r="AA176" s="51"/>
      <c r="AB176" s="51"/>
    </row>
    <row r="177" spans="1:28">
      <c r="A177" s="51" t="e">
        <f t="shared" si="20"/>
        <v>#REF!</v>
      </c>
      <c r="B177" s="51">
        <f t="shared" si="21"/>
        <v>2028</v>
      </c>
      <c r="C177" s="51" t="str">
        <f t="shared" si="21"/>
        <v>AMS</v>
      </c>
      <c r="D177" s="51" t="s">
        <v>506</v>
      </c>
      <c r="E177" s="51" t="e">
        <f>VLOOKUP($H$6,#REF!,2,FALSE)</f>
        <v>#REF!</v>
      </c>
      <c r="F177" s="51"/>
      <c r="G177" s="620" t="s">
        <v>355</v>
      </c>
      <c r="H177" s="613">
        <v>0</v>
      </c>
      <c r="I177" s="613">
        <v>0</v>
      </c>
      <c r="J177" s="613">
        <v>0</v>
      </c>
      <c r="K177" s="613">
        <v>-0.9610704740785061</v>
      </c>
      <c r="L177" s="613">
        <v>0</v>
      </c>
      <c r="M177" s="613">
        <v>0</v>
      </c>
      <c r="N177" s="613">
        <v>0</v>
      </c>
      <c r="O177" s="613">
        <v>0</v>
      </c>
      <c r="P177" s="613">
        <v>0</v>
      </c>
      <c r="Q177" s="613">
        <v>0</v>
      </c>
      <c r="R177" s="613">
        <v>0</v>
      </c>
      <c r="S177" s="613">
        <v>0</v>
      </c>
      <c r="T177" s="613">
        <v>0</v>
      </c>
      <c r="U177" s="613">
        <v>0</v>
      </c>
      <c r="V177" s="613">
        <v>0</v>
      </c>
      <c r="W177" s="613">
        <v>0</v>
      </c>
      <c r="X177" s="613">
        <v>1.3385382647332955</v>
      </c>
      <c r="Y177" s="621">
        <v>0.37746779065478941</v>
      </c>
      <c r="Z177" s="51"/>
      <c r="AA177" s="51"/>
      <c r="AB177" s="51"/>
    </row>
    <row r="178" spans="1:28">
      <c r="A178" s="51" t="e">
        <f t="shared" si="20"/>
        <v>#REF!</v>
      </c>
      <c r="B178" s="51">
        <f t="shared" si="21"/>
        <v>2028</v>
      </c>
      <c r="C178" s="51" t="str">
        <f t="shared" si="21"/>
        <v>AMS</v>
      </c>
      <c r="D178" s="51" t="s">
        <v>507</v>
      </c>
      <c r="E178" s="51" t="e">
        <f>VLOOKUP($H$6,#REF!,2,FALSE)</f>
        <v>#REF!</v>
      </c>
      <c r="F178" s="51"/>
      <c r="G178" s="620" t="s">
        <v>73</v>
      </c>
      <c r="H178" s="613">
        <v>0</v>
      </c>
      <c r="I178" s="613">
        <v>0</v>
      </c>
      <c r="J178" s="613">
        <v>0</v>
      </c>
      <c r="K178" s="613">
        <v>0</v>
      </c>
      <c r="L178" s="613">
        <v>0</v>
      </c>
      <c r="M178" s="613">
        <v>0</v>
      </c>
      <c r="N178" s="613">
        <v>0</v>
      </c>
      <c r="O178" s="613">
        <v>0</v>
      </c>
      <c r="P178" s="613">
        <v>0</v>
      </c>
      <c r="Q178" s="613">
        <v>0</v>
      </c>
      <c r="R178" s="613">
        <v>0</v>
      </c>
      <c r="S178" s="613">
        <v>0</v>
      </c>
      <c r="T178" s="613">
        <v>0</v>
      </c>
      <c r="U178" s="613">
        <v>0</v>
      </c>
      <c r="V178" s="613">
        <v>16.613212092757209</v>
      </c>
      <c r="W178" s="613">
        <v>0</v>
      </c>
      <c r="X178" s="613">
        <v>-10.798587860292187</v>
      </c>
      <c r="Y178" s="621">
        <v>5.8146242324650217</v>
      </c>
      <c r="Z178" s="51"/>
      <c r="AA178" s="51"/>
      <c r="AB178" s="51"/>
    </row>
    <row r="179" spans="1:28">
      <c r="A179" s="51" t="e">
        <f t="shared" si="20"/>
        <v>#REF!</v>
      </c>
      <c r="B179" s="51">
        <f t="shared" si="21"/>
        <v>2028</v>
      </c>
      <c r="C179" s="51" t="str">
        <f t="shared" si="21"/>
        <v>AMS</v>
      </c>
      <c r="D179" s="51" t="s">
        <v>508</v>
      </c>
      <c r="E179" s="51" t="e">
        <f>VLOOKUP($H$6,#REF!,2,FALSE)</f>
        <v>#REF!</v>
      </c>
      <c r="F179" s="51"/>
      <c r="G179" s="620" t="s">
        <v>356</v>
      </c>
      <c r="H179" s="613">
        <v>15.474789843749999</v>
      </c>
      <c r="I179" s="613">
        <v>-16.490034301707698</v>
      </c>
      <c r="J179" s="613">
        <v>21.458462057363484</v>
      </c>
      <c r="K179" s="613">
        <v>0</v>
      </c>
      <c r="L179" s="613">
        <v>0</v>
      </c>
      <c r="M179" s="613">
        <v>0</v>
      </c>
      <c r="N179" s="613">
        <v>0</v>
      </c>
      <c r="O179" s="613">
        <v>0</v>
      </c>
      <c r="P179" s="613">
        <v>0</v>
      </c>
      <c r="Q179" s="613">
        <v>0</v>
      </c>
      <c r="R179" s="613">
        <v>0</v>
      </c>
      <c r="S179" s="613">
        <v>0</v>
      </c>
      <c r="T179" s="613">
        <v>0</v>
      </c>
      <c r="U179" s="613">
        <v>0</v>
      </c>
      <c r="V179" s="613">
        <v>0</v>
      </c>
      <c r="W179" s="613">
        <v>0</v>
      </c>
      <c r="X179" s="613">
        <v>0</v>
      </c>
      <c r="Y179" s="621">
        <v>20.443217599405784</v>
      </c>
      <c r="Z179" s="51"/>
      <c r="AA179" s="51"/>
      <c r="AB179" s="51"/>
    </row>
    <row r="180" spans="1:28">
      <c r="A180" s="51" t="e">
        <f t="shared" si="20"/>
        <v>#REF!</v>
      </c>
      <c r="B180" s="51">
        <f t="shared" si="21"/>
        <v>2028</v>
      </c>
      <c r="C180" s="51" t="str">
        <f t="shared" si="21"/>
        <v>AMS</v>
      </c>
      <c r="D180" s="51" t="s">
        <v>509</v>
      </c>
      <c r="E180" s="51" t="e">
        <f>VLOOKUP($H$6,#REF!,2,FALSE)</f>
        <v>#REF!</v>
      </c>
      <c r="F180" s="51"/>
      <c r="G180" s="620" t="s">
        <v>75</v>
      </c>
      <c r="H180" s="613">
        <v>6.017973828125001</v>
      </c>
      <c r="I180" s="613">
        <v>0</v>
      </c>
      <c r="J180" s="613">
        <v>19.75864185375092</v>
      </c>
      <c r="K180" s="613">
        <v>0</v>
      </c>
      <c r="L180" s="613">
        <v>5.1351593182183395</v>
      </c>
      <c r="M180" s="613">
        <v>0</v>
      </c>
      <c r="N180" s="613">
        <v>0</v>
      </c>
      <c r="O180" s="613">
        <v>0</v>
      </c>
      <c r="P180" s="613">
        <v>0</v>
      </c>
      <c r="Q180" s="613">
        <v>0</v>
      </c>
      <c r="R180" s="613">
        <v>0</v>
      </c>
      <c r="S180" s="613">
        <v>0.52030248598688023</v>
      </c>
      <c r="T180" s="613">
        <v>0</v>
      </c>
      <c r="U180" s="613">
        <v>0</v>
      </c>
      <c r="V180" s="613">
        <v>26.891952397763561</v>
      </c>
      <c r="W180" s="613">
        <v>0</v>
      </c>
      <c r="X180" s="613">
        <v>0</v>
      </c>
      <c r="Y180" s="621">
        <v>58.324029883844702</v>
      </c>
      <c r="Z180" s="51"/>
      <c r="AA180" s="51"/>
      <c r="AB180" s="51"/>
    </row>
    <row r="181" spans="1:28">
      <c r="A181" s="51" t="e">
        <f t="shared" si="20"/>
        <v>#REF!</v>
      </c>
      <c r="B181" s="51">
        <f t="shared" si="21"/>
        <v>2028</v>
      </c>
      <c r="C181" s="51" t="str">
        <f t="shared" si="21"/>
        <v>AMS</v>
      </c>
      <c r="D181" s="51" t="s">
        <v>510</v>
      </c>
      <c r="E181" s="51" t="e">
        <f>VLOOKUP($H$6,#REF!,2,FALSE)</f>
        <v>#REF!</v>
      </c>
      <c r="F181" s="51"/>
      <c r="G181" s="620" t="s">
        <v>76</v>
      </c>
      <c r="H181" s="613">
        <v>0</v>
      </c>
      <c r="I181" s="613">
        <v>0</v>
      </c>
      <c r="J181" s="613">
        <v>0</v>
      </c>
      <c r="K181" s="613">
        <v>0</v>
      </c>
      <c r="L181" s="613">
        <v>3.2385327537388569</v>
      </c>
      <c r="M181" s="613">
        <v>0</v>
      </c>
      <c r="N181" s="613">
        <v>0</v>
      </c>
      <c r="O181" s="613">
        <v>0</v>
      </c>
      <c r="P181" s="613">
        <v>0</v>
      </c>
      <c r="Q181" s="613">
        <v>0</v>
      </c>
      <c r="R181" s="613">
        <v>0</v>
      </c>
      <c r="S181" s="613">
        <v>0.32813327460790176</v>
      </c>
      <c r="T181" s="613">
        <v>0</v>
      </c>
      <c r="U181" s="613">
        <v>0</v>
      </c>
      <c r="V181" s="613">
        <v>39.331667719659606</v>
      </c>
      <c r="W181" s="613">
        <v>5.2865527205622431</v>
      </c>
      <c r="X181" s="613">
        <v>0</v>
      </c>
      <c r="Y181" s="621">
        <v>48.184886468568607</v>
      </c>
      <c r="Z181" s="51"/>
      <c r="AA181" s="51"/>
      <c r="AB181" s="51"/>
    </row>
    <row r="182" spans="1:28">
      <c r="A182" s="51" t="e">
        <f t="shared" si="20"/>
        <v>#REF!</v>
      </c>
      <c r="B182" s="51">
        <f t="shared" si="21"/>
        <v>2028</v>
      </c>
      <c r="C182" s="51" t="str">
        <f t="shared" si="21"/>
        <v>AMS</v>
      </c>
      <c r="D182" s="51" t="s">
        <v>511</v>
      </c>
      <c r="E182" s="51" t="e">
        <f>VLOOKUP($H$6,#REF!,2,FALSE)</f>
        <v>#REF!</v>
      </c>
      <c r="F182" s="51"/>
      <c r="G182" s="616" t="s">
        <v>77</v>
      </c>
      <c r="H182" s="617">
        <v>23.597396314701349</v>
      </c>
      <c r="I182" s="617">
        <v>453.03684285453915</v>
      </c>
      <c r="J182" s="617">
        <v>-421.20441461941402</v>
      </c>
      <c r="K182" s="617">
        <v>-0.9610704740785061</v>
      </c>
      <c r="L182" s="624">
        <v>62.72893265549466</v>
      </c>
      <c r="M182" s="617">
        <v>0</v>
      </c>
      <c r="N182" s="617">
        <v>1044.4078145454548</v>
      </c>
      <c r="O182" s="617">
        <v>185.40677407888145</v>
      </c>
      <c r="P182" s="617">
        <v>152.93265920916269</v>
      </c>
      <c r="Q182" s="617">
        <v>26.412540020769818</v>
      </c>
      <c r="R182" s="617">
        <v>-51.279510346169218</v>
      </c>
      <c r="S182" s="617">
        <v>-21.59382385694478</v>
      </c>
      <c r="T182" s="617">
        <v>0</v>
      </c>
      <c r="U182" s="617">
        <v>6.8564432046205646</v>
      </c>
      <c r="V182" s="617">
        <v>-488.65213032401329</v>
      </c>
      <c r="W182" s="617">
        <v>-62.88038854901081</v>
      </c>
      <c r="X182" s="617">
        <v>-9.4600495955588926</v>
      </c>
      <c r="Y182" s="617">
        <v>899.34801511843511</v>
      </c>
      <c r="Z182" s="51"/>
      <c r="AA182" s="51"/>
      <c r="AB182" s="51"/>
    </row>
    <row r="183" spans="1:28">
      <c r="A183" s="51"/>
      <c r="B183" s="51"/>
      <c r="C183" s="51"/>
      <c r="D183" s="51"/>
      <c r="E183" s="51"/>
      <c r="F183" s="51"/>
      <c r="G183" s="618"/>
      <c r="H183" s="619">
        <v>0</v>
      </c>
      <c r="I183" s="619">
        <v>0</v>
      </c>
      <c r="J183" s="619">
        <v>0</v>
      </c>
      <c r="K183" s="619">
        <v>0</v>
      </c>
      <c r="L183" s="625">
        <v>0</v>
      </c>
      <c r="M183" s="619">
        <v>0</v>
      </c>
      <c r="N183" s="619">
        <v>0</v>
      </c>
      <c r="O183" s="619">
        <v>0</v>
      </c>
      <c r="P183" s="619">
        <v>0</v>
      </c>
      <c r="Q183" s="619">
        <v>0</v>
      </c>
      <c r="R183" s="619">
        <v>0</v>
      </c>
      <c r="S183" s="619">
        <v>0</v>
      </c>
      <c r="T183" s="619">
        <v>0</v>
      </c>
      <c r="U183" s="619">
        <v>0</v>
      </c>
      <c r="V183" s="619">
        <v>0</v>
      </c>
      <c r="W183" s="619">
        <v>0</v>
      </c>
      <c r="X183" s="619">
        <v>0</v>
      </c>
      <c r="Y183" s="619">
        <v>0</v>
      </c>
      <c r="Z183" s="51"/>
      <c r="AA183" s="51"/>
      <c r="AB183" s="51"/>
    </row>
    <row r="184" spans="1:28">
      <c r="A184" s="51" t="e">
        <f>A182+2</f>
        <v>#REF!</v>
      </c>
      <c r="B184" s="51">
        <f>B182</f>
        <v>2028</v>
      </c>
      <c r="C184" s="51" t="str">
        <f>C162</f>
        <v>AMS</v>
      </c>
      <c r="D184" s="51" t="s">
        <v>512</v>
      </c>
      <c r="E184" s="51" t="e">
        <f>VLOOKUP($H$6,#REF!,2,FALSE)</f>
        <v>#REF!</v>
      </c>
      <c r="F184" s="51"/>
      <c r="G184" s="620" t="s">
        <v>78</v>
      </c>
      <c r="H184" s="613">
        <v>4.3067331909174058</v>
      </c>
      <c r="I184" s="613">
        <v>0</v>
      </c>
      <c r="J184" s="613">
        <v>15.285550941396558</v>
      </c>
      <c r="K184" s="613">
        <v>0</v>
      </c>
      <c r="L184" s="613">
        <v>81.99673295835025</v>
      </c>
      <c r="M184" s="613">
        <v>0</v>
      </c>
      <c r="N184" s="613">
        <v>0</v>
      </c>
      <c r="O184" s="613">
        <v>0</v>
      </c>
      <c r="P184" s="613">
        <v>19.904086757615648</v>
      </c>
      <c r="Q184" s="613">
        <v>2.4842759722515511</v>
      </c>
      <c r="R184" s="613">
        <v>0.94250728115234383</v>
      </c>
      <c r="S184" s="613">
        <v>8.3338753773994174</v>
      </c>
      <c r="T184" s="613">
        <v>2.8483193359375001</v>
      </c>
      <c r="U184" s="613">
        <v>5.2671642446208732E-4</v>
      </c>
      <c r="V184" s="613">
        <v>124.0609713055903</v>
      </c>
      <c r="W184" s="613">
        <v>18.086756081914288</v>
      </c>
      <c r="X184" s="613">
        <v>1.3772960205078124</v>
      </c>
      <c r="Y184" s="621">
        <v>279.62763193945756</v>
      </c>
      <c r="Z184" s="51"/>
      <c r="AA184" s="622" t="e" cm="1">
        <f t="array" aca="1" ref="AA184" ca="1">_xlfn.IFNA(INDEX(#REF!,MATCH(INDIRECT("Codes_bilans!"&amp;AA$1&amp;"$"&amp;$A184),#REF!,0),MATCH($B184,#REF!,0)),0)</f>
        <v>#REF!</v>
      </c>
      <c r="AB184" s="51"/>
    </row>
    <row r="185" spans="1:28">
      <c r="A185" s="51" t="e">
        <f t="shared" ref="A185:A192" si="22">A184+1</f>
        <v>#REF!</v>
      </c>
      <c r="B185" s="51">
        <f t="shared" ref="B185:C192" si="23">B184</f>
        <v>2028</v>
      </c>
      <c r="C185" s="51" t="str">
        <f t="shared" si="23"/>
        <v>AMS</v>
      </c>
      <c r="D185" s="51" t="s">
        <v>513</v>
      </c>
      <c r="E185" s="51" t="e">
        <f>VLOOKUP($H$6,#REF!,2,FALSE)</f>
        <v>#REF!</v>
      </c>
      <c r="F185" s="51"/>
      <c r="G185" s="620" t="s">
        <v>79</v>
      </c>
      <c r="H185" s="613">
        <v>0</v>
      </c>
      <c r="I185" s="613">
        <v>0</v>
      </c>
      <c r="J185" s="613">
        <v>335.93998919996596</v>
      </c>
      <c r="K185" s="613">
        <v>9.4771242925738991E-2</v>
      </c>
      <c r="L185" s="613">
        <v>4.5339029695199544</v>
      </c>
      <c r="M185" s="613">
        <v>0</v>
      </c>
      <c r="N185" s="613">
        <v>0</v>
      </c>
      <c r="O185" s="613">
        <v>0</v>
      </c>
      <c r="P185" s="613">
        <v>0</v>
      </c>
      <c r="Q185" s="613">
        <v>0</v>
      </c>
      <c r="R185" s="613">
        <v>38.371773390829333</v>
      </c>
      <c r="S185" s="613">
        <v>0.45938223920246229</v>
      </c>
      <c r="T185" s="613">
        <v>0</v>
      </c>
      <c r="U185" s="613">
        <v>0</v>
      </c>
      <c r="V185" s="613">
        <v>24.830612613321723</v>
      </c>
      <c r="W185" s="613">
        <v>0</v>
      </c>
      <c r="X185" s="613">
        <v>0.39090580497267069</v>
      </c>
      <c r="Y185" s="621">
        <v>404.62133746073778</v>
      </c>
      <c r="Z185" s="51"/>
      <c r="AA185" s="622" t="e" cm="1">
        <f t="array" aca="1" ref="AA185" ca="1">_xlfn.IFNA(INDEX(#REF!,MATCH(INDIRECT("Codes_bilans!"&amp;AA$1&amp;"$"&amp;$A185),#REF!,0),MATCH($B185,#REF!,0)),0)</f>
        <v>#REF!</v>
      </c>
      <c r="AB185" s="51"/>
    </row>
    <row r="186" spans="1:28">
      <c r="A186" s="51" t="e">
        <f t="shared" si="22"/>
        <v>#REF!</v>
      </c>
      <c r="B186" s="51">
        <f t="shared" si="23"/>
        <v>2028</v>
      </c>
      <c r="C186" s="51" t="str">
        <f t="shared" si="23"/>
        <v>AMS</v>
      </c>
      <c r="D186" s="51" t="s">
        <v>514</v>
      </c>
      <c r="E186" s="51" t="e">
        <f>VLOOKUP($H$6,#REF!,2,FALSE)</f>
        <v>#REF!</v>
      </c>
      <c r="F186" s="51"/>
      <c r="G186" s="620" t="s">
        <v>80</v>
      </c>
      <c r="H186" s="613">
        <v>0</v>
      </c>
      <c r="I186" s="613">
        <v>0</v>
      </c>
      <c r="J186" s="613">
        <v>7.6204805429044127</v>
      </c>
      <c r="K186" s="613">
        <v>0</v>
      </c>
      <c r="L186" s="613">
        <v>80.929799495030636</v>
      </c>
      <c r="M186" s="613">
        <v>0</v>
      </c>
      <c r="N186" s="613">
        <v>0</v>
      </c>
      <c r="O186" s="613">
        <v>0</v>
      </c>
      <c r="P186" s="613">
        <v>51.076854442173044</v>
      </c>
      <c r="Q186" s="613">
        <v>0</v>
      </c>
      <c r="R186" s="613">
        <v>0</v>
      </c>
      <c r="S186" s="613">
        <v>8.1999356316550855</v>
      </c>
      <c r="T186" s="613">
        <v>62.835725387811195</v>
      </c>
      <c r="U186" s="613">
        <v>1.6849133946274748</v>
      </c>
      <c r="V186" s="613">
        <v>167.36963395676293</v>
      </c>
      <c r="W186" s="613">
        <v>28.222608960163477</v>
      </c>
      <c r="X186" s="613">
        <v>0</v>
      </c>
      <c r="Y186" s="621">
        <v>407.93995181112825</v>
      </c>
      <c r="Z186" s="51"/>
      <c r="AA186" s="622" t="e" cm="1">
        <f t="array" aca="1" ref="AA186" ca="1">_xlfn.IFNA(INDEX(#REF!,MATCH(INDIRECT("Codes_bilans!"&amp;AA$1&amp;"$"&amp;$A186),#REF!,0),MATCH($B186,#REF!,0)),0)</f>
        <v>#REF!</v>
      </c>
      <c r="AB186" s="51"/>
    </row>
    <row r="187" spans="1:28">
      <c r="A187" s="51" t="e">
        <f t="shared" si="22"/>
        <v>#REF!</v>
      </c>
      <c r="B187" s="51">
        <f t="shared" si="23"/>
        <v>2028</v>
      </c>
      <c r="C187" s="51" t="str">
        <f t="shared" si="23"/>
        <v>AMS</v>
      </c>
      <c r="D187" s="51" t="s">
        <v>515</v>
      </c>
      <c r="E187" s="51" t="e">
        <f>VLOOKUP($H$6,#REF!,2,FALSE)</f>
        <v>#REF!</v>
      </c>
      <c r="F187" s="51"/>
      <c r="G187" s="620" t="s">
        <v>81</v>
      </c>
      <c r="H187" s="613">
        <v>0</v>
      </c>
      <c r="I187" s="613">
        <v>0</v>
      </c>
      <c r="J187" s="613">
        <v>10.491369546862531</v>
      </c>
      <c r="K187" s="613">
        <v>0</v>
      </c>
      <c r="L187" s="613">
        <v>35.36343810232146</v>
      </c>
      <c r="M187" s="613">
        <v>0</v>
      </c>
      <c r="N187" s="613">
        <v>0</v>
      </c>
      <c r="O187" s="613">
        <v>0</v>
      </c>
      <c r="P187" s="613">
        <v>0.41502991649093068</v>
      </c>
      <c r="Q187" s="613">
        <v>5.6682988468104167E-4</v>
      </c>
      <c r="R187" s="613">
        <v>0</v>
      </c>
      <c r="S187" s="613">
        <v>3.5830796315127467</v>
      </c>
      <c r="T187" s="613">
        <v>13.853984080842906</v>
      </c>
      <c r="U187" s="613">
        <v>0.85666800244149366</v>
      </c>
      <c r="V187" s="613">
        <v>106.66141597563889</v>
      </c>
      <c r="W187" s="613">
        <v>16.571023506933056</v>
      </c>
      <c r="X187" s="613">
        <v>0</v>
      </c>
      <c r="Y187" s="621">
        <v>187.79657559292866</v>
      </c>
      <c r="Z187" s="51"/>
      <c r="AA187" s="622" t="e" cm="1">
        <f t="array" aca="1" ref="AA187" ca="1">_xlfn.IFNA(INDEX(#REF!,MATCH(INDIRECT("Codes_bilans!"&amp;AA$1&amp;"$"&amp;$A187),#REF!,0),MATCH($B187,#REF!,0)),0)</f>
        <v>#REF!</v>
      </c>
      <c r="AB187" s="51"/>
    </row>
    <row r="188" spans="1:28">
      <c r="A188" s="51" t="e">
        <f t="shared" si="22"/>
        <v>#REF!</v>
      </c>
      <c r="B188" s="51">
        <f t="shared" si="23"/>
        <v>2028</v>
      </c>
      <c r="C188" s="51" t="str">
        <f t="shared" si="23"/>
        <v>AMS</v>
      </c>
      <c r="D188" s="51" t="s">
        <v>516</v>
      </c>
      <c r="E188" s="51" t="e">
        <f>VLOOKUP($H$6,#REF!,2,FALSE)</f>
        <v>#REF!</v>
      </c>
      <c r="F188" s="51"/>
      <c r="G188" s="620" t="s">
        <v>82</v>
      </c>
      <c r="H188" s="613">
        <v>0</v>
      </c>
      <c r="I188" s="613">
        <v>0</v>
      </c>
      <c r="J188" s="613">
        <v>28.598972580821304</v>
      </c>
      <c r="K188" s="613">
        <v>0</v>
      </c>
      <c r="L188" s="613">
        <v>1.9735950966825975</v>
      </c>
      <c r="M188" s="613">
        <v>0</v>
      </c>
      <c r="N188" s="613">
        <v>0</v>
      </c>
      <c r="O188" s="613">
        <v>0</v>
      </c>
      <c r="P188" s="613">
        <v>1.8335004892905753</v>
      </c>
      <c r="Q188" s="613">
        <v>0</v>
      </c>
      <c r="R188" s="613">
        <v>3.9645164071396528</v>
      </c>
      <c r="S188" s="613">
        <v>0.19996778512643057</v>
      </c>
      <c r="T188" s="613">
        <v>0.4</v>
      </c>
      <c r="U188" s="613">
        <v>0.5193752668696392</v>
      </c>
      <c r="V188" s="613">
        <v>7.7920110174976385</v>
      </c>
      <c r="W188" s="613">
        <v>0</v>
      </c>
      <c r="X188" s="613">
        <v>0.13892990437736891</v>
      </c>
      <c r="Y188" s="621">
        <v>45.420868547805206</v>
      </c>
      <c r="Z188" s="51"/>
      <c r="AA188" s="622" t="e" cm="1">
        <f t="array" aca="1" ref="AA188" ca="1">_xlfn.IFNA(INDEX(#REF!,MATCH(INDIRECT("Codes_bilans!"&amp;AA$1&amp;"$"&amp;$A188),#REF!,0),MATCH($B188,#REF!,0)),0)</f>
        <v>#REF!</v>
      </c>
      <c r="AB188" s="51"/>
    </row>
    <row r="189" spans="1:28">
      <c r="A189" s="51" t="e">
        <f t="shared" si="22"/>
        <v>#REF!</v>
      </c>
      <c r="B189" s="51">
        <f t="shared" si="23"/>
        <v>2028</v>
      </c>
      <c r="C189" s="51" t="str">
        <f t="shared" si="23"/>
        <v>AMS</v>
      </c>
      <c r="D189" s="51" t="s">
        <v>517</v>
      </c>
      <c r="E189" s="51" t="e">
        <f>VLOOKUP($H$6,#REF!,2,FALSE)</f>
        <v>#REF!</v>
      </c>
      <c r="F189" s="51"/>
      <c r="G189" s="620" t="s">
        <v>357</v>
      </c>
      <c r="H189" s="613">
        <v>0</v>
      </c>
      <c r="I189" s="613">
        <v>0</v>
      </c>
      <c r="J189" s="613">
        <v>0</v>
      </c>
      <c r="K189" s="613">
        <v>0</v>
      </c>
      <c r="L189" s="613">
        <v>0</v>
      </c>
      <c r="M189" s="613">
        <v>0</v>
      </c>
      <c r="N189" s="613">
        <v>0</v>
      </c>
      <c r="O189" s="613">
        <v>0</v>
      </c>
      <c r="P189" s="613">
        <v>0</v>
      </c>
      <c r="Q189" s="613">
        <v>0</v>
      </c>
      <c r="R189" s="613">
        <v>0</v>
      </c>
      <c r="S189" s="613">
        <v>0</v>
      </c>
      <c r="T189" s="613">
        <v>0</v>
      </c>
      <c r="U189" s="613">
        <v>0</v>
      </c>
      <c r="V189" s="613">
        <v>0</v>
      </c>
      <c r="W189" s="613">
        <v>0</v>
      </c>
      <c r="X189" s="613">
        <v>0</v>
      </c>
      <c r="Y189" s="621">
        <v>0</v>
      </c>
      <c r="Z189" s="51"/>
      <c r="AA189" s="622" t="e" cm="1">
        <f t="array" aca="1" ref="AA189" ca="1">_xlfn.IFNA(INDEX(#REF!,MATCH(INDIRECT("Codes_bilans!"&amp;AA$1&amp;"$"&amp;$A189),#REF!,0),MATCH($B189,#REF!,0)),0)</f>
        <v>#REF!</v>
      </c>
      <c r="AB189" s="51"/>
    </row>
    <row r="190" spans="1:28">
      <c r="A190" s="51" t="e">
        <f t="shared" si="22"/>
        <v>#REF!</v>
      </c>
      <c r="B190" s="51">
        <f t="shared" si="23"/>
        <v>2028</v>
      </c>
      <c r="C190" s="51" t="str">
        <f t="shared" si="23"/>
        <v>AMS</v>
      </c>
      <c r="D190" s="51" t="s">
        <v>518</v>
      </c>
      <c r="E190" s="51" t="e">
        <f>VLOOKUP($H$6,#REF!,2,FALSE)</f>
        <v>#REF!</v>
      </c>
      <c r="F190" s="51"/>
      <c r="G190" s="616" t="s">
        <v>83</v>
      </c>
      <c r="H190" s="617">
        <v>4.3067331909174058</v>
      </c>
      <c r="I190" s="617">
        <v>0</v>
      </c>
      <c r="J190" s="617">
        <v>397.93636281195074</v>
      </c>
      <c r="K190" s="617">
        <v>9.4771242925738991E-2</v>
      </c>
      <c r="L190" s="624">
        <v>204.7974686219049</v>
      </c>
      <c r="M190" s="617">
        <v>0</v>
      </c>
      <c r="N190" s="617">
        <v>0</v>
      </c>
      <c r="O190" s="617">
        <v>0</v>
      </c>
      <c r="P190" s="617">
        <v>73.229471605570197</v>
      </c>
      <c r="Q190" s="617">
        <v>2.4848428021362321</v>
      </c>
      <c r="R190" s="617">
        <v>43.278797079121333</v>
      </c>
      <c r="S190" s="617">
        <v>20.776240664896143</v>
      </c>
      <c r="T190" s="617">
        <v>79.93802880459161</v>
      </c>
      <c r="U190" s="617">
        <v>3.0614833803630699</v>
      </c>
      <c r="V190" s="617">
        <v>430.71464486881149</v>
      </c>
      <c r="W190" s="617">
        <v>62.880388549010817</v>
      </c>
      <c r="X190" s="617">
        <v>1.9071317298578518</v>
      </c>
      <c r="Y190" s="617">
        <v>1325.4063653520575</v>
      </c>
      <c r="Z190" s="51"/>
      <c r="AA190" s="51"/>
      <c r="AB190" s="51"/>
    </row>
    <row r="191" spans="1:28">
      <c r="A191" s="51" t="e">
        <f t="shared" si="22"/>
        <v>#REF!</v>
      </c>
      <c r="B191" s="51">
        <f t="shared" si="23"/>
        <v>2028</v>
      </c>
      <c r="C191" s="51" t="str">
        <f t="shared" si="23"/>
        <v>AMS</v>
      </c>
      <c r="D191" s="51" t="s">
        <v>519</v>
      </c>
      <c r="E191" s="51" t="e">
        <f>VLOOKUP($H$6,#REF!,2,FALSE)</f>
        <v>#REF!</v>
      </c>
      <c r="F191" s="51"/>
      <c r="G191" s="612" t="s">
        <v>84</v>
      </c>
      <c r="H191" s="613">
        <v>0</v>
      </c>
      <c r="I191" s="613">
        <v>0</v>
      </c>
      <c r="J191" s="613">
        <v>102.26810452798878</v>
      </c>
      <c r="K191" s="613">
        <v>1.1905371612338289</v>
      </c>
      <c r="L191" s="613">
        <v>11.237851565782758</v>
      </c>
      <c r="M191" s="613">
        <v>0</v>
      </c>
      <c r="N191" s="613">
        <v>0</v>
      </c>
      <c r="O191" s="613">
        <v>0</v>
      </c>
      <c r="P191" s="613">
        <v>9.5153421924450407E-2</v>
      </c>
      <c r="Q191" s="613">
        <v>0</v>
      </c>
      <c r="R191" s="613">
        <v>7.1193346713498897</v>
      </c>
      <c r="S191" s="613">
        <v>0.80349139394028601</v>
      </c>
      <c r="T191" s="613">
        <v>0</v>
      </c>
      <c r="U191" s="613">
        <v>0</v>
      </c>
      <c r="V191" s="613">
        <v>0</v>
      </c>
      <c r="W191" s="613">
        <v>0</v>
      </c>
      <c r="X191" s="613">
        <v>7.5529178657010396</v>
      </c>
      <c r="Y191" s="621">
        <v>130.26739060792104</v>
      </c>
      <c r="Z191" s="51"/>
      <c r="AA191" s="622" t="e" cm="1">
        <f t="array" aca="1" ref="AA191" ca="1">_xlfn.IFNA(INDEX(#REF!,MATCH(INDIRECT("Codes_bilans!"&amp;AA$1&amp;"$"&amp;$A191),#REF!,0),MATCH($B191,#REF!,0)),0)</f>
        <v>#REF!</v>
      </c>
      <c r="AB191" s="51"/>
    </row>
    <row r="192" spans="1:28">
      <c r="A192" s="51" t="e">
        <f t="shared" si="22"/>
        <v>#REF!</v>
      </c>
      <c r="B192" s="51">
        <f t="shared" si="23"/>
        <v>2028</v>
      </c>
      <c r="C192" s="51" t="str">
        <f t="shared" si="23"/>
        <v>AMS</v>
      </c>
      <c r="D192" s="51" t="s">
        <v>520</v>
      </c>
      <c r="E192" s="51" t="e">
        <f>VLOOKUP($H$6,#REF!,2,FALSE)</f>
        <v>#REF!</v>
      </c>
      <c r="F192" s="51"/>
      <c r="G192" s="616" t="s">
        <v>85</v>
      </c>
      <c r="H192" s="617">
        <v>4.3067331909174058</v>
      </c>
      <c r="I192" s="617">
        <v>0</v>
      </c>
      <c r="J192" s="617">
        <v>500.20446733993958</v>
      </c>
      <c r="K192" s="617">
        <v>1.2853084041595679</v>
      </c>
      <c r="L192" s="624">
        <v>216.03532018768766</v>
      </c>
      <c r="M192" s="617">
        <v>0</v>
      </c>
      <c r="N192" s="617">
        <v>0</v>
      </c>
      <c r="O192" s="617">
        <v>0</v>
      </c>
      <c r="P192" s="617">
        <v>73.324625027494648</v>
      </c>
      <c r="Q192" s="617">
        <v>2.4848428021362321</v>
      </c>
      <c r="R192" s="617">
        <v>50.398131750471222</v>
      </c>
      <c r="S192" s="617">
        <v>21.579732058836431</v>
      </c>
      <c r="T192" s="617">
        <v>79.93802880459161</v>
      </c>
      <c r="U192" s="617">
        <v>3.0614833803630699</v>
      </c>
      <c r="V192" s="617">
        <v>430.71464486881149</v>
      </c>
      <c r="W192" s="617">
        <v>62.880388549010817</v>
      </c>
      <c r="X192" s="617">
        <v>9.4600495955588908</v>
      </c>
      <c r="Y192" s="617">
        <v>1455.6737559599785</v>
      </c>
      <c r="Z192" s="51"/>
      <c r="AA192" s="51"/>
      <c r="AB192" s="51"/>
    </row>
    <row r="193" spans="1:28">
      <c r="A193" s="51"/>
      <c r="B193" s="51"/>
      <c r="C193" s="51"/>
      <c r="D193" s="51"/>
      <c r="E193" s="51"/>
      <c r="F193" s="51"/>
      <c r="G193" s="51"/>
      <c r="H193" s="67">
        <v>0</v>
      </c>
      <c r="I193" s="67">
        <v>0</v>
      </c>
      <c r="J193" s="67">
        <v>1.7053025658242404E-13</v>
      </c>
      <c r="K193" s="67">
        <v>0</v>
      </c>
      <c r="L193" s="67">
        <v>0</v>
      </c>
      <c r="M193" s="67">
        <v>0</v>
      </c>
      <c r="N193" s="67">
        <v>0</v>
      </c>
      <c r="O193" s="67">
        <v>0</v>
      </c>
      <c r="P193" s="67">
        <v>0</v>
      </c>
      <c r="Q193" s="67">
        <v>0</v>
      </c>
      <c r="R193" s="67">
        <v>-2.4202586464206961</v>
      </c>
      <c r="S193" s="67">
        <v>-3.9690473130349346E-15</v>
      </c>
      <c r="T193" s="67">
        <v>0</v>
      </c>
      <c r="U193" s="67">
        <v>0</v>
      </c>
      <c r="V193" s="67">
        <v>0</v>
      </c>
      <c r="W193" s="67">
        <v>7.1054273576010019E-15</v>
      </c>
      <c r="X193" s="67">
        <v>-1.7763568394002505E-15</v>
      </c>
      <c r="Y193" s="67">
        <v>-2.4202586464202795</v>
      </c>
      <c r="Z193" s="51"/>
      <c r="AA193" s="51"/>
      <c r="AB193" s="51"/>
    </row>
    <row r="194" spans="1:28">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row>
    <row r="195" spans="1:28">
      <c r="A195" s="608"/>
      <c r="B195" s="608"/>
      <c r="C195" s="608"/>
      <c r="D195" s="608"/>
      <c r="E195" s="608"/>
      <c r="F195" s="608"/>
      <c r="G195" s="609" t="s">
        <v>88</v>
      </c>
      <c r="H195" s="608"/>
      <c r="I195" s="608"/>
      <c r="J195" s="608"/>
      <c r="K195" s="608"/>
      <c r="L195" s="608"/>
      <c r="M195" s="608"/>
      <c r="N195" s="608"/>
      <c r="O195" s="608"/>
      <c r="P195" s="608"/>
      <c r="Q195" s="608"/>
      <c r="R195" s="608"/>
      <c r="S195" s="608"/>
      <c r="T195" s="608"/>
      <c r="U195" s="608"/>
      <c r="V195" s="608"/>
      <c r="W195" s="608"/>
      <c r="X195" s="608"/>
      <c r="Y195" s="608"/>
      <c r="Z195" s="608"/>
      <c r="AA195" s="608"/>
      <c r="AB195" s="608"/>
    </row>
    <row r="196" spans="1:28">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row>
    <row r="197" spans="1:28" ht="14.25" customHeight="1">
      <c r="A197" s="51"/>
      <c r="B197" s="51"/>
      <c r="C197" s="51"/>
      <c r="D197" s="51"/>
      <c r="E197" s="51"/>
      <c r="F197" s="51"/>
      <c r="G197" s="713" t="s">
        <v>128</v>
      </c>
      <c r="H197" s="711" t="s">
        <v>42</v>
      </c>
      <c r="I197" s="711" t="s">
        <v>52</v>
      </c>
      <c r="J197" s="711" t="s">
        <v>53</v>
      </c>
      <c r="K197" s="711" t="s">
        <v>487</v>
      </c>
      <c r="L197" s="711" t="s">
        <v>32</v>
      </c>
      <c r="M197" s="711" t="s">
        <v>488</v>
      </c>
      <c r="N197" s="711" t="s">
        <v>20</v>
      </c>
      <c r="O197" s="711" t="s">
        <v>55</v>
      </c>
      <c r="P197" s="715" t="s">
        <v>56</v>
      </c>
      <c r="Q197" s="716"/>
      <c r="R197" s="716"/>
      <c r="S197" s="716"/>
      <c r="T197" s="716"/>
      <c r="U197" s="717"/>
      <c r="V197" s="711" t="s">
        <v>57</v>
      </c>
      <c r="W197" s="711" t="s">
        <v>58</v>
      </c>
      <c r="X197" s="711" t="s">
        <v>31</v>
      </c>
      <c r="Y197" s="711" t="s">
        <v>10</v>
      </c>
      <c r="Z197" s="51"/>
      <c r="AA197" s="51"/>
      <c r="AB197" s="51"/>
    </row>
    <row r="198" spans="1:28" ht="24">
      <c r="A198" s="51"/>
      <c r="B198" s="51"/>
      <c r="C198" s="51"/>
      <c r="D198" s="51" t="s">
        <v>491</v>
      </c>
      <c r="E198" s="51"/>
      <c r="F198" s="51"/>
      <c r="G198" s="714"/>
      <c r="H198" s="712"/>
      <c r="I198" s="712"/>
      <c r="J198" s="712"/>
      <c r="K198" s="712"/>
      <c r="L198" s="712"/>
      <c r="M198" s="712"/>
      <c r="N198" s="712"/>
      <c r="O198" s="712"/>
      <c r="P198" s="610" t="s">
        <v>338</v>
      </c>
      <c r="Q198" s="610" t="s">
        <v>40</v>
      </c>
      <c r="R198" s="610" t="s">
        <v>346</v>
      </c>
      <c r="S198" s="610" t="s">
        <v>347</v>
      </c>
      <c r="T198" s="611" t="s">
        <v>348</v>
      </c>
      <c r="U198" s="610" t="s">
        <v>349</v>
      </c>
      <c r="V198" s="712"/>
      <c r="W198" s="712"/>
      <c r="X198" s="712"/>
      <c r="Y198" s="712"/>
      <c r="Z198" s="51"/>
      <c r="AA198" s="51"/>
      <c r="AB198" s="51"/>
    </row>
    <row r="199" spans="1:28">
      <c r="A199" s="51" t="e">
        <f>A162</f>
        <v>#REF!</v>
      </c>
      <c r="B199" s="51">
        <v>2030</v>
      </c>
      <c r="C199" s="51" t="s">
        <v>47</v>
      </c>
      <c r="D199" s="51" t="s">
        <v>492</v>
      </c>
      <c r="E199" s="51" t="e">
        <f>VLOOKUP($H$6,#REF!,2,FALSE)</f>
        <v>#REF!</v>
      </c>
      <c r="F199" s="51"/>
      <c r="G199" s="612" t="s">
        <v>59</v>
      </c>
      <c r="H199" s="613">
        <v>0</v>
      </c>
      <c r="I199" s="613">
        <v>9.7691999999999997</v>
      </c>
      <c r="J199" s="613">
        <v>0</v>
      </c>
      <c r="K199" s="613">
        <v>0</v>
      </c>
      <c r="L199" s="613">
        <v>0.18608000000000002</v>
      </c>
      <c r="M199" s="613">
        <v>0</v>
      </c>
      <c r="N199" s="614">
        <v>1038.2869636363639</v>
      </c>
      <c r="O199" s="614">
        <v>205.53110652120495</v>
      </c>
      <c r="P199" s="614">
        <v>227.83441686289595</v>
      </c>
      <c r="Q199" s="614">
        <v>28.461620553474244</v>
      </c>
      <c r="R199" s="613">
        <v>1.4156783371657409</v>
      </c>
      <c r="S199" s="613">
        <v>0.13593700784165794</v>
      </c>
      <c r="T199" s="614">
        <v>91.581907146552624</v>
      </c>
      <c r="U199" s="614">
        <v>10.82319895117076</v>
      </c>
      <c r="V199" s="613">
        <v>0</v>
      </c>
      <c r="W199" s="613">
        <v>0</v>
      </c>
      <c r="X199" s="613">
        <v>0</v>
      </c>
      <c r="Y199" s="615">
        <v>1614.0261090166696</v>
      </c>
      <c r="Z199" s="51"/>
      <c r="AA199" s="51"/>
      <c r="AB199" s="51"/>
    </row>
    <row r="200" spans="1:28">
      <c r="A200" s="51" t="e">
        <f t="shared" ref="A200:A205" si="24">A199+1</f>
        <v>#REF!</v>
      </c>
      <c r="B200" s="51">
        <f t="shared" ref="B200:C205" si="25">B199</f>
        <v>2030</v>
      </c>
      <c r="C200" s="51" t="str">
        <f t="shared" si="25"/>
        <v>AMS</v>
      </c>
      <c r="D200" s="51" t="s">
        <v>493</v>
      </c>
      <c r="E200" s="51" t="e">
        <f>VLOOKUP($H$6,#REF!,2,FALSE)</f>
        <v>#REF!</v>
      </c>
      <c r="F200" s="51"/>
      <c r="G200" s="612" t="s">
        <v>60</v>
      </c>
      <c r="H200" s="613">
        <v>19.500894978355525</v>
      </c>
      <c r="I200" s="613">
        <v>412.35150263166827</v>
      </c>
      <c r="J200" s="613">
        <v>141.77751506797006</v>
      </c>
      <c r="K200" s="613">
        <v>1.1566580598777236</v>
      </c>
      <c r="L200" s="613">
        <v>245.03499542253485</v>
      </c>
      <c r="M200" s="613">
        <v>0</v>
      </c>
      <c r="N200" s="613">
        <v>0</v>
      </c>
      <c r="O200" s="613">
        <v>0</v>
      </c>
      <c r="P200" s="613">
        <v>2.5322527707990741</v>
      </c>
      <c r="Q200" s="613">
        <v>0</v>
      </c>
      <c r="R200" s="613">
        <v>3.140572004124202</v>
      </c>
      <c r="S200" s="613">
        <v>0</v>
      </c>
      <c r="T200" s="613">
        <v>0</v>
      </c>
      <c r="U200" s="613">
        <v>0</v>
      </c>
      <c r="V200" s="613">
        <v>0</v>
      </c>
      <c r="W200" s="613">
        <v>0</v>
      </c>
      <c r="X200" s="613">
        <v>0</v>
      </c>
      <c r="Y200" s="615">
        <v>825.49439093532965</v>
      </c>
      <c r="Z200" s="51"/>
      <c r="AA200" s="51"/>
      <c r="AB200" s="51"/>
    </row>
    <row r="201" spans="1:28">
      <c r="A201" s="51" t="e">
        <f t="shared" si="24"/>
        <v>#REF!</v>
      </c>
      <c r="B201" s="51">
        <f t="shared" si="25"/>
        <v>2030</v>
      </c>
      <c r="C201" s="51" t="str">
        <f t="shared" si="25"/>
        <v>AMS</v>
      </c>
      <c r="D201" s="51" t="s">
        <v>494</v>
      </c>
      <c r="E201" s="51" t="e">
        <f>VLOOKUP($H$6,#REF!,2,FALSE)</f>
        <v>#REF!</v>
      </c>
      <c r="F201" s="51"/>
      <c r="G201" s="612" t="s">
        <v>61</v>
      </c>
      <c r="H201" s="613">
        <v>0</v>
      </c>
      <c r="I201" s="613">
        <v>0</v>
      </c>
      <c r="J201" s="613">
        <v>-0.13172022897004482</v>
      </c>
      <c r="K201" s="613">
        <v>0</v>
      </c>
      <c r="L201" s="613">
        <v>0</v>
      </c>
      <c r="M201" s="613">
        <v>0</v>
      </c>
      <c r="N201" s="613">
        <v>0</v>
      </c>
      <c r="O201" s="613">
        <v>0</v>
      </c>
      <c r="P201" s="613">
        <v>0</v>
      </c>
      <c r="Q201" s="613">
        <v>0</v>
      </c>
      <c r="R201" s="613">
        <v>0</v>
      </c>
      <c r="S201" s="613">
        <v>0</v>
      </c>
      <c r="T201" s="613">
        <v>0</v>
      </c>
      <c r="U201" s="613">
        <v>0</v>
      </c>
      <c r="V201" s="613">
        <v>-68.05218019677659</v>
      </c>
      <c r="W201" s="613">
        <v>0</v>
      </c>
      <c r="X201" s="613">
        <v>0</v>
      </c>
      <c r="Y201" s="615">
        <v>-68.183900425746629</v>
      </c>
      <c r="Z201" s="51"/>
      <c r="AA201" s="51"/>
      <c r="AB201" s="51"/>
    </row>
    <row r="202" spans="1:28">
      <c r="A202" s="51" t="e">
        <f t="shared" si="24"/>
        <v>#REF!</v>
      </c>
      <c r="B202" s="51">
        <f t="shared" si="25"/>
        <v>2030</v>
      </c>
      <c r="C202" s="51" t="str">
        <f t="shared" si="25"/>
        <v>AMS</v>
      </c>
      <c r="D202" s="51" t="s">
        <v>495</v>
      </c>
      <c r="E202" s="51" t="e">
        <f>VLOOKUP($H$6,#REF!,2,FALSE)</f>
        <v>#REF!</v>
      </c>
      <c r="F202" s="51"/>
      <c r="G202" s="612" t="s">
        <v>62</v>
      </c>
      <c r="H202" s="613">
        <v>0</v>
      </c>
      <c r="I202" s="613">
        <v>0</v>
      </c>
      <c r="J202" s="613">
        <v>-16.199220216107165</v>
      </c>
      <c r="K202" s="613">
        <v>-0.35114276718264964</v>
      </c>
      <c r="L202" s="613">
        <v>-0.92701690536219505</v>
      </c>
      <c r="M202" s="613">
        <v>0</v>
      </c>
      <c r="N202" s="613">
        <v>0</v>
      </c>
      <c r="O202" s="613">
        <v>0</v>
      </c>
      <c r="P202" s="613">
        <v>0</v>
      </c>
      <c r="Q202" s="613">
        <v>0</v>
      </c>
      <c r="R202" s="613">
        <v>-0.52671415077397443</v>
      </c>
      <c r="S202" s="613">
        <v>-0.12641139618575387</v>
      </c>
      <c r="T202" s="613">
        <v>0</v>
      </c>
      <c r="U202" s="613">
        <v>0</v>
      </c>
      <c r="V202" s="613">
        <v>0</v>
      </c>
      <c r="W202" s="613">
        <v>0</v>
      </c>
      <c r="X202" s="613">
        <v>0</v>
      </c>
      <c r="Y202" s="615">
        <v>-18.130505435611738</v>
      </c>
      <c r="Z202" s="51"/>
      <c r="AA202" s="51"/>
      <c r="AB202" s="51"/>
    </row>
    <row r="203" spans="1:28">
      <c r="A203" s="51" t="e">
        <f t="shared" si="24"/>
        <v>#REF!</v>
      </c>
      <c r="B203" s="51">
        <f t="shared" si="25"/>
        <v>2030</v>
      </c>
      <c r="C203" s="51" t="str">
        <f t="shared" si="25"/>
        <v>AMS</v>
      </c>
      <c r="D203" s="51" t="s">
        <v>496</v>
      </c>
      <c r="E203" s="51" t="e">
        <f>VLOOKUP($H$6,#REF!,2,FALSE)</f>
        <v>#REF!</v>
      </c>
      <c r="F203" s="51"/>
      <c r="G203" s="612" t="s">
        <v>63</v>
      </c>
      <c r="H203" s="613">
        <v>0</v>
      </c>
      <c r="I203" s="613">
        <v>0</v>
      </c>
      <c r="J203" s="613">
        <v>-73.427503644783499</v>
      </c>
      <c r="K203" s="613">
        <v>-0.69683709307213026</v>
      </c>
      <c r="L203" s="613">
        <v>0</v>
      </c>
      <c r="M203" s="613">
        <v>0</v>
      </c>
      <c r="N203" s="613">
        <v>0</v>
      </c>
      <c r="O203" s="613">
        <v>0</v>
      </c>
      <c r="P203" s="613">
        <v>0</v>
      </c>
      <c r="Q203" s="613">
        <v>0</v>
      </c>
      <c r="R203" s="613">
        <v>-3.8742860108991213</v>
      </c>
      <c r="S203" s="613">
        <v>0</v>
      </c>
      <c r="T203" s="613">
        <v>0</v>
      </c>
      <c r="U203" s="613">
        <v>0</v>
      </c>
      <c r="V203" s="613">
        <v>0</v>
      </c>
      <c r="W203" s="613">
        <v>0</v>
      </c>
      <c r="X203" s="613">
        <v>0</v>
      </c>
      <c r="Y203" s="615">
        <v>-77.998626748754759</v>
      </c>
      <c r="Z203" s="51"/>
      <c r="AA203" s="51"/>
      <c r="AB203" s="51"/>
    </row>
    <row r="204" spans="1:28">
      <c r="A204" s="51" t="e">
        <f t="shared" si="24"/>
        <v>#REF!</v>
      </c>
      <c r="B204" s="51">
        <f t="shared" si="25"/>
        <v>2030</v>
      </c>
      <c r="C204" s="51" t="str">
        <f t="shared" si="25"/>
        <v>AMS</v>
      </c>
      <c r="D204" s="51" t="s">
        <v>497</v>
      </c>
      <c r="E204" s="51" t="e">
        <f>VLOOKUP($H$6,#REF!,2,FALSE)</f>
        <v>#REF!</v>
      </c>
      <c r="F204" s="51"/>
      <c r="G204" s="612" t="s">
        <v>64</v>
      </c>
      <c r="H204" s="613">
        <v>0</v>
      </c>
      <c r="I204" s="613">
        <v>0</v>
      </c>
      <c r="J204" s="613">
        <v>0</v>
      </c>
      <c r="K204" s="613">
        <v>0</v>
      </c>
      <c r="L204" s="613">
        <v>0</v>
      </c>
      <c r="M204" s="613">
        <v>0</v>
      </c>
      <c r="N204" s="613">
        <v>0</v>
      </c>
      <c r="O204" s="613">
        <v>0</v>
      </c>
      <c r="P204" s="613">
        <v>0</v>
      </c>
      <c r="Q204" s="613">
        <v>0</v>
      </c>
      <c r="R204" s="613">
        <v>0</v>
      </c>
      <c r="S204" s="613">
        <v>0</v>
      </c>
      <c r="T204" s="613">
        <v>0</v>
      </c>
      <c r="U204" s="613">
        <v>0</v>
      </c>
      <c r="V204" s="613">
        <v>0</v>
      </c>
      <c r="W204" s="613">
        <v>0</v>
      </c>
      <c r="X204" s="613">
        <v>0</v>
      </c>
      <c r="Y204" s="615">
        <v>0</v>
      </c>
      <c r="Z204" s="51"/>
      <c r="AA204" s="51"/>
      <c r="AB204" s="51"/>
    </row>
    <row r="205" spans="1:28">
      <c r="A205" s="51" t="e">
        <f t="shared" si="24"/>
        <v>#REF!</v>
      </c>
      <c r="B205" s="51">
        <f t="shared" si="25"/>
        <v>2030</v>
      </c>
      <c r="C205" s="51" t="str">
        <f t="shared" si="25"/>
        <v>AMS</v>
      </c>
      <c r="D205" s="51" t="s">
        <v>498</v>
      </c>
      <c r="E205" s="51" t="e">
        <f>VLOOKUP($H$6,#REF!,2,FALSE)</f>
        <v>#REF!</v>
      </c>
      <c r="F205" s="51"/>
      <c r="G205" s="616" t="s">
        <v>65</v>
      </c>
      <c r="H205" s="617">
        <v>19.500894978355525</v>
      </c>
      <c r="I205" s="617">
        <v>422.12070263166828</v>
      </c>
      <c r="J205" s="617">
        <v>52.019070978109362</v>
      </c>
      <c r="K205" s="617">
        <v>0.10867819962294367</v>
      </c>
      <c r="L205" s="624">
        <v>244.29405851717266</v>
      </c>
      <c r="M205" s="617">
        <v>0</v>
      </c>
      <c r="N205" s="617">
        <v>1038.2869636363639</v>
      </c>
      <c r="O205" s="617">
        <v>205.53110652120495</v>
      </c>
      <c r="P205" s="617">
        <v>230.36666963369501</v>
      </c>
      <c r="Q205" s="617">
        <v>28.461620553474244</v>
      </c>
      <c r="R205" s="617">
        <v>0.15525017961684728</v>
      </c>
      <c r="S205" s="617">
        <v>9.5256116559040704E-3</v>
      </c>
      <c r="T205" s="617">
        <v>91.581907146552624</v>
      </c>
      <c r="U205" s="617">
        <v>10.82319895117076</v>
      </c>
      <c r="V205" s="617">
        <v>-68.05218019677659</v>
      </c>
      <c r="W205" s="617">
        <v>0</v>
      </c>
      <c r="X205" s="617">
        <v>0</v>
      </c>
      <c r="Y205" s="617">
        <v>2275.2074673418865</v>
      </c>
      <c r="Z205" s="51"/>
      <c r="AA205" s="51"/>
      <c r="AB205" s="51"/>
    </row>
    <row r="206" spans="1:28">
      <c r="A206" s="51"/>
      <c r="B206" s="51"/>
      <c r="C206" s="51"/>
      <c r="D206" s="51"/>
      <c r="E206" s="51"/>
      <c r="F206" s="51"/>
      <c r="G206" s="618"/>
      <c r="H206" s="619">
        <v>0</v>
      </c>
      <c r="I206" s="619">
        <v>0</v>
      </c>
      <c r="J206" s="619">
        <v>0</v>
      </c>
      <c r="K206" s="619">
        <v>0</v>
      </c>
      <c r="L206" s="625">
        <v>0</v>
      </c>
      <c r="M206" s="619">
        <v>0</v>
      </c>
      <c r="N206" s="619">
        <v>0</v>
      </c>
      <c r="O206" s="619">
        <v>0</v>
      </c>
      <c r="P206" s="619">
        <v>0</v>
      </c>
      <c r="Q206" s="619">
        <v>0</v>
      </c>
      <c r="R206" s="619">
        <v>0</v>
      </c>
      <c r="S206" s="619">
        <v>0</v>
      </c>
      <c r="T206" s="619">
        <v>0</v>
      </c>
      <c r="U206" s="619">
        <v>0</v>
      </c>
      <c r="V206" s="619">
        <v>0</v>
      </c>
      <c r="W206" s="619">
        <v>0</v>
      </c>
      <c r="X206" s="619">
        <v>0</v>
      </c>
      <c r="Y206" s="619">
        <v>0</v>
      </c>
      <c r="Z206" s="51"/>
      <c r="AA206" s="51"/>
      <c r="AB206" s="51"/>
    </row>
    <row r="207" spans="1:28">
      <c r="A207" s="51" t="e">
        <f>A205+2</f>
        <v>#REF!</v>
      </c>
      <c r="B207" s="51">
        <f>B205</f>
        <v>2030</v>
      </c>
      <c r="C207" s="51" t="str">
        <f>C205</f>
        <v>AMS</v>
      </c>
      <c r="D207" s="51" t="s">
        <v>499</v>
      </c>
      <c r="E207" s="51" t="e">
        <f>VLOOKUP($H$6,#REF!,2,FALSE)</f>
        <v>#REF!</v>
      </c>
      <c r="F207" s="51"/>
      <c r="G207" s="620" t="s">
        <v>67</v>
      </c>
      <c r="H207" s="613">
        <v>0</v>
      </c>
      <c r="I207" s="613">
        <v>0</v>
      </c>
      <c r="J207" s="613">
        <v>0</v>
      </c>
      <c r="K207" s="613">
        <v>0</v>
      </c>
      <c r="L207" s="613">
        <v>0</v>
      </c>
      <c r="M207" s="613">
        <v>0</v>
      </c>
      <c r="N207" s="613">
        <v>0</v>
      </c>
      <c r="O207" s="613">
        <v>0</v>
      </c>
      <c r="P207" s="613">
        <v>0</v>
      </c>
      <c r="Q207" s="613">
        <v>0</v>
      </c>
      <c r="R207" s="613">
        <v>0</v>
      </c>
      <c r="S207" s="613">
        <v>0</v>
      </c>
      <c r="T207" s="613">
        <v>0</v>
      </c>
      <c r="U207" s="613">
        <v>0</v>
      </c>
      <c r="V207" s="613">
        <v>0</v>
      </c>
      <c r="W207" s="613">
        <v>0</v>
      </c>
      <c r="X207" s="613">
        <v>0</v>
      </c>
      <c r="Y207" s="621">
        <v>0</v>
      </c>
      <c r="Z207" s="51"/>
      <c r="AA207" s="51"/>
      <c r="AB207" s="51"/>
    </row>
    <row r="208" spans="1:28">
      <c r="A208" s="51" t="e">
        <f t="shared" ref="A208:A219" si="26">A207+1</f>
        <v>#REF!</v>
      </c>
      <c r="B208" s="51">
        <f t="shared" ref="B208:C219" si="27">B207</f>
        <v>2030</v>
      </c>
      <c r="C208" s="51" t="str">
        <f t="shared" si="27"/>
        <v>AMS</v>
      </c>
      <c r="D208" s="51" t="s">
        <v>500</v>
      </c>
      <c r="E208" s="51" t="e">
        <f>VLOOKUP($H$6,#REF!,2,FALSE)</f>
        <v>#REF!</v>
      </c>
      <c r="F208" s="51"/>
      <c r="G208" s="620" t="s">
        <v>350</v>
      </c>
      <c r="H208" s="613">
        <v>0</v>
      </c>
      <c r="I208" s="613">
        <v>0</v>
      </c>
      <c r="J208" s="613">
        <v>0.77863803143112786</v>
      </c>
      <c r="K208" s="613">
        <v>0</v>
      </c>
      <c r="L208" s="613">
        <v>36.279765848727266</v>
      </c>
      <c r="M208" s="613">
        <v>0</v>
      </c>
      <c r="N208" s="613">
        <v>1038.2869636363639</v>
      </c>
      <c r="O208" s="613">
        <v>205.53110652120495</v>
      </c>
      <c r="P208" s="613">
        <v>28.874786869538699</v>
      </c>
      <c r="Q208" s="613">
        <v>10.263260836794805</v>
      </c>
      <c r="R208" s="613">
        <v>4.4112574708908179</v>
      </c>
      <c r="S208" s="613">
        <v>6.4977260446746659</v>
      </c>
      <c r="T208" s="613">
        <v>0</v>
      </c>
      <c r="U208" s="613">
        <v>0</v>
      </c>
      <c r="V208" s="613">
        <v>-589.53538472779007</v>
      </c>
      <c r="W208" s="613">
        <v>0</v>
      </c>
      <c r="X208" s="613">
        <v>0</v>
      </c>
      <c r="Y208" s="621">
        <v>741.38812053183608</v>
      </c>
      <c r="Z208" s="51"/>
      <c r="AA208" s="51"/>
      <c r="AB208" s="51"/>
    </row>
    <row r="209" spans="1:28">
      <c r="A209" s="51" t="e">
        <f t="shared" si="26"/>
        <v>#REF!</v>
      </c>
      <c r="B209" s="51">
        <f t="shared" si="27"/>
        <v>2030</v>
      </c>
      <c r="C209" s="51" t="str">
        <f t="shared" si="27"/>
        <v>AMS</v>
      </c>
      <c r="D209" s="51" t="s">
        <v>501</v>
      </c>
      <c r="E209" s="51" t="e">
        <f>VLOOKUP($H$6,#REF!,2,FALSE)</f>
        <v>#REF!</v>
      </c>
      <c r="F209" s="51"/>
      <c r="G209" s="620" t="s">
        <v>351</v>
      </c>
      <c r="H209" s="613">
        <v>0</v>
      </c>
      <c r="I209" s="613">
        <v>0</v>
      </c>
      <c r="J209" s="613">
        <v>0</v>
      </c>
      <c r="K209" s="613">
        <v>0</v>
      </c>
      <c r="L209" s="613">
        <v>17.169661952341983</v>
      </c>
      <c r="M209" s="613">
        <v>0</v>
      </c>
      <c r="N209" s="613">
        <v>0</v>
      </c>
      <c r="O209" s="613">
        <v>0</v>
      </c>
      <c r="P209" s="613">
        <v>33.995499480106155</v>
      </c>
      <c r="Q209" s="613">
        <v>15.594965202678805</v>
      </c>
      <c r="R209" s="613">
        <v>0</v>
      </c>
      <c r="S209" s="613">
        <v>4.3055711350701857</v>
      </c>
      <c r="T209" s="613">
        <v>0</v>
      </c>
      <c r="U209" s="613">
        <v>7.5015461547405717</v>
      </c>
      <c r="V209" s="613">
        <v>0</v>
      </c>
      <c r="W209" s="613">
        <v>-71.517574001012974</v>
      </c>
      <c r="X209" s="613">
        <v>0</v>
      </c>
      <c r="Y209" s="621">
        <v>7.0496699239247187</v>
      </c>
      <c r="Z209" s="51"/>
      <c r="AA209" s="51"/>
      <c r="AB209" s="51"/>
    </row>
    <row r="210" spans="1:28">
      <c r="A210" s="51" t="e">
        <f t="shared" si="26"/>
        <v>#REF!</v>
      </c>
      <c r="B210" s="51">
        <f t="shared" si="27"/>
        <v>2030</v>
      </c>
      <c r="C210" s="51" t="str">
        <f t="shared" si="27"/>
        <v>AMS</v>
      </c>
      <c r="D210" s="51" t="s">
        <v>502</v>
      </c>
      <c r="E210" s="51" t="e">
        <f>VLOOKUP($H$6,#REF!,2,FALSE)</f>
        <v>#REF!</v>
      </c>
      <c r="F210" s="51"/>
      <c r="G210" s="620" t="s">
        <v>352</v>
      </c>
      <c r="H210" s="613">
        <v>0</v>
      </c>
      <c r="I210" s="613">
        <v>0</v>
      </c>
      <c r="J210" s="613">
        <v>0</v>
      </c>
      <c r="K210" s="613">
        <v>0</v>
      </c>
      <c r="L210" s="613">
        <v>0</v>
      </c>
      <c r="M210" s="613">
        <v>0</v>
      </c>
      <c r="N210" s="613">
        <v>0</v>
      </c>
      <c r="O210" s="613">
        <v>0</v>
      </c>
      <c r="P210" s="613">
        <v>40.114077633892222</v>
      </c>
      <c r="Q210" s="613">
        <v>0</v>
      </c>
      <c r="R210" s="613">
        <v>0</v>
      </c>
      <c r="S210" s="613">
        <v>-36.417525890890943</v>
      </c>
      <c r="T210" s="613">
        <v>0</v>
      </c>
      <c r="U210" s="613">
        <v>0</v>
      </c>
      <c r="V210" s="613">
        <v>0</v>
      </c>
      <c r="W210" s="613">
        <v>0</v>
      </c>
      <c r="X210" s="613">
        <v>0</v>
      </c>
      <c r="Y210" s="621">
        <v>3.6965517430012795</v>
      </c>
      <c r="Z210" s="51"/>
      <c r="AA210" s="51"/>
      <c r="AB210" s="51"/>
    </row>
    <row r="211" spans="1:28">
      <c r="A211" s="51" t="e">
        <f t="shared" si="26"/>
        <v>#REF!</v>
      </c>
      <c r="B211" s="51">
        <f t="shared" si="27"/>
        <v>2030</v>
      </c>
      <c r="C211" s="51" t="str">
        <f t="shared" si="27"/>
        <v>AMS</v>
      </c>
      <c r="D211" s="51" t="s">
        <v>503</v>
      </c>
      <c r="E211" s="51" t="e">
        <f>VLOOKUP($H$6,#REF!,2,FALSE)</f>
        <v>#REF!</v>
      </c>
      <c r="F211" s="51"/>
      <c r="G211" s="620" t="s">
        <v>353</v>
      </c>
      <c r="H211" s="613">
        <v>0</v>
      </c>
      <c r="I211" s="613">
        <v>0</v>
      </c>
      <c r="J211" s="613">
        <v>0</v>
      </c>
      <c r="K211" s="613">
        <v>0</v>
      </c>
      <c r="L211" s="613">
        <v>0</v>
      </c>
      <c r="M211" s="613">
        <v>0</v>
      </c>
      <c r="N211" s="613">
        <v>0</v>
      </c>
      <c r="O211" s="613">
        <v>0</v>
      </c>
      <c r="P211" s="613">
        <v>0</v>
      </c>
      <c r="Q211" s="613">
        <v>0</v>
      </c>
      <c r="R211" s="613">
        <v>0</v>
      </c>
      <c r="S211" s="613">
        <v>0</v>
      </c>
      <c r="T211" s="613">
        <v>0</v>
      </c>
      <c r="U211" s="613">
        <v>0</v>
      </c>
      <c r="V211" s="613">
        <v>0</v>
      </c>
      <c r="W211" s="613">
        <v>0</v>
      </c>
      <c r="X211" s="613">
        <v>0</v>
      </c>
      <c r="Y211" s="621">
        <v>0</v>
      </c>
      <c r="Z211" s="51"/>
      <c r="AA211" s="51"/>
      <c r="AB211" s="51"/>
    </row>
    <row r="212" spans="1:28">
      <c r="A212" s="51" t="e">
        <f t="shared" si="26"/>
        <v>#REF!</v>
      </c>
      <c r="B212" s="51">
        <f t="shared" si="27"/>
        <v>2030</v>
      </c>
      <c r="C212" s="51" t="str">
        <f t="shared" si="27"/>
        <v>AMS</v>
      </c>
      <c r="D212" s="51" t="s">
        <v>504</v>
      </c>
      <c r="E212" s="51" t="e">
        <f>VLOOKUP($H$6,#REF!,2,FALSE)</f>
        <v>#REF!</v>
      </c>
      <c r="F212" s="51"/>
      <c r="G212" s="620" t="s">
        <v>72</v>
      </c>
      <c r="H212" s="613">
        <v>0</v>
      </c>
      <c r="I212" s="613">
        <v>437.4764681269624</v>
      </c>
      <c r="J212" s="613">
        <v>-433.12141449021158</v>
      </c>
      <c r="K212" s="613">
        <v>0</v>
      </c>
      <c r="L212" s="613">
        <v>0</v>
      </c>
      <c r="M212" s="613">
        <v>0</v>
      </c>
      <c r="N212" s="613">
        <v>0</v>
      </c>
      <c r="O212" s="613">
        <v>0</v>
      </c>
      <c r="P212" s="613">
        <v>0</v>
      </c>
      <c r="Q212" s="613">
        <v>0</v>
      </c>
      <c r="R212" s="613">
        <v>0</v>
      </c>
      <c r="S212" s="613">
        <v>0</v>
      </c>
      <c r="T212" s="613">
        <v>0</v>
      </c>
      <c r="U212" s="613">
        <v>0</v>
      </c>
      <c r="V212" s="613">
        <v>0</v>
      </c>
      <c r="W212" s="613">
        <v>0</v>
      </c>
      <c r="X212" s="613">
        <v>0</v>
      </c>
      <c r="Y212" s="621">
        <v>4.3550536367508395</v>
      </c>
      <c r="Z212" s="51"/>
      <c r="AA212" s="51"/>
      <c r="AB212" s="51"/>
    </row>
    <row r="213" spans="1:28">
      <c r="A213" s="51" t="e">
        <f t="shared" si="26"/>
        <v>#REF!</v>
      </c>
      <c r="B213" s="51">
        <f t="shared" si="27"/>
        <v>2030</v>
      </c>
      <c r="C213" s="51" t="str">
        <f t="shared" si="27"/>
        <v>AMS</v>
      </c>
      <c r="D213" s="51" t="s">
        <v>505</v>
      </c>
      <c r="E213" s="51" t="e">
        <f>VLOOKUP($H$6,#REF!,2,FALSE)</f>
        <v>#REF!</v>
      </c>
      <c r="F213" s="51"/>
      <c r="G213" s="620" t="s">
        <v>354</v>
      </c>
      <c r="H213" s="613">
        <v>0</v>
      </c>
      <c r="I213" s="613">
        <v>0</v>
      </c>
      <c r="J213" s="613">
        <v>0</v>
      </c>
      <c r="K213" s="613">
        <v>0</v>
      </c>
      <c r="L213" s="613">
        <v>0</v>
      </c>
      <c r="M213" s="613">
        <v>0</v>
      </c>
      <c r="N213" s="613">
        <v>0</v>
      </c>
      <c r="O213" s="613">
        <v>0</v>
      </c>
      <c r="P213" s="613">
        <v>58.51202627390122</v>
      </c>
      <c r="Q213" s="613">
        <v>0</v>
      </c>
      <c r="R213" s="613">
        <v>-58.51202627390122</v>
      </c>
      <c r="S213" s="613">
        <v>0</v>
      </c>
      <c r="T213" s="613">
        <v>0</v>
      </c>
      <c r="U213" s="613">
        <v>0</v>
      </c>
      <c r="V213" s="613">
        <v>0</v>
      </c>
      <c r="W213" s="613">
        <v>0</v>
      </c>
      <c r="X213" s="613">
        <v>0</v>
      </c>
      <c r="Y213" s="621">
        <v>0</v>
      </c>
      <c r="Z213" s="51"/>
      <c r="AA213" s="51"/>
      <c r="AB213" s="51"/>
    </row>
    <row r="214" spans="1:28">
      <c r="A214" s="51" t="e">
        <f t="shared" si="26"/>
        <v>#REF!</v>
      </c>
      <c r="B214" s="51">
        <f t="shared" si="27"/>
        <v>2030</v>
      </c>
      <c r="C214" s="51" t="str">
        <f t="shared" si="27"/>
        <v>AMS</v>
      </c>
      <c r="D214" s="51" t="s">
        <v>506</v>
      </c>
      <c r="E214" s="51" t="e">
        <f>VLOOKUP($H$6,#REF!,2,FALSE)</f>
        <v>#REF!</v>
      </c>
      <c r="F214" s="51"/>
      <c r="G214" s="620" t="s">
        <v>355</v>
      </c>
      <c r="H214" s="613">
        <v>0</v>
      </c>
      <c r="I214" s="613">
        <v>0</v>
      </c>
      <c r="J214" s="613">
        <v>0</v>
      </c>
      <c r="K214" s="613">
        <v>-1.5541621174818701</v>
      </c>
      <c r="L214" s="613">
        <v>0</v>
      </c>
      <c r="M214" s="613">
        <v>0</v>
      </c>
      <c r="N214" s="613">
        <v>0</v>
      </c>
      <c r="O214" s="613">
        <v>0</v>
      </c>
      <c r="P214" s="613">
        <v>0</v>
      </c>
      <c r="Q214" s="613">
        <v>0</v>
      </c>
      <c r="R214" s="613">
        <v>0</v>
      </c>
      <c r="S214" s="613">
        <v>0</v>
      </c>
      <c r="T214" s="613">
        <v>0</v>
      </c>
      <c r="U214" s="613">
        <v>0</v>
      </c>
      <c r="V214" s="613">
        <v>0</v>
      </c>
      <c r="W214" s="613">
        <v>0</v>
      </c>
      <c r="X214" s="613">
        <v>2.1645711942644428</v>
      </c>
      <c r="Y214" s="621">
        <v>0.61040907678257272</v>
      </c>
      <c r="Z214" s="51"/>
      <c r="AA214" s="51"/>
      <c r="AB214" s="51"/>
    </row>
    <row r="215" spans="1:28">
      <c r="A215" s="51" t="e">
        <f t="shared" si="26"/>
        <v>#REF!</v>
      </c>
      <c r="B215" s="51">
        <f t="shared" si="27"/>
        <v>2030</v>
      </c>
      <c r="C215" s="51" t="str">
        <f t="shared" si="27"/>
        <v>AMS</v>
      </c>
      <c r="D215" s="51" t="s">
        <v>507</v>
      </c>
      <c r="E215" s="51" t="e">
        <f>VLOOKUP($H$6,#REF!,2,FALSE)</f>
        <v>#REF!</v>
      </c>
      <c r="F215" s="51"/>
      <c r="G215" s="620" t="s">
        <v>73</v>
      </c>
      <c r="H215" s="613">
        <v>0</v>
      </c>
      <c r="I215" s="613">
        <v>0</v>
      </c>
      <c r="J215" s="613">
        <v>0</v>
      </c>
      <c r="K215" s="613">
        <v>0</v>
      </c>
      <c r="L215" s="613">
        <v>0</v>
      </c>
      <c r="M215" s="613">
        <v>0</v>
      </c>
      <c r="N215" s="613">
        <v>0</v>
      </c>
      <c r="O215" s="613">
        <v>0</v>
      </c>
      <c r="P215" s="613">
        <v>0</v>
      </c>
      <c r="Q215" s="613">
        <v>0</v>
      </c>
      <c r="R215" s="613">
        <v>0</v>
      </c>
      <c r="S215" s="613">
        <v>0</v>
      </c>
      <c r="T215" s="613">
        <v>0</v>
      </c>
      <c r="U215" s="613">
        <v>0</v>
      </c>
      <c r="V215" s="613">
        <v>22.347786362655235</v>
      </c>
      <c r="W215" s="613">
        <v>0</v>
      </c>
      <c r="X215" s="613">
        <v>-14.526061135725904</v>
      </c>
      <c r="Y215" s="621">
        <v>7.8217252269293311</v>
      </c>
      <c r="Z215" s="51"/>
      <c r="AA215" s="51"/>
      <c r="AB215" s="51"/>
    </row>
    <row r="216" spans="1:28">
      <c r="A216" s="51" t="e">
        <f t="shared" si="26"/>
        <v>#REF!</v>
      </c>
      <c r="B216" s="51">
        <f t="shared" si="27"/>
        <v>2030</v>
      </c>
      <c r="C216" s="51" t="str">
        <f t="shared" si="27"/>
        <v>AMS</v>
      </c>
      <c r="D216" s="51" t="s">
        <v>508</v>
      </c>
      <c r="E216" s="51" t="e">
        <f>VLOOKUP($H$6,#REF!,2,FALSE)</f>
        <v>#REF!</v>
      </c>
      <c r="F216" s="51"/>
      <c r="G216" s="620" t="s">
        <v>356</v>
      </c>
      <c r="H216" s="613">
        <v>11.574443320312499</v>
      </c>
      <c r="I216" s="613">
        <v>-15.355765495294122</v>
      </c>
      <c r="J216" s="613">
        <v>19.986666106038875</v>
      </c>
      <c r="K216" s="613">
        <v>0</v>
      </c>
      <c r="L216" s="613">
        <v>0</v>
      </c>
      <c r="M216" s="613">
        <v>0</v>
      </c>
      <c r="N216" s="613">
        <v>0</v>
      </c>
      <c r="O216" s="613">
        <v>0</v>
      </c>
      <c r="P216" s="613">
        <v>0</v>
      </c>
      <c r="Q216" s="613">
        <v>0</v>
      </c>
      <c r="R216" s="613">
        <v>0</v>
      </c>
      <c r="S216" s="613">
        <v>0</v>
      </c>
      <c r="T216" s="613">
        <v>0</v>
      </c>
      <c r="U216" s="613">
        <v>0</v>
      </c>
      <c r="V216" s="613">
        <v>0</v>
      </c>
      <c r="W216" s="613">
        <v>0</v>
      </c>
      <c r="X216" s="613">
        <v>0</v>
      </c>
      <c r="Y216" s="621">
        <v>16.20534393105725</v>
      </c>
      <c r="Z216" s="51"/>
      <c r="AA216" s="51"/>
      <c r="AB216" s="51"/>
    </row>
    <row r="217" spans="1:28">
      <c r="A217" s="51" t="e">
        <f t="shared" si="26"/>
        <v>#REF!</v>
      </c>
      <c r="B217" s="51">
        <f t="shared" si="27"/>
        <v>2030</v>
      </c>
      <c r="C217" s="51" t="str">
        <f t="shared" si="27"/>
        <v>AMS</v>
      </c>
      <c r="D217" s="51" t="s">
        <v>509</v>
      </c>
      <c r="E217" s="51" t="e">
        <f>VLOOKUP($H$6,#REF!,2,FALSE)</f>
        <v>#REF!</v>
      </c>
      <c r="F217" s="51"/>
      <c r="G217" s="620" t="s">
        <v>75</v>
      </c>
      <c r="H217" s="613">
        <v>4.5011724023437498</v>
      </c>
      <c r="I217" s="613">
        <v>0</v>
      </c>
      <c r="J217" s="613">
        <v>19.445088820906506</v>
      </c>
      <c r="K217" s="613">
        <v>0</v>
      </c>
      <c r="L217" s="613">
        <v>4.9057031873641765</v>
      </c>
      <c r="M217" s="613">
        <v>0</v>
      </c>
      <c r="N217" s="613">
        <v>0</v>
      </c>
      <c r="O217" s="613">
        <v>0</v>
      </c>
      <c r="P217" s="613">
        <v>0</v>
      </c>
      <c r="Q217" s="613">
        <v>0</v>
      </c>
      <c r="R217" s="613">
        <v>0</v>
      </c>
      <c r="S217" s="613">
        <v>0.66895952554966043</v>
      </c>
      <c r="T217" s="613">
        <v>0</v>
      </c>
      <c r="U217" s="613">
        <v>0</v>
      </c>
      <c r="V217" s="613">
        <v>26.70268820303825</v>
      </c>
      <c r="W217" s="613">
        <v>0</v>
      </c>
      <c r="X217" s="613">
        <v>0</v>
      </c>
      <c r="Y217" s="621">
        <v>56.223612139202338</v>
      </c>
      <c r="Z217" s="51"/>
      <c r="AA217" s="51"/>
      <c r="AB217" s="51"/>
    </row>
    <row r="218" spans="1:28">
      <c r="A218" s="51" t="e">
        <f t="shared" si="26"/>
        <v>#REF!</v>
      </c>
      <c r="B218" s="51">
        <f t="shared" si="27"/>
        <v>2030</v>
      </c>
      <c r="C218" s="51" t="str">
        <f t="shared" si="27"/>
        <v>AMS</v>
      </c>
      <c r="D218" s="51" t="s">
        <v>510</v>
      </c>
      <c r="E218" s="51" t="e">
        <f>VLOOKUP($H$6,#REF!,2,FALSE)</f>
        <v>#REF!</v>
      </c>
      <c r="F218" s="51"/>
      <c r="G218" s="620" t="s">
        <v>76</v>
      </c>
      <c r="H218" s="613">
        <v>0</v>
      </c>
      <c r="I218" s="613">
        <v>0</v>
      </c>
      <c r="J218" s="613">
        <v>0</v>
      </c>
      <c r="K218" s="613">
        <v>0</v>
      </c>
      <c r="L218" s="613">
        <v>2.8205008916385275</v>
      </c>
      <c r="M218" s="613">
        <v>0</v>
      </c>
      <c r="N218" s="613">
        <v>0</v>
      </c>
      <c r="O218" s="613">
        <v>0</v>
      </c>
      <c r="P218" s="613">
        <v>0</v>
      </c>
      <c r="Q218" s="613">
        <v>0</v>
      </c>
      <c r="R218" s="613">
        <v>0</v>
      </c>
      <c r="S218" s="613">
        <v>0.38461375795070829</v>
      </c>
      <c r="T218" s="613">
        <v>0</v>
      </c>
      <c r="U218" s="613">
        <v>0</v>
      </c>
      <c r="V218" s="613">
        <v>39.934928469010529</v>
      </c>
      <c r="W218" s="613">
        <v>5.5462664454161024</v>
      </c>
      <c r="X218" s="613">
        <v>0</v>
      </c>
      <c r="Y218" s="621">
        <v>48.686309564015865</v>
      </c>
      <c r="Z218" s="51"/>
      <c r="AA218" s="51"/>
      <c r="AB218" s="51"/>
    </row>
    <row r="219" spans="1:28">
      <c r="A219" s="51" t="e">
        <f t="shared" si="26"/>
        <v>#REF!</v>
      </c>
      <c r="B219" s="51">
        <f t="shared" si="27"/>
        <v>2030</v>
      </c>
      <c r="C219" s="51" t="str">
        <f t="shared" si="27"/>
        <v>AMS</v>
      </c>
      <c r="D219" s="51" t="s">
        <v>511</v>
      </c>
      <c r="E219" s="51" t="e">
        <f>VLOOKUP($H$6,#REF!,2,FALSE)</f>
        <v>#REF!</v>
      </c>
      <c r="F219" s="51"/>
      <c r="G219" s="616" t="s">
        <v>77</v>
      </c>
      <c r="H219" s="617">
        <v>16.075615722656249</v>
      </c>
      <c r="I219" s="617">
        <v>422.12070263166828</v>
      </c>
      <c r="J219" s="617">
        <v>-392.9110215318351</v>
      </c>
      <c r="K219" s="617">
        <v>-1.5541621174818701</v>
      </c>
      <c r="L219" s="624">
        <v>61.175631880071947</v>
      </c>
      <c r="M219" s="617">
        <v>0</v>
      </c>
      <c r="N219" s="617">
        <v>1038.2869636363639</v>
      </c>
      <c r="O219" s="617">
        <v>205.53110652120495</v>
      </c>
      <c r="P219" s="617">
        <v>161.49639025743829</v>
      </c>
      <c r="Q219" s="617">
        <v>25.85822603947361</v>
      </c>
      <c r="R219" s="617">
        <v>-54.100768803010403</v>
      </c>
      <c r="S219" s="617">
        <v>-24.560655427645724</v>
      </c>
      <c r="T219" s="617">
        <v>0</v>
      </c>
      <c r="U219" s="617">
        <v>7.5015461547405717</v>
      </c>
      <c r="V219" s="617">
        <v>-500.54998169308607</v>
      </c>
      <c r="W219" s="617">
        <v>-65.971307555596866</v>
      </c>
      <c r="X219" s="617">
        <v>-12.361489941461461</v>
      </c>
      <c r="Y219" s="617">
        <v>886.0367957735001</v>
      </c>
      <c r="Z219" s="51"/>
      <c r="AA219" s="51"/>
      <c r="AB219" s="51"/>
    </row>
    <row r="220" spans="1:28">
      <c r="A220" s="51"/>
      <c r="B220" s="51"/>
      <c r="C220" s="51"/>
      <c r="D220" s="51"/>
      <c r="E220" s="51"/>
      <c r="F220" s="51"/>
      <c r="G220" s="618"/>
      <c r="H220" s="619">
        <v>0</v>
      </c>
      <c r="I220" s="619">
        <v>0</v>
      </c>
      <c r="J220" s="619">
        <v>0</v>
      </c>
      <c r="K220" s="619">
        <v>0</v>
      </c>
      <c r="L220" s="625">
        <v>0</v>
      </c>
      <c r="M220" s="619">
        <v>0</v>
      </c>
      <c r="N220" s="619">
        <v>0</v>
      </c>
      <c r="O220" s="619">
        <v>0</v>
      </c>
      <c r="P220" s="619">
        <v>0</v>
      </c>
      <c r="Q220" s="619">
        <v>0</v>
      </c>
      <c r="R220" s="619">
        <v>0</v>
      </c>
      <c r="S220" s="619">
        <v>0</v>
      </c>
      <c r="T220" s="619">
        <v>0</v>
      </c>
      <c r="U220" s="619">
        <v>0</v>
      </c>
      <c r="V220" s="619">
        <v>0</v>
      </c>
      <c r="W220" s="619">
        <v>0</v>
      </c>
      <c r="X220" s="619">
        <v>0</v>
      </c>
      <c r="Y220" s="619">
        <v>0</v>
      </c>
      <c r="Z220" s="51"/>
      <c r="AA220" s="51"/>
      <c r="AB220" s="51"/>
    </row>
    <row r="221" spans="1:28">
      <c r="A221" s="51" t="e">
        <f>A219+2</f>
        <v>#REF!</v>
      </c>
      <c r="B221" s="51">
        <f>B219</f>
        <v>2030</v>
      </c>
      <c r="C221" s="51" t="str">
        <f>C199</f>
        <v>AMS</v>
      </c>
      <c r="D221" s="51" t="s">
        <v>512</v>
      </c>
      <c r="E221" s="51" t="e">
        <f>VLOOKUP($H$6,#REF!,2,FALSE)</f>
        <v>#REF!</v>
      </c>
      <c r="F221" s="51"/>
      <c r="G221" s="620" t="s">
        <v>78</v>
      </c>
      <c r="H221" s="613">
        <v>3.4252792556992748</v>
      </c>
      <c r="I221" s="613">
        <v>0</v>
      </c>
      <c r="J221" s="613">
        <v>12.308271650577865</v>
      </c>
      <c r="K221" s="613">
        <v>0</v>
      </c>
      <c r="L221" s="613">
        <v>73.413026523981316</v>
      </c>
      <c r="M221" s="613">
        <v>0</v>
      </c>
      <c r="N221" s="613">
        <v>0</v>
      </c>
      <c r="O221" s="613">
        <v>0</v>
      </c>
      <c r="P221" s="613">
        <v>20.422417009283894</v>
      </c>
      <c r="Q221" s="613">
        <v>2.602859968291809</v>
      </c>
      <c r="R221" s="613">
        <v>1.0285361411132812</v>
      </c>
      <c r="S221" s="613">
        <v>10.038234189816116</v>
      </c>
      <c r="T221" s="613">
        <v>3.4088933105468748</v>
      </c>
      <c r="U221" s="613">
        <v>5.5791983277925228E-4</v>
      </c>
      <c r="V221" s="613">
        <v>125.34883441740973</v>
      </c>
      <c r="W221" s="613">
        <v>17.986846293297361</v>
      </c>
      <c r="X221" s="613">
        <v>2.0558867187500001</v>
      </c>
      <c r="Y221" s="621">
        <v>272.03964339860033</v>
      </c>
      <c r="Z221" s="51"/>
      <c r="AA221" s="622" t="e" cm="1">
        <f t="array" aca="1" ref="AA221" ca="1">_xlfn.IFNA(INDEX(#REF!,MATCH(INDIRECT("Codes_bilans!"&amp;AA$1&amp;"$"&amp;$A221),#REF!,0),MATCH($B221,#REF!,0)),0)</f>
        <v>#REF!</v>
      </c>
      <c r="AB221" s="51"/>
    </row>
    <row r="222" spans="1:28">
      <c r="A222" s="51" t="e">
        <f t="shared" ref="A222:A229" si="28">A221+1</f>
        <v>#REF!</v>
      </c>
      <c r="B222" s="51">
        <f t="shared" ref="B222:C229" si="29">B221</f>
        <v>2030</v>
      </c>
      <c r="C222" s="51" t="str">
        <f t="shared" si="29"/>
        <v>AMS</v>
      </c>
      <c r="D222" s="51" t="s">
        <v>513</v>
      </c>
      <c r="E222" s="51" t="e">
        <f>VLOOKUP($H$6,#REF!,2,FALSE)</f>
        <v>#REF!</v>
      </c>
      <c r="F222" s="51"/>
      <c r="G222" s="620" t="s">
        <v>79</v>
      </c>
      <c r="H222" s="613">
        <v>0</v>
      </c>
      <c r="I222" s="613">
        <v>0</v>
      </c>
      <c r="J222" s="613">
        <v>299.68098831610791</v>
      </c>
      <c r="K222" s="613">
        <v>0.15795207154289831</v>
      </c>
      <c r="L222" s="613">
        <v>4.9734474054962678</v>
      </c>
      <c r="M222" s="613">
        <v>0</v>
      </c>
      <c r="N222" s="613">
        <v>0</v>
      </c>
      <c r="O222" s="613">
        <v>0</v>
      </c>
      <c r="P222" s="613">
        <v>0</v>
      </c>
      <c r="Q222" s="613">
        <v>0</v>
      </c>
      <c r="R222" s="613">
        <v>36.482323005879891</v>
      </c>
      <c r="S222" s="613">
        <v>0.67819737347676379</v>
      </c>
      <c r="T222" s="613">
        <v>0</v>
      </c>
      <c r="U222" s="613">
        <v>0</v>
      </c>
      <c r="V222" s="613">
        <v>30.954972159028785</v>
      </c>
      <c r="W222" s="613">
        <v>0</v>
      </c>
      <c r="X222" s="613">
        <v>0.65150967495445122</v>
      </c>
      <c r="Y222" s="621">
        <v>373.57939000648707</v>
      </c>
      <c r="Z222" s="51"/>
      <c r="AA222" s="622" t="e" cm="1">
        <f t="array" aca="1" ref="AA222" ca="1">_xlfn.IFNA(INDEX(#REF!,MATCH(INDIRECT("Codes_bilans!"&amp;AA$1&amp;"$"&amp;$A222),#REF!,0),MATCH($B222,#REF!,0)),0)</f>
        <v>#REF!</v>
      </c>
      <c r="AB222" s="51"/>
    </row>
    <row r="223" spans="1:28">
      <c r="A223" s="51" t="e">
        <f t="shared" si="28"/>
        <v>#REF!</v>
      </c>
      <c r="B223" s="51">
        <f t="shared" si="29"/>
        <v>2030</v>
      </c>
      <c r="C223" s="51" t="str">
        <f t="shared" si="29"/>
        <v>AMS</v>
      </c>
      <c r="D223" s="51" t="s">
        <v>514</v>
      </c>
      <c r="E223" s="51" t="e">
        <f>VLOOKUP($H$6,#REF!,2,FALSE)</f>
        <v>#REF!</v>
      </c>
      <c r="F223" s="51"/>
      <c r="G223" s="620" t="s">
        <v>80</v>
      </c>
      <c r="H223" s="613">
        <v>0</v>
      </c>
      <c r="I223" s="613">
        <v>0</v>
      </c>
      <c r="J223" s="613">
        <v>4.6180690607080663</v>
      </c>
      <c r="K223" s="613">
        <v>0</v>
      </c>
      <c r="L223" s="613">
        <v>64.670833332730624</v>
      </c>
      <c r="M223" s="613">
        <v>0</v>
      </c>
      <c r="N223" s="613">
        <v>0</v>
      </c>
      <c r="O223" s="613">
        <v>0</v>
      </c>
      <c r="P223" s="613">
        <v>45.694565750921086</v>
      </c>
      <c r="Q223" s="613">
        <v>0</v>
      </c>
      <c r="R223" s="613">
        <v>0</v>
      </c>
      <c r="S223" s="613">
        <v>8.8187499999178112</v>
      </c>
      <c r="T223" s="613">
        <v>71.668518554839707</v>
      </c>
      <c r="U223" s="613">
        <v>1.8312707461125663</v>
      </c>
      <c r="V223" s="613">
        <v>167.58037418148072</v>
      </c>
      <c r="W223" s="613">
        <v>29.293864289346555</v>
      </c>
      <c r="X223" s="613">
        <v>0</v>
      </c>
      <c r="Y223" s="621">
        <v>394.17624591605716</v>
      </c>
      <c r="Z223" s="51"/>
      <c r="AA223" s="622" t="e" cm="1">
        <f t="array" aca="1" ref="AA223" ca="1">_xlfn.IFNA(INDEX(#REF!,MATCH(INDIRECT("Codes_bilans!"&amp;AA$1&amp;"$"&amp;$A223),#REF!,0),MATCH($B223,#REF!,0)),0)</f>
        <v>#REF!</v>
      </c>
      <c r="AB223" s="67"/>
    </row>
    <row r="224" spans="1:28">
      <c r="A224" s="51" t="e">
        <f t="shared" si="28"/>
        <v>#REF!</v>
      </c>
      <c r="B224" s="51">
        <f t="shared" si="29"/>
        <v>2030</v>
      </c>
      <c r="C224" s="51" t="str">
        <f t="shared" si="29"/>
        <v>AMS</v>
      </c>
      <c r="D224" s="51" t="s">
        <v>515</v>
      </c>
      <c r="E224" s="51" t="e">
        <f>VLOOKUP($H$6,#REF!,2,FALSE)</f>
        <v>#REF!</v>
      </c>
      <c r="F224" s="51"/>
      <c r="G224" s="620" t="s">
        <v>81</v>
      </c>
      <c r="H224" s="613">
        <v>0</v>
      </c>
      <c r="I224" s="613">
        <v>0</v>
      </c>
      <c r="J224" s="613">
        <v>5.9743988488591224</v>
      </c>
      <c r="K224" s="613">
        <v>0</v>
      </c>
      <c r="L224" s="613">
        <v>27.969082753856803</v>
      </c>
      <c r="M224" s="613">
        <v>0</v>
      </c>
      <c r="N224" s="613">
        <v>0</v>
      </c>
      <c r="O224" s="613">
        <v>0</v>
      </c>
      <c r="P224" s="613">
        <v>0.46314310358360405</v>
      </c>
      <c r="Q224" s="613">
        <v>5.3454570882310241E-4</v>
      </c>
      <c r="R224" s="613">
        <v>0</v>
      </c>
      <c r="S224" s="613">
        <v>3.8139658300713819</v>
      </c>
      <c r="T224" s="613">
        <v>16.00449528116604</v>
      </c>
      <c r="U224" s="613">
        <v>0.86463956078668247</v>
      </c>
      <c r="V224" s="613">
        <v>100.94959269616226</v>
      </c>
      <c r="W224" s="613">
        <v>18.690596972952971</v>
      </c>
      <c r="X224" s="613">
        <v>0</v>
      </c>
      <c r="Y224" s="621">
        <v>174.73044959314768</v>
      </c>
      <c r="Z224" s="51"/>
      <c r="AA224" s="622" t="e" cm="1">
        <f t="array" aca="1" ref="AA224" ca="1">_xlfn.IFNA(INDEX(#REF!,MATCH(INDIRECT("Codes_bilans!"&amp;AA$1&amp;"$"&amp;$A224),#REF!,0),MATCH($B224,#REF!,0)),0)</f>
        <v>#REF!</v>
      </c>
      <c r="AB224" s="51"/>
    </row>
    <row r="225" spans="1:28">
      <c r="A225" s="51" t="e">
        <f t="shared" si="28"/>
        <v>#REF!</v>
      </c>
      <c r="B225" s="51">
        <f t="shared" si="29"/>
        <v>2030</v>
      </c>
      <c r="C225" s="51" t="str">
        <f t="shared" si="29"/>
        <v>AMS</v>
      </c>
      <c r="D225" s="51" t="s">
        <v>516</v>
      </c>
      <c r="E225" s="51" t="e">
        <f>VLOOKUP($H$6,#REF!,2,FALSE)</f>
        <v>#REF!</v>
      </c>
      <c r="F225" s="51"/>
      <c r="G225" s="620" t="s">
        <v>82</v>
      </c>
      <c r="H225" s="613">
        <v>0</v>
      </c>
      <c r="I225" s="613">
        <v>0</v>
      </c>
      <c r="J225" s="613">
        <v>27.024104246708042</v>
      </c>
      <c r="K225" s="613">
        <v>0</v>
      </c>
      <c r="L225" s="613">
        <v>1.735774540709758</v>
      </c>
      <c r="M225" s="613">
        <v>0</v>
      </c>
      <c r="N225" s="613">
        <v>0</v>
      </c>
      <c r="O225" s="613">
        <v>0</v>
      </c>
      <c r="P225" s="613">
        <v>2.1723993471697325</v>
      </c>
      <c r="Q225" s="613">
        <v>0</v>
      </c>
      <c r="R225" s="613">
        <v>4.6410977021219679</v>
      </c>
      <c r="S225" s="613">
        <v>0.23669652827860335</v>
      </c>
      <c r="T225" s="613">
        <v>0.5</v>
      </c>
      <c r="U225" s="613">
        <v>0.62518456969816016</v>
      </c>
      <c r="V225" s="613">
        <v>7.6640280422278524</v>
      </c>
      <c r="W225" s="613">
        <v>0</v>
      </c>
      <c r="X225" s="613">
        <v>0.17366238047171115</v>
      </c>
      <c r="Y225" s="621">
        <v>44.772947357385839</v>
      </c>
      <c r="Z225" s="51"/>
      <c r="AA225" s="622" t="e" cm="1">
        <f t="array" aca="1" ref="AA225" ca="1">_xlfn.IFNA(INDEX(#REF!,MATCH(INDIRECT("Codes_bilans!"&amp;AA$1&amp;"$"&amp;$A225),#REF!,0),MATCH($B225,#REF!,0)),0)</f>
        <v>#REF!</v>
      </c>
      <c r="AB225" s="51"/>
    </row>
    <row r="226" spans="1:28">
      <c r="A226" s="51" t="e">
        <f t="shared" si="28"/>
        <v>#REF!</v>
      </c>
      <c r="B226" s="51">
        <f t="shared" si="29"/>
        <v>2030</v>
      </c>
      <c r="C226" s="51" t="str">
        <f t="shared" si="29"/>
        <v>AMS</v>
      </c>
      <c r="D226" s="51" t="s">
        <v>517</v>
      </c>
      <c r="E226" s="51" t="e">
        <f>VLOOKUP($H$6,#REF!,2,FALSE)</f>
        <v>#REF!</v>
      </c>
      <c r="F226" s="51"/>
      <c r="G226" s="620" t="s">
        <v>357</v>
      </c>
      <c r="H226" s="613">
        <v>0</v>
      </c>
      <c r="I226" s="613">
        <v>0</v>
      </c>
      <c r="J226" s="613">
        <v>0</v>
      </c>
      <c r="K226" s="613">
        <v>0</v>
      </c>
      <c r="L226" s="613">
        <v>0</v>
      </c>
      <c r="M226" s="613">
        <v>0</v>
      </c>
      <c r="N226" s="613">
        <v>0</v>
      </c>
      <c r="O226" s="613">
        <v>0</v>
      </c>
      <c r="P226" s="613">
        <v>0</v>
      </c>
      <c r="Q226" s="613">
        <v>0</v>
      </c>
      <c r="R226" s="613">
        <v>0</v>
      </c>
      <c r="S226" s="613">
        <v>0</v>
      </c>
      <c r="T226" s="613">
        <v>0</v>
      </c>
      <c r="U226" s="613">
        <v>0</v>
      </c>
      <c r="V226" s="613">
        <v>0</v>
      </c>
      <c r="W226" s="613">
        <v>0</v>
      </c>
      <c r="X226" s="613">
        <v>0</v>
      </c>
      <c r="Y226" s="621">
        <v>0</v>
      </c>
      <c r="Z226" s="51"/>
      <c r="AA226" s="622" t="e" cm="1">
        <f t="array" aca="1" ref="AA226" ca="1">_xlfn.IFNA(INDEX(#REF!,MATCH(INDIRECT("Codes_bilans!"&amp;AA$1&amp;"$"&amp;$A226),#REF!,0),MATCH($B226,#REF!,0)),0)</f>
        <v>#REF!</v>
      </c>
      <c r="AB226" s="51"/>
    </row>
    <row r="227" spans="1:28">
      <c r="A227" s="51" t="e">
        <f t="shared" si="28"/>
        <v>#REF!</v>
      </c>
      <c r="B227" s="51">
        <f t="shared" si="29"/>
        <v>2030</v>
      </c>
      <c r="C227" s="51" t="str">
        <f t="shared" si="29"/>
        <v>AMS</v>
      </c>
      <c r="D227" s="51" t="s">
        <v>518</v>
      </c>
      <c r="E227" s="51" t="e">
        <f>VLOOKUP($H$6,#REF!,2,FALSE)</f>
        <v>#REF!</v>
      </c>
      <c r="F227" s="51"/>
      <c r="G227" s="616" t="s">
        <v>83</v>
      </c>
      <c r="H227" s="617">
        <v>3.4252792556992748</v>
      </c>
      <c r="I227" s="617">
        <v>0</v>
      </c>
      <c r="J227" s="617">
        <v>349.60583212296103</v>
      </c>
      <c r="K227" s="617">
        <v>0.15795207154289831</v>
      </c>
      <c r="L227" s="624">
        <v>172.76216455677479</v>
      </c>
      <c r="M227" s="617">
        <v>0</v>
      </c>
      <c r="N227" s="617">
        <v>0</v>
      </c>
      <c r="O227" s="617">
        <v>0</v>
      </c>
      <c r="P227" s="617">
        <v>68.752525210958311</v>
      </c>
      <c r="Q227" s="617">
        <v>2.603394514000632</v>
      </c>
      <c r="R227" s="617">
        <v>42.151956849115138</v>
      </c>
      <c r="S227" s="617">
        <v>23.585843921560677</v>
      </c>
      <c r="T227" s="617">
        <v>91.581907146552624</v>
      </c>
      <c r="U227" s="617">
        <v>3.3216527964301883</v>
      </c>
      <c r="V227" s="617">
        <v>432.49780149630931</v>
      </c>
      <c r="W227" s="617">
        <v>65.97130755559688</v>
      </c>
      <c r="X227" s="617">
        <v>2.8810587741761626</v>
      </c>
      <c r="Y227" s="617">
        <v>1259.2986762716782</v>
      </c>
      <c r="Z227" s="51"/>
      <c r="AA227" s="51"/>
      <c r="AB227" s="51"/>
    </row>
    <row r="228" spans="1:28">
      <c r="A228" s="51" t="e">
        <f t="shared" si="28"/>
        <v>#REF!</v>
      </c>
      <c r="B228" s="51">
        <f t="shared" si="29"/>
        <v>2030</v>
      </c>
      <c r="C228" s="51" t="str">
        <f t="shared" si="29"/>
        <v>AMS</v>
      </c>
      <c r="D228" s="51" t="s">
        <v>519</v>
      </c>
      <c r="E228" s="51" t="e">
        <f>VLOOKUP($H$6,#REF!,2,FALSE)</f>
        <v>#REF!</v>
      </c>
      <c r="F228" s="51"/>
      <c r="G228" s="612" t="s">
        <v>84</v>
      </c>
      <c r="H228" s="613">
        <v>0</v>
      </c>
      <c r="I228" s="613">
        <v>0</v>
      </c>
      <c r="J228" s="613">
        <v>95.324260386983326</v>
      </c>
      <c r="K228" s="613">
        <v>1.5048882455619152</v>
      </c>
      <c r="L228" s="613">
        <v>10.356262080325934</v>
      </c>
      <c r="M228" s="613">
        <v>0</v>
      </c>
      <c r="N228" s="613">
        <v>0</v>
      </c>
      <c r="O228" s="613">
        <v>0</v>
      </c>
      <c r="P228" s="613">
        <v>0.11775416529838639</v>
      </c>
      <c r="Q228" s="613">
        <v>0</v>
      </c>
      <c r="R228" s="613">
        <v>8.0702977228109543</v>
      </c>
      <c r="S228" s="613">
        <v>0.98433711774094745</v>
      </c>
      <c r="T228" s="613">
        <v>0</v>
      </c>
      <c r="U228" s="613">
        <v>0</v>
      </c>
      <c r="V228" s="613">
        <v>0</v>
      </c>
      <c r="W228" s="613">
        <v>0</v>
      </c>
      <c r="X228" s="613">
        <v>9.4804311672852979</v>
      </c>
      <c r="Y228" s="621">
        <v>125.83823088600677</v>
      </c>
      <c r="Z228" s="51"/>
      <c r="AA228" s="622" t="e" cm="1">
        <f t="array" aca="1" ref="AA228" ca="1">_xlfn.IFNA(INDEX(#REF!,MATCH(INDIRECT("Codes_bilans!"&amp;AA$1&amp;"$"&amp;$A228),#REF!,0),MATCH($B228,#REF!,0)),0)</f>
        <v>#REF!</v>
      </c>
      <c r="AB228" s="51"/>
    </row>
    <row r="229" spans="1:28">
      <c r="A229" s="51" t="e">
        <f t="shared" si="28"/>
        <v>#REF!</v>
      </c>
      <c r="B229" s="51">
        <f t="shared" si="29"/>
        <v>2030</v>
      </c>
      <c r="C229" s="51" t="str">
        <f t="shared" si="29"/>
        <v>AMS</v>
      </c>
      <c r="D229" s="51" t="s">
        <v>520</v>
      </c>
      <c r="E229" s="51" t="e">
        <f>VLOOKUP($H$6,#REF!,2,FALSE)</f>
        <v>#REF!</v>
      </c>
      <c r="F229" s="51"/>
      <c r="G229" s="616" t="s">
        <v>85</v>
      </c>
      <c r="H229" s="617">
        <v>3.4252792556992748</v>
      </c>
      <c r="I229" s="617">
        <v>0</v>
      </c>
      <c r="J229" s="617">
        <v>444.9300925099443</v>
      </c>
      <c r="K229" s="617">
        <v>1.6628403171048136</v>
      </c>
      <c r="L229" s="624">
        <v>183.11842663710073</v>
      </c>
      <c r="M229" s="617">
        <v>0</v>
      </c>
      <c r="N229" s="617">
        <v>0</v>
      </c>
      <c r="O229" s="617">
        <v>0</v>
      </c>
      <c r="P229" s="617">
        <v>68.870279376256704</v>
      </c>
      <c r="Q229" s="617">
        <v>2.603394514000632</v>
      </c>
      <c r="R229" s="617">
        <v>50.222254571926094</v>
      </c>
      <c r="S229" s="617">
        <v>24.570181039301623</v>
      </c>
      <c r="T229" s="617">
        <v>91.581907146552624</v>
      </c>
      <c r="U229" s="617">
        <v>3.3216527964301883</v>
      </c>
      <c r="V229" s="617">
        <v>432.49780149630931</v>
      </c>
      <c r="W229" s="617">
        <v>65.97130755559688</v>
      </c>
      <c r="X229" s="617">
        <v>12.361489941461461</v>
      </c>
      <c r="Y229" s="617">
        <v>1385.1369071576848</v>
      </c>
      <c r="Z229" s="51"/>
      <c r="AA229" s="51"/>
      <c r="AB229" s="51"/>
    </row>
    <row r="230" spans="1:28">
      <c r="A230" s="51"/>
      <c r="B230" s="51"/>
      <c r="C230" s="51"/>
      <c r="D230" s="51"/>
      <c r="E230" s="51"/>
      <c r="F230" s="51"/>
      <c r="G230" s="51"/>
      <c r="H230" s="67">
        <v>0</v>
      </c>
      <c r="I230" s="67">
        <v>0</v>
      </c>
      <c r="J230" s="67">
        <v>-1.6342482922482304E-13</v>
      </c>
      <c r="K230" s="67">
        <v>-1.1102230246251565E-16</v>
      </c>
      <c r="L230" s="67">
        <v>0</v>
      </c>
      <c r="M230" s="67">
        <v>0</v>
      </c>
      <c r="N230" s="67">
        <v>0</v>
      </c>
      <c r="O230" s="67">
        <v>0</v>
      </c>
      <c r="P230" s="67">
        <v>0</v>
      </c>
      <c r="Q230" s="67">
        <v>0</v>
      </c>
      <c r="R230" s="67">
        <v>-4.0337644107011572</v>
      </c>
      <c r="S230" s="67">
        <v>-4.801714581503802E-15</v>
      </c>
      <c r="T230" s="67">
        <v>0</v>
      </c>
      <c r="U230" s="67">
        <v>0</v>
      </c>
      <c r="V230" s="67">
        <v>-1.7053025658242404E-13</v>
      </c>
      <c r="W230" s="67">
        <v>1.4210854715202004E-14</v>
      </c>
      <c r="X230" s="67">
        <v>0</v>
      </c>
      <c r="Y230" s="67">
        <v>-4.0337644107016786</v>
      </c>
      <c r="Z230" s="51"/>
      <c r="AA230" s="51"/>
      <c r="AB230" s="51"/>
    </row>
    <row r="231" spans="1:28">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row>
    <row r="232" spans="1:28">
      <c r="A232" s="608"/>
      <c r="B232" s="608"/>
      <c r="C232" s="608"/>
      <c r="D232" s="608"/>
      <c r="E232" s="608"/>
      <c r="F232" s="608"/>
      <c r="G232" s="609" t="s">
        <v>360</v>
      </c>
      <c r="H232" s="608"/>
      <c r="I232" s="608"/>
      <c r="J232" s="608"/>
      <c r="K232" s="608"/>
      <c r="L232" s="608"/>
      <c r="M232" s="608"/>
      <c r="N232" s="608"/>
      <c r="O232" s="608"/>
      <c r="P232" s="608"/>
      <c r="Q232" s="608"/>
      <c r="R232" s="608"/>
      <c r="S232" s="608"/>
      <c r="T232" s="608"/>
      <c r="U232" s="608"/>
      <c r="V232" s="608"/>
      <c r="W232" s="608"/>
      <c r="X232" s="608"/>
      <c r="Y232" s="608"/>
      <c r="Z232" s="608"/>
      <c r="AA232" s="608"/>
      <c r="AB232" s="608"/>
    </row>
    <row r="233" spans="1:28">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row>
    <row r="234" spans="1:28" ht="14.25" customHeight="1">
      <c r="A234" s="51"/>
      <c r="B234" s="51"/>
      <c r="C234" s="51"/>
      <c r="D234" s="51"/>
      <c r="E234" s="51"/>
      <c r="F234" s="51"/>
      <c r="G234" s="713" t="s">
        <v>128</v>
      </c>
      <c r="H234" s="711" t="s">
        <v>42</v>
      </c>
      <c r="I234" s="711" t="s">
        <v>52</v>
      </c>
      <c r="J234" s="711" t="s">
        <v>53</v>
      </c>
      <c r="K234" s="711" t="s">
        <v>487</v>
      </c>
      <c r="L234" s="711" t="s">
        <v>32</v>
      </c>
      <c r="M234" s="711" t="s">
        <v>488</v>
      </c>
      <c r="N234" s="711" t="s">
        <v>20</v>
      </c>
      <c r="O234" s="711" t="s">
        <v>55</v>
      </c>
      <c r="P234" s="715" t="s">
        <v>56</v>
      </c>
      <c r="Q234" s="716"/>
      <c r="R234" s="716"/>
      <c r="S234" s="716"/>
      <c r="T234" s="716"/>
      <c r="U234" s="717"/>
      <c r="V234" s="711" t="s">
        <v>57</v>
      </c>
      <c r="W234" s="711" t="s">
        <v>58</v>
      </c>
      <c r="X234" s="711" t="s">
        <v>31</v>
      </c>
      <c r="Y234" s="711" t="s">
        <v>10</v>
      </c>
      <c r="Z234" s="51"/>
      <c r="AA234" s="51"/>
      <c r="AB234" s="51"/>
    </row>
    <row r="235" spans="1:28" ht="24">
      <c r="A235" s="51"/>
      <c r="B235" s="51"/>
      <c r="C235" s="51"/>
      <c r="D235" s="51" t="s">
        <v>491</v>
      </c>
      <c r="E235" s="51"/>
      <c r="F235" s="51"/>
      <c r="G235" s="714"/>
      <c r="H235" s="712"/>
      <c r="I235" s="712"/>
      <c r="J235" s="712"/>
      <c r="K235" s="712"/>
      <c r="L235" s="712"/>
      <c r="M235" s="712"/>
      <c r="N235" s="712"/>
      <c r="O235" s="712"/>
      <c r="P235" s="610" t="s">
        <v>338</v>
      </c>
      <c r="Q235" s="610" t="s">
        <v>40</v>
      </c>
      <c r="R235" s="610" t="s">
        <v>346</v>
      </c>
      <c r="S235" s="610" t="s">
        <v>347</v>
      </c>
      <c r="T235" s="611" t="s">
        <v>348</v>
      </c>
      <c r="U235" s="610" t="s">
        <v>349</v>
      </c>
      <c r="V235" s="712"/>
      <c r="W235" s="712"/>
      <c r="X235" s="712"/>
      <c r="Y235" s="712"/>
      <c r="Z235" s="51"/>
      <c r="AA235" s="51"/>
      <c r="AB235" s="51"/>
    </row>
    <row r="236" spans="1:28">
      <c r="A236" s="51" t="e">
        <f>A199</f>
        <v>#REF!</v>
      </c>
      <c r="B236" s="51">
        <v>2033</v>
      </c>
      <c r="C236" s="51" t="s">
        <v>47</v>
      </c>
      <c r="D236" s="51" t="s">
        <v>492</v>
      </c>
      <c r="E236" s="51" t="e">
        <f>VLOOKUP($H$6,#REF!,2,FALSE)</f>
        <v>#REF!</v>
      </c>
      <c r="F236" s="51"/>
      <c r="G236" s="612" t="s">
        <v>59</v>
      </c>
      <c r="H236" s="613">
        <v>0</v>
      </c>
      <c r="I236" s="613">
        <v>7.3966799999999999</v>
      </c>
      <c r="J236" s="613">
        <v>0</v>
      </c>
      <c r="K236" s="613">
        <v>0</v>
      </c>
      <c r="L236" s="613">
        <v>0.13025600000000001</v>
      </c>
      <c r="M236" s="613">
        <v>0</v>
      </c>
      <c r="N236" s="614">
        <v>1029.1558581818183</v>
      </c>
      <c r="O236" s="614">
        <v>252.71345318084585</v>
      </c>
      <c r="P236" s="614">
        <v>255.68410652130109</v>
      </c>
      <c r="Q236" s="614">
        <v>27.770997573910321</v>
      </c>
      <c r="R236" s="613">
        <v>1.4753548538560814</v>
      </c>
      <c r="S236" s="613">
        <v>0.15089220372740705</v>
      </c>
      <c r="T236" s="614">
        <v>105.39487042391544</v>
      </c>
      <c r="U236" s="614">
        <v>15.052128201204939</v>
      </c>
      <c r="V236" s="613">
        <v>0</v>
      </c>
      <c r="W236" s="613">
        <v>0</v>
      </c>
      <c r="X236" s="613">
        <v>0</v>
      </c>
      <c r="Y236" s="615">
        <v>1694.9245971405794</v>
      </c>
      <c r="Z236" s="51"/>
      <c r="AA236" s="51"/>
      <c r="AB236" s="51"/>
    </row>
    <row r="237" spans="1:28">
      <c r="A237" s="51" t="e">
        <f t="shared" ref="A237:A242" si="30">A236+1</f>
        <v>#REF!</v>
      </c>
      <c r="B237" s="51">
        <f t="shared" ref="B237:C242" si="31">B236</f>
        <v>2033</v>
      </c>
      <c r="C237" s="51" t="str">
        <f t="shared" si="31"/>
        <v>AMS</v>
      </c>
      <c r="D237" s="51" t="s">
        <v>493</v>
      </c>
      <c r="E237" s="51" t="e">
        <f>VLOOKUP($H$6,#REF!,2,FALSE)</f>
        <v>#REF!</v>
      </c>
      <c r="F237" s="51"/>
      <c r="G237" s="612" t="s">
        <v>60</v>
      </c>
      <c r="H237" s="613">
        <v>17.481730816264069</v>
      </c>
      <c r="I237" s="613">
        <v>368.30859161745235</v>
      </c>
      <c r="J237" s="613">
        <v>88.290951016716463</v>
      </c>
      <c r="K237" s="613">
        <v>0.96271456308499825</v>
      </c>
      <c r="L237" s="613">
        <v>191.03063115534553</v>
      </c>
      <c r="M237" s="613">
        <v>0</v>
      </c>
      <c r="N237" s="613">
        <v>0</v>
      </c>
      <c r="O237" s="613">
        <v>0</v>
      </c>
      <c r="P237" s="613">
        <v>3.0227324829465219</v>
      </c>
      <c r="Q237" s="613">
        <v>0</v>
      </c>
      <c r="R237" s="613">
        <v>3.4911647532197585</v>
      </c>
      <c r="S237" s="613">
        <v>0</v>
      </c>
      <c r="T237" s="613">
        <v>0</v>
      </c>
      <c r="U237" s="613">
        <v>0</v>
      </c>
      <c r="V237" s="613">
        <v>0</v>
      </c>
      <c r="W237" s="613">
        <v>0</v>
      </c>
      <c r="X237" s="613">
        <v>0</v>
      </c>
      <c r="Y237" s="615">
        <v>672.58851640502974</v>
      </c>
      <c r="Z237" s="51"/>
      <c r="AA237" s="51"/>
      <c r="AB237" s="51"/>
    </row>
    <row r="238" spans="1:28">
      <c r="A238" s="51" t="e">
        <f t="shared" si="30"/>
        <v>#REF!</v>
      </c>
      <c r="B238" s="51">
        <f t="shared" si="31"/>
        <v>2033</v>
      </c>
      <c r="C238" s="51" t="str">
        <f t="shared" si="31"/>
        <v>AMS</v>
      </c>
      <c r="D238" s="51" t="s">
        <v>494</v>
      </c>
      <c r="E238" s="51" t="e">
        <f>VLOOKUP($H$6,#REF!,2,FALSE)</f>
        <v>#REF!</v>
      </c>
      <c r="F238" s="51"/>
      <c r="G238" s="612" t="s">
        <v>61</v>
      </c>
      <c r="H238" s="613">
        <v>0</v>
      </c>
      <c r="I238" s="613">
        <v>0</v>
      </c>
      <c r="J238" s="613">
        <v>-0.25412033446216642</v>
      </c>
      <c r="K238" s="613">
        <v>0</v>
      </c>
      <c r="L238" s="613">
        <v>0</v>
      </c>
      <c r="M238" s="613">
        <v>0</v>
      </c>
      <c r="N238" s="613">
        <v>0</v>
      </c>
      <c r="O238" s="613">
        <v>0</v>
      </c>
      <c r="P238" s="613">
        <v>0</v>
      </c>
      <c r="Q238" s="613">
        <v>0</v>
      </c>
      <c r="R238" s="613">
        <v>0</v>
      </c>
      <c r="S238" s="613">
        <v>0</v>
      </c>
      <c r="T238" s="613">
        <v>0</v>
      </c>
      <c r="U238" s="613">
        <v>0</v>
      </c>
      <c r="V238" s="613">
        <v>-72.449875026853533</v>
      </c>
      <c r="W238" s="613">
        <v>0</v>
      </c>
      <c r="X238" s="613">
        <v>0</v>
      </c>
      <c r="Y238" s="615">
        <v>-72.703995361315705</v>
      </c>
      <c r="Z238" s="51"/>
      <c r="AA238" s="51"/>
      <c r="AB238" s="51"/>
    </row>
    <row r="239" spans="1:28">
      <c r="A239" s="51" t="e">
        <f t="shared" si="30"/>
        <v>#REF!</v>
      </c>
      <c r="B239" s="51">
        <f t="shared" si="31"/>
        <v>2033</v>
      </c>
      <c r="C239" s="51" t="str">
        <f t="shared" si="31"/>
        <v>AMS</v>
      </c>
      <c r="D239" s="51" t="s">
        <v>495</v>
      </c>
      <c r="E239" s="51" t="e">
        <f>VLOOKUP($H$6,#REF!,2,FALSE)</f>
        <v>#REF!</v>
      </c>
      <c r="F239" s="51"/>
      <c r="G239" s="612" t="s">
        <v>62</v>
      </c>
      <c r="H239" s="613">
        <v>0</v>
      </c>
      <c r="I239" s="613">
        <v>0</v>
      </c>
      <c r="J239" s="613">
        <v>-14.25530176013427</v>
      </c>
      <c r="K239" s="613">
        <v>-0.84519248028876315</v>
      </c>
      <c r="L239" s="613">
        <v>-3.1313337287141003</v>
      </c>
      <c r="M239" s="613">
        <v>0</v>
      </c>
      <c r="N239" s="613">
        <v>0</v>
      </c>
      <c r="O239" s="613">
        <v>0</v>
      </c>
      <c r="P239" s="613">
        <v>0</v>
      </c>
      <c r="Q239" s="613">
        <v>0</v>
      </c>
      <c r="R239" s="613">
        <v>-0.51271510605917692</v>
      </c>
      <c r="S239" s="613">
        <v>-0.83237985193665964</v>
      </c>
      <c r="T239" s="613">
        <v>0</v>
      </c>
      <c r="U239" s="613">
        <v>0</v>
      </c>
      <c r="V239" s="613">
        <v>0</v>
      </c>
      <c r="W239" s="613">
        <v>0</v>
      </c>
      <c r="X239" s="613">
        <v>0</v>
      </c>
      <c r="Y239" s="615">
        <v>-19.576922927132969</v>
      </c>
      <c r="Z239" s="51"/>
      <c r="AA239" s="51"/>
      <c r="AB239" s="51"/>
    </row>
    <row r="240" spans="1:28">
      <c r="A240" s="51" t="e">
        <f t="shared" si="30"/>
        <v>#REF!</v>
      </c>
      <c r="B240" s="51">
        <f t="shared" si="31"/>
        <v>2033</v>
      </c>
      <c r="C240" s="51" t="str">
        <f t="shared" si="31"/>
        <v>AMS</v>
      </c>
      <c r="D240" s="51" t="s">
        <v>496</v>
      </c>
      <c r="E240" s="51" t="e">
        <f>VLOOKUP($H$6,#REF!,2,FALSE)</f>
        <v>#REF!</v>
      </c>
      <c r="F240" s="51"/>
      <c r="G240" s="612" t="s">
        <v>63</v>
      </c>
      <c r="H240" s="613">
        <v>0</v>
      </c>
      <c r="I240" s="613">
        <v>0</v>
      </c>
      <c r="J240" s="613">
        <v>-65.50346802559632</v>
      </c>
      <c r="K240" s="613">
        <v>-2.6636790811189917</v>
      </c>
      <c r="L240" s="613">
        <v>0</v>
      </c>
      <c r="M240" s="613">
        <v>0</v>
      </c>
      <c r="N240" s="613">
        <v>0</v>
      </c>
      <c r="O240" s="613">
        <v>0</v>
      </c>
      <c r="P240" s="613">
        <v>0</v>
      </c>
      <c r="Q240" s="613">
        <v>0</v>
      </c>
      <c r="R240" s="613">
        <v>-8.704547136030067</v>
      </c>
      <c r="S240" s="613">
        <v>0</v>
      </c>
      <c r="T240" s="613">
        <v>0</v>
      </c>
      <c r="U240" s="613">
        <v>0</v>
      </c>
      <c r="V240" s="613">
        <v>0</v>
      </c>
      <c r="W240" s="613">
        <v>0</v>
      </c>
      <c r="X240" s="613">
        <v>-8.5933245803094055E-2</v>
      </c>
      <c r="Y240" s="615">
        <v>-76.957627488548468</v>
      </c>
      <c r="Z240" s="51"/>
      <c r="AA240" s="51"/>
      <c r="AB240" s="51"/>
    </row>
    <row r="241" spans="1:28">
      <c r="A241" s="51" t="e">
        <f t="shared" si="30"/>
        <v>#REF!</v>
      </c>
      <c r="B241" s="51">
        <f t="shared" si="31"/>
        <v>2033</v>
      </c>
      <c r="C241" s="51" t="str">
        <f t="shared" si="31"/>
        <v>AMS</v>
      </c>
      <c r="D241" s="51" t="s">
        <v>497</v>
      </c>
      <c r="E241" s="51" t="e">
        <f>VLOOKUP($H$6,#REF!,2,FALSE)</f>
        <v>#REF!</v>
      </c>
      <c r="F241" s="51"/>
      <c r="G241" s="612" t="s">
        <v>64</v>
      </c>
      <c r="H241" s="613">
        <v>0</v>
      </c>
      <c r="I241" s="613">
        <v>0</v>
      </c>
      <c r="J241" s="613">
        <v>0</v>
      </c>
      <c r="K241" s="613">
        <v>0</v>
      </c>
      <c r="L241" s="613">
        <v>0</v>
      </c>
      <c r="M241" s="613">
        <v>0</v>
      </c>
      <c r="N241" s="613">
        <v>0</v>
      </c>
      <c r="O241" s="613">
        <v>0</v>
      </c>
      <c r="P241" s="613">
        <v>0</v>
      </c>
      <c r="Q241" s="613">
        <v>0</v>
      </c>
      <c r="R241" s="613">
        <v>0</v>
      </c>
      <c r="S241" s="613">
        <v>0</v>
      </c>
      <c r="T241" s="613">
        <v>0</v>
      </c>
      <c r="U241" s="613">
        <v>0</v>
      </c>
      <c r="V241" s="613">
        <v>0</v>
      </c>
      <c r="W241" s="613">
        <v>0</v>
      </c>
      <c r="X241" s="613">
        <v>0</v>
      </c>
      <c r="Y241" s="615">
        <v>0</v>
      </c>
      <c r="Z241" s="51"/>
      <c r="AA241" s="51"/>
      <c r="AB241" s="51"/>
    </row>
    <row r="242" spans="1:28">
      <c r="A242" s="51" t="e">
        <f t="shared" si="30"/>
        <v>#REF!</v>
      </c>
      <c r="B242" s="51">
        <f t="shared" si="31"/>
        <v>2033</v>
      </c>
      <c r="C242" s="51" t="str">
        <f t="shared" si="31"/>
        <v>AMS</v>
      </c>
      <c r="D242" s="51" t="s">
        <v>498</v>
      </c>
      <c r="E242" s="51" t="e">
        <f>VLOOKUP($H$6,#REF!,2,FALSE)</f>
        <v>#REF!</v>
      </c>
      <c r="F242" s="51"/>
      <c r="G242" s="616" t="s">
        <v>65</v>
      </c>
      <c r="H242" s="617">
        <v>17.481730816264069</v>
      </c>
      <c r="I242" s="617">
        <v>375.70527161745235</v>
      </c>
      <c r="J242" s="617">
        <v>8.2780608965236979</v>
      </c>
      <c r="K242" s="617">
        <v>-2.5461569983227568</v>
      </c>
      <c r="L242" s="624">
        <v>188.02955342663142</v>
      </c>
      <c r="M242" s="617">
        <v>0</v>
      </c>
      <c r="N242" s="617">
        <v>1029.1558581818183</v>
      </c>
      <c r="O242" s="617">
        <v>252.71345318084585</v>
      </c>
      <c r="P242" s="617">
        <v>258.70683900424763</v>
      </c>
      <c r="Q242" s="617">
        <v>27.770997573910321</v>
      </c>
      <c r="R242" s="617">
        <v>-4.2507426350134043</v>
      </c>
      <c r="S242" s="617">
        <v>-0.68148764820925256</v>
      </c>
      <c r="T242" s="617">
        <v>105.39487042391544</v>
      </c>
      <c r="U242" s="617">
        <v>15.052128201204939</v>
      </c>
      <c r="V242" s="617">
        <v>-72.449875026853533</v>
      </c>
      <c r="W242" s="617">
        <v>0</v>
      </c>
      <c r="X242" s="617">
        <v>-8.5933245803094055E-2</v>
      </c>
      <c r="Y242" s="617">
        <v>2198.2745677686121</v>
      </c>
      <c r="Z242" s="51"/>
      <c r="AA242" s="51"/>
      <c r="AB242" s="51"/>
    </row>
    <row r="243" spans="1:28">
      <c r="A243" s="51"/>
      <c r="B243" s="51"/>
      <c r="C243" s="51"/>
      <c r="D243" s="51"/>
      <c r="E243" s="51"/>
      <c r="F243" s="51"/>
      <c r="G243" s="618"/>
      <c r="H243" s="619">
        <v>0</v>
      </c>
      <c r="I243" s="619">
        <v>0</v>
      </c>
      <c r="J243" s="619">
        <v>0</v>
      </c>
      <c r="K243" s="619">
        <v>0</v>
      </c>
      <c r="L243" s="625">
        <v>0</v>
      </c>
      <c r="M243" s="619">
        <v>0</v>
      </c>
      <c r="N243" s="619">
        <v>0</v>
      </c>
      <c r="O243" s="619">
        <v>0</v>
      </c>
      <c r="P243" s="619">
        <v>0</v>
      </c>
      <c r="Q243" s="619">
        <v>0</v>
      </c>
      <c r="R243" s="619">
        <v>0</v>
      </c>
      <c r="S243" s="619">
        <v>0</v>
      </c>
      <c r="T243" s="619">
        <v>0</v>
      </c>
      <c r="U243" s="619">
        <v>0</v>
      </c>
      <c r="V243" s="619">
        <v>0</v>
      </c>
      <c r="W243" s="619">
        <v>0</v>
      </c>
      <c r="X243" s="619">
        <v>0</v>
      </c>
      <c r="Y243" s="619">
        <v>0</v>
      </c>
      <c r="Z243" s="51"/>
      <c r="AA243" s="51"/>
      <c r="AB243" s="51"/>
    </row>
    <row r="244" spans="1:28">
      <c r="A244" s="51" t="e">
        <f>A242+2</f>
        <v>#REF!</v>
      </c>
      <c r="B244" s="51">
        <f>B242</f>
        <v>2033</v>
      </c>
      <c r="C244" s="51" t="str">
        <f>C242</f>
        <v>AMS</v>
      </c>
      <c r="D244" s="51" t="s">
        <v>499</v>
      </c>
      <c r="E244" s="51" t="e">
        <f>VLOOKUP($H$6,#REF!,2,FALSE)</f>
        <v>#REF!</v>
      </c>
      <c r="F244" s="51"/>
      <c r="G244" s="620" t="s">
        <v>67</v>
      </c>
      <c r="H244" s="613">
        <v>0</v>
      </c>
      <c r="I244" s="613">
        <v>0</v>
      </c>
      <c r="J244" s="613">
        <v>0</v>
      </c>
      <c r="K244" s="613">
        <v>0</v>
      </c>
      <c r="L244" s="613">
        <v>0</v>
      </c>
      <c r="M244" s="613">
        <v>0</v>
      </c>
      <c r="N244" s="613">
        <v>0</v>
      </c>
      <c r="O244" s="613">
        <v>0</v>
      </c>
      <c r="P244" s="613">
        <v>0</v>
      </c>
      <c r="Q244" s="613">
        <v>0</v>
      </c>
      <c r="R244" s="613">
        <v>0</v>
      </c>
      <c r="S244" s="613">
        <v>0</v>
      </c>
      <c r="T244" s="613">
        <v>0</v>
      </c>
      <c r="U244" s="613">
        <v>0</v>
      </c>
      <c r="V244" s="613">
        <v>0</v>
      </c>
      <c r="W244" s="613">
        <v>0</v>
      </c>
      <c r="X244" s="613">
        <v>0</v>
      </c>
      <c r="Y244" s="621">
        <v>0</v>
      </c>
      <c r="Z244" s="51"/>
      <c r="AA244" s="51"/>
      <c r="AB244" s="51"/>
    </row>
    <row r="245" spans="1:28">
      <c r="A245" s="51" t="e">
        <f t="shared" ref="A245:A256" si="32">A244+1</f>
        <v>#REF!</v>
      </c>
      <c r="B245" s="51">
        <f t="shared" ref="B245:C256" si="33">B244</f>
        <v>2033</v>
      </c>
      <c r="C245" s="51" t="str">
        <f t="shared" si="33"/>
        <v>AMS</v>
      </c>
      <c r="D245" s="51" t="s">
        <v>500</v>
      </c>
      <c r="E245" s="51" t="e">
        <f>VLOOKUP($H$6,#REF!,2,FALSE)</f>
        <v>#REF!</v>
      </c>
      <c r="F245" s="51"/>
      <c r="G245" s="620" t="s">
        <v>350</v>
      </c>
      <c r="H245" s="613">
        <v>0</v>
      </c>
      <c r="I245" s="613">
        <v>0</v>
      </c>
      <c r="J245" s="613">
        <v>0.79278558393774012</v>
      </c>
      <c r="K245" s="613">
        <v>0</v>
      </c>
      <c r="L245" s="613">
        <v>20.991236399526461</v>
      </c>
      <c r="M245" s="613">
        <v>0</v>
      </c>
      <c r="N245" s="613">
        <v>1029.1558581818183</v>
      </c>
      <c r="O245" s="613">
        <v>252.71345318084585</v>
      </c>
      <c r="P245" s="613">
        <v>27.925956196472111</v>
      </c>
      <c r="Q245" s="613">
        <v>10.379890035222726</v>
      </c>
      <c r="R245" s="613">
        <v>4.7819832265678626</v>
      </c>
      <c r="S245" s="613">
        <v>4.7138412807995014</v>
      </c>
      <c r="T245" s="613">
        <v>0</v>
      </c>
      <c r="U245" s="613">
        <v>1.6766395861963883</v>
      </c>
      <c r="V245" s="613">
        <v>-625.05316091305474</v>
      </c>
      <c r="W245" s="613">
        <v>0</v>
      </c>
      <c r="X245" s="613">
        <v>0</v>
      </c>
      <c r="Y245" s="621">
        <v>728.07848275833226</v>
      </c>
      <c r="Z245" s="51"/>
      <c r="AA245" s="51"/>
      <c r="AB245" s="51"/>
    </row>
    <row r="246" spans="1:28">
      <c r="A246" s="51" t="e">
        <f t="shared" si="32"/>
        <v>#REF!</v>
      </c>
      <c r="B246" s="51">
        <f t="shared" si="33"/>
        <v>2033</v>
      </c>
      <c r="C246" s="51" t="str">
        <f t="shared" si="33"/>
        <v>AMS</v>
      </c>
      <c r="D246" s="51" t="s">
        <v>501</v>
      </c>
      <c r="E246" s="51" t="e">
        <f>VLOOKUP($H$6,#REF!,2,FALSE)</f>
        <v>#REF!</v>
      </c>
      <c r="F246" s="51"/>
      <c r="G246" s="620" t="s">
        <v>351</v>
      </c>
      <c r="H246" s="613">
        <v>0</v>
      </c>
      <c r="I246" s="613">
        <v>0</v>
      </c>
      <c r="J246" s="613">
        <v>0</v>
      </c>
      <c r="K246" s="613">
        <v>0</v>
      </c>
      <c r="L246" s="613">
        <v>14.235464329282825</v>
      </c>
      <c r="M246" s="613">
        <v>0</v>
      </c>
      <c r="N246" s="613">
        <v>0</v>
      </c>
      <c r="O246" s="613">
        <v>0</v>
      </c>
      <c r="P246" s="613">
        <v>35.236777417757288</v>
      </c>
      <c r="Q246" s="613">
        <v>14.842062220534972</v>
      </c>
      <c r="R246" s="613">
        <v>0</v>
      </c>
      <c r="S246" s="613">
        <v>4.2657087375224645</v>
      </c>
      <c r="T246" s="613">
        <v>0</v>
      </c>
      <c r="U246" s="613">
        <v>9.4996550719303219</v>
      </c>
      <c r="V246" s="613">
        <v>0</v>
      </c>
      <c r="W246" s="613">
        <v>-71.457959708478597</v>
      </c>
      <c r="X246" s="613">
        <v>0</v>
      </c>
      <c r="Y246" s="621">
        <v>6.6217080685492906</v>
      </c>
      <c r="Z246" s="51"/>
      <c r="AA246" s="51"/>
      <c r="AB246" s="51"/>
    </row>
    <row r="247" spans="1:28">
      <c r="A247" s="51" t="e">
        <f t="shared" si="32"/>
        <v>#REF!</v>
      </c>
      <c r="B247" s="51">
        <f t="shared" si="33"/>
        <v>2033</v>
      </c>
      <c r="C247" s="51" t="str">
        <f t="shared" si="33"/>
        <v>AMS</v>
      </c>
      <c r="D247" s="51" t="s">
        <v>502</v>
      </c>
      <c r="E247" s="51" t="e">
        <f>VLOOKUP($H$6,#REF!,2,FALSE)</f>
        <v>#REF!</v>
      </c>
      <c r="F247" s="51"/>
      <c r="G247" s="620" t="s">
        <v>352</v>
      </c>
      <c r="H247" s="613">
        <v>0</v>
      </c>
      <c r="I247" s="613">
        <v>0</v>
      </c>
      <c r="J247" s="613">
        <v>0</v>
      </c>
      <c r="K247" s="613">
        <v>0</v>
      </c>
      <c r="L247" s="613">
        <v>0</v>
      </c>
      <c r="M247" s="613">
        <v>0</v>
      </c>
      <c r="N247" s="613">
        <v>0</v>
      </c>
      <c r="O247" s="613">
        <v>0</v>
      </c>
      <c r="P247" s="613">
        <v>54.491320741605719</v>
      </c>
      <c r="Q247" s="613">
        <v>0</v>
      </c>
      <c r="R247" s="613">
        <v>0</v>
      </c>
      <c r="S247" s="613">
        <v>-49.313224501826951</v>
      </c>
      <c r="T247" s="613">
        <v>0</v>
      </c>
      <c r="U247" s="613">
        <v>0</v>
      </c>
      <c r="V247" s="613">
        <v>0</v>
      </c>
      <c r="W247" s="613">
        <v>0</v>
      </c>
      <c r="X247" s="613">
        <v>0</v>
      </c>
      <c r="Y247" s="621">
        <v>5.1780962397787675</v>
      </c>
      <c r="Z247" s="51"/>
      <c r="AA247" s="51"/>
      <c r="AB247" s="51"/>
    </row>
    <row r="248" spans="1:28">
      <c r="A248" s="51" t="e">
        <f t="shared" si="32"/>
        <v>#REF!</v>
      </c>
      <c r="B248" s="51">
        <f t="shared" si="33"/>
        <v>2033</v>
      </c>
      <c r="C248" s="51" t="str">
        <f t="shared" si="33"/>
        <v>AMS</v>
      </c>
      <c r="D248" s="51" t="s">
        <v>503</v>
      </c>
      <c r="E248" s="51" t="e">
        <f>VLOOKUP($H$6,#REF!,2,FALSE)</f>
        <v>#REF!</v>
      </c>
      <c r="F248" s="51"/>
      <c r="G248" s="620" t="s">
        <v>353</v>
      </c>
      <c r="H248" s="613">
        <v>0</v>
      </c>
      <c r="I248" s="613">
        <v>0</v>
      </c>
      <c r="J248" s="613">
        <v>0</v>
      </c>
      <c r="K248" s="613">
        <v>0</v>
      </c>
      <c r="L248" s="613">
        <v>0</v>
      </c>
      <c r="M248" s="613">
        <v>0</v>
      </c>
      <c r="N248" s="613">
        <v>0</v>
      </c>
      <c r="O248" s="613">
        <v>0</v>
      </c>
      <c r="P248" s="613">
        <v>0</v>
      </c>
      <c r="Q248" s="613">
        <v>0</v>
      </c>
      <c r="R248" s="613">
        <v>0</v>
      </c>
      <c r="S248" s="613">
        <v>0</v>
      </c>
      <c r="T248" s="613">
        <v>0</v>
      </c>
      <c r="U248" s="613">
        <v>0</v>
      </c>
      <c r="V248" s="613">
        <v>0</v>
      </c>
      <c r="W248" s="613">
        <v>0</v>
      </c>
      <c r="X248" s="613">
        <v>0</v>
      </c>
      <c r="Y248" s="621">
        <v>0</v>
      </c>
      <c r="Z248" s="51"/>
      <c r="AA248" s="51"/>
      <c r="AB248" s="51"/>
    </row>
    <row r="249" spans="1:28">
      <c r="A249" s="51" t="e">
        <f t="shared" si="32"/>
        <v>#REF!</v>
      </c>
      <c r="B249" s="51">
        <f t="shared" si="33"/>
        <v>2033</v>
      </c>
      <c r="C249" s="51" t="str">
        <f t="shared" si="33"/>
        <v>AMS</v>
      </c>
      <c r="D249" s="51" t="s">
        <v>504</v>
      </c>
      <c r="E249" s="51" t="e">
        <f>VLOOKUP($H$6,#REF!,2,FALSE)</f>
        <v>#REF!</v>
      </c>
      <c r="F249" s="51"/>
      <c r="G249" s="620" t="s">
        <v>72</v>
      </c>
      <c r="H249" s="613">
        <v>0</v>
      </c>
      <c r="I249" s="613">
        <v>389.35548440642862</v>
      </c>
      <c r="J249" s="613">
        <v>-385.47782639146612</v>
      </c>
      <c r="K249" s="613">
        <v>0</v>
      </c>
      <c r="L249" s="613">
        <v>0</v>
      </c>
      <c r="M249" s="613">
        <v>0</v>
      </c>
      <c r="N249" s="613">
        <v>0</v>
      </c>
      <c r="O249" s="613">
        <v>0</v>
      </c>
      <c r="P249" s="613">
        <v>0</v>
      </c>
      <c r="Q249" s="613">
        <v>0</v>
      </c>
      <c r="R249" s="613">
        <v>0</v>
      </c>
      <c r="S249" s="613">
        <v>0</v>
      </c>
      <c r="T249" s="613">
        <v>0</v>
      </c>
      <c r="U249" s="613">
        <v>0</v>
      </c>
      <c r="V249" s="613">
        <v>0</v>
      </c>
      <c r="W249" s="613">
        <v>0</v>
      </c>
      <c r="X249" s="613">
        <v>0</v>
      </c>
      <c r="Y249" s="621">
        <v>3.8776580149625208</v>
      </c>
      <c r="Z249" s="51"/>
      <c r="AA249" s="51"/>
      <c r="AB249" s="51"/>
    </row>
    <row r="250" spans="1:28">
      <c r="A250" s="51" t="e">
        <f t="shared" si="32"/>
        <v>#REF!</v>
      </c>
      <c r="B250" s="51">
        <f t="shared" si="33"/>
        <v>2033</v>
      </c>
      <c r="C250" s="51" t="str">
        <f t="shared" si="33"/>
        <v>AMS</v>
      </c>
      <c r="D250" s="51" t="s">
        <v>505</v>
      </c>
      <c r="E250" s="51" t="e">
        <f>VLOOKUP($H$6,#REF!,2,FALSE)</f>
        <v>#REF!</v>
      </c>
      <c r="F250" s="51"/>
      <c r="G250" s="620" t="s">
        <v>354</v>
      </c>
      <c r="H250" s="613">
        <v>0</v>
      </c>
      <c r="I250" s="613">
        <v>0</v>
      </c>
      <c r="J250" s="613">
        <v>0</v>
      </c>
      <c r="K250" s="613">
        <v>0</v>
      </c>
      <c r="L250" s="613">
        <v>0</v>
      </c>
      <c r="M250" s="613">
        <v>0</v>
      </c>
      <c r="N250" s="613">
        <v>0</v>
      </c>
      <c r="O250" s="613">
        <v>0</v>
      </c>
      <c r="P250" s="613">
        <v>76.110674115305528</v>
      </c>
      <c r="Q250" s="613">
        <v>0</v>
      </c>
      <c r="R250" s="613">
        <v>-76.110674115305528</v>
      </c>
      <c r="S250" s="613">
        <v>0</v>
      </c>
      <c r="T250" s="613">
        <v>0</v>
      </c>
      <c r="U250" s="613">
        <v>0</v>
      </c>
      <c r="V250" s="613">
        <v>0</v>
      </c>
      <c r="W250" s="613">
        <v>0</v>
      </c>
      <c r="X250" s="613">
        <v>0</v>
      </c>
      <c r="Y250" s="621">
        <v>0</v>
      </c>
      <c r="Z250" s="51"/>
      <c r="AA250" s="51"/>
      <c r="AB250" s="51"/>
    </row>
    <row r="251" spans="1:28">
      <c r="A251" s="51" t="e">
        <f t="shared" si="32"/>
        <v>#REF!</v>
      </c>
      <c r="B251" s="51">
        <f t="shared" si="33"/>
        <v>2033</v>
      </c>
      <c r="C251" s="51" t="str">
        <f t="shared" si="33"/>
        <v>AMS</v>
      </c>
      <c r="D251" s="51" t="s">
        <v>506</v>
      </c>
      <c r="E251" s="51" t="e">
        <f>VLOOKUP($H$6,#REF!,2,FALSE)</f>
        <v>#REF!</v>
      </c>
      <c r="F251" s="51"/>
      <c r="G251" s="620" t="s">
        <v>355</v>
      </c>
      <c r="H251" s="613">
        <v>0</v>
      </c>
      <c r="I251" s="613">
        <v>0</v>
      </c>
      <c r="J251" s="613">
        <v>0</v>
      </c>
      <c r="K251" s="613">
        <v>-5.3679652793818873</v>
      </c>
      <c r="L251" s="613">
        <v>0</v>
      </c>
      <c r="M251" s="613">
        <v>0</v>
      </c>
      <c r="N251" s="613">
        <v>0</v>
      </c>
      <c r="O251" s="613">
        <v>0</v>
      </c>
      <c r="P251" s="613">
        <v>0</v>
      </c>
      <c r="Q251" s="613">
        <v>0</v>
      </c>
      <c r="R251" s="613">
        <v>0</v>
      </c>
      <c r="S251" s="613">
        <v>0</v>
      </c>
      <c r="T251" s="613">
        <v>0</v>
      </c>
      <c r="U251" s="613">
        <v>0</v>
      </c>
      <c r="V251" s="613">
        <v>0</v>
      </c>
      <c r="W251" s="613">
        <v>0</v>
      </c>
      <c r="X251" s="613">
        <v>7.4762747623703172</v>
      </c>
      <c r="Y251" s="621">
        <v>2.1083094829884299</v>
      </c>
      <c r="Z251" s="51"/>
      <c r="AA251" s="51"/>
      <c r="AB251" s="51"/>
    </row>
    <row r="252" spans="1:28">
      <c r="A252" s="51" t="e">
        <f t="shared" si="32"/>
        <v>#REF!</v>
      </c>
      <c r="B252" s="51">
        <f t="shared" si="33"/>
        <v>2033</v>
      </c>
      <c r="C252" s="51" t="str">
        <f t="shared" si="33"/>
        <v>AMS</v>
      </c>
      <c r="D252" s="51" t="s">
        <v>507</v>
      </c>
      <c r="E252" s="51" t="e">
        <f>VLOOKUP($H$6,#REF!,2,FALSE)</f>
        <v>#REF!</v>
      </c>
      <c r="F252" s="51"/>
      <c r="G252" s="620" t="s">
        <v>73</v>
      </c>
      <c r="H252" s="613">
        <v>0</v>
      </c>
      <c r="I252" s="613">
        <v>0</v>
      </c>
      <c r="J252" s="613">
        <v>0</v>
      </c>
      <c r="K252" s="613">
        <v>0</v>
      </c>
      <c r="L252" s="613">
        <v>0</v>
      </c>
      <c r="M252" s="613">
        <v>0</v>
      </c>
      <c r="N252" s="613">
        <v>0</v>
      </c>
      <c r="O252" s="613">
        <v>0</v>
      </c>
      <c r="P252" s="613">
        <v>0</v>
      </c>
      <c r="Q252" s="613">
        <v>0</v>
      </c>
      <c r="R252" s="613">
        <v>0</v>
      </c>
      <c r="S252" s="613">
        <v>0</v>
      </c>
      <c r="T252" s="613">
        <v>0</v>
      </c>
      <c r="U252" s="613">
        <v>0</v>
      </c>
      <c r="V252" s="613">
        <v>40.318919655124205</v>
      </c>
      <c r="W252" s="613">
        <v>0</v>
      </c>
      <c r="X252" s="613">
        <v>-26.630646432209534</v>
      </c>
      <c r="Y252" s="621">
        <v>13.68827322291467</v>
      </c>
      <c r="Z252" s="51"/>
      <c r="AA252" s="51"/>
      <c r="AB252" s="51"/>
    </row>
    <row r="253" spans="1:28">
      <c r="A253" s="51" t="e">
        <f t="shared" si="32"/>
        <v>#REF!</v>
      </c>
      <c r="B253" s="51">
        <f t="shared" si="33"/>
        <v>2033</v>
      </c>
      <c r="C253" s="51" t="str">
        <f t="shared" si="33"/>
        <v>AMS</v>
      </c>
      <c r="D253" s="51" t="s">
        <v>508</v>
      </c>
      <c r="E253" s="51" t="e">
        <f>VLOOKUP($H$6,#REF!,2,FALSE)</f>
        <v>#REF!</v>
      </c>
      <c r="F253" s="51"/>
      <c r="G253" s="620" t="s">
        <v>356</v>
      </c>
      <c r="H253" s="613">
        <v>10.05823125</v>
      </c>
      <c r="I253" s="613">
        <v>-13.65021278897626</v>
      </c>
      <c r="J253" s="613">
        <v>17.774822682354454</v>
      </c>
      <c r="K253" s="613">
        <v>0</v>
      </c>
      <c r="L253" s="613">
        <v>0</v>
      </c>
      <c r="M253" s="613">
        <v>0</v>
      </c>
      <c r="N253" s="613">
        <v>0</v>
      </c>
      <c r="O253" s="613">
        <v>0</v>
      </c>
      <c r="P253" s="613">
        <v>0</v>
      </c>
      <c r="Q253" s="613">
        <v>0</v>
      </c>
      <c r="R253" s="613">
        <v>0</v>
      </c>
      <c r="S253" s="613">
        <v>0</v>
      </c>
      <c r="T253" s="613">
        <v>0</v>
      </c>
      <c r="U253" s="613">
        <v>0</v>
      </c>
      <c r="V253" s="613">
        <v>0</v>
      </c>
      <c r="W253" s="613">
        <v>0</v>
      </c>
      <c r="X253" s="613">
        <v>0</v>
      </c>
      <c r="Y253" s="621">
        <v>14.182841143378196</v>
      </c>
      <c r="Z253" s="51"/>
      <c r="AA253" s="51"/>
      <c r="AB253" s="51"/>
    </row>
    <row r="254" spans="1:28">
      <c r="A254" s="51" t="e">
        <f t="shared" si="32"/>
        <v>#REF!</v>
      </c>
      <c r="B254" s="51">
        <f t="shared" si="33"/>
        <v>2033</v>
      </c>
      <c r="C254" s="51" t="str">
        <f t="shared" si="33"/>
        <v>AMS</v>
      </c>
      <c r="D254" s="51" t="s">
        <v>509</v>
      </c>
      <c r="E254" s="51" t="e">
        <f>VLOOKUP($H$6,#REF!,2,FALSE)</f>
        <v>#REF!</v>
      </c>
      <c r="F254" s="51"/>
      <c r="G254" s="620" t="s">
        <v>75</v>
      </c>
      <c r="H254" s="613">
        <v>3.9115343750000005</v>
      </c>
      <c r="I254" s="613">
        <v>0</v>
      </c>
      <c r="J254" s="613">
        <v>18.970841206198273</v>
      </c>
      <c r="K254" s="613">
        <v>0</v>
      </c>
      <c r="L254" s="613">
        <v>4.3082366200216411</v>
      </c>
      <c r="M254" s="613">
        <v>0</v>
      </c>
      <c r="N254" s="613">
        <v>0</v>
      </c>
      <c r="O254" s="613">
        <v>0</v>
      </c>
      <c r="P254" s="613">
        <v>0</v>
      </c>
      <c r="Q254" s="613">
        <v>0</v>
      </c>
      <c r="R254" s="613">
        <v>0</v>
      </c>
      <c r="S254" s="613">
        <v>1.1452274559551199</v>
      </c>
      <c r="T254" s="613">
        <v>0</v>
      </c>
      <c r="U254" s="613">
        <v>0</v>
      </c>
      <c r="V254" s="613">
        <v>26.029227477010622</v>
      </c>
      <c r="W254" s="613">
        <v>0</v>
      </c>
      <c r="X254" s="613">
        <v>0</v>
      </c>
      <c r="Y254" s="621">
        <v>54.365067134185658</v>
      </c>
      <c r="Z254" s="51"/>
      <c r="AA254" s="51"/>
      <c r="AB254" s="51"/>
    </row>
    <row r="255" spans="1:28">
      <c r="A255" s="51" t="e">
        <f t="shared" si="32"/>
        <v>#REF!</v>
      </c>
      <c r="B255" s="51">
        <f t="shared" si="33"/>
        <v>2033</v>
      </c>
      <c r="C255" s="51" t="str">
        <f t="shared" si="33"/>
        <v>AMS</v>
      </c>
      <c r="D255" s="51" t="s">
        <v>510</v>
      </c>
      <c r="E255" s="51" t="e">
        <f>VLOOKUP($H$6,#REF!,2,FALSE)</f>
        <v>#REF!</v>
      </c>
      <c r="F255" s="51"/>
      <c r="G255" s="620" t="s">
        <v>76</v>
      </c>
      <c r="H255" s="613">
        <v>0</v>
      </c>
      <c r="I255" s="613">
        <v>0</v>
      </c>
      <c r="J255" s="613">
        <v>0</v>
      </c>
      <c r="K255" s="613">
        <v>0</v>
      </c>
      <c r="L255" s="613">
        <v>2.1520017207072755</v>
      </c>
      <c r="M255" s="613">
        <v>0</v>
      </c>
      <c r="N255" s="613">
        <v>0</v>
      </c>
      <c r="O255" s="613">
        <v>0</v>
      </c>
      <c r="P255" s="613">
        <v>0</v>
      </c>
      <c r="Q255" s="613">
        <v>0</v>
      </c>
      <c r="R255" s="613">
        <v>0</v>
      </c>
      <c r="S255" s="613">
        <v>0.57205109031459223</v>
      </c>
      <c r="T255" s="613">
        <v>0</v>
      </c>
      <c r="U255" s="613">
        <v>0</v>
      </c>
      <c r="V255" s="613">
        <v>42.311436575110221</v>
      </c>
      <c r="W255" s="613">
        <v>5.5417484036628721</v>
      </c>
      <c r="X255" s="613">
        <v>0</v>
      </c>
      <c r="Y255" s="621">
        <v>50.577237789794964</v>
      </c>
      <c r="Z255" s="51"/>
      <c r="AA255" s="51"/>
      <c r="AB255" s="51"/>
    </row>
    <row r="256" spans="1:28">
      <c r="A256" s="51" t="e">
        <f t="shared" si="32"/>
        <v>#REF!</v>
      </c>
      <c r="B256" s="51">
        <f t="shared" si="33"/>
        <v>2033</v>
      </c>
      <c r="C256" s="51" t="str">
        <f t="shared" si="33"/>
        <v>AMS</v>
      </c>
      <c r="D256" s="51" t="s">
        <v>511</v>
      </c>
      <c r="E256" s="51" t="e">
        <f>VLOOKUP($H$6,#REF!,2,FALSE)</f>
        <v>#REF!</v>
      </c>
      <c r="F256" s="51"/>
      <c r="G256" s="616" t="s">
        <v>77</v>
      </c>
      <c r="H256" s="617">
        <v>13.969765625000001</v>
      </c>
      <c r="I256" s="617">
        <v>375.70527161745235</v>
      </c>
      <c r="J256" s="617">
        <v>-347.93937691897565</v>
      </c>
      <c r="K256" s="617">
        <v>-5.3679652793818873</v>
      </c>
      <c r="L256" s="624">
        <v>41.686939069538198</v>
      </c>
      <c r="M256" s="617">
        <v>0</v>
      </c>
      <c r="N256" s="617">
        <v>1029.1558581818183</v>
      </c>
      <c r="O256" s="617">
        <v>252.71345318084585</v>
      </c>
      <c r="P256" s="617">
        <v>193.76472847114064</v>
      </c>
      <c r="Q256" s="617">
        <v>25.221952255757699</v>
      </c>
      <c r="R256" s="617">
        <v>-71.328690888737668</v>
      </c>
      <c r="S256" s="617">
        <v>-38.616395937235275</v>
      </c>
      <c r="T256" s="617">
        <v>0</v>
      </c>
      <c r="U256" s="617">
        <v>11.176294658126709</v>
      </c>
      <c r="V256" s="617">
        <v>-516.39357720580983</v>
      </c>
      <c r="W256" s="617">
        <v>-65.916211304815732</v>
      </c>
      <c r="X256" s="617">
        <v>-19.154371669839218</v>
      </c>
      <c r="Y256" s="617">
        <v>878.6776738548848</v>
      </c>
      <c r="Z256" s="51"/>
      <c r="AA256" s="51"/>
      <c r="AB256" s="51"/>
    </row>
    <row r="257" spans="1:28">
      <c r="A257" s="51"/>
      <c r="B257" s="51"/>
      <c r="C257" s="51"/>
      <c r="D257" s="51"/>
      <c r="E257" s="51"/>
      <c r="F257" s="51"/>
      <c r="G257" s="618"/>
      <c r="H257" s="619">
        <v>0</v>
      </c>
      <c r="I257" s="619">
        <v>0</v>
      </c>
      <c r="J257" s="619">
        <v>0</v>
      </c>
      <c r="K257" s="619">
        <v>0</v>
      </c>
      <c r="L257" s="625">
        <v>0</v>
      </c>
      <c r="M257" s="619">
        <v>0</v>
      </c>
      <c r="N257" s="619">
        <v>0</v>
      </c>
      <c r="O257" s="619">
        <v>0</v>
      </c>
      <c r="P257" s="619">
        <v>0</v>
      </c>
      <c r="Q257" s="619">
        <v>0</v>
      </c>
      <c r="R257" s="619">
        <v>0</v>
      </c>
      <c r="S257" s="619">
        <v>0</v>
      </c>
      <c r="T257" s="619">
        <v>0</v>
      </c>
      <c r="U257" s="619">
        <v>0</v>
      </c>
      <c r="V257" s="619">
        <v>0</v>
      </c>
      <c r="W257" s="619">
        <v>0</v>
      </c>
      <c r="X257" s="619">
        <v>0</v>
      </c>
      <c r="Y257" s="619">
        <v>0</v>
      </c>
      <c r="Z257" s="51"/>
      <c r="AA257" s="51"/>
      <c r="AB257" s="51"/>
    </row>
    <row r="258" spans="1:28">
      <c r="A258" s="51" t="e">
        <f>A256+2</f>
        <v>#REF!</v>
      </c>
      <c r="B258" s="51">
        <f>B256</f>
        <v>2033</v>
      </c>
      <c r="C258" s="51" t="str">
        <f>C236</f>
        <v>AMS</v>
      </c>
      <c r="D258" s="51" t="s">
        <v>512</v>
      </c>
      <c r="E258" s="51" t="e">
        <f>VLOOKUP($H$6,#REF!,2,FALSE)</f>
        <v>#REF!</v>
      </c>
      <c r="F258" s="51"/>
      <c r="G258" s="620" t="s">
        <v>78</v>
      </c>
      <c r="H258" s="613">
        <v>3.5119651912640659</v>
      </c>
      <c r="I258" s="613">
        <v>0</v>
      </c>
      <c r="J258" s="613">
        <v>10.329791866978772</v>
      </c>
      <c r="K258" s="613">
        <v>0</v>
      </c>
      <c r="L258" s="613">
        <v>59.22498419444846</v>
      </c>
      <c r="M258" s="613">
        <v>0</v>
      </c>
      <c r="N258" s="613">
        <v>0</v>
      </c>
      <c r="O258" s="613">
        <v>0</v>
      </c>
      <c r="P258" s="613">
        <v>20.32032070760291</v>
      </c>
      <c r="Q258" s="613">
        <v>2.5485507721439489</v>
      </c>
      <c r="R258" s="613">
        <v>1.1054608081054689</v>
      </c>
      <c r="S258" s="613">
        <v>15.774676477466111</v>
      </c>
      <c r="T258" s="613">
        <v>4.7115375976562497</v>
      </c>
      <c r="U258" s="613">
        <v>6.3863689419622622E-4</v>
      </c>
      <c r="V258" s="613">
        <v>128.13338929673023</v>
      </c>
      <c r="W258" s="613">
        <v>18.044740545750674</v>
      </c>
      <c r="X258" s="613">
        <v>2.7711535644531251</v>
      </c>
      <c r="Y258" s="621">
        <v>266.47720965949424</v>
      </c>
      <c r="Z258" s="51"/>
      <c r="AA258" s="622" t="e" cm="1">
        <f t="array" aca="1" ref="AA258" ca="1">_xlfn.IFNA(INDEX(#REF!,MATCH(INDIRECT("Codes_bilans!"&amp;AA$1&amp;"$"&amp;$A258),#REF!,0),MATCH($B258,#REF!,0)),0)</f>
        <v>#REF!</v>
      </c>
      <c r="AB258" s="51"/>
    </row>
    <row r="259" spans="1:28">
      <c r="A259" s="51" t="e">
        <f t="shared" ref="A259:A266" si="34">A258+1</f>
        <v>#REF!</v>
      </c>
      <c r="B259" s="51">
        <f t="shared" ref="B259:C266" si="35">B258</f>
        <v>2033</v>
      </c>
      <c r="C259" s="51" t="str">
        <f t="shared" si="35"/>
        <v>AMS</v>
      </c>
      <c r="D259" s="51" t="s">
        <v>513</v>
      </c>
      <c r="E259" s="51" t="e">
        <f>VLOOKUP($H$6,#REF!,2,FALSE)</f>
        <v>#REF!</v>
      </c>
      <c r="F259" s="51"/>
      <c r="G259" s="620" t="s">
        <v>79</v>
      </c>
      <c r="H259" s="613">
        <v>0</v>
      </c>
      <c r="I259" s="613">
        <v>0</v>
      </c>
      <c r="J259" s="613">
        <v>230.06398718142972</v>
      </c>
      <c r="K259" s="613">
        <v>0.28870182254104659</v>
      </c>
      <c r="L259" s="613">
        <v>4.7638546223905314</v>
      </c>
      <c r="M259" s="613">
        <v>0</v>
      </c>
      <c r="N259" s="613">
        <v>0</v>
      </c>
      <c r="O259" s="613">
        <v>0</v>
      </c>
      <c r="P259" s="613">
        <v>0</v>
      </c>
      <c r="Q259" s="613">
        <v>0</v>
      </c>
      <c r="R259" s="613">
        <v>46.305302929407816</v>
      </c>
      <c r="S259" s="613">
        <v>1.2663411021544451</v>
      </c>
      <c r="T259" s="613">
        <v>0</v>
      </c>
      <c r="U259" s="613">
        <v>0</v>
      </c>
      <c r="V259" s="613">
        <v>46.787013172975605</v>
      </c>
      <c r="W259" s="613">
        <v>0</v>
      </c>
      <c r="X259" s="613">
        <v>1.4725342358360081</v>
      </c>
      <c r="Y259" s="621">
        <v>330.94773506673516</v>
      </c>
      <c r="Z259" s="51"/>
      <c r="AA259" s="622" t="e" cm="1">
        <f t="array" aca="1" ref="AA259" ca="1">_xlfn.IFNA(INDEX(#REF!,MATCH(INDIRECT("Codes_bilans!"&amp;AA$1&amp;"$"&amp;$A259),#REF!,0),MATCH($B259,#REF!,0)),0)</f>
        <v>#REF!</v>
      </c>
      <c r="AB259" s="51"/>
    </row>
    <row r="260" spans="1:28">
      <c r="A260" s="51" t="e">
        <f t="shared" si="34"/>
        <v>#REF!</v>
      </c>
      <c r="B260" s="51">
        <f t="shared" si="35"/>
        <v>2033</v>
      </c>
      <c r="C260" s="51" t="str">
        <f t="shared" si="35"/>
        <v>AMS</v>
      </c>
      <c r="D260" s="51" t="s">
        <v>514</v>
      </c>
      <c r="E260" s="51" t="e">
        <f>VLOOKUP($H$6,#REF!,2,FALSE)</f>
        <v>#REF!</v>
      </c>
      <c r="F260" s="51"/>
      <c r="G260" s="620" t="s">
        <v>80</v>
      </c>
      <c r="H260" s="613">
        <v>0</v>
      </c>
      <c r="I260" s="613">
        <v>0</v>
      </c>
      <c r="J260" s="613">
        <v>3.8037297943831954</v>
      </c>
      <c r="K260" s="613">
        <v>0</v>
      </c>
      <c r="L260" s="613">
        <v>48.749434252341672</v>
      </c>
      <c r="M260" s="613">
        <v>0</v>
      </c>
      <c r="N260" s="613">
        <v>0</v>
      </c>
      <c r="O260" s="613">
        <v>0</v>
      </c>
      <c r="P260" s="613">
        <v>41.434907608340509</v>
      </c>
      <c r="Q260" s="613">
        <v>0</v>
      </c>
      <c r="R260" s="613">
        <v>0</v>
      </c>
      <c r="S260" s="613">
        <v>12.958710370875634</v>
      </c>
      <c r="T260" s="613">
        <v>81.342309221763003</v>
      </c>
      <c r="U260" s="613">
        <v>2.1381357466702497</v>
      </c>
      <c r="V260" s="613">
        <v>162.42127689265124</v>
      </c>
      <c r="W260" s="613">
        <v>29.067896346898497</v>
      </c>
      <c r="X260" s="613">
        <v>0</v>
      </c>
      <c r="Y260" s="621">
        <v>381.91640023392404</v>
      </c>
      <c r="Z260" s="51"/>
      <c r="AA260" s="622" t="e" cm="1">
        <f t="array" aca="1" ref="AA260" ca="1">_xlfn.IFNA(INDEX(#REF!,MATCH(INDIRECT("Codes_bilans!"&amp;AA$1&amp;"$"&amp;$A260),#REF!,0),MATCH($B260,#REF!,0)),0)</f>
        <v>#REF!</v>
      </c>
      <c r="AB260" s="51"/>
    </row>
    <row r="261" spans="1:28">
      <c r="A261" s="51" t="e">
        <f t="shared" si="34"/>
        <v>#REF!</v>
      </c>
      <c r="B261" s="51">
        <f t="shared" si="35"/>
        <v>2033</v>
      </c>
      <c r="C261" s="51" t="str">
        <f t="shared" si="35"/>
        <v>AMS</v>
      </c>
      <c r="D261" s="51" t="s">
        <v>515</v>
      </c>
      <c r="E261" s="51" t="e">
        <f>VLOOKUP($H$6,#REF!,2,FALSE)</f>
        <v>#REF!</v>
      </c>
      <c r="F261" s="51"/>
      <c r="G261" s="620" t="s">
        <v>81</v>
      </c>
      <c r="H261" s="613">
        <v>0</v>
      </c>
      <c r="I261" s="613">
        <v>0</v>
      </c>
      <c r="J261" s="613">
        <v>4.4549193893901853</v>
      </c>
      <c r="K261" s="613">
        <v>0</v>
      </c>
      <c r="L261" s="613">
        <v>22.809891612288435</v>
      </c>
      <c r="M261" s="613">
        <v>0</v>
      </c>
      <c r="N261" s="613">
        <v>0</v>
      </c>
      <c r="O261" s="613">
        <v>0</v>
      </c>
      <c r="P261" s="613">
        <v>0.44569918061681485</v>
      </c>
      <c r="Q261" s="613">
        <v>4.9454600867274027E-4</v>
      </c>
      <c r="R261" s="613">
        <v>0</v>
      </c>
      <c r="S261" s="613">
        <v>6.0633889095956608</v>
      </c>
      <c r="T261" s="613">
        <v>18.691023604496184</v>
      </c>
      <c r="U261" s="613">
        <v>0.90924384630352406</v>
      </c>
      <c r="V261" s="613">
        <v>98.49757027134045</v>
      </c>
      <c r="W261" s="613">
        <v>18.80357441216654</v>
      </c>
      <c r="X261" s="613">
        <v>0</v>
      </c>
      <c r="Y261" s="621">
        <v>170.67580577220647</v>
      </c>
      <c r="Z261" s="51"/>
      <c r="AA261" s="622" t="e" cm="1">
        <f t="array" aca="1" ref="AA261" ca="1">_xlfn.IFNA(INDEX(#REF!,MATCH(INDIRECT("Codes_bilans!"&amp;AA$1&amp;"$"&amp;$A261),#REF!,0),MATCH($B261,#REF!,0)),0)</f>
        <v>#REF!</v>
      </c>
      <c r="AB261" s="51"/>
    </row>
    <row r="262" spans="1:28">
      <c r="A262" s="51" t="e">
        <f t="shared" si="34"/>
        <v>#REF!</v>
      </c>
      <c r="B262" s="51">
        <f t="shared" si="35"/>
        <v>2033</v>
      </c>
      <c r="C262" s="51" t="str">
        <f t="shared" si="35"/>
        <v>AMS</v>
      </c>
      <c r="D262" s="51" t="s">
        <v>516</v>
      </c>
      <c r="E262" s="51" t="e">
        <f>VLOOKUP($H$6,#REF!,2,FALSE)</f>
        <v>#REF!</v>
      </c>
      <c r="F262" s="51"/>
      <c r="G262" s="620" t="s">
        <v>82</v>
      </c>
      <c r="H262" s="613">
        <v>0</v>
      </c>
      <c r="I262" s="613">
        <v>0</v>
      </c>
      <c r="J262" s="613">
        <v>22.663704600568668</v>
      </c>
      <c r="K262" s="613">
        <v>0</v>
      </c>
      <c r="L262" s="613">
        <v>1.5172607097483775</v>
      </c>
      <c r="M262" s="613">
        <v>0</v>
      </c>
      <c r="N262" s="613">
        <v>0</v>
      </c>
      <c r="O262" s="613">
        <v>0</v>
      </c>
      <c r="P262" s="613">
        <v>2.5327781893790755</v>
      </c>
      <c r="Q262" s="613">
        <v>0</v>
      </c>
      <c r="R262" s="613">
        <v>6.9172702223723741</v>
      </c>
      <c r="S262" s="613">
        <v>0.40332246714830289</v>
      </c>
      <c r="T262" s="613">
        <v>0.65</v>
      </c>
      <c r="U262" s="613">
        <v>0.82781531321025892</v>
      </c>
      <c r="V262" s="613">
        <v>7.6931885452586402</v>
      </c>
      <c r="W262" s="613">
        <v>0</v>
      </c>
      <c r="X262" s="613">
        <v>0.21911019493558448</v>
      </c>
      <c r="Y262" s="621">
        <v>43.424450242621276</v>
      </c>
      <c r="Z262" s="51"/>
      <c r="AA262" s="622" t="e" cm="1">
        <f t="array" aca="1" ref="AA262" ca="1">_xlfn.IFNA(INDEX(#REF!,MATCH(INDIRECT("Codes_bilans!"&amp;AA$1&amp;"$"&amp;$A262),#REF!,0),MATCH($B262,#REF!,0)),0)</f>
        <v>#REF!</v>
      </c>
      <c r="AB262" s="51"/>
    </row>
    <row r="263" spans="1:28">
      <c r="A263" s="51" t="e">
        <f t="shared" si="34"/>
        <v>#REF!</v>
      </c>
      <c r="B263" s="51">
        <f t="shared" si="35"/>
        <v>2033</v>
      </c>
      <c r="C263" s="51" t="str">
        <f t="shared" si="35"/>
        <v>AMS</v>
      </c>
      <c r="D263" s="51" t="s">
        <v>517</v>
      </c>
      <c r="E263" s="51" t="e">
        <f>VLOOKUP($H$6,#REF!,2,FALSE)</f>
        <v>#REF!</v>
      </c>
      <c r="F263" s="51"/>
      <c r="G263" s="620" t="s">
        <v>357</v>
      </c>
      <c r="H263" s="613">
        <v>0</v>
      </c>
      <c r="I263" s="613">
        <v>0</v>
      </c>
      <c r="J263" s="613">
        <v>0</v>
      </c>
      <c r="K263" s="613">
        <v>0</v>
      </c>
      <c r="L263" s="613">
        <v>0</v>
      </c>
      <c r="M263" s="613">
        <v>0</v>
      </c>
      <c r="N263" s="613">
        <v>0</v>
      </c>
      <c r="O263" s="613">
        <v>0</v>
      </c>
      <c r="P263" s="613">
        <v>0</v>
      </c>
      <c r="Q263" s="613">
        <v>0</v>
      </c>
      <c r="R263" s="613">
        <v>0</v>
      </c>
      <c r="S263" s="613">
        <v>0</v>
      </c>
      <c r="T263" s="613">
        <v>0</v>
      </c>
      <c r="U263" s="613">
        <v>0</v>
      </c>
      <c r="V263" s="613">
        <v>0.41126400000000007</v>
      </c>
      <c r="W263" s="613">
        <v>0</v>
      </c>
      <c r="X263" s="613">
        <v>0</v>
      </c>
      <c r="Y263" s="621">
        <v>0.41126400000000007</v>
      </c>
      <c r="Z263" s="51"/>
      <c r="AA263" s="622" t="e" cm="1">
        <f t="array" aca="1" ref="AA263" ca="1">_xlfn.IFNA(INDEX(#REF!,MATCH(INDIRECT("Codes_bilans!"&amp;AA$1&amp;"$"&amp;$A263),#REF!,0),MATCH($B263,#REF!,0)),0)</f>
        <v>#REF!</v>
      </c>
      <c r="AB263" s="51"/>
    </row>
    <row r="264" spans="1:28">
      <c r="A264" s="51" t="e">
        <f t="shared" si="34"/>
        <v>#REF!</v>
      </c>
      <c r="B264" s="51">
        <f t="shared" si="35"/>
        <v>2033</v>
      </c>
      <c r="C264" s="51" t="str">
        <f t="shared" si="35"/>
        <v>AMS</v>
      </c>
      <c r="D264" s="51" t="s">
        <v>518</v>
      </c>
      <c r="E264" s="51" t="e">
        <f>VLOOKUP($H$6,#REF!,2,FALSE)</f>
        <v>#REF!</v>
      </c>
      <c r="F264" s="51"/>
      <c r="G264" s="616" t="s">
        <v>83</v>
      </c>
      <c r="H264" s="617">
        <v>3.5119651912640659</v>
      </c>
      <c r="I264" s="617">
        <v>0</v>
      </c>
      <c r="J264" s="617">
        <v>271.3161328327505</v>
      </c>
      <c r="K264" s="617">
        <v>0.28870182254104659</v>
      </c>
      <c r="L264" s="624">
        <v>137.06542539121747</v>
      </c>
      <c r="M264" s="617">
        <v>0</v>
      </c>
      <c r="N264" s="617">
        <v>0</v>
      </c>
      <c r="O264" s="617">
        <v>0</v>
      </c>
      <c r="P264" s="617">
        <v>64.733705685939313</v>
      </c>
      <c r="Q264" s="617">
        <v>2.5490453181526216</v>
      </c>
      <c r="R264" s="617">
        <v>54.328033959885659</v>
      </c>
      <c r="S264" s="617">
        <v>36.466439327240145</v>
      </c>
      <c r="T264" s="617">
        <v>105.39487042391544</v>
      </c>
      <c r="U264" s="617">
        <v>3.8758335430782287</v>
      </c>
      <c r="V264" s="617">
        <v>443.94370217895619</v>
      </c>
      <c r="W264" s="617">
        <v>65.916211304815718</v>
      </c>
      <c r="X264" s="617">
        <v>4.4627979952247179</v>
      </c>
      <c r="Y264" s="617">
        <v>1193.8528649749812</v>
      </c>
      <c r="Z264" s="51"/>
      <c r="AA264" s="51"/>
      <c r="AB264" s="51"/>
    </row>
    <row r="265" spans="1:28">
      <c r="A265" s="51" t="e">
        <f t="shared" si="34"/>
        <v>#REF!</v>
      </c>
      <c r="B265" s="51">
        <f t="shared" si="35"/>
        <v>2033</v>
      </c>
      <c r="C265" s="51" t="str">
        <f t="shared" si="35"/>
        <v>AMS</v>
      </c>
      <c r="D265" s="51" t="s">
        <v>519</v>
      </c>
      <c r="E265" s="51" t="e">
        <f>VLOOKUP($H$6,#REF!,2,FALSE)</f>
        <v>#REF!</v>
      </c>
      <c r="F265" s="51"/>
      <c r="G265" s="612" t="s">
        <v>84</v>
      </c>
      <c r="H265" s="613">
        <v>0</v>
      </c>
      <c r="I265" s="613">
        <v>0</v>
      </c>
      <c r="J265" s="613">
        <v>84.901304982748769</v>
      </c>
      <c r="K265" s="613">
        <v>2.533106458518084</v>
      </c>
      <c r="L265" s="613">
        <v>9.2771889658758084</v>
      </c>
      <c r="M265" s="613">
        <v>0</v>
      </c>
      <c r="N265" s="613">
        <v>0</v>
      </c>
      <c r="O265" s="613">
        <v>0</v>
      </c>
      <c r="P265" s="613">
        <v>0.20840484716769062</v>
      </c>
      <c r="Q265" s="613">
        <v>0</v>
      </c>
      <c r="R265" s="613">
        <v>11.136408529558132</v>
      </c>
      <c r="S265" s="613">
        <v>1.4684689617858735</v>
      </c>
      <c r="T265" s="613">
        <v>0</v>
      </c>
      <c r="U265" s="613">
        <v>0</v>
      </c>
      <c r="V265" s="613">
        <v>0</v>
      </c>
      <c r="W265" s="613">
        <v>0</v>
      </c>
      <c r="X265" s="613">
        <v>14.605640428811407</v>
      </c>
      <c r="Y265" s="621">
        <v>124.13052317446576</v>
      </c>
      <c r="Z265" s="51"/>
      <c r="AA265" s="622" t="e" cm="1">
        <f t="array" aca="1" ref="AA265" ca="1">_xlfn.IFNA(INDEX(#REF!,MATCH(INDIRECT("Codes_bilans!"&amp;AA$1&amp;"$"&amp;$A265),#REF!,0),MATCH($B265,#REF!,0)),0)</f>
        <v>#REF!</v>
      </c>
      <c r="AB265" s="51"/>
    </row>
    <row r="266" spans="1:28">
      <c r="A266" s="51" t="e">
        <f t="shared" si="34"/>
        <v>#REF!</v>
      </c>
      <c r="B266" s="51">
        <f t="shared" si="35"/>
        <v>2033</v>
      </c>
      <c r="C266" s="51" t="str">
        <f t="shared" si="35"/>
        <v>AMS</v>
      </c>
      <c r="D266" s="51" t="s">
        <v>520</v>
      </c>
      <c r="E266" s="51" t="e">
        <f>VLOOKUP($H$6,#REF!,2,FALSE)</f>
        <v>#REF!</v>
      </c>
      <c r="F266" s="51"/>
      <c r="G266" s="616" t="s">
        <v>85</v>
      </c>
      <c r="H266" s="617">
        <v>3.5119651912640659</v>
      </c>
      <c r="I266" s="617">
        <v>0</v>
      </c>
      <c r="J266" s="617">
        <v>356.2174378154993</v>
      </c>
      <c r="K266" s="617">
        <v>2.8218082810591305</v>
      </c>
      <c r="L266" s="624">
        <v>146.34261435709328</v>
      </c>
      <c r="M266" s="617">
        <v>0</v>
      </c>
      <c r="N266" s="617">
        <v>0</v>
      </c>
      <c r="O266" s="617">
        <v>0</v>
      </c>
      <c r="P266" s="617">
        <v>64.942110533106998</v>
      </c>
      <c r="Q266" s="617">
        <v>2.5490453181526216</v>
      </c>
      <c r="R266" s="617">
        <v>65.464442489443798</v>
      </c>
      <c r="S266" s="617">
        <v>37.934908289026019</v>
      </c>
      <c r="T266" s="617">
        <v>105.39487042391544</v>
      </c>
      <c r="U266" s="617">
        <v>3.8758335430782287</v>
      </c>
      <c r="V266" s="617">
        <v>443.94370217895619</v>
      </c>
      <c r="W266" s="617">
        <v>65.916211304815718</v>
      </c>
      <c r="X266" s="617">
        <v>19.068438424036124</v>
      </c>
      <c r="Y266" s="617">
        <v>1317.9833881494469</v>
      </c>
      <c r="Z266" s="51"/>
      <c r="AA266" s="51"/>
      <c r="AB266" s="51"/>
    </row>
    <row r="267" spans="1:28">
      <c r="A267" s="51"/>
      <c r="B267" s="51"/>
      <c r="C267" s="51"/>
      <c r="D267" s="51"/>
      <c r="E267" s="51"/>
      <c r="F267" s="51"/>
      <c r="G267" s="51"/>
      <c r="H267" s="67">
        <v>0</v>
      </c>
      <c r="I267" s="67">
        <v>0</v>
      </c>
      <c r="J267" s="67">
        <v>-5.6843418860808015E-14</v>
      </c>
      <c r="K267" s="67">
        <v>0</v>
      </c>
      <c r="L267" s="67">
        <v>0</v>
      </c>
      <c r="M267" s="67">
        <v>0</v>
      </c>
      <c r="N267" s="67">
        <v>0</v>
      </c>
      <c r="O267" s="67">
        <v>0</v>
      </c>
      <c r="P267" s="67">
        <v>0</v>
      </c>
      <c r="Q267" s="67">
        <v>0</v>
      </c>
      <c r="R267" s="67">
        <v>-1.6135057642804664</v>
      </c>
      <c r="S267" s="67">
        <v>-3.219646771412954E-15</v>
      </c>
      <c r="T267" s="67">
        <v>0</v>
      </c>
      <c r="U267" s="67">
        <v>0</v>
      </c>
      <c r="V267" s="67">
        <v>-1.1368683772161603E-13</v>
      </c>
      <c r="W267" s="67">
        <v>-1.4210854715202004E-14</v>
      </c>
      <c r="X267" s="67">
        <v>0</v>
      </c>
      <c r="Y267" s="67">
        <v>-1.6135057642804895</v>
      </c>
      <c r="Z267" s="51"/>
      <c r="AA267" s="51"/>
      <c r="AB267" s="51"/>
    </row>
    <row r="268" spans="1:28">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row>
    <row r="269" spans="1:28">
      <c r="A269" s="608"/>
      <c r="B269" s="608"/>
      <c r="C269" s="608"/>
      <c r="D269" s="608"/>
      <c r="E269" s="608"/>
      <c r="F269" s="608"/>
      <c r="G269" s="609" t="s">
        <v>361</v>
      </c>
      <c r="H269" s="608"/>
      <c r="I269" s="608"/>
      <c r="J269" s="608"/>
      <c r="K269" s="608"/>
      <c r="L269" s="608"/>
      <c r="M269" s="608"/>
      <c r="N269" s="608"/>
      <c r="O269" s="608"/>
      <c r="P269" s="608"/>
      <c r="Q269" s="608"/>
      <c r="R269" s="608"/>
      <c r="S269" s="608"/>
      <c r="T269" s="608"/>
      <c r="U269" s="608"/>
      <c r="V269" s="608"/>
      <c r="W269" s="608"/>
      <c r="X269" s="608"/>
      <c r="Y269" s="608"/>
      <c r="Z269" s="608"/>
      <c r="AA269" s="608"/>
      <c r="AB269" s="608"/>
    </row>
    <row r="270" spans="1:28">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row>
    <row r="271" spans="1:28" ht="14.25" customHeight="1">
      <c r="A271" s="51"/>
      <c r="B271" s="51"/>
      <c r="C271" s="51"/>
      <c r="D271" s="51"/>
      <c r="E271" s="51"/>
      <c r="F271" s="51"/>
      <c r="G271" s="713" t="s">
        <v>128</v>
      </c>
      <c r="H271" s="711" t="s">
        <v>42</v>
      </c>
      <c r="I271" s="711" t="s">
        <v>52</v>
      </c>
      <c r="J271" s="711" t="s">
        <v>53</v>
      </c>
      <c r="K271" s="711" t="s">
        <v>487</v>
      </c>
      <c r="L271" s="711" t="s">
        <v>32</v>
      </c>
      <c r="M271" s="711" t="s">
        <v>488</v>
      </c>
      <c r="N271" s="711" t="s">
        <v>20</v>
      </c>
      <c r="O271" s="711" t="s">
        <v>55</v>
      </c>
      <c r="P271" s="715" t="s">
        <v>56</v>
      </c>
      <c r="Q271" s="716"/>
      <c r="R271" s="716"/>
      <c r="S271" s="716"/>
      <c r="T271" s="716"/>
      <c r="U271" s="717"/>
      <c r="V271" s="711" t="s">
        <v>57</v>
      </c>
      <c r="W271" s="711" t="s">
        <v>58</v>
      </c>
      <c r="X271" s="711" t="s">
        <v>31</v>
      </c>
      <c r="Y271" s="711" t="s">
        <v>10</v>
      </c>
      <c r="Z271" s="51"/>
      <c r="AA271" s="51"/>
      <c r="AB271" s="51"/>
    </row>
    <row r="272" spans="1:28" ht="24">
      <c r="A272" s="51"/>
      <c r="B272" s="51"/>
      <c r="C272" s="51"/>
      <c r="D272" s="51" t="s">
        <v>491</v>
      </c>
      <c r="E272" s="51"/>
      <c r="F272" s="51"/>
      <c r="G272" s="714"/>
      <c r="H272" s="712"/>
      <c r="I272" s="712"/>
      <c r="J272" s="712"/>
      <c r="K272" s="712"/>
      <c r="L272" s="712"/>
      <c r="M272" s="712"/>
      <c r="N272" s="712"/>
      <c r="O272" s="712"/>
      <c r="P272" s="610" t="s">
        <v>338</v>
      </c>
      <c r="Q272" s="610" t="s">
        <v>40</v>
      </c>
      <c r="R272" s="610" t="s">
        <v>346</v>
      </c>
      <c r="S272" s="610" t="s">
        <v>347</v>
      </c>
      <c r="T272" s="611" t="s">
        <v>348</v>
      </c>
      <c r="U272" s="610" t="s">
        <v>349</v>
      </c>
      <c r="V272" s="712"/>
      <c r="W272" s="712"/>
      <c r="X272" s="712"/>
      <c r="Y272" s="712"/>
      <c r="Z272" s="51"/>
      <c r="AA272" s="51"/>
      <c r="AB272" s="51"/>
    </row>
    <row r="273" spans="1:28">
      <c r="A273" s="51" t="e">
        <f>A236</f>
        <v>#REF!</v>
      </c>
      <c r="B273" s="51">
        <v>2035</v>
      </c>
      <c r="C273" s="51" t="s">
        <v>47</v>
      </c>
      <c r="D273" s="51" t="s">
        <v>492</v>
      </c>
      <c r="E273" s="51" t="e">
        <f>VLOOKUP($H$6,#REF!,2,FALSE)</f>
        <v>#REF!</v>
      </c>
      <c r="F273" s="51"/>
      <c r="G273" s="612" t="s">
        <v>59</v>
      </c>
      <c r="H273" s="613">
        <v>0</v>
      </c>
      <c r="I273" s="613">
        <v>5.8150000000000004</v>
      </c>
      <c r="J273" s="613">
        <v>0</v>
      </c>
      <c r="K273" s="613">
        <v>0</v>
      </c>
      <c r="L273" s="613">
        <v>9.3040000000000012E-2</v>
      </c>
      <c r="M273" s="613">
        <v>0</v>
      </c>
      <c r="N273" s="614">
        <v>1023.0684545454548</v>
      </c>
      <c r="O273" s="614">
        <v>284.16835095393981</v>
      </c>
      <c r="P273" s="614">
        <v>269.81870425368078</v>
      </c>
      <c r="Q273" s="614">
        <v>27.2984599449927</v>
      </c>
      <c r="R273" s="613">
        <v>1.5151391983163085</v>
      </c>
      <c r="S273" s="613">
        <v>0.16086233431790645</v>
      </c>
      <c r="T273" s="614">
        <v>114.79412791174752</v>
      </c>
      <c r="U273" s="614">
        <v>17.865639972874789</v>
      </c>
      <c r="V273" s="613">
        <v>0</v>
      </c>
      <c r="W273" s="613">
        <v>0</v>
      </c>
      <c r="X273" s="613">
        <v>0</v>
      </c>
      <c r="Y273" s="615">
        <v>1744.5977791153243</v>
      </c>
      <c r="Z273" s="51"/>
      <c r="AA273" s="51"/>
      <c r="AB273" s="51"/>
    </row>
    <row r="274" spans="1:28">
      <c r="A274" s="51" t="e">
        <f t="shared" ref="A274:A279" si="36">A273+1</f>
        <v>#REF!</v>
      </c>
      <c r="B274" s="51">
        <f t="shared" ref="B274:C279" si="37">B273</f>
        <v>2035</v>
      </c>
      <c r="C274" s="51" t="str">
        <f t="shared" si="37"/>
        <v>AMS</v>
      </c>
      <c r="D274" s="51" t="s">
        <v>493</v>
      </c>
      <c r="E274" s="51" t="e">
        <f>VLOOKUP($H$6,#REF!,2,FALSE)</f>
        <v>#REF!</v>
      </c>
      <c r="F274" s="51"/>
      <c r="G274" s="612" t="s">
        <v>60</v>
      </c>
      <c r="H274" s="613">
        <v>16.178882267256224</v>
      </c>
      <c r="I274" s="613">
        <v>338.94665094130841</v>
      </c>
      <c r="J274" s="613">
        <v>53.154703213153105</v>
      </c>
      <c r="K274" s="613">
        <v>0.84709048921241781</v>
      </c>
      <c r="L274" s="613">
        <v>155.6476805846371</v>
      </c>
      <c r="M274" s="613">
        <v>0</v>
      </c>
      <c r="N274" s="613">
        <v>0</v>
      </c>
      <c r="O274" s="613">
        <v>0</v>
      </c>
      <c r="P274" s="613">
        <v>3.3497189577114872</v>
      </c>
      <c r="Q274" s="613">
        <v>0</v>
      </c>
      <c r="R274" s="613">
        <v>3.7248932526167962</v>
      </c>
      <c r="S274" s="613">
        <v>0</v>
      </c>
      <c r="T274" s="613">
        <v>0</v>
      </c>
      <c r="U274" s="613">
        <v>0</v>
      </c>
      <c r="V274" s="613">
        <v>0</v>
      </c>
      <c r="W274" s="613">
        <v>0</v>
      </c>
      <c r="X274" s="613">
        <v>0</v>
      </c>
      <c r="Y274" s="615">
        <v>571.84961970589541</v>
      </c>
      <c r="Z274" s="51"/>
      <c r="AA274" s="51"/>
      <c r="AB274" s="51"/>
    </row>
    <row r="275" spans="1:28">
      <c r="A275" s="51" t="e">
        <f t="shared" si="36"/>
        <v>#REF!</v>
      </c>
      <c r="B275" s="51">
        <f t="shared" si="37"/>
        <v>2035</v>
      </c>
      <c r="C275" s="51" t="str">
        <f t="shared" si="37"/>
        <v>AMS</v>
      </c>
      <c r="D275" s="51" t="s">
        <v>494</v>
      </c>
      <c r="E275" s="51" t="e">
        <f>VLOOKUP($H$6,#REF!,2,FALSE)</f>
        <v>#REF!</v>
      </c>
      <c r="F275" s="51"/>
      <c r="G275" s="612" t="s">
        <v>61</v>
      </c>
      <c r="H275" s="613">
        <v>0</v>
      </c>
      <c r="I275" s="613">
        <v>0</v>
      </c>
      <c r="J275" s="613">
        <v>-0.33572040479024756</v>
      </c>
      <c r="K275" s="613">
        <v>0</v>
      </c>
      <c r="L275" s="613">
        <v>0</v>
      </c>
      <c r="M275" s="613">
        <v>0</v>
      </c>
      <c r="N275" s="613">
        <v>0</v>
      </c>
      <c r="O275" s="613">
        <v>0</v>
      </c>
      <c r="P275" s="613">
        <v>0</v>
      </c>
      <c r="Q275" s="613">
        <v>0</v>
      </c>
      <c r="R275" s="613">
        <v>0</v>
      </c>
      <c r="S275" s="613">
        <v>0</v>
      </c>
      <c r="T275" s="613">
        <v>0</v>
      </c>
      <c r="U275" s="613">
        <v>0</v>
      </c>
      <c r="V275" s="613">
        <v>-76.331222061197195</v>
      </c>
      <c r="W275" s="613">
        <v>0</v>
      </c>
      <c r="X275" s="613">
        <v>0</v>
      </c>
      <c r="Y275" s="615">
        <v>-76.666942465987447</v>
      </c>
      <c r="Z275" s="51"/>
      <c r="AA275" s="51"/>
      <c r="AB275" s="51"/>
    </row>
    <row r="276" spans="1:28">
      <c r="A276" s="51" t="e">
        <f t="shared" si="36"/>
        <v>#REF!</v>
      </c>
      <c r="B276" s="51">
        <f t="shared" si="37"/>
        <v>2035</v>
      </c>
      <c r="C276" s="51" t="str">
        <f t="shared" si="37"/>
        <v>AMS</v>
      </c>
      <c r="D276" s="51" t="s">
        <v>495</v>
      </c>
      <c r="E276" s="51" t="e">
        <f>VLOOKUP($H$6,#REF!,2,FALSE)</f>
        <v>#REF!</v>
      </c>
      <c r="F276" s="51"/>
      <c r="G276" s="612" t="s">
        <v>62</v>
      </c>
      <c r="H276" s="613">
        <v>0</v>
      </c>
      <c r="I276" s="613">
        <v>0</v>
      </c>
      <c r="J276" s="613">
        <v>-12.959356122819004</v>
      </c>
      <c r="K276" s="613">
        <v>-1.1745589556928391</v>
      </c>
      <c r="L276" s="613">
        <v>-1.8985906548092106</v>
      </c>
      <c r="M276" s="613">
        <v>0</v>
      </c>
      <c r="N276" s="613">
        <v>0</v>
      </c>
      <c r="O276" s="613">
        <v>0</v>
      </c>
      <c r="P276" s="613">
        <v>0</v>
      </c>
      <c r="Q276" s="613">
        <v>0</v>
      </c>
      <c r="R276" s="613">
        <v>-0.50338240958264524</v>
      </c>
      <c r="S276" s="613">
        <v>-0.70221846136779031</v>
      </c>
      <c r="T276" s="613">
        <v>0</v>
      </c>
      <c r="U276" s="613">
        <v>0</v>
      </c>
      <c r="V276" s="613">
        <v>0</v>
      </c>
      <c r="W276" s="613">
        <v>0</v>
      </c>
      <c r="X276" s="613">
        <v>0</v>
      </c>
      <c r="Y276" s="615">
        <v>-17.23810660427149</v>
      </c>
      <c r="Z276" s="51"/>
      <c r="AA276" s="51"/>
      <c r="AB276" s="51"/>
    </row>
    <row r="277" spans="1:28">
      <c r="A277" s="51" t="e">
        <f t="shared" si="36"/>
        <v>#REF!</v>
      </c>
      <c r="B277" s="51">
        <f t="shared" si="37"/>
        <v>2035</v>
      </c>
      <c r="C277" s="51" t="str">
        <f t="shared" si="37"/>
        <v>AMS</v>
      </c>
      <c r="D277" s="51" t="s">
        <v>496</v>
      </c>
      <c r="E277" s="51" t="e">
        <f>VLOOKUP($H$6,#REF!,2,FALSE)</f>
        <v>#REF!</v>
      </c>
      <c r="F277" s="51"/>
      <c r="G277" s="612" t="s">
        <v>63</v>
      </c>
      <c r="H277" s="613">
        <v>0</v>
      </c>
      <c r="I277" s="613">
        <v>0</v>
      </c>
      <c r="J277" s="613">
        <v>-60.220777612804881</v>
      </c>
      <c r="K277" s="613">
        <v>-3.9749070731502325</v>
      </c>
      <c r="L277" s="613">
        <v>0</v>
      </c>
      <c r="M277" s="613">
        <v>0</v>
      </c>
      <c r="N277" s="613">
        <v>0</v>
      </c>
      <c r="O277" s="613">
        <v>0</v>
      </c>
      <c r="P277" s="613">
        <v>0</v>
      </c>
      <c r="Q277" s="613">
        <v>0</v>
      </c>
      <c r="R277" s="613">
        <v>-11.924721219450698</v>
      </c>
      <c r="S277" s="613">
        <v>0</v>
      </c>
      <c r="T277" s="613">
        <v>0</v>
      </c>
      <c r="U277" s="613">
        <v>0</v>
      </c>
      <c r="V277" s="613">
        <v>0</v>
      </c>
      <c r="W277" s="613">
        <v>0</v>
      </c>
      <c r="X277" s="613">
        <v>-0.14322207633849007</v>
      </c>
      <c r="Y277" s="615">
        <v>-76.263627981744307</v>
      </c>
      <c r="Z277" s="51"/>
      <c r="AA277" s="51"/>
      <c r="AB277" s="51"/>
    </row>
    <row r="278" spans="1:28">
      <c r="A278" s="51" t="e">
        <f t="shared" si="36"/>
        <v>#REF!</v>
      </c>
      <c r="B278" s="51">
        <f t="shared" si="37"/>
        <v>2035</v>
      </c>
      <c r="C278" s="51" t="str">
        <f t="shared" si="37"/>
        <v>AMS</v>
      </c>
      <c r="D278" s="51" t="s">
        <v>497</v>
      </c>
      <c r="E278" s="51" t="e">
        <f>VLOOKUP($H$6,#REF!,2,FALSE)</f>
        <v>#REF!</v>
      </c>
      <c r="F278" s="51"/>
      <c r="G278" s="612" t="s">
        <v>64</v>
      </c>
      <c r="H278" s="613">
        <v>0</v>
      </c>
      <c r="I278" s="613">
        <v>0</v>
      </c>
      <c r="J278" s="613">
        <v>0</v>
      </c>
      <c r="K278" s="613">
        <v>0</v>
      </c>
      <c r="L278" s="613">
        <v>0</v>
      </c>
      <c r="M278" s="613">
        <v>0</v>
      </c>
      <c r="N278" s="613">
        <v>0</v>
      </c>
      <c r="O278" s="613">
        <v>0</v>
      </c>
      <c r="P278" s="613">
        <v>0</v>
      </c>
      <c r="Q278" s="613">
        <v>0</v>
      </c>
      <c r="R278" s="613">
        <v>0</v>
      </c>
      <c r="S278" s="613">
        <v>0</v>
      </c>
      <c r="T278" s="613">
        <v>0</v>
      </c>
      <c r="U278" s="613">
        <v>0</v>
      </c>
      <c r="V278" s="613">
        <v>0</v>
      </c>
      <c r="W278" s="613">
        <v>0</v>
      </c>
      <c r="X278" s="613">
        <v>0</v>
      </c>
      <c r="Y278" s="615">
        <v>0</v>
      </c>
      <c r="Z278" s="51"/>
      <c r="AA278" s="51"/>
      <c r="AB278" s="51"/>
    </row>
    <row r="279" spans="1:28">
      <c r="A279" s="51" t="e">
        <f t="shared" si="36"/>
        <v>#REF!</v>
      </c>
      <c r="B279" s="51">
        <f t="shared" si="37"/>
        <v>2035</v>
      </c>
      <c r="C279" s="51" t="str">
        <f t="shared" si="37"/>
        <v>AMS</v>
      </c>
      <c r="D279" s="51" t="s">
        <v>498</v>
      </c>
      <c r="E279" s="51" t="e">
        <f>VLOOKUP($H$6,#REF!,2,FALSE)</f>
        <v>#REF!</v>
      </c>
      <c r="F279" s="51"/>
      <c r="G279" s="616" t="s">
        <v>65</v>
      </c>
      <c r="H279" s="617">
        <v>16.178882267256224</v>
      </c>
      <c r="I279" s="617">
        <v>344.7616509413084</v>
      </c>
      <c r="J279" s="617">
        <v>-20.361150927261026</v>
      </c>
      <c r="K279" s="617">
        <v>-4.3023755396306536</v>
      </c>
      <c r="L279" s="624">
        <v>153.84212992982791</v>
      </c>
      <c r="M279" s="617">
        <v>0</v>
      </c>
      <c r="N279" s="617">
        <v>1023.0684545454548</v>
      </c>
      <c r="O279" s="617">
        <v>284.16835095393981</v>
      </c>
      <c r="P279" s="617">
        <v>273.16842321139228</v>
      </c>
      <c r="Q279" s="617">
        <v>27.2984599449927</v>
      </c>
      <c r="R279" s="617">
        <v>-7.1880711781002375</v>
      </c>
      <c r="S279" s="617">
        <v>-0.5413561270498839</v>
      </c>
      <c r="T279" s="617">
        <v>114.79412791174752</v>
      </c>
      <c r="U279" s="617">
        <v>17.865639972874789</v>
      </c>
      <c r="V279" s="617">
        <v>-76.331222061197195</v>
      </c>
      <c r="W279" s="617">
        <v>0</v>
      </c>
      <c r="X279" s="617">
        <v>-0.14322207633849007</v>
      </c>
      <c r="Y279" s="617">
        <v>2146.2787217692166</v>
      </c>
      <c r="Z279" s="51"/>
      <c r="AA279" s="51"/>
      <c r="AB279" s="51"/>
    </row>
    <row r="280" spans="1:28">
      <c r="A280" s="51"/>
      <c r="B280" s="51"/>
      <c r="C280" s="51"/>
      <c r="D280" s="51"/>
      <c r="E280" s="51"/>
      <c r="F280" s="51"/>
      <c r="G280" s="618"/>
      <c r="H280" s="619">
        <v>0</v>
      </c>
      <c r="I280" s="619">
        <v>0</v>
      </c>
      <c r="J280" s="619">
        <v>0</v>
      </c>
      <c r="K280" s="619">
        <v>0</v>
      </c>
      <c r="L280" s="625">
        <v>0</v>
      </c>
      <c r="M280" s="619">
        <v>0</v>
      </c>
      <c r="N280" s="619">
        <v>0</v>
      </c>
      <c r="O280" s="619">
        <v>0</v>
      </c>
      <c r="P280" s="619">
        <v>0</v>
      </c>
      <c r="Q280" s="619">
        <v>0</v>
      </c>
      <c r="R280" s="619">
        <v>0</v>
      </c>
      <c r="S280" s="619">
        <v>0</v>
      </c>
      <c r="T280" s="619">
        <v>0</v>
      </c>
      <c r="U280" s="619">
        <v>0</v>
      </c>
      <c r="V280" s="619">
        <v>0</v>
      </c>
      <c r="W280" s="619">
        <v>0</v>
      </c>
      <c r="X280" s="619">
        <v>0</v>
      </c>
      <c r="Y280" s="619">
        <v>0</v>
      </c>
      <c r="Z280" s="51"/>
      <c r="AA280" s="51"/>
      <c r="AB280" s="51"/>
    </row>
    <row r="281" spans="1:28">
      <c r="A281" s="51" t="e">
        <f>A279+2</f>
        <v>#REF!</v>
      </c>
      <c r="B281" s="51">
        <f>B279</f>
        <v>2035</v>
      </c>
      <c r="C281" s="51" t="str">
        <f>C279</f>
        <v>AMS</v>
      </c>
      <c r="D281" s="51" t="s">
        <v>499</v>
      </c>
      <c r="E281" s="51" t="e">
        <f>VLOOKUP($H$6,#REF!,2,FALSE)</f>
        <v>#REF!</v>
      </c>
      <c r="F281" s="51"/>
      <c r="G281" s="620" t="s">
        <v>67</v>
      </c>
      <c r="H281" s="613">
        <v>0</v>
      </c>
      <c r="I281" s="613">
        <v>0</v>
      </c>
      <c r="J281" s="613">
        <v>0</v>
      </c>
      <c r="K281" s="613">
        <v>0</v>
      </c>
      <c r="L281" s="613">
        <v>0</v>
      </c>
      <c r="M281" s="613">
        <v>0</v>
      </c>
      <c r="N281" s="613">
        <v>0</v>
      </c>
      <c r="O281" s="613">
        <v>0</v>
      </c>
      <c r="P281" s="613">
        <v>0</v>
      </c>
      <c r="Q281" s="613">
        <v>0</v>
      </c>
      <c r="R281" s="613">
        <v>0</v>
      </c>
      <c r="S281" s="613">
        <v>0</v>
      </c>
      <c r="T281" s="613">
        <v>0</v>
      </c>
      <c r="U281" s="613">
        <v>0</v>
      </c>
      <c r="V281" s="613">
        <v>0</v>
      </c>
      <c r="W281" s="613">
        <v>0</v>
      </c>
      <c r="X281" s="613">
        <v>0</v>
      </c>
      <c r="Y281" s="621">
        <v>0</v>
      </c>
      <c r="Z281" s="51"/>
      <c r="AA281" s="51"/>
      <c r="AB281" s="51"/>
    </row>
    <row r="282" spans="1:28">
      <c r="A282" s="51" t="e">
        <f t="shared" ref="A282:A293" si="38">A281+1</f>
        <v>#REF!</v>
      </c>
      <c r="B282" s="51">
        <f t="shared" ref="B282:C293" si="39">B281</f>
        <v>2035</v>
      </c>
      <c r="C282" s="51" t="str">
        <f t="shared" si="39"/>
        <v>AMS</v>
      </c>
      <c r="D282" s="51" t="s">
        <v>500</v>
      </c>
      <c r="E282" s="51" t="e">
        <f>VLOOKUP($H$6,#REF!,2,FALSE)</f>
        <v>#REF!</v>
      </c>
      <c r="F282" s="51"/>
      <c r="G282" s="620" t="s">
        <v>350</v>
      </c>
      <c r="H282" s="613">
        <v>0</v>
      </c>
      <c r="I282" s="613">
        <v>0</v>
      </c>
      <c r="J282" s="613">
        <v>0.802217285608815</v>
      </c>
      <c r="K282" s="613">
        <v>0</v>
      </c>
      <c r="L282" s="613">
        <v>11.570782344533336</v>
      </c>
      <c r="M282" s="613">
        <v>0</v>
      </c>
      <c r="N282" s="613">
        <v>1023.0684545454548</v>
      </c>
      <c r="O282" s="613">
        <v>284.16835095393981</v>
      </c>
      <c r="P282" s="613">
        <v>27.371602395057661</v>
      </c>
      <c r="Q282" s="613">
        <v>10.452056741028787</v>
      </c>
      <c r="R282" s="613">
        <v>5.0291337303525587</v>
      </c>
      <c r="S282" s="613">
        <v>3.0057674706187218</v>
      </c>
      <c r="T282" s="613">
        <v>0</v>
      </c>
      <c r="U282" s="613">
        <v>2.7943993103273139</v>
      </c>
      <c r="V282" s="613">
        <v>-648.73167836989808</v>
      </c>
      <c r="W282" s="613">
        <v>0</v>
      </c>
      <c r="X282" s="613">
        <v>0</v>
      </c>
      <c r="Y282" s="621">
        <v>719.53108640702374</v>
      </c>
      <c r="Z282" s="51"/>
      <c r="AA282" s="51"/>
      <c r="AB282" s="51"/>
    </row>
    <row r="283" spans="1:28">
      <c r="A283" s="51" t="e">
        <f t="shared" si="38"/>
        <v>#REF!</v>
      </c>
      <c r="B283" s="51">
        <f t="shared" si="39"/>
        <v>2035</v>
      </c>
      <c r="C283" s="51" t="str">
        <f t="shared" si="39"/>
        <v>AMS</v>
      </c>
      <c r="D283" s="51" t="s">
        <v>501</v>
      </c>
      <c r="E283" s="51" t="e">
        <f>VLOOKUP($H$6,#REF!,2,FALSE)</f>
        <v>#REF!</v>
      </c>
      <c r="F283" s="51"/>
      <c r="G283" s="620" t="s">
        <v>351</v>
      </c>
      <c r="H283" s="613">
        <v>0</v>
      </c>
      <c r="I283" s="613">
        <v>0</v>
      </c>
      <c r="J283" s="613">
        <v>0</v>
      </c>
      <c r="K283" s="613">
        <v>0</v>
      </c>
      <c r="L283" s="613">
        <v>12.378684044888715</v>
      </c>
      <c r="M283" s="613">
        <v>0</v>
      </c>
      <c r="N283" s="613">
        <v>0</v>
      </c>
      <c r="O283" s="613">
        <v>0</v>
      </c>
      <c r="P283" s="613">
        <v>36.0447949504767</v>
      </c>
      <c r="Q283" s="613">
        <v>14.339300216640275</v>
      </c>
      <c r="R283" s="613">
        <v>0</v>
      </c>
      <c r="S283" s="613">
        <v>4.1400526748892315</v>
      </c>
      <c r="T283" s="613">
        <v>0</v>
      </c>
      <c r="U283" s="613">
        <v>10.825953288370551</v>
      </c>
      <c r="V283" s="613">
        <v>0</v>
      </c>
      <c r="W283" s="613">
        <v>-71.400838762535344</v>
      </c>
      <c r="X283" s="613">
        <v>0</v>
      </c>
      <c r="Y283" s="621">
        <v>6.3279464127301193</v>
      </c>
      <c r="Z283" s="51"/>
      <c r="AA283" s="51"/>
      <c r="AB283" s="51"/>
    </row>
    <row r="284" spans="1:28">
      <c r="A284" s="51" t="e">
        <f t="shared" si="38"/>
        <v>#REF!</v>
      </c>
      <c r="B284" s="51">
        <f t="shared" si="39"/>
        <v>2035</v>
      </c>
      <c r="C284" s="51" t="str">
        <f t="shared" si="39"/>
        <v>AMS</v>
      </c>
      <c r="D284" s="51" t="s">
        <v>502</v>
      </c>
      <c r="E284" s="51" t="e">
        <f>VLOOKUP($H$6,#REF!,2,FALSE)</f>
        <v>#REF!</v>
      </c>
      <c r="F284" s="51"/>
      <c r="G284" s="620" t="s">
        <v>352</v>
      </c>
      <c r="H284" s="613">
        <v>0</v>
      </c>
      <c r="I284" s="613">
        <v>0</v>
      </c>
      <c r="J284" s="613">
        <v>0</v>
      </c>
      <c r="K284" s="613">
        <v>0</v>
      </c>
      <c r="L284" s="613">
        <v>0</v>
      </c>
      <c r="M284" s="613">
        <v>0</v>
      </c>
      <c r="N284" s="613">
        <v>0</v>
      </c>
      <c r="O284" s="613">
        <v>0</v>
      </c>
      <c r="P284" s="613">
        <v>59.968856760861129</v>
      </c>
      <c r="Q284" s="613">
        <v>0</v>
      </c>
      <c r="R284" s="613">
        <v>0</v>
      </c>
      <c r="S284" s="613">
        <v>-54.406350606326953</v>
      </c>
      <c r="T284" s="613">
        <v>0</v>
      </c>
      <c r="U284" s="613">
        <v>0</v>
      </c>
      <c r="V284" s="613">
        <v>0</v>
      </c>
      <c r="W284" s="613">
        <v>0</v>
      </c>
      <c r="X284" s="613">
        <v>0</v>
      </c>
      <c r="Y284" s="621">
        <v>5.5625061545341765</v>
      </c>
      <c r="Z284" s="51"/>
      <c r="AA284" s="51"/>
      <c r="AB284" s="51"/>
    </row>
    <row r="285" spans="1:28">
      <c r="A285" s="51" t="e">
        <f t="shared" si="38"/>
        <v>#REF!</v>
      </c>
      <c r="B285" s="51">
        <f t="shared" si="39"/>
        <v>2035</v>
      </c>
      <c r="C285" s="51" t="str">
        <f t="shared" si="39"/>
        <v>AMS</v>
      </c>
      <c r="D285" s="51" t="s">
        <v>503</v>
      </c>
      <c r="E285" s="51" t="e">
        <f>VLOOKUP($H$6,#REF!,2,FALSE)</f>
        <v>#REF!</v>
      </c>
      <c r="F285" s="51"/>
      <c r="G285" s="620" t="s">
        <v>353</v>
      </c>
      <c r="H285" s="613">
        <v>0</v>
      </c>
      <c r="I285" s="613">
        <v>0</v>
      </c>
      <c r="J285" s="613">
        <v>0</v>
      </c>
      <c r="K285" s="613">
        <v>0</v>
      </c>
      <c r="L285" s="613">
        <v>0</v>
      </c>
      <c r="M285" s="613">
        <v>0</v>
      </c>
      <c r="N285" s="613">
        <v>0</v>
      </c>
      <c r="O285" s="613">
        <v>0</v>
      </c>
      <c r="P285" s="613">
        <v>0</v>
      </c>
      <c r="Q285" s="613">
        <v>0</v>
      </c>
      <c r="R285" s="613">
        <v>0</v>
      </c>
      <c r="S285" s="613">
        <v>0</v>
      </c>
      <c r="T285" s="613">
        <v>0</v>
      </c>
      <c r="U285" s="613">
        <v>0</v>
      </c>
      <c r="V285" s="613">
        <v>0</v>
      </c>
      <c r="W285" s="613">
        <v>0</v>
      </c>
      <c r="X285" s="613">
        <v>0</v>
      </c>
      <c r="Y285" s="621">
        <v>0</v>
      </c>
      <c r="Z285" s="51"/>
      <c r="AA285" s="51"/>
      <c r="AB285" s="51"/>
    </row>
    <row r="286" spans="1:28">
      <c r="A286" s="51" t="e">
        <f t="shared" si="38"/>
        <v>#REF!</v>
      </c>
      <c r="B286" s="51">
        <f t="shared" si="39"/>
        <v>2035</v>
      </c>
      <c r="C286" s="51" t="str">
        <f t="shared" si="39"/>
        <v>AMS</v>
      </c>
      <c r="D286" s="51" t="s">
        <v>504</v>
      </c>
      <c r="E286" s="51" t="e">
        <f>VLOOKUP($H$6,#REF!,2,FALSE)</f>
        <v>#REF!</v>
      </c>
      <c r="F286" s="51"/>
      <c r="G286" s="620" t="s">
        <v>72</v>
      </c>
      <c r="H286" s="613">
        <v>0</v>
      </c>
      <c r="I286" s="613">
        <v>357.27482859273942</v>
      </c>
      <c r="J286" s="613">
        <v>-353.71543432563573</v>
      </c>
      <c r="K286" s="613">
        <v>0</v>
      </c>
      <c r="L286" s="613">
        <v>0</v>
      </c>
      <c r="M286" s="613">
        <v>0</v>
      </c>
      <c r="N286" s="613">
        <v>0</v>
      </c>
      <c r="O286" s="613">
        <v>0</v>
      </c>
      <c r="P286" s="613">
        <v>0</v>
      </c>
      <c r="Q286" s="613">
        <v>0</v>
      </c>
      <c r="R286" s="613">
        <v>0</v>
      </c>
      <c r="S286" s="613">
        <v>0</v>
      </c>
      <c r="T286" s="613">
        <v>0</v>
      </c>
      <c r="U286" s="613">
        <v>0</v>
      </c>
      <c r="V286" s="613">
        <v>0</v>
      </c>
      <c r="W286" s="613">
        <v>0</v>
      </c>
      <c r="X286" s="613">
        <v>0</v>
      </c>
      <c r="Y286" s="621">
        <v>3.5593942671036793</v>
      </c>
      <c r="Z286" s="51"/>
      <c r="AA286" s="51"/>
      <c r="AB286" s="51"/>
    </row>
    <row r="287" spans="1:28">
      <c r="A287" s="51" t="e">
        <f t="shared" si="38"/>
        <v>#REF!</v>
      </c>
      <c r="B287" s="51">
        <f t="shared" si="39"/>
        <v>2035</v>
      </c>
      <c r="C287" s="51" t="str">
        <f t="shared" si="39"/>
        <v>AMS</v>
      </c>
      <c r="D287" s="51" t="s">
        <v>505</v>
      </c>
      <c r="E287" s="51" t="e">
        <f>VLOOKUP($H$6,#REF!,2,FALSE)</f>
        <v>#REF!</v>
      </c>
      <c r="F287" s="51"/>
      <c r="G287" s="620" t="s">
        <v>354</v>
      </c>
      <c r="H287" s="613">
        <v>0</v>
      </c>
      <c r="I287" s="613">
        <v>0</v>
      </c>
      <c r="J287" s="613">
        <v>0</v>
      </c>
      <c r="K287" s="613">
        <v>0</v>
      </c>
      <c r="L287" s="613">
        <v>0</v>
      </c>
      <c r="M287" s="613">
        <v>0</v>
      </c>
      <c r="N287" s="613">
        <v>0</v>
      </c>
      <c r="O287" s="613">
        <v>0</v>
      </c>
      <c r="P287" s="613">
        <v>87.509483344344957</v>
      </c>
      <c r="Q287" s="613">
        <v>0</v>
      </c>
      <c r="R287" s="613">
        <v>-87.509483344344957</v>
      </c>
      <c r="S287" s="613">
        <v>0</v>
      </c>
      <c r="T287" s="613">
        <v>0</v>
      </c>
      <c r="U287" s="613">
        <v>0</v>
      </c>
      <c r="V287" s="613">
        <v>0</v>
      </c>
      <c r="W287" s="613">
        <v>0</v>
      </c>
      <c r="X287" s="613">
        <v>0</v>
      </c>
      <c r="Y287" s="621">
        <v>0</v>
      </c>
      <c r="Z287" s="51"/>
      <c r="AA287" s="51"/>
      <c r="AB287" s="51"/>
    </row>
    <row r="288" spans="1:28">
      <c r="A288" s="51" t="e">
        <f t="shared" si="38"/>
        <v>#REF!</v>
      </c>
      <c r="B288" s="51">
        <f t="shared" si="39"/>
        <v>2035</v>
      </c>
      <c r="C288" s="51" t="str">
        <f t="shared" si="39"/>
        <v>AMS</v>
      </c>
      <c r="D288" s="51" t="s">
        <v>506</v>
      </c>
      <c r="E288" s="51" t="e">
        <f>VLOOKUP($H$6,#REF!,2,FALSE)</f>
        <v>#REF!</v>
      </c>
      <c r="F288" s="51"/>
      <c r="G288" s="620" t="s">
        <v>355</v>
      </c>
      <c r="H288" s="613">
        <v>0</v>
      </c>
      <c r="I288" s="613">
        <v>0</v>
      </c>
      <c r="J288" s="613">
        <v>0</v>
      </c>
      <c r="K288" s="613">
        <v>-7.9105007206485656</v>
      </c>
      <c r="L288" s="613">
        <v>0</v>
      </c>
      <c r="M288" s="613">
        <v>0</v>
      </c>
      <c r="N288" s="613">
        <v>0</v>
      </c>
      <c r="O288" s="613">
        <v>0</v>
      </c>
      <c r="P288" s="613">
        <v>0</v>
      </c>
      <c r="Q288" s="613">
        <v>0</v>
      </c>
      <c r="R288" s="613">
        <v>0</v>
      </c>
      <c r="S288" s="613">
        <v>0</v>
      </c>
      <c r="T288" s="613">
        <v>0</v>
      </c>
      <c r="U288" s="613">
        <v>0</v>
      </c>
      <c r="V288" s="613">
        <v>0</v>
      </c>
      <c r="W288" s="613">
        <v>0</v>
      </c>
      <c r="X288" s="613">
        <v>11.017410474440901</v>
      </c>
      <c r="Y288" s="621">
        <v>3.1069097537923351</v>
      </c>
      <c r="Z288" s="51"/>
      <c r="AA288" s="51"/>
      <c r="AB288" s="51"/>
    </row>
    <row r="289" spans="1:28">
      <c r="A289" s="51" t="e">
        <f t="shared" si="38"/>
        <v>#REF!</v>
      </c>
      <c r="B289" s="51">
        <f t="shared" si="39"/>
        <v>2035</v>
      </c>
      <c r="C289" s="51" t="str">
        <f t="shared" si="39"/>
        <v>AMS</v>
      </c>
      <c r="D289" s="51" t="s">
        <v>507</v>
      </c>
      <c r="E289" s="51" t="e">
        <f>VLOOKUP($H$6,#REF!,2,FALSE)</f>
        <v>#REF!</v>
      </c>
      <c r="F289" s="51"/>
      <c r="G289" s="620" t="s">
        <v>73</v>
      </c>
      <c r="H289" s="613">
        <v>0</v>
      </c>
      <c r="I289" s="613">
        <v>0</v>
      </c>
      <c r="J289" s="613">
        <v>0</v>
      </c>
      <c r="K289" s="613">
        <v>0</v>
      </c>
      <c r="L289" s="613">
        <v>0</v>
      </c>
      <c r="M289" s="613">
        <v>0</v>
      </c>
      <c r="N289" s="613">
        <v>0</v>
      </c>
      <c r="O289" s="613">
        <v>0</v>
      </c>
      <c r="P289" s="613">
        <v>0</v>
      </c>
      <c r="Q289" s="613">
        <v>0</v>
      </c>
      <c r="R289" s="613">
        <v>0</v>
      </c>
      <c r="S289" s="613">
        <v>0</v>
      </c>
      <c r="T289" s="613">
        <v>0</v>
      </c>
      <c r="U289" s="613">
        <v>0</v>
      </c>
      <c r="V289" s="613">
        <v>51.730551312429718</v>
      </c>
      <c r="W289" s="613">
        <v>0</v>
      </c>
      <c r="X289" s="613">
        <v>-34.530143001046838</v>
      </c>
      <c r="Y289" s="621">
        <v>17.20040831138288</v>
      </c>
      <c r="Z289" s="51"/>
      <c r="AA289" s="51"/>
      <c r="AB289" s="51"/>
    </row>
    <row r="290" spans="1:28">
      <c r="A290" s="51" t="e">
        <f t="shared" si="38"/>
        <v>#REF!</v>
      </c>
      <c r="B290" s="51">
        <f t="shared" si="39"/>
        <v>2035</v>
      </c>
      <c r="C290" s="51" t="str">
        <f t="shared" si="39"/>
        <v>AMS</v>
      </c>
      <c r="D290" s="51" t="s">
        <v>508</v>
      </c>
      <c r="E290" s="51" t="e">
        <f>VLOOKUP($H$6,#REF!,2,FALSE)</f>
        <v>#REF!</v>
      </c>
      <c r="F290" s="51"/>
      <c r="G290" s="620" t="s">
        <v>356</v>
      </c>
      <c r="H290" s="613">
        <v>9.1080551953124989</v>
      </c>
      <c r="I290" s="613">
        <v>-12.513177651431018</v>
      </c>
      <c r="J290" s="613">
        <v>16.300260399898175</v>
      </c>
      <c r="K290" s="613">
        <v>0</v>
      </c>
      <c r="L290" s="613">
        <v>0</v>
      </c>
      <c r="M290" s="613">
        <v>0</v>
      </c>
      <c r="N290" s="613">
        <v>0</v>
      </c>
      <c r="O290" s="613">
        <v>0</v>
      </c>
      <c r="P290" s="613">
        <v>0</v>
      </c>
      <c r="Q290" s="613">
        <v>0</v>
      </c>
      <c r="R290" s="613">
        <v>0</v>
      </c>
      <c r="S290" s="613">
        <v>0</v>
      </c>
      <c r="T290" s="613">
        <v>0</v>
      </c>
      <c r="U290" s="613">
        <v>0</v>
      </c>
      <c r="V290" s="613">
        <v>0</v>
      </c>
      <c r="W290" s="613">
        <v>0</v>
      </c>
      <c r="X290" s="613">
        <v>0</v>
      </c>
      <c r="Y290" s="621">
        <v>12.895137943779657</v>
      </c>
      <c r="Z290" s="51"/>
      <c r="AA290" s="51"/>
      <c r="AB290" s="51"/>
    </row>
    <row r="291" spans="1:28">
      <c r="A291" s="51" t="e">
        <f t="shared" si="38"/>
        <v>#REF!</v>
      </c>
      <c r="B291" s="51">
        <f t="shared" si="39"/>
        <v>2035</v>
      </c>
      <c r="C291" s="51" t="str">
        <f t="shared" si="39"/>
        <v>AMS</v>
      </c>
      <c r="D291" s="51" t="s">
        <v>509</v>
      </c>
      <c r="E291" s="51" t="e">
        <f>VLOOKUP($H$6,#REF!,2,FALSE)</f>
        <v>#REF!</v>
      </c>
      <c r="F291" s="51"/>
      <c r="G291" s="620" t="s">
        <v>75</v>
      </c>
      <c r="H291" s="613">
        <v>3.5420214648437502</v>
      </c>
      <c r="I291" s="613">
        <v>0</v>
      </c>
      <c r="J291" s="613">
        <v>18.654676129726123</v>
      </c>
      <c r="K291" s="613">
        <v>0</v>
      </c>
      <c r="L291" s="613">
        <v>3.9220454388203256</v>
      </c>
      <c r="M291" s="613">
        <v>0</v>
      </c>
      <c r="N291" s="613">
        <v>0</v>
      </c>
      <c r="O291" s="613">
        <v>0</v>
      </c>
      <c r="P291" s="613">
        <v>0</v>
      </c>
      <c r="Q291" s="613">
        <v>0</v>
      </c>
      <c r="R291" s="613">
        <v>0</v>
      </c>
      <c r="S291" s="613">
        <v>1.4506195458650522</v>
      </c>
      <c r="T291" s="613">
        <v>0</v>
      </c>
      <c r="U291" s="613">
        <v>0</v>
      </c>
      <c r="V291" s="613">
        <v>25.580253659658865</v>
      </c>
      <c r="W291" s="613">
        <v>0</v>
      </c>
      <c r="X291" s="613">
        <v>0</v>
      </c>
      <c r="Y291" s="621">
        <v>53.149616238914113</v>
      </c>
      <c r="Z291" s="51"/>
      <c r="AA291" s="51"/>
      <c r="AB291" s="51"/>
    </row>
    <row r="292" spans="1:28">
      <c r="A292" s="51" t="e">
        <f t="shared" si="38"/>
        <v>#REF!</v>
      </c>
      <c r="B292" s="51">
        <f t="shared" si="39"/>
        <v>2035</v>
      </c>
      <c r="C292" s="51" t="str">
        <f t="shared" si="39"/>
        <v>AMS</v>
      </c>
      <c r="D292" s="51" t="s">
        <v>510</v>
      </c>
      <c r="E292" s="51" t="e">
        <f>VLOOKUP($H$6,#REF!,2,FALSE)</f>
        <v>#REF!</v>
      </c>
      <c r="F292" s="51"/>
      <c r="G292" s="620" t="s">
        <v>76</v>
      </c>
      <c r="H292" s="613">
        <v>0</v>
      </c>
      <c r="I292" s="613">
        <v>0</v>
      </c>
      <c r="J292" s="613">
        <v>0</v>
      </c>
      <c r="K292" s="613">
        <v>0</v>
      </c>
      <c r="L292" s="613">
        <v>1.7295723297007575</v>
      </c>
      <c r="M292" s="613">
        <v>0</v>
      </c>
      <c r="N292" s="613">
        <v>0</v>
      </c>
      <c r="O292" s="613">
        <v>0</v>
      </c>
      <c r="P292" s="613">
        <v>0</v>
      </c>
      <c r="Q292" s="613">
        <v>0</v>
      </c>
      <c r="R292" s="613">
        <v>0</v>
      </c>
      <c r="S292" s="613">
        <v>0.63970483427288294</v>
      </c>
      <c r="T292" s="613">
        <v>0</v>
      </c>
      <c r="U292" s="613">
        <v>0</v>
      </c>
      <c r="V292" s="613">
        <v>43.823002745640586</v>
      </c>
      <c r="W292" s="613">
        <v>5.5373897346121579</v>
      </c>
      <c r="X292" s="613">
        <v>0</v>
      </c>
      <c r="Y292" s="621">
        <v>51.729669644226391</v>
      </c>
      <c r="Z292" s="51"/>
      <c r="AA292" s="51"/>
      <c r="AB292" s="51"/>
    </row>
    <row r="293" spans="1:28">
      <c r="A293" s="51" t="e">
        <f t="shared" si="38"/>
        <v>#REF!</v>
      </c>
      <c r="B293" s="51">
        <f t="shared" si="39"/>
        <v>2035</v>
      </c>
      <c r="C293" s="51" t="str">
        <f t="shared" si="39"/>
        <v>AMS</v>
      </c>
      <c r="D293" s="51" t="s">
        <v>511</v>
      </c>
      <c r="E293" s="51" t="e">
        <f>VLOOKUP($H$6,#REF!,2,FALSE)</f>
        <v>#REF!</v>
      </c>
      <c r="F293" s="51"/>
      <c r="G293" s="616" t="s">
        <v>77</v>
      </c>
      <c r="H293" s="617">
        <v>12.650076660156248</v>
      </c>
      <c r="I293" s="617">
        <v>344.7616509413084</v>
      </c>
      <c r="J293" s="617">
        <v>-317.95828051040263</v>
      </c>
      <c r="K293" s="617">
        <v>-7.9105007206485656</v>
      </c>
      <c r="L293" s="624">
        <v>29.601084157943134</v>
      </c>
      <c r="M293" s="617">
        <v>0</v>
      </c>
      <c r="N293" s="617">
        <v>1023.0684545454548</v>
      </c>
      <c r="O293" s="617">
        <v>284.16835095393981</v>
      </c>
      <c r="P293" s="617">
        <v>210.89473745074045</v>
      </c>
      <c r="Q293" s="617">
        <v>24.791356957669066</v>
      </c>
      <c r="R293" s="617">
        <v>-82.480349613992402</v>
      </c>
      <c r="S293" s="617">
        <v>-45.170206080681062</v>
      </c>
      <c r="T293" s="617">
        <v>0</v>
      </c>
      <c r="U293" s="617">
        <v>13.620352598697865</v>
      </c>
      <c r="V293" s="617">
        <v>-527.59787065216892</v>
      </c>
      <c r="W293" s="617">
        <v>-65.863449027923181</v>
      </c>
      <c r="X293" s="617">
        <v>-23.512732526605937</v>
      </c>
      <c r="Y293" s="617">
        <v>873.06267513348701</v>
      </c>
      <c r="Z293" s="51"/>
      <c r="AA293" s="51"/>
      <c r="AB293" s="51"/>
    </row>
    <row r="294" spans="1:28">
      <c r="A294" s="51"/>
      <c r="B294" s="51"/>
      <c r="C294" s="51"/>
      <c r="D294" s="51"/>
      <c r="E294" s="51"/>
      <c r="F294" s="51"/>
      <c r="G294" s="618"/>
      <c r="H294" s="619">
        <v>0</v>
      </c>
      <c r="I294" s="619">
        <v>0</v>
      </c>
      <c r="J294" s="619">
        <v>0</v>
      </c>
      <c r="K294" s="619">
        <v>0</v>
      </c>
      <c r="L294" s="625">
        <v>0</v>
      </c>
      <c r="M294" s="619">
        <v>0</v>
      </c>
      <c r="N294" s="619">
        <v>0</v>
      </c>
      <c r="O294" s="619">
        <v>0</v>
      </c>
      <c r="P294" s="619">
        <v>0</v>
      </c>
      <c r="Q294" s="619">
        <v>0</v>
      </c>
      <c r="R294" s="619">
        <v>0</v>
      </c>
      <c r="S294" s="619">
        <v>0</v>
      </c>
      <c r="T294" s="619">
        <v>0</v>
      </c>
      <c r="U294" s="619">
        <v>0</v>
      </c>
      <c r="V294" s="619">
        <v>0</v>
      </c>
      <c r="W294" s="619">
        <v>0</v>
      </c>
      <c r="X294" s="619">
        <v>0</v>
      </c>
      <c r="Y294" s="619">
        <v>0</v>
      </c>
      <c r="Z294" s="51"/>
      <c r="AA294" s="51"/>
      <c r="AB294" s="51"/>
    </row>
    <row r="295" spans="1:28">
      <c r="A295" s="51" t="e">
        <f>A293+2</f>
        <v>#REF!</v>
      </c>
      <c r="B295" s="51">
        <f>B293</f>
        <v>2035</v>
      </c>
      <c r="C295" s="51" t="str">
        <f>C273</f>
        <v>AMS</v>
      </c>
      <c r="D295" s="51" t="s">
        <v>512</v>
      </c>
      <c r="E295" s="51" t="e">
        <f>VLOOKUP($H$6,#REF!,2,FALSE)</f>
        <v>#REF!</v>
      </c>
      <c r="F295" s="51"/>
      <c r="G295" s="620" t="s">
        <v>78</v>
      </c>
      <c r="H295" s="613">
        <v>3.5288056070999749</v>
      </c>
      <c r="I295" s="613">
        <v>0</v>
      </c>
      <c r="J295" s="613">
        <v>9.0742751543652709</v>
      </c>
      <c r="K295" s="613">
        <v>0</v>
      </c>
      <c r="L295" s="613">
        <v>50.765702343803007</v>
      </c>
      <c r="M295" s="613">
        <v>0</v>
      </c>
      <c r="N295" s="613">
        <v>0</v>
      </c>
      <c r="O295" s="613">
        <v>0</v>
      </c>
      <c r="P295" s="613">
        <v>20.203559685037114</v>
      </c>
      <c r="Q295" s="613">
        <v>2.5066351077817299</v>
      </c>
      <c r="R295" s="613">
        <v>1.1254933974609376</v>
      </c>
      <c r="S295" s="613">
        <v>18.810321451312785</v>
      </c>
      <c r="T295" s="613">
        <v>5.5404179687499999</v>
      </c>
      <c r="U295" s="613">
        <v>6.9244826847420892E-4</v>
      </c>
      <c r="V295" s="613">
        <v>129.68210517319469</v>
      </c>
      <c r="W295" s="613">
        <v>18.067305271014469</v>
      </c>
      <c r="X295" s="613">
        <v>3.2886369628906249</v>
      </c>
      <c r="Y295" s="621">
        <v>262.59395057097908</v>
      </c>
      <c r="Z295" s="51"/>
      <c r="AA295" s="622" t="e" cm="1">
        <f t="array" aca="1" ref="AA295" ca="1">_xlfn.IFNA(INDEX(#REF!,MATCH(INDIRECT("Codes_bilans!"&amp;AA$1&amp;"$"&amp;$A295),#REF!,0),MATCH($B295,#REF!,0)),0)</f>
        <v>#REF!</v>
      </c>
      <c r="AB295" s="51"/>
    </row>
    <row r="296" spans="1:28">
      <c r="A296" s="51" t="e">
        <f t="shared" ref="A296:A303" si="40">A295+1</f>
        <v>#REF!</v>
      </c>
      <c r="B296" s="51">
        <f t="shared" ref="B296:C303" si="41">B295</f>
        <v>2035</v>
      </c>
      <c r="C296" s="51" t="str">
        <f t="shared" si="41"/>
        <v>AMS</v>
      </c>
      <c r="D296" s="51" t="s">
        <v>513</v>
      </c>
      <c r="E296" s="51" t="e">
        <f>VLOOKUP($H$6,#REF!,2,FALSE)</f>
        <v>#REF!</v>
      </c>
      <c r="F296" s="51"/>
      <c r="G296" s="620" t="s">
        <v>79</v>
      </c>
      <c r="H296" s="613">
        <v>0</v>
      </c>
      <c r="I296" s="613">
        <v>0</v>
      </c>
      <c r="J296" s="613">
        <v>183.65265309164423</v>
      </c>
      <c r="K296" s="613">
        <v>0.37586832320647884</v>
      </c>
      <c r="L296" s="613">
        <v>4.5862710057628444</v>
      </c>
      <c r="M296" s="613">
        <v>0</v>
      </c>
      <c r="N296" s="613">
        <v>0</v>
      </c>
      <c r="O296" s="613">
        <v>0</v>
      </c>
      <c r="P296" s="613">
        <v>0</v>
      </c>
      <c r="Q296" s="613">
        <v>0</v>
      </c>
      <c r="R296" s="613">
        <v>52.853956211759765</v>
      </c>
      <c r="S296" s="613">
        <v>1.6962920158300934</v>
      </c>
      <c r="T296" s="613">
        <v>0</v>
      </c>
      <c r="U296" s="613">
        <v>0</v>
      </c>
      <c r="V296" s="613">
        <v>57.341707182273488</v>
      </c>
      <c r="W296" s="613">
        <v>0</v>
      </c>
      <c r="X296" s="613">
        <v>2.0198839430903792</v>
      </c>
      <c r="Y296" s="621">
        <v>302.52663177356732</v>
      </c>
      <c r="Z296" s="51"/>
      <c r="AA296" s="622" t="e" cm="1">
        <f t="array" aca="1" ref="AA296" ca="1">_xlfn.IFNA(INDEX(#REF!,MATCH(INDIRECT("Codes_bilans!"&amp;AA$1&amp;"$"&amp;$A296),#REF!,0),MATCH($B296,#REF!,0)),0)</f>
        <v>#REF!</v>
      </c>
      <c r="AB296" s="51"/>
    </row>
    <row r="297" spans="1:28">
      <c r="A297" s="51" t="e">
        <f t="shared" si="40"/>
        <v>#REF!</v>
      </c>
      <c r="B297" s="51">
        <f t="shared" si="41"/>
        <v>2035</v>
      </c>
      <c r="C297" s="51" t="str">
        <f t="shared" si="41"/>
        <v>AMS</v>
      </c>
      <c r="D297" s="51" t="s">
        <v>514</v>
      </c>
      <c r="E297" s="51" t="e">
        <f>VLOOKUP($H$6,#REF!,2,FALSE)</f>
        <v>#REF!</v>
      </c>
      <c r="F297" s="51"/>
      <c r="G297" s="620" t="s">
        <v>80</v>
      </c>
      <c r="H297" s="613">
        <v>0</v>
      </c>
      <c r="I297" s="613">
        <v>0</v>
      </c>
      <c r="J297" s="613">
        <v>3.260836950166615</v>
      </c>
      <c r="K297" s="613">
        <v>0</v>
      </c>
      <c r="L297" s="613">
        <v>39.313312069692138</v>
      </c>
      <c r="M297" s="613">
        <v>0</v>
      </c>
      <c r="N297" s="613">
        <v>0</v>
      </c>
      <c r="O297" s="613">
        <v>0</v>
      </c>
      <c r="P297" s="613">
        <v>38.595135513286785</v>
      </c>
      <c r="Q297" s="613">
        <v>0</v>
      </c>
      <c r="R297" s="613">
        <v>0</v>
      </c>
      <c r="S297" s="613">
        <v>14.540540080571066</v>
      </c>
      <c r="T297" s="613">
        <v>88.021667456281236</v>
      </c>
      <c r="U297" s="613">
        <v>2.3427124137087052</v>
      </c>
      <c r="V297" s="613">
        <v>158.98187870009832</v>
      </c>
      <c r="W297" s="613">
        <v>28.917251051933125</v>
      </c>
      <c r="X297" s="613">
        <v>0</v>
      </c>
      <c r="Y297" s="621">
        <v>373.97333423573804</v>
      </c>
      <c r="Z297" s="51"/>
      <c r="AA297" s="622" t="e" cm="1">
        <f t="array" aca="1" ref="AA297" ca="1">_xlfn.IFNA(INDEX(#REF!,MATCH(INDIRECT("Codes_bilans!"&amp;AA$1&amp;"$"&amp;$A297),#REF!,0),MATCH($B297,#REF!,0)),0)</f>
        <v>#REF!</v>
      </c>
      <c r="AB297" s="51"/>
    </row>
    <row r="298" spans="1:28">
      <c r="A298" s="51" t="e">
        <f t="shared" si="40"/>
        <v>#REF!</v>
      </c>
      <c r="B298" s="51">
        <f t="shared" si="41"/>
        <v>2035</v>
      </c>
      <c r="C298" s="51" t="str">
        <f t="shared" si="41"/>
        <v>AMS</v>
      </c>
      <c r="D298" s="51" t="s">
        <v>515</v>
      </c>
      <c r="E298" s="51" t="e">
        <f>VLOOKUP($H$6,#REF!,2,FALSE)</f>
        <v>#REF!</v>
      </c>
      <c r="F298" s="51"/>
      <c r="G298" s="620" t="s">
        <v>81</v>
      </c>
      <c r="H298" s="613">
        <v>0</v>
      </c>
      <c r="I298" s="613">
        <v>0</v>
      </c>
      <c r="J298" s="613">
        <v>3.4419330830775619</v>
      </c>
      <c r="K298" s="613">
        <v>0</v>
      </c>
      <c r="L298" s="613">
        <v>19.661407657447267</v>
      </c>
      <c r="M298" s="613">
        <v>0</v>
      </c>
      <c r="N298" s="613">
        <v>0</v>
      </c>
      <c r="O298" s="613">
        <v>0</v>
      </c>
      <c r="P298" s="613">
        <v>0.43406989863895534</v>
      </c>
      <c r="Q298" s="613">
        <v>4.6787954190583215E-4</v>
      </c>
      <c r="R298" s="613">
        <v>0</v>
      </c>
      <c r="S298" s="613">
        <v>7.2720274897407702</v>
      </c>
      <c r="T298" s="613">
        <v>20.482042486716281</v>
      </c>
      <c r="U298" s="613">
        <v>0.93898003664808516</v>
      </c>
      <c r="V298" s="613">
        <v>96.862888654792613</v>
      </c>
      <c r="W298" s="613">
        <v>18.878892704975588</v>
      </c>
      <c r="X298" s="613">
        <v>0</v>
      </c>
      <c r="Y298" s="621">
        <v>167.97270989157903</v>
      </c>
      <c r="Z298" s="51"/>
      <c r="AA298" s="622" t="e" cm="1">
        <f t="array" aca="1" ref="AA298" ca="1">_xlfn.IFNA(INDEX(#REF!,MATCH(INDIRECT("Codes_bilans!"&amp;AA$1&amp;"$"&amp;$A298),#REF!,0),MATCH($B298,#REF!,0)),0)</f>
        <v>#REF!</v>
      </c>
      <c r="AB298" s="51"/>
    </row>
    <row r="299" spans="1:28">
      <c r="A299" s="51" t="e">
        <f t="shared" si="40"/>
        <v>#REF!</v>
      </c>
      <c r="B299" s="51">
        <f t="shared" si="41"/>
        <v>2035</v>
      </c>
      <c r="C299" s="51" t="str">
        <f t="shared" si="41"/>
        <v>AMS</v>
      </c>
      <c r="D299" s="51" t="s">
        <v>516</v>
      </c>
      <c r="E299" s="51" t="e">
        <f>VLOOKUP($H$6,#REF!,2,FALSE)</f>
        <v>#REF!</v>
      </c>
      <c r="F299" s="51"/>
      <c r="G299" s="620" t="s">
        <v>82</v>
      </c>
      <c r="H299" s="613">
        <v>0</v>
      </c>
      <c r="I299" s="613">
        <v>0</v>
      </c>
      <c r="J299" s="613">
        <v>19.85629550078999</v>
      </c>
      <c r="K299" s="613">
        <v>0</v>
      </c>
      <c r="L299" s="613">
        <v>1.376773611649958</v>
      </c>
      <c r="M299" s="613">
        <v>0</v>
      </c>
      <c r="N299" s="613">
        <v>0</v>
      </c>
      <c r="O299" s="613">
        <v>0</v>
      </c>
      <c r="P299" s="613">
        <v>2.7730307508519707</v>
      </c>
      <c r="Q299" s="613">
        <v>0</v>
      </c>
      <c r="R299" s="613">
        <v>8.3214654409998232</v>
      </c>
      <c r="S299" s="613">
        <v>0.50921763718560098</v>
      </c>
      <c r="T299" s="613">
        <v>0.75</v>
      </c>
      <c r="U299" s="613">
        <v>0.96290247555165809</v>
      </c>
      <c r="V299" s="613">
        <v>7.7126288806125016</v>
      </c>
      <c r="W299" s="613">
        <v>0</v>
      </c>
      <c r="X299" s="613">
        <v>0.24940873791150003</v>
      </c>
      <c r="Y299" s="621">
        <v>42.511723035553004</v>
      </c>
      <c r="Z299" s="51"/>
      <c r="AA299" s="622" t="e" cm="1">
        <f t="array" aca="1" ref="AA299" ca="1">_xlfn.IFNA(INDEX(#REF!,MATCH(INDIRECT("Codes_bilans!"&amp;AA$1&amp;"$"&amp;$A299),#REF!,0),MATCH($B299,#REF!,0)),0)</f>
        <v>#REF!</v>
      </c>
      <c r="AB299" s="51"/>
    </row>
    <row r="300" spans="1:28">
      <c r="A300" s="51" t="e">
        <f t="shared" si="40"/>
        <v>#REF!</v>
      </c>
      <c r="B300" s="51">
        <f t="shared" si="41"/>
        <v>2035</v>
      </c>
      <c r="C300" s="51" t="str">
        <f t="shared" si="41"/>
        <v>AMS</v>
      </c>
      <c r="D300" s="51" t="s">
        <v>517</v>
      </c>
      <c r="E300" s="51" t="e">
        <f>VLOOKUP($H$6,#REF!,2,FALSE)</f>
        <v>#REF!</v>
      </c>
      <c r="F300" s="51"/>
      <c r="G300" s="620" t="s">
        <v>357</v>
      </c>
      <c r="H300" s="613">
        <v>0</v>
      </c>
      <c r="I300" s="613">
        <v>0</v>
      </c>
      <c r="J300" s="613">
        <v>0</v>
      </c>
      <c r="K300" s="613">
        <v>0</v>
      </c>
      <c r="L300" s="613">
        <v>0</v>
      </c>
      <c r="M300" s="613">
        <v>0</v>
      </c>
      <c r="N300" s="613">
        <v>0</v>
      </c>
      <c r="O300" s="613">
        <v>0</v>
      </c>
      <c r="P300" s="613">
        <v>0</v>
      </c>
      <c r="Q300" s="613">
        <v>0</v>
      </c>
      <c r="R300" s="613">
        <v>0</v>
      </c>
      <c r="S300" s="613">
        <v>0</v>
      </c>
      <c r="T300" s="613">
        <v>0</v>
      </c>
      <c r="U300" s="613">
        <v>0</v>
      </c>
      <c r="V300" s="613">
        <v>0.68544000000000005</v>
      </c>
      <c r="W300" s="613">
        <v>0</v>
      </c>
      <c r="X300" s="613">
        <v>0</v>
      </c>
      <c r="Y300" s="621">
        <v>0.68544000000000005</v>
      </c>
      <c r="Z300" s="51"/>
      <c r="AA300" s="622" t="e" cm="1">
        <f t="array" aca="1" ref="AA300" ca="1">_xlfn.IFNA(INDEX(#REF!,MATCH(INDIRECT("Codes_bilans!"&amp;AA$1&amp;"$"&amp;$A300),#REF!,0),MATCH($B300,#REF!,0)),0)</f>
        <v>#REF!</v>
      </c>
      <c r="AB300" s="51"/>
    </row>
    <row r="301" spans="1:28">
      <c r="A301" s="51" t="e">
        <f t="shared" si="40"/>
        <v>#REF!</v>
      </c>
      <c r="B301" s="51">
        <f t="shared" si="41"/>
        <v>2035</v>
      </c>
      <c r="C301" s="51" t="str">
        <f t="shared" si="41"/>
        <v>AMS</v>
      </c>
      <c r="D301" s="51" t="s">
        <v>518</v>
      </c>
      <c r="E301" s="51" t="e">
        <f>VLOOKUP($H$6,#REF!,2,FALSE)</f>
        <v>#REF!</v>
      </c>
      <c r="F301" s="51"/>
      <c r="G301" s="616" t="s">
        <v>83</v>
      </c>
      <c r="H301" s="617">
        <v>3.5288056070999749</v>
      </c>
      <c r="I301" s="617">
        <v>0</v>
      </c>
      <c r="J301" s="617">
        <v>219.2859937800437</v>
      </c>
      <c r="K301" s="617">
        <v>0.37586832320647884</v>
      </c>
      <c r="L301" s="624">
        <v>115.70346668835522</v>
      </c>
      <c r="M301" s="617">
        <v>0</v>
      </c>
      <c r="N301" s="617">
        <v>0</v>
      </c>
      <c r="O301" s="617">
        <v>0</v>
      </c>
      <c r="P301" s="617">
        <v>62.005795847814824</v>
      </c>
      <c r="Q301" s="617">
        <v>2.5071029873236355</v>
      </c>
      <c r="R301" s="617">
        <v>62.300915050220524</v>
      </c>
      <c r="S301" s="617">
        <v>42.828398674640319</v>
      </c>
      <c r="T301" s="617">
        <v>114.79412791174752</v>
      </c>
      <c r="U301" s="617">
        <v>4.2452873741769226</v>
      </c>
      <c r="V301" s="617">
        <v>451.26664859097167</v>
      </c>
      <c r="W301" s="617">
        <v>65.863449027923181</v>
      </c>
      <c r="X301" s="617">
        <v>5.5579296438925034</v>
      </c>
      <c r="Y301" s="617">
        <v>1150.2637895074163</v>
      </c>
      <c r="Z301" s="51"/>
      <c r="AA301" s="51"/>
      <c r="AB301" s="51"/>
    </row>
    <row r="302" spans="1:28">
      <c r="A302" s="51" t="e">
        <f t="shared" si="40"/>
        <v>#REF!</v>
      </c>
      <c r="B302" s="51">
        <f t="shared" si="41"/>
        <v>2035</v>
      </c>
      <c r="C302" s="51" t="str">
        <f t="shared" si="41"/>
        <v>AMS</v>
      </c>
      <c r="D302" s="51" t="s">
        <v>519</v>
      </c>
      <c r="E302" s="51" t="e">
        <f>VLOOKUP($H$6,#REF!,2,FALSE)</f>
        <v>#REF!</v>
      </c>
      <c r="F302" s="51"/>
      <c r="G302" s="612" t="s">
        <v>84</v>
      </c>
      <c r="H302" s="613">
        <v>0</v>
      </c>
      <c r="I302" s="613">
        <v>0</v>
      </c>
      <c r="J302" s="613">
        <v>78.311135803097855</v>
      </c>
      <c r="K302" s="613">
        <v>3.2322568578114335</v>
      </c>
      <c r="L302" s="613">
        <v>8.5375790835295255</v>
      </c>
      <c r="M302" s="613">
        <v>0</v>
      </c>
      <c r="N302" s="613">
        <v>0</v>
      </c>
      <c r="O302" s="613">
        <v>0</v>
      </c>
      <c r="P302" s="613">
        <v>0.26788991283700125</v>
      </c>
      <c r="Q302" s="613">
        <v>0</v>
      </c>
      <c r="R302" s="613">
        <v>12.991363385671615</v>
      </c>
      <c r="S302" s="613">
        <v>1.800451278990862</v>
      </c>
      <c r="T302" s="613">
        <v>0</v>
      </c>
      <c r="U302" s="613">
        <v>0</v>
      </c>
      <c r="V302" s="613">
        <v>0</v>
      </c>
      <c r="W302" s="613">
        <v>0</v>
      </c>
      <c r="X302" s="613">
        <v>17.811580806374948</v>
      </c>
      <c r="Y302" s="621">
        <v>122.95225712831325</v>
      </c>
      <c r="Z302" s="51"/>
      <c r="AA302" s="622" t="e" cm="1">
        <f t="array" aca="1" ref="AA302" ca="1">_xlfn.IFNA(INDEX(#REF!,MATCH(INDIRECT("Codes_bilans!"&amp;AA$1&amp;"$"&amp;$A302),#REF!,0),MATCH($B302,#REF!,0)),0)</f>
        <v>#REF!</v>
      </c>
      <c r="AB302" s="51"/>
    </row>
    <row r="303" spans="1:28">
      <c r="A303" s="51" t="e">
        <f t="shared" si="40"/>
        <v>#REF!</v>
      </c>
      <c r="B303" s="51">
        <f t="shared" si="41"/>
        <v>2035</v>
      </c>
      <c r="C303" s="51" t="str">
        <f t="shared" si="41"/>
        <v>AMS</v>
      </c>
      <c r="D303" s="51" t="s">
        <v>520</v>
      </c>
      <c r="E303" s="51" t="e">
        <f>VLOOKUP($H$6,#REF!,2,FALSE)</f>
        <v>#REF!</v>
      </c>
      <c r="F303" s="51"/>
      <c r="G303" s="616" t="s">
        <v>85</v>
      </c>
      <c r="H303" s="617">
        <v>3.5288056070999749</v>
      </c>
      <c r="I303" s="617">
        <v>0</v>
      </c>
      <c r="J303" s="617">
        <v>297.59712958314151</v>
      </c>
      <c r="K303" s="617">
        <v>3.6081251810179125</v>
      </c>
      <c r="L303" s="624">
        <v>124.24104577188474</v>
      </c>
      <c r="M303" s="617">
        <v>0</v>
      </c>
      <c r="N303" s="617">
        <v>0</v>
      </c>
      <c r="O303" s="617">
        <v>0</v>
      </c>
      <c r="P303" s="617">
        <v>62.273685760651823</v>
      </c>
      <c r="Q303" s="617">
        <v>2.5071029873236355</v>
      </c>
      <c r="R303" s="617">
        <v>75.292278435892143</v>
      </c>
      <c r="S303" s="617">
        <v>44.628849953631182</v>
      </c>
      <c r="T303" s="617">
        <v>114.79412791174752</v>
      </c>
      <c r="U303" s="617">
        <v>4.2452873741769226</v>
      </c>
      <c r="V303" s="617">
        <v>451.26664859097167</v>
      </c>
      <c r="W303" s="617">
        <v>65.863449027923181</v>
      </c>
      <c r="X303" s="617">
        <v>23.369510450267452</v>
      </c>
      <c r="Y303" s="617">
        <v>1273.2160466357295</v>
      </c>
      <c r="Z303" s="51"/>
      <c r="AA303" s="51"/>
      <c r="AB303" s="51"/>
    </row>
    <row r="304" spans="1:28">
      <c r="A304" s="51"/>
      <c r="B304" s="51"/>
      <c r="C304" s="51"/>
      <c r="D304" s="51"/>
      <c r="E304" s="51"/>
      <c r="F304" s="51"/>
      <c r="G304" s="51"/>
      <c r="H304" s="67">
        <v>0</v>
      </c>
      <c r="I304" s="67">
        <v>0</v>
      </c>
      <c r="J304" s="67">
        <v>-9.5923269327613525E-14</v>
      </c>
      <c r="K304" s="67">
        <v>0</v>
      </c>
      <c r="L304" s="67">
        <v>0</v>
      </c>
      <c r="M304" s="67">
        <v>0</v>
      </c>
      <c r="N304" s="67">
        <v>0</v>
      </c>
      <c r="O304" s="67">
        <v>0</v>
      </c>
      <c r="P304" s="67">
        <v>0</v>
      </c>
      <c r="Q304" s="67">
        <v>0</v>
      </c>
      <c r="R304" s="67">
        <v>-2.1316282072803006E-14</v>
      </c>
      <c r="S304" s="67">
        <v>3.5527136788005009E-15</v>
      </c>
      <c r="T304" s="67">
        <v>0</v>
      </c>
      <c r="U304" s="67">
        <v>0</v>
      </c>
      <c r="V304" s="67">
        <v>0</v>
      </c>
      <c r="W304" s="67">
        <v>0</v>
      </c>
      <c r="X304" s="67">
        <v>4.5796699765787707E-15</v>
      </c>
      <c r="Y304" s="67">
        <v>0</v>
      </c>
      <c r="Z304" s="51"/>
      <c r="AA304" s="51"/>
      <c r="AB304" s="51"/>
    </row>
    <row r="305" spans="1:28">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row>
    <row r="306" spans="1:28">
      <c r="A306" s="608"/>
      <c r="B306" s="608"/>
      <c r="C306" s="608"/>
      <c r="D306" s="608"/>
      <c r="E306" s="608"/>
      <c r="F306" s="608"/>
      <c r="G306" s="609" t="s">
        <v>362</v>
      </c>
      <c r="H306" s="608"/>
      <c r="I306" s="608"/>
      <c r="J306" s="608"/>
      <c r="K306" s="608"/>
      <c r="L306" s="608"/>
      <c r="M306" s="608"/>
      <c r="N306" s="608"/>
      <c r="O306" s="608"/>
      <c r="P306" s="608"/>
      <c r="Q306" s="608"/>
      <c r="R306" s="608"/>
      <c r="S306" s="608"/>
      <c r="T306" s="608"/>
      <c r="U306" s="608"/>
      <c r="V306" s="608"/>
      <c r="W306" s="608"/>
      <c r="X306" s="608"/>
      <c r="Y306" s="608"/>
      <c r="Z306" s="608"/>
      <c r="AA306" s="608"/>
      <c r="AB306" s="608"/>
    </row>
    <row r="307" spans="1:28">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row>
    <row r="308" spans="1:28" ht="14.25" customHeight="1">
      <c r="A308" s="51"/>
      <c r="B308" s="51"/>
      <c r="C308" s="51"/>
      <c r="D308" s="51"/>
      <c r="E308" s="51"/>
      <c r="F308" s="51"/>
      <c r="G308" s="713" t="s">
        <v>128</v>
      </c>
      <c r="H308" s="711" t="s">
        <v>42</v>
      </c>
      <c r="I308" s="711" t="s">
        <v>52</v>
      </c>
      <c r="J308" s="711" t="s">
        <v>53</v>
      </c>
      <c r="K308" s="711" t="s">
        <v>487</v>
      </c>
      <c r="L308" s="711" t="s">
        <v>32</v>
      </c>
      <c r="M308" s="711" t="s">
        <v>488</v>
      </c>
      <c r="N308" s="711" t="s">
        <v>20</v>
      </c>
      <c r="O308" s="711" t="s">
        <v>55</v>
      </c>
      <c r="P308" s="715" t="s">
        <v>56</v>
      </c>
      <c r="Q308" s="716"/>
      <c r="R308" s="716"/>
      <c r="S308" s="716"/>
      <c r="T308" s="716"/>
      <c r="U308" s="717"/>
      <c r="V308" s="711" t="s">
        <v>57</v>
      </c>
      <c r="W308" s="711" t="s">
        <v>58</v>
      </c>
      <c r="X308" s="711" t="s">
        <v>31</v>
      </c>
      <c r="Y308" s="711" t="s">
        <v>10</v>
      </c>
      <c r="Z308" s="51"/>
      <c r="AA308" s="51"/>
      <c r="AB308" s="51"/>
    </row>
    <row r="309" spans="1:28" ht="24">
      <c r="A309" s="51"/>
      <c r="B309" s="51"/>
      <c r="C309" s="51"/>
      <c r="D309" s="51" t="s">
        <v>491</v>
      </c>
      <c r="E309" s="51"/>
      <c r="F309" s="51"/>
      <c r="G309" s="714"/>
      <c r="H309" s="712"/>
      <c r="I309" s="712"/>
      <c r="J309" s="712"/>
      <c r="K309" s="712"/>
      <c r="L309" s="712"/>
      <c r="M309" s="712"/>
      <c r="N309" s="712"/>
      <c r="O309" s="712"/>
      <c r="P309" s="610" t="s">
        <v>338</v>
      </c>
      <c r="Q309" s="610" t="s">
        <v>40</v>
      </c>
      <c r="R309" s="610" t="s">
        <v>346</v>
      </c>
      <c r="S309" s="610" t="s">
        <v>347</v>
      </c>
      <c r="T309" s="611" t="s">
        <v>348</v>
      </c>
      <c r="U309" s="610" t="s">
        <v>349</v>
      </c>
      <c r="V309" s="712"/>
      <c r="W309" s="712"/>
      <c r="X309" s="712"/>
      <c r="Y309" s="712"/>
      <c r="Z309" s="51"/>
      <c r="AA309" s="51"/>
      <c r="AB309" s="51"/>
    </row>
    <row r="310" spans="1:28">
      <c r="A310" s="51" t="e">
        <f>A273</f>
        <v>#REF!</v>
      </c>
      <c r="B310" s="51">
        <v>2038</v>
      </c>
      <c r="C310" s="51" t="s">
        <v>47</v>
      </c>
      <c r="D310" s="51" t="s">
        <v>492</v>
      </c>
      <c r="E310" s="51" t="e">
        <f>VLOOKUP($H$6,#REF!,2,FALSE)</f>
        <v>#REF!</v>
      </c>
      <c r="F310" s="51"/>
      <c r="G310" s="612" t="s">
        <v>59</v>
      </c>
      <c r="H310" s="613">
        <v>0</v>
      </c>
      <c r="I310" s="613">
        <v>2.3260000000000005</v>
      </c>
      <c r="J310" s="613">
        <v>0</v>
      </c>
      <c r="K310" s="613">
        <v>0</v>
      </c>
      <c r="L310" s="613">
        <v>3.7216000000000006E-2</v>
      </c>
      <c r="M310" s="613">
        <v>0</v>
      </c>
      <c r="N310" s="614">
        <v>1044.9429709090912</v>
      </c>
      <c r="O310" s="614">
        <v>337.76764233856375</v>
      </c>
      <c r="P310" s="614">
        <v>296.80728222554393</v>
      </c>
      <c r="Q310" s="614">
        <v>27.696767252553528</v>
      </c>
      <c r="R310" s="613">
        <v>1.5522078310841105</v>
      </c>
      <c r="S310" s="613">
        <v>0.16457898409976487</v>
      </c>
      <c r="T310" s="614">
        <v>128.43983591306872</v>
      </c>
      <c r="U310" s="614">
        <v>20.654107927982594</v>
      </c>
      <c r="V310" s="613">
        <v>0</v>
      </c>
      <c r="W310" s="613">
        <v>0</v>
      </c>
      <c r="X310" s="613">
        <v>0</v>
      </c>
      <c r="Y310" s="615">
        <v>1860.3886093819874</v>
      </c>
      <c r="Z310" s="51"/>
      <c r="AA310" s="51"/>
      <c r="AB310" s="51"/>
    </row>
    <row r="311" spans="1:28">
      <c r="A311" s="51" t="e">
        <f t="shared" ref="A311:A316" si="42">A310+1</f>
        <v>#REF!</v>
      </c>
      <c r="B311" s="51">
        <f t="shared" ref="B311:C316" si="43">B310</f>
        <v>2038</v>
      </c>
      <c r="C311" s="51" t="str">
        <f t="shared" si="43"/>
        <v>AMS</v>
      </c>
      <c r="D311" s="51" t="s">
        <v>493</v>
      </c>
      <c r="E311" s="51" t="e">
        <f>VLOOKUP($H$6,#REF!,2,FALSE)</f>
        <v>#REF!</v>
      </c>
      <c r="F311" s="51"/>
      <c r="G311" s="612" t="s">
        <v>60</v>
      </c>
      <c r="H311" s="613">
        <v>13.859177019435306</v>
      </c>
      <c r="I311" s="613">
        <v>296.13837759387053</v>
      </c>
      <c r="J311" s="613">
        <v>5.829718761745502</v>
      </c>
      <c r="K311" s="613">
        <v>0</v>
      </c>
      <c r="L311" s="613">
        <v>121.22757578406195</v>
      </c>
      <c r="M311" s="613">
        <v>0</v>
      </c>
      <c r="N311" s="613">
        <v>0</v>
      </c>
      <c r="O311" s="613">
        <v>0</v>
      </c>
      <c r="P311" s="613">
        <v>3.8185483520995893</v>
      </c>
      <c r="Q311" s="613">
        <v>0</v>
      </c>
      <c r="R311" s="613">
        <v>4.0860505945061325</v>
      </c>
      <c r="S311" s="613">
        <v>0</v>
      </c>
      <c r="T311" s="613">
        <v>0</v>
      </c>
      <c r="U311" s="613">
        <v>0</v>
      </c>
      <c r="V311" s="613">
        <v>0</v>
      </c>
      <c r="W311" s="613">
        <v>0</v>
      </c>
      <c r="X311" s="613">
        <v>0</v>
      </c>
      <c r="Y311" s="615">
        <v>444.95944810571905</v>
      </c>
      <c r="Z311" s="51"/>
      <c r="AA311" s="51"/>
      <c r="AB311" s="51"/>
    </row>
    <row r="312" spans="1:28">
      <c r="A312" s="51" t="e">
        <f t="shared" si="42"/>
        <v>#REF!</v>
      </c>
      <c r="B312" s="51">
        <f t="shared" si="43"/>
        <v>2038</v>
      </c>
      <c r="C312" s="51" t="str">
        <f t="shared" si="43"/>
        <v>AMS</v>
      </c>
      <c r="D312" s="51" t="s">
        <v>494</v>
      </c>
      <c r="E312" s="51" t="e">
        <f>VLOOKUP($H$6,#REF!,2,FALSE)</f>
        <v>#REF!</v>
      </c>
      <c r="F312" s="51"/>
      <c r="G312" s="612" t="s">
        <v>61</v>
      </c>
      <c r="H312" s="613">
        <v>0</v>
      </c>
      <c r="I312" s="613">
        <v>0</v>
      </c>
      <c r="J312" s="613">
        <v>-10.887346658444276</v>
      </c>
      <c r="K312" s="613">
        <v>-0.64127874443894584</v>
      </c>
      <c r="L312" s="613">
        <v>0</v>
      </c>
      <c r="M312" s="613">
        <v>0</v>
      </c>
      <c r="N312" s="613">
        <v>0</v>
      </c>
      <c r="O312" s="613">
        <v>0</v>
      </c>
      <c r="P312" s="613">
        <v>0</v>
      </c>
      <c r="Q312" s="613">
        <v>0</v>
      </c>
      <c r="R312" s="613">
        <v>0</v>
      </c>
      <c r="S312" s="613">
        <v>0</v>
      </c>
      <c r="T312" s="613">
        <v>0</v>
      </c>
      <c r="U312" s="613">
        <v>0</v>
      </c>
      <c r="V312" s="613">
        <v>-91.157732438582798</v>
      </c>
      <c r="W312" s="613">
        <v>0</v>
      </c>
      <c r="X312" s="613">
        <v>0</v>
      </c>
      <c r="Y312" s="615">
        <v>-102.68635784146602</v>
      </c>
      <c r="Z312" s="51"/>
      <c r="AA312" s="51"/>
      <c r="AB312" s="51"/>
    </row>
    <row r="313" spans="1:28">
      <c r="A313" s="51" t="e">
        <f t="shared" si="42"/>
        <v>#REF!</v>
      </c>
      <c r="B313" s="51">
        <f t="shared" si="43"/>
        <v>2038</v>
      </c>
      <c r="C313" s="51" t="str">
        <f t="shared" si="43"/>
        <v>AMS</v>
      </c>
      <c r="D313" s="51" t="s">
        <v>495</v>
      </c>
      <c r="E313" s="51" t="e">
        <f>VLOOKUP($H$6,#REF!,2,FALSE)</f>
        <v>#REF!</v>
      </c>
      <c r="F313" s="51"/>
      <c r="G313" s="612" t="s">
        <v>62</v>
      </c>
      <c r="H313" s="613">
        <v>0</v>
      </c>
      <c r="I313" s="613">
        <v>0</v>
      </c>
      <c r="J313" s="613">
        <v>-10.650864702914385</v>
      </c>
      <c r="K313" s="613">
        <v>-1.9080821969915447</v>
      </c>
      <c r="L313" s="613">
        <v>-4.5147113062781807</v>
      </c>
      <c r="M313" s="613">
        <v>0</v>
      </c>
      <c r="N313" s="613">
        <v>0</v>
      </c>
      <c r="O313" s="613">
        <v>0</v>
      </c>
      <c r="P313" s="613">
        <v>0</v>
      </c>
      <c r="Q313" s="613">
        <v>0</v>
      </c>
      <c r="R313" s="613">
        <v>-0.48900468677593995</v>
      </c>
      <c r="S313" s="613">
        <v>-2.7436669996352929</v>
      </c>
      <c r="T313" s="613">
        <v>0</v>
      </c>
      <c r="U313" s="613">
        <v>0</v>
      </c>
      <c r="V313" s="613">
        <v>0</v>
      </c>
      <c r="W313" s="613">
        <v>0</v>
      </c>
      <c r="X313" s="613">
        <v>0</v>
      </c>
      <c r="Y313" s="615">
        <v>-20.306329892595343</v>
      </c>
      <c r="Z313" s="51"/>
      <c r="AA313" s="51"/>
      <c r="AB313" s="51"/>
    </row>
    <row r="314" spans="1:28">
      <c r="A314" s="51" t="e">
        <f t="shared" si="42"/>
        <v>#REF!</v>
      </c>
      <c r="B314" s="51">
        <f t="shared" si="43"/>
        <v>2038</v>
      </c>
      <c r="C314" s="51" t="str">
        <f t="shared" si="43"/>
        <v>AMS</v>
      </c>
      <c r="D314" s="51" t="s">
        <v>496</v>
      </c>
      <c r="E314" s="51" t="e">
        <f>VLOOKUP($H$6,#REF!,2,FALSE)</f>
        <v>#REF!</v>
      </c>
      <c r="F314" s="51"/>
      <c r="G314" s="612" t="s">
        <v>63</v>
      </c>
      <c r="H314" s="613">
        <v>0</v>
      </c>
      <c r="I314" s="613">
        <v>0</v>
      </c>
      <c r="J314" s="613">
        <v>-52.2656340821949</v>
      </c>
      <c r="K314" s="613">
        <v>-8.2703034572776399</v>
      </c>
      <c r="L314" s="613">
        <v>0</v>
      </c>
      <c r="M314" s="613">
        <v>0</v>
      </c>
      <c r="N314" s="613">
        <v>0</v>
      </c>
      <c r="O314" s="613">
        <v>0</v>
      </c>
      <c r="P314" s="613">
        <v>0</v>
      </c>
      <c r="Q314" s="613">
        <v>0</v>
      </c>
      <c r="R314" s="613">
        <v>-13.213101981709578</v>
      </c>
      <c r="S314" s="613">
        <v>0</v>
      </c>
      <c r="T314" s="613">
        <v>0</v>
      </c>
      <c r="U314" s="613">
        <v>0</v>
      </c>
      <c r="V314" s="613">
        <v>0</v>
      </c>
      <c r="W314" s="613">
        <v>0</v>
      </c>
      <c r="X314" s="613">
        <v>-0.45605370393256905</v>
      </c>
      <c r="Y314" s="615">
        <v>-74.20509322511468</v>
      </c>
      <c r="Z314" s="51"/>
      <c r="AA314" s="51"/>
      <c r="AB314" s="51"/>
    </row>
    <row r="315" spans="1:28">
      <c r="A315" s="51" t="e">
        <f t="shared" si="42"/>
        <v>#REF!</v>
      </c>
      <c r="B315" s="51">
        <f t="shared" si="43"/>
        <v>2038</v>
      </c>
      <c r="C315" s="51" t="str">
        <f t="shared" si="43"/>
        <v>AMS</v>
      </c>
      <c r="D315" s="51" t="s">
        <v>497</v>
      </c>
      <c r="E315" s="51" t="e">
        <f>VLOOKUP($H$6,#REF!,2,FALSE)</f>
        <v>#REF!</v>
      </c>
      <c r="F315" s="51"/>
      <c r="G315" s="612" t="s">
        <v>64</v>
      </c>
      <c r="H315" s="613">
        <v>0</v>
      </c>
      <c r="I315" s="613">
        <v>0</v>
      </c>
      <c r="J315" s="613">
        <v>0</v>
      </c>
      <c r="K315" s="613">
        <v>0</v>
      </c>
      <c r="L315" s="613">
        <v>0</v>
      </c>
      <c r="M315" s="613">
        <v>0</v>
      </c>
      <c r="N315" s="613">
        <v>0</v>
      </c>
      <c r="O315" s="613">
        <v>0</v>
      </c>
      <c r="P315" s="613">
        <v>0</v>
      </c>
      <c r="Q315" s="613">
        <v>0</v>
      </c>
      <c r="R315" s="613">
        <v>0</v>
      </c>
      <c r="S315" s="613">
        <v>0</v>
      </c>
      <c r="T315" s="613">
        <v>0</v>
      </c>
      <c r="U315" s="613">
        <v>0</v>
      </c>
      <c r="V315" s="613">
        <v>0</v>
      </c>
      <c r="W315" s="613">
        <v>0</v>
      </c>
      <c r="X315" s="613">
        <v>0</v>
      </c>
      <c r="Y315" s="615">
        <v>0</v>
      </c>
      <c r="Z315" s="51"/>
      <c r="AA315" s="51"/>
      <c r="AB315" s="51"/>
    </row>
    <row r="316" spans="1:28">
      <c r="A316" s="51" t="e">
        <f t="shared" si="42"/>
        <v>#REF!</v>
      </c>
      <c r="B316" s="51">
        <f t="shared" si="43"/>
        <v>2038</v>
      </c>
      <c r="C316" s="51" t="str">
        <f t="shared" si="43"/>
        <v>AMS</v>
      </c>
      <c r="D316" s="51" t="s">
        <v>498</v>
      </c>
      <c r="E316" s="51" t="e">
        <f>VLOOKUP($H$6,#REF!,2,FALSE)</f>
        <v>#REF!</v>
      </c>
      <c r="F316" s="51"/>
      <c r="G316" s="616" t="s">
        <v>65</v>
      </c>
      <c r="H316" s="617">
        <v>13.859177019435306</v>
      </c>
      <c r="I316" s="617">
        <v>298.46437759387055</v>
      </c>
      <c r="J316" s="617">
        <v>-67.974126681808059</v>
      </c>
      <c r="K316" s="617">
        <v>-10.819664398708131</v>
      </c>
      <c r="L316" s="624">
        <v>116.75008047778377</v>
      </c>
      <c r="M316" s="617">
        <v>0</v>
      </c>
      <c r="N316" s="617">
        <v>1044.9429709090912</v>
      </c>
      <c r="O316" s="617">
        <v>337.76764233856375</v>
      </c>
      <c r="P316" s="617">
        <v>300.62583057764351</v>
      </c>
      <c r="Q316" s="617">
        <v>27.696767252553528</v>
      </c>
      <c r="R316" s="617">
        <v>-8.0638482428952756</v>
      </c>
      <c r="S316" s="617">
        <v>-2.579088015535528</v>
      </c>
      <c r="T316" s="617">
        <v>128.43983591306872</v>
      </c>
      <c r="U316" s="617">
        <v>20.654107927982594</v>
      </c>
      <c r="V316" s="617">
        <v>-91.157732438582798</v>
      </c>
      <c r="W316" s="617">
        <v>0</v>
      </c>
      <c r="X316" s="617">
        <v>-0.45605370393256905</v>
      </c>
      <c r="Y316" s="617">
        <v>2108.1502765285304</v>
      </c>
      <c r="Z316" s="51"/>
      <c r="AA316" s="51"/>
      <c r="AB316" s="51"/>
    </row>
    <row r="317" spans="1:28">
      <c r="A317" s="51"/>
      <c r="B317" s="51"/>
      <c r="C317" s="51"/>
      <c r="D317" s="51"/>
      <c r="E317" s="51"/>
      <c r="F317" s="51"/>
      <c r="G317" s="618"/>
      <c r="H317" s="619">
        <v>0</v>
      </c>
      <c r="I317" s="619">
        <v>0</v>
      </c>
      <c r="J317" s="619">
        <v>0</v>
      </c>
      <c r="K317" s="619">
        <v>0</v>
      </c>
      <c r="L317" s="625">
        <v>0</v>
      </c>
      <c r="M317" s="619">
        <v>0</v>
      </c>
      <c r="N317" s="619">
        <v>0</v>
      </c>
      <c r="O317" s="619">
        <v>0</v>
      </c>
      <c r="P317" s="619">
        <v>0</v>
      </c>
      <c r="Q317" s="619">
        <v>0</v>
      </c>
      <c r="R317" s="619">
        <v>0</v>
      </c>
      <c r="S317" s="619">
        <v>0</v>
      </c>
      <c r="T317" s="619">
        <v>0</v>
      </c>
      <c r="U317" s="619">
        <v>0</v>
      </c>
      <c r="V317" s="619">
        <v>0</v>
      </c>
      <c r="W317" s="619">
        <v>0</v>
      </c>
      <c r="X317" s="619">
        <v>0</v>
      </c>
      <c r="Y317" s="619">
        <v>0</v>
      </c>
      <c r="Z317" s="51"/>
      <c r="AA317" s="51"/>
      <c r="AB317" s="51"/>
    </row>
    <row r="318" spans="1:28">
      <c r="A318" s="51" t="e">
        <f>A316+2</f>
        <v>#REF!</v>
      </c>
      <c r="B318" s="51">
        <f>B316</f>
        <v>2038</v>
      </c>
      <c r="C318" s="51" t="str">
        <f>C316</f>
        <v>AMS</v>
      </c>
      <c r="D318" s="51" t="s">
        <v>499</v>
      </c>
      <c r="E318" s="51" t="e">
        <f>VLOOKUP($H$6,#REF!,2,FALSE)</f>
        <v>#REF!</v>
      </c>
      <c r="F318" s="51"/>
      <c r="G318" s="620" t="s">
        <v>67</v>
      </c>
      <c r="H318" s="613">
        <v>0</v>
      </c>
      <c r="I318" s="613">
        <v>0</v>
      </c>
      <c r="J318" s="613">
        <v>0</v>
      </c>
      <c r="K318" s="613">
        <v>0</v>
      </c>
      <c r="L318" s="613">
        <v>0</v>
      </c>
      <c r="M318" s="613">
        <v>0</v>
      </c>
      <c r="N318" s="613">
        <v>0</v>
      </c>
      <c r="O318" s="613">
        <v>0</v>
      </c>
      <c r="P318" s="613">
        <v>0</v>
      </c>
      <c r="Q318" s="613">
        <v>0</v>
      </c>
      <c r="R318" s="613">
        <v>0</v>
      </c>
      <c r="S318" s="613">
        <v>0</v>
      </c>
      <c r="T318" s="613">
        <v>0</v>
      </c>
      <c r="U318" s="613">
        <v>0</v>
      </c>
      <c r="V318" s="613">
        <v>0</v>
      </c>
      <c r="W318" s="613">
        <v>0</v>
      </c>
      <c r="X318" s="613">
        <v>0</v>
      </c>
      <c r="Y318" s="621">
        <v>0</v>
      </c>
      <c r="Z318" s="51"/>
      <c r="AA318" s="51"/>
      <c r="AB318" s="51"/>
    </row>
    <row r="319" spans="1:28">
      <c r="A319" s="51" t="e">
        <f t="shared" ref="A319:A330" si="44">A318+1</f>
        <v>#REF!</v>
      </c>
      <c r="B319" s="51">
        <f t="shared" ref="B319:C330" si="45">B318</f>
        <v>2038</v>
      </c>
      <c r="C319" s="51" t="str">
        <f t="shared" si="45"/>
        <v>AMS</v>
      </c>
      <c r="D319" s="51" t="s">
        <v>500</v>
      </c>
      <c r="E319" s="51" t="e">
        <f>VLOOKUP($H$6,#REF!,2,FALSE)</f>
        <v>#REF!</v>
      </c>
      <c r="F319" s="51"/>
      <c r="G319" s="620" t="s">
        <v>350</v>
      </c>
      <c r="H319" s="613">
        <v>0</v>
      </c>
      <c r="I319" s="613">
        <v>0</v>
      </c>
      <c r="J319" s="613">
        <v>0.36057808628354604</v>
      </c>
      <c r="K319" s="613">
        <v>0</v>
      </c>
      <c r="L319" s="613">
        <v>8.1731938492631571</v>
      </c>
      <c r="M319" s="613">
        <v>0</v>
      </c>
      <c r="N319" s="613">
        <v>1044.9429709090912</v>
      </c>
      <c r="O319" s="613">
        <v>337.76764233856375</v>
      </c>
      <c r="P319" s="613">
        <v>24.329285035479781</v>
      </c>
      <c r="Q319" s="613">
        <v>10.889043532649588</v>
      </c>
      <c r="R319" s="613">
        <v>5.3878161949008447</v>
      </c>
      <c r="S319" s="613">
        <v>2.156867305661093</v>
      </c>
      <c r="T319" s="613">
        <v>0</v>
      </c>
      <c r="U319" s="613">
        <v>4.9774137725284184</v>
      </c>
      <c r="V319" s="613">
        <v>-707.90222245283019</v>
      </c>
      <c r="W319" s="613">
        <v>0</v>
      </c>
      <c r="X319" s="613">
        <v>2.1049473729599999</v>
      </c>
      <c r="Y319" s="621">
        <v>733.18753594455109</v>
      </c>
      <c r="Z319" s="51"/>
      <c r="AA319" s="51"/>
      <c r="AB319" s="51"/>
    </row>
    <row r="320" spans="1:28">
      <c r="A320" s="51" t="e">
        <f t="shared" si="44"/>
        <v>#REF!</v>
      </c>
      <c r="B320" s="51">
        <f t="shared" si="45"/>
        <v>2038</v>
      </c>
      <c r="C320" s="51" t="str">
        <f t="shared" si="45"/>
        <v>AMS</v>
      </c>
      <c r="D320" s="51" t="s">
        <v>501</v>
      </c>
      <c r="E320" s="51" t="e">
        <f>VLOOKUP($H$6,#REF!,2,FALSE)</f>
        <v>#REF!</v>
      </c>
      <c r="F320" s="51"/>
      <c r="G320" s="620" t="s">
        <v>351</v>
      </c>
      <c r="H320" s="613">
        <v>0</v>
      </c>
      <c r="I320" s="613">
        <v>0</v>
      </c>
      <c r="J320" s="613">
        <v>0</v>
      </c>
      <c r="K320" s="613">
        <v>0</v>
      </c>
      <c r="L320" s="613">
        <v>9.2764090353058375</v>
      </c>
      <c r="M320" s="613">
        <v>0</v>
      </c>
      <c r="N320" s="613">
        <v>0</v>
      </c>
      <c r="O320" s="613">
        <v>0</v>
      </c>
      <c r="P320" s="613">
        <v>35.764224717869801</v>
      </c>
      <c r="Q320" s="613">
        <v>14.37233701187753</v>
      </c>
      <c r="R320" s="613">
        <v>0</v>
      </c>
      <c r="S320" s="613">
        <v>5.4622758911360467</v>
      </c>
      <c r="T320" s="613">
        <v>0</v>
      </c>
      <c r="U320" s="613">
        <v>10.952590418500169</v>
      </c>
      <c r="V320" s="613">
        <v>0</v>
      </c>
      <c r="W320" s="613">
        <v>-70.157887736076944</v>
      </c>
      <c r="X320" s="613">
        <v>0</v>
      </c>
      <c r="Y320" s="621">
        <v>5.6699493386124447</v>
      </c>
      <c r="Z320" s="51"/>
      <c r="AA320" s="51"/>
      <c r="AB320" s="51"/>
    </row>
    <row r="321" spans="1:28">
      <c r="A321" s="51" t="e">
        <f t="shared" si="44"/>
        <v>#REF!</v>
      </c>
      <c r="B321" s="51">
        <f t="shared" si="45"/>
        <v>2038</v>
      </c>
      <c r="C321" s="51" t="str">
        <f t="shared" si="45"/>
        <v>AMS</v>
      </c>
      <c r="D321" s="51" t="s">
        <v>502</v>
      </c>
      <c r="E321" s="51" t="e">
        <f>VLOOKUP($H$6,#REF!,2,FALSE)</f>
        <v>#REF!</v>
      </c>
      <c r="F321" s="51"/>
      <c r="G321" s="620" t="s">
        <v>352</v>
      </c>
      <c r="H321" s="613">
        <v>0</v>
      </c>
      <c r="I321" s="613">
        <v>0</v>
      </c>
      <c r="J321" s="613">
        <v>0</v>
      </c>
      <c r="K321" s="613">
        <v>0</v>
      </c>
      <c r="L321" s="613">
        <v>0</v>
      </c>
      <c r="M321" s="613">
        <v>0</v>
      </c>
      <c r="N321" s="613">
        <v>0</v>
      </c>
      <c r="O321" s="613">
        <v>0</v>
      </c>
      <c r="P321" s="613">
        <v>74.596330146789299</v>
      </c>
      <c r="Q321" s="613">
        <v>0</v>
      </c>
      <c r="R321" s="613">
        <v>0</v>
      </c>
      <c r="S321" s="613">
        <v>-68.378931392842205</v>
      </c>
      <c r="T321" s="613">
        <v>0</v>
      </c>
      <c r="U321" s="613">
        <v>0</v>
      </c>
      <c r="V321" s="613">
        <v>0</v>
      </c>
      <c r="W321" s="613">
        <v>0</v>
      </c>
      <c r="X321" s="613">
        <v>0</v>
      </c>
      <c r="Y321" s="621">
        <v>6.2173987539470943</v>
      </c>
      <c r="Z321" s="51"/>
      <c r="AA321" s="51"/>
      <c r="AB321" s="51"/>
    </row>
    <row r="322" spans="1:28">
      <c r="A322" s="51" t="e">
        <f t="shared" si="44"/>
        <v>#REF!</v>
      </c>
      <c r="B322" s="51">
        <f t="shared" si="45"/>
        <v>2038</v>
      </c>
      <c r="C322" s="51" t="str">
        <f t="shared" si="45"/>
        <v>AMS</v>
      </c>
      <c r="D322" s="51" t="s">
        <v>503</v>
      </c>
      <c r="E322" s="51" t="e">
        <f>VLOOKUP($H$6,#REF!,2,FALSE)</f>
        <v>#REF!</v>
      </c>
      <c r="F322" s="51"/>
      <c r="G322" s="620" t="s">
        <v>353</v>
      </c>
      <c r="H322" s="613">
        <v>0</v>
      </c>
      <c r="I322" s="613">
        <v>0</v>
      </c>
      <c r="J322" s="613">
        <v>0</v>
      </c>
      <c r="K322" s="613">
        <v>0</v>
      </c>
      <c r="L322" s="613">
        <v>0</v>
      </c>
      <c r="M322" s="613">
        <v>0</v>
      </c>
      <c r="N322" s="613">
        <v>0</v>
      </c>
      <c r="O322" s="613">
        <v>0</v>
      </c>
      <c r="P322" s="613">
        <v>0</v>
      </c>
      <c r="Q322" s="613">
        <v>0</v>
      </c>
      <c r="R322" s="613">
        <v>0</v>
      </c>
      <c r="S322" s="613">
        <v>0</v>
      </c>
      <c r="T322" s="613">
        <v>0</v>
      </c>
      <c r="U322" s="613">
        <v>0</v>
      </c>
      <c r="V322" s="613">
        <v>0</v>
      </c>
      <c r="W322" s="613">
        <v>0</v>
      </c>
      <c r="X322" s="613">
        <v>0</v>
      </c>
      <c r="Y322" s="621">
        <v>0</v>
      </c>
      <c r="Z322" s="51"/>
      <c r="AA322" s="51"/>
      <c r="AB322" s="51"/>
    </row>
    <row r="323" spans="1:28">
      <c r="A323" s="51" t="e">
        <f t="shared" si="44"/>
        <v>#REF!</v>
      </c>
      <c r="B323" s="51">
        <f t="shared" si="45"/>
        <v>2038</v>
      </c>
      <c r="C323" s="51" t="str">
        <f t="shared" si="45"/>
        <v>AMS</v>
      </c>
      <c r="D323" s="51" t="s">
        <v>504</v>
      </c>
      <c r="E323" s="51" t="e">
        <f>VLOOKUP($H$6,#REF!,2,FALSE)</f>
        <v>#REF!</v>
      </c>
      <c r="F323" s="51"/>
      <c r="G323" s="620" t="s">
        <v>72</v>
      </c>
      <c r="H323" s="613">
        <v>0</v>
      </c>
      <c r="I323" s="613">
        <v>309.28389692910912</v>
      </c>
      <c r="J323" s="613">
        <v>-306.20133621434456</v>
      </c>
      <c r="K323" s="613">
        <v>0</v>
      </c>
      <c r="L323" s="613">
        <v>0</v>
      </c>
      <c r="M323" s="613">
        <v>0</v>
      </c>
      <c r="N323" s="613">
        <v>0</v>
      </c>
      <c r="O323" s="613">
        <v>0</v>
      </c>
      <c r="P323" s="613">
        <v>0</v>
      </c>
      <c r="Q323" s="613">
        <v>0</v>
      </c>
      <c r="R323" s="613">
        <v>0</v>
      </c>
      <c r="S323" s="613">
        <v>0</v>
      </c>
      <c r="T323" s="613">
        <v>0</v>
      </c>
      <c r="U323" s="613">
        <v>0</v>
      </c>
      <c r="V323" s="613">
        <v>0</v>
      </c>
      <c r="W323" s="613">
        <v>0</v>
      </c>
      <c r="X323" s="613">
        <v>0</v>
      </c>
      <c r="Y323" s="621">
        <v>3.0825607147645133</v>
      </c>
      <c r="Z323" s="51"/>
      <c r="AA323" s="51"/>
      <c r="AB323" s="51"/>
    </row>
    <row r="324" spans="1:28">
      <c r="A324" s="51" t="e">
        <f t="shared" si="44"/>
        <v>#REF!</v>
      </c>
      <c r="B324" s="51">
        <f t="shared" si="45"/>
        <v>2038</v>
      </c>
      <c r="C324" s="51" t="str">
        <f t="shared" si="45"/>
        <v>AMS</v>
      </c>
      <c r="D324" s="51" t="s">
        <v>505</v>
      </c>
      <c r="E324" s="51" t="e">
        <f>VLOOKUP($H$6,#REF!,2,FALSE)</f>
        <v>#REF!</v>
      </c>
      <c r="F324" s="51"/>
      <c r="G324" s="620" t="s">
        <v>354</v>
      </c>
      <c r="H324" s="613">
        <v>0</v>
      </c>
      <c r="I324" s="613">
        <v>0</v>
      </c>
      <c r="J324" s="613">
        <v>0</v>
      </c>
      <c r="K324" s="613">
        <v>0</v>
      </c>
      <c r="L324" s="613">
        <v>0</v>
      </c>
      <c r="M324" s="613">
        <v>0</v>
      </c>
      <c r="N324" s="613">
        <v>0</v>
      </c>
      <c r="O324" s="613">
        <v>0</v>
      </c>
      <c r="P324" s="613">
        <v>106.10331078427467</v>
      </c>
      <c r="Q324" s="613">
        <v>0</v>
      </c>
      <c r="R324" s="613">
        <v>-106.10331078427467</v>
      </c>
      <c r="S324" s="613">
        <v>0</v>
      </c>
      <c r="T324" s="613">
        <v>0</v>
      </c>
      <c r="U324" s="613">
        <v>0</v>
      </c>
      <c r="V324" s="613">
        <v>0</v>
      </c>
      <c r="W324" s="613">
        <v>0</v>
      </c>
      <c r="X324" s="613">
        <v>0</v>
      </c>
      <c r="Y324" s="621">
        <v>0</v>
      </c>
      <c r="Z324" s="51"/>
      <c r="AA324" s="51"/>
      <c r="AB324" s="51"/>
    </row>
    <row r="325" spans="1:28">
      <c r="A325" s="51" t="e">
        <f t="shared" si="44"/>
        <v>#REF!</v>
      </c>
      <c r="B325" s="51">
        <f t="shared" si="45"/>
        <v>2038</v>
      </c>
      <c r="C325" s="51" t="str">
        <f t="shared" si="45"/>
        <v>AMS</v>
      </c>
      <c r="D325" s="51" t="s">
        <v>506</v>
      </c>
      <c r="E325" s="51" t="e">
        <f>VLOOKUP($H$6,#REF!,2,FALSE)</f>
        <v>#REF!</v>
      </c>
      <c r="F325" s="51"/>
      <c r="G325" s="620" t="s">
        <v>355</v>
      </c>
      <c r="H325" s="613">
        <v>0</v>
      </c>
      <c r="I325" s="613">
        <v>0</v>
      </c>
      <c r="J325" s="613">
        <v>0</v>
      </c>
      <c r="K325" s="613">
        <v>-16.310777823492739</v>
      </c>
      <c r="L325" s="613">
        <v>0</v>
      </c>
      <c r="M325" s="613">
        <v>0</v>
      </c>
      <c r="N325" s="613">
        <v>0</v>
      </c>
      <c r="O325" s="613">
        <v>0</v>
      </c>
      <c r="P325" s="613">
        <v>0</v>
      </c>
      <c r="Q325" s="613">
        <v>0</v>
      </c>
      <c r="R325" s="613">
        <v>0</v>
      </c>
      <c r="S325" s="613">
        <v>0</v>
      </c>
      <c r="T325" s="613">
        <v>0</v>
      </c>
      <c r="U325" s="613">
        <v>0</v>
      </c>
      <c r="V325" s="613">
        <v>0</v>
      </c>
      <c r="W325" s="613">
        <v>0</v>
      </c>
      <c r="X325" s="613">
        <v>22.716960756953675</v>
      </c>
      <c r="Y325" s="621">
        <v>6.4061829334609364</v>
      </c>
      <c r="Z325" s="51"/>
      <c r="AA325" s="51"/>
      <c r="AB325" s="51"/>
    </row>
    <row r="326" spans="1:28">
      <c r="A326" s="51" t="e">
        <f t="shared" si="44"/>
        <v>#REF!</v>
      </c>
      <c r="B326" s="51">
        <f t="shared" si="45"/>
        <v>2038</v>
      </c>
      <c r="C326" s="51" t="str">
        <f t="shared" si="45"/>
        <v>AMS</v>
      </c>
      <c r="D326" s="51" t="s">
        <v>507</v>
      </c>
      <c r="E326" s="51" t="e">
        <f>VLOOKUP($H$6,#REF!,2,FALSE)</f>
        <v>#REF!</v>
      </c>
      <c r="F326" s="51"/>
      <c r="G326" s="620" t="s">
        <v>73</v>
      </c>
      <c r="H326" s="613">
        <v>0</v>
      </c>
      <c r="I326" s="613">
        <v>0</v>
      </c>
      <c r="J326" s="613">
        <v>0</v>
      </c>
      <c r="K326" s="613">
        <v>0</v>
      </c>
      <c r="L326" s="613">
        <v>0</v>
      </c>
      <c r="M326" s="613">
        <v>0</v>
      </c>
      <c r="N326" s="613">
        <v>0</v>
      </c>
      <c r="O326" s="613">
        <v>0</v>
      </c>
      <c r="P326" s="613">
        <v>0</v>
      </c>
      <c r="Q326" s="613">
        <v>0</v>
      </c>
      <c r="R326" s="613">
        <v>0</v>
      </c>
      <c r="S326" s="613">
        <v>0</v>
      </c>
      <c r="T326" s="613">
        <v>0</v>
      </c>
      <c r="U326" s="613">
        <v>0</v>
      </c>
      <c r="V326" s="613">
        <v>81.021305902580409</v>
      </c>
      <c r="W326" s="613">
        <v>0</v>
      </c>
      <c r="X326" s="613">
        <v>-54.932445401949522</v>
      </c>
      <c r="Y326" s="621">
        <v>26.088860500630886</v>
      </c>
      <c r="Z326" s="51"/>
      <c r="AA326" s="51"/>
      <c r="AB326" s="51"/>
    </row>
    <row r="327" spans="1:28">
      <c r="A327" s="51" t="e">
        <f t="shared" si="44"/>
        <v>#REF!</v>
      </c>
      <c r="B327" s="51">
        <f t="shared" si="45"/>
        <v>2038</v>
      </c>
      <c r="C327" s="51" t="str">
        <f t="shared" si="45"/>
        <v>AMS</v>
      </c>
      <c r="D327" s="51" t="s">
        <v>508</v>
      </c>
      <c r="E327" s="51" t="e">
        <f>VLOOKUP($H$6,#REF!,2,FALSE)</f>
        <v>#REF!</v>
      </c>
      <c r="F327" s="51"/>
      <c r="G327" s="620" t="s">
        <v>356</v>
      </c>
      <c r="H327" s="613">
        <v>7.7637663281249996</v>
      </c>
      <c r="I327" s="613">
        <v>-10.819519335238569</v>
      </c>
      <c r="J327" s="613">
        <v>14.100311366339174</v>
      </c>
      <c r="K327" s="613">
        <v>0</v>
      </c>
      <c r="L327" s="613">
        <v>0</v>
      </c>
      <c r="M327" s="613">
        <v>0</v>
      </c>
      <c r="N327" s="613">
        <v>0</v>
      </c>
      <c r="O327" s="613">
        <v>0</v>
      </c>
      <c r="P327" s="613">
        <v>0</v>
      </c>
      <c r="Q327" s="613">
        <v>0</v>
      </c>
      <c r="R327" s="613">
        <v>0</v>
      </c>
      <c r="S327" s="613">
        <v>0</v>
      </c>
      <c r="T327" s="613">
        <v>0</v>
      </c>
      <c r="U327" s="613">
        <v>0</v>
      </c>
      <c r="V327" s="613">
        <v>0</v>
      </c>
      <c r="W327" s="613">
        <v>0</v>
      </c>
      <c r="X327" s="613">
        <v>0</v>
      </c>
      <c r="Y327" s="621">
        <v>11.044558359225604</v>
      </c>
      <c r="Z327" s="51"/>
      <c r="AA327" s="51"/>
      <c r="AB327" s="51"/>
    </row>
    <row r="328" spans="1:28">
      <c r="A328" s="51" t="e">
        <f t="shared" si="44"/>
        <v>#REF!</v>
      </c>
      <c r="B328" s="51">
        <f t="shared" si="45"/>
        <v>2038</v>
      </c>
      <c r="C328" s="51" t="str">
        <f t="shared" si="45"/>
        <v>AMS</v>
      </c>
      <c r="D328" s="51" t="s">
        <v>509</v>
      </c>
      <c r="E328" s="51" t="e">
        <f>VLOOKUP($H$6,#REF!,2,FALSE)</f>
        <v>#REF!</v>
      </c>
      <c r="F328" s="51"/>
      <c r="G328" s="620" t="s">
        <v>75</v>
      </c>
      <c r="H328" s="613">
        <v>3.0192424609374999</v>
      </c>
      <c r="I328" s="613">
        <v>0</v>
      </c>
      <c r="J328" s="613">
        <v>18.191659515376916</v>
      </c>
      <c r="K328" s="613">
        <v>0</v>
      </c>
      <c r="L328" s="613">
        <v>3.2664120682994437</v>
      </c>
      <c r="M328" s="613">
        <v>0</v>
      </c>
      <c r="N328" s="613">
        <v>0</v>
      </c>
      <c r="O328" s="613">
        <v>0</v>
      </c>
      <c r="P328" s="613">
        <v>0</v>
      </c>
      <c r="Q328" s="613">
        <v>0</v>
      </c>
      <c r="R328" s="613">
        <v>0</v>
      </c>
      <c r="S328" s="613">
        <v>1.9850542794488581</v>
      </c>
      <c r="T328" s="613">
        <v>0</v>
      </c>
      <c r="U328" s="613">
        <v>0</v>
      </c>
      <c r="V328" s="613">
        <v>25.953415809095944</v>
      </c>
      <c r="W328" s="613">
        <v>0</v>
      </c>
      <c r="X328" s="613">
        <v>0</v>
      </c>
      <c r="Y328" s="621">
        <v>52.41578413315866</v>
      </c>
      <c r="Z328" s="51"/>
      <c r="AA328" s="51"/>
      <c r="AB328" s="51"/>
    </row>
    <row r="329" spans="1:28">
      <c r="A329" s="51" t="e">
        <f t="shared" si="44"/>
        <v>#REF!</v>
      </c>
      <c r="B329" s="51">
        <f t="shared" si="45"/>
        <v>2038</v>
      </c>
      <c r="C329" s="51" t="str">
        <f t="shared" si="45"/>
        <v>AMS</v>
      </c>
      <c r="D329" s="51" t="s">
        <v>510</v>
      </c>
      <c r="E329" s="51" t="e">
        <f>VLOOKUP($H$6,#REF!,2,FALSE)</f>
        <v>#REF!</v>
      </c>
      <c r="F329" s="51"/>
      <c r="G329" s="620" t="s">
        <v>76</v>
      </c>
      <c r="H329" s="613">
        <v>0</v>
      </c>
      <c r="I329" s="613">
        <v>0</v>
      </c>
      <c r="J329" s="613">
        <v>0</v>
      </c>
      <c r="K329" s="613">
        <v>0</v>
      </c>
      <c r="L329" s="613">
        <v>1.3263177549814644</v>
      </c>
      <c r="M329" s="613">
        <v>0</v>
      </c>
      <c r="N329" s="613">
        <v>0</v>
      </c>
      <c r="O329" s="613">
        <v>0</v>
      </c>
      <c r="P329" s="613">
        <v>0</v>
      </c>
      <c r="Q329" s="613">
        <v>0</v>
      </c>
      <c r="R329" s="613">
        <v>0</v>
      </c>
      <c r="S329" s="613">
        <v>0.80602590254500572</v>
      </c>
      <c r="T329" s="613">
        <v>0</v>
      </c>
      <c r="U329" s="613">
        <v>0</v>
      </c>
      <c r="V329" s="613">
        <v>47.211289773023438</v>
      </c>
      <c r="W329" s="613">
        <v>5.4411740217158124</v>
      </c>
      <c r="X329" s="613">
        <v>0</v>
      </c>
      <c r="Y329" s="621">
        <v>54.784807452265724</v>
      </c>
      <c r="Z329" s="51"/>
      <c r="AA329" s="51"/>
      <c r="AB329" s="51"/>
    </row>
    <row r="330" spans="1:28">
      <c r="A330" s="51" t="e">
        <f t="shared" si="44"/>
        <v>#REF!</v>
      </c>
      <c r="B330" s="51">
        <f t="shared" si="45"/>
        <v>2038</v>
      </c>
      <c r="C330" s="51" t="str">
        <f t="shared" si="45"/>
        <v>AMS</v>
      </c>
      <c r="D330" s="51" t="s">
        <v>511</v>
      </c>
      <c r="E330" s="51" t="e">
        <f>VLOOKUP($H$6,#REF!,2,FALSE)</f>
        <v>#REF!</v>
      </c>
      <c r="F330" s="51"/>
      <c r="G330" s="616" t="s">
        <v>77</v>
      </c>
      <c r="H330" s="617">
        <v>10.783008789062499</v>
      </c>
      <c r="I330" s="617">
        <v>298.46437759387055</v>
      </c>
      <c r="J330" s="617">
        <v>-273.54878724634494</v>
      </c>
      <c r="K330" s="617">
        <v>-16.310777823492739</v>
      </c>
      <c r="L330" s="624">
        <v>22.042332707849905</v>
      </c>
      <c r="M330" s="617">
        <v>0</v>
      </c>
      <c r="N330" s="617">
        <v>1044.9429709090912</v>
      </c>
      <c r="O330" s="617">
        <v>337.76764233856375</v>
      </c>
      <c r="P330" s="617">
        <v>240.79315068441355</v>
      </c>
      <c r="Q330" s="617">
        <v>25.261380544527118</v>
      </c>
      <c r="R330" s="617">
        <v>-100.71549458937382</v>
      </c>
      <c r="S330" s="617">
        <v>-57.968708014051202</v>
      </c>
      <c r="T330" s="617">
        <v>0</v>
      </c>
      <c r="U330" s="617">
        <v>15.930004191028587</v>
      </c>
      <c r="V330" s="617">
        <v>-553.71621096813044</v>
      </c>
      <c r="W330" s="617">
        <v>-64.71671371436112</v>
      </c>
      <c r="X330" s="617">
        <v>-30.110537272035849</v>
      </c>
      <c r="Y330" s="617">
        <v>898.897638130617</v>
      </c>
      <c r="Z330" s="51"/>
      <c r="AA330" s="51"/>
      <c r="AB330" s="51"/>
    </row>
    <row r="331" spans="1:28">
      <c r="A331" s="51"/>
      <c r="B331" s="51"/>
      <c r="C331" s="51"/>
      <c r="D331" s="51"/>
      <c r="E331" s="51"/>
      <c r="F331" s="51"/>
      <c r="G331" s="618"/>
      <c r="H331" s="619">
        <v>0</v>
      </c>
      <c r="I331" s="619">
        <v>0</v>
      </c>
      <c r="J331" s="619">
        <v>0</v>
      </c>
      <c r="K331" s="619">
        <v>0</v>
      </c>
      <c r="L331" s="625">
        <v>0</v>
      </c>
      <c r="M331" s="619">
        <v>0</v>
      </c>
      <c r="N331" s="619">
        <v>0</v>
      </c>
      <c r="O331" s="619">
        <v>0</v>
      </c>
      <c r="P331" s="619">
        <v>0</v>
      </c>
      <c r="Q331" s="619">
        <v>0</v>
      </c>
      <c r="R331" s="619">
        <v>0</v>
      </c>
      <c r="S331" s="619">
        <v>0</v>
      </c>
      <c r="T331" s="619">
        <v>0</v>
      </c>
      <c r="U331" s="619">
        <v>0</v>
      </c>
      <c r="V331" s="619">
        <v>0</v>
      </c>
      <c r="W331" s="619">
        <v>0</v>
      </c>
      <c r="X331" s="619">
        <v>0</v>
      </c>
      <c r="Y331" s="619">
        <v>0</v>
      </c>
      <c r="Z331" s="51"/>
      <c r="AA331" s="51"/>
      <c r="AB331" s="51"/>
    </row>
    <row r="332" spans="1:28">
      <c r="A332" s="51" t="e">
        <f>A330+2</f>
        <v>#REF!</v>
      </c>
      <c r="B332" s="51">
        <f>B330</f>
        <v>2038</v>
      </c>
      <c r="C332" s="51" t="str">
        <f>C310</f>
        <v>AMS</v>
      </c>
      <c r="D332" s="51" t="s">
        <v>512</v>
      </c>
      <c r="E332" s="51" t="e">
        <f>VLOOKUP($H$6,#REF!,2,FALSE)</f>
        <v>#REF!</v>
      </c>
      <c r="F332" s="51"/>
      <c r="G332" s="620" t="s">
        <v>78</v>
      </c>
      <c r="H332" s="613">
        <v>3.0761682303728053</v>
      </c>
      <c r="I332" s="613">
        <v>0</v>
      </c>
      <c r="J332" s="613">
        <v>6.6351508306047968</v>
      </c>
      <c r="K332" s="613">
        <v>0</v>
      </c>
      <c r="L332" s="613">
        <v>38.528321178569939</v>
      </c>
      <c r="M332" s="613">
        <v>0</v>
      </c>
      <c r="N332" s="613">
        <v>0</v>
      </c>
      <c r="O332" s="613">
        <v>0</v>
      </c>
      <c r="P332" s="613">
        <v>20.031105646676835</v>
      </c>
      <c r="Q332" s="613">
        <v>2.4349588281846541</v>
      </c>
      <c r="R332" s="613">
        <v>1.8349433718750003</v>
      </c>
      <c r="S332" s="613">
        <v>23.451101372697913</v>
      </c>
      <c r="T332" s="613">
        <v>6.8164926757812498</v>
      </c>
      <c r="U332" s="613">
        <v>7.4990210834655101E-4</v>
      </c>
      <c r="V332" s="613">
        <v>132.01210341841889</v>
      </c>
      <c r="W332" s="613">
        <v>18.207144124668375</v>
      </c>
      <c r="X332" s="613">
        <v>4.1350366210937501</v>
      </c>
      <c r="Y332" s="621">
        <v>257.16327620105255</v>
      </c>
      <c r="Z332" s="51"/>
      <c r="AA332" s="622" t="e" cm="1">
        <f t="array" aca="1" ref="AA332" ca="1">_xlfn.IFNA(INDEX(#REF!,MATCH(INDIRECT("Codes_bilans!"&amp;AA$1&amp;"$"&amp;$A332),#REF!,0),MATCH($B332,#REF!,0)),0)</f>
        <v>#REF!</v>
      </c>
      <c r="AB332" s="51"/>
    </row>
    <row r="333" spans="1:28">
      <c r="A333" s="51" t="e">
        <f t="shared" ref="A333:A340" si="46">A332+1</f>
        <v>#REF!</v>
      </c>
      <c r="B333" s="51">
        <f t="shared" ref="B333:C340" si="47">B332</f>
        <v>2038</v>
      </c>
      <c r="C333" s="51" t="str">
        <f t="shared" si="47"/>
        <v>AMS</v>
      </c>
      <c r="D333" s="51" t="s">
        <v>513</v>
      </c>
      <c r="E333" s="51" t="e">
        <f>VLOOKUP($H$6,#REF!,2,FALSE)</f>
        <v>#REF!</v>
      </c>
      <c r="F333" s="51"/>
      <c r="G333" s="620" t="s">
        <v>79</v>
      </c>
      <c r="H333" s="613">
        <v>0</v>
      </c>
      <c r="I333" s="613">
        <v>0</v>
      </c>
      <c r="J333" s="613">
        <v>110.91379205811297</v>
      </c>
      <c r="K333" s="613">
        <v>0.7006243456433674</v>
      </c>
      <c r="L333" s="613">
        <v>3.7872267703464977</v>
      </c>
      <c r="M333" s="613">
        <v>0</v>
      </c>
      <c r="N333" s="613">
        <v>0</v>
      </c>
      <c r="O333" s="613">
        <v>0</v>
      </c>
      <c r="P333" s="613">
        <v>0</v>
      </c>
      <c r="Q333" s="613">
        <v>0</v>
      </c>
      <c r="R333" s="613">
        <v>63.547118628094331</v>
      </c>
      <c r="S333" s="613">
        <v>2.3015622495031773</v>
      </c>
      <c r="T333" s="613">
        <v>0</v>
      </c>
      <c r="U333" s="613">
        <v>0</v>
      </c>
      <c r="V333" s="613">
        <v>74.297767208409297</v>
      </c>
      <c r="W333" s="613">
        <v>0</v>
      </c>
      <c r="X333" s="613">
        <v>2.9567259991236208</v>
      </c>
      <c r="Y333" s="621">
        <v>258.50481725923328</v>
      </c>
      <c r="Z333" s="51"/>
      <c r="AA333" s="622" t="e" cm="1">
        <f t="array" aca="1" ref="AA333" ca="1">_xlfn.IFNA(INDEX(#REF!,MATCH(INDIRECT("Codes_bilans!"&amp;AA$1&amp;"$"&amp;$A333),#REF!,0),MATCH($B333,#REF!,0)),0)</f>
        <v>#REF!</v>
      </c>
      <c r="AB333" s="51"/>
    </row>
    <row r="334" spans="1:28">
      <c r="A334" s="51" t="e">
        <f t="shared" si="46"/>
        <v>#REF!</v>
      </c>
      <c r="B334" s="51">
        <f t="shared" si="47"/>
        <v>2038</v>
      </c>
      <c r="C334" s="51" t="str">
        <f t="shared" si="47"/>
        <v>AMS</v>
      </c>
      <c r="D334" s="51" t="s">
        <v>514</v>
      </c>
      <c r="E334" s="51" t="e">
        <f>VLOOKUP($H$6,#REF!,2,FALSE)</f>
        <v>#REF!</v>
      </c>
      <c r="F334" s="51"/>
      <c r="G334" s="620" t="s">
        <v>80</v>
      </c>
      <c r="H334" s="613">
        <v>0</v>
      </c>
      <c r="I334" s="613">
        <v>0</v>
      </c>
      <c r="J334" s="613">
        <v>2.6564398035767778</v>
      </c>
      <c r="K334" s="613">
        <v>0</v>
      </c>
      <c r="L334" s="613">
        <v>28.69836522821614</v>
      </c>
      <c r="M334" s="613">
        <v>0</v>
      </c>
      <c r="N334" s="613">
        <v>0</v>
      </c>
      <c r="O334" s="613">
        <v>0</v>
      </c>
      <c r="P334" s="613">
        <v>35.896639108009097</v>
      </c>
      <c r="Q334" s="613">
        <v>0</v>
      </c>
      <c r="R334" s="613">
        <v>0</v>
      </c>
      <c r="S334" s="613">
        <v>17.440485621005948</v>
      </c>
      <c r="T334" s="613">
        <v>97.288022909546527</v>
      </c>
      <c r="U334" s="613">
        <v>2.574236293616976</v>
      </c>
      <c r="V334" s="613">
        <v>153.30644884049457</v>
      </c>
      <c r="W334" s="613">
        <v>27.523160685886953</v>
      </c>
      <c r="X334" s="613">
        <v>0</v>
      </c>
      <c r="Y334" s="621">
        <v>365.383798490353</v>
      </c>
      <c r="Z334" s="51"/>
      <c r="AA334" s="622" t="e" cm="1">
        <f t="array" aca="1" ref="AA334" ca="1">_xlfn.IFNA(INDEX(#REF!,MATCH(INDIRECT("Codes_bilans!"&amp;AA$1&amp;"$"&amp;$A334),#REF!,0),MATCH($B334,#REF!,0)),0)</f>
        <v>#REF!</v>
      </c>
      <c r="AB334" s="51"/>
    </row>
    <row r="335" spans="1:28">
      <c r="A335" s="51" t="e">
        <f t="shared" si="46"/>
        <v>#REF!</v>
      </c>
      <c r="B335" s="51">
        <f t="shared" si="47"/>
        <v>2038</v>
      </c>
      <c r="C335" s="51" t="str">
        <f t="shared" si="47"/>
        <v>AMS</v>
      </c>
      <c r="D335" s="51" t="s">
        <v>515</v>
      </c>
      <c r="E335" s="51" t="e">
        <f>VLOOKUP($H$6,#REF!,2,FALSE)</f>
        <v>#REF!</v>
      </c>
      <c r="F335" s="51"/>
      <c r="G335" s="620" t="s">
        <v>81</v>
      </c>
      <c r="H335" s="613">
        <v>0</v>
      </c>
      <c r="I335" s="613">
        <v>0</v>
      </c>
      <c r="J335" s="613">
        <v>2.1807410006338563</v>
      </c>
      <c r="K335" s="613">
        <v>0</v>
      </c>
      <c r="L335" s="613">
        <v>15.077359159365459</v>
      </c>
      <c r="M335" s="613">
        <v>0</v>
      </c>
      <c r="N335" s="613">
        <v>0</v>
      </c>
      <c r="O335" s="613">
        <v>0</v>
      </c>
      <c r="P335" s="613">
        <v>0.41672235765550286</v>
      </c>
      <c r="Q335" s="613">
        <v>4.2787984175547016E-4</v>
      </c>
      <c r="R335" s="613">
        <v>0</v>
      </c>
      <c r="S335" s="613">
        <v>9.1627681064954078</v>
      </c>
      <c r="T335" s="613">
        <v>23.435320327740932</v>
      </c>
      <c r="U335" s="613">
        <v>0.98358432216492664</v>
      </c>
      <c r="V335" s="613">
        <v>94.082065678581444</v>
      </c>
      <c r="W335" s="613">
        <v>18.986408903805792</v>
      </c>
      <c r="X335" s="613">
        <v>0</v>
      </c>
      <c r="Y335" s="621">
        <v>164.32539773628508</v>
      </c>
      <c r="Z335" s="51"/>
      <c r="AA335" s="622" t="e" cm="1">
        <f t="array" aca="1" ref="AA335" ca="1">_xlfn.IFNA(INDEX(#REF!,MATCH(INDIRECT("Codes_bilans!"&amp;AA$1&amp;"$"&amp;$A335),#REF!,0),MATCH($B335,#REF!,0)),0)</f>
        <v>#REF!</v>
      </c>
      <c r="AB335" s="51"/>
    </row>
    <row r="336" spans="1:28">
      <c r="A336" s="51" t="e">
        <f t="shared" si="46"/>
        <v>#REF!</v>
      </c>
      <c r="B336" s="51">
        <f t="shared" si="47"/>
        <v>2038</v>
      </c>
      <c r="C336" s="51" t="str">
        <f t="shared" si="47"/>
        <v>AMS</v>
      </c>
      <c r="D336" s="51" t="s">
        <v>516</v>
      </c>
      <c r="E336" s="51" t="e">
        <f>VLOOKUP($H$6,#REF!,2,FALSE)</f>
        <v>#REF!</v>
      </c>
      <c r="F336" s="51"/>
      <c r="G336" s="620" t="s">
        <v>82</v>
      </c>
      <c r="H336" s="613">
        <v>0</v>
      </c>
      <c r="I336" s="613">
        <v>0</v>
      </c>
      <c r="J336" s="613">
        <v>14.020166565992641</v>
      </c>
      <c r="K336" s="613">
        <v>0</v>
      </c>
      <c r="L336" s="613">
        <v>1.1408122878946925</v>
      </c>
      <c r="M336" s="613">
        <v>0</v>
      </c>
      <c r="N336" s="613">
        <v>0</v>
      </c>
      <c r="O336" s="613">
        <v>0</v>
      </c>
      <c r="P336" s="613">
        <v>3.1334095930613137</v>
      </c>
      <c r="Q336" s="613">
        <v>0</v>
      </c>
      <c r="R336" s="613">
        <v>12.27694106679661</v>
      </c>
      <c r="S336" s="613">
        <v>0.69329106884918612</v>
      </c>
      <c r="T336" s="613">
        <v>0.9</v>
      </c>
      <c r="U336" s="613">
        <v>1.1655332190637568</v>
      </c>
      <c r="V336" s="613">
        <v>7.7417893836432903</v>
      </c>
      <c r="W336" s="613">
        <v>0</v>
      </c>
      <c r="X336" s="613">
        <v>0.29485655237537339</v>
      </c>
      <c r="Y336" s="621">
        <v>41.36679973767685</v>
      </c>
      <c r="Z336" s="51"/>
      <c r="AA336" s="622" t="e" cm="1">
        <f t="array" aca="1" ref="AA336" ca="1">_xlfn.IFNA(INDEX(#REF!,MATCH(INDIRECT("Codes_bilans!"&amp;AA$1&amp;"$"&amp;$A336),#REF!,0),MATCH($B336,#REF!,0)),0)</f>
        <v>#REF!</v>
      </c>
      <c r="AB336" s="51"/>
    </row>
    <row r="337" spans="1:28">
      <c r="A337" s="51" t="e">
        <f t="shared" si="46"/>
        <v>#REF!</v>
      </c>
      <c r="B337" s="51">
        <f t="shared" si="47"/>
        <v>2038</v>
      </c>
      <c r="C337" s="51" t="str">
        <f t="shared" si="47"/>
        <v>AMS</v>
      </c>
      <c r="D337" s="51" t="s">
        <v>517</v>
      </c>
      <c r="E337" s="51" t="e">
        <f>VLOOKUP($H$6,#REF!,2,FALSE)</f>
        <v>#REF!</v>
      </c>
      <c r="F337" s="51"/>
      <c r="G337" s="620" t="s">
        <v>357</v>
      </c>
      <c r="H337" s="613">
        <v>0</v>
      </c>
      <c r="I337" s="613">
        <v>0</v>
      </c>
      <c r="J337" s="613">
        <v>0</v>
      </c>
      <c r="K337" s="613">
        <v>0</v>
      </c>
      <c r="L337" s="613">
        <v>0</v>
      </c>
      <c r="M337" s="613">
        <v>0</v>
      </c>
      <c r="N337" s="613">
        <v>0</v>
      </c>
      <c r="O337" s="613">
        <v>0</v>
      </c>
      <c r="P337" s="613">
        <v>0</v>
      </c>
      <c r="Q337" s="613">
        <v>0</v>
      </c>
      <c r="R337" s="613">
        <v>0</v>
      </c>
      <c r="S337" s="613">
        <v>0</v>
      </c>
      <c r="T337" s="613">
        <v>0</v>
      </c>
      <c r="U337" s="613">
        <v>0</v>
      </c>
      <c r="V337" s="613">
        <v>1.118304</v>
      </c>
      <c r="W337" s="613">
        <v>0</v>
      </c>
      <c r="X337" s="613">
        <v>0</v>
      </c>
      <c r="Y337" s="621">
        <v>1.118304</v>
      </c>
      <c r="Z337" s="51"/>
      <c r="AA337" s="622" t="e" cm="1">
        <f t="array" aca="1" ref="AA337" ca="1">_xlfn.IFNA(INDEX(#REF!,MATCH(INDIRECT("Codes_bilans!"&amp;AA$1&amp;"$"&amp;$A337),#REF!,0),MATCH($B337,#REF!,0)),0)</f>
        <v>#REF!</v>
      </c>
      <c r="AB337" s="51"/>
    </row>
    <row r="338" spans="1:28">
      <c r="A338" s="51" t="e">
        <f t="shared" si="46"/>
        <v>#REF!</v>
      </c>
      <c r="B338" s="51">
        <f t="shared" si="47"/>
        <v>2038</v>
      </c>
      <c r="C338" s="51" t="str">
        <f t="shared" si="47"/>
        <v>AMS</v>
      </c>
      <c r="D338" s="51" t="s">
        <v>518</v>
      </c>
      <c r="E338" s="51" t="e">
        <f>VLOOKUP($H$6,#REF!,2,FALSE)</f>
        <v>#REF!</v>
      </c>
      <c r="F338" s="51"/>
      <c r="G338" s="616" t="s">
        <v>83</v>
      </c>
      <c r="H338" s="617">
        <v>3.0761682303728053</v>
      </c>
      <c r="I338" s="617">
        <v>0</v>
      </c>
      <c r="J338" s="617">
        <v>136.40629025892105</v>
      </c>
      <c r="K338" s="617">
        <v>0.7006243456433674</v>
      </c>
      <c r="L338" s="624">
        <v>87.232084624392726</v>
      </c>
      <c r="M338" s="617">
        <v>0</v>
      </c>
      <c r="N338" s="617">
        <v>0</v>
      </c>
      <c r="O338" s="617">
        <v>0</v>
      </c>
      <c r="P338" s="617">
        <v>59.47787670540275</v>
      </c>
      <c r="Q338" s="617">
        <v>2.4353867080264098</v>
      </c>
      <c r="R338" s="617">
        <v>77.659003066765948</v>
      </c>
      <c r="S338" s="617">
        <v>53.049208418551629</v>
      </c>
      <c r="T338" s="617">
        <v>128.43983591306872</v>
      </c>
      <c r="U338" s="617">
        <v>4.7241037369540066</v>
      </c>
      <c r="V338" s="617">
        <v>462.55847852954759</v>
      </c>
      <c r="W338" s="617">
        <v>64.71671371436112</v>
      </c>
      <c r="X338" s="617">
        <v>7.3866191725927441</v>
      </c>
      <c r="Y338" s="617">
        <v>1087.8623934246009</v>
      </c>
      <c r="Z338" s="51"/>
      <c r="AA338" s="51"/>
      <c r="AB338" s="51"/>
    </row>
    <row r="339" spans="1:28">
      <c r="A339" s="51" t="e">
        <f t="shared" si="46"/>
        <v>#REF!</v>
      </c>
      <c r="B339" s="51">
        <f t="shared" si="47"/>
        <v>2038</v>
      </c>
      <c r="C339" s="51" t="str">
        <f t="shared" si="47"/>
        <v>AMS</v>
      </c>
      <c r="D339" s="51" t="s">
        <v>519</v>
      </c>
      <c r="E339" s="51" t="e">
        <f>VLOOKUP($H$6,#REF!,2,FALSE)</f>
        <v>#REF!</v>
      </c>
      <c r="F339" s="51"/>
      <c r="G339" s="612" t="s">
        <v>84</v>
      </c>
      <c r="H339" s="613">
        <v>0</v>
      </c>
      <c r="I339" s="613">
        <v>0</v>
      </c>
      <c r="J339" s="613">
        <v>69.168370305615824</v>
      </c>
      <c r="K339" s="613">
        <v>4.7904890791412402</v>
      </c>
      <c r="L339" s="613">
        <v>7.4756631455411453</v>
      </c>
      <c r="M339" s="613">
        <v>0</v>
      </c>
      <c r="N339" s="613">
        <v>0</v>
      </c>
      <c r="O339" s="613">
        <v>0</v>
      </c>
      <c r="P339" s="613">
        <v>0.35480318782723769</v>
      </c>
      <c r="Q339" s="613">
        <v>0</v>
      </c>
      <c r="R339" s="613">
        <v>14.992643279712595</v>
      </c>
      <c r="S339" s="613">
        <v>2.3404115799640408</v>
      </c>
      <c r="T339" s="613">
        <v>0</v>
      </c>
      <c r="U339" s="613">
        <v>0</v>
      </c>
      <c r="V339" s="613">
        <v>0</v>
      </c>
      <c r="W339" s="613">
        <v>0</v>
      </c>
      <c r="X339" s="613">
        <v>22.267864395510532</v>
      </c>
      <c r="Y339" s="621">
        <v>121.39024497331262</v>
      </c>
      <c r="Z339" s="51"/>
      <c r="AA339" s="622" t="e" cm="1">
        <f t="array" aca="1" ref="AA339" ca="1">_xlfn.IFNA(INDEX(#REF!,MATCH(INDIRECT("Codes_bilans!"&amp;AA$1&amp;"$"&amp;$A339),#REF!,0),MATCH($B339,#REF!,0)),0)</f>
        <v>#REF!</v>
      </c>
      <c r="AB339" s="51"/>
    </row>
    <row r="340" spans="1:28">
      <c r="A340" s="51" t="e">
        <f t="shared" si="46"/>
        <v>#REF!</v>
      </c>
      <c r="B340" s="51">
        <f t="shared" si="47"/>
        <v>2038</v>
      </c>
      <c r="C340" s="51" t="str">
        <f t="shared" si="47"/>
        <v>AMS</v>
      </c>
      <c r="D340" s="51" t="s">
        <v>520</v>
      </c>
      <c r="E340" s="51" t="e">
        <f>VLOOKUP($H$6,#REF!,2,FALSE)</f>
        <v>#REF!</v>
      </c>
      <c r="F340" s="51"/>
      <c r="G340" s="616" t="s">
        <v>85</v>
      </c>
      <c r="H340" s="617">
        <v>3.0761682303728053</v>
      </c>
      <c r="I340" s="617">
        <v>0</v>
      </c>
      <c r="J340" s="617">
        <v>205.57466056453688</v>
      </c>
      <c r="K340" s="617">
        <v>5.4911134247846078</v>
      </c>
      <c r="L340" s="624">
        <v>94.707747769933874</v>
      </c>
      <c r="M340" s="617">
        <v>0</v>
      </c>
      <c r="N340" s="617">
        <v>0</v>
      </c>
      <c r="O340" s="617">
        <v>0</v>
      </c>
      <c r="P340" s="617">
        <v>59.832679893229987</v>
      </c>
      <c r="Q340" s="617">
        <v>2.4353867080264098</v>
      </c>
      <c r="R340" s="617">
        <v>92.651646346478543</v>
      </c>
      <c r="S340" s="617">
        <v>55.38961999851567</v>
      </c>
      <c r="T340" s="617">
        <v>128.43983591306872</v>
      </c>
      <c r="U340" s="617">
        <v>4.7241037369540066</v>
      </c>
      <c r="V340" s="617">
        <v>462.55847852954759</v>
      </c>
      <c r="W340" s="617">
        <v>64.71671371436112</v>
      </c>
      <c r="X340" s="617">
        <v>29.654483568103277</v>
      </c>
      <c r="Y340" s="617">
        <v>1209.2526383979134</v>
      </c>
      <c r="Z340" s="51"/>
      <c r="AA340" s="51"/>
      <c r="AB340" s="51"/>
    </row>
    <row r="341" spans="1:28">
      <c r="A341" s="51"/>
      <c r="B341" s="51"/>
      <c r="C341" s="51"/>
      <c r="D341" s="51"/>
      <c r="E341" s="51"/>
      <c r="F341" s="51"/>
      <c r="G341" s="51"/>
      <c r="H341" s="67">
        <v>0</v>
      </c>
      <c r="I341" s="67">
        <v>0</v>
      </c>
      <c r="J341" s="67">
        <v>0</v>
      </c>
      <c r="K341" s="67">
        <v>0</v>
      </c>
      <c r="L341" s="67">
        <v>0</v>
      </c>
      <c r="M341" s="67">
        <v>0</v>
      </c>
      <c r="N341" s="67">
        <v>0</v>
      </c>
      <c r="O341" s="67">
        <v>0</v>
      </c>
      <c r="P341" s="67">
        <v>0</v>
      </c>
      <c r="Q341" s="67">
        <v>0</v>
      </c>
      <c r="R341" s="67">
        <v>0</v>
      </c>
      <c r="S341" s="67">
        <v>-4.4408920985006262E-15</v>
      </c>
      <c r="T341" s="67">
        <v>0</v>
      </c>
      <c r="U341" s="67">
        <v>0</v>
      </c>
      <c r="V341" s="67">
        <v>0</v>
      </c>
      <c r="W341" s="67">
        <v>0</v>
      </c>
      <c r="X341" s="67">
        <v>-2.55351295663786E-15</v>
      </c>
      <c r="Y341" s="67">
        <v>0</v>
      </c>
      <c r="Z341" s="51"/>
      <c r="AA341" s="51"/>
      <c r="AB341" s="51"/>
    </row>
    <row r="342" spans="1:28">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row>
    <row r="343" spans="1:28">
      <c r="A343" s="608"/>
      <c r="B343" s="608"/>
      <c r="C343" s="608"/>
      <c r="D343" s="608"/>
      <c r="E343" s="608"/>
      <c r="F343" s="608"/>
      <c r="G343" s="609" t="s">
        <v>363</v>
      </c>
      <c r="H343" s="608"/>
      <c r="I343" s="608"/>
      <c r="J343" s="608"/>
      <c r="K343" s="608"/>
      <c r="L343" s="608"/>
      <c r="M343" s="608"/>
      <c r="N343" s="608"/>
      <c r="O343" s="608"/>
      <c r="P343" s="608"/>
      <c r="Q343" s="608"/>
      <c r="R343" s="608"/>
      <c r="S343" s="608"/>
      <c r="T343" s="608"/>
      <c r="U343" s="608"/>
      <c r="V343" s="608"/>
      <c r="W343" s="608"/>
      <c r="X343" s="608"/>
      <c r="Y343" s="608"/>
      <c r="Z343" s="608"/>
      <c r="AA343" s="608"/>
      <c r="AB343" s="608"/>
    </row>
    <row r="344" spans="1:28">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row>
    <row r="345" spans="1:28" ht="14.25" customHeight="1">
      <c r="A345" s="51"/>
      <c r="B345" s="51"/>
      <c r="C345" s="51"/>
      <c r="D345" s="51"/>
      <c r="E345" s="51"/>
      <c r="F345" s="51"/>
      <c r="G345" s="713" t="s">
        <v>128</v>
      </c>
      <c r="H345" s="711" t="s">
        <v>42</v>
      </c>
      <c r="I345" s="711" t="s">
        <v>52</v>
      </c>
      <c r="J345" s="711" t="s">
        <v>53</v>
      </c>
      <c r="K345" s="711" t="s">
        <v>487</v>
      </c>
      <c r="L345" s="711" t="s">
        <v>32</v>
      </c>
      <c r="M345" s="711" t="s">
        <v>488</v>
      </c>
      <c r="N345" s="711" t="s">
        <v>20</v>
      </c>
      <c r="O345" s="711" t="s">
        <v>55</v>
      </c>
      <c r="P345" s="715" t="s">
        <v>56</v>
      </c>
      <c r="Q345" s="716"/>
      <c r="R345" s="716"/>
      <c r="S345" s="716"/>
      <c r="T345" s="716"/>
      <c r="U345" s="717"/>
      <c r="V345" s="711" t="s">
        <v>57</v>
      </c>
      <c r="W345" s="711" t="s">
        <v>58</v>
      </c>
      <c r="X345" s="711" t="s">
        <v>31</v>
      </c>
      <c r="Y345" s="711" t="s">
        <v>10</v>
      </c>
      <c r="Z345" s="51"/>
      <c r="AA345" s="51"/>
      <c r="AB345" s="51"/>
    </row>
    <row r="346" spans="1:28" ht="24">
      <c r="A346" s="51"/>
      <c r="B346" s="51"/>
      <c r="C346" s="51"/>
      <c r="D346" s="51" t="s">
        <v>491</v>
      </c>
      <c r="E346" s="51"/>
      <c r="F346" s="51"/>
      <c r="G346" s="714"/>
      <c r="H346" s="712"/>
      <c r="I346" s="712"/>
      <c r="J346" s="712"/>
      <c r="K346" s="712"/>
      <c r="L346" s="712"/>
      <c r="M346" s="712"/>
      <c r="N346" s="712"/>
      <c r="O346" s="712"/>
      <c r="P346" s="610" t="s">
        <v>338</v>
      </c>
      <c r="Q346" s="610" t="s">
        <v>40</v>
      </c>
      <c r="R346" s="610" t="s">
        <v>346</v>
      </c>
      <c r="S346" s="610" t="s">
        <v>347</v>
      </c>
      <c r="T346" s="611" t="s">
        <v>348</v>
      </c>
      <c r="U346" s="610" t="s">
        <v>349</v>
      </c>
      <c r="V346" s="712"/>
      <c r="W346" s="712"/>
      <c r="X346" s="712"/>
      <c r="Y346" s="712"/>
      <c r="Z346" s="51"/>
      <c r="AA346" s="51"/>
      <c r="AB346" s="51"/>
    </row>
    <row r="347" spans="1:28">
      <c r="A347" s="51" t="e">
        <f>A310</f>
        <v>#REF!</v>
      </c>
      <c r="B347" s="51">
        <v>2040</v>
      </c>
      <c r="C347" s="51" t="s">
        <v>47</v>
      </c>
      <c r="D347" s="51" t="s">
        <v>492</v>
      </c>
      <c r="E347" s="51" t="e">
        <f>VLOOKUP($H$6,#REF!,2,FALSE)</f>
        <v>#REF!</v>
      </c>
      <c r="F347" s="51"/>
      <c r="G347" s="612" t="s">
        <v>59</v>
      </c>
      <c r="H347" s="613">
        <v>0</v>
      </c>
      <c r="I347" s="613">
        <v>0</v>
      </c>
      <c r="J347" s="613">
        <v>0</v>
      </c>
      <c r="K347" s="613">
        <v>0</v>
      </c>
      <c r="L347" s="613">
        <v>0</v>
      </c>
      <c r="M347" s="613">
        <v>0</v>
      </c>
      <c r="N347" s="614">
        <v>1059.5259818181821</v>
      </c>
      <c r="O347" s="614">
        <v>373.50050326164637</v>
      </c>
      <c r="P347" s="614">
        <v>308.68390930092909</v>
      </c>
      <c r="Q347" s="614">
        <v>27.928901501759359</v>
      </c>
      <c r="R347" s="613">
        <v>1.5769202529293118</v>
      </c>
      <c r="S347" s="613">
        <v>0.16705675062100381</v>
      </c>
      <c r="T347" s="614">
        <v>137.63232647396575</v>
      </c>
      <c r="U347" s="614">
        <v>22.505061443653027</v>
      </c>
      <c r="V347" s="613">
        <v>0</v>
      </c>
      <c r="W347" s="613">
        <v>0</v>
      </c>
      <c r="X347" s="613">
        <v>0</v>
      </c>
      <c r="Y347" s="615">
        <v>1931.5206608036858</v>
      </c>
      <c r="Z347" s="51"/>
      <c r="AA347" s="51"/>
      <c r="AB347" s="51"/>
    </row>
    <row r="348" spans="1:28">
      <c r="A348" s="51" t="e">
        <f t="shared" ref="A348:A353" si="48">A347+1</f>
        <v>#REF!</v>
      </c>
      <c r="B348" s="51">
        <f t="shared" ref="B348:C353" si="49">B347</f>
        <v>2040</v>
      </c>
      <c r="C348" s="51" t="str">
        <f t="shared" si="49"/>
        <v>AMS</v>
      </c>
      <c r="D348" s="51" t="s">
        <v>493</v>
      </c>
      <c r="E348" s="51" t="e">
        <f>VLOOKUP($H$6,#REF!,2,FALSE)</f>
        <v>#REF!</v>
      </c>
      <c r="F348" s="51"/>
      <c r="G348" s="612" t="s">
        <v>60</v>
      </c>
      <c r="H348" s="613">
        <v>12.402103294712147</v>
      </c>
      <c r="I348" s="613">
        <v>267.59952869557856</v>
      </c>
      <c r="J348" s="613">
        <v>4.6624671135986846</v>
      </c>
      <c r="K348" s="613">
        <v>0</v>
      </c>
      <c r="L348" s="613">
        <v>96.906903053247049</v>
      </c>
      <c r="M348" s="613">
        <v>0</v>
      </c>
      <c r="N348" s="613">
        <v>0</v>
      </c>
      <c r="O348" s="613">
        <v>0</v>
      </c>
      <c r="P348" s="613">
        <v>4.1311012816916577</v>
      </c>
      <c r="Q348" s="613">
        <v>0</v>
      </c>
      <c r="R348" s="613">
        <v>4.3268221557656901</v>
      </c>
      <c r="S348" s="613">
        <v>0</v>
      </c>
      <c r="T348" s="613">
        <v>0</v>
      </c>
      <c r="U348" s="613">
        <v>0</v>
      </c>
      <c r="V348" s="613">
        <v>0</v>
      </c>
      <c r="W348" s="613">
        <v>0</v>
      </c>
      <c r="X348" s="613">
        <v>0</v>
      </c>
      <c r="Y348" s="615">
        <v>390.02892559459383</v>
      </c>
      <c r="Z348" s="51"/>
      <c r="AA348" s="51"/>
      <c r="AB348" s="51"/>
    </row>
    <row r="349" spans="1:28">
      <c r="A349" s="51" t="e">
        <f t="shared" si="48"/>
        <v>#REF!</v>
      </c>
      <c r="B349" s="51">
        <f t="shared" si="49"/>
        <v>2040</v>
      </c>
      <c r="C349" s="51" t="str">
        <f t="shared" si="49"/>
        <v>AMS</v>
      </c>
      <c r="D349" s="51" t="s">
        <v>494</v>
      </c>
      <c r="E349" s="51" t="e">
        <f>VLOOKUP($H$6,#REF!,2,FALSE)</f>
        <v>#REF!</v>
      </c>
      <c r="F349" s="51"/>
      <c r="G349" s="612" t="s">
        <v>61</v>
      </c>
      <c r="H349" s="613">
        <v>0</v>
      </c>
      <c r="I349" s="613">
        <v>0</v>
      </c>
      <c r="J349" s="613">
        <v>-47.188845188250653</v>
      </c>
      <c r="K349" s="613">
        <v>-1.6129016816918558</v>
      </c>
      <c r="L349" s="613">
        <v>0</v>
      </c>
      <c r="M349" s="613">
        <v>0</v>
      </c>
      <c r="N349" s="613">
        <v>0</v>
      </c>
      <c r="O349" s="613">
        <v>0</v>
      </c>
      <c r="P349" s="613">
        <v>0</v>
      </c>
      <c r="Q349" s="613">
        <v>0</v>
      </c>
      <c r="R349" s="613">
        <v>0</v>
      </c>
      <c r="S349" s="613">
        <v>0</v>
      </c>
      <c r="T349" s="613">
        <v>0</v>
      </c>
      <c r="U349" s="613">
        <v>0</v>
      </c>
      <c r="V349" s="613">
        <v>-102.26809350991959</v>
      </c>
      <c r="W349" s="613">
        <v>0</v>
      </c>
      <c r="X349" s="613">
        <v>0</v>
      </c>
      <c r="Y349" s="615">
        <v>-151.06984037986211</v>
      </c>
      <c r="Z349" s="51"/>
      <c r="AA349" s="51"/>
      <c r="AB349" s="51"/>
    </row>
    <row r="350" spans="1:28">
      <c r="A350" s="51" t="e">
        <f t="shared" si="48"/>
        <v>#REF!</v>
      </c>
      <c r="B350" s="51">
        <f t="shared" si="49"/>
        <v>2040</v>
      </c>
      <c r="C350" s="51" t="str">
        <f t="shared" si="49"/>
        <v>AMS</v>
      </c>
      <c r="D350" s="51" t="s">
        <v>495</v>
      </c>
      <c r="E350" s="51" t="e">
        <f>VLOOKUP($H$6,#REF!,2,FALSE)</f>
        <v>#REF!</v>
      </c>
      <c r="F350" s="51"/>
      <c r="G350" s="612" t="s">
        <v>62</v>
      </c>
      <c r="H350" s="613">
        <v>0</v>
      </c>
      <c r="I350" s="613">
        <v>0</v>
      </c>
      <c r="J350" s="613">
        <v>-9.1118704229779723</v>
      </c>
      <c r="K350" s="613">
        <v>-2.3970976911906821</v>
      </c>
      <c r="L350" s="613">
        <v>-2.3731267142787753</v>
      </c>
      <c r="M350" s="613">
        <v>0</v>
      </c>
      <c r="N350" s="613">
        <v>0</v>
      </c>
      <c r="O350" s="613">
        <v>0</v>
      </c>
      <c r="P350" s="613">
        <v>0</v>
      </c>
      <c r="Q350" s="613">
        <v>0</v>
      </c>
      <c r="R350" s="613">
        <v>-0.47941953823813638</v>
      </c>
      <c r="S350" s="613">
        <v>-1.9416491298644523</v>
      </c>
      <c r="T350" s="613">
        <v>0</v>
      </c>
      <c r="U350" s="613">
        <v>0</v>
      </c>
      <c r="V350" s="613">
        <v>0</v>
      </c>
      <c r="W350" s="613">
        <v>0</v>
      </c>
      <c r="X350" s="613">
        <v>0</v>
      </c>
      <c r="Y350" s="615">
        <v>-16.30316349655002</v>
      </c>
      <c r="Z350" s="51"/>
      <c r="AA350" s="51"/>
      <c r="AB350" s="51"/>
    </row>
    <row r="351" spans="1:28">
      <c r="A351" s="51" t="e">
        <f t="shared" si="48"/>
        <v>#REF!</v>
      </c>
      <c r="B351" s="51">
        <f t="shared" si="49"/>
        <v>2040</v>
      </c>
      <c r="C351" s="51" t="str">
        <f t="shared" si="49"/>
        <v>AMS</v>
      </c>
      <c r="D351" s="51" t="s">
        <v>496</v>
      </c>
      <c r="E351" s="51" t="e">
        <f>VLOOKUP($H$6,#REF!,2,FALSE)</f>
        <v>#REF!</v>
      </c>
      <c r="F351" s="51"/>
      <c r="G351" s="612" t="s">
        <v>63</v>
      </c>
      <c r="H351" s="613">
        <v>0</v>
      </c>
      <c r="I351" s="613">
        <v>0</v>
      </c>
      <c r="J351" s="613">
        <v>-46.962205061788246</v>
      </c>
      <c r="K351" s="613">
        <v>-11.133901046695911</v>
      </c>
      <c r="L351" s="613">
        <v>0</v>
      </c>
      <c r="M351" s="613">
        <v>0</v>
      </c>
      <c r="N351" s="613">
        <v>0</v>
      </c>
      <c r="O351" s="613">
        <v>0</v>
      </c>
      <c r="P351" s="613">
        <v>0</v>
      </c>
      <c r="Q351" s="613">
        <v>0</v>
      </c>
      <c r="R351" s="613">
        <v>-14.072022489882162</v>
      </c>
      <c r="S351" s="613">
        <v>0</v>
      </c>
      <c r="T351" s="613">
        <v>0</v>
      </c>
      <c r="U351" s="613">
        <v>0</v>
      </c>
      <c r="V351" s="613">
        <v>0</v>
      </c>
      <c r="W351" s="613">
        <v>0</v>
      </c>
      <c r="X351" s="613">
        <v>-0.66460812232862176</v>
      </c>
      <c r="Y351" s="615">
        <v>-72.832736720694939</v>
      </c>
      <c r="Z351" s="51"/>
      <c r="AA351" s="51"/>
      <c r="AB351" s="51"/>
    </row>
    <row r="352" spans="1:28">
      <c r="A352" s="51" t="e">
        <f t="shared" si="48"/>
        <v>#REF!</v>
      </c>
      <c r="B352" s="51">
        <f t="shared" si="49"/>
        <v>2040</v>
      </c>
      <c r="C352" s="51" t="str">
        <f t="shared" si="49"/>
        <v>AMS</v>
      </c>
      <c r="D352" s="51" t="s">
        <v>497</v>
      </c>
      <c r="E352" s="51" t="e">
        <f>VLOOKUP($H$6,#REF!,2,FALSE)</f>
        <v>#REF!</v>
      </c>
      <c r="F352" s="51"/>
      <c r="G352" s="612" t="s">
        <v>64</v>
      </c>
      <c r="H352" s="613">
        <v>0</v>
      </c>
      <c r="I352" s="613">
        <v>0</v>
      </c>
      <c r="J352" s="613">
        <v>0</v>
      </c>
      <c r="K352" s="613">
        <v>0</v>
      </c>
      <c r="L352" s="613">
        <v>0</v>
      </c>
      <c r="M352" s="613">
        <v>0</v>
      </c>
      <c r="N352" s="613">
        <v>0</v>
      </c>
      <c r="O352" s="613">
        <v>0</v>
      </c>
      <c r="P352" s="613">
        <v>0</v>
      </c>
      <c r="Q352" s="613">
        <v>0</v>
      </c>
      <c r="R352" s="613">
        <v>0</v>
      </c>
      <c r="S352" s="613">
        <v>0</v>
      </c>
      <c r="T352" s="613">
        <v>0</v>
      </c>
      <c r="U352" s="613">
        <v>0</v>
      </c>
      <c r="V352" s="613">
        <v>0</v>
      </c>
      <c r="W352" s="613">
        <v>0</v>
      </c>
      <c r="X352" s="613">
        <v>0</v>
      </c>
      <c r="Y352" s="615">
        <v>0</v>
      </c>
      <c r="Z352" s="51"/>
      <c r="AA352" s="51"/>
      <c r="AB352" s="51"/>
    </row>
    <row r="353" spans="1:28">
      <c r="A353" s="51" t="e">
        <f t="shared" si="48"/>
        <v>#REF!</v>
      </c>
      <c r="B353" s="51">
        <f t="shared" si="49"/>
        <v>2040</v>
      </c>
      <c r="C353" s="51" t="str">
        <f t="shared" si="49"/>
        <v>AMS</v>
      </c>
      <c r="D353" s="51" t="s">
        <v>498</v>
      </c>
      <c r="E353" s="51" t="e">
        <f>VLOOKUP($H$6,#REF!,2,FALSE)</f>
        <v>#REF!</v>
      </c>
      <c r="F353" s="51"/>
      <c r="G353" s="616" t="s">
        <v>65</v>
      </c>
      <c r="H353" s="617">
        <v>12.402103294712147</v>
      </c>
      <c r="I353" s="617">
        <v>267.59952869557856</v>
      </c>
      <c r="J353" s="617">
        <v>-98.600453559418185</v>
      </c>
      <c r="K353" s="617">
        <v>-15.143900419578449</v>
      </c>
      <c r="L353" s="624">
        <v>94.533776338968281</v>
      </c>
      <c r="M353" s="617">
        <v>0</v>
      </c>
      <c r="N353" s="617">
        <v>1059.5259818181821</v>
      </c>
      <c r="O353" s="617">
        <v>373.50050326164637</v>
      </c>
      <c r="P353" s="617">
        <v>312.81501058262074</v>
      </c>
      <c r="Q353" s="617">
        <v>27.928901501759359</v>
      </c>
      <c r="R353" s="617">
        <v>-8.647699619425298</v>
      </c>
      <c r="S353" s="617">
        <v>-1.7745923792434484</v>
      </c>
      <c r="T353" s="617">
        <v>137.63232647396575</v>
      </c>
      <c r="U353" s="617">
        <v>22.505061443653027</v>
      </c>
      <c r="V353" s="617">
        <v>-102.26809350991959</v>
      </c>
      <c r="W353" s="617">
        <v>0</v>
      </c>
      <c r="X353" s="617">
        <v>-0.66460812232862176</v>
      </c>
      <c r="Y353" s="617">
        <v>2081.3438458011728</v>
      </c>
      <c r="Z353" s="51"/>
      <c r="AA353" s="51"/>
      <c r="AB353" s="51"/>
    </row>
    <row r="354" spans="1:28">
      <c r="A354" s="51"/>
      <c r="B354" s="51"/>
      <c r="C354" s="51"/>
      <c r="D354" s="51"/>
      <c r="E354" s="51"/>
      <c r="F354" s="51"/>
      <c r="G354" s="618"/>
      <c r="H354" s="619">
        <v>0</v>
      </c>
      <c r="I354" s="619">
        <v>0</v>
      </c>
      <c r="J354" s="619">
        <v>0</v>
      </c>
      <c r="K354" s="619">
        <v>0</v>
      </c>
      <c r="L354" s="625">
        <v>0</v>
      </c>
      <c r="M354" s="619">
        <v>0</v>
      </c>
      <c r="N354" s="619">
        <v>0</v>
      </c>
      <c r="O354" s="619">
        <v>0</v>
      </c>
      <c r="P354" s="619">
        <v>0</v>
      </c>
      <c r="Q354" s="619">
        <v>0</v>
      </c>
      <c r="R354" s="619">
        <v>0</v>
      </c>
      <c r="S354" s="619">
        <v>0</v>
      </c>
      <c r="T354" s="619">
        <v>0</v>
      </c>
      <c r="U354" s="619">
        <v>0</v>
      </c>
      <c r="V354" s="619">
        <v>0</v>
      </c>
      <c r="W354" s="619">
        <v>0</v>
      </c>
      <c r="X354" s="619">
        <v>0</v>
      </c>
      <c r="Y354" s="619">
        <v>0</v>
      </c>
      <c r="Z354" s="51"/>
      <c r="AA354" s="51"/>
      <c r="AB354" s="51"/>
    </row>
    <row r="355" spans="1:28">
      <c r="A355" s="51" t="e">
        <f>A353+2</f>
        <v>#REF!</v>
      </c>
      <c r="B355" s="51">
        <f>B353</f>
        <v>2040</v>
      </c>
      <c r="C355" s="51" t="str">
        <f>C353</f>
        <v>AMS</v>
      </c>
      <c r="D355" s="51" t="s">
        <v>499</v>
      </c>
      <c r="E355" s="51" t="e">
        <f>VLOOKUP($H$6,#REF!,2,FALSE)</f>
        <v>#REF!</v>
      </c>
      <c r="F355" s="51"/>
      <c r="G355" s="620" t="s">
        <v>67</v>
      </c>
      <c r="H355" s="613">
        <v>0</v>
      </c>
      <c r="I355" s="613">
        <v>0</v>
      </c>
      <c r="J355" s="613">
        <v>0</v>
      </c>
      <c r="K355" s="613">
        <v>0</v>
      </c>
      <c r="L355" s="613">
        <v>0</v>
      </c>
      <c r="M355" s="613">
        <v>0</v>
      </c>
      <c r="N355" s="613">
        <v>0</v>
      </c>
      <c r="O355" s="613">
        <v>0</v>
      </c>
      <c r="P355" s="613">
        <v>0</v>
      </c>
      <c r="Q355" s="613">
        <v>0</v>
      </c>
      <c r="R355" s="613">
        <v>0</v>
      </c>
      <c r="S355" s="613">
        <v>0</v>
      </c>
      <c r="T355" s="613">
        <v>0</v>
      </c>
      <c r="U355" s="613">
        <v>0</v>
      </c>
      <c r="V355" s="613">
        <v>0</v>
      </c>
      <c r="W355" s="613">
        <v>0</v>
      </c>
      <c r="X355" s="613">
        <v>0</v>
      </c>
      <c r="Y355" s="621">
        <v>0</v>
      </c>
      <c r="Z355" s="51"/>
      <c r="AA355" s="51"/>
      <c r="AB355" s="51"/>
    </row>
    <row r="356" spans="1:28">
      <c r="A356" s="51" t="e">
        <f t="shared" ref="A356:A367" si="50">A355+1</f>
        <v>#REF!</v>
      </c>
      <c r="B356" s="51">
        <f t="shared" ref="B356:C367" si="51">B355</f>
        <v>2040</v>
      </c>
      <c r="C356" s="51" t="str">
        <f t="shared" si="51"/>
        <v>AMS</v>
      </c>
      <c r="D356" s="51" t="s">
        <v>500</v>
      </c>
      <c r="E356" s="51" t="e">
        <f>VLOOKUP($H$6,#REF!,2,FALSE)</f>
        <v>#REF!</v>
      </c>
      <c r="F356" s="51"/>
      <c r="G356" s="620" t="s">
        <v>350</v>
      </c>
      <c r="H356" s="613">
        <v>0</v>
      </c>
      <c r="I356" s="613">
        <v>0</v>
      </c>
      <c r="J356" s="613">
        <v>6.6151953400033478E-2</v>
      </c>
      <c r="K356" s="613">
        <v>0</v>
      </c>
      <c r="L356" s="613">
        <v>5.9573752653913026</v>
      </c>
      <c r="M356" s="613">
        <v>0</v>
      </c>
      <c r="N356" s="613">
        <v>1059.5259818181821</v>
      </c>
      <c r="O356" s="613">
        <v>373.50050326164637</v>
      </c>
      <c r="P356" s="613">
        <v>22.475624345096286</v>
      </c>
      <c r="Q356" s="613">
        <v>11.159861245247702</v>
      </c>
      <c r="R356" s="613">
        <v>5.6269378379330357</v>
      </c>
      <c r="S356" s="613">
        <v>1.6032439655997406</v>
      </c>
      <c r="T356" s="613">
        <v>0</v>
      </c>
      <c r="U356" s="613">
        <v>6.4327567473291545</v>
      </c>
      <c r="V356" s="613">
        <v>-747.34925184145163</v>
      </c>
      <c r="W356" s="613">
        <v>0</v>
      </c>
      <c r="X356" s="613">
        <v>3.5082456216</v>
      </c>
      <c r="Y356" s="621">
        <v>742.50743021997425</v>
      </c>
      <c r="Z356" s="51"/>
      <c r="AA356" s="51"/>
      <c r="AB356" s="51"/>
    </row>
    <row r="357" spans="1:28">
      <c r="A357" s="51" t="e">
        <f t="shared" si="50"/>
        <v>#REF!</v>
      </c>
      <c r="B357" s="51">
        <f t="shared" si="51"/>
        <v>2040</v>
      </c>
      <c r="C357" s="51" t="str">
        <f t="shared" si="51"/>
        <v>AMS</v>
      </c>
      <c r="D357" s="51" t="s">
        <v>501</v>
      </c>
      <c r="E357" s="51" t="e">
        <f>VLOOKUP($H$6,#REF!,2,FALSE)</f>
        <v>#REF!</v>
      </c>
      <c r="F357" s="51"/>
      <c r="G357" s="620" t="s">
        <v>351</v>
      </c>
      <c r="H357" s="613">
        <v>0</v>
      </c>
      <c r="I357" s="613">
        <v>0</v>
      </c>
      <c r="J357" s="613">
        <v>0</v>
      </c>
      <c r="K357" s="613">
        <v>0</v>
      </c>
      <c r="L357" s="613">
        <v>7.4585129183309293</v>
      </c>
      <c r="M357" s="613">
        <v>0</v>
      </c>
      <c r="N357" s="613">
        <v>0</v>
      </c>
      <c r="O357" s="613">
        <v>0</v>
      </c>
      <c r="P357" s="613">
        <v>35.547730315639996</v>
      </c>
      <c r="Q357" s="613">
        <v>14.387113593265058</v>
      </c>
      <c r="R357" s="613">
        <v>0</v>
      </c>
      <c r="S357" s="613">
        <v>6.1169134542385972</v>
      </c>
      <c r="T357" s="613">
        <v>0</v>
      </c>
      <c r="U357" s="613">
        <v>11.02899005085181</v>
      </c>
      <c r="V357" s="613">
        <v>0</v>
      </c>
      <c r="W357" s="613">
        <v>-69.303608577230833</v>
      </c>
      <c r="X357" s="613">
        <v>0</v>
      </c>
      <c r="Y357" s="621">
        <v>5.235651755095569</v>
      </c>
      <c r="Z357" s="51"/>
      <c r="AA357" s="51"/>
      <c r="AB357" s="51"/>
    </row>
    <row r="358" spans="1:28">
      <c r="A358" s="51" t="e">
        <f t="shared" si="50"/>
        <v>#REF!</v>
      </c>
      <c r="B358" s="51">
        <f t="shared" si="51"/>
        <v>2040</v>
      </c>
      <c r="C358" s="51" t="str">
        <f t="shared" si="51"/>
        <v>AMS</v>
      </c>
      <c r="D358" s="51" t="s">
        <v>502</v>
      </c>
      <c r="E358" s="51" t="e">
        <f>VLOOKUP($H$6,#REF!,2,FALSE)</f>
        <v>#REF!</v>
      </c>
      <c r="F358" s="51"/>
      <c r="G358" s="620" t="s">
        <v>352</v>
      </c>
      <c r="H358" s="613">
        <v>0</v>
      </c>
      <c r="I358" s="613">
        <v>0</v>
      </c>
      <c r="J358" s="613">
        <v>0</v>
      </c>
      <c r="K358" s="613">
        <v>0</v>
      </c>
      <c r="L358" s="613">
        <v>0</v>
      </c>
      <c r="M358" s="613">
        <v>0</v>
      </c>
      <c r="N358" s="613">
        <v>0</v>
      </c>
      <c r="O358" s="613">
        <v>0</v>
      </c>
      <c r="P358" s="613">
        <v>79.130835516272214</v>
      </c>
      <c r="Q358" s="613">
        <v>0</v>
      </c>
      <c r="R358" s="613">
        <v>0</v>
      </c>
      <c r="S358" s="613">
        <v>-73.108654994289637</v>
      </c>
      <c r="T358" s="613">
        <v>0</v>
      </c>
      <c r="U358" s="613">
        <v>0</v>
      </c>
      <c r="V358" s="613">
        <v>0</v>
      </c>
      <c r="W358" s="613">
        <v>0</v>
      </c>
      <c r="X358" s="613">
        <v>0</v>
      </c>
      <c r="Y358" s="621">
        <v>6.0221805219825768</v>
      </c>
      <c r="Z358" s="51"/>
      <c r="AA358" s="51"/>
      <c r="AB358" s="51"/>
    </row>
    <row r="359" spans="1:28">
      <c r="A359" s="51" t="e">
        <f t="shared" si="50"/>
        <v>#REF!</v>
      </c>
      <c r="B359" s="51">
        <f t="shared" si="51"/>
        <v>2040</v>
      </c>
      <c r="C359" s="51" t="str">
        <f t="shared" si="51"/>
        <v>AMS</v>
      </c>
      <c r="D359" s="51" t="s">
        <v>503</v>
      </c>
      <c r="E359" s="51" t="e">
        <f>VLOOKUP($H$6,#REF!,2,FALSE)</f>
        <v>#REF!</v>
      </c>
      <c r="F359" s="51"/>
      <c r="G359" s="620" t="s">
        <v>353</v>
      </c>
      <c r="H359" s="613">
        <v>0</v>
      </c>
      <c r="I359" s="613">
        <v>0</v>
      </c>
      <c r="J359" s="613">
        <v>0</v>
      </c>
      <c r="K359" s="613">
        <v>0</v>
      </c>
      <c r="L359" s="613">
        <v>0</v>
      </c>
      <c r="M359" s="613">
        <v>0</v>
      </c>
      <c r="N359" s="613">
        <v>0</v>
      </c>
      <c r="O359" s="613">
        <v>0</v>
      </c>
      <c r="P359" s="613">
        <v>0</v>
      </c>
      <c r="Q359" s="613">
        <v>0</v>
      </c>
      <c r="R359" s="613">
        <v>0</v>
      </c>
      <c r="S359" s="613">
        <v>0</v>
      </c>
      <c r="T359" s="613">
        <v>0</v>
      </c>
      <c r="U359" s="613">
        <v>0</v>
      </c>
      <c r="V359" s="613">
        <v>0</v>
      </c>
      <c r="W359" s="613">
        <v>0</v>
      </c>
      <c r="X359" s="613">
        <v>0</v>
      </c>
      <c r="Y359" s="621">
        <v>0</v>
      </c>
      <c r="Z359" s="51"/>
      <c r="AA359" s="51"/>
      <c r="AB359" s="51"/>
    </row>
    <row r="360" spans="1:28">
      <c r="A360" s="51" t="e">
        <f t="shared" si="50"/>
        <v>#REF!</v>
      </c>
      <c r="B360" s="51">
        <f t="shared" si="51"/>
        <v>2040</v>
      </c>
      <c r="C360" s="51" t="str">
        <f t="shared" si="51"/>
        <v>AMS</v>
      </c>
      <c r="D360" s="51" t="s">
        <v>504</v>
      </c>
      <c r="E360" s="51" t="e">
        <f>VLOOKUP($H$6,#REF!,2,FALSE)</f>
        <v>#REF!</v>
      </c>
      <c r="F360" s="51"/>
      <c r="G360" s="620" t="s">
        <v>72</v>
      </c>
      <c r="H360" s="613">
        <v>0</v>
      </c>
      <c r="I360" s="613">
        <v>277.28994248668886</v>
      </c>
      <c r="J360" s="613">
        <v>-274.5252708068171</v>
      </c>
      <c r="K360" s="613">
        <v>0</v>
      </c>
      <c r="L360" s="613">
        <v>0</v>
      </c>
      <c r="M360" s="613">
        <v>0</v>
      </c>
      <c r="N360" s="613">
        <v>0</v>
      </c>
      <c r="O360" s="613">
        <v>0</v>
      </c>
      <c r="P360" s="613">
        <v>0</v>
      </c>
      <c r="Q360" s="613">
        <v>0</v>
      </c>
      <c r="R360" s="613">
        <v>0</v>
      </c>
      <c r="S360" s="613">
        <v>0</v>
      </c>
      <c r="T360" s="613">
        <v>0</v>
      </c>
      <c r="U360" s="613">
        <v>0</v>
      </c>
      <c r="V360" s="613">
        <v>0</v>
      </c>
      <c r="W360" s="613">
        <v>0</v>
      </c>
      <c r="X360" s="613">
        <v>0</v>
      </c>
      <c r="Y360" s="621">
        <v>2.7646716798717357</v>
      </c>
      <c r="Z360" s="51"/>
      <c r="AA360" s="51"/>
      <c r="AB360" s="51"/>
    </row>
    <row r="361" spans="1:28">
      <c r="A361" s="51" t="e">
        <f t="shared" si="50"/>
        <v>#REF!</v>
      </c>
      <c r="B361" s="51">
        <f t="shared" si="51"/>
        <v>2040</v>
      </c>
      <c r="C361" s="51" t="str">
        <f t="shared" si="51"/>
        <v>AMS</v>
      </c>
      <c r="D361" s="51" t="s">
        <v>505</v>
      </c>
      <c r="E361" s="51" t="e">
        <f>VLOOKUP($H$6,#REF!,2,FALSE)</f>
        <v>#REF!</v>
      </c>
      <c r="F361" s="51"/>
      <c r="G361" s="620" t="s">
        <v>354</v>
      </c>
      <c r="H361" s="613">
        <v>0</v>
      </c>
      <c r="I361" s="613">
        <v>0</v>
      </c>
      <c r="J361" s="613">
        <v>0</v>
      </c>
      <c r="K361" s="613">
        <v>0</v>
      </c>
      <c r="L361" s="613">
        <v>0</v>
      </c>
      <c r="M361" s="613">
        <v>0</v>
      </c>
      <c r="N361" s="613">
        <v>0</v>
      </c>
      <c r="O361" s="613">
        <v>0</v>
      </c>
      <c r="P361" s="613">
        <v>117.50933865541684</v>
      </c>
      <c r="Q361" s="613">
        <v>0</v>
      </c>
      <c r="R361" s="613">
        <v>-117.50933865541684</v>
      </c>
      <c r="S361" s="613">
        <v>0</v>
      </c>
      <c r="T361" s="613">
        <v>0</v>
      </c>
      <c r="U361" s="613">
        <v>0</v>
      </c>
      <c r="V361" s="613">
        <v>0</v>
      </c>
      <c r="W361" s="613">
        <v>0</v>
      </c>
      <c r="X361" s="613">
        <v>0</v>
      </c>
      <c r="Y361" s="621">
        <v>0</v>
      </c>
      <c r="Z361" s="51"/>
      <c r="AA361" s="51"/>
      <c r="AB361" s="51"/>
    </row>
    <row r="362" spans="1:28">
      <c r="A362" s="51" t="e">
        <f t="shared" si="50"/>
        <v>#REF!</v>
      </c>
      <c r="B362" s="51">
        <f t="shared" si="51"/>
        <v>2040</v>
      </c>
      <c r="C362" s="51" t="str">
        <f t="shared" si="51"/>
        <v>AMS</v>
      </c>
      <c r="D362" s="51" t="s">
        <v>506</v>
      </c>
      <c r="E362" s="51" t="e">
        <f>VLOOKUP($H$6,#REF!,2,FALSE)</f>
        <v>#REF!</v>
      </c>
      <c r="F362" s="51"/>
      <c r="G362" s="620" t="s">
        <v>355</v>
      </c>
      <c r="H362" s="613">
        <v>0</v>
      </c>
      <c r="I362" s="613">
        <v>0</v>
      </c>
      <c r="J362" s="613">
        <v>0</v>
      </c>
      <c r="K362" s="613">
        <v>-21.910962558722186</v>
      </c>
      <c r="L362" s="613">
        <v>0</v>
      </c>
      <c r="M362" s="613">
        <v>0</v>
      </c>
      <c r="N362" s="613">
        <v>0</v>
      </c>
      <c r="O362" s="613">
        <v>0</v>
      </c>
      <c r="P362" s="613">
        <v>0</v>
      </c>
      <c r="Q362" s="613">
        <v>0</v>
      </c>
      <c r="R362" s="613">
        <v>0</v>
      </c>
      <c r="S362" s="613">
        <v>0</v>
      </c>
      <c r="T362" s="613">
        <v>0</v>
      </c>
      <c r="U362" s="613">
        <v>0</v>
      </c>
      <c r="V362" s="613">
        <v>0</v>
      </c>
      <c r="W362" s="613">
        <v>0</v>
      </c>
      <c r="X362" s="613">
        <v>30.516660945295527</v>
      </c>
      <c r="Y362" s="621">
        <v>8.6056983865733407</v>
      </c>
      <c r="Z362" s="51"/>
      <c r="AA362" s="51"/>
      <c r="AB362" s="51"/>
    </row>
    <row r="363" spans="1:28">
      <c r="A363" s="51" t="e">
        <f t="shared" si="50"/>
        <v>#REF!</v>
      </c>
      <c r="B363" s="51">
        <f t="shared" si="51"/>
        <v>2040</v>
      </c>
      <c r="C363" s="51" t="str">
        <f t="shared" si="51"/>
        <v>AMS</v>
      </c>
      <c r="D363" s="51" t="s">
        <v>507</v>
      </c>
      <c r="E363" s="51" t="e">
        <f>VLOOKUP($H$6,#REF!,2,FALSE)</f>
        <v>#REF!</v>
      </c>
      <c r="F363" s="51"/>
      <c r="G363" s="620" t="s">
        <v>73</v>
      </c>
      <c r="H363" s="613">
        <v>0</v>
      </c>
      <c r="I363" s="613">
        <v>0</v>
      </c>
      <c r="J363" s="613">
        <v>0</v>
      </c>
      <c r="K363" s="613">
        <v>0</v>
      </c>
      <c r="L363" s="613">
        <v>0</v>
      </c>
      <c r="M363" s="613">
        <v>0</v>
      </c>
      <c r="N363" s="613">
        <v>0</v>
      </c>
      <c r="O363" s="613">
        <v>0</v>
      </c>
      <c r="P363" s="613">
        <v>0</v>
      </c>
      <c r="Q363" s="613">
        <v>0</v>
      </c>
      <c r="R363" s="613">
        <v>0</v>
      </c>
      <c r="S363" s="613">
        <v>0</v>
      </c>
      <c r="T363" s="613">
        <v>0</v>
      </c>
      <c r="U363" s="613">
        <v>0</v>
      </c>
      <c r="V363" s="613">
        <v>99.792892977732521</v>
      </c>
      <c r="W363" s="613">
        <v>0</v>
      </c>
      <c r="X363" s="613">
        <v>-68.358131689746784</v>
      </c>
      <c r="Y363" s="621">
        <v>31.434761287985737</v>
      </c>
      <c r="Z363" s="51"/>
      <c r="AA363" s="51"/>
      <c r="AB363" s="51"/>
    </row>
    <row r="364" spans="1:28">
      <c r="A364" s="51" t="e">
        <f t="shared" si="50"/>
        <v>#REF!</v>
      </c>
      <c r="B364" s="51">
        <f t="shared" si="51"/>
        <v>2040</v>
      </c>
      <c r="C364" s="51" t="str">
        <f t="shared" si="51"/>
        <v>AMS</v>
      </c>
      <c r="D364" s="51" t="s">
        <v>508</v>
      </c>
      <c r="E364" s="51" t="e">
        <f>VLOOKUP($H$6,#REF!,2,FALSE)</f>
        <v>#REF!</v>
      </c>
      <c r="F364" s="51"/>
      <c r="G364" s="620" t="s">
        <v>356</v>
      </c>
      <c r="H364" s="613">
        <v>6.9248988281249995</v>
      </c>
      <c r="I364" s="613">
        <v>-9.6904137911102683</v>
      </c>
      <c r="J364" s="613">
        <v>12.633678677299837</v>
      </c>
      <c r="K364" s="613">
        <v>0</v>
      </c>
      <c r="L364" s="613">
        <v>0</v>
      </c>
      <c r="M364" s="613">
        <v>0</v>
      </c>
      <c r="N364" s="613">
        <v>0</v>
      </c>
      <c r="O364" s="613">
        <v>0</v>
      </c>
      <c r="P364" s="613">
        <v>0</v>
      </c>
      <c r="Q364" s="613">
        <v>0</v>
      </c>
      <c r="R364" s="613">
        <v>0</v>
      </c>
      <c r="S364" s="613">
        <v>0</v>
      </c>
      <c r="T364" s="613">
        <v>0</v>
      </c>
      <c r="U364" s="613">
        <v>0</v>
      </c>
      <c r="V364" s="613">
        <v>0</v>
      </c>
      <c r="W364" s="613">
        <v>0</v>
      </c>
      <c r="X364" s="613">
        <v>0</v>
      </c>
      <c r="Y364" s="621">
        <v>9.8681637143145693</v>
      </c>
      <c r="Z364" s="51"/>
      <c r="AA364" s="51"/>
      <c r="AB364" s="51"/>
    </row>
    <row r="365" spans="1:28">
      <c r="A365" s="51" t="e">
        <f t="shared" si="50"/>
        <v>#REF!</v>
      </c>
      <c r="B365" s="51">
        <f t="shared" si="51"/>
        <v>2040</v>
      </c>
      <c r="C365" s="51" t="str">
        <f t="shared" si="51"/>
        <v>AMS</v>
      </c>
      <c r="D365" s="51" t="s">
        <v>509</v>
      </c>
      <c r="E365" s="51" t="e">
        <f>VLOOKUP($H$6,#REF!,2,FALSE)</f>
        <v>#REF!</v>
      </c>
      <c r="F365" s="51"/>
      <c r="G365" s="620" t="s">
        <v>75</v>
      </c>
      <c r="H365" s="613">
        <v>2.6930162109375</v>
      </c>
      <c r="I365" s="613">
        <v>0</v>
      </c>
      <c r="J365" s="613">
        <v>17.882981772477446</v>
      </c>
      <c r="K365" s="613">
        <v>0</v>
      </c>
      <c r="L365" s="613">
        <v>2.8438669910513061</v>
      </c>
      <c r="M365" s="613">
        <v>0</v>
      </c>
      <c r="N365" s="613">
        <v>0</v>
      </c>
      <c r="O365" s="613">
        <v>0</v>
      </c>
      <c r="P365" s="613">
        <v>0</v>
      </c>
      <c r="Q365" s="613">
        <v>0</v>
      </c>
      <c r="R365" s="613">
        <v>0</v>
      </c>
      <c r="S365" s="613">
        <v>2.3268002654056139</v>
      </c>
      <c r="T365" s="613">
        <v>0</v>
      </c>
      <c r="U365" s="613">
        <v>0</v>
      </c>
      <c r="V365" s="613">
        <v>26.202190575387331</v>
      </c>
      <c r="W365" s="613">
        <v>0</v>
      </c>
      <c r="X365" s="613">
        <v>0</v>
      </c>
      <c r="Y365" s="621">
        <v>51.948855815259193</v>
      </c>
      <c r="Z365" s="51"/>
      <c r="AA365" s="51"/>
      <c r="AB365" s="51"/>
    </row>
    <row r="366" spans="1:28">
      <c r="A366" s="51" t="e">
        <f t="shared" si="50"/>
        <v>#REF!</v>
      </c>
      <c r="B366" s="51">
        <f t="shared" si="51"/>
        <v>2040</v>
      </c>
      <c r="C366" s="51" t="str">
        <f t="shared" si="51"/>
        <v>AMS</v>
      </c>
      <c r="D366" s="51" t="s">
        <v>510</v>
      </c>
      <c r="E366" s="51" t="e">
        <f>VLOOKUP($H$6,#REF!,2,FALSE)</f>
        <v>#REF!</v>
      </c>
      <c r="F366" s="51"/>
      <c r="G366" s="620" t="s">
        <v>76</v>
      </c>
      <c r="H366" s="613">
        <v>0</v>
      </c>
      <c r="I366" s="613">
        <v>0</v>
      </c>
      <c r="J366" s="613">
        <v>0</v>
      </c>
      <c r="K366" s="613">
        <v>0</v>
      </c>
      <c r="L366" s="613">
        <v>1.0471910576301744</v>
      </c>
      <c r="M366" s="613">
        <v>0</v>
      </c>
      <c r="N366" s="613">
        <v>0</v>
      </c>
      <c r="O366" s="613">
        <v>0</v>
      </c>
      <c r="P366" s="613">
        <v>0</v>
      </c>
      <c r="Q366" s="613">
        <v>0</v>
      </c>
      <c r="R366" s="613">
        <v>0</v>
      </c>
      <c r="S366" s="613">
        <v>0.85679268351559712</v>
      </c>
      <c r="T366" s="613">
        <v>0</v>
      </c>
      <c r="U366" s="613">
        <v>0</v>
      </c>
      <c r="V366" s="613">
        <v>49.376186823560346</v>
      </c>
      <c r="W366" s="613">
        <v>5.3750429512534854</v>
      </c>
      <c r="X366" s="613">
        <v>0</v>
      </c>
      <c r="Y366" s="621">
        <v>56.655213515959609</v>
      </c>
      <c r="Z366" s="51"/>
      <c r="AA366" s="51"/>
      <c r="AB366" s="51"/>
    </row>
    <row r="367" spans="1:28">
      <c r="A367" s="51" t="e">
        <f t="shared" si="50"/>
        <v>#REF!</v>
      </c>
      <c r="B367" s="51">
        <f t="shared" si="51"/>
        <v>2040</v>
      </c>
      <c r="C367" s="51" t="str">
        <f t="shared" si="51"/>
        <v>AMS</v>
      </c>
      <c r="D367" s="51" t="s">
        <v>511</v>
      </c>
      <c r="E367" s="51" t="e">
        <f>VLOOKUP($H$6,#REF!,2,FALSE)</f>
        <v>#REF!</v>
      </c>
      <c r="F367" s="51"/>
      <c r="G367" s="616" t="s">
        <v>77</v>
      </c>
      <c r="H367" s="617">
        <v>9.617915039062499</v>
      </c>
      <c r="I367" s="617">
        <v>267.59952869557856</v>
      </c>
      <c r="J367" s="617">
        <v>-243.94245840363976</v>
      </c>
      <c r="K367" s="617">
        <v>-21.910962558722186</v>
      </c>
      <c r="L367" s="624">
        <v>17.306946232403714</v>
      </c>
      <c r="M367" s="617">
        <v>0</v>
      </c>
      <c r="N367" s="617">
        <v>1059.5259818181821</v>
      </c>
      <c r="O367" s="617">
        <v>373.50050326164637</v>
      </c>
      <c r="P367" s="617">
        <v>254.66352883242536</v>
      </c>
      <c r="Q367" s="617">
        <v>25.54697483851276</v>
      </c>
      <c r="R367" s="617">
        <v>-111.8824008174838</v>
      </c>
      <c r="S367" s="617">
        <v>-62.204904625530077</v>
      </c>
      <c r="T367" s="617">
        <v>0</v>
      </c>
      <c r="U367" s="617">
        <v>17.461746798180965</v>
      </c>
      <c r="V367" s="617">
        <v>-571.97798146477135</v>
      </c>
      <c r="W367" s="617">
        <v>-63.928565625977342</v>
      </c>
      <c r="X367" s="617">
        <v>-34.33322512285126</v>
      </c>
      <c r="Y367" s="617">
        <v>915.04262689701648</v>
      </c>
      <c r="Z367" s="51"/>
      <c r="AA367" s="51"/>
      <c r="AB367" s="51"/>
    </row>
    <row r="368" spans="1:28">
      <c r="A368" s="51"/>
      <c r="B368" s="51"/>
      <c r="C368" s="51"/>
      <c r="D368" s="51"/>
      <c r="E368" s="51"/>
      <c r="F368" s="51"/>
      <c r="G368" s="618"/>
      <c r="H368" s="619">
        <v>0</v>
      </c>
      <c r="I368" s="619">
        <v>0</v>
      </c>
      <c r="J368" s="619">
        <v>0</v>
      </c>
      <c r="K368" s="619">
        <v>0</v>
      </c>
      <c r="L368" s="625">
        <v>0</v>
      </c>
      <c r="M368" s="619">
        <v>0</v>
      </c>
      <c r="N368" s="619">
        <v>0</v>
      </c>
      <c r="O368" s="619">
        <v>0</v>
      </c>
      <c r="P368" s="619">
        <v>0</v>
      </c>
      <c r="Q368" s="619">
        <v>0</v>
      </c>
      <c r="R368" s="619">
        <v>0</v>
      </c>
      <c r="S368" s="619">
        <v>0</v>
      </c>
      <c r="T368" s="619">
        <v>0</v>
      </c>
      <c r="U368" s="619">
        <v>0</v>
      </c>
      <c r="V368" s="619">
        <v>0</v>
      </c>
      <c r="W368" s="619">
        <v>0</v>
      </c>
      <c r="X368" s="619">
        <v>0</v>
      </c>
      <c r="Y368" s="619">
        <v>0</v>
      </c>
      <c r="Z368" s="51"/>
      <c r="AA368" s="51"/>
      <c r="AB368" s="51"/>
    </row>
    <row r="369" spans="1:28">
      <c r="A369" s="51" t="e">
        <f>A367+2</f>
        <v>#REF!</v>
      </c>
      <c r="B369" s="51">
        <f>B367</f>
        <v>2040</v>
      </c>
      <c r="C369" s="51" t="str">
        <f>C347</f>
        <v>AMS</v>
      </c>
      <c r="D369" s="51" t="s">
        <v>512</v>
      </c>
      <c r="E369" s="51" t="e">
        <f>VLOOKUP($H$6,#REF!,2,FALSE)</f>
        <v>#REF!</v>
      </c>
      <c r="F369" s="51"/>
      <c r="G369" s="620" t="s">
        <v>78</v>
      </c>
      <c r="H369" s="613">
        <v>2.7841882556496467</v>
      </c>
      <c r="I369" s="613">
        <v>0</v>
      </c>
      <c r="J369" s="613">
        <v>5.1952563518908157</v>
      </c>
      <c r="K369" s="613">
        <v>0</v>
      </c>
      <c r="L369" s="613">
        <v>31.335146641416099</v>
      </c>
      <c r="M369" s="613">
        <v>0</v>
      </c>
      <c r="N369" s="613">
        <v>0</v>
      </c>
      <c r="O369" s="613">
        <v>0</v>
      </c>
      <c r="P369" s="613">
        <v>19.866368456853682</v>
      </c>
      <c r="Q369" s="613">
        <v>2.3815254498716123</v>
      </c>
      <c r="R369" s="613">
        <v>2.1415231567382813</v>
      </c>
      <c r="S369" s="613">
        <v>25.676510059650784</v>
      </c>
      <c r="T369" s="613">
        <v>7.6335380859375004</v>
      </c>
      <c r="U369" s="613">
        <v>7.8820466826144567E-4</v>
      </c>
      <c r="V369" s="613">
        <v>133.1889583814887</v>
      </c>
      <c r="W369" s="613">
        <v>18.276712147761906</v>
      </c>
      <c r="X369" s="613">
        <v>4.7382089843750004</v>
      </c>
      <c r="Y369" s="621">
        <v>253.21872417630229</v>
      </c>
      <c r="Z369" s="51"/>
      <c r="AA369" s="622" t="e" cm="1">
        <f t="array" aca="1" ref="AA369" ca="1">_xlfn.IFNA(INDEX(#REF!,MATCH(INDIRECT("Codes_bilans!"&amp;AA$1&amp;"$"&amp;$A369),#REF!,0),MATCH($B369,#REF!,0)),0)</f>
        <v>#REF!</v>
      </c>
      <c r="AB369" s="51"/>
    </row>
    <row r="370" spans="1:28">
      <c r="A370" s="51" t="e">
        <f t="shared" ref="A370:A377" si="52">A369+1</f>
        <v>#REF!</v>
      </c>
      <c r="B370" s="51">
        <f t="shared" ref="B370:C377" si="53">B369</f>
        <v>2040</v>
      </c>
      <c r="C370" s="51" t="str">
        <f t="shared" si="53"/>
        <v>AMS</v>
      </c>
      <c r="D370" s="51" t="s">
        <v>513</v>
      </c>
      <c r="E370" s="51" t="e">
        <f>VLOOKUP($H$6,#REF!,2,FALSE)</f>
        <v>#REF!</v>
      </c>
      <c r="F370" s="51"/>
      <c r="G370" s="620" t="s">
        <v>79</v>
      </c>
      <c r="H370" s="613">
        <v>0</v>
      </c>
      <c r="I370" s="613">
        <v>0</v>
      </c>
      <c r="J370" s="613">
        <v>62.42121803575882</v>
      </c>
      <c r="K370" s="613">
        <v>0.9171283606012931</v>
      </c>
      <c r="L370" s="613">
        <v>3.2777834936114583</v>
      </c>
      <c r="M370" s="613">
        <v>0</v>
      </c>
      <c r="N370" s="613">
        <v>0</v>
      </c>
      <c r="O370" s="613">
        <v>0</v>
      </c>
      <c r="P370" s="613">
        <v>0</v>
      </c>
      <c r="Q370" s="613">
        <v>0</v>
      </c>
      <c r="R370" s="613">
        <v>70.675893572317364</v>
      </c>
      <c r="S370" s="613">
        <v>2.6818228584093751</v>
      </c>
      <c r="T370" s="613">
        <v>0</v>
      </c>
      <c r="U370" s="613">
        <v>0</v>
      </c>
      <c r="V370" s="613">
        <v>85.601807225833156</v>
      </c>
      <c r="W370" s="613">
        <v>0</v>
      </c>
      <c r="X370" s="613">
        <v>3.5812873698124483</v>
      </c>
      <c r="Y370" s="621">
        <v>229.15694091634393</v>
      </c>
      <c r="Z370" s="51"/>
      <c r="AA370" s="622" t="e" cm="1">
        <f t="array" aca="1" ref="AA370" ca="1">_xlfn.IFNA(INDEX(#REF!,MATCH(INDIRECT("Codes_bilans!"&amp;AA$1&amp;"$"&amp;$A370),#REF!,0),MATCH($B370,#REF!,0)),0)</f>
        <v>#REF!</v>
      </c>
      <c r="AB370" s="51"/>
    </row>
    <row r="371" spans="1:28">
      <c r="A371" s="51" t="e">
        <f t="shared" si="52"/>
        <v>#REF!</v>
      </c>
      <c r="B371" s="51">
        <f t="shared" si="53"/>
        <v>2040</v>
      </c>
      <c r="C371" s="51" t="str">
        <f t="shared" si="53"/>
        <v>AMS</v>
      </c>
      <c r="D371" s="51" t="s">
        <v>514</v>
      </c>
      <c r="E371" s="51" t="e">
        <f>VLOOKUP($H$6,#REF!,2,FALSE)</f>
        <v>#REF!</v>
      </c>
      <c r="F371" s="51"/>
      <c r="G371" s="620" t="s">
        <v>80</v>
      </c>
      <c r="H371" s="613">
        <v>0</v>
      </c>
      <c r="I371" s="613">
        <v>0</v>
      </c>
      <c r="J371" s="613">
        <v>2.2535083725168867</v>
      </c>
      <c r="K371" s="613">
        <v>0</v>
      </c>
      <c r="L371" s="613">
        <v>22.547534156690407</v>
      </c>
      <c r="M371" s="613">
        <v>0</v>
      </c>
      <c r="N371" s="613">
        <v>0</v>
      </c>
      <c r="O371" s="613">
        <v>0</v>
      </c>
      <c r="P371" s="613">
        <v>34.097641504490639</v>
      </c>
      <c r="Q371" s="613">
        <v>0</v>
      </c>
      <c r="R371" s="613">
        <v>0</v>
      </c>
      <c r="S371" s="613">
        <v>18.447982491837607</v>
      </c>
      <c r="T371" s="613">
        <v>103.59461616627088</v>
      </c>
      <c r="U371" s="613">
        <v>2.7285855468891569</v>
      </c>
      <c r="V371" s="613">
        <v>149.5228289340921</v>
      </c>
      <c r="W371" s="613">
        <v>26.593767108522837</v>
      </c>
      <c r="X371" s="613">
        <v>0</v>
      </c>
      <c r="Y371" s="621">
        <v>359.78646428131054</v>
      </c>
      <c r="Z371" s="51"/>
      <c r="AA371" s="622" t="e" cm="1">
        <f t="array" aca="1" ref="AA371" ca="1">_xlfn.IFNA(INDEX(#REF!,MATCH(INDIRECT("Codes_bilans!"&amp;AA$1&amp;"$"&amp;$A371),#REF!,0),MATCH($B371,#REF!,0)),0)</f>
        <v>#REF!</v>
      </c>
      <c r="AB371" s="51"/>
    </row>
    <row r="372" spans="1:28">
      <c r="A372" s="51" t="e">
        <f t="shared" si="52"/>
        <v>#REF!</v>
      </c>
      <c r="B372" s="51">
        <f t="shared" si="53"/>
        <v>2040</v>
      </c>
      <c r="C372" s="51" t="str">
        <f t="shared" si="53"/>
        <v>AMS</v>
      </c>
      <c r="D372" s="51" t="s">
        <v>515</v>
      </c>
      <c r="E372" s="51" t="e">
        <f>VLOOKUP($H$6,#REF!,2,FALSE)</f>
        <v>#REF!</v>
      </c>
      <c r="F372" s="51"/>
      <c r="G372" s="620" t="s">
        <v>81</v>
      </c>
      <c r="H372" s="613">
        <v>0</v>
      </c>
      <c r="I372" s="613">
        <v>0</v>
      </c>
      <c r="J372" s="613">
        <v>1.3399462790047187</v>
      </c>
      <c r="K372" s="613">
        <v>0</v>
      </c>
      <c r="L372" s="613">
        <v>12.344523773070179</v>
      </c>
      <c r="M372" s="613">
        <v>0</v>
      </c>
      <c r="N372" s="613">
        <v>0</v>
      </c>
      <c r="O372" s="613">
        <v>0</v>
      </c>
      <c r="P372" s="613">
        <v>0.40515733033320123</v>
      </c>
      <c r="Q372" s="613">
        <v>4.0121337498856221E-4</v>
      </c>
      <c r="R372" s="613">
        <v>0</v>
      </c>
      <c r="S372" s="613">
        <v>10.100064905239238</v>
      </c>
      <c r="T372" s="613">
        <v>25.404172221757367</v>
      </c>
      <c r="U372" s="613">
        <v>1.0133205125094877</v>
      </c>
      <c r="V372" s="613">
        <v>92.228183694440688</v>
      </c>
      <c r="W372" s="613">
        <v>19.0580863696926</v>
      </c>
      <c r="X372" s="613">
        <v>0</v>
      </c>
      <c r="Y372" s="621">
        <v>161.89385629942248</v>
      </c>
      <c r="Z372" s="51"/>
      <c r="AA372" s="622" t="e" cm="1">
        <f t="array" aca="1" ref="AA372" ca="1">_xlfn.IFNA(INDEX(#REF!,MATCH(INDIRECT("Codes_bilans!"&amp;AA$1&amp;"$"&amp;$A372),#REF!,0),MATCH($B372,#REF!,0)),0)</f>
        <v>#REF!</v>
      </c>
      <c r="AB372" s="51"/>
    </row>
    <row r="373" spans="1:28">
      <c r="A373" s="51" t="e">
        <f t="shared" si="52"/>
        <v>#REF!</v>
      </c>
      <c r="B373" s="51">
        <f t="shared" si="53"/>
        <v>2040</v>
      </c>
      <c r="C373" s="51" t="str">
        <f t="shared" si="53"/>
        <v>AMS</v>
      </c>
      <c r="D373" s="51" t="s">
        <v>516</v>
      </c>
      <c r="E373" s="51" t="e">
        <f>VLOOKUP($H$6,#REF!,2,FALSE)</f>
        <v>#REF!</v>
      </c>
      <c r="F373" s="51"/>
      <c r="G373" s="620" t="s">
        <v>82</v>
      </c>
      <c r="H373" s="613">
        <v>0</v>
      </c>
      <c r="I373" s="613">
        <v>0</v>
      </c>
      <c r="J373" s="613">
        <v>10.678454663150182</v>
      </c>
      <c r="K373" s="613">
        <v>0</v>
      </c>
      <c r="L373" s="613">
        <v>0.98973128577551672</v>
      </c>
      <c r="M373" s="613">
        <v>0</v>
      </c>
      <c r="N373" s="613">
        <v>0</v>
      </c>
      <c r="O373" s="613">
        <v>0</v>
      </c>
      <c r="P373" s="613">
        <v>3.3736621545342089</v>
      </c>
      <c r="Q373" s="613">
        <v>0</v>
      </c>
      <c r="R373" s="613">
        <v>14.289145060057182</v>
      </c>
      <c r="S373" s="613">
        <v>0.80978014290724099</v>
      </c>
      <c r="T373" s="613">
        <v>1</v>
      </c>
      <c r="U373" s="613">
        <v>1.300620381405156</v>
      </c>
      <c r="V373" s="613">
        <v>7.76122971899715</v>
      </c>
      <c r="W373" s="613">
        <v>0</v>
      </c>
      <c r="X373" s="613">
        <v>0.325155095351289</v>
      </c>
      <c r="Y373" s="621">
        <v>40.527778502177924</v>
      </c>
      <c r="Z373" s="51"/>
      <c r="AA373" s="622" t="e" cm="1">
        <f t="array" aca="1" ref="AA373" ca="1">_xlfn.IFNA(INDEX(#REF!,MATCH(INDIRECT("Codes_bilans!"&amp;AA$1&amp;"$"&amp;$A373),#REF!,0),MATCH($B373,#REF!,0)),0)</f>
        <v>#REF!</v>
      </c>
      <c r="AB373" s="51"/>
    </row>
    <row r="374" spans="1:28">
      <c r="A374" s="51" t="e">
        <f t="shared" si="52"/>
        <v>#REF!</v>
      </c>
      <c r="B374" s="51">
        <f t="shared" si="53"/>
        <v>2040</v>
      </c>
      <c r="C374" s="51" t="str">
        <f t="shared" si="53"/>
        <v>AMS</v>
      </c>
      <c r="D374" s="51" t="s">
        <v>517</v>
      </c>
      <c r="E374" s="51" t="e">
        <f>VLOOKUP($H$6,#REF!,2,FALSE)</f>
        <v>#REF!</v>
      </c>
      <c r="F374" s="51"/>
      <c r="G374" s="620" t="s">
        <v>357</v>
      </c>
      <c r="H374" s="613">
        <v>0</v>
      </c>
      <c r="I374" s="613">
        <v>0</v>
      </c>
      <c r="J374" s="613">
        <v>0</v>
      </c>
      <c r="K374" s="613">
        <v>0</v>
      </c>
      <c r="L374" s="613">
        <v>0</v>
      </c>
      <c r="M374" s="613">
        <v>0</v>
      </c>
      <c r="N374" s="613">
        <v>0</v>
      </c>
      <c r="O374" s="613">
        <v>0</v>
      </c>
      <c r="P374" s="613">
        <v>0</v>
      </c>
      <c r="Q374" s="613">
        <v>0</v>
      </c>
      <c r="R374" s="613">
        <v>0</v>
      </c>
      <c r="S374" s="613">
        <v>0</v>
      </c>
      <c r="T374" s="613">
        <v>0</v>
      </c>
      <c r="U374" s="613">
        <v>0</v>
      </c>
      <c r="V374" s="613">
        <v>1.4068800000000001</v>
      </c>
      <c r="W374" s="613">
        <v>0</v>
      </c>
      <c r="X374" s="613">
        <v>0</v>
      </c>
      <c r="Y374" s="621">
        <v>1.4068800000000001</v>
      </c>
      <c r="Z374" s="51"/>
      <c r="AA374" s="622" t="e" cm="1">
        <f t="array" aca="1" ref="AA374" ca="1">_xlfn.IFNA(INDEX(#REF!,MATCH(INDIRECT("Codes_bilans!"&amp;AA$1&amp;"$"&amp;$A374),#REF!,0),MATCH($B374,#REF!,0)),0)</f>
        <v>#REF!</v>
      </c>
      <c r="AB374" s="51"/>
    </row>
    <row r="375" spans="1:28">
      <c r="A375" s="51" t="e">
        <f t="shared" si="52"/>
        <v>#REF!</v>
      </c>
      <c r="B375" s="51">
        <f t="shared" si="53"/>
        <v>2040</v>
      </c>
      <c r="C375" s="51" t="str">
        <f t="shared" si="53"/>
        <v>AMS</v>
      </c>
      <c r="D375" s="51" t="s">
        <v>518</v>
      </c>
      <c r="E375" s="51" t="e">
        <f>VLOOKUP($H$6,#REF!,2,FALSE)</f>
        <v>#REF!</v>
      </c>
      <c r="F375" s="51"/>
      <c r="G375" s="616" t="s">
        <v>83</v>
      </c>
      <c r="H375" s="617">
        <v>2.7841882556496467</v>
      </c>
      <c r="I375" s="617">
        <v>0</v>
      </c>
      <c r="J375" s="617">
        <v>81.888383702321406</v>
      </c>
      <c r="K375" s="617">
        <v>0.9171283606012931</v>
      </c>
      <c r="L375" s="624">
        <v>70.494719350563656</v>
      </c>
      <c r="M375" s="617">
        <v>0</v>
      </c>
      <c r="N375" s="617">
        <v>0</v>
      </c>
      <c r="O375" s="617">
        <v>0</v>
      </c>
      <c r="P375" s="617">
        <v>57.742829446211736</v>
      </c>
      <c r="Q375" s="617">
        <v>2.3819266632466007</v>
      </c>
      <c r="R375" s="617">
        <v>87.106561789112831</v>
      </c>
      <c r="S375" s="617">
        <v>57.71616045804425</v>
      </c>
      <c r="T375" s="617">
        <v>137.63232647396575</v>
      </c>
      <c r="U375" s="617">
        <v>5.0433146454720621</v>
      </c>
      <c r="V375" s="617">
        <v>469.70988795485181</v>
      </c>
      <c r="W375" s="617">
        <v>63.928565625977342</v>
      </c>
      <c r="X375" s="617">
        <v>8.6446514495387365</v>
      </c>
      <c r="Y375" s="617">
        <v>1045.9906441755572</v>
      </c>
      <c r="Z375" s="51"/>
      <c r="AA375" s="51"/>
      <c r="AB375" s="51"/>
    </row>
    <row r="376" spans="1:28">
      <c r="A376" s="51" t="e">
        <f t="shared" si="52"/>
        <v>#REF!</v>
      </c>
      <c r="B376" s="51">
        <f t="shared" si="53"/>
        <v>2040</v>
      </c>
      <c r="C376" s="51" t="str">
        <f t="shared" si="53"/>
        <v>AMS</v>
      </c>
      <c r="D376" s="51" t="s">
        <v>519</v>
      </c>
      <c r="E376" s="51" t="e">
        <f>VLOOKUP($H$6,#REF!,2,FALSE)</f>
        <v>#REF!</v>
      </c>
      <c r="F376" s="51"/>
      <c r="G376" s="612" t="s">
        <v>84</v>
      </c>
      <c r="H376" s="613">
        <v>0</v>
      </c>
      <c r="I376" s="613">
        <v>0</v>
      </c>
      <c r="J376" s="613">
        <v>63.453621141900157</v>
      </c>
      <c r="K376" s="613">
        <v>5.849933778542443</v>
      </c>
      <c r="L376" s="613">
        <v>6.7321107560009157</v>
      </c>
      <c r="M376" s="613">
        <v>0</v>
      </c>
      <c r="N376" s="613">
        <v>0</v>
      </c>
      <c r="O376" s="613">
        <v>0</v>
      </c>
      <c r="P376" s="613">
        <v>0.4086523039836884</v>
      </c>
      <c r="Q376" s="613">
        <v>0</v>
      </c>
      <c r="R376" s="613">
        <v>16.128139408945682</v>
      </c>
      <c r="S376" s="613">
        <v>2.7141517882424018</v>
      </c>
      <c r="T376" s="613">
        <v>0</v>
      </c>
      <c r="U376" s="613">
        <v>0</v>
      </c>
      <c r="V376" s="613">
        <v>0</v>
      </c>
      <c r="W376" s="613">
        <v>0</v>
      </c>
      <c r="X376" s="613">
        <v>25.023965550983899</v>
      </c>
      <c r="Y376" s="621">
        <v>120.31057472859921</v>
      </c>
      <c r="Z376" s="51"/>
      <c r="AA376" s="622" t="e" cm="1">
        <f t="array" aca="1" ref="AA376" ca="1">_xlfn.IFNA(INDEX(#REF!,MATCH(INDIRECT("Codes_bilans!"&amp;AA$1&amp;"$"&amp;$A376),#REF!,0),MATCH($B376,#REF!,0)),0)</f>
        <v>#REF!</v>
      </c>
      <c r="AB376" s="51"/>
    </row>
    <row r="377" spans="1:28">
      <c r="A377" s="51" t="e">
        <f t="shared" si="52"/>
        <v>#REF!</v>
      </c>
      <c r="B377" s="51">
        <f t="shared" si="53"/>
        <v>2040</v>
      </c>
      <c r="C377" s="51" t="str">
        <f t="shared" si="53"/>
        <v>AMS</v>
      </c>
      <c r="D377" s="51" t="s">
        <v>520</v>
      </c>
      <c r="E377" s="51" t="e">
        <f>VLOOKUP($H$6,#REF!,2,FALSE)</f>
        <v>#REF!</v>
      </c>
      <c r="F377" s="51"/>
      <c r="G377" s="616" t="s">
        <v>85</v>
      </c>
      <c r="H377" s="617">
        <v>2.7841882556496467</v>
      </c>
      <c r="I377" s="617">
        <v>0</v>
      </c>
      <c r="J377" s="617">
        <v>145.34200484422155</v>
      </c>
      <c r="K377" s="617">
        <v>6.7670621391437358</v>
      </c>
      <c r="L377" s="624">
        <v>77.226830106564577</v>
      </c>
      <c r="M377" s="617">
        <v>0</v>
      </c>
      <c r="N377" s="617">
        <v>0</v>
      </c>
      <c r="O377" s="617">
        <v>0</v>
      </c>
      <c r="P377" s="617">
        <v>58.151481750195423</v>
      </c>
      <c r="Q377" s="617">
        <v>2.3819266632466007</v>
      </c>
      <c r="R377" s="617">
        <v>103.23470119805852</v>
      </c>
      <c r="S377" s="617">
        <v>60.430312246286654</v>
      </c>
      <c r="T377" s="617">
        <v>137.63232647396575</v>
      </c>
      <c r="U377" s="617">
        <v>5.0433146454720621</v>
      </c>
      <c r="V377" s="617">
        <v>469.70988795485181</v>
      </c>
      <c r="W377" s="617">
        <v>63.928565625977342</v>
      </c>
      <c r="X377" s="617">
        <v>33.668617000522637</v>
      </c>
      <c r="Y377" s="617">
        <v>1166.3012189041563</v>
      </c>
      <c r="Z377" s="51"/>
      <c r="AA377" s="51"/>
      <c r="AB377" s="51"/>
    </row>
    <row r="378" spans="1:28">
      <c r="A378" s="51"/>
      <c r="B378" s="51"/>
      <c r="C378" s="51"/>
      <c r="D378" s="51"/>
      <c r="E378" s="51"/>
      <c r="F378" s="51"/>
      <c r="G378" s="51"/>
      <c r="H378" s="67">
        <v>0</v>
      </c>
      <c r="I378" s="67">
        <v>0</v>
      </c>
      <c r="J378" s="67">
        <v>0</v>
      </c>
      <c r="K378" s="67">
        <v>0</v>
      </c>
      <c r="L378" s="67">
        <v>0</v>
      </c>
      <c r="M378" s="67">
        <v>0</v>
      </c>
      <c r="N378" s="67">
        <v>0</v>
      </c>
      <c r="O378" s="67">
        <v>0</v>
      </c>
      <c r="P378" s="67">
        <v>0</v>
      </c>
      <c r="Q378" s="67">
        <v>0</v>
      </c>
      <c r="R378" s="67">
        <v>1.5987211554602254E-14</v>
      </c>
      <c r="S378" s="67">
        <v>2.5757174171303632E-14</v>
      </c>
      <c r="T378" s="67">
        <v>0</v>
      </c>
      <c r="U378" s="67">
        <v>0</v>
      </c>
      <c r="V378" s="67">
        <v>0</v>
      </c>
      <c r="W378" s="67">
        <v>0</v>
      </c>
      <c r="X378" s="67">
        <v>-1.3322676295501878E-15</v>
      </c>
      <c r="Y378" s="67">
        <v>0</v>
      </c>
      <c r="Z378" s="51"/>
      <c r="AA378" s="51"/>
      <c r="AB378" s="51"/>
    </row>
    <row r="379" spans="1:28">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row>
    <row r="380" spans="1:28">
      <c r="A380" s="608"/>
      <c r="B380" s="608"/>
      <c r="C380" s="608"/>
      <c r="D380" s="608"/>
      <c r="E380" s="608"/>
      <c r="F380" s="608"/>
      <c r="G380" s="609" t="s">
        <v>523</v>
      </c>
      <c r="H380" s="608"/>
      <c r="I380" s="608"/>
      <c r="J380" s="608"/>
      <c r="K380" s="608"/>
      <c r="L380" s="608"/>
      <c r="M380" s="608"/>
      <c r="N380" s="608"/>
      <c r="O380" s="608"/>
      <c r="P380" s="608"/>
      <c r="Q380" s="608"/>
      <c r="R380" s="608"/>
      <c r="S380" s="608"/>
      <c r="T380" s="608"/>
      <c r="U380" s="608"/>
      <c r="V380" s="608"/>
      <c r="W380" s="608"/>
      <c r="X380" s="608"/>
      <c r="Y380" s="608"/>
      <c r="Z380" s="608"/>
      <c r="AA380" s="608"/>
      <c r="AB380" s="608"/>
    </row>
    <row r="381" spans="1:28">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row>
    <row r="382" spans="1:28" ht="14.25" customHeight="1">
      <c r="A382" s="51"/>
      <c r="B382" s="51"/>
      <c r="C382" s="51"/>
      <c r="D382" s="51"/>
      <c r="E382" s="51"/>
      <c r="F382" s="51"/>
      <c r="G382" s="713" t="s">
        <v>128</v>
      </c>
      <c r="H382" s="711" t="s">
        <v>42</v>
      </c>
      <c r="I382" s="711" t="s">
        <v>52</v>
      </c>
      <c r="J382" s="711" t="s">
        <v>53</v>
      </c>
      <c r="K382" s="711" t="s">
        <v>487</v>
      </c>
      <c r="L382" s="711" t="s">
        <v>32</v>
      </c>
      <c r="M382" s="711" t="s">
        <v>488</v>
      </c>
      <c r="N382" s="711" t="s">
        <v>20</v>
      </c>
      <c r="O382" s="711" t="s">
        <v>55</v>
      </c>
      <c r="P382" s="715" t="s">
        <v>56</v>
      </c>
      <c r="Q382" s="716"/>
      <c r="R382" s="716"/>
      <c r="S382" s="716"/>
      <c r="T382" s="716"/>
      <c r="U382" s="717"/>
      <c r="V382" s="711" t="s">
        <v>57</v>
      </c>
      <c r="W382" s="711" t="s">
        <v>58</v>
      </c>
      <c r="X382" s="711" t="s">
        <v>31</v>
      </c>
      <c r="Y382" s="711" t="s">
        <v>10</v>
      </c>
      <c r="Z382" s="51"/>
      <c r="AA382" s="51"/>
      <c r="AB382" s="51"/>
    </row>
    <row r="383" spans="1:28" ht="24">
      <c r="A383" s="51"/>
      <c r="B383" s="51"/>
      <c r="C383" s="51"/>
      <c r="D383" s="51" t="s">
        <v>491</v>
      </c>
      <c r="E383" s="51"/>
      <c r="F383" s="51"/>
      <c r="G383" s="714"/>
      <c r="H383" s="712"/>
      <c r="I383" s="712"/>
      <c r="J383" s="712"/>
      <c r="K383" s="712"/>
      <c r="L383" s="712"/>
      <c r="M383" s="712"/>
      <c r="N383" s="712"/>
      <c r="O383" s="712"/>
      <c r="P383" s="610" t="s">
        <v>338</v>
      </c>
      <c r="Q383" s="610" t="s">
        <v>40</v>
      </c>
      <c r="R383" s="610" t="s">
        <v>346</v>
      </c>
      <c r="S383" s="610" t="s">
        <v>347</v>
      </c>
      <c r="T383" s="611" t="s">
        <v>348</v>
      </c>
      <c r="U383" s="610" t="s">
        <v>349</v>
      </c>
      <c r="V383" s="712"/>
      <c r="W383" s="712"/>
      <c r="X383" s="712"/>
      <c r="Y383" s="712"/>
      <c r="Z383" s="51"/>
      <c r="AA383" s="51"/>
      <c r="AB383" s="51"/>
    </row>
    <row r="384" spans="1:28">
      <c r="A384" s="51" t="e">
        <f>A347</f>
        <v>#REF!</v>
      </c>
      <c r="B384" s="51">
        <v>2043</v>
      </c>
      <c r="C384" s="51" t="s">
        <v>47</v>
      </c>
      <c r="D384" s="51" t="s">
        <v>492</v>
      </c>
      <c r="E384" s="51" t="e">
        <f>VLOOKUP($H$6,#REF!,2,FALSE)</f>
        <v>#REF!</v>
      </c>
      <c r="F384" s="51"/>
      <c r="G384" s="612" t="s">
        <v>59</v>
      </c>
      <c r="H384" s="613">
        <v>0</v>
      </c>
      <c r="I384" s="613">
        <v>0</v>
      </c>
      <c r="J384" s="613">
        <v>0</v>
      </c>
      <c r="K384" s="613">
        <v>0</v>
      </c>
      <c r="L384" s="613">
        <v>0</v>
      </c>
      <c r="M384" s="613">
        <v>0</v>
      </c>
      <c r="N384" s="614">
        <v>960.32137090909112</v>
      </c>
      <c r="O384" s="614">
        <v>427.33219668037293</v>
      </c>
      <c r="P384" s="614">
        <v>300.74509832993209</v>
      </c>
      <c r="Q384" s="614">
        <v>24.5360554675092</v>
      </c>
      <c r="R384" s="613">
        <v>1.638642873490971</v>
      </c>
      <c r="S384" s="613">
        <v>0.1692153726460352</v>
      </c>
      <c r="T384" s="614">
        <v>147.47340024456145</v>
      </c>
      <c r="U384" s="614">
        <v>23.099478079825218</v>
      </c>
      <c r="V384" s="613">
        <v>0</v>
      </c>
      <c r="W384" s="613">
        <v>0</v>
      </c>
      <c r="X384" s="613">
        <v>0</v>
      </c>
      <c r="Y384" s="615">
        <v>1885.3154579574289</v>
      </c>
      <c r="Z384" s="51"/>
      <c r="AA384" s="51"/>
      <c r="AB384" s="51"/>
    </row>
    <row r="385" spans="1:28">
      <c r="A385" s="51" t="e">
        <f t="shared" ref="A385:A390" si="54">A384+1</f>
        <v>#REF!</v>
      </c>
      <c r="B385" s="51">
        <f t="shared" ref="B385:C390" si="55">B384</f>
        <v>2043</v>
      </c>
      <c r="C385" s="51" t="str">
        <f t="shared" si="55"/>
        <v>AMS</v>
      </c>
      <c r="D385" s="51" t="s">
        <v>493</v>
      </c>
      <c r="E385" s="51" t="e">
        <f>VLOOKUP($H$6,#REF!,2,FALSE)</f>
        <v>#REF!</v>
      </c>
      <c r="F385" s="51"/>
      <c r="G385" s="612" t="s">
        <v>60</v>
      </c>
      <c r="H385" s="613">
        <v>10.379280707598515</v>
      </c>
      <c r="I385" s="613">
        <v>221.43377158510449</v>
      </c>
      <c r="J385" s="613">
        <v>3.6404081450569747</v>
      </c>
      <c r="K385" s="613">
        <v>0</v>
      </c>
      <c r="L385" s="613">
        <v>71.560916825535557</v>
      </c>
      <c r="M385" s="613">
        <v>0</v>
      </c>
      <c r="N385" s="613">
        <v>0</v>
      </c>
      <c r="O385" s="613">
        <v>0</v>
      </c>
      <c r="P385" s="613">
        <v>4.5400000946661896</v>
      </c>
      <c r="Q385" s="613">
        <v>0</v>
      </c>
      <c r="R385" s="613">
        <v>4.7355769449703358</v>
      </c>
      <c r="S385" s="613">
        <v>0</v>
      </c>
      <c r="T385" s="613">
        <v>0</v>
      </c>
      <c r="U385" s="613">
        <v>0</v>
      </c>
      <c r="V385" s="613">
        <v>0</v>
      </c>
      <c r="W385" s="613">
        <v>0</v>
      </c>
      <c r="X385" s="613">
        <v>0</v>
      </c>
      <c r="Y385" s="615">
        <v>316.28995430293207</v>
      </c>
      <c r="Z385" s="51"/>
      <c r="AA385" s="51"/>
      <c r="AB385" s="51"/>
    </row>
    <row r="386" spans="1:28">
      <c r="A386" s="51" t="e">
        <f t="shared" si="54"/>
        <v>#REF!</v>
      </c>
      <c r="B386" s="51">
        <f t="shared" si="55"/>
        <v>2043</v>
      </c>
      <c r="C386" s="51" t="str">
        <f t="shared" si="55"/>
        <v>AMS</v>
      </c>
      <c r="D386" s="51" t="s">
        <v>494</v>
      </c>
      <c r="E386" s="51" t="e">
        <f>VLOOKUP($H$6,#REF!,2,FALSE)</f>
        <v>#REF!</v>
      </c>
      <c r="F386" s="51"/>
      <c r="G386" s="612" t="s">
        <v>61</v>
      </c>
      <c r="H386" s="613">
        <v>0</v>
      </c>
      <c r="I386" s="613">
        <v>0</v>
      </c>
      <c r="J386" s="613">
        <v>-58.536980841071092</v>
      </c>
      <c r="K386" s="613">
        <v>-1.6667279106947781</v>
      </c>
      <c r="L386" s="613">
        <v>0</v>
      </c>
      <c r="M386" s="613">
        <v>0</v>
      </c>
      <c r="N386" s="613">
        <v>0</v>
      </c>
      <c r="O386" s="613">
        <v>0</v>
      </c>
      <c r="P386" s="613">
        <v>0</v>
      </c>
      <c r="Q386" s="613">
        <v>0</v>
      </c>
      <c r="R386" s="613">
        <v>0</v>
      </c>
      <c r="S386" s="613">
        <v>0</v>
      </c>
      <c r="T386" s="613">
        <v>0</v>
      </c>
      <c r="U386" s="613">
        <v>0</v>
      </c>
      <c r="V386" s="613">
        <v>-92.827968734039246</v>
      </c>
      <c r="W386" s="613">
        <v>0</v>
      </c>
      <c r="X386" s="613">
        <v>0</v>
      </c>
      <c r="Y386" s="615">
        <v>-153.03167748580509</v>
      </c>
      <c r="Z386" s="51"/>
      <c r="AA386" s="51"/>
      <c r="AB386" s="51"/>
    </row>
    <row r="387" spans="1:28">
      <c r="A387" s="51" t="e">
        <f t="shared" si="54"/>
        <v>#REF!</v>
      </c>
      <c r="B387" s="51">
        <f t="shared" si="55"/>
        <v>2043</v>
      </c>
      <c r="C387" s="51" t="str">
        <f t="shared" si="55"/>
        <v>AMS</v>
      </c>
      <c r="D387" s="51" t="s">
        <v>495</v>
      </c>
      <c r="E387" s="51" t="e">
        <f>VLOOKUP($H$6,#REF!,2,FALSE)</f>
        <v>#REF!</v>
      </c>
      <c r="F387" s="51"/>
      <c r="G387" s="612" t="s">
        <v>62</v>
      </c>
      <c r="H387" s="613">
        <v>0</v>
      </c>
      <c r="I387" s="613">
        <v>0</v>
      </c>
      <c r="J387" s="613">
        <v>-6.8572519407668047</v>
      </c>
      <c r="K387" s="613">
        <v>-2.9115063458369059</v>
      </c>
      <c r="L387" s="613">
        <v>-4.556210213526227</v>
      </c>
      <c r="M387" s="613">
        <v>-6.0214231896822394E-2</v>
      </c>
      <c r="N387" s="613">
        <v>0</v>
      </c>
      <c r="O387" s="613">
        <v>0</v>
      </c>
      <c r="P387" s="613">
        <v>0</v>
      </c>
      <c r="Q387" s="613">
        <v>0</v>
      </c>
      <c r="R387" s="613">
        <v>-0.36156496915270087</v>
      </c>
      <c r="S387" s="613">
        <v>-5.4192808707140152</v>
      </c>
      <c r="T387" s="613">
        <v>0</v>
      </c>
      <c r="U387" s="613">
        <v>0</v>
      </c>
      <c r="V387" s="613">
        <v>0</v>
      </c>
      <c r="W387" s="613">
        <v>0</v>
      </c>
      <c r="X387" s="613">
        <v>0</v>
      </c>
      <c r="Y387" s="615">
        <v>-20.166028571893477</v>
      </c>
      <c r="Z387" s="51"/>
      <c r="AA387" s="51"/>
      <c r="AB387" s="51"/>
    </row>
    <row r="388" spans="1:28">
      <c r="A388" s="51" t="e">
        <f t="shared" si="54"/>
        <v>#REF!</v>
      </c>
      <c r="B388" s="51">
        <f t="shared" si="55"/>
        <v>2043</v>
      </c>
      <c r="C388" s="51" t="str">
        <f t="shared" si="55"/>
        <v>AMS</v>
      </c>
      <c r="D388" s="51" t="s">
        <v>496</v>
      </c>
      <c r="E388" s="51" t="e">
        <f>VLOOKUP($H$6,#REF!,2,FALSE)</f>
        <v>#REF!</v>
      </c>
      <c r="F388" s="51"/>
      <c r="G388" s="612" t="s">
        <v>63</v>
      </c>
      <c r="H388" s="613">
        <v>0</v>
      </c>
      <c r="I388" s="613">
        <v>0</v>
      </c>
      <c r="J388" s="613">
        <v>-41.932075648688581</v>
      </c>
      <c r="K388" s="613">
        <v>-12.789597363010756</v>
      </c>
      <c r="L388" s="613">
        <v>0</v>
      </c>
      <c r="M388" s="613">
        <v>0</v>
      </c>
      <c r="N388" s="613">
        <v>0</v>
      </c>
      <c r="O388" s="613">
        <v>0</v>
      </c>
      <c r="P388" s="613">
        <v>0</v>
      </c>
      <c r="Q388" s="613">
        <v>0</v>
      </c>
      <c r="R388" s="613">
        <v>-13.964845940285258</v>
      </c>
      <c r="S388" s="613">
        <v>0</v>
      </c>
      <c r="T388" s="613">
        <v>0</v>
      </c>
      <c r="U388" s="613">
        <v>0</v>
      </c>
      <c r="V388" s="613">
        <v>0</v>
      </c>
      <c r="W388" s="613">
        <v>0</v>
      </c>
      <c r="X388" s="613">
        <v>-1.1030439884832439</v>
      </c>
      <c r="Y388" s="615">
        <v>-69.789562940467846</v>
      </c>
      <c r="Z388" s="51"/>
      <c r="AA388" s="51"/>
      <c r="AB388" s="51"/>
    </row>
    <row r="389" spans="1:28">
      <c r="A389" s="51" t="e">
        <f t="shared" si="54"/>
        <v>#REF!</v>
      </c>
      <c r="B389" s="51">
        <f t="shared" si="55"/>
        <v>2043</v>
      </c>
      <c r="C389" s="51" t="str">
        <f t="shared" si="55"/>
        <v>AMS</v>
      </c>
      <c r="D389" s="51" t="s">
        <v>497</v>
      </c>
      <c r="E389" s="51" t="e">
        <f>VLOOKUP($H$6,#REF!,2,FALSE)</f>
        <v>#REF!</v>
      </c>
      <c r="F389" s="51"/>
      <c r="G389" s="612" t="s">
        <v>64</v>
      </c>
      <c r="H389" s="613">
        <v>0</v>
      </c>
      <c r="I389" s="613">
        <v>0</v>
      </c>
      <c r="J389" s="613">
        <v>0</v>
      </c>
      <c r="K389" s="613">
        <v>0</v>
      </c>
      <c r="L389" s="613">
        <v>0</v>
      </c>
      <c r="M389" s="613">
        <v>0</v>
      </c>
      <c r="N389" s="613">
        <v>0</v>
      </c>
      <c r="O389" s="613">
        <v>0</v>
      </c>
      <c r="P389" s="613">
        <v>0</v>
      </c>
      <c r="Q389" s="613">
        <v>0</v>
      </c>
      <c r="R389" s="613">
        <v>0</v>
      </c>
      <c r="S389" s="613">
        <v>0</v>
      </c>
      <c r="T389" s="613">
        <v>0</v>
      </c>
      <c r="U389" s="613">
        <v>0</v>
      </c>
      <c r="V389" s="613">
        <v>0</v>
      </c>
      <c r="W389" s="613">
        <v>0</v>
      </c>
      <c r="X389" s="613">
        <v>0</v>
      </c>
      <c r="Y389" s="615">
        <v>0</v>
      </c>
      <c r="Z389" s="51"/>
      <c r="AA389" s="51"/>
      <c r="AB389" s="51"/>
    </row>
    <row r="390" spans="1:28">
      <c r="A390" s="51" t="e">
        <f t="shared" si="54"/>
        <v>#REF!</v>
      </c>
      <c r="B390" s="51">
        <f t="shared" si="55"/>
        <v>2043</v>
      </c>
      <c r="C390" s="51" t="str">
        <f t="shared" si="55"/>
        <v>AMS</v>
      </c>
      <c r="D390" s="51" t="s">
        <v>498</v>
      </c>
      <c r="E390" s="51" t="e">
        <f>VLOOKUP($H$6,#REF!,2,FALSE)</f>
        <v>#REF!</v>
      </c>
      <c r="F390" s="51"/>
      <c r="G390" s="616" t="s">
        <v>65</v>
      </c>
      <c r="H390" s="617">
        <v>10.379280707598515</v>
      </c>
      <c r="I390" s="617">
        <v>221.43377158510449</v>
      </c>
      <c r="J390" s="617">
        <v>-103.6859002854695</v>
      </c>
      <c r="K390" s="617">
        <v>-17.367831619542439</v>
      </c>
      <c r="L390" s="624">
        <v>67.004706612009329</v>
      </c>
      <c r="M390" s="617">
        <v>-6.0214231896822394E-2</v>
      </c>
      <c r="N390" s="617">
        <v>960.32137090909112</v>
      </c>
      <c r="O390" s="617">
        <v>427.33219668037293</v>
      </c>
      <c r="P390" s="617">
        <v>305.28509842459829</v>
      </c>
      <c r="Q390" s="617">
        <v>24.5360554675092</v>
      </c>
      <c r="R390" s="617">
        <v>-7.952191090976652</v>
      </c>
      <c r="S390" s="617">
        <v>-5.25006549806798</v>
      </c>
      <c r="T390" s="617">
        <v>147.47340024456145</v>
      </c>
      <c r="U390" s="617">
        <v>23.099478079825218</v>
      </c>
      <c r="V390" s="617">
        <v>-92.827968734039246</v>
      </c>
      <c r="W390" s="617">
        <v>0</v>
      </c>
      <c r="X390" s="617">
        <v>-1.1030439884832439</v>
      </c>
      <c r="Y390" s="617">
        <v>1958.6181432621945</v>
      </c>
      <c r="Z390" s="51"/>
      <c r="AA390" s="51"/>
      <c r="AB390" s="51"/>
    </row>
    <row r="391" spans="1:28">
      <c r="A391" s="51"/>
      <c r="B391" s="51"/>
      <c r="C391" s="51"/>
      <c r="D391" s="51"/>
      <c r="E391" s="51"/>
      <c r="F391" s="51"/>
      <c r="G391" s="618"/>
      <c r="H391" s="619">
        <v>0</v>
      </c>
      <c r="I391" s="619">
        <v>0</v>
      </c>
      <c r="J391" s="619">
        <v>0</v>
      </c>
      <c r="K391" s="619">
        <v>0</v>
      </c>
      <c r="L391" s="625">
        <v>0</v>
      </c>
      <c r="M391" s="619">
        <v>0</v>
      </c>
      <c r="N391" s="619">
        <v>0</v>
      </c>
      <c r="O391" s="619">
        <v>0</v>
      </c>
      <c r="P391" s="619">
        <v>0</v>
      </c>
      <c r="Q391" s="619">
        <v>0</v>
      </c>
      <c r="R391" s="619">
        <v>0</v>
      </c>
      <c r="S391" s="619">
        <v>0</v>
      </c>
      <c r="T391" s="619">
        <v>0</v>
      </c>
      <c r="U391" s="619">
        <v>0</v>
      </c>
      <c r="V391" s="619">
        <v>0</v>
      </c>
      <c r="W391" s="619">
        <v>0</v>
      </c>
      <c r="X391" s="619">
        <v>0</v>
      </c>
      <c r="Y391" s="619">
        <v>0</v>
      </c>
      <c r="Z391" s="51"/>
      <c r="AA391" s="51"/>
      <c r="AB391" s="51"/>
    </row>
    <row r="392" spans="1:28">
      <c r="A392" s="51" t="e">
        <f>A390+2</f>
        <v>#REF!</v>
      </c>
      <c r="B392" s="51">
        <f>B390</f>
        <v>2043</v>
      </c>
      <c r="C392" s="51" t="str">
        <f>C390</f>
        <v>AMS</v>
      </c>
      <c r="D392" s="51" t="s">
        <v>499</v>
      </c>
      <c r="E392" s="51" t="e">
        <f>VLOOKUP($H$6,#REF!,2,FALSE)</f>
        <v>#REF!</v>
      </c>
      <c r="F392" s="51"/>
      <c r="G392" s="620" t="s">
        <v>67</v>
      </c>
      <c r="H392" s="613">
        <v>0</v>
      </c>
      <c r="I392" s="613">
        <v>0</v>
      </c>
      <c r="J392" s="613">
        <v>0</v>
      </c>
      <c r="K392" s="613">
        <v>0</v>
      </c>
      <c r="L392" s="613">
        <v>0</v>
      </c>
      <c r="M392" s="613">
        <v>0</v>
      </c>
      <c r="N392" s="613">
        <v>0</v>
      </c>
      <c r="O392" s="613">
        <v>0</v>
      </c>
      <c r="P392" s="613">
        <v>0</v>
      </c>
      <c r="Q392" s="613">
        <v>0</v>
      </c>
      <c r="R392" s="613">
        <v>0</v>
      </c>
      <c r="S392" s="613">
        <v>0</v>
      </c>
      <c r="T392" s="613">
        <v>0</v>
      </c>
      <c r="U392" s="613">
        <v>0</v>
      </c>
      <c r="V392" s="613">
        <v>0</v>
      </c>
      <c r="W392" s="613">
        <v>0</v>
      </c>
      <c r="X392" s="613">
        <v>0</v>
      </c>
      <c r="Y392" s="621">
        <v>0</v>
      </c>
      <c r="Z392" s="51"/>
      <c r="AA392" s="51"/>
      <c r="AB392" s="51"/>
    </row>
    <row r="393" spans="1:28">
      <c r="A393" s="51" t="e">
        <f t="shared" ref="A393:A404" si="56">A392+1</f>
        <v>#REF!</v>
      </c>
      <c r="B393" s="51">
        <f t="shared" ref="B393:C404" si="57">B392</f>
        <v>2043</v>
      </c>
      <c r="C393" s="51" t="str">
        <f t="shared" si="57"/>
        <v>AMS</v>
      </c>
      <c r="D393" s="51" t="s">
        <v>500</v>
      </c>
      <c r="E393" s="51" t="e">
        <f>VLOOKUP($H$6,#REF!,2,FALSE)</f>
        <v>#REF!</v>
      </c>
      <c r="F393" s="51"/>
      <c r="G393" s="620" t="s">
        <v>350</v>
      </c>
      <c r="H393" s="613">
        <v>0</v>
      </c>
      <c r="I393" s="613">
        <v>0</v>
      </c>
      <c r="J393" s="613">
        <v>2.6460781360013397E-2</v>
      </c>
      <c r="K393" s="613">
        <v>0</v>
      </c>
      <c r="L393" s="613">
        <v>2.3522683451330462</v>
      </c>
      <c r="M393" s="613">
        <v>0</v>
      </c>
      <c r="N393" s="613">
        <v>960.32137090909112</v>
      </c>
      <c r="O393" s="613">
        <v>427.33219668037293</v>
      </c>
      <c r="P393" s="613">
        <v>16.57632422695232</v>
      </c>
      <c r="Q393" s="613">
        <v>7.7978054817441489</v>
      </c>
      <c r="R393" s="613">
        <v>6.0578717375904887</v>
      </c>
      <c r="S393" s="613">
        <v>0.70214282892924051</v>
      </c>
      <c r="T393" s="613">
        <v>0</v>
      </c>
      <c r="U393" s="613">
        <v>6.4590957564387725</v>
      </c>
      <c r="V393" s="613">
        <v>-765.12922843091701</v>
      </c>
      <c r="W393" s="613">
        <v>0</v>
      </c>
      <c r="X393" s="613">
        <v>8.6556140354400011</v>
      </c>
      <c r="Y393" s="621">
        <v>671.15192235213522</v>
      </c>
      <c r="Z393" s="51"/>
      <c r="AA393" s="51"/>
      <c r="AB393" s="51"/>
    </row>
    <row r="394" spans="1:28">
      <c r="A394" s="51" t="e">
        <f t="shared" si="56"/>
        <v>#REF!</v>
      </c>
      <c r="B394" s="51">
        <f t="shared" si="57"/>
        <v>2043</v>
      </c>
      <c r="C394" s="51" t="str">
        <f t="shared" si="57"/>
        <v>AMS</v>
      </c>
      <c r="D394" s="51" t="s">
        <v>501</v>
      </c>
      <c r="E394" s="51" t="e">
        <f>VLOOKUP($H$6,#REF!,2,FALSE)</f>
        <v>#REF!</v>
      </c>
      <c r="F394" s="51"/>
      <c r="G394" s="620" t="s">
        <v>351</v>
      </c>
      <c r="H394" s="613">
        <v>0</v>
      </c>
      <c r="I394" s="613">
        <v>0</v>
      </c>
      <c r="J394" s="613">
        <v>0</v>
      </c>
      <c r="K394" s="613">
        <v>0</v>
      </c>
      <c r="L394" s="613">
        <v>4.7815870319860325</v>
      </c>
      <c r="M394" s="613">
        <v>0</v>
      </c>
      <c r="N394" s="613">
        <v>0</v>
      </c>
      <c r="O394" s="613">
        <v>0</v>
      </c>
      <c r="P394" s="613">
        <v>35.214664152844563</v>
      </c>
      <c r="Q394" s="613">
        <v>14.445160723039894</v>
      </c>
      <c r="R394" s="613">
        <v>0</v>
      </c>
      <c r="S394" s="613">
        <v>7.1872449307268287</v>
      </c>
      <c r="T394" s="613">
        <v>0</v>
      </c>
      <c r="U394" s="613">
        <v>11.182341089352812</v>
      </c>
      <c r="V394" s="613">
        <v>0</v>
      </c>
      <c r="W394" s="613">
        <v>-68.236033723831326</v>
      </c>
      <c r="X394" s="613">
        <v>0</v>
      </c>
      <c r="Y394" s="621">
        <v>4.574964204118805</v>
      </c>
      <c r="Z394" s="51"/>
      <c r="AA394" s="51"/>
      <c r="AB394" s="51"/>
    </row>
    <row r="395" spans="1:28">
      <c r="A395" s="51" t="e">
        <f t="shared" si="56"/>
        <v>#REF!</v>
      </c>
      <c r="B395" s="51">
        <f t="shared" si="57"/>
        <v>2043</v>
      </c>
      <c r="C395" s="51" t="str">
        <f t="shared" si="57"/>
        <v>AMS</v>
      </c>
      <c r="D395" s="51" t="s">
        <v>502</v>
      </c>
      <c r="E395" s="51" t="e">
        <f>VLOOKUP($H$6,#REF!,2,FALSE)</f>
        <v>#REF!</v>
      </c>
      <c r="F395" s="51"/>
      <c r="G395" s="620" t="s">
        <v>352</v>
      </c>
      <c r="H395" s="613">
        <v>0</v>
      </c>
      <c r="I395" s="613">
        <v>0</v>
      </c>
      <c r="J395" s="613">
        <v>0</v>
      </c>
      <c r="K395" s="613">
        <v>0</v>
      </c>
      <c r="L395" s="613">
        <v>0</v>
      </c>
      <c r="M395" s="613">
        <v>0</v>
      </c>
      <c r="N395" s="613">
        <v>0</v>
      </c>
      <c r="O395" s="613">
        <v>0</v>
      </c>
      <c r="P395" s="613">
        <v>86.712726116580654</v>
      </c>
      <c r="Q395" s="613">
        <v>0</v>
      </c>
      <c r="R395" s="613">
        <v>0</v>
      </c>
      <c r="S395" s="613">
        <v>-81.058206766911681</v>
      </c>
      <c r="T395" s="613">
        <v>0</v>
      </c>
      <c r="U395" s="613">
        <v>0</v>
      </c>
      <c r="V395" s="613">
        <v>0</v>
      </c>
      <c r="W395" s="613">
        <v>0</v>
      </c>
      <c r="X395" s="613">
        <v>0</v>
      </c>
      <c r="Y395" s="621">
        <v>5.6545193496689734</v>
      </c>
      <c r="Z395" s="51"/>
      <c r="AA395" s="51"/>
      <c r="AB395" s="51"/>
    </row>
    <row r="396" spans="1:28">
      <c r="A396" s="51" t="e">
        <f t="shared" si="56"/>
        <v>#REF!</v>
      </c>
      <c r="B396" s="51">
        <f t="shared" si="57"/>
        <v>2043</v>
      </c>
      <c r="C396" s="51" t="str">
        <f t="shared" si="57"/>
        <v>AMS</v>
      </c>
      <c r="D396" s="51" t="s">
        <v>503</v>
      </c>
      <c r="E396" s="51" t="e">
        <f>VLOOKUP($H$6,#REF!,2,FALSE)</f>
        <v>#REF!</v>
      </c>
      <c r="F396" s="51"/>
      <c r="G396" s="620" t="s">
        <v>353</v>
      </c>
      <c r="H396" s="613">
        <v>0</v>
      </c>
      <c r="I396" s="613">
        <v>0</v>
      </c>
      <c r="J396" s="613">
        <v>0</v>
      </c>
      <c r="K396" s="613">
        <v>0</v>
      </c>
      <c r="L396" s="613">
        <v>0</v>
      </c>
      <c r="M396" s="613">
        <v>-0.77768027176235188</v>
      </c>
      <c r="N396" s="613">
        <v>0</v>
      </c>
      <c r="O396" s="613">
        <v>0</v>
      </c>
      <c r="P396" s="613">
        <v>0</v>
      </c>
      <c r="Q396" s="613">
        <v>0</v>
      </c>
      <c r="R396" s="613">
        <v>0</v>
      </c>
      <c r="S396" s="613">
        <v>0</v>
      </c>
      <c r="T396" s="613">
        <v>0</v>
      </c>
      <c r="U396" s="613">
        <v>0</v>
      </c>
      <c r="V396" s="613">
        <v>0</v>
      </c>
      <c r="W396" s="613">
        <v>0</v>
      </c>
      <c r="X396" s="613">
        <v>1.0822986785331616</v>
      </c>
      <c r="Y396" s="621">
        <v>0.30461840677080976</v>
      </c>
      <c r="Z396" s="51"/>
      <c r="AA396" s="51"/>
      <c r="AB396" s="51"/>
    </row>
    <row r="397" spans="1:28">
      <c r="A397" s="51" t="e">
        <f t="shared" si="56"/>
        <v>#REF!</v>
      </c>
      <c r="B397" s="51">
        <f t="shared" si="57"/>
        <v>2043</v>
      </c>
      <c r="C397" s="51" t="str">
        <f t="shared" si="57"/>
        <v>AMS</v>
      </c>
      <c r="D397" s="51" t="s">
        <v>504</v>
      </c>
      <c r="E397" s="51" t="e">
        <f>VLOOKUP($H$6,#REF!,2,FALSE)</f>
        <v>#REF!</v>
      </c>
      <c r="F397" s="51"/>
      <c r="G397" s="620" t="s">
        <v>72</v>
      </c>
      <c r="H397" s="613">
        <v>0</v>
      </c>
      <c r="I397" s="613">
        <v>229.44376619610998</v>
      </c>
      <c r="J397" s="613">
        <v>-227.15530245315296</v>
      </c>
      <c r="K397" s="613">
        <v>0</v>
      </c>
      <c r="L397" s="613">
        <v>0</v>
      </c>
      <c r="M397" s="613">
        <v>0</v>
      </c>
      <c r="N397" s="613">
        <v>0</v>
      </c>
      <c r="O397" s="613">
        <v>0</v>
      </c>
      <c r="P397" s="613">
        <v>0</v>
      </c>
      <c r="Q397" s="613">
        <v>0</v>
      </c>
      <c r="R397" s="613">
        <v>0</v>
      </c>
      <c r="S397" s="613">
        <v>0</v>
      </c>
      <c r="T397" s="613">
        <v>0</v>
      </c>
      <c r="U397" s="613">
        <v>0</v>
      </c>
      <c r="V397" s="613">
        <v>0</v>
      </c>
      <c r="W397" s="613">
        <v>0</v>
      </c>
      <c r="X397" s="613">
        <v>0</v>
      </c>
      <c r="Y397" s="621">
        <v>2.2884637429570258</v>
      </c>
      <c r="Z397" s="51"/>
      <c r="AA397" s="51"/>
      <c r="AB397" s="51"/>
    </row>
    <row r="398" spans="1:28">
      <c r="A398" s="51" t="e">
        <f t="shared" si="56"/>
        <v>#REF!</v>
      </c>
      <c r="B398" s="51">
        <f t="shared" si="57"/>
        <v>2043</v>
      </c>
      <c r="C398" s="51" t="str">
        <f t="shared" si="57"/>
        <v>AMS</v>
      </c>
      <c r="D398" s="51" t="s">
        <v>505</v>
      </c>
      <c r="E398" s="51" t="e">
        <f>VLOOKUP($H$6,#REF!,2,FALSE)</f>
        <v>#REF!</v>
      </c>
      <c r="F398" s="51"/>
      <c r="G398" s="620" t="s">
        <v>354</v>
      </c>
      <c r="H398" s="613">
        <v>0</v>
      </c>
      <c r="I398" s="613">
        <v>0</v>
      </c>
      <c r="J398" s="613">
        <v>0</v>
      </c>
      <c r="K398" s="613">
        <v>0</v>
      </c>
      <c r="L398" s="613">
        <v>0</v>
      </c>
      <c r="M398" s="613">
        <v>0</v>
      </c>
      <c r="N398" s="613">
        <v>0</v>
      </c>
      <c r="O398" s="613">
        <v>0</v>
      </c>
      <c r="P398" s="613">
        <v>110.37341937246062</v>
      </c>
      <c r="Q398" s="613">
        <v>0</v>
      </c>
      <c r="R398" s="613">
        <v>-110.37341937246062</v>
      </c>
      <c r="S398" s="613">
        <v>0</v>
      </c>
      <c r="T398" s="613">
        <v>0</v>
      </c>
      <c r="U398" s="613">
        <v>0</v>
      </c>
      <c r="V398" s="613">
        <v>0</v>
      </c>
      <c r="W398" s="613">
        <v>0</v>
      </c>
      <c r="X398" s="613">
        <v>0</v>
      </c>
      <c r="Y398" s="621">
        <v>0</v>
      </c>
      <c r="Z398" s="51"/>
      <c r="AA398" s="51"/>
      <c r="AB398" s="51"/>
    </row>
    <row r="399" spans="1:28">
      <c r="A399" s="51" t="e">
        <f t="shared" si="56"/>
        <v>#REF!</v>
      </c>
      <c r="B399" s="51">
        <f t="shared" si="57"/>
        <v>2043</v>
      </c>
      <c r="C399" s="51" t="str">
        <f t="shared" si="57"/>
        <v>AMS</v>
      </c>
      <c r="D399" s="51" t="s">
        <v>506</v>
      </c>
      <c r="E399" s="51" t="e">
        <f>VLOOKUP($H$6,#REF!,2,FALSE)</f>
        <v>#REF!</v>
      </c>
      <c r="F399" s="51"/>
      <c r="G399" s="620" t="s">
        <v>355</v>
      </c>
      <c r="H399" s="613">
        <v>0</v>
      </c>
      <c r="I399" s="613">
        <v>0</v>
      </c>
      <c r="J399" s="613">
        <v>0</v>
      </c>
      <c r="K399" s="613">
        <v>-25.838308158403624</v>
      </c>
      <c r="L399" s="613">
        <v>0</v>
      </c>
      <c r="M399" s="613">
        <v>0</v>
      </c>
      <c r="N399" s="613">
        <v>0</v>
      </c>
      <c r="O399" s="613">
        <v>0</v>
      </c>
      <c r="P399" s="613">
        <v>0</v>
      </c>
      <c r="Q399" s="613">
        <v>0</v>
      </c>
      <c r="R399" s="613">
        <v>0</v>
      </c>
      <c r="S399" s="613">
        <v>0</v>
      </c>
      <c r="T399" s="613">
        <v>0</v>
      </c>
      <c r="U399" s="613">
        <v>0</v>
      </c>
      <c r="V399" s="613">
        <v>0</v>
      </c>
      <c r="W399" s="613">
        <v>0</v>
      </c>
      <c r="X399" s="613">
        <v>35.986501613375523</v>
      </c>
      <c r="Y399" s="621">
        <v>10.148193454971899</v>
      </c>
      <c r="Z399" s="51"/>
      <c r="AA399" s="51"/>
      <c r="AB399" s="51"/>
    </row>
    <row r="400" spans="1:28">
      <c r="A400" s="51" t="e">
        <f t="shared" si="56"/>
        <v>#REF!</v>
      </c>
      <c r="B400" s="51">
        <f t="shared" si="57"/>
        <v>2043</v>
      </c>
      <c r="C400" s="51" t="str">
        <f t="shared" si="57"/>
        <v>AMS</v>
      </c>
      <c r="D400" s="51" t="s">
        <v>507</v>
      </c>
      <c r="E400" s="51" t="e">
        <f>VLOOKUP($H$6,#REF!,2,FALSE)</f>
        <v>#REF!</v>
      </c>
      <c r="F400" s="51"/>
      <c r="G400" s="620" t="s">
        <v>73</v>
      </c>
      <c r="H400" s="613">
        <v>0</v>
      </c>
      <c r="I400" s="613">
        <v>0</v>
      </c>
      <c r="J400" s="613">
        <v>0</v>
      </c>
      <c r="K400" s="613">
        <v>0</v>
      </c>
      <c r="L400" s="613">
        <v>0</v>
      </c>
      <c r="M400" s="613">
        <v>0</v>
      </c>
      <c r="N400" s="613">
        <v>0</v>
      </c>
      <c r="O400" s="613">
        <v>0</v>
      </c>
      <c r="P400" s="613">
        <v>0</v>
      </c>
      <c r="Q400" s="613">
        <v>0</v>
      </c>
      <c r="R400" s="613">
        <v>0</v>
      </c>
      <c r="S400" s="613">
        <v>0</v>
      </c>
      <c r="T400" s="613">
        <v>0</v>
      </c>
      <c r="U400" s="613">
        <v>0</v>
      </c>
      <c r="V400" s="613">
        <v>123.55298997907649</v>
      </c>
      <c r="W400" s="613">
        <v>0</v>
      </c>
      <c r="X400" s="613">
        <v>-85.931104530447698</v>
      </c>
      <c r="Y400" s="621">
        <v>37.621885448628788</v>
      </c>
      <c r="Z400" s="51"/>
      <c r="AA400" s="51"/>
      <c r="AB400" s="51"/>
    </row>
    <row r="401" spans="1:28">
      <c r="A401" s="51" t="e">
        <f t="shared" si="56"/>
        <v>#REF!</v>
      </c>
      <c r="B401" s="51">
        <f t="shared" si="57"/>
        <v>2043</v>
      </c>
      <c r="C401" s="51" t="str">
        <f t="shared" si="57"/>
        <v>AMS</v>
      </c>
      <c r="D401" s="51" t="s">
        <v>508</v>
      </c>
      <c r="E401" s="51" t="e">
        <f>VLOOKUP($H$6,#REF!,2,FALSE)</f>
        <v>#REF!</v>
      </c>
      <c r="F401" s="51"/>
      <c r="G401" s="620" t="s">
        <v>356</v>
      </c>
      <c r="H401" s="613">
        <v>5.7430949414062491</v>
      </c>
      <c r="I401" s="613">
        <v>-8.0099946110054798</v>
      </c>
      <c r="J401" s="613">
        <v>10.446968779828495</v>
      </c>
      <c r="K401" s="613">
        <v>0</v>
      </c>
      <c r="L401" s="613">
        <v>0</v>
      </c>
      <c r="M401" s="613">
        <v>0</v>
      </c>
      <c r="N401" s="613">
        <v>0</v>
      </c>
      <c r="O401" s="613">
        <v>0</v>
      </c>
      <c r="P401" s="613">
        <v>0</v>
      </c>
      <c r="Q401" s="613">
        <v>0</v>
      </c>
      <c r="R401" s="613">
        <v>0</v>
      </c>
      <c r="S401" s="613">
        <v>0</v>
      </c>
      <c r="T401" s="613">
        <v>0</v>
      </c>
      <c r="U401" s="613">
        <v>0</v>
      </c>
      <c r="V401" s="613">
        <v>0</v>
      </c>
      <c r="W401" s="613">
        <v>0</v>
      </c>
      <c r="X401" s="613">
        <v>0</v>
      </c>
      <c r="Y401" s="621">
        <v>8.1800691102292635</v>
      </c>
      <c r="Z401" s="51"/>
      <c r="AA401" s="51"/>
      <c r="AB401" s="51"/>
    </row>
    <row r="402" spans="1:28">
      <c r="A402" s="51" t="e">
        <f t="shared" si="56"/>
        <v>#REF!</v>
      </c>
      <c r="B402" s="51">
        <f t="shared" si="57"/>
        <v>2043</v>
      </c>
      <c r="C402" s="51" t="str">
        <f t="shared" si="57"/>
        <v>AMS</v>
      </c>
      <c r="D402" s="51" t="s">
        <v>509</v>
      </c>
      <c r="E402" s="51" t="e">
        <f>VLOOKUP($H$6,#REF!,2,FALSE)</f>
        <v>#REF!</v>
      </c>
      <c r="F402" s="51"/>
      <c r="G402" s="620" t="s">
        <v>75</v>
      </c>
      <c r="H402" s="613">
        <v>2.2334258105468749</v>
      </c>
      <c r="I402" s="613">
        <v>0</v>
      </c>
      <c r="J402" s="613">
        <v>17.43246590348684</v>
      </c>
      <c r="K402" s="613">
        <v>0</v>
      </c>
      <c r="L402" s="613">
        <v>2.2924587532620087</v>
      </c>
      <c r="M402" s="613">
        <v>3.0296811717119062E-2</v>
      </c>
      <c r="N402" s="613">
        <v>0</v>
      </c>
      <c r="O402" s="613">
        <v>0</v>
      </c>
      <c r="P402" s="613">
        <v>0</v>
      </c>
      <c r="Q402" s="613">
        <v>0</v>
      </c>
      <c r="R402" s="613">
        <v>0</v>
      </c>
      <c r="S402" s="613">
        <v>2.7267130545407157</v>
      </c>
      <c r="T402" s="613">
        <v>0</v>
      </c>
      <c r="U402" s="613">
        <v>0</v>
      </c>
      <c r="V402" s="613">
        <v>23.595360637967065</v>
      </c>
      <c r="W402" s="613">
        <v>0</v>
      </c>
      <c r="X402" s="613">
        <v>0</v>
      </c>
      <c r="Y402" s="621">
        <v>48.310720971520617</v>
      </c>
      <c r="Z402" s="51"/>
      <c r="AA402" s="51"/>
      <c r="AB402" s="51"/>
    </row>
    <row r="403" spans="1:28">
      <c r="A403" s="51" t="e">
        <f t="shared" si="56"/>
        <v>#REF!</v>
      </c>
      <c r="B403" s="51">
        <f t="shared" si="57"/>
        <v>2043</v>
      </c>
      <c r="C403" s="51" t="str">
        <f t="shared" si="57"/>
        <v>AMS</v>
      </c>
      <c r="D403" s="51" t="s">
        <v>510</v>
      </c>
      <c r="E403" s="51" t="e">
        <f>VLOOKUP($H$6,#REF!,2,FALSE)</f>
        <v>#REF!</v>
      </c>
      <c r="F403" s="51"/>
      <c r="G403" s="620" t="s">
        <v>76</v>
      </c>
      <c r="H403" s="613">
        <v>0</v>
      </c>
      <c r="I403" s="613">
        <v>0</v>
      </c>
      <c r="J403" s="613">
        <v>0</v>
      </c>
      <c r="K403" s="613">
        <v>0</v>
      </c>
      <c r="L403" s="613">
        <v>0.77794253909705646</v>
      </c>
      <c r="M403" s="613">
        <v>1.0281178930798104E-2</v>
      </c>
      <c r="N403" s="613">
        <v>0</v>
      </c>
      <c r="O403" s="613">
        <v>0</v>
      </c>
      <c r="P403" s="613">
        <v>0</v>
      </c>
      <c r="Q403" s="613">
        <v>0</v>
      </c>
      <c r="R403" s="613">
        <v>0</v>
      </c>
      <c r="S403" s="613">
        <v>0.92530610377182942</v>
      </c>
      <c r="T403" s="613">
        <v>0</v>
      </c>
      <c r="U403" s="613">
        <v>0</v>
      </c>
      <c r="V403" s="613">
        <v>51.450407896446343</v>
      </c>
      <c r="W403" s="613">
        <v>5.2924074535934169</v>
      </c>
      <c r="X403" s="613">
        <v>0</v>
      </c>
      <c r="Y403" s="621">
        <v>58.456345171839445</v>
      </c>
      <c r="Z403" s="51"/>
      <c r="AA403" s="51"/>
      <c r="AB403" s="51"/>
    </row>
    <row r="404" spans="1:28">
      <c r="A404" s="51" t="e">
        <f t="shared" si="56"/>
        <v>#REF!</v>
      </c>
      <c r="B404" s="51">
        <f t="shared" si="57"/>
        <v>2043</v>
      </c>
      <c r="C404" s="51" t="str">
        <f t="shared" si="57"/>
        <v>AMS</v>
      </c>
      <c r="D404" s="51" t="s">
        <v>511</v>
      </c>
      <c r="E404" s="51" t="e">
        <f>VLOOKUP($H$6,#REF!,2,FALSE)</f>
        <v>#REF!</v>
      </c>
      <c r="F404" s="51"/>
      <c r="G404" s="616" t="s">
        <v>77</v>
      </c>
      <c r="H404" s="617">
        <v>7.9765207519531245</v>
      </c>
      <c r="I404" s="617">
        <v>221.43377158510449</v>
      </c>
      <c r="J404" s="617">
        <v>-199.24940698847763</v>
      </c>
      <c r="K404" s="617">
        <v>-25.838308158403624</v>
      </c>
      <c r="L404" s="624">
        <v>10.204256669478143</v>
      </c>
      <c r="M404" s="617">
        <v>-0.73710228111443477</v>
      </c>
      <c r="N404" s="617">
        <v>960.32137090909112</v>
      </c>
      <c r="O404" s="617">
        <v>427.33219668037293</v>
      </c>
      <c r="P404" s="617">
        <v>248.87713386883817</v>
      </c>
      <c r="Q404" s="617">
        <v>22.242966204784043</v>
      </c>
      <c r="R404" s="617">
        <v>-104.31554763487013</v>
      </c>
      <c r="S404" s="617">
        <v>-69.51679984894308</v>
      </c>
      <c r="T404" s="617">
        <v>0</v>
      </c>
      <c r="U404" s="617">
        <v>17.641436845791585</v>
      </c>
      <c r="V404" s="617">
        <v>-566.53046991742701</v>
      </c>
      <c r="W404" s="617">
        <v>-62.943626270237907</v>
      </c>
      <c r="X404" s="617">
        <v>-40.206690203099015</v>
      </c>
      <c r="Y404" s="617">
        <v>846.69170221284094</v>
      </c>
      <c r="Z404" s="51"/>
      <c r="AA404" s="51"/>
      <c r="AB404" s="51"/>
    </row>
    <row r="405" spans="1:28">
      <c r="A405" s="51"/>
      <c r="B405" s="51"/>
      <c r="C405" s="51"/>
      <c r="D405" s="51"/>
      <c r="E405" s="51"/>
      <c r="F405" s="51"/>
      <c r="G405" s="618"/>
      <c r="H405" s="619">
        <v>0</v>
      </c>
      <c r="I405" s="619">
        <v>0</v>
      </c>
      <c r="J405" s="619">
        <v>0</v>
      </c>
      <c r="K405" s="619">
        <v>0</v>
      </c>
      <c r="L405" s="625">
        <v>0</v>
      </c>
      <c r="M405" s="619">
        <v>0</v>
      </c>
      <c r="N405" s="619">
        <v>0</v>
      </c>
      <c r="O405" s="619">
        <v>0</v>
      </c>
      <c r="P405" s="619">
        <v>0</v>
      </c>
      <c r="Q405" s="619">
        <v>0</v>
      </c>
      <c r="R405" s="619">
        <v>0</v>
      </c>
      <c r="S405" s="619">
        <v>0</v>
      </c>
      <c r="T405" s="619">
        <v>0</v>
      </c>
      <c r="U405" s="619">
        <v>0</v>
      </c>
      <c r="V405" s="619">
        <v>0</v>
      </c>
      <c r="W405" s="619">
        <v>0</v>
      </c>
      <c r="X405" s="619">
        <v>0</v>
      </c>
      <c r="Y405" s="619">
        <v>0</v>
      </c>
      <c r="Z405" s="51"/>
      <c r="AA405" s="51"/>
      <c r="AB405" s="51"/>
    </row>
    <row r="406" spans="1:28">
      <c r="A406" s="51" t="e">
        <f>A404+2</f>
        <v>#REF!</v>
      </c>
      <c r="B406" s="51">
        <f>B404</f>
        <v>2043</v>
      </c>
      <c r="C406" s="51" t="str">
        <f>C384</f>
        <v>AMS</v>
      </c>
      <c r="D406" s="51" t="s">
        <v>512</v>
      </c>
      <c r="E406" s="51" t="e">
        <f>VLOOKUP($H$6,#REF!,2,FALSE)</f>
        <v>#REF!</v>
      </c>
      <c r="F406" s="51"/>
      <c r="G406" s="620" t="s">
        <v>78</v>
      </c>
      <c r="H406" s="613">
        <v>2.4027599556453909</v>
      </c>
      <c r="I406" s="613">
        <v>0</v>
      </c>
      <c r="J406" s="613">
        <v>3.114463113040443</v>
      </c>
      <c r="K406" s="613">
        <v>0</v>
      </c>
      <c r="L406" s="613">
        <v>22.626318476237717</v>
      </c>
      <c r="M406" s="613">
        <v>0.29902623536878048</v>
      </c>
      <c r="N406" s="613">
        <v>0</v>
      </c>
      <c r="O406" s="613">
        <v>0</v>
      </c>
      <c r="P406" s="613">
        <v>19.572699923725285</v>
      </c>
      <c r="Q406" s="613">
        <v>2.2927206810178133</v>
      </c>
      <c r="R406" s="613">
        <v>2.5907279394531253</v>
      </c>
      <c r="S406" s="613">
        <v>26.952636430442517</v>
      </c>
      <c r="T406" s="613">
        <v>8.8445146484374995</v>
      </c>
      <c r="U406" s="613">
        <v>8.2107689234467234E-4</v>
      </c>
      <c r="V406" s="613">
        <v>134.99858174444151</v>
      </c>
      <c r="W406" s="613">
        <v>18.388872155735818</v>
      </c>
      <c r="X406" s="613">
        <v>5.7096738281250001</v>
      </c>
      <c r="Y406" s="621">
        <v>247.79381620856324</v>
      </c>
      <c r="Z406" s="51"/>
      <c r="AA406" s="622" t="e" cm="1">
        <f t="array" aca="1" ref="AA406" ca="1">_xlfn.IFNA(INDEX(#REF!,MATCH(INDIRECT("Codes_bilans!"&amp;AA$1&amp;"$"&amp;$A406),#REF!,0),MATCH($B406,#REF!,0)),0)</f>
        <v>#REF!</v>
      </c>
      <c r="AB406" s="51"/>
    </row>
    <row r="407" spans="1:28">
      <c r="A407" s="51" t="e">
        <f t="shared" ref="A407:A414" si="58">A406+1</f>
        <v>#REF!</v>
      </c>
      <c r="B407" s="51">
        <f t="shared" ref="B407:C414" si="59">B406</f>
        <v>2043</v>
      </c>
      <c r="C407" s="51" t="str">
        <f t="shared" si="59"/>
        <v>AMS</v>
      </c>
      <c r="D407" s="51" t="s">
        <v>513</v>
      </c>
      <c r="E407" s="51" t="e">
        <f>VLOOKUP($H$6,#REF!,2,FALSE)</f>
        <v>#REF!</v>
      </c>
      <c r="F407" s="51"/>
      <c r="G407" s="620" t="s">
        <v>79</v>
      </c>
      <c r="H407" s="613">
        <v>0</v>
      </c>
      <c r="I407" s="613">
        <v>0</v>
      </c>
      <c r="J407" s="613">
        <v>28.084568019979141</v>
      </c>
      <c r="K407" s="613">
        <v>1.421472124111238</v>
      </c>
      <c r="L407" s="613">
        <v>2.5860362638913656</v>
      </c>
      <c r="M407" s="613">
        <v>3.4176690712220695E-2</v>
      </c>
      <c r="N407" s="613">
        <v>0</v>
      </c>
      <c r="O407" s="613">
        <v>0</v>
      </c>
      <c r="P407" s="613">
        <v>0</v>
      </c>
      <c r="Q407" s="613">
        <v>0</v>
      </c>
      <c r="R407" s="613">
        <v>58.95620249302754</v>
      </c>
      <c r="S407" s="613">
        <v>3.0759021640998623</v>
      </c>
      <c r="T407" s="613">
        <v>0</v>
      </c>
      <c r="U407" s="613">
        <v>0</v>
      </c>
      <c r="V407" s="613">
        <v>96.758599927458889</v>
      </c>
      <c r="W407" s="613">
        <v>0</v>
      </c>
      <c r="X407" s="613">
        <v>4.2910115463144054</v>
      </c>
      <c r="Y407" s="621">
        <v>195.20796922959462</v>
      </c>
      <c r="Z407" s="51"/>
      <c r="AA407" s="622" t="e" cm="1">
        <f t="array" aca="1" ref="AA407" ca="1">_xlfn.IFNA(INDEX(#REF!,MATCH(INDIRECT("Codes_bilans!"&amp;AA$1&amp;"$"&amp;$A407),#REF!,0),MATCH($B407,#REF!,0)),0)</f>
        <v>#REF!</v>
      </c>
      <c r="AB407" s="51"/>
    </row>
    <row r="408" spans="1:28">
      <c r="A408" s="51" t="e">
        <f t="shared" si="58"/>
        <v>#REF!</v>
      </c>
      <c r="B408" s="51">
        <f t="shared" si="59"/>
        <v>2043</v>
      </c>
      <c r="C408" s="51" t="str">
        <f t="shared" si="59"/>
        <v>AMS</v>
      </c>
      <c r="D408" s="51" t="s">
        <v>514</v>
      </c>
      <c r="E408" s="51" t="e">
        <f>VLOOKUP($H$6,#REF!,2,FALSE)</f>
        <v>#REF!</v>
      </c>
      <c r="F408" s="51"/>
      <c r="G408" s="620" t="s">
        <v>80</v>
      </c>
      <c r="H408" s="613">
        <v>0</v>
      </c>
      <c r="I408" s="613">
        <v>0</v>
      </c>
      <c r="J408" s="613">
        <v>1.9362419459346965</v>
      </c>
      <c r="K408" s="613">
        <v>0</v>
      </c>
      <c r="L408" s="613">
        <v>16.315204996757775</v>
      </c>
      <c r="M408" s="613">
        <v>0.21561944929635826</v>
      </c>
      <c r="N408" s="613">
        <v>0</v>
      </c>
      <c r="O408" s="613">
        <v>0</v>
      </c>
      <c r="P408" s="613">
        <v>32.232635043857968</v>
      </c>
      <c r="Q408" s="613">
        <v>0</v>
      </c>
      <c r="R408" s="613">
        <v>0</v>
      </c>
      <c r="S408" s="613">
        <v>19.405750436672243</v>
      </c>
      <c r="T408" s="613">
        <v>110.86834865357281</v>
      </c>
      <c r="U408" s="613">
        <v>2.8847164087553931</v>
      </c>
      <c r="V408" s="613">
        <v>143.227613977858</v>
      </c>
      <c r="W408" s="613">
        <v>25.545428952203935</v>
      </c>
      <c r="X408" s="613">
        <v>0</v>
      </c>
      <c r="Y408" s="621">
        <v>352.63155986490921</v>
      </c>
      <c r="Z408" s="51"/>
      <c r="AA408" s="622" t="e" cm="1">
        <f t="array" aca="1" ref="AA408" ca="1">_xlfn.IFNA(INDEX(#REF!,MATCH(INDIRECT("Codes_bilans!"&amp;AA$1&amp;"$"&amp;$A408),#REF!,0),MATCH($B408,#REF!,0)),0)</f>
        <v>#REF!</v>
      </c>
      <c r="AB408" s="51"/>
    </row>
    <row r="409" spans="1:28">
      <c r="A409" s="51" t="e">
        <f t="shared" si="58"/>
        <v>#REF!</v>
      </c>
      <c r="B409" s="51">
        <f t="shared" si="59"/>
        <v>2043</v>
      </c>
      <c r="C409" s="51" t="str">
        <f t="shared" si="59"/>
        <v>AMS</v>
      </c>
      <c r="D409" s="51" t="s">
        <v>515</v>
      </c>
      <c r="E409" s="51" t="e">
        <f>VLOOKUP($H$6,#REF!,2,FALSE)</f>
        <v>#REF!</v>
      </c>
      <c r="F409" s="51"/>
      <c r="G409" s="620" t="s">
        <v>81</v>
      </c>
      <c r="H409" s="613">
        <v>0</v>
      </c>
      <c r="I409" s="613">
        <v>0</v>
      </c>
      <c r="J409" s="613">
        <v>0.97723127965383472</v>
      </c>
      <c r="K409" s="613">
        <v>0</v>
      </c>
      <c r="L409" s="613">
        <v>8.896881568300115</v>
      </c>
      <c r="M409" s="613">
        <v>0.11757993262070637</v>
      </c>
      <c r="N409" s="613">
        <v>0</v>
      </c>
      <c r="O409" s="613">
        <v>0</v>
      </c>
      <c r="P409" s="613">
        <v>0.3860243395319729</v>
      </c>
      <c r="Q409" s="613">
        <v>3.6858170734169985E-4</v>
      </c>
      <c r="R409" s="613">
        <v>0</v>
      </c>
      <c r="S409" s="613">
        <v>10.582193935863573</v>
      </c>
      <c r="T409" s="613">
        <v>26.610536942551132</v>
      </c>
      <c r="U409" s="613">
        <v>1.0058473798751368</v>
      </c>
      <c r="V409" s="613">
        <v>89.039868511744515</v>
      </c>
      <c r="W409" s="613">
        <v>19.009325162298154</v>
      </c>
      <c r="X409" s="613">
        <v>0</v>
      </c>
      <c r="Y409" s="621">
        <v>156.62585763414648</v>
      </c>
      <c r="Z409" s="51"/>
      <c r="AA409" s="622" t="e" cm="1">
        <f t="array" aca="1" ref="AA409" ca="1">_xlfn.IFNA(INDEX(#REF!,MATCH(INDIRECT("Codes_bilans!"&amp;AA$1&amp;"$"&amp;$A409),#REF!,0),MATCH($B409,#REF!,0)),0)</f>
        <v>#REF!</v>
      </c>
      <c r="AB409" s="51"/>
    </row>
    <row r="410" spans="1:28">
      <c r="A410" s="51" t="e">
        <f t="shared" si="58"/>
        <v>#REF!</v>
      </c>
      <c r="B410" s="51">
        <f t="shared" si="59"/>
        <v>2043</v>
      </c>
      <c r="C410" s="51" t="str">
        <f t="shared" si="59"/>
        <v>AMS</v>
      </c>
      <c r="D410" s="51" t="s">
        <v>516</v>
      </c>
      <c r="E410" s="51" t="e">
        <f>VLOOKUP($H$6,#REF!,2,FALSE)</f>
        <v>#REF!</v>
      </c>
      <c r="F410" s="51"/>
      <c r="G410" s="620" t="s">
        <v>82</v>
      </c>
      <c r="H410" s="613">
        <v>0</v>
      </c>
      <c r="I410" s="613">
        <v>0</v>
      </c>
      <c r="J410" s="613">
        <v>5.9328832606411623</v>
      </c>
      <c r="K410" s="613">
        <v>0</v>
      </c>
      <c r="L410" s="613">
        <v>0.79342108561234903</v>
      </c>
      <c r="M410" s="613">
        <v>1.0485741219546464E-2</v>
      </c>
      <c r="N410" s="613">
        <v>0</v>
      </c>
      <c r="O410" s="613">
        <v>0</v>
      </c>
      <c r="P410" s="613">
        <v>3.7340409967435519</v>
      </c>
      <c r="Q410" s="613">
        <v>0</v>
      </c>
      <c r="R410" s="613">
        <v>16.919952753679041</v>
      </c>
      <c r="S410" s="613">
        <v>0.94371670975918176</v>
      </c>
      <c r="T410" s="613">
        <v>1.1499999999999999</v>
      </c>
      <c r="U410" s="613">
        <v>1.5666563685107562</v>
      </c>
      <c r="V410" s="613">
        <v>7.7866370218848946</v>
      </c>
      <c r="W410" s="613">
        <v>0</v>
      </c>
      <c r="X410" s="613">
        <v>0.36062656029870238</v>
      </c>
      <c r="Y410" s="621">
        <v>39.198420498349186</v>
      </c>
      <c r="Z410" s="51"/>
      <c r="AA410" s="622" t="e" cm="1">
        <f t="array" aca="1" ref="AA410" ca="1">_xlfn.IFNA(INDEX(#REF!,MATCH(INDIRECT("Codes_bilans!"&amp;AA$1&amp;"$"&amp;$A410),#REF!,0),MATCH($B410,#REF!,0)),0)</f>
        <v>#REF!</v>
      </c>
      <c r="AB410" s="51"/>
    </row>
    <row r="411" spans="1:28">
      <c r="A411" s="51" t="e">
        <f t="shared" si="58"/>
        <v>#REF!</v>
      </c>
      <c r="B411" s="51">
        <f t="shared" si="59"/>
        <v>2043</v>
      </c>
      <c r="C411" s="51" t="str">
        <f t="shared" si="59"/>
        <v>AMS</v>
      </c>
      <c r="D411" s="51" t="s">
        <v>517</v>
      </c>
      <c r="E411" s="51" t="e">
        <f>VLOOKUP($H$6,#REF!,2,FALSE)</f>
        <v>#REF!</v>
      </c>
      <c r="F411" s="51"/>
      <c r="G411" s="620" t="s">
        <v>357</v>
      </c>
      <c r="H411" s="613">
        <v>0</v>
      </c>
      <c r="I411" s="613">
        <v>0</v>
      </c>
      <c r="J411" s="613">
        <v>0</v>
      </c>
      <c r="K411" s="613">
        <v>0</v>
      </c>
      <c r="L411" s="613">
        <v>0</v>
      </c>
      <c r="M411" s="613">
        <v>0</v>
      </c>
      <c r="N411" s="613">
        <v>0</v>
      </c>
      <c r="O411" s="613">
        <v>0</v>
      </c>
      <c r="P411" s="613">
        <v>0</v>
      </c>
      <c r="Q411" s="613">
        <v>0</v>
      </c>
      <c r="R411" s="613">
        <v>0</v>
      </c>
      <c r="S411" s="613">
        <v>0</v>
      </c>
      <c r="T411" s="613">
        <v>0</v>
      </c>
      <c r="U411" s="613">
        <v>0</v>
      </c>
      <c r="V411" s="613">
        <v>1.8912</v>
      </c>
      <c r="W411" s="613">
        <v>0</v>
      </c>
      <c r="X411" s="613">
        <v>0</v>
      </c>
      <c r="Y411" s="621">
        <v>1.8912</v>
      </c>
      <c r="Z411" s="51"/>
      <c r="AA411" s="622" t="e" cm="1">
        <f t="array" aca="1" ref="AA411" ca="1">_xlfn.IFNA(INDEX(#REF!,MATCH(INDIRECT("Codes_bilans!"&amp;AA$1&amp;"$"&amp;$A411),#REF!,0),MATCH($B411,#REF!,0)),0)</f>
        <v>#REF!</v>
      </c>
      <c r="AB411" s="51"/>
    </row>
    <row r="412" spans="1:28">
      <c r="A412" s="51" t="e">
        <f t="shared" si="58"/>
        <v>#REF!</v>
      </c>
      <c r="B412" s="51">
        <f t="shared" si="59"/>
        <v>2043</v>
      </c>
      <c r="C412" s="51" t="str">
        <f t="shared" si="59"/>
        <v>AMS</v>
      </c>
      <c r="D412" s="51" t="s">
        <v>518</v>
      </c>
      <c r="E412" s="51" t="e">
        <f>VLOOKUP($H$6,#REF!,2,FALSE)</f>
        <v>#REF!</v>
      </c>
      <c r="F412" s="51"/>
      <c r="G412" s="616" t="s">
        <v>83</v>
      </c>
      <c r="H412" s="617">
        <v>2.4027599556453909</v>
      </c>
      <c r="I412" s="617">
        <v>0</v>
      </c>
      <c r="J412" s="617">
        <v>40.045387619249276</v>
      </c>
      <c r="K412" s="617">
        <v>1.421472124111238</v>
      </c>
      <c r="L412" s="624">
        <v>51.217862390799326</v>
      </c>
      <c r="M412" s="617">
        <v>0.67688804921761236</v>
      </c>
      <c r="N412" s="617">
        <v>0</v>
      </c>
      <c r="O412" s="617">
        <v>0</v>
      </c>
      <c r="P412" s="617">
        <v>55.925400303858773</v>
      </c>
      <c r="Q412" s="617">
        <v>2.2930892627251551</v>
      </c>
      <c r="R412" s="617">
        <v>78.46688318615972</v>
      </c>
      <c r="S412" s="617">
        <v>60.960199676837377</v>
      </c>
      <c r="T412" s="617">
        <v>147.47340024456145</v>
      </c>
      <c r="U412" s="617">
        <v>5.4580412340336313</v>
      </c>
      <c r="V412" s="617">
        <v>473.70250118338788</v>
      </c>
      <c r="W412" s="617">
        <v>62.943626270237907</v>
      </c>
      <c r="X412" s="617">
        <v>10.361311934738108</v>
      </c>
      <c r="Y412" s="617">
        <v>993.34882343556285</v>
      </c>
      <c r="Z412" s="51"/>
      <c r="AA412" s="51"/>
      <c r="AB412" s="51"/>
    </row>
    <row r="413" spans="1:28">
      <c r="A413" s="51" t="e">
        <f t="shared" si="58"/>
        <v>#REF!</v>
      </c>
      <c r="B413" s="51">
        <f t="shared" si="59"/>
        <v>2043</v>
      </c>
      <c r="C413" s="51" t="str">
        <f t="shared" si="59"/>
        <v>AMS</v>
      </c>
      <c r="D413" s="51" t="s">
        <v>519</v>
      </c>
      <c r="E413" s="51" t="e">
        <f>VLOOKUP($H$6,#REF!,2,FALSE)</f>
        <v>#REF!</v>
      </c>
      <c r="F413" s="51"/>
      <c r="G413" s="612" t="s">
        <v>84</v>
      </c>
      <c r="H413" s="613">
        <v>0</v>
      </c>
      <c r="I413" s="613">
        <v>0</v>
      </c>
      <c r="J413" s="613">
        <v>55.51811908375884</v>
      </c>
      <c r="K413" s="613">
        <v>7.0490044147499464</v>
      </c>
      <c r="L413" s="613">
        <v>5.5825875517318595</v>
      </c>
      <c r="M413" s="613">
        <v>0</v>
      </c>
      <c r="N413" s="613">
        <v>0</v>
      </c>
      <c r="O413" s="613">
        <v>0</v>
      </c>
      <c r="P413" s="613">
        <v>0.48256425190137814</v>
      </c>
      <c r="Q413" s="613">
        <v>0</v>
      </c>
      <c r="R413" s="613">
        <v>17.896473357733768</v>
      </c>
      <c r="S413" s="613">
        <v>3.3065346740377066</v>
      </c>
      <c r="T413" s="613">
        <v>0</v>
      </c>
      <c r="U413" s="613">
        <v>0</v>
      </c>
      <c r="V413" s="613">
        <v>0</v>
      </c>
      <c r="W413" s="613">
        <v>0</v>
      </c>
      <c r="X413" s="613">
        <v>28.74233427987765</v>
      </c>
      <c r="Y413" s="621">
        <v>118.57761761379115</v>
      </c>
      <c r="Z413" s="51"/>
      <c r="AA413" s="622" t="e" cm="1">
        <f t="array" aca="1" ref="AA413" ca="1">_xlfn.IFNA(INDEX(#REF!,MATCH(INDIRECT("Codes_bilans!"&amp;AA$1&amp;"$"&amp;$A413),#REF!,0),MATCH($B413,#REF!,0)),0)</f>
        <v>#REF!</v>
      </c>
      <c r="AB413" s="51"/>
    </row>
    <row r="414" spans="1:28">
      <c r="A414" s="51" t="e">
        <f t="shared" si="58"/>
        <v>#REF!</v>
      </c>
      <c r="B414" s="51">
        <f t="shared" si="59"/>
        <v>2043</v>
      </c>
      <c r="C414" s="51" t="str">
        <f t="shared" si="59"/>
        <v>AMS</v>
      </c>
      <c r="D414" s="51" t="s">
        <v>520</v>
      </c>
      <c r="E414" s="51" t="e">
        <f>VLOOKUP($H$6,#REF!,2,FALSE)</f>
        <v>#REF!</v>
      </c>
      <c r="F414" s="51"/>
      <c r="G414" s="616" t="s">
        <v>85</v>
      </c>
      <c r="H414" s="617">
        <v>2.4027599556453909</v>
      </c>
      <c r="I414" s="617">
        <v>0</v>
      </c>
      <c r="J414" s="617">
        <v>95.56350670300813</v>
      </c>
      <c r="K414" s="617">
        <v>8.4704765388611847</v>
      </c>
      <c r="L414" s="624">
        <v>56.800449942531188</v>
      </c>
      <c r="M414" s="617">
        <v>0.67688804921761236</v>
      </c>
      <c r="N414" s="617">
        <v>0</v>
      </c>
      <c r="O414" s="617">
        <v>0</v>
      </c>
      <c r="P414" s="617">
        <v>56.407964555760152</v>
      </c>
      <c r="Q414" s="617">
        <v>2.2930892627251551</v>
      </c>
      <c r="R414" s="617">
        <v>96.363356543893488</v>
      </c>
      <c r="S414" s="617">
        <v>64.266734350875069</v>
      </c>
      <c r="T414" s="617">
        <v>147.47340024456145</v>
      </c>
      <c r="U414" s="617">
        <v>5.4580412340336313</v>
      </c>
      <c r="V414" s="617">
        <v>473.70250118338788</v>
      </c>
      <c r="W414" s="617">
        <v>62.943626270237907</v>
      </c>
      <c r="X414" s="617">
        <v>39.103646214615758</v>
      </c>
      <c r="Y414" s="617">
        <v>1111.926441049354</v>
      </c>
      <c r="Z414" s="51"/>
      <c r="AA414" s="51"/>
      <c r="AB414" s="51"/>
    </row>
    <row r="415" spans="1:28">
      <c r="A415" s="51"/>
      <c r="B415" s="51"/>
      <c r="C415" s="51"/>
      <c r="D415" s="51"/>
      <c r="E415" s="51"/>
      <c r="F415" s="51"/>
      <c r="G415" s="51"/>
      <c r="H415" s="67">
        <v>0</v>
      </c>
      <c r="I415" s="67">
        <v>0</v>
      </c>
      <c r="J415" s="67">
        <v>0</v>
      </c>
      <c r="K415" s="67">
        <v>0</v>
      </c>
      <c r="L415" s="67">
        <v>0</v>
      </c>
      <c r="M415" s="67">
        <v>0</v>
      </c>
      <c r="N415" s="67">
        <v>0</v>
      </c>
      <c r="O415" s="67">
        <v>0</v>
      </c>
      <c r="P415" s="67">
        <v>0</v>
      </c>
      <c r="Q415" s="67">
        <v>0</v>
      </c>
      <c r="R415" s="67">
        <v>1.1546319456101628E-14</v>
      </c>
      <c r="S415" s="67">
        <v>-3.1086244689504383E-14</v>
      </c>
      <c r="T415" s="67">
        <v>0</v>
      </c>
      <c r="U415" s="67">
        <v>0</v>
      </c>
      <c r="V415" s="67">
        <v>1.1368683772161603E-13</v>
      </c>
      <c r="W415" s="67">
        <v>0</v>
      </c>
      <c r="X415" s="67">
        <v>-1.354472090042691E-14</v>
      </c>
      <c r="Y415" s="67">
        <v>0</v>
      </c>
      <c r="Z415" s="51"/>
      <c r="AA415" s="51"/>
      <c r="AB415" s="51"/>
    </row>
    <row r="416" spans="1:28">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row>
    <row r="417" spans="1:28">
      <c r="A417" s="608"/>
      <c r="B417" s="608"/>
      <c r="C417" s="608"/>
      <c r="D417" s="608"/>
      <c r="E417" s="608"/>
      <c r="F417" s="608"/>
      <c r="G417" s="609" t="s">
        <v>364</v>
      </c>
      <c r="H417" s="608"/>
      <c r="I417" s="608"/>
      <c r="J417" s="608"/>
      <c r="K417" s="608"/>
      <c r="L417" s="608"/>
      <c r="M417" s="608"/>
      <c r="N417" s="608"/>
      <c r="O417" s="608"/>
      <c r="P417" s="608"/>
      <c r="Q417" s="608"/>
      <c r="R417" s="608"/>
      <c r="S417" s="608"/>
      <c r="T417" s="608"/>
      <c r="U417" s="608"/>
      <c r="V417" s="608"/>
      <c r="W417" s="608"/>
      <c r="X417" s="608"/>
      <c r="Y417" s="608"/>
      <c r="Z417" s="608"/>
      <c r="AA417" s="608"/>
      <c r="AB417" s="608"/>
    </row>
    <row r="418" spans="1:28">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row>
    <row r="419" spans="1:28" ht="14.25" customHeight="1">
      <c r="A419" s="51"/>
      <c r="B419" s="51"/>
      <c r="C419" s="51"/>
      <c r="D419" s="51"/>
      <c r="E419" s="51"/>
      <c r="F419" s="51"/>
      <c r="G419" s="713" t="s">
        <v>128</v>
      </c>
      <c r="H419" s="711" t="s">
        <v>42</v>
      </c>
      <c r="I419" s="711" t="s">
        <v>52</v>
      </c>
      <c r="J419" s="711" t="s">
        <v>53</v>
      </c>
      <c r="K419" s="711" t="s">
        <v>487</v>
      </c>
      <c r="L419" s="711" t="s">
        <v>32</v>
      </c>
      <c r="M419" s="711" t="s">
        <v>488</v>
      </c>
      <c r="N419" s="711" t="s">
        <v>20</v>
      </c>
      <c r="O419" s="711" t="s">
        <v>55</v>
      </c>
      <c r="P419" s="715" t="s">
        <v>56</v>
      </c>
      <c r="Q419" s="716"/>
      <c r="R419" s="716"/>
      <c r="S419" s="716"/>
      <c r="T419" s="716"/>
      <c r="U419" s="717"/>
      <c r="V419" s="711" t="s">
        <v>57</v>
      </c>
      <c r="W419" s="711" t="s">
        <v>58</v>
      </c>
      <c r="X419" s="711" t="s">
        <v>31</v>
      </c>
      <c r="Y419" s="711" t="s">
        <v>10</v>
      </c>
      <c r="Z419" s="51"/>
      <c r="AA419" s="51"/>
      <c r="AB419" s="51"/>
    </row>
    <row r="420" spans="1:28" ht="24">
      <c r="A420" s="51"/>
      <c r="B420" s="51"/>
      <c r="C420" s="51"/>
      <c r="D420" s="51" t="s">
        <v>491</v>
      </c>
      <c r="E420" s="51"/>
      <c r="F420" s="51"/>
      <c r="G420" s="714"/>
      <c r="H420" s="712"/>
      <c r="I420" s="712"/>
      <c r="J420" s="712"/>
      <c r="K420" s="712"/>
      <c r="L420" s="712"/>
      <c r="M420" s="712"/>
      <c r="N420" s="712"/>
      <c r="O420" s="712"/>
      <c r="P420" s="610" t="s">
        <v>338</v>
      </c>
      <c r="Q420" s="610" t="s">
        <v>40</v>
      </c>
      <c r="R420" s="610" t="s">
        <v>346</v>
      </c>
      <c r="S420" s="610" t="s">
        <v>347</v>
      </c>
      <c r="T420" s="611" t="s">
        <v>348</v>
      </c>
      <c r="U420" s="610" t="s">
        <v>349</v>
      </c>
      <c r="V420" s="712"/>
      <c r="W420" s="712"/>
      <c r="X420" s="712"/>
      <c r="Y420" s="712"/>
      <c r="Z420" s="51"/>
      <c r="AA420" s="51"/>
      <c r="AB420" s="51"/>
    </row>
    <row r="421" spans="1:28">
      <c r="A421" s="51" t="e">
        <f>A384</f>
        <v>#REF!</v>
      </c>
      <c r="B421" s="51">
        <v>2045</v>
      </c>
      <c r="C421" s="51" t="s">
        <v>47</v>
      </c>
      <c r="D421" s="51" t="s">
        <v>492</v>
      </c>
      <c r="E421" s="51" t="e">
        <f>VLOOKUP($H$6,#REF!,2,FALSE)</f>
        <v>#REF!</v>
      </c>
      <c r="F421" s="51"/>
      <c r="G421" s="612" t="s">
        <v>59</v>
      </c>
      <c r="H421" s="613">
        <v>0</v>
      </c>
      <c r="I421" s="613">
        <v>0</v>
      </c>
      <c r="J421" s="613">
        <v>0</v>
      </c>
      <c r="K421" s="613">
        <v>0</v>
      </c>
      <c r="L421" s="613">
        <v>0</v>
      </c>
      <c r="M421" s="613">
        <v>0</v>
      </c>
      <c r="N421" s="614">
        <v>894.1849636363637</v>
      </c>
      <c r="O421" s="614">
        <v>463.21999229285728</v>
      </c>
      <c r="P421" s="614">
        <v>288.88340552324502</v>
      </c>
      <c r="Q421" s="614">
        <v>22.41045337173605</v>
      </c>
      <c r="R421" s="613">
        <v>1.6797912871987437</v>
      </c>
      <c r="S421" s="613">
        <v>0.17065445399605614</v>
      </c>
      <c r="T421" s="614">
        <v>154.03404463263311</v>
      </c>
      <c r="U421" s="614">
        <v>23.487215011212861</v>
      </c>
      <c r="V421" s="613">
        <v>0</v>
      </c>
      <c r="W421" s="613">
        <v>0</v>
      </c>
      <c r="X421" s="613">
        <v>0</v>
      </c>
      <c r="Y421" s="615">
        <v>1848.0705202092429</v>
      </c>
      <c r="Z421" s="51"/>
      <c r="AA421" s="51"/>
      <c r="AB421" s="51"/>
    </row>
    <row r="422" spans="1:28">
      <c r="A422" s="51" t="e">
        <f t="shared" ref="A422:A427" si="60">A421+1</f>
        <v>#REF!</v>
      </c>
      <c r="B422" s="51">
        <f t="shared" ref="B422:C427" si="61">B421</f>
        <v>2045</v>
      </c>
      <c r="C422" s="51" t="str">
        <f t="shared" si="61"/>
        <v>AMS</v>
      </c>
      <c r="D422" s="51" t="s">
        <v>493</v>
      </c>
      <c r="E422" s="51" t="e">
        <f>VLOOKUP($H$6,#REF!,2,FALSE)</f>
        <v>#REF!</v>
      </c>
      <c r="F422" s="51"/>
      <c r="G422" s="612" t="s">
        <v>60</v>
      </c>
      <c r="H422" s="613">
        <v>9.1088960408946864</v>
      </c>
      <c r="I422" s="613">
        <v>190.65660017812178</v>
      </c>
      <c r="J422" s="613">
        <v>2.9590354993625017</v>
      </c>
      <c r="K422" s="613">
        <v>0</v>
      </c>
      <c r="L422" s="613">
        <v>52.772371882452688</v>
      </c>
      <c r="M422" s="613">
        <v>0</v>
      </c>
      <c r="N422" s="613">
        <v>0</v>
      </c>
      <c r="O422" s="613">
        <v>0</v>
      </c>
      <c r="P422" s="613">
        <v>4.8125993033158778</v>
      </c>
      <c r="Q422" s="613">
        <v>0</v>
      </c>
      <c r="R422" s="613">
        <v>5.0080801377734332</v>
      </c>
      <c r="S422" s="613">
        <v>0</v>
      </c>
      <c r="T422" s="613">
        <v>0</v>
      </c>
      <c r="U422" s="613">
        <v>0</v>
      </c>
      <c r="V422" s="613">
        <v>0</v>
      </c>
      <c r="W422" s="613">
        <v>0</v>
      </c>
      <c r="X422" s="613">
        <v>0</v>
      </c>
      <c r="Y422" s="615">
        <v>265.31758304192095</v>
      </c>
      <c r="Z422" s="51"/>
      <c r="AA422" s="51"/>
      <c r="AB422" s="51"/>
    </row>
    <row r="423" spans="1:28">
      <c r="A423" s="51" t="e">
        <f t="shared" si="60"/>
        <v>#REF!</v>
      </c>
      <c r="B423" s="51">
        <f t="shared" si="61"/>
        <v>2045</v>
      </c>
      <c r="C423" s="51" t="str">
        <f t="shared" si="61"/>
        <v>AMS</v>
      </c>
      <c r="D423" s="51" t="s">
        <v>494</v>
      </c>
      <c r="E423" s="51" t="e">
        <f>VLOOKUP($H$6,#REF!,2,FALSE)</f>
        <v>#REF!</v>
      </c>
      <c r="F423" s="51"/>
      <c r="G423" s="612" t="s">
        <v>61</v>
      </c>
      <c r="H423" s="613">
        <v>0</v>
      </c>
      <c r="I423" s="613">
        <v>0</v>
      </c>
      <c r="J423" s="613">
        <v>-64.692917922605048</v>
      </c>
      <c r="K423" s="613">
        <v>-1.6775006918768405</v>
      </c>
      <c r="L423" s="613">
        <v>0</v>
      </c>
      <c r="M423" s="613">
        <v>0</v>
      </c>
      <c r="N423" s="613">
        <v>0</v>
      </c>
      <c r="O423" s="613">
        <v>0</v>
      </c>
      <c r="P423" s="613">
        <v>0</v>
      </c>
      <c r="Q423" s="613">
        <v>0</v>
      </c>
      <c r="R423" s="613">
        <v>0</v>
      </c>
      <c r="S423" s="613">
        <v>0</v>
      </c>
      <c r="T423" s="613">
        <v>0</v>
      </c>
      <c r="U423" s="613">
        <v>0</v>
      </c>
      <c r="V423" s="613">
        <v>-88.018935105238825</v>
      </c>
      <c r="W423" s="613">
        <v>0</v>
      </c>
      <c r="X423" s="613">
        <v>0</v>
      </c>
      <c r="Y423" s="615">
        <v>-154.3893537197207</v>
      </c>
      <c r="Z423" s="51"/>
      <c r="AA423" s="51"/>
      <c r="AB423" s="51"/>
    </row>
    <row r="424" spans="1:28">
      <c r="A424" s="51" t="e">
        <f t="shared" si="60"/>
        <v>#REF!</v>
      </c>
      <c r="B424" s="51">
        <f t="shared" si="61"/>
        <v>2045</v>
      </c>
      <c r="C424" s="51" t="str">
        <f t="shared" si="61"/>
        <v>AMS</v>
      </c>
      <c r="D424" s="51" t="s">
        <v>495</v>
      </c>
      <c r="E424" s="51" t="e">
        <f>VLOOKUP($H$6,#REF!,2,FALSE)</f>
        <v>#REF!</v>
      </c>
      <c r="F424" s="51"/>
      <c r="G424" s="612" t="s">
        <v>62</v>
      </c>
      <c r="H424" s="613">
        <v>0</v>
      </c>
      <c r="I424" s="613">
        <v>0</v>
      </c>
      <c r="J424" s="613">
        <v>-5.3541729526260253</v>
      </c>
      <c r="K424" s="613">
        <v>-3.2544454489343884</v>
      </c>
      <c r="L424" s="613">
        <v>-2.154938128893316</v>
      </c>
      <c r="M424" s="613">
        <v>-5.5254823817777333E-2</v>
      </c>
      <c r="N424" s="613">
        <v>0</v>
      </c>
      <c r="O424" s="613">
        <v>0</v>
      </c>
      <c r="P424" s="613">
        <v>0</v>
      </c>
      <c r="Q424" s="613">
        <v>0</v>
      </c>
      <c r="R424" s="613">
        <v>-0.28299525642907725</v>
      </c>
      <c r="S424" s="613">
        <v>-3.3152894290666399</v>
      </c>
      <c r="T424" s="613">
        <v>0</v>
      </c>
      <c r="U424" s="613">
        <v>0</v>
      </c>
      <c r="V424" s="613">
        <v>0</v>
      </c>
      <c r="W424" s="613">
        <v>0</v>
      </c>
      <c r="X424" s="613">
        <v>0</v>
      </c>
      <c r="Y424" s="615">
        <v>-14.417096039767225</v>
      </c>
      <c r="Z424" s="51"/>
      <c r="AA424" s="51"/>
      <c r="AB424" s="51"/>
    </row>
    <row r="425" spans="1:28">
      <c r="A425" s="51" t="e">
        <f t="shared" si="60"/>
        <v>#REF!</v>
      </c>
      <c r="B425" s="51">
        <f t="shared" si="61"/>
        <v>2045</v>
      </c>
      <c r="C425" s="51" t="str">
        <f t="shared" si="61"/>
        <v>AMS</v>
      </c>
      <c r="D425" s="51" t="s">
        <v>496</v>
      </c>
      <c r="E425" s="51" t="e">
        <f>VLOOKUP($H$6,#REF!,2,FALSE)</f>
        <v>#REF!</v>
      </c>
      <c r="F425" s="51"/>
      <c r="G425" s="612" t="s">
        <v>63</v>
      </c>
      <c r="H425" s="613">
        <v>0</v>
      </c>
      <c r="I425" s="613">
        <v>0</v>
      </c>
      <c r="J425" s="613">
        <v>-38.578656039955483</v>
      </c>
      <c r="K425" s="613">
        <v>-13.893394907220655</v>
      </c>
      <c r="L425" s="613">
        <v>0</v>
      </c>
      <c r="M425" s="613">
        <v>0</v>
      </c>
      <c r="N425" s="613">
        <v>0</v>
      </c>
      <c r="O425" s="613">
        <v>0</v>
      </c>
      <c r="P425" s="613">
        <v>0</v>
      </c>
      <c r="Q425" s="613">
        <v>0</v>
      </c>
      <c r="R425" s="613">
        <v>-13.893394907220655</v>
      </c>
      <c r="S425" s="613">
        <v>0</v>
      </c>
      <c r="T425" s="613">
        <v>0</v>
      </c>
      <c r="U425" s="613">
        <v>0</v>
      </c>
      <c r="V425" s="613">
        <v>0</v>
      </c>
      <c r="W425" s="613">
        <v>0</v>
      </c>
      <c r="X425" s="613">
        <v>-1.3953345659196588</v>
      </c>
      <c r="Y425" s="615">
        <v>-67.760780420316451</v>
      </c>
      <c r="Z425" s="51"/>
      <c r="AA425" s="51"/>
      <c r="AB425" s="51"/>
    </row>
    <row r="426" spans="1:28">
      <c r="A426" s="51" t="e">
        <f t="shared" si="60"/>
        <v>#REF!</v>
      </c>
      <c r="B426" s="51">
        <f t="shared" si="61"/>
        <v>2045</v>
      </c>
      <c r="C426" s="51" t="str">
        <f t="shared" si="61"/>
        <v>AMS</v>
      </c>
      <c r="D426" s="51" t="s">
        <v>497</v>
      </c>
      <c r="E426" s="51" t="e">
        <f>VLOOKUP($H$6,#REF!,2,FALSE)</f>
        <v>#REF!</v>
      </c>
      <c r="F426" s="51"/>
      <c r="G426" s="612" t="s">
        <v>64</v>
      </c>
      <c r="H426" s="613">
        <v>0</v>
      </c>
      <c r="I426" s="613">
        <v>0</v>
      </c>
      <c r="J426" s="613">
        <v>0</v>
      </c>
      <c r="K426" s="613">
        <v>0</v>
      </c>
      <c r="L426" s="613">
        <v>0</v>
      </c>
      <c r="M426" s="613">
        <v>0</v>
      </c>
      <c r="N426" s="613">
        <v>0</v>
      </c>
      <c r="O426" s="613">
        <v>0</v>
      </c>
      <c r="P426" s="613">
        <v>0</v>
      </c>
      <c r="Q426" s="613">
        <v>0</v>
      </c>
      <c r="R426" s="613">
        <v>0</v>
      </c>
      <c r="S426" s="613">
        <v>0</v>
      </c>
      <c r="T426" s="613">
        <v>0</v>
      </c>
      <c r="U426" s="613">
        <v>0</v>
      </c>
      <c r="V426" s="613">
        <v>0</v>
      </c>
      <c r="W426" s="613">
        <v>0</v>
      </c>
      <c r="X426" s="613">
        <v>0</v>
      </c>
      <c r="Y426" s="615">
        <v>0</v>
      </c>
      <c r="Z426" s="51"/>
      <c r="AA426" s="51"/>
      <c r="AB426" s="51"/>
    </row>
    <row r="427" spans="1:28">
      <c r="A427" s="51" t="e">
        <f t="shared" si="60"/>
        <v>#REF!</v>
      </c>
      <c r="B427" s="51">
        <f t="shared" si="61"/>
        <v>2045</v>
      </c>
      <c r="C427" s="51" t="str">
        <f t="shared" si="61"/>
        <v>AMS</v>
      </c>
      <c r="D427" s="51" t="s">
        <v>498</v>
      </c>
      <c r="E427" s="51" t="e">
        <f>VLOOKUP($H$6,#REF!,2,FALSE)</f>
        <v>#REF!</v>
      </c>
      <c r="F427" s="51"/>
      <c r="G427" s="616" t="s">
        <v>65</v>
      </c>
      <c r="H427" s="617">
        <v>9.1088960408946864</v>
      </c>
      <c r="I427" s="617">
        <v>190.65660017812178</v>
      </c>
      <c r="J427" s="617">
        <v>-105.66671141582405</v>
      </c>
      <c r="K427" s="617">
        <v>-18.825341048031884</v>
      </c>
      <c r="L427" s="624">
        <v>50.617433753559375</v>
      </c>
      <c r="M427" s="617">
        <v>-5.5254823817777333E-2</v>
      </c>
      <c r="N427" s="617">
        <v>894.1849636363637</v>
      </c>
      <c r="O427" s="617">
        <v>463.21999229285728</v>
      </c>
      <c r="P427" s="617">
        <v>293.69600482656091</v>
      </c>
      <c r="Q427" s="617">
        <v>22.41045337173605</v>
      </c>
      <c r="R427" s="617">
        <v>-7.4885187386775538</v>
      </c>
      <c r="S427" s="617">
        <v>-3.1446349750705838</v>
      </c>
      <c r="T427" s="617">
        <v>154.03404463263311</v>
      </c>
      <c r="U427" s="617">
        <v>23.487215011212861</v>
      </c>
      <c r="V427" s="617">
        <v>-88.018935105238825</v>
      </c>
      <c r="W427" s="617">
        <v>0</v>
      </c>
      <c r="X427" s="617">
        <v>-1.3953345659196588</v>
      </c>
      <c r="Y427" s="617">
        <v>1876.8208730713591</v>
      </c>
      <c r="Z427" s="51"/>
      <c r="AA427" s="51"/>
      <c r="AB427" s="51"/>
    </row>
    <row r="428" spans="1:28">
      <c r="A428" s="51"/>
      <c r="B428" s="51"/>
      <c r="C428" s="51"/>
      <c r="D428" s="51"/>
      <c r="E428" s="51"/>
      <c r="F428" s="51"/>
      <c r="G428" s="618"/>
      <c r="H428" s="619">
        <v>0</v>
      </c>
      <c r="I428" s="619">
        <v>0</v>
      </c>
      <c r="J428" s="619">
        <v>0</v>
      </c>
      <c r="K428" s="619">
        <v>0</v>
      </c>
      <c r="L428" s="625">
        <v>0</v>
      </c>
      <c r="M428" s="619">
        <v>0</v>
      </c>
      <c r="N428" s="619">
        <v>0</v>
      </c>
      <c r="O428" s="619">
        <v>0</v>
      </c>
      <c r="P428" s="619">
        <v>0</v>
      </c>
      <c r="Q428" s="619">
        <v>0</v>
      </c>
      <c r="R428" s="619">
        <v>0</v>
      </c>
      <c r="S428" s="619">
        <v>0</v>
      </c>
      <c r="T428" s="619">
        <v>0</v>
      </c>
      <c r="U428" s="619">
        <v>0</v>
      </c>
      <c r="V428" s="619">
        <v>0</v>
      </c>
      <c r="W428" s="619">
        <v>0</v>
      </c>
      <c r="X428" s="619">
        <v>0</v>
      </c>
      <c r="Y428" s="619">
        <v>0</v>
      </c>
      <c r="Z428" s="51"/>
      <c r="AA428" s="51"/>
      <c r="AB428" s="51"/>
    </row>
    <row r="429" spans="1:28">
      <c r="A429" s="51" t="e">
        <f>A427+2</f>
        <v>#REF!</v>
      </c>
      <c r="B429" s="51">
        <f>B427</f>
        <v>2045</v>
      </c>
      <c r="C429" s="51" t="str">
        <f>C427</f>
        <v>AMS</v>
      </c>
      <c r="D429" s="51" t="s">
        <v>499</v>
      </c>
      <c r="E429" s="51" t="e">
        <f>VLOOKUP($H$6,#REF!,2,FALSE)</f>
        <v>#REF!</v>
      </c>
      <c r="F429" s="51"/>
      <c r="G429" s="620" t="s">
        <v>67</v>
      </c>
      <c r="H429" s="613">
        <v>0</v>
      </c>
      <c r="I429" s="613">
        <v>0</v>
      </c>
      <c r="J429" s="613">
        <v>0</v>
      </c>
      <c r="K429" s="613">
        <v>0</v>
      </c>
      <c r="L429" s="613">
        <v>0</v>
      </c>
      <c r="M429" s="613">
        <v>0</v>
      </c>
      <c r="N429" s="613">
        <v>0</v>
      </c>
      <c r="O429" s="613">
        <v>0</v>
      </c>
      <c r="P429" s="613">
        <v>0</v>
      </c>
      <c r="Q429" s="613">
        <v>0</v>
      </c>
      <c r="R429" s="613">
        <v>0</v>
      </c>
      <c r="S429" s="613">
        <v>0</v>
      </c>
      <c r="T429" s="613">
        <v>0</v>
      </c>
      <c r="U429" s="613">
        <v>0</v>
      </c>
      <c r="V429" s="613">
        <v>0</v>
      </c>
      <c r="W429" s="613">
        <v>0</v>
      </c>
      <c r="X429" s="613">
        <v>0</v>
      </c>
      <c r="Y429" s="621">
        <v>0</v>
      </c>
      <c r="Z429" s="51"/>
      <c r="AA429" s="51"/>
      <c r="AB429" s="51"/>
    </row>
    <row r="430" spans="1:28">
      <c r="A430" s="51" t="e">
        <f t="shared" ref="A430:A441" si="62">A429+1</f>
        <v>#REF!</v>
      </c>
      <c r="B430" s="51">
        <f t="shared" ref="B430:C441" si="63">B429</f>
        <v>2045</v>
      </c>
      <c r="C430" s="51" t="str">
        <f t="shared" si="63"/>
        <v>AMS</v>
      </c>
      <c r="D430" s="51" t="s">
        <v>500</v>
      </c>
      <c r="E430" s="51" t="e">
        <f>VLOOKUP($H$6,#REF!,2,FALSE)</f>
        <v>#REF!</v>
      </c>
      <c r="F430" s="51"/>
      <c r="G430" s="620" t="s">
        <v>350</v>
      </c>
      <c r="H430" s="613">
        <v>0</v>
      </c>
      <c r="I430" s="613">
        <v>0</v>
      </c>
      <c r="J430" s="613">
        <v>0</v>
      </c>
      <c r="K430" s="613">
        <v>0</v>
      </c>
      <c r="L430" s="613">
        <v>0</v>
      </c>
      <c r="M430" s="613">
        <v>0</v>
      </c>
      <c r="N430" s="613">
        <v>894.1849636363637</v>
      </c>
      <c r="O430" s="613">
        <v>463.21999229285728</v>
      </c>
      <c r="P430" s="613">
        <v>14.188154051569427</v>
      </c>
      <c r="Q430" s="613">
        <v>5.7060338730964091</v>
      </c>
      <c r="R430" s="613">
        <v>6.3451610040287907</v>
      </c>
      <c r="S430" s="613">
        <v>0.11419280490868838</v>
      </c>
      <c r="T430" s="613">
        <v>0</v>
      </c>
      <c r="U430" s="613">
        <v>6.4766550958451852</v>
      </c>
      <c r="V430" s="613">
        <v>-776.98254615722715</v>
      </c>
      <c r="W430" s="613">
        <v>0</v>
      </c>
      <c r="X430" s="613">
        <v>12.087192978000001</v>
      </c>
      <c r="Y430" s="621">
        <v>625.339799579442</v>
      </c>
      <c r="Z430" s="51"/>
      <c r="AA430" s="51"/>
      <c r="AB430" s="51"/>
    </row>
    <row r="431" spans="1:28">
      <c r="A431" s="51" t="e">
        <f t="shared" si="62"/>
        <v>#REF!</v>
      </c>
      <c r="B431" s="51">
        <f t="shared" si="63"/>
        <v>2045</v>
      </c>
      <c r="C431" s="51" t="str">
        <f t="shared" si="63"/>
        <v>AMS</v>
      </c>
      <c r="D431" s="51" t="s">
        <v>501</v>
      </c>
      <c r="E431" s="51" t="e">
        <f>VLOOKUP($H$6,#REF!,2,FALSE)</f>
        <v>#REF!</v>
      </c>
      <c r="F431" s="51"/>
      <c r="G431" s="620" t="s">
        <v>351</v>
      </c>
      <c r="H431" s="613">
        <v>0</v>
      </c>
      <c r="I431" s="613">
        <v>0</v>
      </c>
      <c r="J431" s="613">
        <v>0</v>
      </c>
      <c r="K431" s="613">
        <v>0</v>
      </c>
      <c r="L431" s="613">
        <v>3.2711110414405256</v>
      </c>
      <c r="M431" s="613">
        <v>0</v>
      </c>
      <c r="N431" s="613">
        <v>0</v>
      </c>
      <c r="O431" s="613">
        <v>0</v>
      </c>
      <c r="P431" s="613">
        <v>34.963821149394811</v>
      </c>
      <c r="Q431" s="613">
        <v>14.476121269049287</v>
      </c>
      <c r="R431" s="613">
        <v>0</v>
      </c>
      <c r="S431" s="613">
        <v>7.6477038720835147</v>
      </c>
      <c r="T431" s="613">
        <v>0</v>
      </c>
      <c r="U431" s="613">
        <v>11.276034288959668</v>
      </c>
      <c r="V431" s="613">
        <v>0</v>
      </c>
      <c r="W431" s="613">
        <v>-67.494467143680438</v>
      </c>
      <c r="X431" s="613">
        <v>0</v>
      </c>
      <c r="Y431" s="621">
        <v>4.1403244772473649</v>
      </c>
      <c r="Z431" s="51"/>
      <c r="AA431" s="51"/>
      <c r="AB431" s="51"/>
    </row>
    <row r="432" spans="1:28">
      <c r="A432" s="51" t="e">
        <f t="shared" si="62"/>
        <v>#REF!</v>
      </c>
      <c r="B432" s="51">
        <f t="shared" si="63"/>
        <v>2045</v>
      </c>
      <c r="C432" s="51" t="str">
        <f t="shared" si="63"/>
        <v>AMS</v>
      </c>
      <c r="D432" s="51" t="s">
        <v>502</v>
      </c>
      <c r="E432" s="51" t="e">
        <f>VLOOKUP($H$6,#REF!,2,FALSE)</f>
        <v>#REF!</v>
      </c>
      <c r="F432" s="51"/>
      <c r="G432" s="620" t="s">
        <v>352</v>
      </c>
      <c r="H432" s="613">
        <v>0</v>
      </c>
      <c r="I432" s="613">
        <v>0</v>
      </c>
      <c r="J432" s="613">
        <v>0</v>
      </c>
      <c r="K432" s="613">
        <v>0</v>
      </c>
      <c r="L432" s="613">
        <v>0</v>
      </c>
      <c r="M432" s="613">
        <v>0</v>
      </c>
      <c r="N432" s="613">
        <v>0</v>
      </c>
      <c r="O432" s="613">
        <v>0</v>
      </c>
      <c r="P432" s="613">
        <v>85.030807044207506</v>
      </c>
      <c r="Q432" s="613">
        <v>0</v>
      </c>
      <c r="R432" s="613">
        <v>0</v>
      </c>
      <c r="S432" s="613">
        <v>-80.149276434896436</v>
      </c>
      <c r="T432" s="613">
        <v>0</v>
      </c>
      <c r="U432" s="613">
        <v>0</v>
      </c>
      <c r="V432" s="613">
        <v>0</v>
      </c>
      <c r="W432" s="613">
        <v>0</v>
      </c>
      <c r="X432" s="613">
        <v>0</v>
      </c>
      <c r="Y432" s="621">
        <v>4.8815306093110706</v>
      </c>
      <c r="Z432" s="51"/>
      <c r="AA432" s="51"/>
      <c r="AB432" s="51"/>
    </row>
    <row r="433" spans="1:28">
      <c r="A433" s="51" t="e">
        <f t="shared" si="62"/>
        <v>#REF!</v>
      </c>
      <c r="B433" s="51">
        <f t="shared" si="63"/>
        <v>2045</v>
      </c>
      <c r="C433" s="51" t="str">
        <f t="shared" si="63"/>
        <v>AMS</v>
      </c>
      <c r="D433" s="51" t="s">
        <v>503</v>
      </c>
      <c r="E433" s="51" t="e">
        <f>VLOOKUP($H$6,#REF!,2,FALSE)</f>
        <v>#REF!</v>
      </c>
      <c r="F433" s="51"/>
      <c r="G433" s="620" t="s">
        <v>353</v>
      </c>
      <c r="H433" s="613">
        <v>0</v>
      </c>
      <c r="I433" s="613">
        <v>0</v>
      </c>
      <c r="J433" s="613">
        <v>0</v>
      </c>
      <c r="K433" s="613">
        <v>0</v>
      </c>
      <c r="L433" s="613">
        <v>0</v>
      </c>
      <c r="M433" s="613">
        <v>-1.1466991714325052</v>
      </c>
      <c r="N433" s="613">
        <v>0</v>
      </c>
      <c r="O433" s="613">
        <v>0</v>
      </c>
      <c r="P433" s="613">
        <v>0</v>
      </c>
      <c r="Q433" s="613">
        <v>0</v>
      </c>
      <c r="R433" s="613">
        <v>0</v>
      </c>
      <c r="S433" s="613">
        <v>0</v>
      </c>
      <c r="T433" s="613">
        <v>0</v>
      </c>
      <c r="U433" s="613">
        <v>0</v>
      </c>
      <c r="V433" s="613">
        <v>0</v>
      </c>
      <c r="W433" s="613">
        <v>0</v>
      </c>
      <c r="X433" s="613">
        <v>1.5966000387788533</v>
      </c>
      <c r="Y433" s="621">
        <v>0.44990086734634804</v>
      </c>
      <c r="Z433" s="51"/>
      <c r="AA433" s="51"/>
      <c r="AB433" s="51"/>
    </row>
    <row r="434" spans="1:28">
      <c r="A434" s="51" t="e">
        <f t="shared" si="62"/>
        <v>#REF!</v>
      </c>
      <c r="B434" s="51">
        <f t="shared" si="63"/>
        <v>2045</v>
      </c>
      <c r="C434" s="51" t="str">
        <f t="shared" si="63"/>
        <v>AMS</v>
      </c>
      <c r="D434" s="51" t="s">
        <v>504</v>
      </c>
      <c r="E434" s="51" t="e">
        <f>VLOOKUP($H$6,#REF!,2,FALSE)</f>
        <v>#REF!</v>
      </c>
      <c r="F434" s="51"/>
      <c r="G434" s="620" t="s">
        <v>72</v>
      </c>
      <c r="H434" s="613">
        <v>0</v>
      </c>
      <c r="I434" s="613">
        <v>197.54631533572405</v>
      </c>
      <c r="J434" s="613">
        <v>-195.57532355071015</v>
      </c>
      <c r="K434" s="613">
        <v>0</v>
      </c>
      <c r="L434" s="613">
        <v>0</v>
      </c>
      <c r="M434" s="613">
        <v>0</v>
      </c>
      <c r="N434" s="613">
        <v>0</v>
      </c>
      <c r="O434" s="613">
        <v>0</v>
      </c>
      <c r="P434" s="613">
        <v>0</v>
      </c>
      <c r="Q434" s="613">
        <v>0</v>
      </c>
      <c r="R434" s="613">
        <v>0</v>
      </c>
      <c r="S434" s="613">
        <v>0</v>
      </c>
      <c r="T434" s="613">
        <v>0</v>
      </c>
      <c r="U434" s="613">
        <v>0</v>
      </c>
      <c r="V434" s="613">
        <v>0</v>
      </c>
      <c r="W434" s="613">
        <v>0</v>
      </c>
      <c r="X434" s="613">
        <v>0</v>
      </c>
      <c r="Y434" s="621">
        <v>1.9709917850139052</v>
      </c>
      <c r="Z434" s="51"/>
      <c r="AA434" s="51"/>
      <c r="AB434" s="51"/>
    </row>
    <row r="435" spans="1:28">
      <c r="A435" s="51" t="e">
        <f t="shared" si="62"/>
        <v>#REF!</v>
      </c>
      <c r="B435" s="51">
        <f t="shared" si="63"/>
        <v>2045</v>
      </c>
      <c r="C435" s="51" t="str">
        <f t="shared" si="63"/>
        <v>AMS</v>
      </c>
      <c r="D435" s="51" t="s">
        <v>505</v>
      </c>
      <c r="E435" s="51" t="e">
        <f>VLOOKUP($H$6,#REF!,2,FALSE)</f>
        <v>#REF!</v>
      </c>
      <c r="F435" s="51"/>
      <c r="G435" s="620" t="s">
        <v>354</v>
      </c>
      <c r="H435" s="613">
        <v>0</v>
      </c>
      <c r="I435" s="613">
        <v>0</v>
      </c>
      <c r="J435" s="613">
        <v>0</v>
      </c>
      <c r="K435" s="613">
        <v>0</v>
      </c>
      <c r="L435" s="613">
        <v>0</v>
      </c>
      <c r="M435" s="613">
        <v>0</v>
      </c>
      <c r="N435" s="613">
        <v>0</v>
      </c>
      <c r="O435" s="613">
        <v>0</v>
      </c>
      <c r="P435" s="613">
        <v>104.32434467350188</v>
      </c>
      <c r="Q435" s="613">
        <v>0</v>
      </c>
      <c r="R435" s="613">
        <v>-104.32434467350188</v>
      </c>
      <c r="S435" s="613">
        <v>0</v>
      </c>
      <c r="T435" s="613">
        <v>0</v>
      </c>
      <c r="U435" s="613">
        <v>0</v>
      </c>
      <c r="V435" s="613">
        <v>0</v>
      </c>
      <c r="W435" s="613">
        <v>0</v>
      </c>
      <c r="X435" s="613">
        <v>0</v>
      </c>
      <c r="Y435" s="621">
        <v>0</v>
      </c>
      <c r="Z435" s="51"/>
      <c r="AA435" s="51"/>
      <c r="AB435" s="51"/>
    </row>
    <row r="436" spans="1:28">
      <c r="A436" s="51" t="e">
        <f t="shared" si="62"/>
        <v>#REF!</v>
      </c>
      <c r="B436" s="51">
        <f t="shared" si="63"/>
        <v>2045</v>
      </c>
      <c r="C436" s="51" t="str">
        <f t="shared" si="63"/>
        <v>AMS</v>
      </c>
      <c r="D436" s="51" t="s">
        <v>506</v>
      </c>
      <c r="E436" s="51" t="e">
        <f>VLOOKUP($H$6,#REF!,2,FALSE)</f>
        <v>#REF!</v>
      </c>
      <c r="F436" s="51"/>
      <c r="G436" s="620" t="s">
        <v>355</v>
      </c>
      <c r="H436" s="613">
        <v>0</v>
      </c>
      <c r="I436" s="613">
        <v>0</v>
      </c>
      <c r="J436" s="613">
        <v>0</v>
      </c>
      <c r="K436" s="613">
        <v>-28.456538558191252</v>
      </c>
      <c r="L436" s="613">
        <v>0</v>
      </c>
      <c r="M436" s="613">
        <v>0</v>
      </c>
      <c r="N436" s="613">
        <v>0</v>
      </c>
      <c r="O436" s="613">
        <v>0</v>
      </c>
      <c r="P436" s="613">
        <v>0</v>
      </c>
      <c r="Q436" s="613">
        <v>0</v>
      </c>
      <c r="R436" s="613">
        <v>0</v>
      </c>
      <c r="S436" s="613">
        <v>0</v>
      </c>
      <c r="T436" s="613">
        <v>0</v>
      </c>
      <c r="U436" s="613">
        <v>0</v>
      </c>
      <c r="V436" s="613">
        <v>0</v>
      </c>
      <c r="W436" s="613">
        <v>0</v>
      </c>
      <c r="X436" s="613">
        <v>39.633062058762192</v>
      </c>
      <c r="Y436" s="621">
        <v>11.176523500570941</v>
      </c>
      <c r="Z436" s="51"/>
      <c r="AA436" s="51"/>
      <c r="AB436" s="51"/>
    </row>
    <row r="437" spans="1:28">
      <c r="A437" s="51" t="e">
        <f t="shared" si="62"/>
        <v>#REF!</v>
      </c>
      <c r="B437" s="51">
        <f t="shared" si="63"/>
        <v>2045</v>
      </c>
      <c r="C437" s="51" t="str">
        <f t="shared" si="63"/>
        <v>AMS</v>
      </c>
      <c r="D437" s="51" t="s">
        <v>507</v>
      </c>
      <c r="E437" s="51" t="e">
        <f>VLOOKUP($H$6,#REF!,2,FALSE)</f>
        <v>#REF!</v>
      </c>
      <c r="F437" s="51"/>
      <c r="G437" s="620" t="s">
        <v>73</v>
      </c>
      <c r="H437" s="613">
        <v>0</v>
      </c>
      <c r="I437" s="613">
        <v>0</v>
      </c>
      <c r="J437" s="613">
        <v>0</v>
      </c>
      <c r="K437" s="613">
        <v>0</v>
      </c>
      <c r="L437" s="613">
        <v>0</v>
      </c>
      <c r="M437" s="613">
        <v>0</v>
      </c>
      <c r="N437" s="613">
        <v>0</v>
      </c>
      <c r="O437" s="613">
        <v>0</v>
      </c>
      <c r="P437" s="613">
        <v>0</v>
      </c>
      <c r="Q437" s="613">
        <v>0</v>
      </c>
      <c r="R437" s="613">
        <v>0</v>
      </c>
      <c r="S437" s="613">
        <v>0</v>
      </c>
      <c r="T437" s="613">
        <v>0</v>
      </c>
      <c r="U437" s="613">
        <v>0</v>
      </c>
      <c r="V437" s="613">
        <v>138.41969178076673</v>
      </c>
      <c r="W437" s="613">
        <v>0</v>
      </c>
      <c r="X437" s="613">
        <v>-97.239833475988632</v>
      </c>
      <c r="Y437" s="621">
        <v>41.179858304778094</v>
      </c>
      <c r="Z437" s="51"/>
      <c r="AA437" s="51"/>
      <c r="AB437" s="51"/>
    </row>
    <row r="438" spans="1:28">
      <c r="A438" s="51" t="e">
        <f t="shared" si="62"/>
        <v>#REF!</v>
      </c>
      <c r="B438" s="51">
        <f t="shared" si="63"/>
        <v>2045</v>
      </c>
      <c r="C438" s="51" t="str">
        <f t="shared" si="63"/>
        <v>AMS</v>
      </c>
      <c r="D438" s="51" t="s">
        <v>508</v>
      </c>
      <c r="E438" s="51" t="e">
        <f>VLOOKUP($H$6,#REF!,2,FALSE)</f>
        <v>#REF!</v>
      </c>
      <c r="F438" s="51"/>
      <c r="G438" s="620" t="s">
        <v>356</v>
      </c>
      <c r="H438" s="613">
        <v>5.0092797656249992</v>
      </c>
      <c r="I438" s="613">
        <v>-6.8897151576022866</v>
      </c>
      <c r="J438" s="613">
        <v>8.9891621815142653</v>
      </c>
      <c r="K438" s="613">
        <v>0</v>
      </c>
      <c r="L438" s="613">
        <v>0</v>
      </c>
      <c r="M438" s="613">
        <v>0</v>
      </c>
      <c r="N438" s="613">
        <v>0</v>
      </c>
      <c r="O438" s="613">
        <v>0</v>
      </c>
      <c r="P438" s="613">
        <v>0</v>
      </c>
      <c r="Q438" s="613">
        <v>0</v>
      </c>
      <c r="R438" s="613">
        <v>0</v>
      </c>
      <c r="S438" s="613">
        <v>0</v>
      </c>
      <c r="T438" s="613">
        <v>0</v>
      </c>
      <c r="U438" s="613">
        <v>0</v>
      </c>
      <c r="V438" s="613">
        <v>0</v>
      </c>
      <c r="W438" s="613">
        <v>0</v>
      </c>
      <c r="X438" s="613">
        <v>0</v>
      </c>
      <c r="Y438" s="621">
        <v>7.1087267895369788</v>
      </c>
      <c r="Z438" s="51"/>
      <c r="AA438" s="51"/>
      <c r="AB438" s="51"/>
    </row>
    <row r="439" spans="1:28">
      <c r="A439" s="51" t="e">
        <f t="shared" si="62"/>
        <v>#REF!</v>
      </c>
      <c r="B439" s="51">
        <f t="shared" si="63"/>
        <v>2045</v>
      </c>
      <c r="C439" s="51" t="str">
        <f t="shared" si="63"/>
        <v>AMS</v>
      </c>
      <c r="D439" s="51" t="s">
        <v>509</v>
      </c>
      <c r="E439" s="51" t="e">
        <f>VLOOKUP($H$6,#REF!,2,FALSE)</f>
        <v>#REF!</v>
      </c>
      <c r="F439" s="51"/>
      <c r="G439" s="620" t="s">
        <v>75</v>
      </c>
      <c r="H439" s="613">
        <v>1.9480532421875001</v>
      </c>
      <c r="I439" s="613">
        <v>0</v>
      </c>
      <c r="J439" s="613">
        <v>17.132121990826434</v>
      </c>
      <c r="K439" s="613">
        <v>0</v>
      </c>
      <c r="L439" s="613">
        <v>1.9377811160090992</v>
      </c>
      <c r="M439" s="613">
        <v>4.9686695282284594E-2</v>
      </c>
      <c r="N439" s="613">
        <v>0</v>
      </c>
      <c r="O439" s="613">
        <v>0</v>
      </c>
      <c r="P439" s="613">
        <v>0</v>
      </c>
      <c r="Q439" s="613">
        <v>0</v>
      </c>
      <c r="R439" s="613">
        <v>0</v>
      </c>
      <c r="S439" s="613">
        <v>2.9812017169370755</v>
      </c>
      <c r="T439" s="613">
        <v>0</v>
      </c>
      <c r="U439" s="613">
        <v>0</v>
      </c>
      <c r="V439" s="613">
        <v>21.857474013020223</v>
      </c>
      <c r="W439" s="613">
        <v>0</v>
      </c>
      <c r="X439" s="613">
        <v>0</v>
      </c>
      <c r="Y439" s="621">
        <v>45.906318774262616</v>
      </c>
      <c r="Z439" s="51"/>
      <c r="AA439" s="51"/>
      <c r="AB439" s="51"/>
    </row>
    <row r="440" spans="1:28">
      <c r="A440" s="51" t="e">
        <f t="shared" si="62"/>
        <v>#REF!</v>
      </c>
      <c r="B440" s="51">
        <f t="shared" si="63"/>
        <v>2045</v>
      </c>
      <c r="C440" s="51" t="str">
        <f t="shared" si="63"/>
        <v>AMS</v>
      </c>
      <c r="D440" s="51" t="s">
        <v>510</v>
      </c>
      <c r="E440" s="51" t="e">
        <f>VLOOKUP($H$6,#REF!,2,FALSE)</f>
        <v>#REF!</v>
      </c>
      <c r="F440" s="51"/>
      <c r="G440" s="620" t="s">
        <v>76</v>
      </c>
      <c r="H440" s="613">
        <v>0</v>
      </c>
      <c r="I440" s="613">
        <v>0</v>
      </c>
      <c r="J440" s="613">
        <v>0</v>
      </c>
      <c r="K440" s="613">
        <v>0</v>
      </c>
      <c r="L440" s="613">
        <v>0.58071595304039991</v>
      </c>
      <c r="M440" s="613">
        <v>1.4890152642061536E-2</v>
      </c>
      <c r="N440" s="613">
        <v>0</v>
      </c>
      <c r="O440" s="613">
        <v>0</v>
      </c>
      <c r="P440" s="613">
        <v>0</v>
      </c>
      <c r="Q440" s="613">
        <v>0</v>
      </c>
      <c r="R440" s="613">
        <v>0</v>
      </c>
      <c r="S440" s="613">
        <v>0.89340915852369218</v>
      </c>
      <c r="T440" s="613">
        <v>0</v>
      </c>
      <c r="U440" s="613">
        <v>0</v>
      </c>
      <c r="V440" s="613">
        <v>52.719460375561816</v>
      </c>
      <c r="W440" s="613">
        <v>5.2350040213197584</v>
      </c>
      <c r="X440" s="613">
        <v>0</v>
      </c>
      <c r="Y440" s="621">
        <v>59.443479661087729</v>
      </c>
      <c r="Z440" s="51"/>
      <c r="AA440" s="51"/>
      <c r="AB440" s="51"/>
    </row>
    <row r="441" spans="1:28">
      <c r="A441" s="51" t="e">
        <f t="shared" si="62"/>
        <v>#REF!</v>
      </c>
      <c r="B441" s="51">
        <f t="shared" si="63"/>
        <v>2045</v>
      </c>
      <c r="C441" s="51" t="str">
        <f t="shared" si="63"/>
        <v>AMS</v>
      </c>
      <c r="D441" s="51" t="s">
        <v>511</v>
      </c>
      <c r="E441" s="51" t="e">
        <f>VLOOKUP($H$6,#REF!,2,FALSE)</f>
        <v>#REF!</v>
      </c>
      <c r="F441" s="51"/>
      <c r="G441" s="616" t="s">
        <v>77</v>
      </c>
      <c r="H441" s="617">
        <v>6.9573330078124993</v>
      </c>
      <c r="I441" s="617">
        <v>190.65660017812178</v>
      </c>
      <c r="J441" s="617">
        <v>-169.45403937836946</v>
      </c>
      <c r="K441" s="617">
        <v>-28.456538558191252</v>
      </c>
      <c r="L441" s="624">
        <v>5.7896081104900246</v>
      </c>
      <c r="M441" s="617">
        <v>-1.0821223235081592</v>
      </c>
      <c r="N441" s="617">
        <v>894.1849636363637</v>
      </c>
      <c r="O441" s="617">
        <v>463.21999229285728</v>
      </c>
      <c r="P441" s="617">
        <v>238.50712691867363</v>
      </c>
      <c r="Q441" s="617">
        <v>20.182155142145696</v>
      </c>
      <c r="R441" s="617">
        <v>-97.979183669473088</v>
      </c>
      <c r="S441" s="617">
        <v>-68.512768882443467</v>
      </c>
      <c r="T441" s="617">
        <v>0</v>
      </c>
      <c r="U441" s="617">
        <v>17.752689384804853</v>
      </c>
      <c r="V441" s="617">
        <v>-563.98591998787845</v>
      </c>
      <c r="W441" s="617">
        <v>-62.259463122360671</v>
      </c>
      <c r="X441" s="617">
        <v>-43.92297840044759</v>
      </c>
      <c r="Y441" s="617">
        <v>801.59745434859713</v>
      </c>
      <c r="Z441" s="51"/>
      <c r="AA441" s="51"/>
      <c r="AB441" s="51"/>
    </row>
    <row r="442" spans="1:28">
      <c r="A442" s="51"/>
      <c r="B442" s="51"/>
      <c r="C442" s="51"/>
      <c r="D442" s="51"/>
      <c r="E442" s="51"/>
      <c r="F442" s="51"/>
      <c r="G442" s="618"/>
      <c r="H442" s="619">
        <v>0</v>
      </c>
      <c r="I442" s="619">
        <v>0</v>
      </c>
      <c r="J442" s="619">
        <v>0</v>
      </c>
      <c r="K442" s="619">
        <v>0</v>
      </c>
      <c r="L442" s="625">
        <v>0</v>
      </c>
      <c r="M442" s="619">
        <v>0</v>
      </c>
      <c r="N442" s="619">
        <v>0</v>
      </c>
      <c r="O442" s="619">
        <v>0</v>
      </c>
      <c r="P442" s="619">
        <v>0</v>
      </c>
      <c r="Q442" s="619">
        <v>0</v>
      </c>
      <c r="R442" s="619">
        <v>0</v>
      </c>
      <c r="S442" s="619">
        <v>0</v>
      </c>
      <c r="T442" s="619">
        <v>0</v>
      </c>
      <c r="U442" s="619">
        <v>0</v>
      </c>
      <c r="V442" s="619">
        <v>0</v>
      </c>
      <c r="W442" s="619">
        <v>0</v>
      </c>
      <c r="X442" s="619">
        <v>0</v>
      </c>
      <c r="Y442" s="619">
        <v>0</v>
      </c>
      <c r="Z442" s="51"/>
      <c r="AA442" s="51"/>
      <c r="AB442" s="51"/>
    </row>
    <row r="443" spans="1:28">
      <c r="A443" s="51" t="e">
        <f>A441+2</f>
        <v>#REF!</v>
      </c>
      <c r="B443" s="51">
        <f>B441</f>
        <v>2045</v>
      </c>
      <c r="C443" s="51" t="str">
        <f>C421</f>
        <v>AMS</v>
      </c>
      <c r="D443" s="51" t="s">
        <v>512</v>
      </c>
      <c r="E443" s="51" t="e">
        <f>VLOOKUP($H$6,#REF!,2,FALSE)</f>
        <v>#REF!</v>
      </c>
      <c r="F443" s="51"/>
      <c r="G443" s="620" t="s">
        <v>78</v>
      </c>
      <c r="H443" s="613">
        <v>2.1515630330821871</v>
      </c>
      <c r="I443" s="613">
        <v>0</v>
      </c>
      <c r="J443" s="613">
        <v>1.9729303012498745</v>
      </c>
      <c r="K443" s="613">
        <v>0</v>
      </c>
      <c r="L443" s="613">
        <v>17.624600662262115</v>
      </c>
      <c r="M443" s="613">
        <v>0.45191283749390032</v>
      </c>
      <c r="N443" s="613">
        <v>0</v>
      </c>
      <c r="O443" s="613">
        <v>0</v>
      </c>
      <c r="P443" s="613">
        <v>19.327819378703428</v>
      </c>
      <c r="Q443" s="613">
        <v>2.2279514023281117</v>
      </c>
      <c r="R443" s="613">
        <v>2.6644658203125</v>
      </c>
      <c r="S443" s="613">
        <v>27.156120456665761</v>
      </c>
      <c r="T443" s="613">
        <v>9.6085478515625002</v>
      </c>
      <c r="U443" s="613">
        <v>8.4299170840015686E-4</v>
      </c>
      <c r="V443" s="613">
        <v>135.80773886663795</v>
      </c>
      <c r="W443" s="613">
        <v>18.436108583667494</v>
      </c>
      <c r="X443" s="613">
        <v>6.3938178710937503</v>
      </c>
      <c r="Y443" s="621">
        <v>243.82442005676796</v>
      </c>
      <c r="Z443" s="51"/>
      <c r="AA443" s="622" t="e" cm="1">
        <f t="array" aca="1" ref="AA443" ca="1">_xlfn.IFNA(INDEX(#REF!,MATCH(INDIRECT("Codes_bilans!"&amp;AA$1&amp;"$"&amp;$A443),#REF!,0),MATCH($B443,#REF!,0)),0)</f>
        <v>#REF!</v>
      </c>
      <c r="AB443" s="51"/>
    </row>
    <row r="444" spans="1:28">
      <c r="A444" s="51" t="e">
        <f t="shared" ref="A444:A451" si="64">A443+1</f>
        <v>#REF!</v>
      </c>
      <c r="B444" s="51">
        <f t="shared" ref="B444:C451" si="65">B443</f>
        <v>2045</v>
      </c>
      <c r="C444" s="51" t="str">
        <f t="shared" si="65"/>
        <v>AMS</v>
      </c>
      <c r="D444" s="51" t="s">
        <v>513</v>
      </c>
      <c r="E444" s="51" t="e">
        <f>VLOOKUP($H$6,#REF!,2,FALSE)</f>
        <v>#REF!</v>
      </c>
      <c r="F444" s="51"/>
      <c r="G444" s="620" t="s">
        <v>79</v>
      </c>
      <c r="H444" s="613">
        <v>0</v>
      </c>
      <c r="I444" s="613">
        <v>0</v>
      </c>
      <c r="J444" s="613">
        <v>5.1934680094593588</v>
      </c>
      <c r="K444" s="613">
        <v>1.7577012997845347</v>
      </c>
      <c r="L444" s="613">
        <v>2.152977175631825</v>
      </c>
      <c r="M444" s="613">
        <v>5.5204542964918585E-2</v>
      </c>
      <c r="N444" s="613">
        <v>0</v>
      </c>
      <c r="O444" s="613">
        <v>0</v>
      </c>
      <c r="P444" s="613">
        <v>0</v>
      </c>
      <c r="Q444" s="613">
        <v>0</v>
      </c>
      <c r="R444" s="613">
        <v>51.143075106834317</v>
      </c>
      <c r="S444" s="613">
        <v>3.312272577895115</v>
      </c>
      <c r="T444" s="613">
        <v>0</v>
      </c>
      <c r="U444" s="613">
        <v>0</v>
      </c>
      <c r="V444" s="613">
        <v>104.19646172854269</v>
      </c>
      <c r="W444" s="613">
        <v>0</v>
      </c>
      <c r="X444" s="613">
        <v>4.7641609973157095</v>
      </c>
      <c r="Y444" s="621">
        <v>172.57532143842849</v>
      </c>
      <c r="Z444" s="51"/>
      <c r="AA444" s="622" t="e" cm="1">
        <f t="array" aca="1" ref="AA444" ca="1">_xlfn.IFNA(INDEX(#REF!,MATCH(INDIRECT("Codes_bilans!"&amp;AA$1&amp;"$"&amp;$A444),#REF!,0),MATCH($B444,#REF!,0)),0)</f>
        <v>#REF!</v>
      </c>
      <c r="AB444" s="51"/>
    </row>
    <row r="445" spans="1:28">
      <c r="A445" s="51" t="e">
        <f t="shared" si="64"/>
        <v>#REF!</v>
      </c>
      <c r="B445" s="51">
        <f t="shared" si="65"/>
        <v>2045</v>
      </c>
      <c r="C445" s="51" t="str">
        <f t="shared" si="65"/>
        <v>AMS</v>
      </c>
      <c r="D445" s="51" t="s">
        <v>514</v>
      </c>
      <c r="E445" s="51" t="e">
        <f>VLOOKUP($H$6,#REF!,2,FALSE)</f>
        <v>#REF!</v>
      </c>
      <c r="F445" s="51"/>
      <c r="G445" s="620" t="s">
        <v>80</v>
      </c>
      <c r="H445" s="613">
        <v>0</v>
      </c>
      <c r="I445" s="613">
        <v>0</v>
      </c>
      <c r="J445" s="613">
        <v>1.724730994879903</v>
      </c>
      <c r="K445" s="613">
        <v>0</v>
      </c>
      <c r="L445" s="613">
        <v>12.69993934515486</v>
      </c>
      <c r="M445" s="613">
        <v>0.32563947038858615</v>
      </c>
      <c r="N445" s="613">
        <v>0</v>
      </c>
      <c r="O445" s="613">
        <v>0</v>
      </c>
      <c r="P445" s="613">
        <v>30.989297403436193</v>
      </c>
      <c r="Q445" s="613">
        <v>0</v>
      </c>
      <c r="R445" s="613">
        <v>0</v>
      </c>
      <c r="S445" s="613">
        <v>19.538368223315167</v>
      </c>
      <c r="T445" s="613">
        <v>115.76071669132362</v>
      </c>
      <c r="U445" s="613">
        <v>2.9888036499995505</v>
      </c>
      <c r="V445" s="613">
        <v>139.03080400703527</v>
      </c>
      <c r="W445" s="613">
        <v>24.846536847991327</v>
      </c>
      <c r="X445" s="613">
        <v>0</v>
      </c>
      <c r="Y445" s="621">
        <v>347.90483663352444</v>
      </c>
      <c r="Z445" s="51"/>
      <c r="AA445" s="622" t="e" cm="1">
        <f t="array" aca="1" ref="AA445" ca="1">_xlfn.IFNA(INDEX(#REF!,MATCH(INDIRECT("Codes_bilans!"&amp;AA$1&amp;"$"&amp;$A445),#REF!,0),MATCH($B445,#REF!,0)),0)</f>
        <v>#REF!</v>
      </c>
      <c r="AB445" s="51"/>
    </row>
    <row r="446" spans="1:28">
      <c r="A446" s="51" t="e">
        <f t="shared" si="64"/>
        <v>#REF!</v>
      </c>
      <c r="B446" s="51">
        <f t="shared" si="65"/>
        <v>2045</v>
      </c>
      <c r="C446" s="51" t="str">
        <f t="shared" si="65"/>
        <v>AMS</v>
      </c>
      <c r="D446" s="51" t="s">
        <v>515</v>
      </c>
      <c r="E446" s="51" t="e">
        <f>VLOOKUP($H$6,#REF!,2,FALSE)</f>
        <v>#REF!</v>
      </c>
      <c r="F446" s="51"/>
      <c r="G446" s="620" t="s">
        <v>81</v>
      </c>
      <c r="H446" s="613">
        <v>0</v>
      </c>
      <c r="I446" s="613">
        <v>0</v>
      </c>
      <c r="J446" s="613">
        <v>0.73542128008657859</v>
      </c>
      <c r="K446" s="613">
        <v>0</v>
      </c>
      <c r="L446" s="613">
        <v>6.9022329775494073</v>
      </c>
      <c r="M446" s="613">
        <v>0.17698033275767711</v>
      </c>
      <c r="N446" s="613">
        <v>0</v>
      </c>
      <c r="O446" s="613">
        <v>0</v>
      </c>
      <c r="P446" s="613">
        <v>0.37326901233115406</v>
      </c>
      <c r="Q446" s="613">
        <v>3.4682726224379159E-4</v>
      </c>
      <c r="R446" s="613">
        <v>0</v>
      </c>
      <c r="S446" s="613">
        <v>10.618819965460625</v>
      </c>
      <c r="T446" s="613">
        <v>27.414780089746973</v>
      </c>
      <c r="U446" s="613">
        <v>1.0008652914522365</v>
      </c>
      <c r="V446" s="613">
        <v>86.91432505661372</v>
      </c>
      <c r="W446" s="613">
        <v>18.976817690701857</v>
      </c>
      <c r="X446" s="613">
        <v>0</v>
      </c>
      <c r="Y446" s="621">
        <v>153.11385852396248</v>
      </c>
      <c r="Z446" s="51"/>
      <c r="AA446" s="622" t="e" cm="1">
        <f t="array" aca="1" ref="AA446" ca="1">_xlfn.IFNA(INDEX(#REF!,MATCH(INDIRECT("Codes_bilans!"&amp;AA$1&amp;"$"&amp;$A446),#REF!,0),MATCH($B446,#REF!,0)),0)</f>
        <v>#REF!</v>
      </c>
      <c r="AB446" s="51"/>
    </row>
    <row r="447" spans="1:28">
      <c r="A447" s="51" t="e">
        <f t="shared" si="64"/>
        <v>#REF!</v>
      </c>
      <c r="B447" s="51">
        <f t="shared" si="65"/>
        <v>2045</v>
      </c>
      <c r="C447" s="51" t="str">
        <f t="shared" si="65"/>
        <v>AMS</v>
      </c>
      <c r="D447" s="51" t="s">
        <v>516</v>
      </c>
      <c r="E447" s="51" t="e">
        <f>VLOOKUP($H$6,#REF!,2,FALSE)</f>
        <v>#REF!</v>
      </c>
      <c r="F447" s="51"/>
      <c r="G447" s="620" t="s">
        <v>82</v>
      </c>
      <c r="H447" s="613">
        <v>0</v>
      </c>
      <c r="I447" s="613">
        <v>0</v>
      </c>
      <c r="J447" s="613">
        <v>3.5155989746586096</v>
      </c>
      <c r="K447" s="613">
        <v>0</v>
      </c>
      <c r="L447" s="613">
        <v>0.66808232732668293</v>
      </c>
      <c r="M447" s="613">
        <v>1.7130316085299562E-2</v>
      </c>
      <c r="N447" s="613">
        <v>0</v>
      </c>
      <c r="O447" s="613">
        <v>0</v>
      </c>
      <c r="P447" s="613">
        <v>3.9742935582164471</v>
      </c>
      <c r="Q447" s="613">
        <v>0</v>
      </c>
      <c r="R447" s="613">
        <v>17.824426087880788</v>
      </c>
      <c r="S447" s="613">
        <v>1.0278189651179737</v>
      </c>
      <c r="T447" s="613">
        <v>1.25</v>
      </c>
      <c r="U447" s="613">
        <v>1.7440136932478227</v>
      </c>
      <c r="V447" s="613">
        <v>7.8035752238100597</v>
      </c>
      <c r="W447" s="613">
        <v>0</v>
      </c>
      <c r="X447" s="613">
        <v>0.38427420359697795</v>
      </c>
      <c r="Y447" s="621">
        <v>38.209213349940661</v>
      </c>
      <c r="Z447" s="51"/>
      <c r="AA447" s="622" t="e" cm="1">
        <f t="array" aca="1" ref="AA447" ca="1">_xlfn.IFNA(INDEX(#REF!,MATCH(INDIRECT("Codes_bilans!"&amp;AA$1&amp;"$"&amp;$A447),#REF!,0),MATCH($B447,#REF!,0)),0)</f>
        <v>#REF!</v>
      </c>
      <c r="AB447" s="51"/>
    </row>
    <row r="448" spans="1:28">
      <c r="A448" s="51" t="e">
        <f t="shared" si="64"/>
        <v>#REF!</v>
      </c>
      <c r="B448" s="51">
        <f t="shared" si="65"/>
        <v>2045</v>
      </c>
      <c r="C448" s="51" t="str">
        <f t="shared" si="65"/>
        <v>AMS</v>
      </c>
      <c r="D448" s="51" t="s">
        <v>517</v>
      </c>
      <c r="E448" s="51" t="e">
        <f>VLOOKUP($H$6,#REF!,2,FALSE)</f>
        <v>#REF!</v>
      </c>
      <c r="F448" s="51"/>
      <c r="G448" s="620" t="s">
        <v>357</v>
      </c>
      <c r="H448" s="613">
        <v>0</v>
      </c>
      <c r="I448" s="613">
        <v>0</v>
      </c>
      <c r="J448" s="613">
        <v>0</v>
      </c>
      <c r="K448" s="613">
        <v>0</v>
      </c>
      <c r="L448" s="613">
        <v>0</v>
      </c>
      <c r="M448" s="613">
        <v>0</v>
      </c>
      <c r="N448" s="613">
        <v>0</v>
      </c>
      <c r="O448" s="613">
        <v>0</v>
      </c>
      <c r="P448" s="613">
        <v>0</v>
      </c>
      <c r="Q448" s="613">
        <v>0</v>
      </c>
      <c r="R448" s="613">
        <v>0</v>
      </c>
      <c r="S448" s="613">
        <v>0</v>
      </c>
      <c r="T448" s="613">
        <v>0</v>
      </c>
      <c r="U448" s="613">
        <v>0</v>
      </c>
      <c r="V448" s="613">
        <v>2.21408</v>
      </c>
      <c r="W448" s="613">
        <v>0</v>
      </c>
      <c r="X448" s="613">
        <v>0</v>
      </c>
      <c r="Y448" s="621">
        <v>2.21408</v>
      </c>
      <c r="Z448" s="51"/>
      <c r="AA448" s="622" t="e" cm="1">
        <f t="array" aca="1" ref="AA448" ca="1">_xlfn.IFNA(INDEX(#REF!,MATCH(INDIRECT("Codes_bilans!"&amp;AA$1&amp;"$"&amp;$A448),#REF!,0),MATCH($B448,#REF!,0)),0)</f>
        <v>#REF!</v>
      </c>
      <c r="AB448" s="51"/>
    </row>
    <row r="449" spans="1:28">
      <c r="A449" s="51" t="e">
        <f t="shared" si="64"/>
        <v>#REF!</v>
      </c>
      <c r="B449" s="51">
        <f t="shared" si="65"/>
        <v>2045</v>
      </c>
      <c r="C449" s="51" t="str">
        <f t="shared" si="65"/>
        <v>AMS</v>
      </c>
      <c r="D449" s="51" t="s">
        <v>518</v>
      </c>
      <c r="E449" s="51" t="e">
        <f>VLOOKUP($H$6,#REF!,2,FALSE)</f>
        <v>#REF!</v>
      </c>
      <c r="F449" s="51"/>
      <c r="G449" s="616" t="s">
        <v>83</v>
      </c>
      <c r="H449" s="617">
        <v>2.1515630330821871</v>
      </c>
      <c r="I449" s="617">
        <v>0</v>
      </c>
      <c r="J449" s="617">
        <v>13.142149560334325</v>
      </c>
      <c r="K449" s="617">
        <v>1.7577012997845347</v>
      </c>
      <c r="L449" s="624">
        <v>40.047832487924893</v>
      </c>
      <c r="M449" s="617">
        <v>1.0268674996903817</v>
      </c>
      <c r="N449" s="617">
        <v>0</v>
      </c>
      <c r="O449" s="617">
        <v>0</v>
      </c>
      <c r="P449" s="617">
        <v>54.664679352687223</v>
      </c>
      <c r="Q449" s="617">
        <v>2.2282982295903557</v>
      </c>
      <c r="R449" s="617">
        <v>71.631967015027612</v>
      </c>
      <c r="S449" s="617">
        <v>61.65340018845464</v>
      </c>
      <c r="T449" s="617">
        <v>154.03404463263311</v>
      </c>
      <c r="U449" s="617">
        <v>5.7345256264080096</v>
      </c>
      <c r="V449" s="617">
        <v>475.96698488263968</v>
      </c>
      <c r="W449" s="617">
        <v>62.259463122360671</v>
      </c>
      <c r="X449" s="617">
        <v>11.542253072006439</v>
      </c>
      <c r="Y449" s="617">
        <v>957.84173000262399</v>
      </c>
      <c r="Z449" s="51"/>
      <c r="AA449" s="51"/>
      <c r="AB449" s="51"/>
    </row>
    <row r="450" spans="1:28">
      <c r="A450" s="51" t="e">
        <f t="shared" si="64"/>
        <v>#REF!</v>
      </c>
      <c r="B450" s="51">
        <f t="shared" si="65"/>
        <v>2045</v>
      </c>
      <c r="C450" s="51" t="str">
        <f t="shared" si="65"/>
        <v>AMS</v>
      </c>
      <c r="D450" s="51" t="s">
        <v>519</v>
      </c>
      <c r="E450" s="51" t="e">
        <f>VLOOKUP($H$6,#REF!,2,FALSE)</f>
        <v>#REF!</v>
      </c>
      <c r="F450" s="51"/>
      <c r="G450" s="612" t="s">
        <v>84</v>
      </c>
      <c r="H450" s="613">
        <v>0</v>
      </c>
      <c r="I450" s="613">
        <v>0</v>
      </c>
      <c r="J450" s="613">
        <v>50.64517840221108</v>
      </c>
      <c r="K450" s="613">
        <v>7.8734962103748298</v>
      </c>
      <c r="L450" s="613">
        <v>4.7799931551444459</v>
      </c>
      <c r="M450" s="613">
        <v>0</v>
      </c>
      <c r="N450" s="613">
        <v>0</v>
      </c>
      <c r="O450" s="613">
        <v>0</v>
      </c>
      <c r="P450" s="613">
        <v>0.52419855520004055</v>
      </c>
      <c r="Q450" s="613">
        <v>0</v>
      </c>
      <c r="R450" s="613">
        <v>18.858697915767927</v>
      </c>
      <c r="S450" s="613">
        <v>3.7147337189182332</v>
      </c>
      <c r="T450" s="613">
        <v>0</v>
      </c>
      <c r="U450" s="613">
        <v>0</v>
      </c>
      <c r="V450" s="613">
        <v>0</v>
      </c>
      <c r="W450" s="613">
        <v>0</v>
      </c>
      <c r="X450" s="613">
        <v>30.985390762521494</v>
      </c>
      <c r="Y450" s="621">
        <v>117.38168872013804</v>
      </c>
      <c r="Z450" s="51"/>
      <c r="AA450" s="622" t="e" cm="1">
        <f t="array" aca="1" ref="AA450" ca="1">_xlfn.IFNA(INDEX(#REF!,MATCH(INDIRECT("Codes_bilans!"&amp;AA$1&amp;"$"&amp;$A450),#REF!,0),MATCH($B450,#REF!,0)),0)</f>
        <v>#REF!</v>
      </c>
      <c r="AB450" s="51"/>
    </row>
    <row r="451" spans="1:28">
      <c r="A451" s="51" t="e">
        <f t="shared" si="64"/>
        <v>#REF!</v>
      </c>
      <c r="B451" s="51">
        <f t="shared" si="65"/>
        <v>2045</v>
      </c>
      <c r="C451" s="51" t="str">
        <f t="shared" si="65"/>
        <v>AMS</v>
      </c>
      <c r="D451" s="51" t="s">
        <v>520</v>
      </c>
      <c r="E451" s="51" t="e">
        <f>VLOOKUP($H$6,#REF!,2,FALSE)</f>
        <v>#REF!</v>
      </c>
      <c r="F451" s="51"/>
      <c r="G451" s="616" t="s">
        <v>85</v>
      </c>
      <c r="H451" s="617">
        <v>2.1515630330821871</v>
      </c>
      <c r="I451" s="617">
        <v>0</v>
      </c>
      <c r="J451" s="617">
        <v>63.787327962545405</v>
      </c>
      <c r="K451" s="617">
        <v>9.6311975101593639</v>
      </c>
      <c r="L451" s="624">
        <v>44.827825643069339</v>
      </c>
      <c r="M451" s="617">
        <v>1.0268674996903817</v>
      </c>
      <c r="N451" s="617">
        <v>0</v>
      </c>
      <c r="O451" s="617">
        <v>0</v>
      </c>
      <c r="P451" s="617">
        <v>55.18887790788726</v>
      </c>
      <c r="Q451" s="617">
        <v>2.2282982295903557</v>
      </c>
      <c r="R451" s="617">
        <v>90.490664930795546</v>
      </c>
      <c r="S451" s="617">
        <v>65.368133907372865</v>
      </c>
      <c r="T451" s="617">
        <v>154.03404463263311</v>
      </c>
      <c r="U451" s="617">
        <v>5.7345256264080096</v>
      </c>
      <c r="V451" s="617">
        <v>475.96698488263968</v>
      </c>
      <c r="W451" s="617">
        <v>62.259463122360671</v>
      </c>
      <c r="X451" s="617">
        <v>42.527643834527936</v>
      </c>
      <c r="Y451" s="617">
        <v>1075.2234187227621</v>
      </c>
      <c r="Z451" s="51"/>
      <c r="AA451" s="51"/>
      <c r="AB451" s="51"/>
    </row>
    <row r="452" spans="1:28">
      <c r="A452" s="51"/>
      <c r="B452" s="51"/>
      <c r="C452" s="51"/>
      <c r="D452" s="51"/>
      <c r="E452" s="51"/>
      <c r="F452" s="51"/>
      <c r="G452" s="51"/>
      <c r="H452" s="67">
        <v>0</v>
      </c>
      <c r="I452" s="67">
        <v>0</v>
      </c>
      <c r="J452" s="67">
        <v>0</v>
      </c>
      <c r="K452" s="67">
        <v>0</v>
      </c>
      <c r="L452" s="67">
        <v>0</v>
      </c>
      <c r="M452" s="67">
        <v>-1.3183898417423734E-16</v>
      </c>
      <c r="N452" s="67">
        <v>0</v>
      </c>
      <c r="O452" s="67">
        <v>0</v>
      </c>
      <c r="P452" s="67">
        <v>0</v>
      </c>
      <c r="Q452" s="67">
        <v>0</v>
      </c>
      <c r="R452" s="67">
        <v>1.2434497875801753E-14</v>
      </c>
      <c r="S452" s="67">
        <v>-1.8207657603852567E-14</v>
      </c>
      <c r="T452" s="67">
        <v>0</v>
      </c>
      <c r="U452" s="67">
        <v>0</v>
      </c>
      <c r="V452" s="67">
        <v>0</v>
      </c>
      <c r="W452" s="67">
        <v>0</v>
      </c>
      <c r="X452" s="67">
        <v>4.4408920985006262E-15</v>
      </c>
      <c r="Y452" s="67">
        <v>0</v>
      </c>
      <c r="Z452" s="51"/>
      <c r="AA452" s="51"/>
      <c r="AB452" s="51"/>
    </row>
    <row r="453" spans="1:28">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row>
    <row r="454" spans="1:28">
      <c r="A454" s="608"/>
      <c r="B454" s="608"/>
      <c r="C454" s="608"/>
      <c r="D454" s="608"/>
      <c r="E454" s="608"/>
      <c r="F454" s="608"/>
      <c r="G454" s="609" t="s">
        <v>89</v>
      </c>
      <c r="H454" s="608"/>
      <c r="I454" s="608"/>
      <c r="J454" s="608"/>
      <c r="K454" s="608"/>
      <c r="L454" s="608"/>
      <c r="M454" s="608"/>
      <c r="N454" s="608"/>
      <c r="O454" s="608"/>
      <c r="P454" s="608"/>
      <c r="Q454" s="608"/>
      <c r="R454" s="608"/>
      <c r="S454" s="608"/>
      <c r="T454" s="608"/>
      <c r="U454" s="608"/>
      <c r="V454" s="608"/>
      <c r="W454" s="608"/>
      <c r="X454" s="608"/>
      <c r="Y454" s="608"/>
      <c r="Z454" s="608"/>
      <c r="AA454" s="608"/>
      <c r="AB454" s="608"/>
    </row>
    <row r="455" spans="1:28">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row>
    <row r="456" spans="1:28" ht="14.25" customHeight="1">
      <c r="A456" s="51"/>
      <c r="B456" s="51"/>
      <c r="C456" s="51"/>
      <c r="D456" s="51"/>
      <c r="E456" s="51"/>
      <c r="F456" s="51"/>
      <c r="G456" s="713" t="s">
        <v>128</v>
      </c>
      <c r="H456" s="711" t="s">
        <v>42</v>
      </c>
      <c r="I456" s="711" t="s">
        <v>52</v>
      </c>
      <c r="J456" s="711" t="s">
        <v>53</v>
      </c>
      <c r="K456" s="711" t="s">
        <v>487</v>
      </c>
      <c r="L456" s="711" t="s">
        <v>32</v>
      </c>
      <c r="M456" s="711" t="s">
        <v>488</v>
      </c>
      <c r="N456" s="711" t="s">
        <v>20</v>
      </c>
      <c r="O456" s="711" t="s">
        <v>55</v>
      </c>
      <c r="P456" s="715" t="s">
        <v>56</v>
      </c>
      <c r="Q456" s="716"/>
      <c r="R456" s="716"/>
      <c r="S456" s="716"/>
      <c r="T456" s="716"/>
      <c r="U456" s="717"/>
      <c r="V456" s="711" t="s">
        <v>57</v>
      </c>
      <c r="W456" s="711" t="s">
        <v>58</v>
      </c>
      <c r="X456" s="711" t="s">
        <v>31</v>
      </c>
      <c r="Y456" s="711" t="s">
        <v>10</v>
      </c>
      <c r="Z456" s="51"/>
      <c r="AA456" s="51"/>
      <c r="AB456" s="51"/>
    </row>
    <row r="457" spans="1:28" ht="24">
      <c r="A457" s="51"/>
      <c r="B457" s="51"/>
      <c r="C457" s="51"/>
      <c r="D457" s="51" t="s">
        <v>491</v>
      </c>
      <c r="E457" s="51"/>
      <c r="F457" s="51"/>
      <c r="G457" s="714"/>
      <c r="H457" s="712"/>
      <c r="I457" s="712"/>
      <c r="J457" s="712"/>
      <c r="K457" s="712"/>
      <c r="L457" s="712"/>
      <c r="M457" s="712"/>
      <c r="N457" s="712"/>
      <c r="O457" s="712"/>
      <c r="P457" s="610" t="s">
        <v>338</v>
      </c>
      <c r="Q457" s="610" t="s">
        <v>40</v>
      </c>
      <c r="R457" s="610" t="s">
        <v>346</v>
      </c>
      <c r="S457" s="610" t="s">
        <v>347</v>
      </c>
      <c r="T457" s="611" t="s">
        <v>348</v>
      </c>
      <c r="U457" s="610" t="s">
        <v>349</v>
      </c>
      <c r="V457" s="712"/>
      <c r="W457" s="712"/>
      <c r="X457" s="712"/>
      <c r="Y457" s="712"/>
      <c r="Z457" s="51"/>
      <c r="AA457" s="51"/>
      <c r="AB457" s="51"/>
    </row>
    <row r="458" spans="1:28">
      <c r="A458" s="51" t="e">
        <f>A421</f>
        <v>#REF!</v>
      </c>
      <c r="B458" s="51">
        <v>2050</v>
      </c>
      <c r="C458" s="51" t="s">
        <v>47</v>
      </c>
      <c r="D458" s="51" t="s">
        <v>492</v>
      </c>
      <c r="E458" s="51" t="e">
        <f>VLOOKUP($H$6,#REF!,2,FALSE)</f>
        <v>#REF!</v>
      </c>
      <c r="F458" s="51"/>
      <c r="G458" s="612" t="s">
        <v>59</v>
      </c>
      <c r="H458" s="613">
        <v>0</v>
      </c>
      <c r="I458" s="613">
        <v>0</v>
      </c>
      <c r="J458" s="613">
        <v>0</v>
      </c>
      <c r="K458" s="613">
        <v>0</v>
      </c>
      <c r="L458" s="613">
        <v>0</v>
      </c>
      <c r="M458" s="613">
        <v>0</v>
      </c>
      <c r="N458" s="614">
        <v>722.62832727272735</v>
      </c>
      <c r="O458" s="614">
        <v>564.70258021663687</v>
      </c>
      <c r="P458" s="614">
        <v>261.57522104592402</v>
      </c>
      <c r="Q458" s="614">
        <v>19.259411243005907</v>
      </c>
      <c r="R458" s="613">
        <v>1.5563580670349855</v>
      </c>
      <c r="S458" s="613">
        <v>0.17110271620039663</v>
      </c>
      <c r="T458" s="614">
        <v>165.69550077594988</v>
      </c>
      <c r="U458" s="614">
        <v>24.373068583718577</v>
      </c>
      <c r="V458" s="613">
        <v>0</v>
      </c>
      <c r="W458" s="613">
        <v>0</v>
      </c>
      <c r="X458" s="613">
        <v>0</v>
      </c>
      <c r="Y458" s="615">
        <v>1759.9615699211979</v>
      </c>
      <c r="Z458" s="51"/>
      <c r="AA458" s="51"/>
      <c r="AB458" s="51"/>
    </row>
    <row r="459" spans="1:28">
      <c r="A459" s="51" t="e">
        <f t="shared" ref="A459:A464" si="66">A458+1</f>
        <v>#REF!</v>
      </c>
      <c r="B459" s="51">
        <f t="shared" ref="B459:C464" si="67">B458</f>
        <v>2050</v>
      </c>
      <c r="C459" s="51" t="str">
        <f t="shared" si="67"/>
        <v>AMS</v>
      </c>
      <c r="D459" s="51" t="s">
        <v>493</v>
      </c>
      <c r="E459" s="51" t="e">
        <f>VLOOKUP($H$6,#REF!,2,FALSE)</f>
        <v>#REF!</v>
      </c>
      <c r="F459" s="51"/>
      <c r="G459" s="612" t="s">
        <v>60</v>
      </c>
      <c r="H459" s="613">
        <v>5.9311888025037742</v>
      </c>
      <c r="I459" s="613">
        <v>113.95685880900638</v>
      </c>
      <c r="J459" s="613">
        <v>1.9517818504706483</v>
      </c>
      <c r="K459" s="613">
        <v>0</v>
      </c>
      <c r="L459" s="613">
        <v>2.6585092475046008</v>
      </c>
      <c r="M459" s="613">
        <v>0</v>
      </c>
      <c r="N459" s="613">
        <v>0</v>
      </c>
      <c r="O459" s="613">
        <v>0</v>
      </c>
      <c r="P459" s="613">
        <v>5.2309321400654634</v>
      </c>
      <c r="Q459" s="613">
        <v>0</v>
      </c>
      <c r="R459" s="613">
        <v>5.4084519189769722</v>
      </c>
      <c r="S459" s="613">
        <v>0</v>
      </c>
      <c r="T459" s="613">
        <v>0</v>
      </c>
      <c r="U459" s="613">
        <v>0</v>
      </c>
      <c r="V459" s="613">
        <v>0</v>
      </c>
      <c r="W459" s="613">
        <v>0</v>
      </c>
      <c r="X459" s="613">
        <v>0</v>
      </c>
      <c r="Y459" s="615">
        <v>135.13772276852782</v>
      </c>
      <c r="Z459" s="51"/>
      <c r="AA459" s="51"/>
      <c r="AB459" s="51"/>
    </row>
    <row r="460" spans="1:28">
      <c r="A460" s="51" t="e">
        <f t="shared" si="66"/>
        <v>#REF!</v>
      </c>
      <c r="B460" s="51">
        <f t="shared" si="67"/>
        <v>2050</v>
      </c>
      <c r="C460" s="51" t="str">
        <f t="shared" si="67"/>
        <v>AMS</v>
      </c>
      <c r="D460" s="51" t="s">
        <v>494</v>
      </c>
      <c r="E460" s="51" t="e">
        <f>VLOOKUP($H$6,#REF!,2,FALSE)</f>
        <v>#REF!</v>
      </c>
      <c r="F460" s="51"/>
      <c r="G460" s="612" t="s">
        <v>61</v>
      </c>
      <c r="H460" s="613">
        <v>0</v>
      </c>
      <c r="I460" s="613">
        <v>0</v>
      </c>
      <c r="J460" s="613">
        <v>-32.162617358689019</v>
      </c>
      <c r="K460" s="613">
        <v>-9.0412558456810785</v>
      </c>
      <c r="L460" s="613">
        <v>0</v>
      </c>
      <c r="M460" s="613">
        <v>0</v>
      </c>
      <c r="N460" s="613">
        <v>0</v>
      </c>
      <c r="O460" s="613">
        <v>0</v>
      </c>
      <c r="P460" s="613">
        <v>0</v>
      </c>
      <c r="Q460" s="613">
        <v>0</v>
      </c>
      <c r="R460" s="613">
        <v>0</v>
      </c>
      <c r="S460" s="613">
        <v>0</v>
      </c>
      <c r="T460" s="613">
        <v>0</v>
      </c>
      <c r="U460" s="613">
        <v>0</v>
      </c>
      <c r="V460" s="613">
        <v>-51.026672969387278</v>
      </c>
      <c r="W460" s="613">
        <v>0</v>
      </c>
      <c r="X460" s="613">
        <v>0</v>
      </c>
      <c r="Y460" s="615">
        <v>-92.230546173757375</v>
      </c>
      <c r="Z460" s="51"/>
      <c r="AA460" s="51"/>
      <c r="AB460" s="51"/>
    </row>
    <row r="461" spans="1:28">
      <c r="A461" s="51" t="e">
        <f t="shared" si="66"/>
        <v>#REF!</v>
      </c>
      <c r="B461" s="51">
        <f t="shared" si="67"/>
        <v>2050</v>
      </c>
      <c r="C461" s="51" t="str">
        <f t="shared" si="67"/>
        <v>AMS</v>
      </c>
      <c r="D461" s="51" t="s">
        <v>495</v>
      </c>
      <c r="E461" s="51" t="e">
        <f>VLOOKUP($H$6,#REF!,2,FALSE)</f>
        <v>#REF!</v>
      </c>
      <c r="F461" s="51"/>
      <c r="G461" s="612" t="s">
        <v>62</v>
      </c>
      <c r="H461" s="613">
        <v>0</v>
      </c>
      <c r="I461" s="613">
        <v>0</v>
      </c>
      <c r="J461" s="613">
        <v>-1.6540275032482068</v>
      </c>
      <c r="K461" s="613">
        <v>-4.2955328800984329</v>
      </c>
      <c r="L461" s="613">
        <v>0</v>
      </c>
      <c r="M461" s="613">
        <v>-0.31877375583888373</v>
      </c>
      <c r="N461" s="613">
        <v>0</v>
      </c>
      <c r="O461" s="613">
        <v>0</v>
      </c>
      <c r="P461" s="613">
        <v>0</v>
      </c>
      <c r="Q461" s="613">
        <v>0</v>
      </c>
      <c r="R461" s="613">
        <v>-0.24545902171991044</v>
      </c>
      <c r="S461" s="613">
        <v>-6.0567013609387903</v>
      </c>
      <c r="T461" s="613">
        <v>0</v>
      </c>
      <c r="U461" s="613">
        <v>0</v>
      </c>
      <c r="V461" s="613">
        <v>0</v>
      </c>
      <c r="W461" s="613">
        <v>0</v>
      </c>
      <c r="X461" s="613">
        <v>0</v>
      </c>
      <c r="Y461" s="615">
        <v>-12.570494521844225</v>
      </c>
      <c r="Z461" s="51"/>
      <c r="AA461" s="51"/>
      <c r="AB461" s="51"/>
    </row>
    <row r="462" spans="1:28">
      <c r="A462" s="51" t="e">
        <f t="shared" si="66"/>
        <v>#REF!</v>
      </c>
      <c r="B462" s="51">
        <f t="shared" si="67"/>
        <v>2050</v>
      </c>
      <c r="C462" s="51" t="str">
        <f t="shared" si="67"/>
        <v>AMS</v>
      </c>
      <c r="D462" s="51" t="s">
        <v>496</v>
      </c>
      <c r="E462" s="51" t="e">
        <f>VLOOKUP($H$6,#REF!,2,FALSE)</f>
        <v>#REF!</v>
      </c>
      <c r="F462" s="51"/>
      <c r="G462" s="612" t="s">
        <v>63</v>
      </c>
      <c r="H462" s="613">
        <v>0</v>
      </c>
      <c r="I462" s="613">
        <v>0</v>
      </c>
      <c r="J462" s="613">
        <v>-18.714774559646315</v>
      </c>
      <c r="K462" s="613">
        <v>-28.257765893495769</v>
      </c>
      <c r="L462" s="613">
        <v>0</v>
      </c>
      <c r="M462" s="613">
        <v>0</v>
      </c>
      <c r="N462" s="613">
        <v>0</v>
      </c>
      <c r="O462" s="613">
        <v>0</v>
      </c>
      <c r="P462" s="613">
        <v>0</v>
      </c>
      <c r="Q462" s="613">
        <v>0</v>
      </c>
      <c r="R462" s="613">
        <v>-13.972472121868162</v>
      </c>
      <c r="S462" s="613">
        <v>0</v>
      </c>
      <c r="T462" s="613">
        <v>0</v>
      </c>
      <c r="U462" s="613">
        <v>0</v>
      </c>
      <c r="V462" s="613">
        <v>0</v>
      </c>
      <c r="W462" s="613">
        <v>0</v>
      </c>
      <c r="X462" s="613">
        <v>-2.6159745910871801</v>
      </c>
      <c r="Y462" s="615">
        <v>-63.560987166097433</v>
      </c>
      <c r="Z462" s="51"/>
      <c r="AA462" s="51"/>
      <c r="AB462" s="51"/>
    </row>
    <row r="463" spans="1:28">
      <c r="A463" s="51" t="e">
        <f t="shared" si="66"/>
        <v>#REF!</v>
      </c>
      <c r="B463" s="51">
        <f t="shared" si="67"/>
        <v>2050</v>
      </c>
      <c r="C463" s="51" t="str">
        <f t="shared" si="67"/>
        <v>AMS</v>
      </c>
      <c r="D463" s="51" t="s">
        <v>497</v>
      </c>
      <c r="E463" s="51" t="e">
        <f>VLOOKUP($H$6,#REF!,2,FALSE)</f>
        <v>#REF!</v>
      </c>
      <c r="F463" s="51"/>
      <c r="G463" s="612" t="s">
        <v>64</v>
      </c>
      <c r="H463" s="613">
        <v>0</v>
      </c>
      <c r="I463" s="613">
        <v>0</v>
      </c>
      <c r="J463" s="613">
        <v>0</v>
      </c>
      <c r="K463" s="613">
        <v>0</v>
      </c>
      <c r="L463" s="613">
        <v>0</v>
      </c>
      <c r="M463" s="613">
        <v>0</v>
      </c>
      <c r="N463" s="613">
        <v>0</v>
      </c>
      <c r="O463" s="613">
        <v>0</v>
      </c>
      <c r="P463" s="613">
        <v>0</v>
      </c>
      <c r="Q463" s="613">
        <v>0</v>
      </c>
      <c r="R463" s="613">
        <v>0</v>
      </c>
      <c r="S463" s="613">
        <v>0</v>
      </c>
      <c r="T463" s="613">
        <v>0</v>
      </c>
      <c r="U463" s="613">
        <v>0</v>
      </c>
      <c r="V463" s="613">
        <v>0</v>
      </c>
      <c r="W463" s="613">
        <v>0</v>
      </c>
      <c r="X463" s="613">
        <v>0</v>
      </c>
      <c r="Y463" s="615">
        <v>0</v>
      </c>
      <c r="Z463" s="51"/>
      <c r="AA463" s="51"/>
      <c r="AB463" s="51"/>
    </row>
    <row r="464" spans="1:28">
      <c r="A464" s="51" t="e">
        <f t="shared" si="66"/>
        <v>#REF!</v>
      </c>
      <c r="B464" s="51">
        <f t="shared" si="67"/>
        <v>2050</v>
      </c>
      <c r="C464" s="51" t="str">
        <f t="shared" si="67"/>
        <v>AMS</v>
      </c>
      <c r="D464" s="51" t="s">
        <v>498</v>
      </c>
      <c r="E464" s="51" t="e">
        <f>VLOOKUP($H$6,#REF!,2,FALSE)</f>
        <v>#REF!</v>
      </c>
      <c r="F464" s="51"/>
      <c r="G464" s="616" t="s">
        <v>65</v>
      </c>
      <c r="H464" s="617">
        <v>5.9311888025037742</v>
      </c>
      <c r="I464" s="617">
        <v>113.95685880900638</v>
      </c>
      <c r="J464" s="617">
        <v>-50.579637571112897</v>
      </c>
      <c r="K464" s="617">
        <v>-41.594554619275279</v>
      </c>
      <c r="L464" s="624">
        <v>2.6585092475046008</v>
      </c>
      <c r="M464" s="617">
        <v>-0.31877375583888373</v>
      </c>
      <c r="N464" s="617">
        <v>722.62832727272735</v>
      </c>
      <c r="O464" s="617">
        <v>564.70258021663687</v>
      </c>
      <c r="P464" s="617">
        <v>266.80615318598944</v>
      </c>
      <c r="Q464" s="617">
        <v>19.259411243005907</v>
      </c>
      <c r="R464" s="617">
        <v>-7.2531211575761132</v>
      </c>
      <c r="S464" s="617">
        <v>-5.8855986447383941</v>
      </c>
      <c r="T464" s="617">
        <v>165.69550077594988</v>
      </c>
      <c r="U464" s="617">
        <v>24.373068583718577</v>
      </c>
      <c r="V464" s="617">
        <v>-51.026672969387278</v>
      </c>
      <c r="W464" s="617">
        <v>0</v>
      </c>
      <c r="X464" s="617">
        <v>-2.6159745910871801</v>
      </c>
      <c r="Y464" s="617">
        <v>1726.7372648280268</v>
      </c>
      <c r="Z464" s="51"/>
      <c r="AA464" s="51"/>
      <c r="AB464" s="51"/>
    </row>
    <row r="465" spans="1:28">
      <c r="A465" s="51"/>
      <c r="B465" s="51"/>
      <c r="C465" s="51"/>
      <c r="D465" s="51"/>
      <c r="E465" s="51"/>
      <c r="F465" s="51"/>
      <c r="G465" s="618"/>
      <c r="H465" s="619">
        <v>0</v>
      </c>
      <c r="I465" s="619">
        <v>0</v>
      </c>
      <c r="J465" s="619">
        <v>0</v>
      </c>
      <c r="K465" s="619">
        <v>0</v>
      </c>
      <c r="L465" s="625">
        <v>0</v>
      </c>
      <c r="M465" s="619">
        <v>0</v>
      </c>
      <c r="N465" s="619">
        <v>0</v>
      </c>
      <c r="O465" s="619">
        <v>0</v>
      </c>
      <c r="P465" s="619">
        <v>0</v>
      </c>
      <c r="Q465" s="619">
        <v>0</v>
      </c>
      <c r="R465" s="619">
        <v>0</v>
      </c>
      <c r="S465" s="619">
        <v>0</v>
      </c>
      <c r="T465" s="619">
        <v>0</v>
      </c>
      <c r="U465" s="619">
        <v>0</v>
      </c>
      <c r="V465" s="619">
        <v>0</v>
      </c>
      <c r="W465" s="619">
        <v>0</v>
      </c>
      <c r="X465" s="619">
        <v>0</v>
      </c>
      <c r="Y465" s="619">
        <v>0</v>
      </c>
      <c r="Z465" s="51"/>
      <c r="AA465" s="51"/>
      <c r="AB465" s="51"/>
    </row>
    <row r="466" spans="1:28">
      <c r="A466" s="51" t="e">
        <f>A464+2</f>
        <v>#REF!</v>
      </c>
      <c r="B466" s="51">
        <f>B464</f>
        <v>2050</v>
      </c>
      <c r="C466" s="51" t="str">
        <f>C464</f>
        <v>AMS</v>
      </c>
      <c r="D466" s="51" t="s">
        <v>499</v>
      </c>
      <c r="E466" s="51" t="e">
        <f>VLOOKUP($H$6,#REF!,2,FALSE)</f>
        <v>#REF!</v>
      </c>
      <c r="F466" s="51"/>
      <c r="G466" s="620" t="s">
        <v>67</v>
      </c>
      <c r="H466" s="613">
        <v>0</v>
      </c>
      <c r="I466" s="613">
        <v>0</v>
      </c>
      <c r="J466" s="613">
        <v>0</v>
      </c>
      <c r="K466" s="613">
        <v>0</v>
      </c>
      <c r="L466" s="613">
        <v>0</v>
      </c>
      <c r="M466" s="613">
        <v>0</v>
      </c>
      <c r="N466" s="613">
        <v>0</v>
      </c>
      <c r="O466" s="613">
        <v>0</v>
      </c>
      <c r="P466" s="613">
        <v>0</v>
      </c>
      <c r="Q466" s="613">
        <v>0</v>
      </c>
      <c r="R466" s="613">
        <v>0</v>
      </c>
      <c r="S466" s="613">
        <v>0</v>
      </c>
      <c r="T466" s="613">
        <v>0</v>
      </c>
      <c r="U466" s="613">
        <v>0</v>
      </c>
      <c r="V466" s="613">
        <v>0</v>
      </c>
      <c r="W466" s="613">
        <v>0</v>
      </c>
      <c r="X466" s="613">
        <v>0</v>
      </c>
      <c r="Y466" s="621">
        <v>0</v>
      </c>
      <c r="Z466" s="51"/>
      <c r="AA466" s="51"/>
      <c r="AB466" s="51"/>
    </row>
    <row r="467" spans="1:28">
      <c r="A467" s="51" t="e">
        <f t="shared" ref="A467:A478" si="68">A466+1</f>
        <v>#REF!</v>
      </c>
      <c r="B467" s="51">
        <f t="shared" ref="B467:C478" si="69">B466</f>
        <v>2050</v>
      </c>
      <c r="C467" s="51" t="str">
        <f t="shared" si="69"/>
        <v>AMS</v>
      </c>
      <c r="D467" s="51" t="s">
        <v>500</v>
      </c>
      <c r="E467" s="51" t="e">
        <f>VLOOKUP($H$6,#REF!,2,FALSE)</f>
        <v>#REF!</v>
      </c>
      <c r="F467" s="51"/>
      <c r="G467" s="620" t="s">
        <v>350</v>
      </c>
      <c r="H467" s="613">
        <v>0</v>
      </c>
      <c r="I467" s="613">
        <v>0</v>
      </c>
      <c r="J467" s="613">
        <v>0</v>
      </c>
      <c r="K467" s="613">
        <v>0</v>
      </c>
      <c r="L467" s="613">
        <v>0</v>
      </c>
      <c r="M467" s="613">
        <v>0</v>
      </c>
      <c r="N467" s="613">
        <v>722.62832727272735</v>
      </c>
      <c r="O467" s="613">
        <v>564.70258021663687</v>
      </c>
      <c r="P467" s="613">
        <v>14.491283228737107</v>
      </c>
      <c r="Q467" s="613">
        <v>2.8360527767240682</v>
      </c>
      <c r="R467" s="613">
        <v>6.5561937148871507</v>
      </c>
      <c r="S467" s="613">
        <v>0.11326810820885491</v>
      </c>
      <c r="T467" s="613">
        <v>0</v>
      </c>
      <c r="U467" s="613">
        <v>6.7631767445353068</v>
      </c>
      <c r="V467" s="613">
        <v>-821.10381752645753</v>
      </c>
      <c r="W467" s="613">
        <v>0</v>
      </c>
      <c r="X467" s="613">
        <v>26.28</v>
      </c>
      <c r="Y467" s="621">
        <v>523.267064535999</v>
      </c>
      <c r="Z467" s="51"/>
      <c r="AA467" s="51"/>
      <c r="AB467" s="51"/>
    </row>
    <row r="468" spans="1:28">
      <c r="A468" s="51" t="e">
        <f t="shared" si="68"/>
        <v>#REF!</v>
      </c>
      <c r="B468" s="51">
        <f t="shared" si="69"/>
        <v>2050</v>
      </c>
      <c r="C468" s="51" t="str">
        <f t="shared" si="69"/>
        <v>AMS</v>
      </c>
      <c r="D468" s="51" t="s">
        <v>501</v>
      </c>
      <c r="E468" s="51" t="e">
        <f>VLOOKUP($H$6,#REF!,2,FALSE)</f>
        <v>#REF!</v>
      </c>
      <c r="F468" s="51"/>
      <c r="G468" s="620" t="s">
        <v>351</v>
      </c>
      <c r="H468" s="613">
        <v>0</v>
      </c>
      <c r="I468" s="613">
        <v>0</v>
      </c>
      <c r="J468" s="613">
        <v>0</v>
      </c>
      <c r="K468" s="613">
        <v>0</v>
      </c>
      <c r="L468" s="613">
        <v>0</v>
      </c>
      <c r="M468" s="613">
        <v>0</v>
      </c>
      <c r="N468" s="613">
        <v>0</v>
      </c>
      <c r="O468" s="613">
        <v>0</v>
      </c>
      <c r="P468" s="613">
        <v>33.721862056250039</v>
      </c>
      <c r="Q468" s="613">
        <v>14.376617363231052</v>
      </c>
      <c r="R468" s="613">
        <v>0</v>
      </c>
      <c r="S468" s="613">
        <v>8.1785673020738106</v>
      </c>
      <c r="T468" s="613">
        <v>0</v>
      </c>
      <c r="U468" s="613">
        <v>11.316516045102318</v>
      </c>
      <c r="V468" s="613">
        <v>0</v>
      </c>
      <c r="W468" s="613">
        <v>-64.575476384232388</v>
      </c>
      <c r="X468" s="613">
        <v>0</v>
      </c>
      <c r="Y468" s="621">
        <v>3.0180863824248352</v>
      </c>
      <c r="Z468" s="51"/>
      <c r="AA468" s="51"/>
      <c r="AB468" s="51"/>
    </row>
    <row r="469" spans="1:28">
      <c r="A469" s="51" t="e">
        <f t="shared" si="68"/>
        <v>#REF!</v>
      </c>
      <c r="B469" s="51">
        <f t="shared" si="69"/>
        <v>2050</v>
      </c>
      <c r="C469" s="51" t="str">
        <f t="shared" si="69"/>
        <v>AMS</v>
      </c>
      <c r="D469" s="51" t="s">
        <v>502</v>
      </c>
      <c r="E469" s="51" t="e">
        <f>VLOOKUP($H$6,#REF!,2,FALSE)</f>
        <v>#REF!</v>
      </c>
      <c r="F469" s="51"/>
      <c r="G469" s="620" t="s">
        <v>352</v>
      </c>
      <c r="H469" s="613">
        <v>0</v>
      </c>
      <c r="I469" s="613">
        <v>0</v>
      </c>
      <c r="J469" s="613">
        <v>0</v>
      </c>
      <c r="K469" s="613">
        <v>0</v>
      </c>
      <c r="L469" s="613">
        <v>0</v>
      </c>
      <c r="M469" s="613">
        <v>0</v>
      </c>
      <c r="N469" s="613">
        <v>0</v>
      </c>
      <c r="O469" s="613">
        <v>0</v>
      </c>
      <c r="P469" s="613">
        <v>104.38683240846164</v>
      </c>
      <c r="Q469" s="613">
        <v>0</v>
      </c>
      <c r="R469" s="613">
        <v>0</v>
      </c>
      <c r="S469" s="613">
        <v>-100.27188716566127</v>
      </c>
      <c r="T469" s="613">
        <v>0</v>
      </c>
      <c r="U469" s="613">
        <v>0</v>
      </c>
      <c r="V469" s="613">
        <v>0</v>
      </c>
      <c r="W469" s="613">
        <v>0</v>
      </c>
      <c r="X469" s="613">
        <v>0</v>
      </c>
      <c r="Y469" s="621">
        <v>4.1149452428003741</v>
      </c>
      <c r="Z469" s="51"/>
      <c r="AA469" s="51"/>
      <c r="AB469" s="51"/>
    </row>
    <row r="470" spans="1:28">
      <c r="A470" s="51" t="e">
        <f t="shared" si="68"/>
        <v>#REF!</v>
      </c>
      <c r="B470" s="51">
        <f t="shared" si="69"/>
        <v>2050</v>
      </c>
      <c r="C470" s="51" t="str">
        <f t="shared" si="69"/>
        <v>AMS</v>
      </c>
      <c r="D470" s="51" t="s">
        <v>503</v>
      </c>
      <c r="E470" s="51" t="e">
        <f>VLOOKUP($H$6,#REF!,2,FALSE)</f>
        <v>#REF!</v>
      </c>
      <c r="F470" s="51"/>
      <c r="G470" s="620" t="s">
        <v>353</v>
      </c>
      <c r="H470" s="613">
        <v>0</v>
      </c>
      <c r="I470" s="613">
        <v>0</v>
      </c>
      <c r="J470" s="613">
        <v>0</v>
      </c>
      <c r="K470" s="613">
        <v>0</v>
      </c>
      <c r="L470" s="613">
        <v>0</v>
      </c>
      <c r="M470" s="613">
        <v>-4.5962253881571415</v>
      </c>
      <c r="N470" s="613">
        <v>0</v>
      </c>
      <c r="O470" s="613">
        <v>0</v>
      </c>
      <c r="P470" s="613">
        <v>0</v>
      </c>
      <c r="Q470" s="613">
        <v>0</v>
      </c>
      <c r="R470" s="613">
        <v>0</v>
      </c>
      <c r="S470" s="613">
        <v>0</v>
      </c>
      <c r="T470" s="613">
        <v>0</v>
      </c>
      <c r="U470" s="613">
        <v>0</v>
      </c>
      <c r="V470" s="613">
        <v>0</v>
      </c>
      <c r="W470" s="613">
        <v>0</v>
      </c>
      <c r="X470" s="613">
        <v>6.4074201765093832</v>
      </c>
      <c r="Y470" s="621">
        <v>1.8111947883522417</v>
      </c>
      <c r="Z470" s="51"/>
      <c r="AA470" s="51"/>
      <c r="AB470" s="51"/>
    </row>
    <row r="471" spans="1:28">
      <c r="A471" s="51" t="e">
        <f t="shared" si="68"/>
        <v>#REF!</v>
      </c>
      <c r="B471" s="51">
        <f t="shared" si="69"/>
        <v>2050</v>
      </c>
      <c r="C471" s="51" t="str">
        <f t="shared" si="69"/>
        <v>AMS</v>
      </c>
      <c r="D471" s="51" t="s">
        <v>504</v>
      </c>
      <c r="E471" s="51" t="e">
        <f>VLOOKUP($H$6,#REF!,2,FALSE)</f>
        <v>#REF!</v>
      </c>
      <c r="F471" s="51"/>
      <c r="G471" s="620" t="s">
        <v>72</v>
      </c>
      <c r="H471" s="613">
        <v>0</v>
      </c>
      <c r="I471" s="613">
        <v>118.07035586741333</v>
      </c>
      <c r="J471" s="613">
        <v>-116.89188714951831</v>
      </c>
      <c r="K471" s="613">
        <v>0</v>
      </c>
      <c r="L471" s="613">
        <v>0</v>
      </c>
      <c r="M471" s="613">
        <v>0</v>
      </c>
      <c r="N471" s="613">
        <v>0</v>
      </c>
      <c r="O471" s="613">
        <v>0</v>
      </c>
      <c r="P471" s="613">
        <v>0</v>
      </c>
      <c r="Q471" s="613">
        <v>0</v>
      </c>
      <c r="R471" s="613">
        <v>0</v>
      </c>
      <c r="S471" s="613">
        <v>0</v>
      </c>
      <c r="T471" s="613">
        <v>0</v>
      </c>
      <c r="U471" s="613">
        <v>0</v>
      </c>
      <c r="V471" s="613">
        <v>0</v>
      </c>
      <c r="W471" s="613">
        <v>0</v>
      </c>
      <c r="X471" s="613">
        <v>0</v>
      </c>
      <c r="Y471" s="621">
        <v>1.1784687178950146</v>
      </c>
      <c r="Z471" s="51"/>
      <c r="AA471" s="51"/>
      <c r="AB471" s="51"/>
    </row>
    <row r="472" spans="1:28">
      <c r="A472" s="51" t="e">
        <f t="shared" si="68"/>
        <v>#REF!</v>
      </c>
      <c r="B472" s="51">
        <f t="shared" si="69"/>
        <v>2050</v>
      </c>
      <c r="C472" s="51" t="str">
        <f t="shared" si="69"/>
        <v>AMS</v>
      </c>
      <c r="D472" s="51" t="s">
        <v>505</v>
      </c>
      <c r="E472" s="51" t="e">
        <f>VLOOKUP($H$6,#REF!,2,FALSE)</f>
        <v>#REF!</v>
      </c>
      <c r="F472" s="51"/>
      <c r="G472" s="620" t="s">
        <v>354</v>
      </c>
      <c r="H472" s="613">
        <v>0</v>
      </c>
      <c r="I472" s="613">
        <v>0</v>
      </c>
      <c r="J472" s="613">
        <v>0</v>
      </c>
      <c r="K472" s="613">
        <v>0</v>
      </c>
      <c r="L472" s="613">
        <v>0</v>
      </c>
      <c r="M472" s="613">
        <v>0</v>
      </c>
      <c r="N472" s="613">
        <v>0</v>
      </c>
      <c r="O472" s="613">
        <v>0</v>
      </c>
      <c r="P472" s="613">
        <v>61.244429678974598</v>
      </c>
      <c r="Q472" s="613">
        <v>0</v>
      </c>
      <c r="R472" s="613">
        <v>-61.244429678974598</v>
      </c>
      <c r="S472" s="613">
        <v>0</v>
      </c>
      <c r="T472" s="613">
        <v>0</v>
      </c>
      <c r="U472" s="613">
        <v>0</v>
      </c>
      <c r="V472" s="613">
        <v>0</v>
      </c>
      <c r="W472" s="613">
        <v>0</v>
      </c>
      <c r="X472" s="613">
        <v>0</v>
      </c>
      <c r="Y472" s="621">
        <v>0</v>
      </c>
      <c r="Z472" s="51"/>
      <c r="AA472" s="51"/>
      <c r="AB472" s="51"/>
    </row>
    <row r="473" spans="1:28">
      <c r="A473" s="51" t="e">
        <f t="shared" si="68"/>
        <v>#REF!</v>
      </c>
      <c r="B473" s="51">
        <f t="shared" si="69"/>
        <v>2050</v>
      </c>
      <c r="C473" s="51" t="str">
        <f t="shared" si="69"/>
        <v>AMS</v>
      </c>
      <c r="D473" s="51" t="s">
        <v>506</v>
      </c>
      <c r="E473" s="51" t="e">
        <f>VLOOKUP($H$6,#REF!,2,FALSE)</f>
        <v>#REF!</v>
      </c>
      <c r="F473" s="51"/>
      <c r="G473" s="620" t="s">
        <v>355</v>
      </c>
      <c r="H473" s="613">
        <v>0</v>
      </c>
      <c r="I473" s="613">
        <v>0</v>
      </c>
      <c r="J473" s="613">
        <v>0</v>
      </c>
      <c r="K473" s="613">
        <v>-56.725829149009897</v>
      </c>
      <c r="L473" s="613">
        <v>0</v>
      </c>
      <c r="M473" s="613">
        <v>0</v>
      </c>
      <c r="N473" s="613">
        <v>0</v>
      </c>
      <c r="O473" s="613">
        <v>0</v>
      </c>
      <c r="P473" s="613">
        <v>0</v>
      </c>
      <c r="Q473" s="613">
        <v>0</v>
      </c>
      <c r="R473" s="613">
        <v>0</v>
      </c>
      <c r="S473" s="613">
        <v>0</v>
      </c>
      <c r="T473" s="613">
        <v>0</v>
      </c>
      <c r="U473" s="613">
        <v>0</v>
      </c>
      <c r="V473" s="613">
        <v>0</v>
      </c>
      <c r="W473" s="613">
        <v>0</v>
      </c>
      <c r="X473" s="613">
        <v>79.005333076615457</v>
      </c>
      <c r="Y473" s="621">
        <v>22.27950392760556</v>
      </c>
      <c r="Z473" s="51"/>
      <c r="AA473" s="51"/>
      <c r="AB473" s="51"/>
    </row>
    <row r="474" spans="1:28">
      <c r="A474" s="51" t="e">
        <f t="shared" si="68"/>
        <v>#REF!</v>
      </c>
      <c r="B474" s="51">
        <f t="shared" si="69"/>
        <v>2050</v>
      </c>
      <c r="C474" s="51" t="str">
        <f t="shared" si="69"/>
        <v>AMS</v>
      </c>
      <c r="D474" s="51" t="s">
        <v>507</v>
      </c>
      <c r="E474" s="51" t="e">
        <f>VLOOKUP($H$6,#REF!,2,FALSE)</f>
        <v>#REF!</v>
      </c>
      <c r="F474" s="51"/>
      <c r="G474" s="620" t="s">
        <v>73</v>
      </c>
      <c r="H474" s="613">
        <v>0</v>
      </c>
      <c r="I474" s="613">
        <v>0</v>
      </c>
      <c r="J474" s="613">
        <v>0</v>
      </c>
      <c r="K474" s="613">
        <v>0</v>
      </c>
      <c r="L474" s="613">
        <v>0</v>
      </c>
      <c r="M474" s="613">
        <v>0</v>
      </c>
      <c r="N474" s="613">
        <v>0</v>
      </c>
      <c r="O474" s="613">
        <v>0</v>
      </c>
      <c r="P474" s="613">
        <v>0</v>
      </c>
      <c r="Q474" s="613">
        <v>0</v>
      </c>
      <c r="R474" s="613">
        <v>0</v>
      </c>
      <c r="S474" s="613">
        <v>0</v>
      </c>
      <c r="T474" s="613">
        <v>0</v>
      </c>
      <c r="U474" s="613">
        <v>0</v>
      </c>
      <c r="V474" s="613">
        <v>227.61268014910149</v>
      </c>
      <c r="W474" s="613">
        <v>0</v>
      </c>
      <c r="X474" s="613">
        <v>-163.88112970735307</v>
      </c>
      <c r="Y474" s="621">
        <v>63.731550441748425</v>
      </c>
      <c r="Z474" s="51"/>
      <c r="AA474" s="51"/>
      <c r="AB474" s="51"/>
    </row>
    <row r="475" spans="1:28">
      <c r="A475" s="51" t="e">
        <f t="shared" si="68"/>
        <v>#REF!</v>
      </c>
      <c r="B475" s="51">
        <f t="shared" si="69"/>
        <v>2050</v>
      </c>
      <c r="C475" s="51" t="str">
        <f t="shared" si="69"/>
        <v>AMS</v>
      </c>
      <c r="D475" s="51" t="s">
        <v>508</v>
      </c>
      <c r="E475" s="51" t="e">
        <f>VLOOKUP($H$6,#REF!,2,FALSE)</f>
        <v>#REF!</v>
      </c>
      <c r="F475" s="51"/>
      <c r="G475" s="620" t="s">
        <v>356</v>
      </c>
      <c r="H475" s="613">
        <v>3.3456624609374996</v>
      </c>
      <c r="I475" s="613">
        <v>-4.1134970584069457</v>
      </c>
      <c r="J475" s="613">
        <v>5.3691262200413341</v>
      </c>
      <c r="K475" s="613">
        <v>0</v>
      </c>
      <c r="L475" s="613">
        <v>0</v>
      </c>
      <c r="M475" s="613">
        <v>0</v>
      </c>
      <c r="N475" s="613">
        <v>0</v>
      </c>
      <c r="O475" s="613">
        <v>0</v>
      </c>
      <c r="P475" s="613">
        <v>0</v>
      </c>
      <c r="Q475" s="613">
        <v>0</v>
      </c>
      <c r="R475" s="613">
        <v>0</v>
      </c>
      <c r="S475" s="613">
        <v>0</v>
      </c>
      <c r="T475" s="613">
        <v>0</v>
      </c>
      <c r="U475" s="613">
        <v>0</v>
      </c>
      <c r="V475" s="613">
        <v>0</v>
      </c>
      <c r="W475" s="613">
        <v>0</v>
      </c>
      <c r="X475" s="613">
        <v>0</v>
      </c>
      <c r="Y475" s="621">
        <v>4.6012916225718881</v>
      </c>
      <c r="Z475" s="51"/>
      <c r="AA475" s="51"/>
      <c r="AB475" s="51"/>
    </row>
    <row r="476" spans="1:28">
      <c r="A476" s="51" t="e">
        <f t="shared" si="68"/>
        <v>#REF!</v>
      </c>
      <c r="B476" s="51">
        <f t="shared" si="69"/>
        <v>2050</v>
      </c>
      <c r="C476" s="51" t="str">
        <f t="shared" si="69"/>
        <v>AMS</v>
      </c>
      <c r="D476" s="51" t="s">
        <v>509</v>
      </c>
      <c r="E476" s="51" t="e">
        <f>VLOOKUP($H$6,#REF!,2,FALSE)</f>
        <v>#REF!</v>
      </c>
      <c r="F476" s="51"/>
      <c r="G476" s="620" t="s">
        <v>75</v>
      </c>
      <c r="H476" s="613">
        <v>1.3010909570312501</v>
      </c>
      <c r="I476" s="613">
        <v>0</v>
      </c>
      <c r="J476" s="613">
        <v>16.404377382526505</v>
      </c>
      <c r="K476" s="613">
        <v>0</v>
      </c>
      <c r="L476" s="613">
        <v>0</v>
      </c>
      <c r="M476" s="613">
        <v>0.23833359000000001</v>
      </c>
      <c r="N476" s="613">
        <v>0</v>
      </c>
      <c r="O476" s="613">
        <v>0</v>
      </c>
      <c r="P476" s="613">
        <v>0</v>
      </c>
      <c r="Q476" s="613">
        <v>0</v>
      </c>
      <c r="R476" s="613">
        <v>0</v>
      </c>
      <c r="S476" s="613">
        <v>4.5283382100000003</v>
      </c>
      <c r="T476" s="613">
        <v>0</v>
      </c>
      <c r="U476" s="613">
        <v>0</v>
      </c>
      <c r="V476" s="613">
        <v>17.461456726006222</v>
      </c>
      <c r="W476" s="613">
        <v>0</v>
      </c>
      <c r="X476" s="613">
        <v>0</v>
      </c>
      <c r="Y476" s="621">
        <v>39.93359686556397</v>
      </c>
      <c r="Z476" s="51"/>
      <c r="AA476" s="51"/>
      <c r="AB476" s="51"/>
    </row>
    <row r="477" spans="1:28">
      <c r="A477" s="51" t="e">
        <f t="shared" si="68"/>
        <v>#REF!</v>
      </c>
      <c r="B477" s="51">
        <f t="shared" si="69"/>
        <v>2050</v>
      </c>
      <c r="C477" s="51" t="str">
        <f t="shared" si="69"/>
        <v>AMS</v>
      </c>
      <c r="D477" s="51" t="s">
        <v>510</v>
      </c>
      <c r="E477" s="51" t="e">
        <f>VLOOKUP($H$6,#REF!,2,FALSE)</f>
        <v>#REF!</v>
      </c>
      <c r="F477" s="51"/>
      <c r="G477" s="620" t="s">
        <v>76</v>
      </c>
      <c r="H477" s="613">
        <v>0</v>
      </c>
      <c r="I477" s="613">
        <v>0</v>
      </c>
      <c r="J477" s="613">
        <v>0</v>
      </c>
      <c r="K477" s="613">
        <v>0</v>
      </c>
      <c r="L477" s="613">
        <v>0</v>
      </c>
      <c r="M477" s="613">
        <v>5.9340338699632358E-2</v>
      </c>
      <c r="N477" s="613">
        <v>0</v>
      </c>
      <c r="O477" s="613">
        <v>0</v>
      </c>
      <c r="P477" s="613">
        <v>0</v>
      </c>
      <c r="Q477" s="613">
        <v>0</v>
      </c>
      <c r="R477" s="613">
        <v>0</v>
      </c>
      <c r="S477" s="613">
        <v>1.1274664352930146</v>
      </c>
      <c r="T477" s="613">
        <v>0</v>
      </c>
      <c r="U477" s="613">
        <v>0</v>
      </c>
      <c r="V477" s="613">
        <v>58.914344999319319</v>
      </c>
      <c r="W477" s="613">
        <v>5.0089527300753778</v>
      </c>
      <c r="X477" s="613">
        <v>0</v>
      </c>
      <c r="Y477" s="621">
        <v>65.110104503387348</v>
      </c>
      <c r="Z477" s="51"/>
      <c r="AA477" s="51"/>
      <c r="AB477" s="51"/>
    </row>
    <row r="478" spans="1:28">
      <c r="A478" s="51" t="e">
        <f t="shared" si="68"/>
        <v>#REF!</v>
      </c>
      <c r="B478" s="51">
        <f t="shared" si="69"/>
        <v>2050</v>
      </c>
      <c r="C478" s="51" t="str">
        <f t="shared" si="69"/>
        <v>AMS</v>
      </c>
      <c r="D478" s="51" t="s">
        <v>511</v>
      </c>
      <c r="E478" s="51" t="e">
        <f>VLOOKUP($H$6,#REF!,2,FALSE)</f>
        <v>#REF!</v>
      </c>
      <c r="F478" s="51"/>
      <c r="G478" s="616" t="s">
        <v>77</v>
      </c>
      <c r="H478" s="617">
        <v>4.6467534179687497</v>
      </c>
      <c r="I478" s="617">
        <v>113.95685880900638</v>
      </c>
      <c r="J478" s="617">
        <v>-95.118383546950469</v>
      </c>
      <c r="K478" s="617">
        <v>-56.725829149009897</v>
      </c>
      <c r="L478" s="624">
        <v>0</v>
      </c>
      <c r="M478" s="617">
        <v>-4.2985514594575092</v>
      </c>
      <c r="N478" s="617">
        <v>722.62832727272735</v>
      </c>
      <c r="O478" s="617">
        <v>564.70258021663687</v>
      </c>
      <c r="P478" s="617">
        <v>213.8444073724234</v>
      </c>
      <c r="Q478" s="617">
        <v>17.212670139955119</v>
      </c>
      <c r="R478" s="617">
        <v>-54.688235964087447</v>
      </c>
      <c r="S478" s="617">
        <v>-86.324247110085594</v>
      </c>
      <c r="T478" s="617">
        <v>0</v>
      </c>
      <c r="U478" s="617">
        <v>18.079692789637626</v>
      </c>
      <c r="V478" s="617">
        <v>-517.11533565203058</v>
      </c>
      <c r="W478" s="617">
        <v>-59.56652365415701</v>
      </c>
      <c r="X478" s="617">
        <v>-52.188376454228234</v>
      </c>
      <c r="Y478" s="617">
        <v>729.04580702834869</v>
      </c>
      <c r="Z478" s="51"/>
      <c r="AA478" s="51"/>
      <c r="AB478" s="51"/>
    </row>
    <row r="479" spans="1:28">
      <c r="A479" s="51"/>
      <c r="B479" s="51"/>
      <c r="C479" s="51"/>
      <c r="D479" s="51"/>
      <c r="E479" s="51"/>
      <c r="F479" s="51"/>
      <c r="G479" s="618"/>
      <c r="H479" s="619">
        <v>0</v>
      </c>
      <c r="I479" s="619">
        <v>0</v>
      </c>
      <c r="J479" s="619">
        <v>0</v>
      </c>
      <c r="K479" s="619">
        <v>0</v>
      </c>
      <c r="L479" s="625">
        <v>0</v>
      </c>
      <c r="M479" s="619">
        <v>0</v>
      </c>
      <c r="N479" s="619">
        <v>0</v>
      </c>
      <c r="O479" s="619">
        <v>0</v>
      </c>
      <c r="P479" s="619">
        <v>0</v>
      </c>
      <c r="Q479" s="619">
        <v>0</v>
      </c>
      <c r="R479" s="619">
        <v>0</v>
      </c>
      <c r="S479" s="619">
        <v>0</v>
      </c>
      <c r="T479" s="619">
        <v>0</v>
      </c>
      <c r="U479" s="619">
        <v>0</v>
      </c>
      <c r="V479" s="619">
        <v>0</v>
      </c>
      <c r="W479" s="619">
        <v>0</v>
      </c>
      <c r="X479" s="619">
        <v>0</v>
      </c>
      <c r="Y479" s="619">
        <v>0</v>
      </c>
      <c r="Z479" s="51"/>
      <c r="AA479" s="51"/>
      <c r="AB479" s="51"/>
    </row>
    <row r="480" spans="1:28">
      <c r="A480" s="51" t="e">
        <f>A478+2</f>
        <v>#REF!</v>
      </c>
      <c r="B480" s="51">
        <f>B478</f>
        <v>2050</v>
      </c>
      <c r="C480" s="51" t="str">
        <f>C458</f>
        <v>AMS</v>
      </c>
      <c r="D480" s="51" t="s">
        <v>512</v>
      </c>
      <c r="E480" s="51" t="e">
        <f>VLOOKUP($H$6,#REF!,2,FALSE)</f>
        <v>#REF!</v>
      </c>
      <c r="F480" s="51"/>
      <c r="G480" s="620" t="s">
        <v>78</v>
      </c>
      <c r="H480" s="613">
        <v>1.2844353845350245</v>
      </c>
      <c r="I480" s="613">
        <v>0</v>
      </c>
      <c r="J480" s="613">
        <v>0.671413025716175</v>
      </c>
      <c r="K480" s="613">
        <v>0</v>
      </c>
      <c r="L480" s="613">
        <v>0</v>
      </c>
      <c r="M480" s="613">
        <v>1.6768235413433659</v>
      </c>
      <c r="N480" s="613">
        <v>0</v>
      </c>
      <c r="O480" s="613">
        <v>0</v>
      </c>
      <c r="P480" s="613">
        <v>18.511250218523632</v>
      </c>
      <c r="Q480" s="613">
        <v>2.0464486619012869</v>
      </c>
      <c r="R480" s="613">
        <v>1.4169866943359375</v>
      </c>
      <c r="S480" s="613">
        <v>31.901778101678747</v>
      </c>
      <c r="T480" s="613">
        <v>11.306912109375</v>
      </c>
      <c r="U480" s="613">
        <v>8.5890570413253253E-4</v>
      </c>
      <c r="V480" s="613">
        <v>135.19292998685364</v>
      </c>
      <c r="W480" s="613">
        <v>18.430317312360387</v>
      </c>
      <c r="X480" s="613">
        <v>8.2355947265624998</v>
      </c>
      <c r="Y480" s="621">
        <v>230.67574866888981</v>
      </c>
      <c r="Z480" s="51"/>
      <c r="AA480" s="622" t="e" cm="1">
        <f t="array" aca="1" ref="AA480" ca="1">_xlfn.IFNA(INDEX(#REF!,MATCH(INDIRECT("Codes_bilans!"&amp;AA$1&amp;"$"&amp;$A480),#REF!,0),MATCH($B480,#REF!,0)),0)</f>
        <v>#REF!</v>
      </c>
      <c r="AB480" s="51"/>
    </row>
    <row r="481" spans="1:28">
      <c r="A481" s="51" t="e">
        <f t="shared" ref="A481:A488" si="70">A480+1</f>
        <v>#REF!</v>
      </c>
      <c r="B481" s="51">
        <f t="shared" ref="B481:C488" si="71">B480</f>
        <v>2050</v>
      </c>
      <c r="C481" s="51" t="str">
        <f t="shared" si="71"/>
        <v>AMS</v>
      </c>
      <c r="D481" s="51" t="s">
        <v>513</v>
      </c>
      <c r="E481" s="51" t="e">
        <f>VLOOKUP($H$6,#REF!,2,FALSE)</f>
        <v>#REF!</v>
      </c>
      <c r="F481" s="51"/>
      <c r="G481" s="620" t="s">
        <v>79</v>
      </c>
      <c r="H481" s="613">
        <v>0</v>
      </c>
      <c r="I481" s="613">
        <v>0</v>
      </c>
      <c r="J481" s="613">
        <v>2.0327553633446804</v>
      </c>
      <c r="K481" s="613">
        <v>2.9414401384596758</v>
      </c>
      <c r="L481" s="613">
        <v>0</v>
      </c>
      <c r="M481" s="613">
        <v>0.25814381907328782</v>
      </c>
      <c r="N481" s="613">
        <v>0</v>
      </c>
      <c r="O481" s="613">
        <v>0</v>
      </c>
      <c r="P481" s="613">
        <v>0</v>
      </c>
      <c r="Q481" s="613">
        <v>0</v>
      </c>
      <c r="R481" s="613">
        <v>11.290866079539722</v>
      </c>
      <c r="S481" s="613">
        <v>4.9047325623924678</v>
      </c>
      <c r="T481" s="613">
        <v>0</v>
      </c>
      <c r="U481" s="613">
        <v>0</v>
      </c>
      <c r="V481" s="613">
        <v>110.4417553978261</v>
      </c>
      <c r="W481" s="613">
        <v>0</v>
      </c>
      <c r="X481" s="613">
        <v>5.3966998641798476</v>
      </c>
      <c r="Y481" s="621">
        <v>137.26639322481577</v>
      </c>
      <c r="Z481" s="51"/>
      <c r="AA481" s="622" t="e" cm="1">
        <f t="array" aca="1" ref="AA481" ca="1">_xlfn.IFNA(INDEX(#REF!,MATCH(INDIRECT("Codes_bilans!"&amp;AA$1&amp;"$"&amp;$A481),#REF!,0),MATCH($B481,#REF!,0)),0)</f>
        <v>#REF!</v>
      </c>
      <c r="AB481" s="51"/>
    </row>
    <row r="482" spans="1:28">
      <c r="A482" s="51" t="e">
        <f t="shared" si="70"/>
        <v>#REF!</v>
      </c>
      <c r="B482" s="51">
        <f t="shared" si="71"/>
        <v>2050</v>
      </c>
      <c r="C482" s="51" t="str">
        <f t="shared" si="71"/>
        <v>AMS</v>
      </c>
      <c r="D482" s="51" t="s">
        <v>514</v>
      </c>
      <c r="E482" s="51" t="e">
        <f>VLOOKUP($H$6,#REF!,2,FALSE)</f>
        <v>#REF!</v>
      </c>
      <c r="F482" s="51"/>
      <c r="G482" s="620" t="s">
        <v>80</v>
      </c>
      <c r="H482" s="613">
        <v>0</v>
      </c>
      <c r="I482" s="613">
        <v>0</v>
      </c>
      <c r="J482" s="613">
        <v>1.3379901667389997</v>
      </c>
      <c r="K482" s="613">
        <v>0</v>
      </c>
      <c r="L482" s="613">
        <v>0</v>
      </c>
      <c r="M482" s="613">
        <v>1.3094987150488224</v>
      </c>
      <c r="N482" s="613">
        <v>0</v>
      </c>
      <c r="O482" s="613">
        <v>0</v>
      </c>
      <c r="P482" s="613">
        <v>28.937300829462252</v>
      </c>
      <c r="Q482" s="613">
        <v>0</v>
      </c>
      <c r="R482" s="613">
        <v>0</v>
      </c>
      <c r="S482" s="613">
        <v>24.88047558592762</v>
      </c>
      <c r="T482" s="613">
        <v>123.41345399070538</v>
      </c>
      <c r="U482" s="613">
        <v>3.1166998128913419</v>
      </c>
      <c r="V482" s="613">
        <v>128.52074855567903</v>
      </c>
      <c r="W482" s="613">
        <v>22.248806062911136</v>
      </c>
      <c r="X482" s="613">
        <v>0</v>
      </c>
      <c r="Y482" s="621">
        <v>333.76497371936455</v>
      </c>
      <c r="Z482" s="51"/>
      <c r="AA482" s="622" t="e" cm="1">
        <f t="array" aca="1" ref="AA482" ca="1">_xlfn.IFNA(INDEX(#REF!,MATCH(INDIRECT("Codes_bilans!"&amp;AA$1&amp;"$"&amp;$A482),#REF!,0),MATCH($B482,#REF!,0)),0)</f>
        <v>#REF!</v>
      </c>
      <c r="AB482" s="51"/>
    </row>
    <row r="483" spans="1:28">
      <c r="A483" s="51" t="e">
        <f t="shared" si="70"/>
        <v>#REF!</v>
      </c>
      <c r="B483" s="51">
        <f t="shared" si="71"/>
        <v>2050</v>
      </c>
      <c r="C483" s="51" t="str">
        <f t="shared" si="71"/>
        <v>AMS</v>
      </c>
      <c r="D483" s="51" t="s">
        <v>515</v>
      </c>
      <c r="E483" s="51" t="e">
        <f>VLOOKUP($H$6,#REF!,2,FALSE)</f>
        <v>#REF!</v>
      </c>
      <c r="F483" s="51"/>
      <c r="G483" s="620" t="s">
        <v>81</v>
      </c>
      <c r="H483" s="613">
        <v>0</v>
      </c>
      <c r="I483" s="613">
        <v>0</v>
      </c>
      <c r="J483" s="613">
        <v>0.13103912510682203</v>
      </c>
      <c r="K483" s="613">
        <v>0</v>
      </c>
      <c r="L483" s="613">
        <v>0</v>
      </c>
      <c r="M483" s="613">
        <v>0.65398403873429223</v>
      </c>
      <c r="N483" s="613">
        <v>0</v>
      </c>
      <c r="O483" s="613">
        <v>0</v>
      </c>
      <c r="P483" s="613">
        <v>0.34200087095620557</v>
      </c>
      <c r="Q483" s="613">
        <v>2.9244114949902102E-4</v>
      </c>
      <c r="R483" s="613">
        <v>0</v>
      </c>
      <c r="S483" s="613">
        <v>12.425696735951551</v>
      </c>
      <c r="T483" s="613">
        <v>29.475134675869491</v>
      </c>
      <c r="U483" s="613">
        <v>0.98841007039498519</v>
      </c>
      <c r="V483" s="613">
        <v>81.567308013661545</v>
      </c>
      <c r="W483" s="613">
        <v>18.887400278885494</v>
      </c>
      <c r="X483" s="613">
        <v>0</v>
      </c>
      <c r="Y483" s="621">
        <v>144.4712662507099</v>
      </c>
      <c r="Z483" s="51"/>
      <c r="AA483" s="622" t="e" cm="1">
        <f t="array" aca="1" ref="AA483" ca="1">_xlfn.IFNA(INDEX(#REF!,MATCH(INDIRECT("Codes_bilans!"&amp;AA$1&amp;"$"&amp;$A483),#REF!,0),MATCH($B483,#REF!,0)),0)</f>
        <v>#REF!</v>
      </c>
      <c r="AB483" s="51"/>
    </row>
    <row r="484" spans="1:28">
      <c r="A484" s="51" t="e">
        <f t="shared" si="70"/>
        <v>#REF!</v>
      </c>
      <c r="B484" s="51">
        <f t="shared" si="71"/>
        <v>2050</v>
      </c>
      <c r="C484" s="51" t="str">
        <f t="shared" si="71"/>
        <v>AMS</v>
      </c>
      <c r="D484" s="51" t="s">
        <v>516</v>
      </c>
      <c r="E484" s="51" t="e">
        <f>VLOOKUP($H$6,#REF!,2,FALSE)</f>
        <v>#REF!</v>
      </c>
      <c r="F484" s="51"/>
      <c r="G484" s="620" t="s">
        <v>82</v>
      </c>
      <c r="H484" s="613">
        <v>0</v>
      </c>
      <c r="I484" s="613">
        <v>0</v>
      </c>
      <c r="J484" s="613">
        <v>0.51674120491916908</v>
      </c>
      <c r="K484" s="613">
        <v>0</v>
      </c>
      <c r="L484" s="613">
        <v>0</v>
      </c>
      <c r="M484" s="613">
        <v>8.1327589418857746E-2</v>
      </c>
      <c r="N484" s="613">
        <v>0</v>
      </c>
      <c r="O484" s="613">
        <v>0</v>
      </c>
      <c r="P484" s="613">
        <v>4.5749249618986854</v>
      </c>
      <c r="Q484" s="613">
        <v>0</v>
      </c>
      <c r="R484" s="613">
        <v>16.621294257606131</v>
      </c>
      <c r="S484" s="613">
        <v>1.5452241989582969</v>
      </c>
      <c r="T484" s="613">
        <v>1.5</v>
      </c>
      <c r="U484" s="613">
        <v>2.1874070050904897</v>
      </c>
      <c r="V484" s="613">
        <v>7.8459207286229669</v>
      </c>
      <c r="W484" s="613">
        <v>0</v>
      </c>
      <c r="X484" s="613">
        <v>0.44339331184266689</v>
      </c>
      <c r="Y484" s="621">
        <v>35.316233258357272</v>
      </c>
      <c r="Z484" s="51"/>
      <c r="AA484" s="622" t="e" cm="1">
        <f t="array" aca="1" ref="AA484" ca="1">_xlfn.IFNA(INDEX(#REF!,MATCH(INDIRECT("Codes_bilans!"&amp;AA$1&amp;"$"&amp;$A484),#REF!,0),MATCH($B484,#REF!,0)),0)</f>
        <v>#REF!</v>
      </c>
      <c r="AB484" s="51"/>
    </row>
    <row r="485" spans="1:28">
      <c r="A485" s="51" t="e">
        <f t="shared" si="70"/>
        <v>#REF!</v>
      </c>
      <c r="B485" s="51">
        <f t="shared" si="71"/>
        <v>2050</v>
      </c>
      <c r="C485" s="51" t="str">
        <f t="shared" si="71"/>
        <v>AMS</v>
      </c>
      <c r="D485" s="51" t="s">
        <v>517</v>
      </c>
      <c r="E485" s="51" t="e">
        <f>VLOOKUP($H$6,#REF!,2,FALSE)</f>
        <v>#REF!</v>
      </c>
      <c r="F485" s="51"/>
      <c r="G485" s="620" t="s">
        <v>357</v>
      </c>
      <c r="H485" s="613">
        <v>0</v>
      </c>
      <c r="I485" s="613">
        <v>0</v>
      </c>
      <c r="J485" s="613">
        <v>0</v>
      </c>
      <c r="K485" s="613">
        <v>0</v>
      </c>
      <c r="L485" s="613">
        <v>0</v>
      </c>
      <c r="M485" s="613">
        <v>0</v>
      </c>
      <c r="N485" s="613">
        <v>0</v>
      </c>
      <c r="O485" s="613">
        <v>0</v>
      </c>
      <c r="P485" s="613">
        <v>0</v>
      </c>
      <c r="Q485" s="613">
        <v>0</v>
      </c>
      <c r="R485" s="613">
        <v>0</v>
      </c>
      <c r="S485" s="613">
        <v>0</v>
      </c>
      <c r="T485" s="613">
        <v>0</v>
      </c>
      <c r="U485" s="613">
        <v>0</v>
      </c>
      <c r="V485" s="613">
        <v>2.5199999999999996</v>
      </c>
      <c r="W485" s="613">
        <v>0</v>
      </c>
      <c r="X485" s="613">
        <v>0</v>
      </c>
      <c r="Y485" s="621">
        <v>2.5199999999999996</v>
      </c>
      <c r="Z485" s="51"/>
      <c r="AA485" s="622" t="e" cm="1">
        <f t="array" aca="1" ref="AA485" ca="1">_xlfn.IFNA(INDEX(#REF!,MATCH(INDIRECT("Codes_bilans!"&amp;AA$1&amp;"$"&amp;$A485),#REF!,0),MATCH($B485,#REF!,0)),0)</f>
        <v>#REF!</v>
      </c>
      <c r="AB485" s="51"/>
    </row>
    <row r="486" spans="1:28">
      <c r="A486" s="51" t="e">
        <f t="shared" si="70"/>
        <v>#REF!</v>
      </c>
      <c r="B486" s="51">
        <f t="shared" si="71"/>
        <v>2050</v>
      </c>
      <c r="C486" s="51" t="str">
        <f t="shared" si="71"/>
        <v>AMS</v>
      </c>
      <c r="D486" s="51" t="s">
        <v>518</v>
      </c>
      <c r="E486" s="51" t="e">
        <f>VLOOKUP($H$6,#REF!,2,FALSE)</f>
        <v>#REF!</v>
      </c>
      <c r="F486" s="51"/>
      <c r="G486" s="616" t="s">
        <v>83</v>
      </c>
      <c r="H486" s="617">
        <v>1.2844353845350245</v>
      </c>
      <c r="I486" s="617">
        <v>0</v>
      </c>
      <c r="J486" s="617">
        <v>4.6899388858258462</v>
      </c>
      <c r="K486" s="617">
        <v>2.9414401384596758</v>
      </c>
      <c r="L486" s="624">
        <v>0</v>
      </c>
      <c r="M486" s="617">
        <v>3.9797777036186259</v>
      </c>
      <c r="N486" s="617">
        <v>0</v>
      </c>
      <c r="O486" s="617">
        <v>0</v>
      </c>
      <c r="P486" s="617">
        <v>52.365476880840774</v>
      </c>
      <c r="Q486" s="617">
        <v>2.0467411030507856</v>
      </c>
      <c r="R486" s="617">
        <v>29.329147031481789</v>
      </c>
      <c r="S486" s="617">
        <v>75.65790718490868</v>
      </c>
      <c r="T486" s="617">
        <v>165.69550077594988</v>
      </c>
      <c r="U486" s="617">
        <v>6.2933757940809487</v>
      </c>
      <c r="V486" s="617">
        <v>466.08866268264325</v>
      </c>
      <c r="W486" s="617">
        <v>59.566523654157017</v>
      </c>
      <c r="X486" s="617">
        <v>14.075687902585015</v>
      </c>
      <c r="Y486" s="617">
        <v>884.01461512213723</v>
      </c>
      <c r="Z486" s="51"/>
      <c r="AA486" s="51"/>
      <c r="AB486" s="51"/>
    </row>
    <row r="487" spans="1:28">
      <c r="A487" s="51" t="e">
        <f t="shared" si="70"/>
        <v>#REF!</v>
      </c>
      <c r="B487" s="51">
        <f t="shared" si="71"/>
        <v>2050</v>
      </c>
      <c r="C487" s="51" t="str">
        <f t="shared" si="71"/>
        <v>AMS</v>
      </c>
      <c r="D487" s="51" t="s">
        <v>519</v>
      </c>
      <c r="E487" s="51" t="e">
        <f>VLOOKUP($H$6,#REF!,2,FALSE)</f>
        <v>#REF!</v>
      </c>
      <c r="F487" s="51"/>
      <c r="G487" s="612" t="s">
        <v>84</v>
      </c>
      <c r="H487" s="613">
        <v>0</v>
      </c>
      <c r="I487" s="613">
        <v>0</v>
      </c>
      <c r="J487" s="613">
        <v>39.848807090011732</v>
      </c>
      <c r="K487" s="613">
        <v>12.189834391274943</v>
      </c>
      <c r="L487" s="613">
        <v>2.6585092475046008</v>
      </c>
      <c r="M487" s="613">
        <v>0</v>
      </c>
      <c r="N487" s="613">
        <v>0</v>
      </c>
      <c r="O487" s="613">
        <v>0</v>
      </c>
      <c r="P487" s="613">
        <v>0.5962689327253029</v>
      </c>
      <c r="Q487" s="613">
        <v>0</v>
      </c>
      <c r="R487" s="613">
        <v>18.105967775029544</v>
      </c>
      <c r="S487" s="613">
        <v>4.780741280438523</v>
      </c>
      <c r="T487" s="613">
        <v>0</v>
      </c>
      <c r="U487" s="613">
        <v>0</v>
      </c>
      <c r="V487" s="613">
        <v>0</v>
      </c>
      <c r="W487" s="613">
        <v>0</v>
      </c>
      <c r="X487" s="613">
        <v>35.496713960556022</v>
      </c>
      <c r="Y487" s="621">
        <v>113.67684267754068</v>
      </c>
      <c r="Z487" s="51"/>
      <c r="AA487" s="622" t="e" cm="1">
        <f t="array" aca="1" ref="AA487" ca="1">_xlfn.IFNA(INDEX(#REF!,MATCH(INDIRECT("Codes_bilans!"&amp;AA$1&amp;"$"&amp;$A487),#REF!,0),MATCH($B487,#REF!,0)),0)</f>
        <v>#REF!</v>
      </c>
      <c r="AB487" s="51"/>
    </row>
    <row r="488" spans="1:28">
      <c r="A488" s="51" t="e">
        <f t="shared" si="70"/>
        <v>#REF!</v>
      </c>
      <c r="B488" s="51">
        <f t="shared" si="71"/>
        <v>2050</v>
      </c>
      <c r="C488" s="51" t="str">
        <f t="shared" si="71"/>
        <v>AMS</v>
      </c>
      <c r="D488" s="51" t="s">
        <v>520</v>
      </c>
      <c r="E488" s="51" t="e">
        <f>VLOOKUP($H$6,#REF!,2,FALSE)</f>
        <v>#REF!</v>
      </c>
      <c r="F488" s="51"/>
      <c r="G488" s="616" t="s">
        <v>85</v>
      </c>
      <c r="H488" s="617">
        <v>1.2844353845350245</v>
      </c>
      <c r="I488" s="617">
        <v>0</v>
      </c>
      <c r="J488" s="617">
        <v>44.538745975837578</v>
      </c>
      <c r="K488" s="617">
        <v>15.131274529734618</v>
      </c>
      <c r="L488" s="624">
        <v>2.6585092475046008</v>
      </c>
      <c r="M488" s="617">
        <v>3.9797777036186259</v>
      </c>
      <c r="N488" s="617">
        <v>0</v>
      </c>
      <c r="O488" s="617">
        <v>0</v>
      </c>
      <c r="P488" s="617">
        <v>52.961745813566075</v>
      </c>
      <c r="Q488" s="617">
        <v>2.0467411030507856</v>
      </c>
      <c r="R488" s="617">
        <v>47.435114806511329</v>
      </c>
      <c r="S488" s="617">
        <v>80.4386484653472</v>
      </c>
      <c r="T488" s="617">
        <v>165.69550077594988</v>
      </c>
      <c r="U488" s="617">
        <v>6.2933757940809487</v>
      </c>
      <c r="V488" s="617">
        <v>466.08866268264325</v>
      </c>
      <c r="W488" s="617">
        <v>59.566523654157017</v>
      </c>
      <c r="X488" s="617">
        <v>49.572401863141039</v>
      </c>
      <c r="Y488" s="617">
        <v>997.69145779967789</v>
      </c>
      <c r="Z488" s="51"/>
      <c r="AA488" s="51"/>
      <c r="AB488" s="51"/>
    </row>
    <row r="489" spans="1:28">
      <c r="A489" s="51"/>
      <c r="B489" s="51"/>
      <c r="C489" s="51"/>
      <c r="D489" s="51"/>
      <c r="E489" s="51"/>
      <c r="F489" s="51"/>
      <c r="G489" s="51"/>
      <c r="H489" s="67">
        <v>0</v>
      </c>
      <c r="I489" s="67">
        <v>0</v>
      </c>
      <c r="J489" s="67">
        <v>0</v>
      </c>
      <c r="K489" s="67">
        <v>0</v>
      </c>
      <c r="L489" s="67">
        <v>0</v>
      </c>
      <c r="M489" s="67">
        <v>4.9960036108132044E-16</v>
      </c>
      <c r="N489" s="67">
        <v>0</v>
      </c>
      <c r="O489" s="67">
        <v>0</v>
      </c>
      <c r="P489" s="67">
        <v>0</v>
      </c>
      <c r="Q489" s="67">
        <v>0</v>
      </c>
      <c r="R489" s="67">
        <v>0</v>
      </c>
      <c r="S489" s="67">
        <v>0</v>
      </c>
      <c r="T489" s="67">
        <v>0</v>
      </c>
      <c r="U489" s="67">
        <v>0</v>
      </c>
      <c r="V489" s="67">
        <v>-5.6843418860808015E-14</v>
      </c>
      <c r="W489" s="67">
        <v>7.1054273576010019E-15</v>
      </c>
      <c r="X489" s="67">
        <v>-1.4654943925052066E-14</v>
      </c>
      <c r="Y489" s="67">
        <v>0</v>
      </c>
      <c r="Z489" s="51"/>
      <c r="AA489" s="51"/>
      <c r="AB489" s="51"/>
    </row>
    <row r="490" spans="1:28">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row>
  </sheetData>
  <mergeCells count="182">
    <mergeCell ref="X456:X457"/>
    <mergeCell ref="Y456:Y457"/>
    <mergeCell ref="M456:M457"/>
    <mergeCell ref="N456:N457"/>
    <mergeCell ref="O456:O457"/>
    <mergeCell ref="P456:U456"/>
    <mergeCell ref="V456:V457"/>
    <mergeCell ref="W456:W457"/>
    <mergeCell ref="G456:G457"/>
    <mergeCell ref="H456:H457"/>
    <mergeCell ref="I456:I457"/>
    <mergeCell ref="J456:J457"/>
    <mergeCell ref="K456:K457"/>
    <mergeCell ref="L456:L457"/>
    <mergeCell ref="O419:O420"/>
    <mergeCell ref="P419:U419"/>
    <mergeCell ref="V419:V420"/>
    <mergeCell ref="W419:W420"/>
    <mergeCell ref="X419:X420"/>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I382:I383"/>
    <mergeCell ref="J382:J383"/>
    <mergeCell ref="K382:K383"/>
    <mergeCell ref="L382:L383"/>
    <mergeCell ref="O345:O346"/>
    <mergeCell ref="P345:U345"/>
    <mergeCell ref="V345:V346"/>
    <mergeCell ref="W345:W346"/>
    <mergeCell ref="X345:X346"/>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I308:I309"/>
    <mergeCell ref="J308:J309"/>
    <mergeCell ref="K308:K309"/>
    <mergeCell ref="L308:L309"/>
    <mergeCell ref="O271:O272"/>
    <mergeCell ref="P271:U271"/>
    <mergeCell ref="V271:V272"/>
    <mergeCell ref="W271:W272"/>
    <mergeCell ref="X271:X272"/>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I234:I235"/>
    <mergeCell ref="J234:J235"/>
    <mergeCell ref="K234:K235"/>
    <mergeCell ref="L234:L235"/>
    <mergeCell ref="O197:O198"/>
    <mergeCell ref="P197:U197"/>
    <mergeCell ref="V197:V198"/>
    <mergeCell ref="W197:W198"/>
    <mergeCell ref="X197:X198"/>
    <mergeCell ref="Y197:Y198"/>
    <mergeCell ref="X160:X161"/>
    <mergeCell ref="Y160:Y161"/>
    <mergeCell ref="G197:G198"/>
    <mergeCell ref="H197:H198"/>
    <mergeCell ref="I197:I198"/>
    <mergeCell ref="J197:J198"/>
    <mergeCell ref="K197:K198"/>
    <mergeCell ref="L197:L198"/>
    <mergeCell ref="M197:M198"/>
    <mergeCell ref="N197:N198"/>
    <mergeCell ref="M160:M161"/>
    <mergeCell ref="N160:N161"/>
    <mergeCell ref="O160:O161"/>
    <mergeCell ref="P160:U160"/>
    <mergeCell ref="V160:V161"/>
    <mergeCell ref="W160:W161"/>
    <mergeCell ref="G160:G161"/>
    <mergeCell ref="H160:H161"/>
    <mergeCell ref="I160:I161"/>
    <mergeCell ref="J160:J161"/>
    <mergeCell ref="K160:K161"/>
    <mergeCell ref="L160:L161"/>
    <mergeCell ref="O123:O124"/>
    <mergeCell ref="P123:U123"/>
    <mergeCell ref="V123:V124"/>
    <mergeCell ref="W123:W124"/>
    <mergeCell ref="X123:X124"/>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I86:I87"/>
    <mergeCell ref="J86:J87"/>
    <mergeCell ref="K86:K87"/>
    <mergeCell ref="L86:L87"/>
    <mergeCell ref="O49:O50"/>
    <mergeCell ref="P49:U49"/>
    <mergeCell ref="V49:V50"/>
    <mergeCell ref="W49:W50"/>
    <mergeCell ref="X49:X50"/>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 ref="J12:J13"/>
    <mergeCell ref="K12:K13"/>
    <mergeCell ref="L12:L13"/>
  </mergeCells>
  <conditionalFormatting sqref="P87:T87 H118:J118 V109:Y109 Y463:Y465 H108:J116 Y478:Y486 Y96:Y107 H88:J95 R88:S88 V88:Y88 L88:L95 L108:L116 L118 N118:Y118 N109:O109 N110:Y116 N108:Y108 N89:Y95 K88">
    <cfRule type="cellIs" dxfId="906" priority="907" operator="equal">
      <formula>0</formula>
    </cfRule>
  </conditionalFormatting>
  <conditionalFormatting sqref="V88:V90">
    <cfRule type="cellIs" dxfId="905" priority="906" operator="equal">
      <formula>0</formula>
    </cfRule>
  </conditionalFormatting>
  <conditionalFormatting sqref="V88:X88 R88:S88 H89:J90 L89:L90 N89:X90">
    <cfRule type="cellIs" dxfId="904" priority="905" operator="equal">
      <formula>0</formula>
    </cfRule>
  </conditionalFormatting>
  <conditionalFormatting sqref="J89:J90">
    <cfRule type="cellIs" dxfId="903" priority="904" operator="equal">
      <formula>0</formula>
    </cfRule>
  </conditionalFormatting>
  <conditionalFormatting sqref="U87">
    <cfRule type="cellIs" dxfId="902" priority="903" operator="equal">
      <formula>0</formula>
    </cfRule>
  </conditionalFormatting>
  <conditionalFormatting sqref="R88:S88">
    <cfRule type="cellIs" dxfId="901" priority="902" operator="equal">
      <formula>0</formula>
    </cfRule>
  </conditionalFormatting>
  <conditionalFormatting sqref="P91:P93 P109">
    <cfRule type="cellIs" dxfId="900" priority="901" operator="equal">
      <formula>0</formula>
    </cfRule>
  </conditionalFormatting>
  <conditionalFormatting sqref="P89:P90">
    <cfRule type="cellIs" dxfId="899" priority="900" operator="equal">
      <formula>0</formula>
    </cfRule>
  </conditionalFormatting>
  <conditionalFormatting sqref="Q91:Q93 Q109">
    <cfRule type="cellIs" dxfId="898" priority="899" operator="equal">
      <formula>0</formula>
    </cfRule>
  </conditionalFormatting>
  <conditionalFormatting sqref="Q89:Q90">
    <cfRule type="cellIs" dxfId="897" priority="898" operator="equal">
      <formula>0</formula>
    </cfRule>
  </conditionalFormatting>
  <conditionalFormatting sqref="R91:R93 R109">
    <cfRule type="cellIs" dxfId="896" priority="897" operator="equal">
      <formula>0</formula>
    </cfRule>
  </conditionalFormatting>
  <conditionalFormatting sqref="R88:R90">
    <cfRule type="cellIs" dxfId="895" priority="896" operator="equal">
      <formula>0</formula>
    </cfRule>
  </conditionalFormatting>
  <conditionalFormatting sqref="S91:S93 S109">
    <cfRule type="cellIs" dxfId="894" priority="895" operator="equal">
      <formula>0</formula>
    </cfRule>
  </conditionalFormatting>
  <conditionalFormatting sqref="S88:S90">
    <cfRule type="cellIs" dxfId="893" priority="894" operator="equal">
      <formula>0</formula>
    </cfRule>
  </conditionalFormatting>
  <conditionalFormatting sqref="T91:T93 T109">
    <cfRule type="cellIs" dxfId="892" priority="893" operator="equal">
      <formula>0</formula>
    </cfRule>
  </conditionalFormatting>
  <conditionalFormatting sqref="T89:T90">
    <cfRule type="cellIs" dxfId="891" priority="892" operator="equal">
      <formula>0</formula>
    </cfRule>
  </conditionalFormatting>
  <conditionalFormatting sqref="U91:U93 U109">
    <cfRule type="cellIs" dxfId="890" priority="891" operator="equal">
      <formula>0</formula>
    </cfRule>
  </conditionalFormatting>
  <conditionalFormatting sqref="U89:U90">
    <cfRule type="cellIs" dxfId="889" priority="890" operator="equal">
      <formula>0</formula>
    </cfRule>
  </conditionalFormatting>
  <conditionalFormatting sqref="AA110:AA115">
    <cfRule type="cellIs" dxfId="888" priority="889" operator="equal">
      <formula>0</formula>
    </cfRule>
  </conditionalFormatting>
  <conditionalFormatting sqref="AA117">
    <cfRule type="cellIs" dxfId="887" priority="888" operator="equal">
      <formula>0</formula>
    </cfRule>
  </conditionalFormatting>
  <conditionalFormatting sqref="H117:J117 L117 N117:Y117">
    <cfRule type="cellIs" dxfId="886" priority="887" operator="equal">
      <formula>0</formula>
    </cfRule>
  </conditionalFormatting>
  <conditionalFormatting sqref="H110:J118 Y478 H108:J108 Y96:Y107 H88:J94 R88:S88 V88:Y88 L88:L94 L108 L110:L118 N110:Y118 N108:Y108 N89:Y94 K88">
    <cfRule type="containsBlanks" dxfId="885" priority="886">
      <formula>LEN(TRIM(H88))=0</formula>
    </cfRule>
  </conditionalFormatting>
  <conditionalFormatting sqref="P124:T124">
    <cfRule type="cellIs" dxfId="884" priority="885" operator="equal">
      <formula>0</formula>
    </cfRule>
  </conditionalFormatting>
  <conditionalFormatting sqref="U124">
    <cfRule type="cellIs" dxfId="883" priority="884" operator="equal">
      <formula>0</formula>
    </cfRule>
  </conditionalFormatting>
  <conditionalFormatting sqref="AA147:AA152">
    <cfRule type="cellIs" dxfId="882" priority="883" operator="equal">
      <formula>0</formula>
    </cfRule>
  </conditionalFormatting>
  <conditionalFormatting sqref="AA154">
    <cfRule type="cellIs" dxfId="881" priority="882" operator="equal">
      <formula>0</formula>
    </cfRule>
  </conditionalFormatting>
  <conditionalFormatting sqref="P161:T161">
    <cfRule type="cellIs" dxfId="880" priority="881" operator="equal">
      <formula>0</formula>
    </cfRule>
  </conditionalFormatting>
  <conditionalFormatting sqref="U161">
    <cfRule type="cellIs" dxfId="879" priority="880" operator="equal">
      <formula>0</formula>
    </cfRule>
  </conditionalFormatting>
  <conditionalFormatting sqref="AA184:AA189">
    <cfRule type="cellIs" dxfId="878" priority="879" operator="equal">
      <formula>0</formula>
    </cfRule>
  </conditionalFormatting>
  <conditionalFormatting sqref="AA191">
    <cfRule type="cellIs" dxfId="877" priority="878" operator="equal">
      <formula>0</formula>
    </cfRule>
  </conditionalFormatting>
  <conditionalFormatting sqref="P198:T198">
    <cfRule type="cellIs" dxfId="876" priority="877" operator="equal">
      <formula>0</formula>
    </cfRule>
  </conditionalFormatting>
  <conditionalFormatting sqref="U198">
    <cfRule type="cellIs" dxfId="875" priority="876" operator="equal">
      <formula>0</formula>
    </cfRule>
  </conditionalFormatting>
  <conditionalFormatting sqref="AA221:AA226">
    <cfRule type="cellIs" dxfId="874" priority="875" operator="equal">
      <formula>0</formula>
    </cfRule>
  </conditionalFormatting>
  <conditionalFormatting sqref="AA228">
    <cfRule type="cellIs" dxfId="873" priority="874" operator="equal">
      <formula>0</formula>
    </cfRule>
  </conditionalFormatting>
  <conditionalFormatting sqref="P235:T235">
    <cfRule type="cellIs" dxfId="872" priority="873" operator="equal">
      <formula>0</formula>
    </cfRule>
  </conditionalFormatting>
  <conditionalFormatting sqref="U235">
    <cfRule type="cellIs" dxfId="871" priority="872" operator="equal">
      <formula>0</formula>
    </cfRule>
  </conditionalFormatting>
  <conditionalFormatting sqref="AA258:AA263">
    <cfRule type="cellIs" dxfId="870" priority="871" operator="equal">
      <formula>0</formula>
    </cfRule>
  </conditionalFormatting>
  <conditionalFormatting sqref="AA265">
    <cfRule type="cellIs" dxfId="869" priority="870" operator="equal">
      <formula>0</formula>
    </cfRule>
  </conditionalFormatting>
  <conditionalFormatting sqref="P272:T272">
    <cfRule type="cellIs" dxfId="868" priority="869" operator="equal">
      <formula>0</formula>
    </cfRule>
  </conditionalFormatting>
  <conditionalFormatting sqref="U272">
    <cfRule type="cellIs" dxfId="867" priority="868" operator="equal">
      <formula>0</formula>
    </cfRule>
  </conditionalFormatting>
  <conditionalFormatting sqref="AA295:AA300">
    <cfRule type="cellIs" dxfId="866" priority="867" operator="equal">
      <formula>0</formula>
    </cfRule>
  </conditionalFormatting>
  <conditionalFormatting sqref="AA302">
    <cfRule type="cellIs" dxfId="865" priority="866" operator="equal">
      <formula>0</formula>
    </cfRule>
  </conditionalFormatting>
  <conditionalFormatting sqref="H117:J117 L117 N117:X117">
    <cfRule type="cellIs" dxfId="864" priority="865" operator="equal">
      <formula>0</formula>
    </cfRule>
  </conditionalFormatting>
  <conditionalFormatting sqref="P309:T309">
    <cfRule type="cellIs" dxfId="863" priority="864" operator="equal">
      <formula>0</formula>
    </cfRule>
  </conditionalFormatting>
  <conditionalFormatting sqref="U309">
    <cfRule type="cellIs" dxfId="862" priority="863" operator="equal">
      <formula>0</formula>
    </cfRule>
  </conditionalFormatting>
  <conditionalFormatting sqref="AA332:AA337">
    <cfRule type="cellIs" dxfId="861" priority="862" operator="equal">
      <formula>0</formula>
    </cfRule>
  </conditionalFormatting>
  <conditionalFormatting sqref="AA339">
    <cfRule type="cellIs" dxfId="860" priority="861" operator="equal">
      <formula>0</formula>
    </cfRule>
  </conditionalFormatting>
  <conditionalFormatting sqref="P346:T346">
    <cfRule type="cellIs" dxfId="859" priority="860" operator="equal">
      <formula>0</formula>
    </cfRule>
  </conditionalFormatting>
  <conditionalFormatting sqref="U346">
    <cfRule type="cellIs" dxfId="858" priority="859" operator="equal">
      <formula>0</formula>
    </cfRule>
  </conditionalFormatting>
  <conditionalFormatting sqref="AA369:AA374">
    <cfRule type="cellIs" dxfId="857" priority="858" operator="equal">
      <formula>0</formula>
    </cfRule>
  </conditionalFormatting>
  <conditionalFormatting sqref="AA376">
    <cfRule type="cellIs" dxfId="856" priority="857" operator="equal">
      <formula>0</formula>
    </cfRule>
  </conditionalFormatting>
  <conditionalFormatting sqref="P383:T383">
    <cfRule type="cellIs" dxfId="855" priority="856" operator="equal">
      <formula>0</formula>
    </cfRule>
  </conditionalFormatting>
  <conditionalFormatting sqref="U383">
    <cfRule type="cellIs" dxfId="854" priority="855" operator="equal">
      <formula>0</formula>
    </cfRule>
  </conditionalFormatting>
  <conditionalFormatting sqref="AA406:AA411">
    <cfRule type="cellIs" dxfId="853" priority="854" operator="equal">
      <formula>0</formula>
    </cfRule>
  </conditionalFormatting>
  <conditionalFormatting sqref="AA413">
    <cfRule type="cellIs" dxfId="852" priority="853" operator="equal">
      <formula>0</formula>
    </cfRule>
  </conditionalFormatting>
  <conditionalFormatting sqref="P420:T420">
    <cfRule type="cellIs" dxfId="851" priority="852" operator="equal">
      <formula>0</formula>
    </cfRule>
  </conditionalFormatting>
  <conditionalFormatting sqref="U420">
    <cfRule type="cellIs" dxfId="850" priority="851" operator="equal">
      <formula>0</formula>
    </cfRule>
  </conditionalFormatting>
  <conditionalFormatting sqref="AA443:AA448">
    <cfRule type="cellIs" dxfId="849" priority="850" operator="equal">
      <formula>0</formula>
    </cfRule>
  </conditionalFormatting>
  <conditionalFormatting sqref="AA450">
    <cfRule type="cellIs" dxfId="848" priority="849" operator="equal">
      <formula>0</formula>
    </cfRule>
  </conditionalFormatting>
  <conditionalFormatting sqref="P457:T457">
    <cfRule type="cellIs" dxfId="847" priority="848" operator="equal">
      <formula>0</formula>
    </cfRule>
  </conditionalFormatting>
  <conditionalFormatting sqref="U457">
    <cfRule type="cellIs" dxfId="846" priority="847" operator="equal">
      <formula>0</formula>
    </cfRule>
  </conditionalFormatting>
  <conditionalFormatting sqref="AA480:AA485">
    <cfRule type="cellIs" dxfId="845" priority="846" operator="equal">
      <formula>0</formula>
    </cfRule>
  </conditionalFormatting>
  <conditionalFormatting sqref="AA487">
    <cfRule type="cellIs" dxfId="844" priority="845" operator="equal">
      <formula>0</formula>
    </cfRule>
  </conditionalFormatting>
  <conditionalFormatting sqref="Y488 Y458:Y460">
    <cfRule type="cellIs" dxfId="843" priority="844" operator="equal">
      <formula>0</formula>
    </cfRule>
  </conditionalFormatting>
  <conditionalFormatting sqref="Y487">
    <cfRule type="cellIs" dxfId="842" priority="843" operator="equal">
      <formula>0</formula>
    </cfRule>
  </conditionalFormatting>
  <conditionalFormatting sqref="Y480:Y488 Y458:Y460 Y463:Y464">
    <cfRule type="containsBlanks" dxfId="841" priority="842">
      <formula>LEN(TRIM(Y458))=0</formula>
    </cfRule>
  </conditionalFormatting>
  <conditionalFormatting sqref="R91:R92">
    <cfRule type="cellIs" dxfId="840" priority="841" operator="equal">
      <formula>0</formula>
    </cfRule>
  </conditionalFormatting>
  <conditionalFormatting sqref="S91:S92">
    <cfRule type="cellIs" dxfId="839" priority="840" operator="equal">
      <formula>0</formula>
    </cfRule>
  </conditionalFormatting>
  <conditionalFormatting sqref="Y461:Y462">
    <cfRule type="cellIs" dxfId="838" priority="839" operator="equal">
      <formula>0</formula>
    </cfRule>
  </conditionalFormatting>
  <conditionalFormatting sqref="Y461:Y462">
    <cfRule type="containsBlanks" dxfId="837" priority="838">
      <formula>LEN(TRIM(Y461))=0</formula>
    </cfRule>
  </conditionalFormatting>
  <conditionalFormatting sqref="T91:U91">
    <cfRule type="cellIs" dxfId="836" priority="837" operator="equal">
      <formula>0</formula>
    </cfRule>
  </conditionalFormatting>
  <conditionalFormatting sqref="T92:U92">
    <cfRule type="cellIs" dxfId="835" priority="836" operator="equal">
      <formula>0</formula>
    </cfRule>
  </conditionalFormatting>
  <conditionalFormatting sqref="P13:T13 V35:Y35 H35:J35 H21:J21 Y72 H58:J61 L58:L61 L21 L35 N35:O35 N21:Y21 N58:Y58 N59:W61">
    <cfRule type="cellIs" dxfId="834" priority="835" operator="equal">
      <formula>0</formula>
    </cfRule>
  </conditionalFormatting>
  <conditionalFormatting sqref="U13">
    <cfRule type="cellIs" dxfId="833" priority="834" operator="equal">
      <formula>0</formula>
    </cfRule>
  </conditionalFormatting>
  <conditionalFormatting sqref="P35">
    <cfRule type="cellIs" dxfId="832" priority="833" operator="equal">
      <formula>0</formula>
    </cfRule>
  </conditionalFormatting>
  <conditionalFormatting sqref="Q35">
    <cfRule type="cellIs" dxfId="831" priority="832" operator="equal">
      <formula>0</formula>
    </cfRule>
  </conditionalFormatting>
  <conditionalFormatting sqref="R35">
    <cfRule type="cellIs" dxfId="830" priority="831" operator="equal">
      <formula>0</formula>
    </cfRule>
  </conditionalFormatting>
  <conditionalFormatting sqref="S35">
    <cfRule type="cellIs" dxfId="829" priority="830" operator="equal">
      <formula>0</formula>
    </cfRule>
  </conditionalFormatting>
  <conditionalFormatting sqref="T35">
    <cfRule type="cellIs" dxfId="828" priority="829" operator="equal">
      <formula>0</formula>
    </cfRule>
  </conditionalFormatting>
  <conditionalFormatting sqref="U35">
    <cfRule type="cellIs" dxfId="827" priority="828" operator="equal">
      <formula>0</formula>
    </cfRule>
  </conditionalFormatting>
  <conditionalFormatting sqref="H59:J61 L59:L61 N59:W61">
    <cfRule type="containsBlanks" dxfId="826" priority="827">
      <formula>LEN(TRIM(H59))=0</formula>
    </cfRule>
  </conditionalFormatting>
  <conditionalFormatting sqref="X52:X53 X56 L52:L53 H56:J56 P50:T50 V72:X72 H72:J72 H69:J70 H64:J65 L64:L65 L69:L70 L72 L56 N56:O56 N72:O72 N69:W70 N64:W65">
    <cfRule type="cellIs" dxfId="825" priority="826" operator="equal">
      <formula>0</formula>
    </cfRule>
  </conditionalFormatting>
  <conditionalFormatting sqref="H52:I53 N52:O53">
    <cfRule type="cellIs" dxfId="824" priority="825" operator="equal">
      <formula>0</formula>
    </cfRule>
  </conditionalFormatting>
  <conditionalFormatting sqref="J52:J53">
    <cfRule type="cellIs" dxfId="823" priority="824" operator="equal">
      <formula>0</formula>
    </cfRule>
  </conditionalFormatting>
  <conditionalFormatting sqref="H68:J70 L68:L70 N68:W70">
    <cfRule type="cellIs" dxfId="822" priority="823" operator="equal">
      <formula>0</formula>
    </cfRule>
  </conditionalFormatting>
  <conditionalFormatting sqref="U50">
    <cfRule type="cellIs" dxfId="821" priority="822" operator="equal">
      <formula>0</formula>
    </cfRule>
  </conditionalFormatting>
  <conditionalFormatting sqref="P56 P72">
    <cfRule type="cellIs" dxfId="820" priority="821" operator="equal">
      <formula>0</formula>
    </cfRule>
  </conditionalFormatting>
  <conditionalFormatting sqref="P52:P53">
    <cfRule type="cellIs" dxfId="819" priority="820" operator="equal">
      <formula>0</formula>
    </cfRule>
  </conditionalFormatting>
  <conditionalFormatting sqref="Q56 Q72">
    <cfRule type="cellIs" dxfId="818" priority="819" operator="equal">
      <formula>0</formula>
    </cfRule>
  </conditionalFormatting>
  <conditionalFormatting sqref="Q52:Q53">
    <cfRule type="cellIs" dxfId="817" priority="818" operator="equal">
      <formula>0</formula>
    </cfRule>
  </conditionalFormatting>
  <conditionalFormatting sqref="R56 R72">
    <cfRule type="cellIs" dxfId="816" priority="817" operator="equal">
      <formula>0</formula>
    </cfRule>
  </conditionalFormatting>
  <conditionalFormatting sqref="R52:R53">
    <cfRule type="cellIs" dxfId="815" priority="816" operator="equal">
      <formula>0</formula>
    </cfRule>
  </conditionalFormatting>
  <conditionalFormatting sqref="S56 S72">
    <cfRule type="cellIs" dxfId="814" priority="815" operator="equal">
      <formula>0</formula>
    </cfRule>
  </conditionalFormatting>
  <conditionalFormatting sqref="S52:S53">
    <cfRule type="cellIs" dxfId="813" priority="814" operator="equal">
      <formula>0</formula>
    </cfRule>
  </conditionalFormatting>
  <conditionalFormatting sqref="T56 T72">
    <cfRule type="cellIs" dxfId="812" priority="813" operator="equal">
      <formula>0</formula>
    </cfRule>
  </conditionalFormatting>
  <conditionalFormatting sqref="T52:T53">
    <cfRule type="cellIs" dxfId="811" priority="812" operator="equal">
      <formula>0</formula>
    </cfRule>
  </conditionalFormatting>
  <conditionalFormatting sqref="U56 U72">
    <cfRule type="cellIs" dxfId="810" priority="811" operator="equal">
      <formula>0</formula>
    </cfRule>
  </conditionalFormatting>
  <conditionalFormatting sqref="U52:U53">
    <cfRule type="cellIs" dxfId="809" priority="810" operator="equal">
      <formula>0</formula>
    </cfRule>
  </conditionalFormatting>
  <conditionalFormatting sqref="H52:J53 H56:J56 X56 X52:X53 H64:J65 H68:J70 L68:L70 L64:L65 L56 L52:L53 N52:U53 N56:U56 N64:W65 N68:W70">
    <cfRule type="containsBlanks" dxfId="808" priority="809">
      <formula>LEN(TRIM(H52))=0</formula>
    </cfRule>
  </conditionalFormatting>
  <conditionalFormatting sqref="H51:J51 X51 V51:W56 L51">
    <cfRule type="cellIs" dxfId="807" priority="808" operator="equal">
      <formula>0</formula>
    </cfRule>
  </conditionalFormatting>
  <conditionalFormatting sqref="N51">
    <cfRule type="cellIs" dxfId="806" priority="807" operator="equal">
      <formula>0</formula>
    </cfRule>
  </conditionalFormatting>
  <conditionalFormatting sqref="O51">
    <cfRule type="cellIs" dxfId="805" priority="806" operator="equal">
      <formula>0</formula>
    </cfRule>
  </conditionalFormatting>
  <conditionalFormatting sqref="R51:U51">
    <cfRule type="cellIs" dxfId="804" priority="805" operator="equal">
      <formula>0</formula>
    </cfRule>
  </conditionalFormatting>
  <conditionalFormatting sqref="P51">
    <cfRule type="cellIs" dxfId="803" priority="804" operator="equal">
      <formula>0</formula>
    </cfRule>
  </conditionalFormatting>
  <conditionalFormatting sqref="Q51">
    <cfRule type="cellIs" dxfId="802" priority="803" operator="equal">
      <formula>0</formula>
    </cfRule>
  </conditionalFormatting>
  <conditionalFormatting sqref="H51:J51 V52:V56 X51 W51:W56 L51 N51:V51">
    <cfRule type="containsBlanks" dxfId="801" priority="802">
      <formula>LEN(TRIM(H51))=0</formula>
    </cfRule>
  </conditionalFormatting>
  <conditionalFormatting sqref="Y51:Y56">
    <cfRule type="cellIs" dxfId="800" priority="801" operator="equal">
      <formula>0</formula>
    </cfRule>
  </conditionalFormatting>
  <conditionalFormatting sqref="Y51:Y56">
    <cfRule type="containsBlanks" dxfId="799" priority="800">
      <formula>LEN(TRIM(Y51))=0</formula>
    </cfRule>
  </conditionalFormatting>
  <conditionalFormatting sqref="H62:J63 T62:W62 L62:L63 N63:W63 N62:R62">
    <cfRule type="cellIs" dxfId="798" priority="799" operator="equal">
      <formula>0</formula>
    </cfRule>
  </conditionalFormatting>
  <conditionalFormatting sqref="H62:J63 T62:W62 L62:L63 N63:W63 N62:R62">
    <cfRule type="containsBlanks" dxfId="797" priority="798">
      <formula>LEN(TRIM(H62))=0</formula>
    </cfRule>
  </conditionalFormatting>
  <conditionalFormatting sqref="H54:J55 X54:X55 L54:L55 N54:U55">
    <cfRule type="cellIs" dxfId="796" priority="797" operator="equal">
      <formula>0</formula>
    </cfRule>
  </conditionalFormatting>
  <conditionalFormatting sqref="P54:P55">
    <cfRule type="cellIs" dxfId="795" priority="796" operator="equal">
      <formula>0</formula>
    </cfRule>
  </conditionalFormatting>
  <conditionalFormatting sqref="Q54:Q55">
    <cfRule type="cellIs" dxfId="794" priority="795" operator="equal">
      <formula>0</formula>
    </cfRule>
  </conditionalFormatting>
  <conditionalFormatting sqref="R54:R55">
    <cfRule type="cellIs" dxfId="793" priority="794" operator="equal">
      <formula>0</formula>
    </cfRule>
  </conditionalFormatting>
  <conditionalFormatting sqref="S54:S55">
    <cfRule type="cellIs" dxfId="792" priority="793" operator="equal">
      <formula>0</formula>
    </cfRule>
  </conditionalFormatting>
  <conditionalFormatting sqref="T54:T55">
    <cfRule type="cellIs" dxfId="791" priority="792" operator="equal">
      <formula>0</formula>
    </cfRule>
  </conditionalFormatting>
  <conditionalFormatting sqref="U54:U55">
    <cfRule type="cellIs" dxfId="790" priority="791" operator="equal">
      <formula>0</formula>
    </cfRule>
  </conditionalFormatting>
  <conditionalFormatting sqref="H54:J55 X54:X55 L54:L55 N54:U55">
    <cfRule type="containsBlanks" dxfId="789" priority="790">
      <formula>LEN(TRIM(H54))=0</formula>
    </cfRule>
  </conditionalFormatting>
  <conditionalFormatting sqref="R54:R55">
    <cfRule type="cellIs" dxfId="788" priority="789" operator="equal">
      <formula>0</formula>
    </cfRule>
  </conditionalFormatting>
  <conditionalFormatting sqref="S54:S55">
    <cfRule type="cellIs" dxfId="787" priority="788" operator="equal">
      <formula>0</formula>
    </cfRule>
  </conditionalFormatting>
  <conditionalFormatting sqref="T54:U54">
    <cfRule type="cellIs" dxfId="786" priority="787" operator="equal">
      <formula>0</formula>
    </cfRule>
  </conditionalFormatting>
  <conditionalFormatting sqref="T55:U55">
    <cfRule type="cellIs" dxfId="785" priority="786" operator="equal">
      <formula>0</formula>
    </cfRule>
  </conditionalFormatting>
  <conditionalFormatting sqref="Y466:Y477">
    <cfRule type="cellIs" dxfId="784" priority="785" operator="equal">
      <formula>0</formula>
    </cfRule>
  </conditionalFormatting>
  <conditionalFormatting sqref="Y466:Y477">
    <cfRule type="containsBlanks" dxfId="783" priority="784">
      <formula>LEN(TRIM(Y466))=0</formula>
    </cfRule>
  </conditionalFormatting>
  <conditionalFormatting sqref="Y155 Y125:Y153">
    <cfRule type="cellIs" dxfId="782" priority="783" operator="equal">
      <formula>0</formula>
    </cfRule>
  </conditionalFormatting>
  <conditionalFormatting sqref="Y154">
    <cfRule type="cellIs" dxfId="781" priority="782" operator="equal">
      <formula>0</formula>
    </cfRule>
  </conditionalFormatting>
  <conditionalFormatting sqref="Y147:Y155 Y125:Y131 Y133:Y145">
    <cfRule type="containsBlanks" dxfId="780" priority="781">
      <formula>LEN(TRIM(Y125))=0</formula>
    </cfRule>
  </conditionalFormatting>
  <conditionalFormatting sqref="Y192 Y162:Y190">
    <cfRule type="cellIs" dxfId="779" priority="780" operator="equal">
      <formula>0</formula>
    </cfRule>
  </conditionalFormatting>
  <conditionalFormatting sqref="Y191">
    <cfRule type="cellIs" dxfId="778" priority="779" operator="equal">
      <formula>0</formula>
    </cfRule>
  </conditionalFormatting>
  <conditionalFormatting sqref="Y184:Y192 Y162:Y168 Y170:Y182">
    <cfRule type="containsBlanks" dxfId="777" priority="778">
      <formula>LEN(TRIM(Y162))=0</formula>
    </cfRule>
  </conditionalFormatting>
  <conditionalFormatting sqref="Y229 Y199:Y227">
    <cfRule type="cellIs" dxfId="776" priority="777" operator="equal">
      <formula>0</formula>
    </cfRule>
  </conditionalFormatting>
  <conditionalFormatting sqref="Y228">
    <cfRule type="cellIs" dxfId="775" priority="776" operator="equal">
      <formula>0</formula>
    </cfRule>
  </conditionalFormatting>
  <conditionalFormatting sqref="Y221:Y229 Y199:Y205 Y207:Y219">
    <cfRule type="containsBlanks" dxfId="774" priority="775">
      <formula>LEN(TRIM(Y199))=0</formula>
    </cfRule>
  </conditionalFormatting>
  <conditionalFormatting sqref="Y266 Y236:Y264">
    <cfRule type="cellIs" dxfId="773" priority="774" operator="equal">
      <formula>0</formula>
    </cfRule>
  </conditionalFormatting>
  <conditionalFormatting sqref="Y265">
    <cfRule type="cellIs" dxfId="772" priority="773" operator="equal">
      <formula>0</formula>
    </cfRule>
  </conditionalFormatting>
  <conditionalFormatting sqref="Y258:Y266 Y236:Y242 Y244:Y256">
    <cfRule type="containsBlanks" dxfId="771" priority="772">
      <formula>LEN(TRIM(Y236))=0</formula>
    </cfRule>
  </conditionalFormatting>
  <conditionalFormatting sqref="Y303 Y273:Y301">
    <cfRule type="cellIs" dxfId="770" priority="771" operator="equal">
      <formula>0</formula>
    </cfRule>
  </conditionalFormatting>
  <conditionalFormatting sqref="Y302">
    <cfRule type="cellIs" dxfId="769" priority="770" operator="equal">
      <formula>0</formula>
    </cfRule>
  </conditionalFormatting>
  <conditionalFormatting sqref="Y295:Y303 Y273:Y279 Y281:Y293">
    <cfRule type="containsBlanks" dxfId="768" priority="769">
      <formula>LEN(TRIM(Y273))=0</formula>
    </cfRule>
  </conditionalFormatting>
  <conditionalFormatting sqref="Y340 Y310:Y338">
    <cfRule type="cellIs" dxfId="767" priority="768" operator="equal">
      <formula>0</formula>
    </cfRule>
  </conditionalFormatting>
  <conditionalFormatting sqref="Y339">
    <cfRule type="cellIs" dxfId="766" priority="767" operator="equal">
      <formula>0</formula>
    </cfRule>
  </conditionalFormatting>
  <conditionalFormatting sqref="Y332:Y340 Y310:Y316 Y318:Y330">
    <cfRule type="containsBlanks" dxfId="765" priority="766">
      <formula>LEN(TRIM(Y310))=0</formula>
    </cfRule>
  </conditionalFormatting>
  <conditionalFormatting sqref="Y377 Y347:Y375">
    <cfRule type="cellIs" dxfId="764" priority="765" operator="equal">
      <formula>0</formula>
    </cfRule>
  </conditionalFormatting>
  <conditionalFormatting sqref="Y376">
    <cfRule type="cellIs" dxfId="763" priority="764" operator="equal">
      <formula>0</formula>
    </cfRule>
  </conditionalFormatting>
  <conditionalFormatting sqref="Y369:Y377 Y347:Y353 Y355:Y367">
    <cfRule type="containsBlanks" dxfId="762" priority="763">
      <formula>LEN(TRIM(Y347))=0</formula>
    </cfRule>
  </conditionalFormatting>
  <conditionalFormatting sqref="Y414 Y384:Y412">
    <cfRule type="cellIs" dxfId="761" priority="762" operator="equal">
      <formula>0</formula>
    </cfRule>
  </conditionalFormatting>
  <conditionalFormatting sqref="Y413">
    <cfRule type="cellIs" dxfId="760" priority="761" operator="equal">
      <formula>0</formula>
    </cfRule>
  </conditionalFormatting>
  <conditionalFormatting sqref="Y406:Y414 Y384:Y390 Y392:Y404">
    <cfRule type="containsBlanks" dxfId="759" priority="760">
      <formula>LEN(TRIM(Y384))=0</formula>
    </cfRule>
  </conditionalFormatting>
  <conditionalFormatting sqref="Y451 Y421:Y449">
    <cfRule type="cellIs" dxfId="758" priority="759" operator="equal">
      <formula>0</formula>
    </cfRule>
  </conditionalFormatting>
  <conditionalFormatting sqref="Y450">
    <cfRule type="cellIs" dxfId="757" priority="758" operator="equal">
      <formula>0</formula>
    </cfRule>
  </conditionalFormatting>
  <conditionalFormatting sqref="Y443:Y451 Y421:Y427 Y429:Y441">
    <cfRule type="containsBlanks" dxfId="756" priority="757">
      <formula>LEN(TRIM(Y421))=0</formula>
    </cfRule>
  </conditionalFormatting>
  <conditionalFormatting sqref="H57:J57 L57 N57:Y57">
    <cfRule type="cellIs" dxfId="755" priority="756" operator="equal">
      <formula>0</formula>
    </cfRule>
  </conditionalFormatting>
  <conditionalFormatting sqref="H57:J57 L57 N57:Y57">
    <cfRule type="containsBlanks" dxfId="754" priority="755">
      <formula>LEN(TRIM(H57))=0</formula>
    </cfRule>
  </conditionalFormatting>
  <conditionalFormatting sqref="H71:J71 L71 N71:Y71">
    <cfRule type="cellIs" dxfId="753" priority="754" operator="equal">
      <formula>0</formula>
    </cfRule>
  </conditionalFormatting>
  <conditionalFormatting sqref="H71:J71 L71 N71:Y71">
    <cfRule type="containsBlanks" dxfId="752" priority="753">
      <formula>LEN(TRIM(H71))=0</formula>
    </cfRule>
  </conditionalFormatting>
  <conditionalFormatting sqref="Y73:Y80 H73:J79 L73:L79 N73:X79">
    <cfRule type="cellIs" dxfId="751" priority="752" operator="equal">
      <formula>0</formula>
    </cfRule>
  </conditionalFormatting>
  <conditionalFormatting sqref="H80:J80 L80 N80:Y80">
    <cfRule type="cellIs" dxfId="750" priority="751" operator="equal">
      <formula>0</formula>
    </cfRule>
  </conditionalFormatting>
  <conditionalFormatting sqref="H73:J80 L73:L80 N73:Y80">
    <cfRule type="containsBlanks" dxfId="749" priority="750">
      <formula>LEN(TRIM(H73))=0</formula>
    </cfRule>
  </conditionalFormatting>
  <conditionalFormatting sqref="H80:J80 L80 N80:X80">
    <cfRule type="cellIs" dxfId="748" priority="749" operator="equal">
      <formula>0</formula>
    </cfRule>
  </conditionalFormatting>
  <conditionalFormatting sqref="H81:J81 L81 N81:Y81">
    <cfRule type="cellIs" dxfId="747" priority="748" operator="equal">
      <formula>0</formula>
    </cfRule>
  </conditionalFormatting>
  <conditionalFormatting sqref="H81:J81 L81 N81:Y81">
    <cfRule type="containsBlanks" dxfId="746" priority="747">
      <formula>LEN(TRIM(H81))=0</formula>
    </cfRule>
  </conditionalFormatting>
  <conditionalFormatting sqref="H96:J107 L96:L107 N96:X107">
    <cfRule type="cellIs" dxfId="745" priority="746" operator="equal">
      <formula>0</formula>
    </cfRule>
  </conditionalFormatting>
  <conditionalFormatting sqref="H96:J107 L96:L107 N96:X107">
    <cfRule type="containsBlanks" dxfId="744" priority="745">
      <formula>LEN(TRIM(H96))=0</formula>
    </cfRule>
  </conditionalFormatting>
  <conditionalFormatting sqref="N88">
    <cfRule type="cellIs" dxfId="743" priority="744" operator="equal">
      <formula>0</formula>
    </cfRule>
  </conditionalFormatting>
  <conditionalFormatting sqref="O88">
    <cfRule type="cellIs" dxfId="742" priority="743" operator="equal">
      <formula>0</formula>
    </cfRule>
  </conditionalFormatting>
  <conditionalFormatting sqref="P88:Q88">
    <cfRule type="cellIs" dxfId="741" priority="742" operator="equal">
      <formula>0</formula>
    </cfRule>
  </conditionalFormatting>
  <conditionalFormatting sqref="Q88">
    <cfRule type="cellIs" dxfId="740" priority="741" operator="equal">
      <formula>0</formula>
    </cfRule>
  </conditionalFormatting>
  <conditionalFormatting sqref="N88:Q88">
    <cfRule type="containsBlanks" dxfId="739" priority="740">
      <formula>LEN(TRIM(N88))=0</formula>
    </cfRule>
  </conditionalFormatting>
  <conditionalFormatting sqref="T88:U88">
    <cfRule type="cellIs" dxfId="738" priority="739" operator="equal">
      <formula>0</formula>
    </cfRule>
  </conditionalFormatting>
  <conditionalFormatting sqref="T88:U88">
    <cfRule type="cellIs" dxfId="737" priority="738" operator="equal">
      <formula>0</formula>
    </cfRule>
  </conditionalFormatting>
  <conditionalFormatting sqref="T88:U88">
    <cfRule type="containsBlanks" dxfId="736" priority="737">
      <formula>LEN(TRIM(T88))=0</formula>
    </cfRule>
  </conditionalFormatting>
  <conditionalFormatting sqref="H155:J155 V146:X146 H145:J153 H125:J132 R125:S125 V125:X125 N155:X155 N146:O146 N147:X153 N145:X145 N126:X132">
    <cfRule type="cellIs" dxfId="735" priority="736" operator="equal">
      <formula>0</formula>
    </cfRule>
  </conditionalFormatting>
  <conditionalFormatting sqref="V125:V127">
    <cfRule type="cellIs" dxfId="734" priority="735" operator="equal">
      <formula>0</formula>
    </cfRule>
  </conditionalFormatting>
  <conditionalFormatting sqref="V125:X125 R125:S125 H126:J127 N126:X127">
    <cfRule type="cellIs" dxfId="733" priority="734" operator="equal">
      <formula>0</formula>
    </cfRule>
  </conditionalFormatting>
  <conditionalFormatting sqref="J126:J127">
    <cfRule type="cellIs" dxfId="732" priority="733" operator="equal">
      <formula>0</formula>
    </cfRule>
  </conditionalFormatting>
  <conditionalFormatting sqref="R125:S125">
    <cfRule type="cellIs" dxfId="731" priority="732" operator="equal">
      <formula>0</formula>
    </cfRule>
  </conditionalFormatting>
  <conditionalFormatting sqref="P128:P130 P146">
    <cfRule type="cellIs" dxfId="730" priority="731" operator="equal">
      <formula>0</formula>
    </cfRule>
  </conditionalFormatting>
  <conditionalFormatting sqref="P126:P127">
    <cfRule type="cellIs" dxfId="729" priority="730" operator="equal">
      <formula>0</formula>
    </cfRule>
  </conditionalFormatting>
  <conditionalFormatting sqref="Q128:Q130 Q146">
    <cfRule type="cellIs" dxfId="728" priority="729" operator="equal">
      <formula>0</formula>
    </cfRule>
  </conditionalFormatting>
  <conditionalFormatting sqref="Q126:Q127">
    <cfRule type="cellIs" dxfId="727" priority="728" operator="equal">
      <formula>0</formula>
    </cfRule>
  </conditionalFormatting>
  <conditionalFormatting sqref="R128:R130 R146">
    <cfRule type="cellIs" dxfId="726" priority="727" operator="equal">
      <formula>0</formula>
    </cfRule>
  </conditionalFormatting>
  <conditionalFormatting sqref="R125:R127">
    <cfRule type="cellIs" dxfId="725" priority="726" operator="equal">
      <formula>0</formula>
    </cfRule>
  </conditionalFormatting>
  <conditionalFormatting sqref="S128:S130 S146">
    <cfRule type="cellIs" dxfId="724" priority="725" operator="equal">
      <formula>0</formula>
    </cfRule>
  </conditionalFormatting>
  <conditionalFormatting sqref="S125:S127">
    <cfRule type="cellIs" dxfId="723" priority="724" operator="equal">
      <formula>0</formula>
    </cfRule>
  </conditionalFormatting>
  <conditionalFormatting sqref="T128:T130 T146">
    <cfRule type="cellIs" dxfId="722" priority="723" operator="equal">
      <formula>0</formula>
    </cfRule>
  </conditionalFormatting>
  <conditionalFormatting sqref="T126:T127">
    <cfRule type="cellIs" dxfId="721" priority="722" operator="equal">
      <formula>0</formula>
    </cfRule>
  </conditionalFormatting>
  <conditionalFormatting sqref="U128:U130 U146">
    <cfRule type="cellIs" dxfId="720" priority="721" operator="equal">
      <formula>0</formula>
    </cfRule>
  </conditionalFormatting>
  <conditionalFormatting sqref="U126:U127">
    <cfRule type="cellIs" dxfId="719" priority="720" operator="equal">
      <formula>0</formula>
    </cfRule>
  </conditionalFormatting>
  <conditionalFormatting sqref="H154:J154 N154:X154">
    <cfRule type="cellIs" dxfId="718" priority="719" operator="equal">
      <formula>0</formula>
    </cfRule>
  </conditionalFormatting>
  <conditionalFormatting sqref="H147:J155 H145:J145 H125:J131 R125:S125 V125:X125 N147:X155 N145:X145 N126:X131">
    <cfRule type="containsBlanks" dxfId="717" priority="718">
      <formula>LEN(TRIM(H125))=0</formula>
    </cfRule>
  </conditionalFormatting>
  <conditionalFormatting sqref="H154:J154 N154:X154">
    <cfRule type="cellIs" dxfId="716" priority="717" operator="equal">
      <formula>0</formula>
    </cfRule>
  </conditionalFormatting>
  <conditionalFormatting sqref="R128:R129">
    <cfRule type="cellIs" dxfId="715" priority="716" operator="equal">
      <formula>0</formula>
    </cfRule>
  </conditionalFormatting>
  <conditionalFormatting sqref="S128:S129">
    <cfRule type="cellIs" dxfId="714" priority="715" operator="equal">
      <formula>0</formula>
    </cfRule>
  </conditionalFormatting>
  <conditionalFormatting sqref="T128:U128">
    <cfRule type="cellIs" dxfId="713" priority="714" operator="equal">
      <formula>0</formula>
    </cfRule>
  </conditionalFormatting>
  <conditionalFormatting sqref="T129:U129">
    <cfRule type="cellIs" dxfId="712" priority="713" operator="equal">
      <formula>0</formula>
    </cfRule>
  </conditionalFormatting>
  <conditionalFormatting sqref="H133:J144 N133:X144">
    <cfRule type="cellIs" dxfId="711" priority="712" operator="equal">
      <formula>0</formula>
    </cfRule>
  </conditionalFormatting>
  <conditionalFormatting sqref="H133:J144 N133:X144">
    <cfRule type="containsBlanks" dxfId="710" priority="711">
      <formula>LEN(TRIM(H133))=0</formula>
    </cfRule>
  </conditionalFormatting>
  <conditionalFormatting sqref="N125">
    <cfRule type="cellIs" dxfId="709" priority="710" operator="equal">
      <formula>0</formula>
    </cfRule>
  </conditionalFormatting>
  <conditionalFormatting sqref="O125">
    <cfRule type="cellIs" dxfId="708" priority="709" operator="equal">
      <formula>0</formula>
    </cfRule>
  </conditionalFormatting>
  <conditionalFormatting sqref="P125:Q125">
    <cfRule type="cellIs" dxfId="707" priority="708" operator="equal">
      <formula>0</formula>
    </cfRule>
  </conditionalFormatting>
  <conditionalFormatting sqref="Q125">
    <cfRule type="cellIs" dxfId="706" priority="707" operator="equal">
      <formula>0</formula>
    </cfRule>
  </conditionalFormatting>
  <conditionalFormatting sqref="N125:Q125">
    <cfRule type="containsBlanks" dxfId="705" priority="706">
      <formula>LEN(TRIM(N125))=0</formula>
    </cfRule>
  </conditionalFormatting>
  <conditionalFormatting sqref="T125:U125">
    <cfRule type="cellIs" dxfId="704" priority="705" operator="equal">
      <formula>0</formula>
    </cfRule>
  </conditionalFormatting>
  <conditionalFormatting sqref="T125:U125">
    <cfRule type="cellIs" dxfId="703" priority="704" operator="equal">
      <formula>0</formula>
    </cfRule>
  </conditionalFormatting>
  <conditionalFormatting sqref="T125:U125">
    <cfRule type="containsBlanks" dxfId="702" priority="703">
      <formula>LEN(TRIM(T125))=0</formula>
    </cfRule>
  </conditionalFormatting>
  <conditionalFormatting sqref="H192:J192 V183:X183 H182:J190 H162:J169 R162:S162 V162:X162 N192:X192 N183:O183 N184:X190 N182:X182 N163:X169">
    <cfRule type="cellIs" dxfId="701" priority="702" operator="equal">
      <formula>0</formula>
    </cfRule>
  </conditionalFormatting>
  <conditionalFormatting sqref="V162:V164">
    <cfRule type="cellIs" dxfId="700" priority="701" operator="equal">
      <formula>0</formula>
    </cfRule>
  </conditionalFormatting>
  <conditionalFormatting sqref="V162:X162 R162:S162 H163:J164 N163:X164">
    <cfRule type="cellIs" dxfId="699" priority="700" operator="equal">
      <formula>0</formula>
    </cfRule>
  </conditionalFormatting>
  <conditionalFormatting sqref="J163:J164">
    <cfRule type="cellIs" dxfId="698" priority="699" operator="equal">
      <formula>0</formula>
    </cfRule>
  </conditionalFormatting>
  <conditionalFormatting sqref="R162:S162">
    <cfRule type="cellIs" dxfId="697" priority="698" operator="equal">
      <formula>0</formula>
    </cfRule>
  </conditionalFormatting>
  <conditionalFormatting sqref="P165:P167 P183">
    <cfRule type="cellIs" dxfId="696" priority="697" operator="equal">
      <formula>0</formula>
    </cfRule>
  </conditionalFormatting>
  <conditionalFormatting sqref="P163:P164">
    <cfRule type="cellIs" dxfId="695" priority="696" operator="equal">
      <formula>0</formula>
    </cfRule>
  </conditionalFormatting>
  <conditionalFormatting sqref="Q165:Q167 Q183">
    <cfRule type="cellIs" dxfId="694" priority="695" operator="equal">
      <formula>0</formula>
    </cfRule>
  </conditionalFormatting>
  <conditionalFormatting sqref="Q163:Q164">
    <cfRule type="cellIs" dxfId="693" priority="694" operator="equal">
      <formula>0</formula>
    </cfRule>
  </conditionalFormatting>
  <conditionalFormatting sqref="R165:R167 R183">
    <cfRule type="cellIs" dxfId="692" priority="693" operator="equal">
      <formula>0</formula>
    </cfRule>
  </conditionalFormatting>
  <conditionalFormatting sqref="R162:R164">
    <cfRule type="cellIs" dxfId="691" priority="692" operator="equal">
      <formula>0</formula>
    </cfRule>
  </conditionalFormatting>
  <conditionalFormatting sqref="S165:S167 S183">
    <cfRule type="cellIs" dxfId="690" priority="691" operator="equal">
      <formula>0</formula>
    </cfRule>
  </conditionalFormatting>
  <conditionalFormatting sqref="S162:S164">
    <cfRule type="cellIs" dxfId="689" priority="690" operator="equal">
      <formula>0</formula>
    </cfRule>
  </conditionalFormatting>
  <conditionalFormatting sqref="T165:T167 T183">
    <cfRule type="cellIs" dxfId="688" priority="689" operator="equal">
      <formula>0</formula>
    </cfRule>
  </conditionalFormatting>
  <conditionalFormatting sqref="T163:T164">
    <cfRule type="cellIs" dxfId="687" priority="688" operator="equal">
      <formula>0</formula>
    </cfRule>
  </conditionalFormatting>
  <conditionalFormatting sqref="U165:U167 U183">
    <cfRule type="cellIs" dxfId="686" priority="687" operator="equal">
      <formula>0</formula>
    </cfRule>
  </conditionalFormatting>
  <conditionalFormatting sqref="U163:U164">
    <cfRule type="cellIs" dxfId="685" priority="686" operator="equal">
      <formula>0</formula>
    </cfRule>
  </conditionalFormatting>
  <conditionalFormatting sqref="H191:J191 N191:X191">
    <cfRule type="cellIs" dxfId="684" priority="685" operator="equal">
      <formula>0</formula>
    </cfRule>
  </conditionalFormatting>
  <conditionalFormatting sqref="H184:J192 H182:J182 H162:J168 R162:S162 V162:X162 N184:X192 N182:X182 N163:X168">
    <cfRule type="containsBlanks" dxfId="683" priority="684">
      <formula>LEN(TRIM(H162))=0</formula>
    </cfRule>
  </conditionalFormatting>
  <conditionalFormatting sqref="H191:J191 N191:X191">
    <cfRule type="cellIs" dxfId="682" priority="683" operator="equal">
      <formula>0</formula>
    </cfRule>
  </conditionalFormatting>
  <conditionalFormatting sqref="R165:R166">
    <cfRule type="cellIs" dxfId="681" priority="682" operator="equal">
      <formula>0</formula>
    </cfRule>
  </conditionalFormatting>
  <conditionalFormatting sqref="S165:S166">
    <cfRule type="cellIs" dxfId="680" priority="681" operator="equal">
      <formula>0</formula>
    </cfRule>
  </conditionalFormatting>
  <conditionalFormatting sqref="T165:U165">
    <cfRule type="cellIs" dxfId="679" priority="680" operator="equal">
      <formula>0</formula>
    </cfRule>
  </conditionalFormatting>
  <conditionalFormatting sqref="T166:U166">
    <cfRule type="cellIs" dxfId="678" priority="679" operator="equal">
      <formula>0</formula>
    </cfRule>
  </conditionalFormatting>
  <conditionalFormatting sqref="H170:J181 N170:X181">
    <cfRule type="cellIs" dxfId="677" priority="678" operator="equal">
      <formula>0</formula>
    </cfRule>
  </conditionalFormatting>
  <conditionalFormatting sqref="H170:J181 N170:X181">
    <cfRule type="containsBlanks" dxfId="676" priority="677">
      <formula>LEN(TRIM(H170))=0</formula>
    </cfRule>
  </conditionalFormatting>
  <conditionalFormatting sqref="N162">
    <cfRule type="cellIs" dxfId="675" priority="676" operator="equal">
      <formula>0</formula>
    </cfRule>
  </conditionalFormatting>
  <conditionalFormatting sqref="O162">
    <cfRule type="cellIs" dxfId="674" priority="675" operator="equal">
      <formula>0</formula>
    </cfRule>
  </conditionalFormatting>
  <conditionalFormatting sqref="P162:Q162">
    <cfRule type="cellIs" dxfId="673" priority="674" operator="equal">
      <formula>0</formula>
    </cfRule>
  </conditionalFormatting>
  <conditionalFormatting sqref="Q162">
    <cfRule type="cellIs" dxfId="672" priority="673" operator="equal">
      <formula>0</formula>
    </cfRule>
  </conditionalFormatting>
  <conditionalFormatting sqref="N162:Q162">
    <cfRule type="containsBlanks" dxfId="671" priority="672">
      <formula>LEN(TRIM(N162))=0</formula>
    </cfRule>
  </conditionalFormatting>
  <conditionalFormatting sqref="T162:U162">
    <cfRule type="cellIs" dxfId="670" priority="671" operator="equal">
      <formula>0</formula>
    </cfRule>
  </conditionalFormatting>
  <conditionalFormatting sqref="T162:U162">
    <cfRule type="cellIs" dxfId="669" priority="670" operator="equal">
      <formula>0</formula>
    </cfRule>
  </conditionalFormatting>
  <conditionalFormatting sqref="T162:U162">
    <cfRule type="containsBlanks" dxfId="668" priority="669">
      <formula>LEN(TRIM(T162))=0</formula>
    </cfRule>
  </conditionalFormatting>
  <conditionalFormatting sqref="H229:J229 V220:X220 H219:J227 H199:J206 R199:S199 V199:X199 N229:X229 N220:O220 N221:X227 N219:X219 N200:X206">
    <cfRule type="cellIs" dxfId="667" priority="668" operator="equal">
      <formula>0</formula>
    </cfRule>
  </conditionalFormatting>
  <conditionalFormatting sqref="V199:V201">
    <cfRule type="cellIs" dxfId="666" priority="667" operator="equal">
      <formula>0</formula>
    </cfRule>
  </conditionalFormatting>
  <conditionalFormatting sqref="V199:X199 R199:S199 H200:J201 N200:X201">
    <cfRule type="cellIs" dxfId="665" priority="666" operator="equal">
      <formula>0</formula>
    </cfRule>
  </conditionalFormatting>
  <conditionalFormatting sqref="J200:J201">
    <cfRule type="cellIs" dxfId="664" priority="665" operator="equal">
      <formula>0</formula>
    </cfRule>
  </conditionalFormatting>
  <conditionalFormatting sqref="R199:S199">
    <cfRule type="cellIs" dxfId="663" priority="664" operator="equal">
      <formula>0</formula>
    </cfRule>
  </conditionalFormatting>
  <conditionalFormatting sqref="P202:P204 P220">
    <cfRule type="cellIs" dxfId="662" priority="663" operator="equal">
      <formula>0</formula>
    </cfRule>
  </conditionalFormatting>
  <conditionalFormatting sqref="P200:P201">
    <cfRule type="cellIs" dxfId="661" priority="662" operator="equal">
      <formula>0</formula>
    </cfRule>
  </conditionalFormatting>
  <conditionalFormatting sqref="Q202:Q204 Q220">
    <cfRule type="cellIs" dxfId="660" priority="661" operator="equal">
      <formula>0</formula>
    </cfRule>
  </conditionalFormatting>
  <conditionalFormatting sqref="Q200:Q201">
    <cfRule type="cellIs" dxfId="659" priority="660" operator="equal">
      <formula>0</formula>
    </cfRule>
  </conditionalFormatting>
  <conditionalFormatting sqref="R202:R204 R220">
    <cfRule type="cellIs" dxfId="658" priority="659" operator="equal">
      <formula>0</formula>
    </cfRule>
  </conditionalFormatting>
  <conditionalFormatting sqref="R199:R201">
    <cfRule type="cellIs" dxfId="657" priority="658" operator="equal">
      <formula>0</formula>
    </cfRule>
  </conditionalFormatting>
  <conditionalFormatting sqref="S202:S204 S220">
    <cfRule type="cellIs" dxfId="656" priority="657" operator="equal">
      <formula>0</formula>
    </cfRule>
  </conditionalFormatting>
  <conditionalFormatting sqref="S199:S201">
    <cfRule type="cellIs" dxfId="655" priority="656" operator="equal">
      <formula>0</formula>
    </cfRule>
  </conditionalFormatting>
  <conditionalFormatting sqref="T202:T204 T220">
    <cfRule type="cellIs" dxfId="654" priority="655" operator="equal">
      <formula>0</formula>
    </cfRule>
  </conditionalFormatting>
  <conditionalFormatting sqref="T200:T201">
    <cfRule type="cellIs" dxfId="653" priority="654" operator="equal">
      <formula>0</formula>
    </cfRule>
  </conditionalFormatting>
  <conditionalFormatting sqref="U202:U204 U220">
    <cfRule type="cellIs" dxfId="652" priority="653" operator="equal">
      <formula>0</formula>
    </cfRule>
  </conditionalFormatting>
  <conditionalFormatting sqref="U200:U201">
    <cfRule type="cellIs" dxfId="651" priority="652" operator="equal">
      <formula>0</formula>
    </cfRule>
  </conditionalFormatting>
  <conditionalFormatting sqref="H228:J228 N228:X228">
    <cfRule type="cellIs" dxfId="650" priority="651" operator="equal">
      <formula>0</formula>
    </cfRule>
  </conditionalFormatting>
  <conditionalFormatting sqref="H221:J229 H219:J219 H199:J205 R199:S199 V199:X199 N221:X229 N219:X219 N200:X205">
    <cfRule type="containsBlanks" dxfId="649" priority="650">
      <formula>LEN(TRIM(H199))=0</formula>
    </cfRule>
  </conditionalFormatting>
  <conditionalFormatting sqref="H228:J228 N228:X228">
    <cfRule type="cellIs" dxfId="648" priority="649" operator="equal">
      <formula>0</formula>
    </cfRule>
  </conditionalFormatting>
  <conditionalFormatting sqref="R202:R203">
    <cfRule type="cellIs" dxfId="647" priority="648" operator="equal">
      <formula>0</formula>
    </cfRule>
  </conditionalFormatting>
  <conditionalFormatting sqref="S202:S203">
    <cfRule type="cellIs" dxfId="646" priority="647" operator="equal">
      <formula>0</formula>
    </cfRule>
  </conditionalFormatting>
  <conditionalFormatting sqref="T202:U202">
    <cfRule type="cellIs" dxfId="645" priority="646" operator="equal">
      <formula>0</formula>
    </cfRule>
  </conditionalFormatting>
  <conditionalFormatting sqref="T203:U203">
    <cfRule type="cellIs" dxfId="644" priority="645" operator="equal">
      <formula>0</formula>
    </cfRule>
  </conditionalFormatting>
  <conditionalFormatting sqref="H207:J218 N207:X218">
    <cfRule type="cellIs" dxfId="643" priority="644" operator="equal">
      <formula>0</formula>
    </cfRule>
  </conditionalFormatting>
  <conditionalFormatting sqref="H207:J218 N207:X218">
    <cfRule type="containsBlanks" dxfId="642" priority="643">
      <formula>LEN(TRIM(H207))=0</formula>
    </cfRule>
  </conditionalFormatting>
  <conditionalFormatting sqref="N199">
    <cfRule type="cellIs" dxfId="641" priority="642" operator="equal">
      <formula>0</formula>
    </cfRule>
  </conditionalFormatting>
  <conditionalFormatting sqref="O199">
    <cfRule type="cellIs" dxfId="640" priority="641" operator="equal">
      <formula>0</formula>
    </cfRule>
  </conditionalFormatting>
  <conditionalFormatting sqref="P199:Q199">
    <cfRule type="cellIs" dxfId="639" priority="640" operator="equal">
      <formula>0</formula>
    </cfRule>
  </conditionalFormatting>
  <conditionalFormatting sqref="Q199">
    <cfRule type="cellIs" dxfId="638" priority="639" operator="equal">
      <formula>0</formula>
    </cfRule>
  </conditionalFormatting>
  <conditionalFormatting sqref="N199:Q199">
    <cfRule type="containsBlanks" dxfId="637" priority="638">
      <formula>LEN(TRIM(N199))=0</formula>
    </cfRule>
  </conditionalFormatting>
  <conditionalFormatting sqref="T199:U199">
    <cfRule type="cellIs" dxfId="636" priority="637" operator="equal">
      <formula>0</formula>
    </cfRule>
  </conditionalFormatting>
  <conditionalFormatting sqref="T199:U199">
    <cfRule type="cellIs" dxfId="635" priority="636" operator="equal">
      <formula>0</formula>
    </cfRule>
  </conditionalFormatting>
  <conditionalFormatting sqref="T199:U199">
    <cfRule type="containsBlanks" dxfId="634" priority="635">
      <formula>LEN(TRIM(T199))=0</formula>
    </cfRule>
  </conditionalFormatting>
  <conditionalFormatting sqref="H266:J266 V257:X257 H256:J264 H236:J243 R236:S236 V236:X236 N266:X266 N257:O257 N258:X264 N256:X256 N237:X243">
    <cfRule type="cellIs" dxfId="633" priority="634" operator="equal">
      <formula>0</formula>
    </cfRule>
  </conditionalFormatting>
  <conditionalFormatting sqref="V236:V238">
    <cfRule type="cellIs" dxfId="632" priority="633" operator="equal">
      <formula>0</formula>
    </cfRule>
  </conditionalFormatting>
  <conditionalFormatting sqref="V236:X236 R236:S236 H237:J238 N237:X238">
    <cfRule type="cellIs" dxfId="631" priority="632" operator="equal">
      <formula>0</formula>
    </cfRule>
  </conditionalFormatting>
  <conditionalFormatting sqref="J237:J238">
    <cfRule type="cellIs" dxfId="630" priority="631" operator="equal">
      <formula>0</formula>
    </cfRule>
  </conditionalFormatting>
  <conditionalFormatting sqref="R236:S236">
    <cfRule type="cellIs" dxfId="629" priority="630" operator="equal">
      <formula>0</formula>
    </cfRule>
  </conditionalFormatting>
  <conditionalFormatting sqref="P239:P241 P257">
    <cfRule type="cellIs" dxfId="628" priority="629" operator="equal">
      <formula>0</formula>
    </cfRule>
  </conditionalFormatting>
  <conditionalFormatting sqref="P237:P238">
    <cfRule type="cellIs" dxfId="627" priority="628" operator="equal">
      <formula>0</formula>
    </cfRule>
  </conditionalFormatting>
  <conditionalFormatting sqref="Q239:Q241 Q257">
    <cfRule type="cellIs" dxfId="626" priority="627" operator="equal">
      <formula>0</formula>
    </cfRule>
  </conditionalFormatting>
  <conditionalFormatting sqref="Q237:Q238">
    <cfRule type="cellIs" dxfId="625" priority="626" operator="equal">
      <formula>0</formula>
    </cfRule>
  </conditionalFormatting>
  <conditionalFormatting sqref="R239:R241 R257">
    <cfRule type="cellIs" dxfId="624" priority="625" operator="equal">
      <formula>0</formula>
    </cfRule>
  </conditionalFormatting>
  <conditionalFormatting sqref="R236:R238">
    <cfRule type="cellIs" dxfId="623" priority="624" operator="equal">
      <formula>0</formula>
    </cfRule>
  </conditionalFormatting>
  <conditionalFormatting sqref="S239:S241 S257">
    <cfRule type="cellIs" dxfId="622" priority="623" operator="equal">
      <formula>0</formula>
    </cfRule>
  </conditionalFormatting>
  <conditionalFormatting sqref="S236:S238">
    <cfRule type="cellIs" dxfId="621" priority="622" operator="equal">
      <formula>0</formula>
    </cfRule>
  </conditionalFormatting>
  <conditionalFormatting sqref="T239:T241 T257">
    <cfRule type="cellIs" dxfId="620" priority="621" operator="equal">
      <formula>0</formula>
    </cfRule>
  </conditionalFormatting>
  <conditionalFormatting sqref="T237:T238">
    <cfRule type="cellIs" dxfId="619" priority="620" operator="equal">
      <formula>0</formula>
    </cfRule>
  </conditionalFormatting>
  <conditionalFormatting sqref="U239:U241 U257">
    <cfRule type="cellIs" dxfId="618" priority="619" operator="equal">
      <formula>0</formula>
    </cfRule>
  </conditionalFormatting>
  <conditionalFormatting sqref="U237:U238">
    <cfRule type="cellIs" dxfId="617" priority="618" operator="equal">
      <formula>0</formula>
    </cfRule>
  </conditionalFormatting>
  <conditionalFormatting sqref="H265:J265 N265:X265">
    <cfRule type="cellIs" dxfId="616" priority="617" operator="equal">
      <formula>0</formula>
    </cfRule>
  </conditionalFormatting>
  <conditionalFormatting sqref="H258:J266 H256:J256 H236:J242 R236:S236 V236:X236 N258:X266 N256:X256 N237:X242">
    <cfRule type="containsBlanks" dxfId="615" priority="616">
      <formula>LEN(TRIM(H236))=0</formula>
    </cfRule>
  </conditionalFormatting>
  <conditionalFormatting sqref="H265:J265 N265:X265">
    <cfRule type="cellIs" dxfId="614" priority="615" operator="equal">
      <formula>0</formula>
    </cfRule>
  </conditionalFormatting>
  <conditionalFormatting sqref="R239:R240">
    <cfRule type="cellIs" dxfId="613" priority="614" operator="equal">
      <formula>0</formula>
    </cfRule>
  </conditionalFormatting>
  <conditionalFormatting sqref="S239:S240">
    <cfRule type="cellIs" dxfId="612" priority="613" operator="equal">
      <formula>0</formula>
    </cfRule>
  </conditionalFormatting>
  <conditionalFormatting sqref="T239:U239">
    <cfRule type="cellIs" dxfId="611" priority="612" operator="equal">
      <formula>0</formula>
    </cfRule>
  </conditionalFormatting>
  <conditionalFormatting sqref="T240:U240">
    <cfRule type="cellIs" dxfId="610" priority="611" operator="equal">
      <formula>0</formula>
    </cfRule>
  </conditionalFormatting>
  <conditionalFormatting sqref="H244:J255 N244:X255">
    <cfRule type="cellIs" dxfId="609" priority="610" operator="equal">
      <formula>0</formula>
    </cfRule>
  </conditionalFormatting>
  <conditionalFormatting sqref="H244:J255 N244:X255">
    <cfRule type="containsBlanks" dxfId="608" priority="609">
      <formula>LEN(TRIM(H244))=0</formula>
    </cfRule>
  </conditionalFormatting>
  <conditionalFormatting sqref="N236">
    <cfRule type="cellIs" dxfId="607" priority="608" operator="equal">
      <formula>0</formula>
    </cfRule>
  </conditionalFormatting>
  <conditionalFormatting sqref="O236">
    <cfRule type="cellIs" dxfId="606" priority="607" operator="equal">
      <formula>0</formula>
    </cfRule>
  </conditionalFormatting>
  <conditionalFormatting sqref="P236:Q236">
    <cfRule type="cellIs" dxfId="605" priority="606" operator="equal">
      <formula>0</formula>
    </cfRule>
  </conditionalFormatting>
  <conditionalFormatting sqref="Q236">
    <cfRule type="cellIs" dxfId="604" priority="605" operator="equal">
      <formula>0</formula>
    </cfRule>
  </conditionalFormatting>
  <conditionalFormatting sqref="N236:Q236">
    <cfRule type="containsBlanks" dxfId="603" priority="604">
      <formula>LEN(TRIM(N236))=0</formula>
    </cfRule>
  </conditionalFormatting>
  <conditionalFormatting sqref="T236:U236">
    <cfRule type="cellIs" dxfId="602" priority="603" operator="equal">
      <formula>0</formula>
    </cfRule>
  </conditionalFormatting>
  <conditionalFormatting sqref="T236:U236">
    <cfRule type="cellIs" dxfId="601" priority="602" operator="equal">
      <formula>0</formula>
    </cfRule>
  </conditionalFormatting>
  <conditionalFormatting sqref="T236:U236">
    <cfRule type="containsBlanks" dxfId="600" priority="601">
      <formula>LEN(TRIM(T236))=0</formula>
    </cfRule>
  </conditionalFormatting>
  <conditionalFormatting sqref="H303:J303 V294:X294 H293:J301 H273:J280 R273:S273 V273:X273 N303:X303 N294:O294 N295:X301 N293:X293 N274:X280">
    <cfRule type="cellIs" dxfId="599" priority="600" operator="equal">
      <formula>0</formula>
    </cfRule>
  </conditionalFormatting>
  <conditionalFormatting sqref="V273:V275">
    <cfRule type="cellIs" dxfId="598" priority="599" operator="equal">
      <formula>0</formula>
    </cfRule>
  </conditionalFormatting>
  <conditionalFormatting sqref="V273:X273 R273:S273 H274:J275 N274:X275">
    <cfRule type="cellIs" dxfId="597" priority="598" operator="equal">
      <formula>0</formula>
    </cfRule>
  </conditionalFormatting>
  <conditionalFormatting sqref="J274:J275">
    <cfRule type="cellIs" dxfId="596" priority="597" operator="equal">
      <formula>0</formula>
    </cfRule>
  </conditionalFormatting>
  <conditionalFormatting sqref="R273:S273">
    <cfRule type="cellIs" dxfId="595" priority="596" operator="equal">
      <formula>0</formula>
    </cfRule>
  </conditionalFormatting>
  <conditionalFormatting sqref="P276:P278 P294">
    <cfRule type="cellIs" dxfId="594" priority="595" operator="equal">
      <formula>0</formula>
    </cfRule>
  </conditionalFormatting>
  <conditionalFormatting sqref="P274:P275">
    <cfRule type="cellIs" dxfId="593" priority="594" operator="equal">
      <formula>0</formula>
    </cfRule>
  </conditionalFormatting>
  <conditionalFormatting sqref="Q276:Q278 Q294">
    <cfRule type="cellIs" dxfId="592" priority="593" operator="equal">
      <formula>0</formula>
    </cfRule>
  </conditionalFormatting>
  <conditionalFormatting sqref="Q274:Q275">
    <cfRule type="cellIs" dxfId="591" priority="592" operator="equal">
      <formula>0</formula>
    </cfRule>
  </conditionalFormatting>
  <conditionalFormatting sqref="R276:R278 R294">
    <cfRule type="cellIs" dxfId="590" priority="591" operator="equal">
      <formula>0</formula>
    </cfRule>
  </conditionalFormatting>
  <conditionalFormatting sqref="R273:R275">
    <cfRule type="cellIs" dxfId="589" priority="590" operator="equal">
      <formula>0</formula>
    </cfRule>
  </conditionalFormatting>
  <conditionalFormatting sqref="S276:S278 S294">
    <cfRule type="cellIs" dxfId="588" priority="589" operator="equal">
      <formula>0</formula>
    </cfRule>
  </conditionalFormatting>
  <conditionalFormatting sqref="S273:S275">
    <cfRule type="cellIs" dxfId="587" priority="588" operator="equal">
      <formula>0</formula>
    </cfRule>
  </conditionalFormatting>
  <conditionalFormatting sqref="T276:T278 T294">
    <cfRule type="cellIs" dxfId="586" priority="587" operator="equal">
      <formula>0</formula>
    </cfRule>
  </conditionalFormatting>
  <conditionalFormatting sqref="T274:T275">
    <cfRule type="cellIs" dxfId="585" priority="586" operator="equal">
      <formula>0</formula>
    </cfRule>
  </conditionalFormatting>
  <conditionalFormatting sqref="U276:U278 U294">
    <cfRule type="cellIs" dxfId="584" priority="585" operator="equal">
      <formula>0</formula>
    </cfRule>
  </conditionalFormatting>
  <conditionalFormatting sqref="U274:U275">
    <cfRule type="cellIs" dxfId="583" priority="584" operator="equal">
      <formula>0</formula>
    </cfRule>
  </conditionalFormatting>
  <conditionalFormatting sqref="H302:J302 N302:X302">
    <cfRule type="cellIs" dxfId="582" priority="583" operator="equal">
      <formula>0</formula>
    </cfRule>
  </conditionalFormatting>
  <conditionalFormatting sqref="H295:J303 H293:J293 H273:J279 R273:S273 V273:X273 N295:X303 N293:X293 N274:X279">
    <cfRule type="containsBlanks" dxfId="581" priority="582">
      <formula>LEN(TRIM(H273))=0</formula>
    </cfRule>
  </conditionalFormatting>
  <conditionalFormatting sqref="H302:J302 N302:X302">
    <cfRule type="cellIs" dxfId="580" priority="581" operator="equal">
      <formula>0</formula>
    </cfRule>
  </conditionalFormatting>
  <conditionalFormatting sqref="R276:R277">
    <cfRule type="cellIs" dxfId="579" priority="580" operator="equal">
      <formula>0</formula>
    </cfRule>
  </conditionalFormatting>
  <conditionalFormatting sqref="S276:S277">
    <cfRule type="cellIs" dxfId="578" priority="579" operator="equal">
      <formula>0</formula>
    </cfRule>
  </conditionalFormatting>
  <conditionalFormatting sqref="T276:U276">
    <cfRule type="cellIs" dxfId="577" priority="578" operator="equal">
      <formula>0</formula>
    </cfRule>
  </conditionalFormatting>
  <conditionalFormatting sqref="T277:U277">
    <cfRule type="cellIs" dxfId="576" priority="577" operator="equal">
      <formula>0</formula>
    </cfRule>
  </conditionalFormatting>
  <conditionalFormatting sqref="H281:J292 N281:X292">
    <cfRule type="cellIs" dxfId="575" priority="576" operator="equal">
      <formula>0</formula>
    </cfRule>
  </conditionalFormatting>
  <conditionalFormatting sqref="H281:J292 N281:X292">
    <cfRule type="containsBlanks" dxfId="574" priority="575">
      <formula>LEN(TRIM(H281))=0</formula>
    </cfRule>
  </conditionalFormatting>
  <conditionalFormatting sqref="N273">
    <cfRule type="cellIs" dxfId="573" priority="574" operator="equal">
      <formula>0</formula>
    </cfRule>
  </conditionalFormatting>
  <conditionalFormatting sqref="O273">
    <cfRule type="cellIs" dxfId="572" priority="573" operator="equal">
      <formula>0</formula>
    </cfRule>
  </conditionalFormatting>
  <conditionalFormatting sqref="P273:Q273">
    <cfRule type="cellIs" dxfId="571" priority="572" operator="equal">
      <formula>0</formula>
    </cfRule>
  </conditionalFormatting>
  <conditionalFormatting sqref="Q273">
    <cfRule type="cellIs" dxfId="570" priority="571" operator="equal">
      <formula>0</formula>
    </cfRule>
  </conditionalFormatting>
  <conditionalFormatting sqref="N273:Q273">
    <cfRule type="containsBlanks" dxfId="569" priority="570">
      <formula>LEN(TRIM(N273))=0</formula>
    </cfRule>
  </conditionalFormatting>
  <conditionalFormatting sqref="T273:U273">
    <cfRule type="cellIs" dxfId="568" priority="569" operator="equal">
      <formula>0</formula>
    </cfRule>
  </conditionalFormatting>
  <conditionalFormatting sqref="T273:U273">
    <cfRule type="cellIs" dxfId="567" priority="568" operator="equal">
      <formula>0</formula>
    </cfRule>
  </conditionalFormatting>
  <conditionalFormatting sqref="T273:U273">
    <cfRule type="containsBlanks" dxfId="566" priority="567">
      <formula>LEN(TRIM(T273))=0</formula>
    </cfRule>
  </conditionalFormatting>
  <conditionalFormatting sqref="H340:J340 V331:X331 H330:J338 H310:J317 R310:S310 V310:X310 N340:X340 N331:O331 N332:X338 N330:X330 N311:X317">
    <cfRule type="cellIs" dxfId="565" priority="566" operator="equal">
      <formula>0</formula>
    </cfRule>
  </conditionalFormatting>
  <conditionalFormatting sqref="V310:V312">
    <cfRule type="cellIs" dxfId="564" priority="565" operator="equal">
      <formula>0</formula>
    </cfRule>
  </conditionalFormatting>
  <conditionalFormatting sqref="V310:X310 R310:S310 H311:J312 N311:X312">
    <cfRule type="cellIs" dxfId="563" priority="564" operator="equal">
      <formula>0</formula>
    </cfRule>
  </conditionalFormatting>
  <conditionalFormatting sqref="J311:J312">
    <cfRule type="cellIs" dxfId="562" priority="563" operator="equal">
      <formula>0</formula>
    </cfRule>
  </conditionalFormatting>
  <conditionalFormatting sqref="R310:S310">
    <cfRule type="cellIs" dxfId="561" priority="562" operator="equal">
      <formula>0</formula>
    </cfRule>
  </conditionalFormatting>
  <conditionalFormatting sqref="P313:P315 P331">
    <cfRule type="cellIs" dxfId="560" priority="561" operator="equal">
      <formula>0</formula>
    </cfRule>
  </conditionalFormatting>
  <conditionalFormatting sqref="P311:P312">
    <cfRule type="cellIs" dxfId="559" priority="560" operator="equal">
      <formula>0</formula>
    </cfRule>
  </conditionalFormatting>
  <conditionalFormatting sqref="Q313:Q315 Q331">
    <cfRule type="cellIs" dxfId="558" priority="559" operator="equal">
      <formula>0</formula>
    </cfRule>
  </conditionalFormatting>
  <conditionalFormatting sqref="Q311:Q312">
    <cfRule type="cellIs" dxfId="557" priority="558" operator="equal">
      <formula>0</formula>
    </cfRule>
  </conditionalFormatting>
  <conditionalFormatting sqref="R313:R315 R331">
    <cfRule type="cellIs" dxfId="556" priority="557" operator="equal">
      <formula>0</formula>
    </cfRule>
  </conditionalFormatting>
  <conditionalFormatting sqref="R310:R312">
    <cfRule type="cellIs" dxfId="555" priority="556" operator="equal">
      <formula>0</formula>
    </cfRule>
  </conditionalFormatting>
  <conditionalFormatting sqref="S313:S315 S331">
    <cfRule type="cellIs" dxfId="554" priority="555" operator="equal">
      <formula>0</formula>
    </cfRule>
  </conditionalFormatting>
  <conditionalFormatting sqref="S310:S312">
    <cfRule type="cellIs" dxfId="553" priority="554" operator="equal">
      <formula>0</formula>
    </cfRule>
  </conditionalFormatting>
  <conditionalFormatting sqref="T313:T315 T331">
    <cfRule type="cellIs" dxfId="552" priority="553" operator="equal">
      <formula>0</formula>
    </cfRule>
  </conditionalFormatting>
  <conditionalFormatting sqref="T311:T312">
    <cfRule type="cellIs" dxfId="551" priority="552" operator="equal">
      <formula>0</formula>
    </cfRule>
  </conditionalFormatting>
  <conditionalFormatting sqref="U313:U315 U331">
    <cfRule type="cellIs" dxfId="550" priority="551" operator="equal">
      <formula>0</formula>
    </cfRule>
  </conditionalFormatting>
  <conditionalFormatting sqref="U311:U312">
    <cfRule type="cellIs" dxfId="549" priority="550" operator="equal">
      <formula>0</formula>
    </cfRule>
  </conditionalFormatting>
  <conditionalFormatting sqref="H339:J339 N339:X339">
    <cfRule type="cellIs" dxfId="548" priority="549" operator="equal">
      <formula>0</formula>
    </cfRule>
  </conditionalFormatting>
  <conditionalFormatting sqref="H332:J340 H330:J330 H310:J316 R310:S310 V310:X310 N332:X340 N330:X330 N311:X316">
    <cfRule type="containsBlanks" dxfId="547" priority="548">
      <formula>LEN(TRIM(H310))=0</formula>
    </cfRule>
  </conditionalFormatting>
  <conditionalFormatting sqref="H339:J339 N339:X339">
    <cfRule type="cellIs" dxfId="546" priority="547" operator="equal">
      <formula>0</formula>
    </cfRule>
  </conditionalFormatting>
  <conditionalFormatting sqref="R313:R314">
    <cfRule type="cellIs" dxfId="545" priority="546" operator="equal">
      <formula>0</formula>
    </cfRule>
  </conditionalFormatting>
  <conditionalFormatting sqref="S313:S314">
    <cfRule type="cellIs" dxfId="544" priority="545" operator="equal">
      <formula>0</formula>
    </cfRule>
  </conditionalFormatting>
  <conditionalFormatting sqref="T313:U313">
    <cfRule type="cellIs" dxfId="543" priority="544" operator="equal">
      <formula>0</formula>
    </cfRule>
  </conditionalFormatting>
  <conditionalFormatting sqref="T314:U314">
    <cfRule type="cellIs" dxfId="542" priority="543" operator="equal">
      <formula>0</formula>
    </cfRule>
  </conditionalFormatting>
  <conditionalFormatting sqref="H318:J329 N318:X329">
    <cfRule type="cellIs" dxfId="541" priority="542" operator="equal">
      <formula>0</formula>
    </cfRule>
  </conditionalFormatting>
  <conditionalFormatting sqref="H318:J329 N318:X329">
    <cfRule type="containsBlanks" dxfId="540" priority="541">
      <formula>LEN(TRIM(H318))=0</formula>
    </cfRule>
  </conditionalFormatting>
  <conditionalFormatting sqref="N310">
    <cfRule type="cellIs" dxfId="539" priority="540" operator="equal">
      <formula>0</formula>
    </cfRule>
  </conditionalFormatting>
  <conditionalFormatting sqref="O310">
    <cfRule type="cellIs" dxfId="538" priority="539" operator="equal">
      <formula>0</formula>
    </cfRule>
  </conditionalFormatting>
  <conditionalFormatting sqref="P310:Q310">
    <cfRule type="cellIs" dxfId="537" priority="538" operator="equal">
      <formula>0</formula>
    </cfRule>
  </conditionalFormatting>
  <conditionalFormatting sqref="Q310">
    <cfRule type="cellIs" dxfId="536" priority="537" operator="equal">
      <formula>0</formula>
    </cfRule>
  </conditionalFormatting>
  <conditionalFormatting sqref="N310:Q310">
    <cfRule type="containsBlanks" dxfId="535" priority="536">
      <formula>LEN(TRIM(N310))=0</formula>
    </cfRule>
  </conditionalFormatting>
  <conditionalFormatting sqref="T310:U310">
    <cfRule type="cellIs" dxfId="534" priority="535" operator="equal">
      <formula>0</formula>
    </cfRule>
  </conditionalFormatting>
  <conditionalFormatting sqref="T310:U310">
    <cfRule type="cellIs" dxfId="533" priority="534" operator="equal">
      <formula>0</formula>
    </cfRule>
  </conditionalFormatting>
  <conditionalFormatting sqref="T310:U310">
    <cfRule type="containsBlanks" dxfId="532" priority="533">
      <formula>LEN(TRIM(T310))=0</formula>
    </cfRule>
  </conditionalFormatting>
  <conditionalFormatting sqref="H377:J377 V368:X368 H367:J375 H347:J354 R347:S347 V347:X347 N377:X377 N368:O368 N369:X375 N367:X367 N348:X354">
    <cfRule type="cellIs" dxfId="531" priority="532" operator="equal">
      <formula>0</formula>
    </cfRule>
  </conditionalFormatting>
  <conditionalFormatting sqref="V347:V349">
    <cfRule type="cellIs" dxfId="530" priority="531" operator="equal">
      <formula>0</formula>
    </cfRule>
  </conditionalFormatting>
  <conditionalFormatting sqref="V347:X347 R347:S347 H348:J349 N348:X349">
    <cfRule type="cellIs" dxfId="529" priority="530" operator="equal">
      <formula>0</formula>
    </cfRule>
  </conditionalFormatting>
  <conditionalFormatting sqref="J348:J349">
    <cfRule type="cellIs" dxfId="528" priority="529" operator="equal">
      <formula>0</formula>
    </cfRule>
  </conditionalFormatting>
  <conditionalFormatting sqref="R347:S347">
    <cfRule type="cellIs" dxfId="527" priority="528" operator="equal">
      <formula>0</formula>
    </cfRule>
  </conditionalFormatting>
  <conditionalFormatting sqref="P350:P352 P368">
    <cfRule type="cellIs" dxfId="526" priority="527" operator="equal">
      <formula>0</formula>
    </cfRule>
  </conditionalFormatting>
  <conditionalFormatting sqref="P348:P349">
    <cfRule type="cellIs" dxfId="525" priority="526" operator="equal">
      <formula>0</formula>
    </cfRule>
  </conditionalFormatting>
  <conditionalFormatting sqref="Q350:Q352 Q368">
    <cfRule type="cellIs" dxfId="524" priority="525" operator="equal">
      <formula>0</formula>
    </cfRule>
  </conditionalFormatting>
  <conditionalFormatting sqref="Q348:Q349">
    <cfRule type="cellIs" dxfId="523" priority="524" operator="equal">
      <formula>0</formula>
    </cfRule>
  </conditionalFormatting>
  <conditionalFormatting sqref="R350:R352 R368">
    <cfRule type="cellIs" dxfId="522" priority="523" operator="equal">
      <formula>0</formula>
    </cfRule>
  </conditionalFormatting>
  <conditionalFormatting sqref="R347:R349">
    <cfRule type="cellIs" dxfId="521" priority="522" operator="equal">
      <formula>0</formula>
    </cfRule>
  </conditionalFormatting>
  <conditionalFormatting sqref="S350:S352 S368">
    <cfRule type="cellIs" dxfId="520" priority="521" operator="equal">
      <formula>0</formula>
    </cfRule>
  </conditionalFormatting>
  <conditionalFormatting sqref="S347:S349">
    <cfRule type="cellIs" dxfId="519" priority="520" operator="equal">
      <formula>0</formula>
    </cfRule>
  </conditionalFormatting>
  <conditionalFormatting sqref="T350:T352 T368">
    <cfRule type="cellIs" dxfId="518" priority="519" operator="equal">
      <formula>0</formula>
    </cfRule>
  </conditionalFormatting>
  <conditionalFormatting sqref="T348:T349">
    <cfRule type="cellIs" dxfId="517" priority="518" operator="equal">
      <formula>0</formula>
    </cfRule>
  </conditionalFormatting>
  <conditionalFormatting sqref="U350:U352 U368">
    <cfRule type="cellIs" dxfId="516" priority="517" operator="equal">
      <formula>0</formula>
    </cfRule>
  </conditionalFormatting>
  <conditionalFormatting sqref="U348:U349">
    <cfRule type="cellIs" dxfId="515" priority="516" operator="equal">
      <formula>0</formula>
    </cfRule>
  </conditionalFormatting>
  <conditionalFormatting sqref="H376:J376 N376:X376">
    <cfRule type="cellIs" dxfId="514" priority="515" operator="equal">
      <formula>0</formula>
    </cfRule>
  </conditionalFormatting>
  <conditionalFormatting sqref="H369:J377 H367:J367 H347:J353 R347:S347 V347:X347 N369:X377 N367:X367 N348:X353">
    <cfRule type="containsBlanks" dxfId="513" priority="514">
      <formula>LEN(TRIM(H347))=0</formula>
    </cfRule>
  </conditionalFormatting>
  <conditionalFormatting sqref="H376:J376 N376:X376">
    <cfRule type="cellIs" dxfId="512" priority="513" operator="equal">
      <formula>0</formula>
    </cfRule>
  </conditionalFormatting>
  <conditionalFormatting sqref="R350:R351">
    <cfRule type="cellIs" dxfId="511" priority="512" operator="equal">
      <formula>0</formula>
    </cfRule>
  </conditionalFormatting>
  <conditionalFormatting sqref="S350:S351">
    <cfRule type="cellIs" dxfId="510" priority="511" operator="equal">
      <formula>0</formula>
    </cfRule>
  </conditionalFormatting>
  <conditionalFormatting sqref="T350:U350">
    <cfRule type="cellIs" dxfId="509" priority="510" operator="equal">
      <formula>0</formula>
    </cfRule>
  </conditionalFormatting>
  <conditionalFormatting sqref="T351:U351">
    <cfRule type="cellIs" dxfId="508" priority="509" operator="equal">
      <formula>0</formula>
    </cfRule>
  </conditionalFormatting>
  <conditionalFormatting sqref="H355:J366 N355:X366">
    <cfRule type="cellIs" dxfId="507" priority="508" operator="equal">
      <formula>0</formula>
    </cfRule>
  </conditionalFormatting>
  <conditionalFormatting sqref="H355:J366 N355:X366">
    <cfRule type="containsBlanks" dxfId="506" priority="507">
      <formula>LEN(TRIM(H355))=0</formula>
    </cfRule>
  </conditionalFormatting>
  <conditionalFormatting sqref="N347">
    <cfRule type="cellIs" dxfId="505" priority="506" operator="equal">
      <formula>0</formula>
    </cfRule>
  </conditionalFormatting>
  <conditionalFormatting sqref="O347">
    <cfRule type="cellIs" dxfId="504" priority="505" operator="equal">
      <formula>0</formula>
    </cfRule>
  </conditionalFormatting>
  <conditionalFormatting sqref="P347:Q347">
    <cfRule type="cellIs" dxfId="503" priority="504" operator="equal">
      <formula>0</formula>
    </cfRule>
  </conditionalFormatting>
  <conditionalFormatting sqref="Q347">
    <cfRule type="cellIs" dxfId="502" priority="503" operator="equal">
      <formula>0</formula>
    </cfRule>
  </conditionalFormatting>
  <conditionalFormatting sqref="N347:Q347">
    <cfRule type="containsBlanks" dxfId="501" priority="502">
      <formula>LEN(TRIM(N347))=0</formula>
    </cfRule>
  </conditionalFormatting>
  <conditionalFormatting sqref="T347:U347">
    <cfRule type="cellIs" dxfId="500" priority="501" operator="equal">
      <formula>0</formula>
    </cfRule>
  </conditionalFormatting>
  <conditionalFormatting sqref="T347:U347">
    <cfRule type="cellIs" dxfId="499" priority="500" operator="equal">
      <formula>0</formula>
    </cfRule>
  </conditionalFormatting>
  <conditionalFormatting sqref="T347:U347">
    <cfRule type="containsBlanks" dxfId="498" priority="499">
      <formula>LEN(TRIM(T347))=0</formula>
    </cfRule>
  </conditionalFormatting>
  <conditionalFormatting sqref="H414:J414 V405:X405 H404:J412 H384:J391 R384:S384 V384:X384 N414:X414 N405:O405 N406:X412 N404:X404 N385:X391">
    <cfRule type="cellIs" dxfId="497" priority="498" operator="equal">
      <formula>0</formula>
    </cfRule>
  </conditionalFormatting>
  <conditionalFormatting sqref="V384:V386">
    <cfRule type="cellIs" dxfId="496" priority="497" operator="equal">
      <formula>0</formula>
    </cfRule>
  </conditionalFormatting>
  <conditionalFormatting sqref="V384:X384 R384:S384 H385:J386 N385:X386">
    <cfRule type="cellIs" dxfId="495" priority="496" operator="equal">
      <formula>0</formula>
    </cfRule>
  </conditionalFormatting>
  <conditionalFormatting sqref="J385:J386">
    <cfRule type="cellIs" dxfId="494" priority="495" operator="equal">
      <formula>0</formula>
    </cfRule>
  </conditionalFormatting>
  <conditionalFormatting sqref="R384:S384">
    <cfRule type="cellIs" dxfId="493" priority="494" operator="equal">
      <formula>0</formula>
    </cfRule>
  </conditionalFormatting>
  <conditionalFormatting sqref="P387:P389 P405">
    <cfRule type="cellIs" dxfId="492" priority="493" operator="equal">
      <formula>0</formula>
    </cfRule>
  </conditionalFormatting>
  <conditionalFormatting sqref="P385:P386">
    <cfRule type="cellIs" dxfId="491" priority="492" operator="equal">
      <formula>0</formula>
    </cfRule>
  </conditionalFormatting>
  <conditionalFormatting sqref="Q387:Q389 Q405">
    <cfRule type="cellIs" dxfId="490" priority="491" operator="equal">
      <formula>0</formula>
    </cfRule>
  </conditionalFormatting>
  <conditionalFormatting sqref="Q385:Q386">
    <cfRule type="cellIs" dxfId="489" priority="490" operator="equal">
      <formula>0</formula>
    </cfRule>
  </conditionalFormatting>
  <conditionalFormatting sqref="R387:R389 R405">
    <cfRule type="cellIs" dxfId="488" priority="489" operator="equal">
      <formula>0</formula>
    </cfRule>
  </conditionalFormatting>
  <conditionalFormatting sqref="R384:R386">
    <cfRule type="cellIs" dxfId="487" priority="488" operator="equal">
      <formula>0</formula>
    </cfRule>
  </conditionalFormatting>
  <conditionalFormatting sqref="S387:S389 S405">
    <cfRule type="cellIs" dxfId="486" priority="487" operator="equal">
      <formula>0</formula>
    </cfRule>
  </conditionalFormatting>
  <conditionalFormatting sqref="S384:S386">
    <cfRule type="cellIs" dxfId="485" priority="486" operator="equal">
      <formula>0</formula>
    </cfRule>
  </conditionalFormatting>
  <conditionalFormatting sqref="T387:T389 T405">
    <cfRule type="cellIs" dxfId="484" priority="485" operator="equal">
      <formula>0</formula>
    </cfRule>
  </conditionalFormatting>
  <conditionalFormatting sqref="T385:T386">
    <cfRule type="cellIs" dxfId="483" priority="484" operator="equal">
      <formula>0</formula>
    </cfRule>
  </conditionalFormatting>
  <conditionalFormatting sqref="U387:U389 U405">
    <cfRule type="cellIs" dxfId="482" priority="483" operator="equal">
      <formula>0</formula>
    </cfRule>
  </conditionalFormatting>
  <conditionalFormatting sqref="U385:U386">
    <cfRule type="cellIs" dxfId="481" priority="482" operator="equal">
      <formula>0</formula>
    </cfRule>
  </conditionalFormatting>
  <conditionalFormatting sqref="H413:J413 N413:X413">
    <cfRule type="cellIs" dxfId="480" priority="481" operator="equal">
      <formula>0</formula>
    </cfRule>
  </conditionalFormatting>
  <conditionalFormatting sqref="H406:J414 H404:J404 H384:J390 R384:S384 V384:X384 N406:X414 N404:X404 N385:X390">
    <cfRule type="containsBlanks" dxfId="479" priority="480">
      <formula>LEN(TRIM(H384))=0</formula>
    </cfRule>
  </conditionalFormatting>
  <conditionalFormatting sqref="H413:J413 N413:X413">
    <cfRule type="cellIs" dxfId="478" priority="479" operator="equal">
      <formula>0</formula>
    </cfRule>
  </conditionalFormatting>
  <conditionalFormatting sqref="R387:R388">
    <cfRule type="cellIs" dxfId="477" priority="478" operator="equal">
      <formula>0</formula>
    </cfRule>
  </conditionalFormatting>
  <conditionalFormatting sqref="S387:S388">
    <cfRule type="cellIs" dxfId="476" priority="477" operator="equal">
      <formula>0</formula>
    </cfRule>
  </conditionalFormatting>
  <conditionalFormatting sqref="T387:U387">
    <cfRule type="cellIs" dxfId="475" priority="476" operator="equal">
      <formula>0</formula>
    </cfRule>
  </conditionalFormatting>
  <conditionalFormatting sqref="T388:U388">
    <cfRule type="cellIs" dxfId="474" priority="475" operator="equal">
      <formula>0</formula>
    </cfRule>
  </conditionalFormatting>
  <conditionalFormatting sqref="H392:J403 N392:X403">
    <cfRule type="cellIs" dxfId="473" priority="474" operator="equal">
      <formula>0</formula>
    </cfRule>
  </conditionalFormatting>
  <conditionalFormatting sqref="H392:J403 N392:X403">
    <cfRule type="containsBlanks" dxfId="472" priority="473">
      <formula>LEN(TRIM(H392))=0</formula>
    </cfRule>
  </conditionalFormatting>
  <conditionalFormatting sqref="N384">
    <cfRule type="cellIs" dxfId="471" priority="472" operator="equal">
      <formula>0</formula>
    </cfRule>
  </conditionalFormatting>
  <conditionalFormatting sqref="O384">
    <cfRule type="cellIs" dxfId="470" priority="471" operator="equal">
      <formula>0</formula>
    </cfRule>
  </conditionalFormatting>
  <conditionalFormatting sqref="P384:Q384">
    <cfRule type="cellIs" dxfId="469" priority="470" operator="equal">
      <formula>0</formula>
    </cfRule>
  </conditionalFormatting>
  <conditionalFormatting sqref="Q384">
    <cfRule type="cellIs" dxfId="468" priority="469" operator="equal">
      <formula>0</formula>
    </cfRule>
  </conditionalFormatting>
  <conditionalFormatting sqref="N384:Q384">
    <cfRule type="containsBlanks" dxfId="467" priority="468">
      <formula>LEN(TRIM(N384))=0</formula>
    </cfRule>
  </conditionalFormatting>
  <conditionalFormatting sqref="T384:U384">
    <cfRule type="cellIs" dxfId="466" priority="467" operator="equal">
      <formula>0</formula>
    </cfRule>
  </conditionalFormatting>
  <conditionalFormatting sqref="T384:U384">
    <cfRule type="cellIs" dxfId="465" priority="466" operator="equal">
      <formula>0</formula>
    </cfRule>
  </conditionalFormatting>
  <conditionalFormatting sqref="T384:U384">
    <cfRule type="containsBlanks" dxfId="464" priority="465">
      <formula>LEN(TRIM(T384))=0</formula>
    </cfRule>
  </conditionalFormatting>
  <conditionalFormatting sqref="H451:J451 V442:X442 H441:J449 H421:J428 R421:S421 V421:X421 N451:X451 N442:O442 N443:X449 N441:X441 N422:X428">
    <cfRule type="cellIs" dxfId="463" priority="464" operator="equal">
      <formula>0</formula>
    </cfRule>
  </conditionalFormatting>
  <conditionalFormatting sqref="V421:V423">
    <cfRule type="cellIs" dxfId="462" priority="463" operator="equal">
      <formula>0</formula>
    </cfRule>
  </conditionalFormatting>
  <conditionalFormatting sqref="V421:X421 R421:S421 H422:J423 N422:X423">
    <cfRule type="cellIs" dxfId="461" priority="462" operator="equal">
      <formula>0</formula>
    </cfRule>
  </conditionalFormatting>
  <conditionalFormatting sqref="J422:J423">
    <cfRule type="cellIs" dxfId="460" priority="461" operator="equal">
      <formula>0</formula>
    </cfRule>
  </conditionalFormatting>
  <conditionalFormatting sqref="R421:S421">
    <cfRule type="cellIs" dxfId="459" priority="460" operator="equal">
      <formula>0</formula>
    </cfRule>
  </conditionalFormatting>
  <conditionalFormatting sqref="P424:P426 P442">
    <cfRule type="cellIs" dxfId="458" priority="459" operator="equal">
      <formula>0</formula>
    </cfRule>
  </conditionalFormatting>
  <conditionalFormatting sqref="P422:P423">
    <cfRule type="cellIs" dxfId="457" priority="458" operator="equal">
      <formula>0</formula>
    </cfRule>
  </conditionalFormatting>
  <conditionalFormatting sqref="Q424:Q426 Q442">
    <cfRule type="cellIs" dxfId="456" priority="457" operator="equal">
      <formula>0</formula>
    </cfRule>
  </conditionalFormatting>
  <conditionalFormatting sqref="Q422:Q423">
    <cfRule type="cellIs" dxfId="455" priority="456" operator="equal">
      <formula>0</formula>
    </cfRule>
  </conditionalFormatting>
  <conditionalFormatting sqref="R424:R426 R442">
    <cfRule type="cellIs" dxfId="454" priority="455" operator="equal">
      <formula>0</formula>
    </cfRule>
  </conditionalFormatting>
  <conditionalFormatting sqref="R421:R423">
    <cfRule type="cellIs" dxfId="453" priority="454" operator="equal">
      <formula>0</formula>
    </cfRule>
  </conditionalFormatting>
  <conditionalFormatting sqref="S424:S426 S442">
    <cfRule type="cellIs" dxfId="452" priority="453" operator="equal">
      <formula>0</formula>
    </cfRule>
  </conditionalFormatting>
  <conditionalFormatting sqref="S421:S423">
    <cfRule type="cellIs" dxfId="451" priority="452" operator="equal">
      <formula>0</formula>
    </cfRule>
  </conditionalFormatting>
  <conditionalFormatting sqref="T424:T426 T442">
    <cfRule type="cellIs" dxfId="450" priority="451" operator="equal">
      <formula>0</formula>
    </cfRule>
  </conditionalFormatting>
  <conditionalFormatting sqref="T422:T423">
    <cfRule type="cellIs" dxfId="449" priority="450" operator="equal">
      <formula>0</formula>
    </cfRule>
  </conditionalFormatting>
  <conditionalFormatting sqref="U424:U426 U442">
    <cfRule type="cellIs" dxfId="448" priority="449" operator="equal">
      <formula>0</formula>
    </cfRule>
  </conditionalFormatting>
  <conditionalFormatting sqref="U422:U423">
    <cfRule type="cellIs" dxfId="447" priority="448" operator="equal">
      <formula>0</formula>
    </cfRule>
  </conditionalFormatting>
  <conditionalFormatting sqref="H450:J450 N450:X450">
    <cfRule type="cellIs" dxfId="446" priority="447" operator="equal">
      <formula>0</formula>
    </cfRule>
  </conditionalFormatting>
  <conditionalFormatting sqref="H443:J451 H441:J441 H421:J427 R421:S421 V421:X421 N443:X451 N441:X441 N422:X427">
    <cfRule type="containsBlanks" dxfId="445" priority="446">
      <formula>LEN(TRIM(H421))=0</formula>
    </cfRule>
  </conditionalFormatting>
  <conditionalFormatting sqref="H450:J450 N450:X450">
    <cfRule type="cellIs" dxfId="444" priority="445" operator="equal">
      <formula>0</formula>
    </cfRule>
  </conditionalFormatting>
  <conditionalFormatting sqref="R424:R425">
    <cfRule type="cellIs" dxfId="443" priority="444" operator="equal">
      <formula>0</formula>
    </cfRule>
  </conditionalFormatting>
  <conditionalFormatting sqref="S424:S425">
    <cfRule type="cellIs" dxfId="442" priority="443" operator="equal">
      <formula>0</formula>
    </cfRule>
  </conditionalFormatting>
  <conditionalFormatting sqref="T424:U424">
    <cfRule type="cellIs" dxfId="441" priority="442" operator="equal">
      <formula>0</formula>
    </cfRule>
  </conditionalFormatting>
  <conditionalFormatting sqref="T425:U425">
    <cfRule type="cellIs" dxfId="440" priority="441" operator="equal">
      <formula>0</formula>
    </cfRule>
  </conditionalFormatting>
  <conditionalFormatting sqref="H429:J440 N429:X440">
    <cfRule type="cellIs" dxfId="439" priority="440" operator="equal">
      <formula>0</formula>
    </cfRule>
  </conditionalFormatting>
  <conditionalFormatting sqref="H429:J440 N429:X440">
    <cfRule type="containsBlanks" dxfId="438" priority="439">
      <formula>LEN(TRIM(H429))=0</formula>
    </cfRule>
  </conditionalFormatting>
  <conditionalFormatting sqref="N421">
    <cfRule type="cellIs" dxfId="437" priority="438" operator="equal">
      <formula>0</formula>
    </cfRule>
  </conditionalFormatting>
  <conditionalFormatting sqref="O421">
    <cfRule type="cellIs" dxfId="436" priority="437" operator="equal">
      <formula>0</formula>
    </cfRule>
  </conditionalFormatting>
  <conditionalFormatting sqref="P421:Q421">
    <cfRule type="cellIs" dxfId="435" priority="436" operator="equal">
      <formula>0</formula>
    </cfRule>
  </conditionalFormatting>
  <conditionalFormatting sqref="Q421">
    <cfRule type="cellIs" dxfId="434" priority="435" operator="equal">
      <formula>0</formula>
    </cfRule>
  </conditionalFormatting>
  <conditionalFormatting sqref="N421:Q421">
    <cfRule type="containsBlanks" dxfId="433" priority="434">
      <formula>LEN(TRIM(N421))=0</formula>
    </cfRule>
  </conditionalFormatting>
  <conditionalFormatting sqref="T421:U421">
    <cfRule type="cellIs" dxfId="432" priority="433" operator="equal">
      <formula>0</formula>
    </cfRule>
  </conditionalFormatting>
  <conditionalFormatting sqref="T421:U421">
    <cfRule type="cellIs" dxfId="431" priority="432" operator="equal">
      <formula>0</formula>
    </cfRule>
  </conditionalFormatting>
  <conditionalFormatting sqref="T421:U421">
    <cfRule type="containsBlanks" dxfId="430" priority="431">
      <formula>LEN(TRIM(T421))=0</formula>
    </cfRule>
  </conditionalFormatting>
  <conditionalFormatting sqref="H488:J488 V479:X479 H478:J486 H458:J465 R458:S458 V458:X458 N488:X488 N479:O479 N480:X486 N478:X478 N459:X465">
    <cfRule type="cellIs" dxfId="429" priority="430" operator="equal">
      <formula>0</formula>
    </cfRule>
  </conditionalFormatting>
  <conditionalFormatting sqref="V458:V460">
    <cfRule type="cellIs" dxfId="428" priority="429" operator="equal">
      <formula>0</formula>
    </cfRule>
  </conditionalFormatting>
  <conditionalFormatting sqref="V458:X458 R458:S458 H459:J460 N459:X460">
    <cfRule type="cellIs" dxfId="427" priority="428" operator="equal">
      <formula>0</formula>
    </cfRule>
  </conditionalFormatting>
  <conditionalFormatting sqref="J459:J460">
    <cfRule type="cellIs" dxfId="426" priority="427" operator="equal">
      <formula>0</formula>
    </cfRule>
  </conditionalFormatting>
  <conditionalFormatting sqref="R458:S458">
    <cfRule type="cellIs" dxfId="425" priority="426" operator="equal">
      <formula>0</formula>
    </cfRule>
  </conditionalFormatting>
  <conditionalFormatting sqref="P461:P463 P479">
    <cfRule type="cellIs" dxfId="424" priority="425" operator="equal">
      <formula>0</formula>
    </cfRule>
  </conditionalFormatting>
  <conditionalFormatting sqref="P459:P460">
    <cfRule type="cellIs" dxfId="423" priority="424" operator="equal">
      <formula>0</formula>
    </cfRule>
  </conditionalFormatting>
  <conditionalFormatting sqref="Q461:Q463 Q479">
    <cfRule type="cellIs" dxfId="422" priority="423" operator="equal">
      <formula>0</formula>
    </cfRule>
  </conditionalFormatting>
  <conditionalFormatting sqref="Q459:Q460">
    <cfRule type="cellIs" dxfId="421" priority="422" operator="equal">
      <formula>0</formula>
    </cfRule>
  </conditionalFormatting>
  <conditionalFormatting sqref="R461:R463 R479">
    <cfRule type="cellIs" dxfId="420" priority="421" operator="equal">
      <formula>0</formula>
    </cfRule>
  </conditionalFormatting>
  <conditionalFormatting sqref="R458:R460">
    <cfRule type="cellIs" dxfId="419" priority="420" operator="equal">
      <formula>0</formula>
    </cfRule>
  </conditionalFormatting>
  <conditionalFormatting sqref="S461:S463 S479">
    <cfRule type="cellIs" dxfId="418" priority="419" operator="equal">
      <formula>0</formula>
    </cfRule>
  </conditionalFormatting>
  <conditionalFormatting sqref="S458:S460">
    <cfRule type="cellIs" dxfId="417" priority="418" operator="equal">
      <formula>0</formula>
    </cfRule>
  </conditionalFormatting>
  <conditionalFormatting sqref="T461:T463 T479">
    <cfRule type="cellIs" dxfId="416" priority="417" operator="equal">
      <formula>0</formula>
    </cfRule>
  </conditionalFormatting>
  <conditionalFormatting sqref="T459:T460">
    <cfRule type="cellIs" dxfId="415" priority="416" operator="equal">
      <formula>0</formula>
    </cfRule>
  </conditionalFormatting>
  <conditionalFormatting sqref="U461:U463 U479">
    <cfRule type="cellIs" dxfId="414" priority="415" operator="equal">
      <formula>0</formula>
    </cfRule>
  </conditionalFormatting>
  <conditionalFormatting sqref="U459:U460">
    <cfRule type="cellIs" dxfId="413" priority="414" operator="equal">
      <formula>0</formula>
    </cfRule>
  </conditionalFormatting>
  <conditionalFormatting sqref="H487:J487 N487:X487">
    <cfRule type="cellIs" dxfId="412" priority="413" operator="equal">
      <formula>0</formula>
    </cfRule>
  </conditionalFormatting>
  <conditionalFormatting sqref="H480:J488 H478:J478 H458:J464 R458:S458 V458:X458 N480:X488 N478:X478 N459:X464">
    <cfRule type="containsBlanks" dxfId="411" priority="412">
      <formula>LEN(TRIM(H458))=0</formula>
    </cfRule>
  </conditionalFormatting>
  <conditionalFormatting sqref="H487:J487 N487:X487">
    <cfRule type="cellIs" dxfId="410" priority="411" operator="equal">
      <formula>0</formula>
    </cfRule>
  </conditionalFormatting>
  <conditionalFormatting sqref="R461:R462">
    <cfRule type="cellIs" dxfId="409" priority="410" operator="equal">
      <formula>0</formula>
    </cfRule>
  </conditionalFormatting>
  <conditionalFormatting sqref="S461:S462">
    <cfRule type="cellIs" dxfId="408" priority="409" operator="equal">
      <formula>0</formula>
    </cfRule>
  </conditionalFormatting>
  <conditionalFormatting sqref="T461:U461">
    <cfRule type="cellIs" dxfId="407" priority="408" operator="equal">
      <formula>0</formula>
    </cfRule>
  </conditionalFormatting>
  <conditionalFormatting sqref="T462:U462">
    <cfRule type="cellIs" dxfId="406" priority="407" operator="equal">
      <formula>0</formula>
    </cfRule>
  </conditionalFormatting>
  <conditionalFormatting sqref="H466:J477 N466:X477">
    <cfRule type="cellIs" dxfId="405" priority="406" operator="equal">
      <formula>0</formula>
    </cfRule>
  </conditionalFormatting>
  <conditionalFormatting sqref="H466:J477 N466:X477">
    <cfRule type="containsBlanks" dxfId="404" priority="405">
      <formula>LEN(TRIM(H466))=0</formula>
    </cfRule>
  </conditionalFormatting>
  <conditionalFormatting sqref="N458">
    <cfRule type="cellIs" dxfId="403" priority="404" operator="equal">
      <formula>0</formula>
    </cfRule>
  </conditionalFormatting>
  <conditionalFormatting sqref="O458">
    <cfRule type="cellIs" dxfId="402" priority="403" operator="equal">
      <formula>0</formula>
    </cfRule>
  </conditionalFormatting>
  <conditionalFormatting sqref="P458:Q458">
    <cfRule type="cellIs" dxfId="401" priority="402" operator="equal">
      <formula>0</formula>
    </cfRule>
  </conditionalFormatting>
  <conditionalFormatting sqref="Q458">
    <cfRule type="cellIs" dxfId="400" priority="401" operator="equal">
      <formula>0</formula>
    </cfRule>
  </conditionalFormatting>
  <conditionalFormatting sqref="N458:Q458">
    <cfRule type="containsBlanks" dxfId="399" priority="400">
      <formula>LEN(TRIM(N458))=0</formula>
    </cfRule>
  </conditionalFormatting>
  <conditionalFormatting sqref="T458:U458">
    <cfRule type="cellIs" dxfId="398" priority="399" operator="equal">
      <formula>0</formula>
    </cfRule>
  </conditionalFormatting>
  <conditionalFormatting sqref="T458:U458">
    <cfRule type="cellIs" dxfId="397" priority="398" operator="equal">
      <formula>0</formula>
    </cfRule>
  </conditionalFormatting>
  <conditionalFormatting sqref="T458:U458">
    <cfRule type="containsBlanks" dxfId="396" priority="397">
      <formula>LEN(TRIM(T458))=0</formula>
    </cfRule>
  </conditionalFormatting>
  <conditionalFormatting sqref="X59:X65 X68:X70">
    <cfRule type="cellIs" dxfId="395" priority="396" operator="equal">
      <formula>0</formula>
    </cfRule>
  </conditionalFormatting>
  <conditionalFormatting sqref="X59:X65 X68:X70">
    <cfRule type="containsBlanks" dxfId="394" priority="395">
      <formula>LEN(TRIM(X59))=0</formula>
    </cfRule>
  </conditionalFormatting>
  <conditionalFormatting sqref="Y59:Y70">
    <cfRule type="cellIs" dxfId="393" priority="394" operator="equal">
      <formula>0</formula>
    </cfRule>
  </conditionalFormatting>
  <conditionalFormatting sqref="Y59:Y70">
    <cfRule type="containsBlanks" dxfId="392" priority="393">
      <formula>LEN(TRIM(Y59))=0</formula>
    </cfRule>
  </conditionalFormatting>
  <conditionalFormatting sqref="H66:J67 L66:L67 N66:W67">
    <cfRule type="cellIs" dxfId="391" priority="392" operator="equal">
      <formula>0</formula>
    </cfRule>
  </conditionalFormatting>
  <conditionalFormatting sqref="H66:J67 L66:L67 N66:W67">
    <cfRule type="containsBlanks" dxfId="390" priority="391">
      <formula>LEN(TRIM(H66))=0</formula>
    </cfRule>
  </conditionalFormatting>
  <conditionalFormatting sqref="X66:X67">
    <cfRule type="cellIs" dxfId="389" priority="390" operator="equal">
      <formula>0</formula>
    </cfRule>
  </conditionalFormatting>
  <conditionalFormatting sqref="X66:X67">
    <cfRule type="containsBlanks" dxfId="388" priority="389">
      <formula>LEN(TRIM(X66))=0</formula>
    </cfRule>
  </conditionalFormatting>
  <conditionalFormatting sqref="X15:X16 X19 L15:L16 H19:J19 L19 N19:O19">
    <cfRule type="cellIs" dxfId="387" priority="388" operator="equal">
      <formula>0</formula>
    </cfRule>
  </conditionalFormatting>
  <conditionalFormatting sqref="H15:I16 N15:O16">
    <cfRule type="cellIs" dxfId="386" priority="387" operator="equal">
      <formula>0</formula>
    </cfRule>
  </conditionalFormatting>
  <conditionalFormatting sqref="J15:J16">
    <cfRule type="cellIs" dxfId="385" priority="386" operator="equal">
      <formula>0</formula>
    </cfRule>
  </conditionalFormatting>
  <conditionalFormatting sqref="P19">
    <cfRule type="cellIs" dxfId="384" priority="385" operator="equal">
      <formula>0</formula>
    </cfRule>
  </conditionalFormatting>
  <conditionalFormatting sqref="P15:P16">
    <cfRule type="cellIs" dxfId="383" priority="384" operator="equal">
      <formula>0</formula>
    </cfRule>
  </conditionalFormatting>
  <conditionalFormatting sqref="Q19">
    <cfRule type="cellIs" dxfId="382" priority="383" operator="equal">
      <formula>0</formula>
    </cfRule>
  </conditionalFormatting>
  <conditionalFormatting sqref="Q15:Q16">
    <cfRule type="cellIs" dxfId="381" priority="382" operator="equal">
      <formula>0</formula>
    </cfRule>
  </conditionalFormatting>
  <conditionalFormatting sqref="R19">
    <cfRule type="cellIs" dxfId="380" priority="381" operator="equal">
      <formula>0</formula>
    </cfRule>
  </conditionalFormatting>
  <conditionalFormatting sqref="R15:R16">
    <cfRule type="cellIs" dxfId="379" priority="380" operator="equal">
      <formula>0</formula>
    </cfRule>
  </conditionalFormatting>
  <conditionalFormatting sqref="S19">
    <cfRule type="cellIs" dxfId="378" priority="379" operator="equal">
      <formula>0</formula>
    </cfRule>
  </conditionalFormatting>
  <conditionalFormatting sqref="S15:S16">
    <cfRule type="cellIs" dxfId="377" priority="378" operator="equal">
      <formula>0</formula>
    </cfRule>
  </conditionalFormatting>
  <conditionalFormatting sqref="T19">
    <cfRule type="cellIs" dxfId="376" priority="377" operator="equal">
      <formula>0</formula>
    </cfRule>
  </conditionalFormatting>
  <conditionalFormatting sqref="T15:T16">
    <cfRule type="cellIs" dxfId="375" priority="376" operator="equal">
      <formula>0</formula>
    </cfRule>
  </conditionalFormatting>
  <conditionalFormatting sqref="U19">
    <cfRule type="cellIs" dxfId="374" priority="375" operator="equal">
      <formula>0</formula>
    </cfRule>
  </conditionalFormatting>
  <conditionalFormatting sqref="U15:U16">
    <cfRule type="cellIs" dxfId="373" priority="374" operator="equal">
      <formula>0</formula>
    </cfRule>
  </conditionalFormatting>
  <conditionalFormatting sqref="H15:J16 H19:J19 X19 X15:X16 L19 L15:L16 N15:U16 N19:U19">
    <cfRule type="containsBlanks" dxfId="372" priority="373">
      <formula>LEN(TRIM(H15))=0</formula>
    </cfRule>
  </conditionalFormatting>
  <conditionalFormatting sqref="H14:J14 X14 V14:W19 L14">
    <cfRule type="cellIs" dxfId="371" priority="372" operator="equal">
      <formula>0</formula>
    </cfRule>
  </conditionalFormatting>
  <conditionalFormatting sqref="N14">
    <cfRule type="cellIs" dxfId="370" priority="371" operator="equal">
      <formula>0</formula>
    </cfRule>
  </conditionalFormatting>
  <conditionalFormatting sqref="O14">
    <cfRule type="cellIs" dxfId="369" priority="370" operator="equal">
      <formula>0</formula>
    </cfRule>
  </conditionalFormatting>
  <conditionalFormatting sqref="R14:U14">
    <cfRule type="cellIs" dxfId="368" priority="369" operator="equal">
      <formula>0</formula>
    </cfRule>
  </conditionalFormatting>
  <conditionalFormatting sqref="P14">
    <cfRule type="cellIs" dxfId="367" priority="368" operator="equal">
      <formula>0</formula>
    </cfRule>
  </conditionalFormatting>
  <conditionalFormatting sqref="Q14">
    <cfRule type="cellIs" dxfId="366" priority="367" operator="equal">
      <formula>0</formula>
    </cfRule>
  </conditionalFormatting>
  <conditionalFormatting sqref="H14:J14 V15:V19 X14 W14:W19 L14 N14:V14">
    <cfRule type="containsBlanks" dxfId="365" priority="366">
      <formula>LEN(TRIM(H14))=0</formula>
    </cfRule>
  </conditionalFormatting>
  <conditionalFormatting sqref="Y14:Y19">
    <cfRule type="cellIs" dxfId="364" priority="365" operator="equal">
      <formula>0</formula>
    </cfRule>
  </conditionalFormatting>
  <conditionalFormatting sqref="Y14:Y19">
    <cfRule type="containsBlanks" dxfId="363" priority="364">
      <formula>LEN(TRIM(Y14))=0</formula>
    </cfRule>
  </conditionalFormatting>
  <conditionalFormatting sqref="H17:J18 X17:X18 L17:L18 N17:U18">
    <cfRule type="cellIs" dxfId="362" priority="363" operator="equal">
      <formula>0</formula>
    </cfRule>
  </conditionalFormatting>
  <conditionalFormatting sqref="P17:P18">
    <cfRule type="cellIs" dxfId="361" priority="362" operator="equal">
      <formula>0</formula>
    </cfRule>
  </conditionalFormatting>
  <conditionalFormatting sqref="Q17:Q18">
    <cfRule type="cellIs" dxfId="360" priority="361" operator="equal">
      <formula>0</formula>
    </cfRule>
  </conditionalFormatting>
  <conditionalFormatting sqref="R17:R18">
    <cfRule type="cellIs" dxfId="359" priority="360" operator="equal">
      <formula>0</formula>
    </cfRule>
  </conditionalFormatting>
  <conditionalFormatting sqref="S17:S18">
    <cfRule type="cellIs" dxfId="358" priority="359" operator="equal">
      <formula>0</formula>
    </cfRule>
  </conditionalFormatting>
  <conditionalFormatting sqref="T17:T18">
    <cfRule type="cellIs" dxfId="357" priority="358" operator="equal">
      <formula>0</formula>
    </cfRule>
  </conditionalFormatting>
  <conditionalFormatting sqref="U17:U18">
    <cfRule type="cellIs" dxfId="356" priority="357" operator="equal">
      <formula>0</formula>
    </cfRule>
  </conditionalFormatting>
  <conditionalFormatting sqref="H17:J18 X17:X18 L17:L18 N17:U18">
    <cfRule type="containsBlanks" dxfId="355" priority="356">
      <formula>LEN(TRIM(H17))=0</formula>
    </cfRule>
  </conditionalFormatting>
  <conditionalFormatting sqref="R17:R18">
    <cfRule type="cellIs" dxfId="354" priority="355" operator="equal">
      <formula>0</formula>
    </cfRule>
  </conditionalFormatting>
  <conditionalFormatting sqref="S17:S18">
    <cfRule type="cellIs" dxfId="353" priority="354" operator="equal">
      <formula>0</formula>
    </cfRule>
  </conditionalFormatting>
  <conditionalFormatting sqref="T17:U17">
    <cfRule type="cellIs" dxfId="352" priority="353" operator="equal">
      <formula>0</formula>
    </cfRule>
  </conditionalFormatting>
  <conditionalFormatting sqref="T18:U18">
    <cfRule type="cellIs" dxfId="351" priority="352" operator="equal">
      <formula>0</formula>
    </cfRule>
  </conditionalFormatting>
  <conditionalFormatting sqref="H22:J24 L22:L24 N22:W24">
    <cfRule type="cellIs" dxfId="350" priority="351" operator="equal">
      <formula>0</formula>
    </cfRule>
  </conditionalFormatting>
  <conditionalFormatting sqref="H22:J24 L22:L24 N22:W24">
    <cfRule type="containsBlanks" dxfId="349" priority="350">
      <formula>LEN(TRIM(H22))=0</formula>
    </cfRule>
  </conditionalFormatting>
  <conditionalFormatting sqref="H32:J33 H27:J28 L27:L28 L32:L33 N32:W33 N27:W28">
    <cfRule type="cellIs" dxfId="348" priority="349" operator="equal">
      <formula>0</formula>
    </cfRule>
  </conditionalFormatting>
  <conditionalFormatting sqref="H31:J33 L31:L33 N31:W33">
    <cfRule type="cellIs" dxfId="347" priority="348" operator="equal">
      <formula>0</formula>
    </cfRule>
  </conditionalFormatting>
  <conditionalFormatting sqref="H27:J28 H31:J33 L31:L33 L27:L28 N27:W28 N31:W33">
    <cfRule type="containsBlanks" dxfId="346" priority="347">
      <formula>LEN(TRIM(H27))=0</formula>
    </cfRule>
  </conditionalFormatting>
  <conditionalFormatting sqref="H25:J26 L25:L26 N25:W26">
    <cfRule type="cellIs" dxfId="345" priority="346" operator="equal">
      <formula>0</formula>
    </cfRule>
  </conditionalFormatting>
  <conditionalFormatting sqref="H25:J26 L25:L26 N25:W26">
    <cfRule type="containsBlanks" dxfId="344" priority="345">
      <formula>LEN(TRIM(H25))=0</formula>
    </cfRule>
  </conditionalFormatting>
  <conditionalFormatting sqref="X22:X28 X31:X33">
    <cfRule type="cellIs" dxfId="343" priority="344" operator="equal">
      <formula>0</formula>
    </cfRule>
  </conditionalFormatting>
  <conditionalFormatting sqref="X22:X28 X31:X33">
    <cfRule type="containsBlanks" dxfId="342" priority="343">
      <formula>LEN(TRIM(X22))=0</formula>
    </cfRule>
  </conditionalFormatting>
  <conditionalFormatting sqref="Y22:Y33">
    <cfRule type="cellIs" dxfId="341" priority="342" operator="equal">
      <formula>0</formula>
    </cfRule>
  </conditionalFormatting>
  <conditionalFormatting sqref="Y22:Y33">
    <cfRule type="containsBlanks" dxfId="340" priority="341">
      <formula>LEN(TRIM(Y22))=0</formula>
    </cfRule>
  </conditionalFormatting>
  <conditionalFormatting sqref="H29:J30 L29:L30 N29:W30">
    <cfRule type="cellIs" dxfId="339" priority="340" operator="equal">
      <formula>0</formula>
    </cfRule>
  </conditionalFormatting>
  <conditionalFormatting sqref="H29:J30 L29:L30 N29:W30">
    <cfRule type="containsBlanks" dxfId="338" priority="339">
      <formula>LEN(TRIM(H29))=0</formula>
    </cfRule>
  </conditionalFormatting>
  <conditionalFormatting sqref="X29:X30">
    <cfRule type="cellIs" dxfId="337" priority="338" operator="equal">
      <formula>0</formula>
    </cfRule>
  </conditionalFormatting>
  <conditionalFormatting sqref="X29:X30">
    <cfRule type="containsBlanks" dxfId="336" priority="337">
      <formula>LEN(TRIM(X29))=0</formula>
    </cfRule>
  </conditionalFormatting>
  <conditionalFormatting sqref="H36:J41 L36:L41 N36:Y41">
    <cfRule type="cellIs" dxfId="335" priority="336" operator="equal">
      <formula>0</formula>
    </cfRule>
  </conditionalFormatting>
  <conditionalFormatting sqref="H36:J41 L36:L41 N36:Y41">
    <cfRule type="containsBlanks" dxfId="334" priority="335">
      <formula>LEN(TRIM(H36))=0</formula>
    </cfRule>
  </conditionalFormatting>
  <conditionalFormatting sqref="Y43">
    <cfRule type="cellIs" dxfId="333" priority="334" operator="equal">
      <formula>0</formula>
    </cfRule>
  </conditionalFormatting>
  <conditionalFormatting sqref="H43:J43 L43 N43:Y43">
    <cfRule type="cellIs" dxfId="332" priority="333" operator="equal">
      <formula>0</formula>
    </cfRule>
  </conditionalFormatting>
  <conditionalFormatting sqref="H43:J43 L43 N43:Y43">
    <cfRule type="containsBlanks" dxfId="331" priority="332">
      <formula>LEN(TRIM(H43))=0</formula>
    </cfRule>
  </conditionalFormatting>
  <conditionalFormatting sqref="H43:J43 L43 N43:X43">
    <cfRule type="cellIs" dxfId="330" priority="331" operator="equal">
      <formula>0</formula>
    </cfRule>
  </conditionalFormatting>
  <conditionalFormatting sqref="H20:J20 L20 N20:Y20">
    <cfRule type="cellIs" dxfId="329" priority="330" operator="equal">
      <formula>0</formula>
    </cfRule>
  </conditionalFormatting>
  <conditionalFormatting sqref="H20:J20 L20 N20:Y20">
    <cfRule type="containsBlanks" dxfId="328" priority="329">
      <formula>LEN(TRIM(H20))=0</formula>
    </cfRule>
  </conditionalFormatting>
  <conditionalFormatting sqref="H34:J34 L34 N34:Y34">
    <cfRule type="cellIs" dxfId="327" priority="328" operator="equal">
      <formula>0</formula>
    </cfRule>
  </conditionalFormatting>
  <conditionalFormatting sqref="H34:J34 L34 N34:Y34">
    <cfRule type="containsBlanks" dxfId="326" priority="327">
      <formula>LEN(TRIM(H34))=0</formula>
    </cfRule>
  </conditionalFormatting>
  <conditionalFormatting sqref="H42:J42 L42 N42:Y42">
    <cfRule type="cellIs" dxfId="325" priority="326" operator="equal">
      <formula>0</formula>
    </cfRule>
  </conditionalFormatting>
  <conditionalFormatting sqref="H42:J42 L42 N42:Y42">
    <cfRule type="containsBlanks" dxfId="324" priority="325">
      <formula>LEN(TRIM(H42))=0</formula>
    </cfRule>
  </conditionalFormatting>
  <conditionalFormatting sqref="H44:J44 L44 N44:Y44">
    <cfRule type="cellIs" dxfId="323" priority="324" operator="equal">
      <formula>0</formula>
    </cfRule>
  </conditionalFormatting>
  <conditionalFormatting sqref="H44:J44 L44 N44:Y44">
    <cfRule type="containsBlanks" dxfId="322" priority="323">
      <formula>LEN(TRIM(H44))=0</formula>
    </cfRule>
  </conditionalFormatting>
  <conditionalFormatting sqref="S62">
    <cfRule type="cellIs" dxfId="321" priority="322" operator="equal">
      <formula>0</formula>
    </cfRule>
  </conditionalFormatting>
  <conditionalFormatting sqref="S62">
    <cfRule type="containsBlanks" dxfId="320" priority="321">
      <formula>LEN(TRIM(S62))=0</formula>
    </cfRule>
  </conditionalFormatting>
  <conditionalFormatting sqref="K89:K95 K108:K116 K118">
    <cfRule type="cellIs" dxfId="319" priority="320" operator="equal">
      <formula>0</formula>
    </cfRule>
  </conditionalFormatting>
  <conditionalFormatting sqref="K89:K90">
    <cfRule type="cellIs" dxfId="318" priority="319" operator="equal">
      <formula>0</formula>
    </cfRule>
  </conditionalFormatting>
  <conditionalFormatting sqref="K89:K90">
    <cfRule type="cellIs" dxfId="317" priority="318" operator="equal">
      <formula>0</formula>
    </cfRule>
  </conditionalFormatting>
  <conditionalFormatting sqref="K117">
    <cfRule type="cellIs" dxfId="316" priority="317" operator="equal">
      <formula>0</formula>
    </cfRule>
  </conditionalFormatting>
  <conditionalFormatting sqref="K89:K94 K110:K118 K108">
    <cfRule type="containsBlanks" dxfId="315" priority="316">
      <formula>LEN(TRIM(K89))=0</formula>
    </cfRule>
  </conditionalFormatting>
  <conditionalFormatting sqref="K117">
    <cfRule type="cellIs" dxfId="314" priority="315" operator="equal">
      <formula>0</formula>
    </cfRule>
  </conditionalFormatting>
  <conditionalFormatting sqref="K96:K107">
    <cfRule type="cellIs" dxfId="313" priority="314" operator="equal">
      <formula>0</formula>
    </cfRule>
  </conditionalFormatting>
  <conditionalFormatting sqref="K96:K107">
    <cfRule type="containsBlanks" dxfId="312" priority="313">
      <formula>LEN(TRIM(K96))=0</formula>
    </cfRule>
  </conditionalFormatting>
  <conditionalFormatting sqref="K81 K51:K79">
    <cfRule type="cellIs" dxfId="311" priority="312" operator="equal">
      <formula>0</formula>
    </cfRule>
  </conditionalFormatting>
  <conditionalFormatting sqref="K52:K53">
    <cfRule type="cellIs" dxfId="310" priority="311" operator="equal">
      <formula>0</formula>
    </cfRule>
  </conditionalFormatting>
  <conditionalFormatting sqref="K52:K53">
    <cfRule type="cellIs" dxfId="309" priority="310" operator="equal">
      <formula>0</formula>
    </cfRule>
  </conditionalFormatting>
  <conditionalFormatting sqref="K80">
    <cfRule type="cellIs" dxfId="308" priority="309" operator="equal">
      <formula>0</formula>
    </cfRule>
  </conditionalFormatting>
  <conditionalFormatting sqref="K51:K57 K65:K71 K73:K81">
    <cfRule type="containsBlanks" dxfId="307" priority="308">
      <formula>LEN(TRIM(K51))=0</formula>
    </cfRule>
  </conditionalFormatting>
  <conditionalFormatting sqref="K80">
    <cfRule type="cellIs" dxfId="306" priority="307" operator="equal">
      <formula>0</formula>
    </cfRule>
  </conditionalFormatting>
  <conditionalFormatting sqref="K60:K61">
    <cfRule type="cellIs" dxfId="305" priority="306" operator="equal">
      <formula>0</formula>
    </cfRule>
  </conditionalFormatting>
  <conditionalFormatting sqref="K60:K61">
    <cfRule type="cellIs" dxfId="304" priority="305" operator="equal">
      <formula>0</formula>
    </cfRule>
  </conditionalFormatting>
  <conditionalFormatting sqref="K59:K64">
    <cfRule type="containsBlanks" dxfId="303" priority="304">
      <formula>LEN(TRIM(K59))=0</formula>
    </cfRule>
  </conditionalFormatting>
  <conditionalFormatting sqref="K66:K67">
    <cfRule type="cellIs" dxfId="302" priority="303" operator="equal">
      <formula>0</formula>
    </cfRule>
  </conditionalFormatting>
  <conditionalFormatting sqref="K66:K67">
    <cfRule type="cellIs" dxfId="301" priority="302" operator="equal">
      <formula>0</formula>
    </cfRule>
  </conditionalFormatting>
  <conditionalFormatting sqref="K74:K75">
    <cfRule type="cellIs" dxfId="300" priority="301" operator="equal">
      <formula>0</formula>
    </cfRule>
  </conditionalFormatting>
  <conditionalFormatting sqref="K74:K75">
    <cfRule type="cellIs" dxfId="299" priority="300" operator="equal">
      <formula>0</formula>
    </cfRule>
  </conditionalFormatting>
  <conditionalFormatting sqref="K44 K14:K42">
    <cfRule type="cellIs" dxfId="298" priority="299" operator="equal">
      <formula>0</formula>
    </cfRule>
  </conditionalFormatting>
  <conditionalFormatting sqref="K15:K16">
    <cfRule type="cellIs" dxfId="297" priority="298" operator="equal">
      <formula>0</formula>
    </cfRule>
  </conditionalFormatting>
  <conditionalFormatting sqref="K15:K16">
    <cfRule type="cellIs" dxfId="296" priority="297" operator="equal">
      <formula>0</formula>
    </cfRule>
  </conditionalFormatting>
  <conditionalFormatting sqref="K43">
    <cfRule type="cellIs" dxfId="295" priority="296" operator="equal">
      <formula>0</formula>
    </cfRule>
  </conditionalFormatting>
  <conditionalFormatting sqref="K14:K20 K28:K34 K36:K44">
    <cfRule type="containsBlanks" dxfId="294" priority="295">
      <formula>LEN(TRIM(K14))=0</formula>
    </cfRule>
  </conditionalFormatting>
  <conditionalFormatting sqref="K43">
    <cfRule type="cellIs" dxfId="293" priority="294" operator="equal">
      <formula>0</formula>
    </cfRule>
  </conditionalFormatting>
  <conditionalFormatting sqref="K23:K24">
    <cfRule type="cellIs" dxfId="292" priority="293" operator="equal">
      <formula>0</formula>
    </cfRule>
  </conditionalFormatting>
  <conditionalFormatting sqref="K23:K24">
    <cfRule type="cellIs" dxfId="291" priority="292" operator="equal">
      <formula>0</formula>
    </cfRule>
  </conditionalFormatting>
  <conditionalFormatting sqref="K22:K27">
    <cfRule type="containsBlanks" dxfId="290" priority="291">
      <formula>LEN(TRIM(K22))=0</formula>
    </cfRule>
  </conditionalFormatting>
  <conditionalFormatting sqref="K29:K30">
    <cfRule type="cellIs" dxfId="289" priority="290" operator="equal">
      <formula>0</formula>
    </cfRule>
  </conditionalFormatting>
  <conditionalFormatting sqref="K29:K30">
    <cfRule type="cellIs" dxfId="288" priority="289" operator="equal">
      <formula>0</formula>
    </cfRule>
  </conditionalFormatting>
  <conditionalFormatting sqref="K37:K38">
    <cfRule type="cellIs" dxfId="287" priority="288" operator="equal">
      <formula>0</formula>
    </cfRule>
  </conditionalFormatting>
  <conditionalFormatting sqref="K37:K38">
    <cfRule type="cellIs" dxfId="286" priority="287" operator="equal">
      <formula>0</formula>
    </cfRule>
  </conditionalFormatting>
  <conditionalFormatting sqref="M44 M14:M42">
    <cfRule type="cellIs" dxfId="285" priority="286" operator="equal">
      <formula>0</formula>
    </cfRule>
  </conditionalFormatting>
  <conditionalFormatting sqref="M15:M16">
    <cfRule type="cellIs" dxfId="284" priority="285" operator="equal">
      <formula>0</formula>
    </cfRule>
  </conditionalFormatting>
  <conditionalFormatting sqref="M15:M16">
    <cfRule type="cellIs" dxfId="283" priority="284" operator="equal">
      <formula>0</formula>
    </cfRule>
  </conditionalFormatting>
  <conditionalFormatting sqref="M43">
    <cfRule type="cellIs" dxfId="282" priority="283" operator="equal">
      <formula>0</formula>
    </cfRule>
  </conditionalFormatting>
  <conditionalFormatting sqref="M14:M20 M28:M34 M36:M44">
    <cfRule type="containsBlanks" dxfId="281" priority="282">
      <formula>LEN(TRIM(M14))=0</formula>
    </cfRule>
  </conditionalFormatting>
  <conditionalFormatting sqref="M43">
    <cfRule type="cellIs" dxfId="280" priority="281" operator="equal">
      <formula>0</formula>
    </cfRule>
  </conditionalFormatting>
  <conditionalFormatting sqref="M23:M24">
    <cfRule type="cellIs" dxfId="279" priority="280" operator="equal">
      <formula>0</formula>
    </cfRule>
  </conditionalFormatting>
  <conditionalFormatting sqref="M23:M24">
    <cfRule type="cellIs" dxfId="278" priority="279" operator="equal">
      <formula>0</formula>
    </cfRule>
  </conditionalFormatting>
  <conditionalFormatting sqref="M22:M27">
    <cfRule type="containsBlanks" dxfId="277" priority="278">
      <formula>LEN(TRIM(M22))=0</formula>
    </cfRule>
  </conditionalFormatting>
  <conditionalFormatting sqref="M29:M30">
    <cfRule type="cellIs" dxfId="276" priority="277" operator="equal">
      <formula>0</formula>
    </cfRule>
  </conditionalFormatting>
  <conditionalFormatting sqref="M29:M30">
    <cfRule type="cellIs" dxfId="275" priority="276" operator="equal">
      <formula>0</formula>
    </cfRule>
  </conditionalFormatting>
  <conditionalFormatting sqref="M37:M38">
    <cfRule type="cellIs" dxfId="274" priority="275" operator="equal">
      <formula>0</formula>
    </cfRule>
  </conditionalFormatting>
  <conditionalFormatting sqref="M37:M38">
    <cfRule type="cellIs" dxfId="273" priority="274" operator="equal">
      <formula>0</formula>
    </cfRule>
  </conditionalFormatting>
  <conditionalFormatting sqref="M81 M51:M79">
    <cfRule type="cellIs" dxfId="272" priority="273" operator="equal">
      <formula>0</formula>
    </cfRule>
  </conditionalFormatting>
  <conditionalFormatting sqref="M52:M53">
    <cfRule type="cellIs" dxfId="271" priority="272" operator="equal">
      <formula>0</formula>
    </cfRule>
  </conditionalFormatting>
  <conditionalFormatting sqref="M52:M53">
    <cfRule type="cellIs" dxfId="270" priority="271" operator="equal">
      <formula>0</formula>
    </cfRule>
  </conditionalFormatting>
  <conditionalFormatting sqref="M80">
    <cfRule type="cellIs" dxfId="269" priority="270" operator="equal">
      <formula>0</formula>
    </cfRule>
  </conditionalFormatting>
  <conditionalFormatting sqref="M51:M57 M65:M71 M73:M81">
    <cfRule type="containsBlanks" dxfId="268" priority="269">
      <formula>LEN(TRIM(M51))=0</formula>
    </cfRule>
  </conditionalFormatting>
  <conditionalFormatting sqref="M80">
    <cfRule type="cellIs" dxfId="267" priority="268" operator="equal">
      <formula>0</formula>
    </cfRule>
  </conditionalFormatting>
  <conditionalFormatting sqref="M60:M61">
    <cfRule type="cellIs" dxfId="266" priority="267" operator="equal">
      <formula>0</formula>
    </cfRule>
  </conditionalFormatting>
  <conditionalFormatting sqref="M60:M61">
    <cfRule type="cellIs" dxfId="265" priority="266" operator="equal">
      <formula>0</formula>
    </cfRule>
  </conditionalFormatting>
  <conditionalFormatting sqref="M59:M64">
    <cfRule type="containsBlanks" dxfId="264" priority="265">
      <formula>LEN(TRIM(M59))=0</formula>
    </cfRule>
  </conditionalFormatting>
  <conditionalFormatting sqref="M66:M67">
    <cfRule type="cellIs" dxfId="263" priority="264" operator="equal">
      <formula>0</formula>
    </cfRule>
  </conditionalFormatting>
  <conditionalFormatting sqref="M66:M67">
    <cfRule type="cellIs" dxfId="262" priority="263" operator="equal">
      <formula>0</formula>
    </cfRule>
  </conditionalFormatting>
  <conditionalFormatting sqref="M74:M75">
    <cfRule type="cellIs" dxfId="261" priority="262" operator="equal">
      <formula>0</formula>
    </cfRule>
  </conditionalFormatting>
  <conditionalFormatting sqref="M74:M75">
    <cfRule type="cellIs" dxfId="260" priority="261" operator="equal">
      <formula>0</formula>
    </cfRule>
  </conditionalFormatting>
  <conditionalFormatting sqref="M88">
    <cfRule type="cellIs" dxfId="259" priority="260" operator="equal">
      <formula>0</formula>
    </cfRule>
  </conditionalFormatting>
  <conditionalFormatting sqref="M88">
    <cfRule type="containsBlanks" dxfId="258" priority="259">
      <formula>LEN(TRIM(M88))=0</formula>
    </cfRule>
  </conditionalFormatting>
  <conditionalFormatting sqref="M89:M95 M108:M116 M118">
    <cfRule type="cellIs" dxfId="257" priority="258" operator="equal">
      <formula>0</formula>
    </cfRule>
  </conditionalFormatting>
  <conditionalFormatting sqref="M89:M90">
    <cfRule type="cellIs" dxfId="256" priority="257" operator="equal">
      <formula>0</formula>
    </cfRule>
  </conditionalFormatting>
  <conditionalFormatting sqref="M89:M90">
    <cfRule type="cellIs" dxfId="255" priority="256" operator="equal">
      <formula>0</formula>
    </cfRule>
  </conditionalFormatting>
  <conditionalFormatting sqref="M117">
    <cfRule type="cellIs" dxfId="254" priority="255" operator="equal">
      <formula>0</formula>
    </cfRule>
  </conditionalFormatting>
  <conditionalFormatting sqref="M89:M94 M110:M118 M108">
    <cfRule type="containsBlanks" dxfId="253" priority="254">
      <formula>LEN(TRIM(M89))=0</formula>
    </cfRule>
  </conditionalFormatting>
  <conditionalFormatting sqref="M117">
    <cfRule type="cellIs" dxfId="252" priority="253" operator="equal">
      <formula>0</formula>
    </cfRule>
  </conditionalFormatting>
  <conditionalFormatting sqref="M96:M107">
    <cfRule type="cellIs" dxfId="251" priority="252" operator="equal">
      <formula>0</formula>
    </cfRule>
  </conditionalFormatting>
  <conditionalFormatting sqref="M96:M107">
    <cfRule type="containsBlanks" dxfId="250" priority="251">
      <formula>LEN(TRIM(M96))=0</formula>
    </cfRule>
  </conditionalFormatting>
  <conditionalFormatting sqref="L125:L132 L145:L153 L155 K125">
    <cfRule type="cellIs" dxfId="249" priority="250" operator="equal">
      <formula>0</formula>
    </cfRule>
  </conditionalFormatting>
  <conditionalFormatting sqref="L126:L127">
    <cfRule type="cellIs" dxfId="248" priority="249" operator="equal">
      <formula>0</formula>
    </cfRule>
  </conditionalFormatting>
  <conditionalFormatting sqref="L154">
    <cfRule type="cellIs" dxfId="247" priority="248" operator="equal">
      <formula>0</formula>
    </cfRule>
  </conditionalFormatting>
  <conditionalFormatting sqref="L125:L131 L145 L147:L155 K125">
    <cfRule type="containsBlanks" dxfId="246" priority="247">
      <formula>LEN(TRIM(K125))=0</formula>
    </cfRule>
  </conditionalFormatting>
  <conditionalFormatting sqref="L154">
    <cfRule type="cellIs" dxfId="245" priority="246" operator="equal">
      <formula>0</formula>
    </cfRule>
  </conditionalFormatting>
  <conditionalFormatting sqref="L133:L144">
    <cfRule type="cellIs" dxfId="244" priority="245" operator="equal">
      <formula>0</formula>
    </cfRule>
  </conditionalFormatting>
  <conditionalFormatting sqref="L133:L144">
    <cfRule type="containsBlanks" dxfId="243" priority="244">
      <formula>LEN(TRIM(L133))=0</formula>
    </cfRule>
  </conditionalFormatting>
  <conditionalFormatting sqref="K126:K132 K145:K153 K155">
    <cfRule type="cellIs" dxfId="242" priority="243" operator="equal">
      <formula>0</formula>
    </cfRule>
  </conditionalFormatting>
  <conditionalFormatting sqref="K126:K127">
    <cfRule type="cellIs" dxfId="241" priority="242" operator="equal">
      <formula>0</formula>
    </cfRule>
  </conditionalFormatting>
  <conditionalFormatting sqref="K126:K127">
    <cfRule type="cellIs" dxfId="240" priority="241" operator="equal">
      <formula>0</formula>
    </cfRule>
  </conditionalFormatting>
  <conditionalFormatting sqref="K154">
    <cfRule type="cellIs" dxfId="239" priority="240" operator="equal">
      <formula>0</formula>
    </cfRule>
  </conditionalFormatting>
  <conditionalFormatting sqref="K126:K131 K147:K155 K145">
    <cfRule type="containsBlanks" dxfId="238" priority="239">
      <formula>LEN(TRIM(K126))=0</formula>
    </cfRule>
  </conditionalFormatting>
  <conditionalFormatting sqref="K154">
    <cfRule type="cellIs" dxfId="237" priority="238" operator="equal">
      <formula>0</formula>
    </cfRule>
  </conditionalFormatting>
  <conditionalFormatting sqref="K133:K144">
    <cfRule type="cellIs" dxfId="236" priority="237" operator="equal">
      <formula>0</formula>
    </cfRule>
  </conditionalFormatting>
  <conditionalFormatting sqref="K133:K144">
    <cfRule type="containsBlanks" dxfId="235" priority="236">
      <formula>LEN(TRIM(K133))=0</formula>
    </cfRule>
  </conditionalFormatting>
  <conditionalFormatting sqref="M125">
    <cfRule type="cellIs" dxfId="234" priority="235" operator="equal">
      <formula>0</formula>
    </cfRule>
  </conditionalFormatting>
  <conditionalFormatting sqref="M125">
    <cfRule type="containsBlanks" dxfId="233" priority="234">
      <formula>LEN(TRIM(M125))=0</formula>
    </cfRule>
  </conditionalFormatting>
  <conditionalFormatting sqref="M126:M132 M145:M153 M155">
    <cfRule type="cellIs" dxfId="232" priority="233" operator="equal">
      <formula>0</formula>
    </cfRule>
  </conditionalFormatting>
  <conditionalFormatting sqref="M126:M127">
    <cfRule type="cellIs" dxfId="231" priority="232" operator="equal">
      <formula>0</formula>
    </cfRule>
  </conditionalFormatting>
  <conditionalFormatting sqref="M126:M127">
    <cfRule type="cellIs" dxfId="230" priority="231" operator="equal">
      <formula>0</formula>
    </cfRule>
  </conditionalFormatting>
  <conditionalFormatting sqref="M154">
    <cfRule type="cellIs" dxfId="229" priority="230" operator="equal">
      <formula>0</formula>
    </cfRule>
  </conditionalFormatting>
  <conditionalFormatting sqref="M126:M131 M147:M155 M145">
    <cfRule type="containsBlanks" dxfId="228" priority="229">
      <formula>LEN(TRIM(M126))=0</formula>
    </cfRule>
  </conditionalFormatting>
  <conditionalFormatting sqref="M154">
    <cfRule type="cellIs" dxfId="227" priority="228" operator="equal">
      <formula>0</formula>
    </cfRule>
  </conditionalFormatting>
  <conditionalFormatting sqref="M133:M144">
    <cfRule type="cellIs" dxfId="226" priority="227" operator="equal">
      <formula>0</formula>
    </cfRule>
  </conditionalFormatting>
  <conditionalFormatting sqref="M133:M144">
    <cfRule type="containsBlanks" dxfId="225" priority="226">
      <formula>LEN(TRIM(M133))=0</formula>
    </cfRule>
  </conditionalFormatting>
  <conditionalFormatting sqref="L162:L169 L182:L190 L192 K162">
    <cfRule type="cellIs" dxfId="224" priority="225" operator="equal">
      <formula>0</formula>
    </cfRule>
  </conditionalFormatting>
  <conditionalFormatting sqref="L163:L164">
    <cfRule type="cellIs" dxfId="223" priority="224" operator="equal">
      <formula>0</formula>
    </cfRule>
  </conditionalFormatting>
  <conditionalFormatting sqref="L191">
    <cfRule type="cellIs" dxfId="222" priority="223" operator="equal">
      <formula>0</formula>
    </cfRule>
  </conditionalFormatting>
  <conditionalFormatting sqref="L162:L168 L182 L184:L192 K162">
    <cfRule type="containsBlanks" dxfId="221" priority="222">
      <formula>LEN(TRIM(K162))=0</formula>
    </cfRule>
  </conditionalFormatting>
  <conditionalFormatting sqref="L191">
    <cfRule type="cellIs" dxfId="220" priority="221" operator="equal">
      <formula>0</formula>
    </cfRule>
  </conditionalFormatting>
  <conditionalFormatting sqref="L170:L181">
    <cfRule type="cellIs" dxfId="219" priority="220" operator="equal">
      <formula>0</formula>
    </cfRule>
  </conditionalFormatting>
  <conditionalFormatting sqref="L170:L181">
    <cfRule type="containsBlanks" dxfId="218" priority="219">
      <formula>LEN(TRIM(L170))=0</formula>
    </cfRule>
  </conditionalFormatting>
  <conditionalFormatting sqref="K163:K169 K182:K190 K192">
    <cfRule type="cellIs" dxfId="217" priority="218" operator="equal">
      <formula>0</formula>
    </cfRule>
  </conditionalFormatting>
  <conditionalFormatting sqref="K163:K164">
    <cfRule type="cellIs" dxfId="216" priority="217" operator="equal">
      <formula>0</formula>
    </cfRule>
  </conditionalFormatting>
  <conditionalFormatting sqref="K163:K164">
    <cfRule type="cellIs" dxfId="215" priority="216" operator="equal">
      <formula>0</formula>
    </cfRule>
  </conditionalFormatting>
  <conditionalFormatting sqref="K191">
    <cfRule type="cellIs" dxfId="214" priority="215" operator="equal">
      <formula>0</formula>
    </cfRule>
  </conditionalFormatting>
  <conditionalFormatting sqref="K163:K168 K184:K192 K182">
    <cfRule type="containsBlanks" dxfId="213" priority="214">
      <formula>LEN(TRIM(K163))=0</formula>
    </cfRule>
  </conditionalFormatting>
  <conditionalFormatting sqref="K191">
    <cfRule type="cellIs" dxfId="212" priority="213" operator="equal">
      <formula>0</formula>
    </cfRule>
  </conditionalFormatting>
  <conditionalFormatting sqref="K170:K181">
    <cfRule type="cellIs" dxfId="211" priority="212" operator="equal">
      <formula>0</formula>
    </cfRule>
  </conditionalFormatting>
  <conditionalFormatting sqref="K170:K181">
    <cfRule type="containsBlanks" dxfId="210" priority="211">
      <formula>LEN(TRIM(K170))=0</formula>
    </cfRule>
  </conditionalFormatting>
  <conditionalFormatting sqref="M162">
    <cfRule type="cellIs" dxfId="209" priority="210" operator="equal">
      <formula>0</formula>
    </cfRule>
  </conditionalFormatting>
  <conditionalFormatting sqref="M162">
    <cfRule type="containsBlanks" dxfId="208" priority="209">
      <formula>LEN(TRIM(M162))=0</formula>
    </cfRule>
  </conditionalFormatting>
  <conditionalFormatting sqref="M163:M169 M182:M190 M192">
    <cfRule type="cellIs" dxfId="207" priority="208" operator="equal">
      <formula>0</formula>
    </cfRule>
  </conditionalFormatting>
  <conditionalFormatting sqref="M163:M164">
    <cfRule type="cellIs" dxfId="206" priority="207" operator="equal">
      <formula>0</formula>
    </cfRule>
  </conditionalFormatting>
  <conditionalFormatting sqref="M163:M164">
    <cfRule type="cellIs" dxfId="205" priority="206" operator="equal">
      <formula>0</formula>
    </cfRule>
  </conditionalFormatting>
  <conditionalFormatting sqref="M191">
    <cfRule type="cellIs" dxfId="204" priority="205" operator="equal">
      <formula>0</formula>
    </cfRule>
  </conditionalFormatting>
  <conditionalFormatting sqref="M163:M168 M184:M192 M182">
    <cfRule type="containsBlanks" dxfId="203" priority="204">
      <formula>LEN(TRIM(M163))=0</formula>
    </cfRule>
  </conditionalFormatting>
  <conditionalFormatting sqref="M191">
    <cfRule type="cellIs" dxfId="202" priority="203" operator="equal">
      <formula>0</formula>
    </cfRule>
  </conditionalFormatting>
  <conditionalFormatting sqref="M170:M181">
    <cfRule type="cellIs" dxfId="201" priority="202" operator="equal">
      <formula>0</formula>
    </cfRule>
  </conditionalFormatting>
  <conditionalFormatting sqref="M170:M181">
    <cfRule type="containsBlanks" dxfId="200" priority="201">
      <formula>LEN(TRIM(M170))=0</formula>
    </cfRule>
  </conditionalFormatting>
  <conditionalFormatting sqref="L199:L206 L219:L227 L229 K199">
    <cfRule type="cellIs" dxfId="199" priority="200" operator="equal">
      <formula>0</formula>
    </cfRule>
  </conditionalFormatting>
  <conditionalFormatting sqref="L200:L201">
    <cfRule type="cellIs" dxfId="198" priority="199" operator="equal">
      <formula>0</formula>
    </cfRule>
  </conditionalFormatting>
  <conditionalFormatting sqref="L228">
    <cfRule type="cellIs" dxfId="197" priority="198" operator="equal">
      <formula>0</formula>
    </cfRule>
  </conditionalFormatting>
  <conditionalFormatting sqref="L199:L205 L219 L221:L229 K199">
    <cfRule type="containsBlanks" dxfId="196" priority="197">
      <formula>LEN(TRIM(K199))=0</formula>
    </cfRule>
  </conditionalFormatting>
  <conditionalFormatting sqref="L228">
    <cfRule type="cellIs" dxfId="195" priority="196" operator="equal">
      <formula>0</formula>
    </cfRule>
  </conditionalFormatting>
  <conditionalFormatting sqref="L207:L218">
    <cfRule type="cellIs" dxfId="194" priority="195" operator="equal">
      <formula>0</formula>
    </cfRule>
  </conditionalFormatting>
  <conditionalFormatting sqref="L207:L218">
    <cfRule type="containsBlanks" dxfId="193" priority="194">
      <formula>LEN(TRIM(L207))=0</formula>
    </cfRule>
  </conditionalFormatting>
  <conditionalFormatting sqref="K200:K206 K219:K227 K229">
    <cfRule type="cellIs" dxfId="192" priority="193" operator="equal">
      <formula>0</formula>
    </cfRule>
  </conditionalFormatting>
  <conditionalFormatting sqref="K200:K201">
    <cfRule type="cellIs" dxfId="191" priority="192" operator="equal">
      <formula>0</formula>
    </cfRule>
  </conditionalFormatting>
  <conditionalFormatting sqref="K200:K201">
    <cfRule type="cellIs" dxfId="190" priority="191" operator="equal">
      <formula>0</formula>
    </cfRule>
  </conditionalFormatting>
  <conditionalFormatting sqref="K228">
    <cfRule type="cellIs" dxfId="189" priority="190" operator="equal">
      <formula>0</formula>
    </cfRule>
  </conditionalFormatting>
  <conditionalFormatting sqref="K200:K205 K221:K229 K219">
    <cfRule type="containsBlanks" dxfId="188" priority="189">
      <formula>LEN(TRIM(K200))=0</formula>
    </cfRule>
  </conditionalFormatting>
  <conditionalFormatting sqref="K228">
    <cfRule type="cellIs" dxfId="187" priority="188" operator="equal">
      <formula>0</formula>
    </cfRule>
  </conditionalFormatting>
  <conditionalFormatting sqref="K207:K218">
    <cfRule type="cellIs" dxfId="186" priority="187" operator="equal">
      <formula>0</formula>
    </cfRule>
  </conditionalFormatting>
  <conditionalFormatting sqref="K207:K218">
    <cfRule type="containsBlanks" dxfId="185" priority="186">
      <formula>LEN(TRIM(K207))=0</formula>
    </cfRule>
  </conditionalFormatting>
  <conditionalFormatting sqref="M199">
    <cfRule type="cellIs" dxfId="184" priority="185" operator="equal">
      <formula>0</formula>
    </cfRule>
  </conditionalFormatting>
  <conditionalFormatting sqref="M199">
    <cfRule type="containsBlanks" dxfId="183" priority="184">
      <formula>LEN(TRIM(M199))=0</formula>
    </cfRule>
  </conditionalFormatting>
  <conditionalFormatting sqref="M200:M206 M219:M227 M229">
    <cfRule type="cellIs" dxfId="182" priority="183" operator="equal">
      <formula>0</formula>
    </cfRule>
  </conditionalFormatting>
  <conditionalFormatting sqref="M200:M201">
    <cfRule type="cellIs" dxfId="181" priority="182" operator="equal">
      <formula>0</formula>
    </cfRule>
  </conditionalFormatting>
  <conditionalFormatting sqref="M200:M201">
    <cfRule type="cellIs" dxfId="180" priority="181" operator="equal">
      <formula>0</formula>
    </cfRule>
  </conditionalFormatting>
  <conditionalFormatting sqref="M228">
    <cfRule type="cellIs" dxfId="179" priority="180" operator="equal">
      <formula>0</formula>
    </cfRule>
  </conditionalFormatting>
  <conditionalFormatting sqref="M200:M205 M221:M229 M219">
    <cfRule type="containsBlanks" dxfId="178" priority="179">
      <formula>LEN(TRIM(M200))=0</formula>
    </cfRule>
  </conditionalFormatting>
  <conditionalFormatting sqref="M228">
    <cfRule type="cellIs" dxfId="177" priority="178" operator="equal">
      <formula>0</formula>
    </cfRule>
  </conditionalFormatting>
  <conditionalFormatting sqref="M207:M218">
    <cfRule type="cellIs" dxfId="176" priority="177" operator="equal">
      <formula>0</formula>
    </cfRule>
  </conditionalFormatting>
  <conditionalFormatting sqref="M207:M218">
    <cfRule type="containsBlanks" dxfId="175" priority="176">
      <formula>LEN(TRIM(M207))=0</formula>
    </cfRule>
  </conditionalFormatting>
  <conditionalFormatting sqref="L236:L243 L256:L264 L266 K236">
    <cfRule type="cellIs" dxfId="174" priority="175" operator="equal">
      <formula>0</formula>
    </cfRule>
  </conditionalFormatting>
  <conditionalFormatting sqref="L237:L238">
    <cfRule type="cellIs" dxfId="173" priority="174" operator="equal">
      <formula>0</formula>
    </cfRule>
  </conditionalFormatting>
  <conditionalFormatting sqref="L265">
    <cfRule type="cellIs" dxfId="172" priority="173" operator="equal">
      <formula>0</formula>
    </cfRule>
  </conditionalFormatting>
  <conditionalFormatting sqref="L236:L242 L256 L258:L266 K236">
    <cfRule type="containsBlanks" dxfId="171" priority="172">
      <formula>LEN(TRIM(K236))=0</formula>
    </cfRule>
  </conditionalFormatting>
  <conditionalFormatting sqref="L265">
    <cfRule type="cellIs" dxfId="170" priority="171" operator="equal">
      <formula>0</formula>
    </cfRule>
  </conditionalFormatting>
  <conditionalFormatting sqref="L244:L255">
    <cfRule type="cellIs" dxfId="169" priority="170" operator="equal">
      <formula>0</formula>
    </cfRule>
  </conditionalFormatting>
  <conditionalFormatting sqref="L244:L255">
    <cfRule type="containsBlanks" dxfId="168" priority="169">
      <formula>LEN(TRIM(L244))=0</formula>
    </cfRule>
  </conditionalFormatting>
  <conditionalFormatting sqref="K237:K243 K256:K264 K266">
    <cfRule type="cellIs" dxfId="167" priority="168" operator="equal">
      <formula>0</formula>
    </cfRule>
  </conditionalFormatting>
  <conditionalFormatting sqref="K237:K238">
    <cfRule type="cellIs" dxfId="166" priority="167" operator="equal">
      <formula>0</formula>
    </cfRule>
  </conditionalFormatting>
  <conditionalFormatting sqref="K237:K238">
    <cfRule type="cellIs" dxfId="165" priority="166" operator="equal">
      <formula>0</formula>
    </cfRule>
  </conditionalFormatting>
  <conditionalFormatting sqref="K265">
    <cfRule type="cellIs" dxfId="164" priority="165" operator="equal">
      <formula>0</formula>
    </cfRule>
  </conditionalFormatting>
  <conditionalFormatting sqref="K237:K242 K258:K266 K256">
    <cfRule type="containsBlanks" dxfId="163" priority="164">
      <formula>LEN(TRIM(K237))=0</formula>
    </cfRule>
  </conditionalFormatting>
  <conditionalFormatting sqref="K265">
    <cfRule type="cellIs" dxfId="162" priority="163" operator="equal">
      <formula>0</formula>
    </cfRule>
  </conditionalFormatting>
  <conditionalFormatting sqref="K244:K255">
    <cfRule type="cellIs" dxfId="161" priority="162" operator="equal">
      <formula>0</formula>
    </cfRule>
  </conditionalFormatting>
  <conditionalFormatting sqref="K244:K255">
    <cfRule type="containsBlanks" dxfId="160" priority="161">
      <formula>LEN(TRIM(K244))=0</formula>
    </cfRule>
  </conditionalFormatting>
  <conditionalFormatting sqref="M236">
    <cfRule type="cellIs" dxfId="159" priority="160" operator="equal">
      <formula>0</formula>
    </cfRule>
  </conditionalFormatting>
  <conditionalFormatting sqref="M236">
    <cfRule type="containsBlanks" dxfId="158" priority="159">
      <formula>LEN(TRIM(M236))=0</formula>
    </cfRule>
  </conditionalFormatting>
  <conditionalFormatting sqref="M237:M243 M256:M264 M266">
    <cfRule type="cellIs" dxfId="157" priority="158" operator="equal">
      <formula>0</formula>
    </cfRule>
  </conditionalFormatting>
  <conditionalFormatting sqref="M237:M238">
    <cfRule type="cellIs" dxfId="156" priority="157" operator="equal">
      <formula>0</formula>
    </cfRule>
  </conditionalFormatting>
  <conditionalFormatting sqref="M237:M238">
    <cfRule type="cellIs" dxfId="155" priority="156" operator="equal">
      <formula>0</formula>
    </cfRule>
  </conditionalFormatting>
  <conditionalFormatting sqref="M265">
    <cfRule type="cellIs" dxfId="154" priority="155" operator="equal">
      <formula>0</formula>
    </cfRule>
  </conditionalFormatting>
  <conditionalFormatting sqref="M237:M242 M258:M266 M256">
    <cfRule type="containsBlanks" dxfId="153" priority="154">
      <formula>LEN(TRIM(M237))=0</formula>
    </cfRule>
  </conditionalFormatting>
  <conditionalFormatting sqref="M265">
    <cfRule type="cellIs" dxfId="152" priority="153" operator="equal">
      <formula>0</formula>
    </cfRule>
  </conditionalFormatting>
  <conditionalFormatting sqref="M244:M255">
    <cfRule type="cellIs" dxfId="151" priority="152" operator="equal">
      <formula>0</formula>
    </cfRule>
  </conditionalFormatting>
  <conditionalFormatting sqref="M244:M255">
    <cfRule type="containsBlanks" dxfId="150" priority="151">
      <formula>LEN(TRIM(M244))=0</formula>
    </cfRule>
  </conditionalFormatting>
  <conditionalFormatting sqref="L273:L280 L293:L301 L303 K273">
    <cfRule type="cellIs" dxfId="149" priority="150" operator="equal">
      <formula>0</formula>
    </cfRule>
  </conditionalFormatting>
  <conditionalFormatting sqref="L274:L275">
    <cfRule type="cellIs" dxfId="148" priority="149" operator="equal">
      <formula>0</formula>
    </cfRule>
  </conditionalFormatting>
  <conditionalFormatting sqref="L302">
    <cfRule type="cellIs" dxfId="147" priority="148" operator="equal">
      <formula>0</formula>
    </cfRule>
  </conditionalFormatting>
  <conditionalFormatting sqref="L273:L279 L293 L295:L303 K273">
    <cfRule type="containsBlanks" dxfId="146" priority="147">
      <formula>LEN(TRIM(K273))=0</formula>
    </cfRule>
  </conditionalFormatting>
  <conditionalFormatting sqref="L302">
    <cfRule type="cellIs" dxfId="145" priority="146" operator="equal">
      <formula>0</formula>
    </cfRule>
  </conditionalFormatting>
  <conditionalFormatting sqref="L281:L292">
    <cfRule type="cellIs" dxfId="144" priority="145" operator="equal">
      <formula>0</formula>
    </cfRule>
  </conditionalFormatting>
  <conditionalFormatting sqref="L281:L292">
    <cfRule type="containsBlanks" dxfId="143" priority="144">
      <formula>LEN(TRIM(L281))=0</formula>
    </cfRule>
  </conditionalFormatting>
  <conditionalFormatting sqref="K274:K280 K293:K301 K303">
    <cfRule type="cellIs" dxfId="142" priority="143" operator="equal">
      <formula>0</formula>
    </cfRule>
  </conditionalFormatting>
  <conditionalFormatting sqref="K274:K275">
    <cfRule type="cellIs" dxfId="141" priority="142" operator="equal">
      <formula>0</formula>
    </cfRule>
  </conditionalFormatting>
  <conditionalFormatting sqref="K274:K275">
    <cfRule type="cellIs" dxfId="140" priority="141" operator="equal">
      <formula>0</formula>
    </cfRule>
  </conditionalFormatting>
  <conditionalFormatting sqref="K302">
    <cfRule type="cellIs" dxfId="139" priority="140" operator="equal">
      <formula>0</formula>
    </cfRule>
  </conditionalFormatting>
  <conditionalFormatting sqref="K274:K279 K295:K303 K293">
    <cfRule type="containsBlanks" dxfId="138" priority="139">
      <formula>LEN(TRIM(K274))=0</formula>
    </cfRule>
  </conditionalFormatting>
  <conditionalFormatting sqref="K302">
    <cfRule type="cellIs" dxfId="137" priority="138" operator="equal">
      <formula>0</formula>
    </cfRule>
  </conditionalFormatting>
  <conditionalFormatting sqref="K281:K292">
    <cfRule type="cellIs" dxfId="136" priority="137" operator="equal">
      <formula>0</formula>
    </cfRule>
  </conditionalFormatting>
  <conditionalFormatting sqref="K281:K292">
    <cfRule type="containsBlanks" dxfId="135" priority="136">
      <formula>LEN(TRIM(K281))=0</formula>
    </cfRule>
  </conditionalFormatting>
  <conditionalFormatting sqref="M273">
    <cfRule type="cellIs" dxfId="134" priority="135" operator="equal">
      <formula>0</formula>
    </cfRule>
  </conditionalFormatting>
  <conditionalFormatting sqref="M273">
    <cfRule type="containsBlanks" dxfId="133" priority="134">
      <formula>LEN(TRIM(M273))=0</formula>
    </cfRule>
  </conditionalFormatting>
  <conditionalFormatting sqref="M274:M280 M293:M301 M303">
    <cfRule type="cellIs" dxfId="132" priority="133" operator="equal">
      <formula>0</formula>
    </cfRule>
  </conditionalFormatting>
  <conditionalFormatting sqref="M274:M275">
    <cfRule type="cellIs" dxfId="131" priority="132" operator="equal">
      <formula>0</formula>
    </cfRule>
  </conditionalFormatting>
  <conditionalFormatting sqref="M274:M275">
    <cfRule type="cellIs" dxfId="130" priority="131" operator="equal">
      <formula>0</formula>
    </cfRule>
  </conditionalFormatting>
  <conditionalFormatting sqref="M302">
    <cfRule type="cellIs" dxfId="129" priority="130" operator="equal">
      <formula>0</formula>
    </cfRule>
  </conditionalFormatting>
  <conditionalFormatting sqref="M274:M279 M295:M303 M293">
    <cfRule type="containsBlanks" dxfId="128" priority="129">
      <formula>LEN(TRIM(M274))=0</formula>
    </cfRule>
  </conditionalFormatting>
  <conditionalFormatting sqref="M302">
    <cfRule type="cellIs" dxfId="127" priority="128" operator="equal">
      <formula>0</formula>
    </cfRule>
  </conditionalFormatting>
  <conditionalFormatting sqref="M281:M292">
    <cfRule type="cellIs" dxfId="126" priority="127" operator="equal">
      <formula>0</formula>
    </cfRule>
  </conditionalFormatting>
  <conditionalFormatting sqref="M281:M292">
    <cfRule type="containsBlanks" dxfId="125" priority="126">
      <formula>LEN(TRIM(M281))=0</formula>
    </cfRule>
  </conditionalFormatting>
  <conditionalFormatting sqref="L310:L317 L330:L338 L340 K310">
    <cfRule type="cellIs" dxfId="124" priority="125" operator="equal">
      <formula>0</formula>
    </cfRule>
  </conditionalFormatting>
  <conditionalFormatting sqref="L311:L312">
    <cfRule type="cellIs" dxfId="123" priority="124" operator="equal">
      <formula>0</formula>
    </cfRule>
  </conditionalFormatting>
  <conditionalFormatting sqref="L339">
    <cfRule type="cellIs" dxfId="122" priority="123" operator="equal">
      <formula>0</formula>
    </cfRule>
  </conditionalFormatting>
  <conditionalFormatting sqref="L310:L316 L330 L332:L340 K310">
    <cfRule type="containsBlanks" dxfId="121" priority="122">
      <formula>LEN(TRIM(K310))=0</formula>
    </cfRule>
  </conditionalFormatting>
  <conditionalFormatting sqref="L339">
    <cfRule type="cellIs" dxfId="120" priority="121" operator="equal">
      <formula>0</formula>
    </cfRule>
  </conditionalFormatting>
  <conditionalFormatting sqref="L318:L329">
    <cfRule type="cellIs" dxfId="119" priority="120" operator="equal">
      <formula>0</formula>
    </cfRule>
  </conditionalFormatting>
  <conditionalFormatting sqref="L318:L329">
    <cfRule type="containsBlanks" dxfId="118" priority="119">
      <formula>LEN(TRIM(L318))=0</formula>
    </cfRule>
  </conditionalFormatting>
  <conditionalFormatting sqref="K311:K317 K330:K338 K340">
    <cfRule type="cellIs" dxfId="117" priority="118" operator="equal">
      <formula>0</formula>
    </cfRule>
  </conditionalFormatting>
  <conditionalFormatting sqref="K311:K312">
    <cfRule type="cellIs" dxfId="116" priority="117" operator="equal">
      <formula>0</formula>
    </cfRule>
  </conditionalFormatting>
  <conditionalFormatting sqref="K311:K312">
    <cfRule type="cellIs" dxfId="115" priority="116" operator="equal">
      <formula>0</formula>
    </cfRule>
  </conditionalFormatting>
  <conditionalFormatting sqref="K339">
    <cfRule type="cellIs" dxfId="114" priority="115" operator="equal">
      <formula>0</formula>
    </cfRule>
  </conditionalFormatting>
  <conditionalFormatting sqref="K311:K316 K332:K340 K330">
    <cfRule type="containsBlanks" dxfId="113" priority="114">
      <formula>LEN(TRIM(K311))=0</formula>
    </cfRule>
  </conditionalFormatting>
  <conditionalFormatting sqref="K339">
    <cfRule type="cellIs" dxfId="112" priority="113" operator="equal">
      <formula>0</formula>
    </cfRule>
  </conditionalFormatting>
  <conditionalFormatting sqref="K318:K329">
    <cfRule type="cellIs" dxfId="111" priority="112" operator="equal">
      <formula>0</formula>
    </cfRule>
  </conditionalFormatting>
  <conditionalFormatting sqref="K318:K329">
    <cfRule type="containsBlanks" dxfId="110" priority="111">
      <formula>LEN(TRIM(K318))=0</formula>
    </cfRule>
  </conditionalFormatting>
  <conditionalFormatting sqref="M310">
    <cfRule type="cellIs" dxfId="109" priority="110" operator="equal">
      <formula>0</formula>
    </cfRule>
  </conditionalFormatting>
  <conditionalFormatting sqref="M310">
    <cfRule type="containsBlanks" dxfId="108" priority="109">
      <formula>LEN(TRIM(M310))=0</formula>
    </cfRule>
  </conditionalFormatting>
  <conditionalFormatting sqref="M311:M317 M330:M338 M340">
    <cfRule type="cellIs" dxfId="107" priority="108" operator="equal">
      <formula>0</formula>
    </cfRule>
  </conditionalFormatting>
  <conditionalFormatting sqref="M311:M312">
    <cfRule type="cellIs" dxfId="106" priority="107" operator="equal">
      <formula>0</formula>
    </cfRule>
  </conditionalFormatting>
  <conditionalFormatting sqref="M311:M312">
    <cfRule type="cellIs" dxfId="105" priority="106" operator="equal">
      <formula>0</formula>
    </cfRule>
  </conditionalFormatting>
  <conditionalFormatting sqref="M339">
    <cfRule type="cellIs" dxfId="104" priority="105" operator="equal">
      <formula>0</formula>
    </cfRule>
  </conditionalFormatting>
  <conditionalFormatting sqref="M311:M316 M332:M340 M330">
    <cfRule type="containsBlanks" dxfId="103" priority="104">
      <formula>LEN(TRIM(M311))=0</formula>
    </cfRule>
  </conditionalFormatting>
  <conditionalFormatting sqref="M339">
    <cfRule type="cellIs" dxfId="102" priority="103" operator="equal">
      <formula>0</formula>
    </cfRule>
  </conditionalFormatting>
  <conditionalFormatting sqref="M318:M329">
    <cfRule type="cellIs" dxfId="101" priority="102" operator="equal">
      <formula>0</formula>
    </cfRule>
  </conditionalFormatting>
  <conditionalFormatting sqref="M318:M329">
    <cfRule type="containsBlanks" dxfId="100" priority="101">
      <formula>LEN(TRIM(M318))=0</formula>
    </cfRule>
  </conditionalFormatting>
  <conditionalFormatting sqref="L347:L354 L367:L375 L377 K347">
    <cfRule type="cellIs" dxfId="99" priority="100" operator="equal">
      <formula>0</formula>
    </cfRule>
  </conditionalFormatting>
  <conditionalFormatting sqref="L348:L349">
    <cfRule type="cellIs" dxfId="98" priority="99" operator="equal">
      <formula>0</formula>
    </cfRule>
  </conditionalFormatting>
  <conditionalFormatting sqref="L376">
    <cfRule type="cellIs" dxfId="97" priority="98" operator="equal">
      <formula>0</formula>
    </cfRule>
  </conditionalFormatting>
  <conditionalFormatting sqref="L347:L353 L367 L369:L377 K347">
    <cfRule type="containsBlanks" dxfId="96" priority="97">
      <formula>LEN(TRIM(K347))=0</formula>
    </cfRule>
  </conditionalFormatting>
  <conditionalFormatting sqref="L376">
    <cfRule type="cellIs" dxfId="95" priority="96" operator="equal">
      <formula>0</formula>
    </cfRule>
  </conditionalFormatting>
  <conditionalFormatting sqref="L355:L366">
    <cfRule type="cellIs" dxfId="94" priority="95" operator="equal">
      <formula>0</formula>
    </cfRule>
  </conditionalFormatting>
  <conditionalFormatting sqref="L355:L366">
    <cfRule type="containsBlanks" dxfId="93" priority="94">
      <formula>LEN(TRIM(L355))=0</formula>
    </cfRule>
  </conditionalFormatting>
  <conditionalFormatting sqref="K348:K354 K367:K375 K377">
    <cfRule type="cellIs" dxfId="92" priority="93" operator="equal">
      <formula>0</formula>
    </cfRule>
  </conditionalFormatting>
  <conditionalFormatting sqref="K348:K349">
    <cfRule type="cellIs" dxfId="91" priority="92" operator="equal">
      <formula>0</formula>
    </cfRule>
  </conditionalFormatting>
  <conditionalFormatting sqref="K348:K349">
    <cfRule type="cellIs" dxfId="90" priority="91" operator="equal">
      <formula>0</formula>
    </cfRule>
  </conditionalFormatting>
  <conditionalFormatting sqref="K376">
    <cfRule type="cellIs" dxfId="89" priority="90" operator="equal">
      <formula>0</formula>
    </cfRule>
  </conditionalFormatting>
  <conditionalFormatting sqref="K348:K353 K369:K377 K367">
    <cfRule type="containsBlanks" dxfId="88" priority="89">
      <formula>LEN(TRIM(K348))=0</formula>
    </cfRule>
  </conditionalFormatting>
  <conditionalFormatting sqref="K376">
    <cfRule type="cellIs" dxfId="87" priority="88" operator="equal">
      <formula>0</formula>
    </cfRule>
  </conditionalFormatting>
  <conditionalFormatting sqref="K355:K366">
    <cfRule type="cellIs" dxfId="86" priority="87" operator="equal">
      <formula>0</formula>
    </cfRule>
  </conditionalFormatting>
  <conditionalFormatting sqref="K355:K366">
    <cfRule type="containsBlanks" dxfId="85" priority="86">
      <formula>LEN(TRIM(K355))=0</formula>
    </cfRule>
  </conditionalFormatting>
  <conditionalFormatting sqref="M347">
    <cfRule type="cellIs" dxfId="84" priority="85" operator="equal">
      <formula>0</formula>
    </cfRule>
  </conditionalFormatting>
  <conditionalFormatting sqref="M347">
    <cfRule type="containsBlanks" dxfId="83" priority="84">
      <formula>LEN(TRIM(M347))=0</formula>
    </cfRule>
  </conditionalFormatting>
  <conditionalFormatting sqref="M348:M354 M367:M375 M377">
    <cfRule type="cellIs" dxfId="82" priority="83" operator="equal">
      <formula>0</formula>
    </cfRule>
  </conditionalFormatting>
  <conditionalFormatting sqref="M348:M349">
    <cfRule type="cellIs" dxfId="81" priority="82" operator="equal">
      <formula>0</formula>
    </cfRule>
  </conditionalFormatting>
  <conditionalFormatting sqref="M348:M349">
    <cfRule type="cellIs" dxfId="80" priority="81" operator="equal">
      <formula>0</formula>
    </cfRule>
  </conditionalFormatting>
  <conditionalFormatting sqref="M376">
    <cfRule type="cellIs" dxfId="79" priority="80" operator="equal">
      <formula>0</formula>
    </cfRule>
  </conditionalFormatting>
  <conditionalFormatting sqref="M348:M353 M369:M377 M367">
    <cfRule type="containsBlanks" dxfId="78" priority="79">
      <formula>LEN(TRIM(M348))=0</formula>
    </cfRule>
  </conditionalFormatting>
  <conditionalFormatting sqref="M376">
    <cfRule type="cellIs" dxfId="77" priority="78" operator="equal">
      <formula>0</formula>
    </cfRule>
  </conditionalFormatting>
  <conditionalFormatting sqref="M355:M366">
    <cfRule type="cellIs" dxfId="76" priority="77" operator="equal">
      <formula>0</formula>
    </cfRule>
  </conditionalFormatting>
  <conditionalFormatting sqref="M355:M366">
    <cfRule type="containsBlanks" dxfId="75" priority="76">
      <formula>LEN(TRIM(M355))=0</formula>
    </cfRule>
  </conditionalFormatting>
  <conditionalFormatting sqref="L384:L391 L404:L412 L414 K384">
    <cfRule type="cellIs" dxfId="74" priority="75" operator="equal">
      <formula>0</formula>
    </cfRule>
  </conditionalFormatting>
  <conditionalFormatting sqref="L385:L386">
    <cfRule type="cellIs" dxfId="73" priority="74" operator="equal">
      <formula>0</formula>
    </cfRule>
  </conditionalFormatting>
  <conditionalFormatting sqref="L413">
    <cfRule type="cellIs" dxfId="72" priority="73" operator="equal">
      <formula>0</formula>
    </cfRule>
  </conditionalFormatting>
  <conditionalFormatting sqref="L384:L390 L404 L406:L414 K384">
    <cfRule type="containsBlanks" dxfId="71" priority="72">
      <formula>LEN(TRIM(K384))=0</formula>
    </cfRule>
  </conditionalFormatting>
  <conditionalFormatting sqref="L413">
    <cfRule type="cellIs" dxfId="70" priority="71" operator="equal">
      <formula>0</formula>
    </cfRule>
  </conditionalFormatting>
  <conditionalFormatting sqref="L392:L403">
    <cfRule type="cellIs" dxfId="69" priority="70" operator="equal">
      <formula>0</formula>
    </cfRule>
  </conditionalFormatting>
  <conditionalFormatting sqref="L392:L403">
    <cfRule type="containsBlanks" dxfId="68" priority="69">
      <formula>LEN(TRIM(L392))=0</formula>
    </cfRule>
  </conditionalFormatting>
  <conditionalFormatting sqref="K385:K391 K404:K412 K414">
    <cfRule type="cellIs" dxfId="67" priority="68" operator="equal">
      <formula>0</formula>
    </cfRule>
  </conditionalFormatting>
  <conditionalFormatting sqref="K385:K386">
    <cfRule type="cellIs" dxfId="66" priority="67" operator="equal">
      <formula>0</formula>
    </cfRule>
  </conditionalFormatting>
  <conditionalFormatting sqref="K385:K386">
    <cfRule type="cellIs" dxfId="65" priority="66" operator="equal">
      <formula>0</formula>
    </cfRule>
  </conditionalFormatting>
  <conditionalFormatting sqref="K413">
    <cfRule type="cellIs" dxfId="64" priority="65" operator="equal">
      <formula>0</formula>
    </cfRule>
  </conditionalFormatting>
  <conditionalFormatting sqref="K385:K390 K406:K414 K404">
    <cfRule type="containsBlanks" dxfId="63" priority="64">
      <formula>LEN(TRIM(K385))=0</formula>
    </cfRule>
  </conditionalFormatting>
  <conditionalFormatting sqref="K413">
    <cfRule type="cellIs" dxfId="62" priority="63" operator="equal">
      <formula>0</formula>
    </cfRule>
  </conditionalFormatting>
  <conditionalFormatting sqref="K392:K403">
    <cfRule type="cellIs" dxfId="61" priority="62" operator="equal">
      <formula>0</formula>
    </cfRule>
  </conditionalFormatting>
  <conditionalFormatting sqref="K392:K403">
    <cfRule type="containsBlanks" dxfId="60" priority="61">
      <formula>LEN(TRIM(K392))=0</formula>
    </cfRule>
  </conditionalFormatting>
  <conditionalFormatting sqref="M384">
    <cfRule type="cellIs" dxfId="59" priority="60" operator="equal">
      <formula>0</formula>
    </cfRule>
  </conditionalFormatting>
  <conditionalFormatting sqref="M384">
    <cfRule type="containsBlanks" dxfId="58" priority="59">
      <formula>LEN(TRIM(M384))=0</formula>
    </cfRule>
  </conditionalFormatting>
  <conditionalFormatting sqref="M385:M391 M404:M412 M414">
    <cfRule type="cellIs" dxfId="57" priority="58" operator="equal">
      <formula>0</formula>
    </cfRule>
  </conditionalFormatting>
  <conditionalFormatting sqref="M385:M386">
    <cfRule type="cellIs" dxfId="56" priority="57" operator="equal">
      <formula>0</formula>
    </cfRule>
  </conditionalFormatting>
  <conditionalFormatting sqref="M385:M386">
    <cfRule type="cellIs" dxfId="55" priority="56" operator="equal">
      <formula>0</formula>
    </cfRule>
  </conditionalFormatting>
  <conditionalFormatting sqref="M413">
    <cfRule type="cellIs" dxfId="54" priority="55" operator="equal">
      <formula>0</formula>
    </cfRule>
  </conditionalFormatting>
  <conditionalFormatting sqref="M385:M390 M406:M414 M404">
    <cfRule type="containsBlanks" dxfId="53" priority="54">
      <formula>LEN(TRIM(M385))=0</formula>
    </cfRule>
  </conditionalFormatting>
  <conditionalFormatting sqref="M413">
    <cfRule type="cellIs" dxfId="52" priority="53" operator="equal">
      <formula>0</formula>
    </cfRule>
  </conditionalFormatting>
  <conditionalFormatting sqref="M392:M403">
    <cfRule type="cellIs" dxfId="51" priority="52" operator="equal">
      <formula>0</formula>
    </cfRule>
  </conditionalFormatting>
  <conditionalFormatting sqref="M392:M403">
    <cfRule type="containsBlanks" dxfId="50" priority="51">
      <formula>LEN(TRIM(M392))=0</formula>
    </cfRule>
  </conditionalFormatting>
  <conditionalFormatting sqref="L421:L428 L441:L449 L451 K421">
    <cfRule type="cellIs" dxfId="49" priority="50" operator="equal">
      <formula>0</formula>
    </cfRule>
  </conditionalFormatting>
  <conditionalFormatting sqref="L422:L423">
    <cfRule type="cellIs" dxfId="48" priority="49" operator="equal">
      <formula>0</formula>
    </cfRule>
  </conditionalFormatting>
  <conditionalFormatting sqref="L450">
    <cfRule type="cellIs" dxfId="47" priority="48" operator="equal">
      <formula>0</formula>
    </cfRule>
  </conditionalFormatting>
  <conditionalFormatting sqref="L421:L427 L441 L443:L451 K421">
    <cfRule type="containsBlanks" dxfId="46" priority="47">
      <formula>LEN(TRIM(K421))=0</formula>
    </cfRule>
  </conditionalFormatting>
  <conditionalFormatting sqref="L450">
    <cfRule type="cellIs" dxfId="45" priority="46" operator="equal">
      <formula>0</formula>
    </cfRule>
  </conditionalFormatting>
  <conditionalFormatting sqref="L429:L440">
    <cfRule type="cellIs" dxfId="44" priority="45" operator="equal">
      <formula>0</formula>
    </cfRule>
  </conditionalFormatting>
  <conditionalFormatting sqref="L429:L440">
    <cfRule type="containsBlanks" dxfId="43" priority="44">
      <formula>LEN(TRIM(L429))=0</formula>
    </cfRule>
  </conditionalFormatting>
  <conditionalFormatting sqref="K422:K428 K441:K449 K451">
    <cfRule type="cellIs" dxfId="42" priority="43" operator="equal">
      <formula>0</formula>
    </cfRule>
  </conditionalFormatting>
  <conditionalFormatting sqref="K422:K423">
    <cfRule type="cellIs" dxfId="41" priority="42" operator="equal">
      <formula>0</formula>
    </cfRule>
  </conditionalFormatting>
  <conditionalFormatting sqref="K422:K423">
    <cfRule type="cellIs" dxfId="40" priority="41" operator="equal">
      <formula>0</formula>
    </cfRule>
  </conditionalFormatting>
  <conditionalFormatting sqref="K450">
    <cfRule type="cellIs" dxfId="39" priority="40" operator="equal">
      <formula>0</formula>
    </cfRule>
  </conditionalFormatting>
  <conditionalFormatting sqref="K422:K427 K443:K451 K441">
    <cfRule type="containsBlanks" dxfId="38" priority="39">
      <formula>LEN(TRIM(K422))=0</formula>
    </cfRule>
  </conditionalFormatting>
  <conditionalFormatting sqref="K450">
    <cfRule type="cellIs" dxfId="37" priority="38" operator="equal">
      <formula>0</formula>
    </cfRule>
  </conditionalFormatting>
  <conditionalFormatting sqref="K429:K440">
    <cfRule type="cellIs" dxfId="36" priority="37" operator="equal">
      <formula>0</formula>
    </cfRule>
  </conditionalFormatting>
  <conditionalFormatting sqref="K429:K440">
    <cfRule type="containsBlanks" dxfId="35" priority="36">
      <formula>LEN(TRIM(K429))=0</formula>
    </cfRule>
  </conditionalFormatting>
  <conditionalFormatting sqref="M421">
    <cfRule type="cellIs" dxfId="34" priority="35" operator="equal">
      <formula>0</formula>
    </cfRule>
  </conditionalFormatting>
  <conditionalFormatting sqref="M421">
    <cfRule type="containsBlanks" dxfId="33" priority="34">
      <formula>LEN(TRIM(M421))=0</formula>
    </cfRule>
  </conditionalFormatting>
  <conditionalFormatting sqref="M422:M428 M441:M449 M451">
    <cfRule type="cellIs" dxfId="32" priority="33" operator="equal">
      <formula>0</formula>
    </cfRule>
  </conditionalFormatting>
  <conditionalFormatting sqref="M422:M423">
    <cfRule type="cellIs" dxfId="31" priority="32" operator="equal">
      <formula>0</formula>
    </cfRule>
  </conditionalFormatting>
  <conditionalFormatting sqref="M422:M423">
    <cfRule type="cellIs" dxfId="30" priority="31" operator="equal">
      <formula>0</formula>
    </cfRule>
  </conditionalFormatting>
  <conditionalFormatting sqref="M450">
    <cfRule type="cellIs" dxfId="29" priority="30" operator="equal">
      <formula>0</formula>
    </cfRule>
  </conditionalFormatting>
  <conditionalFormatting sqref="M422:M427 M443:M451 M441">
    <cfRule type="containsBlanks" dxfId="28" priority="29">
      <formula>LEN(TRIM(M422))=0</formula>
    </cfRule>
  </conditionalFormatting>
  <conditionalFormatting sqref="M450">
    <cfRule type="cellIs" dxfId="27" priority="28" operator="equal">
      <formula>0</formula>
    </cfRule>
  </conditionalFormatting>
  <conditionalFormatting sqref="M429:M440">
    <cfRule type="cellIs" dxfId="26" priority="27" operator="equal">
      <formula>0</formula>
    </cfRule>
  </conditionalFormatting>
  <conditionalFormatting sqref="M429:M440">
    <cfRule type="containsBlanks" dxfId="25" priority="26">
      <formula>LEN(TRIM(M429))=0</formula>
    </cfRule>
  </conditionalFormatting>
  <conditionalFormatting sqref="L458:L465 L478:L486 L488 K458">
    <cfRule type="cellIs" dxfId="24" priority="25" operator="equal">
      <formula>0</formula>
    </cfRule>
  </conditionalFormatting>
  <conditionalFormatting sqref="L459:L460">
    <cfRule type="cellIs" dxfId="23" priority="24" operator="equal">
      <formula>0</formula>
    </cfRule>
  </conditionalFormatting>
  <conditionalFormatting sqref="L487">
    <cfRule type="cellIs" dxfId="22" priority="23" operator="equal">
      <formula>0</formula>
    </cfRule>
  </conditionalFormatting>
  <conditionalFormatting sqref="L458:L464 L478 L480:L488 K458">
    <cfRule type="containsBlanks" dxfId="21" priority="22">
      <formula>LEN(TRIM(K458))=0</formula>
    </cfRule>
  </conditionalFormatting>
  <conditionalFormatting sqref="L487">
    <cfRule type="cellIs" dxfId="20" priority="21" operator="equal">
      <formula>0</formula>
    </cfRule>
  </conditionalFormatting>
  <conditionalFormatting sqref="L466:L477">
    <cfRule type="cellIs" dxfId="19" priority="20" operator="equal">
      <formula>0</formula>
    </cfRule>
  </conditionalFormatting>
  <conditionalFormatting sqref="L466:L477">
    <cfRule type="containsBlanks" dxfId="18" priority="19">
      <formula>LEN(TRIM(L466))=0</formula>
    </cfRule>
  </conditionalFormatting>
  <conditionalFormatting sqref="K459:K465 K478:K486 K488">
    <cfRule type="cellIs" dxfId="17" priority="18" operator="equal">
      <formula>0</formula>
    </cfRule>
  </conditionalFormatting>
  <conditionalFormatting sqref="K459:K460">
    <cfRule type="cellIs" dxfId="16" priority="17" operator="equal">
      <formula>0</formula>
    </cfRule>
  </conditionalFormatting>
  <conditionalFormatting sqref="K459:K460">
    <cfRule type="cellIs" dxfId="15" priority="16" operator="equal">
      <formula>0</formula>
    </cfRule>
  </conditionalFormatting>
  <conditionalFormatting sqref="K487">
    <cfRule type="cellIs" dxfId="14" priority="15" operator="equal">
      <formula>0</formula>
    </cfRule>
  </conditionalFormatting>
  <conditionalFormatting sqref="K459:K464 K480:K488 K478">
    <cfRule type="containsBlanks" dxfId="13" priority="14">
      <formula>LEN(TRIM(K459))=0</formula>
    </cfRule>
  </conditionalFormatting>
  <conditionalFormatting sqref="K487">
    <cfRule type="cellIs" dxfId="12" priority="13" operator="equal">
      <formula>0</formula>
    </cfRule>
  </conditionalFormatting>
  <conditionalFormatting sqref="K466:K477">
    <cfRule type="cellIs" dxfId="11" priority="12" operator="equal">
      <formula>0</formula>
    </cfRule>
  </conditionalFormatting>
  <conditionalFormatting sqref="K466:K477">
    <cfRule type="containsBlanks" dxfId="10" priority="11">
      <formula>LEN(TRIM(K466))=0</formula>
    </cfRule>
  </conditionalFormatting>
  <conditionalFormatting sqref="M458">
    <cfRule type="cellIs" dxfId="9" priority="10" operator="equal">
      <formula>0</formula>
    </cfRule>
  </conditionalFormatting>
  <conditionalFormatting sqref="M458">
    <cfRule type="containsBlanks" dxfId="8" priority="9">
      <formula>LEN(TRIM(M458))=0</formula>
    </cfRule>
  </conditionalFormatting>
  <conditionalFormatting sqref="M459:M465 M478:M486 M488">
    <cfRule type="cellIs" dxfId="7" priority="8" operator="equal">
      <formula>0</formula>
    </cfRule>
  </conditionalFormatting>
  <conditionalFormatting sqref="M459:M460">
    <cfRule type="cellIs" dxfId="6" priority="7" operator="equal">
      <formula>0</formula>
    </cfRule>
  </conditionalFormatting>
  <conditionalFormatting sqref="M459:M460">
    <cfRule type="cellIs" dxfId="5" priority="6" operator="equal">
      <formula>0</formula>
    </cfRule>
  </conditionalFormatting>
  <conditionalFormatting sqref="M487">
    <cfRule type="cellIs" dxfId="4" priority="5" operator="equal">
      <formula>0</formula>
    </cfRule>
  </conditionalFormatting>
  <conditionalFormatting sqref="M459:M464 M480:M488 M478">
    <cfRule type="containsBlanks" dxfId="3" priority="4">
      <formula>LEN(TRIM(M459))=0</formula>
    </cfRule>
  </conditionalFormatting>
  <conditionalFormatting sqref="M487">
    <cfRule type="cellIs" dxfId="2" priority="3" operator="equal">
      <formula>0</formula>
    </cfRule>
  </conditionalFormatting>
  <conditionalFormatting sqref="M466:M477">
    <cfRule type="cellIs" dxfId="1" priority="2" operator="equal">
      <formula>0</formula>
    </cfRule>
  </conditionalFormatting>
  <conditionalFormatting sqref="M466:M477">
    <cfRule type="containsBlanks" dxfId="0" priority="1">
      <formula>LEN(TRIM(M466))=0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102</vt:i4>
      </vt:variant>
      <vt:variant>
        <vt:lpstr>Plages nommées</vt:lpstr>
      </vt:variant>
      <vt:variant>
        <vt:i4>1</vt:i4>
      </vt:variant>
    </vt:vector>
  </HeadingPairs>
  <TitlesOfParts>
    <vt:vector size="103" baseType="lpstr">
      <vt:lpstr>Cibles THREEME</vt:lpstr>
      <vt:lpstr>Cibles THREEME AMS</vt:lpstr>
      <vt:lpstr>Cibles ThreeME v2 </vt:lpstr>
      <vt:lpstr>Cibles ThreeME v2 AMS</vt:lpstr>
      <vt:lpstr>Cibles ThreeME v3</vt:lpstr>
      <vt:lpstr>Cibles ThreeME v3 AMS</vt:lpstr>
      <vt:lpstr>brouillon</vt:lpstr>
      <vt:lpstr>Bilan_enerdata_2015</vt:lpstr>
      <vt:lpstr>Bilan 2015</vt:lpstr>
      <vt:lpstr>Bilan 2020</vt:lpstr>
      <vt:lpstr>Bilan 2023</vt:lpstr>
      <vt:lpstr>Bilan 2025</vt:lpstr>
      <vt:lpstr>Bilan 2028</vt:lpstr>
      <vt:lpstr>Bilan 2030</vt:lpstr>
      <vt:lpstr>Bilan 2033</vt:lpstr>
      <vt:lpstr>Bilan 2035</vt:lpstr>
      <vt:lpstr>Bilan 2038</vt:lpstr>
      <vt:lpstr>Bilan 2040</vt:lpstr>
      <vt:lpstr>Bilan 2045</vt:lpstr>
      <vt:lpstr>Bilan 2050</vt:lpstr>
      <vt:lpstr>Bilan 2023 AMS</vt:lpstr>
      <vt:lpstr>Bilan 2025 AMS</vt:lpstr>
      <vt:lpstr>Bilan 2028 AMS</vt:lpstr>
      <vt:lpstr>Bilan 2030 AMS</vt:lpstr>
      <vt:lpstr>Bilan 2033 AMS</vt:lpstr>
      <vt:lpstr>Bilan 2035 AMS</vt:lpstr>
      <vt:lpstr>Bilan 2038 AMS</vt:lpstr>
      <vt:lpstr>Bilan 2040 AMS</vt:lpstr>
      <vt:lpstr>Bilan 2045 AMS</vt:lpstr>
      <vt:lpstr>Bilan 2050 AMS</vt:lpstr>
      <vt:lpstr>Bilan_E_KP_AME_2020</vt:lpstr>
      <vt:lpstr>Bilan_E_KP_AME_2023</vt:lpstr>
      <vt:lpstr>Bilan_E_KP_AME_2025</vt:lpstr>
      <vt:lpstr>Bilan_E_KP_AME_2028</vt:lpstr>
      <vt:lpstr>Bilan_E_KP_AME_2030</vt:lpstr>
      <vt:lpstr>Bilan_E_KP_AME_2033</vt:lpstr>
      <vt:lpstr>Bilan_E_KP_AME_2035</vt:lpstr>
      <vt:lpstr>Bilan_E_KP_AME_2038</vt:lpstr>
      <vt:lpstr>Bilan_E_KP_AME_2040</vt:lpstr>
      <vt:lpstr>Bilan_E_KP_AME_2043</vt:lpstr>
      <vt:lpstr>Bilan_E_KP_AME_2045</vt:lpstr>
      <vt:lpstr>Bilan_E_KP_AME_2050</vt:lpstr>
      <vt:lpstr>Bilan_E_KP_AME</vt:lpstr>
      <vt:lpstr>Bilan_E_AME_Met_2020</vt:lpstr>
      <vt:lpstr>Bilan_E_AME_Met_2023</vt:lpstr>
      <vt:lpstr>Bilan_E_AME_Met_2025</vt:lpstr>
      <vt:lpstr>Bilan_E_AME_Met_2028</vt:lpstr>
      <vt:lpstr>Bilan_E_AME_Met_2030</vt:lpstr>
      <vt:lpstr>Bilan_E_AME_Met_2033</vt:lpstr>
      <vt:lpstr>Bilan_E_AME_Met_2035</vt:lpstr>
      <vt:lpstr>Bilan_E_AME_Met_2038</vt:lpstr>
      <vt:lpstr>Bilan_E_AME_Met_2040</vt:lpstr>
      <vt:lpstr>Bilan_E_AME_Met_2045</vt:lpstr>
      <vt:lpstr>Bilan_E_AME_Met_2050</vt:lpstr>
      <vt:lpstr>Bilan_E_KP_AMS</vt:lpstr>
      <vt:lpstr>Bilan_E_KP_AMS_2023</vt:lpstr>
      <vt:lpstr>Bilan_E_KP_AMS_2025</vt:lpstr>
      <vt:lpstr>Bilan_E_KP_AMS_2028</vt:lpstr>
      <vt:lpstr>Bilan_E_KP_AMS_2030</vt:lpstr>
      <vt:lpstr>Bilan_E_KP_AMS_2033</vt:lpstr>
      <vt:lpstr>Bilan_E_KP_AMS_2035</vt:lpstr>
      <vt:lpstr>Bilan_E_KP_AMS_2038</vt:lpstr>
      <vt:lpstr>Bilan_E_KP_AMS_2040</vt:lpstr>
      <vt:lpstr>Bilan_E_KP_AMS_2043</vt:lpstr>
      <vt:lpstr>Bilan_E_KP_AMS_2045</vt:lpstr>
      <vt:lpstr>Bilan_E_KP_AMS_2050</vt:lpstr>
      <vt:lpstr>Bilan_E_AMS_Met_2023</vt:lpstr>
      <vt:lpstr>Bilan_E_AMS_Met_2025</vt:lpstr>
      <vt:lpstr>Bilan_E_AMS_Met_2028</vt:lpstr>
      <vt:lpstr>Bilan_E_AMS_Met_2030</vt:lpstr>
      <vt:lpstr>Bilan_E_AMS_Met_2033</vt:lpstr>
      <vt:lpstr>Bilan_E_AMS_Met_2035</vt:lpstr>
      <vt:lpstr>Bilan_E_AMS_Met_2038</vt:lpstr>
      <vt:lpstr>Bilan_E_AMS_Met_2040</vt:lpstr>
      <vt:lpstr>Bilan_E_AMS_Met_2045</vt:lpstr>
      <vt:lpstr>Bilan_E_AMS_Met_2050</vt:lpstr>
      <vt:lpstr>Bilan_E_AMS_Met</vt:lpstr>
      <vt:lpstr>P1_G4-G5</vt:lpstr>
      <vt:lpstr>P1_G6</vt:lpstr>
      <vt:lpstr>bilan énergie format SDS</vt:lpstr>
      <vt:lpstr>Demande Format Medpro</vt:lpstr>
      <vt:lpstr>Format demande MedPro_2015</vt:lpstr>
      <vt:lpstr>Corrections Bilan enerdata</vt:lpstr>
      <vt:lpstr>Modèle tertiaire_2015</vt:lpstr>
      <vt:lpstr>Modèle tertiaire_2020</vt:lpstr>
      <vt:lpstr>Modèle tertiaire_2025</vt:lpstr>
      <vt:lpstr>Modèle tertiaire_2030</vt:lpstr>
      <vt:lpstr>Modèle tertiaire_2050</vt:lpstr>
      <vt:lpstr>Modèle résidentiel ch_2015</vt:lpstr>
      <vt:lpstr>Modèle résidentiel ch_2020</vt:lpstr>
      <vt:lpstr>Modèle résidentiel ch_2025</vt:lpstr>
      <vt:lpstr>Modèle résidentiel ch_2030</vt:lpstr>
      <vt:lpstr>Modèle résidentiel ch_2050</vt:lpstr>
      <vt:lpstr>Modèle résidentiel hch_2015</vt:lpstr>
      <vt:lpstr>Modèle résidentiel hch_2020</vt:lpstr>
      <vt:lpstr>Modèle résidentiel hch_2025</vt:lpstr>
      <vt:lpstr>Modèle résidentiel hch_2030</vt:lpstr>
      <vt:lpstr>Modèle résidentiel hch_2050</vt:lpstr>
      <vt:lpstr>Mix énergie_2015</vt:lpstr>
      <vt:lpstr>Bilans_E_AMS_Kyoto_2050</vt:lpstr>
      <vt:lpstr>Bilan 2050 AMS_ancien</vt:lpstr>
      <vt:lpstr>Bilans_E_AMS_Kyoto</vt:lpstr>
      <vt:lpstr>'P1_G4-G5'!Zone_d_impression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DESLOT Quentin</dc:creator>
  <cp:lastModifiedBy>CALLONNEC Gaël</cp:lastModifiedBy>
  <dcterms:created xsi:type="dcterms:W3CDTF">2018-06-25T08:16:03Z</dcterms:created>
  <dcterms:modified xsi:type="dcterms:W3CDTF">2023-09-04T13:18:01Z</dcterms:modified>
</cp:coreProperties>
</file>